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2"/>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21.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Names" sheetId="1" r:id="rId4"/>
    <sheet state="visible" name="General Instructions" sheetId="2" r:id="rId5"/>
    <sheet state="visible" name="Parameters" sheetId="3" r:id="rId6"/>
    <sheet state="visible" name="Macro" sheetId="4" r:id="rId7"/>
    <sheet state="visible" name="Residential" sheetId="5" r:id="rId8"/>
    <sheet state="visible" name="EDCM - Residential" sheetId="6" r:id="rId9"/>
    <sheet state="hidden" name="EDCM PreGraphs - Residential" sheetId="7" r:id="rId10"/>
    <sheet state="visible" name="EDCM Graphs - Residential" sheetId="8" r:id="rId11"/>
    <sheet state="visible" name="Tertiary" sheetId="9" r:id="rId12"/>
    <sheet state="visible" name="EDCM - Tertiary" sheetId="10" r:id="rId13"/>
    <sheet state="hidden" name="EDCM PreGraphs - Tertiary" sheetId="11" r:id="rId14"/>
    <sheet state="visible" name="EDCM Graphs - Tertiary" sheetId="12" r:id="rId15"/>
    <sheet state="visible" name="Transport" sheetId="13" r:id="rId16"/>
    <sheet state="visible" name="EDCM - Transport" sheetId="14" r:id="rId17"/>
    <sheet state="hidden" name="EDCM PreGraphs - Transport" sheetId="15" r:id="rId18"/>
    <sheet state="visible" name="EDCM Graphs - Transport" sheetId="16" r:id="rId19"/>
    <sheet state="visible" name="Industry" sheetId="17" r:id="rId20"/>
    <sheet state="visible" name="Industry_Calculation" sheetId="18" r:id="rId21"/>
    <sheet state="visible" name="Industry_Historical_Data" sheetId="19" r:id="rId22"/>
    <sheet state="visible" name="Agriculture" sheetId="20" r:id="rId23"/>
    <sheet state="visible" name="AFOLUB (Solagro figures)" sheetId="21" r:id="rId24"/>
    <sheet state="visible" name="Energy" sheetId="22" r:id="rId25"/>
    <sheet state="visible" name="EDCM - TOTAL" sheetId="23" r:id="rId26"/>
  </sheets>
  <definedNames>
    <definedName name="callqfcfavi">'EDCM - Transport'!#REF!</definedName>
    <definedName name="callqfcftraint">'EDCM - Transport'!#REF!</definedName>
    <definedName name="callqfcfwati">'EDCM - Transport'!#REF!</definedName>
    <definedName name="ConvGWhVersTep">86</definedName>
    <definedName name="edcmtraavi">'EDCM - TOTAL'!#REF!</definedName>
    <definedName name="edcmtrawati">'EDCM - TOTAL'!#REF!</definedName>
    <definedName name="G">10^9</definedName>
    <definedName name="k">1000</definedName>
    <definedName name="M">10^6</definedName>
    <definedName name="prmttmcam">Transport!#REF!</definedName>
    <definedName name="rdmelcchp">Energy!#REF!</definedName>
    <definedName name="rdmvapchp">Energy!#REF!</definedName>
    <definedName name="T">10^12</definedName>
    <definedName name="rdmvapchpboi">Energy!$H$92:$AH$92</definedName>
    <definedName name="toccfppp">Industry!$H$67:$AH$67</definedName>
    <definedName name="toccfair">Transport!$H$145:$AH$145</definedName>
    <definedName name="ceereschfvap">Residential!$H$54:$AH$54</definedName>
    <definedName name="nbrvpcele">Transport!$H$62:$AH$62</definedName>
    <definedName name="nbrcamvlrgzl">Transport!$H$209:$AH$209</definedName>
    <definedName name="calcskngvmot">'EDCM - Transport'!$H$89:$AH$89</definedName>
    <definedName name="prodombgr">Energy!$H$14:$AH$14</definedName>
    <definedName name="rdmrchboi">Energy!$H$147:$AH$147</definedName>
    <definedName name="paccfind">Industry!$H$79:$AH$79</definedName>
    <definedName name="toccfterchc">Tertiary!$H$66:$AH$66</definedName>
    <definedName name="crdaliresels">'EDCM - Residential'!$H$114</definedName>
    <definedName name="calcfhydbus">'EDCM - Transport'!$H$107:$AH$107</definedName>
    <definedName name="cmscfter">Tertiary!$H$196:$AH$196</definedName>
    <definedName name="HousingStockPerCarriers">Residential!$H$40:$AH$46</definedName>
    <definedName name="solghgch4luf">'AFOLUB (Solagro figures)'!$H$54:$AH$54</definedName>
    <definedName name="toccfsid1oxy">Industry!$H$56:$AH$56</definedName>
    <definedName name="surlex">Residential!$H$18:$AH$18</definedName>
    <definedName name="surlpn">Residential!$H$22:$AH$22</definedName>
    <definedName name="recalgazcfmob">'EDCM - Transport'!$H$138:$AH$138</definedName>
    <definedName name="pclqffertkm">Transport!$H$253:$AH$253</definedName>
    <definedName name="cmscfneind">Industry!$H$83:$AH$83</definedName>
    <definedName name="dumtercui">Tertiary!$H$132:$AH$132</definedName>
    <definedName name="pkmvpchybgzl">Transport!$H$31:$AH$31</definedName>
    <definedName name="List_Technologies">Parameters!$H$29:$H$46</definedName>
    <definedName name="enccfneind">Industry!$H$84:$AH$84</definedName>
    <definedName name="calcuternfcli">'EDCM - Tertiary'!$H$52:$AH$52</definedName>
    <definedName name="recaltoccffre">'EDCM - Transport'!$H$219:$AH$219</definedName>
    <definedName name="crdtcs">'EDCM - Tertiary'!$H$83:$AH$83</definedName>
    <definedName name="prmcebvpclqf">'EDCM - Transport'!$H$21</definedName>
    <definedName name="prbelcchpgeo">Energy!$H$99:$AH$99</definedName>
    <definedName name="toccfhvc">Industry!$H$63:$AH$63</definedName>
    <definedName name="csvlrlqf">Transport!$H$225:$AH$225</definedName>
    <definedName name="calcfngvvpc">'EDCM - Transport'!$H$76:$AH$76</definedName>
    <definedName name="kmvvpcgzl">Transport!$H$50:$AH$50</definedName>
    <definedName name="toccfoth">Industry!$H$69:$AH$69</definedName>
    <definedName name="gazcfmob">Transport!$H$163:$AH$163</definedName>
    <definedName name="crdcsvpc">'EDCM - Transport'!$H$46:$AH$46</definedName>
    <definedName name="cselescl">Residential!$H$181:$AH$181</definedName>
    <definedName name="calelecfreslar">'EDCM - Residential'!$H$105:$AH$105</definedName>
    <definedName name="calvapcfterchf">'EDCM - Tertiary'!$H$19:$AH$19</definedName>
    <definedName name="calcfngvvlr">'EDCM - Transport'!$H$165:$AH$165</definedName>
    <definedName name="gazcfres">Residential!$H$216:$AH$216</definedName>
    <definedName name="prbrchpac">Energy!$H$160:$AH$160</definedName>
    <definedName name="calcfelemobfer">'EDCM - Transport'!$H$114:$AH$114</definedName>
    <definedName name="rdmboilqf">Energy!$H$19:$AH$19</definedName>
    <definedName name="calnbrcamess">'EDCM - Transport'!$H$177:$AH$177</definedName>
    <definedName name="teqtercli">Tertiary!$H$77:$AH$77</definedName>
    <definedName name="teqcli">Residential!$H$81:$AH$81</definedName>
    <definedName name="calcmscfter">'EDCM - Tertiary'!$H$90:$AH$90</definedName>
    <definedName name="rdmelccms">Energy!$H$51:$AH$51</definedName>
    <definedName name="eeairpkmi">Transport!$H$143:$AH$143</definedName>
    <definedName name="calcfmresclidw">'EDCM - Residential'!$H$53:$AH$53</definedName>
    <definedName name="calelccfter">'EDCM - Tertiary'!$H$94:$AH$94</definedName>
    <definedName name="teqtercliex">Tertiary!$H$78:$AH$78</definedName>
    <definedName name="vapcfreschf">Residential!$H$76:$AH$76</definedName>
    <definedName name="calpetcfreschf">'EDCM - Residential'!$H$19:$AH$19</definedName>
    <definedName name="elccfreschf">Residential!$H$75:$AH$75</definedName>
    <definedName name="prbelcchpboi">Energy!$H$89:$AH$89</definedName>
    <definedName name="csvpchyd">Transport!$H$98:$AH$98</definedName>
    <definedName name="elecfreslar">Residential!$H$193:$AH$193</definedName>
    <definedName name="prbrchboi">Energy!$H$146:$AH$146</definedName>
    <definedName name="prbvapchpbgl">Energy!$H$86:$AH$86</definedName>
    <definedName name="calelccftra">'EDCM - Transport'!$H$232:$AH$232</definedName>
    <definedName name="cutocreslgtm2">Residential!$H$176:$AH$176</definedName>
    <definedName name="toccfmnm">Industry!$H$58:$AH$58</definedName>
    <definedName name="caltoccuterchf">'EDCM - Tertiary'!$H$11:$AH$11</definedName>
    <definedName name="caltotelccfresdom">'EDCM - Residential'!$H$112:$AH$112</definedName>
    <definedName name="prdhvc">Industry!$H$16:$AH$16</definedName>
    <definedName name="proelccms">Energy!$H$50:$AH$50</definedName>
    <definedName name="cmscfagr">Agriculture!$H$92:$AH$92</definedName>
    <definedName name="calcflqffrefer">'EDCM - Transport'!$H$199:$AH$199</definedName>
    <definedName name="ipiverxx">Industry!$H$23:$AH$23</definedName>
    <definedName name="calcfhybgzlvlr">'EDCM - Transport'!$H$169:$AH$169</definedName>
    <definedName name="nbrbusgpl">Transport!$H$84:$AH$84</definedName>
    <definedName name="mrtrch11">Parameters!$H$21</definedName>
    <definedName name="nbrvpchybgzl">Transport!$H$64:$AH$64</definedName>
    <definedName name="callqfcfrou">Transport!$H$245:$AH$245</definedName>
    <definedName name="teqoea">Residential!$H$172:$AH$172</definedName>
    <definedName name="prdpap">Industry!$H$27:$AH$27</definedName>
    <definedName name="rdmelcnuc">Energy!$H$48:$AH$48</definedName>
    <definedName name="calcfhybgzlvpc">'EDCM - Transport'!$H$80:$AH$80</definedName>
    <definedName name="ceereschfele">Residential!$H$53:$AH$53</definedName>
    <definedName name="solghgothagr">'AFOLUB (Solagro figures)'!$H$46:$AH$46</definedName>
    <definedName name="ceerescli">Residential!$H$92:$AH$92</definedName>
    <definedName name="cseterlgt">Tertiary!$H$157:$AH$157</definedName>
    <definedName name="prodomboi">Energy!$H$12:$AH$12</definedName>
    <definedName name="cseterchfsth">Tertiary!$H$52:$AH$52</definedName>
    <definedName name="mrtrch5">Parameters!$H$15</definedName>
    <definedName name="calcflqfcam">'EDCM - Transport'!$H$192:$AH$192</definedName>
    <definedName name="elccfteroth">Tertiary!$H$180:$AH$180</definedName>
    <definedName name="cutocmnm">Industry!$H$43:$AH$43</definedName>
    <definedName name="capbus">Transport!$H$39:$AH$39</definedName>
    <definedName name="enccfagr">Agriculture!$H$93:$AH$93</definedName>
    <definedName name="kmvvpcess">Transport!$H$49:$AH$49</definedName>
    <definedName name="eelpn">Residential!$H$32:$AH$32</definedName>
    <definedName name="gazcfind">Industry!$H$74:$AH$74</definedName>
    <definedName name="nbrlprpet">Residential!$H$42:$AH$42</definedName>
    <definedName name="prmcenvpcgzl">'EDCM - Transport'!$H$16</definedName>
    <definedName name="TargetYear">Names!$B$3</definedName>
    <definedName name="pkmmotlqf">Transport!$H$35:$AH$35</definedName>
    <definedName name="cfmlrvcli">Residential!$H$89:$AH$89</definedName>
    <definedName name="teqcgl">Residential!$H$166:$AH$166</definedName>
    <definedName name="cfmresclidw">Residential!$H$86:$AH$86</definedName>
    <definedName name="elccftersve">Tertiary!$H$169:$AH$169</definedName>
    <definedName name="caight">Energy!$H$43:$AH$43</definedName>
    <definedName name="lqfcftra">Transport!$H$313:$AH$313</definedName>
    <definedName name="solprodombgp">'AFOLUB (Solagro figures)'!$H$8:$AH$8</definedName>
    <definedName name="calcfngvbus">'EDCM - Transport'!$H$106:$AH$106</definedName>
    <definedName name="prbvapchpboi">Energy!$H$91:$AH$91</definedName>
    <definedName name="elccftertni">Tertiary!$H$171:$AH$171</definedName>
    <definedName name="elccfrescli">Residential!$H$98:$AH$98</definedName>
    <definedName name="calcfngvcam">'EDCM - Transport'!$H$194:$AH$194</definedName>
    <definedName name="calgazcftra">'EDCM - Transport'!$H$230:$AH$230</definedName>
    <definedName name="calcskngvcam">'EDCM - Transport'!$H$187:$AH$187</definedName>
    <definedName name="elccfterchf">Tertiary!$H$71:$AH$71</definedName>
    <definedName name="calkmvessvpc">'EDCM - Transport'!$H$62:$AH$62</definedName>
    <definedName name="cmscfresecs">Residential!$H$126:$AH$126</definedName>
    <definedName name="eeflvtkmi">Transport!$H$276:$AH$276</definedName>
    <definedName name="rprohydproel">Energy!$H$110:$AH$110</definedName>
    <definedName name="trpcam">Transport!$H$196:$AH$196</definedName>
    <definedName name="rdmelcchpbgl">Energy!$H$85:$AH$85</definedName>
    <definedName name="prdpat">Industry!$H$28:$AH$28</definedName>
    <definedName name="sthcfrescli">Residential!$H$100:$AH$100</definedName>
    <definedName name="calelccfreslgt">'EDCM - Residential'!$H$93:$AH$93</definedName>
    <definedName name="pkmmotngv">Transport!$H$36:$AH$36</definedName>
    <definedName name="toccfter">Tertiary!$H$195:$AH$195</definedName>
    <definedName name="surterchfele">Tertiary!$H$40:$AH$40</definedName>
    <definedName name="elccfrou">Transport!$H$242:$AH$242</definedName>
    <definedName name="nbrlpn">Residential!$H$20:$AH$20</definedName>
    <definedName name="solprodomblq">'AFOLUB (Solagro figures)'!$H$9:$AH$9</definedName>
    <definedName name="calcureslrvcli">'EDCM - Residential'!$H$56:$AH$56</definedName>
    <definedName name="pkmairint">Transport!$H$139:$AH$139</definedName>
    <definedName name="kmvvpc">Transport!$H$48:$AH$48</definedName>
    <definedName name="gazcfter">Tertiary!$H$199:$AH$199</definedName>
    <definedName name="mrtrch8">Parameters!$H$18</definedName>
    <definedName name="cseletvs">Residential!$H$182:$AH$182</definedName>
    <definedName name="eeterexrv">Tertiary!$H$28:$AH$28</definedName>
    <definedName name="calcskelemot">'EDCM - Transport'!$H$90:$AH$90</definedName>
    <definedName name="rdmvapchpcms">Energy!$H$72:$AH$72</definedName>
    <definedName name="prmcebvpcgzl">'EDCM - Transport'!$H$15</definedName>
    <definedName name="calkmvhybessvpc">'EDCM - Transport'!$H$68:$AH$68</definedName>
    <definedName name="nbrvlress">Transport!$H$212:$AH$212</definedName>
    <definedName name="ceeterchfele">Tertiary!$H$49:$AH$49</definedName>
    <definedName name="csbushyd">Transport!$H$109:$AH$109</definedName>
    <definedName name="eeferpkm">Transport!$H$127:$AH$127</definedName>
    <definedName name="calpaccfres">'EDCM - Residential'!$H$131:$AH$131</definedName>
    <definedName name="calnbrcamgpl">'EDCM - Transport'!$H$180:$AH$180</definedName>
    <definedName name="totsurlex">Residential!$H$17:$AH$17</definedName>
    <definedName name="surterchfvap">Tertiary!$H$41:$AH$41</definedName>
    <definedName name="tkmcamlqf">Transport!$H$198:$AH$198</definedName>
    <definedName name="surterchfcms">Tertiary!$H$36:$AH$36</definedName>
    <definedName name="cfmrescli">Residential!$H$87:$AH$87</definedName>
    <definedName name="calelccfterchf">'EDCM - Tertiary'!$H$18:$AH$18</definedName>
    <definedName name="fchght">Energy!$H$44:$AH$44</definedName>
    <definedName name="cmscfens">Industry!$H$104:$AH$104</definedName>
    <definedName name="calgazcfreschf">'EDCM - Residential'!$H$20:$AH$20</definedName>
    <definedName name="prbvapchpgeo">Energy!$H$101:$AH$101</definedName>
    <definedName name="calcureslpnchf">'EDCM - Residential'!$H$13:$AH$13</definedName>
    <definedName name="solghgn2oagr">'AFOLUB (Solagro figures)'!$H$41:$AH$41</definedName>
    <definedName name="lumreslvl">Residential!$H$158:$AH$158</definedName>
    <definedName name="calcureslexchf">'EDCM - Residential'!$H$11:$AH$11</definedName>
    <definedName name="calcfelehybvlr">'EDCM - Transport'!$H$171:$AH$171</definedName>
    <definedName name="petcfterecs">Tertiary!$H$123:$AH$123</definedName>
    <definedName name="elccfres">Residential!$H$217:$AH$217</definedName>
    <definedName name="crdalireschf">'EDCM - Residential'!$H$48</definedName>
    <definedName name="tkmflvdom">Transport!$H$269:$AH$269</definedName>
    <definedName name="prmcebvpcngv">'EDCM - Transport'!$H$35</definedName>
    <definedName name="calkmvgzlvpc">'EDCM - Transport'!$H$63:$AH$63</definedName>
    <definedName name="vkmvlrele">Transport!$H$191:$AH$191</definedName>
    <definedName name="pkmfermet">Transport!$H$120:$AH$120</definedName>
    <definedName name="rdmelcchpcms">Energy!$H$70:$AH$70</definedName>
    <definedName name="proeof">Energy!$H$31:$AH$31</definedName>
    <definedName name="lqfcfavd">Transport!$H$146:$AH$146</definedName>
    <definedName name="paccfter">Tertiary!$H$202:$AH$202</definedName>
    <definedName name="ceetersve">Tertiary!$H$168:$AH$168</definedName>
    <definedName name="caltotsurlrv">'EDCM - Residential'!$H$6:$AH$6</definedName>
    <definedName name="ghgindnes">Industry!$H$89:$AH$89</definedName>
    <definedName name="csmotngv">Transport!$H$103:$AH$103</definedName>
    <definedName name="paccfreschf">Residential!$H$77:$AH$77</definedName>
    <definedName name="caltoccftra">'EDCM - Transport'!$H$228:$AH$228</definedName>
    <definedName name="toccfreschf">Residential!$H$69:$AH$69</definedName>
    <definedName name="toccfcim">Industry!$H$59:$AH$59</definedName>
    <definedName name="nbrvpcgna">Transport!$H$60:$AH$60</definedName>
    <definedName name="cfneind">Industry!$H$82:$AH$82</definedName>
    <definedName name="prmcenvpcess">'EDCM - Transport'!$H$10</definedName>
    <definedName name="calcskelevpc">'EDCM - Transport'!$H$55:$AH$55</definedName>
    <definedName name="calcskhybessvpc">'EDCM - Transport'!$H$56:$AH$56</definedName>
    <definedName name="vkmvlrhybess">Transport!$H$192:$AH$192</definedName>
    <definedName name="rcyppp">Industry!$H$37:$AH$37</definedName>
    <definedName name="surterex">Tertiary!$H$9:$AH$9</definedName>
    <definedName name="paccfresecs">Residential!$H$132:$AH$132</definedName>
    <definedName name="ceereschfcms">Residential!$H$49:$AH$49</definedName>
    <definedName name="pkmvpclqf">Transport!$H$25:$AH$25</definedName>
    <definedName name="calkmvelevpc">'EDCM - Transport'!$H$67:$AH$67</definedName>
    <definedName name="solgazcfagr">'AFOLUB (Solagro figures)'!$H$27:$AH$27</definedName>
    <definedName name="crdeqrtercli">'EDCM - Tertiary'!$H$47:$AH$47</definedName>
    <definedName name="solghgco2enc">'AFOLUB (Solagro figures)'!$H$34:$AH$34</definedName>
    <definedName name="cfmterecsvol">Tertiary!$H$100:$AH$100</definedName>
    <definedName name="pkmbushyd">Transport!$H$44:$AH$44</definedName>
    <definedName name="calcskgzlvpc">'EDCM - Transport'!$H$51:$AH$51</definedName>
    <definedName name="calcfreschfcap">'EDCM - Residential'!$H$25:$AH$25</definedName>
    <definedName name="nbrlex">Residential!$H$16:$AH$16</definedName>
    <definedName name="ipicimxx">Industry!$H$22:$AH$22</definedName>
    <definedName name="calcfngvmot">'EDCM - Transport'!$H$93:$AH$93</definedName>
    <definedName name="pclqfwattkm">Transport!$H$272:$AH$272</definedName>
    <definedName name="sthcfreschf">Residential!$H$78:$AH$78</definedName>
    <definedName name="calcflqfvpc">'EDCM - Transport'!$H$72:$AH$72</definedName>
    <definedName name="boicftercui">Tertiary!$H$138:$AH$138</definedName>
    <definedName name="surter">Tertiary!$H$5:$AH$5</definedName>
    <definedName name="elccfresecs">Residential!$H$130:$AH$130</definedName>
    <definedName name="nbrlprboi">Residential!$H$41:$AH$41</definedName>
    <definedName name="nbrbusgna">Transport!$H$85:$AH$85</definedName>
    <definedName name="calcfngvmobfer">'EDCM - Transport'!$H$112:$AH$112</definedName>
    <definedName name="perstoelc">Energy!$H$129:$AH$129</definedName>
    <definedName name="gazcfresecs">Residential!$H$129:$AH$129</definedName>
    <definedName name="calcfterchfcap">'EDCM - Tertiary'!$H$22:$AH$22</definedName>
    <definedName name="solghgco2lufnfo">'AFOLUB (Solagro figures)'!$H$52:$AH$52</definedName>
    <definedName name="calnbrcamele">'EDCM - Transport'!$H$183:$AH$183</definedName>
    <definedName name="surterexcap">Tertiary!$H$10:$AH$10</definedName>
    <definedName name="toccfrou">Transport!$H$238:$AH$238</definedName>
    <definedName name="pop">Macro!$H$4:$AH$4</definedName>
    <definedName name="csmotlqf">Transport!$H$102:$AH$102</definedName>
    <definedName name="surterchfsth">Tertiary!$H$43:$AH$43</definedName>
    <definedName name="calcfngvfrewatd">'EDCM - Transport'!$H$208:$AH$208</definedName>
    <definedName name="ghgchines">Industry!$H$93:$AH$93</definedName>
    <definedName name="calelccfmob">'EDCM - Transport'!$H$134:$AH$134</definedName>
    <definedName name="calnbrcamhyd">'EDCM - Transport'!$H$182:$AH$182</definedName>
    <definedName name="csmotele">Transport!$H$104:$AH$104</definedName>
    <definedName name="hydcfneind">Industry!$H$87:$AH$87</definedName>
    <definedName name="prbvapchpcms">Energy!$H$71:$AH$71</definedName>
    <definedName name="rdmelcwst">Energy!$H$63:$AH$63</definedName>
    <definedName name="cselecgl">Residential!$H$178:$AH$178</definedName>
    <definedName name="cutocacb">Industry!$H$40:$AH$40</definedName>
    <definedName name="hydcfmob">Transport!$H$164:$AH$164</definedName>
    <definedName name="calcskgplvpc">'EDCM - Transport'!$H$52:$AH$52</definedName>
    <definedName name="toccffre">Transport!$H$291:$AH$291</definedName>
    <definedName name="csvlrngv">Transport!$H$227:$AH$227</definedName>
    <definedName name="calcfessvlr">'EDCM - Transport'!$H$162:$AH$162</definedName>
    <definedName name="csvpcgpl">Transport!$H$96:$AH$96</definedName>
    <definedName name="rdmvapchpwst">Energy!$H$97:$AH$97</definedName>
    <definedName name="eeterexnr">Tertiary!$H$27:$AH$27</definedName>
    <definedName name="calvapcfreschf">'EDCM - Residential'!$H$22:$AH$22</definedName>
    <definedName name="calgazcfmob">'EDCM - Transport'!$H$132:$AH$132</definedName>
    <definedName name="crdmstvpc">'EDCM - Transport'!$H$43:$AH$43</definedName>
    <definedName name="ipiacbelexx">Industry!$H$20:$AH$20</definedName>
    <definedName name="calcfgplbus">'EDCM - Transport'!$H$105:$AH$105</definedName>
    <definedName name="solghgco2luf">'AFOLUB (Solagro figures)'!$H$50:$AH$50</definedName>
    <definedName name="solfepcin">'AFOLUB (Solagro figures)'!$H$17:$AH$17</definedName>
    <definedName name="enccfter">Tertiary!$H$197:$AH$197</definedName>
    <definedName name="surterchfgaz">Tertiary!$H$39:$AH$39</definedName>
    <definedName name="nbrmotngv">Transport!$H$78:$AH$78</definedName>
    <definedName name="prdamm">Industry!$H$15:$AH$15</definedName>
    <definedName name="vapcfresecs">Residential!$H$131:$AH$131</definedName>
    <definedName name="crdmstcam">'EDCM - Transport'!$H$174:$AH$174</definedName>
    <definedName name="caltocelscfter">'EDCM - Tertiary'!$H$86:$AH$86</definedName>
    <definedName name="nbrbusess">Transport!$H$82:$AH$82</definedName>
    <definedName name="cselerfg">Residential!$H$177:$AH$177</definedName>
    <definedName name="crdeqrrescli">'EDCM - Residential'!$H$50:$AH$50</definedName>
    <definedName name="caltoccfmob">'EDCM - Transport'!$H$130:$AH$130</definedName>
    <definedName name="prodomura">Energy!$H$6:$AH$6</definedName>
    <definedName name="mrtrch6">Parameters!$H$16</definedName>
    <definedName name="calhydcffre">'EDCM - Transport'!$H$216:$AH$216</definedName>
    <definedName name="calgazcfrou">Transport!$H$246:$AH$246</definedName>
    <definedName name="calcskelebus">'EDCM - Transport'!$H$102:$AH$102</definedName>
    <definedName name="elccfens">Industry!$H$108:$AH$108</definedName>
    <definedName name="toccfresecs">Residential!$H$125:$AH$125</definedName>
    <definedName name="toccftercui">Tertiary!$H$136:$AH$136</definedName>
    <definedName name="pophmen">Residential!$H$6:$AH$6</definedName>
    <definedName name="teqtvsmult">Residential!$H$170:$AH$170</definedName>
    <definedName name="calcfessvpc">'EDCM - Transport'!$H$73:$AH$73</definedName>
    <definedName name="calenccfter">'EDCM - Tertiary'!$H$91:$AH$91</definedName>
    <definedName name="elecfressma">Residential!$H$194:$AH$194</definedName>
    <definedName name="elccfterecs">Tertiary!$H$125:$AH$125</definedName>
    <definedName name="toccfamm">Industry!$H$62:$AH$62</definedName>
    <definedName name="csvlrele">Transport!$H$229:$AH$229</definedName>
    <definedName name="pkmaireur">Transport!$H$138:$AH$138</definedName>
    <definedName name="pchydirg">Energy!$H$114:$AH$114</definedName>
    <definedName name="cfmterrvcli">Tertiary!$H$84:$AH$84</definedName>
    <definedName name="calsthcfter">'EDCM - Tertiary'!$H$97:$AH$97</definedName>
    <definedName name="rdmelcchpwst">Energy!$H$95:$AH$95</definedName>
    <definedName name="Years">Names!$B$4:$AB$4</definedName>
    <definedName name="calcskhydcam">'EDCM - Transport'!$H$188:$AH$188</definedName>
    <definedName name="tkmfer">Transport!$H$251:$AH$251</definedName>
    <definedName name="calcskngvvlr">'EDCM - Transport'!$H$153:$AH$153</definedName>
    <definedName name="pkmvpchybess">Transport!$H$30:$AH$30</definedName>
    <definedName name="rcyver">Industry!$H$36:$AH$36</definedName>
    <definedName name="callqfcfmob">'EDCM - Transport'!$H$131:$AH$131</definedName>
    <definedName name="calcfhybgazvlr">'EDCM - Transport'!$H$170:$AH$170</definedName>
    <definedName name="rdmelcgaz">Energy!$H$57:$AH$57</definedName>
    <definedName name="caltoccfrescli">'EDCM - Residential'!$H$60:$AH$60</definedName>
    <definedName name="toccfagr">Agriculture!$H$91:$AH$91</definedName>
    <definedName name="lumresscl">Residential!$H$160:$AH$160</definedName>
    <definedName name="vapcfagr">Agriculture!$H$98:$AH$98</definedName>
    <definedName name="recallqfcfmob">'EDCM - Transport'!$H$137:$AH$137</definedName>
    <definedName name="calcfgzlvpc">'EDCM - Transport'!$H$74:$AH$74</definedName>
    <definedName name="solghgn2olma">'AFOLUB (Solagro figures)'!$H$42:$AH$42</definedName>
    <definedName name="calpkmavi">'EDCM - Transport'!$H$119:$AH$119</definedName>
    <definedName name="prdammxx">Industry!$H$24:$AH$24</definedName>
    <definedName name="eewatpkm">Transport!$H$156:$AH$156</definedName>
    <definedName name="prbelcchpwst">Energy!$H$94:$AH$94</definedName>
    <definedName name="prbvapchpwst">Energy!$H$96:$AH$96</definedName>
    <definedName name="rdmelcchpgaz">Energy!$H$80:$AH$80</definedName>
    <definedName name="caltoccffre">'EDCM - Transport'!$H$213:$AH$213</definedName>
    <definedName name="enccfreschf">Residential!$H$72:$AH$72</definedName>
    <definedName name="enccfres">Residential!$H$214:$AH$214</definedName>
    <definedName name="nbrlprpac">Residential!$H$46:$AH$46</definedName>
    <definedName name="gazcftra">Transport!$H$314:$AH$314</definedName>
    <definedName name="solpetcfagr">'AFOLUB (Solagro figures)'!$H$26:$AH$26</definedName>
    <definedName name="pcenrwst">Energy!$H$10:$AH$10</definedName>
    <definedName name="cseterplg">Tertiary!$H$161:$AH$161</definedName>
    <definedName name="calcskngvvpc">'EDCM - Transport'!$H$53:$AH$53</definedName>
    <definedName name="caltoccfter">'EDCM - Tertiary'!$H$89:$AH$89</definedName>
    <definedName name="mrtrch4">Parameters!$H$14</definedName>
    <definedName name="fchenm">Energy!$H$37:$AH$37</definedName>
    <definedName name="prohdr">Energy!$H$40:$AH$40</definedName>
    <definedName name="crdlar">'EDCM - Residential'!$H$94:$AH$94</definedName>
    <definedName name="cmscfterecs">Tertiary!$H$121:$AH$121</definedName>
    <definedName name="cutocacbele">Industry!$H$42:$AH$42</definedName>
    <definedName name="teqclilex">Residential!$H$82:$AH$82</definedName>
    <definedName name="ceeterecs">Tertiary!$H$111:$AH$111</definedName>
    <definedName name="nbrvlrhybgaz">Transport!$H$220:$AH$220</definedName>
    <definedName name="toccfsid1ele">Industry!$H$57:$AH$57</definedName>
    <definedName name="elecfresels">Residential!$H$191:$AH$191</definedName>
    <definedName name="calelccfrescli">'EDCM - Residential'!$H$63:$AH$63</definedName>
    <definedName name="prdhvcxx">Industry!$H$25:$AH$25</definedName>
    <definedName name="elccfterlgt">Tertiary!$H$159:$AH$159</definedName>
    <definedName name="ceeterbmg">Tertiary!$H$146:$AH$146</definedName>
    <definedName name="solprodomfor">'AFOLUB (Solagro figures)'!$H$11:$AH$11</definedName>
    <definedName name="caihdr">Energy!$H$39:$AH$39</definedName>
    <definedName name="surterchfboi">Tertiary!$H$37:$AH$37</definedName>
    <definedName name="eeternf">Tertiary!$H$29:$AH$29</definedName>
    <definedName name="prodomblq">Energy!$H$13:$AH$13</definedName>
    <definedName name="proenm">Energy!$H$35:$AH$35</definedName>
    <definedName name="nbrvpchybgaz">Transport!$H$65:$AH$65</definedName>
    <definedName name="elccfind">Industry!$H$75:$AH$75</definedName>
    <definedName name="vapcfres">Residential!$H$218:$AH$218</definedName>
    <definedName name="petcfres">Residential!$H$215:$AH$215</definedName>
    <definedName name="caltotsurlex">'EDCM - Residential'!$H$5:$AH$5</definedName>
    <definedName name="calcskelecam">'EDCM - Transport'!$H$189:$AH$189</definedName>
    <definedName name="csvpcgzl">Transport!$H$95:$AH$95</definedName>
    <definedName name="ceeterchfcms">Tertiary!$H$45:$AH$45</definedName>
    <definedName name="calelccffre">'EDCM - Transport'!$H$217:$AH$217</definedName>
    <definedName name="cfmternfcli">Tertiary!$H$85:$AH$85</definedName>
    <definedName name="calenccfres">'EDCM - Residential'!$H$126:$AH$126</definedName>
    <definedName name="calgazcffre">'EDCM - Transport'!$H$215:$AH$215</definedName>
    <definedName name="dumresoea">Residential!$H$163:$AH$163</definedName>
    <definedName name="nbrvlrhybess">Transport!$H$218:$AH$218</definedName>
    <definedName name="cfmlpncli">Residential!$H$90:$AH$90</definedName>
    <definedName name="mrtrch12">Parameters!$H$22</definedName>
    <definedName name="calcskgplvlr">'EDCM - Transport'!$H$152:$AH$152</definedName>
    <definedName name="surlog">Residential!$H$8:$AH$8</definedName>
    <definedName name="calcuterexcli">'EDCM - Tertiary'!$H$50:$AH$50</definedName>
    <definedName name="nbrlprvap">Residential!$H$45:$AH$45</definedName>
    <definedName name="calcflqfbus">'EDCM - Transport'!$H$104:$AH$104</definedName>
    <definedName name="calsthcfterchf">'EDCM - Tertiary'!$H$21:$AH$21</definedName>
    <definedName name="proelcboi">Energy!$H$59:$AH$59</definedName>
    <definedName name="crdmstbus">'EDCM - Transport'!$H$96:$AH$96</definedName>
    <definedName name="teqlvl">Residential!$H$167:$AH$167</definedName>
    <definedName name="calcfhybgazvpc">'EDCM - Transport'!$H$81:$AH$81</definedName>
    <definedName name="capvp">Transport!$H$23:$AH$23</definedName>
    <definedName name="rdmpyr">Energy!$H$17:$AH$17</definedName>
    <definedName name="prodomcms">Energy!$H$7:$AH$7</definedName>
    <definedName name="lqfcfmob">Transport!$H$162:$AH$162</definedName>
    <definedName name="cselelgt">Residential!$H$175:$AH$175</definedName>
    <definedName name="TruTrafficTkm">Transport!$H$198:$AH$202</definedName>
    <definedName name="rdmrchpac">Energy!$H$161:$AH$161</definedName>
    <definedName name="eeairpkm">Transport!$H$141:$AH$141</definedName>
    <definedName name="calkmvhybgzlvpc">'EDCM - Transport'!$H$69:$AH$69</definedName>
    <definedName name="ipiacbxx">Industry!$H$18:$AH$18</definedName>
    <definedName name="vapcfens">Industry!$H$109:$AH$109</definedName>
    <definedName name="pkmbusngv">Transport!$H$43:$AH$43</definedName>
    <definedName name="ReferenceYear">Names!$B$2</definedName>
    <definedName name="ccipkmfrewat">'EDCM - Transport'!$H$205:$AH$205</definedName>
    <definedName name="surternfcap">Tertiary!$H$13:$AH$13</definedName>
    <definedName name="enccfresecs">Residential!$H$127:$AH$127</definedName>
    <definedName name="pkmvpcgpl">Transport!$H$26:$AH$26</definedName>
    <definedName name="calcflqfmobavi">'EDCM - Transport'!$H$125:$AH$125</definedName>
    <definedName name="elccfterooe">Tertiary!$H$155:$AH$155</definedName>
    <definedName name="prbrchpet">Energy!$H$152:$AH$152</definedName>
    <definedName name="ceereschfpet">Residential!$H$51:$AH$51</definedName>
    <definedName name="LCVTrafficVkm">Transport!$H$187:$AH$194</definedName>
    <definedName name="prbelcchpcms">Energy!$H$69:$AH$69</definedName>
    <definedName name="calvapcfres">'EDCM - Residential'!$H$130:$AH$130</definedName>
    <definedName name="petcfresecs">Residential!$H$128:$AH$128</definedName>
    <definedName name="vapcfrescli">Residential!$H$99:$AH$99</definedName>
    <definedName name="trvcumres">Residential!$H$33:$AH$33</definedName>
    <definedName name="sthcfter">Tertiary!$H$203:$AH$203</definedName>
    <definedName name="mrtrch16">Parameters!$H$26</definedName>
    <definedName name="vkmvlrlqf">Transport!$H$187:$AH$187</definedName>
    <definedName name="caltoccurescli">'EDCM - Residential'!$H$58:$AH$58</definedName>
    <definedName name="solghgch4oth">'AFOLUB (Solagro figures)'!$H$39:$AH$39</definedName>
    <definedName name="tkmcamgpl">Transport!$H$199:$AH$199</definedName>
    <definedName name="eeflvtkmd">Transport!$H$275:$AH$275</definedName>
    <definedName name="enccfind">Industry!$H$72:$AH$72</definedName>
    <definedName name="vkmvlrhyd">Transport!$H$190:$AH$190</definedName>
    <definedName name="csbuslqf">Transport!$H$106:$AH$106</definedName>
    <definedName name="ngvcffrewatd">Transport!$H$280:$AH$280</definedName>
    <definedName name="calcskhydbus">'EDCM - Transport'!$H$101:$AH$101</definedName>
    <definedName name="cseterooe">Tertiary!$H$153:$AH$153</definedName>
    <definedName name="rdmrchcms">Energy!$H$156:$AH$156</definedName>
    <definedName name="calcsklqfmot">'EDCM - Transport'!$H$88:$AH$88</definedName>
    <definedName name="csvpclqf">Transport!$H$93:$AH$93</definedName>
    <definedName name="prbvapchpgaz">Energy!$H$81:$AH$81</definedName>
    <definedName name="toccfmob">Transport!$H$161:$AH$161</definedName>
    <definedName name="csbusele">Transport!$H$110:$AH$110</definedName>
    <definedName name="solfephcf">'AFOLUB (Solagro figures)'!$H$18:$AH$18</definedName>
    <definedName name="lqfcffrewati">Transport!$H$281:$AH$281</definedName>
    <definedName name="pcngvfertkm">Transport!$H$254:$AH$254</definedName>
    <definedName name="ipimnmxx">Industry!$H$21:$AH$21</definedName>
    <definedName name="vkmvlrgpl">Transport!$H$188:$AH$188</definedName>
    <definedName name="prbrchind">Energy!$H$139:$AH$139</definedName>
    <definedName name="crdpkmint">'EDCM - Transport'!$H$116:$AH$116</definedName>
    <definedName name="pertraelc">Energy!$H$127:$AH$127</definedName>
    <definedName name="surterchfpac">Tertiary!$H$42:$AH$42</definedName>
    <definedName name="totsurlpn">Residential!$H$21:$AH$21</definedName>
    <definedName name="eelpr">Residential!$H$29:$AH$29</definedName>
    <definedName name="cmscfreschf">Residential!$H$71:$AH$71</definedName>
    <definedName name="ghgwstnes">Macro!$H$11:$AH$11</definedName>
    <definedName name="boicfterchf">Tertiary!$H$68:$AH$68</definedName>
    <definedName name="gazcfterecs">Tertiary!$H$124:$AH$124</definedName>
    <definedName name="caltoccfterchf">'EDCM - Tertiary'!$H$13:$AH$13</definedName>
    <definedName name="toccfind">Industry!$H$52:$AH$52</definedName>
    <definedName name="CarTrafficStockNew">Transport!$H$68:$AH$74</definedName>
    <definedName name="caieon">Energy!$H$28:$AH$28</definedName>
    <definedName name="calhydcftra">'EDCM - Transport'!$H$231:$AH$231</definedName>
    <definedName name="totsurlog">Residential!$H$7:$AH$7</definedName>
    <definedName name="calnbrcamgzl">'EDCM - Transport'!$H$178:$AH$178</definedName>
    <definedName name="calcuterrvchf">'EDCM - Tertiary'!$H$9:$AH$9</definedName>
    <definedName name="hydcfrou">Transport!$H$241:$AH$241</definedName>
    <definedName name="vkmvlrngv">Transport!$H$189:$AH$189</definedName>
    <definedName name="trpcamabs">Transport!$H$197:$AH$197</definedName>
    <definedName name="mrtrch15">Parameters!$H$25</definedName>
    <definedName name="prohydmet">Energy!$H$117:$AH$117</definedName>
    <definedName name="ProspectiveYears">Names!$B$5:$AB$5</definedName>
    <definedName name="cutocver">Industry!$H$45:$AH$45</definedName>
    <definedName name="kmvbus">Transport!$H$53:$AH$53</definedName>
    <definedName name="csvpcngv">Transport!$H$97:$AH$97</definedName>
    <definedName name="rdmrchgaz">Energy!$H$150:$AH$150</definedName>
    <definedName name="petcfrescui">Residential!$H$150:$AH$150</definedName>
    <definedName name="ceeterite">Tertiary!$H$150:$AH$150</definedName>
    <definedName name="recalelccffre">'EDCM - Transport'!$H$223:$AH$223</definedName>
    <definedName name="prmcenvpchyd">'EDCM - Transport'!$H$31</definedName>
    <definedName name="ceeterooe">Tertiary!$H$154:$AH$154</definedName>
    <definedName name="elccftercol">Tertiary!$H$175:$AH$175</definedName>
    <definedName name="pkmvpchybgaz">Transport!$H$32:$AH$32</definedName>
    <definedName name="nbrvpcess">Transport!$H$57:$AH$57</definedName>
    <definedName name="solghgco2luffor">'AFOLUB (Solagro figures)'!$H$51:$AH$51</definedName>
    <definedName name="rdmmet">Energy!$H$118:$AH$118</definedName>
    <definedName name="tkmflv">Transport!$H$267:$AH$267</definedName>
    <definedName name="prbrchepu">Energy!$H$138:$AH$138</definedName>
    <definedName name="pchydfertkm">Transport!$H$255:$AH$255</definedName>
    <definedName name="proelcnuc">Energy!$H$47:$AH$47</definedName>
    <definedName name="calcsklqfcam">'EDCM - Transport'!$H$185:$AH$185</definedName>
    <definedName name="calhydcfrou">Transport!$H$247:$AH$247</definedName>
    <definedName name="eelex">Residential!$H$30:$AH$30</definedName>
    <definedName name="elccftertcs">Tertiary!$H$165:$AH$165</definedName>
    <definedName name="pcelcferpkm">Transport!$H$125:$AH$125</definedName>
    <definedName name="toccfreschc">Residential!$H$70:$AH$70</definedName>
    <definedName name="prbrchcms">Energy!$H$155:$AH$155</definedName>
    <definedName name="proelcpet">Energy!$H$53:$AH$53</definedName>
    <definedName name="solfepfow">'AFOLUB (Solagro figures)'!$H$14:$AH$14</definedName>
    <definedName name="vapcftercli">Tertiary!$H$94:$AH$94</definedName>
    <definedName name="elccfterite">Tertiary!$H$151:$AH$151</definedName>
    <definedName name="prodompet">Energy!$H$8:$AH$8</definedName>
    <definedName name="calsurterexnr">'EDCM - Tertiary'!$H$4:$AH$4</definedName>
    <definedName name="solfepres">'AFOLUB (Solagro figures)'!$H$16:$AH$16</definedName>
    <definedName name="toccfrescli">Residential!$H$97:$AH$97</definedName>
    <definedName name="prdacboxy">Industry!$H$10:$AH$10</definedName>
    <definedName name="caieof">Energy!$H$32:$AH$32</definedName>
    <definedName name="rprohydmetproel">Energy!$H$111:$AH$111</definedName>
    <definedName name="gazcfreschf">Residential!$H$74:$AH$74</definedName>
    <definedName name="csvlrgpl">Transport!$H$226:$AH$226</definedName>
    <definedName name="pkmbusgpl">Transport!$H$42:$AH$42</definedName>
    <definedName name="nbrvlrgzl">Transport!$H$213:$AH$213</definedName>
    <definedName name="calcureslpncli">'EDCM - Residential'!$H$57:$AH$57</definedName>
    <definedName name="calcfelehybvpc">'EDCM - Transport'!$H$82:$AH$82</definedName>
    <definedName name="calcflqfmot">'EDCM - Transport'!$H$92:$AH$92</definedName>
    <definedName name="perresgaz">Energy!$H$132:$AH$132</definedName>
    <definedName name="nbrvlrele">Transport!$H$217:$AH$217</definedName>
    <definedName name="recalhydcfmob">'EDCM - Transport'!$H$139:$AH$139</definedName>
    <definedName name="calcfhydvpc">'EDCM - Transport'!$H$77:$AH$77</definedName>
    <definedName name="cfmlexcli">Residential!$H$88:$AH$88</definedName>
    <definedName name="vapcfterchf">Tertiary!$H$72:$AH$72</definedName>
    <definedName name="enccfens">Industry!$H$105:$AH$105</definedName>
    <definedName name="cfof2030">Parameters!$H$6</definedName>
    <definedName name="gazcfrescui">Residential!$H$151:$AH$151</definedName>
    <definedName name="prbelcchppet">Energy!$H$74:$AH$74</definedName>
    <definedName name="calcflqfvlr">'EDCM - Transport'!$H$161:$AH$161</definedName>
    <definedName name="solghgch4luffor">'AFOLUB (Solagro figures)'!$H$55:$AH$55</definedName>
    <definedName name="sthcftercli">Tertiary!$H$95:$AH$95</definedName>
    <definedName name="solprodomabs">'AFOLUB (Solagro figures)'!$H$12:$AH$12</definedName>
    <definedName name="vapcfterecs">Tertiary!$H$126:$AH$126</definedName>
    <definedName name="caltoccftercli">'EDCM - Tertiary'!$H$55:$AH$55</definedName>
    <definedName name="elccfagr">Agriculture!$H$96:$AH$96</definedName>
    <definedName name="petcfind">Industry!$H$73:$AH$73</definedName>
    <definedName name="pkmvpchyd">Transport!$H$28:$AH$28</definedName>
    <definedName name="calcskhybessvlr">'EDCM - Transport'!$H$156:$AH$156</definedName>
    <definedName name="crdmstvlr">'EDCM - Transport'!$H$149:$AH$149</definedName>
    <definedName name="toccftra">Transport!$H$312:$AH$312</definedName>
    <definedName name="surterchfpet">Tertiary!$H$38:$AH$38</definedName>
    <definedName name="teqscl">Residential!$H$169:$AH$169</definedName>
    <definedName name="BusTrafficStock">Transport!$H$82:$AH$87</definedName>
    <definedName name="prdacbele">Industry!$H$11:$AH$11</definedName>
    <definedName name="sthcfind">Industry!$H$80:$AH$80</definedName>
    <definedName name="mrtrch3">Parameters!$H$13</definedName>
    <definedName name="prbrchfat">Energy!$H$137:$AH$137</definedName>
    <definedName name="ghgmnfnes">Industry!$H$94:$AH$94</definedName>
    <definedName name="calcureslrvchf">'EDCM - Residential'!$H$12:$AH$12</definedName>
    <definedName name="calcflqfmobfer">'EDCM - Transport'!$H$111:$AH$111</definedName>
    <definedName name="prodomgaz">Energy!$H$9:$AH$9</definedName>
    <definedName name="solghgn2osoi">'AFOLUB (Solagro figures)'!$H$43:$AH$43</definedName>
    <definedName name="gazcfneind">Industry!$H$85:$AH$85</definedName>
    <definedName name="ceereschfboi">Residential!$H$50:$AH$50</definedName>
    <definedName name="toccffrewat">Transport!$H$278:$AH$278</definedName>
    <definedName name="solghgn2ooth">'AFOLUB (Solagro figures)'!$H$44:$AH$44</definedName>
    <definedName name="caltoccureschf">'EDCM - Residential'!$H$14:$AH$14</definedName>
    <definedName name="calcflqffrewati">'EDCM - Transport'!$H$209:$AH$209</definedName>
    <definedName name="ceeterchfvap">Tertiary!$H$50:$AH$50</definedName>
    <definedName name="prbrchsth">Energy!$H$158:$AH$158</definedName>
    <definedName name="pkmavi">Transport!$H$137:$AH$137</definedName>
    <definedName name="sthcfres">Residential!$H$220:$AH$220</definedName>
    <definedName name="cmscftercui">Tertiary!$H$137:$AH$137</definedName>
    <definedName name="ghgsid1nes">Industry!$H$90:$AH$90</definedName>
    <definedName name="prohyd">Energy!$H$113:$AH$113</definedName>
    <definedName name="elevpchyb">Transport!$H$100:$AH$100</definedName>
    <definedName name="recallqfcffre">'EDCM - Transport'!$H$220:$AH$220</definedName>
    <definedName name="calcmscfreschf">'EDCM - Residential'!$H$17:$AH$17</definedName>
    <definedName name="nbrlprcms">Residential!$H$40:$AH$40</definedName>
    <definedName name="vkmvlrhybgaz">Transport!$H$194:$AH$194</definedName>
    <definedName name="cscamngv">Transport!$H$234:$AH$234</definedName>
    <definedName name="prbrchgeo">Energy!$H$144:$AH$144</definedName>
    <definedName name="calcfhydcam">'EDCM - Transport'!$H$195:$AH$195</definedName>
    <definedName name="solghgch4agr">'AFOLUB (Solagro figures)'!$H$36:$AH$36</definedName>
    <definedName name="calpetcfter">'EDCM - Tertiary'!$H$92:$AH$92</definedName>
    <definedName name="rdmvapchppet">Energy!$H$77:$AH$77</definedName>
    <definedName name="calcfgplcam">'EDCM - Transport'!$H$193:$AH$193</definedName>
    <definedName name="calcfelecam">'EDCM - Transport'!$H$196:$AH$196</definedName>
    <definedName name="soltneghgagrnes">'AFOLUB (Solagro figures)'!$H$68:$AH$68</definedName>
    <definedName name="calgazcfter">'EDCM - Tertiary'!$H$93:$AH$93</definedName>
    <definedName name="cseleite">Residential!$H$183:$AH$183</definedName>
    <definedName name="crdclntercli">'EDCM - Tertiary'!$H$48:$AH$48</definedName>
    <definedName name="edcmterpartner">'EDCM - TOTAL'!$F$49</definedName>
    <definedName name="CarTrafficDist">Transport!$H$48:$AH$50</definedName>
    <definedName name="crdclnrescli">'EDCM - Residential'!$H$51:$AH$51</definedName>
    <definedName name="elccfrescui">Residential!$H$152:$AH$152</definedName>
    <definedName name="calcskngvbus">'EDCM - Transport'!$H$100:$AH$100</definedName>
    <definedName name="soltoccfagr">'AFOLUB (Solagro figures)'!$H$23:$AH$23</definedName>
    <definedName name="cscamhyd">Transport!$H$235:$AH$235</definedName>
    <definedName name="prbvapchppet">Energy!$H$76:$AH$76</definedName>
    <definedName name="rdmelcchppet">Energy!$H$75:$AH$75</definedName>
    <definedName name="nbrmotele">Transport!$H$79:$AH$79</definedName>
    <definedName name="cmscfres">Residential!$H$213:$AH$213</definedName>
    <definedName name="elccftercui">Tertiary!$H$141:$AH$141</definedName>
    <definedName name="elccfterbmg">Tertiary!$H$147:$AH$147</definedName>
    <definedName name="calcfgzlvlr">'EDCM - Transport'!$H$163:$AH$163</definedName>
    <definedName name="gazcffre">Transport!$H$293:$AH$293</definedName>
    <definedName name="pcngvwattkm">Transport!$H$273:$AH$273</definedName>
    <definedName name="calcfhydfrefer">'EDCM - Transport'!$H$201:$AH$201</definedName>
    <definedName name="calcuterrvcli">'EDCM - Tertiary'!$H$51:$AH$51</definedName>
    <definedName name="pkmbuslqf">Transport!$H$41:$AH$41</definedName>
    <definedName name="prohydcl">Energy!$H$120:$AH$120</definedName>
    <definedName name="crdaliterchf">'EDCM - Tertiary'!$H$45</definedName>
    <definedName name="proelcgaz">Energy!$H$56:$AH$56</definedName>
    <definedName name="nbrvlrhyd">Transport!$H$216:$AH$216</definedName>
    <definedName name="toccfterecs">Tertiary!$H$120:$AH$120</definedName>
    <definedName name="calcflqfmobwat">'EDCM - Transport'!$H$127:$AH$127</definedName>
    <definedName name="pcngvferpkm">Transport!$H$123:$AH$123</definedName>
    <definedName name="callqfcffre">'EDCM - Transport'!$H$214:$AH$214</definedName>
    <definedName name="elccfresbmg">Residential!$H$199:$AH$199</definedName>
    <definedName name="caltoccutercli">'EDCM - Tertiary'!$H$53:$AH$53</definedName>
    <definedName name="ceeterchfpet">Tertiary!$H$47:$AH$47</definedName>
    <definedName name="rdmrchinc">Energy!$H$142:$AH$142</definedName>
    <definedName name="csbusgpl">Transport!$H$107:$AH$107</definedName>
    <definedName name="petcfterchf">Tertiary!$H$69:$AH$69</definedName>
    <definedName name="ceeterplg">Tertiary!$H$162:$AH$162</definedName>
    <definedName name="tghgenes">Macro!$H$8:$AH$8</definedName>
    <definedName name="elccftra">Transport!$H$316:$AH$316</definedName>
    <definedName name="calcsklqfvlr">'EDCM - Transport'!$H$151:$AH$151</definedName>
    <definedName name="calgazcfterchf">'EDCM - Tertiary'!$H$17:$AH$17</definedName>
    <definedName name="crdalirescli">'EDCM - Residential'!$H$62</definedName>
    <definedName name="promet">Energy!$H$16:$AH$16</definedName>
    <definedName name="mrtrch10">Parameters!$H$20</definedName>
    <definedName name="pkmbusele">Transport!$H$45:$AH$45</definedName>
    <definedName name="tkmflvint">Transport!$H$270:$AH$270</definedName>
    <definedName name="calkmvhybgazvpc">'EDCM - Transport'!$H$70:$AH$70</definedName>
    <definedName name="MotTrafficPkm">Transport!$H$34:$AH$37</definedName>
    <definedName name="calcfelefrefer">'EDCM - Transport'!$H$202:$AH$202</definedName>
    <definedName name="calhydcfmob">'EDCM - Transport'!$H$133:$AH$133</definedName>
    <definedName name="crdmstmot">'EDCM - Transport'!$H$85:$AH$85</definedName>
    <definedName name="vapcfter">Tertiary!$H$201:$AH$201</definedName>
    <definedName name="csereschfsth">Residential!$H$56:$AH$56</definedName>
    <definedName name="cutocacboxy">Industry!$H$41:$AH$41</definedName>
    <definedName name="calcuterexchf">'EDCM - Tertiary'!$H$8:$AH$8</definedName>
    <definedName name="trvcumter">Tertiary!$H$30:$AH$30</definedName>
    <definedName name="calelccfrou">Transport!$H$248:$AH$248</definedName>
    <definedName name="calcfhybessvpc">'EDCM - Transport'!$H$79:$AH$79</definedName>
    <definedName name="calpetcfterchf">'EDCM - Tertiary'!$H$16:$AH$16</definedName>
    <definedName name="calcsklqfbus">'EDCM - Transport'!$H$98:$AH$98</definedName>
    <definedName name="proght">Energy!$H$42:$AH$42</definedName>
    <definedName name="dumrestvs">Residential!$H$161:$AH$161</definedName>
    <definedName name="hydcftra">Transport!$H$315:$AH$315</definedName>
    <definedName name="edcmtrapartner">'EDCM - TOTAL'!$F$94</definedName>
    <definedName name="solprodomboi">'AFOLUB (Solagro figures)'!$H$6:$AH$6</definedName>
    <definedName name="prmcebvpcgpl">'EDCM - Transport'!$H$27</definedName>
    <definedName name="calvapcfrescli">'EDCM - Residential'!$H$65:$AH$65</definedName>
    <definedName name="calsthcfreschf">'EDCM - Residential'!$H$24:$AH$24</definedName>
    <definedName name="cseleoea">Residential!$H$184:$AH$184</definedName>
    <definedName name="toccftercli">Tertiary!$H$92:$AH$92</definedName>
    <definedName name="elccftercli">Tertiary!$H$93:$AH$93</definedName>
    <definedName name="prdmnm">Industry!$H$12:$AH$12</definedName>
    <definedName name="rdmelcchpgeo">Energy!$H$100:$AH$100</definedName>
    <definedName name="cseterbmg">Tertiary!$H$145:$AH$145</definedName>
    <definedName name="cpof2030">Parameters!$H$7</definedName>
    <definedName name="calcfhybessvlr">'EDCM - Transport'!$H$168:$AH$168</definedName>
    <definedName name="tkmcamhyd">Transport!$H$201:$AH$201</definedName>
    <definedName name="proeon">Energy!$H$27:$AH$27</definedName>
    <definedName name="calcsklqfvpc">'EDCM - Transport'!$H$49:$AH$49</definedName>
    <definedName name="toccfsid1">Industry!$H$55:$AH$55</definedName>
    <definedName name="nbrvpchyd">Transport!$H$61:$AH$61</definedName>
    <definedName name="pcenrcfcltra">Transport!$H$317:$AH$317</definedName>
    <definedName name="psulnotoccfres">Residential!$H$13:$AH$13</definedName>
    <definedName name="calelccfreschf">'EDCM - Residential'!$H$21:$AH$21</definedName>
    <definedName name="calsthcfres">'EDCM - Residential'!$H$132:$AH$132</definedName>
    <definedName name="solenccfagr">'AFOLUB (Solagro figures)'!$H$25:$AH$25</definedName>
    <definedName name="calcskessvpc">'EDCM - Transport'!$H$50:$AH$50</definedName>
    <definedName name="ceeterchfgaz">Tertiary!$H$48:$AH$48</definedName>
    <definedName name="sthcfagr">Agriculture!$H$97:$AH$97</definedName>
    <definedName name="csvpcele">Transport!$H$99:$AH$99</definedName>
    <definedName name="gazcfens">Industry!$H$107:$AH$107</definedName>
    <definedName name="calelecfressma">'EDCM - Residential'!$H$111:$AH$111</definedName>
    <definedName name="caltoccfreschf">'EDCM - Residential'!$H$16:$AH$16</definedName>
    <definedName name="csvpcess">Transport!$H$94:$AH$94</definedName>
    <definedName name="lqfcffrewatd">Transport!$H$279:$AH$279</definedName>
    <definedName name="caltoccfres">'EDCM - Residential'!$H$124:$AH$124</definedName>
    <definedName name="prmcebvpcess">'EDCM - Transport'!$H$9</definedName>
    <definedName name="solghgothluffor">'AFOLUB (Solagro figures)'!$H$63:$AH$63</definedName>
    <definedName name="sthcfterecs">Tertiary!$H$128:$AH$128</definedName>
    <definedName name="NoDis">'EDCM - Tertiary'!$H$48</definedName>
    <definedName name="cselelvl">Residential!$H$179:$AH$179</definedName>
    <definedName name="cutocsurchc">Residential!$H$28:$AH$28</definedName>
    <definedName name="toccfterchf">Tertiary!$H$65:$AH$65</definedName>
    <definedName name="cfterchfcap">Tertiary!$H$63:$AH$63</definedName>
    <definedName name="solghgch4enf">'AFOLUB (Solagro figures)'!$H$37:$AH$37</definedName>
    <definedName name="prmcenvpclqf">'EDCM - Transport'!$H$22</definedName>
    <definedName name="sthcfresecs">Residential!$H$133:$AH$133</definedName>
    <definedName name="MotTrafficStock">Transport!$H$77:$AH$79</definedName>
    <definedName name="solfepslm">'AFOLUB (Solagro figures)'!$H$15:$AH$15</definedName>
    <definedName name="calcfelevpc">'EDCM - Transport'!$H$78:$AH$78</definedName>
    <definedName name="calcfngvfrefer">'EDCM - Transport'!$H$200:$AH$200</definedName>
    <definedName name="calenccfterchf">'EDCM - Tertiary'!$H$15:$AH$15</definedName>
    <definedName name="recalgazcffre">'EDCM - Transport'!$H$221:$AH$221</definedName>
    <definedName name="pclqfferpkm">Transport!$H$122:$AH$122</definedName>
    <definedName name="gazcfterchf">Tertiary!$H$70:$AH$70</definedName>
    <definedName name="hydcffre">Transport!$H$294:$AH$294</definedName>
    <definedName name="crdlgt">'EDCM - Residential'!$H$91:$AH$91</definedName>
    <definedName name="nbrcam">Transport!$H$222:$AH$222</definedName>
    <definedName name="solghgch4lma">'AFOLUB (Solagro figures)'!$H$38:$AH$38</definedName>
    <definedName name="nbrbusele">Transport!$H$87:$AH$87</definedName>
    <definedName name="cutoccim">Industry!$H$44:$AH$44</definedName>
    <definedName name="lqfcfrou">Transport!$H$239:$AH$239</definedName>
    <definedName name="prohydgaz">Energy!$H$173:$AH$173</definedName>
    <definedName name="mrtrch1">Parameters!$H$11</definedName>
    <definedName name="LCVTrafficStock">Transport!$H$212:$AH$220</definedName>
    <definedName name="fchspv">Energy!$H$24:$AH$24</definedName>
    <definedName name="calcskgplcam">'EDCM - Transport'!$H$186:$AH$186</definedName>
    <definedName name="dumreslgt">Residential!$H$157:$AH$157</definedName>
    <definedName name="calcskelehybvpc">'EDCM - Transport'!$H$59:$AH$59</definedName>
    <definedName name="nbrlprele">Residential!$H$44:$AH$44</definedName>
    <definedName name="surternf">Tertiary!$H$12:$AH$12</definedName>
    <definedName name="petcfagr">Agriculture!$H$94:$AH$94</definedName>
    <definedName name="petcftercui">Tertiary!$H$139:$AH$139</definedName>
    <definedName name="prbrchinc">Energy!$H$141:$AH$141</definedName>
    <definedName name="calelccftertcs">'EDCM - Tertiary'!$H$84:$AH$84</definedName>
    <definedName name="calnbrcamngv">'EDCM - Transport'!$H$181:$AH$181</definedName>
    <definedName name="calelccfres">'EDCM - Residential'!$H$129:$AH$129</definedName>
    <definedName name="calcskelehybvlr">'EDCM - Transport'!$H$159:$AH$159</definedName>
    <definedName name="pkmfer">Transport!$H$119:$AH$119</definedName>
    <definedName name="prbrchgaz">Energy!$H$149:$AH$149</definedName>
    <definedName name="elccfterplg">Tertiary!$H$163:$AH$163</definedName>
    <definedName name="calcureslexcli">'EDCM - Residential'!$H$55:$AH$55</definedName>
    <definedName name="cselelvv">Residential!$H$180:$AH$180</definedName>
    <definedName name="calkmvngvvpc">'EDCM - Transport'!$H$65:$AH$65</definedName>
    <definedName name="recalhydcffre">'EDCM - Transport'!$H$222:$AH$222</definedName>
    <definedName name="petcfneind">Industry!$H$86:$AH$86</definedName>
    <definedName name="pchydferpkm">Transport!$H$124:$AH$124</definedName>
    <definedName name="dumresite">Residential!$H$162:$AH$162</definedName>
    <definedName name="calvapcfter">'EDCM - Tertiary'!$H$95:$AH$95</definedName>
    <definedName name="perrescha">Energy!$H$166:$AH$166</definedName>
    <definedName name="rdmhydcl">Energy!$H$121:$AH$121</definedName>
    <definedName name="calcskgplbus">'EDCM - Transport'!$H$99:$AH$99</definedName>
    <definedName name="solghgn2olufnfo">'AFOLUB (Solagro figures)'!$H$60:$AH$60</definedName>
    <definedName name="pcelcfertkm">Transport!$H$256:$AH$256</definedName>
    <definedName name="solcmscfagr">'AFOLUB (Solagro figures)'!$H$24:$AH$24</definedName>
    <definedName name="ipipapxx">Industry!$H$30:$AH$30</definedName>
    <definedName name="calcskhydvlr">'EDCM - Transport'!$H$154:$AH$154</definedName>
    <definedName name="edcmagrpartner">'EDCM - TOTAL'!$F$148</definedName>
    <definedName name="nbrlprgaz">Residential!$H$43:$AH$43</definedName>
    <definedName name="teqclilpn">Residential!$H$84:$AH$84</definedName>
    <definedName name="nbrvpcgpl">Transport!$H$59:$AH$59</definedName>
    <definedName name="teqite">Residential!$H$171:$AH$171</definedName>
    <definedName name="CarTrafficStock">Transport!$H$57:$AH$65</definedName>
    <definedName name="rdmrchpet">Energy!$H$153:$AH$153</definedName>
    <definedName name="perdiselc">Energy!$H$128:$AH$128</definedName>
    <definedName name="solelccfagr">'AFOLUB (Solagro figures)'!$H$28:$AH$28</definedName>
    <definedName name="lqfcffre">Transport!$H$292:$AH$292</definedName>
    <definedName name="calcfelebus">'EDCM - Transport'!$H$108:$AH$108</definedName>
    <definedName name="mrtrch7">Parameters!$H$17</definedName>
    <definedName name="toccfiaa">Industry!$H$68:$AH$68</definedName>
    <definedName name="rdmels">Energy!$H$115:$AH$115</definedName>
    <definedName name="pkmvpcngv">Transport!$H$27:$AH$27</definedName>
    <definedName name="ghgcimnes">Industry!$H$92:$AH$92</definedName>
    <definedName name="rdmvapchpbgl">Energy!$H$87:$AH$87</definedName>
    <definedName name="teqclilrv">Residential!$H$83:$AH$83</definedName>
    <definedName name="calcfelevlr">'EDCM - Transport'!$H$167:$AH$167</definedName>
    <definedName name="calkmvgplvpc">'EDCM - Transport'!$H$64:$AH$64</definedName>
    <definedName name="pkmwat">Transport!$H$154:$AH$154</definedName>
    <definedName name="cutocppp">Industry!$H$49:$AH$49</definedName>
    <definedName name="calpaccfreschf">'EDCM - Residential'!$H$23:$AH$23</definedName>
    <definedName name="crdeereschf">'EDCM - Residential'!$H$9:$AH$9</definedName>
    <definedName name="teqterclirv">Tertiary!$H$79:$AH$79</definedName>
    <definedName name="caltoccffrefer">Transport!$H$260:$AH$260</definedName>
    <definedName name="crdalitercli">'EDCM - Tertiary'!$H$57</definedName>
    <definedName name="lumreslvv">Residential!$H$159:$AH$159</definedName>
    <definedName name="teqrfg">Residential!$H$165:$AH$165</definedName>
    <definedName name="prbelcchpbgl">Energy!$H$84:$AH$84</definedName>
    <definedName name="ceereschfpac">Residential!$H$55:$AH$55</definedName>
    <definedName name="eelrv">Residential!$H$31:$AH$31</definedName>
    <definedName name="calcflqffrewatd">'EDCM - Transport'!$H$207:$AH$207</definedName>
    <definedName name="rdmelcchpboi">Energy!$H$90:$AH$90</definedName>
    <definedName name="rdmelcpet">Energy!$H$54:$AH$54</definedName>
    <definedName name="ngvcffrewati">Transport!$H$282:$AH$282</definedName>
    <definedName name="calcflqfmobavd">'EDCM - Transport'!$H$124:$AH$124</definedName>
    <definedName name="mrtrch14">Parameters!$H$24</definedName>
    <definedName name="nbrvlrgpl">Transport!$H$214:$AH$214</definedName>
    <definedName name="prospv">Energy!$H$22:$AH$22</definedName>
    <definedName name="caispv">Energy!$H$23:$AH$23</definedName>
    <definedName name="caltoccfrou">Transport!$H$244:$AH$244</definedName>
    <definedName name="elcvlrhyb">Transport!$H$230:$AH$230</definedName>
    <definedName name="vkmvlrhybgzl">Transport!$H$193:$AH$193</definedName>
    <definedName name="calcfhydvlr">'EDCM - Transport'!$H$166:$AH$166</definedName>
    <definedName name="solproimptbs">'AFOLUB (Solagro figures)'!$H$7:$AH$7</definedName>
    <definedName name="calsurterexrv">'EDCM - Tertiary'!$H$5:$AH$5</definedName>
    <definedName name="cmscfterchf">Tertiary!$H$67:$AH$67</definedName>
    <definedName name="solghgothluf">'AFOLUB (Solagro figures)'!$H$62:$AH$62</definedName>
    <definedName name="CarTrafficPkm">Transport!$H$25:$AH$32</definedName>
    <definedName name="elccfreslgt">Residential!$H$192:$AH$192</definedName>
    <definedName name="calsthcfrescli">'EDCM - Residential'!$H$66:$AH$66</definedName>
    <definedName name="kmvmot">Transport!$H$52:$AH$52</definedName>
    <definedName name="petcfreschf">Residential!$H$73:$AH$73</definedName>
    <definedName name="ceetercui">Tertiary!$H$134:$AH$134</definedName>
    <definedName name="lqfcfavi">Transport!$H$147:$AH$147</definedName>
    <definedName name="crdsma">'EDCM - Residential'!$H$106:$AH$106</definedName>
    <definedName name="boicfterecs">Tertiary!$H$122:$AH$122</definedName>
    <definedName name="toccfrescui">Residential!$H$147:$AH$147</definedName>
    <definedName name="cscamgpl">Transport!$H$233:$AH$233</definedName>
    <definedName name="prmcebvpchyd">'EDCM - Transport'!$H$30</definedName>
    <definedName name="solghgco2agr">'AFOLUB (Solagro figures)'!$H$32:$AH$32</definedName>
    <definedName name="ges1990_">Parameters!$H$8</definedName>
    <definedName name="nbrmotlqf">Transport!$H$77:$AH$77</definedName>
    <definedName name="cseterite">Tertiary!$H$149:$AH$149</definedName>
    <definedName name="rdmsmr">Energy!$H$174:$AH$174</definedName>
    <definedName name="BusTrafficPkm">Transport!$H$41:$AH$45</definedName>
    <definedName name="toccfver">Industry!$H$60:$AH$60</definedName>
    <definedName name="ceeterlgt">Tertiary!$H$158:$AH$158</definedName>
    <definedName name="nbrvlrhybgzl">Transport!$H$219:$AH$219</definedName>
    <definedName name="calcfgplvpc">'EDCM - Transport'!$H$75:$AH$75</definedName>
    <definedName name="nbrcamvlress">Transport!$H$208:$AH$208</definedName>
    <definedName name="calenccfreschf">'EDCM - Residential'!$H$18:$AH$18</definedName>
    <definedName name="caienm">Energy!$H$36:$AH$36</definedName>
    <definedName name="rdmvapchpgeo">Energy!$H$102:$AH$102</definedName>
    <definedName name="prdver">Industry!$H$14:$AH$14</definedName>
    <definedName name="solghgn2oluf">'AFOLUB (Solagro figures)'!$H$58:$AH$58</definedName>
    <definedName name="nbrlpr">Residential!$H$12:$AH$12</definedName>
    <definedName name="men">Residential!$H$5:$AH$5</definedName>
    <definedName name="ceereschfgaz">Residential!$H$52:$AH$52</definedName>
    <definedName name="hydcfind">Industry!$H$77:$AH$77</definedName>
    <definedName name="elccffre">Transport!$H$295:$AH$295</definedName>
    <definedName name="calpaccfterchf">'EDCM - Tertiary'!$H$20:$AH$20</definedName>
    <definedName name="rcycmp">Industry!$H$33:$AH$33</definedName>
    <definedName name="ceeterchfpac">Tertiary!$H$51:$AH$51</definedName>
    <definedName name="calcmscfterchf">'EDCM - Tertiary'!$H$14:$AH$14</definedName>
    <definedName name="tkmcamngv">Transport!$H$200:$AH$200</definedName>
    <definedName name="gazcfagr">Agriculture!$H$95:$AH$95</definedName>
    <definedName name="sthcfterchf">Tertiary!$H$74:$AH$74</definedName>
    <definedName name="cutocamm">Industry!$H$46:$AH$46</definedName>
    <definedName name="cutochvc">Industry!$H$47:$AH$47</definedName>
    <definedName name="petcfter">Tertiary!$H$198:$AH$198</definedName>
    <definedName name="solfepoth">'AFOLUB (Solagro figures)'!$H$19:$AH$19</definedName>
    <definedName name="cfmterecs">Tertiary!$H$99:$AH$99</definedName>
    <definedName name="csetersve">Tertiary!$H$167:$AH$167</definedName>
    <definedName name="cscamele">Transport!$H$236:$AH$236</definedName>
    <definedName name="proelcwst">Energy!$H$62:$AH$62</definedName>
    <definedName name="solghgco2sif">'AFOLUB (Solagro figures)'!$H$33:$AH$33</definedName>
    <definedName name="elccfmob">Transport!$H$165:$AH$165</definedName>
    <definedName name="csvlrhyd">Transport!$H$228:$AH$228</definedName>
    <definedName name="fcheof">Energy!$H$33:$AH$33</definedName>
    <definedName name="prdacb">Industry!$H$9:$AH$9</definedName>
    <definedName name="calcmscfres">'EDCM - Residential'!$H$125:$AH$125</definedName>
    <definedName name="calcuternfchf">'EDCM - Tertiary'!$H$10:$AH$10</definedName>
    <definedName name="rdmvapchpgaz">Energy!$H$82:$AH$82</definedName>
    <definedName name="cfmtercli">Tertiary!$H$82:$AH$82</definedName>
    <definedName name="toccfotc">Industry!$H$64:$AH$64</definedName>
    <definedName name="toccfmnf">Industry!$H$65:$AH$65</definedName>
    <definedName name="teqlvv">Residential!$H$168:$AH$168</definedName>
    <definedName name="recalelccfmob">'EDCM - Transport'!$H$140:$AH$140</definedName>
    <definedName name="petcfens">Industry!$H$106:$AH$106</definedName>
    <definedName name="prmcenvpcngv">'EDCM - Transport'!$H$36</definedName>
    <definedName name="toccfres">Residential!$H$212:$AH$212</definedName>
    <definedName name="tkmcamele">Transport!$H$202:$AH$202</definedName>
    <definedName name="toccfchi">Industry!$H$61:$AH$61</definedName>
    <definedName name="prdcim">Industry!$H$13:$AH$13</definedName>
    <definedName name="calkmvhydvpc">'EDCM - Transport'!$H$66:$AH$66</definedName>
    <definedName name="elecfterels">Tertiary!$H$182:$AH$182</definedName>
    <definedName name="crdpkmfrewatint">'EDCM - Transport'!$H$204:$AH$204</definedName>
    <definedName name="pkmmotele">Transport!$H$37:$AH$37</definedName>
    <definedName name="calkmvlqfvpc">'EDCM - Transport'!$H$61:$AH$61</definedName>
    <definedName name="prbelcchpgaz">Energy!$H$79:$AH$79</definedName>
    <definedName name="calcfngvfrewati">'EDCM - Transport'!$H$210:$AH$210</definedName>
    <definedName name="solghgch4lufnfo">'AFOLUB (Solagro figures)'!$H$56:$AH$56</definedName>
    <definedName name="mrtrch13">Parameters!$H$23</definedName>
    <definedName name="callqfcftra">'EDCM - Transport'!$H$229:$AH$229</definedName>
    <definedName name="vapcfind">Industry!$H$76:$AH$76</definedName>
    <definedName name="eeairpkmd">Transport!$H$142:$AH$142</definedName>
    <definedName name="cfmterexcli">Tertiary!$H$83:$AH$83</definedName>
    <definedName name="nbrvpchybess">Transport!$H$63:$AH$63</definedName>
    <definedName name="cscamgzl">Transport!$H$232:$AH$232</definedName>
    <definedName name="calcfhydmobfer">'EDCM - Transport'!$H$113:$AH$113</definedName>
    <definedName name="nbrvpcgzl">Transport!$H$58:$AH$58</definedName>
    <definedName name="cmscfrescui">Residential!$H$148:$AH$148</definedName>
    <definedName name="mrtrch2">Parameters!$H$12</definedName>
    <definedName name="kmvcam">Transport!$H$205:$AH$205</definedName>
    <definedName name="calpetcfres">'EDCM - Residential'!$H$127:$AH$127</definedName>
    <definedName name="ipiacboxyxx">Industry!$H$19:$AH$19</definedName>
    <definedName name="gazcfrou">Transport!$H$240:$AH$240</definedName>
    <definedName name="calcfelemot">'EDCM - Transport'!$H$94:$AH$94</definedName>
    <definedName name="nbrcamvlr">Transport!$H$207:$AH$207</definedName>
    <definedName name="enccfrescui">Residential!$H$149:$AH$149</definedName>
    <definedName name="paccfagr">Agriculture!$H$99:$AH$99</definedName>
    <definedName name="nbrvlr">Transport!$H$211:$AH$211</definedName>
    <definedName name="teqterclinf">Tertiary!$H$80:$AH$80</definedName>
    <definedName name="calcskhybgzlvlr">'EDCM - Transport'!$H$157:$AH$157</definedName>
    <definedName name="nbrbusgzl">Transport!$H$83:$AH$83</definedName>
    <definedName name="elccfter">Tertiary!$H$200:$AH$200</definedName>
    <definedName name="crddisvpc">'EDCM - Transport'!$H$45:$AH$45</definedName>
    <definedName name="recaltoccfmob">'EDCM - Transport'!$H$136:$AH$136</definedName>
    <definedName name="edcmrespartner">'EDCM - TOTAL'!$F$4</definedName>
    <definedName name="calcskhydvpc">'EDCM - Transport'!$H$54:$AH$54</definedName>
    <definedName name="solghgothlufnfo">'AFOLUB (Solagro figures)'!$H$64:$AH$64</definedName>
    <definedName name="gazcftercui">Tertiary!$H$140:$AH$140</definedName>
    <definedName name="cmscfind">Industry!$H$71:$AH$71</definedName>
    <definedName name="eefertkm">Transport!$H$258:$AH$258</definedName>
    <definedName name="calcskhybgazvlr">'EDCM - Transport'!$H$158:$AH$158</definedName>
    <definedName name="calcskelevlr">'EDCM - Transport'!$H$155:$AH$155</definedName>
    <definedName name="rcymnf">Industry!$H$35:$AH$35</definedName>
    <definedName name="calcskhybgazvpc">'EDCM - Transport'!$H$58:$AH$58</definedName>
    <definedName name="paccfterchf">Tertiary!$H$73:$AH$73</definedName>
    <definedName name="ghgnmmnes">Industry!$H$91:$AH$91</definedName>
    <definedName name="calcskhybgzlvpc">'EDCM - Transport'!$H$57:$AH$57</definedName>
    <definedName name="fcheon">Energy!$H$29:$AH$29</definedName>
    <definedName name="pkmavd">Transport!$H$136:$AH$136</definedName>
    <definedName name="solghgn2oluffor">'AFOLUB (Solagro figures)'!$H$59:$AH$59</definedName>
    <definedName name="perreselc">Energy!$H$126:$AH$126</definedName>
    <definedName name="nbrlprsth">Residential!$H$47:$AH$47</definedName>
    <definedName name="calpaccfter">'EDCM - Tertiary'!$H$96:$AH$96</definedName>
    <definedName name="caleeairpkmd">'EDCM - Transport'!$H$121:$AH$121</definedName>
    <definedName name="rdmelcboi">Energy!$H$60:$AH$60</definedName>
    <definedName name="mrtrch9">Parameters!$H$19</definedName>
    <definedName name="pkmvpcele">Transport!$H$29:$AH$29</definedName>
    <definedName name="kmvvlr">Transport!$H$204:$AH$204</definedName>
    <definedName name="surtercap">Tertiary!$H$6:$AH$6</definedName>
    <definedName name="paccfres">Residential!$H$219:$AH$219</definedName>
    <definedName name="nbrvlrgna">Transport!$H$215:$AH$215</definedName>
    <definedName name="ccipkmavi">'EDCM - Transport'!$H$117:$AH$117</definedName>
    <definedName name="paccfterecs">Tertiary!$H$127:$AH$127</definedName>
    <definedName name="nbrbushyd">Transport!$H$86:$AH$86</definedName>
    <definedName name="rcyacb">Industry!$H$34:$AH$34</definedName>
    <definedName name="ceeterchfboi">Tertiary!$H$46:$AH$46</definedName>
    <definedName name="csbusngv">Transport!$H$108:$AH$108</definedName>
    <definedName name="calelccftercli">'EDCM - Tertiary'!$H$58:$AH$58</definedName>
    <definedName name="calgazcfres">'EDCM - Residential'!$H$128:$AH$128</definedName>
    <definedName name="ceetercli">Tertiary!$H$87:$AH$87</definedName>
    <definedName name="edcmbiopartner">'EDCM - TOTAL'!$F$159</definedName>
    <definedName name="caleeairpkmi">'EDCM - Transport'!$H$122:$AH$122</definedName>
    <definedName name="proboilqf">Energy!$H$18:$AH$18</definedName>
    <definedName name="calcfgplvlr">'EDCM - Transport'!$H$164:$AH$164</definedName>
    <definedName name="ccicfmdw">'EDCM - Residential'!$H$52:$AH$52</definedName>
    <definedName name="prmcenvpcgpl">'EDCM - Transport'!$H$28</definedName>
    <definedName name="ghgothnes">Macro!$H$12:$AH$12</definedName>
    <definedName name="pcspci">Parameters!$H$3</definedName>
    <definedName hidden="1" localSheetId="16" name="_xlnm._FilterDatabase">Industry!$A$1:$AM$159</definedName>
  </definedNames>
  <calcPr/>
  <extLst>
    <ext uri="GoogleSheetsCustomDataVersion2">
      <go:sheetsCustomData xmlns:go="http://customooxmlschemas.google.com/" r:id="rId27" roundtripDataChecksum="nQwErPdCXYxnwsnp0b75R2cG7DeZ8eOGLwoa46Ac4e4="/>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Q317">
      <text>
        <t xml:space="preserve">======
ID#AAABm0WO-U8
Unknown Author    (2025-06-30 13:01:28)
[Commentaire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modifié les valeurs : au lieu retenir formule (enccftra/petcftra)*100 j'ai pris enccftra/(enccftra+petcftra)*100</t>
      </text>
    </comment>
    <comment authorId="0" ref="S317">
      <text>
        <t xml:space="preserve">======
ID#AAABm0WO-Uw
Unknown Author    (2025-06-30 13:01:28)
[Commentaire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modifié les valeurs : au lieu retenir formule (enccftra/petcftra)*100 j'ai pris enccftra/(enccftra+petcftra)*100</t>
      </text>
    </comment>
    <comment authorId="0" ref="V317">
      <text>
        <t xml:space="preserve">======
ID#AAABm0WO-Uk
Unknown Author    (2025-06-30 13:01:28)
[Commentaire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modifié les valeurs : au lieu retenir formule (enccftra/petcftra)*100 j'ai pris enccftra/(enccftra+petcftra)*100</t>
      </text>
    </comment>
    <comment authorId="0" ref="U317">
      <text>
        <t xml:space="preserve">======
ID#AAABm0WO-Uc
Unknown Author    (2025-06-30 13:01:28)
[Commentaire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modifié les valeurs : au lieu retenir formule (enccftra/petcftra)*100 j'ai pris enccftra/(enccftra+petcftra)*100</t>
      </text>
    </comment>
    <comment authorId="0" ref="R317">
      <text>
        <t xml:space="preserve">======
ID#AAABm0WO-UY
Unknown Author    (2025-06-30 13:01:28)
[Commentaire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modifié les valeurs : au lieu retenir formule (enccftra/petcftra)*100 j'ai pris enccftra/(enccftra+petcftra)*100</t>
      </text>
    </comment>
    <comment authorId="0" ref="T317">
      <text>
        <t xml:space="preserve">======
ID#AAABm0VE0yg
Unknown Author    (2025-06-30 13:01:28)
[Commentaire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modifié les valeurs : au lieu retenir formule (enccftra/petcftra)*100 j'ai pris enccftra/(enccftra+petcftra)*100</t>
      </text>
    </comment>
  </commentList>
  <extLst>
    <ext uri="GoogleSheetsCustomDataVersion2">
      <go:sheetsCustomData xmlns:go="http://customooxmlschemas.google.com/" r:id="rId1" roundtripDataSignature="AMtx7mgof3K/v927yMHNCUGXc0Rg9M6kL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70">
      <text>
        <t xml:space="preserve">======
ID#AAABm0WO-Ug
Adrien Toledano    (2025-06-30 13:01:28)
somme ajustée</t>
      </text>
    </comment>
  </commentList>
  <extLst>
    <ext uri="GoogleSheetsCustomDataVersion2">
      <go:sheetsCustomData xmlns:go="http://customooxmlschemas.google.com/" r:id="rId1" roundtripDataSignature="AMtx7mhTg34tWqBVFiKJjKYx/oInaHB+1g=="/>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E223">
      <text>
        <t xml:space="preserve">======
ID#AAABm0WO-VA
Unknown Author    (2025-06-30 13:01:28)
[Commentaire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https://ec.europa.eu/eurostat/databrowser/view/ten00124/default/table?lang=en</t>
      </text>
    </comment>
    <comment authorId="0" ref="E217">
      <text>
        <t xml:space="preserve">======
ID#AAABm0WO-U4
Unknown Author    (2025-06-30 13:01:28)
[Commentaire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https://ec.europa.eu/eurostat/databrowser/view/ten00124/default/table?lang=en</t>
      </text>
    </comment>
    <comment authorId="0" ref="E205">
      <text>
        <t xml:space="preserve">======
ID#AAABm0WO-U0
Unknown Author    (2025-06-30 13:01:28)
[Commentaire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https://ec.europa.eu/eurostat/databrowser/view/ten00124/default/table?lang=en</t>
      </text>
    </comment>
    <comment authorId="0" ref="E211">
      <text>
        <t xml:space="preserve">======
ID#AAABm0WO-Us
Unknown Author    (2025-06-30 13:01:28)
[Commentaire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https://ec.europa.eu/eurostat/databrowser/view/ten00124/default/table?lang=en</t>
      </text>
    </comment>
    <comment authorId="0" ref="E199">
      <text>
        <t xml:space="preserve">======
ID#AAABm0WO-Uo
Unknown Author    (2025-06-30 13:01:28)
[Commentaire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https://ec.europa.eu/eurostat/databrowser/view/ten00124/default/table?lang=en</t>
      </text>
    </comment>
  </commentList>
  <extLst>
    <ext uri="GoogleSheetsCustomDataVersion2">
      <go:sheetsCustomData xmlns:go="http://customooxmlschemas.google.com/" r:id="rId1" roundtripDataSignature="AMtx7mgqV2ZDMFtT/XVc2PnsiQ1Rj3wXJA=="/>
    </ext>
  </extLst>
</comments>
</file>

<file path=xl/sharedStrings.xml><?xml version="1.0" encoding="utf-8"?>
<sst xmlns="http://schemas.openxmlformats.org/spreadsheetml/2006/main" count="15342" uniqueCount="3588">
  <si>
    <t>Name</t>
  </si>
  <si>
    <t>Value</t>
  </si>
  <si>
    <t>ReferenceYear</t>
  </si>
  <si>
    <t>TargetYear</t>
  </si>
  <si>
    <t>Years</t>
  </si>
  <si>
    <t>ProspectiveYears</t>
  </si>
  <si>
    <t>Solagro's figures</t>
  </si>
  <si>
    <t>Partner's figures</t>
  </si>
  <si>
    <t>Calculation</t>
  </si>
  <si>
    <t>File version numbering system</t>
  </si>
  <si>
    <r>
      <rPr>
        <rFont val="Calibri"/>
        <color rgb="FF000000"/>
        <sz val="11.0"/>
      </rPr>
      <t>Dashboard_</t>
    </r>
    <r>
      <rPr>
        <rFont val="Calibri"/>
        <b/>
        <color rgb="FF0070C0"/>
        <sz val="11.0"/>
      </rPr>
      <t>CC</t>
    </r>
    <r>
      <rPr>
        <rFont val="Calibri"/>
        <color rgb="FF0070C0"/>
        <sz val="11.0"/>
      </rPr>
      <t>(_</t>
    </r>
    <r>
      <rPr>
        <rFont val="Calibri"/>
        <b/>
        <color rgb="FF0070C0"/>
        <sz val="11.0"/>
      </rPr>
      <t>Zzzzz</t>
    </r>
    <r>
      <rPr>
        <rFont val="Calibri"/>
        <color rgb="FF0070C0"/>
        <sz val="11.0"/>
      </rPr>
      <t>)</t>
    </r>
    <r>
      <rPr>
        <rFont val="Calibri"/>
        <color rgb="FF000000"/>
        <sz val="11.0"/>
      </rPr>
      <t>_v</t>
    </r>
    <r>
      <rPr>
        <rFont val="Calibri"/>
        <b/>
        <color rgb="FFC00000"/>
        <sz val="11.0"/>
      </rPr>
      <t>X</t>
    </r>
    <r>
      <rPr>
        <rFont val="Calibri"/>
        <color rgb="FF000000"/>
        <sz val="11.0"/>
      </rPr>
      <t>.</t>
    </r>
    <r>
      <rPr>
        <rFont val="Calibri"/>
        <b/>
        <color rgb="FF00B050"/>
        <sz val="11.0"/>
      </rPr>
      <t>Y</t>
    </r>
    <r>
      <rPr>
        <rFont val="Calibri"/>
        <color rgb="FF000000"/>
        <sz val="11.0"/>
      </rPr>
      <t>.xlsx</t>
    </r>
  </si>
  <si>
    <r>
      <rPr>
        <rFont val="Calibri"/>
        <b/>
        <color rgb="FF0070C0"/>
        <sz val="11.0"/>
      </rPr>
      <t>CC</t>
    </r>
    <r>
      <rPr>
        <rFont val="Calibri"/>
        <b val="0"/>
        <color rgb="FF0070C0"/>
        <sz val="11.0"/>
      </rPr>
      <t>: Code Country</t>
    </r>
  </si>
  <si>
    <r>
      <rPr>
        <rFont val="Calibri"/>
        <b/>
        <color rgb="FFC00000"/>
        <sz val="11.0"/>
      </rPr>
      <t>X</t>
    </r>
    <r>
      <rPr>
        <rFont val="Calibri"/>
        <b val="0"/>
        <color rgb="FFC00000"/>
        <sz val="11.0"/>
      </rPr>
      <t>: version number for negaWatt</t>
    </r>
  </si>
  <si>
    <t>Y: version number for the partner</t>
  </si>
  <si>
    <r>
      <rPr>
        <rFont val="Calibri"/>
        <b/>
        <color rgb="FF0070C0"/>
        <sz val="11.0"/>
      </rPr>
      <t>Zzzzz</t>
    </r>
    <r>
      <rPr>
        <rFont val="Calibri"/>
        <b val="0"/>
        <color rgb="FF0070C0"/>
        <sz val="11.0"/>
      </rPr>
      <t>: Initials or acronym of the organisation (optional: for countries where more than one partner is involved in the project)</t>
    </r>
  </si>
  <si>
    <t>Dashboard organisation</t>
  </si>
  <si>
    <t>The indicators are classified by sector on 7 tabs:</t>
  </si>
  <si>
    <t>TAB:</t>
  </si>
  <si>
    <t>DESCRIPTION:</t>
  </si>
  <si>
    <t>Macro</t>
  </si>
  <si>
    <t>Human and social sciences:</t>
  </si>
  <si>
    <t>Demographic indicators</t>
  </si>
  <si>
    <t>Greenhouse gas (GHG) emissions</t>
  </si>
  <si>
    <t>Residential</t>
  </si>
  <si>
    <t>Residential buildings and household appliances</t>
  </si>
  <si>
    <t>Tertiary</t>
  </si>
  <si>
    <t>Tertiary buildings and appliances</t>
  </si>
  <si>
    <t>Transport</t>
  </si>
  <si>
    <t>Passenger mobility</t>
  </si>
  <si>
    <t>Freight transport</t>
  </si>
  <si>
    <t>Industry</t>
  </si>
  <si>
    <t>Preliminary Survey</t>
  </si>
  <si>
    <t>Data input</t>
  </si>
  <si>
    <t>(incl. Non-energy consumption of raw materials &amp; Consumption of the energy sector)</t>
  </si>
  <si>
    <t>Agriculture</t>
  </si>
  <si>
    <t>Agriculture, Forest, Other Land Uses and Bioenergy (AFOLUB):</t>
  </si>
  <si>
    <t>Diet</t>
  </si>
  <si>
    <t>Land Use, Land Use Change, Forest (LULUCF)</t>
  </si>
  <si>
    <t>Fuel / bioenergies</t>
  </si>
  <si>
    <t>AFOLUB (Solagro figures)</t>
  </si>
  <si>
    <t>AFOLUB</t>
  </si>
  <si>
    <t>Results of the top-down module developped by Solagro</t>
  </si>
  <si>
    <t>Energy</t>
  </si>
  <si>
    <t>Energy production</t>
  </si>
  <si>
    <t>Power to gas</t>
  </si>
  <si>
    <t>Energy networks</t>
  </si>
  <si>
    <t>Data table organisation:</t>
  </si>
  <si>
    <t>Reference Year (RY):</t>
  </si>
  <si>
    <t>Target Year (TY):</t>
  </si>
  <si>
    <t>Indicators</t>
  </si>
  <si>
    <t>Unit</t>
  </si>
  <si>
    <t>Indicator Code</t>
  </si>
  <si>
    <t>Source</t>
  </si>
  <si>
    <t>Note</t>
  </si>
  <si>
    <t>Comments</t>
  </si>
  <si>
    <t>Assumption</t>
  </si>
  <si>
    <t>Instructions</t>
  </si>
  <si>
    <t>Indicator title</t>
  </si>
  <si>
    <t>--</t>
  </si>
  <si>
    <t>xxxxxxxx</t>
  </si>
  <si>
    <t>Historical data series</t>
  </si>
  <si>
    <t>Input</t>
  </si>
  <si>
    <t>Source of historical data series</t>
  </si>
  <si>
    <t>Possible note on historical data series</t>
  </si>
  <si>
    <t>Possible comment on the input data</t>
  </si>
  <si>
    <t>Succinct explanation of the assumption underlying the prospective data + Possible documentation to justify the assumption taken (paper, standard, regulation, law...)</t>
  </si>
  <si>
    <t>Specific input instructions / Information on other data sources</t>
  </si>
  <si>
    <t>Entries are made exclusively in the cells:</t>
  </si>
  <si>
    <r>
      <rPr>
        <rFont val="Calibri"/>
        <color rgb="FF000000"/>
        <sz val="11.0"/>
      </rPr>
      <t xml:space="preserve">  Input data from the </t>
    </r>
    <r>
      <rPr>
        <rFont val="Calibri"/>
        <b/>
        <color rgb="FF000000"/>
        <sz val="11.0"/>
      </rPr>
      <t>reference year (2015)</t>
    </r>
    <r>
      <rPr>
        <rFont val="Calibri"/>
        <color rgb="FF000000"/>
        <sz val="11.0"/>
      </rPr>
      <t xml:space="preserve"> to the </t>
    </r>
    <r>
      <rPr>
        <rFont val="Calibri"/>
        <b/>
        <color rgb="FF000000"/>
        <sz val="11.0"/>
      </rPr>
      <t>target year (2050)</t>
    </r>
    <r>
      <rPr>
        <rFont val="Calibri"/>
        <color rgb="FF000000"/>
        <sz val="11.0"/>
      </rPr>
      <t xml:space="preserve"> in 5-year time steps</t>
    </r>
  </si>
  <si>
    <r>
      <rPr>
        <rFont val="Calibri"/>
        <color rgb="FF000000"/>
        <sz val="11.0"/>
      </rPr>
      <t xml:space="preserve">  </t>
    </r>
    <r>
      <rPr>
        <rFont val="Calibri"/>
        <b/>
        <color rgb="FF000000"/>
        <sz val="11.0"/>
      </rPr>
      <t>Optional</t>
    </r>
    <r>
      <rPr>
        <rFont val="Calibri"/>
        <color rgb="FF000000"/>
        <sz val="11.0"/>
      </rPr>
      <t xml:space="preserve"> entry of historical data series</t>
    </r>
  </si>
  <si>
    <t>Alternative input</t>
  </si>
  <si>
    <r>
      <rPr>
        <rFont val="Calibri"/>
        <color rgb="FF000000"/>
        <sz val="11.0"/>
      </rPr>
      <t xml:space="preserve">  Alternative input data in the case of a simplified approach (from the reference year to the target year in 5-year time steps). </t>
    </r>
    <r>
      <rPr>
        <rFont val="Calibri"/>
        <color rgb="FF000000"/>
        <sz val="11.0"/>
        <u/>
      </rPr>
      <t>If a simplified approach is required and only as a first step</t>
    </r>
    <r>
      <rPr>
        <rFont val="Calibri"/>
        <color rgb="FF000000"/>
        <sz val="11.0"/>
      </rPr>
      <t>, you can fill in these indicators rather than other more detailed ones (see each time the specific instructions given in the dedicated column AM).</t>
    </r>
  </si>
  <si>
    <t>Optional</t>
  </si>
  <si>
    <t xml:space="preserve">  Optional inputs</t>
  </si>
  <si>
    <t>Source/Note/Comment</t>
  </si>
  <si>
    <t xml:space="preserve">  (Dedicated columns)</t>
  </si>
  <si>
    <t>Colour code used in indicator titles</t>
  </si>
  <si>
    <t>Corresponding input cells:</t>
  </si>
  <si>
    <t>Input indicator</t>
  </si>
  <si>
    <r>
      <rPr>
        <rFont val="Calibri"/>
        <color theme="1"/>
        <sz val="11.0"/>
      </rPr>
      <t>Input indicator: used a priori for narrative but not for calculation</t>
    </r>
    <r>
      <rPr>
        <rFont val="Calibri"/>
        <color rgb="FF7800A2"/>
        <sz val="11.0"/>
      </rPr>
      <t>*</t>
    </r>
  </si>
  <si>
    <t>Indicator automatically calculated</t>
  </si>
  <si>
    <t>Shared inputs at the EU level</t>
  </si>
  <si>
    <t>Optionnal</t>
  </si>
  <si>
    <t>Top-down module</t>
  </si>
  <si>
    <t>Results of the Energy Demand Calculation Module</t>
  </si>
  <si>
    <t>* Selection subject to change</t>
  </si>
  <si>
    <t>Specific instructions</t>
  </si>
  <si>
    <r>
      <rPr>
        <rFont val="Calibri"/>
        <color rgb="FF000000"/>
        <sz val="11.0"/>
      </rPr>
      <t xml:space="preserve">Specific instructions are given in column AM ('Instructions') for certain indicators. </t>
    </r>
    <r>
      <rPr>
        <rFont val="Calibri"/>
        <color rgb="FF000000"/>
        <sz val="11.0"/>
        <u/>
      </rPr>
      <t>Please read them before entering data.</t>
    </r>
  </si>
  <si>
    <t>Protection and permissions</t>
  </si>
  <si>
    <r>
      <rPr>
        <rFont val="Calibri"/>
        <color rgb="FF000000"/>
        <sz val="11.0"/>
      </rPr>
      <t xml:space="preserve">Only the entry cells (described above) can be modified. It is also not allowed to add or delete rows or columns. </t>
    </r>
    <r>
      <rPr>
        <rFont val="Calibri"/>
        <color rgb="FF000000"/>
        <sz val="11.0"/>
        <u/>
      </rPr>
      <t>Please do not rename the tabs.</t>
    </r>
  </si>
  <si>
    <t>Any general comments on…?</t>
  </si>
  <si>
    <t>Any comment on…?</t>
  </si>
  <si>
    <t>If you have a general comment on a sector, you can use the dedicated cell at the end of each tab.</t>
  </si>
  <si>
    <t>Pre-filling of some historical data series with data from the Odyssee database</t>
  </si>
  <si>
    <r>
      <rPr>
        <rFont val="Calibri"/>
        <color rgb="FF000000"/>
        <sz val="11.0"/>
      </rPr>
      <t xml:space="preserve">Historical data series have been pre-filled when available in Odyssee. </t>
    </r>
    <r>
      <rPr>
        <rFont val="Calibri"/>
        <b/>
        <color rgb="FFFF0000"/>
        <sz val="11.0"/>
      </rPr>
      <t>We encourage you to retain these data in order to ensure data consistency.</t>
    </r>
    <r>
      <rPr>
        <rFont val="Calibri"/>
        <color rgb="FF000000"/>
        <sz val="11.0"/>
      </rPr>
      <t xml:space="preserve"> However, if you find </t>
    </r>
    <r>
      <rPr>
        <rFont val="Calibri"/>
        <b/>
        <i/>
        <color rgb="FF000000"/>
        <sz val="11.0"/>
      </rPr>
      <t>significant</t>
    </r>
    <r>
      <rPr>
        <rFont val="Calibri"/>
        <color rgb="FF000000"/>
        <sz val="11.0"/>
      </rPr>
      <t xml:space="preserve"> discrepancies with the historical data used for your scenario we can discuss them on a case-by-case basis: in this case, we invite you to 'correct' the pre-filled historical data, </t>
    </r>
    <r>
      <rPr>
        <rFont val="Calibri"/>
        <color rgb="FF000000"/>
        <sz val="11.0"/>
        <u/>
      </rPr>
      <t>indicate your source</t>
    </r>
    <r>
      <rPr>
        <rFont val="Calibri"/>
        <color rgb="FF000000"/>
        <sz val="11.0"/>
      </rPr>
      <t xml:space="preserve"> and </t>
    </r>
    <r>
      <rPr>
        <rFont val="Calibri"/>
        <color rgb="FF000000"/>
        <sz val="11.0"/>
        <u/>
      </rPr>
      <t>report the discrepancies</t>
    </r>
    <r>
      <rPr>
        <rFont val="Calibri"/>
        <color rgb="FF000000"/>
        <sz val="11.0"/>
      </rPr>
      <t xml:space="preserve"> in the cell dedicated to '</t>
    </r>
    <r>
      <rPr>
        <rFont val="Calibri"/>
        <color rgb="FF000000"/>
        <sz val="11.0"/>
        <u/>
      </rPr>
      <t>comments</t>
    </r>
    <r>
      <rPr>
        <rFont val="Calibri"/>
        <color rgb="FF000000"/>
        <sz val="11.0"/>
      </rPr>
      <t>'.</t>
    </r>
  </si>
  <si>
    <t>Industry: Preliminary survey</t>
  </si>
  <si>
    <r>
      <rPr>
        <rFont val="Calibri"/>
        <color rgb="FF000000"/>
        <sz val="11.0"/>
      </rPr>
      <t xml:space="preserve">We are taking advantage of the sending of this dashboard to include a </t>
    </r>
    <r>
      <rPr>
        <rFont val="Calibri"/>
        <color rgb="FF000000"/>
        <sz val="11.0"/>
        <u/>
      </rPr>
      <t>survey designed by the 'Industry and Materials' working group</t>
    </r>
    <r>
      <rPr>
        <rFont val="Calibri"/>
        <color rgb="FF000000"/>
        <sz val="11.0"/>
      </rPr>
      <t xml:space="preserve">. This survey is about how you deal with the industry sector in your scenario: </t>
    </r>
    <r>
      <rPr>
        <rFont val="Calibri"/>
        <b/>
        <color rgb="FF000000"/>
        <sz val="11.0"/>
      </rPr>
      <t>please fill out this survey first before entering your data</t>
    </r>
    <r>
      <rPr>
        <rFont val="Calibri"/>
        <color rgb="FF000000"/>
        <sz val="11.0"/>
      </rPr>
      <t>, because based on your answers, the indicators corresponding to the units you use will be displayed in the rows below (in the 'data input' section).</t>
    </r>
  </si>
  <si>
    <t>Agriculture, Forestry and Other Land Use, Bioenergy (AFOLUB)</t>
  </si>
  <si>
    <t>As the outcome of October partner meeting – where we noted a lack of specific expertise of the partner network on AFOLUB – it was decided to use the results of the European scenario developed in parallel by the Solagro association. AFOLUB will therefore be dealt with in a top-down module. For information, we list in the tab 'Agriculture' the indicators that will be addressed. Filling in this tab is optional, but we will take any input data you may provide.
(The methodology developed will be similar to that used for the French scenario ‘Afterres 2050’, carried out by Solagro. It is detailed in the brochure of the scenario ‘Afterres 2050’ (in English): do not hesitate to consult it for more information.)</t>
  </si>
  <si>
    <t>Abbreviations used</t>
  </si>
  <si>
    <t>dw</t>
  </si>
  <si>
    <t>dwelling</t>
  </si>
  <si>
    <t>EDCM</t>
  </si>
  <si>
    <t>Energy Demand Calculation Module</t>
  </si>
  <si>
    <t>FEC</t>
  </si>
  <si>
    <t>Final Energy Consumption</t>
  </si>
  <si>
    <t>IPI</t>
  </si>
  <si>
    <t>Industrial production index</t>
  </si>
  <si>
    <t>nb</t>
  </si>
  <si>
    <t>number</t>
  </si>
  <si>
    <t>pkm</t>
  </si>
  <si>
    <t>passenger-kilometres</t>
  </si>
  <si>
    <t>tkm</t>
  </si>
  <si>
    <t>ton-kilometres</t>
  </si>
  <si>
    <t>vkm</t>
  </si>
  <si>
    <t>vehicle-kilometres</t>
  </si>
  <si>
    <t>Units</t>
  </si>
  <si>
    <r>
      <rPr>
        <rFont val="Calibri"/>
        <b/>
        <color rgb="FF000000"/>
        <sz val="11.0"/>
      </rPr>
      <t>(%)</t>
    </r>
    <r>
      <rPr>
        <rFont val="Calibri"/>
        <b val="0"/>
        <color rgb="FF000000"/>
        <sz val="11.0"/>
      </rPr>
      <t xml:space="preserve"> For percentage data, the corresponding cells are defined with the percentage format. Please enter for example "20%" or "0.2" but not "20".</t>
    </r>
  </si>
  <si>
    <t>Clarifications on certain categories</t>
  </si>
  <si>
    <r>
      <rPr>
        <rFont val="Calibri"/>
        <color rgb="FF000000"/>
        <sz val="11.0"/>
      </rPr>
      <t xml:space="preserve">- </t>
    </r>
    <r>
      <rPr>
        <rFont val="Calibri"/>
        <b/>
        <color rgb="FF000000"/>
        <sz val="11.0"/>
      </rPr>
      <t>LPG</t>
    </r>
    <r>
      <rPr>
        <rFont val="Calibri"/>
        <color rgb="FF000000"/>
        <sz val="11.0"/>
      </rPr>
      <t xml:space="preserve"> is included in the </t>
    </r>
    <r>
      <rPr>
        <rFont val="Calibri"/>
        <b/>
        <color rgb="FF000000"/>
        <sz val="11.0"/>
      </rPr>
      <t>category 'oil'</t>
    </r>
    <r>
      <rPr>
        <rFont val="Calibri"/>
        <color rgb="FF000000"/>
        <sz val="11.0"/>
      </rPr>
      <t>.</t>
    </r>
  </si>
  <si>
    <r>
      <rPr>
        <rFont val="Calibri"/>
        <color rgb="FF000000"/>
        <sz val="11.0"/>
      </rPr>
      <t>- The category '</t>
    </r>
    <r>
      <rPr>
        <rFont val="Calibri"/>
        <b/>
        <color rgb="FF000000"/>
        <sz val="11.0"/>
      </rPr>
      <t>liquid fuels</t>
    </r>
    <r>
      <rPr>
        <rFont val="Calibri"/>
        <color rgb="FF000000"/>
        <sz val="11.0"/>
      </rPr>
      <t>' includes liquid fossil fuels and biofuels.</t>
    </r>
  </si>
  <si>
    <r>
      <rPr>
        <rFont val="Calibri"/>
        <i/>
        <color rgb="FF000000"/>
        <sz val="11.0"/>
      </rPr>
      <t>- The category '</t>
    </r>
    <r>
      <rPr>
        <rFont val="Calibri"/>
        <b/>
        <i/>
        <color rgb="FF000000"/>
        <sz val="11.0"/>
      </rPr>
      <t>solid biomass</t>
    </r>
    <r>
      <rPr>
        <rFont val="Calibri"/>
        <i/>
        <color rgb="FF000000"/>
        <sz val="11.0"/>
      </rPr>
      <t>' could have a broader scope in the Odyssee data: a clarification of this category has been requested from the database manager.</t>
    </r>
  </si>
  <si>
    <r>
      <rPr>
        <rFont val="Calibri"/>
        <i/>
        <color rgb="FF000000"/>
        <sz val="11.0"/>
      </rPr>
      <t xml:space="preserve">- </t>
    </r>
    <r>
      <rPr>
        <rFont val="Calibri"/>
        <b/>
        <i/>
        <color rgb="FF000000"/>
        <sz val="11.0"/>
      </rPr>
      <t>Thermal solar</t>
    </r>
    <r>
      <rPr>
        <rFont val="Calibri"/>
        <i/>
        <color rgb="FF000000"/>
        <sz val="11.0"/>
      </rPr>
      <t xml:space="preserve"> and </t>
    </r>
    <r>
      <rPr>
        <rFont val="Calibri"/>
        <b/>
        <i/>
        <color rgb="FF000000"/>
        <sz val="11.0"/>
      </rPr>
      <t>ambient heat (heat pumps)</t>
    </r>
    <r>
      <rPr>
        <rFont val="Calibri"/>
        <i/>
        <color rgb="FF000000"/>
        <sz val="11.0"/>
      </rPr>
      <t xml:space="preserve"> seem not to be taken into account in the Odyssee data, according to a first discussion we had with the database manager, but we are awaiting his confirmation.</t>
    </r>
  </si>
  <si>
    <r>
      <rPr>
        <rFont val="Calibri"/>
        <i/>
        <color rgb="FF000000"/>
        <sz val="11.0"/>
      </rPr>
      <t>- The category '</t>
    </r>
    <r>
      <rPr>
        <rFont val="Calibri"/>
        <b/>
        <i/>
        <color rgb="FF000000"/>
        <sz val="11.0"/>
      </rPr>
      <t>cooking systems</t>
    </r>
    <r>
      <rPr>
        <rFont val="Calibri"/>
        <i/>
        <color rgb="FF000000"/>
        <sz val="11.0"/>
      </rPr>
      <t>' in the residential and tertiary sector refers only to ovens, hobs and microwave ovens; other small appliances such as coffee machines, kettles and food processors are included in '</t>
    </r>
    <r>
      <rPr>
        <rFont val="Calibri"/>
        <b/>
        <i/>
        <color rgb="FF000000"/>
        <sz val="11.0"/>
      </rPr>
      <t>other domestic electrical appliances</t>
    </r>
    <r>
      <rPr>
        <rFont val="Calibri"/>
        <i/>
        <color rgb="FF000000"/>
        <sz val="11.0"/>
      </rPr>
      <t xml:space="preserve"> including new devices' under the heading 'Specific electricity'.</t>
    </r>
  </si>
  <si>
    <r>
      <rPr>
        <rFont val="Calibri"/>
        <i/>
        <color rgb="FF000000"/>
        <sz val="11.0"/>
      </rPr>
      <t>- It is not clear whether the category '</t>
    </r>
    <r>
      <rPr>
        <rFont val="Calibri"/>
        <b/>
        <i/>
        <color rgb="FF000000"/>
        <sz val="11.0"/>
      </rPr>
      <t>other industries (miscellaneous industries)</t>
    </r>
    <r>
      <rPr>
        <rFont val="Calibri"/>
        <i/>
        <color rgb="FF000000"/>
        <sz val="11.0"/>
      </rPr>
      <t>' contains the category '</t>
    </r>
    <r>
      <rPr>
        <rFont val="Calibri"/>
        <b/>
        <i/>
        <color rgb="FF000000"/>
        <sz val="11.0"/>
      </rPr>
      <t>rubber and plastics</t>
    </r>
    <r>
      <rPr>
        <rFont val="Calibri"/>
        <i/>
        <color rgb="FF000000"/>
        <sz val="11.0"/>
      </rPr>
      <t>'. In the case of value added, and according to a first discussion we had with the Odyssee database manager, the indicator 'value added of rubber and plastics' (vadcmpxx) is included in the indicator 'value added of other industries' (vadidvxx) but it seems to be different for final energy consumption (the question was asked to the database manager).</t>
    </r>
  </si>
  <si>
    <r>
      <rPr>
        <rFont val="Calibri"/>
        <i/>
        <color rgb="FF000000"/>
        <sz val="11.0"/>
      </rPr>
      <t xml:space="preserve">- Concerning specific electricity consumption: electricity consumption of </t>
    </r>
    <r>
      <rPr>
        <rFont val="Calibri"/>
        <b/>
        <i/>
        <color rgb="FF000000"/>
        <sz val="11.0"/>
      </rPr>
      <t>small household appliances</t>
    </r>
    <r>
      <rPr>
        <rFont val="Calibri"/>
        <i/>
        <color rgb="FF000000"/>
        <sz val="11.0"/>
      </rPr>
      <t xml:space="preserve"> is calulated by difference in Odyssee, but it is not yet clear what is included in this category (the question was asked to the database manager).</t>
    </r>
  </si>
  <si>
    <t>Parameters</t>
  </si>
  <si>
    <t>Formulae ?</t>
  </si>
  <si>
    <t>General parameters</t>
  </si>
  <si>
    <t>Energy given in LHV (low heating value) or HHV (high heating value) ?</t>
  </si>
  <si>
    <t>pcspci</t>
  </si>
  <si>
    <t>LHV</t>
  </si>
  <si>
    <t>The choice is made once and for all for the energy indicators. For example, if you choose 'LHV', you will have to fill in all energy indicators in LHV.</t>
  </si>
  <si>
    <t>Official targets</t>
  </si>
  <si>
    <t>Final energy consumption official target in 2030</t>
  </si>
  <si>
    <t>TWh</t>
  </si>
  <si>
    <t>cfof2030</t>
  </si>
  <si>
    <t>The target value can be found in AnnexII-B of this publication: 'Opportunities and Gaps in the final National Energy and Climate Plans' (CAN Europe, ZERO)</t>
  </si>
  <si>
    <t>Total primary energy consumption official target in 2030</t>
  </si>
  <si>
    <t>cpof2030</t>
  </si>
  <si>
    <t>The target value can be found in AnnexII-A of this publication: 'Opportunities and Gaps in the final National Energy and Climate Plans' (CAN Europe, ZERO)</t>
  </si>
  <si>
    <r>
      <rPr>
        <rFont val="Calibri"/>
        <color rgb="FF000000"/>
        <sz val="11.0"/>
      </rPr>
      <t>GHG emissions (energy related CO</t>
    </r>
    <r>
      <rPr>
        <rFont val="Calibri"/>
        <color rgb="FF000000"/>
        <sz val="11.0"/>
        <vertAlign val="subscript"/>
      </rPr>
      <t>2</t>
    </r>
    <r>
      <rPr>
        <rFont val="Calibri"/>
        <color rgb="FF000000"/>
        <sz val="11.0"/>
      </rPr>
      <t>) in 1990</t>
    </r>
  </si>
  <si>
    <r>
      <rPr>
        <rFont val="Calibri"/>
        <color rgb="FF0060A8"/>
        <sz val="11.0"/>
      </rPr>
      <t>Gt</t>
    </r>
    <r>
      <rPr>
        <rFont val="Calibri"/>
        <color rgb="FF0060A8"/>
        <sz val="11.0"/>
        <vertAlign val="subscript"/>
      </rPr>
      <t>eq</t>
    </r>
    <r>
      <rPr>
        <rFont val="Calibri"/>
        <color rgb="FF0060A8"/>
        <sz val="11.0"/>
      </rPr>
      <t>CO</t>
    </r>
    <r>
      <rPr>
        <rFont val="Calibri"/>
        <color rgb="FF0060A8"/>
        <sz val="11.0"/>
        <vertAlign val="subscript"/>
      </rPr>
      <t>2</t>
    </r>
  </si>
  <si>
    <t>ges1990</t>
  </si>
  <si>
    <t>Strange unit Gt if only for year 1990</t>
  </si>
  <si>
    <t>Heat networks</t>
  </si>
  <si>
    <t>Merit order for heat networks - rank 1</t>
  </si>
  <si>
    <t>mrtrch1</t>
  </si>
  <si>
    <t>Heat recovery</t>
  </si>
  <si>
    <t>Merit order for heat networks - rank 2</t>
  </si>
  <si>
    <t>mrtrch2</t>
  </si>
  <si>
    <t>Geothermal heat cogeneration</t>
  </si>
  <si>
    <t>Merit order for heat networks - rank 3</t>
  </si>
  <si>
    <t>mrtrch3</t>
  </si>
  <si>
    <t>Geothermal heat</t>
  </si>
  <si>
    <t>Merit order for heat networks - rank 4</t>
  </si>
  <si>
    <t>mrtrch4</t>
  </si>
  <si>
    <t>Centralised solar thermal</t>
  </si>
  <si>
    <t>Merit order for heat networks - rank 5</t>
  </si>
  <si>
    <t>mrtrch5</t>
  </si>
  <si>
    <t>Centralised heat pumps</t>
  </si>
  <si>
    <t>Merit order for heat networks - rank 6</t>
  </si>
  <si>
    <t>mrtrch6</t>
  </si>
  <si>
    <t>Waste cogeneration</t>
  </si>
  <si>
    <t>Merit order for heat networks - rank 7</t>
  </si>
  <si>
    <t>mrtrch7</t>
  </si>
  <si>
    <t>Waste</t>
  </si>
  <si>
    <t>Merit order for heat networks - rank 8</t>
  </si>
  <si>
    <t>mrtrch8</t>
  </si>
  <si>
    <t>Biogas cogeneration</t>
  </si>
  <si>
    <t>Merit order for heat networks - rank 9</t>
  </si>
  <si>
    <t>mrtrch9</t>
  </si>
  <si>
    <t>Solid biomass cogeneration</t>
  </si>
  <si>
    <t>Merit order for heat networks - rank 10</t>
  </si>
  <si>
    <t>mrtrch10</t>
  </si>
  <si>
    <t>Solid biomass</t>
  </si>
  <si>
    <t>Merit order for heat networks - rank 11</t>
  </si>
  <si>
    <t>mrtrch11</t>
  </si>
  <si>
    <t>Gas network cogeneration</t>
  </si>
  <si>
    <t>Merit order for heat networks - rank 12</t>
  </si>
  <si>
    <t>mrtrch12</t>
  </si>
  <si>
    <t>Gas network</t>
  </si>
  <si>
    <t>Merit order for heat networks - rank 13</t>
  </si>
  <si>
    <t>mrtrch13</t>
  </si>
  <si>
    <t>Oil cogeneration</t>
  </si>
  <si>
    <t>Merit order for heat networks - rank 14</t>
  </si>
  <si>
    <t>mrtrch14</t>
  </si>
  <si>
    <t>Oil</t>
  </si>
  <si>
    <t>Merit order for heat networks - rank 15</t>
  </si>
  <si>
    <t>mrtrch15</t>
  </si>
  <si>
    <t>Coal cogeneration</t>
  </si>
  <si>
    <t>Merit order for heat networks - rank 16</t>
  </si>
  <si>
    <t>mrtrch16</t>
  </si>
  <si>
    <t>Coal</t>
  </si>
  <si>
    <t>mrtrch17</t>
  </si>
  <si>
    <t>mrtrch18</t>
  </si>
  <si>
    <t>HHV</t>
  </si>
  <si>
    <t>Hydrogen</t>
  </si>
  <si>
    <t>Hydrogen cogeneration</t>
  </si>
  <si>
    <t>Any general comment on Parametres?</t>
  </si>
  <si>
    <t>Any cross-cutting comment?</t>
  </si>
  <si>
    <t>Data completion rates</t>
  </si>
  <si>
    <t>PARAMETERS</t>
  </si>
  <si>
    <t>HUMAN AND SOCIAL SCIENCES</t>
  </si>
  <si>
    <t>Demography</t>
  </si>
  <si>
    <t>Total population</t>
  </si>
  <si>
    <t>k</t>
  </si>
  <si>
    <t>pop</t>
  </si>
  <si>
    <t>GREENHOUSE GAS (GHG) EMISSIONS</t>
  </si>
  <si>
    <t>Non-energy sources</t>
  </si>
  <si>
    <r>
      <rPr>
        <rFont val="Calibri"/>
        <b/>
        <color rgb="FF000000"/>
        <sz val="11.0"/>
      </rPr>
      <t>Total</t>
    </r>
    <r>
      <rPr>
        <rFont val="Calibri"/>
        <b val="0"/>
        <color rgb="FF000000"/>
        <sz val="11.0"/>
      </rPr>
      <t xml:space="preserve"> GHG emissions from non-energy sources</t>
    </r>
  </si>
  <si>
    <t>MtCO2eq</t>
  </si>
  <si>
    <t>tghgenes</t>
  </si>
  <si>
    <t>Total net GHG emissions from non-energy sources in agriculture</t>
  </si>
  <si>
    <t>soltneghgagrnes</t>
  </si>
  <si>
    <t>GHG emissions from non-energy sources in industry (process emissions)</t>
  </si>
  <si>
    <t>ghgindnes</t>
  </si>
  <si>
    <t>GHG emissions from non-energy sources in waste management</t>
  </si>
  <si>
    <t>ghgwstnes</t>
  </si>
  <si>
    <t>GHG emissions from non-energy sources in other sectors (industrial product use)</t>
  </si>
  <si>
    <t>ghgothnes</t>
  </si>
  <si>
    <t>ENERGY</t>
  </si>
  <si>
    <t>Energy consumption</t>
  </si>
  <si>
    <r>
      <rPr>
        <rFont val="Calibri"/>
        <b/>
        <color rgb="FF000000"/>
        <sz val="11.0"/>
      </rPr>
      <t>Total</t>
    </r>
    <r>
      <rPr>
        <rFont val="Calibri"/>
        <b val="0"/>
        <color rgb="FF000000"/>
        <sz val="11.0"/>
      </rPr>
      <t xml:space="preserve"> final energy consumption</t>
    </r>
  </si>
  <si>
    <t>toccf</t>
  </si>
  <si>
    <t>Final energy consumption from solid fossil fuels (coal ...)</t>
  </si>
  <si>
    <t>cmscf</t>
  </si>
  <si>
    <t>Final energy consumption from solid biomass</t>
  </si>
  <si>
    <t>enccf</t>
  </si>
  <si>
    <t>Final oil consumption</t>
  </si>
  <si>
    <t>petcf</t>
  </si>
  <si>
    <t>Final energy consumption from gas grid / gas consumed locally</t>
  </si>
  <si>
    <t>gazcf</t>
  </si>
  <si>
    <t>Final electricity consumption</t>
  </si>
  <si>
    <t>elccf</t>
  </si>
  <si>
    <t>Final energy consumption from heating networks</t>
  </si>
  <si>
    <t>vapcf</t>
  </si>
  <si>
    <t>Final energy consumption from ambient heat (heat pumps…)</t>
  </si>
  <si>
    <t>paccf</t>
  </si>
  <si>
    <t>Final energy consumption from thermal solar</t>
  </si>
  <si>
    <t>sthcf</t>
  </si>
  <si>
    <t>Any general comment on Demography?</t>
  </si>
  <si>
    <t>Any general comment on GHG emissions?</t>
  </si>
  <si>
    <t>Historic</t>
  </si>
  <si>
    <t>Reference</t>
  </si>
  <si>
    <t>Prospective</t>
  </si>
  <si>
    <t>Reference &amp; Prospective</t>
  </si>
  <si>
    <t>Total</t>
  </si>
  <si>
    <t>TOTAL</t>
  </si>
  <si>
    <t>MACRO</t>
  </si>
  <si>
    <t>RESIDENTIAL</t>
  </si>
  <si>
    <t>TERTIARY</t>
  </si>
  <si>
    <t>TRANSPORT</t>
  </si>
  <si>
    <t>INDUSTRY</t>
  </si>
  <si>
    <t>AGRICULTURE, FOREST, OTHER LAND USES and BIOENERGY (AFOLUB)</t>
  </si>
  <si>
    <t>AGRICULTURE, FORESTRY AND OTHER LAND USE, BIOENERGY (AFOLUB) (Top-down module)</t>
  </si>
  <si>
    <t>Housing stock description</t>
  </si>
  <si>
    <t>• Total</t>
  </si>
  <si>
    <t>Number of households</t>
  </si>
  <si>
    <t>men</t>
  </si>
  <si>
    <t>Non-household population rate</t>
  </si>
  <si>
    <t>%</t>
  </si>
  <si>
    <t>pophmen</t>
  </si>
  <si>
    <t>Total floor area</t>
  </si>
  <si>
    <t>Mm2</t>
  </si>
  <si>
    <t>totsurlog</t>
  </si>
  <si>
    <t>Average area of dwellings</t>
  </si>
  <si>
    <t>m2</t>
  </si>
  <si>
    <t>surlog</t>
  </si>
  <si>
    <t>Per capita residential floor area</t>
  </si>
  <si>
    <t>m2/person</t>
  </si>
  <si>
    <t>surlogcap</t>
  </si>
  <si>
    <t>Average household size</t>
  </si>
  <si>
    <t>nb of people</t>
  </si>
  <si>
    <t>capmen</t>
  </si>
  <si>
    <t>Total stock of dwellings</t>
  </si>
  <si>
    <t>nbrlog</t>
  </si>
  <si>
    <t>Stock of dwellings permanently occupied</t>
  </si>
  <si>
    <t>nbrlpr</t>
  </si>
  <si>
    <t>Additional FEC related to heat uses for secondary or vacant dwellings (as a share of total residential FEC)</t>
  </si>
  <si>
    <t>psulnotoccfres</t>
  </si>
  <si>
    <t>• Disaggregation per existing / new-build</t>
  </si>
  <si>
    <t>\-&gt; Existing</t>
  </si>
  <si>
    <t>Total number of existing occupied dwellings</t>
  </si>
  <si>
    <t>nbrlex</t>
  </si>
  <si>
    <t>Total m2 of existing occupied dwellings</t>
  </si>
  <si>
    <t>totsurlex</t>
  </si>
  <si>
    <t>Average area of existing occupied dwellings</t>
  </si>
  <si>
    <t>surlex</t>
  </si>
  <si>
    <t>\-&gt; New-build</t>
  </si>
  <si>
    <t>Total number of new dwellings</t>
  </si>
  <si>
    <t>k/year</t>
  </si>
  <si>
    <t>nbrlpn</t>
  </si>
  <si>
    <t>Total m2 of new dwellings</t>
  </si>
  <si>
    <t>Mm2/year</t>
  </si>
  <si>
    <t>totsurlpn</t>
  </si>
  <si>
    <t>Average area of new dwellings</t>
  </si>
  <si>
    <t>surlpn</t>
  </si>
  <si>
    <t>\-&gt; Results from the Energy Demand Calculation Module: consistency checks</t>
  </si>
  <si>
    <r>
      <rPr>
        <rFont val="Calibri"/>
        <b/>
        <i/>
        <color rgb="FF192B79"/>
        <sz val="11.0"/>
      </rPr>
      <t xml:space="preserve">Description by end-uses: in the following sections, </t>
    </r>
    <r>
      <rPr>
        <rFont val="Calibri"/>
        <b/>
        <i/>
        <color rgb="FF192B79"/>
        <sz val="11.0"/>
        <u/>
      </rPr>
      <t>please consider only permanently occupied dwellings</t>
    </r>
  </si>
  <si>
    <t>&gt; Heating / cooling (energy consumption for…)</t>
  </si>
  <si>
    <t>• Description of the needs of the housing stock</t>
  </si>
  <si>
    <t>Unit consumption per m2 for space heating with climatic corrections</t>
  </si>
  <si>
    <t>kWh/m2</t>
  </si>
  <si>
    <t>cutocsurchc</t>
  </si>
  <si>
    <t>Heating needs of the average housing stock</t>
  </si>
  <si>
    <t>eelpr</t>
  </si>
  <si>
    <t>Heating needs of existing dwellings</t>
  </si>
  <si>
    <t>eelex</t>
  </si>
  <si>
    <t>Heating needs of renovated dwellings</t>
  </si>
  <si>
    <t>eelrv</t>
  </si>
  <si>
    <t>Heating needs of new-build dwellings</t>
  </si>
  <si>
    <t>eelpn</t>
  </si>
  <si>
    <t>Renovation pace of dwellings</t>
  </si>
  <si>
    <t>% cumul</t>
  </si>
  <si>
    <t>trvcumres</t>
  </si>
  <si>
    <t>Heating needs of unrenovated existing buildings not recently built</t>
  </si>
  <si>
    <t>Average renovation pace</t>
  </si>
  <si>
    <t>%/year</t>
  </si>
  <si>
    <t>• Heating (energy consumption for…)</t>
  </si>
  <si>
    <t>\-&gt; Housing stock description disaggregated per final energy carriers for heating</t>
  </si>
  <si>
    <t>Stock of dwellings permanently occupied with coal/lignite/peat space heating</t>
  </si>
  <si>
    <t>nbrlprcms</t>
  </si>
  <si>
    <t>Stock of dwellings permanently occupied with solid biomass space heating</t>
  </si>
  <si>
    <t>nbrlprboi</t>
  </si>
  <si>
    <t>Stock of dwellings permanently occupied with oil space heating</t>
  </si>
  <si>
    <t>nbrlprpet</t>
  </si>
  <si>
    <t>Stock of dwellings permanently occupied with gas space heating (gas grid / gas consumed locally)</t>
  </si>
  <si>
    <t>nbrlprgaz</t>
  </si>
  <si>
    <t>Stock of dwellings permanently occupied with electric space heating</t>
  </si>
  <si>
    <t>nbrlprele</t>
  </si>
  <si>
    <t>Stock of dwellings permanently occupied with heating network space heating</t>
  </si>
  <si>
    <t>nbrlprvap</t>
  </si>
  <si>
    <t>Stock of dwellings permanently occupied with ambient heat space heating (heat pump)</t>
  </si>
  <si>
    <t>nbrlprpac</t>
  </si>
  <si>
    <t>Stock of dwellings permanently occupied with thermal solar space heating</t>
  </si>
  <si>
    <t>nbrlprsth</t>
  </si>
  <si>
    <t>\-&gt; Performance of heating systems (per final energy carrier)</t>
  </si>
  <si>
    <t>Performance of domestic heating systems using solid fossil fuels (coal...)</t>
  </si>
  <si>
    <t>ceereschfcms</t>
  </si>
  <si>
    <t>Performance of domestic heating systems using solid biomass</t>
  </si>
  <si>
    <t>ceereschfboi</t>
  </si>
  <si>
    <t>Performance of domestic oil-fired heating systems</t>
  </si>
  <si>
    <t>ceereschfpet</t>
  </si>
  <si>
    <t>Performance of domestic heating systems using gas grid / gas consumed locally</t>
  </si>
  <si>
    <t>ceereschfgaz</t>
  </si>
  <si>
    <t>Performance of domestic electric heating systems</t>
  </si>
  <si>
    <t>ceereschfele</t>
  </si>
  <si>
    <t>Performance of domestic heating systems using heating network</t>
  </si>
  <si>
    <t>ceereschfvap</t>
  </si>
  <si>
    <t>Performance of domestic heating systems using ambient heat (heat pumps…)</t>
  </si>
  <si>
    <t>ceereschfpac</t>
  </si>
  <si>
    <t>Useful contribution of domestic thermal solar heating systems per solar-heated square metre</t>
  </si>
  <si>
    <t>csereschfsth</t>
  </si>
  <si>
    <t>\-&gt; Results from the Energy Demand Calculation Module: FEC for space heating calculated per final energy carrier</t>
  </si>
  <si>
    <t>caltoccfreschf</t>
  </si>
  <si>
    <t>calcmscfreschf</t>
  </si>
  <si>
    <t>calenccfreschf</t>
  </si>
  <si>
    <t>calpetcfreschf</t>
  </si>
  <si>
    <t>calgazcfreschf</t>
  </si>
  <si>
    <t>calelccfreschf</t>
  </si>
  <si>
    <t>calvapcfreschf</t>
  </si>
  <si>
    <t>calpaccfreschf</t>
  </si>
  <si>
    <t>calsthcfreschf</t>
  </si>
  <si>
    <r>
      <rPr>
        <rFont val="Calibri"/>
        <i/>
        <color rgb="FFFFFFFF"/>
        <sz val="11.0"/>
      </rPr>
      <t xml:space="preserve">Residential heating energy consumption </t>
    </r>
    <r>
      <rPr>
        <rFont val="Calibri"/>
        <b/>
        <i/>
        <color rgb="FFFFFFFF"/>
        <sz val="11.0"/>
      </rPr>
      <t>per person</t>
    </r>
  </si>
  <si>
    <t>kWh/person</t>
  </si>
  <si>
    <t>calcfreschfcap</t>
  </si>
  <si>
    <t>\-&gt; FEC for space heating per final energy carrier</t>
  </si>
  <si>
    <r>
      <rPr>
        <rFont val="Calibri"/>
        <b/>
        <color rgb="FF000000"/>
        <sz val="11.0"/>
      </rPr>
      <t>Total</t>
    </r>
    <r>
      <rPr>
        <rFont val="Calibri"/>
        <b val="0"/>
        <color rgb="FF000000"/>
        <sz val="11.0"/>
      </rPr>
      <t xml:space="preserve"> final energy consumption for space heating in the residential sector</t>
    </r>
  </si>
  <si>
    <t>toccfreschf</t>
  </si>
  <si>
    <r>
      <rPr>
        <rFont val="Calibri"/>
        <b/>
        <color rgb="FF000000"/>
        <sz val="11.0"/>
      </rPr>
      <t>Total</t>
    </r>
    <r>
      <rPr>
        <rFont val="Calibri"/>
        <b val="0"/>
        <color rgb="FF000000"/>
        <sz val="11.0"/>
      </rPr>
      <t xml:space="preserve"> final energy consumption for space heating in the residential sector </t>
    </r>
    <r>
      <rPr>
        <rFont val="Calibri"/>
        <b val="0"/>
        <i/>
        <color rgb="FF000000"/>
        <sz val="11.0"/>
      </rPr>
      <t xml:space="preserve">(with climatic corrections) </t>
    </r>
  </si>
  <si>
    <t>toccfreschc</t>
  </si>
  <si>
    <t>Final energy consumption from solid fossil fuels (coal ...) for space heating in the residential sector</t>
  </si>
  <si>
    <t>cmscfreschf</t>
  </si>
  <si>
    <t>Final energy consumption from solid biomass for space heating in the residential sector</t>
  </si>
  <si>
    <t>enccfreschf</t>
  </si>
  <si>
    <t>Final oil consumption for space heating in the residential sector</t>
  </si>
  <si>
    <t>petcfreschf</t>
  </si>
  <si>
    <t>Final energy consumption from gas grid / gas consumed locally for space heating in the residential sector</t>
  </si>
  <si>
    <t>gazcfreschf</t>
  </si>
  <si>
    <t>Final electricity consumption for space heating in the residential sector</t>
  </si>
  <si>
    <t>elccfreschf</t>
  </si>
  <si>
    <t>Final energy consumption from heating networks for space heating in the residential sector</t>
  </si>
  <si>
    <t>vapcfreschf</t>
  </si>
  <si>
    <t>Final energy consumption from ambient heat (heat pumps…) for space heating in the residential sector</t>
  </si>
  <si>
    <t>paccfreschf</t>
  </si>
  <si>
    <t>Final energy consumption from thermal solar for space heating in the residential sector</t>
  </si>
  <si>
    <t>sthcfreschf</t>
  </si>
  <si>
    <t>• Cooling (energy consumption for…)</t>
  </si>
  <si>
    <t>\-&gt; Equipment rate</t>
  </si>
  <si>
    <t>Rate of equipment ownership for air conditioning</t>
  </si>
  <si>
    <t>teqcli</t>
  </si>
  <si>
    <t>Ownership rate of air-conditioning equipment in existing dwellings</t>
  </si>
  <si>
    <t>teqclilex</t>
  </si>
  <si>
    <t>Ownership rate of air-conditioning equipment in renovated dwellings</t>
  </si>
  <si>
    <t>teqclilrv</t>
  </si>
  <si>
    <t>Ownership rate of air-conditioning equipment in new-build dwellings</t>
  </si>
  <si>
    <t>teqclilpn</t>
  </si>
  <si>
    <t>\-&gt; Cooling needs / comfort</t>
  </si>
  <si>
    <t>Unit needs per equipped dwelling for cooling</t>
  </si>
  <si>
    <t>kWh/dw</t>
  </si>
  <si>
    <t>cfmresclidw</t>
  </si>
  <si>
    <t>Cooling needs per equipped dwellings</t>
  </si>
  <si>
    <t>cfmrescli</t>
  </si>
  <si>
    <t>Cooling needs per equipped existing dwellings</t>
  </si>
  <si>
    <t>cfmlexcli</t>
  </si>
  <si>
    <t>Cooling needs per equipped renovated dwellings</t>
  </si>
  <si>
    <t>cfmlrvcli</t>
  </si>
  <si>
    <t>Cooling needs per equipped new-build dwellings</t>
  </si>
  <si>
    <t>cfmlpncli</t>
  </si>
  <si>
    <t>\-&gt; Performance of cooling systems</t>
  </si>
  <si>
    <t>Performance of domestic cooling systems</t>
  </si>
  <si>
    <t>ceerescli</t>
  </si>
  <si>
    <t>\-&gt; Results from the Energy Demand Calculation Module: FEC for cooling</t>
  </si>
  <si>
    <t>caltoccfrescli</t>
  </si>
  <si>
    <r>
      <rPr>
        <rFont val="Calibri"/>
        <i/>
        <color rgb="FFFFFFFF"/>
        <sz val="11.0"/>
      </rPr>
      <t xml:space="preserve">Residential cooling energy consumption </t>
    </r>
    <r>
      <rPr>
        <rFont val="Calibri"/>
        <b/>
        <i/>
        <color rgb="FFFFFFFF"/>
        <sz val="11.0"/>
      </rPr>
      <t>per person</t>
    </r>
  </si>
  <si>
    <t>calcfresclicap</t>
  </si>
  <si>
    <t>\-&gt; FEC for cooling per final energy carrier</t>
  </si>
  <si>
    <r>
      <rPr>
        <rFont val="Calibri"/>
        <b/>
        <color rgb="FF000000"/>
        <sz val="11.0"/>
      </rPr>
      <t>Total</t>
    </r>
    <r>
      <rPr>
        <rFont val="Calibri"/>
        <b val="0"/>
        <color rgb="FF000000"/>
        <sz val="11.0"/>
      </rPr>
      <t xml:space="preserve"> final energy consumption for cooling in the residential sector</t>
    </r>
  </si>
  <si>
    <t>toccfrescli</t>
  </si>
  <si>
    <t>Final electricity consumption for cooling in the residential sector</t>
  </si>
  <si>
    <t>elccfrescli</t>
  </si>
  <si>
    <t>Final energy consumption from cooling network for cooling in the residential sector</t>
  </si>
  <si>
    <t>vapcfrescli</t>
  </si>
  <si>
    <t>Final energy consumption from thermal solar for cooling in the residential sector</t>
  </si>
  <si>
    <t>sthcfrescli</t>
  </si>
  <si>
    <t>&gt; Other uses of heat (energy consumption for…)</t>
  </si>
  <si>
    <t>• Hot water (energy consumption for…)</t>
  </si>
  <si>
    <t>\-&gt; Needs</t>
  </si>
  <si>
    <t>Average domestic hot water needs (in useful energy) per person</t>
  </si>
  <si>
    <t>cfmresecs</t>
  </si>
  <si>
    <t>Average domestic hot water needs (in volume) per person</t>
  </si>
  <si>
    <t>Base 100 for the RY</t>
  </si>
  <si>
    <t>cfmresecsvol</t>
  </si>
  <si>
    <t>\-&gt; Housing stock description disaggregated per final energy carriers for hot water</t>
  </si>
  <si>
    <t>Stock of dwellings permanently occupied with water heaters using solid fossil fuels (coal...)</t>
  </si>
  <si>
    <t>nbrlprecscms</t>
  </si>
  <si>
    <t>Stock of dwellings permanently occupied with water heaters using solid biomass</t>
  </si>
  <si>
    <t>nbrlprecsboi</t>
  </si>
  <si>
    <t>Stock of dwellings permanently occupied with oil-fired water heaters</t>
  </si>
  <si>
    <t>nbrlprecspet</t>
  </si>
  <si>
    <t>Stock of dwellings permanently occupied with water heaters using gas grid / gas consumed locally</t>
  </si>
  <si>
    <t>nbrlprecsgaz</t>
  </si>
  <si>
    <t>Stock of dwellings permanently occupied with electric water heaters</t>
  </si>
  <si>
    <t>nbrlprecsele</t>
  </si>
  <si>
    <t>Stock of dwellings permanently occupied with water heaters using heating network</t>
  </si>
  <si>
    <t>nbrlprecsvap</t>
  </si>
  <si>
    <t>Stock of dwellings permanently occupied with thermodynamic water heaters</t>
  </si>
  <si>
    <t>nbrlprecspac</t>
  </si>
  <si>
    <t>Stock of dwellings permanently occupied with thermal solar water heaters</t>
  </si>
  <si>
    <t>nbrlprecssth</t>
  </si>
  <si>
    <t>\-&gt; Performance of water heaters (per final energy carrier)</t>
  </si>
  <si>
    <t>Performance of domestic water heaters using solid fossil fuels (coal...)</t>
  </si>
  <si>
    <t>ceeresecscms</t>
  </si>
  <si>
    <t>Performance of domestic water heaters using solid biomass</t>
  </si>
  <si>
    <t>ceeresecsboi</t>
  </si>
  <si>
    <t>Performance of domestic oil-fired water heaters</t>
  </si>
  <si>
    <t>ceeresecspet</t>
  </si>
  <si>
    <t>Performance of domestic water heaters using gas grid / gas consumed locally</t>
  </si>
  <si>
    <t>ceeresecsgaz</t>
  </si>
  <si>
    <t>Performance of domestic electric water heaters</t>
  </si>
  <si>
    <t>ceeresecsele</t>
  </si>
  <si>
    <t>Performance of domestic water heaters using heating network</t>
  </si>
  <si>
    <t>ceeresecsvap</t>
  </si>
  <si>
    <t>Performance of domestic thermodynamic water heaters</t>
  </si>
  <si>
    <t>ceeresecspac</t>
  </si>
  <si>
    <t>Share of DHW needs covered by thermal solar water heaters in equipped dwellings</t>
  </si>
  <si>
    <t>cseresecssth</t>
  </si>
  <si>
    <r>
      <rPr>
        <rFont val="Calibri"/>
        <b/>
        <color rgb="FF000000"/>
        <sz val="11.0"/>
      </rPr>
      <t>Total</t>
    </r>
    <r>
      <rPr>
        <rFont val="Calibri"/>
        <b val="0"/>
        <color rgb="FF000000"/>
        <sz val="11.0"/>
      </rPr>
      <t xml:space="preserve"> final energy consumption for domestic hot water</t>
    </r>
  </si>
  <si>
    <t>toccfresecs</t>
  </si>
  <si>
    <t>Final energy consumption from solid fossil fuels (coal ...) for domestic hot water</t>
  </si>
  <si>
    <t>cmscfresecs</t>
  </si>
  <si>
    <t>Final energy consumption from solid biomass for domestic hot water</t>
  </si>
  <si>
    <t>enccfresecs</t>
  </si>
  <si>
    <t>Final oil consumption for domestic hot water</t>
  </si>
  <si>
    <t>petcfresecs</t>
  </si>
  <si>
    <t>Final energy consumption from gas grid / gas consumed locally for domestic hot water</t>
  </si>
  <si>
    <t>gazcfresecs</t>
  </si>
  <si>
    <t>Final electricity consumption for domestic hot water</t>
  </si>
  <si>
    <t>elccfresecs</t>
  </si>
  <si>
    <t>Final energy consumption from heating networks for domestic hot water</t>
  </si>
  <si>
    <t>vapcfresecs</t>
  </si>
  <si>
    <t>Final energy consumption from ambient heat (heat pumps…) for domestic hot water</t>
  </si>
  <si>
    <t>paccfresecs</t>
  </si>
  <si>
    <t>Final energy consumption from thermal solar for domestic hot water</t>
  </si>
  <si>
    <t>sthcfresecs</t>
  </si>
  <si>
    <t>• Cooking* (energy consumption for…)</t>
  </si>
  <si>
    <t>*The category 'cooking systems' here refers only to ovens, hobs and microwave ovens; other small appliances such as coffee machines, kettles and food processors are included in 'other domestic electrical appliances including new devices' under the heading 'Specific electricity'.</t>
  </si>
  <si>
    <t>Average duration of use for domestic cooking systems</t>
  </si>
  <si>
    <t>dumrescui</t>
  </si>
  <si>
    <t>Average duration of use for domestic ovens</t>
  </si>
  <si>
    <t>dumfourescui</t>
  </si>
  <si>
    <t>Average duration of use for domestic hobs</t>
  </si>
  <si>
    <t>dumplarescui</t>
  </si>
  <si>
    <t>Average duration of use for domestic microwave ovens</t>
  </si>
  <si>
    <t>dummicrescui</t>
  </si>
  <si>
    <t>\-&gt; Performance of cooking equipment</t>
  </si>
  <si>
    <t>Performance of domestic cooking equipment</t>
  </si>
  <si>
    <t>ceerescui</t>
  </si>
  <si>
    <t>Performance of domestic ovens</t>
  </si>
  <si>
    <t>ceefourescui</t>
  </si>
  <si>
    <t>Performance of domestic hobs</t>
  </si>
  <si>
    <t>ceeplarescui</t>
  </si>
  <si>
    <t>Performance of domestic mircowave ovens</t>
  </si>
  <si>
    <t>ceemicrescui</t>
  </si>
  <si>
    <r>
      <rPr>
        <rFont val="Calibri"/>
        <b/>
        <color rgb="FF000000"/>
        <sz val="11.0"/>
      </rPr>
      <t>Total</t>
    </r>
    <r>
      <rPr>
        <rFont val="Calibri"/>
        <b val="0"/>
        <color rgb="FF000000"/>
        <sz val="11.0"/>
      </rPr>
      <t xml:space="preserve"> final energy consumption for domestic cooking</t>
    </r>
  </si>
  <si>
    <t>toccfrescui</t>
  </si>
  <si>
    <t>Final energy consumption from solid fossil fuels (coal ...) for domestic cooking</t>
  </si>
  <si>
    <t>cmscfrescui</t>
  </si>
  <si>
    <t>Final energy consumption from solid biomass for domestic cooking</t>
  </si>
  <si>
    <t>enccfrescui</t>
  </si>
  <si>
    <t>Final oil consumption for domestic cooking</t>
  </si>
  <si>
    <t>petcfrescui</t>
  </si>
  <si>
    <t>Final energy consumption from gas grid / gas consumed locally for domestic cooking</t>
  </si>
  <si>
    <t>gazcfrescui</t>
  </si>
  <si>
    <t>Final electricity consumption for domestic cooking</t>
  </si>
  <si>
    <t>elccfrescui</t>
  </si>
  <si>
    <t>&gt; Specific electricity consumption</t>
  </si>
  <si>
    <t>• Domestic equipment**... (by end-use)</t>
  </si>
  <si>
    <t>**The category 'other domestic electrical appliances including new devices' includes small cooking appliances such as coffee machines, kettles and food processors, while ovens, hobs and microwave ovens are included in the category 'cooking systems' above.</t>
  </si>
  <si>
    <t>\-&gt; Characterisation of the level of use:</t>
  </si>
  <si>
    <t>Duration of use of domestic lighting</t>
  </si>
  <si>
    <t>dumreslgt</t>
  </si>
  <si>
    <t>Level of use of domestic washing machines</t>
  </si>
  <si>
    <t>lumreslvl</t>
  </si>
  <si>
    <t>Level of use of domestic dishwashers</t>
  </si>
  <si>
    <t>lumreslvv</t>
  </si>
  <si>
    <t>Level of use of domestic dryers</t>
  </si>
  <si>
    <t>lumresscl</t>
  </si>
  <si>
    <t>Duration of use of TV</t>
  </si>
  <si>
    <t>dumrestvs</t>
  </si>
  <si>
    <t>Duration of use of domestic IT equipment including new devices and excluding TV</t>
  </si>
  <si>
    <t>dumresite</t>
  </si>
  <si>
    <t>Duration of use of other domestic electrical appliances including new devices (and standby not already accounted for)</t>
  </si>
  <si>
    <t>dumresoea</t>
  </si>
  <si>
    <t>Rate of equipment ownership for refrigerator</t>
  </si>
  <si>
    <t>teqrfg</t>
  </si>
  <si>
    <t>Rate of equipment ownership for freezers</t>
  </si>
  <si>
    <t>teqcgl</t>
  </si>
  <si>
    <t>Rate of equipment ownership for washing machine</t>
  </si>
  <si>
    <t>teqlvl</t>
  </si>
  <si>
    <t>Rate of equipment ownership for dishwashers</t>
  </si>
  <si>
    <t>teqlvv</t>
  </si>
  <si>
    <t>Rate of equipment ownership for dryers</t>
  </si>
  <si>
    <t>teqscl</t>
  </si>
  <si>
    <t>Rate of equipment ownership for TV (multi-equipment included)</t>
  </si>
  <si>
    <t>teqtvsmult</t>
  </si>
  <si>
    <t>Rate of equipment ownership for domestic IT equipment including new devices and excluding TV</t>
  </si>
  <si>
    <t>teqite</t>
  </si>
  <si>
    <t>Rate of equipment ownership for other domestic electrical appliances including new devices (and standby not already accounted for)</t>
  </si>
  <si>
    <t>teqoea</t>
  </si>
  <si>
    <t>\-&gt; Performance of equipment: (unit consumption)***</t>
  </si>
  <si>
    <t>***Please consider here only energy efficiency and do not include the assumptions on the level of use (energy sufficiency) filled in above.</t>
  </si>
  <si>
    <t>Unit consumption per dwelling for lighting</t>
  </si>
  <si>
    <t>cselelgt</t>
  </si>
  <si>
    <t>Unit consumption for lighting per m2</t>
  </si>
  <si>
    <t>cutocreslgtm2</t>
  </si>
  <si>
    <t>Unit consumption of domestic refrigerators</t>
  </si>
  <si>
    <t>kWh/yr</t>
  </si>
  <si>
    <t>cselerfg</t>
  </si>
  <si>
    <t>Unit consumption of domestic freezers</t>
  </si>
  <si>
    <t>cselecgl</t>
  </si>
  <si>
    <t>Unit consumption of domestic washing machines</t>
  </si>
  <si>
    <t>cselelvl</t>
  </si>
  <si>
    <t>Unit consumption of domestic dishwashers</t>
  </si>
  <si>
    <t>cselelvv</t>
  </si>
  <si>
    <t>Unit consumption of domestic dryers</t>
  </si>
  <si>
    <t>cselescl</t>
  </si>
  <si>
    <t>Unit consumption of TV</t>
  </si>
  <si>
    <t>cseletvs</t>
  </si>
  <si>
    <t>Unit consumption of domestic IT equipment including new devices and excluding TV</t>
  </si>
  <si>
    <t>cseleite</t>
  </si>
  <si>
    <t>Unit consumption of other domestic electrical appliances including new devices (and standby not already accounted for)</t>
  </si>
  <si>
    <t>cseleoea</t>
  </si>
  <si>
    <t>\-&gt; Results from the Energy Demand Calculation Module: Domestic consumption of specific electricity</t>
  </si>
  <si>
    <r>
      <rPr>
        <rFont val="Calibri"/>
        <b/>
        <i/>
        <color rgb="FFFFFFFF"/>
        <sz val="11.0"/>
      </rPr>
      <t>Total</t>
    </r>
    <r>
      <rPr>
        <rFont val="Calibri"/>
        <b val="0"/>
        <i/>
        <color rgb="FFFFFFFF"/>
        <sz val="11.0"/>
      </rPr>
      <t xml:space="preserve"> electricity consumption for domestic equipment</t>
    </r>
  </si>
  <si>
    <t>caltotelccfresdom</t>
  </si>
  <si>
    <t>Domestic electricity consumption for lighting</t>
  </si>
  <si>
    <t>calelccfreslgt</t>
  </si>
  <si>
    <r>
      <rPr>
        <rFont val="Calibri"/>
        <i/>
        <color rgb="FFFFFFFF"/>
        <sz val="11.0"/>
      </rPr>
      <t xml:space="preserve">Electricity consumption of households for large appliances </t>
    </r>
    <r>
      <rPr>
        <rFont val="Calibri"/>
        <i/>
        <color rgb="FFFFFFFF"/>
        <sz val="9.0"/>
      </rPr>
      <t>(TV, refrigerator, freezer, washing machine, dishwasher, dryer)</t>
    </r>
  </si>
  <si>
    <t>calelecfreslar</t>
  </si>
  <si>
    <r>
      <rPr>
        <rFont val="Calibri"/>
        <i/>
        <color rgb="FFFFFFFF"/>
        <sz val="11.0"/>
      </rPr>
      <t xml:space="preserve">Electricity consumption of households for small appliances </t>
    </r>
    <r>
      <rPr>
        <rFont val="Calibri"/>
        <i/>
        <color rgb="FFFFFFFF"/>
        <sz val="9.0"/>
      </rPr>
      <t>(other: PC, coffe machine, video...)</t>
    </r>
  </si>
  <si>
    <t>calelecfressma</t>
  </si>
  <si>
    <r>
      <rPr>
        <rFont val="Calibri"/>
        <b/>
        <color rgb="FF000000"/>
        <sz val="11.0"/>
      </rPr>
      <t>Total</t>
    </r>
    <r>
      <rPr>
        <rFont val="Calibri"/>
        <b val="0"/>
        <color rgb="FF000000"/>
        <sz val="11.0"/>
      </rPr>
      <t xml:space="preserve"> domestic consumption of specific electricity</t>
    </r>
  </si>
  <si>
    <t>elecfresels</t>
  </si>
  <si>
    <t>elccfreslgt</t>
  </si>
  <si>
    <r>
      <rPr>
        <rFont val="Calibri"/>
        <color rgb="FF000000"/>
        <sz val="11.0"/>
      </rPr>
      <t xml:space="preserve">Electricity consumption of households for large appliances </t>
    </r>
    <r>
      <rPr>
        <rFont val="Calibri"/>
        <color rgb="FF000000"/>
        <sz val="9.0"/>
      </rPr>
      <t>(TV, refrigerator, freezer, washing machine, dishwasher, dryer)</t>
    </r>
  </si>
  <si>
    <t>elecfreslar</t>
  </si>
  <si>
    <r>
      <rPr>
        <rFont val="Calibri"/>
        <color rgb="FF000000"/>
        <sz val="11.0"/>
      </rPr>
      <t xml:space="preserve">Electricity consumption of households for small appliances </t>
    </r>
    <r>
      <rPr>
        <rFont val="Calibri"/>
        <color rgb="FF000000"/>
        <sz val="9.0"/>
      </rPr>
      <t>(other: PC, coffe machine, video...)</t>
    </r>
  </si>
  <si>
    <t>elecfressma</t>
  </si>
  <si>
    <t>• Building management****</t>
  </si>
  <si>
    <t>**** This includes: auxiliaries for heating systems (boiler circulators (pumps), thermostats), mechanical ventilation systems, home automation systems (sensors, cameras, roller shutters, automatic doors, home boxes...), consumption in common areas of buildings (lifts, corridor lighting, door code, etc.)</t>
  </si>
  <si>
    <t>Energy sufficiency indicator for residential building management</t>
  </si>
  <si>
    <t>cseresbmg</t>
  </si>
  <si>
    <t>Energy efficiency of residential building management equipment</t>
  </si>
  <si>
    <t>ceeresbmg</t>
  </si>
  <si>
    <r>
      <rPr>
        <rFont val="Calibri"/>
        <b/>
        <color rgb="FF000000"/>
        <sz val="11.0"/>
      </rPr>
      <t>Total</t>
    </r>
    <r>
      <rPr>
        <rFont val="Calibri"/>
        <b val="0"/>
        <color rgb="FF000000"/>
        <sz val="11.0"/>
      </rPr>
      <t xml:space="preserve"> final residential electricy consumption for building management</t>
    </r>
  </si>
  <si>
    <t>elccfresbmg</t>
  </si>
  <si>
    <t>Final energy consumption per final energy carrier in the residential sector</t>
  </si>
  <si>
    <t>• Results from the Energy Demand Calculation Module:</t>
  </si>
  <si>
    <t>caltoccfres</t>
  </si>
  <si>
    <t>calcmscfres</t>
  </si>
  <si>
    <t>calenccfres</t>
  </si>
  <si>
    <t>calpetcfres</t>
  </si>
  <si>
    <t>calgazcfres</t>
  </si>
  <si>
    <t>calelccfres</t>
  </si>
  <si>
    <t>calvapcfres</t>
  </si>
  <si>
    <t>calpaccfres</t>
  </si>
  <si>
    <t>calsthcfres</t>
  </si>
  <si>
    <r>
      <rPr>
        <rFont val="Calibri"/>
        <b/>
        <color rgb="FF000000"/>
        <sz val="11.0"/>
      </rPr>
      <t>Total</t>
    </r>
    <r>
      <rPr>
        <rFont val="Calibri"/>
        <b val="0"/>
        <color rgb="FF000000"/>
        <sz val="11.0"/>
      </rPr>
      <t xml:space="preserve"> final energy consumption in the residential sector</t>
    </r>
  </si>
  <si>
    <t>toccfres</t>
  </si>
  <si>
    <t>Final energy consumption from solid fossil fuels (coal ...) in the residential sector</t>
  </si>
  <si>
    <t>cmscfres</t>
  </si>
  <si>
    <t>Final energy consumption from solid biomass in the residential sector</t>
  </si>
  <si>
    <t>enccfres</t>
  </si>
  <si>
    <t>Final oil consumption in the residential sector</t>
  </si>
  <si>
    <t>petcfres</t>
  </si>
  <si>
    <t>Final energy consumption from gas grid / gas consumed locally in the residential sector</t>
  </si>
  <si>
    <t>gazcfres</t>
  </si>
  <si>
    <t>Final electricity consumption in the residential sector</t>
  </si>
  <si>
    <t>elccfres</t>
  </si>
  <si>
    <t>Final energy consumption from heating networks in the residential sector</t>
  </si>
  <si>
    <t>vapcfres</t>
  </si>
  <si>
    <t>Final energy consumption from ambient heat (heat pumps…) in the residential sector</t>
  </si>
  <si>
    <t>paccfres</t>
  </si>
  <si>
    <t>Final energy consumption from thermal solar in the residential sector</t>
  </si>
  <si>
    <t>sthcfres</t>
  </si>
  <si>
    <t>Any general comment on the Residential sector?</t>
  </si>
  <si>
    <t>Heating / cooling (energy consumption for…)</t>
  </si>
  <si>
    <t>\-&gt; Needs / comfort (FEC for cooling)</t>
  </si>
  <si>
    <t>Other uses of heat (energy consumption for…)</t>
  </si>
  <si>
    <t>\-&gt; Performance of hot water systems (per final energy carrier)</t>
  </si>
  <si>
    <t>\-&gt; FEC for hot water per final energy carrier</t>
  </si>
  <si>
    <t>• Cooking (energy consumption for…)</t>
  </si>
  <si>
    <t>\-&gt; FEC for cooking per final energy carrier</t>
  </si>
  <si>
    <t>Specific electricity consumption</t>
  </si>
  <si>
    <t>• Domestic equipment... (by end-use)</t>
  </si>
  <si>
    <t>\-&gt; Performance of equipment: (unit consumption)</t>
  </si>
  <si>
    <t>\-&gt; Electric consumption for:</t>
  </si>
  <si>
    <t>• Building management</t>
  </si>
  <si>
    <t>EDCM Comments</t>
  </si>
  <si>
    <t>Check: nbrlpr = men?</t>
  </si>
  <si>
    <t>crdlprmen</t>
  </si>
  <si>
    <t>Total floor area of unrenovated existing buildings</t>
  </si>
  <si>
    <t>caltotsurlex</t>
  </si>
  <si>
    <t>Total floor area of renovated buildings</t>
  </si>
  <si>
    <t>caltotsurlrv</t>
  </si>
  <si>
    <t>Heating</t>
  </si>
  <si>
    <t>Check: Additional FEC for secondary or vacant dwellings</t>
  </si>
  <si>
    <t>Check: Needs of the housing stock</t>
  </si>
  <si>
    <t>crdeereschf</t>
  </si>
  <si>
    <r>
      <rPr>
        <rFont val="Calibri"/>
        <b/>
        <i/>
        <color rgb="FF3878E0"/>
        <sz val="11.0"/>
      </rPr>
      <t xml:space="preserve">• Final </t>
    </r>
    <r>
      <rPr>
        <rFont val="Calibri"/>
        <b/>
        <i val="0"/>
        <color rgb="FF3878E0"/>
        <sz val="11.0"/>
        <u/>
      </rPr>
      <t>USEFUL</t>
    </r>
    <r>
      <rPr>
        <rFont val="Calibri"/>
        <b/>
        <i/>
        <color rgb="FF3878E0"/>
        <sz val="11.0"/>
      </rPr>
      <t xml:space="preserve"> Energy Consumption for space heating per type of dwelling</t>
    </r>
  </si>
  <si>
    <t>Final useful energy consumption of unrenovated existing dwellings for space heating</t>
  </si>
  <si>
    <t>calcureslexchf</t>
  </si>
  <si>
    <t>Final useful energy consumption of renovated dwellings for space heating</t>
  </si>
  <si>
    <t>calcureslrvchf</t>
  </si>
  <si>
    <t>Final useful energy consumption of new dwellings for space heating</t>
  </si>
  <si>
    <t>calcureslpnchf</t>
  </si>
  <si>
    <t>caltoccureschf</t>
  </si>
  <si>
    <t>• Final Energy Consumption for space heating per final energy carrier</t>
  </si>
  <si>
    <r>
      <rPr>
        <rFont val="Calibri"/>
        <color rgb="FF000000"/>
        <sz val="11.0"/>
      </rPr>
      <t xml:space="preserve">This indicator includes the electricity consumption of electric resistance heaters </t>
    </r>
    <r>
      <rPr>
        <rFont val="Calibri"/>
        <color rgb="FF000000"/>
        <sz val="11.0"/>
        <u/>
      </rPr>
      <t>and</t>
    </r>
    <r>
      <rPr>
        <rFont val="Calibri"/>
        <color rgb="FF000000"/>
        <sz val="11.0"/>
      </rPr>
      <t xml:space="preserve"> heat pumps.</t>
    </r>
  </si>
  <si>
    <t>Heat extracted from the colder source.</t>
  </si>
  <si>
    <r>
      <rPr>
        <rFont val="Calibri"/>
        <i/>
        <color rgb="FFFFFFFF"/>
        <sz val="11.0"/>
      </rPr>
      <t xml:space="preserve">Residential heating energy consumption </t>
    </r>
    <r>
      <rPr>
        <rFont val="Calibri"/>
        <b/>
        <i/>
        <color rgb="FFFFFFFF"/>
        <sz val="11.0"/>
      </rPr>
      <t>per person</t>
    </r>
  </si>
  <si>
    <t>• Building stock consistency checks</t>
  </si>
  <si>
    <r>
      <rPr>
        <rFont val="Calibri"/>
        <i/>
        <color rgb="FF006600"/>
        <sz val="11.0"/>
      </rPr>
      <t xml:space="preserve">Total floor area of existing buildings (existing + new buildings from N-1) </t>
    </r>
    <r>
      <rPr>
        <rFont val="Calibri"/>
        <i/>
        <color rgb="FF006600"/>
        <sz val="11.0"/>
        <u/>
      </rPr>
      <t>before destructions</t>
    </r>
  </si>
  <si>
    <t>Existing building destructions</t>
  </si>
  <si>
    <t>• Energy needs consistency checks</t>
  </si>
  <si>
    <t>Final useful energy consumption of unrenovated recently built buildings</t>
  </si>
  <si>
    <r>
      <rPr>
        <rFont val="Calibri"/>
        <i/>
        <color rgb="FF006600"/>
        <sz val="11.0"/>
      </rPr>
      <t xml:space="preserve">Final useful energy consumption of unrenovated existing buildings </t>
    </r>
    <r>
      <rPr>
        <rFont val="Calibri"/>
        <i/>
        <color rgb="FF006600"/>
        <sz val="11.0"/>
        <u/>
      </rPr>
      <t>not recently built</t>
    </r>
  </si>
  <si>
    <t>Total floor area of recently built buildings</t>
  </si>
  <si>
    <t>Total floor area of not recently built buildings</t>
  </si>
  <si>
    <t>Heating needs of unrenovated recently built buildings</t>
  </si>
  <si>
    <r>
      <rPr>
        <rFont val="Calibri"/>
        <i/>
        <color rgb="FF006600"/>
        <sz val="11.0"/>
      </rPr>
      <t xml:space="preserve">Heating needs of unrenovated existing buildings </t>
    </r>
    <r>
      <rPr>
        <rFont val="Calibri"/>
        <i/>
        <color rgb="FF006600"/>
        <sz val="11.0"/>
        <u/>
      </rPr>
      <t>not recently built</t>
    </r>
  </si>
  <si>
    <t>• Deviation from partner's values</t>
  </si>
  <si>
    <t>Check: Heating &gt; With climatic correction?</t>
  </si>
  <si>
    <r>
      <rPr>
        <rFont val="Calibri"/>
        <b/>
        <i/>
        <color rgb="FF006600"/>
        <sz val="11.0"/>
      </rPr>
      <t>Deviation</t>
    </r>
    <r>
      <rPr>
        <rFont val="Calibri"/>
        <b val="0"/>
        <i/>
        <color rgb="FF006600"/>
        <sz val="11.0"/>
      </rPr>
      <t xml:space="preserve"> from partner's values concerning the </t>
    </r>
    <r>
      <rPr>
        <rFont val="Calibri"/>
        <b/>
        <i/>
        <color rgb="FF006600"/>
        <sz val="11.0"/>
      </rPr>
      <t>Total</t>
    </r>
    <r>
      <rPr>
        <rFont val="Calibri"/>
        <b val="0"/>
        <i/>
        <color rgb="FF006600"/>
        <sz val="11.0"/>
      </rPr>
      <t xml:space="preserve"> FEC for space heating in the residential sector</t>
    </r>
  </si>
  <si>
    <t>cditoccfreschf</t>
  </si>
  <si>
    <r>
      <rPr>
        <rFont val="Calibri"/>
        <b/>
        <i/>
        <color rgb="FF006600"/>
        <sz val="11.0"/>
      </rPr>
      <t>Deviation</t>
    </r>
    <r>
      <rPr>
        <rFont val="Calibri"/>
        <b val="0"/>
        <i/>
        <color rgb="FF006600"/>
        <sz val="11.0"/>
      </rPr>
      <t xml:space="preserve"> from partner's values concerning the FEC from solid fossil fuels (coal ...) for space heating in the residential sector</t>
    </r>
  </si>
  <si>
    <t>cdicmscfreschf</t>
  </si>
  <si>
    <r>
      <rPr>
        <rFont val="Calibri"/>
        <b/>
        <i/>
        <color rgb="FF006600"/>
        <sz val="11.0"/>
      </rPr>
      <t>Deviation</t>
    </r>
    <r>
      <rPr>
        <rFont val="Calibri"/>
        <b val="0"/>
        <i/>
        <color rgb="FF006600"/>
        <sz val="11.0"/>
      </rPr>
      <t xml:space="preserve"> from partner's values concerning the FEC from solid biomass for space heating in the residential sector</t>
    </r>
  </si>
  <si>
    <t>cdienccfreschf</t>
  </si>
  <si>
    <r>
      <rPr>
        <rFont val="Calibri"/>
        <b/>
        <i/>
        <color rgb="FF006600"/>
        <sz val="11.0"/>
      </rPr>
      <t>Deviation</t>
    </r>
    <r>
      <rPr>
        <rFont val="Calibri"/>
        <b val="0"/>
        <i/>
        <color rgb="FF006600"/>
        <sz val="11.0"/>
      </rPr>
      <t xml:space="preserve"> from partner's values concerning the FEC from oil for space heating in the residential sector</t>
    </r>
  </si>
  <si>
    <t>cdipetcfreschf</t>
  </si>
  <si>
    <r>
      <rPr>
        <rFont val="Calibri"/>
        <b/>
        <i/>
        <color rgb="FF006600"/>
        <sz val="11.0"/>
      </rPr>
      <t>Deviation</t>
    </r>
    <r>
      <rPr>
        <rFont val="Calibri"/>
        <b val="0"/>
        <i/>
        <color rgb="FF006600"/>
        <sz val="11.0"/>
      </rPr>
      <t xml:space="preserve"> from partner's values concerning the FEC from gas grid / gas consumed locally for space heating in the residential sector</t>
    </r>
  </si>
  <si>
    <t>cdigazcfreschf</t>
  </si>
  <si>
    <r>
      <rPr>
        <rFont val="Calibri"/>
        <b/>
        <i/>
        <color rgb="FF006600"/>
        <sz val="11.0"/>
      </rPr>
      <t>Deviation</t>
    </r>
    <r>
      <rPr>
        <rFont val="Calibri"/>
        <b val="0"/>
        <i/>
        <color rgb="FF006600"/>
        <sz val="11.0"/>
      </rPr>
      <t xml:space="preserve"> from partner's values concerning the Final electricity consumption for space heating in the residential sector</t>
    </r>
  </si>
  <si>
    <t>cdielccfreschf</t>
  </si>
  <si>
    <r>
      <rPr>
        <rFont val="Calibri"/>
        <b/>
        <i/>
        <color rgb="FF006600"/>
        <sz val="11.0"/>
      </rPr>
      <t>Deviation</t>
    </r>
    <r>
      <rPr>
        <rFont val="Calibri"/>
        <b val="0"/>
        <i/>
        <color rgb="FF006600"/>
        <sz val="11.0"/>
      </rPr>
      <t xml:space="preserve"> from partner's values concerning the FEC from heating networks for space heating in the residential sector</t>
    </r>
  </si>
  <si>
    <t>cdivapcfreschf</t>
  </si>
  <si>
    <r>
      <rPr>
        <rFont val="Calibri"/>
        <b/>
        <i/>
        <color rgb="FF006600"/>
        <sz val="11.0"/>
      </rPr>
      <t>Deviation</t>
    </r>
    <r>
      <rPr>
        <rFont val="Calibri"/>
        <b val="0"/>
        <i/>
        <color rgb="FF006600"/>
        <sz val="11.0"/>
      </rPr>
      <t xml:space="preserve"> from partner's values concerning the Final energy consumption from ambient heat (heat pumps…) for space heating in the residential sector</t>
    </r>
  </si>
  <si>
    <t>cdipaccfreschf</t>
  </si>
  <si>
    <r>
      <rPr>
        <rFont val="Calibri"/>
        <b/>
        <i/>
        <color rgb="FF006600"/>
        <sz val="11.0"/>
      </rPr>
      <t>Deviation</t>
    </r>
    <r>
      <rPr>
        <rFont val="Calibri"/>
        <b val="0"/>
        <i/>
        <color rgb="FF006600"/>
        <sz val="11.0"/>
      </rPr>
      <t xml:space="preserve"> from partner's values concerning the FEC from thermal solar for space heating in the residential sector</t>
    </r>
  </si>
  <si>
    <t>cdisthcfreschf</t>
  </si>
  <si>
    <t>• Final Energy Consumption for space heating per final energy carrier &gt; Aggregated level = partner's input</t>
  </si>
  <si>
    <t>Check: Russian dolls - Aggregated level of input &gt; Heating consumption</t>
  </si>
  <si>
    <t>crdalireschf</t>
  </si>
  <si>
    <t>Cooling</t>
  </si>
  <si>
    <t>Check: Russian dolls &gt; equipment rate disaggregated by type of dwellings</t>
  </si>
  <si>
    <t>crdeqrrescli</t>
  </si>
  <si>
    <t>Check: Russian dolls &gt; cooling needs disaggregated by type of dwellings</t>
  </si>
  <si>
    <t>crdclnrescli</t>
  </si>
  <si>
    <r>
      <rPr>
        <rFont val="Calibri"/>
        <b/>
        <i/>
        <color rgb="FF006600"/>
        <sz val="11.0"/>
      </rPr>
      <t xml:space="preserve">Check: Unit cooling needs per </t>
    </r>
    <r>
      <rPr>
        <rFont val="Calibri"/>
        <b/>
        <i val="0"/>
        <color rgb="FF006600"/>
        <sz val="11.0"/>
      </rPr>
      <t>equipped?</t>
    </r>
    <r>
      <rPr>
        <rFont val="Calibri"/>
        <b/>
        <i/>
        <color rgb="FF006600"/>
        <sz val="11.0"/>
      </rPr>
      <t xml:space="preserve"> dwellings</t>
    </r>
  </si>
  <si>
    <t>ccicfmdw</t>
  </si>
  <si>
    <r>
      <rPr>
        <rFont val="Calibri"/>
        <i/>
        <color rgb="FFFFFFFF"/>
        <sz val="11.0"/>
      </rPr>
      <t xml:space="preserve">Unit needs per </t>
    </r>
    <r>
      <rPr>
        <rFont val="Calibri"/>
        <b/>
        <i/>
        <color rgb="FFFFFFFF"/>
        <sz val="11.0"/>
        <u/>
      </rPr>
      <t>equipped</t>
    </r>
    <r>
      <rPr>
        <rFont val="Calibri"/>
        <i/>
        <color rgb="FFFFFFFF"/>
        <sz val="11.0"/>
      </rPr>
      <t xml:space="preserve"> dwelling for cooling</t>
    </r>
  </si>
  <si>
    <t>calcfmresclidw</t>
  </si>
  <si>
    <r>
      <rPr>
        <rFont val="Calibri"/>
        <b/>
        <i/>
        <color rgb="FF3878E0"/>
        <sz val="11.0"/>
      </rPr>
      <t xml:space="preserve">• Final </t>
    </r>
    <r>
      <rPr>
        <rFont val="Calibri"/>
        <b/>
        <i val="0"/>
        <color rgb="FF3878E0"/>
        <sz val="11.0"/>
        <u/>
      </rPr>
      <t>USEFUL</t>
    </r>
    <r>
      <rPr>
        <rFont val="Calibri"/>
        <b/>
        <i/>
        <color rgb="FF3878E0"/>
        <sz val="11.0"/>
      </rPr>
      <t xml:space="preserve"> Energy Consumption for cooling per type of building</t>
    </r>
  </si>
  <si>
    <t>Final useful energy consumption of unrenovated existing dwellings for cooling</t>
  </si>
  <si>
    <t>calcureslexcli</t>
  </si>
  <si>
    <t>Final useful energy consumption of renovated dwellings for cooling</t>
  </si>
  <si>
    <t>calcureslrvcli</t>
  </si>
  <si>
    <t>Final useful energy consumption of new dwellings for cooling</t>
  </si>
  <si>
    <t>calcureslpncli</t>
  </si>
  <si>
    <t>TOTAL Final useful energy consumption of dwellings for cooling</t>
  </si>
  <si>
    <t>caltoccurescli</t>
  </si>
  <si>
    <t>• Final Energy Consumption for cooling per final energy carrier</t>
  </si>
  <si>
    <t>TOTAL FEC for cooling in the residential sector</t>
  </si>
  <si>
    <t>&gt; Aggregated level = partner's input</t>
  </si>
  <si>
    <t>Check: Russian dolls - Aggregated level of input &gt; Cooling consumption</t>
  </si>
  <si>
    <t>crdalirescli</t>
  </si>
  <si>
    <t>calelccfrescli</t>
  </si>
  <si>
    <t>Heat discharged to the hotter source (by heat pumps…) (ambient heat) for cooling in the residential sector (incl. secondary and vacant dwellings)</t>
  </si>
  <si>
    <t>calpercfrescli</t>
  </si>
  <si>
    <t>Heat discharged to the hotter source could be seen as a 'loss' in the sense that all the energy losses of the global energy system are ultimately degraded in the form of heat in the environment and contribute to its warming.</t>
  </si>
  <si>
    <t>calvapcfrescli</t>
  </si>
  <si>
    <t>calsthcfrescli</t>
  </si>
  <si>
    <r>
      <rPr>
        <rFont val="Calibri"/>
        <b/>
        <i/>
        <color rgb="FF006600"/>
        <sz val="11.0"/>
      </rPr>
      <t>Deviation</t>
    </r>
    <r>
      <rPr>
        <rFont val="Calibri"/>
        <b val="0"/>
        <i/>
        <color rgb="FF006600"/>
        <sz val="11.0"/>
      </rPr>
      <t xml:space="preserve"> from partner's values concerning the </t>
    </r>
    <r>
      <rPr>
        <rFont val="Calibri"/>
        <b/>
        <i/>
        <color rgb="FF006600"/>
        <sz val="11.0"/>
      </rPr>
      <t>Total</t>
    </r>
    <r>
      <rPr>
        <rFont val="Calibri"/>
        <b val="0"/>
        <i/>
        <color rgb="FF006600"/>
        <sz val="11.0"/>
      </rPr>
      <t xml:space="preserve"> Final electricity consumption for cooling in the residential sector</t>
    </r>
  </si>
  <si>
    <t>cdielccfrescli</t>
  </si>
  <si>
    <t>Hot water</t>
  </si>
  <si>
    <t>• FEC for hot water per final energy carrier (input values)</t>
  </si>
  <si>
    <r>
      <rPr>
        <rFont val="Calibri"/>
        <b/>
        <color rgb="FF000000"/>
        <sz val="11.0"/>
      </rPr>
      <t>Total</t>
    </r>
    <r>
      <rPr>
        <rFont val="Calibri"/>
        <b val="0"/>
        <color rgb="FF000000"/>
        <sz val="11.0"/>
      </rPr>
      <t xml:space="preserve"> final energy consumption for domestic hot water</t>
    </r>
  </si>
  <si>
    <t>This indicator includes the electricity consumption of electric water heaters and heat-pump water heaters.</t>
  </si>
  <si>
    <t>Cooking</t>
  </si>
  <si>
    <t>• FEC for cooking per final energy carrier (input values)</t>
  </si>
  <si>
    <r>
      <rPr>
        <rFont val="Calibri"/>
        <b/>
        <color rgb="FF000000"/>
        <sz val="11.0"/>
      </rPr>
      <t>Total</t>
    </r>
    <r>
      <rPr>
        <rFont val="Calibri"/>
        <b val="0"/>
        <color rgb="FF000000"/>
        <sz val="11.0"/>
      </rPr>
      <t xml:space="preserve"> final energy consumption for domestic cooking</t>
    </r>
  </si>
  <si>
    <t>\-&gt; Electricy consumption for:</t>
  </si>
  <si>
    <t>Check: Russian dolls &gt; unit consumption of Lighting for dwellings</t>
  </si>
  <si>
    <t>crdlgt</t>
  </si>
  <si>
    <t>Check: Base 100 for Duration of use of domestic lighting</t>
  </si>
  <si>
    <t>Check: Russian dolls &gt; disaggregation of large appliances</t>
  </si>
  <si>
    <t>crdlar</t>
  </si>
  <si>
    <t>Check: Base 100 for Level of use of domestic washing machines</t>
  </si>
  <si>
    <t>Check: Base 100 for Level of use of domestic dishwashers</t>
  </si>
  <si>
    <t>Check: Base 100 for Level of use of domestic dryers</t>
  </si>
  <si>
    <t>Check: Base 100 for Duration of use of TV</t>
  </si>
  <si>
    <t>Domestic electricity consumption for refrigerators</t>
  </si>
  <si>
    <t>calelccfresrfg</t>
  </si>
  <si>
    <t>Domestic electricity consumption for freezers</t>
  </si>
  <si>
    <t>calelccfrescgl</t>
  </si>
  <si>
    <t>Domestic electricity consumption for washing machines</t>
  </si>
  <si>
    <t>calelccfreslvl</t>
  </si>
  <si>
    <t>Domestic electricity consumption for dishwashers</t>
  </si>
  <si>
    <t>calelccfreslvv</t>
  </si>
  <si>
    <t>Domestic electricity consumption for dryers</t>
  </si>
  <si>
    <t>calelccfresscl</t>
  </si>
  <si>
    <t>Domestic electricity consumption for TV</t>
  </si>
  <si>
    <t>calelccfrestvs</t>
  </si>
  <si>
    <r>
      <rPr>
        <rFont val="Calibri"/>
        <i/>
        <color rgb="FFFFFFFF"/>
        <sz val="11.0"/>
      </rPr>
      <t xml:space="preserve">Electricity consumption of households for large appliances </t>
    </r>
    <r>
      <rPr>
        <rFont val="Calibri"/>
        <i val="0"/>
        <color rgb="FFFFFFFF"/>
        <sz val="9.0"/>
      </rPr>
      <t>(refrigerator, freezer, washing machine, dishwasher, dryer)</t>
    </r>
  </si>
  <si>
    <t>Check: Russian dolls &gt; disaggregation of small appliances</t>
  </si>
  <si>
    <t>crdsma</t>
  </si>
  <si>
    <t>Check: Base 100 for Duration of use of IT equipment</t>
  </si>
  <si>
    <t>Check: Base 100 for Duration of use of other domestic electrical appliances</t>
  </si>
  <si>
    <t>Domestic electricity consumption for domestic IT equipment including new devices and excluding TV</t>
  </si>
  <si>
    <t>calelccfresite</t>
  </si>
  <si>
    <t>Domestic electricity consumption for other domestic electrical appliances including new devices</t>
  </si>
  <si>
    <t>calelccfresoea</t>
  </si>
  <si>
    <t>Electricity consumption of households for small appliances</t>
  </si>
  <si>
    <t>Total electricity consumption for domestic equipment</t>
  </si>
  <si>
    <t>\-&gt; Electricity consumption for domestic equipment &gt; Aggregated level = partner's input</t>
  </si>
  <si>
    <t>Check: Russian dolls - Aggregated level of input &gt; Specific electricity</t>
  </si>
  <si>
    <t>crdaliresels</t>
  </si>
  <si>
    <t>\-&gt; Deviation from partner's values</t>
  </si>
  <si>
    <r>
      <rPr>
        <rFont val="Calibri"/>
        <b/>
        <i/>
        <color rgb="FF006600"/>
        <sz val="11.0"/>
      </rPr>
      <t>Deviation</t>
    </r>
    <r>
      <rPr>
        <rFont val="Calibri"/>
        <b val="0"/>
        <i/>
        <color rgb="FF006600"/>
        <sz val="11.0"/>
      </rPr>
      <t xml:space="preserve"> from partner's values concerning the </t>
    </r>
    <r>
      <rPr>
        <rFont val="Calibri"/>
        <b/>
        <i/>
        <color rgb="FF006600"/>
        <sz val="11.0"/>
      </rPr>
      <t>Total</t>
    </r>
    <r>
      <rPr>
        <rFont val="Calibri"/>
        <b val="0"/>
        <i/>
        <color rgb="FF006600"/>
        <sz val="11.0"/>
      </rPr>
      <t xml:space="preserve"> specific electricity consumption</t>
    </r>
  </si>
  <si>
    <t>cdielecfresels</t>
  </si>
  <si>
    <r>
      <rPr>
        <rFont val="Calibri"/>
        <b/>
        <i/>
        <color rgb="FF006600"/>
        <sz val="11.0"/>
      </rPr>
      <t>Deviation</t>
    </r>
    <r>
      <rPr>
        <rFont val="Calibri"/>
        <b val="0"/>
        <i/>
        <color rgb="FF006600"/>
        <sz val="11.0"/>
      </rPr>
      <t xml:space="preserve"> from partner's values concerning the Domestic electricity consumption for lighting</t>
    </r>
  </si>
  <si>
    <t>cdielccfreslgt</t>
  </si>
  <si>
    <r>
      <rPr>
        <rFont val="Calibri"/>
        <b/>
        <i/>
        <color rgb="FF006600"/>
        <sz val="11.0"/>
      </rPr>
      <t>Deviation</t>
    </r>
    <r>
      <rPr>
        <rFont val="Calibri"/>
        <b val="0"/>
        <i/>
        <color rgb="FF006600"/>
        <sz val="11.0"/>
      </rPr>
      <t xml:space="preserve"> from partner's values concerning the Electricity consumption of households for large appliances (refrigerator, freezer, washing machine, dishwasher, dryer)</t>
    </r>
  </si>
  <si>
    <t>cdielecfreslar</t>
  </si>
  <si>
    <r>
      <rPr>
        <rFont val="Calibri"/>
        <b/>
        <i/>
        <color rgb="FF006600"/>
        <sz val="11.0"/>
      </rPr>
      <t>Deviation</t>
    </r>
    <r>
      <rPr>
        <rFont val="Calibri"/>
        <b val="0"/>
        <i/>
        <color rgb="FF006600"/>
        <sz val="11.0"/>
      </rPr>
      <t xml:space="preserve"> from partner's values concerning the Electricity consumption of households for small appliances</t>
    </r>
  </si>
  <si>
    <t>cdielecfressma</t>
  </si>
  <si>
    <t>• Building management (input values)</t>
  </si>
  <si>
    <t>Total final residential electricy consumption for building management</t>
  </si>
  <si>
    <t>• Calculation</t>
  </si>
  <si>
    <r>
      <rPr>
        <rFont val="Calibri"/>
        <color rgb="FF000000"/>
        <sz val="11.0"/>
      </rPr>
      <t xml:space="preserve">This indicator includes the electricity consumption of electric resistance heaters / electric water heaters </t>
    </r>
    <r>
      <rPr>
        <rFont val="Calibri"/>
        <color rgb="FF000000"/>
        <sz val="11.0"/>
        <u/>
      </rPr>
      <t>and</t>
    </r>
    <r>
      <rPr>
        <rFont val="Calibri"/>
        <color rgb="FF000000"/>
        <sz val="11.0"/>
      </rPr>
      <t xml:space="preserve"> heat pumps / heat-pump water heaters.</t>
    </r>
  </si>
  <si>
    <r>
      <rPr>
        <rFont val="Calibri"/>
        <b/>
        <i/>
        <color rgb="FF006600"/>
        <sz val="11.0"/>
      </rPr>
      <t>Deviation</t>
    </r>
    <r>
      <rPr>
        <rFont val="Calibri"/>
        <b val="0"/>
        <i/>
        <color rgb="FF006600"/>
        <sz val="11.0"/>
      </rPr>
      <t xml:space="preserve"> from partner's values concerning the </t>
    </r>
    <r>
      <rPr>
        <rFont val="Calibri"/>
        <b/>
        <i/>
        <color rgb="FF006600"/>
        <sz val="11.0"/>
      </rPr>
      <t>Total</t>
    </r>
    <r>
      <rPr>
        <rFont val="Calibri"/>
        <b val="0"/>
        <i/>
        <color rgb="FF006600"/>
        <sz val="11.0"/>
      </rPr>
      <t xml:space="preserve"> final energy consumption in the residential sector</t>
    </r>
  </si>
  <si>
    <t>cditoccfres</t>
  </si>
  <si>
    <r>
      <rPr>
        <rFont val="Calibri"/>
        <b/>
        <i/>
        <color rgb="FF006600"/>
        <sz val="11.0"/>
      </rPr>
      <t>Deviation</t>
    </r>
    <r>
      <rPr>
        <rFont val="Calibri"/>
        <b val="0"/>
        <i/>
        <color rgb="FF006600"/>
        <sz val="11.0"/>
      </rPr>
      <t xml:space="preserve"> from partner's values concerning the Final energy consumption from solid fossil fuels (coal ...) in the residential sector</t>
    </r>
  </si>
  <si>
    <t>cdicmscfres</t>
  </si>
  <si>
    <r>
      <rPr>
        <rFont val="Calibri"/>
        <b/>
        <i/>
        <color rgb="FF006600"/>
        <sz val="11.0"/>
      </rPr>
      <t>Deviation</t>
    </r>
    <r>
      <rPr>
        <rFont val="Calibri"/>
        <b val="0"/>
        <i/>
        <color rgb="FF006600"/>
        <sz val="11.0"/>
      </rPr>
      <t xml:space="preserve"> from partner's values concerning the Final energy consumption from solid biomass in the residential sector</t>
    </r>
  </si>
  <si>
    <t>cdienccfres</t>
  </si>
  <si>
    <r>
      <rPr>
        <rFont val="Calibri"/>
        <b/>
        <i/>
        <color rgb="FF006600"/>
        <sz val="11.0"/>
      </rPr>
      <t>Deviation</t>
    </r>
    <r>
      <rPr>
        <rFont val="Calibri"/>
        <b val="0"/>
        <i/>
        <color rgb="FF006600"/>
        <sz val="11.0"/>
      </rPr>
      <t xml:space="preserve"> from partner's values concerning the Final oil consumption in the residential sector</t>
    </r>
  </si>
  <si>
    <t>cdipetcfres</t>
  </si>
  <si>
    <r>
      <rPr>
        <rFont val="Calibri"/>
        <b/>
        <i/>
        <color rgb="FF006600"/>
        <sz val="11.0"/>
      </rPr>
      <t>Deviation</t>
    </r>
    <r>
      <rPr>
        <rFont val="Calibri"/>
        <b val="0"/>
        <i/>
        <color rgb="FF006600"/>
        <sz val="11.0"/>
      </rPr>
      <t xml:space="preserve"> from partner's values concerning the Final energy consumption from gas grid / gas consumed locally in the residential sector</t>
    </r>
  </si>
  <si>
    <t>cdigazcfres</t>
  </si>
  <si>
    <r>
      <rPr>
        <rFont val="Calibri"/>
        <b/>
        <i/>
        <color rgb="FF006600"/>
        <sz val="11.0"/>
      </rPr>
      <t>Deviation</t>
    </r>
    <r>
      <rPr>
        <rFont val="Calibri"/>
        <b val="0"/>
        <i/>
        <color rgb="FF006600"/>
        <sz val="11.0"/>
      </rPr>
      <t xml:space="preserve"> from partner's values concerning the Final electricity consumption in the residential sector</t>
    </r>
  </si>
  <si>
    <t>cdielccfres</t>
  </si>
  <si>
    <r>
      <rPr>
        <rFont val="Calibri"/>
        <b/>
        <i/>
        <color rgb="FF006600"/>
        <sz val="11.0"/>
      </rPr>
      <t>Deviation</t>
    </r>
    <r>
      <rPr>
        <rFont val="Calibri"/>
        <b val="0"/>
        <i/>
        <color rgb="FF006600"/>
        <sz val="11.0"/>
      </rPr>
      <t xml:space="preserve"> from partner's values concerning the Final energy consumption from heating networks in the residential sector</t>
    </r>
  </si>
  <si>
    <t>cdivapcfres</t>
  </si>
  <si>
    <r>
      <rPr>
        <rFont val="Calibri"/>
        <b/>
        <i/>
        <color rgb="FF006600"/>
        <sz val="11.0"/>
      </rPr>
      <t>Deviation</t>
    </r>
    <r>
      <rPr>
        <rFont val="Calibri"/>
        <b val="0"/>
        <i/>
        <color rgb="FF006600"/>
        <sz val="11.0"/>
      </rPr>
      <t xml:space="preserve"> from partner's values concerning the Final energy consumption from ambient heat (heat pumps…) in the residential sector</t>
    </r>
  </si>
  <si>
    <t>cdipaccfres</t>
  </si>
  <si>
    <r>
      <rPr>
        <rFont val="Calibri"/>
        <b/>
        <i/>
        <color rgb="FF006600"/>
        <sz val="11.0"/>
      </rPr>
      <t>Deviation</t>
    </r>
    <r>
      <rPr>
        <rFont val="Calibri"/>
        <b val="0"/>
        <i/>
        <color rgb="FF006600"/>
        <sz val="11.0"/>
      </rPr>
      <t xml:space="preserve"> from partner's values concerning the Final energy consumption from thermal solar in the residential sector</t>
    </r>
  </si>
  <si>
    <t>cdisthcfres</t>
  </si>
  <si>
    <t>Consistency check for DB values</t>
  </si>
  <si>
    <r>
      <rPr>
        <rFont val="Calibri"/>
        <b/>
        <color rgb="FF000000"/>
        <sz val="11.0"/>
      </rPr>
      <t>Total</t>
    </r>
    <r>
      <rPr>
        <rFont val="Calibri"/>
        <b val="0"/>
        <color rgb="FF000000"/>
        <sz val="11.0"/>
      </rPr>
      <t xml:space="preserve"> final energy consumption for space heating in the residential sector</t>
    </r>
  </si>
  <si>
    <r>
      <rPr>
        <rFont val="Calibri"/>
        <b/>
        <color rgb="FF000000"/>
        <sz val="11.0"/>
      </rPr>
      <t>Total</t>
    </r>
    <r>
      <rPr>
        <rFont val="Calibri"/>
        <b val="0"/>
        <color rgb="FF000000"/>
        <sz val="11.0"/>
      </rPr>
      <t xml:space="preserve"> final energy consumption for cooling in the residential sector</t>
    </r>
  </si>
  <si>
    <r>
      <rPr>
        <rFont val="Calibri"/>
        <b/>
        <color rgb="FF000000"/>
        <sz val="11.0"/>
      </rPr>
      <t>Total</t>
    </r>
    <r>
      <rPr>
        <rFont val="Calibri"/>
        <b val="0"/>
        <color rgb="FF000000"/>
        <sz val="11.0"/>
      </rPr>
      <t xml:space="preserve"> final energy consumption for domestic hot water</t>
    </r>
  </si>
  <si>
    <r>
      <rPr>
        <rFont val="Calibri"/>
        <b/>
        <color rgb="FF000000"/>
        <sz val="11.0"/>
      </rPr>
      <t>Total</t>
    </r>
    <r>
      <rPr>
        <rFont val="Calibri"/>
        <b val="0"/>
        <color rgb="FF000000"/>
        <sz val="11.0"/>
      </rPr>
      <t xml:space="preserve"> final energy consumption for domestic cooking</t>
    </r>
  </si>
  <si>
    <r>
      <rPr>
        <rFont val="Calibri"/>
        <b/>
        <color rgb="FF000000"/>
        <sz val="11.0"/>
      </rPr>
      <t>Total</t>
    </r>
    <r>
      <rPr>
        <rFont val="Calibri"/>
        <b val="0"/>
        <color rgb="FF000000"/>
        <sz val="11.0"/>
      </rPr>
      <t xml:space="preserve"> domestic consumption of specific electricity</t>
    </r>
  </si>
  <si>
    <r>
      <rPr>
        <rFont val="Calibri"/>
        <b/>
        <color rgb="FF000000"/>
        <sz val="11.0"/>
      </rPr>
      <t>Total</t>
    </r>
    <r>
      <rPr>
        <rFont val="Calibri"/>
        <b val="0"/>
        <color rgb="FF000000"/>
        <sz val="11.0"/>
      </rPr>
      <t xml:space="preserve"> final residential electricy consumption for building management</t>
    </r>
  </si>
  <si>
    <t>Sum of the above</t>
  </si>
  <si>
    <r>
      <rPr>
        <rFont val="Calibri"/>
        <b/>
        <color rgb="FF000000"/>
        <sz val="11.0"/>
      </rPr>
      <t>Total</t>
    </r>
    <r>
      <rPr>
        <rFont val="Calibri"/>
        <b val="0"/>
        <color rgb="FF000000"/>
        <sz val="11.0"/>
      </rPr>
      <t xml:space="preserve"> final energy consumption in the residential sector</t>
    </r>
  </si>
  <si>
    <t>Gap sum of consumption vs. total</t>
  </si>
  <si>
    <t>Calculated by EDCM</t>
  </si>
  <si>
    <t>Relative evolution</t>
  </si>
  <si>
    <t>Solid fossil fuels (coal ...)</t>
  </si>
  <si>
    <t>calculation</t>
  </si>
  <si>
    <t>input values</t>
  </si>
  <si>
    <t>Gas grid / gas consumed locally</t>
  </si>
  <si>
    <t>Electricity</t>
  </si>
  <si>
    <t>Heating / cooling networks</t>
  </si>
  <si>
    <t>Ambient heat (heat pumps…)</t>
  </si>
  <si>
    <t>Thermal solar</t>
  </si>
  <si>
    <t>Partners input</t>
  </si>
  <si>
    <t>TOTAL (partner's input values)</t>
  </si>
  <si>
    <t>Solid fossil fuels (coal ...) (partner's input values)</t>
  </si>
  <si>
    <t>Solid biomass (partner's input values)</t>
  </si>
  <si>
    <t>Oil (partner's input values)</t>
  </si>
  <si>
    <t>Gas grid / gas consumed locally (partner's input values)</t>
  </si>
  <si>
    <t>Electricity (partner's input values)</t>
  </si>
  <si>
    <t>Heating / cooling networks (partner's input values)</t>
  </si>
  <si>
    <t>Ambient heat (heat pumps…) (partner's input values)</t>
  </si>
  <si>
    <t>Thermal solar (partner's input values)</t>
  </si>
  <si>
    <t>Domestic hot water</t>
  </si>
  <si>
    <t>Specific electricity</t>
  </si>
  <si>
    <t>Tertiary park description</t>
  </si>
  <si>
    <t>Total m2</t>
  </si>
  <si>
    <t>surter</t>
  </si>
  <si>
    <t>Average tertiary floor area per capita</t>
  </si>
  <si>
    <t>surtercap</t>
  </si>
  <si>
    <t>Total floor area of existing buildings (total m2)</t>
  </si>
  <si>
    <t>surterex</t>
  </si>
  <si>
    <t>Average existing tertiary floor area per capita (m2/pc)</t>
  </si>
  <si>
    <t>surterexcap</t>
  </si>
  <si>
    <t>Total floor area of new buildings (total m2)</t>
  </si>
  <si>
    <t>surternf</t>
  </si>
  <si>
    <t>Average new-build tertiary floor area per capita (m2/pc)</t>
  </si>
  <si>
    <t>surternfcap</t>
  </si>
  <si>
    <t>• Disaggregation per branch</t>
  </si>
  <si>
    <t>Total floor area of hotels, restaurants</t>
  </si>
  <si>
    <t>surhcr</t>
  </si>
  <si>
    <t>Floor area of health</t>
  </si>
  <si>
    <t>surhos</t>
  </si>
  <si>
    <t>Floor area of education research</t>
  </si>
  <si>
    <t>suredu</t>
  </si>
  <si>
    <t>Floor area of public and private offices</t>
  </si>
  <si>
    <t>surbup</t>
  </si>
  <si>
    <t>Floor area of public offices and administrations</t>
  </si>
  <si>
    <t>surgov</t>
  </si>
  <si>
    <t>Floor area of private offices</t>
  </si>
  <si>
    <t>surbur</t>
  </si>
  <si>
    <t>Floor area of trade (wholesale and retail trade)</t>
  </si>
  <si>
    <t>surcom</t>
  </si>
  <si>
    <t>Floor area of other tertiary branches</t>
  </si>
  <si>
    <t>suroth</t>
  </si>
  <si>
    <t>• Description of the needs of the building stock</t>
  </si>
  <si>
    <t>Heating needs of existing tertiary areas</t>
  </si>
  <si>
    <t>eeterexnr</t>
  </si>
  <si>
    <t>Heating needs of renovated tertiary aras</t>
  </si>
  <si>
    <t>eeterexrv</t>
  </si>
  <si>
    <t>Heating needs of new-build tertiary areas</t>
  </si>
  <si>
    <t>eeternf</t>
  </si>
  <si>
    <t>Renovation pace of tertiary areas</t>
  </si>
  <si>
    <t>trvcumter</t>
  </si>
  <si>
    <t/>
  </si>
  <si>
    <t>\-&gt; Building stock description disaggregated per final energy carriers</t>
  </si>
  <si>
    <t>Share of the total tertiary surface to be heated, heated with solid fossil fuels (coal...)</t>
  </si>
  <si>
    <t>surterchfcms</t>
  </si>
  <si>
    <t>Share of the total tertiary surface to be heated, heated with solid biomass</t>
  </si>
  <si>
    <t>surterchfboi</t>
  </si>
  <si>
    <t>Share of the total tertiary surface to be heated, heated with oil</t>
  </si>
  <si>
    <t>surterchfpet</t>
  </si>
  <si>
    <t>Share of the total tertiary surface to be heated, heated with gas (gas grid / gas consumed locally)</t>
  </si>
  <si>
    <t>surterchfgaz</t>
  </si>
  <si>
    <t>Share of the total tertiary surface to be heated, heated with electricity</t>
  </si>
  <si>
    <t>surterchfele</t>
  </si>
  <si>
    <t>Share of the total tertiary surface to be heated, heated with heating network</t>
  </si>
  <si>
    <t>surterchfvap</t>
  </si>
  <si>
    <t>Share of the total tertiary surface to be heated, heated with ambient heat (heat pumps…)</t>
  </si>
  <si>
    <t>surterchfpac</t>
  </si>
  <si>
    <t>Share of the total tertiary surface to be heated, heated with thermal solar</t>
  </si>
  <si>
    <t>surterchfsth</t>
  </si>
  <si>
    <t>\-&gt; Performance of heating systems (per final energy carrier) (%)</t>
  </si>
  <si>
    <t>Performance of solid fossil fuels (coal...) based heating systems in the tertiary sector</t>
  </si>
  <si>
    <t>ceeterchfcms</t>
  </si>
  <si>
    <t>Performance of solid-biomass based heating systems in the tertiary sector</t>
  </si>
  <si>
    <t>ceeterchfboi</t>
  </si>
  <si>
    <t>Performance of oil heating systems in the tertiary sector</t>
  </si>
  <si>
    <t>ceeterchfpet</t>
  </si>
  <si>
    <t>Performance of heating systems gas grid / gas consumed locally in the tertiary sector</t>
  </si>
  <si>
    <t>ceeterchfgaz</t>
  </si>
  <si>
    <t>Performance of electric heating systems in the tertiary sector</t>
  </si>
  <si>
    <t>ceeterchfele</t>
  </si>
  <si>
    <t>Performance of heating systems using heating network in the tertiary sector</t>
  </si>
  <si>
    <t>ceeterchfvap</t>
  </si>
  <si>
    <t>Performance of ambient heat based heating systems (heat pumps…) in the tertiary sector</t>
  </si>
  <si>
    <t>ceeterchfpac</t>
  </si>
  <si>
    <t>Useful contribution of thermal solar heating systems per solar-heated square metre in the tertiary sector</t>
  </si>
  <si>
    <t>cseterchfsth</t>
  </si>
  <si>
    <t>TOTAL FEC for space heating in the tertiary sector</t>
  </si>
  <si>
    <t>caltoccfterchf</t>
  </si>
  <si>
    <t>Final energy consumption from solid fossil fuels (coal ...) for space heating in the tertiary sector</t>
  </si>
  <si>
    <t>calcmscfterchf</t>
  </si>
  <si>
    <t>Final energy consumption from solid biomass for space heating in the tertiary sector</t>
  </si>
  <si>
    <t>calenccfterchf</t>
  </si>
  <si>
    <t>Final oil consumption for space heating in the tertiary sector</t>
  </si>
  <si>
    <t>calpetcfterchf</t>
  </si>
  <si>
    <t>Final energy consumption from gas grid / gas consumed locally for space heating in the tertiary sector</t>
  </si>
  <si>
    <t>calgazcfterchf</t>
  </si>
  <si>
    <t>Final electricity consumption for space heating in the tertiary sector</t>
  </si>
  <si>
    <t>calelccfterchf</t>
  </si>
  <si>
    <t>Final energy consumption from heating networks for space heating in the tertiary sector</t>
  </si>
  <si>
    <t>calvapcfterchf</t>
  </si>
  <si>
    <t>Final energy consumption from ambient heat (heat pumps…) for space heating in the tertiary sector</t>
  </si>
  <si>
    <t>calpaccfterchf</t>
  </si>
  <si>
    <t>Final energy consumption from thermal solar for space heating in the tertiary sector</t>
  </si>
  <si>
    <t>calsthcfterchf</t>
  </si>
  <si>
    <r>
      <rPr>
        <rFont val="Calibri"/>
        <i/>
        <color rgb="FFFFFFFF"/>
        <sz val="11.0"/>
      </rPr>
      <t xml:space="preserve">Tertiary heating energy consumption </t>
    </r>
    <r>
      <rPr>
        <rFont val="Calibri"/>
        <b/>
        <i/>
        <color rgb="FFFFFFFF"/>
        <sz val="11.0"/>
      </rPr>
      <t>per person</t>
    </r>
  </si>
  <si>
    <t>calcfterchfcap</t>
  </si>
  <si>
    <r>
      <rPr>
        <rFont val="Calibri"/>
        <b/>
        <color rgb="FF000000"/>
        <sz val="11.0"/>
      </rPr>
      <t>Total</t>
    </r>
    <r>
      <rPr>
        <rFont val="Calibri"/>
        <b val="0"/>
        <color rgb="FF000000"/>
        <sz val="11.0"/>
      </rPr>
      <t xml:space="preserve"> final energy consumption for space heating in the tertiary sector</t>
    </r>
  </si>
  <si>
    <t>toccfterchf</t>
  </si>
  <si>
    <r>
      <rPr>
        <rFont val="Calibri"/>
        <b/>
        <color rgb="FF000000"/>
        <sz val="11.0"/>
      </rPr>
      <t>Total</t>
    </r>
    <r>
      <rPr>
        <rFont val="Calibri"/>
        <b val="0"/>
        <color rgb="FF000000"/>
        <sz val="11.0"/>
      </rPr>
      <t xml:space="preserve"> final energy consumption for space heating in the tertiary sector </t>
    </r>
    <r>
      <rPr>
        <rFont val="Calibri"/>
        <b val="0"/>
        <i/>
        <color rgb="FF000000"/>
        <sz val="11.0"/>
      </rPr>
      <t xml:space="preserve">(with climatic corrections) </t>
    </r>
  </si>
  <si>
    <t>toccfterchc</t>
  </si>
  <si>
    <t>cmscfterchf</t>
  </si>
  <si>
    <t>boicfterchf</t>
  </si>
  <si>
    <t>petcfterchf</t>
  </si>
  <si>
    <t>gazcfterchf</t>
  </si>
  <si>
    <t>elccfterchf</t>
  </si>
  <si>
    <t>Final energy consumption from heating network for space heating in the tertiary sector</t>
  </si>
  <si>
    <t>vapcfterchf</t>
  </si>
  <si>
    <r>
      <rPr>
        <rFont val="Calibri"/>
        <color rgb="FF000000"/>
        <sz val="11.0"/>
      </rPr>
      <t>Final energy consumption from ambient heat (heat pumps…)</t>
    </r>
    <r>
      <rPr>
        <rFont val="Calibri"/>
        <color rgb="FFFF0000"/>
        <sz val="11.0"/>
      </rPr>
      <t xml:space="preserve"> </t>
    </r>
    <r>
      <rPr>
        <rFont val="Calibri"/>
        <color rgb="FF000000"/>
        <sz val="11.0"/>
      </rPr>
      <t>for space heating in the tertiary sector</t>
    </r>
  </si>
  <si>
    <t>paccfterchf</t>
  </si>
  <si>
    <t>sthcfterchf</t>
  </si>
  <si>
    <t>Equipment rate in cooling systems for the tertiary sector</t>
  </si>
  <si>
    <t>teqtercli</t>
  </si>
  <si>
    <t>Equipment rate in cooling systems for existing tertiary buildings</t>
  </si>
  <si>
    <t>teqtercliex</t>
  </si>
  <si>
    <t>Equipment rate in cooling systems for renovated tertiary buildings</t>
  </si>
  <si>
    <t>teqterclirv</t>
  </si>
  <si>
    <t>Equipment rate in cooling systems for new-build tertiary areas</t>
  </si>
  <si>
    <t>teqterclinf</t>
  </si>
  <si>
    <t>Cooling needs per equipped tertiary areas</t>
  </si>
  <si>
    <t>cfmtercli</t>
  </si>
  <si>
    <t>Cooling needs per equipped existing tertiary areas</t>
  </si>
  <si>
    <t>cfmterexcli</t>
  </si>
  <si>
    <t>Cooling needs per equipped renovated tertiary areas</t>
  </si>
  <si>
    <t>cfmterrvcli</t>
  </si>
  <si>
    <t>Cooling needs per equipped new-build tertiary areas</t>
  </si>
  <si>
    <t>cfmternfcli</t>
  </si>
  <si>
    <t>Performance of cooling systems (for the tertiary sectror)</t>
  </si>
  <si>
    <t>ceetercli</t>
  </si>
  <si>
    <t>TOTAL FEC for cooling in the tertiary sector</t>
  </si>
  <si>
    <t>caltoccftercli</t>
  </si>
  <si>
    <r>
      <rPr>
        <rFont val="Calibri"/>
        <i/>
        <color rgb="FFFFFFFF"/>
        <sz val="11.0"/>
      </rPr>
      <t xml:space="preserve">Tertiary cooling energy consumption </t>
    </r>
    <r>
      <rPr>
        <rFont val="Calibri"/>
        <b/>
        <i/>
        <color rgb="FFFFFFFF"/>
        <sz val="11.0"/>
      </rPr>
      <t>per person</t>
    </r>
  </si>
  <si>
    <t>calcfterclicap</t>
  </si>
  <si>
    <r>
      <rPr>
        <rFont val="Calibri"/>
        <b/>
        <color rgb="FF000000"/>
        <sz val="11.0"/>
      </rPr>
      <t>Total</t>
    </r>
    <r>
      <rPr>
        <rFont val="Calibri"/>
        <b val="0"/>
        <color rgb="FF000000"/>
        <sz val="11.0"/>
      </rPr>
      <t xml:space="preserve"> final energy consumption for cooling in the tertiary sector</t>
    </r>
  </si>
  <si>
    <t>toccftercli</t>
  </si>
  <si>
    <t>Final electricity consumption for cooling in the tertiary sector</t>
  </si>
  <si>
    <t>elccftercli</t>
  </si>
  <si>
    <t>Final energy consumption from cooling network for cooling in the tertiary sector</t>
  </si>
  <si>
    <t>vapcftercli</t>
  </si>
  <si>
    <t>Final energy consumption from thermal solar for cooling in the tertiary sector</t>
  </si>
  <si>
    <t>sthcftercli</t>
  </si>
  <si>
    <t>Average hot water needs of the tertiary sector (in energy) per person</t>
  </si>
  <si>
    <t>cfmterecs</t>
  </si>
  <si>
    <t>Average hot water needs of the tertiary sector (in volume) per person</t>
  </si>
  <si>
    <t>cfmterecsvol</t>
  </si>
  <si>
    <t>\-&gt; Building stock description disaggregated per final energy carriers for hot water</t>
  </si>
  <si>
    <t>Share of the total tertiary surface with water heaters using solid fossil fuels (coal...)</t>
  </si>
  <si>
    <t>surterecscms</t>
  </si>
  <si>
    <t>Share of the total tertiary surface with water heaters using solid biomass</t>
  </si>
  <si>
    <t>surterecsboi</t>
  </si>
  <si>
    <t>Share of the total tertiary surface with oil-fired water heaters</t>
  </si>
  <si>
    <t>surterecspet</t>
  </si>
  <si>
    <t>Share of the total tertiary surface with water heaters using gas grid / gas consumed locally</t>
  </si>
  <si>
    <t>surterecsgaz</t>
  </si>
  <si>
    <t>Share of the total tertiary surface with electric water heaters</t>
  </si>
  <si>
    <t>surterecsele</t>
  </si>
  <si>
    <t>Share of the total tertiary surface with water heaters using heating network</t>
  </si>
  <si>
    <t>surterecsvap</t>
  </si>
  <si>
    <t>Share of the total tertiary surface with thermodynamic water heaters</t>
  </si>
  <si>
    <t>surterecspac</t>
  </si>
  <si>
    <t>Share of the total tertiary surface with thermal solar water heaters</t>
  </si>
  <si>
    <t>surterecssth</t>
  </si>
  <si>
    <t>\-&gt; Performance of hot water systems (per final energy carrier) (%)</t>
  </si>
  <si>
    <t>Performance of water heaters using solid fossil fuels (coal...) in the tertiary sector</t>
  </si>
  <si>
    <t>ceeterecscms</t>
  </si>
  <si>
    <t>Performance of water heaters using solid biomass in the tertiary sector</t>
  </si>
  <si>
    <t>ceeterecsboi</t>
  </si>
  <si>
    <t>Performance of oil-fired water heaters in the tertiary sector</t>
  </si>
  <si>
    <t>ceeterecspet</t>
  </si>
  <si>
    <t>Performance of water heaters using gas grid / gas consumed locally in the tertiary sector</t>
  </si>
  <si>
    <t>ceeterecsgaz</t>
  </si>
  <si>
    <t>Performance of electric water heaters in the tertiary sector</t>
  </si>
  <si>
    <t>ceeterecsele</t>
  </si>
  <si>
    <t>Performance of water heaters using heating network in the tertiary sector</t>
  </si>
  <si>
    <t>ceeterecsvap</t>
  </si>
  <si>
    <t>Performance of thermodynamic water heaters in the tertiary sector</t>
  </si>
  <si>
    <t>ceeterecspac</t>
  </si>
  <si>
    <t>Share of hot water needs covered by thermal solar water heaters in equipped tertiary buildings</t>
  </si>
  <si>
    <t>cseterecssth</t>
  </si>
  <si>
    <r>
      <rPr>
        <rFont val="Calibri"/>
        <b/>
        <color rgb="FF000000"/>
        <sz val="11.0"/>
      </rPr>
      <t>Total</t>
    </r>
    <r>
      <rPr>
        <rFont val="Calibri"/>
        <b val="0"/>
        <color rgb="FF000000"/>
        <sz val="11.0"/>
      </rPr>
      <t xml:space="preserve"> final energy consumption for hot water in the tertiary sector</t>
    </r>
  </si>
  <si>
    <t>toccfterecs</t>
  </si>
  <si>
    <t>Final energy consumption from solid fossil fuels (coal ...) for hot water in the tertiary sector</t>
  </si>
  <si>
    <t>cmscfterecs</t>
  </si>
  <si>
    <t>Final energy consumption from solid biomass for hot water in the tertiary sector</t>
  </si>
  <si>
    <t>boicfterecs</t>
  </si>
  <si>
    <t>Final oil consumption for hot water in the tertiary sector</t>
  </si>
  <si>
    <t>petcfterecs</t>
  </si>
  <si>
    <t>Final energy consumption from gas grid / gas consumed locally for hot water in the tertiary sector</t>
  </si>
  <si>
    <t>gazcfterecs</t>
  </si>
  <si>
    <t>Final electricity consumption for hot water in the tertiary sector</t>
  </si>
  <si>
    <t>elccfterecs</t>
  </si>
  <si>
    <t>Final energy consumption from heating network for hot water in the tertiary sector</t>
  </si>
  <si>
    <t>vapcfterecs</t>
  </si>
  <si>
    <t>Final energy consumption from ambient heat (heat pumps…) for hot water in the tertiary sector</t>
  </si>
  <si>
    <t>paccfterecs</t>
  </si>
  <si>
    <t>Final energy consumption from thermal solar for hot water in the tertiary sector</t>
  </si>
  <si>
    <t>sthcfterecs</t>
  </si>
  <si>
    <t>*The category 'cooking systems' here refers only to ovens, hobs and microwave ovens; other small appliances such as coffee machines and kettles are included in 'other office equipment (refrigeration, washing… excl. enterprise server equipment)' under the heading 'Specific electricity'.</t>
  </si>
  <si>
    <t>Average duration of use for cooking systems in the tertiary sector</t>
  </si>
  <si>
    <t>dumtercui</t>
  </si>
  <si>
    <t xml:space="preserve">Performance of cooking equipment for the tertiary sector </t>
  </si>
  <si>
    <t>ceetercui</t>
  </si>
  <si>
    <r>
      <rPr>
        <rFont val="Calibri"/>
        <b/>
        <color rgb="FF000000"/>
        <sz val="11.0"/>
      </rPr>
      <t>Total</t>
    </r>
    <r>
      <rPr>
        <rFont val="Calibri"/>
        <b val="0"/>
        <color rgb="FF000000"/>
        <sz val="11.0"/>
      </rPr>
      <t xml:space="preserve"> Final energy consumption for cooking in the tertiary sector</t>
    </r>
  </si>
  <si>
    <t>toccftercui</t>
  </si>
  <si>
    <t>Final consumption of solid fossil fuels (coal...) for cooking in the tertiary sector</t>
  </si>
  <si>
    <t>cmscftercui</t>
  </si>
  <si>
    <t>Final energy consumption from solid biomass for cooking in the tertiary sector</t>
  </si>
  <si>
    <t>boicftercui</t>
  </si>
  <si>
    <t>Final oil consumption for cooking in the tertiary sector</t>
  </si>
  <si>
    <t>petcftercui</t>
  </si>
  <si>
    <t>Final energy consumption from gas grid / gas consumed locally for cooking in the tertiary sector</t>
  </si>
  <si>
    <t>gazcftercui</t>
  </si>
  <si>
    <t>Final electricity consumption for cooking in the tertiary sector</t>
  </si>
  <si>
    <t>elccftercui</t>
  </si>
  <si>
    <t>• Building management** (electricy consumption for…)</t>
  </si>
  <si>
    <t>** This includes: auxiliaries for heating and cooling systems (circulators, thermostats), ventilation systems, BACS (Building Automation and Control Systems), consumption in common areas of buildings (lifts, escalators, etc.).</t>
  </si>
  <si>
    <t>Energy sufficiency indicator for tertiary building management</t>
  </si>
  <si>
    <t>cseterbmg</t>
  </si>
  <si>
    <t>Energy efficiency indicator for tertiary building management equipment</t>
  </si>
  <si>
    <t>ceeterbmg</t>
  </si>
  <si>
    <t>Final tertiary electricy consumption for building management</t>
  </si>
  <si>
    <t>elccfterbmg</t>
  </si>
  <si>
    <t>• IT equipment (desktop computer, laptop computer, computer screen)</t>
  </si>
  <si>
    <t>Average duration of use for tertiary IT equipment (desktop computer, laptop computer, computer screen)</t>
  </si>
  <si>
    <t>cseterite</t>
  </si>
  <si>
    <t>Energy efficiency indicator for tertiary IT equipment (desktop computer, laptop computer, computer screen)</t>
  </si>
  <si>
    <t>ceeterite</t>
  </si>
  <si>
    <t>Final electricity consumption for IT equipment (desktop computer, laptop computer, computer screen) in the tertiary sector</t>
  </si>
  <si>
    <t>elccfterite</t>
  </si>
  <si>
    <t>• Other office equipment (refrigeration, washing… excl. enterprise server equipment)</t>
  </si>
  <si>
    <t>Energy sufficiency indicator for other office equipment (refrigeration, washing… excl. enterprise server equipment)</t>
  </si>
  <si>
    <t>cseterooe</t>
  </si>
  <si>
    <t xml:space="preserve">Energy efficiency indicator for other office equipment per surface (refrigeration, washing… excl. enterprise server equipment) </t>
  </si>
  <si>
    <t>ceeterooe</t>
  </si>
  <si>
    <t>Final electricity consumption for other office equipment</t>
  </si>
  <si>
    <t>elccfterooe</t>
  </si>
  <si>
    <t>• Lighting</t>
  </si>
  <si>
    <t>Energy sufficiency indicator for lighting in the tertiary sector</t>
  </si>
  <si>
    <t>cseterlgt</t>
  </si>
  <si>
    <t>Energy efficiency indicator for lighting in the tertiary sector</t>
  </si>
  <si>
    <t>ceeterlgt</t>
  </si>
  <si>
    <t>Final electricity consumption for lighting in the tertiary sector</t>
  </si>
  <si>
    <t>elccfterlgt</t>
  </si>
  <si>
    <t>• Public lighting</t>
  </si>
  <si>
    <t>Energy sufficiency indicator for public lighting</t>
  </si>
  <si>
    <t>cseterplg</t>
  </si>
  <si>
    <t>Energy efficiency indicator for public lighting</t>
  </si>
  <si>
    <t>ceeterplg</t>
  </si>
  <si>
    <t>Final electricity consumption for public lighting</t>
  </si>
  <si>
    <t>elccfterplg</t>
  </si>
  <si>
    <t>• Telecommunications sector (incl. network server equipment (enterprise server and data center equipment), excl. buildings)</t>
  </si>
  <si>
    <r>
      <rPr>
        <rFont val="Calibri"/>
        <b/>
        <color rgb="FF000000"/>
        <sz val="11.0"/>
      </rPr>
      <t>Total</t>
    </r>
    <r>
      <rPr>
        <rFont val="Calibri"/>
        <b val="0"/>
        <color rgb="FF000000"/>
        <sz val="11.0"/>
      </rPr>
      <t xml:space="preserve"> final electricity consumption of the telecommunications sector</t>
    </r>
  </si>
  <si>
    <t>elccftertcs</t>
  </si>
  <si>
    <t>\-&gt; Server equipment</t>
  </si>
  <si>
    <t>Energy sufficiency indicator for server equipment (enterprise servers and data center equipment)</t>
  </si>
  <si>
    <t>csetersve</t>
  </si>
  <si>
    <t>Energy efficiency indicator for server equipment (enterprise servers and data center equipment)</t>
  </si>
  <si>
    <t>ceetersve</t>
  </si>
  <si>
    <t>Final electricity consumption for server equipment (enterprise servers and data center equipment)</t>
  </si>
  <si>
    <t>elccftersve</t>
  </si>
  <si>
    <t>\-&gt; Other electricy consumption (network infrastructure)</t>
  </si>
  <si>
    <t>Final electricity consumption of the telecommunications sector (excl. server equipment)</t>
  </si>
  <si>
    <t>elccftertni</t>
  </si>
  <si>
    <r>
      <rPr>
        <rFont val="Calibri"/>
        <b/>
        <i/>
        <color rgb="FFC55A11"/>
        <sz val="11.0"/>
      </rPr>
      <t xml:space="preserve">• Cold production </t>
    </r>
    <r>
      <rPr>
        <rFont val="Calibri"/>
        <b/>
        <i/>
        <color rgb="FFC55A11"/>
        <sz val="9.0"/>
      </rPr>
      <t>(includes all cold refrigeration circuits, professional and supermarket refrigerators, etc.)</t>
    </r>
  </si>
  <si>
    <t>Energy sufficiency indicator for cold production in the tertiary sector</t>
  </si>
  <si>
    <t>csetercol</t>
  </si>
  <si>
    <t>Energy efficiency indicator for cold production in the tertiary sector</t>
  </si>
  <si>
    <t>ceetercol</t>
  </si>
  <si>
    <t>Final electricity consumption for cold production in the tertiary sector</t>
  </si>
  <si>
    <t>elccftercol</t>
  </si>
  <si>
    <t>• Other (civil engineering, water, health, sport, research, etc.)</t>
  </si>
  <si>
    <t>*The category 'Other' here includes all consumption not calculated elsewhere (e.g. consumption by construction machinery, research laboratories, water treatment, waste treatment, etc.)</t>
  </si>
  <si>
    <t>Energy sufficiency indicator for other activities in the tertiary sector</t>
  </si>
  <si>
    <t>cseteroth</t>
  </si>
  <si>
    <t>Energy efficiency indicator for other activities in the tertiary sector</t>
  </si>
  <si>
    <t>ceeteroth</t>
  </si>
  <si>
    <t>Final electricity consumption for other activities in the tertiary sector</t>
  </si>
  <si>
    <t>elccfteroth</t>
  </si>
  <si>
    <t>• Total specific electricity consumption</t>
  </si>
  <si>
    <r>
      <rPr>
        <rFont val="Calibri"/>
        <b/>
        <color rgb="FF000000"/>
        <sz val="11.0"/>
      </rPr>
      <t>Total</t>
    </r>
    <r>
      <rPr>
        <rFont val="Calibri"/>
        <b val="0"/>
        <color rgb="FF000000"/>
        <sz val="11.0"/>
      </rPr>
      <t xml:space="preserve"> consumption of specific electricity in the tertiary sector</t>
    </r>
  </si>
  <si>
    <t>elecfterels</t>
  </si>
  <si>
    <t>Final energy consumption per final energy carrier in the tertiary sector</t>
  </si>
  <si>
    <t>Total final energy consumption in the tertiary sector</t>
  </si>
  <si>
    <t>caltoccfter</t>
  </si>
  <si>
    <t>Final energy consumption from solid fossil fuels (coal ...) in the tertiary sector</t>
  </si>
  <si>
    <t>calcmscfter</t>
  </si>
  <si>
    <t>Final energy consumption from solid biomass in the tertiary sector</t>
  </si>
  <si>
    <t>calenccfter</t>
  </si>
  <si>
    <t>Final oil consumption in the tertiary sector</t>
  </si>
  <si>
    <t>calpetcfter</t>
  </si>
  <si>
    <t>Final energy consumption from gas grid / gas consumed locally in the tertiary sector</t>
  </si>
  <si>
    <t>calgazcfter</t>
  </si>
  <si>
    <t>Final electricity consumption in the tertiary sector</t>
  </si>
  <si>
    <t>calelccfter</t>
  </si>
  <si>
    <t>Final energy consumption from heating networks in the tertiary sector</t>
  </si>
  <si>
    <t>calvapcfter</t>
  </si>
  <si>
    <t>Final energy consumption from ambient heat (heat pumps…) in the tertiary sector</t>
  </si>
  <si>
    <t>calpaccfter</t>
  </si>
  <si>
    <t>Final energy consumption from thermal solar in the tertiary sector</t>
  </si>
  <si>
    <t>calsthcfter</t>
  </si>
  <si>
    <r>
      <rPr>
        <rFont val="Calibri"/>
        <b/>
        <color rgb="FF000000"/>
        <sz val="11.0"/>
      </rPr>
      <t>Total</t>
    </r>
    <r>
      <rPr>
        <rFont val="Calibri"/>
        <b val="0"/>
        <color rgb="FF000000"/>
        <sz val="11.0"/>
      </rPr>
      <t xml:space="preserve"> final energy consumption in the tertiary sector</t>
    </r>
  </si>
  <si>
    <t>toccfter</t>
  </si>
  <si>
    <t>cmscfter</t>
  </si>
  <si>
    <t>enccfter</t>
  </si>
  <si>
    <t>petcfter</t>
  </si>
  <si>
    <t>gazcfter</t>
  </si>
  <si>
    <t>elccfter</t>
  </si>
  <si>
    <t>vapcfter</t>
  </si>
  <si>
    <t>paccfter</t>
  </si>
  <si>
    <t>sthcfter</t>
  </si>
  <si>
    <t>Any general comment on the Tertiary sector?</t>
  </si>
  <si>
    <t>• Energy efficiency of the building stock</t>
  </si>
  <si>
    <t>• Building management (electricy consumption for…)</t>
  </si>
  <si>
    <t>Building stock description</t>
  </si>
  <si>
    <t>calsurterexnr</t>
  </si>
  <si>
    <t>calsurterexrv</t>
  </si>
  <si>
    <r>
      <rPr>
        <rFont val="Calibri"/>
        <b/>
        <i/>
        <color rgb="FFC55A11"/>
        <sz val="11.0"/>
      </rPr>
      <t xml:space="preserve">• Final </t>
    </r>
    <r>
      <rPr>
        <rFont val="Calibri"/>
        <b/>
        <i val="0"/>
        <color rgb="FFC55A11"/>
        <sz val="11.0"/>
        <u/>
      </rPr>
      <t>USEFUL</t>
    </r>
    <r>
      <rPr>
        <rFont val="Calibri"/>
        <b/>
        <i/>
        <color rgb="FFC55A11"/>
        <sz val="11.0"/>
      </rPr>
      <t xml:space="preserve"> Energy Consumption for space heating per type of building</t>
    </r>
  </si>
  <si>
    <t>Final useful energy consumption of unrenovated existing buildings for space heating</t>
  </si>
  <si>
    <t>calcuterexchf</t>
  </si>
  <si>
    <t>Final useful energy consumption of renovated buildings for space heating</t>
  </si>
  <si>
    <t>calcuterrvchf</t>
  </si>
  <si>
    <t>Final useful energy consumption of new tertiary buildings for space heating</t>
  </si>
  <si>
    <t>calcuternfchf</t>
  </si>
  <si>
    <r>
      <rPr>
        <rFont val="Calibri"/>
        <b/>
        <i/>
        <color rgb="FFFFFFFF"/>
        <sz val="11.0"/>
      </rPr>
      <t>TOTAL</t>
    </r>
    <r>
      <rPr>
        <rFont val="Calibri"/>
        <b val="0"/>
        <i val="0"/>
        <color rgb="FFFFFFFF"/>
        <sz val="11.0"/>
      </rPr>
      <t xml:space="preserve"> Final useful energy consumption of tertiary buildings for space heating</t>
    </r>
  </si>
  <si>
    <t>caltoccuterchf</t>
  </si>
  <si>
    <r>
      <rPr>
        <rFont val="Calibri"/>
        <color rgb="FF000000"/>
        <sz val="11.0"/>
      </rPr>
      <t xml:space="preserve">This indicator includes the electricity consumption of electric resistance heaters </t>
    </r>
    <r>
      <rPr>
        <rFont val="Calibri"/>
        <color rgb="FF000000"/>
        <sz val="11.0"/>
        <u/>
      </rPr>
      <t>and</t>
    </r>
    <r>
      <rPr>
        <rFont val="Calibri"/>
        <color rgb="FF000000"/>
        <sz val="11.0"/>
      </rPr>
      <t xml:space="preserve"> heat pumps.</t>
    </r>
  </si>
  <si>
    <r>
      <rPr>
        <rFont val="Calibri"/>
        <i/>
        <color rgb="FFFFFFFF"/>
        <sz val="11.0"/>
      </rPr>
      <t xml:space="preserve">Tertiary heating energy consumption </t>
    </r>
    <r>
      <rPr>
        <rFont val="Calibri"/>
        <b/>
        <i/>
        <color rgb="FFFFFFFF"/>
        <sz val="11.0"/>
      </rPr>
      <t>per person</t>
    </r>
  </si>
  <si>
    <r>
      <rPr>
        <rFont val="Calibri"/>
        <i/>
        <color rgb="FF006600"/>
        <sz val="11.0"/>
      </rPr>
      <t xml:space="preserve">Total floor area of existing buildings (existing + new buildings from N-1) </t>
    </r>
    <r>
      <rPr>
        <rFont val="Calibri"/>
        <i/>
        <color rgb="FF006600"/>
        <sz val="11.0"/>
        <u/>
      </rPr>
      <t>before destructions</t>
    </r>
  </si>
  <si>
    <r>
      <rPr>
        <rFont val="Calibri"/>
        <i/>
        <color rgb="FF006600"/>
        <sz val="11.0"/>
      </rPr>
      <t xml:space="preserve">Final useful energy consumption of unrenovated existing buildings </t>
    </r>
    <r>
      <rPr>
        <rFont val="Calibri"/>
        <i/>
        <color rgb="FF006600"/>
        <sz val="11.0"/>
        <u/>
      </rPr>
      <t>not recently built</t>
    </r>
  </si>
  <si>
    <r>
      <rPr>
        <rFont val="Calibri"/>
        <i/>
        <color rgb="FF006600"/>
        <sz val="11.0"/>
      </rPr>
      <t xml:space="preserve">Heating needs of unrenovated existing buildings </t>
    </r>
    <r>
      <rPr>
        <rFont val="Calibri"/>
        <i/>
        <color rgb="FF006600"/>
        <sz val="11.0"/>
        <u/>
      </rPr>
      <t>not recently built</t>
    </r>
  </si>
  <si>
    <r>
      <rPr>
        <rFont val="Calibri"/>
        <b/>
        <i/>
        <color rgb="FF006600"/>
        <sz val="11.0"/>
      </rPr>
      <t>Deviation</t>
    </r>
    <r>
      <rPr>
        <rFont val="Calibri"/>
        <b val="0"/>
        <i/>
        <color rgb="FF006600"/>
        <sz val="11.0"/>
      </rPr>
      <t xml:space="preserve"> from partner's values concerning the </t>
    </r>
    <r>
      <rPr>
        <rFont val="Calibri"/>
        <b/>
        <i/>
        <color rgb="FF006600"/>
        <sz val="11.0"/>
      </rPr>
      <t>Total</t>
    </r>
    <r>
      <rPr>
        <rFont val="Calibri"/>
        <b val="0"/>
        <i/>
        <color rgb="FF006600"/>
        <sz val="11.0"/>
      </rPr>
      <t xml:space="preserve"> FEC for space heating in the tertiary sector</t>
    </r>
  </si>
  <si>
    <t>cditoccfterchf</t>
  </si>
  <si>
    <r>
      <rPr>
        <rFont val="Calibri"/>
        <b/>
        <i/>
        <color rgb="FF006600"/>
        <sz val="11.0"/>
      </rPr>
      <t>Deviation</t>
    </r>
    <r>
      <rPr>
        <rFont val="Calibri"/>
        <b val="0"/>
        <i/>
        <color rgb="FF006600"/>
        <sz val="11.0"/>
      </rPr>
      <t xml:space="preserve"> from partner's values concerning the FEC from solid fossil fuels (coal ...) for space heating in the tertiary sector</t>
    </r>
  </si>
  <si>
    <t>cdicmscfterchf</t>
  </si>
  <si>
    <r>
      <rPr>
        <rFont val="Calibri"/>
        <b/>
        <i/>
        <color rgb="FF006600"/>
        <sz val="11.0"/>
      </rPr>
      <t>Deviation</t>
    </r>
    <r>
      <rPr>
        <rFont val="Calibri"/>
        <b val="0"/>
        <i/>
        <color rgb="FF006600"/>
        <sz val="11.0"/>
      </rPr>
      <t xml:space="preserve"> from partner's values concerning the FEC from solid biomass for space heating in the tertiary sector</t>
    </r>
  </si>
  <si>
    <t>cdienccfterchf</t>
  </si>
  <si>
    <r>
      <rPr>
        <rFont val="Calibri"/>
        <b/>
        <i/>
        <color rgb="FF006600"/>
        <sz val="11.0"/>
      </rPr>
      <t>Deviation</t>
    </r>
    <r>
      <rPr>
        <rFont val="Calibri"/>
        <b val="0"/>
        <i/>
        <color rgb="FF006600"/>
        <sz val="11.0"/>
      </rPr>
      <t xml:space="preserve"> from partner's values concerning the FEC from oil for space heating in the tertiary sector</t>
    </r>
  </si>
  <si>
    <t>cdipetcfterchf</t>
  </si>
  <si>
    <r>
      <rPr>
        <rFont val="Calibri"/>
        <b/>
        <i/>
        <color rgb="FF006600"/>
        <sz val="11.0"/>
      </rPr>
      <t>Deviation</t>
    </r>
    <r>
      <rPr>
        <rFont val="Calibri"/>
        <b val="0"/>
        <i/>
        <color rgb="FF006600"/>
        <sz val="11.0"/>
      </rPr>
      <t xml:space="preserve"> from partner's values concerning the FEC from gas grid / gas consumed locally for space heating in the tertiary sector</t>
    </r>
  </si>
  <si>
    <t>cdigazcfterchf</t>
  </si>
  <si>
    <r>
      <rPr>
        <rFont val="Calibri"/>
        <b/>
        <i/>
        <color rgb="FF006600"/>
        <sz val="11.0"/>
      </rPr>
      <t>Deviation</t>
    </r>
    <r>
      <rPr>
        <rFont val="Calibri"/>
        <b val="0"/>
        <i/>
        <color rgb="FF006600"/>
        <sz val="11.0"/>
      </rPr>
      <t xml:space="preserve"> from partner's values concerning the Final electricity consumption for space heating in the tertiary sector</t>
    </r>
  </si>
  <si>
    <t>cdielccfterchf</t>
  </si>
  <si>
    <r>
      <rPr>
        <rFont val="Calibri"/>
        <b/>
        <i/>
        <color rgb="FF006600"/>
        <sz val="11.0"/>
      </rPr>
      <t>Deviation</t>
    </r>
    <r>
      <rPr>
        <rFont val="Calibri"/>
        <b val="0"/>
        <i/>
        <color rgb="FF006600"/>
        <sz val="11.0"/>
      </rPr>
      <t xml:space="preserve"> from partner's values concerning the FEC from heating networks for space heating in the tertiary sector</t>
    </r>
  </si>
  <si>
    <t>cdivapcfterchf</t>
  </si>
  <si>
    <r>
      <rPr>
        <rFont val="Calibri"/>
        <b/>
        <i/>
        <color rgb="FF006600"/>
        <sz val="11.0"/>
      </rPr>
      <t>Deviation</t>
    </r>
    <r>
      <rPr>
        <rFont val="Calibri"/>
        <b val="0"/>
        <i/>
        <color rgb="FF006600"/>
        <sz val="11.0"/>
      </rPr>
      <t xml:space="preserve"> from partner's values concerning the Final energy consumption from ambient heat (heat pumps…) for space heating in the tertiary sector</t>
    </r>
  </si>
  <si>
    <t>cdipaccfterchf</t>
  </si>
  <si>
    <r>
      <rPr>
        <rFont val="Calibri"/>
        <b/>
        <i/>
        <color rgb="FF006600"/>
        <sz val="11.0"/>
      </rPr>
      <t>Deviation</t>
    </r>
    <r>
      <rPr>
        <rFont val="Calibri"/>
        <b val="0"/>
        <i/>
        <color rgb="FF006600"/>
        <sz val="11.0"/>
      </rPr>
      <t xml:space="preserve"> from partner's values concerning the FEC from thermal solar for space heating in the tertiary sector</t>
    </r>
  </si>
  <si>
    <t>cdisthcfterchf</t>
  </si>
  <si>
    <t>crdaliterchf</t>
  </si>
  <si>
    <t>Check: Russian dolls &gt; equipment rate disaggregated by type of tertiary area</t>
  </si>
  <si>
    <t>crdeqrtercli</t>
  </si>
  <si>
    <t>Check: Russian dolls &gt; cooling needs disaggregated by type of tertiary area</t>
  </si>
  <si>
    <t>crdclntercli</t>
  </si>
  <si>
    <r>
      <rPr>
        <rFont val="Calibri"/>
        <b/>
        <i/>
        <color rgb="FFC55A11"/>
        <sz val="11.0"/>
      </rPr>
      <t xml:space="preserve">• Final </t>
    </r>
    <r>
      <rPr>
        <rFont val="Calibri"/>
        <b/>
        <i val="0"/>
        <color rgb="FFC55A11"/>
        <sz val="11.0"/>
        <u/>
      </rPr>
      <t>USEFUL</t>
    </r>
    <r>
      <rPr>
        <rFont val="Calibri"/>
        <b/>
        <i/>
        <color rgb="FFC55A11"/>
        <sz val="11.0"/>
      </rPr>
      <t xml:space="preserve"> Energy Consumption for cooling per type of building</t>
    </r>
  </si>
  <si>
    <t>Final useful energy consumption of unrenovated existing buildings for cooling</t>
  </si>
  <si>
    <t>calcuterexcli</t>
  </si>
  <si>
    <t>Final useful energy consumption of renovated buildings for cooling</t>
  </si>
  <si>
    <t>calcuterrvcli</t>
  </si>
  <si>
    <t>Final useful energy consumption of new tertiary buildings for cooling</t>
  </si>
  <si>
    <t>calcuternfcli</t>
  </si>
  <si>
    <r>
      <rPr>
        <rFont val="Calibri"/>
        <b/>
        <i/>
        <color rgb="FFFFFFFF"/>
        <sz val="11.0"/>
      </rPr>
      <t>TOTAL</t>
    </r>
    <r>
      <rPr>
        <rFont val="Calibri"/>
        <b val="0"/>
        <i val="0"/>
        <color rgb="FFFFFFFF"/>
        <sz val="11.0"/>
      </rPr>
      <t xml:space="preserve"> Final useful energy consumption of tertiary buildings for cooling</t>
    </r>
  </si>
  <si>
    <t>caltoccutercli</t>
  </si>
  <si>
    <t>crdalitercli</t>
  </si>
  <si>
    <t>calelccftercli</t>
  </si>
  <si>
    <t>Heat discharged to the hotter source (by heat pumps…) (ambient heat) for cooling in the tertiary sector</t>
  </si>
  <si>
    <t>calpercftercli</t>
  </si>
  <si>
    <r>
      <rPr>
        <rFont val="Calibri"/>
        <b/>
        <i/>
        <color rgb="FF006600"/>
        <sz val="11.0"/>
      </rPr>
      <t>Deviation</t>
    </r>
    <r>
      <rPr>
        <rFont val="Calibri"/>
        <b val="0"/>
        <i/>
        <color rgb="FF006600"/>
        <sz val="11.0"/>
      </rPr>
      <t xml:space="preserve"> from partner's values concerning the </t>
    </r>
    <r>
      <rPr>
        <rFont val="Calibri"/>
        <b/>
        <i/>
        <color rgb="FF006600"/>
        <sz val="11.0"/>
      </rPr>
      <t>Total</t>
    </r>
    <r>
      <rPr>
        <rFont val="Calibri"/>
        <b val="0"/>
        <i/>
        <color rgb="FF006600"/>
        <sz val="11.0"/>
      </rPr>
      <t xml:space="preserve"> Final electricity consumption for cooling in the tertiary sector</t>
    </r>
  </si>
  <si>
    <t>cdielccftercli</t>
  </si>
  <si>
    <r>
      <rPr>
        <rFont val="Calibri"/>
        <b/>
        <color rgb="FF000000"/>
        <sz val="11.0"/>
      </rPr>
      <t>Total</t>
    </r>
    <r>
      <rPr>
        <rFont val="Calibri"/>
        <b val="0"/>
        <color rgb="FF000000"/>
        <sz val="11.0"/>
      </rPr>
      <t xml:space="preserve"> final energy consumption for hot water in the tertiary sector</t>
    </r>
  </si>
  <si>
    <t>Please note that this indicator includes the electricity consumption of electric water heaters and heat-pump water heaters.</t>
  </si>
  <si>
    <r>
      <rPr>
        <rFont val="Calibri"/>
        <b/>
        <color rgb="FF000000"/>
        <sz val="11.0"/>
      </rPr>
      <t>Total</t>
    </r>
    <r>
      <rPr>
        <rFont val="Calibri"/>
        <b val="0"/>
        <color rgb="FF000000"/>
        <sz val="11.0"/>
      </rPr>
      <t xml:space="preserve"> Final energy consumption for cooking in the tertiary sector</t>
    </r>
  </si>
  <si>
    <t>• Telecommunications sector (input values)</t>
  </si>
  <si>
    <t>Check: Russian dolls &gt; telecommunication sector</t>
  </si>
  <si>
    <t>crdtcs</t>
  </si>
  <si>
    <t>Total final electricity consumption of the telecommunications sector</t>
  </si>
  <si>
    <t>calelccftertcs</t>
  </si>
  <si>
    <t>• TOTAL Specific electricity consumption</t>
  </si>
  <si>
    <r>
      <rPr>
        <rFont val="Calibri"/>
        <b/>
        <i/>
        <color rgb="FFFFFFFF"/>
        <sz val="11.0"/>
      </rPr>
      <t>Total</t>
    </r>
    <r>
      <rPr>
        <rFont val="Calibri"/>
        <b val="0"/>
        <i/>
        <color rgb="FFFFFFFF"/>
        <sz val="11.0"/>
      </rPr>
      <t xml:space="preserve"> final specific electricity consumption in the tertiary sector</t>
    </r>
  </si>
  <si>
    <t>caltocelscfter</t>
  </si>
  <si>
    <r>
      <rPr>
        <rFont val="Calibri"/>
        <color rgb="FF000000"/>
        <sz val="11.0"/>
      </rPr>
      <t xml:space="preserve">This indicator includes the electricity consumption of electric resistance heaters / electric water heaters </t>
    </r>
    <r>
      <rPr>
        <rFont val="Calibri"/>
        <color rgb="FF000000"/>
        <sz val="11.0"/>
        <u/>
      </rPr>
      <t>and</t>
    </r>
    <r>
      <rPr>
        <rFont val="Calibri"/>
        <color rgb="FF000000"/>
        <sz val="11.0"/>
      </rPr>
      <t xml:space="preserve"> heat pumps / heat-pump water heaters.</t>
    </r>
  </si>
  <si>
    <r>
      <rPr>
        <rFont val="Calibri"/>
        <b/>
        <i/>
        <color rgb="FF006600"/>
        <sz val="11.0"/>
      </rPr>
      <t>Deviation</t>
    </r>
    <r>
      <rPr>
        <rFont val="Calibri"/>
        <b val="0"/>
        <i/>
        <color rgb="FF006600"/>
        <sz val="11.0"/>
      </rPr>
      <t xml:space="preserve"> from partner's values concerning the </t>
    </r>
    <r>
      <rPr>
        <rFont val="Calibri"/>
        <b/>
        <i/>
        <color rgb="FF006600"/>
        <sz val="11.0"/>
      </rPr>
      <t>Total</t>
    </r>
    <r>
      <rPr>
        <rFont val="Calibri"/>
        <b val="0"/>
        <i/>
        <color rgb="FF006600"/>
        <sz val="11.0"/>
      </rPr>
      <t xml:space="preserve"> final energy consumption in the tertiary sector</t>
    </r>
  </si>
  <si>
    <t>cditoccfter</t>
  </si>
  <si>
    <r>
      <rPr>
        <rFont val="Calibri"/>
        <b/>
        <i/>
        <color rgb="FF006600"/>
        <sz val="11.0"/>
      </rPr>
      <t>Deviation</t>
    </r>
    <r>
      <rPr>
        <rFont val="Calibri"/>
        <b val="0"/>
        <i/>
        <color rgb="FF006600"/>
        <sz val="11.0"/>
      </rPr>
      <t xml:space="preserve"> from partner's values concerning the Final energy consumption from solid fossil fuels (coal ...) in the tertiary sector</t>
    </r>
  </si>
  <si>
    <t>cdicmscfter</t>
  </si>
  <si>
    <r>
      <rPr>
        <rFont val="Calibri"/>
        <b/>
        <i/>
        <color rgb="FF006600"/>
        <sz val="11.0"/>
      </rPr>
      <t>Deviation</t>
    </r>
    <r>
      <rPr>
        <rFont val="Calibri"/>
        <b val="0"/>
        <i/>
        <color rgb="FF006600"/>
        <sz val="11.0"/>
      </rPr>
      <t xml:space="preserve"> from partner's values concerning the Final energy consumption from solid biomass in the tertiary sector</t>
    </r>
  </si>
  <si>
    <t>cdienccfter</t>
  </si>
  <si>
    <r>
      <rPr>
        <rFont val="Calibri"/>
        <b/>
        <i/>
        <color rgb="FF006600"/>
        <sz val="11.0"/>
      </rPr>
      <t>Deviation</t>
    </r>
    <r>
      <rPr>
        <rFont val="Calibri"/>
        <b val="0"/>
        <i/>
        <color rgb="FF006600"/>
        <sz val="11.0"/>
      </rPr>
      <t xml:space="preserve"> from partner's values concerning the Final oil consumption in the tertiary sector</t>
    </r>
  </si>
  <si>
    <t>cdipetcfter</t>
  </si>
  <si>
    <r>
      <rPr>
        <rFont val="Calibri"/>
        <b/>
        <i/>
        <color rgb="FF006600"/>
        <sz val="11.0"/>
      </rPr>
      <t>Deviation</t>
    </r>
    <r>
      <rPr>
        <rFont val="Calibri"/>
        <b val="0"/>
        <i/>
        <color rgb="FF006600"/>
        <sz val="11.0"/>
      </rPr>
      <t xml:space="preserve"> from partner's values concerning the Final energy consumption from gas grid / gas consumed locally in the tertiary sector</t>
    </r>
  </si>
  <si>
    <t>cdigazcfter</t>
  </si>
  <si>
    <r>
      <rPr>
        <rFont val="Calibri"/>
        <b/>
        <i/>
        <color rgb="FF006600"/>
        <sz val="11.0"/>
      </rPr>
      <t>Deviation</t>
    </r>
    <r>
      <rPr>
        <rFont val="Calibri"/>
        <b val="0"/>
        <i/>
        <color rgb="FF006600"/>
        <sz val="11.0"/>
      </rPr>
      <t xml:space="preserve"> from partner's values concerning the Final electricity consumption in the tertiary sector</t>
    </r>
  </si>
  <si>
    <t>cdielccfter</t>
  </si>
  <si>
    <r>
      <rPr>
        <rFont val="Calibri"/>
        <b/>
        <i/>
        <color rgb="FF006600"/>
        <sz val="11.0"/>
      </rPr>
      <t>Deviation</t>
    </r>
    <r>
      <rPr>
        <rFont val="Calibri"/>
        <b val="0"/>
        <i/>
        <color rgb="FF006600"/>
        <sz val="11.0"/>
      </rPr>
      <t xml:space="preserve"> from partner's values concerning the Final energy consumption from heating networks in the tertiary sector</t>
    </r>
  </si>
  <si>
    <t>cdivapcfter</t>
  </si>
  <si>
    <r>
      <rPr>
        <rFont val="Calibri"/>
        <b/>
        <i/>
        <color rgb="FF006600"/>
        <sz val="11.0"/>
      </rPr>
      <t>Deviation</t>
    </r>
    <r>
      <rPr>
        <rFont val="Calibri"/>
        <b val="0"/>
        <i/>
        <color rgb="FF006600"/>
        <sz val="11.0"/>
      </rPr>
      <t xml:space="preserve"> from partner's values concerning the Final energy consumption from ambient heat (heat pumps…) in the tertiary sector</t>
    </r>
  </si>
  <si>
    <t>cdipaccfter</t>
  </si>
  <si>
    <r>
      <rPr>
        <rFont val="Calibri"/>
        <b/>
        <i/>
        <color rgb="FF006600"/>
        <sz val="11.0"/>
      </rPr>
      <t>Deviation</t>
    </r>
    <r>
      <rPr>
        <rFont val="Calibri"/>
        <b val="0"/>
        <i/>
        <color rgb="FF006600"/>
        <sz val="11.0"/>
      </rPr>
      <t xml:space="preserve"> from partner's values concerning the Final energy consumption from thermal solar in the tertiary sector</t>
    </r>
  </si>
  <si>
    <t>cdisthcfter</t>
  </si>
  <si>
    <r>
      <rPr>
        <rFont val="Calibri"/>
        <b/>
        <color rgb="FF000000"/>
        <sz val="11.0"/>
      </rPr>
      <t>Total</t>
    </r>
    <r>
      <rPr>
        <rFont val="Calibri"/>
        <b val="0"/>
        <color rgb="FF000000"/>
        <sz val="11.0"/>
      </rPr>
      <t xml:space="preserve"> final energy consumption for space heating in the tertiary sector</t>
    </r>
  </si>
  <si>
    <r>
      <rPr>
        <rFont val="Calibri"/>
        <b/>
        <color rgb="FF000000"/>
        <sz val="11.0"/>
      </rPr>
      <t>Total</t>
    </r>
    <r>
      <rPr>
        <rFont val="Calibri"/>
        <b val="0"/>
        <color rgb="FF000000"/>
        <sz val="11.0"/>
      </rPr>
      <t xml:space="preserve"> final energy consumption for cooling in the tertiary sector</t>
    </r>
  </si>
  <si>
    <r>
      <rPr>
        <rFont val="Calibri"/>
        <b/>
        <color rgb="FF000000"/>
        <sz val="11.0"/>
      </rPr>
      <t>Total</t>
    </r>
    <r>
      <rPr>
        <rFont val="Calibri"/>
        <b val="0"/>
        <color rgb="FF000000"/>
        <sz val="11.0"/>
      </rPr>
      <t xml:space="preserve"> final energy consumption for hot water in the tertiary sector</t>
    </r>
  </si>
  <si>
    <r>
      <rPr>
        <rFont val="Calibri"/>
        <b/>
        <color rgb="FF000000"/>
        <sz val="11.0"/>
      </rPr>
      <t>Total</t>
    </r>
    <r>
      <rPr>
        <rFont val="Calibri"/>
        <b val="0"/>
        <color rgb="FF000000"/>
        <sz val="11.0"/>
      </rPr>
      <t xml:space="preserve"> Final energy consumption for cooking in the tertiary sector</t>
    </r>
  </si>
  <si>
    <r>
      <rPr>
        <rFont val="Calibri"/>
        <b/>
        <color rgb="FF000000"/>
        <sz val="11.0"/>
      </rPr>
      <t>Total</t>
    </r>
    <r>
      <rPr>
        <rFont val="Calibri"/>
        <b val="0"/>
        <color rgb="FF000000"/>
        <sz val="11.0"/>
      </rPr>
      <t xml:space="preserve"> consumption of specific electricity in the tertiary sector</t>
    </r>
  </si>
  <si>
    <r>
      <rPr>
        <rFont val="Calibri"/>
        <b/>
        <color rgb="FF000000"/>
        <sz val="11.0"/>
      </rPr>
      <t>Total</t>
    </r>
    <r>
      <rPr>
        <rFont val="Calibri"/>
        <b val="0"/>
        <color rgb="FF000000"/>
        <sz val="11.0"/>
      </rPr>
      <t xml:space="preserve"> final energy consumption in the tertiary sector</t>
    </r>
  </si>
  <si>
    <t>Tertiary sector final energy consumption by energy carriers</t>
  </si>
  <si>
    <t>Tertiary sector final energy consumption by energy uses</t>
  </si>
  <si>
    <t>Description of needs</t>
  </si>
  <si>
    <r>
      <rPr>
        <rFont val="Calibri"/>
        <b/>
        <color rgb="FF000000"/>
        <sz val="11.0"/>
      </rPr>
      <t>Total</t>
    </r>
    <r>
      <rPr>
        <rFont val="Calibri"/>
        <b val="0"/>
        <color rgb="FF000000"/>
        <sz val="11.0"/>
      </rPr>
      <t xml:space="preserve"> number of passenger-kilometres</t>
    </r>
  </si>
  <si>
    <t>Gpkm</t>
  </si>
  <si>
    <r>
      <rPr>
        <rFont val="Calibri"/>
        <b/>
        <color rgb="FF000000"/>
        <sz val="11.0"/>
      </rPr>
      <t>Total</t>
    </r>
    <r>
      <rPr>
        <rFont val="Calibri"/>
        <b val="0"/>
        <color rgb="FF000000"/>
        <sz val="11.0"/>
      </rPr>
      <t xml:space="preserve"> passenger traffic except air</t>
    </r>
  </si>
  <si>
    <t>pkmter</t>
  </si>
  <si>
    <t>Share of commutes removed due to teleworking</t>
  </si>
  <si>
    <t>%poptel</t>
  </si>
  <si>
    <t>• Disaggregation per reason for movement:</t>
  </si>
  <si>
    <t>Passenger-kilometres for personal reasons</t>
  </si>
  <si>
    <t>pkmper</t>
  </si>
  <si>
    <t>Passenger-kilometres for business reasons</t>
  </si>
  <si>
    <t>pkmwrk</t>
  </si>
  <si>
    <t>Traffic broken down by transport mode</t>
  </si>
  <si>
    <t>Share of collective transport in total land passenger traffic (except air)</t>
  </si>
  <si>
    <t>pcpkmpub</t>
  </si>
  <si>
    <t>• Road travel</t>
  </si>
  <si>
    <r>
      <rPr>
        <rFont val="Calibri"/>
        <b/>
        <color rgb="FF000000"/>
        <sz val="11.0"/>
      </rPr>
      <t>Total</t>
    </r>
    <r>
      <rPr>
        <rFont val="Calibri"/>
        <b val="0"/>
        <color rgb="FF000000"/>
        <sz val="11.0"/>
      </rPr>
      <t xml:space="preserve"> </t>
    </r>
    <r>
      <rPr>
        <rFont val="Calibri"/>
        <b/>
        <color rgb="FF000000"/>
        <sz val="11.0"/>
      </rPr>
      <t>road</t>
    </r>
    <r>
      <rPr>
        <rFont val="Calibri"/>
        <b val="0"/>
        <color rgb="FF000000"/>
        <sz val="11.0"/>
      </rPr>
      <t xml:space="preserve"> passenger traffic</t>
    </r>
  </si>
  <si>
    <t>pkmrou</t>
  </si>
  <si>
    <t>\-&gt; Traffic: passenger-kilometres disaggregated by type of vehicle and fuel</t>
  </si>
  <si>
    <t>&gt; Soft mobility:</t>
  </si>
  <si>
    <t>Passenger-kilometres travelled by non-motorized mode (bicycle, foot)</t>
  </si>
  <si>
    <t>pkmnmt</t>
  </si>
  <si>
    <t>Pedestrian passenger-kilometres</t>
  </si>
  <si>
    <t>pkmped</t>
  </si>
  <si>
    <t>Bicycle passenger-kilometres</t>
  </si>
  <si>
    <t>pkmcyl</t>
  </si>
  <si>
    <t>Share of pkm travelled by electric bikes (out of the total pkm travelled by bikes)</t>
  </si>
  <si>
    <t>%elccyl</t>
  </si>
  <si>
    <t>&gt; Car traffic</t>
  </si>
  <si>
    <t>Average number of people per vehicle</t>
  </si>
  <si>
    <t>person/car</t>
  </si>
  <si>
    <t>capvp</t>
  </si>
  <si>
    <r>
      <rPr>
        <rFont val="Calibri"/>
        <b/>
        <color rgb="FF000000"/>
        <sz val="11.0"/>
      </rPr>
      <t>Total</t>
    </r>
    <r>
      <rPr>
        <rFont val="Calibri"/>
        <b val="0"/>
        <color rgb="FF000000"/>
        <sz val="11.0"/>
      </rPr>
      <t xml:space="preserve"> car passenger-kilometres</t>
    </r>
  </si>
  <si>
    <t>pkmvpc</t>
  </si>
  <si>
    <t>Passenger-kilometres travelled by liquid fuel cars</t>
  </si>
  <si>
    <t>pkmvpclqf</t>
  </si>
  <si>
    <t>Passenger-kilometres travelled by cars running on LPG</t>
  </si>
  <si>
    <t>pkmvpcgpl</t>
  </si>
  <si>
    <t>Passenger-kilometres travelled by cars running on NGV / biomethane</t>
  </si>
  <si>
    <t>pkmvpcngv</t>
  </si>
  <si>
    <t>Passenger-kilometres travelled by hydrogen cars</t>
  </si>
  <si>
    <t>pkmvpchyd</t>
  </si>
  <si>
    <t>Passenger-kilometres travelled by electric cars</t>
  </si>
  <si>
    <t>pkmvpcele</t>
  </si>
  <si>
    <t>Passenger-kilometres travelled by plug-in gasoline fuel hybrid cars</t>
  </si>
  <si>
    <t>pkmvpchybess</t>
  </si>
  <si>
    <t>Passenger-kilometres travelled by plug-in diesel hybrid cars</t>
  </si>
  <si>
    <t>pkmvpchybgzl</t>
  </si>
  <si>
    <t>Passenger-kilometres travelled by plug-in gas hybrid cars</t>
  </si>
  <si>
    <t>pkmvpchybgaz</t>
  </si>
  <si>
    <t>&gt; Motorcycle traffic</t>
  </si>
  <si>
    <r>
      <rPr>
        <rFont val="Calibri"/>
        <b/>
        <color theme="1"/>
        <sz val="11.0"/>
      </rPr>
      <t>Total</t>
    </r>
    <r>
      <rPr>
        <rFont val="Calibri"/>
        <b val="0"/>
        <color theme="1"/>
        <sz val="11.0"/>
      </rPr>
      <t xml:space="preserve"> passenger-kilometres travelled by motorcycles</t>
    </r>
  </si>
  <si>
    <t>pkmmot</t>
  </si>
  <si>
    <t>Passenger-kilometres travelled by motorcycles running on liquid fuels</t>
  </si>
  <si>
    <t>pkmmotlqf</t>
  </si>
  <si>
    <t>Passenger-kilometres travelled by motorcycles running on NGV / biomethane</t>
  </si>
  <si>
    <t>pkmmotngv</t>
  </si>
  <si>
    <t>Passenger-kilometres travelled by electric motorcycles</t>
  </si>
  <si>
    <t>pkmmotele</t>
  </si>
  <si>
    <t>&gt; Bus traffic</t>
  </si>
  <si>
    <t>Occupancy level of buses and coaches</t>
  </si>
  <si>
    <t>person/bus</t>
  </si>
  <si>
    <t>capbus</t>
  </si>
  <si>
    <r>
      <rPr>
        <rFont val="Calibri"/>
        <b/>
        <color theme="1"/>
        <sz val="11.0"/>
      </rPr>
      <t>Total</t>
    </r>
    <r>
      <rPr>
        <rFont val="Calibri"/>
        <b val="0"/>
        <color theme="1"/>
        <sz val="11.0"/>
      </rPr>
      <t xml:space="preserve"> passenger-kilometres travelled by buses and coaches</t>
    </r>
  </si>
  <si>
    <t>pkmbus</t>
  </si>
  <si>
    <t>Passenger-kilometres travelled by buses and coaches running on liquid fuels</t>
  </si>
  <si>
    <t>pkmbuslqf</t>
  </si>
  <si>
    <t>Passenger-kilometres travelled by buses and coaches running on LPG</t>
  </si>
  <si>
    <t>pkmbusgpl</t>
  </si>
  <si>
    <t>Passenger-kilometres travelled by buses and coaches running on NGV / biomethane</t>
  </si>
  <si>
    <t>pkmbusngv</t>
  </si>
  <si>
    <t>Passenger-kilometres travelled by hydrogen powered buses and coaches</t>
  </si>
  <si>
    <t>pkmbushyd</t>
  </si>
  <si>
    <t>Passenger-kilometres travelled by electric buses and coaches</t>
  </si>
  <si>
    <t>pkmbusele</t>
  </si>
  <si>
    <t>\-&gt; Distances travelled by type of vehicle and fuel type</t>
  </si>
  <si>
    <t>&gt; Cars (disaggregation by fuel):</t>
  </si>
  <si>
    <t>Average annual distance travelled by car</t>
  </si>
  <si>
    <t>km</t>
  </si>
  <si>
    <t>kmvvpc</t>
  </si>
  <si>
    <t>Average annual distance travelled by gasoline car</t>
  </si>
  <si>
    <t>kmvvpcess</t>
  </si>
  <si>
    <t>Average annual distance travelled by diesel car</t>
  </si>
  <si>
    <t>kmvvpcgzl</t>
  </si>
  <si>
    <t>&gt; Other motor vehicles:</t>
  </si>
  <si>
    <t>Average annual distance travelled by motorcycle</t>
  </si>
  <si>
    <t>kmvmot</t>
  </si>
  <si>
    <t>Average annual distance travelled by bus / coach</t>
  </si>
  <si>
    <t>kmvbus</t>
  </si>
  <si>
    <t>\-&gt; Stocks of vehicles by type and fuel</t>
  </si>
  <si>
    <t>&gt; Car (disaggregation by fuel type):</t>
  </si>
  <si>
    <r>
      <rPr>
        <rFont val="Calibri"/>
        <b/>
        <color rgb="FF000000"/>
        <sz val="11.0"/>
      </rPr>
      <t>Total</t>
    </r>
    <r>
      <rPr>
        <rFont val="Calibri"/>
        <b val="0"/>
        <color rgb="FF000000"/>
        <sz val="11.0"/>
      </rPr>
      <t xml:space="preserve"> stock of cars</t>
    </r>
  </si>
  <si>
    <t>M</t>
  </si>
  <si>
    <t>nbrvpc</t>
  </si>
  <si>
    <t>Stock of gasoline cars</t>
  </si>
  <si>
    <t>nbrvpcess</t>
  </si>
  <si>
    <t>Stock of diesel cars</t>
  </si>
  <si>
    <t>nbrvpcgzl</t>
  </si>
  <si>
    <t>Stock of LPG cars</t>
  </si>
  <si>
    <t>nbrvpcgpl</t>
  </si>
  <si>
    <t>Stock of NGV cars</t>
  </si>
  <si>
    <t>nbrvpcgna</t>
  </si>
  <si>
    <t>Stock of hydrogen cars</t>
  </si>
  <si>
    <t>nbrvpchyd</t>
  </si>
  <si>
    <t>Stock of electric cars</t>
  </si>
  <si>
    <t>nbrvpcele</t>
  </si>
  <si>
    <t>Stock of plug-in gasoline fuel hybrid cars</t>
  </si>
  <si>
    <t>nbrvpchybess</t>
  </si>
  <si>
    <t>Stock of plug-in diesel hybrid cars</t>
  </si>
  <si>
    <t>nbrvpchybgzl</t>
  </si>
  <si>
    <t>Stock of plug-in gas hybrid cars</t>
  </si>
  <si>
    <t>nbrvpchybgaz</t>
  </si>
  <si>
    <t>* Registration of new cars, broken down by fuel type</t>
  </si>
  <si>
    <r>
      <rPr>
        <rFont val="Calibri"/>
        <b/>
        <color rgb="FF000000"/>
        <sz val="11.0"/>
      </rPr>
      <t>Total</t>
    </r>
    <r>
      <rPr>
        <rFont val="Calibri"/>
        <b val="0"/>
        <color rgb="FF000000"/>
        <sz val="11.0"/>
      </rPr>
      <t xml:space="preserve"> registrations of new cars</t>
    </r>
  </si>
  <si>
    <t>newvpc</t>
  </si>
  <si>
    <t>Registrations of new gasoline cars</t>
  </si>
  <si>
    <t>newvpcess</t>
  </si>
  <si>
    <t>Registrations of new diesel cars</t>
  </si>
  <si>
    <t>newvpcgzl</t>
  </si>
  <si>
    <t>Registrations of new LPG cars</t>
  </si>
  <si>
    <t>newvpcgpl</t>
  </si>
  <si>
    <t>Registrations of new NGV cars</t>
  </si>
  <si>
    <t>newvpcgna</t>
  </si>
  <si>
    <t>Registrations of new electric cars</t>
  </si>
  <si>
    <t>newvpcele</t>
  </si>
  <si>
    <t>Registrations of new plug-in hybrid cars</t>
  </si>
  <si>
    <t>newvpchyb</t>
  </si>
  <si>
    <t>Registrations of new flex cars</t>
  </si>
  <si>
    <t>newvpcflex</t>
  </si>
  <si>
    <t>&gt; Motorcycles:</t>
  </si>
  <si>
    <r>
      <rPr>
        <rFont val="Calibri"/>
        <b/>
        <color rgb="FF000000"/>
        <sz val="11.0"/>
      </rPr>
      <t>Total</t>
    </r>
    <r>
      <rPr>
        <rFont val="Calibri"/>
        <b val="0"/>
        <color rgb="FF000000"/>
        <sz val="11.0"/>
      </rPr>
      <t xml:space="preserve"> stock of motorcycles</t>
    </r>
  </si>
  <si>
    <t>nbrmot</t>
  </si>
  <si>
    <t>Stock of motorcycles running on liquid fuels</t>
  </si>
  <si>
    <t>nbrmotlqf</t>
  </si>
  <si>
    <t>Stock of motorcycles running on NGV / biomethane</t>
  </si>
  <si>
    <t>nbrmotngv</t>
  </si>
  <si>
    <t>Stock of electric motorcycles</t>
  </si>
  <si>
    <t>nbrmotele</t>
  </si>
  <si>
    <t>&gt; Buses and coaches (disaggregation by fuel):</t>
  </si>
  <si>
    <r>
      <rPr>
        <rFont val="Calibri"/>
        <b/>
        <color rgb="FF000000"/>
        <sz val="11.0"/>
      </rPr>
      <t>Total</t>
    </r>
    <r>
      <rPr>
        <rFont val="Calibri"/>
        <b val="0"/>
        <color rgb="FF000000"/>
        <sz val="11.0"/>
      </rPr>
      <t xml:space="preserve"> stock of buses/coaches</t>
    </r>
  </si>
  <si>
    <t>nbrbus</t>
  </si>
  <si>
    <t>Stock of gasoline buses/coaches</t>
  </si>
  <si>
    <t>nbrbusess</t>
  </si>
  <si>
    <t>Stock of diesel buses/coaches</t>
  </si>
  <si>
    <t>nbrbusgzl</t>
  </si>
  <si>
    <t>Stock of LPG buses/coaches</t>
  </si>
  <si>
    <t>nbrbusgpl</t>
  </si>
  <si>
    <t>Stock of NGV buses/coaches</t>
  </si>
  <si>
    <t>nbrbusgna</t>
  </si>
  <si>
    <t>Stock of hydrogen powered buses/coaches</t>
  </si>
  <si>
    <t>nbrbushyd</t>
  </si>
  <si>
    <t>Stock of electric buses/coaches</t>
  </si>
  <si>
    <t>nbrbusele</t>
  </si>
  <si>
    <t>\-&gt; Performance (energy efficiency), disaggregated by type of vehicles</t>
  </si>
  <si>
    <t>&gt; Electric cycles</t>
  </si>
  <si>
    <t>Energy efficiency of electric cycles</t>
  </si>
  <si>
    <t>kWh/100 km</t>
  </si>
  <si>
    <t>eecylele</t>
  </si>
  <si>
    <t>&gt; Cars</t>
  </si>
  <si>
    <t>Average weight per car</t>
  </si>
  <si>
    <t>poivpc</t>
  </si>
  <si>
    <t>Average specific consumption of cars running on liquid fossil fuels</t>
  </si>
  <si>
    <t>L/100 km</t>
  </si>
  <si>
    <t>csvpclqf</t>
  </si>
  <si>
    <t>Average specific consumption of gasoline cars</t>
  </si>
  <si>
    <t>csvpcess</t>
  </si>
  <si>
    <t>Average specific consumption of diesel cars</t>
  </si>
  <si>
    <t>csvpcgzl</t>
  </si>
  <si>
    <t>Average specific consumption of cars running on LPG</t>
  </si>
  <si>
    <t>csvpcgpl</t>
  </si>
  <si>
    <t>Average specific consumption of cars running on NGV / biomethane</t>
  </si>
  <si>
    <t>kg/100 km</t>
  </si>
  <si>
    <t>csvpcngv</t>
  </si>
  <si>
    <t>Average specific consumption of hydrogen cars</t>
  </si>
  <si>
    <t>csvpchyd</t>
  </si>
  <si>
    <t>Average specific consumption of electric cars</t>
  </si>
  <si>
    <t>kWh/km</t>
  </si>
  <si>
    <t>csvpcele</t>
  </si>
  <si>
    <t>Share of pkm travelled in electric mode for plug-in hybrid cars</t>
  </si>
  <si>
    <t>elevpchyb</t>
  </si>
  <si>
    <t>&gt; Motorcycles</t>
  </si>
  <si>
    <t>Average specific consumption of motorcycles running on liquid fossil fuels</t>
  </si>
  <si>
    <t>csmotlqf</t>
  </si>
  <si>
    <t>Average specific consumption of motorcycles running on NGV / biomethane</t>
  </si>
  <si>
    <t>csmotngv</t>
  </si>
  <si>
    <t>Average specific consumption of electric motorcycles</t>
  </si>
  <si>
    <t>csmotele</t>
  </si>
  <si>
    <t>&gt;Buses and coaches</t>
  </si>
  <si>
    <t>Average specific consumption of buses and coaches running on liquid fossil fuels</t>
  </si>
  <si>
    <t>csbuslqf</t>
  </si>
  <si>
    <t>Average specific consumption of buses and coaches running on LPG</t>
  </si>
  <si>
    <t>csbusgpl</t>
  </si>
  <si>
    <t>Average specific consumption of buses and coaches running on NGV / biomethane</t>
  </si>
  <si>
    <t>csbusngv</t>
  </si>
  <si>
    <t>Average specific consumption of hydrogen powered buses and coaches</t>
  </si>
  <si>
    <t>csbushyd</t>
  </si>
  <si>
    <t>Average specific consumption of electric buses and coaches</t>
  </si>
  <si>
    <t>csbusele</t>
  </si>
  <si>
    <t>\-&gt; Final energy consumption per final energy carrier in passenger road mobility &gt; Results from the Energy Demand Calculation Module:</t>
  </si>
  <si>
    <t>Total final energy consumption in passenger road mobility</t>
  </si>
  <si>
    <t>caltoccfvpc</t>
  </si>
  <si>
    <t>Final liquid fuels consumption in passenger road mobility</t>
  </si>
  <si>
    <t>callqfcfvpc</t>
  </si>
  <si>
    <t>Final energy consumption from gaseous motor fuels - methane for passenger road mobility</t>
  </si>
  <si>
    <t>calgazcfvpc</t>
  </si>
  <si>
    <t>Final energy consumption from gaseous motor fuels - hydrogen for passenger road mobility</t>
  </si>
  <si>
    <t>calhydcfvpc</t>
  </si>
  <si>
    <t>Final electricity consumption for passenger road mobility</t>
  </si>
  <si>
    <t>calelccfvpc</t>
  </si>
  <si>
    <t>• Rail travel</t>
  </si>
  <si>
    <t>Passenger-kilometres travelled by trains</t>
  </si>
  <si>
    <t>pkmfer</t>
  </si>
  <si>
    <t>Passenger-kilometres travelled by metros, tram</t>
  </si>
  <si>
    <t>pkmfermet</t>
  </si>
  <si>
    <t>Share of liquid fuels in passenger-kilometres travelled in rail transport</t>
  </si>
  <si>
    <t>pclqfferpkm</t>
  </si>
  <si>
    <t>Share of NGV / biomethane in passenger-kilometres travelled in rail transport</t>
  </si>
  <si>
    <t>pcngvferpkm</t>
  </si>
  <si>
    <t>Share of hydrogen fuel in passenger-kilometres travelled in rail transport</t>
  </si>
  <si>
    <t>pchydferpkm</t>
  </si>
  <si>
    <t>Share of electricity in passenger-kilometres travelled in rail transport</t>
  </si>
  <si>
    <t>pcelcferpkm</t>
  </si>
  <si>
    <t>\-&gt; Performance (energy efficiency)</t>
  </si>
  <si>
    <t>Energy efficiency of passenger trains</t>
  </si>
  <si>
    <t>kWh/100 pkm</t>
  </si>
  <si>
    <t>eeferpkm</t>
  </si>
  <si>
    <t>\-&gt; Final energy consumption per final energy carrier in rail travel &gt; Results from the Energy Demand Calculation Module:</t>
  </si>
  <si>
    <t>Total final energy consumption in rail passenger transport</t>
  </si>
  <si>
    <t>caltoccfmobfer</t>
  </si>
  <si>
    <t>Final energy consumption from liquid fuels in rail passenger transport</t>
  </si>
  <si>
    <t>calcflqfmobfer</t>
  </si>
  <si>
    <t>Final energy consumption from NGV / biomethane in rail passenger transport</t>
  </si>
  <si>
    <t>calcfngvmobfer</t>
  </si>
  <si>
    <t>Final energy consumption from hydrogen in rail passenger transport</t>
  </si>
  <si>
    <t>calcfhydmobfer</t>
  </si>
  <si>
    <t>Final electricity consumption in rail passenger transport</t>
  </si>
  <si>
    <t>calcfelemobfer</t>
  </si>
  <si>
    <t>• Air travel</t>
  </si>
  <si>
    <t>\-&gt; Traffic: passenger-kilometres</t>
  </si>
  <si>
    <t>Passenger-kilometres travelled on domestic flights</t>
  </si>
  <si>
    <t>pkmavd</t>
  </si>
  <si>
    <t>Passenger-kilometres travelled on international flights</t>
  </si>
  <si>
    <t>pkmavi</t>
  </si>
  <si>
    <t>Passenger-kilometres travelled on international intra-EU28 flights</t>
  </si>
  <si>
    <t>pkmaireur</t>
  </si>
  <si>
    <t>Passenger-kilometres travelled on international extra-EU28 flights</t>
  </si>
  <si>
    <t>pkmairint</t>
  </si>
  <si>
    <t>\-&gt; Air travel performance (energy efficiency)</t>
  </si>
  <si>
    <t>Energy efficiency of planes</t>
  </si>
  <si>
    <t>eeairpkm</t>
  </si>
  <si>
    <t>Energy efficiency of domestic planes</t>
  </si>
  <si>
    <t>eeairpkmd</t>
  </si>
  <si>
    <t>Energy efficiency of international planes</t>
  </si>
  <si>
    <t>eeairpkmi</t>
  </si>
  <si>
    <t>\-&gt; Final energy consumption for air travel per final energy carrier</t>
  </si>
  <si>
    <r>
      <rPr>
        <rFont val="Calibri"/>
        <b/>
        <color rgb="FF000000"/>
        <sz val="11.0"/>
      </rPr>
      <t>Total</t>
    </r>
    <r>
      <rPr>
        <rFont val="Calibri"/>
        <b val="0"/>
        <color rgb="FF000000"/>
        <sz val="11.0"/>
      </rPr>
      <t xml:space="preserve"> final liquid fuels consumption for air travel</t>
    </r>
  </si>
  <si>
    <t>toccfair</t>
  </si>
  <si>
    <t>Final liquid fuels consumption on domestic flights</t>
  </si>
  <si>
    <t>lqfcfavd</t>
  </si>
  <si>
    <t>Final liquid fuels consumption on international flights</t>
  </si>
  <si>
    <t>lqfcfavi</t>
  </si>
  <si>
    <t>\-&gt; Final energy consumption for air travel &gt; Results from the Energy Demand Calculation Module:</t>
  </si>
  <si>
    <t>Total final energy consumption for air travel</t>
  </si>
  <si>
    <t>calcflqfmobair</t>
  </si>
  <si>
    <t>calcflqfmobavd</t>
  </si>
  <si>
    <t>calcflqfmobavi</t>
  </si>
  <si>
    <t>• Water travel</t>
  </si>
  <si>
    <t>Passenger-kilometres travelled by sea and inland waterways</t>
  </si>
  <si>
    <t>pkmwat</t>
  </si>
  <si>
    <t>Energy efficiency of marine &amp; river passenger transport</t>
  </si>
  <si>
    <t>eewatpkm</t>
  </si>
  <si>
    <t>\-&gt; Final energy consumption for water travel &gt; Results from the Energy Demand Calculation Module:</t>
  </si>
  <si>
    <t>Final energy consumption from liquid fuels in water passenger transport</t>
  </si>
  <si>
    <t>calcflqfmobwat</t>
  </si>
  <si>
    <r>
      <rPr>
        <rFont val="Calibri"/>
        <b/>
        <i/>
        <color rgb="FF4C216D"/>
        <sz val="11.0"/>
      </rPr>
      <t xml:space="preserve">Final energy consumption per final energy carrier in passenger mobility </t>
    </r>
    <r>
      <rPr>
        <rFont val="Calibri"/>
        <b/>
        <i/>
        <color rgb="FF4C216D"/>
        <sz val="11.0"/>
        <u/>
      </rPr>
      <t>(incl. domestic air travel, excl. bunkers</t>
    </r>
    <r>
      <rPr>
        <rFont val="Calibri"/>
        <b/>
        <i/>
        <color rgb="FF4C216D"/>
        <sz val="11.0"/>
      </rPr>
      <t>)</t>
    </r>
  </si>
  <si>
    <r>
      <rPr>
        <rFont val="Calibri"/>
        <b/>
        <color rgb="FF000000"/>
        <sz val="11.0"/>
      </rPr>
      <t>Total</t>
    </r>
    <r>
      <rPr>
        <rFont val="Calibri"/>
        <b val="0"/>
        <color rgb="FF000000"/>
        <sz val="11.0"/>
      </rPr>
      <t xml:space="preserve"> final energy consumption in passenger mobility</t>
    </r>
  </si>
  <si>
    <t>toccfmob</t>
  </si>
  <si>
    <t>Final liquid fuels consumption in passenger mobility</t>
  </si>
  <si>
    <t>lqfcfmob</t>
  </si>
  <si>
    <t>Final energy consumption from gaseous motor fuels - methane in passenger mobility</t>
  </si>
  <si>
    <t>gazcfmob</t>
  </si>
  <si>
    <t>Final energy consumption from gaseous motor fuels - hydrogen in passenger mobility</t>
  </si>
  <si>
    <t>hydcfmob</t>
  </si>
  <si>
    <t>Final electricity consumption in passenger mobility</t>
  </si>
  <si>
    <t>elccfmob</t>
  </si>
  <si>
    <t>• Values used for the trajectory: Historical data from partners (if available above) &amp; prospective results from the Energy Demand Calculation Module:</t>
  </si>
  <si>
    <t>Total final energy consumption in passenger mobility</t>
  </si>
  <si>
    <t>recaltoccfmob</t>
  </si>
  <si>
    <t>recallqfcfmob</t>
  </si>
  <si>
    <t>Final energy consumption from gaseous motor fuels - methane for passenger mobility</t>
  </si>
  <si>
    <t>recalgazcfmob</t>
  </si>
  <si>
    <t>Final energy consumption from gaseous motor fuels - hydrogen for passenger mobility</t>
  </si>
  <si>
    <t>recalhydcfmob</t>
  </si>
  <si>
    <t>Final electricity consumption for passenger mobility</t>
  </si>
  <si>
    <t>recalelccfmob</t>
  </si>
  <si>
    <r>
      <rPr>
        <rFont val="Calibri"/>
        <b/>
        <color rgb="FF000000"/>
        <sz val="11.0"/>
      </rPr>
      <t>Total</t>
    </r>
    <r>
      <rPr>
        <rFont val="Calibri"/>
        <b val="0"/>
        <color rgb="FF000000"/>
        <sz val="11.0"/>
      </rPr>
      <t xml:space="preserve"> number of tonne-kilometres</t>
    </r>
  </si>
  <si>
    <t>Gtkm</t>
  </si>
  <si>
    <t>Goods traffic broken down by transport mode</t>
  </si>
  <si>
    <t>• Road freight transport</t>
  </si>
  <si>
    <r>
      <rPr>
        <rFont val="Calibri"/>
        <b/>
        <color rgb="FF000000"/>
        <sz val="11.0"/>
      </rPr>
      <t>Total</t>
    </r>
    <r>
      <rPr>
        <rFont val="Calibri"/>
        <b val="0"/>
        <color rgb="FF000000"/>
        <sz val="11.0"/>
      </rPr>
      <t xml:space="preserve"> number of tonne-kilometres transported by road</t>
    </r>
  </si>
  <si>
    <t>tkmrou</t>
  </si>
  <si>
    <t>Average load factor for road freight transport</t>
  </si>
  <si>
    <t>trprou</t>
  </si>
  <si>
    <t>\-&gt; Uses disaggregated by type of traffic</t>
  </si>
  <si>
    <t>Total tonne-kilometres for national road freight transport</t>
  </si>
  <si>
    <t>Mtkm</t>
  </si>
  <si>
    <t>tkmroudom</t>
  </si>
  <si>
    <t>Total tonne-kilometres for international road freight transport</t>
  </si>
  <si>
    <t>tkmrouint</t>
  </si>
  <si>
    <t>\-&gt; Traffic: tonne-kilometres disaggregated by type of vehicle and fuel</t>
  </si>
  <si>
    <t>&gt; Light commercial vehicles (LCV):</t>
  </si>
  <si>
    <t>Average load factor of light commercial vehicles (LCV)</t>
  </si>
  <si>
    <t>trpvlr</t>
  </si>
  <si>
    <r>
      <rPr>
        <rFont val="Calibri"/>
        <b/>
        <color rgb="FF000000"/>
        <sz val="11.0"/>
      </rPr>
      <t>Total</t>
    </r>
    <r>
      <rPr>
        <rFont val="Calibri"/>
        <b val="0"/>
        <color rgb="FF000000"/>
        <sz val="11.0"/>
      </rPr>
      <t xml:space="preserve"> vehicle-kilometres travelled by light commercial vehicles (LCV)</t>
    </r>
  </si>
  <si>
    <t>Mvkm</t>
  </si>
  <si>
    <t>vkmvlr</t>
  </si>
  <si>
    <t>Vehicle-kilometres travelled by light commercial vehicles running on liquid fuels</t>
  </si>
  <si>
    <t>vkmvlrlqf</t>
  </si>
  <si>
    <t>Vehicle-kilometres travelled by LPG light commercial vehicles</t>
  </si>
  <si>
    <t>vkmvlrgpl</t>
  </si>
  <si>
    <t>Vehicle-kilometres travelled by light commercial vehicles running on NGV / biomethane</t>
  </si>
  <si>
    <t>vkmvlrngv</t>
  </si>
  <si>
    <t>Vehicle-kilometres travelled by hydrogen light commercial vehicles</t>
  </si>
  <si>
    <t>vkmvlrhyd</t>
  </si>
  <si>
    <t>Vehicle-kilometres travelled by electric light commercial vehicles</t>
  </si>
  <si>
    <t>vkmvlrele</t>
  </si>
  <si>
    <t>Vehicle-kilometres travelled by plug-in gasoline fuel hybrid light commercial vehicles</t>
  </si>
  <si>
    <t>vkmvlrhybess</t>
  </si>
  <si>
    <t>Vehicle-kilometres travelled by plug-in diesel hybrid light commercial vehicles</t>
  </si>
  <si>
    <t>vkmvlrhybgzl</t>
  </si>
  <si>
    <t>Vehicle-kilometres travelled by plug-in gas hybrid light commercial vehicles</t>
  </si>
  <si>
    <t>vkmvlrhybgaz</t>
  </si>
  <si>
    <t>&gt; Trucks:</t>
  </si>
  <si>
    <t>Average load factor of trucks (relative)</t>
  </si>
  <si>
    <t>trpcam</t>
  </si>
  <si>
    <t>Average load factor of trucks (absolute)</t>
  </si>
  <si>
    <t>t</t>
  </si>
  <si>
    <t>trpcamabs</t>
  </si>
  <si>
    <t>Tonne-kilometres travelled by liquid fuels (diesel) trucks</t>
  </si>
  <si>
    <t>tkmcamlqf</t>
  </si>
  <si>
    <t>Tonne-kilometres travelled by LPG trucks</t>
  </si>
  <si>
    <t>tkmcamgpl</t>
  </si>
  <si>
    <t>Tonne-kilometres travelled by trucks running on NGV / biomethane</t>
  </si>
  <si>
    <t>tkmcamngv</t>
  </si>
  <si>
    <t>Tonne-kilometres travelled by hydrogen trucks</t>
  </si>
  <si>
    <t>tkmcamhyd</t>
  </si>
  <si>
    <t>Tonne-kilometres travelled by electric trucks</t>
  </si>
  <si>
    <t>tkmcamele</t>
  </si>
  <si>
    <t>\-&gt; Distances travelled by type of vehicle</t>
  </si>
  <si>
    <t>Average annual distance travelled by light vehicle</t>
  </si>
  <si>
    <t>kmvvlr</t>
  </si>
  <si>
    <t>Average annual distance travelled by truck</t>
  </si>
  <si>
    <t>kmvcam</t>
  </si>
  <si>
    <r>
      <rPr>
        <rFont val="Calibri"/>
        <b/>
        <color rgb="FF000000"/>
        <sz val="11.0"/>
      </rPr>
      <t>Total</t>
    </r>
    <r>
      <rPr>
        <rFont val="Calibri"/>
        <b val="0"/>
        <color rgb="FF000000"/>
        <sz val="11.0"/>
      </rPr>
      <t xml:space="preserve"> stock of trucks and light vehicles</t>
    </r>
  </si>
  <si>
    <t>nbrcamvlr</t>
  </si>
  <si>
    <t>Stock of gasoline trucks and light vehicles</t>
  </si>
  <si>
    <t>nbrcamvlress</t>
  </si>
  <si>
    <t>Stock of diesel trucks and light vehicles</t>
  </si>
  <si>
    <t>nbrcamvlrgzl</t>
  </si>
  <si>
    <t>&gt; Light commercial vehicles (LCV) (disaggregation by fuel type):</t>
  </si>
  <si>
    <r>
      <rPr>
        <rFont val="Calibri"/>
        <b/>
        <color rgb="FF000000"/>
        <sz val="11.0"/>
      </rPr>
      <t>Total</t>
    </r>
    <r>
      <rPr>
        <rFont val="Calibri"/>
        <b val="0"/>
        <color rgb="FF000000"/>
        <sz val="11.0"/>
      </rPr>
      <t xml:space="preserve"> stock of light commercial vehicles &lt;3t load capacity</t>
    </r>
  </si>
  <si>
    <t>nbrvlr</t>
  </si>
  <si>
    <t>Stock of gasoline light vehicles &lt;3t load capacity</t>
  </si>
  <si>
    <t>nbrvlress</t>
  </si>
  <si>
    <t>Stock of diesel light vehicles &lt;3t load capacity</t>
  </si>
  <si>
    <t>nbrvlrgzl</t>
  </si>
  <si>
    <t>Stock of LPG light vehicles &lt;3t load capacity</t>
  </si>
  <si>
    <t>nbrvlrgpl</t>
  </si>
  <si>
    <t>Stock of NGV light vehicles &lt;3t load capacity</t>
  </si>
  <si>
    <t>nbrvlrgna</t>
  </si>
  <si>
    <t>Stock of hydrogen light vehicles &lt;3t load capacity</t>
  </si>
  <si>
    <t>nbrvlrhyd</t>
  </si>
  <si>
    <t>Stock of electric light vehicles &lt;3t load capacity</t>
  </si>
  <si>
    <t>nbrvlrele</t>
  </si>
  <si>
    <t>Stock of plug-in gasoline fuel hybrid light vehicles &lt;3t load capacity</t>
  </si>
  <si>
    <t>nbrvlrhybess</t>
  </si>
  <si>
    <t>Stock of plug-in diesel fuel hybrid light vehicles &lt;3t load capacity</t>
  </si>
  <si>
    <t>nbrvlrhybgzl</t>
  </si>
  <si>
    <t>Stock of plug-in gas fuel hybrid light vehicles &lt;3t load capacity</t>
  </si>
  <si>
    <t>nbrvlrhybgaz</t>
  </si>
  <si>
    <t>Stock of trucks</t>
  </si>
  <si>
    <t>nbrcam</t>
  </si>
  <si>
    <t>&gt; Light commercial vehicles (LCV)</t>
  </si>
  <si>
    <t>Average specific consumption of light commercial vehicles running on liquid fossil fuels</t>
  </si>
  <si>
    <t>csvlrlqf</t>
  </si>
  <si>
    <t>Average specific consumption of light commercial vehicles running on LPG</t>
  </si>
  <si>
    <t>csvlrgpl</t>
  </si>
  <si>
    <t>Average specific consumption of light commercial vehicles running on NGV / biomethane</t>
  </si>
  <si>
    <t>csvlrngv</t>
  </si>
  <si>
    <t>Average specific consumption of hydrogen light commercial vehicles</t>
  </si>
  <si>
    <t>csvlrhyd</t>
  </si>
  <si>
    <t>Average specific consumption of electric light commercial vehicles</t>
  </si>
  <si>
    <t>csvlrele</t>
  </si>
  <si>
    <t>Share of vkm travelled in electric mode for plug-in hybrid light commercial vehicles</t>
  </si>
  <si>
    <t>elcvlrhyb</t>
  </si>
  <si>
    <t>Average specific consumption of diesel trucks</t>
  </si>
  <si>
    <t>cscamgzl</t>
  </si>
  <si>
    <t>Average specific consumption of trucks running on LPG</t>
  </si>
  <si>
    <t>cscamgpl</t>
  </si>
  <si>
    <t>Average specific consumption of trucks running on NGV / biomethane</t>
  </si>
  <si>
    <t>cscamngv</t>
  </si>
  <si>
    <t>Average specific consumption of hydrogen powered trucks</t>
  </si>
  <si>
    <t>cscamhyd</t>
  </si>
  <si>
    <t>Average specific consumption of electric trucks</t>
  </si>
  <si>
    <t>cscamele</t>
  </si>
  <si>
    <t>\-&gt; Final energy consumption per final energy carrier in road freight transport</t>
  </si>
  <si>
    <r>
      <rPr>
        <rFont val="Calibri"/>
        <b/>
        <color theme="1"/>
        <sz val="11.0"/>
      </rPr>
      <t xml:space="preserve">Total </t>
    </r>
    <r>
      <rPr>
        <rFont val="Calibri"/>
        <b val="0"/>
        <color theme="1"/>
        <sz val="11.0"/>
      </rPr>
      <t>final energy consumption in road freight transport</t>
    </r>
  </si>
  <si>
    <t>toccfrou</t>
  </si>
  <si>
    <t>Final liquid fuels consumption in road freight transport</t>
  </si>
  <si>
    <t>lqfcfrou</t>
  </si>
  <si>
    <t>Final energy consumption from gaseous motor fuels - methane for road freight transport</t>
  </si>
  <si>
    <t>gazcfrou</t>
  </si>
  <si>
    <t>Final energy consumption from gaseous motor fuels - hydrogen for road freight transport</t>
  </si>
  <si>
    <t>hydcfrou</t>
  </si>
  <si>
    <t>Final electricity consumption for road freight transport</t>
  </si>
  <si>
    <t>elccfrou</t>
  </si>
  <si>
    <t>\-&gt; Final energy consumption per final energy carrier in road freight transport &gt; Results from the Energy Demand Calculation Module:</t>
  </si>
  <si>
    <t>Total final energy consumption in road freight transport</t>
  </si>
  <si>
    <t>caltoccfrou</t>
  </si>
  <si>
    <t>callqfcfrou</t>
  </si>
  <si>
    <t>calgazcfrou</t>
  </si>
  <si>
    <t>calhydcfrou</t>
  </si>
  <si>
    <t>calelccfrou</t>
  </si>
  <si>
    <t>• Rail freight transport</t>
  </si>
  <si>
    <t>\-&gt; Uses</t>
  </si>
  <si>
    <t>Tonne-kilometres transported by rail</t>
  </si>
  <si>
    <t>tkmfer</t>
  </si>
  <si>
    <t>Share of liquid fuels in tonne-kilometres transported by rail</t>
  </si>
  <si>
    <t>pclqffertkm</t>
  </si>
  <si>
    <t>Share of NGV / biomethane in tonne-kilometres transported by rail</t>
  </si>
  <si>
    <t>pcngvfertkm</t>
  </si>
  <si>
    <t>Share of hydrogen fuel in tonne-kilometres transported by rail</t>
  </si>
  <si>
    <t>pchydfertkm</t>
  </si>
  <si>
    <t>Share of electricity in tonne-kilometres transported by rail</t>
  </si>
  <si>
    <t>pcelcfertkm</t>
  </si>
  <si>
    <t>Energy efficiency of rail freight transport</t>
  </si>
  <si>
    <t>kWh/100 tkm</t>
  </si>
  <si>
    <t>eefertkm</t>
  </si>
  <si>
    <t>\-&gt; Final energy consumption per final energy carrier in rail freight transport &gt; Results from the Energy Demand Calculation Module:</t>
  </si>
  <si>
    <t>Total final energy consumption in rail freight transport</t>
  </si>
  <si>
    <t>caltoccffrefer</t>
  </si>
  <si>
    <t>Final energy consumption from liquid fuels in rail freight transport</t>
  </si>
  <si>
    <t>calcflqffrefer</t>
  </si>
  <si>
    <t>Final energy consumption from NGV / biomethane in rail freight transport</t>
  </si>
  <si>
    <t>calcfngvfrefer</t>
  </si>
  <si>
    <t>Final energy consumption from hydrogen in rail freight transport</t>
  </si>
  <si>
    <t>calcfhydfrefer</t>
  </si>
  <si>
    <t>Final electricity consumption in rail freight transport</t>
  </si>
  <si>
    <t>calcfelefrefer</t>
  </si>
  <si>
    <t>• Water freight transport</t>
  </si>
  <si>
    <t>Water freight transport</t>
  </si>
  <si>
    <t>tkmflv</t>
  </si>
  <si>
    <t>&gt; Disaggregation by type of traffic</t>
  </si>
  <si>
    <t>Total tonne-kilometres for national water freight transport</t>
  </si>
  <si>
    <t>tkmflvdom</t>
  </si>
  <si>
    <t>Total tonne-kilometres for international water freight transport</t>
  </si>
  <si>
    <t>tkmflvint</t>
  </si>
  <si>
    <t>Share of liquid fuels in tonne-kilometres transported by water freight transport</t>
  </si>
  <si>
    <t>pclqfwattkm</t>
  </si>
  <si>
    <t>Share of NGV / biomethane in tonne-kilometres transported by water freight transport</t>
  </si>
  <si>
    <t>pcngvwattkm</t>
  </si>
  <si>
    <t>Energy efficiency of national water freight transport</t>
  </si>
  <si>
    <t>eeflvtkmd</t>
  </si>
  <si>
    <t>Energy efficiency of international water freight transport</t>
  </si>
  <si>
    <t>eeflvtkmi</t>
  </si>
  <si>
    <t>\-&gt; Final energy consumption for water freight transport per final energy carrier</t>
  </si>
  <si>
    <r>
      <rPr>
        <rFont val="Calibri"/>
        <b/>
        <color theme="1"/>
        <sz val="11.0"/>
      </rPr>
      <t>Total</t>
    </r>
    <r>
      <rPr>
        <rFont val="Calibri"/>
        <b val="0"/>
        <color theme="1"/>
        <sz val="11.0"/>
      </rPr>
      <t xml:space="preserve"> final liquid fuels consumption for water freight transport</t>
    </r>
  </si>
  <si>
    <t>toccffrewat</t>
  </si>
  <si>
    <t>Final liquid fuels consumption on national water freight transport</t>
  </si>
  <si>
    <t>lqfcffrewatd</t>
  </si>
  <si>
    <t>Final NGV / biomethane consumption on national water freight transport</t>
  </si>
  <si>
    <t>ngvcffrewatd</t>
  </si>
  <si>
    <t>Final liquid fuels consumption on international water freight transport</t>
  </si>
  <si>
    <t>lqfcffrewati</t>
  </si>
  <si>
    <t>Final NGV / biomethane consumption on international water freight transport</t>
  </si>
  <si>
    <t>ngvcffrewati</t>
  </si>
  <si>
    <t>\-&gt; Final energy consumption for water freight transport &gt; Results from the Energy Demand Calculation Module:</t>
  </si>
  <si>
    <t>Total final energy consumption for water freight transport</t>
  </si>
  <si>
    <t>calcflqffrewat</t>
  </si>
  <si>
    <t>Final energy consumption from liquid fuels in national water freight transport</t>
  </si>
  <si>
    <t>calcflqffrewatd</t>
  </si>
  <si>
    <t>Final energy consumption from NGV / biomethane in national water freight transport</t>
  </si>
  <si>
    <t>calcfngvfrewatd</t>
  </si>
  <si>
    <t>Final energy consumption from liquid fuels in international water freight transport</t>
  </si>
  <si>
    <t>calcflqffrewati</t>
  </si>
  <si>
    <t>Final energy consumption from NGV / biomethane in international water freight transport</t>
  </si>
  <si>
    <t>calcfngvfrewati</t>
  </si>
  <si>
    <r>
      <rPr>
        <rFont val="Calibri"/>
        <b/>
        <i/>
        <color rgb="FF4C216D"/>
        <sz val="11.0"/>
      </rPr>
      <t>Final energy consumption per final energy carrier in freight transport (</t>
    </r>
    <r>
      <rPr>
        <rFont val="Calibri"/>
        <b/>
        <i/>
        <color rgb="FF4C216D"/>
        <sz val="11.0"/>
        <u/>
      </rPr>
      <t>excl. bunkers</t>
    </r>
    <r>
      <rPr>
        <rFont val="Calibri"/>
        <b/>
        <i/>
        <color rgb="FF4C216D"/>
        <sz val="11.0"/>
      </rPr>
      <t>)</t>
    </r>
  </si>
  <si>
    <r>
      <rPr>
        <rFont val="Calibri"/>
        <b/>
        <color rgb="FF000000"/>
        <sz val="11.0"/>
      </rPr>
      <t>Total</t>
    </r>
    <r>
      <rPr>
        <rFont val="Calibri"/>
        <b val="0"/>
        <color rgb="FF000000"/>
        <sz val="11.0"/>
      </rPr>
      <t xml:space="preserve"> final energy consumption in freight transport</t>
    </r>
  </si>
  <si>
    <t>toccffre</t>
  </si>
  <si>
    <t>Final liquid fuels consumption in freight transport</t>
  </si>
  <si>
    <t>lqfcffre</t>
  </si>
  <si>
    <t>Final energy consumption from gaseous motor fuels - methane in freight transport</t>
  </si>
  <si>
    <t>gazcffre</t>
  </si>
  <si>
    <t>Final energy consumption from gaseous motor fuels - hydrogen in freight transport</t>
  </si>
  <si>
    <t>hydcffre</t>
  </si>
  <si>
    <t>Final electricity consumption in freight transport</t>
  </si>
  <si>
    <t>elccffre</t>
  </si>
  <si>
    <t>• Values used for the trajectory: Historical data from partner (if available above) &amp; prospective results from the Energy Demand Calculation Module:</t>
  </si>
  <si>
    <t>Total final energy consumption in freight transport</t>
  </si>
  <si>
    <t>recaltoccffre</t>
  </si>
  <si>
    <t>recallqfcffre</t>
  </si>
  <si>
    <t>Final energy consumption from gaseous motor fuels - methane for freight transport</t>
  </si>
  <si>
    <t>recalgazcffre</t>
  </si>
  <si>
    <t>Final energy consumption from gaseous motor fuels - hydrogen for freight transport</t>
  </si>
  <si>
    <t>recalhydcffre</t>
  </si>
  <si>
    <t>Final electricity consumption for freight transport</t>
  </si>
  <si>
    <t>recalelccffre</t>
  </si>
  <si>
    <t>TRANSPORT: Passenger mobility and freight</t>
  </si>
  <si>
    <t>Final energy consumption per final energy carrier in transport</t>
  </si>
  <si>
    <t>Total final energy consumption in transport</t>
  </si>
  <si>
    <t>caltoccftra</t>
  </si>
  <si>
    <t>Final liquid fuels consumption in transport</t>
  </si>
  <si>
    <t>callqfcftra</t>
  </si>
  <si>
    <t>Final energy consumption from gaseous motor fuels - methane for transport</t>
  </si>
  <si>
    <t>calgazcftra</t>
  </si>
  <si>
    <t>Final energy consumption from gaseous motor fuels - hydrogen for transport</t>
  </si>
  <si>
    <t>calhydcftra</t>
  </si>
  <si>
    <t>Final electricity consumption for transport</t>
  </si>
  <si>
    <t>calelccftra</t>
  </si>
  <si>
    <r>
      <rPr>
        <rFont val="Calibri"/>
        <b/>
        <color rgb="FF000000"/>
        <sz val="11.0"/>
      </rPr>
      <t>Total</t>
    </r>
    <r>
      <rPr>
        <rFont val="Calibri"/>
        <b val="0"/>
        <color rgb="FF000000"/>
        <sz val="11.0"/>
      </rPr>
      <t xml:space="preserve"> final energy consumption in the transport sector</t>
    </r>
  </si>
  <si>
    <t>toccftra</t>
  </si>
  <si>
    <t>lqfcftra</t>
  </si>
  <si>
    <t>Final energy consumption from gaseous motor fuels - methane in transport</t>
  </si>
  <si>
    <t>gazcftra</t>
  </si>
  <si>
    <t>Final energy consumption from gaseous motor fuels - hydrogen in transport</t>
  </si>
  <si>
    <t>hydcftra</t>
  </si>
  <si>
    <t>Final electricity consumption in transport</t>
  </si>
  <si>
    <t>elccftra</t>
  </si>
  <si>
    <t>Share of renewable energy sources in liquid fuel consumption for transport</t>
  </si>
  <si>
    <t>pcenrcfcltra</t>
  </si>
  <si>
    <t>Any general comment on Passenger mobility?</t>
  </si>
  <si>
    <t>Any general comment on Freight transport?</t>
  </si>
  <si>
    <t>&gt; Gentle mobility:</t>
  </si>
  <si>
    <t>\-&gt; Disaggregation by fuel type</t>
  </si>
  <si>
    <t>Final energy consumption per final energy carrier in passenger mobility</t>
  </si>
  <si>
    <t>Final energy consumption per final energy carrier in freight transport</t>
  </si>
  <si>
    <t>Energy content of motor fuels</t>
  </si>
  <si>
    <t>• Motor gasoline</t>
  </si>
  <si>
    <t>Gross calorific value of motor gasoline</t>
  </si>
  <si>
    <t>GJ/t</t>
  </si>
  <si>
    <t>Energy Statistics Manual, IEA-Eurostat-OECD</t>
  </si>
  <si>
    <t>Net calorific value of motor gasoline</t>
  </si>
  <si>
    <t>Density of motor gasoline</t>
  </si>
  <si>
    <t>kg/m3</t>
  </si>
  <si>
    <t>Gross energy content of motor gasoline</t>
  </si>
  <si>
    <t>kWh/L</t>
  </si>
  <si>
    <t>prmcebvpcess</t>
  </si>
  <si>
    <t>Net energy content of motor gasoline</t>
  </si>
  <si>
    <t>prmcenvpcess</t>
  </si>
  <si>
    <t>• Gas/diesel oil</t>
  </si>
  <si>
    <t>Gross calorific value of gas/diesel oil</t>
  </si>
  <si>
    <t>Net calorific value of gas/diesel oil</t>
  </si>
  <si>
    <t>Density of gas/diesel oil</t>
  </si>
  <si>
    <t>Gross energy content of gas/diesel oil</t>
  </si>
  <si>
    <t>prmcebvpcgzl</t>
  </si>
  <si>
    <t>Net energy content of gas/diesel oil</t>
  </si>
  <si>
    <t>prmcenvpcgzl</t>
  </si>
  <si>
    <t>• Liquid fuels (average)</t>
  </si>
  <si>
    <t>Gross calorific value of liquid fuel</t>
  </si>
  <si>
    <t>Net calorific value of liquid fuel</t>
  </si>
  <si>
    <t>Density of liquid fuel</t>
  </si>
  <si>
    <t>Gross energy content of liquid fuel</t>
  </si>
  <si>
    <t>prmcebvpclqf</t>
  </si>
  <si>
    <t>Net energy content of liquid fuel</t>
  </si>
  <si>
    <t>prmcenvpclqf</t>
  </si>
  <si>
    <t>• Liquefied petroleum gas (LPG)</t>
  </si>
  <si>
    <t>prmcebvpcgpl</t>
  </si>
  <si>
    <t>prmcenvpcgpl</t>
  </si>
  <si>
    <t>• Hydrogen</t>
  </si>
  <si>
    <t>kWh/kg</t>
  </si>
  <si>
    <t>prmcebvpchyd</t>
  </si>
  <si>
    <t>https://www.engineeringtoolbox.com/fuels-higher-calorific-values-d_169.html</t>
  </si>
  <si>
    <t>prmcenvpchyd</t>
  </si>
  <si>
    <t>• Natural gas vehicle (NGV)</t>
  </si>
  <si>
    <t>prmcebvpcngv</t>
  </si>
  <si>
    <t>prmcenvpcngv</t>
  </si>
  <si>
    <t>Road travel</t>
  </si>
  <si>
    <t>• Car traffic</t>
  </si>
  <si>
    <t>\-&gt; Checks</t>
  </si>
  <si>
    <t>Check: Russian dolls &gt; pkm or stock?</t>
  </si>
  <si>
    <t>crdmstvpc</t>
  </si>
  <si>
    <t>Check: Average number of people per vehicle?</t>
  </si>
  <si>
    <t>Check: Russian dolls &gt; distance travelled by cars</t>
  </si>
  <si>
    <t>crddisvpc</t>
  </si>
  <si>
    <t>Check: Russian dolls &gt; performance of liquid fuel cars</t>
  </si>
  <si>
    <t>crdcsvpc</t>
  </si>
  <si>
    <t>Check: Share of pkm travelled in electric mode for plug-in hybrid cars</t>
  </si>
  <si>
    <t>\-&gt; Unit consumption per km</t>
  </si>
  <si>
    <t>Specific energy consumption of liquid fuel cars per km</t>
  </si>
  <si>
    <t>calcsklqfvpc</t>
  </si>
  <si>
    <t>Specific energy consumption of gasoline cars per km</t>
  </si>
  <si>
    <t>calcskessvpc</t>
  </si>
  <si>
    <t>Specific energy consumption of diesel cars per km</t>
  </si>
  <si>
    <t>calcskgzlvpc</t>
  </si>
  <si>
    <t>Specific energy consumption of cars running on LPG per km</t>
  </si>
  <si>
    <t>calcskgplvpc</t>
  </si>
  <si>
    <t>Specific energy consumption of cars running on NGV / biomethane per km</t>
  </si>
  <si>
    <t>calcskngvvpc</t>
  </si>
  <si>
    <t>Specific energy consumption of hydrogen cars per km</t>
  </si>
  <si>
    <t>calcskhydvpc</t>
  </si>
  <si>
    <t>Specific energy consumption of electric cars per km</t>
  </si>
  <si>
    <t>calcskelevpc</t>
  </si>
  <si>
    <t>Specific energy consumption of plug-in gasoline fuel hybrid cars per km</t>
  </si>
  <si>
    <t>calcskhybessvpc</t>
  </si>
  <si>
    <t>We assume it is equal to the efficiency of non-hybrids</t>
  </si>
  <si>
    <t>Specific energy consumption of plug-in diesel hybrid cars per km</t>
  </si>
  <si>
    <t>calcskhybgzlvpc</t>
  </si>
  <si>
    <t>Specific energy consumption of plug-in gas hybrid cars per km</t>
  </si>
  <si>
    <t>calcskhybgazvpc</t>
  </si>
  <si>
    <t>Specific energy consumption in electric mode of plug-in hybrid cars per km</t>
  </si>
  <si>
    <t>calcskelehybvpc</t>
  </si>
  <si>
    <t>\-&gt; Distances travelled (vehicle.km)</t>
  </si>
  <si>
    <t>Distance travelled by liquid fuel cars</t>
  </si>
  <si>
    <t>Gkm</t>
  </si>
  <si>
    <t>calkmvlqfvpc</t>
  </si>
  <si>
    <t>Distance travelled by gasoline cars</t>
  </si>
  <si>
    <t>calkmvessvpc</t>
  </si>
  <si>
    <t>Distance travelled by diesel cars</t>
  </si>
  <si>
    <t>calkmvgzlvpc</t>
  </si>
  <si>
    <t>Distance travelled by cars running on LPG</t>
  </si>
  <si>
    <t>calkmvgplvpc</t>
  </si>
  <si>
    <t>Distance travelled by cars running on NGV / biomethane</t>
  </si>
  <si>
    <t>calkmvngvvpc</t>
  </si>
  <si>
    <t>Distance travelled by hydrogen cars</t>
  </si>
  <si>
    <t>calkmvhydvpc</t>
  </si>
  <si>
    <t>Distance travelled by electric cars</t>
  </si>
  <si>
    <t>calkmvelevpc</t>
  </si>
  <si>
    <t>Distance travelled by plug-in gasoline fuel hybrid cars</t>
  </si>
  <si>
    <t>calkmvhybessvpc</t>
  </si>
  <si>
    <t>Distance travelled by plug-in diesel hybrid cars</t>
  </si>
  <si>
    <t>calkmvhybgzlvpc</t>
  </si>
  <si>
    <t>Distance travelled by plug-in gas hybrid cars</t>
  </si>
  <si>
    <t>calkmvhybgazvpc</t>
  </si>
  <si>
    <t>\-&gt; Final energy consumption per type of vehicle</t>
  </si>
  <si>
    <t>Final energy consumption of liquid fuel cars</t>
  </si>
  <si>
    <t>calcflqfvpc</t>
  </si>
  <si>
    <t>Final energy consumption of gasoline cars</t>
  </si>
  <si>
    <t>calcfessvpc</t>
  </si>
  <si>
    <t>Final energy consumption of diesel cars</t>
  </si>
  <si>
    <t>calcfgzlvpc</t>
  </si>
  <si>
    <t>Final energy consumption of cars running on LPG</t>
  </si>
  <si>
    <t>calcfgplvpc</t>
  </si>
  <si>
    <t>Final energy consumption of cars running on NGV / biomethane</t>
  </si>
  <si>
    <t>calcfngvvpc</t>
  </si>
  <si>
    <t>Final energy consumption of hydrogen cars</t>
  </si>
  <si>
    <t>calcfhydvpc</t>
  </si>
  <si>
    <t>Final energy consumption of electric cars</t>
  </si>
  <si>
    <t>calcfelevpc</t>
  </si>
  <si>
    <t>Final energy consumption from gasoline of plug-in gasoline hybrid cars</t>
  </si>
  <si>
    <t>calcfhybessvpc</t>
  </si>
  <si>
    <t>Final energy consumption from diesel of plug-in diesel hybrid cars</t>
  </si>
  <si>
    <t>calcfhybgzlvpc</t>
  </si>
  <si>
    <t>Final energy consumption from gas of plug-in gas hybrid cars</t>
  </si>
  <si>
    <t>calcfhybgazvpc</t>
  </si>
  <si>
    <t>Final electricity consumption of plug-in hybrid cars</t>
  </si>
  <si>
    <t>calcfelehybvpc</t>
  </si>
  <si>
    <t>• Motorcycle traffic</t>
  </si>
  <si>
    <t>crdmstmot</t>
  </si>
  <si>
    <t>Check: occupancy rate of buses and coaches?</t>
  </si>
  <si>
    <t>Specific energy consumption of liquid fuel motorcycles per km</t>
  </si>
  <si>
    <t>calcsklqfmot</t>
  </si>
  <si>
    <t>Specific energy consumption of motorcycles running on NGV / biomethane per km</t>
  </si>
  <si>
    <t>calcskngvmot</t>
  </si>
  <si>
    <t>Specific energy consumption of electric motorcycles per km</t>
  </si>
  <si>
    <t>calcskelemot</t>
  </si>
  <si>
    <t>Final energy consumption of liquid fuel motorcycles</t>
  </si>
  <si>
    <t>calcflqfmot</t>
  </si>
  <si>
    <t>Final energy consumption of motorcycles running NGV / biomethane</t>
  </si>
  <si>
    <t>calcfngvmot</t>
  </si>
  <si>
    <t>Final energy consumption of electric motorcycles</t>
  </si>
  <si>
    <t>calcfelemot</t>
  </si>
  <si>
    <t>• Bus traffic</t>
  </si>
  <si>
    <t>crdmstbus</t>
  </si>
  <si>
    <t>Specific energy consumption of liquid fuel buses and coaches per km</t>
  </si>
  <si>
    <t>calcsklqfbus</t>
  </si>
  <si>
    <t>Specific energy consumption of buses and coaches running on LPG per km</t>
  </si>
  <si>
    <t>calcskgplbus</t>
  </si>
  <si>
    <t>Specific energy consumption of buses and coaches running on NGV / biomethane per km</t>
  </si>
  <si>
    <t>calcskngvbus</t>
  </si>
  <si>
    <t>Specific energy consumption of hydrogen powered buses and coaches per km</t>
  </si>
  <si>
    <t>calcskhydbus</t>
  </si>
  <si>
    <t>Specific energy consumption of electric buses and coaches per km</t>
  </si>
  <si>
    <t>calcskelebus</t>
  </si>
  <si>
    <t>Final energy consumption of liquid fuel buses and coaches</t>
  </si>
  <si>
    <t>calcflqfbus</t>
  </si>
  <si>
    <t>Final energy consumption of buses and coaches running on LPG</t>
  </si>
  <si>
    <t>calcfgplbus</t>
  </si>
  <si>
    <t>Final energy consumption of buses and coaches running on NGV / biomethane</t>
  </si>
  <si>
    <t>calcfngvbus</t>
  </si>
  <si>
    <t>Final energy consumption of hydrogen powered buses and coaches</t>
  </si>
  <si>
    <t>calcfhydbus</t>
  </si>
  <si>
    <t>Final energy consumption of electric buses and coaches</t>
  </si>
  <si>
    <t>calcfelebus</t>
  </si>
  <si>
    <t>Rail travel</t>
  </si>
  <si>
    <t>Check: Coherence and consistency of the breakdown by energy carrier?</t>
  </si>
  <si>
    <t>ccipkmfer</t>
  </si>
  <si>
    <t>Air travel</t>
  </si>
  <si>
    <t>Check: Russian dolls &gt; intra/extra-EU flights</t>
  </si>
  <si>
    <t>crdpkmint</t>
  </si>
  <si>
    <t>Check: Consistency of input data (international air passenger traffic)</t>
  </si>
  <si>
    <t>ccipkmavi</t>
  </si>
  <si>
    <t>calpkmavi</t>
  </si>
  <si>
    <t>Specific energy consumption of domestic planes per km</t>
  </si>
  <si>
    <t>caleeairpkmd</t>
  </si>
  <si>
    <t>Specific energy consumption of international planes per km</t>
  </si>
  <si>
    <t>caleeairpkmi</t>
  </si>
  <si>
    <t xml:space="preserve">\-&gt; Final energy consumption </t>
  </si>
  <si>
    <t>Water travel</t>
  </si>
  <si>
    <r>
      <rPr>
        <rFont val="Calibri"/>
        <b/>
        <i/>
        <color rgb="FF4C216D"/>
        <sz val="11.0"/>
      </rPr>
      <t xml:space="preserve">Final energy consumption per final energy carrier for passenger mobility </t>
    </r>
    <r>
      <rPr>
        <rFont val="Calibri"/>
        <b/>
        <i/>
        <color rgb="FF4C216D"/>
        <sz val="11.0"/>
        <u/>
      </rPr>
      <t>without bunkers</t>
    </r>
  </si>
  <si>
    <t>Total final energy consumption for passenger mobility</t>
  </si>
  <si>
    <t>caltoccfmob</t>
  </si>
  <si>
    <t>Final energy consumption from liquid fuels for passenger mobility</t>
  </si>
  <si>
    <t>callqfcfmob</t>
  </si>
  <si>
    <t>calgazcfmob</t>
  </si>
  <si>
    <t>calhydcfmob</t>
  </si>
  <si>
    <t>calelccfmob</t>
  </si>
  <si>
    <t>• Values used for the trajectory: Historical data from partners &amp; Prospective results from the Energy Demand Calculation Module:</t>
  </si>
  <si>
    <t>Check: Total pkm</t>
  </si>
  <si>
    <t>Road freight transport</t>
  </si>
  <si>
    <t>• Light commercial vehicles (LCV):</t>
  </si>
  <si>
    <t>Check: Russian dolls &gt; vkm or stock?</t>
  </si>
  <si>
    <t>crdmstvlr</t>
  </si>
  <si>
    <t>Specific energy consumption of liquid fuel LCVs per km</t>
  </si>
  <si>
    <t>calcsklqfvlr</t>
  </si>
  <si>
    <t>Specific energy consumption of LCVs running on LPG per km</t>
  </si>
  <si>
    <t>calcskgplvlr</t>
  </si>
  <si>
    <t>Specific energy consumption of LCVs running on NGV / biomethane per km</t>
  </si>
  <si>
    <t>calcskngvvlr</t>
  </si>
  <si>
    <t>Specific energy consumption of hydrogen LCVs per km</t>
  </si>
  <si>
    <t>calcskhydvlr</t>
  </si>
  <si>
    <t>Specific energy consumption of electric LCVs per km</t>
  </si>
  <si>
    <t>calcskelevlr</t>
  </si>
  <si>
    <t>Specific energy consumption of plug-in gasoline fuel hybrid LCVs per km</t>
  </si>
  <si>
    <t>calcskhybessvlr</t>
  </si>
  <si>
    <t>Specific energy consumption of plug-in diesel hybrid LCVs per km</t>
  </si>
  <si>
    <t>calcskhybgzlvlr</t>
  </si>
  <si>
    <t>Specific energy consumption of plug-in gas hybrid LCVs per km</t>
  </si>
  <si>
    <t>calcskhybgazvlr</t>
  </si>
  <si>
    <t>Specific energy consumption in electric mode of plug-in hybrid LCVs per km</t>
  </si>
  <si>
    <t>calcskelehybvlr</t>
  </si>
  <si>
    <t>Final energy consumption of liquid fuel LCVs</t>
  </si>
  <si>
    <t>calcflqfvlr</t>
  </si>
  <si>
    <t>Final energy consumption of gasoline LCVs</t>
  </si>
  <si>
    <t>calcfessvlr</t>
  </si>
  <si>
    <t>Final energy consumption of diesel LCVs</t>
  </si>
  <si>
    <t>calcfgzlvlr</t>
  </si>
  <si>
    <t>Final energy consumption of LCVs running on LPG</t>
  </si>
  <si>
    <t>calcfgplvlr</t>
  </si>
  <si>
    <t>Final energy consumption of LCVs running on NGV / biomethane</t>
  </si>
  <si>
    <t>calcfngvvlr</t>
  </si>
  <si>
    <t>Final energy consumption of hydrogen LCVs</t>
  </si>
  <si>
    <t>calcfhydvlr</t>
  </si>
  <si>
    <t>Final energy consumption of electric LCVs</t>
  </si>
  <si>
    <t>calcfelevlr</t>
  </si>
  <si>
    <t>Final energy consumption from gasoline of plug-in gasoline hybrid LCVs</t>
  </si>
  <si>
    <t>calcfhybessvlr</t>
  </si>
  <si>
    <t>Final energy consumption from diesel of plug-in diesel hybrid LCVs</t>
  </si>
  <si>
    <t>calcfhybgzlvlr</t>
  </si>
  <si>
    <t>Final energy consumption from gas of plug-in gas hybrid LCVs</t>
  </si>
  <si>
    <t>calcfhybgazvlr</t>
  </si>
  <si>
    <t>Final electricity consumption of plug-in hybrid LCVs</t>
  </si>
  <si>
    <t>calcfelehybvlr</t>
  </si>
  <si>
    <t>• Trucks</t>
  </si>
  <si>
    <t>Check: Russian dolls &gt; tkm or stock?</t>
  </si>
  <si>
    <t>crdmstcam</t>
  </si>
  <si>
    <t>Check: Total stock</t>
  </si>
  <si>
    <t>Check: Russian dolls &gt; lqf/gzl trucks</t>
  </si>
  <si>
    <t>crdmstcamdis</t>
  </si>
  <si>
    <t>Stock of gasoline trucks</t>
  </si>
  <si>
    <t>calnbrcamess</t>
  </si>
  <si>
    <t>Stock of diesel trucks</t>
  </si>
  <si>
    <t>calnbrcamgzl</t>
  </si>
  <si>
    <t>Check: Other trucks?</t>
  </si>
  <si>
    <t>Stock of LPG trucks</t>
  </si>
  <si>
    <t>calnbrcamgpl</t>
  </si>
  <si>
    <t>Stock of trucks running on NGV / biomethane</t>
  </si>
  <si>
    <t>calnbrcamngv</t>
  </si>
  <si>
    <t>Stock of hydrogen trucks</t>
  </si>
  <si>
    <t>calnbrcamhyd</t>
  </si>
  <si>
    <t>Stock of electric trucks</t>
  </si>
  <si>
    <t>calnbrcamele</t>
  </si>
  <si>
    <t>Specific energy consumption of liquid fuel trucks per km</t>
  </si>
  <si>
    <t>calcsklqfcam</t>
  </si>
  <si>
    <t>Specific energy consumption of LPG trucks per km</t>
  </si>
  <si>
    <t>calcskgplcam</t>
  </si>
  <si>
    <t>Specific energy consumption of trucks running on NGV / biomethane per km</t>
  </si>
  <si>
    <t>calcskngvcam</t>
  </si>
  <si>
    <t>Specific energy consumption of hydrogen trucks per km</t>
  </si>
  <si>
    <t>calcskhydcam</t>
  </si>
  <si>
    <t>Specific energy consumption of electric trucks per km</t>
  </si>
  <si>
    <t>calcskelecam</t>
  </si>
  <si>
    <t>Final energy consumption of liquid fuel trucks</t>
  </si>
  <si>
    <t>calcflqfcam</t>
  </si>
  <si>
    <t>Final energy consumption of LPG trucks</t>
  </si>
  <si>
    <t>calcfgplcam</t>
  </si>
  <si>
    <t>Final energy consumption of trucks running on NGV / biomethane</t>
  </si>
  <si>
    <t>calcfngvcam</t>
  </si>
  <si>
    <t>Final energy consumption of hydrogen trucks</t>
  </si>
  <si>
    <t>calcfhydcam</t>
  </si>
  <si>
    <t>Final energy consumption of electric trucks</t>
  </si>
  <si>
    <t>calcfelecam</t>
  </si>
  <si>
    <t>Rail freight transport</t>
  </si>
  <si>
    <t>Check: Consistency of input data (total = 100%)</t>
  </si>
  <si>
    <t>ccitkmfer</t>
  </si>
  <si>
    <t>Check: Russian dolls &gt; dom/inter freight</t>
  </si>
  <si>
    <t>crdpkmfrewatint</t>
  </si>
  <si>
    <t>ccipkmfrewat</t>
  </si>
  <si>
    <t>ccipkmwat</t>
  </si>
  <si>
    <t>Final energy consumption per final energy carrier for freight transport</t>
  </si>
  <si>
    <t>Total final energy consumption for freight transport</t>
  </si>
  <si>
    <t>caltoccffre</t>
  </si>
  <si>
    <t>Final energy consumption from liquid fuels for freight transport</t>
  </si>
  <si>
    <t>callqfcffre</t>
  </si>
  <si>
    <t>calgazcffre</t>
  </si>
  <si>
    <t>calhydcffre</t>
  </si>
  <si>
    <t>calelccffre</t>
  </si>
  <si>
    <r>
      <rPr>
        <rFont val="Calibri"/>
        <b/>
        <i/>
        <color rgb="FF4C216D"/>
        <sz val="11.0"/>
      </rPr>
      <t>Final energy consumption per final energy carrier in transport (</t>
    </r>
    <r>
      <rPr>
        <rFont val="Calibri"/>
        <b/>
        <i/>
        <color rgb="FF4C216D"/>
        <sz val="11.0"/>
        <u/>
      </rPr>
      <t>excl. bunkers</t>
    </r>
    <r>
      <rPr>
        <rFont val="Calibri"/>
        <b/>
        <i/>
        <color rgb="FF4C216D"/>
        <sz val="11.0"/>
      </rPr>
      <t>)</t>
    </r>
  </si>
  <si>
    <t>Total final energy consumption in the transport sector</t>
  </si>
  <si>
    <r>
      <rPr>
        <rFont val="Calibri"/>
        <b/>
        <i/>
        <color rgb="FF006600"/>
        <sz val="11.0"/>
      </rPr>
      <t>Deviation</t>
    </r>
    <r>
      <rPr>
        <rFont val="Calibri"/>
        <b val="0"/>
        <i/>
        <color rgb="FF006600"/>
        <sz val="11.0"/>
      </rPr>
      <t xml:space="preserve"> from partner's values concerning the </t>
    </r>
    <r>
      <rPr>
        <rFont val="Calibri"/>
        <b/>
        <i/>
        <color rgb="FF006600"/>
        <sz val="11.0"/>
      </rPr>
      <t>Total</t>
    </r>
    <r>
      <rPr>
        <rFont val="Calibri"/>
        <b val="0"/>
        <i/>
        <color rgb="FF006600"/>
        <sz val="11.0"/>
      </rPr>
      <t xml:space="preserve"> final energy consumption in the transport sector</t>
    </r>
  </si>
  <si>
    <t>cditoccftra</t>
  </si>
  <si>
    <r>
      <rPr>
        <rFont val="Calibri"/>
        <b/>
        <i/>
        <color rgb="FF006600"/>
        <sz val="11.0"/>
      </rPr>
      <t>Deviation</t>
    </r>
    <r>
      <rPr>
        <rFont val="Calibri"/>
        <b val="0"/>
        <i/>
        <color rgb="FF006600"/>
        <sz val="11.0"/>
      </rPr>
      <t xml:space="preserve"> from partner's values concerning the Final liquid fuels consumption in transport</t>
    </r>
  </si>
  <si>
    <t>cdilqfcftra</t>
  </si>
  <si>
    <r>
      <rPr>
        <rFont val="Calibri"/>
        <b/>
        <i/>
        <color rgb="FF006600"/>
        <sz val="11.0"/>
      </rPr>
      <t>Deviation</t>
    </r>
    <r>
      <rPr>
        <rFont val="Calibri"/>
        <b val="0"/>
        <i/>
        <color rgb="FF006600"/>
        <sz val="11.0"/>
      </rPr>
      <t xml:space="preserve"> from partner's values concerning the Final energy consumption from gaseous motor fuels - methane for transport</t>
    </r>
  </si>
  <si>
    <t>cdigazcftra</t>
  </si>
  <si>
    <r>
      <rPr>
        <rFont val="Calibri"/>
        <b/>
        <i/>
        <color rgb="FF006600"/>
        <sz val="11.0"/>
      </rPr>
      <t>Deviation</t>
    </r>
    <r>
      <rPr>
        <rFont val="Calibri"/>
        <b val="0"/>
        <i/>
        <color rgb="FF006600"/>
        <sz val="11.0"/>
      </rPr>
      <t xml:space="preserve"> from partner's values concerning the Final energy consumption from gaseous motor fuels - hydrogen for transport</t>
    </r>
  </si>
  <si>
    <t>cdihydcftra</t>
  </si>
  <si>
    <r>
      <rPr>
        <rFont val="Calibri"/>
        <b/>
        <i/>
        <color rgb="FF006600"/>
        <sz val="11.0"/>
      </rPr>
      <t>Deviation</t>
    </r>
    <r>
      <rPr>
        <rFont val="Calibri"/>
        <b val="0"/>
        <i/>
        <color rgb="FF006600"/>
        <sz val="11.0"/>
      </rPr>
      <t xml:space="preserve"> from partner's values concerning the Final electricity consumption in the transport sector</t>
    </r>
  </si>
  <si>
    <t>cdielccftra</t>
  </si>
  <si>
    <r>
      <rPr>
        <rFont val="Calibri"/>
        <b/>
        <color rgb="FF000000"/>
        <sz val="11.0"/>
      </rPr>
      <t>Total</t>
    </r>
    <r>
      <rPr>
        <rFont val="Calibri"/>
        <b val="0"/>
        <color rgb="FF000000"/>
        <sz val="11.0"/>
      </rPr>
      <t xml:space="preserve"> final energy consumption in passenger mobility</t>
    </r>
  </si>
  <si>
    <r>
      <rPr>
        <rFont val="Calibri"/>
        <b/>
        <color rgb="FF000000"/>
        <sz val="11.0"/>
      </rPr>
      <t>Total</t>
    </r>
    <r>
      <rPr>
        <rFont val="Calibri"/>
        <b val="0"/>
        <color rgb="FF000000"/>
        <sz val="11.0"/>
      </rPr>
      <t xml:space="preserve"> final energy consumption in freight transport</t>
    </r>
  </si>
  <si>
    <r>
      <rPr>
        <rFont val="Calibri"/>
        <b/>
        <color rgb="FF000000"/>
        <sz val="11.0"/>
      </rPr>
      <t>Total</t>
    </r>
    <r>
      <rPr>
        <rFont val="Calibri"/>
        <b val="0"/>
        <color rgb="FF000000"/>
        <sz val="11.0"/>
      </rPr>
      <t xml:space="preserve"> final energy consumption in the transport sector</t>
    </r>
  </si>
  <si>
    <t>Transport sector final energy consumption by energy carriers</t>
  </si>
  <si>
    <t>Liquid fuels</t>
  </si>
  <si>
    <t>Gaseous motor fuels - methane</t>
  </si>
  <si>
    <t>Gaseous motor fuels - hydrogen</t>
  </si>
  <si>
    <t>Liquid fuels (partner's input values)</t>
  </si>
  <si>
    <t>Gaseous motor fuels - methane (partner's input values)</t>
  </si>
  <si>
    <t>Gaseous motor fuels - hydrogen (partner's input values)</t>
  </si>
  <si>
    <t>Transport sector final energy consumption broken down by mobility/freight</t>
  </si>
  <si>
    <t>Odyssee</t>
  </si>
  <si>
    <t>Partner</t>
  </si>
  <si>
    <t>Description of needs: use of materials</t>
  </si>
  <si>
    <t>• Final production</t>
  </si>
  <si>
    <t>\-&gt; Final production by branch</t>
  </si>
  <si>
    <t>&gt; Basic and transformed materials</t>
  </si>
  <si>
    <t>Production of crude steel</t>
  </si>
  <si>
    <t>kt</t>
  </si>
  <si>
    <t>prdacb</t>
  </si>
  <si>
    <t xml:space="preserve"> - Production of primary steel</t>
  </si>
  <si>
    <t>prdacboxy</t>
  </si>
  <si>
    <t xml:space="preserve"> - Production of recycled steel</t>
  </si>
  <si>
    <t>prdacbele</t>
  </si>
  <si>
    <t>Production of non metallic minerals</t>
  </si>
  <si>
    <t>prdmnm</t>
  </si>
  <si>
    <t xml:space="preserve"> - Production of cement</t>
  </si>
  <si>
    <t>prdcim</t>
  </si>
  <si>
    <t xml:space="preserve"> - Production of glass</t>
  </si>
  <si>
    <t>prdver</t>
  </si>
  <si>
    <t>Production of ammonia</t>
  </si>
  <si>
    <t>prdamm</t>
  </si>
  <si>
    <t xml:space="preserve">Production of high value chemicals </t>
  </si>
  <si>
    <t>prdhvc</t>
  </si>
  <si>
    <t xml:space="preserve"> - Industrial production index of crude steel</t>
  </si>
  <si>
    <t>IPI (base 100 in 2010)</t>
  </si>
  <si>
    <t>ipiacbxx</t>
  </si>
  <si>
    <t xml:space="preserve"> - Industrial production index of primary steel</t>
  </si>
  <si>
    <t>ipiacboxyxx</t>
  </si>
  <si>
    <t xml:space="preserve"> - Industrial production index of recycled steel</t>
  </si>
  <si>
    <t>ipiacbelexx</t>
  </si>
  <si>
    <t>Industrial production index of non metallic minerals</t>
  </si>
  <si>
    <t>ipimnmxx</t>
  </si>
  <si>
    <t xml:space="preserve"> - Industrial production index of cement</t>
  </si>
  <si>
    <t>ipicimxx</t>
  </si>
  <si>
    <t xml:space="preserve"> - Industrial production index of glass</t>
  </si>
  <si>
    <t>ipiverxx</t>
  </si>
  <si>
    <t>Industrial production index of ammonia</t>
  </si>
  <si>
    <t>prdammxx</t>
  </si>
  <si>
    <t>Industrial production index of high value chemicals</t>
  </si>
  <si>
    <t>prdhvcxx</t>
  </si>
  <si>
    <t>&gt; Consumption and equipment goods</t>
  </si>
  <si>
    <t>Production of paper</t>
  </si>
  <si>
    <t>prdpap</t>
  </si>
  <si>
    <t>Production of pulp</t>
  </si>
  <si>
    <t>prdpat</t>
  </si>
  <si>
    <t>Industrial production index of paper and printing industry</t>
  </si>
  <si>
    <t>ipipapxx</t>
  </si>
  <si>
    <t>• End-of-Life and Recycling</t>
  </si>
  <si>
    <t xml:space="preserve">\-&gt; Share of production based on recycled materials </t>
  </si>
  <si>
    <t>Share of recycled plastics</t>
  </si>
  <si>
    <t>rcycmp</t>
  </si>
  <si>
    <t>Some information available via the European Commission´s circular economy indicator set (data available on EUROSTAT)</t>
  </si>
  <si>
    <t>Share of recycled steel</t>
  </si>
  <si>
    <t>rcyacb</t>
  </si>
  <si>
    <t>Share of recycled non-ferrous metals</t>
  </si>
  <si>
    <t>rcymnf</t>
  </si>
  <si>
    <t>Share of recycled glass</t>
  </si>
  <si>
    <t>rcyver</t>
  </si>
  <si>
    <t>Share of recycled pulp</t>
  </si>
  <si>
    <t>rcyppp</t>
  </si>
  <si>
    <t>Efficiency of processes: Energy Intensity Index (EII), disaggregated by branch</t>
  </si>
  <si>
    <t>Unit consumption of steel industry</t>
  </si>
  <si>
    <t>MWh/kt</t>
  </si>
  <si>
    <t>cutocacb</t>
  </si>
  <si>
    <t xml:space="preserve"> - Unit consumption of primary steel</t>
  </si>
  <si>
    <t>cutocacboxy</t>
  </si>
  <si>
    <t xml:space="preserve"> - Unit consumption of recycled steel</t>
  </si>
  <si>
    <t>cutocacbele</t>
  </si>
  <si>
    <t>Unit consumption of non metallic minerals</t>
  </si>
  <si>
    <t>cutocmnm</t>
  </si>
  <si>
    <t xml:space="preserve"> - Unit consumption of cement</t>
  </si>
  <si>
    <t>cutoccim</t>
  </si>
  <si>
    <t xml:space="preserve"> - Unit consumption of glass industry</t>
  </si>
  <si>
    <t>cutocver</t>
  </si>
  <si>
    <t>Unit consumption of ammonia</t>
  </si>
  <si>
    <t>cutocamm</t>
  </si>
  <si>
    <t>Unit consumption of high value chemicals</t>
  </si>
  <si>
    <t>cutochvc</t>
  </si>
  <si>
    <t>Unit consumption of pulp and paper</t>
  </si>
  <si>
    <t>cutocppp</t>
  </si>
  <si>
    <t>Final energy consumption of Industry*</t>
  </si>
  <si>
    <t>*It excludes consumption of the energy sector itself and losses occurring during transformation and distribution of energy</t>
  </si>
  <si>
    <t>Total FEC of industry (excl. consumption of the energy sector)</t>
  </si>
  <si>
    <t>toccfind</t>
  </si>
  <si>
    <t>• Final Energy Consumption by branch:</t>
  </si>
  <si>
    <r>
      <rPr>
        <rFont val="Calibri"/>
        <b/>
        <color rgb="FF000000"/>
        <sz val="11.0"/>
      </rPr>
      <t>Total</t>
    </r>
    <r>
      <rPr>
        <rFont val="Calibri"/>
        <b val="0"/>
        <color rgb="FF000000"/>
        <sz val="11.0"/>
      </rPr>
      <t xml:space="preserve"> Final Energy Consumption of the steel industry</t>
    </r>
  </si>
  <si>
    <t>toccfsid1</t>
  </si>
  <si>
    <r>
      <rPr>
        <rFont val="Calibri"/>
        <color rgb="FF000000"/>
        <sz val="11.0"/>
      </rPr>
      <t xml:space="preserve"> - </t>
    </r>
    <r>
      <rPr>
        <rFont val="Calibri"/>
        <b/>
        <color rgb="FF000000"/>
        <sz val="11.0"/>
      </rPr>
      <t>Total</t>
    </r>
    <r>
      <rPr>
        <rFont val="Calibri"/>
        <color rgb="FF000000"/>
        <sz val="11.0"/>
      </rPr>
      <t xml:space="preserve"> Final Energy Consumption of the primary steel industry</t>
    </r>
  </si>
  <si>
    <t>toccfsid1oxy</t>
  </si>
  <si>
    <r>
      <rPr>
        <rFont val="Calibri"/>
        <color rgb="FF000000"/>
        <sz val="11.0"/>
      </rPr>
      <t xml:space="preserve"> - </t>
    </r>
    <r>
      <rPr>
        <rFont val="Calibri"/>
        <b/>
        <color rgb="FF000000"/>
        <sz val="11.0"/>
      </rPr>
      <t>Total</t>
    </r>
    <r>
      <rPr>
        <rFont val="Calibri"/>
        <color rgb="FF000000"/>
        <sz val="11.0"/>
      </rPr>
      <t xml:space="preserve"> Final Energy Consumption of the recycled steel industry</t>
    </r>
  </si>
  <si>
    <t>toccfsid1ele</t>
  </si>
  <si>
    <r>
      <rPr>
        <rFont val="Calibri"/>
        <b/>
        <color rgb="FF000000"/>
        <sz val="11.0"/>
      </rPr>
      <t>Total</t>
    </r>
    <r>
      <rPr>
        <rFont val="Calibri"/>
        <b val="0"/>
        <color rgb="FF000000"/>
        <sz val="11.0"/>
      </rPr>
      <t xml:space="preserve"> Final energy consumption of the non metallic minerals industry</t>
    </r>
  </si>
  <si>
    <t>toccfmnm</t>
  </si>
  <si>
    <r>
      <rPr>
        <rFont val="Calibri"/>
        <color rgb="FF000000"/>
        <sz val="11.0"/>
      </rPr>
      <t xml:space="preserve"> - </t>
    </r>
    <r>
      <rPr>
        <rFont val="Calibri"/>
        <b/>
        <color rgb="FF000000"/>
        <sz val="11.0"/>
      </rPr>
      <t>Total</t>
    </r>
    <r>
      <rPr>
        <rFont val="Calibri"/>
        <color rgb="FF000000"/>
        <sz val="11.0"/>
      </rPr>
      <t xml:space="preserve"> Final Energy Consumption of the cement industry</t>
    </r>
  </si>
  <si>
    <t>toccfcim</t>
  </si>
  <si>
    <r>
      <rPr>
        <rFont val="Calibri"/>
        <color rgb="FF000000"/>
        <sz val="11.0"/>
      </rPr>
      <t xml:space="preserve"> - </t>
    </r>
    <r>
      <rPr>
        <rFont val="Calibri"/>
        <b/>
        <color rgb="FF000000"/>
        <sz val="11.0"/>
      </rPr>
      <t>Total</t>
    </r>
    <r>
      <rPr>
        <rFont val="Calibri"/>
        <color rgb="FF000000"/>
        <sz val="11.0"/>
      </rPr>
      <t xml:space="preserve"> Final Energy Consumptionof the glass industry</t>
    </r>
  </si>
  <si>
    <t>toccfver</t>
  </si>
  <si>
    <r>
      <rPr>
        <rFont val="Calibri"/>
        <b/>
        <color rgb="FF000000"/>
        <sz val="11.0"/>
      </rPr>
      <t>Total</t>
    </r>
    <r>
      <rPr>
        <rFont val="Calibri"/>
        <b val="0"/>
        <color rgb="FF000000"/>
        <sz val="11.0"/>
      </rPr>
      <t xml:space="preserve"> Final Energy Consumption of the chemical industry</t>
    </r>
  </si>
  <si>
    <t>toccfchi</t>
  </si>
  <si>
    <r>
      <rPr>
        <rFont val="Calibri"/>
        <color rgb="FF000000"/>
        <sz val="11.0"/>
      </rPr>
      <t xml:space="preserve"> - </t>
    </r>
    <r>
      <rPr>
        <rFont val="Calibri"/>
        <b/>
        <color rgb="FF000000"/>
        <sz val="11.0"/>
      </rPr>
      <t>Total</t>
    </r>
    <r>
      <rPr>
        <rFont val="Calibri"/>
        <color rgb="FF000000"/>
        <sz val="11.0"/>
      </rPr>
      <t xml:space="preserve"> Final Energy Consumption of the ammonia industry</t>
    </r>
  </si>
  <si>
    <t>toccfamm</t>
  </si>
  <si>
    <r>
      <rPr>
        <rFont val="Calibri"/>
        <color rgb="FF000000"/>
        <sz val="11.0"/>
      </rPr>
      <t xml:space="preserve"> - </t>
    </r>
    <r>
      <rPr>
        <rFont val="Calibri"/>
        <b/>
        <color rgb="FF000000"/>
        <sz val="11.0"/>
      </rPr>
      <t>Total</t>
    </r>
    <r>
      <rPr>
        <rFont val="Calibri"/>
        <color rgb="FF000000"/>
        <sz val="11.0"/>
      </rPr>
      <t xml:space="preserve"> Final Energy Consumption of the high value chemicals industry</t>
    </r>
  </si>
  <si>
    <t>toccfhvc</t>
  </si>
  <si>
    <r>
      <rPr>
        <rFont val="Calibri"/>
        <color rgb="FF000000"/>
        <sz val="11.0"/>
      </rPr>
      <t xml:space="preserve"> - </t>
    </r>
    <r>
      <rPr>
        <rFont val="Calibri"/>
        <b/>
        <color rgb="FF000000"/>
        <sz val="11.0"/>
      </rPr>
      <t>Total</t>
    </r>
    <r>
      <rPr>
        <rFont val="Calibri"/>
        <color rgb="FF000000"/>
        <sz val="11.0"/>
      </rPr>
      <t xml:space="preserve"> Final Energy Consumption of the other chemical industries</t>
    </r>
  </si>
  <si>
    <t>toccfotc</t>
  </si>
  <si>
    <r>
      <rPr>
        <rFont val="Calibri"/>
        <b/>
        <color rgb="FF000000"/>
        <sz val="11.0"/>
      </rPr>
      <t>Total</t>
    </r>
    <r>
      <rPr>
        <rFont val="Calibri"/>
        <b val="0"/>
        <color rgb="FF000000"/>
        <sz val="11.0"/>
      </rPr>
      <t xml:space="preserve"> Final energy consumption of the non-ferrous metals industry</t>
    </r>
  </si>
  <si>
    <t>toccfmnf</t>
  </si>
  <si>
    <r>
      <rPr>
        <rFont val="Calibri"/>
        <b/>
        <color rgb="FF000000"/>
        <sz val="11.0"/>
      </rPr>
      <t>Total</t>
    </r>
    <r>
      <rPr>
        <rFont val="Calibri"/>
        <b val="0"/>
        <color rgb="FF000000"/>
        <sz val="11.0"/>
      </rPr>
      <t xml:space="preserve"> Final Energy Consumption of the paper, pulp and printing industry</t>
    </r>
  </si>
  <si>
    <t>toccfppp</t>
  </si>
  <si>
    <r>
      <rPr>
        <rFont val="Calibri"/>
        <b/>
        <color rgb="FF000000"/>
        <sz val="11.0"/>
      </rPr>
      <t>Total</t>
    </r>
    <r>
      <rPr>
        <rFont val="Calibri"/>
        <b val="0"/>
        <color rgb="FF000000"/>
        <sz val="11.0"/>
      </rPr>
      <t xml:space="preserve"> Final Energy Consumption of the Food, beverage and tobacco industry</t>
    </r>
  </si>
  <si>
    <t>toccfiaa</t>
  </si>
  <si>
    <r>
      <rPr>
        <rFont val="Calibri"/>
        <b/>
        <color rgb="FF000000"/>
        <sz val="11.0"/>
      </rPr>
      <t>Total</t>
    </r>
    <r>
      <rPr>
        <rFont val="Calibri"/>
        <b val="0"/>
        <color rgb="FF000000"/>
        <sz val="11.0"/>
      </rPr>
      <t xml:space="preserve"> Final Energy Consumption of other industries (miscellaneous industries) </t>
    </r>
  </si>
  <si>
    <t>toccfoth</t>
  </si>
  <si>
    <t>• FEC by final energy carrier:</t>
  </si>
  <si>
    <r>
      <rPr>
        <rFont val="Calibri"/>
        <b/>
        <color rgb="FF000000"/>
        <sz val="11.0"/>
      </rPr>
      <t>Total</t>
    </r>
    <r>
      <rPr>
        <rFont val="Calibri"/>
        <b val="0"/>
        <color rgb="FF000000"/>
        <sz val="11.0"/>
      </rPr>
      <t xml:space="preserve"> Final energy consumption from solid fossil fuels (coal ...) in industry</t>
    </r>
  </si>
  <si>
    <t>cmscfind</t>
  </si>
  <si>
    <r>
      <rPr>
        <rFont val="Calibri"/>
        <b/>
        <color rgb="FF000000"/>
        <sz val="11.0"/>
      </rPr>
      <t>Total</t>
    </r>
    <r>
      <rPr>
        <rFont val="Calibri"/>
        <b val="0"/>
        <color rgb="FF000000"/>
        <sz val="11.0"/>
      </rPr>
      <t xml:space="preserve"> Final energy consumption from solid biomass in industry</t>
    </r>
  </si>
  <si>
    <t>enccfind</t>
  </si>
  <si>
    <r>
      <rPr>
        <rFont val="Calibri"/>
        <b/>
        <color rgb="FF000000"/>
        <sz val="11.0"/>
      </rPr>
      <t>Total</t>
    </r>
    <r>
      <rPr>
        <rFont val="Calibri"/>
        <b val="0"/>
        <color rgb="FF000000"/>
        <sz val="11.0"/>
      </rPr>
      <t xml:space="preserve"> Final oil consumption in industry</t>
    </r>
  </si>
  <si>
    <t>petcfind</t>
  </si>
  <si>
    <r>
      <rPr>
        <rFont val="Calibri"/>
        <b/>
        <color rgb="FF000000"/>
        <sz val="11.0"/>
      </rPr>
      <t>Total</t>
    </r>
    <r>
      <rPr>
        <rFont val="Calibri"/>
        <b val="0"/>
        <color rgb="FF000000"/>
        <sz val="11.0"/>
      </rPr>
      <t xml:space="preserve"> Final energy consumption from gas grid / gas consumed locally in industry</t>
    </r>
  </si>
  <si>
    <t>gazcfind</t>
  </si>
  <si>
    <r>
      <rPr>
        <rFont val="Calibri"/>
        <b/>
        <color rgb="FF000000"/>
        <sz val="11.0"/>
      </rPr>
      <t>Total</t>
    </r>
    <r>
      <rPr>
        <rFont val="Calibri"/>
        <b val="0"/>
        <color rgb="FF000000"/>
        <sz val="11.0"/>
      </rPr>
      <t xml:space="preserve"> Final electricity consumption in industry</t>
    </r>
  </si>
  <si>
    <t>elccfind</t>
  </si>
  <si>
    <r>
      <rPr>
        <rFont val="Calibri"/>
        <b/>
        <color rgb="FF000000"/>
        <sz val="11.0"/>
      </rPr>
      <t>Total</t>
    </r>
    <r>
      <rPr>
        <rFont val="Calibri"/>
        <b val="0"/>
        <color rgb="FF000000"/>
        <sz val="11.0"/>
      </rPr>
      <t xml:space="preserve"> Final heat consumption in industry</t>
    </r>
  </si>
  <si>
    <t>vapcfind</t>
  </si>
  <si>
    <r>
      <rPr>
        <rFont val="Calibri"/>
        <b/>
        <color rgb="FF000000"/>
        <sz val="11.0"/>
      </rPr>
      <t>Total</t>
    </r>
    <r>
      <rPr>
        <rFont val="Calibri"/>
        <b val="0"/>
        <color rgb="FF000000"/>
        <sz val="11.0"/>
      </rPr>
      <t xml:space="preserve"> Final hydrogen consumption in industry</t>
    </r>
  </si>
  <si>
    <t>hydcfind</t>
  </si>
  <si>
    <r>
      <rPr>
        <rFont val="Calibri"/>
        <b/>
        <color rgb="FF000000"/>
        <sz val="11.0"/>
      </rPr>
      <t>Total</t>
    </r>
    <r>
      <rPr>
        <rFont val="Calibri"/>
        <b val="0"/>
        <color rgb="FF000000"/>
        <sz val="11.0"/>
      </rPr>
      <t xml:space="preserve"> Final non-renewable waste consumption in industry</t>
    </r>
  </si>
  <si>
    <t>nrwcfind</t>
  </si>
  <si>
    <r>
      <rPr>
        <rFont val="Calibri"/>
        <b/>
        <color rgb="FF000000"/>
        <sz val="11.0"/>
      </rPr>
      <t>Total</t>
    </r>
    <r>
      <rPr>
        <rFont val="Calibri"/>
        <b val="0"/>
        <color rgb="FF000000"/>
        <sz val="11.0"/>
      </rPr>
      <t xml:space="preserve"> Final energy consumption from ambient heat (heat pumps…) in industry</t>
    </r>
  </si>
  <si>
    <t>paccfind</t>
  </si>
  <si>
    <r>
      <rPr>
        <rFont val="Calibri"/>
        <b/>
        <color rgb="FF000000"/>
        <sz val="11.0"/>
      </rPr>
      <t>Total</t>
    </r>
    <r>
      <rPr>
        <rFont val="Calibri"/>
        <b val="0"/>
        <color rgb="FF000000"/>
        <sz val="11.0"/>
      </rPr>
      <t xml:space="preserve"> Final energy consumption from thermal solar in industry</t>
    </r>
  </si>
  <si>
    <t>sthcfind</t>
  </si>
  <si>
    <t>Non-energy consumption of raw materials for the feedstock production</t>
  </si>
  <si>
    <r>
      <rPr>
        <rFont val="Calibri"/>
        <b/>
        <color rgb="FF000000"/>
        <sz val="11.0"/>
      </rPr>
      <t xml:space="preserve">Total </t>
    </r>
    <r>
      <rPr>
        <rFont val="Calibri"/>
        <b val="0"/>
        <color rgb="FF000000"/>
        <sz val="11.0"/>
      </rPr>
      <t>non-energy consumption for the feedstock production (including chemicals and oxygen steel)</t>
    </r>
  </si>
  <si>
    <t>cfneind</t>
  </si>
  <si>
    <t>Some data available on EUROSTAT</t>
  </si>
  <si>
    <t>Non-energy consumption of solid fossil fuels (coal...) for the feedstock production</t>
  </si>
  <si>
    <t>cmscfneind</t>
  </si>
  <si>
    <t>Non-energy consumption of solid biomass for the feedstock production</t>
  </si>
  <si>
    <t>enccfneind</t>
  </si>
  <si>
    <t>Non-energy consumption of gas for the feedstock production</t>
  </si>
  <si>
    <t>gazcfneind</t>
  </si>
  <si>
    <t>Non-energy consumption of oil for the feedstock production</t>
  </si>
  <si>
    <t>petcfneind</t>
  </si>
  <si>
    <t>Non-energy consumption of hydrogen for the feedstock production</t>
  </si>
  <si>
    <t>hydcfneind</t>
  </si>
  <si>
    <t>Industry process GHG emissions</t>
  </si>
  <si>
    <t>GHG emissions from non-energy sources in industry</t>
  </si>
  <si>
    <t>MtCO2e</t>
  </si>
  <si>
    <t>GHG emissions from non-energy sources in the steel industry</t>
  </si>
  <si>
    <t>ghgsid1nes</t>
  </si>
  <si>
    <t>GHG emissions from non-energy sources in the non-metallic minerals industry</t>
  </si>
  <si>
    <t>ghgnmmnes</t>
  </si>
  <si>
    <t>GHG emissions from non-energy sources in the cement industry</t>
  </si>
  <si>
    <t>ghgcimnes</t>
  </si>
  <si>
    <t>GHG emissions from non-energy sources in the chemicals industry</t>
  </si>
  <si>
    <t>ghgchines</t>
  </si>
  <si>
    <t>GHG emissions from non-energy sources in the non-ferrous metals industry</t>
  </si>
  <si>
    <t>ghgmnfnes</t>
  </si>
  <si>
    <t>Final energy consumption of the Energy sector*</t>
  </si>
  <si>
    <t>* This includes energy consumption of the Energy sector for its own use (oil refineries) and internal uses (energy necessary for uranium enrichment and the fabrication of nuclear fuel assemblies)</t>
  </si>
  <si>
    <t>* This excludes losses occurring during transformation and distribution of energy</t>
  </si>
  <si>
    <t>* A priori, this excludes collection losses (tankers, oil and gas pipelines).</t>
  </si>
  <si>
    <t>* Coke ovens &amp; blast furnaces, although counted in energy sector by Eurostat, are included in final consumption of steel industry (cf. above)</t>
  </si>
  <si>
    <t>* Likewise consumption of hydroelectric pumping stations and internal consumption of power stations (auxiliaries, primary transformers, etc.) is deducted from fross power output in the "Energy" sheet and thus not included below</t>
  </si>
  <si>
    <t>Ratio of reffinery oil consumption vs. total primary oil consumption</t>
  </si>
  <si>
    <t>TWh / TWh</t>
  </si>
  <si>
    <t>defpetcfens</t>
  </si>
  <si>
    <t>2015 ratios until 2020, then substitution of petroleum by gas</t>
  </si>
  <si>
    <t>Default ratio (calculated from Eurostat) used in case oil &amp; gas consumption are not filled below</t>
  </si>
  <si>
    <t>Ratio of reffinery gas consumption vs. total primary oil consumption</t>
  </si>
  <si>
    <t>defgazcfens</t>
  </si>
  <si>
    <t>• Final Energy Consumption of the Energy sector per energy carrier</t>
  </si>
  <si>
    <t>Final energy consumption from solid fossil fuels (coal...) in the Energy sector</t>
  </si>
  <si>
    <t>cmscfens</t>
  </si>
  <si>
    <t>Final energy consumption from solid biomass in the Energy sector</t>
  </si>
  <si>
    <t>enccfens</t>
  </si>
  <si>
    <t>Final oil consumption in the Energy sector</t>
  </si>
  <si>
    <t>petcfens</t>
  </si>
  <si>
    <t>Final energy consumption from gas in the Energy sector</t>
  </si>
  <si>
    <t>gazcfens</t>
  </si>
  <si>
    <t>Final electricity consumption in the Energy sector</t>
  </si>
  <si>
    <t>elccfens</t>
  </si>
  <si>
    <t>Final heat consumption in the Energy sector</t>
  </si>
  <si>
    <t>vapcfens</t>
  </si>
  <si>
    <t>, coke ovens, blast furnaces</t>
  </si>
  <si>
    <t>Any general comment on the Industrial sector?</t>
  </si>
  <si>
    <t>\-&gt; Materials recycling rates</t>
  </si>
  <si>
    <t>\-&gt; Contribution of recycled materials to raw materials demand: End-of-life recycling input rates (EOL-RIR)</t>
  </si>
  <si>
    <t>Final energy consumption</t>
  </si>
  <si>
    <t xml:space="preserve">Branches (Production &amp; Energy intensity &amp; Final energy consumption) </t>
  </si>
  <si>
    <t>• Basic and transformed materials</t>
  </si>
  <si>
    <t>\-&gt; Chemicals</t>
  </si>
  <si>
    <t>\-&gt; Plastics</t>
  </si>
  <si>
    <t>\-&gt; Primary metals:</t>
  </si>
  <si>
    <t>&gt; Crude steel</t>
  </si>
  <si>
    <t>&gt; Non-ferrous metals</t>
  </si>
  <si>
    <t>\-&gt; Non metallic minerals:</t>
  </si>
  <si>
    <t>&gt; Cement</t>
  </si>
  <si>
    <t>&gt; Glass</t>
  </si>
  <si>
    <t>\-&gt; Wood</t>
  </si>
  <si>
    <t>\-&gt; Mining</t>
  </si>
  <si>
    <t>\-&gt; Construction</t>
  </si>
  <si>
    <t>• Consumption and equipment goods</t>
  </si>
  <si>
    <t>\-&gt; Paper, pulp and printing</t>
  </si>
  <si>
    <t>\-&gt; Food, beverage and tobacco</t>
  </si>
  <si>
    <t>\-&gt; Transport equipment</t>
  </si>
  <si>
    <t>\-&gt; Machinery and fabricated metals</t>
  </si>
  <si>
    <t>\-&gt; Textiles and leathers</t>
  </si>
  <si>
    <t>\-&gt; Other miscellaneous products</t>
  </si>
  <si>
    <t>Final energy consumption of the Energy sector</t>
  </si>
  <si>
    <t>General information</t>
  </si>
  <si>
    <t>Results for export</t>
  </si>
  <si>
    <t>HISTORICAL DATA</t>
  </si>
  <si>
    <t>FORECAST</t>
  </si>
  <si>
    <t xml:space="preserve">  Read me:</t>
  </si>
  <si>
    <t>Partner data</t>
  </si>
  <si>
    <t>extented data</t>
  </si>
  <si>
    <t>intermediary points</t>
  </si>
  <si>
    <t>target</t>
  </si>
  <si>
    <t>The aim of this sheet is to make easier for partners to forecast industry final energy consumption by 2050 for the following sectors : steel, cement, paper &amp; pulp, chemicals, glass, NFM, food and others.</t>
  </si>
  <si>
    <t>Title</t>
  </si>
  <si>
    <t>Item code</t>
  </si>
  <si>
    <t>ISO code</t>
  </si>
  <si>
    <t xml:space="preserve">Partners who are in a position to develop an industrial strategy for those industrial sectors are invited to consider P/C ratios. </t>
  </si>
  <si>
    <t>Final consumption of steel industry</t>
  </si>
  <si>
    <t>FEC of coal in industry</t>
  </si>
  <si>
    <t>Partners are invited to fill hypothesis by 2050 in the</t>
  </si>
  <si>
    <t>orange boxes</t>
  </si>
  <si>
    <t xml:space="preserve"> according to their national specifities and stories' corridors. Stories' explanations should help partners to justify their assumptions and so their location inside this corridor. Partners are also invited to fill assumptions justification in the white boxes. Technology choises for energy intensity should be specified in those boxes because of their link with energy carriers.</t>
  </si>
  <si>
    <t>Final consumption of cement industry</t>
  </si>
  <si>
    <t>FEC of oil in industry</t>
  </si>
  <si>
    <t>A French example as been placed in the folder for inspiration.</t>
  </si>
  <si>
    <t>Final consumption of paper, pulp and printing industry</t>
  </si>
  <si>
    <t>FEC of gaz in industry</t>
  </si>
  <si>
    <t>Final consumption of glass industry</t>
  </si>
  <si>
    <t>FEC of heat in industry</t>
  </si>
  <si>
    <t xml:space="preserve">  Calculations detail:</t>
  </si>
  <si>
    <t>Excel tool structure:</t>
  </si>
  <si>
    <t>EU28</t>
  </si>
  <si>
    <t>European Union 28</t>
  </si>
  <si>
    <t>Final consumption of ammonia</t>
  </si>
  <si>
    <t>FEC of biomass in industry</t>
  </si>
  <si>
    <t>Method n°1 (p5 in pdf  document)</t>
  </si>
  <si>
    <t>formula if production data available:</t>
  </si>
  <si>
    <t>Method n°2 (p5 in pdf  document)</t>
  </si>
  <si>
    <t>formula if production data missing:</t>
  </si>
  <si>
    <t>AT</t>
  </si>
  <si>
    <t>Austria</t>
  </si>
  <si>
    <t>Final consumption of high value chemicals</t>
  </si>
  <si>
    <t>FEC of electricity in industry</t>
  </si>
  <si>
    <t>BE</t>
  </si>
  <si>
    <t>Belgium</t>
  </si>
  <si>
    <t>Final consumption of other chemicals</t>
  </si>
  <si>
    <t>FEC of hydrogen in industry</t>
  </si>
  <si>
    <t>BG</t>
  </si>
  <si>
    <t>Bulgaria</t>
  </si>
  <si>
    <t>Final consumption of chemical industry</t>
  </si>
  <si>
    <t>FEC of non-res waste in industry</t>
  </si>
  <si>
    <t>CY</t>
  </si>
  <si>
    <t>Cyprus</t>
  </si>
  <si>
    <t>Final consumption of food industry</t>
  </si>
  <si>
    <t>Total Industry FEC</t>
  </si>
  <si>
    <t>CZ</t>
  </si>
  <si>
    <t>Czech Republic</t>
  </si>
  <si>
    <t>Final consumption of non ferrous metals</t>
  </si>
  <si>
    <t>DE</t>
  </si>
  <si>
    <t>Germany</t>
  </si>
  <si>
    <t>Final consumption of others</t>
  </si>
  <si>
    <t>FEC meaning Final Energy Consumption</t>
  </si>
  <si>
    <t>DK</t>
  </si>
  <si>
    <t>Denmark</t>
  </si>
  <si>
    <t>EE</t>
  </si>
  <si>
    <t>Estonia</t>
  </si>
  <si>
    <t>ES</t>
  </si>
  <si>
    <t>Spain</t>
  </si>
  <si>
    <t>FI</t>
  </si>
  <si>
    <t>Finland</t>
  </si>
  <si>
    <t>FR</t>
  </si>
  <si>
    <t>France</t>
  </si>
  <si>
    <t xml:space="preserve">   For method n°1 description, read the following note:</t>
  </si>
  <si>
    <t xml:space="preserve">   For method n°2 description, read the following note : </t>
  </si>
  <si>
    <t>GB</t>
  </si>
  <si>
    <t>Great Britain</t>
  </si>
  <si>
    <t>GR</t>
  </si>
  <si>
    <t>Greece</t>
  </si>
  <si>
    <t>HR</t>
  </si>
  <si>
    <t>Croatia</t>
  </si>
  <si>
    <t>Parameters &amp; assumptions</t>
  </si>
  <si>
    <t>HU</t>
  </si>
  <si>
    <t>Hungary</t>
  </si>
  <si>
    <t>IE</t>
  </si>
  <si>
    <t>Ireland</t>
  </si>
  <si>
    <t>Results for graphic</t>
  </si>
  <si>
    <t xml:space="preserve">  Parameters:</t>
  </si>
  <si>
    <t xml:space="preserve">Choose your country: </t>
  </si>
  <si>
    <t>IT</t>
  </si>
  <si>
    <t>Italy</t>
  </si>
  <si>
    <t xml:space="preserve">Set sectorial intermediary targets: </t>
  </si>
  <si>
    <t>of 2050 target compared to 2019 (except for 2040 which is compared to 2015)</t>
  </si>
  <si>
    <t>LT</t>
  </si>
  <si>
    <t>Lithuania</t>
  </si>
  <si>
    <t xml:space="preserve">Set method for chemicals: </t>
  </si>
  <si>
    <t>method 1 (detailed)</t>
  </si>
  <si>
    <t>Set carriers intermediary targets:</t>
  </si>
  <si>
    <t>LU</t>
  </si>
  <si>
    <t>Luxembourg</t>
  </si>
  <si>
    <t>Set specific hydrogen carrier intermediary targets:</t>
  </si>
  <si>
    <t>LV</t>
  </si>
  <si>
    <t>Latvia</t>
  </si>
  <si>
    <t>Hydrogen NEC intermediary targets:</t>
  </si>
  <si>
    <t>MT</t>
  </si>
  <si>
    <t>Malta</t>
  </si>
  <si>
    <t>NL</t>
  </si>
  <si>
    <t>Netherlands</t>
  </si>
  <si>
    <t>PL</t>
  </si>
  <si>
    <t>Poland</t>
  </si>
  <si>
    <t>PT</t>
  </si>
  <si>
    <t>Portugal</t>
  </si>
  <si>
    <t>RO</t>
  </si>
  <si>
    <t>Romania</t>
  </si>
  <si>
    <t xml:space="preserve">  Assumptions:</t>
  </si>
  <si>
    <t>SE</t>
  </si>
  <si>
    <t>Sweden</t>
  </si>
  <si>
    <t>Final consumption of industry</t>
  </si>
  <si>
    <t>Odyssee*</t>
  </si>
  <si>
    <t>min corridor</t>
  </si>
  <si>
    <t>max corridor</t>
  </si>
  <si>
    <t>SI</t>
  </si>
  <si>
    <t>Slovenia</t>
  </si>
  <si>
    <t>Production sufficiency (index 2050)</t>
  </si>
  <si>
    <t>v</t>
  </si>
  <si>
    <t>Assumptions justification according to national specifities</t>
  </si>
  <si>
    <t>SK</t>
  </si>
  <si>
    <t>Slovakia</t>
  </si>
  <si>
    <t>steel</t>
  </si>
  <si>
    <t>index 2050</t>
  </si>
  <si>
    <t>Decrease in armed concrete and number of vehicles, coherent with on BBL scenario for VL and constant level in WAL</t>
  </si>
  <si>
    <t>NO</t>
  </si>
  <si>
    <t>Norway</t>
  </si>
  <si>
    <t>— including primary steel (via HF-BOF, HDRI, etc)</t>
  </si>
  <si>
    <t>—</t>
  </si>
  <si>
    <t>— including recycled steel (via EAF)</t>
  </si>
  <si>
    <t>cement</t>
  </si>
  <si>
    <t>More wood for houses but more flats in new buildings</t>
  </si>
  <si>
    <t>CH</t>
  </si>
  <si>
    <t>Switzerland</t>
  </si>
  <si>
    <t>pulp &amp; paper</t>
  </si>
  <si>
    <t>No idea, average of the corridor</t>
  </si>
  <si>
    <t>glass</t>
  </si>
  <si>
    <t>2015 rough assumption, high quality glass in BE implies slow reduction</t>
  </si>
  <si>
    <t>ammonia</t>
  </si>
  <si>
    <t>Personal choice based on fertilizers decrease but taking into ccount the assumption of the BBL scenario oct.2021 (Net Zero Industry Flanders) where they predict only a 15 % decrease</t>
  </si>
  <si>
    <t>HVC</t>
  </si>
  <si>
    <t xml:space="preserve">PVC in Wallonia and the rest in VL. Assumption BBL scenario oct.2021 (Net Zero Industry Flanders) taken into account. Low decrease. </t>
  </si>
  <si>
    <t>Energy intensity (MWh/kt)</t>
  </si>
  <si>
    <t>n.a.</t>
  </si>
  <si>
    <t>method 2 (aggregated)</t>
  </si>
  <si>
    <t>Final energy consumption ratio (TWh - index 2050)</t>
  </si>
  <si>
    <t xml:space="preserve">Assumptions justification according to national specifities </t>
  </si>
  <si>
    <t>other chemicals</t>
  </si>
  <si>
    <t>chemicals (aggregated)</t>
  </si>
  <si>
    <t>food</t>
  </si>
  <si>
    <t>NFM</t>
  </si>
  <si>
    <t>others</t>
  </si>
  <si>
    <t>Energy Carriers share (%)</t>
  </si>
  <si>
    <t>coal</t>
  </si>
  <si>
    <t>oil</t>
  </si>
  <si>
    <t>gaz</t>
  </si>
  <si>
    <t>heat</t>
  </si>
  <si>
    <t>biomass</t>
  </si>
  <si>
    <t>electricity</t>
  </si>
  <si>
    <t>hydrogen</t>
  </si>
  <si>
    <t>non-res waste</t>
  </si>
  <si>
    <t>total</t>
  </si>
  <si>
    <t>verification</t>
  </si>
  <si>
    <t xml:space="preserve">Odyssee*: In order to complete Odyssee database, AT included additional data (in blue). Ammonia and HVC data is not provided by Odyssee. For "others", the following calculation have been done : FEC(others) = FEC(total) - SUM(FEC(sector treated)). </t>
  </si>
  <si>
    <t>min in FhISI study</t>
  </si>
  <si>
    <t>max in FhISI study</t>
  </si>
  <si>
    <t>Non-Energy consumption (chemicals feedstock and coal from HF-BOF steel)</t>
  </si>
  <si>
    <t>2015*</t>
  </si>
  <si>
    <t>2019*</t>
  </si>
  <si>
    <t>TWh/Mt oxygen steel</t>
  </si>
  <si>
    <t>Based on French SnW22 scenario, extrapolated to all  other EU countries assuming identical coal consumption in BF-BOF</t>
  </si>
  <si>
    <t>TWh/TWh FEC chemicals</t>
  </si>
  <si>
    <t>Based on FhISI 4a Mix scenario for the EU. This coefficient makes sense on a European scale, which is mainly a breakdown by country of the non-energy consumption of the EU industry</t>
  </si>
  <si>
    <t xml:space="preserve">Process emissions </t>
  </si>
  <si>
    <t>MtCO2e/TWh FEC industry</t>
  </si>
  <si>
    <t>Based on FhISI 4a Mix scenario for the EU. This coefficient makes sense on a European scale, which is mainly a breakdown by country of the process GHG emissions of the EU industry</t>
  </si>
  <si>
    <t>Results</t>
  </si>
  <si>
    <t>Calculations per industry field</t>
  </si>
  <si>
    <t>Odyssee data</t>
  </si>
  <si>
    <t>intermediary point</t>
  </si>
  <si>
    <t>Code EU</t>
  </si>
  <si>
    <t>2030 target</t>
  </si>
  <si>
    <t>2035 target</t>
  </si>
  <si>
    <t>2045 target</t>
  </si>
  <si>
    <t>Production of steel</t>
  </si>
  <si>
    <t>Production of cement</t>
  </si>
  <si>
    <t>Final consumption of pulp &amp; paper industry</t>
  </si>
  <si>
    <t>Production of glass</t>
  </si>
  <si>
    <t>Final consumption of ammonia industry</t>
  </si>
  <si>
    <t>Production of high value chemicals</t>
  </si>
  <si>
    <t>Final consumption of HVC industry</t>
  </si>
  <si>
    <t>Final consumption of other chemicals industry</t>
  </si>
  <si>
    <t>Final consumption of chemicals method 1 (detailed)</t>
  </si>
  <si>
    <t>Final consumption of chemicals method 2 (aggregated)</t>
  </si>
  <si>
    <t>Energy intensity of steel</t>
  </si>
  <si>
    <t>Energy intensity of primary steel</t>
  </si>
  <si>
    <t>Energy intensity of recycled steel</t>
  </si>
  <si>
    <t>Energy intensity of cement</t>
  </si>
  <si>
    <t>Energy intensity of paper</t>
  </si>
  <si>
    <t>Energy intensity of glass</t>
  </si>
  <si>
    <t>Energy intensity of ammonia</t>
  </si>
  <si>
    <t>Energy intensity of high value chemicals</t>
  </si>
  <si>
    <t>Production of primary steel</t>
  </si>
  <si>
    <t>Production of recycled steel</t>
  </si>
  <si>
    <t>Coal non-energy consumption of industry</t>
  </si>
  <si>
    <t>Biomass non-energy consumption of industry</t>
  </si>
  <si>
    <t>Gas non-energy consumption of industry</t>
  </si>
  <si>
    <t>Oil non-energy consumption of industry</t>
  </si>
  <si>
    <t>Hydrogen non-energy consumption of industry</t>
  </si>
  <si>
    <t>Industry non-energy consumption (TWh NEC via sum)</t>
  </si>
  <si>
    <t>Industry process emissions</t>
  </si>
  <si>
    <t>Note Odyssee</t>
  </si>
  <si>
    <t>Note AT</t>
  </si>
  <si>
    <t>Data in blue have been modified by AT</t>
  </si>
  <si>
    <t>WSI</t>
  </si>
  <si>
    <t xml:space="preserve"> </t>
  </si>
  <si>
    <t>EU</t>
  </si>
  <si>
    <t>GIV</t>
  </si>
  <si>
    <t>non-official source</t>
  </si>
  <si>
    <t>BAMI</t>
  </si>
  <si>
    <t>CBS</t>
  </si>
  <si>
    <t>cystat</t>
  </si>
  <si>
    <t>CZSO</t>
  </si>
  <si>
    <t>IISI</t>
  </si>
  <si>
    <t>STFIN,WSA</t>
  </si>
  <si>
    <t>WSA</t>
  </si>
  <si>
    <t>STAHL</t>
  </si>
  <si>
    <t>Updated data 1990-2015</t>
  </si>
  <si>
    <t>Enerdata</t>
  </si>
  <si>
    <t>FEDERACCIAI</t>
  </si>
  <si>
    <t>CSB,WSI</t>
  </si>
  <si>
    <t>End of Open Hearth furnace</t>
  </si>
  <si>
    <t>STATEC</t>
  </si>
  <si>
    <t>D3300</t>
  </si>
  <si>
    <t>Any furnace</t>
  </si>
  <si>
    <t>SP</t>
  </si>
  <si>
    <t>EU28rostat,FEU28P,WSI</t>
  </si>
  <si>
    <t>INS</t>
  </si>
  <si>
    <t>EARS,WSA</t>
  </si>
  <si>
    <t>UNESID</t>
  </si>
  <si>
    <t>SCB</t>
  </si>
  <si>
    <t>Company, World Steel org 2009 -</t>
  </si>
  <si>
    <t>FOEN</t>
  </si>
  <si>
    <t>ISSB</t>
  </si>
  <si>
    <t>RS</t>
  </si>
  <si>
    <t>Production of electric crude steel</t>
  </si>
  <si>
    <t>NSI</t>
  </si>
  <si>
    <t xml:space="preserve">Differences with WSA data, OZD furnace, cap. of 400kt </t>
  </si>
  <si>
    <t>EU28rostat,WSI</t>
  </si>
  <si>
    <t>Share from WSA, Podbrezova furnace, cap. of 350kt</t>
  </si>
  <si>
    <t>Homogenious with WSA data, 6 plants, total cap. of 1895kt</t>
  </si>
  <si>
    <t>FOEN,WSI</t>
  </si>
  <si>
    <t>Production of oxygen crude steel</t>
  </si>
  <si>
    <t>No BOF</t>
  </si>
  <si>
    <t>No BOF, only Open Hearth furnace</t>
  </si>
  <si>
    <t>EU28rostat</t>
  </si>
  <si>
    <t>Share from WSA, Kosice furnace, cap. of 4500 kt</t>
  </si>
  <si>
    <t>Homogenious with WSA data, 2 plants, total cap. of 3900kt</t>
  </si>
  <si>
    <t>ODYSSEE</t>
  </si>
  <si>
    <t>Extrapolation</t>
  </si>
  <si>
    <t>VÖZ</t>
  </si>
  <si>
    <t>FEBELCEM,STATBEL</t>
  </si>
  <si>
    <t>Data different than USGS</t>
  </si>
  <si>
    <t>For 2015: 2069kt according to partner, 3047kt according to USGS 2018 (revised)
For 2019: considering value in 2018 USGS data</t>
  </si>
  <si>
    <t>Error in Odyssee data, same source SE: https://andmed.stat.ee/en/stat/majandus__toostus__toostustooted__aastastatistika/TO67/table/tableViewLayout2
This data is very similar to USGS one</t>
  </si>
  <si>
    <t>STFIN</t>
  </si>
  <si>
    <t>infociments</t>
  </si>
  <si>
    <t>BDZ</t>
  </si>
  <si>
    <t>HCIA</t>
  </si>
  <si>
    <t>Hellenic Cement Industry Association</t>
  </si>
  <si>
    <t>Different from partner's and IDEES 2015 data. 
http://www.hcia.gr/en/statistical-elements/production/</t>
  </si>
  <si>
    <t>IEA</t>
  </si>
  <si>
    <t>2019 equal to 2015</t>
  </si>
  <si>
    <t>USGS 2018 (rev)</t>
  </si>
  <si>
    <t>AITEC,MiSE</t>
  </si>
  <si>
    <t>CSB,ONUDI</t>
  </si>
  <si>
    <t>LITSO</t>
  </si>
  <si>
    <t>Considered as zero, n.a. Odyssee and USGS</t>
  </si>
  <si>
    <t>USGS</t>
  </si>
  <si>
    <t>2017 to 2019 estimated</t>
  </si>
  <si>
    <t>INE-PT</t>
  </si>
  <si>
    <t>SOSR</t>
  </si>
  <si>
    <t>JSI_EEC</t>
  </si>
  <si>
    <t>Confidential data after 2012</t>
  </si>
  <si>
    <t>MINER,OFICEMEN</t>
  </si>
  <si>
    <t>Including export of clinker</t>
  </si>
  <si>
    <t>Mdir</t>
  </si>
  <si>
    <t>Cemsuisse</t>
  </si>
  <si>
    <t>MPA</t>
  </si>
  <si>
    <t>RZS</t>
  </si>
  <si>
    <t>ONUDI for 2018</t>
  </si>
  <si>
    <t>AtPapier</t>
  </si>
  <si>
    <t>COBELPA</t>
  </si>
  <si>
    <t>2018-2019 : FAO Pulp and paper publications (provisional) ; non-official source</t>
  </si>
  <si>
    <t>Estimated via UE energy intensity (validated with NT)</t>
  </si>
  <si>
    <t>FAO</t>
  </si>
  <si>
    <t>Copacel</t>
  </si>
  <si>
    <t>VdP</t>
  </si>
  <si>
    <t>ELSTAT</t>
  </si>
  <si>
    <t>2015 Estimated value based on Production index</t>
  </si>
  <si>
    <t>ISTAT</t>
  </si>
  <si>
    <t>CSB,FAO</t>
  </si>
  <si>
    <t>VNP</t>
  </si>
  <si>
    <t>INE-PT,CELPA</t>
  </si>
  <si>
    <t>and CELPA 2006 on forward (Paper production by type: 2006-2015 (CELPA Statistical bulletin). Updated from 2010 to 2017 by Enerdata using CELPA statistical.</t>
  </si>
  <si>
    <t>CCOS,JSI_EEC</t>
  </si>
  <si>
    <t>ASPAPEL,INE-ES</t>
  </si>
  <si>
    <t>SFA</t>
  </si>
  <si>
    <t>The Swedish Forest Agency</t>
  </si>
  <si>
    <t>Paper and paperboard</t>
  </si>
  <si>
    <t>2019 value estimated based on production index</t>
  </si>
  <si>
    <t>CPI</t>
  </si>
  <si>
    <t>2018 and 2019 estimated based on FAO data</t>
  </si>
  <si>
    <t>Glass Alliance Europe data: https://www.glassallianceeurope.eu/images/cont/gae-glass-production-2020_1_file.pdf</t>
  </si>
  <si>
    <t>WKÖ</t>
  </si>
  <si>
    <t>FIV</t>
  </si>
  <si>
    <t>According to partner for 2015 ; 2019 identical to 2015</t>
  </si>
  <si>
    <t>NIR</t>
  </si>
  <si>
    <t>FEDEVERRE</t>
  </si>
  <si>
    <t>BVGlas</t>
  </si>
  <si>
    <t>According to partner</t>
  </si>
  <si>
    <t>Calculated</t>
  </si>
  <si>
    <t>Should be a mistake</t>
  </si>
  <si>
    <t>EARS</t>
  </si>
  <si>
    <t>National statistics: https://www.vidrio.org/wp-content/uploads/2021/04/VidrioEspan%CC%83a_EcCircular_Balance-2017-2019.pdf</t>
  </si>
  <si>
    <t>stat3</t>
  </si>
  <si>
    <t>EIHP</t>
  </si>
  <si>
    <t>DEA</t>
  </si>
  <si>
    <t>STFIN,EU28rostat</t>
  </si>
  <si>
    <t>OEBIL</t>
  </si>
  <si>
    <t>AGEB,ISI</t>
  </si>
  <si>
    <t>YPEKA</t>
  </si>
  <si>
    <t>SEAI</t>
  </si>
  <si>
    <t>MiSE</t>
  </si>
  <si>
    <t>CSB</t>
  </si>
  <si>
    <t>DGEG</t>
  </si>
  <si>
    <t>Sum + correction compared to 2018</t>
  </si>
  <si>
    <t>SORS</t>
  </si>
  <si>
    <t>MITERD</t>
  </si>
  <si>
    <t>STEM</t>
  </si>
  <si>
    <t>SSB</t>
  </si>
  <si>
    <t>SFOE</t>
  </si>
  <si>
    <t>DST</t>
  </si>
  <si>
    <t>AGEB</t>
  </si>
  <si>
    <t>NSO</t>
  </si>
  <si>
    <t>BEIS</t>
  </si>
  <si>
    <t>Supposed as  zero by AT</t>
  </si>
  <si>
    <t>JRC IDEES values from 2015 (according to USGS, aluminium production is stable between 2014 and 2018)</t>
  </si>
  <si>
    <t xml:space="preserve">Extrapolation from EU27 </t>
  </si>
  <si>
    <t>SPW-ICEDD</t>
  </si>
  <si>
    <t>Assuming EU energy intensity</t>
  </si>
  <si>
    <t>KNC</t>
  </si>
  <si>
    <t>SE data for non-metalic minerals very different than Odyssee</t>
  </si>
  <si>
    <t>SNFCC</t>
  </si>
  <si>
    <t>AITEC,ENEA</t>
  </si>
  <si>
    <t>OFICEMEN</t>
  </si>
  <si>
    <t>CEREN</t>
  </si>
  <si>
    <t>DESTATIS</t>
  </si>
  <si>
    <t>toccfboi</t>
  </si>
  <si>
    <t>Final consumption of wood industry</t>
  </si>
  <si>
    <t>EU28rostat,SPFEco</t>
  </si>
  <si>
    <t>Final consumption of non metallic minerals</t>
  </si>
  <si>
    <t>Eurostat</t>
  </si>
  <si>
    <t>Supposed as any</t>
  </si>
  <si>
    <t>JRC IDEES 2015 for 2015 and 2019 (FEC apprx. Same each year)</t>
  </si>
  <si>
    <t>toccftex</t>
  </si>
  <si>
    <t>Final consumption of textile and leather industry</t>
  </si>
  <si>
    <t>toccfmac</t>
  </si>
  <si>
    <t>Final consumption of machinery</t>
  </si>
  <si>
    <t>AGEB,DESTATIS</t>
  </si>
  <si>
    <t>toccfveh</t>
  </si>
  <si>
    <t>Final consumption of transport equipment</t>
  </si>
  <si>
    <t>toccfcmp</t>
  </si>
  <si>
    <t>Final consumption of rubber and plastics</t>
  </si>
  <si>
    <t>EC</t>
  </si>
  <si>
    <t>toccfmin</t>
  </si>
  <si>
    <t>Final consumption of mining</t>
  </si>
  <si>
    <t>toccfcon</t>
  </si>
  <si>
    <t>Final consumption of construction</t>
  </si>
  <si>
    <t>prdclk</t>
  </si>
  <si>
    <t>Production of clinker</t>
  </si>
  <si>
    <t>SPW,FedC</t>
  </si>
  <si>
    <t>2019 : UNFCCC (provisional)</t>
  </si>
  <si>
    <t>Associatgrc</t>
  </si>
  <si>
    <t>ETS</t>
  </si>
  <si>
    <t>EARS,JSI_EEC</t>
  </si>
  <si>
    <t>Including net export of clinker (export - import)</t>
  </si>
  <si>
    <t>Klif from 2005</t>
  </si>
  <si>
    <t>2000 estimated by Enerdata using FAO</t>
  </si>
  <si>
    <t>FAO,ISTAT</t>
  </si>
  <si>
    <t>Data from FAO from 2005</t>
  </si>
  <si>
    <t>FAO,INS</t>
  </si>
  <si>
    <t>FAO data since 2009</t>
  </si>
  <si>
    <t>CCOS</t>
  </si>
  <si>
    <t>2019: estimation</t>
  </si>
  <si>
    <t>Pulp for paper</t>
  </si>
  <si>
    <t>AAS</t>
  </si>
  <si>
    <t>cmbecind</t>
  </si>
  <si>
    <t>CO2 emissions of industry (including autoproducers)</t>
  </si>
  <si>
    <t>MtCO2</t>
  </si>
  <si>
    <t>EEA</t>
  </si>
  <si>
    <t>tceecind</t>
  </si>
  <si>
    <t>Total CO2 emissions of industry (including electricity and autoproducers)</t>
  </si>
  <si>
    <t>cmbecsid1</t>
  </si>
  <si>
    <t>Iron and Steel</t>
  </si>
  <si>
    <t>cmbecmnf</t>
  </si>
  <si>
    <t>Non-Ferrous Metals</t>
  </si>
  <si>
    <t>cmbecchi</t>
  </si>
  <si>
    <t>Chemicals</t>
  </si>
  <si>
    <t>cmbeciaa</t>
  </si>
  <si>
    <t>Food Processing, Beverages and Tobacco</t>
  </si>
  <si>
    <t>cmbecppp</t>
  </si>
  <si>
    <t>Pulp, Paper and Print</t>
  </si>
  <si>
    <t>cmbecidv</t>
  </si>
  <si>
    <t>Other</t>
  </si>
  <si>
    <t>cmbectfc</t>
  </si>
  <si>
    <t>CO2 emissions of final consumers</t>
  </si>
  <si>
    <t>tceectfc</t>
  </si>
  <si>
    <t>Total CO2 emissions of final consumers (including electricity)</t>
  </si>
  <si>
    <t>Coal consumption of industry</t>
  </si>
  <si>
    <t>National data</t>
  </si>
  <si>
    <t>Annual Statistics</t>
  </si>
  <si>
    <t>break in time series 1999-2000 and 2007-2008</t>
  </si>
  <si>
    <t>a4302</t>
  </si>
  <si>
    <t>EWA</t>
  </si>
  <si>
    <t>Estimated data before 2005</t>
  </si>
  <si>
    <t>Data includes Montenegro until 2004 and Kosovo until 1999.</t>
  </si>
  <si>
    <t>Oil products consumption of industry</t>
  </si>
  <si>
    <t>EWA,NSO</t>
  </si>
  <si>
    <t>Heat consumption of industry</t>
  </si>
  <si>
    <t>includes district heat only</t>
  </si>
  <si>
    <t>EU28rostat,NSO</t>
  </si>
  <si>
    <t>Data for heat consumption split by sector is not available</t>
  </si>
  <si>
    <t>Renewable consumption of industry</t>
  </si>
  <si>
    <t>includes waste, excludes ambient heat</t>
  </si>
  <si>
    <t>incl. non-renewable waste</t>
  </si>
  <si>
    <t>Annual Statistics. Includes ambient heat</t>
  </si>
  <si>
    <t>wood and waste</t>
  </si>
  <si>
    <t>Electricity consumption of industry</t>
  </si>
  <si>
    <t>EU28rostat,BRég</t>
  </si>
  <si>
    <t>Includes the PV consumption. Estimated data before 2005.</t>
  </si>
  <si>
    <t>Gas consumption of industry</t>
  </si>
  <si>
    <t>Extrapolation car n.a.</t>
  </si>
  <si>
    <t>Eurostat,BRég</t>
  </si>
  <si>
    <t>STFIN,Eurostat</t>
  </si>
  <si>
    <t>natural gas + manufactured gases</t>
  </si>
  <si>
    <t>a4302 converti PCI</t>
  </si>
  <si>
    <t>Source: Odyssee</t>
  </si>
  <si>
    <t>Date of export: 2022-01-17</t>
  </si>
  <si>
    <t>AGRICULTURE, FORESTRY AND OTHER LAND USE, BIOENERGY (AFOLUB)</t>
  </si>
  <si>
    <t>Proteins</t>
  </si>
  <si>
    <t>Vegetable protein rate</t>
  </si>
  <si>
    <t>%vegprot</t>
  </si>
  <si>
    <t>Protein need</t>
  </si>
  <si>
    <t>g/adult per day</t>
  </si>
  <si>
    <t>protnd</t>
  </si>
  <si>
    <t>Protein consumption</t>
  </si>
  <si>
    <t>protcf</t>
  </si>
  <si>
    <t>Protein overconsumption rate</t>
  </si>
  <si>
    <t>%protcfovr</t>
  </si>
  <si>
    <t>Energy needs</t>
  </si>
  <si>
    <t>Energy need</t>
  </si>
  <si>
    <t>ennd</t>
  </si>
  <si>
    <t>Energy intake</t>
  </si>
  <si>
    <t>encf</t>
  </si>
  <si>
    <t>Energy overconsumption rate</t>
  </si>
  <si>
    <t>%encfovr</t>
  </si>
  <si>
    <t>Dairy products</t>
  </si>
  <si>
    <t>Consumption of dairy products</t>
  </si>
  <si>
    <t>drypcf</t>
  </si>
  <si>
    <t>Food wastage</t>
  </si>
  <si>
    <t>tons per year</t>
  </si>
  <si>
    <t>foodwst</t>
  </si>
  <si>
    <t>Forest and forestry</t>
  </si>
  <si>
    <t>• Description of forestry resources</t>
  </si>
  <si>
    <t>Forested areas (share of)</t>
  </si>
  <si>
    <t>%surfor</t>
  </si>
  <si>
    <t>Biomass growth rate</t>
  </si>
  <si>
    <t>%accrfor</t>
  </si>
  <si>
    <t>• Harvest breakdown by use</t>
  </si>
  <si>
    <t>Harvest used for construction</t>
  </si>
  <si>
    <t>m3</t>
  </si>
  <si>
    <t>prodboicon</t>
  </si>
  <si>
    <t>Harvest used for paper</t>
  </si>
  <si>
    <t>prodboipap</t>
  </si>
  <si>
    <t>Harvest used for industry</t>
  </si>
  <si>
    <t>prodboiind</t>
  </si>
  <si>
    <t>Harvest used for new products</t>
  </si>
  <si>
    <t>prodboinvp</t>
  </si>
  <si>
    <t>Carbon storage in forests and agriculture</t>
  </si>
  <si>
    <t>• Carbon sequestration potential broken down by land use</t>
  </si>
  <si>
    <t>Potential for carbon sequestration in forests</t>
  </si>
  <si>
    <t>teqCO2</t>
  </si>
  <si>
    <t>carstofor</t>
  </si>
  <si>
    <t>Carbon sequestration potential in cropland</t>
  </si>
  <si>
    <t>carstocrp</t>
  </si>
  <si>
    <t>Carbon sequestration potential in grassland</t>
  </si>
  <si>
    <t>carstogra</t>
  </si>
  <si>
    <t>• Carbon sequestration potential broken down type of crop</t>
  </si>
  <si>
    <t>Carbon sequestration potential in cereal crops</t>
  </si>
  <si>
    <t>carstocer</t>
  </si>
  <si>
    <t>Carbon sequestration potential in citrus fruit crops</t>
  </si>
  <si>
    <t>carstocit</t>
  </si>
  <si>
    <t>Carbon sequestration potential in fibre crops primary</t>
  </si>
  <si>
    <t>carstofib</t>
  </si>
  <si>
    <t>Carbon sequestration potential in fruit crops</t>
  </si>
  <si>
    <t>carstofru</t>
  </si>
  <si>
    <t>Carbon sequestration potential in oilcrops</t>
  </si>
  <si>
    <t>carstooil</t>
  </si>
  <si>
    <t>Carbon sequestration potential in pulse crops</t>
  </si>
  <si>
    <t>carstopul</t>
  </si>
  <si>
    <t>Carbon sequestration potential in root and tuber crops</t>
  </si>
  <si>
    <t>carstoroo</t>
  </si>
  <si>
    <t>Carbon sequestration potential in treenuts crops</t>
  </si>
  <si>
    <t>carstonut</t>
  </si>
  <si>
    <t>Carbon sequestration potential in vegetable crops</t>
  </si>
  <si>
    <t>carstoveg</t>
  </si>
  <si>
    <t>Land use, land use change: Surface areas broken down by land use</t>
  </si>
  <si>
    <t>total forest area</t>
  </si>
  <si>
    <t>Mha</t>
  </si>
  <si>
    <t>surfor</t>
  </si>
  <si>
    <t>total crops area</t>
  </si>
  <si>
    <t>surcrop</t>
  </si>
  <si>
    <t>total permanent pasture area</t>
  </si>
  <si>
    <t>surppa</t>
  </si>
  <si>
    <t>total settlement area</t>
  </si>
  <si>
    <t>surart</t>
  </si>
  <si>
    <t>Food balance and commodity balance</t>
  </si>
  <si>
    <t>Import of biomass production</t>
  </si>
  <si>
    <t>impbiom</t>
  </si>
  <si>
    <t>Export of biomass production</t>
  </si>
  <si>
    <t>expbiom</t>
  </si>
  <si>
    <t>Share of biomass production used to feed other countries</t>
  </si>
  <si>
    <t>%prodfdext</t>
  </si>
  <si>
    <t>Production</t>
  </si>
  <si>
    <t>• Farming</t>
  </si>
  <si>
    <t>\-&gt; Farming practices</t>
  </si>
  <si>
    <t>Share of organic farming</t>
  </si>
  <si>
    <t>%orgagr</t>
  </si>
  <si>
    <t>Share of soil conservation agriculture</t>
  </si>
  <si>
    <t>%soicons</t>
  </si>
  <si>
    <t>Share of conventional agriculture</t>
  </si>
  <si>
    <t>%claagr</t>
  </si>
  <si>
    <t>\-&gt; Crop area broken down by type of crop</t>
  </si>
  <si>
    <t>Cereal crop area</t>
  </si>
  <si>
    <t>surcer</t>
  </si>
  <si>
    <t>citrus fruit crop area</t>
  </si>
  <si>
    <t>surcit</t>
  </si>
  <si>
    <t>fibre crop area primary</t>
  </si>
  <si>
    <t>surfib</t>
  </si>
  <si>
    <t>fruit crop area</t>
  </si>
  <si>
    <t>surfru</t>
  </si>
  <si>
    <t>oilcrop area</t>
  </si>
  <si>
    <t>suroil</t>
  </si>
  <si>
    <t>pulse crop area</t>
  </si>
  <si>
    <t>surpul</t>
  </si>
  <si>
    <t>root and tuber crop area</t>
  </si>
  <si>
    <t>surroo</t>
  </si>
  <si>
    <t>treenuts crop area</t>
  </si>
  <si>
    <t>surnut</t>
  </si>
  <si>
    <t>vegetable crop area</t>
  </si>
  <si>
    <t>surveg</t>
  </si>
  <si>
    <t>\-&gt; Soil condition and products used</t>
  </si>
  <si>
    <t>Soil organic matter content</t>
  </si>
  <si>
    <t>%orgsoi</t>
  </si>
  <si>
    <t>Pesticide use</t>
  </si>
  <si>
    <t>pestuse</t>
  </si>
  <si>
    <t>N Fertilizer use</t>
  </si>
  <si>
    <t>nferuse</t>
  </si>
  <si>
    <t>Ammonia emissions</t>
  </si>
  <si>
    <t>nh3em</t>
  </si>
  <si>
    <t>• Breeding</t>
  </si>
  <si>
    <t>\-&gt; Breeding practices</t>
  </si>
  <si>
    <t>Share of intensive breeding systems</t>
  </si>
  <si>
    <t>%intbrd</t>
  </si>
  <si>
    <t>Share of extensive breeding systems</t>
  </si>
  <si>
    <t>%extbrd</t>
  </si>
  <si>
    <t>\-&gt; Breeding types</t>
  </si>
  <si>
    <t>&gt; cattle</t>
  </si>
  <si>
    <t>Dairy cattle</t>
  </si>
  <si>
    <t>Mhead</t>
  </si>
  <si>
    <t>drycat</t>
  </si>
  <si>
    <t>Non-dairy cattle</t>
  </si>
  <si>
    <t>ndrycat</t>
  </si>
  <si>
    <t>&gt; other</t>
  </si>
  <si>
    <t>Pigs (number of)</t>
  </si>
  <si>
    <t>nbpig</t>
  </si>
  <si>
    <t>Hens (number of)</t>
  </si>
  <si>
    <t>nbhen</t>
  </si>
  <si>
    <t>Chickens (number of)</t>
  </si>
  <si>
    <t>npchk</t>
  </si>
  <si>
    <t>Fibre</t>
  </si>
  <si>
    <t>biomaterials</t>
  </si>
  <si>
    <t>prodbmat</t>
  </si>
  <si>
    <t>Final energy consumption by final energy carrier:</t>
  </si>
  <si>
    <r>
      <rPr>
        <rFont val="Calibri"/>
        <b/>
        <color rgb="FF000000"/>
        <sz val="11.0"/>
      </rPr>
      <t>Total</t>
    </r>
    <r>
      <rPr>
        <rFont val="Calibri"/>
        <b val="0"/>
        <color rgb="FF000000"/>
        <sz val="11.0"/>
      </rPr>
      <t xml:space="preserve"> Final energy consumption in agriculture</t>
    </r>
  </si>
  <si>
    <t>toccfagr</t>
  </si>
  <si>
    <t xml:space="preserve">Odyssee - ODYSSEE </t>
  </si>
  <si>
    <t>Final energy consumption from solid fossil fuels (coal ...) in agriculture</t>
  </si>
  <si>
    <t>cmscfagr</t>
  </si>
  <si>
    <t xml:space="preserve">Odyssee - Eurostat,SPFEco </t>
  </si>
  <si>
    <t>Final energy consumption from solid biomass in agriculture</t>
  </si>
  <si>
    <t>enccfagr</t>
  </si>
  <si>
    <t>Final oil consumption in agriculture</t>
  </si>
  <si>
    <t>petcfagr</t>
  </si>
  <si>
    <t>Final energy consumption from gas grid / gas consumed locally in agriculture</t>
  </si>
  <si>
    <t>gazcfagr</t>
  </si>
  <si>
    <t xml:space="preserve">Odyssee - Eurostat,BRég </t>
  </si>
  <si>
    <t>Final electricity consumption in agriculture</t>
  </si>
  <si>
    <t>elccfagr</t>
  </si>
  <si>
    <t>Final energy consumption from thermal solar in agriculture</t>
  </si>
  <si>
    <t>sthcfagr</t>
  </si>
  <si>
    <t>Final energy consumption from heating network in agriculture</t>
  </si>
  <si>
    <t>vapcfagr</t>
  </si>
  <si>
    <t>Final energy consumption from ambient heat (heat pumps…) in agriculture</t>
  </si>
  <si>
    <t>paccfagr</t>
  </si>
  <si>
    <t>Fuel / bioenergy - Primary energy production</t>
  </si>
  <si>
    <t>Primary sources</t>
  </si>
  <si>
    <t>• Forestry</t>
  </si>
  <si>
    <t>Biomass resources from forestry</t>
  </si>
  <si>
    <t>prodfor</t>
  </si>
  <si>
    <t>Dedicated areas</t>
  </si>
  <si>
    <t>surforexp</t>
  </si>
  <si>
    <t>Primary energy production from forestry</t>
  </si>
  <si>
    <t>fepfor</t>
  </si>
  <si>
    <t>Level of mobilisation</t>
  </si>
  <si>
    <t>%mobfor</t>
  </si>
  <si>
    <t>• Non-forest wood (urban trees, agroforestry, hedges)</t>
  </si>
  <si>
    <t>Biomass resources from non-forest wood</t>
  </si>
  <si>
    <t>prodbnf</t>
  </si>
  <si>
    <t>surbnf</t>
  </si>
  <si>
    <t>Primary energy production from non-forest wood</t>
  </si>
  <si>
    <t>fepbnf</t>
  </si>
  <si>
    <t>%mobbnf</t>
  </si>
  <si>
    <t>• Food crops (for 1G use or biogas)</t>
  </si>
  <si>
    <t>Biomass resources from food crops</t>
  </si>
  <si>
    <t>prod1gc</t>
  </si>
  <si>
    <t>sur1gc</t>
  </si>
  <si>
    <t>Primary energy production from food crops</t>
  </si>
  <si>
    <t>fep1gc</t>
  </si>
  <si>
    <t>%mob1gc</t>
  </si>
  <si>
    <t>• Non-food crops (for 2G use or biogas) on dedicated areas</t>
  </si>
  <si>
    <t>Biomass resources from non-food crops on dedicated areas</t>
  </si>
  <si>
    <t>prod2gc</t>
  </si>
  <si>
    <t>sur2gc</t>
  </si>
  <si>
    <t>Primary energy production from non-food crops on dedicated areas</t>
  </si>
  <si>
    <t>fep2gc</t>
  </si>
  <si>
    <t>%mob2gc</t>
  </si>
  <si>
    <t>• Non-food plants on non-dedicated areas (such as cover crops)</t>
  </si>
  <si>
    <t>Biomass resources from non-food plants on non-dedicated areas</t>
  </si>
  <si>
    <t>prodnda</t>
  </si>
  <si>
    <t>surnda</t>
  </si>
  <si>
    <t>Primary energy production from non-food plants on non-dedicated areas</t>
  </si>
  <si>
    <t>fepnda</t>
  </si>
  <si>
    <t>%mobnda</t>
  </si>
  <si>
    <t>• Other (biogas from algae…)</t>
  </si>
  <si>
    <t>Biomass resources from other</t>
  </si>
  <si>
    <t>prodoth</t>
  </si>
  <si>
    <t>Primary energy production from other</t>
  </si>
  <si>
    <t>fepoth</t>
  </si>
  <si>
    <t>%moboth</t>
  </si>
  <si>
    <t>Secondary sources</t>
  </si>
  <si>
    <t>• Agricultural residues (straw)</t>
  </si>
  <si>
    <t>Biomass resources from agricultural residues</t>
  </si>
  <si>
    <t>prodres</t>
  </si>
  <si>
    <t>surres</t>
  </si>
  <si>
    <t>Primary energy production from agricultural residues</t>
  </si>
  <si>
    <t>fepres</t>
  </si>
  <si>
    <t>%mobres</t>
  </si>
  <si>
    <t>• Solid / liquid manure</t>
  </si>
  <si>
    <t>Biomass resources from solid / liquid manure</t>
  </si>
  <si>
    <t>prodslm</t>
  </si>
  <si>
    <t>surslm</t>
  </si>
  <si>
    <t>Primary energy production from solid / liquid manure</t>
  </si>
  <si>
    <t>fepslm</t>
  </si>
  <si>
    <t>%mobslm</t>
  </si>
  <si>
    <t>• Wood industry (sawmills, paper industry)</t>
  </si>
  <si>
    <t>Biomass resources from wood industry</t>
  </si>
  <si>
    <t>prodbin</t>
  </si>
  <si>
    <t>surbin</t>
  </si>
  <si>
    <t>Primary energy production from wood industry</t>
  </si>
  <si>
    <t>fepbin</t>
  </si>
  <si>
    <t>%mobbin</t>
  </si>
  <si>
    <t>• Agroindustry waste</t>
  </si>
  <si>
    <t>Biomass resources from agroindustry waste</t>
  </si>
  <si>
    <t>prodaiw</t>
  </si>
  <si>
    <t>suraiw</t>
  </si>
  <si>
    <t>Primary energy production from agroindustry waste</t>
  </si>
  <si>
    <t>fepaiw</t>
  </si>
  <si>
    <t>%mobaiw</t>
  </si>
  <si>
    <t>Tertiary sources</t>
  </si>
  <si>
    <t>• Wood products use (wood waste, paper waste, incl. municipal solid waste, wastewater treatment plants)</t>
  </si>
  <si>
    <t>Biomass resources from wood products use</t>
  </si>
  <si>
    <t>prodwpu</t>
  </si>
  <si>
    <t>surwpu</t>
  </si>
  <si>
    <t>Primary energy production from wood products use</t>
  </si>
  <si>
    <t>fepwpu</t>
  </si>
  <si>
    <t>%mobwpu</t>
  </si>
  <si>
    <t>• Food waste, oil waste</t>
  </si>
  <si>
    <t>Biomass resources from food waste, oil waste</t>
  </si>
  <si>
    <t>prodfow</t>
  </si>
  <si>
    <t>surfow</t>
  </si>
  <si>
    <t>Primary energy production from food waste, oil waste</t>
  </si>
  <si>
    <t>fepfow</t>
  </si>
  <si>
    <t>%mobfow</t>
  </si>
  <si>
    <t>Any general comment on AFOLUB?</t>
  </si>
  <si>
    <t>Scenario</t>
  </si>
  <si>
    <t>Fuel / bioenergies - Primary energy production</t>
  </si>
  <si>
    <t>Total bioenergy production</t>
  </si>
  <si>
    <t>Domestic production of solid biomass</t>
  </si>
  <si>
    <t>solprodomboi</t>
  </si>
  <si>
    <t>Total imports of solid biomass</t>
  </si>
  <si>
    <t>solproimptbs</t>
  </si>
  <si>
    <t>The negative figures relate to exports. Solid biomass imports will be calculated by the modelling tool by cross-referencing the energy sources needed to meet the final energy needs of a given country. These data will therefore be used as a safety check.</t>
  </si>
  <si>
    <t>Total primary production of biogas</t>
  </si>
  <si>
    <t>solprodombgp</t>
  </si>
  <si>
    <t>These data will be compared with the input data of the energy tab (both the domestic production of biomethane injected directly into the gas network and the cogeneration data). This comparison will be useful to assess the mobilisation of the biogas potential for the phase of reinforcement of the national trajectories.</t>
  </si>
  <si>
    <t>Domestic production of liquid biomass</t>
  </si>
  <si>
    <t>solprodomblq</t>
  </si>
  <si>
    <t>Domestic production of solid biomass disaggregated by source</t>
  </si>
  <si>
    <t>Total production from forestry (forest wood)</t>
  </si>
  <si>
    <t>solprodomfor</t>
  </si>
  <si>
    <t>Total production from other solid biomass (non-forest wood, straw, wood chips, logs…)</t>
  </si>
  <si>
    <t>solprodomabs</t>
  </si>
  <si>
    <t>Biogas production disaggregated by source</t>
  </si>
  <si>
    <t>Biogas production from food waste, oil waste</t>
  </si>
  <si>
    <t>solfepfow</t>
  </si>
  <si>
    <t>Biogas production from solid / liquid manure (methanised livestock manure)</t>
  </si>
  <si>
    <t>solfepslm</t>
  </si>
  <si>
    <t>Biogas production from methanised crop residues</t>
  </si>
  <si>
    <t>solfepres</t>
  </si>
  <si>
    <t>Primary energy production from methanised intermediate crops</t>
  </si>
  <si>
    <t>solfepcin</t>
  </si>
  <si>
    <t>Biogas production from methanised grass and fodder crops</t>
  </si>
  <si>
    <t>solfephcf</t>
  </si>
  <si>
    <t>Biogas production from other sources</t>
  </si>
  <si>
    <t>solfepoth</t>
  </si>
  <si>
    <t>Total Final energy consumption in agriculture</t>
  </si>
  <si>
    <t>soltoccfagr</t>
  </si>
  <si>
    <t>solcmscfagr</t>
  </si>
  <si>
    <t>solenccfagr</t>
  </si>
  <si>
    <t>These figures include other sources of bioenergy.</t>
  </si>
  <si>
    <t>solpetcfagr</t>
  </si>
  <si>
    <t>solgazcfagr</t>
  </si>
  <si>
    <t>solelccfagr</t>
  </si>
  <si>
    <r>
      <rPr>
        <rFont val="Calibri"/>
        <b/>
        <i/>
        <color rgb="FF003300"/>
        <sz val="11.0"/>
      </rPr>
      <t>CO</t>
    </r>
    <r>
      <rPr>
        <rFont val="Calibri"/>
        <b/>
        <i/>
        <color rgb="FF003300"/>
        <sz val="11.0"/>
        <vertAlign val="subscript"/>
      </rPr>
      <t>2</t>
    </r>
  </si>
  <si>
    <r>
      <rPr>
        <rFont val="Calibri"/>
        <color rgb="FF000000"/>
        <sz val="11.0"/>
      </rPr>
      <t>Total CO</t>
    </r>
    <r>
      <rPr>
        <rFont val="Calibri"/>
        <color rgb="FF000000"/>
        <sz val="11.0"/>
        <vertAlign val="subscript"/>
      </rPr>
      <t>2</t>
    </r>
    <r>
      <rPr>
        <rFont val="Calibri"/>
        <color rgb="FF000000"/>
        <sz val="11.0"/>
      </rPr>
      <t xml:space="preserve"> emissions from agriculture</t>
    </r>
  </si>
  <si>
    <t>solghgco2agr</t>
  </si>
  <si>
    <r>
      <rPr>
        <rFont val="Calibri"/>
        <color rgb="FF000000"/>
        <sz val="11.0"/>
      </rPr>
      <t>CO</t>
    </r>
    <r>
      <rPr>
        <rFont val="Calibri"/>
        <color rgb="FF000000"/>
        <sz val="11.0"/>
        <vertAlign val="subscript"/>
      </rPr>
      <t>2</t>
    </r>
    <r>
      <rPr>
        <rFont val="Calibri"/>
        <color rgb="FF000000"/>
        <sz val="11.0"/>
      </rPr>
      <t xml:space="preserve"> emissions from the use of soil improvers and fertilisers</t>
    </r>
  </si>
  <si>
    <t>solghgco2sif</t>
  </si>
  <si>
    <r>
      <rPr>
        <rFont val="Calibri"/>
        <color rgb="FF000000"/>
        <sz val="11.0"/>
      </rPr>
      <t>CO</t>
    </r>
    <r>
      <rPr>
        <rFont val="Calibri"/>
        <color rgb="FF000000"/>
        <sz val="11.0"/>
        <vertAlign val="subscript"/>
      </rPr>
      <t>2</t>
    </r>
    <r>
      <rPr>
        <rFont val="Calibri"/>
        <color rgb="FF000000"/>
        <sz val="11.0"/>
      </rPr>
      <t xml:space="preserve"> emissions from energy combustion in agriculture</t>
    </r>
  </si>
  <si>
    <t>solghgco2enc</t>
  </si>
  <si>
    <r>
      <rPr>
        <rFont val="Calibri"/>
        <b/>
        <i/>
        <color rgb="FF003300"/>
        <sz val="11.0"/>
      </rPr>
      <t>CH</t>
    </r>
    <r>
      <rPr>
        <rFont val="Calibri"/>
        <b/>
        <i/>
        <color rgb="FF003300"/>
        <sz val="11.0"/>
        <vertAlign val="subscript"/>
      </rPr>
      <t>4</t>
    </r>
  </si>
  <si>
    <r>
      <rPr>
        <rFont val="Calibri"/>
        <color rgb="FF000000"/>
        <sz val="11.0"/>
      </rPr>
      <t>Total CH</t>
    </r>
    <r>
      <rPr>
        <rFont val="Calibri"/>
        <color rgb="FF000000"/>
        <sz val="11.0"/>
        <vertAlign val="subscript"/>
      </rPr>
      <t>4</t>
    </r>
    <r>
      <rPr>
        <rFont val="Calibri"/>
        <color rgb="FF000000"/>
        <sz val="11.0"/>
      </rPr>
      <t xml:space="preserve"> emissions from agriculture</t>
    </r>
  </si>
  <si>
    <t>solghgch4agr</t>
  </si>
  <si>
    <r>
      <rPr>
        <rFont val="Calibri"/>
        <color rgb="FF000000"/>
        <sz val="11.0"/>
      </rPr>
      <t>CH</t>
    </r>
    <r>
      <rPr>
        <rFont val="Calibri"/>
        <color rgb="FF000000"/>
        <sz val="11.0"/>
        <vertAlign val="subscript"/>
      </rPr>
      <t>4</t>
    </r>
    <r>
      <rPr>
        <rFont val="Calibri"/>
        <color rgb="FF000000"/>
        <sz val="11.0"/>
      </rPr>
      <t xml:space="preserve"> emissions from enteric fermentation</t>
    </r>
  </si>
  <si>
    <t>solghgch4enf</t>
  </si>
  <si>
    <r>
      <rPr>
        <rFont val="Calibri"/>
        <color rgb="FF000000"/>
        <sz val="11.0"/>
      </rPr>
      <t>CH</t>
    </r>
    <r>
      <rPr>
        <rFont val="Calibri"/>
        <color rgb="FF000000"/>
        <sz val="11.0"/>
        <vertAlign val="subscript"/>
      </rPr>
      <t>4</t>
    </r>
    <r>
      <rPr>
        <rFont val="Calibri"/>
        <color rgb="FF000000"/>
        <sz val="11.0"/>
      </rPr>
      <t xml:space="preserve"> emissions from livestock manure</t>
    </r>
  </si>
  <si>
    <t>solghgch4lma</t>
  </si>
  <si>
    <r>
      <rPr>
        <rFont val="Calibri"/>
        <color rgb="FF000000"/>
        <sz val="11.0"/>
      </rPr>
      <t>Other CH</t>
    </r>
    <r>
      <rPr>
        <rFont val="Calibri"/>
        <color rgb="FF000000"/>
        <sz val="11.0"/>
        <vertAlign val="subscript"/>
      </rPr>
      <t>4</t>
    </r>
    <r>
      <rPr>
        <rFont val="Calibri"/>
        <color rgb="FF000000"/>
        <sz val="11.0"/>
      </rPr>
      <t xml:space="preserve"> emissions from agriculture (rice, residue burning)</t>
    </r>
  </si>
  <si>
    <t>solghgch4oth</t>
  </si>
  <si>
    <r>
      <rPr>
        <rFont val="Calibri"/>
        <b/>
        <i/>
        <color rgb="FF003300"/>
        <sz val="11.0"/>
      </rPr>
      <t>N</t>
    </r>
    <r>
      <rPr>
        <rFont val="Calibri"/>
        <b/>
        <i/>
        <color rgb="FF003300"/>
        <sz val="11.0"/>
        <vertAlign val="subscript"/>
      </rPr>
      <t>2</t>
    </r>
    <r>
      <rPr>
        <rFont val="Calibri"/>
        <b/>
        <i/>
        <color rgb="FF003300"/>
        <sz val="11.0"/>
      </rPr>
      <t>O</t>
    </r>
  </si>
  <si>
    <r>
      <rPr>
        <rFont val="Calibri"/>
        <color rgb="FF000000"/>
        <sz val="11.0"/>
      </rPr>
      <t>Total N</t>
    </r>
    <r>
      <rPr>
        <rFont val="Calibri"/>
        <color rgb="FF000000"/>
        <sz val="11.0"/>
        <vertAlign val="subscript"/>
      </rPr>
      <t>2</t>
    </r>
    <r>
      <rPr>
        <rFont val="Calibri"/>
        <color rgb="FF000000"/>
        <sz val="11.0"/>
      </rPr>
      <t>O emissions from agriculture</t>
    </r>
  </si>
  <si>
    <t>solghgn2oagr</t>
  </si>
  <si>
    <r>
      <rPr>
        <rFont val="Calibri"/>
        <color rgb="FF000000"/>
        <sz val="11.0"/>
      </rPr>
      <t>N</t>
    </r>
    <r>
      <rPr>
        <rFont val="Calibri"/>
        <color rgb="FF000000"/>
        <sz val="11.0"/>
        <vertAlign val="subscript"/>
      </rPr>
      <t>2</t>
    </r>
    <r>
      <rPr>
        <rFont val="Calibri"/>
        <color rgb="FF000000"/>
        <sz val="11.0"/>
      </rPr>
      <t>O emissions from livestock and livestock manure</t>
    </r>
  </si>
  <si>
    <t>solghgn2olma</t>
  </si>
  <si>
    <r>
      <rPr>
        <rFont val="Calibri"/>
        <color rgb="FF000000"/>
        <sz val="11.0"/>
      </rPr>
      <t>N</t>
    </r>
    <r>
      <rPr>
        <rFont val="Calibri"/>
        <color rgb="FF000000"/>
        <sz val="11.0"/>
        <vertAlign val="subscript"/>
      </rPr>
      <t>2</t>
    </r>
    <r>
      <rPr>
        <rFont val="Calibri"/>
        <color rgb="FF000000"/>
        <sz val="11.0"/>
      </rPr>
      <t>O emissions from soils</t>
    </r>
  </si>
  <si>
    <t>solghgn2osoi</t>
  </si>
  <si>
    <r>
      <rPr>
        <rFont val="Calibri"/>
        <color rgb="FF000000"/>
        <sz val="11.0"/>
      </rPr>
      <t>Other N</t>
    </r>
    <r>
      <rPr>
        <rFont val="Calibri"/>
        <color rgb="FF000000"/>
        <sz val="11.0"/>
        <vertAlign val="subscript"/>
      </rPr>
      <t>2</t>
    </r>
    <r>
      <rPr>
        <rFont val="Calibri"/>
        <color rgb="FF000000"/>
        <sz val="11.0"/>
      </rPr>
      <t>O emissions from agriculture (organic soils, residue burning)</t>
    </r>
  </si>
  <si>
    <t>solghgn2ooth</t>
  </si>
  <si>
    <t>Other GHG</t>
  </si>
  <si>
    <t>Other GHG (HFC, PFC, SF6) emissions from agriculture</t>
  </si>
  <si>
    <t>solghgothagr</t>
  </si>
  <si>
    <r>
      <rPr>
        <rFont val="Calibri"/>
        <b/>
        <i/>
        <color rgb="FF003300"/>
        <sz val="11.0"/>
      </rPr>
      <t>CO</t>
    </r>
    <r>
      <rPr>
        <rFont val="Calibri"/>
        <b/>
        <i/>
        <color rgb="FF003300"/>
        <sz val="11.0"/>
        <vertAlign val="subscript"/>
      </rPr>
      <t>2</t>
    </r>
  </si>
  <si>
    <r>
      <rPr>
        <rFont val="Calibri"/>
        <color rgb="FF000000"/>
        <sz val="11.0"/>
      </rPr>
      <t>Total CO</t>
    </r>
    <r>
      <rPr>
        <rFont val="Calibri"/>
        <color rgb="FF000000"/>
        <sz val="11.0"/>
        <vertAlign val="subscript"/>
      </rPr>
      <t>2</t>
    </r>
    <r>
      <rPr>
        <rFont val="Calibri"/>
        <color rgb="FF000000"/>
        <sz val="11.0"/>
      </rPr>
      <t xml:space="preserve"> emissions from the LULUCF sector</t>
    </r>
  </si>
  <si>
    <t>solghgco2luf</t>
  </si>
  <si>
    <t>The negative figures relate to carbon absorption.</t>
  </si>
  <si>
    <r>
      <rPr>
        <rFont val="Calibri"/>
        <color rgb="FF000000"/>
        <sz val="11.0"/>
      </rPr>
      <t>CO</t>
    </r>
    <r>
      <rPr>
        <rFont val="Calibri"/>
        <color rgb="FF000000"/>
        <sz val="11.0"/>
        <vertAlign val="subscript"/>
      </rPr>
      <t>2</t>
    </r>
    <r>
      <rPr>
        <rFont val="Calibri"/>
        <color rgb="FF000000"/>
        <sz val="11.0"/>
      </rPr>
      <t xml:space="preserve"> emissions from LULUCF in forest</t>
    </r>
  </si>
  <si>
    <t>solghgco2luffor</t>
  </si>
  <si>
    <r>
      <rPr>
        <rFont val="Calibri"/>
        <color rgb="FF000000"/>
        <sz val="11.0"/>
      </rPr>
      <t>CO</t>
    </r>
    <r>
      <rPr>
        <rFont val="Calibri"/>
        <color rgb="FF000000"/>
        <sz val="11.0"/>
        <vertAlign val="subscript"/>
      </rPr>
      <t>2</t>
    </r>
    <r>
      <rPr>
        <rFont val="Calibri"/>
        <color rgb="FF000000"/>
        <sz val="11.0"/>
      </rPr>
      <t xml:space="preserve"> emissions from LULUCF in non-forest areas</t>
    </r>
  </si>
  <si>
    <t>solghgco2lufnfo</t>
  </si>
  <si>
    <r>
      <rPr>
        <rFont val="Calibri"/>
        <b/>
        <i/>
        <color rgb="FF003300"/>
        <sz val="11.0"/>
      </rPr>
      <t>CH</t>
    </r>
    <r>
      <rPr>
        <rFont val="Calibri"/>
        <b/>
        <i/>
        <color rgb="FF003300"/>
        <sz val="11.0"/>
        <vertAlign val="subscript"/>
      </rPr>
      <t>4</t>
    </r>
  </si>
  <si>
    <r>
      <rPr>
        <rFont val="Calibri"/>
        <color rgb="FF000000"/>
        <sz val="11.0"/>
      </rPr>
      <t>Total CH</t>
    </r>
    <r>
      <rPr>
        <rFont val="Calibri"/>
        <color rgb="FF000000"/>
        <sz val="11.0"/>
        <vertAlign val="subscript"/>
      </rPr>
      <t>4</t>
    </r>
    <r>
      <rPr>
        <rFont val="Calibri"/>
        <color rgb="FF000000"/>
        <sz val="11.0"/>
      </rPr>
      <t xml:space="preserve"> emissions from the LULUCF sector</t>
    </r>
  </si>
  <si>
    <t>solghgch4luf</t>
  </si>
  <si>
    <r>
      <rPr>
        <rFont val="Calibri"/>
        <color rgb="FF000000"/>
        <sz val="11.0"/>
      </rPr>
      <t>CH</t>
    </r>
    <r>
      <rPr>
        <rFont val="Calibri"/>
        <color rgb="FF000000"/>
        <sz val="11.0"/>
        <vertAlign val="subscript"/>
      </rPr>
      <t>4</t>
    </r>
    <r>
      <rPr>
        <rFont val="Calibri"/>
        <color rgb="FF000000"/>
        <sz val="11.0"/>
      </rPr>
      <t xml:space="preserve"> emissions from LULUCF in forest</t>
    </r>
  </si>
  <si>
    <t>solghgch4luffor</t>
  </si>
  <si>
    <r>
      <rPr>
        <rFont val="Calibri"/>
        <color rgb="FF000000"/>
        <sz val="11.0"/>
      </rPr>
      <t>CH</t>
    </r>
    <r>
      <rPr>
        <rFont val="Calibri"/>
        <color rgb="FF000000"/>
        <sz val="11.0"/>
        <vertAlign val="subscript"/>
      </rPr>
      <t>4</t>
    </r>
    <r>
      <rPr>
        <rFont val="Calibri"/>
        <color rgb="FF000000"/>
        <sz val="11.0"/>
      </rPr>
      <t xml:space="preserve"> emissions from LULUCF in non-forest areas</t>
    </r>
  </si>
  <si>
    <t>solghgch4lufnfo</t>
  </si>
  <si>
    <r>
      <rPr>
        <rFont val="Calibri"/>
        <b/>
        <i/>
        <color rgb="FF003300"/>
        <sz val="11.0"/>
      </rPr>
      <t>N</t>
    </r>
    <r>
      <rPr>
        <rFont val="Calibri"/>
        <b/>
        <i/>
        <color rgb="FF003300"/>
        <sz val="11.0"/>
        <vertAlign val="subscript"/>
      </rPr>
      <t>2</t>
    </r>
    <r>
      <rPr>
        <rFont val="Calibri"/>
        <b/>
        <i/>
        <color rgb="FF003300"/>
        <sz val="11.0"/>
      </rPr>
      <t>O</t>
    </r>
  </si>
  <si>
    <r>
      <rPr>
        <rFont val="Calibri"/>
        <color rgb="FF000000"/>
        <sz val="11.0"/>
      </rPr>
      <t>Total N</t>
    </r>
    <r>
      <rPr>
        <rFont val="Calibri"/>
        <color rgb="FF000000"/>
        <sz val="11.0"/>
        <vertAlign val="subscript"/>
      </rPr>
      <t>2</t>
    </r>
    <r>
      <rPr>
        <rFont val="Calibri"/>
        <color rgb="FF000000"/>
        <sz val="11.0"/>
      </rPr>
      <t>O emissions from the LULUCF sector</t>
    </r>
  </si>
  <si>
    <t>solghgn2oluf</t>
  </si>
  <si>
    <r>
      <rPr>
        <rFont val="Calibri"/>
        <color rgb="FF000000"/>
        <sz val="11.0"/>
      </rPr>
      <t>N</t>
    </r>
    <r>
      <rPr>
        <rFont val="Calibri"/>
        <color rgb="FF000000"/>
        <sz val="11.0"/>
        <vertAlign val="subscript"/>
      </rPr>
      <t>2</t>
    </r>
    <r>
      <rPr>
        <rFont val="Calibri"/>
        <color rgb="FF000000"/>
        <sz val="11.0"/>
      </rPr>
      <t>O emissions from LULUCF in forest</t>
    </r>
  </si>
  <si>
    <t>solghgn2oluffor</t>
  </si>
  <si>
    <r>
      <rPr>
        <rFont val="Calibri"/>
        <color rgb="FF000000"/>
        <sz val="11.0"/>
      </rPr>
      <t>N</t>
    </r>
    <r>
      <rPr>
        <rFont val="Calibri"/>
        <color rgb="FF000000"/>
        <sz val="11.0"/>
        <vertAlign val="subscript"/>
      </rPr>
      <t>2</t>
    </r>
    <r>
      <rPr>
        <rFont val="Calibri"/>
        <color rgb="FF000000"/>
        <sz val="11.0"/>
      </rPr>
      <t>O emissions from LULUCF in non-forest areas</t>
    </r>
  </si>
  <si>
    <t>solghgn2olufnfo</t>
  </si>
  <si>
    <t>Total other GHG (HFC, PFC, SF6) emissions from the LULUCF sector</t>
  </si>
  <si>
    <t>solghgothluf</t>
  </si>
  <si>
    <t>Other GHG (HFC, PFC, SF6) emissions from LULUCF in forest</t>
  </si>
  <si>
    <t>solghgothluffor</t>
  </si>
  <si>
    <t>Other GHG (HFC, PFC, SF6) emissions from LULUCF in non-forest areas</t>
  </si>
  <si>
    <t>solghgothlufnfo</t>
  </si>
  <si>
    <t>Net GHG emissions in agriculture</t>
  </si>
  <si>
    <t>GHG emissions from non-energy sources</t>
  </si>
  <si>
    <t>Any general comment on Solagro figures?</t>
  </si>
  <si>
    <t>Conventional energy sources, Primary energy production</t>
  </si>
  <si>
    <t>Domestic production of uranium</t>
  </si>
  <si>
    <t>prodomura</t>
  </si>
  <si>
    <t>Domestic production of solid fossil fuels (coal…)</t>
  </si>
  <si>
    <t>prodomcms</t>
  </si>
  <si>
    <t>Domestic petroleum production</t>
  </si>
  <si>
    <t>prodompet</t>
  </si>
  <si>
    <t>Domestic natural gas production</t>
  </si>
  <si>
    <t>prodomgaz</t>
  </si>
  <si>
    <t>Share of renewables in solid waste</t>
  </si>
  <si>
    <t>pcenrwst</t>
  </si>
  <si>
    <t>Bioenergie sources</t>
  </si>
  <si>
    <t>prodomboi</t>
  </si>
  <si>
    <t>prodomblq</t>
  </si>
  <si>
    <t>Domestic production of biomethane injected directly into the gas network</t>
  </si>
  <si>
    <t>prodombgr</t>
  </si>
  <si>
    <t>Conversion of biomass</t>
  </si>
  <si>
    <t>Methane production by pyrogasification/methanation</t>
  </si>
  <si>
    <t>promet</t>
  </si>
  <si>
    <t>Efficiency of pyrogasification/methanation</t>
  </si>
  <si>
    <t>rdmpyr</t>
  </si>
  <si>
    <t>Liquid fuel production from biomass</t>
  </si>
  <si>
    <t>proboilqf</t>
  </si>
  <si>
    <t>Efficiency of biomass liquefaction</t>
  </si>
  <si>
    <t>rdmboilqf</t>
  </si>
  <si>
    <t>Renewable energy sources of electricity</t>
  </si>
  <si>
    <t>• Solar Photovoltaic</t>
  </si>
  <si>
    <t>Solar photovoltaic Production</t>
  </si>
  <si>
    <t>prospv</t>
  </si>
  <si>
    <t>Installed capacity of solar photovoltaics</t>
  </si>
  <si>
    <t>GW</t>
  </si>
  <si>
    <t>caispv</t>
  </si>
  <si>
    <t>Average load factor for solar photovoltaics</t>
  </si>
  <si>
    <t>fchspv</t>
  </si>
  <si>
    <t>• Wind</t>
  </si>
  <si>
    <t>\-&gt; Onshore wind</t>
  </si>
  <si>
    <t>Onshore wind-generated electricity</t>
  </si>
  <si>
    <t>proeon</t>
  </si>
  <si>
    <t>Installed onshore wind capacity</t>
  </si>
  <si>
    <t>caieon</t>
  </si>
  <si>
    <t>Average load factor for onshore wind</t>
  </si>
  <si>
    <t>fcheon</t>
  </si>
  <si>
    <t>\-&gt; Offshore wind</t>
  </si>
  <si>
    <t>Offshore wind-generated electricity</t>
  </si>
  <si>
    <t>proeof</t>
  </si>
  <si>
    <t>Installed offshore wind capacity</t>
  </si>
  <si>
    <t>caieof</t>
  </si>
  <si>
    <t>Average load factor for offshore wind</t>
  </si>
  <si>
    <t>fcheof</t>
  </si>
  <si>
    <t>• Tide, wave, ocean</t>
  </si>
  <si>
    <t>Marine energy Production</t>
  </si>
  <si>
    <t>proenm</t>
  </si>
  <si>
    <t>Installed marine energy sources capacity</t>
  </si>
  <si>
    <t>caienm</t>
  </si>
  <si>
    <t>Average load factor for marine energy sources</t>
  </si>
  <si>
    <t>fchenm</t>
  </si>
  <si>
    <t>• Hydro</t>
  </si>
  <si>
    <t>Installed hydropower capacity</t>
  </si>
  <si>
    <t>caihdr</t>
  </si>
  <si>
    <t>Total hydropower production</t>
  </si>
  <si>
    <t>prohdr</t>
  </si>
  <si>
    <t>• High-temperature geothermal &amp; concentrated solar power</t>
  </si>
  <si>
    <t>High-temperature geothermal energy &amp; CSP Production</t>
  </si>
  <si>
    <t>proght</t>
  </si>
  <si>
    <t>Installed capacity in high-temperature geothermal energy &amp; CSP</t>
  </si>
  <si>
    <t>caight</t>
  </si>
  <si>
    <t>Average load factor for high-temperature geothermal energy &amp; CSP</t>
  </si>
  <si>
    <t>fchght</t>
  </si>
  <si>
    <t>Thermal power plants</t>
  </si>
  <si>
    <t>• Nuclear</t>
  </si>
  <si>
    <t>Nuclear production</t>
  </si>
  <si>
    <t>proelcnuc</t>
  </si>
  <si>
    <t>Average electrical efficiency of nuclear plants</t>
  </si>
  <si>
    <t>rdmelcnuc</t>
  </si>
  <si>
    <t>• Coal</t>
  </si>
  <si>
    <t>Coal-fired power generation</t>
  </si>
  <si>
    <t>proelccms</t>
  </si>
  <si>
    <t>Average electrical efficiency of coal-fired power plants</t>
  </si>
  <si>
    <t>rdmelccms</t>
  </si>
  <si>
    <t>• Petroleum</t>
  </si>
  <si>
    <t>Oil-fired power generation</t>
  </si>
  <si>
    <t>proelcpet</t>
  </si>
  <si>
    <t>Average electrical efficiency of oil-fired power plants</t>
  </si>
  <si>
    <t>rdmelcpet</t>
  </si>
  <si>
    <t>• Natural gas</t>
  </si>
  <si>
    <t>Gas-fired power generation</t>
  </si>
  <si>
    <t>proelcgaz</t>
  </si>
  <si>
    <t>Average electrical efficiency of gas-fired power plants</t>
  </si>
  <si>
    <t>rdmelcgaz</t>
  </si>
  <si>
    <t>• Solid biomass</t>
  </si>
  <si>
    <t>Energy production from solid biomass power plants</t>
  </si>
  <si>
    <t>proelcboi</t>
  </si>
  <si>
    <t>Average electrical efficiency of solid biomass power plants</t>
  </si>
  <si>
    <t>rdmelcboi</t>
  </si>
  <si>
    <t>• Solid waste</t>
  </si>
  <si>
    <t>Energy production from solid waste power plants</t>
  </si>
  <si>
    <t>proelcwst</t>
  </si>
  <si>
    <t>Average electrical efficiency of solid waste power plants</t>
  </si>
  <si>
    <t>rdmelcwst</t>
  </si>
  <si>
    <t>Power production from hydrogen power plants</t>
  </si>
  <si>
    <t>proelchyd</t>
  </si>
  <si>
    <t>Average electrical efficiency of hydrogen power plants</t>
  </si>
  <si>
    <t>rdmelchyd</t>
  </si>
  <si>
    <t>Cogeneration: combined heat and power (CHP) plants</t>
  </si>
  <si>
    <t>• Coal (CHP)</t>
  </si>
  <si>
    <t>Potential power output from coal-fired CHP plants</t>
  </si>
  <si>
    <t>prbelcchpcms</t>
  </si>
  <si>
    <t>Average electrical efficiency of coal-fired CHP plants</t>
  </si>
  <si>
    <t>rdmelcchpcms</t>
  </si>
  <si>
    <t>Potential heat energy output from coal-fired CHP plants</t>
  </si>
  <si>
    <t>prbvapchpcms</t>
  </si>
  <si>
    <t>Average heat efficiency of coal-fired CHP plants</t>
  </si>
  <si>
    <t>rdmvapchpcms</t>
  </si>
  <si>
    <t>• Petroleum (CHP)</t>
  </si>
  <si>
    <t>Potential power output from oil-fired CHP plants</t>
  </si>
  <si>
    <t>prbelcchppet</t>
  </si>
  <si>
    <t>Average electrical efficiency of oil-fired CHP plants</t>
  </si>
  <si>
    <t>rdmelcchppet</t>
  </si>
  <si>
    <t>Potential heat energy output from oil-fired CHP plants</t>
  </si>
  <si>
    <t>prbvapchppet</t>
  </si>
  <si>
    <t>Average heat efficiency of oil-fired CHP plants</t>
  </si>
  <si>
    <t>rdmvapchppet</t>
  </si>
  <si>
    <t>• Methane (fossil and biogas - excl. biogas consumed locally) (CHP)</t>
  </si>
  <si>
    <t>Potential power output from methane-fired CHP plants (fossil and biogas - excl. biogas consumed locally)</t>
  </si>
  <si>
    <t>prbelcchpgaz</t>
  </si>
  <si>
    <t>Average electrical efficiency of methane-fired CHP plants (fossil and biogas - excl. biogas consumed locally)</t>
  </si>
  <si>
    <t>rdmelcchpgaz</t>
  </si>
  <si>
    <t>Potential heat energy output from methane-fired CHP plants (fossil and biogas - excl. biogas consumed locally)</t>
  </si>
  <si>
    <t>prbvapchpgaz</t>
  </si>
  <si>
    <t>Average heat efficiency of methane-fired CHP plants (fossil and biogas - excl. biogas consumed locally)</t>
  </si>
  <si>
    <t>rdmvapchpgaz</t>
  </si>
  <si>
    <t>•  Biogas consumed locally (CHP)</t>
  </si>
  <si>
    <t>Potential power output from biogas-fired CHP plants (biogas consumed locally)</t>
  </si>
  <si>
    <t>prbelcchpbgl</t>
  </si>
  <si>
    <t>Average electrical efficiency of biogas-fired CHP plants (biogas consumed locally)</t>
  </si>
  <si>
    <t>rdmelcchpbgl</t>
  </si>
  <si>
    <t>Potential heat energy output from biogas-fired CHP plants (biogas consumed locally)</t>
  </si>
  <si>
    <t>prbvapchpbgl</t>
  </si>
  <si>
    <t>Average heat efficiency of biogas-fired CHP plants (biogas consumed locally)</t>
  </si>
  <si>
    <t>rdmvapchpbgl</t>
  </si>
  <si>
    <t>•  Solid biomass (CHP)</t>
  </si>
  <si>
    <t>Potential power output from solid biomass CHP plants</t>
  </si>
  <si>
    <t>prbelcchpboi</t>
  </si>
  <si>
    <t>Average electrical efficiency of solid biomass CHP plants</t>
  </si>
  <si>
    <t>rdmelcchpboi</t>
  </si>
  <si>
    <t>Potential heat energy output from solid biomass CHP plants</t>
  </si>
  <si>
    <t>prbvapchpboi</t>
  </si>
  <si>
    <t>Average heat efficiency of solid biomass CHP plants</t>
  </si>
  <si>
    <t>rdmvapchpboi</t>
  </si>
  <si>
    <t>•  Waste (CHP)</t>
  </si>
  <si>
    <t>Potential power output from waste-to-energy CHP plants</t>
  </si>
  <si>
    <t>prbelcchpwst</t>
  </si>
  <si>
    <t>Average electrical efficiency of waste-to-energy CHP plants</t>
  </si>
  <si>
    <t>rdmelcchpwst</t>
  </si>
  <si>
    <t>Potential heat energy output from waste-to-energy CHP plants</t>
  </si>
  <si>
    <t>prbvapchpwst</t>
  </si>
  <si>
    <t>Average heat efficiency of waste-to-energy CHP plants</t>
  </si>
  <si>
    <t>rdmvapchpwst</t>
  </si>
  <si>
    <t>•  Geothermal (CHP)</t>
  </si>
  <si>
    <t>Potential power output from geothermal CHP</t>
  </si>
  <si>
    <t>prbelcchpgeo</t>
  </si>
  <si>
    <t>Average electrical efficiency of geothermal CHP</t>
  </si>
  <si>
    <t>rdmelcchpgeo</t>
  </si>
  <si>
    <t>Potential heat energy output from geothermal CHP</t>
  </si>
  <si>
    <t>prbvapchpgeo</t>
  </si>
  <si>
    <t>Average heat efficiency of geothermal CHP</t>
  </si>
  <si>
    <t>rdmvapchpgeo</t>
  </si>
  <si>
    <t>•  Hydrogen (CHP)</t>
  </si>
  <si>
    <t>Potential power output from hydrogen CHP</t>
  </si>
  <si>
    <t>prbelcchphyd</t>
  </si>
  <si>
    <t>Average electrical efficiency of hydrogen CHP</t>
  </si>
  <si>
    <t>rdmelcchphyd</t>
  </si>
  <si>
    <t>Potential heat energy output from hydrogen CHP</t>
  </si>
  <si>
    <t>prbvapchphyd</t>
  </si>
  <si>
    <t>Average heat efficiency of hydrogen CHP</t>
  </si>
  <si>
    <t>rdmvapchphyd</t>
  </si>
  <si>
    <t>Ratio H2/Total Prod</t>
  </si>
  <si>
    <t>rprohydproel</t>
  </si>
  <si>
    <t>Ratio e-CH4/Total Prod</t>
  </si>
  <si>
    <t>rprohydmetproel</t>
  </si>
  <si>
    <t>Hydrogen production from electricity</t>
  </si>
  <si>
    <t>Production of H2 via electrolysis</t>
  </si>
  <si>
    <t>prohyd</t>
  </si>
  <si>
    <t>Volumetric share of H2 that can be directly injected into the gas network</t>
  </si>
  <si>
    <t>pchydirg</t>
  </si>
  <si>
    <t>Electrical efficiency of electrolysis</t>
  </si>
  <si>
    <t>rdmels</t>
  </si>
  <si>
    <t>Methane production from hydrogen</t>
  </si>
  <si>
    <t>Production of methane via methanation</t>
  </si>
  <si>
    <t>prohydmet</t>
  </si>
  <si>
    <t>Average efficiency of methanation</t>
  </si>
  <si>
    <t>rdmmet</t>
  </si>
  <si>
    <t>Liquid fuel production from hydrogen</t>
  </si>
  <si>
    <t>Production of liquid e-fuel from electricity</t>
  </si>
  <si>
    <t>prohydcl</t>
  </si>
  <si>
    <t>Average efficiency of electricity to e-fuel conversion</t>
  </si>
  <si>
    <t>rdmhydcl</t>
  </si>
  <si>
    <t>Power grid</t>
  </si>
  <si>
    <t>• Network losses</t>
  </si>
  <si>
    <t>Losses of the entire power grid</t>
  </si>
  <si>
    <t>perreselc</t>
  </si>
  <si>
    <t>Power transmission grid losses</t>
  </si>
  <si>
    <t>pertraelc</t>
  </si>
  <si>
    <t>Power distribution grid losses</t>
  </si>
  <si>
    <t>perdiselc</t>
  </si>
  <si>
    <t>Power storage losses</t>
  </si>
  <si>
    <t>perstoelc</t>
  </si>
  <si>
    <t>Gas network losses</t>
  </si>
  <si>
    <t>perresgaz</t>
  </si>
  <si>
    <t>Heating network</t>
  </si>
  <si>
    <t>• Heat sources</t>
  </si>
  <si>
    <t>\-&gt; Heat recovery</t>
  </si>
  <si>
    <t>&gt; Fatal heat from wastewater &amp; industry</t>
  </si>
  <si>
    <t>Total potential heat energy output from fatal heat</t>
  </si>
  <si>
    <t>prbrchfat</t>
  </si>
  <si>
    <t>Total potential heat energy output from wastewater heat recovery</t>
  </si>
  <si>
    <t>prbrchepu</t>
  </si>
  <si>
    <t>Total potential heat energy output from heat recovery in industry</t>
  </si>
  <si>
    <t>prbrchind</t>
  </si>
  <si>
    <t>&gt; from household waste incineration</t>
  </si>
  <si>
    <t>Total potential heat energy output from household waste incineration</t>
  </si>
  <si>
    <t>prbrchinc</t>
  </si>
  <si>
    <t>Average heat conversion efficiency of heat recovery from household waste incineration</t>
  </si>
  <si>
    <t>rdmrchinc</t>
  </si>
  <si>
    <t>\-&gt; Geothermal energy</t>
  </si>
  <si>
    <t>Total potential heat energy output from geothermal energy</t>
  </si>
  <si>
    <t>prbrchgeo</t>
  </si>
  <si>
    <t>\-&gt; Solid biomass</t>
  </si>
  <si>
    <t>Total potential heat energy output for heating networks from solid biomass power plants</t>
  </si>
  <si>
    <t>prbrchboi</t>
  </si>
  <si>
    <t>Average energy-to-heat conversion efficiency of solid biomass power plants</t>
  </si>
  <si>
    <t>rdmrchboi</t>
  </si>
  <si>
    <t>\-&gt; Natural gas</t>
  </si>
  <si>
    <t>Total potential heat energy output for heating networks from gas-fired power plants</t>
  </si>
  <si>
    <t>prbrchgaz</t>
  </si>
  <si>
    <t>Average energy-to-heat conversion efficiency of gas-fired power plants</t>
  </si>
  <si>
    <t>rdmrchgaz</t>
  </si>
  <si>
    <t>\-&gt; Petroleum</t>
  </si>
  <si>
    <t>Total potential heat energy output for heating networks from oil-fired power plants</t>
  </si>
  <si>
    <t>prbrchpet</t>
  </si>
  <si>
    <t>Average energy-to-heat conversion efficiency of oil-fired power plants</t>
  </si>
  <si>
    <t>rdmrchpet</t>
  </si>
  <si>
    <t>\-&gt; Coal</t>
  </si>
  <si>
    <t>Total potential heat energy output for heating networks from coal-fired power plants</t>
  </si>
  <si>
    <t>prbrchcms</t>
  </si>
  <si>
    <t>Average energy-to-heat conversion efficiency of coal-fired power plants</t>
  </si>
  <si>
    <t>rdmrchcms</t>
  </si>
  <si>
    <t>\-&gt; Centralised solar thermal</t>
  </si>
  <si>
    <t>Total potential heat energy output for heating networks from centralised solar thermal</t>
  </si>
  <si>
    <t>prbrchsth</t>
  </si>
  <si>
    <t>\-&gt; Centralised heat pumps</t>
  </si>
  <si>
    <t>Total potential heat energy output from centralised heat pumps</t>
  </si>
  <si>
    <t>prbrchpac</t>
  </si>
  <si>
    <t>Average conversion efficiency of centralised heat pumps</t>
  </si>
  <si>
    <t>rdmrchpac</t>
  </si>
  <si>
    <t>\-&gt; Hydrogen</t>
  </si>
  <si>
    <t>Total potential heat energy output from hydrogen boilers</t>
  </si>
  <si>
    <t>prbrchhyd</t>
  </si>
  <si>
    <t>Average conversion efficiency of hydrogen boilers</t>
  </si>
  <si>
    <t>rdmrchhyd</t>
  </si>
  <si>
    <t>• Networks losses</t>
  </si>
  <si>
    <t>Heating network losses</t>
  </si>
  <si>
    <t>perrescha</t>
  </si>
  <si>
    <t>\-&gt; Consistency check on district heat balance</t>
  </si>
  <si>
    <t>Total heat production</t>
  </si>
  <si>
    <t>Total heat demand</t>
  </si>
  <si>
    <t>Delta (production - demand)</t>
  </si>
  <si>
    <t>Hydrogen distribution network</t>
  </si>
  <si>
    <t>• Production</t>
  </si>
  <si>
    <t>Production of H2 via steam methane reforming</t>
  </si>
  <si>
    <t>prohydgaz</t>
  </si>
  <si>
    <t>Average efficiency of steam methane reforming</t>
  </si>
  <si>
    <t>rdmsmr</t>
  </si>
  <si>
    <t>Any general comment on the Energy sector?</t>
  </si>
  <si>
    <t xml:space="preserve">Difficult to estmate the heat output that can be used in DHN because it depends on the contruction of the infrastructure. Numbers here are very rough estimations based on a conservative approache, rather than a theoretical heat output available at a plant or at a process. </t>
  </si>
  <si>
    <t>Methane production from biomass</t>
  </si>
  <si>
    <t>CONSISTENCY CHECKS FOR ENERGY CARRIERS BALANCE</t>
  </si>
  <si>
    <t xml:space="preserve">This section indicates current balance between production and demand of some energy carriers. </t>
  </si>
  <si>
    <t>NB : the formulas will work only if all efficiencies are integrated in the “Energy” tab.</t>
  </si>
  <si>
    <t>\-&gt; Consistency check on electricity balance</t>
  </si>
  <si>
    <t>Total electricity production</t>
  </si>
  <si>
    <t>Total electricity demand</t>
  </si>
  <si>
    <t>Includes distribution losses</t>
  </si>
  <si>
    <t>Delta as a %age of Production</t>
  </si>
  <si>
    <t>\-&gt; Consistency check on gas balance</t>
  </si>
  <si>
    <t>Total gas production</t>
  </si>
  <si>
    <t>Total gas demand</t>
  </si>
  <si>
    <t>\-&gt; Consistency check on solid biomass balance</t>
  </si>
  <si>
    <t>Total  solid biomass production</t>
  </si>
  <si>
    <t>Total solid biomass demand</t>
  </si>
  <si>
    <t>\-&gt; Consistency check on H2 balance</t>
  </si>
  <si>
    <t>Total H2 production</t>
  </si>
  <si>
    <t>Total H2 demand</t>
  </si>
  <si>
    <t>Calculations for carriers' balance adaptations</t>
  </si>
  <si>
    <t>EDCM - TOTAL</t>
  </si>
  <si>
    <t>W</t>
  </si>
  <si>
    <t>X</t>
  </si>
  <si>
    <t>Y</t>
  </si>
  <si>
    <t>Z</t>
  </si>
  <si>
    <t>AA</t>
  </si>
  <si>
    <t>AB</t>
  </si>
  <si>
    <t>AC</t>
  </si>
  <si>
    <t>AD</t>
  </si>
  <si>
    <t>AE</t>
  </si>
  <si>
    <t>AF</t>
  </si>
  <si>
    <t>AG</t>
  </si>
  <si>
    <t>AH</t>
  </si>
  <si>
    <t>\-&gt; Electric demand</t>
  </si>
  <si>
    <t>Electric demand (excl PtX)</t>
  </si>
  <si>
    <t>Share of demand covered by flexible production</t>
  </si>
  <si>
    <t>from batteries and DSR</t>
  </si>
  <si>
    <t>Necessary flexible production</t>
  </si>
  <si>
    <t>Pumping hydro</t>
  </si>
  <si>
    <t>Flexible hydro</t>
  </si>
  <si>
    <t xml:space="preserve"> of hydro supposed flexible</t>
  </si>
  <si>
    <t>Thermal flexible production (required)</t>
  </si>
  <si>
    <t>Thermal flexible production (in the DB)</t>
  </si>
  <si>
    <t>Difference</t>
  </si>
  <si>
    <t>Electricity production from CH4/H2</t>
  </si>
  <si>
    <t>Electricity from CH4/H2 cogeneration</t>
  </si>
  <si>
    <t>Share of H2</t>
  </si>
  <si>
    <t>Electricity from CH4 cogeneration</t>
  </si>
  <si>
    <t>2050 recalculated to fit flex needs. Linear 2020-2050</t>
  </si>
  <si>
    <t>Electricity from H2 cogeneration</t>
  </si>
  <si>
    <t>Electricity only from H2/CH4</t>
  </si>
  <si>
    <t>Electricity only from CH4</t>
  </si>
  <si>
    <t>Electricity only from H2</t>
  </si>
  <si>
    <t>Partners figures (otherwise EDCM calculation)</t>
  </si>
  <si>
    <t>prestoccfres</t>
  </si>
  <si>
    <t>prescmscfres</t>
  </si>
  <si>
    <t>presenccfres</t>
  </si>
  <si>
    <t>prespetcfres</t>
  </si>
  <si>
    <t>presgazcfres</t>
  </si>
  <si>
    <t>preselccfres</t>
  </si>
  <si>
    <r>
      <rPr>
        <rFont val="Calibri"/>
        <color rgb="FF000000"/>
        <sz val="11.0"/>
      </rPr>
      <t xml:space="preserve">This indicator includes the electricity consumption of electric resistance heaters / electric water heaters </t>
    </r>
    <r>
      <rPr>
        <rFont val="Calibri"/>
        <color rgb="FF000000"/>
        <sz val="11.0"/>
        <u/>
      </rPr>
      <t>and</t>
    </r>
    <r>
      <rPr>
        <rFont val="Calibri"/>
        <color rgb="FF000000"/>
        <sz val="11.0"/>
      </rPr>
      <t xml:space="preserve"> heat pumps / heat-pump water heaters.</t>
    </r>
  </si>
  <si>
    <t>presvapcfres</t>
  </si>
  <si>
    <t>prespaccfres</t>
  </si>
  <si>
    <t>pressthcfres</t>
  </si>
  <si>
    <t>Final energy consumption per final energy carrier, by end-uses:</t>
  </si>
  <si>
    <t>• Heating</t>
  </si>
  <si>
    <t>prestoccfreschf</t>
  </si>
  <si>
    <t>prescmscfreschf</t>
  </si>
  <si>
    <t>presenccfreschf</t>
  </si>
  <si>
    <t>prespetcfreschf</t>
  </si>
  <si>
    <t>presgazcfreschf</t>
  </si>
  <si>
    <t>preselccfreschf</t>
  </si>
  <si>
    <t>presvapcfreschf</t>
  </si>
  <si>
    <t>prespaccfreschf</t>
  </si>
  <si>
    <t>pressthcfreschf</t>
  </si>
  <si>
    <t>• Cooling</t>
  </si>
  <si>
    <t>prestoccfrescli</t>
  </si>
  <si>
    <t>• Hot water</t>
  </si>
  <si>
    <r>
      <rPr>
        <rFont val="Calibri"/>
        <b/>
        <color rgb="FF000000"/>
        <sz val="11.0"/>
      </rPr>
      <t>Total</t>
    </r>
    <r>
      <rPr>
        <rFont val="Calibri"/>
        <b val="0"/>
        <color rgb="FF000000"/>
        <sz val="11.0"/>
      </rPr>
      <t xml:space="preserve"> final energy consumption for domestic hot water</t>
    </r>
  </si>
  <si>
    <t>prestoccfresecs</t>
  </si>
  <si>
    <t>prescmscfresecs</t>
  </si>
  <si>
    <t>presenccfresecs</t>
  </si>
  <si>
    <t>prespetcfresecs</t>
  </si>
  <si>
    <t>presgazcfresecs</t>
  </si>
  <si>
    <t>preselccfresecs</t>
  </si>
  <si>
    <t>presvapcfresecs</t>
  </si>
  <si>
    <t>prespaccfresecs</t>
  </si>
  <si>
    <t>pressthcfresecs</t>
  </si>
  <si>
    <t>• Cooking</t>
  </si>
  <si>
    <r>
      <rPr>
        <rFont val="Calibri"/>
        <b/>
        <color rgb="FF000000"/>
        <sz val="11.0"/>
      </rPr>
      <t>Total</t>
    </r>
    <r>
      <rPr>
        <rFont val="Calibri"/>
        <b val="0"/>
        <color rgb="FF000000"/>
        <sz val="11.0"/>
      </rPr>
      <t xml:space="preserve"> final energy consumption for domestic cooking</t>
    </r>
  </si>
  <si>
    <t>prestoccfrescui</t>
  </si>
  <si>
    <t>prescmscfrescui</t>
  </si>
  <si>
    <t>presenccfrescui</t>
  </si>
  <si>
    <t>prespetcfrescui</t>
  </si>
  <si>
    <t>presgazcfrescui</t>
  </si>
  <si>
    <t>preselccfrescui</t>
  </si>
  <si>
    <t>• Specific electricity</t>
  </si>
  <si>
    <r>
      <rPr>
        <rFont val="Calibri"/>
        <b/>
        <i/>
        <color rgb="FFFFFFFF"/>
        <sz val="11.0"/>
      </rPr>
      <t>Total</t>
    </r>
    <r>
      <rPr>
        <rFont val="Calibri"/>
        <b val="0"/>
        <i/>
        <color rgb="FFFFFFFF"/>
        <sz val="11.0"/>
      </rPr>
      <t xml:space="preserve"> electricity consumption for domestic equipment</t>
    </r>
  </si>
  <si>
    <t>prestotelccfres</t>
  </si>
  <si>
    <t>prestoccfter</t>
  </si>
  <si>
    <t>prescmscfter</t>
  </si>
  <si>
    <t>presenccfter</t>
  </si>
  <si>
    <t>prespetcfter</t>
  </si>
  <si>
    <t>presgazcfter</t>
  </si>
  <si>
    <t>preselccfter</t>
  </si>
  <si>
    <t>presvapcfter</t>
  </si>
  <si>
    <t>prespaccfter</t>
  </si>
  <si>
    <t>pressthcfter</t>
  </si>
  <si>
    <t>prestoccfterchf</t>
  </si>
  <si>
    <t>prescmscfterchf</t>
  </si>
  <si>
    <t>presenccfterchf</t>
  </si>
  <si>
    <t>prespetcfterchf</t>
  </si>
  <si>
    <t>presgazcfterchf</t>
  </si>
  <si>
    <t>preselccfterchf</t>
  </si>
  <si>
    <t>presvapcfterchf</t>
  </si>
  <si>
    <t>prespaccfterchf</t>
  </si>
  <si>
    <t>pressthcfterchf</t>
  </si>
  <si>
    <t>prestoccftercli</t>
  </si>
  <si>
    <r>
      <rPr>
        <rFont val="Calibri"/>
        <b/>
        <color rgb="FF000000"/>
        <sz val="11.0"/>
      </rPr>
      <t>Total</t>
    </r>
    <r>
      <rPr>
        <rFont val="Calibri"/>
        <b val="0"/>
        <color rgb="FF000000"/>
        <sz val="11.0"/>
      </rPr>
      <t xml:space="preserve"> final energy consumption for hot water in the tertiary sector</t>
    </r>
  </si>
  <si>
    <t>prestoccfterecs</t>
  </si>
  <si>
    <t>prescmscfterecs</t>
  </si>
  <si>
    <t>presboicfterecs</t>
  </si>
  <si>
    <t>prespetcfterecs</t>
  </si>
  <si>
    <t>presgazcfterecs</t>
  </si>
  <si>
    <t>preselccfterecs</t>
  </si>
  <si>
    <t>presvapcfterecs</t>
  </si>
  <si>
    <t>prespaccfterecs</t>
  </si>
  <si>
    <t>pressthcfterecs</t>
  </si>
  <si>
    <r>
      <rPr>
        <rFont val="Calibri"/>
        <b/>
        <color rgb="FF000000"/>
        <sz val="11.0"/>
      </rPr>
      <t>Total</t>
    </r>
    <r>
      <rPr>
        <rFont val="Calibri"/>
        <b val="0"/>
        <color rgb="FF000000"/>
        <sz val="11.0"/>
      </rPr>
      <t xml:space="preserve"> Final energy consumption for cooking in the tertiary sector</t>
    </r>
  </si>
  <si>
    <t>prestoccftercui</t>
  </si>
  <si>
    <t>prescmscftercui</t>
  </si>
  <si>
    <t>presboicftercui</t>
  </si>
  <si>
    <t>prespetcftercui</t>
  </si>
  <si>
    <t>presgazcftercui</t>
  </si>
  <si>
    <t>preselccftercui</t>
  </si>
  <si>
    <t>Total consumption of specific electricity in the tertiary sector</t>
  </si>
  <si>
    <t>prestotelccfter</t>
  </si>
  <si>
    <r>
      <rPr>
        <rFont val="Calibri"/>
        <b/>
        <i/>
        <color rgb="FF4C216D"/>
        <sz val="11.0"/>
      </rPr>
      <t>Final energy consumption per final energy carrier in transport (</t>
    </r>
    <r>
      <rPr>
        <rFont val="Calibri"/>
        <b/>
        <i/>
        <color rgb="FF4C216D"/>
        <sz val="11.0"/>
        <u/>
      </rPr>
      <t>without bunkers</t>
    </r>
    <r>
      <rPr>
        <rFont val="Calibri"/>
        <b/>
        <i/>
        <color rgb="FF4C216D"/>
        <sz val="11.0"/>
      </rPr>
      <t>)</t>
    </r>
  </si>
  <si>
    <r>
      <rPr>
        <rFont val="Calibri"/>
        <b/>
        <i/>
        <color rgb="FFFFFFFF"/>
        <sz val="11.0"/>
      </rPr>
      <t xml:space="preserve">Total final energy consumption in the transport sector </t>
    </r>
    <r>
      <rPr>
        <rFont val="Calibri"/>
        <b/>
        <i/>
        <color rgb="FFFFFFFF"/>
        <sz val="11.0"/>
        <u/>
      </rPr>
      <t>without bunkers</t>
    </r>
  </si>
  <si>
    <t>prestoccftra</t>
  </si>
  <si>
    <t>preslqfcftra</t>
  </si>
  <si>
    <t>presgazcftra</t>
  </si>
  <si>
    <t>preshydcftra</t>
  </si>
  <si>
    <t>preselccftra</t>
  </si>
  <si>
    <t>• Bunkers</t>
  </si>
  <si>
    <t>Final liquid fuels consumption in international aviation</t>
  </si>
  <si>
    <t>preslqfcfavi</t>
  </si>
  <si>
    <t>Final liquid fuels consumption in international water freight transport</t>
  </si>
  <si>
    <t>preslqfcffrewati</t>
  </si>
  <si>
    <t>presngvcffrewati</t>
  </si>
  <si>
    <t>Biofuel share</t>
  </si>
  <si>
    <t>prespcenrcfcltra</t>
  </si>
  <si>
    <t>Final energy consumption per final energy carrier, by category (mobility vs. freight), without bunkers:</t>
  </si>
  <si>
    <t>• Passenger mobility</t>
  </si>
  <si>
    <t>prestoccfmob</t>
  </si>
  <si>
    <t>preslqfcfmob</t>
  </si>
  <si>
    <t>presgazcfmob</t>
  </si>
  <si>
    <t>preshydcfmob</t>
  </si>
  <si>
    <t>preselccfmob</t>
  </si>
  <si>
    <t>• Freight</t>
  </si>
  <si>
    <t>prestoccffre</t>
  </si>
  <si>
    <t>preslqfcffre</t>
  </si>
  <si>
    <t>presgazcffre</t>
  </si>
  <si>
    <t>preshydcffre</t>
  </si>
  <si>
    <t>preselccffre</t>
  </si>
  <si>
    <t>Final energy consumption per final energy carrier in industry</t>
  </si>
  <si>
    <r>
      <rPr>
        <rFont val="Calibri"/>
        <b/>
        <color rgb="FF000000"/>
        <sz val="11.0"/>
      </rPr>
      <t>Total</t>
    </r>
    <r>
      <rPr>
        <rFont val="Calibri"/>
        <b val="0"/>
        <color rgb="FF000000"/>
        <sz val="11.0"/>
      </rPr>
      <t xml:space="preserve"> Final energy consumption in industry</t>
    </r>
  </si>
  <si>
    <t>prestoccfind</t>
  </si>
  <si>
    <t>Total Final energy consumption from solid fossil fuels (coal ...) in industry</t>
  </si>
  <si>
    <t>prescmscfind</t>
  </si>
  <si>
    <t>Total Final energy consumption from solid biomass in industry</t>
  </si>
  <si>
    <t>presenccfind</t>
  </si>
  <si>
    <t>Total Final oil consumption in industry</t>
  </si>
  <si>
    <t>prespetcfind</t>
  </si>
  <si>
    <t>Total Final energy consumption from gas grid / gas consumed locally in industry</t>
  </si>
  <si>
    <t>presgazcfind</t>
  </si>
  <si>
    <t>Total Final electricity consumption in industry</t>
  </si>
  <si>
    <t>preselccfind</t>
  </si>
  <si>
    <t>Total Final energy consumption from thermal solar in industry</t>
  </si>
  <si>
    <t>pressthcfind</t>
  </si>
  <si>
    <t>Total Final energy consumption from heating networks in industry</t>
  </si>
  <si>
    <t>presvapcfind</t>
  </si>
  <si>
    <t>Total Final energy consumption from ambient heat (heat pumps…) in industry</t>
  </si>
  <si>
    <t>prespaccfind</t>
  </si>
  <si>
    <t>Total Final hydrogen consumption in industry</t>
  </si>
  <si>
    <t>preshydcfind</t>
  </si>
  <si>
    <t>prescmscfneind</t>
  </si>
  <si>
    <t>presgazcfneind</t>
  </si>
  <si>
    <t>prespetcfneind</t>
  </si>
  <si>
    <t>preshydcfneind</t>
  </si>
  <si>
    <t>presenccfneind</t>
  </si>
  <si>
    <t>Partners figures (otherwise Solagro's figures)</t>
  </si>
  <si>
    <r>
      <rPr>
        <rFont val="Calibri"/>
        <b/>
        <color rgb="FF000000"/>
        <sz val="11.0"/>
      </rPr>
      <t>Total</t>
    </r>
    <r>
      <rPr>
        <rFont val="Calibri"/>
        <b val="0"/>
        <color rgb="FF000000"/>
        <sz val="11.0"/>
      </rPr>
      <t xml:space="preserve"> Final energy consumption in agriculture</t>
    </r>
  </si>
  <si>
    <t>prestoccfagr</t>
  </si>
  <si>
    <t>prescmscfagr</t>
  </si>
  <si>
    <t>presenccfagr</t>
  </si>
  <si>
    <t>prespetcfagr</t>
  </si>
  <si>
    <t>presgazcfagr</t>
  </si>
  <si>
    <t>preselccfagr</t>
  </si>
  <si>
    <t>pressthcfagr</t>
  </si>
  <si>
    <t>presvapcfagr</t>
  </si>
  <si>
    <t>prespaccfagr</t>
  </si>
  <si>
    <t>Bioenergies</t>
  </si>
  <si>
    <t>presprodomboi</t>
  </si>
  <si>
    <t>presprodomblq</t>
  </si>
  <si>
    <t>Final energy consumption by final energy carrier calculated:</t>
  </si>
  <si>
    <r>
      <rPr>
        <rFont val="Calibri"/>
        <b/>
        <color rgb="FF000000"/>
        <sz val="11.0"/>
      </rPr>
      <t>Total</t>
    </r>
    <r>
      <rPr>
        <rFont val="Calibri"/>
        <b val="0"/>
        <color rgb="FF000000"/>
        <sz val="11.0"/>
      </rPr>
      <t xml:space="preserve"> Final energy consumption</t>
    </r>
  </si>
  <si>
    <t>Final liquid fuel consumption</t>
  </si>
  <si>
    <t>Final energy consumption from hydrogen</t>
  </si>
  <si>
    <t>Final energy consumption from heating network</t>
  </si>
  <si>
    <t>Final energy consumption by final energy carrier from partner:</t>
  </si>
  <si>
    <r>
      <rPr>
        <rFont val="Calibri"/>
        <b/>
        <color rgb="FF000000"/>
        <sz val="11.0"/>
      </rPr>
      <t>Total</t>
    </r>
    <r>
      <rPr>
        <rFont val="Calibri"/>
        <b val="0"/>
        <color rgb="FF000000"/>
        <sz val="11.0"/>
      </rPr>
      <t xml:space="preserve"> Final energy consumption</t>
    </r>
  </si>
  <si>
    <t>Delta</t>
  </si>
  <si>
    <r>
      <rPr>
        <rFont val="Calibri"/>
        <b/>
        <color rgb="FF000000"/>
        <sz val="11.0"/>
      </rPr>
      <t>Total</t>
    </r>
    <r>
      <rPr>
        <rFont val="Calibri"/>
        <b val="0"/>
        <color rgb="FF000000"/>
        <sz val="11.0"/>
      </rPr>
      <t xml:space="preserve"> Final energy consumption</t>
    </r>
  </si>
  <si>
    <t>Total final energy consumption</t>
  </si>
  <si>
    <t>According to Eurostat</t>
  </si>
  <si>
    <t>ktoe</t>
  </si>
  <si>
    <t>According to DB (Odysee or partner)</t>
  </si>
  <si>
    <t>Graphs for 2015</t>
  </si>
</sst>
</file>

<file path=xl/styles.xml><?xml version="1.0" encoding="utf-8"?>
<styleSheet xmlns="http://schemas.openxmlformats.org/spreadsheetml/2006/main" xmlns:x14ac="http://schemas.microsoft.com/office/spreadsheetml/2009/9/ac" xmlns:mc="http://schemas.openxmlformats.org/markup-compatibility/2006">
  <numFmts count="17">
    <numFmt numFmtId="164" formatCode="0\ %"/>
    <numFmt numFmtId="165" formatCode="#,##0.000"/>
    <numFmt numFmtId="166" formatCode="0.0%"/>
    <numFmt numFmtId="167" formatCode="0.0"/>
    <numFmt numFmtId="168" formatCode="#,##0.0"/>
    <numFmt numFmtId="169" formatCode="_-* #,##0.0_-;\-* #,##0.0_-;_-* \-??_-;_-@"/>
    <numFmt numFmtId="170" formatCode="_ * #,##0.0_)\ _€_ ;_ * \(#,##0.0&quot;) &quot;_€_ ;_ * \-?_)\ _€_ ;_ @_ "/>
    <numFmt numFmtId="171" formatCode="_-* #,##0.0\ _€_-;\-* #,##0.0\ _€_-;_-* \-?\ _€_-;_-@"/>
    <numFmt numFmtId="172" formatCode="_-* #,##0_-;\-* #,##0_-;_-* \-??_-;_-@"/>
    <numFmt numFmtId="173" formatCode="0.000"/>
    <numFmt numFmtId="174" formatCode="0.00\ %"/>
    <numFmt numFmtId="175" formatCode="0.000%"/>
    <numFmt numFmtId="176" formatCode="_-* #,##0.000_-;\-* #,##0.000_-;_-* \-??_-;_-@"/>
    <numFmt numFmtId="177" formatCode="_-* #,##0.00_-;\-* #,##0.00_-;_-* \-??_-;_-@"/>
    <numFmt numFmtId="178" formatCode="0.0\ %"/>
    <numFmt numFmtId="179" formatCode="0\ %"/>
    <numFmt numFmtId="180" formatCode="0.00\ %"/>
  </numFmts>
  <fonts count="144">
    <font>
      <sz val="11.0"/>
      <color rgb="FF000000"/>
      <name val="Calibri"/>
      <scheme val="minor"/>
    </font>
    <font>
      <color theme="1"/>
      <name val="Calibri"/>
      <scheme val="minor"/>
    </font>
    <font>
      <sz val="11.0"/>
      <color rgb="FF000000"/>
      <name val="Calibri"/>
    </font>
    <font>
      <b/>
      <u/>
      <sz val="16.0"/>
      <color rgb="FF000000"/>
      <name val="Calibri"/>
    </font>
    <font>
      <b/>
      <sz val="11.0"/>
      <color rgb="FF000000"/>
      <name val="Calibri"/>
    </font>
    <font>
      <b/>
      <sz val="11.0"/>
      <color rgb="FF0070C0"/>
      <name val="Calibri"/>
    </font>
    <font>
      <b/>
      <sz val="11.0"/>
      <color rgb="FFC00000"/>
      <name val="Calibri"/>
    </font>
    <font>
      <sz val="11.0"/>
      <color rgb="FF00B050"/>
      <name val="Calibri"/>
    </font>
    <font>
      <b/>
      <i/>
      <sz val="12.0"/>
      <color rgb="FF000000"/>
      <name val="Calibri"/>
    </font>
    <font>
      <i/>
      <u/>
      <sz val="11.0"/>
      <color rgb="FF000000"/>
      <name val="Calibri"/>
    </font>
    <font>
      <i/>
      <u/>
      <sz val="11.0"/>
      <color rgb="FF000000"/>
      <name val="Calibri"/>
    </font>
    <font/>
    <font>
      <b/>
      <sz val="11.0"/>
      <color rgb="FFFFFFFF"/>
      <name val="Calibri"/>
    </font>
    <font>
      <sz val="11.0"/>
      <color rgb="FFFFFFFF"/>
      <name val="Calibri"/>
    </font>
    <font>
      <sz val="11.0"/>
      <color rgb="FF192B79"/>
      <name val="Calibri"/>
    </font>
    <font>
      <sz val="11.0"/>
      <color rgb="FF77370B"/>
      <name val="Calibri"/>
    </font>
    <font>
      <b/>
      <i/>
      <sz val="11.0"/>
      <color rgb="FFFFEBEB"/>
      <name val="Calibri"/>
    </font>
    <font>
      <sz val="11.0"/>
      <color theme="1"/>
      <name val="Calibri"/>
    </font>
    <font>
      <b/>
      <u/>
      <sz val="11.0"/>
      <color rgb="FF000000"/>
      <name val="Calibri"/>
    </font>
    <font>
      <sz val="11.0"/>
      <color rgb="FF0060A8"/>
      <name val="Calibri"/>
    </font>
    <font>
      <sz val="11.0"/>
      <color rgb="FF0070C0"/>
      <name val="Calibri"/>
    </font>
    <font>
      <sz val="11.0"/>
      <color rgb="FF3F3F76"/>
      <name val="Calibri"/>
    </font>
    <font>
      <b/>
      <sz val="11.0"/>
      <color rgb="FFFF0000"/>
      <name val="Calibri"/>
    </font>
    <font>
      <b/>
      <sz val="11.0"/>
      <color rgb="FFFA7D00"/>
      <name val="Calibri"/>
    </font>
    <font>
      <i/>
      <sz val="11.0"/>
      <color rgb="FFFFFFFF"/>
      <name val="Calibri"/>
    </font>
    <font>
      <i/>
      <sz val="11.0"/>
      <color rgb="FF7800A2"/>
      <name val="Calibri"/>
    </font>
    <font>
      <b/>
      <i/>
      <sz val="11.0"/>
      <color rgb="FFFFFFFF"/>
      <name val="Calibri"/>
    </font>
    <font>
      <u/>
      <sz val="11.0"/>
      <color rgb="FF0563C1"/>
      <name val="Calibri"/>
    </font>
    <font>
      <i/>
      <sz val="11.0"/>
      <color rgb="FF000000"/>
      <name val="Calibri"/>
    </font>
    <font>
      <b/>
      <sz val="11.0"/>
      <color theme="1"/>
      <name val="Calibri"/>
    </font>
    <font>
      <u/>
      <sz val="11.0"/>
      <color rgb="FF0563C1"/>
      <name val="Calibri"/>
    </font>
    <font>
      <b/>
      <i/>
      <sz val="11.0"/>
      <color theme="1"/>
      <name val="Calibri"/>
    </font>
    <font>
      <b/>
      <i/>
      <sz val="11.0"/>
      <color rgb="FFFFFF00"/>
      <name val="Calibri"/>
    </font>
    <font>
      <sz val="11.0"/>
      <color rgb="FFFFFF00"/>
      <name val="Calibri"/>
    </font>
    <font>
      <b/>
      <i/>
      <sz val="11.0"/>
      <color rgb="FF000000"/>
      <name val="Calibri"/>
    </font>
    <font>
      <u/>
      <sz val="11.0"/>
      <color rgb="FF0563C1"/>
      <name val="Calibri"/>
    </font>
    <font>
      <b/>
      <sz val="11.0"/>
      <color rgb="FF0060A8"/>
      <name val="Calibri"/>
    </font>
    <font>
      <b/>
      <i/>
      <sz val="11.0"/>
      <color rgb="FF684D00"/>
      <name val="Calibri"/>
    </font>
    <font>
      <u/>
      <sz val="11.0"/>
      <color rgb="FF0563C1"/>
      <name val="Calibri"/>
    </font>
    <font>
      <u/>
      <sz val="11.0"/>
      <color rgb="FF0563C1"/>
      <name val="Calibri"/>
    </font>
    <font>
      <sz val="11.0"/>
      <color rgb="FFC00000"/>
      <name val="Calibri"/>
    </font>
    <font>
      <sz val="11.0"/>
      <color rgb="FF3878E0"/>
      <name val="Calibri"/>
    </font>
    <font>
      <b/>
      <i/>
      <sz val="11.0"/>
      <color rgb="FF192B79"/>
      <name val="Calibri"/>
    </font>
    <font>
      <b/>
      <i/>
      <sz val="11.0"/>
      <color rgb="FF3878E0"/>
      <name val="Calibri"/>
    </font>
    <font>
      <i/>
      <sz val="11.0"/>
      <color rgb="FF3878E0"/>
      <name val="Calibri"/>
    </font>
    <font>
      <b/>
      <i/>
      <sz val="9.0"/>
      <color rgb="FF3878E0"/>
      <name val="Calibri"/>
    </font>
    <font>
      <sz val="11.0"/>
      <color rgb="FFFF0000"/>
      <name val="Calibri"/>
    </font>
    <font>
      <b/>
      <i/>
      <sz val="11.0"/>
      <color rgb="FF006600"/>
      <name val="Calibri"/>
    </font>
    <font>
      <i/>
      <sz val="11.0"/>
      <color rgb="FF006600"/>
      <name val="Calibri"/>
    </font>
    <font>
      <b/>
      <i/>
      <sz val="11.0"/>
      <color rgb="FFC65911"/>
      <name val="Calibri"/>
    </font>
    <font>
      <b/>
      <i/>
      <sz val="11.0"/>
      <color rgb="FFC55A11"/>
      <name val="Calibri"/>
    </font>
    <font>
      <sz val="11.0"/>
      <color rgb="FFFA7D00"/>
      <name val="Calibri"/>
    </font>
    <font>
      <b/>
      <i/>
      <sz val="11.0"/>
      <color rgb="FF77370B"/>
      <name val="Calibri"/>
    </font>
    <font>
      <sz val="11.0"/>
      <color rgb="FFC55A11"/>
      <name val="Calibri"/>
    </font>
    <font>
      <sz val="11.0"/>
      <color rgb="FF6600CC"/>
      <name val="Calibri"/>
    </font>
    <font>
      <sz val="11.0"/>
      <color rgb="FF843C0B"/>
      <name val="Calibri"/>
    </font>
    <font>
      <sz val="11.0"/>
      <color rgb="FFFF33CC"/>
      <name val="Calibri"/>
    </font>
    <font>
      <i/>
      <sz val="11.0"/>
      <color rgb="FF0070C0"/>
      <name val="Calibri"/>
    </font>
    <font>
      <i/>
      <sz val="11.0"/>
      <color rgb="FFC55A11"/>
      <name val="Calibri"/>
    </font>
    <font>
      <i/>
      <sz val="11.0"/>
      <color rgb="FFC00000"/>
      <name val="Calibri"/>
    </font>
    <font>
      <b/>
      <i/>
      <sz val="9.0"/>
      <color rgb="FFC55A11"/>
      <name val="Calibri"/>
    </font>
    <font>
      <b/>
      <i/>
      <sz val="11.0"/>
      <color rgb="FF4C216D"/>
      <name val="Calibri"/>
    </font>
    <font>
      <sz val="11.0"/>
      <color rgb="FF9C5ACE"/>
      <name val="Calibri"/>
    </font>
    <font>
      <b/>
      <i/>
      <sz val="11.0"/>
      <color rgb="FF8E41C7"/>
      <name val="Calibri"/>
    </font>
    <font>
      <sz val="11.0"/>
      <color rgb="FF8E41C7"/>
      <name val="Calibri"/>
    </font>
    <font>
      <b/>
      <sz val="11.0"/>
      <color rgb="FF8E41C7"/>
      <name val="Calibri"/>
    </font>
    <font>
      <sz val="8.0"/>
      <color rgb="FFBE0000"/>
      <name val="Calibri"/>
    </font>
    <font>
      <b/>
      <sz val="11.0"/>
      <color rgb="FF4C216D"/>
      <name val="Calibri"/>
    </font>
    <font>
      <u/>
      <sz val="11.0"/>
      <color rgb="FF0563C1"/>
      <name val="Calibri"/>
    </font>
    <font>
      <u/>
      <sz val="11.0"/>
      <color rgb="FF0563C1"/>
      <name val="Calibri"/>
    </font>
    <font>
      <b/>
      <i/>
      <sz val="11.0"/>
      <color rgb="FF680000"/>
      <name val="Calibri"/>
    </font>
    <font>
      <sz val="12.0"/>
      <color rgb="FFFF0000"/>
      <name val="Calibri"/>
    </font>
    <font>
      <b/>
      <i/>
      <sz val="11.0"/>
      <color rgb="FFE43C3C"/>
      <name val="Calibri"/>
    </font>
    <font>
      <sz val="11.0"/>
      <color rgb="FFE43C3C"/>
      <name val="Calibri"/>
    </font>
    <font>
      <b/>
      <sz val="11.0"/>
      <color rgb="FF3F3F3F"/>
      <name val="Calibri"/>
    </font>
    <font>
      <sz val="12.0"/>
      <color rgb="FF000000"/>
      <name val="Calibri"/>
    </font>
    <font>
      <b/>
      <i/>
      <sz val="9.0"/>
      <color rgb="FF680000"/>
      <name val="Calibri"/>
    </font>
    <font>
      <i/>
      <sz val="11.0"/>
      <color rgb="FFE43C3C"/>
      <name val="Calibri"/>
    </font>
    <font>
      <b/>
      <i/>
      <sz val="11.0"/>
      <color rgb="FF3E0015"/>
      <name val="Calibri"/>
    </font>
    <font>
      <sz val="10.0"/>
      <color rgb="FF000000"/>
      <name val="Calibri"/>
    </font>
    <font>
      <sz val="10.0"/>
      <color rgb="FFFBE5D6"/>
      <name val="Calibri"/>
    </font>
    <font>
      <i/>
      <sz val="10.0"/>
      <color rgb="FF000000"/>
      <name val="Calibri"/>
    </font>
    <font>
      <b/>
      <i/>
      <u/>
      <sz val="14.0"/>
      <color rgb="FF5B9BD5"/>
      <name val="Calibri"/>
    </font>
    <font>
      <b/>
      <sz val="10.0"/>
      <color rgb="FF000000"/>
      <name val="Calibri"/>
    </font>
    <font>
      <b/>
      <sz val="12.0"/>
      <color rgb="FF000000"/>
      <name val="Calibri"/>
    </font>
    <font>
      <b/>
      <i/>
      <sz val="11.0"/>
      <color rgb="FF3F3F3F"/>
      <name val="Calibri"/>
    </font>
    <font>
      <sz val="10.0"/>
      <color rgb="FFFFFFFF"/>
      <name val="Calibri"/>
    </font>
    <font>
      <b/>
      <i/>
      <sz val="11.0"/>
      <color rgb="FF5B9BD5"/>
      <name val="Calibri"/>
    </font>
    <font>
      <i/>
      <sz val="10.0"/>
      <color rgb="FF4472C4"/>
      <name val="Calibri"/>
    </font>
    <font>
      <sz val="10.0"/>
      <color rgb="FFEAE6E6"/>
      <name val="Calibri"/>
    </font>
    <font>
      <i/>
      <sz val="10.0"/>
      <color rgb="FF606060"/>
      <name val="Calibri"/>
    </font>
    <font>
      <u/>
      <sz val="10.0"/>
      <color rgb="FF0563C1"/>
      <name val="Calibri"/>
    </font>
    <font>
      <u/>
      <sz val="10.0"/>
      <color rgb="FF000000"/>
      <name val="Calibri"/>
    </font>
    <font>
      <u/>
      <sz val="10.0"/>
      <color rgb="FF000000"/>
      <name val="Calibri"/>
    </font>
    <font>
      <u/>
      <sz val="10.0"/>
      <color rgb="FF000000"/>
      <name val="Calibri"/>
    </font>
    <font>
      <i/>
      <sz val="10.0"/>
      <color rgb="FF5B9BD5"/>
      <name val="Calibri"/>
    </font>
    <font>
      <u/>
      <sz val="10.0"/>
      <color rgb="FF595959"/>
      <name val="Calibri"/>
    </font>
    <font>
      <sz val="10.0"/>
      <color rgb="FF595959"/>
      <name val="Calibri"/>
    </font>
    <font>
      <b/>
      <sz val="10.0"/>
      <color rgb="FF595959"/>
      <name val="Calibri"/>
    </font>
    <font>
      <b/>
      <sz val="10.0"/>
      <color rgb="FFFFFFFF"/>
      <name val="Calibri"/>
    </font>
    <font>
      <i/>
      <sz val="8.0"/>
      <color rgb="FF7F7F7F"/>
      <name val="Calibri"/>
    </font>
    <font>
      <sz val="10.0"/>
      <color rgb="FFD0CECE"/>
      <name val="Calibri"/>
    </font>
    <font>
      <sz val="11.0"/>
      <color rgb="FFD0CECE"/>
      <name val="Calibri"/>
    </font>
    <font>
      <sz val="14.0"/>
      <color rgb="FF000000"/>
      <name val="Calibri"/>
    </font>
    <font>
      <i/>
      <sz val="10.0"/>
      <color rgb="FF595959"/>
      <name val="Calibri"/>
    </font>
    <font>
      <b/>
      <sz val="10.0"/>
      <color rgb="FF5B9BD5"/>
      <name val="Calibri"/>
    </font>
    <font>
      <sz val="10.0"/>
      <color rgb="FF5B9BD5"/>
      <name val="Calibri"/>
    </font>
    <font>
      <sz val="12.0"/>
      <color rgb="FF3F3F76"/>
      <name val="Calibri"/>
    </font>
    <font>
      <b/>
      <sz val="12.0"/>
      <color rgb="FFFA7D00"/>
      <name val="Calibri"/>
    </font>
    <font>
      <sz val="10.0"/>
      <color rgb="FFFF0000"/>
      <name val="Calibri"/>
    </font>
    <font>
      <i/>
      <sz val="10.0"/>
      <color rgb="FFB4C7E7"/>
      <name val="Calibri"/>
    </font>
    <font>
      <b/>
      <i/>
      <u/>
      <sz val="14.0"/>
      <color rgb="FF5B9BD5"/>
      <name val="Calibri"/>
    </font>
    <font>
      <b/>
      <sz val="10.0"/>
      <color rgb="FF606060"/>
      <name val="Calibri"/>
    </font>
    <font>
      <sz val="10.0"/>
      <color rgb="FFE7E6E6"/>
      <name val="Calibri"/>
    </font>
    <font>
      <sz val="11.0"/>
      <color rgb="FF5B9BD5"/>
      <name val="Calibri"/>
    </font>
    <font>
      <i/>
      <u/>
      <sz val="11.0"/>
      <color rgb="FF5B9BD5"/>
      <name val="Calibri"/>
    </font>
    <font>
      <sz val="11.0"/>
      <color rgb="FF2F5597"/>
      <name val="Calibri"/>
    </font>
    <font>
      <sz val="11.0"/>
      <color rgb="FF8FAADC"/>
      <name val="Calibri"/>
    </font>
    <font>
      <u/>
      <sz val="11.0"/>
      <color rgb="FF0563C1"/>
      <name val="Calibri"/>
    </font>
    <font>
      <i/>
      <sz val="10.0"/>
      <color rgb="FF006699"/>
      <name val="Calibri"/>
    </font>
    <font>
      <b/>
      <i/>
      <sz val="11.0"/>
      <color rgb="FF003300"/>
      <name val="Calibri"/>
    </font>
    <font>
      <b/>
      <i/>
      <sz val="11.0"/>
      <color rgb="FF669E40"/>
      <name val="Calibri"/>
    </font>
    <font>
      <sz val="11.0"/>
      <color rgb="FF669E40"/>
      <name val="Calibri"/>
    </font>
    <font>
      <b/>
      <i/>
      <sz val="11.0"/>
      <color rgb="FF385724"/>
      <name val="Calibri"/>
    </font>
    <font>
      <b/>
      <sz val="11.0"/>
      <color rgb="FF003300"/>
      <name val="Calibri"/>
    </font>
    <font>
      <sz val="11.0"/>
      <color rgb="FF003300"/>
      <name val="Calibri"/>
    </font>
    <font>
      <b/>
      <i/>
      <sz val="11.0"/>
      <color rgb="FF0070C0"/>
      <name val="Calibri"/>
    </font>
    <font>
      <b/>
      <i/>
      <sz val="11.0"/>
      <color rgb="FF0060A8"/>
      <name val="Calibri"/>
    </font>
    <font>
      <sz val="11.0"/>
      <color rgb="FF3E0015"/>
      <name val="Calibri"/>
    </font>
    <font>
      <b/>
      <i/>
      <u/>
      <sz val="11.0"/>
      <color rgb="FF3E0015"/>
      <name val="Calibri"/>
    </font>
    <font>
      <b/>
      <i/>
      <sz val="11.0"/>
      <color rgb="FF9B3B69"/>
      <name val="Calibri"/>
    </font>
    <font>
      <sz val="11.0"/>
      <color rgb="FF9B3B69"/>
      <name val="Calibri"/>
    </font>
    <font>
      <sz val="11.0"/>
      <color rgb="FFC9211E"/>
      <name val="Calibri"/>
    </font>
    <font>
      <b/>
      <i/>
      <u/>
      <sz val="11.0"/>
      <color rgb="FF000000"/>
      <name val="Calibri"/>
    </font>
    <font>
      <i/>
      <sz val="11.0"/>
      <color rgb="FF9B3B69"/>
      <name val="Calibri"/>
    </font>
    <font>
      <b/>
      <sz val="11.0"/>
      <color rgb="FF3E0015"/>
      <name val="Calibri"/>
    </font>
    <font>
      <b/>
      <sz val="11.0"/>
      <color theme="0"/>
      <name val="Calibri"/>
    </font>
    <font>
      <i/>
      <sz val="11.0"/>
      <color theme="0"/>
      <name val="Calibri"/>
    </font>
    <font>
      <b/>
      <sz val="11.0"/>
      <color rgb="FF7B7B7B"/>
      <name val="Calibri"/>
    </font>
    <font>
      <i/>
      <sz val="11.0"/>
      <color theme="1"/>
      <name val="Calibri"/>
    </font>
    <font>
      <sz val="11.0"/>
      <color theme="9"/>
      <name val="Calibri"/>
    </font>
    <font>
      <sz val="11.0"/>
      <color rgb="FF548135"/>
      <name val="Calibri"/>
    </font>
    <font>
      <b/>
      <i/>
      <sz val="11.0"/>
      <color rgb="FFF8CBAD"/>
      <name val="Calibri"/>
    </font>
    <font>
      <b/>
      <i/>
      <sz val="11.0"/>
      <color rgb="FFC5E0B4"/>
      <name val="Calibri"/>
    </font>
  </fonts>
  <fills count="51">
    <fill>
      <patternFill patternType="none"/>
    </fill>
    <fill>
      <patternFill patternType="lightGray"/>
    </fill>
    <fill>
      <patternFill patternType="solid">
        <fgColor rgb="FFF2F2F2"/>
        <bgColor rgb="FFF2F2F2"/>
      </patternFill>
    </fill>
    <fill>
      <patternFill patternType="solid">
        <fgColor rgb="FFFFFFFF"/>
        <bgColor rgb="FFFFFFFF"/>
      </patternFill>
    </fill>
    <fill>
      <patternFill patternType="solid">
        <fgColor rgb="FF000000"/>
        <bgColor rgb="FF000000"/>
      </patternFill>
    </fill>
    <fill>
      <patternFill patternType="solid">
        <fgColor rgb="FF222A35"/>
        <bgColor rgb="FF222A35"/>
      </patternFill>
    </fill>
    <fill>
      <patternFill patternType="solid">
        <fgColor rgb="FF8A9FCF"/>
        <bgColor rgb="FF8A9FCF"/>
      </patternFill>
    </fill>
    <fill>
      <patternFill patternType="solid">
        <fgColor rgb="FF714000"/>
        <bgColor rgb="FF714000"/>
      </patternFill>
    </fill>
    <fill>
      <patternFill patternType="solid">
        <fgColor rgb="FF192B79"/>
        <bgColor rgb="FF192B79"/>
      </patternFill>
    </fill>
    <fill>
      <patternFill patternType="solid">
        <fgColor rgb="FFB8CAEE"/>
        <bgColor rgb="FFB8CAEE"/>
      </patternFill>
    </fill>
    <fill>
      <patternFill patternType="solid">
        <fgColor rgb="FFC55A11"/>
        <bgColor rgb="FFC55A11"/>
      </patternFill>
    </fill>
    <fill>
      <patternFill patternType="solid">
        <fgColor rgb="FFFCE5D6"/>
        <bgColor rgb="FFFCE5D6"/>
      </patternFill>
    </fill>
    <fill>
      <patternFill patternType="solid">
        <fgColor rgb="FF4C1A64"/>
        <bgColor rgb="FF4C1A64"/>
      </patternFill>
    </fill>
    <fill>
      <patternFill patternType="solid">
        <fgColor rgb="FFA669D3"/>
        <bgColor rgb="FFA669D3"/>
      </patternFill>
    </fill>
    <fill>
      <patternFill patternType="solid">
        <fgColor rgb="FF680000"/>
        <bgColor rgb="FF680000"/>
      </patternFill>
    </fill>
    <fill>
      <patternFill patternType="solid">
        <fgColor rgb="FFEC3546"/>
        <bgColor rgb="FFEC3546"/>
      </patternFill>
    </fill>
    <fill>
      <patternFill patternType="solid">
        <fgColor rgb="FF003300"/>
        <bgColor rgb="FF003300"/>
      </patternFill>
    </fill>
    <fill>
      <patternFill patternType="solid">
        <fgColor rgb="FF679F40"/>
        <bgColor rgb="FF679F40"/>
      </patternFill>
    </fill>
    <fill>
      <patternFill patternType="solid">
        <fgColor rgb="FF007B05"/>
        <bgColor rgb="FF007B05"/>
      </patternFill>
    </fill>
    <fill>
      <patternFill patternType="solid">
        <fgColor rgb="FF74CA7E"/>
        <bgColor rgb="FF74CA7E"/>
      </patternFill>
    </fill>
    <fill>
      <patternFill patternType="solid">
        <fgColor rgb="FF3E0015"/>
        <bgColor rgb="FF3E0015"/>
      </patternFill>
    </fill>
    <fill>
      <patternFill patternType="solid">
        <fgColor rgb="FF983C93"/>
        <bgColor rgb="FF983C93"/>
      </patternFill>
    </fill>
    <fill>
      <patternFill patternType="solid">
        <fgColor rgb="FF595959"/>
        <bgColor rgb="FF595959"/>
      </patternFill>
    </fill>
    <fill>
      <patternFill patternType="solid">
        <fgColor rgb="FFEAEDF2"/>
        <bgColor rgb="FFEAEDF2"/>
      </patternFill>
    </fill>
    <fill>
      <patternFill patternType="solid">
        <fgColor rgb="FFDEEBF7"/>
        <bgColor rgb="FFDEEBF7"/>
      </patternFill>
    </fill>
    <fill>
      <patternFill patternType="solid">
        <fgColor rgb="FFFFCC99"/>
        <bgColor rgb="FFFFCC99"/>
      </patternFill>
    </fill>
    <fill>
      <patternFill patternType="solid">
        <fgColor rgb="FFE4F4F8"/>
        <bgColor rgb="FFE4F4F8"/>
      </patternFill>
    </fill>
    <fill>
      <patternFill patternType="solid">
        <fgColor rgb="FFFFEEE1"/>
        <bgColor rgb="FFFFEEE1"/>
      </patternFill>
    </fill>
    <fill>
      <patternFill patternType="solid">
        <fgColor rgb="FFFFFFCC"/>
        <bgColor rgb="FFFFFFCC"/>
      </patternFill>
    </fill>
    <fill>
      <patternFill patternType="solid">
        <fgColor rgb="FFF1CFFE"/>
        <bgColor rgb="FFF1CFFE"/>
      </patternFill>
    </fill>
    <fill>
      <patternFill patternType="solid">
        <fgColor rgb="FFCED1EE"/>
        <bgColor rgb="FFCED1EE"/>
      </patternFill>
    </fill>
    <fill>
      <patternFill patternType="solid">
        <fgColor rgb="FFC3E3D0"/>
        <bgColor rgb="FFC3E3D0"/>
      </patternFill>
    </fill>
    <fill>
      <patternFill patternType="solid">
        <fgColor rgb="FF0D0D0D"/>
        <bgColor rgb="FF0D0D0D"/>
      </patternFill>
    </fill>
    <fill>
      <patternFill patternType="solid">
        <fgColor rgb="FFFFC000"/>
        <bgColor rgb="FFFFC000"/>
      </patternFill>
    </fill>
    <fill>
      <patternFill patternType="solid">
        <fgColor rgb="FF7F7F7F"/>
        <bgColor rgb="FF7F7F7F"/>
      </patternFill>
    </fill>
    <fill>
      <patternFill patternType="solid">
        <fgColor rgb="FFFFFF00"/>
        <bgColor rgb="FFFFFF00"/>
      </patternFill>
    </fill>
    <fill>
      <patternFill patternType="solid">
        <fgColor rgb="FFD4E400"/>
        <bgColor rgb="FFD4E400"/>
      </patternFill>
    </fill>
    <fill>
      <patternFill patternType="solid">
        <fgColor rgb="FFF67E0B"/>
        <bgColor rgb="FFF67E0B"/>
      </patternFill>
    </fill>
    <fill>
      <patternFill patternType="solid">
        <fgColor rgb="FFE2EFD9"/>
        <bgColor rgb="FFE2EFD9"/>
      </patternFill>
    </fill>
    <fill>
      <patternFill patternType="solid">
        <fgColor rgb="FFF0F0F0"/>
        <bgColor rgb="FFF0F0F0"/>
      </patternFill>
    </fill>
    <fill>
      <patternFill patternType="solid">
        <fgColor rgb="FFF1F7F2"/>
        <bgColor rgb="FFF1F7F2"/>
      </patternFill>
    </fill>
    <fill>
      <patternFill patternType="solid">
        <fgColor rgb="FFE8E6E6"/>
        <bgColor rgb="FFE8E6E6"/>
      </patternFill>
    </fill>
    <fill>
      <patternFill patternType="solid">
        <fgColor rgb="FFFFF0C9"/>
        <bgColor rgb="FFFFF0C9"/>
      </patternFill>
    </fill>
    <fill>
      <patternFill patternType="solid">
        <fgColor rgb="FFC2E1B4"/>
        <bgColor rgb="FFC2E1B4"/>
      </patternFill>
    </fill>
    <fill>
      <patternFill patternType="solid">
        <fgColor rgb="FFDAE3F3"/>
        <bgColor rgb="FFDAE3F3"/>
      </patternFill>
    </fill>
    <fill>
      <patternFill patternType="solid">
        <fgColor rgb="FFFEF2CB"/>
        <bgColor rgb="FFFEF2CB"/>
      </patternFill>
    </fill>
    <fill>
      <patternFill patternType="solid">
        <fgColor rgb="FFFBE4D5"/>
        <bgColor rgb="FFFBE4D5"/>
      </patternFill>
    </fill>
    <fill>
      <patternFill patternType="solid">
        <fgColor rgb="FFE5F1DC"/>
        <bgColor rgb="FFE5F1DC"/>
      </patternFill>
    </fill>
    <fill>
      <patternFill patternType="solid">
        <fgColor rgb="FF00FF00"/>
        <bgColor rgb="FF00FF00"/>
      </patternFill>
    </fill>
    <fill>
      <patternFill patternType="solid">
        <fgColor rgb="FFF7CAAC"/>
        <bgColor rgb="FFF7CAAC"/>
      </patternFill>
    </fill>
    <fill>
      <patternFill patternType="solid">
        <fgColor rgb="FF548135"/>
        <bgColor rgb="FF548135"/>
      </patternFill>
    </fill>
  </fills>
  <borders count="147">
    <border/>
    <border>
      <left/>
      <right/>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bottom/>
    </border>
    <border>
      <left/>
      <right style="medium">
        <color rgb="FF000000"/>
      </right>
      <top/>
      <bottom/>
    </border>
    <border>
      <left/>
      <right/>
      <top style="dotted">
        <color rgb="FF000000"/>
      </top>
      <bottom/>
    </border>
    <border>
      <left/>
      <top/>
      <bottom/>
    </border>
    <border>
      <top/>
      <bottom/>
    </border>
    <border>
      <right/>
      <top/>
      <bottom/>
    </border>
    <border>
      <left style="thin">
        <color rgb="FFFFFFFF"/>
      </left>
      <right style="thin">
        <color rgb="FFFFFFFF"/>
      </right>
      <top style="thin">
        <color rgb="FFFFFFFF"/>
      </top>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style="thin">
        <color rgb="FFFFFFFF"/>
      </left>
      <right style="thin">
        <color rgb="FFFFFFFF"/>
      </right>
      <bottom style="thin">
        <color rgb="FFFFFFFF"/>
      </bottom>
    </border>
    <border>
      <left style="thin">
        <color rgb="FFFFFFFF"/>
      </left>
      <right style="thin">
        <color rgb="FFFFFFFF"/>
      </right>
      <top style="thin">
        <color rgb="FFFFFFFF"/>
      </top>
      <bottom style="thin">
        <color rgb="FFFFFFFF"/>
      </bottom>
    </border>
    <border>
      <left style="thin">
        <color rgb="FFFFFFFF"/>
      </left>
      <top style="thin">
        <color rgb="FFFFFFFF"/>
      </top>
      <bottom/>
    </border>
    <border>
      <top style="thin">
        <color rgb="FFFFFFFF"/>
      </top>
      <bottom/>
    </border>
    <border>
      <right style="thin">
        <color rgb="FFFFFFFF"/>
      </right>
      <top style="thin">
        <color rgb="FFFFFFFF"/>
      </top>
      <bottom/>
    </border>
    <border>
      <left style="thin">
        <color rgb="FFFFFFFF"/>
      </left>
      <top style="thin">
        <color rgb="FF192B79"/>
      </top>
      <bottom style="thin">
        <color rgb="FFFFFFFF"/>
      </bottom>
    </border>
    <border>
      <top style="thin">
        <color rgb="FF192B79"/>
      </top>
      <bottom style="thin">
        <color rgb="FFFFFFFF"/>
      </bottom>
    </border>
    <border>
      <right style="thin">
        <color rgb="FFFFFFFF"/>
      </right>
      <top style="thin">
        <color rgb="FF192B79"/>
      </top>
      <bottom style="thin">
        <color rgb="FFFFFFFF"/>
      </bottom>
    </border>
    <border>
      <left style="thin">
        <color rgb="FFFFFFFF"/>
      </left>
      <right/>
      <top style="thin">
        <color rgb="FFFFFFFF"/>
      </top>
      <bottom style="thin">
        <color rgb="FFFFFFFF"/>
      </bottom>
    </border>
    <border>
      <left/>
      <top style="thin">
        <color rgb="FFFFFFFF"/>
      </top>
      <bottom style="thin">
        <color rgb="FFFFFFFF"/>
      </bottom>
    </border>
    <border>
      <left style="thin">
        <color rgb="FFFFFFFF"/>
      </left>
      <top style="thin">
        <color rgb="FFFFFFFF"/>
      </top>
    </border>
    <border>
      <top style="thin">
        <color rgb="FFFFFFFF"/>
      </top>
    </border>
    <border>
      <right style="thin">
        <color rgb="FFFFFFFF"/>
      </right>
      <top style="thin">
        <color rgb="FFFFFFFF"/>
      </top>
    </border>
    <border>
      <left style="thin">
        <color rgb="FFFFFFFF"/>
      </left>
      <right style="thin">
        <color rgb="FFFFFFFF"/>
      </right>
    </border>
    <border>
      <left style="thin">
        <color rgb="FFFFFFFF"/>
      </left>
    </border>
    <border>
      <right style="thin">
        <color rgb="FFFFFFFF"/>
      </right>
    </border>
    <border>
      <left style="thin">
        <color rgb="FFFFFFFF"/>
      </left>
      <bottom style="thin">
        <color rgb="FFFFFFFF"/>
      </bottom>
    </border>
    <border>
      <bottom style="thin">
        <color rgb="FFFFFFFF"/>
      </bottom>
    </border>
    <border>
      <right style="thin">
        <color rgb="FFFFFFFF"/>
      </right>
      <bottom style="thin">
        <color rgb="FFFFFFFF"/>
      </bottom>
    </border>
    <border>
      <left style="thin">
        <color rgb="FFFFFFFF"/>
      </left>
      <right/>
      <top/>
      <bottom style="thin">
        <color rgb="FFFFFFFF"/>
      </bottom>
    </border>
    <border>
      <left/>
      <right/>
      <top/>
      <bottom style="thin">
        <color rgb="FFFFFFFF"/>
      </bottom>
    </border>
    <border>
      <left/>
      <right style="thin">
        <color rgb="FFFFFFFF"/>
      </right>
      <top/>
      <bottom style="thin">
        <color rgb="FFFFFFFF"/>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7F7F7F"/>
      </left>
      <right style="thin">
        <color rgb="FF7F7F7F"/>
      </right>
      <top style="thin">
        <color rgb="FF7F7F7F"/>
      </top>
      <bottom style="thin">
        <color rgb="FF7F7F7F"/>
      </bottom>
    </border>
    <border>
      <left style="thin">
        <color rgb="FFB3B3B3"/>
      </left>
      <right style="thin">
        <color rgb="FFB3B3B3"/>
      </right>
      <top style="thin">
        <color rgb="FFB3B3B3"/>
      </top>
      <bottom style="thin">
        <color rgb="FFB3B3B3"/>
      </bottom>
    </border>
    <border>
      <left style="thin">
        <color rgb="FF7F7F7F"/>
      </left>
      <top/>
      <bottom style="thin">
        <color rgb="FF7F7F7F"/>
      </bottom>
    </border>
    <border>
      <top/>
      <bottom style="thin">
        <color rgb="FF7F7F7F"/>
      </bottom>
    </border>
    <border>
      <right style="thin">
        <color rgb="FF7F7F7F"/>
      </right>
      <top/>
      <bottom style="thin">
        <color rgb="FF7F7F7F"/>
      </bottom>
    </border>
    <border>
      <left style="thin">
        <color rgb="FFB3B3B3"/>
      </left>
      <top style="thin">
        <color rgb="FFB3B3B3"/>
      </top>
      <bottom style="thin">
        <color rgb="FFB3B3B3"/>
      </bottom>
    </border>
    <border>
      <top style="thin">
        <color rgb="FFB3B3B3"/>
      </top>
      <bottom style="thin">
        <color rgb="FFB3B3B3"/>
      </bottom>
    </border>
    <border>
      <right style="thin">
        <color rgb="FFB3B3B3"/>
      </right>
      <top style="thin">
        <color rgb="FFB3B3B3"/>
      </top>
      <bottom style="thin">
        <color rgb="FFB3B3B3"/>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style="medium">
        <color rgb="FF000000"/>
      </left>
      <top style="medium">
        <color rgb="FF000000"/>
      </top>
      <bottom/>
    </border>
    <border>
      <top style="medium">
        <color rgb="FF000000"/>
      </top>
      <bottom/>
    </border>
    <border>
      <right style="thin">
        <color rgb="FFFFFFFF"/>
      </right>
      <top style="medium">
        <color rgb="FF000000"/>
      </top>
      <bottom/>
    </border>
    <border>
      <left style="thin">
        <color rgb="FFFFFFFF"/>
      </left>
      <right style="thin">
        <color rgb="FFFFFFFF"/>
      </right>
      <top style="medium">
        <color rgb="FF000000"/>
      </top>
      <bottom style="thin">
        <color rgb="FFFFFFFF"/>
      </bottom>
    </border>
    <border>
      <right style="medium">
        <color rgb="FF000000"/>
      </right>
      <top style="medium">
        <color rgb="FF000000"/>
      </top>
    </border>
    <border>
      <right style="medium">
        <color rgb="FF000000"/>
      </right>
    </border>
    <border>
      <left style="medium">
        <color rgb="FF000000"/>
      </left>
    </border>
    <border>
      <left style="medium">
        <color rgb="FF000000"/>
      </left>
      <right/>
      <top style="thin">
        <color rgb="FF000000"/>
      </top>
      <bottom/>
    </border>
    <border>
      <left/>
      <right/>
      <top style="thin">
        <color rgb="FF000000"/>
      </top>
      <bottom/>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top style="medium">
        <color rgb="FF000000"/>
      </top>
      <bottom style="thin">
        <color rgb="FFFFFFFF"/>
      </bottom>
    </border>
    <border>
      <top style="medium">
        <color rgb="FF000000"/>
      </top>
      <bottom style="thin">
        <color rgb="FFFFFFFF"/>
      </bottom>
    </border>
    <border>
      <right style="thin">
        <color rgb="FFFFFFFF"/>
      </right>
      <top style="medium">
        <color rgb="FF000000"/>
      </top>
      <bottom style="thin">
        <color rgb="FFFFFFFF"/>
      </bottom>
    </border>
    <border>
      <left/>
      <right style="thin">
        <color rgb="FF000000"/>
      </right>
      <top style="thin">
        <color rgb="FF000000"/>
      </top>
      <bottom/>
    </border>
    <border>
      <left/>
      <right style="thin">
        <color rgb="FF000000"/>
      </right>
      <top/>
      <bottom/>
    </border>
    <border>
      <left style="thin">
        <color rgb="FF7F7F7F"/>
      </left>
      <right/>
      <top style="thin">
        <color rgb="FF7F7F7F"/>
      </top>
      <bottom style="thin">
        <color rgb="FF7F7F7F"/>
      </bottom>
    </border>
    <border>
      <left style="thin">
        <color rgb="FF3F3F3E"/>
      </left>
      <right style="thin">
        <color rgb="FF3F3F3E"/>
      </right>
      <top style="thin">
        <color rgb="FF3F3F3E"/>
      </top>
      <bottom style="thin">
        <color rgb="FF3F3F3E"/>
      </bottom>
    </border>
    <border>
      <left style="thin">
        <color rgb="FFB3B3B3"/>
      </left>
      <right/>
      <top style="thin">
        <color rgb="FFB3B3B3"/>
      </top>
      <bottom style="thin">
        <color rgb="FFB3B3B3"/>
      </bottom>
    </border>
    <border>
      <left style="thin">
        <color rgb="FF000000"/>
      </left>
      <right style="thin">
        <color rgb="FF000000"/>
      </right>
      <top style="thin">
        <color rgb="FF000000"/>
      </top>
      <bottom/>
    </border>
    <border>
      <left/>
      <right style="thin">
        <color rgb="FF7F7F7F"/>
      </right>
      <top style="thin">
        <color rgb="FF7F7F7F"/>
      </top>
      <bottom style="thin">
        <color rgb="FF7F7F7F"/>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right style="thin">
        <color rgb="FF000000"/>
      </right>
      <top/>
      <bottom style="thin">
        <color rgb="FF000000"/>
      </bottom>
    </border>
    <border>
      <left style="thin">
        <color rgb="FF000000"/>
      </left>
      <right style="thin">
        <color rgb="FF000000"/>
      </right>
      <top/>
      <bottom style="thin">
        <color rgb="FF000000"/>
      </bottom>
    </border>
    <border>
      <left/>
      <right style="thin">
        <color rgb="FF7F7F7F"/>
      </right>
      <top/>
      <bottom style="thin">
        <color rgb="FF7F7F7F"/>
      </bottom>
    </border>
    <border>
      <left style="thin">
        <color rgb="FF7F7F7F"/>
      </left>
      <right style="thin">
        <color rgb="FF7F7F7F"/>
      </right>
      <top/>
      <bottom style="thin">
        <color rgb="FF7F7F7F"/>
      </bottom>
    </border>
    <border>
      <left style="thin">
        <color rgb="FF7F7F7F"/>
      </left>
      <right/>
      <top/>
      <bottom style="thin">
        <color rgb="FF7F7F7F"/>
      </bottom>
    </border>
    <border>
      <left style="thin">
        <color rgb="FFF2F2F2"/>
      </left>
      <right style="thin">
        <color rgb="FFF2F2F2"/>
      </right>
      <top style="thin">
        <color rgb="FFF2F2F2"/>
      </top>
      <bottom style="thin">
        <color rgb="FFF2F2F2"/>
      </bottom>
    </border>
    <border>
      <left style="thin">
        <color rgb="FFB3B3B3"/>
      </left>
      <right style="thin">
        <color rgb="FFB3B3B3"/>
      </right>
      <top/>
      <bottom style="thin">
        <color rgb="FFB3B3B3"/>
      </bottom>
    </border>
    <border>
      <left style="thin">
        <color rgb="FF000000"/>
      </left>
      <right/>
      <top/>
      <bottom/>
    </border>
    <border>
      <left style="thin">
        <color rgb="FF006600"/>
      </left>
      <right style="thin">
        <color rgb="FF006600"/>
      </right>
      <top style="thin">
        <color rgb="FF006600"/>
      </top>
      <bottom style="thin">
        <color rgb="FF006600"/>
      </bottom>
    </border>
    <border>
      <left style="thin">
        <color rgb="FF006600"/>
      </left>
      <right/>
      <top style="thin">
        <color rgb="FF006600"/>
      </top>
      <bottom style="thin">
        <color rgb="FF006600"/>
      </bottom>
    </border>
    <border>
      <left/>
      <right style="thin">
        <color rgb="FF006600"/>
      </right>
      <top style="thin">
        <color rgb="FF006600"/>
      </top>
      <bottom style="thin">
        <color rgb="FF006600"/>
      </bottom>
    </border>
    <border>
      <left style="thin">
        <color rgb="FFFFFFFF"/>
      </left>
      <right style="thin">
        <color rgb="FF006600"/>
      </right>
      <top style="thin">
        <color rgb="FF006600"/>
      </top>
      <bottom style="thin">
        <color rgb="FF000000"/>
      </bottom>
    </border>
    <border>
      <left/>
      <right/>
      <top/>
      <bottom style="double">
        <color rgb="FFF67E0B"/>
      </bottom>
    </border>
    <border>
      <left style="thin">
        <color rgb="FF7F7F7F"/>
      </left>
      <right style="thin">
        <color rgb="FF7F7F7F"/>
      </right>
      <top style="thin">
        <color rgb="FF7F7F7F"/>
      </top>
      <bottom/>
    </border>
    <border>
      <left style="thin">
        <color rgb="FF7F7F7F"/>
      </left>
      <right/>
      <top style="thin">
        <color rgb="FF7F7F7F"/>
      </top>
      <bottom/>
    </border>
    <border>
      <left/>
      <right/>
      <top style="thin">
        <color rgb="FF000000"/>
      </top>
      <bottom style="hair">
        <color rgb="FF000000"/>
      </bottom>
    </border>
    <border>
      <bottom style="double">
        <color rgb="FFF67E0B"/>
      </bottom>
    </border>
    <border>
      <left style="medium">
        <color rgb="FFA4A4A4"/>
      </left>
      <right style="medium">
        <color rgb="FFA4A4A4"/>
      </right>
      <top style="medium">
        <color rgb="FFA4A4A4"/>
      </top>
      <bottom style="medium">
        <color rgb="FFA4A4A4"/>
      </bottom>
    </border>
    <border>
      <right style="medium">
        <color rgb="FF000000"/>
      </right>
      <top style="medium">
        <color rgb="FF000000"/>
      </top>
      <bottom/>
    </border>
    <border>
      <left style="medium">
        <color rgb="FF000000"/>
      </left>
      <top/>
      <bottom style="medium">
        <color rgb="FF000000"/>
      </bottom>
    </border>
    <border>
      <right/>
      <top/>
      <bottom style="medium">
        <color rgb="FF000000"/>
      </bottom>
    </border>
    <border>
      <left/>
      <top/>
      <bottom style="medium">
        <color rgb="FF000000"/>
      </bottom>
    </border>
    <border>
      <top/>
      <bottom style="medium">
        <color rgb="FF000000"/>
      </bottom>
    </border>
    <border>
      <left style="medium">
        <color rgb="FF000000"/>
      </left>
      <right style="thin">
        <color rgb="FF3F3F3E"/>
      </right>
      <top style="thin">
        <color rgb="FF3F3F3E"/>
      </top>
      <bottom style="thin">
        <color rgb="FF3F3F3E"/>
      </bottom>
    </border>
    <border>
      <left style="thin">
        <color rgb="FF3F3F3E"/>
      </left>
      <right style="medium">
        <color rgb="FF000000"/>
      </right>
      <top style="thin">
        <color rgb="FF3F3F3E"/>
      </top>
      <bottom style="thin">
        <color rgb="FF3F3F3E"/>
      </bottom>
    </border>
    <border>
      <left style="medium">
        <color rgb="FF000000"/>
      </left>
      <right style="medium">
        <color rgb="FF000000"/>
      </right>
      <top style="medium">
        <color rgb="FF000000"/>
      </top>
      <bottom style="medium">
        <color rgb="FF000000"/>
      </bottom>
    </border>
    <border>
      <left style="thin">
        <color rgb="FF3F3F3E"/>
      </left>
      <right style="thin">
        <color rgb="FF3F3F3E"/>
      </right>
      <top style="thin">
        <color rgb="FF3F3F3E"/>
      </top>
      <bottom style="medium">
        <color rgb="FF000000"/>
      </bottom>
    </border>
    <border>
      <left style="medium">
        <color rgb="FF000000"/>
      </left>
      <right style="thin">
        <color rgb="FF3F3F3E"/>
      </right>
      <top style="thin">
        <color rgb="FF3F3F3E"/>
      </top>
      <bottom style="medium">
        <color rgb="FF000000"/>
      </bottom>
    </border>
    <border>
      <left style="thin">
        <color rgb="FF3F3F3E"/>
      </left>
      <right style="medium">
        <color rgb="FF000000"/>
      </right>
      <top style="thin">
        <color rgb="FF3F3F3E"/>
      </top>
      <bottom style="medium">
        <color rgb="FF000000"/>
      </bottom>
    </border>
    <border>
      <left style="medium">
        <color rgb="FF000000"/>
      </left>
      <right style="thin">
        <color rgb="FF7F7F7F"/>
      </right>
      <top style="medium">
        <color rgb="FF000000"/>
      </top>
      <bottom style="thin">
        <color rgb="FF7F7F7F"/>
      </bottom>
    </border>
    <border>
      <left style="thin">
        <color rgb="FF7F7F7F"/>
      </left>
      <right style="thin">
        <color rgb="FF7F7F7F"/>
      </right>
      <top style="medium">
        <color rgb="FF000000"/>
      </top>
      <bottom style="thin">
        <color rgb="FF7F7F7F"/>
      </bottom>
    </border>
    <border>
      <left style="thin">
        <color rgb="FF7F7F7F"/>
      </left>
      <right style="medium">
        <color rgb="FF000000"/>
      </right>
      <top style="medium">
        <color rgb="FF000000"/>
      </top>
      <bottom style="thin">
        <color rgb="FF7F7F7F"/>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thin">
        <color rgb="FF7F7F7F"/>
      </right>
      <top style="thin">
        <color rgb="FF7F7F7F"/>
      </top>
      <bottom style="thin">
        <color rgb="FF7F7F7F"/>
      </bottom>
    </border>
    <border>
      <left style="thin">
        <color rgb="FF7F7F7F"/>
      </left>
      <right style="medium">
        <color rgb="FF000000"/>
      </right>
      <top style="thin">
        <color rgb="FF7F7F7F"/>
      </top>
      <bottom style="thin">
        <color rgb="FF7F7F7F"/>
      </bottom>
    </border>
    <border>
      <left style="medium">
        <color rgb="FF000000"/>
      </left>
      <right style="thin">
        <color rgb="FF7F7F7F"/>
      </right>
      <top style="thin">
        <color rgb="FF7F7F7F"/>
      </top>
      <bottom style="medium">
        <color rgb="FF000000"/>
      </bottom>
    </border>
    <border>
      <left style="thin">
        <color rgb="FF7F7F7F"/>
      </left>
      <right style="thin">
        <color rgb="FF7F7F7F"/>
      </right>
      <top style="thin">
        <color rgb="FF7F7F7F"/>
      </top>
      <bottom style="medium">
        <color rgb="FF000000"/>
      </bottom>
    </border>
    <border>
      <left style="thin">
        <color rgb="FF7F7F7F"/>
      </left>
      <right style="medium">
        <color rgb="FF000000"/>
      </right>
      <top style="thin">
        <color rgb="FF7F7F7F"/>
      </top>
      <bottom style="medium">
        <color rgb="FF000000"/>
      </bottom>
    </border>
    <border>
      <left/>
      <right/>
      <top/>
      <bottom style="thin">
        <color rgb="FF499DE0"/>
      </bottom>
    </border>
    <border>
      <left style="thin">
        <color rgb="FFA4A4A4"/>
      </left>
      <right style="thin">
        <color rgb="FFA4A4A4"/>
      </right>
      <top style="thin">
        <color rgb="FFA4A4A4"/>
      </top>
      <bottom style="thin">
        <color rgb="FFA4A4A4"/>
      </bottom>
    </border>
    <border>
      <left/>
      <right style="thin">
        <color rgb="FFB3B3B3"/>
      </right>
      <top style="thin">
        <color rgb="FFB3B3B3"/>
      </top>
      <bottom style="thin">
        <color rgb="FFB3B3B3"/>
      </bottom>
    </border>
    <border>
      <left style="medium">
        <color rgb="FF000000"/>
      </left>
      <right style="medium">
        <color rgb="FF000000"/>
      </right>
      <top style="medium">
        <color rgb="FF000000"/>
      </top>
      <bottom style="thin">
        <color rgb="FFB3B3B3"/>
      </bottom>
    </border>
    <border>
      <left style="medium">
        <color rgb="FF000000"/>
      </left>
      <right style="medium">
        <color rgb="FF000000"/>
      </right>
      <top style="medium">
        <color rgb="FF000000"/>
      </top>
      <bottom style="thin">
        <color rgb="FF7F7F7F"/>
      </bottom>
    </border>
    <border>
      <left style="medium">
        <color rgb="FF000000"/>
      </left>
      <right style="medium">
        <color rgb="FF000000"/>
      </right>
      <top/>
      <bottom style="thin">
        <color rgb="FFB3B3B3"/>
      </bottom>
    </border>
    <border>
      <left style="medium">
        <color rgb="FF000000"/>
      </left>
      <right style="medium">
        <color rgb="FF000000"/>
      </right>
      <top/>
      <bottom style="thin">
        <color rgb="FF7F7F7F"/>
      </bottom>
    </border>
    <border>
      <left style="medium">
        <color rgb="FF000000"/>
      </left>
      <right style="medium">
        <color rgb="FF000000"/>
      </right>
      <top style="thin">
        <color rgb="FFB3B3B3"/>
      </top>
      <bottom style="thin">
        <color rgb="FFB3B3B3"/>
      </bottom>
    </border>
    <border>
      <left style="medium">
        <color rgb="FF000000"/>
      </left>
      <right style="medium">
        <color rgb="FF000000"/>
      </right>
      <top style="thin">
        <color rgb="FF7F7F7F"/>
      </top>
      <bottom style="thin">
        <color rgb="FF7F7F7F"/>
      </bottom>
    </border>
    <border>
      <left/>
      <right style="medium">
        <color rgb="FF000000"/>
      </right>
      <top style="thin">
        <color rgb="FF7F7F7F"/>
      </top>
      <bottom style="thin">
        <color rgb="FF499DE0"/>
      </bottom>
    </border>
    <border>
      <left style="medium">
        <color rgb="FF000000"/>
      </left>
      <right style="medium">
        <color rgb="FF000000"/>
      </right>
      <top style="thin">
        <color rgb="FFB3B3B3"/>
      </top>
      <bottom style="medium">
        <color rgb="FF000000"/>
      </bottom>
    </border>
    <border>
      <left style="medium">
        <color rgb="FF000000"/>
      </left>
      <right style="medium">
        <color rgb="FF000000"/>
      </right>
      <top style="thin">
        <color rgb="FF7F7F7F"/>
      </top>
      <bottom style="medium">
        <color rgb="FF000000"/>
      </bottom>
    </border>
    <border>
      <left/>
      <top/>
      <bottom style="thin">
        <color rgb="FF499DE0"/>
      </bottom>
    </border>
    <border>
      <right/>
      <top/>
      <bottom style="thin">
        <color rgb="FF499DE0"/>
      </bottom>
    </border>
    <border>
      <left style="thin">
        <color rgb="FFA4A4A4"/>
      </left>
      <right style="thin">
        <color rgb="FFB3B3B3"/>
      </right>
      <top style="thin">
        <color rgb="FFB3B3B3"/>
      </top>
      <bottom style="thin">
        <color rgb="FFA4A4A4"/>
      </bottom>
    </border>
    <border>
      <left style="thin">
        <color rgb="FFB3B3B3"/>
      </left>
      <right style="thin">
        <color rgb="FF7F7F7F"/>
      </right>
      <top style="thin">
        <color rgb="FFB3B3B3"/>
      </top>
      <bottom style="thin">
        <color rgb="FFA4A4A4"/>
      </bottom>
    </border>
    <border>
      <left style="thin">
        <color rgb="FF7F7F7F"/>
      </left>
      <right style="thin">
        <color rgb="FF7F7F7F"/>
      </right>
      <top style="thin">
        <color rgb="FF7F7F7F"/>
      </top>
      <bottom style="thin">
        <color rgb="FFA4A4A4"/>
      </bottom>
    </border>
    <border>
      <left style="thin">
        <color rgb="FFA4A4A4"/>
      </left>
      <right/>
      <top style="thin">
        <color rgb="FFA4A4A4"/>
      </top>
      <bottom style="thin">
        <color rgb="FFA4A4A4"/>
      </bottom>
    </border>
    <border>
      <left style="thin">
        <color rgb="FFA4A4A4"/>
      </left>
      <right style="thin">
        <color rgb="FFA4A4A4"/>
      </right>
      <top/>
      <bottom/>
    </border>
    <border>
      <left/>
      <right style="thin">
        <color rgb="FFB3B3B3"/>
      </right>
      <top/>
      <bottom style="thin">
        <color rgb="FFB3B3B3"/>
      </bottom>
    </border>
    <border>
      <left style="thin">
        <color rgb="FFA4A4A4"/>
      </left>
      <top style="thin">
        <color rgb="FFA4A4A4"/>
      </top>
    </border>
    <border>
      <top style="thin">
        <color rgb="FFA4A4A4"/>
      </top>
    </border>
    <border>
      <right/>
      <top style="thin">
        <color rgb="FFA4A4A4"/>
      </top>
    </border>
    <border>
      <left style="thin">
        <color rgb="FFA4A4A4"/>
      </left>
    </border>
    <border>
      <right/>
    </border>
    <border>
      <left style="thin">
        <color rgb="FFA4A4A4"/>
      </left>
      <bottom style="thin">
        <color rgb="FFA4A4A4"/>
      </bottom>
    </border>
    <border>
      <bottom style="thin">
        <color rgb="FFA4A4A4"/>
      </bottom>
    </border>
    <border>
      <right/>
      <bottom style="thin">
        <color rgb="FFA4A4A4"/>
      </bottom>
    </border>
    <border>
      <left/>
      <right/>
      <top/>
      <bottom style="thin">
        <color rgb="FF7F7F7F"/>
      </bottom>
    </border>
    <border>
      <left style="thin">
        <color rgb="FFB3B3B3"/>
      </left>
      <right/>
      <top/>
      <bottom style="thin">
        <color rgb="FFB3B3B3"/>
      </bottom>
    </border>
    <border>
      <left/>
      <right/>
      <top style="thin">
        <color rgb="FF7F7F7F"/>
      </top>
      <bottom style="thin">
        <color rgb="FF7F7F7F"/>
      </bottom>
    </border>
    <border>
      <left/>
      <right/>
      <top/>
      <bottom style="thin">
        <color rgb="FF000000"/>
      </bottom>
    </border>
  </borders>
  <cellStyleXfs count="1">
    <xf borderId="0" fillId="0" fontId="0" numFmtId="0" applyAlignment="1" applyFont="1"/>
  </cellStyleXfs>
  <cellXfs count="936">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2" fillId="3" fontId="2" numFmtId="0" xfId="0" applyBorder="1" applyFill="1" applyFont="1"/>
    <xf borderId="3" fillId="3" fontId="2" numFmtId="0" xfId="0" applyBorder="1" applyFont="1"/>
    <xf borderId="4" fillId="3" fontId="2" numFmtId="0" xfId="0" applyBorder="1" applyFont="1"/>
    <xf borderId="5" fillId="3" fontId="2" numFmtId="0" xfId="0" applyBorder="1" applyFont="1"/>
    <xf borderId="1" fillId="3" fontId="3" numFmtId="0" xfId="0" applyBorder="1" applyFont="1"/>
    <xf borderId="1" fillId="3" fontId="2" numFmtId="0" xfId="0" applyBorder="1" applyFont="1"/>
    <xf borderId="6" fillId="3" fontId="2" numFmtId="0" xfId="0" applyBorder="1" applyFont="1"/>
    <xf borderId="1" fillId="3" fontId="4" numFmtId="0" xfId="0" applyBorder="1" applyFont="1"/>
    <xf borderId="1" fillId="3" fontId="5" numFmtId="0" xfId="0" applyBorder="1" applyFont="1"/>
    <xf borderId="1" fillId="3" fontId="6" numFmtId="0" xfId="0" applyBorder="1" applyFont="1"/>
    <xf borderId="1" fillId="3" fontId="7" numFmtId="0" xfId="0" applyBorder="1" applyFont="1"/>
    <xf borderId="7" fillId="3" fontId="2" numFmtId="0" xfId="0" applyBorder="1" applyFont="1"/>
    <xf borderId="1" fillId="3" fontId="8" numFmtId="0" xfId="0" applyBorder="1" applyFont="1"/>
    <xf borderId="1" fillId="3" fontId="9" numFmtId="0" xfId="0" applyAlignment="1" applyBorder="1" applyFont="1">
      <alignment horizontal="center"/>
    </xf>
    <xf borderId="8" fillId="3" fontId="10" numFmtId="0" xfId="0" applyAlignment="1" applyBorder="1" applyFont="1">
      <alignment horizontal="center"/>
    </xf>
    <xf borderId="9" fillId="0" fontId="11" numFmtId="0" xfId="0" applyBorder="1" applyFont="1"/>
    <xf borderId="10" fillId="0" fontId="11" numFmtId="0" xfId="0" applyBorder="1" applyFont="1"/>
    <xf borderId="11" fillId="4" fontId="12" numFmtId="0" xfId="0" applyAlignment="1" applyBorder="1" applyFill="1" applyFont="1">
      <alignment horizontal="left" vertical="center"/>
    </xf>
    <xf borderId="12" fillId="5" fontId="13" numFmtId="0" xfId="0" applyAlignment="1" applyBorder="1" applyFill="1" applyFont="1">
      <alignment horizontal="left" vertical="center"/>
    </xf>
    <xf borderId="13" fillId="0" fontId="11" numFmtId="0" xfId="0" applyBorder="1" applyFont="1"/>
    <xf borderId="14" fillId="0" fontId="11" numFmtId="0" xfId="0" applyBorder="1" applyFont="1"/>
    <xf borderId="12" fillId="6" fontId="2" numFmtId="0" xfId="0" applyAlignment="1" applyBorder="1" applyFill="1" applyFont="1">
      <alignment horizontal="left" vertical="center"/>
    </xf>
    <xf borderId="15" fillId="0" fontId="11" numFmtId="0" xfId="0" applyBorder="1" applyFont="1"/>
    <xf borderId="12" fillId="7" fontId="13" numFmtId="0" xfId="0" applyAlignment="1" applyBorder="1" applyFill="1" applyFont="1">
      <alignment horizontal="left" vertical="center"/>
    </xf>
    <xf borderId="16" fillId="8" fontId="12" numFmtId="0" xfId="0" applyAlignment="1" applyBorder="1" applyFill="1" applyFont="1">
      <alignment horizontal="left" vertical="center"/>
    </xf>
    <xf borderId="17" fillId="9" fontId="14" numFmtId="0" xfId="0" applyAlignment="1" applyBorder="1" applyFill="1" applyFont="1">
      <alignment horizontal="left" vertical="center"/>
    </xf>
    <xf borderId="18" fillId="0" fontId="11" numFmtId="0" xfId="0" applyBorder="1" applyFont="1"/>
    <xf borderId="19" fillId="0" fontId="11" numFmtId="0" xfId="0" applyBorder="1" applyFont="1"/>
    <xf borderId="16" fillId="10" fontId="12" numFmtId="0" xfId="0" applyAlignment="1" applyBorder="1" applyFill="1" applyFont="1">
      <alignment vertical="center"/>
    </xf>
    <xf borderId="20" fillId="11" fontId="15" numFmtId="0" xfId="0" applyAlignment="1" applyBorder="1" applyFill="1" applyFont="1">
      <alignment horizontal="left" vertical="center"/>
    </xf>
    <xf borderId="21" fillId="0" fontId="11" numFmtId="0" xfId="0" applyBorder="1" applyFont="1"/>
    <xf borderId="22" fillId="0" fontId="11" numFmtId="0" xfId="0" applyBorder="1" applyFont="1"/>
    <xf borderId="11" fillId="12" fontId="12" numFmtId="0" xfId="0" applyAlignment="1" applyBorder="1" applyFill="1" applyFont="1">
      <alignment horizontal="left" vertical="center"/>
    </xf>
    <xf borderId="12" fillId="13" fontId="2" numFmtId="0" xfId="0" applyAlignment="1" applyBorder="1" applyFill="1" applyFont="1">
      <alignment horizontal="left" vertical="center"/>
    </xf>
    <xf borderId="11" fillId="14" fontId="12" numFmtId="0" xfId="0" applyAlignment="1" applyBorder="1" applyFill="1" applyFont="1">
      <alignment horizontal="left" vertical="center"/>
    </xf>
    <xf borderId="12" fillId="15" fontId="2" numFmtId="0" xfId="0" applyAlignment="1" applyBorder="1" applyFill="1" applyFont="1">
      <alignment horizontal="left" vertical="center"/>
    </xf>
    <xf borderId="23" fillId="15" fontId="2" numFmtId="0" xfId="0" applyAlignment="1" applyBorder="1" applyFont="1">
      <alignment vertical="center"/>
    </xf>
    <xf borderId="24" fillId="15" fontId="16" numFmtId="0" xfId="0" applyAlignment="1" applyBorder="1" applyFont="1">
      <alignment horizontal="left" vertical="center"/>
    </xf>
    <xf borderId="11" fillId="16" fontId="12" numFmtId="0" xfId="0" applyAlignment="1" applyBorder="1" applyFill="1" applyFont="1">
      <alignment horizontal="left" vertical="center"/>
    </xf>
    <xf borderId="25" fillId="16" fontId="13" numFmtId="0" xfId="0" applyAlignment="1" applyBorder="1" applyFont="1">
      <alignment horizontal="left" shrinkToFit="0" vertical="center" wrapText="1"/>
    </xf>
    <xf borderId="26" fillId="0" fontId="11" numFmtId="0" xfId="0" applyBorder="1" applyFont="1"/>
    <xf borderId="27" fillId="0" fontId="11" numFmtId="0" xfId="0" applyBorder="1" applyFont="1"/>
    <xf borderId="12" fillId="17" fontId="2" numFmtId="0" xfId="0" applyAlignment="1" applyBorder="1" applyFill="1" applyFont="1">
      <alignment horizontal="left" vertical="center"/>
    </xf>
    <xf borderId="28" fillId="0" fontId="11" numFmtId="0" xfId="0" applyBorder="1" applyFont="1"/>
    <xf borderId="29" fillId="0" fontId="11" numFmtId="0" xfId="0" applyBorder="1" applyFont="1"/>
    <xf borderId="30" fillId="0" fontId="11" numFmtId="0" xfId="0" applyBorder="1" applyFont="1"/>
    <xf borderId="31" fillId="0" fontId="11" numFmtId="0" xfId="0" applyBorder="1" applyFont="1"/>
    <xf borderId="32" fillId="0" fontId="11" numFmtId="0" xfId="0" applyBorder="1" applyFont="1"/>
    <xf borderId="33" fillId="0" fontId="11" numFmtId="0" xfId="0" applyBorder="1" applyFont="1"/>
    <xf borderId="16" fillId="18" fontId="12" numFmtId="0" xfId="0" applyAlignment="1" applyBorder="1" applyFill="1" applyFont="1">
      <alignment horizontal="left" vertical="center"/>
    </xf>
    <xf borderId="34" fillId="18" fontId="13" numFmtId="0" xfId="0" applyAlignment="1" applyBorder="1" applyFont="1">
      <alignment shrinkToFit="0" vertical="center" wrapText="1"/>
    </xf>
    <xf borderId="35" fillId="18" fontId="13" numFmtId="0" xfId="0" applyAlignment="1" applyBorder="1" applyFont="1">
      <alignment shrinkToFit="0" vertical="center" wrapText="1"/>
    </xf>
    <xf borderId="36" fillId="18" fontId="13" numFmtId="0" xfId="0" applyAlignment="1" applyBorder="1" applyFont="1">
      <alignment shrinkToFit="0" vertical="center" wrapText="1"/>
    </xf>
    <xf borderId="12" fillId="19" fontId="17" numFmtId="0" xfId="0" applyAlignment="1" applyBorder="1" applyFill="1" applyFont="1">
      <alignment horizontal="left" vertical="center"/>
    </xf>
    <xf borderId="11" fillId="20" fontId="12" numFmtId="0" xfId="0" applyAlignment="1" applyBorder="1" applyFill="1" applyFont="1">
      <alignment horizontal="left" vertical="center"/>
    </xf>
    <xf borderId="12" fillId="21" fontId="13" numFmtId="0" xfId="0" applyAlignment="1" applyBorder="1" applyFill="1" applyFont="1">
      <alignment horizontal="left" vertical="center"/>
    </xf>
    <xf borderId="1" fillId="3" fontId="18" numFmtId="0" xfId="0" applyAlignment="1" applyBorder="1" applyFont="1">
      <alignment horizontal="right"/>
    </xf>
    <xf borderId="1" fillId="3" fontId="4" numFmtId="0" xfId="0" applyAlignment="1" applyBorder="1" applyFont="1">
      <alignment horizontal="center"/>
    </xf>
    <xf borderId="17" fillId="22" fontId="12" numFmtId="0" xfId="0" applyAlignment="1" applyBorder="1" applyFill="1" applyFont="1">
      <alignment horizontal="center" vertical="center"/>
    </xf>
    <xf borderId="16" fillId="22" fontId="12" numFmtId="0" xfId="0" applyAlignment="1" applyBorder="1" applyFont="1">
      <alignment horizontal="center" vertical="center"/>
    </xf>
    <xf borderId="1" fillId="2" fontId="2" numFmtId="0" xfId="0" applyAlignment="1" applyBorder="1" applyFont="1">
      <alignment shrinkToFit="0" wrapText="1"/>
    </xf>
    <xf borderId="5" fillId="3" fontId="2" numFmtId="0" xfId="0" applyAlignment="1" applyBorder="1" applyFont="1">
      <alignment shrinkToFit="0" wrapText="1"/>
    </xf>
    <xf borderId="1" fillId="3" fontId="2" numFmtId="0" xfId="0" applyAlignment="1" applyBorder="1" applyFont="1">
      <alignment shrinkToFit="0" wrapText="1"/>
    </xf>
    <xf borderId="37" fillId="23" fontId="2" numFmtId="0" xfId="0" applyAlignment="1" applyBorder="1" applyFill="1" applyFont="1">
      <alignment horizontal="left" shrinkToFit="0" vertical="center" wrapText="1"/>
    </xf>
    <xf borderId="38" fillId="0" fontId="11" numFmtId="0" xfId="0" applyBorder="1" applyFont="1"/>
    <xf borderId="39" fillId="0" fontId="11" numFmtId="0" xfId="0" applyBorder="1" applyFont="1"/>
    <xf borderId="40" fillId="2" fontId="19" numFmtId="0" xfId="0" applyAlignment="1" applyBorder="1" applyFont="1">
      <alignment shrinkToFit="0" vertical="center" wrapText="1"/>
    </xf>
    <xf borderId="40" fillId="24" fontId="20" numFmtId="0" xfId="0" applyAlignment="1" applyBorder="1" applyFill="1" applyFont="1">
      <alignment horizontal="center" shrinkToFit="0" vertical="center" wrapText="1"/>
    </xf>
    <xf borderId="41" fillId="25" fontId="21" numFmtId="0" xfId="0" applyAlignment="1" applyBorder="1" applyFill="1" applyFont="1">
      <alignment horizontal="center" vertical="center"/>
    </xf>
    <xf borderId="40" fillId="0" fontId="2" numFmtId="0" xfId="0" applyAlignment="1" applyBorder="1" applyFont="1">
      <alignment shrinkToFit="0" vertical="center" wrapText="1"/>
    </xf>
    <xf borderId="40" fillId="26" fontId="2" numFmtId="0" xfId="0" applyAlignment="1" applyBorder="1" applyFill="1" applyFont="1">
      <alignment shrinkToFit="0" vertical="center" wrapText="1"/>
    </xf>
    <xf borderId="6" fillId="3" fontId="2" numFmtId="0" xfId="0" applyAlignment="1" applyBorder="1" applyFont="1">
      <alignment shrinkToFit="0" wrapText="1"/>
    </xf>
    <xf borderId="1" fillId="3" fontId="22" numFmtId="0" xfId="0" applyBorder="1" applyFont="1"/>
    <xf borderId="41" fillId="25" fontId="21" numFmtId="0" xfId="0" applyAlignment="1" applyBorder="1" applyFont="1">
      <alignment horizontal="center"/>
    </xf>
    <xf borderId="40" fillId="24" fontId="20" numFmtId="0" xfId="0" applyAlignment="1" applyBorder="1" applyFont="1">
      <alignment horizontal="center" vertical="center"/>
    </xf>
    <xf borderId="41" fillId="27" fontId="21" numFmtId="0" xfId="0" applyAlignment="1" applyBorder="1" applyFill="1" applyFont="1">
      <alignment horizontal="center"/>
    </xf>
    <xf borderId="42" fillId="28" fontId="2" numFmtId="0" xfId="0" applyAlignment="1" applyBorder="1" applyFill="1" applyFont="1">
      <alignment horizontal="center"/>
    </xf>
    <xf borderId="40" fillId="0" fontId="2" numFmtId="0" xfId="0" applyAlignment="1" applyBorder="1" applyFont="1">
      <alignment horizontal="center" shrinkToFit="0" vertical="center" wrapText="1"/>
    </xf>
    <xf borderId="37" fillId="23" fontId="2" numFmtId="0" xfId="0" applyAlignment="1" applyBorder="1" applyFont="1">
      <alignment horizontal="left" vertical="center"/>
    </xf>
    <xf borderId="37" fillId="29" fontId="17" numFmtId="0" xfId="0" applyAlignment="1" applyBorder="1" applyFill="1" applyFont="1">
      <alignment horizontal="left" vertical="center"/>
    </xf>
    <xf borderId="37" fillId="30" fontId="2" numFmtId="0" xfId="0" applyAlignment="1" applyBorder="1" applyFill="1" applyFont="1">
      <alignment horizontal="left" vertical="center"/>
    </xf>
    <xf borderId="43" fillId="2" fontId="23" numFmtId="0" xfId="0" applyAlignment="1" applyBorder="1" applyFont="1">
      <alignment horizontal="center" vertical="center"/>
    </xf>
    <xf borderId="44" fillId="0" fontId="11" numFmtId="0" xfId="0" applyBorder="1" applyFont="1"/>
    <xf borderId="45" fillId="0" fontId="11" numFmtId="0" xfId="0" applyBorder="1" applyFont="1"/>
    <xf borderId="37" fillId="31" fontId="2" numFmtId="0" xfId="0" applyAlignment="1" applyBorder="1" applyFill="1" applyFont="1">
      <alignment horizontal="left" vertical="center"/>
    </xf>
    <xf borderId="46" fillId="28" fontId="2" numFmtId="0" xfId="0" applyAlignment="1" applyBorder="1" applyFont="1">
      <alignment horizontal="center"/>
    </xf>
    <xf borderId="47" fillId="0" fontId="11" numFmtId="0" xfId="0" applyBorder="1" applyFont="1"/>
    <xf borderId="48" fillId="0" fontId="11" numFmtId="0" xfId="0" applyBorder="1" applyFont="1"/>
    <xf borderId="37" fillId="19" fontId="17" numFmtId="0" xfId="0" applyAlignment="1" applyBorder="1" applyFont="1">
      <alignment horizontal="left" vertical="center"/>
    </xf>
    <xf borderId="37" fillId="32" fontId="24" numFmtId="0" xfId="0" applyAlignment="1" applyBorder="1" applyFill="1" applyFont="1">
      <alignment horizontal="left" vertical="center"/>
    </xf>
    <xf borderId="1" fillId="3" fontId="25" numFmtId="0" xfId="0" applyBorder="1" applyFont="1"/>
    <xf borderId="8" fillId="3" fontId="2" numFmtId="0" xfId="0" applyAlignment="1" applyBorder="1" applyFont="1">
      <alignment horizontal="left" shrinkToFit="0" vertical="center" wrapText="1"/>
    </xf>
    <xf borderId="1" fillId="4" fontId="26" numFmtId="0" xfId="0" applyAlignment="1" applyBorder="1" applyFont="1">
      <alignment horizontal="center"/>
    </xf>
    <xf borderId="42" fillId="28" fontId="2" numFmtId="0" xfId="0" applyBorder="1" applyFont="1"/>
    <xf borderId="8" fillId="3" fontId="2" numFmtId="0" xfId="0" applyAlignment="1" applyBorder="1" applyFont="1">
      <alignment horizontal="left" vertical="center"/>
    </xf>
    <xf borderId="1" fillId="2" fontId="2" numFmtId="0" xfId="0" applyAlignment="1" applyBorder="1" applyFont="1">
      <alignment vertical="center"/>
    </xf>
    <xf borderId="5" fillId="3" fontId="2" numFmtId="0" xfId="0" applyAlignment="1" applyBorder="1" applyFont="1">
      <alignment vertical="center"/>
    </xf>
    <xf borderId="1" fillId="3" fontId="2" numFmtId="0" xfId="0" applyAlignment="1" applyBorder="1" applyFont="1">
      <alignment vertical="center"/>
    </xf>
    <xf borderId="1" fillId="3" fontId="2" numFmtId="0" xfId="0" applyAlignment="1" applyBorder="1" applyFont="1">
      <alignment shrinkToFit="0" vertical="center" wrapText="1"/>
    </xf>
    <xf borderId="6" fillId="3" fontId="2" numFmtId="0" xfId="0" applyAlignment="1" applyBorder="1" applyFont="1">
      <alignment vertical="center"/>
    </xf>
    <xf borderId="7" fillId="3" fontId="2" numFmtId="0" xfId="0" applyAlignment="1" applyBorder="1" applyFont="1">
      <alignment shrinkToFit="0" vertical="center" wrapText="1"/>
    </xf>
    <xf borderId="1" fillId="3" fontId="2" numFmtId="0" xfId="0" applyAlignment="1" applyBorder="1" applyFont="1">
      <alignment horizontal="left" shrinkToFit="0" vertical="top" wrapText="1"/>
    </xf>
    <xf borderId="8" fillId="3" fontId="27" numFmtId="0" xfId="0" applyAlignment="1" applyBorder="1" applyFont="1">
      <alignment horizontal="left" shrinkToFit="0" vertical="center" wrapText="1"/>
    </xf>
    <xf borderId="8" fillId="3" fontId="4" numFmtId="0" xfId="0" applyAlignment="1" applyBorder="1" applyFont="1">
      <alignment horizontal="left" shrinkToFit="0" vertical="center" wrapText="1"/>
    </xf>
    <xf borderId="8" fillId="3" fontId="28" numFmtId="0" xfId="0" applyAlignment="1" applyBorder="1" applyFont="1">
      <alignment horizontal="left" shrinkToFit="0" vertical="center" wrapText="1"/>
    </xf>
    <xf borderId="49" fillId="3" fontId="2" numFmtId="0" xfId="0" applyBorder="1" applyFont="1"/>
    <xf borderId="50" fillId="3" fontId="2" numFmtId="0" xfId="0" applyBorder="1" applyFont="1"/>
    <xf borderId="51" fillId="3" fontId="2" numFmtId="0" xfId="0" applyBorder="1" applyFont="1"/>
    <xf borderId="52" fillId="22" fontId="12" numFmtId="0" xfId="0" applyAlignment="1" applyBorder="1" applyFont="1">
      <alignment horizontal="center" vertical="center"/>
    </xf>
    <xf borderId="53" fillId="0" fontId="11" numFmtId="0" xfId="0" applyBorder="1" applyFont="1"/>
    <xf borderId="54" fillId="0" fontId="11" numFmtId="0" xfId="0" applyBorder="1" applyFont="1"/>
    <xf borderId="55" fillId="22" fontId="12" numFmtId="0" xfId="0" applyAlignment="1" applyBorder="1" applyFont="1">
      <alignment horizontal="center" vertical="center"/>
    </xf>
    <xf borderId="3" fillId="3" fontId="2" numFmtId="0" xfId="0" applyAlignment="1" applyBorder="1" applyFont="1">
      <alignment horizontal="center" vertical="center"/>
    </xf>
    <xf borderId="56" fillId="0" fontId="2" numFmtId="0" xfId="0" applyBorder="1" applyFont="1"/>
    <xf borderId="5" fillId="33" fontId="29" numFmtId="0" xfId="0" applyAlignment="1" applyBorder="1" applyFill="1" applyFont="1">
      <alignment vertical="center"/>
    </xf>
    <xf borderId="1" fillId="33" fontId="29" numFmtId="0" xfId="0" applyAlignment="1" applyBorder="1" applyFont="1">
      <alignment vertical="center"/>
    </xf>
    <xf borderId="1" fillId="33" fontId="29" numFmtId="0" xfId="0" applyAlignment="1" applyBorder="1" applyFont="1">
      <alignment horizontal="center" vertical="center"/>
    </xf>
    <xf borderId="57" fillId="0" fontId="2" numFmtId="0" xfId="0" applyBorder="1" applyFont="1"/>
    <xf borderId="58" fillId="0" fontId="2" numFmtId="0" xfId="0" applyBorder="1" applyFont="1"/>
    <xf borderId="40" fillId="23" fontId="2" numFmtId="0" xfId="0" applyAlignment="1" applyBorder="1" applyFont="1">
      <alignment vertical="center"/>
    </xf>
    <xf borderId="40" fillId="2" fontId="19" numFmtId="0" xfId="0" applyAlignment="1" applyBorder="1" applyFont="1">
      <alignment vertical="center"/>
    </xf>
    <xf borderId="41" fillId="25" fontId="21" numFmtId="1" xfId="0" applyAlignment="1" applyBorder="1" applyFont="1" applyNumberFormat="1">
      <alignment horizontal="center" vertical="center"/>
    </xf>
    <xf borderId="40" fillId="0" fontId="2" numFmtId="0" xfId="0" applyAlignment="1" applyBorder="1" applyFont="1">
      <alignment vertical="center"/>
    </xf>
    <xf borderId="40" fillId="26" fontId="17" numFmtId="0" xfId="0" applyAlignment="1" applyBorder="1" applyFont="1">
      <alignment shrinkToFit="0" vertical="center" wrapText="1"/>
    </xf>
    <xf borderId="0" fillId="0" fontId="2" numFmtId="0" xfId="0" applyAlignment="1" applyFont="1">
      <alignment vertical="center"/>
    </xf>
    <xf borderId="0" fillId="0" fontId="19" numFmtId="0" xfId="0" applyAlignment="1" applyFont="1">
      <alignment vertical="center"/>
    </xf>
    <xf borderId="41" fillId="25" fontId="21" numFmtId="3" xfId="0" applyAlignment="1" applyBorder="1" applyFont="1" applyNumberFormat="1">
      <alignment horizontal="center" vertical="center"/>
    </xf>
    <xf borderId="40" fillId="26" fontId="30" numFmtId="0" xfId="0" applyAlignment="1" applyBorder="1" applyFont="1">
      <alignment shrinkToFit="0" vertical="center" wrapText="1"/>
    </xf>
    <xf borderId="0" fillId="0" fontId="19" numFmtId="0" xfId="0" applyAlignment="1" applyFont="1">
      <alignment horizontal="center" vertical="center"/>
    </xf>
    <xf borderId="0" fillId="0" fontId="2" numFmtId="0" xfId="0" applyAlignment="1" applyFont="1">
      <alignment horizontal="center"/>
    </xf>
    <xf borderId="40" fillId="33" fontId="31" numFmtId="0" xfId="0" applyAlignment="1" applyBorder="1" applyFont="1">
      <alignment horizontal="center" vertical="center"/>
    </xf>
    <xf borderId="42" fillId="28" fontId="17" numFmtId="0" xfId="0" applyAlignment="1" applyBorder="1" applyFont="1">
      <alignment vertical="center"/>
    </xf>
    <xf borderId="40" fillId="32" fontId="26" numFmtId="0" xfId="0" applyAlignment="1" applyBorder="1" applyFont="1">
      <alignment horizontal="center" vertical="center"/>
    </xf>
    <xf borderId="5" fillId="4" fontId="32" numFmtId="0" xfId="0" applyAlignment="1" applyBorder="1" applyFont="1">
      <alignment horizontal="left" vertical="center"/>
    </xf>
    <xf borderId="1" fillId="4" fontId="32" numFmtId="0" xfId="0" applyAlignment="1" applyBorder="1" applyFont="1">
      <alignment vertical="center"/>
    </xf>
    <xf borderId="1" fillId="4" fontId="33" numFmtId="0" xfId="0" applyAlignment="1" applyBorder="1" applyFont="1">
      <alignment vertical="center"/>
    </xf>
    <xf borderId="59" fillId="33" fontId="29" numFmtId="0" xfId="0" applyAlignment="1" applyBorder="1" applyFont="1">
      <alignment vertical="center"/>
    </xf>
    <xf borderId="60" fillId="33" fontId="29" numFmtId="0" xfId="0" applyAlignment="1" applyBorder="1" applyFont="1">
      <alignment vertical="center"/>
    </xf>
    <xf borderId="1" fillId="3" fontId="34" numFmtId="164" xfId="0" applyAlignment="1" applyBorder="1" applyFont="1" applyNumberFormat="1">
      <alignment vertical="center"/>
    </xf>
    <xf borderId="61" fillId="0" fontId="2" numFmtId="0" xfId="0" applyBorder="1" applyFont="1"/>
    <xf borderId="62" fillId="0" fontId="2" numFmtId="0" xfId="0" applyBorder="1" applyFont="1"/>
    <xf borderId="62" fillId="0" fontId="2" numFmtId="0" xfId="0" applyAlignment="1" applyBorder="1" applyFont="1">
      <alignment horizontal="center"/>
    </xf>
    <xf borderId="63" fillId="0" fontId="2" numFmtId="0" xfId="0" applyBorder="1" applyFont="1"/>
    <xf borderId="1" fillId="2" fontId="2" numFmtId="0" xfId="0" applyAlignment="1" applyBorder="1" applyFont="1">
      <alignment horizontal="center"/>
    </xf>
    <xf borderId="64" fillId="22" fontId="12" numFmtId="0" xfId="0" applyAlignment="1" applyBorder="1" applyFont="1">
      <alignment horizontal="center" vertical="center"/>
    </xf>
    <xf borderId="65" fillId="0" fontId="11" numFmtId="0" xfId="0" applyBorder="1" applyFont="1"/>
    <xf borderId="66" fillId="0" fontId="11" numFmtId="0" xfId="0" applyBorder="1" applyFont="1"/>
    <xf borderId="4" fillId="3" fontId="2" numFmtId="0" xfId="0" applyAlignment="1" applyBorder="1" applyFont="1">
      <alignment horizontal="center" vertical="center"/>
    </xf>
    <xf borderId="59" fillId="5" fontId="12" numFmtId="0" xfId="0" applyAlignment="1" applyBorder="1" applyFont="1">
      <alignment vertical="center"/>
    </xf>
    <xf borderId="60" fillId="5" fontId="12" numFmtId="0" xfId="0" applyAlignment="1" applyBorder="1" applyFont="1">
      <alignment vertical="center"/>
    </xf>
    <xf borderId="60" fillId="5" fontId="12" numFmtId="0" xfId="0" applyAlignment="1" applyBorder="1" applyFont="1">
      <alignment horizontal="center" vertical="center"/>
    </xf>
    <xf borderId="67" fillId="5" fontId="12" numFmtId="0" xfId="0" applyAlignment="1" applyBorder="1" applyFont="1">
      <alignment vertical="center"/>
    </xf>
    <xf borderId="5" fillId="6" fontId="4" numFmtId="0" xfId="0" applyAlignment="1" applyBorder="1" applyFont="1">
      <alignment vertical="center"/>
    </xf>
    <xf borderId="1" fillId="6" fontId="12" numFmtId="0" xfId="0" applyAlignment="1" applyBorder="1" applyFont="1">
      <alignment vertical="center"/>
    </xf>
    <xf borderId="1" fillId="6" fontId="12" numFmtId="0" xfId="0" applyAlignment="1" applyBorder="1" applyFont="1">
      <alignment horizontal="center" vertical="center"/>
    </xf>
    <xf borderId="1" fillId="6" fontId="2" numFmtId="0" xfId="0" applyAlignment="1" applyBorder="1" applyFont="1">
      <alignment horizontal="center" vertical="center"/>
    </xf>
    <xf borderId="1" fillId="6" fontId="2" numFmtId="0" xfId="0" applyAlignment="1" applyBorder="1" applyFont="1">
      <alignment vertical="center"/>
    </xf>
    <xf borderId="68" fillId="6" fontId="2" numFmtId="0" xfId="0" applyAlignment="1" applyBorder="1" applyFont="1">
      <alignment vertical="center"/>
    </xf>
    <xf borderId="5" fillId="3" fontId="22" numFmtId="0" xfId="0" applyAlignment="1" applyBorder="1" applyFont="1">
      <alignment vertical="center"/>
    </xf>
    <xf borderId="1" fillId="3" fontId="34" numFmtId="0" xfId="0" applyAlignment="1" applyBorder="1" applyFont="1">
      <alignment vertical="center"/>
    </xf>
    <xf borderId="40" fillId="24" fontId="20" numFmtId="3" xfId="0" applyAlignment="1" applyBorder="1" applyFont="1" applyNumberFormat="1">
      <alignment horizontal="center" vertical="center"/>
    </xf>
    <xf borderId="40" fillId="24" fontId="21" numFmtId="3" xfId="0" applyAlignment="1" applyBorder="1" applyFont="1" applyNumberFormat="1">
      <alignment horizontal="center" vertical="center"/>
    </xf>
    <xf borderId="40" fillId="26" fontId="35" numFmtId="0" xfId="0" applyAlignment="1" applyBorder="1" applyFont="1">
      <alignment vertical="center"/>
    </xf>
    <xf borderId="5" fillId="3" fontId="5" numFmtId="0" xfId="0" applyAlignment="1" applyBorder="1" applyFont="1">
      <alignment horizontal="right" vertical="center"/>
    </xf>
    <xf borderId="1" fillId="3" fontId="5" numFmtId="0" xfId="0" applyAlignment="1" applyBorder="1" applyFont="1">
      <alignment horizontal="right" vertical="center"/>
    </xf>
    <xf borderId="1" fillId="3" fontId="36" numFmtId="0" xfId="0" applyAlignment="1" applyBorder="1" applyFont="1">
      <alignment horizontal="right" vertical="center"/>
    </xf>
    <xf borderId="1" fillId="3" fontId="5" numFmtId="0" xfId="0" applyAlignment="1" applyBorder="1" applyFont="1">
      <alignment horizontal="center" vertical="center"/>
    </xf>
    <xf borderId="5" fillId="7" fontId="12" numFmtId="0" xfId="0" applyAlignment="1" applyBorder="1" applyFont="1">
      <alignment vertical="center"/>
    </xf>
    <xf borderId="1" fillId="7" fontId="12" numFmtId="0" xfId="0" applyAlignment="1" applyBorder="1" applyFont="1">
      <alignment vertical="center"/>
    </xf>
    <xf borderId="1" fillId="7" fontId="12" numFmtId="0" xfId="0" applyAlignment="1" applyBorder="1" applyFont="1">
      <alignment horizontal="center" vertical="center"/>
    </xf>
    <xf borderId="1" fillId="7" fontId="2" numFmtId="0" xfId="0" applyAlignment="1" applyBorder="1" applyFont="1">
      <alignment horizontal="center" vertical="center"/>
    </xf>
    <xf borderId="1" fillId="7" fontId="2" numFmtId="0" xfId="0" applyAlignment="1" applyBorder="1" applyFont="1">
      <alignment vertical="center"/>
    </xf>
    <xf borderId="68" fillId="7" fontId="2" numFmtId="0" xfId="0" applyAlignment="1" applyBorder="1" applyFont="1">
      <alignment vertical="center"/>
    </xf>
    <xf borderId="6" fillId="3" fontId="2" numFmtId="0" xfId="0" applyAlignment="1" applyBorder="1" applyFont="1">
      <alignment horizontal="left" vertical="center"/>
    </xf>
    <xf borderId="5" fillId="3" fontId="37" numFmtId="0" xfId="0" applyAlignment="1" applyBorder="1" applyFont="1">
      <alignment horizontal="left" vertical="center"/>
    </xf>
    <xf borderId="1" fillId="3" fontId="34" numFmtId="0" xfId="0" applyAlignment="1" applyBorder="1" applyFont="1">
      <alignment horizontal="center" vertical="center"/>
    </xf>
    <xf borderId="1" fillId="2" fontId="2" numFmtId="0" xfId="0" applyAlignment="1" applyBorder="1" applyFont="1">
      <alignment horizontal="left" vertical="center"/>
    </xf>
    <xf borderId="40" fillId="23" fontId="4" numFmtId="0" xfId="0" applyAlignment="1" applyBorder="1" applyFont="1">
      <alignment vertical="center"/>
    </xf>
    <xf borderId="40" fillId="24" fontId="20" numFmtId="165" xfId="0" applyAlignment="1" applyBorder="1" applyFont="1" applyNumberFormat="1">
      <alignment horizontal="center" vertical="center"/>
    </xf>
    <xf borderId="41" fillId="25" fontId="21" numFmtId="165" xfId="0" applyAlignment="1" applyBorder="1" applyFont="1" applyNumberFormat="1">
      <alignment horizontal="center" vertical="center"/>
    </xf>
    <xf borderId="40" fillId="24" fontId="21" numFmtId="165" xfId="0" applyAlignment="1" applyBorder="1" applyFont="1" applyNumberFormat="1">
      <alignment horizontal="center" vertical="center"/>
    </xf>
    <xf borderId="69" fillId="25" fontId="21" numFmtId="165" xfId="0" applyAlignment="1" applyBorder="1" applyFont="1" applyNumberFormat="1">
      <alignment horizontal="center" vertical="center"/>
    </xf>
    <xf borderId="40" fillId="0" fontId="2" numFmtId="0" xfId="0" applyAlignment="1" applyBorder="1" applyFont="1">
      <alignment horizontal="left" vertical="center"/>
    </xf>
    <xf borderId="40" fillId="26" fontId="2" numFmtId="0" xfId="0" applyAlignment="1" applyBorder="1" applyFont="1">
      <alignment horizontal="left" vertical="center"/>
    </xf>
    <xf borderId="40" fillId="19" fontId="2" numFmtId="0" xfId="0" applyAlignment="1" applyBorder="1" applyFont="1">
      <alignment vertical="center"/>
    </xf>
    <xf borderId="70" fillId="2" fontId="29" numFmtId="165" xfId="0" applyAlignment="1" applyBorder="1" applyFont="1" applyNumberFormat="1">
      <alignment horizontal="center" vertical="center"/>
    </xf>
    <xf borderId="40" fillId="0" fontId="38" numFmtId="0" xfId="0" applyAlignment="1" applyBorder="1" applyFont="1">
      <alignment horizontal="center" vertical="center"/>
    </xf>
    <xf borderId="40" fillId="26" fontId="39" numFmtId="0" xfId="0" applyAlignment="1" applyBorder="1" applyFont="1">
      <alignment horizontal="left" vertical="center"/>
    </xf>
    <xf borderId="5" fillId="20" fontId="12" numFmtId="0" xfId="0" applyAlignment="1" applyBorder="1" applyFont="1">
      <alignment vertical="center"/>
    </xf>
    <xf borderId="1" fillId="20" fontId="12" numFmtId="0" xfId="0" applyAlignment="1" applyBorder="1" applyFont="1">
      <alignment vertical="center"/>
    </xf>
    <xf borderId="1" fillId="20" fontId="12" numFmtId="0" xfId="0" applyAlignment="1" applyBorder="1" applyFont="1">
      <alignment horizontal="center" vertical="center"/>
    </xf>
    <xf borderId="1" fillId="20" fontId="29" numFmtId="0" xfId="0" applyAlignment="1" applyBorder="1" applyFont="1">
      <alignment vertical="center"/>
    </xf>
    <xf borderId="1" fillId="3" fontId="2" numFmtId="0" xfId="0" applyAlignment="1" applyBorder="1" applyFont="1">
      <alignment horizontal="left" vertical="center"/>
    </xf>
    <xf borderId="5" fillId="21" fontId="12" numFmtId="0" xfId="0" applyAlignment="1" applyBorder="1" applyFont="1">
      <alignment vertical="center"/>
    </xf>
    <xf borderId="1" fillId="21" fontId="12" numFmtId="0" xfId="0" applyAlignment="1" applyBorder="1" applyFont="1">
      <alignment vertical="center"/>
    </xf>
    <xf borderId="1" fillId="21" fontId="12" numFmtId="0" xfId="0" applyAlignment="1" applyBorder="1" applyFont="1">
      <alignment horizontal="center" vertical="center"/>
    </xf>
    <xf borderId="1" fillId="21" fontId="29" numFmtId="0" xfId="0" applyAlignment="1" applyBorder="1" applyFont="1">
      <alignment vertical="center"/>
    </xf>
    <xf borderId="5" fillId="3" fontId="40" numFmtId="0" xfId="0" applyAlignment="1" applyBorder="1" applyFont="1">
      <alignment horizontal="left" vertical="center"/>
    </xf>
    <xf borderId="1" fillId="3" fontId="41" numFmtId="0" xfId="0" applyAlignment="1" applyBorder="1" applyFont="1">
      <alignment vertical="center"/>
    </xf>
    <xf borderId="42" fillId="28" fontId="17" numFmtId="165" xfId="0" applyAlignment="1" applyBorder="1" applyFont="1" applyNumberFormat="1">
      <alignment horizontal="center" vertical="center"/>
    </xf>
    <xf borderId="71" fillId="28" fontId="17" numFmtId="165" xfId="0" applyAlignment="1" applyBorder="1" applyFont="1" applyNumberFormat="1">
      <alignment horizontal="center" vertical="center"/>
    </xf>
    <xf borderId="40" fillId="0" fontId="17" numFmtId="0" xfId="0" applyAlignment="1" applyBorder="1" applyFont="1">
      <alignment vertical="center"/>
    </xf>
    <xf borderId="40" fillId="26" fontId="17" numFmtId="0" xfId="0" applyAlignment="1" applyBorder="1" applyFont="1">
      <alignment vertical="center"/>
    </xf>
    <xf borderId="1" fillId="3" fontId="20" numFmtId="0" xfId="0" applyAlignment="1" applyBorder="1" applyFont="1">
      <alignment vertical="center"/>
    </xf>
    <xf borderId="1" fillId="3" fontId="20" numFmtId="0" xfId="0" applyAlignment="1" applyBorder="1" applyFont="1">
      <alignment horizontal="center" vertical="center"/>
    </xf>
    <xf borderId="1" fillId="3" fontId="2" numFmtId="0" xfId="0" applyAlignment="1" applyBorder="1" applyFont="1">
      <alignment horizontal="center" vertical="center"/>
    </xf>
    <xf borderId="40" fillId="5" fontId="26" numFmtId="0" xfId="0" applyAlignment="1" applyBorder="1" applyFont="1">
      <alignment horizontal="center" vertical="center"/>
    </xf>
    <xf borderId="42" fillId="28" fontId="17" numFmtId="0" xfId="0" applyAlignment="1" applyBorder="1" applyFont="1">
      <alignment shrinkToFit="0" vertical="center" wrapText="1"/>
    </xf>
    <xf borderId="40" fillId="7" fontId="26" numFmtId="0" xfId="0" applyAlignment="1" applyBorder="1" applyFont="1">
      <alignment horizontal="center" vertical="center"/>
    </xf>
    <xf borderId="16" fillId="34" fontId="12" numFmtId="0" xfId="0" applyAlignment="1" applyBorder="1" applyFill="1" applyFont="1">
      <alignment horizontal="center" vertical="center"/>
    </xf>
    <xf borderId="5" fillId="22" fontId="12" numFmtId="0" xfId="0" applyAlignment="1" applyBorder="1" applyFont="1">
      <alignment horizontal="left" vertical="center"/>
    </xf>
    <xf borderId="1" fillId="22" fontId="12" numFmtId="0" xfId="0" applyAlignment="1" applyBorder="1" applyFont="1">
      <alignment horizontal="center" vertical="center"/>
    </xf>
    <xf borderId="1" fillId="3" fontId="34" numFmtId="164" xfId="0" applyAlignment="1" applyBorder="1" applyFont="1" applyNumberFormat="1">
      <alignment horizontal="right" vertical="center"/>
    </xf>
    <xf borderId="5" fillId="8" fontId="12" numFmtId="0" xfId="0" applyAlignment="1" applyBorder="1" applyFont="1">
      <alignment horizontal="left" vertical="center"/>
    </xf>
    <xf borderId="1" fillId="8" fontId="12" numFmtId="0" xfId="0" applyAlignment="1" applyBorder="1" applyFont="1">
      <alignment vertical="center"/>
    </xf>
    <xf borderId="5" fillId="10" fontId="12" numFmtId="0" xfId="0" applyAlignment="1" applyBorder="1" applyFont="1">
      <alignment vertical="center"/>
    </xf>
    <xf borderId="1" fillId="10" fontId="12" numFmtId="0" xfId="0" applyAlignment="1" applyBorder="1" applyFont="1">
      <alignment vertical="center"/>
    </xf>
    <xf borderId="5" fillId="12" fontId="12" numFmtId="0" xfId="0" applyAlignment="1" applyBorder="1" applyFont="1">
      <alignment horizontal="left" vertical="center"/>
    </xf>
    <xf borderId="1" fillId="12" fontId="12" numFmtId="0" xfId="0" applyAlignment="1" applyBorder="1" applyFont="1">
      <alignment vertical="center"/>
    </xf>
    <xf borderId="5" fillId="14" fontId="12" numFmtId="0" xfId="0" applyAlignment="1" applyBorder="1" applyFont="1">
      <alignment horizontal="left" vertical="center"/>
    </xf>
    <xf borderId="1" fillId="14" fontId="12" numFmtId="0" xfId="0" applyAlignment="1" applyBorder="1" applyFont="1">
      <alignment vertical="center"/>
    </xf>
    <xf borderId="5" fillId="16" fontId="12" numFmtId="0" xfId="0" applyAlignment="1" applyBorder="1" applyFont="1">
      <alignment horizontal="left" vertical="center"/>
    </xf>
    <xf borderId="1" fillId="16" fontId="12" numFmtId="0" xfId="0" applyAlignment="1" applyBorder="1" applyFont="1">
      <alignment vertical="center"/>
    </xf>
    <xf borderId="5" fillId="18" fontId="12" numFmtId="0" xfId="0" applyAlignment="1" applyBorder="1" applyFont="1">
      <alignment horizontal="left" vertical="center"/>
    </xf>
    <xf borderId="1" fillId="18" fontId="12" numFmtId="0" xfId="0" applyAlignment="1" applyBorder="1" applyFont="1">
      <alignment vertical="center"/>
    </xf>
    <xf borderId="1" fillId="3" fontId="20" numFmtId="20" xfId="0" applyAlignment="1" applyBorder="1" applyFont="1" applyNumberFormat="1">
      <alignment horizontal="center" vertical="center"/>
    </xf>
    <xf borderId="49" fillId="3" fontId="2" numFmtId="0" xfId="0" applyAlignment="1" applyBorder="1" applyFont="1">
      <alignment vertical="center"/>
    </xf>
    <xf borderId="50" fillId="3" fontId="2" numFmtId="0" xfId="0" applyAlignment="1" applyBorder="1" applyFont="1">
      <alignment vertical="center"/>
    </xf>
    <xf borderId="50" fillId="3" fontId="20" numFmtId="0" xfId="0" applyAlignment="1" applyBorder="1" applyFont="1">
      <alignment vertical="center"/>
    </xf>
    <xf borderId="50" fillId="3" fontId="20" numFmtId="0" xfId="0" applyAlignment="1" applyBorder="1" applyFont="1">
      <alignment horizontal="center" vertical="center"/>
    </xf>
    <xf borderId="50" fillId="3" fontId="2" numFmtId="0" xfId="0" applyAlignment="1" applyBorder="1" applyFont="1">
      <alignment horizontal="center" vertical="center"/>
    </xf>
    <xf borderId="51" fillId="3" fontId="2" numFmtId="0" xfId="0" applyAlignment="1" applyBorder="1" applyFont="1">
      <alignment vertical="center"/>
    </xf>
    <xf borderId="1" fillId="2" fontId="20" numFmtId="0" xfId="0" applyAlignment="1" applyBorder="1" applyFont="1">
      <alignment vertical="center"/>
    </xf>
    <xf borderId="1" fillId="2" fontId="20" numFmtId="0" xfId="0" applyAlignment="1" applyBorder="1" applyFont="1">
      <alignment horizontal="center" vertical="center"/>
    </xf>
    <xf borderId="1" fillId="2" fontId="2" numFmtId="0" xfId="0" applyAlignment="1" applyBorder="1" applyFont="1">
      <alignment horizontal="center" vertical="center"/>
    </xf>
    <xf borderId="1" fillId="2" fontId="2" numFmtId="11" xfId="0" applyAlignment="1" applyBorder="1" applyFont="1" applyNumberFormat="1">
      <alignment vertical="center"/>
    </xf>
    <xf borderId="1" fillId="8" fontId="12" numFmtId="0" xfId="0" applyAlignment="1" applyBorder="1" applyFont="1">
      <alignment horizontal="center" vertical="center"/>
    </xf>
    <xf borderId="1" fillId="8" fontId="2" numFmtId="0" xfId="0" applyAlignment="1" applyBorder="1" applyFont="1">
      <alignment horizontal="center" vertical="center"/>
    </xf>
    <xf borderId="1" fillId="8" fontId="17" numFmtId="0" xfId="0" applyAlignment="1" applyBorder="1" applyFont="1">
      <alignment vertical="center"/>
    </xf>
    <xf borderId="68" fillId="8" fontId="2" numFmtId="0" xfId="0" applyAlignment="1" applyBorder="1" applyFont="1">
      <alignment vertical="center"/>
    </xf>
    <xf borderId="5" fillId="3" fontId="42" numFmtId="0" xfId="0" applyAlignment="1" applyBorder="1" applyFont="1">
      <alignment horizontal="left" vertical="center"/>
    </xf>
    <xf borderId="1" fillId="3" fontId="31" numFmtId="0" xfId="0" applyAlignment="1" applyBorder="1" applyFont="1">
      <alignment vertical="center"/>
    </xf>
    <xf borderId="5" fillId="3" fontId="34" numFmtId="0" xfId="0" applyAlignment="1" applyBorder="1" applyFont="1">
      <alignment horizontal="left" vertical="center"/>
    </xf>
    <xf borderId="1" fillId="3" fontId="43" numFmtId="0" xfId="0" applyAlignment="1" applyBorder="1" applyFont="1">
      <alignment vertical="center"/>
    </xf>
    <xf borderId="5" fillId="3" fontId="2" numFmtId="0" xfId="0" applyAlignment="1" applyBorder="1" applyFont="1">
      <alignment horizontal="left" vertical="center"/>
    </xf>
    <xf borderId="72" fillId="23" fontId="17" numFmtId="0" xfId="0" applyAlignment="1" applyBorder="1" applyFont="1">
      <alignment vertical="center"/>
    </xf>
    <xf borderId="72" fillId="2" fontId="19" numFmtId="0" xfId="0" applyAlignment="1" applyBorder="1" applyFont="1">
      <alignment vertical="center"/>
    </xf>
    <xf borderId="73" fillId="25" fontId="21" numFmtId="165" xfId="0" applyAlignment="1" applyBorder="1" applyFont="1" applyNumberFormat="1">
      <alignment horizontal="center" vertical="center"/>
    </xf>
    <xf borderId="40" fillId="26" fontId="2" numFmtId="0" xfId="0" applyAlignment="1" applyBorder="1" applyFont="1">
      <alignment vertical="center"/>
    </xf>
    <xf borderId="74" fillId="29" fontId="17" numFmtId="0" xfId="0" applyAlignment="1" applyBorder="1" applyFont="1">
      <alignment horizontal="left" vertical="center"/>
    </xf>
    <xf borderId="75" fillId="24" fontId="20" numFmtId="166" xfId="0" applyAlignment="1" applyBorder="1" applyFont="1" applyNumberFormat="1">
      <alignment horizontal="center" vertical="center"/>
    </xf>
    <xf borderId="40" fillId="24" fontId="20" numFmtId="166" xfId="0" applyAlignment="1" applyBorder="1" applyFont="1" applyNumberFormat="1">
      <alignment horizontal="center" vertical="center"/>
    </xf>
    <xf borderId="73" fillId="25" fontId="21" numFmtId="166" xfId="0" applyAlignment="1" applyBorder="1" applyFont="1" applyNumberFormat="1">
      <alignment horizontal="center" vertical="center"/>
    </xf>
    <xf borderId="41" fillId="25" fontId="21" numFmtId="166" xfId="0" applyAlignment="1" applyBorder="1" applyFont="1" applyNumberFormat="1">
      <alignment horizontal="center" vertical="center"/>
    </xf>
    <xf borderId="69" fillId="25" fontId="21" numFmtId="166" xfId="0" applyAlignment="1" applyBorder="1" applyFont="1" applyNumberFormat="1">
      <alignment horizontal="center" vertical="center"/>
    </xf>
    <xf borderId="72" fillId="30" fontId="2" numFmtId="0" xfId="0" applyAlignment="1" applyBorder="1" applyFont="1">
      <alignment vertical="center"/>
    </xf>
    <xf borderId="73" fillId="2" fontId="23" numFmtId="165" xfId="0" applyAlignment="1" applyBorder="1" applyFont="1" applyNumberFormat="1">
      <alignment horizontal="center" vertical="center"/>
    </xf>
    <xf borderId="75" fillId="24" fontId="20" numFmtId="165" xfId="0" applyAlignment="1" applyBorder="1" applyFont="1" applyNumberFormat="1">
      <alignment horizontal="center" vertical="center"/>
    </xf>
    <xf borderId="72" fillId="30" fontId="2" numFmtId="0" xfId="0" applyAlignment="1" applyBorder="1" applyFont="1">
      <alignment horizontal="left" vertical="center"/>
    </xf>
    <xf borderId="72" fillId="2" fontId="19" numFmtId="0" xfId="0" applyAlignment="1" applyBorder="1" applyFont="1">
      <alignment horizontal="left" vertical="center"/>
    </xf>
    <xf borderId="76" fillId="24" fontId="20" numFmtId="165" xfId="0" applyAlignment="1" applyBorder="1" applyFont="1" applyNumberFormat="1">
      <alignment horizontal="center" vertical="center"/>
    </xf>
    <xf borderId="77" fillId="24" fontId="20" numFmtId="165" xfId="0" applyAlignment="1" applyBorder="1" applyFont="1" applyNumberFormat="1">
      <alignment horizontal="center" vertical="center"/>
    </xf>
    <xf borderId="78" fillId="25" fontId="21" numFmtId="165" xfId="0" applyAlignment="1" applyBorder="1" applyFont="1" applyNumberFormat="1">
      <alignment horizontal="center" vertical="center"/>
    </xf>
    <xf borderId="79" fillId="25" fontId="21" numFmtId="165" xfId="0" applyAlignment="1" applyBorder="1" applyFont="1" applyNumberFormat="1">
      <alignment horizontal="center" vertical="center"/>
    </xf>
    <xf borderId="80" fillId="25" fontId="21" numFmtId="165" xfId="0" applyAlignment="1" applyBorder="1" applyFont="1" applyNumberFormat="1">
      <alignment horizontal="center" vertical="center"/>
    </xf>
    <xf borderId="1" fillId="3" fontId="44" numFmtId="0" xfId="0" applyAlignment="1" applyBorder="1" applyFont="1">
      <alignment vertical="center"/>
    </xf>
    <xf borderId="5" fillId="3" fontId="4" numFmtId="0" xfId="0" applyAlignment="1" applyBorder="1" applyFont="1">
      <alignment horizontal="left" vertical="center"/>
    </xf>
    <xf borderId="72" fillId="23" fontId="2" numFmtId="0" xfId="0" applyAlignment="1" applyBorder="1" applyFont="1">
      <alignment vertical="center"/>
    </xf>
    <xf borderId="1" fillId="3" fontId="17" numFmtId="0" xfId="0" applyAlignment="1" applyBorder="1" applyFont="1">
      <alignment vertical="center"/>
    </xf>
    <xf borderId="1" fillId="3" fontId="34" numFmtId="164" xfId="0" applyAlignment="1" applyBorder="1" applyFont="1" applyNumberFormat="1">
      <alignment horizontal="center" vertical="center"/>
    </xf>
    <xf borderId="81" fillId="32" fontId="24" numFmtId="0" xfId="0" applyAlignment="1" applyBorder="1" applyFont="1">
      <alignment horizontal="left" vertical="center"/>
    </xf>
    <xf borderId="41" fillId="2" fontId="23" numFmtId="165" xfId="0" applyAlignment="1" applyBorder="1" applyFont="1" applyNumberFormat="1">
      <alignment horizontal="center" vertical="center"/>
    </xf>
    <xf borderId="40" fillId="3" fontId="17" numFmtId="0" xfId="0" applyAlignment="1" applyBorder="1" applyFont="1">
      <alignment vertical="center"/>
    </xf>
    <xf borderId="41" fillId="2" fontId="23" numFmtId="166" xfId="0" applyAlignment="1" applyBorder="1" applyFont="1" applyNumberFormat="1">
      <alignment horizontal="center" vertical="center"/>
    </xf>
    <xf borderId="41" fillId="35" fontId="21" numFmtId="165" xfId="0" applyAlignment="1" applyBorder="1" applyFill="1" applyFont="1" applyNumberFormat="1">
      <alignment horizontal="center" vertical="center"/>
    </xf>
    <xf borderId="40" fillId="31" fontId="2" numFmtId="0" xfId="0" applyAlignment="1" applyBorder="1" applyFont="1">
      <alignment horizontal="left" vertical="center"/>
    </xf>
    <xf borderId="42" fillId="28" fontId="17" numFmtId="166" xfId="0" applyAlignment="1" applyBorder="1" applyFont="1" applyNumberFormat="1">
      <alignment horizontal="center" vertical="center"/>
    </xf>
    <xf borderId="75" fillId="2" fontId="19" numFmtId="0" xfId="0" applyAlignment="1" applyBorder="1" applyFont="1">
      <alignment vertical="center"/>
    </xf>
    <xf borderId="1" fillId="28" fontId="17" numFmtId="165" xfId="0" applyAlignment="1" applyBorder="1" applyFont="1" applyNumberFormat="1">
      <alignment horizontal="center" vertical="center"/>
    </xf>
    <xf borderId="0" fillId="0" fontId="43" numFmtId="0" xfId="0" applyAlignment="1" applyFont="1">
      <alignment vertical="center"/>
    </xf>
    <xf borderId="0" fillId="0" fontId="41" numFmtId="0" xfId="0" applyAlignment="1" applyFont="1">
      <alignment vertical="center"/>
    </xf>
    <xf borderId="0" fillId="0" fontId="34" numFmtId="0" xfId="0" applyAlignment="1" applyFont="1">
      <alignment vertical="center"/>
    </xf>
    <xf borderId="41" fillId="27" fontId="21" numFmtId="166" xfId="0" applyAlignment="1" applyBorder="1" applyFont="1" applyNumberFormat="1">
      <alignment horizontal="center"/>
    </xf>
    <xf borderId="41" fillId="27" fontId="21" numFmtId="165" xfId="0" applyAlignment="1" applyBorder="1" applyFont="1" applyNumberFormat="1">
      <alignment horizontal="center"/>
    </xf>
    <xf borderId="72" fillId="23" fontId="4" numFmtId="0" xfId="0" applyAlignment="1" applyBorder="1" applyFont="1">
      <alignment vertical="center"/>
    </xf>
    <xf borderId="58" fillId="0" fontId="42" numFmtId="0" xfId="0" applyAlignment="1" applyBorder="1" applyFont="1">
      <alignment horizontal="left" vertical="center"/>
    </xf>
    <xf borderId="74" fillId="23" fontId="17" numFmtId="0" xfId="0" applyAlignment="1" applyBorder="1" applyFont="1">
      <alignment horizontal="left" vertical="center"/>
    </xf>
    <xf borderId="1" fillId="3" fontId="34" numFmtId="0" xfId="0" applyAlignment="1" applyBorder="1" applyFont="1">
      <alignment horizontal="left" vertical="center"/>
    </xf>
    <xf borderId="40" fillId="23" fontId="2" numFmtId="0" xfId="0" applyAlignment="1" applyBorder="1" applyFont="1">
      <alignment horizontal="left" vertical="center"/>
    </xf>
    <xf borderId="40" fillId="2" fontId="19" numFmtId="0" xfId="0" applyAlignment="1" applyBorder="1" applyFont="1">
      <alignment horizontal="left" vertical="center"/>
    </xf>
    <xf borderId="1" fillId="3" fontId="45" numFmtId="0" xfId="0" applyAlignment="1" applyBorder="1" applyFont="1">
      <alignment vertical="center"/>
    </xf>
    <xf borderId="5" fillId="3" fontId="17" numFmtId="0" xfId="0" applyAlignment="1" applyBorder="1" applyFont="1">
      <alignment horizontal="left" vertical="center"/>
    </xf>
    <xf borderId="1" fillId="3" fontId="43" numFmtId="0" xfId="0" applyAlignment="1" applyBorder="1" applyFont="1">
      <alignment horizontal="center" vertical="center"/>
    </xf>
    <xf borderId="41" fillId="25" fontId="46" numFmtId="165" xfId="0" applyAlignment="1" applyBorder="1" applyFont="1" applyNumberFormat="1">
      <alignment horizontal="center" vertical="center"/>
    </xf>
    <xf borderId="69" fillId="25" fontId="46" numFmtId="165" xfId="0" applyAlignment="1" applyBorder="1" applyFont="1" applyNumberFormat="1">
      <alignment horizontal="center" vertical="center"/>
    </xf>
    <xf borderId="1" fillId="3" fontId="41" numFmtId="0" xfId="0" applyAlignment="1" applyBorder="1" applyFont="1">
      <alignment horizontal="left" vertical="center"/>
    </xf>
    <xf borderId="81" fillId="32" fontId="26" numFmtId="0" xfId="0" applyAlignment="1" applyBorder="1" applyFont="1">
      <alignment horizontal="left" vertical="center"/>
    </xf>
    <xf borderId="0" fillId="0" fontId="17" numFmtId="0" xfId="0" applyAlignment="1" applyFont="1">
      <alignment vertical="center"/>
    </xf>
    <xf borderId="1" fillId="3" fontId="45" numFmtId="0" xfId="0" applyAlignment="1" applyBorder="1" applyFont="1">
      <alignment horizontal="left" vertical="center"/>
    </xf>
    <xf borderId="0" fillId="0" fontId="31" numFmtId="0" xfId="0" applyAlignment="1" applyFont="1">
      <alignment vertical="center"/>
    </xf>
    <xf borderId="40" fillId="8" fontId="26" numFmtId="0" xfId="0" applyAlignment="1" applyBorder="1" applyFont="1">
      <alignment horizontal="center" vertical="center"/>
    </xf>
    <xf borderId="82" fillId="28" fontId="17" numFmtId="0" xfId="0" applyAlignment="1" applyBorder="1" applyFont="1">
      <alignment shrinkToFit="0" vertical="center" wrapText="1"/>
    </xf>
    <xf borderId="5" fillId="3" fontId="22" numFmtId="0" xfId="0" applyAlignment="1" applyBorder="1" applyFont="1">
      <alignment horizontal="left" vertical="center"/>
    </xf>
    <xf borderId="49" fillId="3" fontId="2" numFmtId="0" xfId="0" applyAlignment="1" applyBorder="1" applyFont="1">
      <alignment horizontal="left" vertical="center"/>
    </xf>
    <xf borderId="50" fillId="3" fontId="17" numFmtId="0" xfId="0" applyAlignment="1" applyBorder="1" applyFont="1">
      <alignment vertical="center"/>
    </xf>
    <xf borderId="1" fillId="2" fontId="17" numFmtId="0" xfId="0" applyAlignment="1" applyBorder="1" applyFont="1">
      <alignment vertical="center"/>
    </xf>
    <xf borderId="12" fillId="22" fontId="12" numFmtId="0" xfId="0" applyAlignment="1" applyBorder="1" applyFont="1">
      <alignment horizontal="center" vertical="center"/>
    </xf>
    <xf borderId="0" fillId="22" fontId="12" numFmtId="0" xfId="0" applyAlignment="1" applyFont="1">
      <alignment horizontal="center" vertical="center"/>
    </xf>
    <xf borderId="83" fillId="8" fontId="12" numFmtId="0" xfId="0" applyAlignment="1" applyBorder="1" applyFont="1">
      <alignment horizontal="left" vertical="center"/>
    </xf>
    <xf borderId="1" fillId="8" fontId="2" numFmtId="0" xfId="0" applyAlignment="1" applyBorder="1" applyFont="1">
      <alignment vertical="center"/>
    </xf>
    <xf borderId="0" fillId="8" fontId="2" numFmtId="0" xfId="0" applyAlignment="1" applyFont="1">
      <alignment vertical="center"/>
    </xf>
    <xf borderId="1" fillId="3" fontId="42" numFmtId="0" xfId="0" applyAlignment="1" applyBorder="1" applyFont="1">
      <alignment horizontal="left" vertical="center"/>
    </xf>
    <xf borderId="0" fillId="3" fontId="34" numFmtId="0" xfId="0" applyAlignment="1" applyFont="1">
      <alignment vertical="center"/>
    </xf>
    <xf borderId="84" fillId="36" fontId="47" numFmtId="0" xfId="0" applyAlignment="1" applyBorder="1" applyFill="1" applyFont="1">
      <alignment vertical="center"/>
    </xf>
    <xf borderId="84" fillId="3" fontId="48" numFmtId="0" xfId="0" applyAlignment="1" applyBorder="1" applyFont="1">
      <alignment horizontal="center" vertical="center"/>
    </xf>
    <xf borderId="40" fillId="3" fontId="2" numFmtId="0" xfId="0" applyAlignment="1" applyBorder="1" applyFont="1">
      <alignment vertical="center"/>
    </xf>
    <xf borderId="0" fillId="3" fontId="2" numFmtId="0" xfId="0" applyAlignment="1" applyFont="1">
      <alignment vertical="center"/>
    </xf>
    <xf borderId="84" fillId="3" fontId="48" numFmtId="0" xfId="0" applyAlignment="1" applyBorder="1" applyFont="1">
      <alignment vertical="center"/>
    </xf>
    <xf borderId="84" fillId="36" fontId="2" numFmtId="0" xfId="0" applyAlignment="1" applyBorder="1" applyFont="1">
      <alignment vertical="center"/>
    </xf>
    <xf borderId="0" fillId="36" fontId="2" numFmtId="0" xfId="0" applyAlignment="1" applyFont="1">
      <alignment vertical="center"/>
    </xf>
    <xf borderId="1" fillId="3" fontId="49" numFmtId="0" xfId="0" applyAlignment="1" applyBorder="1" applyFont="1">
      <alignment vertical="center"/>
    </xf>
    <xf borderId="84" fillId="36" fontId="48" numFmtId="0" xfId="0" applyAlignment="1" applyBorder="1" applyFont="1">
      <alignment vertical="center"/>
    </xf>
    <xf borderId="41" fillId="25" fontId="21" numFmtId="0" xfId="0" applyAlignment="1" applyBorder="1" applyFont="1">
      <alignment vertical="center"/>
    </xf>
    <xf borderId="1" fillId="3" fontId="40" numFmtId="0" xfId="0" applyAlignment="1" applyBorder="1" applyFont="1">
      <alignment horizontal="left" vertical="center"/>
    </xf>
    <xf borderId="85" fillId="36" fontId="47" numFmtId="0" xfId="0" applyAlignment="1" applyBorder="1" applyFont="1">
      <alignment vertical="center"/>
    </xf>
    <xf borderId="40" fillId="3" fontId="34" numFmtId="0" xfId="0" applyAlignment="1" applyBorder="1" applyFont="1">
      <alignment vertical="center"/>
    </xf>
    <xf borderId="86" fillId="36" fontId="47" numFmtId="0" xfId="0" applyAlignment="1" applyBorder="1" applyFont="1">
      <alignment vertical="center"/>
    </xf>
    <xf borderId="41" fillId="2" fontId="23" numFmtId="165" xfId="0" applyAlignment="1" applyBorder="1" applyFont="1" applyNumberFormat="1">
      <alignment horizontal="center" shrinkToFit="0" vertical="center" wrapText="1"/>
    </xf>
    <xf borderId="1" fillId="3" fontId="50" numFmtId="0" xfId="0" applyAlignment="1" applyBorder="1" applyFont="1">
      <alignment vertical="center"/>
    </xf>
    <xf borderId="0" fillId="0" fontId="42" numFmtId="0" xfId="0" applyAlignment="1" applyFont="1">
      <alignment horizontal="left" vertical="center"/>
    </xf>
    <xf borderId="85" fillId="3" fontId="48" numFmtId="0" xfId="0" applyAlignment="1" applyBorder="1" applyFont="1">
      <alignment vertical="center"/>
    </xf>
    <xf borderId="87" fillId="3" fontId="48" numFmtId="0" xfId="0" applyAlignment="1" applyBorder="1" applyFont="1">
      <alignment vertical="center"/>
    </xf>
    <xf borderId="1" fillId="3" fontId="22" numFmtId="0" xfId="0" applyAlignment="1" applyBorder="1" applyFont="1">
      <alignment horizontal="left" vertical="center"/>
    </xf>
    <xf borderId="1" fillId="3" fontId="17" numFmtId="0" xfId="0" applyAlignment="1" applyBorder="1" applyFont="1">
      <alignment horizontal="left" vertical="center"/>
    </xf>
    <xf borderId="88" fillId="3" fontId="51" numFmtId="167" xfId="0" applyAlignment="1" applyBorder="1" applyFont="1" applyNumberFormat="1">
      <alignment horizontal="center" vertical="center"/>
    </xf>
    <xf borderId="41" fillId="2" fontId="23" numFmtId="167" xfId="0" applyAlignment="1" applyBorder="1" applyFont="1" applyNumberFormat="1">
      <alignment horizontal="center" vertical="center"/>
    </xf>
    <xf borderId="41" fillId="2" fontId="23" numFmtId="164" xfId="0" applyAlignment="1" applyBorder="1" applyFont="1" applyNumberFormat="1">
      <alignment horizontal="center" vertical="center"/>
    </xf>
    <xf borderId="1" fillId="4" fontId="12" numFmtId="0" xfId="0" applyAlignment="1" applyBorder="1" applyFont="1">
      <alignment shrinkToFit="0" wrapText="1"/>
    </xf>
    <xf borderId="1" fillId="4" fontId="13" numFmtId="0" xfId="0" applyAlignment="1" applyBorder="1" applyFont="1">
      <alignment horizontal="right" shrinkToFit="0" wrapText="1"/>
    </xf>
    <xf borderId="41" fillId="25" fontId="21" numFmtId="0" xfId="0" applyBorder="1" applyFont="1"/>
    <xf borderId="81" fillId="22" fontId="12" numFmtId="0" xfId="0" applyAlignment="1" applyBorder="1" applyFont="1">
      <alignment horizontal="left" vertical="center"/>
    </xf>
    <xf borderId="41" fillId="2" fontId="23" numFmtId="164" xfId="0" applyAlignment="1" applyBorder="1" applyFont="1" applyNumberFormat="1">
      <alignment horizontal="right" vertical="center"/>
    </xf>
    <xf borderId="81" fillId="22" fontId="13" numFmtId="0" xfId="0" applyAlignment="1" applyBorder="1" applyFont="1">
      <alignment horizontal="left" vertical="center"/>
    </xf>
    <xf borderId="0" fillId="0" fontId="2" numFmtId="165" xfId="0" applyFont="1" applyNumberFormat="1"/>
    <xf borderId="37" fillId="23" fontId="34" numFmtId="0" xfId="0" applyAlignment="1" applyBorder="1" applyFont="1">
      <alignment horizontal="center" vertical="center"/>
    </xf>
    <xf borderId="42" fillId="28" fontId="2" numFmtId="165" xfId="0" applyAlignment="1" applyBorder="1" applyFont="1" applyNumberFormat="1">
      <alignment horizontal="center" vertical="center"/>
    </xf>
    <xf borderId="42" fillId="28" fontId="2" numFmtId="164" xfId="0" applyAlignment="1" applyBorder="1" applyFont="1" applyNumberFormat="1">
      <alignment horizontal="right" vertical="center"/>
    </xf>
    <xf borderId="1" fillId="10" fontId="29" numFmtId="0" xfId="0" applyAlignment="1" applyBorder="1" applyFont="1">
      <alignment vertical="center"/>
    </xf>
    <xf borderId="1" fillId="10" fontId="12" numFmtId="0" xfId="0" applyAlignment="1" applyBorder="1" applyFont="1">
      <alignment horizontal="center" vertical="center"/>
    </xf>
    <xf borderId="1" fillId="10" fontId="2" numFmtId="0" xfId="0" applyAlignment="1" applyBorder="1" applyFont="1">
      <alignment horizontal="center" vertical="center"/>
    </xf>
    <xf borderId="1" fillId="10" fontId="17" numFmtId="0" xfId="0" applyAlignment="1" applyBorder="1" applyFont="1">
      <alignment vertical="center"/>
    </xf>
    <xf borderId="68" fillId="10" fontId="2" numFmtId="0" xfId="0" applyAlignment="1" applyBorder="1" applyFont="1">
      <alignment vertical="center"/>
    </xf>
    <xf borderId="5" fillId="3" fontId="52" numFmtId="0" xfId="0" applyAlignment="1" applyBorder="1" applyFont="1">
      <alignment vertical="center"/>
    </xf>
    <xf borderId="5" fillId="3" fontId="15" numFmtId="0" xfId="0" applyAlignment="1" applyBorder="1" applyFont="1">
      <alignment vertical="center"/>
    </xf>
    <xf borderId="1" fillId="3" fontId="53" numFmtId="0" xfId="0" applyAlignment="1" applyBorder="1" applyFont="1">
      <alignment vertical="center"/>
    </xf>
    <xf borderId="40" fillId="30" fontId="2" numFmtId="0" xfId="0" applyAlignment="1" applyBorder="1" applyFont="1">
      <alignment vertical="center"/>
    </xf>
    <xf borderId="40" fillId="26" fontId="54" numFmtId="0" xfId="0" applyAlignment="1" applyBorder="1" applyFont="1">
      <alignment vertical="center"/>
    </xf>
    <xf borderId="40" fillId="26" fontId="54" numFmtId="0" xfId="0" applyAlignment="1" applyBorder="1" applyFont="1">
      <alignment horizontal="center" vertical="center"/>
    </xf>
    <xf borderId="5" fillId="3" fontId="55" numFmtId="0" xfId="0" applyAlignment="1" applyBorder="1" applyFont="1">
      <alignment vertical="center"/>
    </xf>
    <xf borderId="5" fillId="3" fontId="50" numFmtId="0" xfId="0" applyAlignment="1" applyBorder="1" applyFont="1">
      <alignment horizontal="left" shrinkToFit="0" vertical="center" wrapText="1"/>
    </xf>
    <xf borderId="5" fillId="3" fontId="4" numFmtId="0" xfId="0" applyAlignment="1" applyBorder="1" applyFont="1">
      <alignment horizontal="right" vertical="center"/>
    </xf>
    <xf borderId="42" fillId="28" fontId="2" numFmtId="166" xfId="0" applyAlignment="1" applyBorder="1" applyFont="1" applyNumberFormat="1">
      <alignment horizontal="center" vertical="center"/>
    </xf>
    <xf borderId="5" fillId="3" fontId="40" numFmtId="0" xfId="0" applyAlignment="1" applyBorder="1" applyFont="1">
      <alignment vertical="center"/>
    </xf>
    <xf borderId="1" fillId="3" fontId="56" numFmtId="0" xfId="0" applyAlignment="1" applyBorder="1" applyFont="1">
      <alignment vertical="center"/>
    </xf>
    <xf borderId="5" fillId="3" fontId="57" numFmtId="0" xfId="0" applyAlignment="1" applyBorder="1" applyFont="1">
      <alignment vertical="center"/>
    </xf>
    <xf borderId="40" fillId="23" fontId="17" numFmtId="0" xfId="0" applyAlignment="1" applyBorder="1" applyFont="1">
      <alignment vertical="center"/>
    </xf>
    <xf borderId="1" fillId="3" fontId="58" numFmtId="0" xfId="0" applyAlignment="1" applyBorder="1" applyFont="1">
      <alignment vertical="center"/>
    </xf>
    <xf borderId="5" fillId="3" fontId="59" numFmtId="0" xfId="0" applyAlignment="1" applyBorder="1" applyFont="1">
      <alignment horizontal="right" vertical="center"/>
    </xf>
    <xf borderId="41" fillId="27" fontId="21" numFmtId="165" xfId="0" applyAlignment="1" applyBorder="1" applyFont="1" applyNumberFormat="1">
      <alignment horizontal="center" vertical="center"/>
    </xf>
    <xf borderId="69" fillId="27" fontId="21" numFmtId="165" xfId="0" applyAlignment="1" applyBorder="1" applyFont="1" applyNumberFormat="1">
      <alignment horizontal="center" vertical="center"/>
    </xf>
    <xf borderId="1" fillId="3" fontId="60" numFmtId="0" xfId="0" applyAlignment="1" applyBorder="1" applyFont="1">
      <alignment vertical="center"/>
    </xf>
    <xf borderId="5" fillId="3" fontId="17" numFmtId="0" xfId="0" applyAlignment="1" applyBorder="1" applyFont="1">
      <alignment vertical="center"/>
    </xf>
    <xf borderId="58" fillId="0" fontId="17" numFmtId="0" xfId="0" applyAlignment="1" applyBorder="1" applyFont="1">
      <alignment horizontal="left" vertical="center"/>
    </xf>
    <xf borderId="0" fillId="0" fontId="50" numFmtId="0" xfId="0" applyAlignment="1" applyFont="1">
      <alignment vertical="center"/>
    </xf>
    <xf borderId="40" fillId="37" fontId="26" numFmtId="0" xfId="0" applyAlignment="1" applyBorder="1" applyFill="1" applyFont="1">
      <alignment horizontal="center" vertical="center"/>
    </xf>
    <xf borderId="1" fillId="2" fontId="53" numFmtId="0" xfId="0" applyAlignment="1" applyBorder="1" applyFont="1">
      <alignment vertical="center"/>
    </xf>
    <xf borderId="1" fillId="2" fontId="50" numFmtId="0" xfId="0" applyAlignment="1" applyBorder="1" applyFont="1">
      <alignment vertical="center"/>
    </xf>
    <xf borderId="83" fillId="10" fontId="12" numFmtId="0" xfId="0" applyAlignment="1" applyBorder="1" applyFont="1">
      <alignment vertical="center"/>
    </xf>
    <xf borderId="1" fillId="10" fontId="2" numFmtId="0" xfId="0" applyAlignment="1" applyBorder="1" applyFont="1">
      <alignment vertical="center"/>
    </xf>
    <xf borderId="1" fillId="3" fontId="52" numFmtId="0" xfId="0" applyAlignment="1" applyBorder="1" applyFont="1">
      <alignment vertical="center"/>
    </xf>
    <xf borderId="1" fillId="3" fontId="4" numFmtId="0" xfId="0" applyAlignment="1" applyBorder="1" applyFont="1">
      <alignment horizontal="right" vertical="center"/>
    </xf>
    <xf borderId="1" fillId="3" fontId="15" numFmtId="0" xfId="0" applyAlignment="1" applyBorder="1" applyFont="1">
      <alignment vertical="center"/>
    </xf>
    <xf borderId="1" fillId="12" fontId="12" numFmtId="0" xfId="0" applyAlignment="1" applyBorder="1" applyFont="1">
      <alignment horizontal="center" vertical="center"/>
    </xf>
    <xf borderId="1" fillId="12" fontId="4" numFmtId="0" xfId="0" applyAlignment="1" applyBorder="1" applyFont="1">
      <alignment vertical="center"/>
    </xf>
    <xf borderId="5" fillId="13" fontId="4" numFmtId="0" xfId="0" applyAlignment="1" applyBorder="1" applyFont="1">
      <alignment horizontal="left" vertical="center"/>
    </xf>
    <xf borderId="1" fillId="13" fontId="2" numFmtId="0" xfId="0" applyAlignment="1" applyBorder="1" applyFont="1">
      <alignment vertical="center"/>
    </xf>
    <xf borderId="1" fillId="13" fontId="2" numFmtId="0" xfId="0" applyAlignment="1" applyBorder="1" applyFont="1">
      <alignment horizontal="center" vertical="center"/>
    </xf>
    <xf borderId="5" fillId="3" fontId="61" numFmtId="0" xfId="0" applyAlignment="1" applyBorder="1" applyFont="1">
      <alignment vertical="center"/>
    </xf>
    <xf borderId="1" fillId="3" fontId="62" numFmtId="0" xfId="0" applyAlignment="1" applyBorder="1" applyFont="1">
      <alignment vertical="center"/>
    </xf>
    <xf borderId="74" fillId="29" fontId="4" numFmtId="0" xfId="0" applyAlignment="1" applyBorder="1" applyFont="1">
      <alignment horizontal="left" vertical="center"/>
    </xf>
    <xf borderId="1" fillId="3" fontId="63" numFmtId="0" xfId="0" applyAlignment="1" applyBorder="1" applyFont="1">
      <alignment vertical="center"/>
    </xf>
    <xf borderId="1" fillId="3" fontId="64" numFmtId="0" xfId="0" applyAlignment="1" applyBorder="1" applyFont="1">
      <alignment vertical="center"/>
    </xf>
    <xf borderId="0" fillId="0" fontId="63" numFmtId="0" xfId="0" applyAlignment="1" applyFont="1">
      <alignment vertical="center"/>
    </xf>
    <xf borderId="72" fillId="29" fontId="2" numFmtId="0" xfId="0" applyAlignment="1" applyBorder="1" applyFont="1">
      <alignment vertical="center"/>
    </xf>
    <xf borderId="40" fillId="29" fontId="2" numFmtId="0" xfId="0" applyAlignment="1" applyBorder="1" applyFont="1">
      <alignment shrinkToFit="0" vertical="center" wrapText="1"/>
    </xf>
    <xf borderId="41" fillId="38" fontId="21" numFmtId="165" xfId="0" applyAlignment="1" applyBorder="1" applyFill="1" applyFont="1" applyNumberFormat="1">
      <alignment horizontal="center" vertical="center"/>
    </xf>
    <xf borderId="40" fillId="38" fontId="20" numFmtId="165" xfId="0" applyAlignment="1" applyBorder="1" applyFont="1" applyNumberFormat="1">
      <alignment horizontal="center" vertical="center"/>
    </xf>
    <xf borderId="69" fillId="38" fontId="21" numFmtId="165" xfId="0" applyAlignment="1" applyBorder="1" applyFont="1" applyNumberFormat="1">
      <alignment horizontal="center" vertical="center"/>
    </xf>
    <xf borderId="40" fillId="26" fontId="46" numFmtId="0" xfId="0" applyAlignment="1" applyBorder="1" applyFont="1">
      <alignment vertical="center"/>
    </xf>
    <xf borderId="6" fillId="3" fontId="46" numFmtId="0" xfId="0" applyAlignment="1" applyBorder="1" applyFont="1">
      <alignment vertical="center"/>
    </xf>
    <xf borderId="72" fillId="23" fontId="29" numFmtId="0" xfId="0" applyAlignment="1" applyBorder="1" applyFont="1">
      <alignment vertical="center"/>
    </xf>
    <xf borderId="67" fillId="24" fontId="20" numFmtId="165" xfId="0" applyAlignment="1" applyBorder="1" applyFont="1" applyNumberFormat="1">
      <alignment horizontal="center" vertical="center"/>
    </xf>
    <xf borderId="72" fillId="24" fontId="20" numFmtId="165" xfId="0" applyAlignment="1" applyBorder="1" applyFont="1" applyNumberFormat="1">
      <alignment horizontal="center" vertical="center"/>
    </xf>
    <xf borderId="89" fillId="25" fontId="21" numFmtId="165" xfId="0" applyAlignment="1" applyBorder="1" applyFont="1" applyNumberFormat="1">
      <alignment horizontal="center" vertical="center"/>
    </xf>
    <xf borderId="90" fillId="25" fontId="21" numFmtId="165" xfId="0" applyAlignment="1" applyBorder="1" applyFont="1" applyNumberFormat="1">
      <alignment horizontal="center" vertical="center"/>
    </xf>
    <xf borderId="1" fillId="3" fontId="65" numFmtId="0" xfId="0" applyAlignment="1" applyBorder="1" applyFont="1">
      <alignment vertical="center"/>
    </xf>
    <xf borderId="72" fillId="23" fontId="2" numFmtId="0" xfId="0" applyAlignment="1" applyBorder="1" applyFont="1">
      <alignment shrinkToFit="0" vertical="center" wrapText="1"/>
    </xf>
    <xf borderId="72" fillId="2" fontId="19" numFmtId="0" xfId="0" applyAlignment="1" applyBorder="1" applyFont="1">
      <alignment shrinkToFit="0" vertical="center" wrapText="1"/>
    </xf>
    <xf borderId="40" fillId="23" fontId="2" numFmtId="0" xfId="0" applyAlignment="1" applyBorder="1" applyFont="1">
      <alignment shrinkToFit="0" vertical="center" wrapText="1"/>
    </xf>
    <xf borderId="40" fillId="31" fontId="2" numFmtId="0" xfId="0" applyAlignment="1" applyBorder="1" applyFont="1">
      <alignment vertical="center"/>
    </xf>
    <xf borderId="72" fillId="31" fontId="2" numFmtId="0" xfId="0" applyAlignment="1" applyBorder="1" applyFont="1">
      <alignment vertical="center"/>
    </xf>
    <xf borderId="58" fillId="0" fontId="2" numFmtId="0" xfId="0" applyAlignment="1" applyBorder="1" applyFont="1">
      <alignment horizontal="left" vertical="center"/>
    </xf>
    <xf borderId="41" fillId="38" fontId="21" numFmtId="165" xfId="0" applyAlignment="1" applyBorder="1" applyFont="1" applyNumberFormat="1">
      <alignment horizontal="center"/>
    </xf>
    <xf borderId="91" fillId="39" fontId="66" numFmtId="4" xfId="0" applyAlignment="1" applyBorder="1" applyFill="1" applyFont="1" applyNumberFormat="1">
      <alignment vertical="center"/>
    </xf>
    <xf borderId="58" fillId="0" fontId="61" numFmtId="0" xfId="0" applyAlignment="1" applyBorder="1" applyFont="1">
      <alignment vertical="center"/>
    </xf>
    <xf borderId="0" fillId="0" fontId="64" numFmtId="0" xfId="0" applyAlignment="1" applyFont="1">
      <alignment vertical="center"/>
    </xf>
    <xf borderId="0" fillId="0" fontId="2" numFmtId="0" xfId="0" applyAlignment="1" applyFont="1">
      <alignment horizontal="left" vertical="center"/>
    </xf>
    <xf borderId="1" fillId="3" fontId="34" numFmtId="165" xfId="0" applyAlignment="1" applyBorder="1" applyFont="1" applyNumberFormat="1">
      <alignment horizontal="left" vertical="center"/>
    </xf>
    <xf borderId="5" fillId="3" fontId="67" numFmtId="0" xfId="0" applyAlignment="1" applyBorder="1" applyFont="1">
      <alignment horizontal="right" vertical="center"/>
    </xf>
    <xf borderId="1" fillId="3" fontId="65" numFmtId="0" xfId="0" applyAlignment="1" applyBorder="1" applyFont="1">
      <alignment horizontal="right" vertical="center"/>
    </xf>
    <xf borderId="1" fillId="13" fontId="64" numFmtId="0" xfId="0" applyAlignment="1" applyBorder="1" applyFont="1">
      <alignment vertical="center"/>
    </xf>
    <xf borderId="40" fillId="26" fontId="2" numFmtId="0" xfId="0" applyBorder="1" applyFont="1"/>
    <xf borderId="1" fillId="3" fontId="68" numFmtId="0" xfId="0" applyAlignment="1" applyBorder="1" applyFont="1">
      <alignment vertical="center"/>
    </xf>
    <xf borderId="75" fillId="24" fontId="20" numFmtId="4" xfId="0" applyAlignment="1" applyBorder="1" applyFont="1" applyNumberFormat="1">
      <alignment horizontal="center" vertical="center"/>
    </xf>
    <xf borderId="40" fillId="24" fontId="20" numFmtId="4" xfId="0" applyAlignment="1" applyBorder="1" applyFont="1" applyNumberFormat="1">
      <alignment horizontal="center" vertical="center"/>
    </xf>
    <xf borderId="41" fillId="25" fontId="21" numFmtId="4" xfId="0" applyAlignment="1" applyBorder="1" applyFont="1" applyNumberFormat="1">
      <alignment horizontal="center" vertical="center"/>
    </xf>
    <xf borderId="69" fillId="25" fontId="21" numFmtId="4" xfId="0" applyAlignment="1" applyBorder="1" applyFont="1" applyNumberFormat="1">
      <alignment horizontal="center" vertical="center"/>
    </xf>
    <xf borderId="74" fillId="29" fontId="29" numFmtId="0" xfId="0" applyAlignment="1" applyBorder="1" applyFont="1">
      <alignment horizontal="left" vertical="center"/>
    </xf>
    <xf borderId="40" fillId="3" fontId="2" numFmtId="0" xfId="0" applyAlignment="1" applyBorder="1" applyFont="1">
      <alignment horizontal="left" vertical="center"/>
    </xf>
    <xf borderId="1" fillId="3" fontId="64" numFmtId="0" xfId="0" applyAlignment="1" applyBorder="1" applyFont="1">
      <alignment horizontal="left" vertical="center"/>
    </xf>
    <xf borderId="74" fillId="2" fontId="19" numFmtId="0" xfId="0" applyAlignment="1" applyBorder="1" applyFont="1">
      <alignment vertical="center"/>
    </xf>
    <xf borderId="40" fillId="13" fontId="31" numFmtId="0" xfId="0" applyAlignment="1" applyBorder="1" applyFont="1">
      <alignment horizontal="center" vertical="center"/>
    </xf>
    <xf borderId="16" fillId="34" fontId="12" numFmtId="0" xfId="0" applyAlignment="1" applyBorder="1" applyFont="1">
      <alignment horizontal="right" vertical="center"/>
    </xf>
    <xf borderId="1" fillId="3" fontId="34" numFmtId="164" xfId="0" applyAlignment="1" applyBorder="1" applyFont="1" applyNumberFormat="1">
      <alignment shrinkToFit="0" vertical="center" wrapText="1"/>
    </xf>
    <xf borderId="5" fillId="3" fontId="61" numFmtId="0" xfId="0" applyAlignment="1" applyBorder="1" applyFont="1">
      <alignment horizontal="left" vertical="center"/>
    </xf>
    <xf borderId="83" fillId="12" fontId="12" numFmtId="0" xfId="0" applyAlignment="1" applyBorder="1" applyFont="1">
      <alignment horizontal="left" vertical="center"/>
    </xf>
    <xf borderId="1" fillId="3" fontId="61" numFmtId="0" xfId="0" applyAlignment="1" applyBorder="1" applyFont="1">
      <alignment vertical="center"/>
    </xf>
    <xf borderId="75" fillId="40" fontId="29" numFmtId="4" xfId="0" applyAlignment="1" applyBorder="1" applyFill="1" applyFont="1" applyNumberFormat="1">
      <alignment horizontal="center" vertical="center"/>
    </xf>
    <xf borderId="75" fillId="40" fontId="29" numFmtId="168" xfId="0" applyAlignment="1" applyBorder="1" applyFont="1" applyNumberFormat="1">
      <alignment horizontal="center" vertical="center"/>
    </xf>
    <xf borderId="75" fillId="40" fontId="29" numFmtId="165" xfId="0" applyAlignment="1" applyBorder="1" applyFont="1" applyNumberFormat="1">
      <alignment horizontal="center" vertical="center"/>
    </xf>
    <xf borderId="1" fillId="3" fontId="69" numFmtId="0" xfId="0" applyAlignment="1" applyBorder="1" applyFont="1">
      <alignment horizontal="left" vertical="center"/>
    </xf>
    <xf borderId="83" fillId="13" fontId="4" numFmtId="0" xfId="0" applyAlignment="1" applyBorder="1" applyFont="1">
      <alignment horizontal="left" vertical="center"/>
    </xf>
    <xf borderId="92" fillId="0" fontId="51" numFmtId="165" xfId="0" applyAlignment="1" applyBorder="1" applyFont="1" applyNumberFormat="1">
      <alignment horizontal="center" vertical="center"/>
    </xf>
    <xf borderId="41" fillId="35" fontId="23" numFmtId="165" xfId="0" applyAlignment="1" applyBorder="1" applyFont="1" applyNumberFormat="1">
      <alignment horizontal="center" vertical="center"/>
    </xf>
    <xf borderId="1" fillId="3" fontId="67" numFmtId="0" xfId="0" applyAlignment="1" applyBorder="1" applyFont="1">
      <alignment horizontal="right" vertical="center"/>
    </xf>
    <xf borderId="1" fillId="3" fontId="29" numFmtId="0" xfId="0" applyAlignment="1" applyBorder="1" applyFont="1">
      <alignment horizontal="right" vertical="center"/>
    </xf>
    <xf borderId="1" fillId="13" fontId="17" numFmtId="0" xfId="0" applyAlignment="1" applyBorder="1" applyFont="1">
      <alignment vertical="center"/>
    </xf>
    <xf borderId="85" fillId="35" fontId="48" numFmtId="0" xfId="0" applyAlignment="1" applyBorder="1" applyFont="1">
      <alignment vertical="center"/>
    </xf>
    <xf borderId="87" fillId="35" fontId="48" numFmtId="0" xfId="0" applyAlignment="1" applyBorder="1" applyFont="1">
      <alignment vertical="center"/>
    </xf>
    <xf borderId="84" fillId="35" fontId="48" numFmtId="0" xfId="0" applyAlignment="1" applyBorder="1" applyFont="1">
      <alignment horizontal="center" vertical="center"/>
    </xf>
    <xf borderId="0" fillId="0" fontId="2" numFmtId="164" xfId="0" applyFont="1" applyNumberFormat="1"/>
    <xf borderId="1" fillId="12" fontId="29" numFmtId="0" xfId="0" applyAlignment="1" applyBorder="1" applyFont="1">
      <alignment vertical="center"/>
    </xf>
    <xf borderId="0" fillId="0" fontId="1" numFmtId="165" xfId="0" applyFont="1" applyNumberFormat="1"/>
    <xf borderId="5" fillId="22" fontId="24" numFmtId="0" xfId="0" applyAlignment="1" applyBorder="1" applyFont="1">
      <alignment horizontal="center" vertical="center"/>
    </xf>
    <xf borderId="1" fillId="22" fontId="24" numFmtId="0" xfId="0" applyAlignment="1" applyBorder="1" applyFont="1">
      <alignment horizontal="center" vertical="center"/>
    </xf>
    <xf borderId="6" fillId="3" fontId="28" numFmtId="0" xfId="0" applyAlignment="1" applyBorder="1" applyFont="1">
      <alignment horizontal="center" vertical="center"/>
    </xf>
    <xf borderId="1" fillId="14" fontId="12" numFmtId="0" xfId="0" applyAlignment="1" applyBorder="1" applyFont="1">
      <alignment horizontal="center" vertical="center"/>
    </xf>
    <xf borderId="1" fillId="14" fontId="2" numFmtId="0" xfId="0" applyAlignment="1" applyBorder="1" applyFont="1">
      <alignment horizontal="center" vertical="center"/>
    </xf>
    <xf borderId="1" fillId="14" fontId="17" numFmtId="0" xfId="0" applyAlignment="1" applyBorder="1" applyFont="1">
      <alignment vertical="center"/>
    </xf>
    <xf borderId="1" fillId="14" fontId="2" numFmtId="0" xfId="0" applyAlignment="1" applyBorder="1" applyFont="1">
      <alignment vertical="center"/>
    </xf>
    <xf borderId="5" fillId="3" fontId="70" numFmtId="0" xfId="0" applyAlignment="1" applyBorder="1" applyFont="1">
      <alignment vertical="center"/>
    </xf>
    <xf borderId="93" fillId="3" fontId="71" numFmtId="0" xfId="0" applyAlignment="1" applyBorder="1" applyFont="1">
      <alignment vertical="center"/>
    </xf>
    <xf borderId="5" fillId="3" fontId="34" numFmtId="0" xfId="0" applyAlignment="1" applyBorder="1" applyFont="1">
      <alignment vertical="center"/>
    </xf>
    <xf borderId="1" fillId="3" fontId="72" numFmtId="0" xfId="0" applyAlignment="1" applyBorder="1" applyFont="1">
      <alignment vertical="center"/>
    </xf>
    <xf borderId="1" fillId="3" fontId="73" numFmtId="0" xfId="0" applyAlignment="1" applyBorder="1" applyFont="1">
      <alignment horizontal="left" vertical="center"/>
    </xf>
    <xf borderId="5" fillId="3" fontId="20" numFmtId="0" xfId="0" applyAlignment="1" applyBorder="1" applyFont="1">
      <alignment horizontal="left" shrinkToFit="0" vertical="center" wrapText="1"/>
    </xf>
    <xf borderId="1" fillId="3" fontId="72" numFmtId="0" xfId="0" applyAlignment="1" applyBorder="1" applyFont="1">
      <alignment horizontal="left" vertical="center"/>
    </xf>
    <xf borderId="0" fillId="0" fontId="72" numFmtId="0" xfId="0" applyAlignment="1" applyFont="1">
      <alignment vertical="center"/>
    </xf>
    <xf borderId="75" fillId="24" fontId="20" numFmtId="168" xfId="0" applyAlignment="1" applyBorder="1" applyFont="1" applyNumberFormat="1">
      <alignment horizontal="center" vertical="center"/>
    </xf>
    <xf borderId="70" fillId="2" fontId="74" numFmtId="168" xfId="0" applyAlignment="1" applyBorder="1" applyFont="1" applyNumberFormat="1">
      <alignment horizontal="center" vertical="center"/>
    </xf>
    <xf borderId="40" fillId="24" fontId="75" numFmtId="168" xfId="0" applyAlignment="1" applyBorder="1" applyFont="1" applyNumberFormat="1">
      <alignment horizontal="center" vertical="center"/>
    </xf>
    <xf borderId="39" fillId="0" fontId="17" numFmtId="0" xfId="0" applyAlignment="1" applyBorder="1" applyFont="1">
      <alignment horizontal="left" vertical="center"/>
    </xf>
    <xf borderId="40" fillId="0" fontId="17" numFmtId="0" xfId="0" applyAlignment="1" applyBorder="1" applyFont="1">
      <alignment horizontal="left" vertical="center"/>
    </xf>
    <xf borderId="1" fillId="3" fontId="73" numFmtId="0" xfId="0" applyAlignment="1" applyBorder="1" applyFont="1">
      <alignment vertical="center"/>
    </xf>
    <xf borderId="1" fillId="3" fontId="34" numFmtId="167" xfId="0" applyAlignment="1" applyBorder="1" applyFont="1" applyNumberFormat="1">
      <alignment horizontal="center" vertical="center"/>
    </xf>
    <xf borderId="41" fillId="2" fontId="23" numFmtId="168" xfId="0" applyAlignment="1" applyBorder="1" applyFont="1" applyNumberFormat="1">
      <alignment horizontal="center" vertical="center"/>
    </xf>
    <xf borderId="40" fillId="24" fontId="20" numFmtId="168" xfId="0" applyAlignment="1" applyBorder="1" applyFont="1" applyNumberFormat="1">
      <alignment horizontal="center" vertical="center"/>
    </xf>
    <xf borderId="1" fillId="3" fontId="34" numFmtId="168" xfId="0" applyAlignment="1" applyBorder="1" applyFont="1" applyNumberFormat="1">
      <alignment horizontal="center" vertical="center"/>
    </xf>
    <xf borderId="75" fillId="24" fontId="20" numFmtId="3" xfId="0" applyAlignment="1" applyBorder="1" applyFont="1" applyNumberFormat="1">
      <alignment horizontal="center" vertical="center"/>
    </xf>
    <xf borderId="70" fillId="2" fontId="74" numFmtId="3" xfId="0" applyAlignment="1" applyBorder="1" applyFont="1" applyNumberFormat="1">
      <alignment horizontal="center" vertical="center"/>
    </xf>
    <xf borderId="1" fillId="3" fontId="34" numFmtId="3" xfId="0" applyAlignment="1" applyBorder="1" applyFont="1" applyNumberFormat="1">
      <alignment horizontal="center" vertical="center"/>
    </xf>
    <xf borderId="5" fillId="3" fontId="76" numFmtId="0" xfId="0" applyAlignment="1" applyBorder="1" applyFont="1">
      <alignment vertical="center"/>
    </xf>
    <xf borderId="1" fillId="3" fontId="77" numFmtId="0" xfId="0" applyAlignment="1" applyBorder="1" applyFont="1">
      <alignment vertical="center"/>
    </xf>
    <xf borderId="75" fillId="24" fontId="20" numFmtId="169" xfId="0" applyAlignment="1" applyBorder="1" applyFont="1" applyNumberFormat="1">
      <alignment horizontal="center" vertical="center"/>
    </xf>
    <xf borderId="70" fillId="2" fontId="74" numFmtId="169" xfId="0" applyAlignment="1" applyBorder="1" applyFont="1" applyNumberFormat="1">
      <alignment horizontal="center" vertical="center"/>
    </xf>
    <xf borderId="70" fillId="2" fontId="74" numFmtId="164" xfId="0" applyAlignment="1" applyBorder="1" applyFont="1" applyNumberFormat="1">
      <alignment horizontal="center" vertical="center"/>
    </xf>
    <xf borderId="5" fillId="3" fontId="2" numFmtId="0" xfId="0" applyAlignment="1" applyBorder="1" applyFont="1">
      <alignment horizontal="left" shrinkToFit="0" vertical="center" wrapText="1"/>
    </xf>
    <xf borderId="1" fillId="3" fontId="28" numFmtId="0" xfId="0" applyAlignment="1" applyBorder="1" applyFont="1">
      <alignment vertical="center"/>
    </xf>
    <xf borderId="41" fillId="25" fontId="21" numFmtId="168" xfId="0" applyAlignment="1" applyBorder="1" applyFont="1" applyNumberFormat="1">
      <alignment horizontal="center" vertical="center"/>
    </xf>
    <xf borderId="5" fillId="3" fontId="78" numFmtId="0" xfId="0" applyAlignment="1" applyBorder="1" applyFont="1">
      <alignment vertical="center"/>
    </xf>
    <xf borderId="40" fillId="3" fontId="17" numFmtId="0" xfId="0" applyAlignment="1" applyBorder="1" applyFont="1">
      <alignment horizontal="left" vertical="center"/>
    </xf>
    <xf borderId="40" fillId="26" fontId="17" numFmtId="0" xfId="0" applyAlignment="1" applyBorder="1" applyFont="1">
      <alignment horizontal="left" vertical="center"/>
    </xf>
    <xf borderId="40" fillId="15" fontId="26" numFmtId="0" xfId="0" applyAlignment="1" applyBorder="1" applyFont="1">
      <alignment horizontal="center" vertical="center"/>
    </xf>
    <xf borderId="1" fillId="3" fontId="12" numFmtId="0" xfId="0" applyAlignment="1" applyBorder="1" applyFont="1">
      <alignment vertical="center"/>
    </xf>
    <xf borderId="5" fillId="3" fontId="12" numFmtId="0" xfId="0" applyAlignment="1" applyBorder="1" applyFont="1">
      <alignment horizontal="left" vertical="center"/>
    </xf>
    <xf borderId="5" fillId="3" fontId="72" numFmtId="0" xfId="0" applyAlignment="1" applyBorder="1" applyFont="1">
      <alignment vertical="center"/>
    </xf>
    <xf borderId="5" fillId="3" fontId="70" numFmtId="0" xfId="0" applyAlignment="1" applyBorder="1" applyFont="1">
      <alignment horizontal="left" vertical="center"/>
    </xf>
    <xf borderId="1" fillId="3" fontId="79" numFmtId="0" xfId="0" applyBorder="1" applyFont="1"/>
    <xf borderId="1" fillId="3" fontId="79" numFmtId="2" xfId="0" applyBorder="1" applyFont="1" applyNumberFormat="1"/>
    <xf borderId="1" fillId="41" fontId="79" numFmtId="0" xfId="0" applyBorder="1" applyFill="1" applyFont="1"/>
    <xf borderId="1" fillId="3" fontId="80" numFmtId="0" xfId="0" applyBorder="1" applyFont="1"/>
    <xf borderId="1" fillId="3" fontId="81" numFmtId="0" xfId="0" applyBorder="1" applyFont="1"/>
    <xf borderId="1" fillId="3" fontId="82" numFmtId="0" xfId="0" applyBorder="1" applyFont="1"/>
    <xf borderId="1" fillId="3" fontId="79" numFmtId="1" xfId="0" applyAlignment="1" applyBorder="1" applyFont="1" applyNumberFormat="1">
      <alignment vertical="center"/>
    </xf>
    <xf borderId="1" fillId="3" fontId="79" numFmtId="1" xfId="0" applyBorder="1" applyFont="1" applyNumberFormat="1"/>
    <xf borderId="1" fillId="3" fontId="79" numFmtId="0" xfId="0" applyAlignment="1" applyBorder="1" applyFont="1">
      <alignment horizontal="center" vertical="center"/>
    </xf>
    <xf borderId="1" fillId="3" fontId="79" numFmtId="167" xfId="0" applyBorder="1" applyFont="1" applyNumberFormat="1"/>
    <xf borderId="52" fillId="3" fontId="83" numFmtId="0" xfId="0" applyAlignment="1" applyBorder="1" applyFont="1">
      <alignment horizontal="center" vertical="top"/>
    </xf>
    <xf borderId="94" fillId="0" fontId="11" numFmtId="0" xfId="0" applyBorder="1" applyFont="1"/>
    <xf borderId="52" fillId="3" fontId="83" numFmtId="0" xfId="0" applyAlignment="1" applyBorder="1" applyFont="1">
      <alignment horizontal="center" vertical="center"/>
    </xf>
    <xf borderId="1" fillId="3" fontId="84" numFmtId="0" xfId="0" applyBorder="1" applyFont="1"/>
    <xf borderId="1" fillId="3" fontId="83" numFmtId="0" xfId="0" applyBorder="1" applyFont="1"/>
    <xf borderId="95" fillId="11" fontId="81" numFmtId="0" xfId="0" applyAlignment="1" applyBorder="1" applyFont="1">
      <alignment horizontal="center" vertical="center"/>
    </xf>
    <xf borderId="96" fillId="0" fontId="11" numFmtId="0" xfId="0" applyBorder="1" applyFont="1"/>
    <xf borderId="50" fillId="42" fontId="81" numFmtId="0" xfId="0" applyAlignment="1" applyBorder="1" applyFill="1" applyFont="1">
      <alignment horizontal="center" shrinkToFit="0" vertical="center" wrapText="1"/>
    </xf>
    <xf borderId="97" fillId="43" fontId="81" numFmtId="0" xfId="0" applyAlignment="1" applyBorder="1" applyFill="1" applyFont="1">
      <alignment horizontal="center" shrinkToFit="0" vertical="center" wrapText="1"/>
    </xf>
    <xf borderId="98" fillId="0" fontId="11" numFmtId="0" xfId="0" applyBorder="1" applyFont="1"/>
    <xf borderId="51" fillId="43" fontId="81" numFmtId="167" xfId="0" applyAlignment="1" applyBorder="1" applyFont="1" applyNumberFormat="1">
      <alignment horizontal="center" shrinkToFit="0" vertical="center" wrapText="1"/>
    </xf>
    <xf borderId="97" fillId="11" fontId="81" numFmtId="0" xfId="0" applyAlignment="1" applyBorder="1" applyFont="1">
      <alignment horizontal="center" vertical="center"/>
    </xf>
    <xf borderId="2" fillId="3" fontId="83" numFmtId="0" xfId="0" applyAlignment="1" applyBorder="1" applyFont="1">
      <alignment vertical="center"/>
    </xf>
    <xf borderId="3" fillId="3" fontId="83" numFmtId="0" xfId="0" applyAlignment="1" applyBorder="1" applyFont="1">
      <alignment vertical="center"/>
    </xf>
    <xf borderId="3" fillId="3" fontId="83" numFmtId="0" xfId="0" applyBorder="1" applyFont="1"/>
    <xf borderId="5" fillId="3" fontId="83" numFmtId="0" xfId="0" applyAlignment="1" applyBorder="1" applyFont="1">
      <alignment horizontal="right" vertical="center"/>
    </xf>
    <xf borderId="6" fillId="3" fontId="83" numFmtId="0" xfId="0" applyAlignment="1" applyBorder="1" applyFont="1">
      <alignment horizontal="right" vertical="center"/>
    </xf>
    <xf borderId="1" fillId="3" fontId="83" numFmtId="0" xfId="0" applyAlignment="1" applyBorder="1" applyFont="1">
      <alignment horizontal="right" vertical="center"/>
    </xf>
    <xf borderId="1" fillId="3" fontId="83" numFmtId="1" xfId="0" applyAlignment="1" applyBorder="1" applyFont="1" applyNumberFormat="1">
      <alignment horizontal="right" vertical="center"/>
    </xf>
    <xf borderId="6" fillId="3" fontId="83" numFmtId="1" xfId="0" applyAlignment="1" applyBorder="1" applyFont="1" applyNumberFormat="1">
      <alignment horizontal="right" vertical="center"/>
    </xf>
    <xf borderId="4" fillId="3" fontId="83" numFmtId="0" xfId="0" applyAlignment="1" applyBorder="1" applyFont="1">
      <alignment vertical="center"/>
    </xf>
    <xf borderId="3" fillId="3" fontId="83" numFmtId="0" xfId="0" applyAlignment="1" applyBorder="1" applyFont="1">
      <alignment horizontal="right" vertical="center"/>
    </xf>
    <xf borderId="4" fillId="3" fontId="83" numFmtId="0" xfId="0" applyAlignment="1" applyBorder="1" applyFont="1">
      <alignment horizontal="right" vertical="center"/>
    </xf>
    <xf borderId="3" fillId="3" fontId="83" numFmtId="1" xfId="0" applyAlignment="1" applyBorder="1" applyFont="1" applyNumberFormat="1">
      <alignment horizontal="right" vertical="center"/>
    </xf>
    <xf borderId="4" fillId="3" fontId="83" numFmtId="1" xfId="0" applyAlignment="1" applyBorder="1" applyFont="1" applyNumberFormat="1">
      <alignment horizontal="right" vertical="center"/>
    </xf>
    <xf borderId="5" fillId="3" fontId="79" numFmtId="0" xfId="0" applyAlignment="1" applyBorder="1" applyFont="1">
      <alignment vertical="center"/>
    </xf>
    <xf borderId="1" fillId="3" fontId="79" numFmtId="0" xfId="0" applyAlignment="1" applyBorder="1" applyFont="1">
      <alignment vertical="center"/>
    </xf>
    <xf borderId="99" fillId="2" fontId="74" numFmtId="169" xfId="0" applyAlignment="1" applyBorder="1" applyFont="1" applyNumberFormat="1">
      <alignment horizontal="center" vertical="center"/>
    </xf>
    <xf borderId="70" fillId="2" fontId="74" numFmtId="170" xfId="0" applyAlignment="1" applyBorder="1" applyFont="1" applyNumberFormat="1">
      <alignment horizontal="center" vertical="center"/>
    </xf>
    <xf borderId="100" fillId="2" fontId="74" numFmtId="169" xfId="0" applyAlignment="1" applyBorder="1" applyFont="1" applyNumberFormat="1">
      <alignment horizontal="center" vertical="center"/>
    </xf>
    <xf borderId="6" fillId="3" fontId="79" numFmtId="0" xfId="0" applyBorder="1" applyFont="1"/>
    <xf borderId="70" fillId="2" fontId="74" numFmtId="167" xfId="0" applyAlignment="1" applyBorder="1" applyFont="1" applyNumberFormat="1">
      <alignment horizontal="center" vertical="center"/>
    </xf>
    <xf borderId="70" fillId="2" fontId="85" numFmtId="167" xfId="0" applyAlignment="1" applyBorder="1" applyFont="1" applyNumberFormat="1">
      <alignment horizontal="center" vertical="center"/>
    </xf>
    <xf borderId="101" fillId="25" fontId="21" numFmtId="0" xfId="0" applyAlignment="1" applyBorder="1" applyFont="1">
      <alignment horizontal="center"/>
    </xf>
    <xf borderId="1" fillId="3" fontId="86" numFmtId="0" xfId="0" applyBorder="1" applyFont="1"/>
    <xf borderId="1" fillId="41" fontId="2" numFmtId="0" xfId="0" applyBorder="1" applyFont="1"/>
    <xf borderId="1" fillId="3" fontId="13" numFmtId="0" xfId="0" applyBorder="1" applyFont="1"/>
    <xf borderId="1" fillId="3" fontId="87" numFmtId="0" xfId="0" applyBorder="1" applyFont="1"/>
    <xf borderId="1" fillId="44" fontId="2" numFmtId="0" xfId="0" applyBorder="1" applyFill="1" applyFont="1"/>
    <xf borderId="5" fillId="3" fontId="81" numFmtId="0" xfId="0" applyAlignment="1" applyBorder="1" applyFont="1">
      <alignment vertical="center"/>
    </xf>
    <xf borderId="1" fillId="3" fontId="81" numFmtId="0" xfId="0" applyAlignment="1" applyBorder="1" applyFont="1">
      <alignment vertical="center"/>
    </xf>
    <xf borderId="6" fillId="3" fontId="81" numFmtId="0" xfId="0" applyBorder="1" applyFont="1"/>
    <xf borderId="49" fillId="3" fontId="79" numFmtId="0" xfId="0" applyAlignment="1" applyBorder="1" applyFont="1">
      <alignment vertical="center"/>
    </xf>
    <xf borderId="50" fillId="3" fontId="79" numFmtId="0" xfId="0" applyAlignment="1" applyBorder="1" applyFont="1">
      <alignment vertical="center"/>
    </xf>
    <xf borderId="50" fillId="3" fontId="79" numFmtId="0" xfId="0" applyBorder="1" applyFont="1"/>
    <xf borderId="51" fillId="3" fontId="79" numFmtId="0" xfId="0" applyBorder="1" applyFont="1"/>
    <xf borderId="102" fillId="2" fontId="74" numFmtId="167" xfId="0" applyAlignment="1" applyBorder="1" applyFont="1" applyNumberFormat="1">
      <alignment horizontal="center" vertical="center"/>
    </xf>
    <xf borderId="102" fillId="2" fontId="85" numFmtId="167" xfId="0" applyAlignment="1" applyBorder="1" applyFont="1" applyNumberFormat="1">
      <alignment horizontal="center" vertical="center"/>
    </xf>
    <xf borderId="1" fillId="44" fontId="79" numFmtId="0" xfId="0" applyBorder="1" applyFont="1"/>
    <xf borderId="103" fillId="2" fontId="74" numFmtId="169" xfId="0" applyAlignment="1" applyBorder="1" applyFont="1" applyNumberFormat="1">
      <alignment horizontal="center" vertical="center"/>
    </xf>
    <xf borderId="102" fillId="2" fontId="74" numFmtId="169" xfId="0" applyAlignment="1" applyBorder="1" applyFont="1" applyNumberFormat="1">
      <alignment horizontal="center" vertical="center"/>
    </xf>
    <xf borderId="102" fillId="2" fontId="74" numFmtId="170" xfId="0" applyAlignment="1" applyBorder="1" applyFont="1" applyNumberFormat="1">
      <alignment horizontal="center" vertical="center"/>
    </xf>
    <xf borderId="104" fillId="2" fontId="74" numFmtId="169" xfId="0" applyAlignment="1" applyBorder="1" applyFont="1" applyNumberFormat="1">
      <alignment horizontal="center" vertical="center"/>
    </xf>
    <xf borderId="1" fillId="3" fontId="88" numFmtId="0" xfId="0" applyBorder="1" applyFont="1"/>
    <xf borderId="1" fillId="3" fontId="79" numFmtId="171" xfId="0" applyBorder="1" applyFont="1" applyNumberFormat="1"/>
    <xf borderId="1" fillId="41" fontId="89" numFmtId="0" xfId="0" applyBorder="1" applyFont="1"/>
    <xf borderId="1" fillId="3" fontId="90" numFmtId="0" xfId="0" applyAlignment="1" applyBorder="1" applyFont="1">
      <alignment horizontal="right"/>
    </xf>
    <xf borderId="101" fillId="25" fontId="21" numFmtId="0" xfId="0" applyAlignment="1" applyBorder="1" applyFont="1">
      <alignment horizontal="center" vertical="center"/>
    </xf>
    <xf borderId="1" fillId="3" fontId="91" numFmtId="0" xfId="0" applyBorder="1" applyFont="1"/>
    <xf borderId="1" fillId="3" fontId="83" numFmtId="0" xfId="0" applyAlignment="1" applyBorder="1" applyFont="1">
      <alignment horizontal="center"/>
    </xf>
    <xf borderId="1" fillId="41" fontId="92" numFmtId="0" xfId="0" applyBorder="1" applyFont="1"/>
    <xf borderId="1" fillId="3" fontId="4" numFmtId="0" xfId="0" applyAlignment="1" applyBorder="1" applyFont="1">
      <alignment horizontal="center" vertical="center"/>
    </xf>
    <xf borderId="1" fillId="3" fontId="93" numFmtId="0" xfId="0" applyAlignment="1" applyBorder="1" applyFont="1">
      <alignment horizontal="right"/>
    </xf>
    <xf borderId="105" fillId="25" fontId="21" numFmtId="164" xfId="0" applyAlignment="1" applyBorder="1" applyFont="1" applyNumberFormat="1">
      <alignment horizontal="center"/>
    </xf>
    <xf borderId="106" fillId="25" fontId="21" numFmtId="164" xfId="0" applyAlignment="1" applyBorder="1" applyFont="1" applyNumberFormat="1">
      <alignment horizontal="center"/>
    </xf>
    <xf borderId="107" fillId="25" fontId="21" numFmtId="164" xfId="0" applyAlignment="1" applyBorder="1" applyFont="1" applyNumberFormat="1">
      <alignment horizontal="center"/>
    </xf>
    <xf borderId="70" fillId="45" fontId="74" numFmtId="167" xfId="0" applyAlignment="1" applyBorder="1" applyFill="1" applyFont="1" applyNumberFormat="1">
      <alignment horizontal="center" vertical="center"/>
    </xf>
    <xf borderId="1" fillId="3" fontId="90" numFmtId="0" xfId="0" applyBorder="1" applyFont="1"/>
    <xf borderId="108" fillId="25" fontId="21" numFmtId="0" xfId="0" applyAlignment="1" applyBorder="1" applyFont="1">
      <alignment horizontal="center"/>
    </xf>
    <xf borderId="109" fillId="0" fontId="11" numFmtId="0" xfId="0" applyBorder="1" applyFont="1"/>
    <xf borderId="110" fillId="25" fontId="21" numFmtId="164" xfId="0" applyAlignment="1" applyBorder="1" applyFont="1" applyNumberFormat="1">
      <alignment horizontal="center"/>
    </xf>
    <xf borderId="41" fillId="25" fontId="21" numFmtId="164" xfId="0" applyAlignment="1" applyBorder="1" applyFont="1" applyNumberFormat="1">
      <alignment horizontal="center"/>
    </xf>
    <xf borderId="111" fillId="25" fontId="21" numFmtId="164" xfId="0" applyAlignment="1" applyBorder="1" applyFont="1" applyNumberFormat="1">
      <alignment horizontal="center"/>
    </xf>
    <xf borderId="112" fillId="25" fontId="21" numFmtId="164" xfId="0" applyAlignment="1" applyBorder="1" applyFont="1" applyNumberFormat="1">
      <alignment horizontal="center"/>
    </xf>
    <xf borderId="113" fillId="25" fontId="21" numFmtId="164" xfId="0" applyAlignment="1" applyBorder="1" applyFont="1" applyNumberFormat="1">
      <alignment horizontal="center"/>
    </xf>
    <xf borderId="114" fillId="25" fontId="21" numFmtId="164" xfId="0" applyAlignment="1" applyBorder="1" applyFont="1" applyNumberFormat="1">
      <alignment horizontal="center"/>
    </xf>
    <xf borderId="1" fillId="3" fontId="79" numFmtId="164" xfId="0" applyBorder="1" applyFont="1" applyNumberFormat="1"/>
    <xf borderId="1" fillId="3" fontId="86" numFmtId="0" xfId="0" applyAlignment="1" applyBorder="1" applyFont="1">
      <alignment shrinkToFit="0" wrapText="1"/>
    </xf>
    <xf borderId="1" fillId="3" fontId="86" numFmtId="1" xfId="0" applyAlignment="1" applyBorder="1" applyFont="1" applyNumberFormat="1">
      <alignment vertical="center"/>
    </xf>
    <xf borderId="1" fillId="3" fontId="94" numFmtId="0" xfId="0" applyBorder="1" applyFont="1"/>
    <xf borderId="115" fillId="3" fontId="95" numFmtId="0" xfId="0" applyAlignment="1" applyBorder="1" applyFont="1">
      <alignment horizontal="center" vertical="center"/>
    </xf>
    <xf borderId="1" fillId="3" fontId="96" numFmtId="0" xfId="0" applyBorder="1" applyFont="1"/>
    <xf borderId="1" fillId="3" fontId="97" numFmtId="0" xfId="0" applyBorder="1" applyFont="1"/>
    <xf borderId="1" fillId="3" fontId="98" numFmtId="0" xfId="0" applyAlignment="1" applyBorder="1" applyFont="1">
      <alignment horizontal="center"/>
    </xf>
    <xf borderId="1" fillId="3" fontId="98" numFmtId="0" xfId="0" applyAlignment="1" applyBorder="1" applyFont="1">
      <alignment horizontal="center" vertical="center"/>
    </xf>
    <xf borderId="1" fillId="3" fontId="99" numFmtId="0" xfId="0" applyBorder="1" applyFont="1"/>
    <xf borderId="1" fillId="3" fontId="98" numFmtId="0" xfId="0" applyAlignment="1" applyBorder="1" applyFont="1">
      <alignment vertical="center"/>
    </xf>
    <xf borderId="116" fillId="3" fontId="79" numFmtId="0" xfId="0" applyAlignment="1" applyBorder="1" applyFont="1">
      <alignment horizontal="center"/>
    </xf>
    <xf borderId="116" fillId="3" fontId="79" numFmtId="1" xfId="0" applyAlignment="1" applyBorder="1" applyFont="1" applyNumberFormat="1">
      <alignment horizontal="center" vertical="center"/>
    </xf>
    <xf borderId="117" fillId="28" fontId="79" numFmtId="167" xfId="0" applyAlignment="1" applyBorder="1" applyFont="1" applyNumberFormat="1">
      <alignment horizontal="center" vertical="center"/>
    </xf>
    <xf borderId="118" fillId="25" fontId="21" numFmtId="172" xfId="0" applyAlignment="1" applyBorder="1" applyFont="1" applyNumberFormat="1">
      <alignment horizontal="center"/>
    </xf>
    <xf borderId="73" fillId="2" fontId="23" numFmtId="1" xfId="0" applyAlignment="1" applyBorder="1" applyFont="1" applyNumberFormat="1">
      <alignment horizontal="center"/>
    </xf>
    <xf borderId="1" fillId="3" fontId="79" numFmtId="0" xfId="0" applyAlignment="1" applyBorder="1" applyFont="1">
      <alignment horizontal="center"/>
    </xf>
    <xf borderId="116" fillId="3" fontId="79" numFmtId="0" xfId="0" applyAlignment="1" applyBorder="1" applyFont="1">
      <alignment horizontal="center" vertical="center"/>
    </xf>
    <xf borderId="73" fillId="2" fontId="23" numFmtId="167" xfId="0" applyAlignment="1" applyBorder="1" applyFont="1" applyNumberFormat="1">
      <alignment horizontal="center" shrinkToFit="0" vertical="center" wrapText="1"/>
    </xf>
    <xf borderId="119" fillId="25" fontId="21" numFmtId="169" xfId="0" applyAlignment="1" applyBorder="1" applyFont="1" applyNumberFormat="1">
      <alignment horizontal="center"/>
    </xf>
    <xf borderId="42" fillId="28" fontId="79" numFmtId="0" xfId="0" applyAlignment="1" applyBorder="1" applyFont="1">
      <alignment horizontal="center"/>
    </xf>
    <xf borderId="118" fillId="3" fontId="100" numFmtId="0" xfId="0" applyAlignment="1" applyBorder="1" applyFont="1">
      <alignment horizontal="center" shrinkToFit="0" vertical="center" wrapText="1"/>
    </xf>
    <xf borderId="1" fillId="3" fontId="101" numFmtId="0" xfId="0" applyBorder="1" applyFont="1"/>
    <xf borderId="116" fillId="3" fontId="101" numFmtId="0" xfId="0" applyAlignment="1" applyBorder="1" applyFont="1">
      <alignment horizontal="center"/>
    </xf>
    <xf borderId="117" fillId="28" fontId="101" numFmtId="167" xfId="0" applyAlignment="1" applyBorder="1" applyFont="1" applyNumberFormat="1">
      <alignment horizontal="center" vertical="center"/>
    </xf>
    <xf borderId="120" fillId="25" fontId="102" numFmtId="172" xfId="0" applyAlignment="1" applyBorder="1" applyFont="1" applyNumberFormat="1">
      <alignment horizontal="center"/>
    </xf>
    <xf borderId="73" fillId="2" fontId="102" numFmtId="1" xfId="0" applyAlignment="1" applyBorder="1" applyFont="1" applyNumberFormat="1">
      <alignment horizontal="center"/>
    </xf>
    <xf borderId="116" fillId="3" fontId="101" numFmtId="0" xfId="0" applyAlignment="1" applyBorder="1" applyFont="1">
      <alignment horizontal="center" vertical="center"/>
    </xf>
    <xf borderId="73" fillId="2" fontId="102" numFmtId="167" xfId="0" applyAlignment="1" applyBorder="1" applyFont="1" applyNumberFormat="1">
      <alignment horizontal="center" shrinkToFit="0" vertical="center" wrapText="1"/>
    </xf>
    <xf borderId="121" fillId="25" fontId="102" numFmtId="169" xfId="0" applyAlignment="1" applyBorder="1" applyFont="1" applyNumberFormat="1">
      <alignment horizontal="center"/>
    </xf>
    <xf borderId="42" fillId="28" fontId="101" numFmtId="0" xfId="0" applyAlignment="1" applyBorder="1" applyFont="1">
      <alignment horizontal="center"/>
    </xf>
    <xf borderId="120" fillId="3" fontId="100" numFmtId="0" xfId="0" applyAlignment="1" applyBorder="1" applyFont="1">
      <alignment horizontal="center" shrinkToFit="0" vertical="center" wrapText="1"/>
    </xf>
    <xf borderId="122" fillId="25" fontId="21" numFmtId="172" xfId="0" applyAlignment="1" applyBorder="1" applyFont="1" applyNumberFormat="1">
      <alignment horizontal="center"/>
    </xf>
    <xf borderId="123" fillId="25" fontId="21" numFmtId="169" xfId="0" applyAlignment="1" applyBorder="1" applyFont="1" applyNumberFormat="1">
      <alignment horizontal="center"/>
    </xf>
    <xf borderId="42" fillId="28" fontId="79" numFmtId="0" xfId="0" applyAlignment="1" applyBorder="1" applyFont="1">
      <alignment horizontal="center" shrinkToFit="0" vertical="center" wrapText="1"/>
    </xf>
    <xf borderId="122" fillId="3" fontId="100" numFmtId="0" xfId="0" applyAlignment="1" applyBorder="1" applyFont="1">
      <alignment horizontal="center" shrinkToFit="0" vertical="center" wrapText="1"/>
    </xf>
    <xf borderId="1" fillId="2" fontId="79" numFmtId="0" xfId="0" applyAlignment="1" applyBorder="1" applyFont="1">
      <alignment horizontal="center" shrinkToFit="0" vertical="center" wrapText="1"/>
    </xf>
    <xf borderId="1" fillId="2" fontId="103" numFmtId="0" xfId="0" applyBorder="1" applyFont="1"/>
    <xf borderId="1" fillId="2" fontId="79" numFmtId="173" xfId="0" applyBorder="1" applyFont="1" applyNumberFormat="1"/>
    <xf borderId="1" fillId="3" fontId="79" numFmtId="173" xfId="0" applyBorder="1" applyFont="1" applyNumberFormat="1"/>
    <xf borderId="1" fillId="41" fontId="79" numFmtId="173" xfId="0" applyBorder="1" applyFont="1" applyNumberFormat="1"/>
    <xf borderId="124" fillId="2" fontId="23" numFmtId="167" xfId="0" applyAlignment="1" applyBorder="1" applyFont="1" applyNumberFormat="1">
      <alignment horizontal="center" shrinkToFit="0" vertical="center" wrapText="1"/>
    </xf>
    <xf borderId="125" fillId="25" fontId="21" numFmtId="172" xfId="0" applyAlignment="1" applyBorder="1" applyFont="1" applyNumberFormat="1">
      <alignment horizontal="center"/>
    </xf>
    <xf borderId="78" fillId="2" fontId="23" numFmtId="167" xfId="0" applyAlignment="1" applyBorder="1" applyFont="1" applyNumberFormat="1">
      <alignment horizontal="center" shrinkToFit="0" vertical="center" wrapText="1"/>
    </xf>
    <xf borderId="126" fillId="25" fontId="21" numFmtId="169" xfId="0" applyAlignment="1" applyBorder="1" applyFont="1" applyNumberFormat="1">
      <alignment horizontal="center"/>
    </xf>
    <xf borderId="125" fillId="3" fontId="100" numFmtId="0" xfId="0" applyAlignment="1" applyBorder="1" applyFont="1">
      <alignment horizontal="center" shrinkToFit="0" vertical="center" wrapText="1"/>
    </xf>
    <xf borderId="1" fillId="3" fontId="95" numFmtId="0" xfId="0" applyAlignment="1" applyBorder="1" applyFont="1">
      <alignment horizontal="center" vertical="center"/>
    </xf>
    <xf borderId="1" fillId="3" fontId="83" numFmtId="0" xfId="0" applyAlignment="1" applyBorder="1" applyFont="1">
      <alignment horizontal="center" vertical="center"/>
    </xf>
    <xf borderId="1" fillId="3" fontId="79" numFmtId="2" xfId="0" applyAlignment="1" applyBorder="1" applyFont="1" applyNumberFormat="1">
      <alignment horizontal="center" shrinkToFit="0" vertical="center" wrapText="1"/>
    </xf>
    <xf borderId="1" fillId="3" fontId="79" numFmtId="164" xfId="0" applyAlignment="1" applyBorder="1" applyFont="1" applyNumberFormat="1">
      <alignment horizontal="center" shrinkToFit="0" vertical="center" wrapText="1"/>
    </xf>
    <xf borderId="1" fillId="3" fontId="79" numFmtId="0" xfId="0" applyAlignment="1" applyBorder="1" applyFont="1">
      <alignment horizontal="center" shrinkToFit="0" vertical="center" wrapText="1"/>
    </xf>
    <xf borderId="127" fillId="3" fontId="95" numFmtId="0" xfId="0" applyAlignment="1" applyBorder="1" applyFont="1">
      <alignment horizontal="center" vertical="center"/>
    </xf>
    <xf borderId="128" fillId="0" fontId="11" numFmtId="0" xfId="0" applyBorder="1" applyFont="1"/>
    <xf borderId="1" fillId="3" fontId="95" numFmtId="0" xfId="0" applyAlignment="1" applyBorder="1" applyFont="1">
      <alignment horizontal="center"/>
    </xf>
    <xf borderId="1" fillId="3" fontId="95" numFmtId="2" xfId="0" applyAlignment="1" applyBorder="1" applyFont="1" applyNumberFormat="1">
      <alignment horizontal="center"/>
    </xf>
    <xf borderId="1" fillId="2" fontId="79" numFmtId="0" xfId="0" applyBorder="1" applyFont="1"/>
    <xf borderId="1" fillId="2" fontId="79" numFmtId="164" xfId="0" applyBorder="1" applyFont="1" applyNumberFormat="1"/>
    <xf borderId="1" fillId="41" fontId="79" numFmtId="164" xfId="0" applyBorder="1" applyFont="1" applyNumberFormat="1"/>
    <xf borderId="1" fillId="3" fontId="98" numFmtId="1" xfId="0" applyAlignment="1" applyBorder="1" applyFont="1" applyNumberFormat="1">
      <alignment horizontal="center"/>
    </xf>
    <xf borderId="129" fillId="28" fontId="79" numFmtId="167" xfId="0" applyAlignment="1" applyBorder="1" applyFont="1" applyNumberFormat="1">
      <alignment horizontal="center" vertical="center"/>
    </xf>
    <xf borderId="130" fillId="28" fontId="79" numFmtId="167" xfId="0" applyAlignment="1" applyBorder="1" applyFont="1" applyNumberFormat="1">
      <alignment horizontal="center" vertical="center"/>
    </xf>
    <xf borderId="41" fillId="2" fontId="23" numFmtId="1" xfId="0" applyAlignment="1" applyBorder="1" applyFont="1" applyNumberFormat="1">
      <alignment horizontal="center"/>
    </xf>
    <xf borderId="131" fillId="2" fontId="23" numFmtId="2" xfId="0" applyAlignment="1" applyBorder="1" applyFont="1" applyNumberFormat="1">
      <alignment horizontal="center"/>
    </xf>
    <xf borderId="73" fillId="2" fontId="23" numFmtId="1" xfId="0" applyAlignment="1" applyBorder="1" applyFont="1" applyNumberFormat="1">
      <alignment horizontal="center" shrinkToFit="0" vertical="center" wrapText="1"/>
    </xf>
    <xf borderId="119" fillId="25" fontId="21" numFmtId="1" xfId="0" applyAlignment="1" applyBorder="1" applyFont="1" applyNumberFormat="1">
      <alignment horizontal="center"/>
    </xf>
    <xf borderId="118" fillId="3" fontId="100" numFmtId="0" xfId="0" applyBorder="1" applyFont="1"/>
    <xf borderId="132" fillId="3" fontId="101" numFmtId="1" xfId="0" applyAlignment="1" applyBorder="1" applyFont="1" applyNumberFormat="1">
      <alignment horizontal="center" vertical="center"/>
    </xf>
    <xf borderId="116" fillId="40" fontId="86" numFmtId="0" xfId="0" applyAlignment="1" applyBorder="1" applyFont="1">
      <alignment horizontal="center"/>
    </xf>
    <xf borderId="133" fillId="3" fontId="79" numFmtId="0" xfId="0" applyAlignment="1" applyBorder="1" applyFont="1">
      <alignment horizontal="center"/>
    </xf>
    <xf borderId="116" fillId="3" fontId="101" numFmtId="1" xfId="0" applyAlignment="1" applyBorder="1" applyFont="1" applyNumberFormat="1">
      <alignment horizontal="center" vertical="center"/>
    </xf>
    <xf borderId="121" fillId="25" fontId="21" numFmtId="1" xfId="0" applyAlignment="1" applyBorder="1" applyFont="1" applyNumberFormat="1">
      <alignment horizontal="center"/>
    </xf>
    <xf borderId="120" fillId="3" fontId="100" numFmtId="0" xfId="0" applyBorder="1" applyFont="1"/>
    <xf borderId="134" fillId="28" fontId="79" numFmtId="167" xfId="0" applyAlignment="1" applyBorder="1" applyFont="1" applyNumberFormat="1">
      <alignment horizontal="center" vertical="center"/>
    </xf>
    <xf borderId="131" fillId="2" fontId="23" numFmtId="1" xfId="0" applyAlignment="1" applyBorder="1" applyFont="1" applyNumberFormat="1">
      <alignment horizontal="center"/>
    </xf>
    <xf borderId="123" fillId="25" fontId="21" numFmtId="1" xfId="0" applyAlignment="1" applyBorder="1" applyFont="1" applyNumberFormat="1">
      <alignment horizontal="center"/>
    </xf>
    <xf borderId="122" fillId="3" fontId="100" numFmtId="164" xfId="0" applyBorder="1" applyFont="1" applyNumberFormat="1"/>
    <xf borderId="73" fillId="2" fontId="23" numFmtId="2" xfId="0" applyAlignment="1" applyBorder="1" applyFont="1" applyNumberFormat="1">
      <alignment horizontal="center"/>
    </xf>
    <xf borderId="42" fillId="28" fontId="79" numFmtId="0" xfId="0" applyAlignment="1" applyBorder="1" applyFont="1">
      <alignment horizontal="center" shrinkToFit="0" wrapText="1"/>
    </xf>
    <xf borderId="122" fillId="3" fontId="100" numFmtId="0" xfId="0" applyAlignment="1" applyBorder="1" applyFont="1">
      <alignment shrinkToFit="0" wrapText="1"/>
    </xf>
    <xf borderId="1" fillId="3" fontId="79" numFmtId="0" xfId="0" applyAlignment="1" applyBorder="1" applyFont="1">
      <alignment shrinkToFit="0" wrapText="1"/>
    </xf>
    <xf borderId="1" fillId="2" fontId="79" numFmtId="0" xfId="0" applyAlignment="1" applyBorder="1" applyFont="1">
      <alignment shrinkToFit="0" wrapText="1"/>
    </xf>
    <xf borderId="1" fillId="41" fontId="79" numFmtId="0" xfId="0" applyAlignment="1" applyBorder="1" applyFont="1">
      <alignment shrinkToFit="0" wrapText="1"/>
    </xf>
    <xf borderId="1" fillId="3" fontId="80" numFmtId="0" xfId="0" applyAlignment="1" applyBorder="1" applyFont="1">
      <alignment shrinkToFit="0" wrapText="1"/>
    </xf>
    <xf borderId="1" fillId="3" fontId="81" numFmtId="0" xfId="0" applyAlignment="1" applyBorder="1" applyFont="1">
      <alignment shrinkToFit="0" wrapText="1"/>
    </xf>
    <xf borderId="126" fillId="25" fontId="21" numFmtId="1" xfId="0" applyAlignment="1" applyBorder="1" applyFont="1" applyNumberFormat="1">
      <alignment horizontal="center"/>
    </xf>
    <xf borderId="125" fillId="3" fontId="100" numFmtId="0" xfId="0" applyAlignment="1" applyBorder="1" applyFont="1">
      <alignment shrinkToFit="0" wrapText="1"/>
    </xf>
    <xf borderId="1" fillId="3" fontId="79" numFmtId="0" xfId="0" applyAlignment="1" applyBorder="1" applyFont="1">
      <alignment horizontal="center" shrinkToFit="0" wrapText="1"/>
    </xf>
    <xf borderId="1" fillId="3" fontId="80" numFmtId="1" xfId="0" applyAlignment="1" applyBorder="1" applyFont="1" applyNumberFormat="1">
      <alignment vertical="center"/>
    </xf>
    <xf borderId="1" fillId="3" fontId="79" numFmtId="173" xfId="0" applyAlignment="1" applyBorder="1" applyFont="1" applyNumberFormat="1">
      <alignment vertical="center"/>
    </xf>
    <xf borderId="1" fillId="2" fontId="79" numFmtId="0" xfId="0" applyAlignment="1" applyBorder="1" applyFont="1">
      <alignment vertical="center"/>
    </xf>
    <xf borderId="1" fillId="2" fontId="79" numFmtId="167" xfId="0" applyAlignment="1" applyBorder="1" applyFont="1" applyNumberFormat="1">
      <alignment vertical="center"/>
    </xf>
    <xf borderId="1" fillId="2" fontId="79" numFmtId="174" xfId="0" applyAlignment="1" applyBorder="1" applyFont="1" applyNumberFormat="1">
      <alignment vertical="center"/>
    </xf>
    <xf borderId="1" fillId="3" fontId="79" numFmtId="174" xfId="0" applyAlignment="1" applyBorder="1" applyFont="1" applyNumberFormat="1">
      <alignment vertical="center"/>
    </xf>
    <xf borderId="1" fillId="41" fontId="79" numFmtId="174" xfId="0" applyAlignment="1" applyBorder="1" applyFont="1" applyNumberFormat="1">
      <alignment vertical="center"/>
    </xf>
    <xf borderId="1" fillId="3" fontId="104" numFmtId="0" xfId="0" applyAlignment="1" applyBorder="1" applyFont="1">
      <alignment horizontal="center"/>
    </xf>
    <xf borderId="117" fillId="28" fontId="79" numFmtId="2" xfId="0" applyAlignment="1" applyBorder="1" applyFont="1" applyNumberFormat="1">
      <alignment horizontal="center" vertical="center"/>
    </xf>
    <xf borderId="118" fillId="25" fontId="21" numFmtId="169" xfId="0" applyAlignment="1" applyBorder="1" applyFont="1" applyNumberFormat="1">
      <alignment horizontal="center"/>
    </xf>
    <xf borderId="73" fillId="2" fontId="23" numFmtId="167" xfId="0" applyAlignment="1" applyBorder="1" applyFont="1" applyNumberFormat="1">
      <alignment horizontal="center"/>
    </xf>
    <xf borderId="1" fillId="3" fontId="81" numFmtId="0" xfId="0" applyAlignment="1" applyBorder="1" applyFont="1">
      <alignment horizontal="center"/>
    </xf>
    <xf borderId="135" fillId="40" fontId="79" numFmtId="0" xfId="0" applyAlignment="1" applyBorder="1" applyFont="1">
      <alignment horizontal="center"/>
    </xf>
    <xf borderId="136" fillId="0" fontId="11" numFmtId="0" xfId="0" applyBorder="1" applyFont="1"/>
    <xf borderId="137" fillId="0" fontId="11" numFmtId="0" xfId="0" applyBorder="1" applyFont="1"/>
    <xf borderId="122" fillId="25" fontId="21" numFmtId="169" xfId="0" applyAlignment="1" applyBorder="1" applyFont="1" applyNumberFormat="1">
      <alignment horizontal="center"/>
    </xf>
    <xf borderId="138" fillId="0" fontId="11" numFmtId="0" xfId="0" applyBorder="1" applyFont="1"/>
    <xf borderId="139" fillId="0" fontId="11" numFmtId="0" xfId="0" applyBorder="1" applyFont="1"/>
    <xf borderId="140" fillId="0" fontId="11" numFmtId="0" xfId="0" applyBorder="1" applyFont="1"/>
    <xf borderId="141" fillId="0" fontId="11" numFmtId="0" xfId="0" applyBorder="1" applyFont="1"/>
    <xf borderId="142" fillId="0" fontId="11" numFmtId="0" xfId="0" applyBorder="1" applyFont="1"/>
    <xf borderId="143" fillId="2" fontId="23" numFmtId="169" xfId="0" applyAlignment="1" applyBorder="1" applyFont="1" applyNumberFormat="1">
      <alignment horizontal="center" shrinkToFit="0" vertical="center" wrapText="1"/>
    </xf>
    <xf borderId="119" fillId="25" fontId="21" numFmtId="169" xfId="0" applyAlignment="1" applyBorder="1" applyFont="1" applyNumberFormat="1">
      <alignment horizontal="center" vertical="center"/>
    </xf>
    <xf borderId="144" fillId="28" fontId="79" numFmtId="167" xfId="0" applyAlignment="1" applyBorder="1" applyFont="1" applyNumberFormat="1">
      <alignment horizontal="center" vertical="center"/>
    </xf>
    <xf borderId="122" fillId="3" fontId="100" numFmtId="0" xfId="0" applyBorder="1" applyFont="1"/>
    <xf borderId="73" fillId="46" fontId="23" numFmtId="167" xfId="0" applyAlignment="1" applyBorder="1" applyFill="1" applyFont="1" applyNumberFormat="1">
      <alignment horizontal="center"/>
    </xf>
    <xf borderId="145" fillId="2" fontId="23" numFmtId="169" xfId="0" applyAlignment="1" applyBorder="1" applyFont="1" applyNumberFormat="1">
      <alignment horizontal="center" shrinkToFit="0" vertical="center" wrapText="1"/>
    </xf>
    <xf borderId="123" fillId="25" fontId="21" numFmtId="169" xfId="0" applyAlignment="1" applyBorder="1" applyFont="1" applyNumberFormat="1">
      <alignment horizontal="center" vertical="center"/>
    </xf>
    <xf borderId="71" fillId="28" fontId="79" numFmtId="167" xfId="0" applyAlignment="1" applyBorder="1" applyFont="1" applyNumberFormat="1">
      <alignment horizontal="center" vertical="center"/>
    </xf>
    <xf borderId="125" fillId="25" fontId="21" numFmtId="169" xfId="0" applyAlignment="1" applyBorder="1" applyFont="1" applyNumberFormat="1">
      <alignment horizontal="center"/>
    </xf>
    <xf borderId="79" fillId="2" fontId="23" numFmtId="169" xfId="0" applyAlignment="1" applyBorder="1" applyFont="1" applyNumberFormat="1">
      <alignment vertical="center"/>
    </xf>
    <xf borderId="126" fillId="25" fontId="21" numFmtId="169" xfId="0" applyAlignment="1" applyBorder="1" applyFont="1" applyNumberFormat="1">
      <alignment horizontal="center" vertical="center"/>
    </xf>
    <xf borderId="1" fillId="3" fontId="105" numFmtId="0" xfId="0" applyAlignment="1" applyBorder="1" applyFont="1">
      <alignment horizontal="center" vertical="center"/>
    </xf>
    <xf borderId="1" fillId="3" fontId="106" numFmtId="0" xfId="0" applyBorder="1" applyFont="1"/>
    <xf borderId="117" fillId="28" fontId="79" numFmtId="164" xfId="0" applyAlignment="1" applyBorder="1" applyFont="1" applyNumberFormat="1">
      <alignment horizontal="center" vertical="center"/>
    </xf>
    <xf borderId="118" fillId="25" fontId="107" numFmtId="164" xfId="0" applyAlignment="1" applyBorder="1" applyFont="1" applyNumberFormat="1">
      <alignment horizontal="center"/>
    </xf>
    <xf borderId="73" fillId="2" fontId="108" numFmtId="164" xfId="0" applyAlignment="1" applyBorder="1" applyFont="1" applyNumberFormat="1">
      <alignment horizontal="center"/>
    </xf>
    <xf borderId="101" fillId="25" fontId="107" numFmtId="164" xfId="0" applyAlignment="1" applyBorder="1" applyFont="1" applyNumberFormat="1">
      <alignment horizontal="center"/>
    </xf>
    <xf borderId="119" fillId="25" fontId="107" numFmtId="164" xfId="0" applyAlignment="1" applyBorder="1" applyFont="1" applyNumberFormat="1">
      <alignment horizontal="center"/>
    </xf>
    <xf borderId="42" fillId="28" fontId="83" numFmtId="164" xfId="0" applyAlignment="1" applyBorder="1" applyFont="1" applyNumberFormat="1">
      <alignment horizontal="center"/>
    </xf>
    <xf borderId="42" fillId="28" fontId="79" numFmtId="164" xfId="0" applyAlignment="1" applyBorder="1" applyFont="1" applyNumberFormat="1">
      <alignment horizontal="center"/>
    </xf>
    <xf borderId="1" fillId="3" fontId="109" numFmtId="173" xfId="0" applyAlignment="1" applyBorder="1" applyFont="1" applyNumberFormat="1">
      <alignment vertical="center"/>
    </xf>
    <xf borderId="122" fillId="25" fontId="107" numFmtId="164" xfId="0" applyAlignment="1" applyBorder="1" applyFont="1" applyNumberFormat="1">
      <alignment horizontal="center"/>
    </xf>
    <xf borderId="78" fillId="2" fontId="108" numFmtId="164" xfId="0" applyAlignment="1" applyBorder="1" applyFont="1" applyNumberFormat="1">
      <alignment horizontal="center" shrinkToFit="0" vertical="center" wrapText="1"/>
    </xf>
    <xf borderId="123" fillId="25" fontId="107" numFmtId="164" xfId="0" applyAlignment="1" applyBorder="1" applyFont="1" applyNumberFormat="1">
      <alignment horizontal="center"/>
    </xf>
    <xf borderId="42" fillId="28" fontId="83" numFmtId="164" xfId="0" applyAlignment="1" applyBorder="1" applyFont="1" applyNumberFormat="1">
      <alignment horizontal="center" shrinkToFit="0" vertical="center" wrapText="1"/>
    </xf>
    <xf borderId="42" fillId="28" fontId="79" numFmtId="164" xfId="0" applyAlignment="1" applyBorder="1" applyFont="1" applyNumberFormat="1">
      <alignment horizontal="center" shrinkToFit="0" vertical="center" wrapText="1"/>
    </xf>
    <xf borderId="73" fillId="2" fontId="108" numFmtId="164" xfId="0" applyAlignment="1" applyBorder="1" applyFont="1" applyNumberFormat="1">
      <alignment horizontal="center" shrinkToFit="0" vertical="center" wrapText="1"/>
    </xf>
    <xf borderId="73" fillId="45" fontId="108" numFmtId="164" xfId="0" applyAlignment="1" applyBorder="1" applyFont="1" applyNumberFormat="1">
      <alignment horizontal="center"/>
    </xf>
    <xf borderId="126" fillId="25" fontId="107" numFmtId="164" xfId="0" applyAlignment="1" applyBorder="1" applyFont="1" applyNumberFormat="1">
      <alignment horizontal="center" vertical="center"/>
    </xf>
    <xf borderId="117" fillId="28" fontId="79" numFmtId="169" xfId="0" applyAlignment="1" applyBorder="1" applyFont="1" applyNumberFormat="1">
      <alignment horizontal="center" vertical="center"/>
    </xf>
    <xf borderId="125" fillId="25" fontId="107" numFmtId="167" xfId="0" applyAlignment="1" applyBorder="1" applyFont="1" applyNumberFormat="1">
      <alignment horizontal="center"/>
    </xf>
    <xf borderId="73" fillId="45" fontId="23" numFmtId="167" xfId="0" applyAlignment="1" applyBorder="1" applyFont="1" applyNumberFormat="1">
      <alignment horizontal="center"/>
    </xf>
    <xf borderId="1" fillId="3" fontId="110" numFmtId="164" xfId="0" applyAlignment="1" applyBorder="1" applyFont="1" applyNumberFormat="1">
      <alignment vertical="center"/>
    </xf>
    <xf borderId="1" fillId="3" fontId="110" numFmtId="175" xfId="0" applyAlignment="1" applyBorder="1" applyFont="1" applyNumberFormat="1">
      <alignment vertical="center"/>
    </xf>
    <xf borderId="1" fillId="3" fontId="110" numFmtId="174" xfId="0" applyAlignment="1" applyBorder="1" applyFont="1" applyNumberFormat="1">
      <alignment vertical="center"/>
    </xf>
    <xf borderId="1" fillId="3" fontId="95" numFmtId="0" xfId="0" applyBorder="1" applyFont="1"/>
    <xf borderId="118" fillId="25" fontId="107" numFmtId="176" xfId="0" applyAlignment="1" applyBorder="1" applyFont="1" applyNumberFormat="1">
      <alignment horizontal="center"/>
    </xf>
    <xf borderId="73" fillId="2" fontId="108" numFmtId="176" xfId="0" applyAlignment="1" applyBorder="1" applyFont="1" applyNumberFormat="1">
      <alignment horizontal="center"/>
    </xf>
    <xf borderId="145" fillId="2" fontId="23" numFmtId="176" xfId="0" applyAlignment="1" applyBorder="1" applyFont="1" applyNumberFormat="1">
      <alignment horizontal="center" shrinkToFit="0" vertical="center" wrapText="1"/>
    </xf>
    <xf borderId="119" fillId="25" fontId="107" numFmtId="176" xfId="0" applyAlignment="1" applyBorder="1" applyFont="1" applyNumberFormat="1">
      <alignment horizontal="center"/>
    </xf>
    <xf borderId="117" fillId="28" fontId="79" numFmtId="173" xfId="0" applyAlignment="1" applyBorder="1" applyFont="1" applyNumberFormat="1">
      <alignment horizontal="center"/>
    </xf>
    <xf borderId="71" fillId="28" fontId="79" numFmtId="173" xfId="0" applyAlignment="1" applyBorder="1" applyFont="1" applyNumberFormat="1">
      <alignment horizontal="center"/>
    </xf>
    <xf borderId="122" fillId="25" fontId="107" numFmtId="176" xfId="0" applyAlignment="1" applyBorder="1" applyFont="1" applyNumberFormat="1">
      <alignment horizontal="center"/>
    </xf>
    <xf borderId="123" fillId="25" fontId="107" numFmtId="176" xfId="0" applyAlignment="1" applyBorder="1" applyFont="1" applyNumberFormat="1">
      <alignment horizontal="center"/>
    </xf>
    <xf borderId="117" fillId="28" fontId="79" numFmtId="173" xfId="0" applyAlignment="1" applyBorder="1" applyFont="1" applyNumberFormat="1">
      <alignment horizontal="center" shrinkToFit="0" vertical="center" wrapText="1"/>
    </xf>
    <xf borderId="71" fillId="28" fontId="79" numFmtId="173" xfId="0" applyAlignment="1" applyBorder="1" applyFont="1" applyNumberFormat="1">
      <alignment horizontal="center" shrinkToFit="0" vertical="center" wrapText="1"/>
    </xf>
    <xf borderId="125" fillId="25" fontId="107" numFmtId="176" xfId="0" applyAlignment="1" applyBorder="1" applyFont="1" applyNumberFormat="1">
      <alignment horizontal="center"/>
    </xf>
    <xf borderId="126" fillId="25" fontId="107" numFmtId="176" xfId="0" applyAlignment="1" applyBorder="1" applyFont="1" applyNumberFormat="1">
      <alignment horizontal="center"/>
    </xf>
    <xf borderId="101" fillId="25" fontId="107" numFmtId="176" xfId="0" applyAlignment="1" applyBorder="1" applyFont="1" applyNumberFormat="1">
      <alignment horizontal="center"/>
    </xf>
    <xf borderId="1" fillId="41" fontId="79" numFmtId="0" xfId="0" applyAlignment="1" applyBorder="1" applyFont="1">
      <alignment vertical="center"/>
    </xf>
    <xf borderId="1" fillId="41" fontId="79" numFmtId="173" xfId="0" applyAlignment="1" applyBorder="1" applyFont="1" applyNumberFormat="1">
      <alignment vertical="center"/>
    </xf>
    <xf borderId="1" fillId="41" fontId="79" numFmtId="167" xfId="0" applyAlignment="1" applyBorder="1" applyFont="1" applyNumberFormat="1">
      <alignment vertical="center"/>
    </xf>
    <xf borderId="1" fillId="41" fontId="80" numFmtId="1" xfId="0" applyAlignment="1" applyBorder="1" applyFont="1" applyNumberFormat="1">
      <alignment vertical="center"/>
    </xf>
    <xf borderId="1" fillId="41" fontId="80" numFmtId="0" xfId="0" applyBorder="1" applyFont="1"/>
    <xf borderId="1" fillId="41" fontId="111" numFmtId="0" xfId="0" applyBorder="1" applyFont="1"/>
    <xf borderId="1" fillId="41" fontId="79" numFmtId="1" xfId="0" applyAlignment="1" applyBorder="1" applyFont="1" applyNumberFormat="1">
      <alignment vertical="center"/>
    </xf>
    <xf borderId="1" fillId="41" fontId="79" numFmtId="1" xfId="0" applyBorder="1" applyFont="1" applyNumberFormat="1"/>
    <xf borderId="1" fillId="41" fontId="79" numFmtId="0" xfId="0" applyAlignment="1" applyBorder="1" applyFont="1">
      <alignment horizontal="center" vertical="center"/>
    </xf>
    <xf borderId="1" fillId="41" fontId="79" numFmtId="167" xfId="0" applyBorder="1" applyFont="1" applyNumberFormat="1"/>
    <xf borderId="1" fillId="3" fontId="79" numFmtId="167" xfId="0" applyAlignment="1" applyBorder="1" applyFont="1" applyNumberFormat="1">
      <alignment vertical="center"/>
    </xf>
    <xf borderId="1" fillId="3" fontId="83" numFmtId="0" xfId="0" applyAlignment="1" applyBorder="1" applyFont="1">
      <alignment vertical="top"/>
    </xf>
    <xf borderId="1" fillId="3" fontId="4" numFmtId="0" xfId="0" applyAlignment="1" applyBorder="1" applyFont="1">
      <alignment vertical="center"/>
    </xf>
    <xf borderId="1" fillId="3" fontId="79" numFmtId="174" xfId="0" applyAlignment="1" applyBorder="1" applyFont="1" applyNumberFormat="1">
      <alignment horizontal="center" vertical="center"/>
    </xf>
    <xf borderId="95" fillId="9" fontId="81" numFmtId="0" xfId="0" applyAlignment="1" applyBorder="1" applyFont="1">
      <alignment horizontal="center" vertical="center"/>
    </xf>
    <xf borderId="50" fillId="11" fontId="81" numFmtId="0" xfId="0" applyAlignment="1" applyBorder="1" applyFont="1">
      <alignment horizontal="center" vertical="center"/>
    </xf>
    <xf borderId="97" fillId="9" fontId="81" numFmtId="0" xfId="0" applyAlignment="1" applyBorder="1" applyFont="1">
      <alignment horizontal="center" vertical="center"/>
    </xf>
    <xf borderId="97" fillId="42" fontId="81" numFmtId="0" xfId="0" applyAlignment="1" applyBorder="1" applyFont="1">
      <alignment horizontal="center" shrinkToFit="0" vertical="center" wrapText="1"/>
    </xf>
    <xf borderId="8" fillId="43" fontId="81" numFmtId="0" xfId="0" applyAlignment="1" applyBorder="1" applyFont="1">
      <alignment horizontal="center" shrinkToFit="0" vertical="center" wrapText="1"/>
    </xf>
    <xf borderId="6" fillId="43" fontId="81" numFmtId="167" xfId="0" applyAlignment="1" applyBorder="1" applyFont="1" applyNumberFormat="1">
      <alignment horizontal="center" shrinkToFit="0" vertical="center" wrapText="1"/>
    </xf>
    <xf borderId="1" fillId="3" fontId="112" numFmtId="0" xfId="0" applyBorder="1" applyFont="1"/>
    <xf borderId="1" fillId="3" fontId="112" numFmtId="0" xfId="0" applyAlignment="1" applyBorder="1" applyFont="1">
      <alignment vertical="center"/>
    </xf>
    <xf borderId="1" fillId="3" fontId="112" numFmtId="0" xfId="0" applyAlignment="1" applyBorder="1" applyFont="1">
      <alignment horizontal="center" vertical="center"/>
    </xf>
    <xf borderId="1" fillId="3" fontId="112" numFmtId="1" xfId="0" applyAlignment="1" applyBorder="1" applyFont="1" applyNumberFormat="1">
      <alignment horizontal="center" vertical="center"/>
    </xf>
    <xf borderId="1" fillId="3" fontId="83" numFmtId="1" xfId="0" applyAlignment="1" applyBorder="1" applyFont="1" applyNumberFormat="1">
      <alignment horizontal="center" vertical="center"/>
    </xf>
    <xf borderId="2" fillId="3" fontId="83" numFmtId="0" xfId="0" applyAlignment="1" applyBorder="1" applyFont="1">
      <alignment horizontal="right" vertical="center"/>
    </xf>
    <xf borderId="1" fillId="3" fontId="79" numFmtId="1" xfId="0" applyAlignment="1" applyBorder="1" applyFont="1" applyNumberFormat="1">
      <alignment horizontal="center" vertical="center"/>
    </xf>
    <xf borderId="41" fillId="2" fontId="23" numFmtId="1" xfId="0" applyAlignment="1" applyBorder="1" applyFont="1" applyNumberFormat="1">
      <alignment horizontal="center" vertical="center"/>
    </xf>
    <xf borderId="41" fillId="2" fontId="23" numFmtId="169" xfId="0" applyAlignment="1" applyBorder="1" applyFont="1" applyNumberFormat="1">
      <alignment vertical="center"/>
    </xf>
    <xf borderId="41" fillId="2" fontId="23" numFmtId="169" xfId="0" applyBorder="1" applyFont="1" applyNumberFormat="1"/>
    <xf borderId="1" fillId="3" fontId="113" numFmtId="0" xfId="0" applyAlignment="1" applyBorder="1" applyFont="1">
      <alignment horizontal="center" vertical="center"/>
    </xf>
    <xf borderId="41" fillId="2" fontId="23" numFmtId="2" xfId="0" applyAlignment="1" applyBorder="1" applyFont="1" applyNumberFormat="1">
      <alignment horizontal="center" vertical="center"/>
    </xf>
    <xf borderId="41" fillId="2" fontId="23" numFmtId="169" xfId="0" applyAlignment="1" applyBorder="1" applyFont="1" applyNumberFormat="1">
      <alignment horizontal="center" vertical="center"/>
    </xf>
    <xf borderId="41" fillId="2" fontId="108" numFmtId="164" xfId="0" applyAlignment="1" applyBorder="1" applyFont="1" applyNumberFormat="1">
      <alignment horizontal="center" vertical="center"/>
    </xf>
    <xf borderId="41" fillId="2" fontId="23" numFmtId="171" xfId="0" applyAlignment="1" applyBorder="1" applyFont="1" applyNumberFormat="1">
      <alignment horizontal="center" vertical="center"/>
    </xf>
    <xf borderId="1" fillId="3" fontId="79" numFmtId="169" xfId="0" applyAlignment="1" applyBorder="1" applyFont="1" applyNumberFormat="1">
      <alignment horizontal="center" vertical="center"/>
    </xf>
    <xf borderId="5" fillId="44" fontId="79" numFmtId="169" xfId="0" applyAlignment="1" applyBorder="1" applyFont="1" applyNumberFormat="1">
      <alignment horizontal="center" vertical="center"/>
    </xf>
    <xf borderId="1" fillId="44" fontId="79" numFmtId="169" xfId="0" applyAlignment="1" applyBorder="1" applyFont="1" applyNumberFormat="1">
      <alignment horizontal="center" vertical="center"/>
    </xf>
    <xf borderId="1" fillId="11" fontId="79" numFmtId="169" xfId="0" applyAlignment="1" applyBorder="1" applyFont="1" applyNumberFormat="1">
      <alignment horizontal="center" vertical="center"/>
    </xf>
    <xf borderId="1" fillId="42" fontId="79" numFmtId="169" xfId="0" applyAlignment="1" applyBorder="1" applyFont="1" applyNumberFormat="1">
      <alignment horizontal="center" vertical="center"/>
    </xf>
    <xf borderId="5" fillId="42" fontId="79" numFmtId="170" xfId="0" applyAlignment="1" applyBorder="1" applyFont="1" applyNumberFormat="1">
      <alignment horizontal="center" vertical="center"/>
    </xf>
    <xf borderId="1" fillId="47" fontId="79" numFmtId="177" xfId="0" applyAlignment="1" applyBorder="1" applyFill="1" applyFont="1" applyNumberFormat="1">
      <alignment horizontal="center" vertical="center"/>
    </xf>
    <xf borderId="6" fillId="43" fontId="79" numFmtId="177" xfId="0" applyAlignment="1" applyBorder="1" applyFont="1" applyNumberFormat="1">
      <alignment horizontal="center" vertical="center"/>
    </xf>
    <xf borderId="1" fillId="3" fontId="79" numFmtId="2" xfId="0" applyAlignment="1" applyBorder="1" applyFont="1" applyNumberFormat="1">
      <alignment vertical="center"/>
    </xf>
    <xf borderId="41" fillId="46" fontId="23" numFmtId="169" xfId="0" applyAlignment="1" applyBorder="1" applyFont="1" applyNumberFormat="1">
      <alignment horizontal="center" vertical="center"/>
    </xf>
    <xf borderId="49" fillId="44" fontId="79" numFmtId="169" xfId="0" applyAlignment="1" applyBorder="1" applyFont="1" applyNumberFormat="1">
      <alignment horizontal="center" vertical="center"/>
    </xf>
    <xf borderId="50" fillId="44" fontId="79" numFmtId="169" xfId="0" applyAlignment="1" applyBorder="1" applyFont="1" applyNumberFormat="1">
      <alignment horizontal="center" vertical="center"/>
    </xf>
    <xf borderId="50" fillId="11" fontId="79" numFmtId="169" xfId="0" applyAlignment="1" applyBorder="1" applyFont="1" applyNumberFormat="1">
      <alignment horizontal="center" vertical="center"/>
    </xf>
    <xf borderId="50" fillId="42" fontId="79" numFmtId="169" xfId="0" applyAlignment="1" applyBorder="1" applyFont="1" applyNumberFormat="1">
      <alignment horizontal="center" vertical="center"/>
    </xf>
    <xf borderId="50" fillId="47" fontId="79" numFmtId="177" xfId="0" applyAlignment="1" applyBorder="1" applyFont="1" applyNumberFormat="1">
      <alignment horizontal="center" vertical="center"/>
    </xf>
    <xf borderId="51" fillId="43" fontId="79" numFmtId="177" xfId="0" applyAlignment="1" applyBorder="1" applyFont="1" applyNumberFormat="1">
      <alignment horizontal="center" vertical="center"/>
    </xf>
    <xf borderId="1" fillId="3" fontId="79" numFmtId="2" xfId="0" applyAlignment="1" applyBorder="1" applyFont="1" applyNumberFormat="1">
      <alignment horizontal="center" vertical="center"/>
    </xf>
    <xf borderId="2" fillId="3" fontId="79" numFmtId="0" xfId="0" applyBorder="1" applyFont="1"/>
    <xf borderId="3" fillId="3" fontId="79" numFmtId="0" xfId="0" applyAlignment="1" applyBorder="1" applyFont="1">
      <alignment vertical="center"/>
    </xf>
    <xf borderId="4" fillId="3" fontId="79" numFmtId="0" xfId="0" applyAlignment="1" applyBorder="1" applyFont="1">
      <alignment vertical="center"/>
    </xf>
    <xf borderId="3" fillId="3" fontId="79" numFmtId="169" xfId="0" applyBorder="1" applyFont="1" applyNumberFormat="1"/>
    <xf borderId="4" fillId="3" fontId="79" numFmtId="169" xfId="0" applyBorder="1" applyFont="1" applyNumberFormat="1"/>
    <xf borderId="49" fillId="3" fontId="79" numFmtId="0" xfId="0" applyBorder="1" applyFont="1"/>
    <xf borderId="51" fillId="3" fontId="79" numFmtId="0" xfId="0" applyAlignment="1" applyBorder="1" applyFont="1">
      <alignment vertical="center"/>
    </xf>
    <xf borderId="49" fillId="3" fontId="79" numFmtId="169" xfId="0" applyBorder="1" applyFont="1" applyNumberFormat="1"/>
    <xf borderId="50" fillId="3" fontId="79" numFmtId="169" xfId="0" applyBorder="1" applyFont="1" applyNumberFormat="1"/>
    <xf borderId="51" fillId="3" fontId="79" numFmtId="169" xfId="0" applyBorder="1" applyFont="1" applyNumberFormat="1"/>
    <xf borderId="1" fillId="3" fontId="112" numFmtId="0" xfId="0" applyAlignment="1" applyBorder="1" applyFont="1">
      <alignment horizontal="center"/>
    </xf>
    <xf borderId="1" fillId="3" fontId="79" numFmtId="1" xfId="0" applyAlignment="1" applyBorder="1" applyFont="1" applyNumberFormat="1">
      <alignment horizontal="center"/>
    </xf>
    <xf borderId="41" fillId="2" fontId="23" numFmtId="177" xfId="0" applyBorder="1" applyFont="1" applyNumberFormat="1"/>
    <xf borderId="1" fillId="3" fontId="114" numFmtId="0" xfId="0" applyBorder="1" applyFont="1"/>
    <xf borderId="1" fillId="3" fontId="115" numFmtId="0" xfId="0" applyBorder="1" applyFont="1"/>
    <xf borderId="1" fillId="3" fontId="2" numFmtId="0" xfId="0" applyAlignment="1" applyBorder="1" applyFont="1">
      <alignment horizontal="right" vertical="center"/>
    </xf>
    <xf borderId="1" fillId="3" fontId="20" numFmtId="0" xfId="0" applyBorder="1" applyFont="1"/>
    <xf borderId="1" fillId="3" fontId="116" numFmtId="0" xfId="0" applyAlignment="1" applyBorder="1" applyFont="1">
      <alignment horizontal="right" vertical="center"/>
    </xf>
    <xf borderId="1" fillId="3" fontId="116" numFmtId="0" xfId="0" applyBorder="1" applyFont="1"/>
    <xf borderId="1" fillId="3" fontId="114" numFmtId="1" xfId="0" applyAlignment="1" applyBorder="1" applyFont="1" applyNumberFormat="1">
      <alignment horizontal="right" vertical="center"/>
    </xf>
    <xf borderId="1" fillId="3" fontId="20" numFmtId="1" xfId="0" applyBorder="1" applyFont="1" applyNumberFormat="1"/>
    <xf borderId="1" fillId="3" fontId="117" numFmtId="1" xfId="0" applyBorder="1" applyFont="1" applyNumberFormat="1"/>
    <xf borderId="1" fillId="3" fontId="114" numFmtId="0" xfId="0" applyAlignment="1" applyBorder="1" applyFont="1">
      <alignment horizontal="right" vertical="center"/>
    </xf>
    <xf borderId="1" fillId="3" fontId="117" numFmtId="0" xfId="0" applyBorder="1" applyFont="1"/>
    <xf borderId="1" fillId="3" fontId="116" numFmtId="0" xfId="0" applyAlignment="1" applyBorder="1" applyFont="1">
      <alignment shrinkToFit="0" wrapText="1"/>
    </xf>
    <xf borderId="1" fillId="3" fontId="118" numFmtId="0" xfId="0" applyAlignment="1" applyBorder="1" applyFont="1">
      <alignment shrinkToFit="0" wrapText="1"/>
    </xf>
    <xf borderId="1" fillId="3" fontId="117" numFmtId="167" xfId="0" applyBorder="1" applyFont="1" applyNumberFormat="1"/>
    <xf borderId="1" fillId="3" fontId="116" numFmtId="0" xfId="0" applyAlignment="1" applyBorder="1" applyFont="1">
      <alignment vertical="center"/>
    </xf>
    <xf borderId="1" fillId="3" fontId="114" numFmtId="0" xfId="0" applyAlignment="1" applyBorder="1" applyFont="1">
      <alignment vertical="center"/>
    </xf>
    <xf borderId="1" fillId="3" fontId="116" numFmtId="173" xfId="0" applyAlignment="1" applyBorder="1" applyFont="1" applyNumberFormat="1">
      <alignment horizontal="right" vertical="center"/>
    </xf>
    <xf borderId="1" fillId="3" fontId="119" numFmtId="0" xfId="0" applyAlignment="1" applyBorder="1" applyFont="1">
      <alignment horizontal="right" vertical="center"/>
    </xf>
    <xf borderId="1" fillId="16" fontId="12" numFmtId="0" xfId="0" applyAlignment="1" applyBorder="1" applyFont="1">
      <alignment horizontal="center" vertical="center"/>
    </xf>
    <xf borderId="1" fillId="16" fontId="2" numFmtId="0" xfId="0" applyAlignment="1" applyBorder="1" applyFont="1">
      <alignment horizontal="center" vertical="center"/>
    </xf>
    <xf borderId="1" fillId="16" fontId="17" numFmtId="0" xfId="0" applyAlignment="1" applyBorder="1" applyFont="1">
      <alignment vertical="center"/>
    </xf>
    <xf borderId="5" fillId="17" fontId="4" numFmtId="0" xfId="0" applyAlignment="1" applyBorder="1" applyFont="1">
      <alignment horizontal="left" vertical="center"/>
    </xf>
    <xf borderId="1" fillId="17" fontId="2" numFmtId="0" xfId="0" applyAlignment="1" applyBorder="1" applyFont="1">
      <alignment vertical="center"/>
    </xf>
    <xf borderId="1" fillId="17" fontId="2" numFmtId="0" xfId="0" applyAlignment="1" applyBorder="1" applyFont="1">
      <alignment horizontal="center" vertical="center"/>
    </xf>
    <xf borderId="1" fillId="17" fontId="17" numFmtId="0" xfId="0" applyAlignment="1" applyBorder="1" applyFont="1">
      <alignment vertical="center"/>
    </xf>
    <xf borderId="5" fillId="3" fontId="120" numFmtId="0" xfId="0" applyAlignment="1" applyBorder="1" applyFont="1">
      <alignment vertical="center"/>
    </xf>
    <xf borderId="72" fillId="19" fontId="2" numFmtId="0" xfId="0" applyAlignment="1" applyBorder="1" applyFont="1">
      <alignment vertical="center"/>
    </xf>
    <xf borderId="71" fillId="28" fontId="17" numFmtId="166" xfId="0" applyAlignment="1" applyBorder="1" applyFont="1" applyNumberFormat="1">
      <alignment horizontal="center" vertical="center"/>
    </xf>
    <xf borderId="1" fillId="3" fontId="31" numFmtId="0" xfId="0" applyAlignment="1" applyBorder="1" applyFont="1">
      <alignment horizontal="center" vertical="center"/>
    </xf>
    <xf borderId="1" fillId="3" fontId="29" numFmtId="0" xfId="0" applyAlignment="1" applyBorder="1" applyFont="1">
      <alignment horizontal="center" vertical="center"/>
    </xf>
    <xf borderId="1" fillId="17" fontId="4" numFmtId="0" xfId="0" applyAlignment="1" applyBorder="1" applyFont="1">
      <alignment vertical="center"/>
    </xf>
    <xf borderId="1" fillId="17" fontId="4" numFmtId="0" xfId="0" applyAlignment="1" applyBorder="1" applyFont="1">
      <alignment horizontal="center" vertical="center"/>
    </xf>
    <xf borderId="1" fillId="17" fontId="29" numFmtId="0" xfId="0" applyAlignment="1" applyBorder="1" applyFont="1">
      <alignment horizontal="center" vertical="center"/>
    </xf>
    <xf borderId="1" fillId="3" fontId="121" numFmtId="0" xfId="0" applyAlignment="1" applyBorder="1" applyFont="1">
      <alignment vertical="center"/>
    </xf>
    <xf borderId="1" fillId="3" fontId="122" numFmtId="0" xfId="0" applyAlignment="1" applyBorder="1" applyFont="1">
      <alignment vertical="center"/>
    </xf>
    <xf borderId="40" fillId="19" fontId="2" numFmtId="0" xfId="0" applyAlignment="1" applyBorder="1" applyFont="1">
      <alignment horizontal="left" vertical="center"/>
    </xf>
    <xf borderId="5" fillId="3" fontId="123" numFmtId="0" xfId="0" applyAlignment="1" applyBorder="1" applyFont="1">
      <alignment vertical="center"/>
    </xf>
    <xf borderId="1" fillId="17" fontId="17" numFmtId="0" xfId="0" applyAlignment="1" applyBorder="1" applyFont="1">
      <alignment horizontal="center" vertical="center"/>
    </xf>
    <xf borderId="1" fillId="3" fontId="34" numFmtId="0" xfId="0" applyAlignment="1" applyBorder="1" applyFont="1">
      <alignment shrinkToFit="0" vertical="center" wrapText="1"/>
    </xf>
    <xf borderId="1" fillId="3" fontId="122" numFmtId="0" xfId="0" applyAlignment="1" applyBorder="1" applyFont="1">
      <alignment horizontal="left" vertical="center"/>
    </xf>
    <xf borderId="5" fillId="3" fontId="124" numFmtId="0" xfId="0" applyAlignment="1" applyBorder="1" applyFont="1">
      <alignment horizontal="left" vertical="center"/>
    </xf>
    <xf borderId="5" fillId="3" fontId="125" numFmtId="0" xfId="0" applyAlignment="1" applyBorder="1" applyFont="1">
      <alignment horizontal="left" vertical="center"/>
    </xf>
    <xf borderId="1" fillId="3" fontId="122" numFmtId="0" xfId="0" applyAlignment="1" applyBorder="1" applyFont="1">
      <alignment shrinkToFit="0" vertical="center" wrapText="1"/>
    </xf>
    <xf borderId="0" fillId="0" fontId="121" numFmtId="0" xfId="0" applyAlignment="1" applyFont="1">
      <alignment vertical="center"/>
    </xf>
    <xf borderId="1" fillId="3" fontId="126" numFmtId="0" xfId="0" applyAlignment="1" applyBorder="1" applyFont="1">
      <alignment horizontal="center" vertical="center"/>
    </xf>
    <xf borderId="72" fillId="19" fontId="4" numFmtId="0" xfId="0" applyAlignment="1" applyBorder="1" applyFont="1">
      <alignment vertical="center"/>
    </xf>
    <xf borderId="40" fillId="16" fontId="26" numFmtId="0" xfId="0" applyAlignment="1" applyBorder="1" applyFont="1">
      <alignment horizontal="center" vertical="center"/>
    </xf>
    <xf borderId="1" fillId="18" fontId="12" numFmtId="0" xfId="0" applyAlignment="1" applyBorder="1" applyFont="1">
      <alignment horizontal="center" vertical="center"/>
    </xf>
    <xf borderId="1" fillId="18" fontId="2" numFmtId="0" xfId="0" applyAlignment="1" applyBorder="1" applyFont="1">
      <alignment horizontal="center" vertical="center"/>
    </xf>
    <xf borderId="1" fillId="18" fontId="17" numFmtId="0" xfId="0" applyAlignment="1" applyBorder="1" applyFont="1">
      <alignment vertical="center"/>
    </xf>
    <xf borderId="58" fillId="0" fontId="120" numFmtId="0" xfId="0" applyAlignment="1" applyBorder="1" applyFont="1">
      <alignment vertical="center"/>
    </xf>
    <xf borderId="70" fillId="2" fontId="74" numFmtId="165" xfId="0" applyAlignment="1" applyBorder="1" applyFont="1" applyNumberFormat="1">
      <alignment horizontal="center" vertical="center"/>
    </xf>
    <xf borderId="40" fillId="19" fontId="4" numFmtId="0" xfId="0" applyAlignment="1" applyBorder="1" applyFont="1">
      <alignment vertical="center"/>
    </xf>
    <xf borderId="72" fillId="19" fontId="2" numFmtId="0" xfId="0" applyAlignment="1" applyBorder="1" applyFont="1">
      <alignment shrinkToFit="0" vertical="center" wrapText="1"/>
    </xf>
    <xf borderId="40" fillId="18" fontId="26" numFmtId="0" xfId="0" applyAlignment="1" applyBorder="1" applyFont="1">
      <alignment horizontal="center" vertical="center"/>
    </xf>
    <xf borderId="1" fillId="3" fontId="78" numFmtId="0" xfId="0" applyAlignment="1" applyBorder="1" applyFont="1">
      <alignment vertical="center"/>
    </xf>
    <xf borderId="1" fillId="3" fontId="127" numFmtId="0" xfId="0" applyAlignment="1" applyBorder="1" applyFont="1">
      <alignment vertical="center"/>
    </xf>
    <xf borderId="5" fillId="3" fontId="128" numFmtId="0" xfId="0" applyAlignment="1" applyBorder="1" applyFont="1">
      <alignment vertical="center"/>
    </xf>
    <xf borderId="0" fillId="0" fontId="78" numFmtId="0" xfId="0" applyAlignment="1" applyFont="1">
      <alignment vertical="center"/>
    </xf>
    <xf borderId="0" fillId="0" fontId="128" numFmtId="0" xfId="0" applyAlignment="1" applyFont="1">
      <alignment vertical="center"/>
    </xf>
    <xf borderId="1" fillId="3" fontId="128" numFmtId="0" xfId="0" applyAlignment="1" applyBorder="1" applyFont="1">
      <alignment vertical="center"/>
    </xf>
    <xf borderId="1" fillId="3" fontId="19" numFmtId="0" xfId="0" applyAlignment="1" applyBorder="1" applyFont="1">
      <alignment vertical="center"/>
    </xf>
    <xf borderId="1" fillId="3" fontId="2" numFmtId="168" xfId="0" applyAlignment="1" applyBorder="1" applyFont="1" applyNumberFormat="1">
      <alignment horizontal="center" vertical="center"/>
    </xf>
    <xf borderId="5" fillId="3" fontId="129" numFmtId="0" xfId="0" applyAlignment="1" applyBorder="1" applyFont="1">
      <alignment vertical="center"/>
    </xf>
    <xf borderId="1" fillId="3" fontId="130" numFmtId="0" xfId="0" applyAlignment="1" applyBorder="1" applyFont="1">
      <alignment vertical="center"/>
    </xf>
    <xf borderId="1" fillId="3" fontId="131" numFmtId="0" xfId="0" applyAlignment="1" applyBorder="1" applyFont="1">
      <alignment horizontal="left" vertical="center"/>
    </xf>
    <xf borderId="1" fillId="3" fontId="131" numFmtId="0" xfId="0" applyAlignment="1" applyBorder="1" applyFont="1">
      <alignment vertical="center"/>
    </xf>
    <xf borderId="40" fillId="35" fontId="20" numFmtId="165" xfId="0" applyAlignment="1" applyBorder="1" applyFont="1" applyNumberFormat="1">
      <alignment horizontal="center" vertical="center"/>
    </xf>
    <xf borderId="41" fillId="35" fontId="132" numFmtId="165" xfId="0" applyAlignment="1" applyBorder="1" applyFont="1" applyNumberFormat="1">
      <alignment horizontal="center" vertical="center"/>
    </xf>
    <xf borderId="42" fillId="48" fontId="17" numFmtId="166" xfId="0" applyAlignment="1" applyBorder="1" applyFill="1" applyFont="1" applyNumberFormat="1">
      <alignment horizontal="center" vertical="center"/>
    </xf>
    <xf borderId="40" fillId="48" fontId="20" numFmtId="166" xfId="0" applyAlignment="1" applyBorder="1" applyFont="1" applyNumberFormat="1">
      <alignment horizontal="center" vertical="center"/>
    </xf>
    <xf borderId="40" fillId="35" fontId="132" numFmtId="165" xfId="0" applyAlignment="1" applyBorder="1" applyFont="1" applyNumberFormat="1">
      <alignment horizontal="center" vertical="center"/>
    </xf>
    <xf borderId="41" fillId="49" fontId="46" numFmtId="165" xfId="0" applyAlignment="1" applyBorder="1" applyFill="1" applyFont="1" applyNumberFormat="1">
      <alignment horizontal="center" vertical="center"/>
    </xf>
    <xf borderId="40" fillId="35" fontId="20" numFmtId="166" xfId="0" applyAlignment="1" applyBorder="1" applyFont="1" applyNumberFormat="1">
      <alignment horizontal="center" vertical="center"/>
    </xf>
    <xf borderId="40" fillId="48" fontId="20" numFmtId="165" xfId="0" applyAlignment="1" applyBorder="1" applyFont="1" applyNumberFormat="1">
      <alignment horizontal="center" vertical="center"/>
    </xf>
    <xf borderId="1" fillId="3" fontId="2" numFmtId="167" xfId="0" applyAlignment="1" applyBorder="1" applyFont="1" applyNumberFormat="1">
      <alignment horizontal="center" vertical="center"/>
    </xf>
    <xf borderId="5" fillId="3" fontId="133" numFmtId="0" xfId="0" applyAlignment="1" applyBorder="1" applyFont="1">
      <alignment vertical="center"/>
    </xf>
    <xf borderId="146" fillId="3" fontId="2" numFmtId="0" xfId="0" applyAlignment="1" applyBorder="1" applyFont="1">
      <alignment vertical="center"/>
    </xf>
    <xf borderId="1" fillId="3" fontId="134" numFmtId="0" xfId="0" applyAlignment="1" applyBorder="1" applyFont="1">
      <alignment vertical="center"/>
    </xf>
    <xf borderId="41" fillId="48" fontId="21" numFmtId="166" xfId="0" applyAlignment="1" applyBorder="1" applyFont="1" applyNumberFormat="1">
      <alignment horizontal="center"/>
    </xf>
    <xf borderId="5" fillId="3" fontId="135" numFmtId="0" xfId="0" applyAlignment="1" applyBorder="1" applyFont="1">
      <alignment horizontal="right" vertical="center"/>
    </xf>
    <xf borderId="0" fillId="0" fontId="130" numFmtId="0" xfId="0" applyAlignment="1" applyFont="1">
      <alignment vertical="center"/>
    </xf>
    <xf borderId="40" fillId="20" fontId="26" numFmtId="0" xfId="0" applyAlignment="1" applyBorder="1" applyFont="1">
      <alignment horizontal="center" vertical="center"/>
    </xf>
    <xf borderId="50" fillId="3" fontId="19" numFmtId="0" xfId="0" applyAlignment="1" applyBorder="1" applyFont="1">
      <alignment vertical="center"/>
    </xf>
    <xf borderId="0" fillId="0" fontId="20" numFmtId="0" xfId="0" applyAlignment="1" applyFont="1">
      <alignment horizontal="center" vertical="center"/>
    </xf>
    <xf borderId="0" fillId="0" fontId="2" numFmtId="0" xfId="0" applyAlignment="1" applyFont="1">
      <alignment horizontal="center" vertical="center"/>
    </xf>
    <xf borderId="83" fillId="50" fontId="136" numFmtId="0" xfId="0" applyAlignment="1" applyBorder="1" applyFill="1" applyFont="1">
      <alignment vertical="center"/>
    </xf>
    <xf borderId="1" fillId="50" fontId="136" numFmtId="0" xfId="0" applyAlignment="1" applyBorder="1" applyFont="1">
      <alignment vertical="center"/>
    </xf>
    <xf borderId="1" fillId="50" fontId="29" numFmtId="0" xfId="0" applyAlignment="1" applyBorder="1" applyFont="1">
      <alignment vertical="center"/>
    </xf>
    <xf borderId="1" fillId="50" fontId="136" numFmtId="0" xfId="0" applyAlignment="1" applyBorder="1" applyFont="1">
      <alignment horizontal="center" vertical="center"/>
    </xf>
    <xf borderId="1" fillId="50" fontId="2" numFmtId="0" xfId="0" applyAlignment="1" applyBorder="1" applyFont="1">
      <alignment horizontal="center" vertical="center"/>
    </xf>
    <xf borderId="1" fillId="50" fontId="2" numFmtId="0" xfId="0" applyAlignment="1" applyBorder="1" applyFont="1">
      <alignment vertical="center"/>
    </xf>
    <xf borderId="81" fillId="32" fontId="137" numFmtId="0" xfId="0" applyAlignment="1" applyBorder="1" applyFont="1">
      <alignment horizontal="left" vertical="center"/>
    </xf>
    <xf borderId="41" fillId="2" fontId="138" numFmtId="165" xfId="0" applyAlignment="1" applyBorder="1" applyFont="1" applyNumberFormat="1">
      <alignment horizontal="center" vertical="center"/>
    </xf>
    <xf borderId="41" fillId="2" fontId="138" numFmtId="164" xfId="0" applyAlignment="1" applyBorder="1" applyFont="1" applyNumberFormat="1">
      <alignment horizontal="center" vertical="center"/>
    </xf>
    <xf borderId="41" fillId="2" fontId="138" numFmtId="178" xfId="0" applyAlignment="1" applyBorder="1" applyFont="1" applyNumberFormat="1">
      <alignment horizontal="center" vertical="center"/>
    </xf>
    <xf borderId="40" fillId="44" fontId="20" numFmtId="166" xfId="0" applyAlignment="1" applyBorder="1" applyFont="1" applyNumberFormat="1">
      <alignment horizontal="center" vertical="center"/>
    </xf>
    <xf borderId="40" fillId="0" fontId="17" numFmtId="179" xfId="0" applyAlignment="1" applyBorder="1" applyFont="1" applyNumberFormat="1">
      <alignment vertical="center"/>
    </xf>
    <xf borderId="40" fillId="0" fontId="17" numFmtId="180" xfId="0" applyAlignment="1" applyBorder="1" applyFont="1" applyNumberFormat="1">
      <alignment vertical="center"/>
    </xf>
    <xf borderId="40" fillId="44" fontId="20" numFmtId="165" xfId="0" applyAlignment="1" applyBorder="1" applyFont="1" applyNumberFormat="1">
      <alignment horizontal="center" vertical="center"/>
    </xf>
    <xf borderId="41" fillId="2" fontId="17" numFmtId="168" xfId="0" applyAlignment="1" applyBorder="1" applyFont="1" applyNumberFormat="1">
      <alignment horizontal="center" vertical="center"/>
    </xf>
    <xf borderId="0" fillId="0" fontId="2" numFmtId="164" xfId="0" applyAlignment="1" applyFont="1" applyNumberFormat="1">
      <alignment horizontal="center" vertical="center"/>
    </xf>
    <xf borderId="0" fillId="0" fontId="139" numFmtId="164" xfId="0" applyAlignment="1" applyFont="1" applyNumberFormat="1">
      <alignment horizontal="center" vertical="center"/>
    </xf>
    <xf borderId="0" fillId="0" fontId="139" numFmtId="179" xfId="0" applyAlignment="1" applyFont="1" applyNumberFormat="1">
      <alignment horizontal="center" vertical="center"/>
    </xf>
    <xf borderId="40" fillId="3" fontId="78" numFmtId="0" xfId="0" applyAlignment="1" applyBorder="1" applyFont="1">
      <alignment vertical="center"/>
    </xf>
    <xf borderId="0" fillId="0" fontId="2" numFmtId="168" xfId="0" applyAlignment="1" applyFont="1" applyNumberFormat="1">
      <alignment horizontal="center" vertical="center"/>
    </xf>
    <xf borderId="0" fillId="0" fontId="140" numFmtId="167" xfId="0" applyAlignment="1" applyFont="1" applyNumberFormat="1">
      <alignment horizontal="center" vertical="center"/>
    </xf>
    <xf borderId="0" fillId="0" fontId="140" numFmtId="168" xfId="0" applyAlignment="1" applyFont="1" applyNumberFormat="1">
      <alignment horizontal="center" vertical="center"/>
    </xf>
    <xf borderId="0" fillId="0" fontId="139" numFmtId="0" xfId="0" applyAlignment="1" applyFont="1">
      <alignment vertical="center"/>
    </xf>
    <xf borderId="0" fillId="0" fontId="57" numFmtId="0" xfId="0" applyAlignment="1" applyFont="1">
      <alignment horizontal="center" vertical="center"/>
    </xf>
    <xf borderId="0" fillId="0" fontId="139" numFmtId="0" xfId="0" applyAlignment="1" applyFont="1">
      <alignment horizontal="center" vertical="center"/>
    </xf>
    <xf borderId="1" fillId="33" fontId="139" numFmtId="179" xfId="0" applyAlignment="1" applyBorder="1" applyFont="1" applyNumberFormat="1">
      <alignment horizontal="center" vertical="center"/>
    </xf>
    <xf borderId="41" fillId="25" fontId="141" numFmtId="165" xfId="0" applyAlignment="1" applyBorder="1" applyFont="1" applyNumberFormat="1">
      <alignment horizontal="center" vertical="center"/>
    </xf>
    <xf borderId="1" fillId="3" fontId="34" numFmtId="0" xfId="0" applyAlignment="1" applyBorder="1" applyFont="1">
      <alignment horizontal="right" vertical="center"/>
    </xf>
    <xf borderId="1" fillId="3" fontId="142" numFmtId="0" xfId="0" applyAlignment="1" applyBorder="1" applyFont="1">
      <alignment vertical="center"/>
    </xf>
    <xf borderId="83" fillId="14" fontId="12" numFmtId="0" xfId="0" applyAlignment="1" applyBorder="1" applyFont="1">
      <alignment horizontal="left" vertical="center"/>
    </xf>
    <xf borderId="1" fillId="3" fontId="70" numFmtId="0" xfId="0" applyAlignment="1" applyBorder="1" applyFont="1">
      <alignment vertical="center"/>
    </xf>
    <xf borderId="83" fillId="16" fontId="12" numFmtId="0" xfId="0" applyAlignment="1" applyBorder="1" applyFont="1">
      <alignment horizontal="left" vertical="center"/>
    </xf>
    <xf borderId="1" fillId="3" fontId="120" numFmtId="0" xfId="0" applyAlignment="1" applyBorder="1" applyFont="1">
      <alignment vertical="center"/>
    </xf>
    <xf borderId="1" fillId="3" fontId="143" numFmtId="0" xfId="0" applyAlignment="1" applyBorder="1" applyFont="1">
      <alignment vertical="center"/>
    </xf>
    <xf borderId="83" fillId="4" fontId="12" numFmtId="0" xfId="0" applyAlignment="1" applyBorder="1" applyFont="1">
      <alignment horizontal="left" vertical="center"/>
    </xf>
    <xf borderId="1" fillId="4" fontId="12" numFmtId="0" xfId="0" applyAlignment="1" applyBorder="1" applyFont="1">
      <alignment vertical="center"/>
    </xf>
    <xf borderId="1" fillId="4" fontId="12" numFmtId="0" xfId="0" applyAlignment="1" applyBorder="1" applyFont="1">
      <alignment horizontal="center" vertical="center"/>
    </xf>
    <xf borderId="1" fillId="4" fontId="2" numFmtId="0" xfId="0" applyAlignment="1" applyBorder="1" applyFont="1">
      <alignment horizontal="center" vertical="center"/>
    </xf>
    <xf borderId="1" fillId="4" fontId="17" numFmtId="0" xfId="0" applyAlignment="1" applyBorder="1" applyFont="1">
      <alignment vertical="center"/>
    </xf>
    <xf borderId="1" fillId="4" fontId="2" numFmtId="0" xfId="0" applyAlignment="1" applyBorder="1" applyFont="1">
      <alignment vertical="center"/>
    </xf>
    <xf borderId="1" fillId="4" fontId="2" numFmtId="0" xfId="0" applyAlignment="1" applyBorder="1" applyFont="1">
      <alignment horizontal="left" vertical="center"/>
    </xf>
    <xf borderId="41" fillId="2" fontId="23" numFmtId="174" xfId="0" applyAlignment="1" applyBorder="1" applyFont="1" applyNumberFormat="1">
      <alignment horizontal="center" vertical="center"/>
    </xf>
  </cellXfs>
  <cellStyles count="1">
    <cellStyle xfId="0" name="Normal" builtinId="0"/>
  </cellStyles>
  <dxfs count="4">
    <dxf>
      <font>
        <b/>
        <color rgb="FFFF0000"/>
      </font>
      <fill>
        <patternFill patternType="solid">
          <fgColor rgb="FFFFFF00"/>
          <bgColor rgb="FFFFFF00"/>
        </patternFill>
      </fill>
      <border/>
    </dxf>
    <dxf>
      <font>
        <b/>
        <color rgb="FFFFFFFF"/>
      </font>
      <fill>
        <patternFill patternType="solid">
          <fgColor rgb="FFFFFF00"/>
          <bgColor rgb="FFFFFF00"/>
        </patternFill>
      </fill>
      <border/>
    </dxf>
    <dxf>
      <font>
        <b/>
        <color rgb="FFFF0000"/>
      </font>
      <fill>
        <patternFill patternType="none"/>
      </fill>
      <border/>
    </dxf>
    <dxf>
      <font/>
      <fill>
        <patternFill patternType="solid">
          <fgColor rgb="FFFFFF00"/>
          <bgColor rgb="FFFFFF0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a:t>
            </a:r>
          </a:p>
        </c:rich>
      </c:tx>
      <c:overlay val="0"/>
    </c:title>
    <c:plotArea>
      <c:layout/>
      <c:scatterChart>
        <c:scatterStyle val="lineMarker"/>
        <c:varyColors val="0"/>
        <c:ser>
          <c:idx val="0"/>
          <c:order val="0"/>
          <c:tx>
            <c:v>calculation</c:v>
          </c:tx>
          <c:spPr>
            <a:ln>
              <a:noFill/>
            </a:ln>
          </c:spPr>
          <c:marker>
            <c:symbol val="circle"/>
            <c:size val="7"/>
            <c:spPr>
              <a:solidFill>
                <a:srgbClr val="5B9BD5"/>
              </a:solidFill>
              <a:ln cmpd="sng">
                <a:solidFill>
                  <a:srgbClr val="5B9BD5"/>
                </a:solidFill>
              </a:ln>
            </c:spPr>
          </c:marker>
          <c:xVal>
            <c:numRef>
              <c:f>'EDCM PreGraphs - Residential'!$B$1:$I$1</c:f>
            </c:numRef>
          </c:xVal>
          <c:yVal>
            <c:numRef>
              <c:f>'EDCM PreGraphs - Residential'!$M$3:$T$3</c:f>
              <c:numCache/>
            </c:numRef>
          </c:yVal>
        </c:ser>
        <c:dLbls>
          <c:showLegendKey val="0"/>
          <c:showVal val="0"/>
          <c:showCatName val="0"/>
          <c:showSerName val="0"/>
          <c:showPercent val="0"/>
          <c:showBubbleSize val="0"/>
        </c:dLbls>
        <c:axId val="1474341099"/>
        <c:axId val="595748706"/>
      </c:scatterChart>
      <c:valAx>
        <c:axId val="1474341099"/>
        <c:scaling>
          <c:orientation val="minMax"/>
          <c:max val="2050.0"/>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i="0" sz="900">
                <a:solidFill>
                  <a:srgbClr val="595959"/>
                </a:solidFill>
                <a:latin typeface="Calibri"/>
              </a:defRPr>
            </a:pPr>
          </a:p>
        </c:txPr>
        <c:crossAx val="595748706"/>
      </c:valAx>
      <c:valAx>
        <c:axId val="59574870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 ##0&quot; TWh&quot;" sourceLinked="0"/>
        <c:majorTickMark val="none"/>
        <c:minorTickMark val="none"/>
        <c:tickLblPos val="nextTo"/>
        <c:spPr>
          <a:ln/>
        </c:spPr>
        <c:txPr>
          <a:bodyPr/>
          <a:lstStyle/>
          <a:p>
            <a:pPr lvl="0">
              <a:defRPr b="0" i="0" sz="900">
                <a:solidFill>
                  <a:srgbClr val="595959"/>
                </a:solidFill>
                <a:latin typeface="Calibri"/>
              </a:defRPr>
            </a:pPr>
          </a:p>
        </c:txPr>
        <c:crossAx val="1474341099"/>
      </c:valAx>
    </c:plotArea>
    <c:legend>
      <c:legendPos val="b"/>
      <c:overlay val="0"/>
      <c:txPr>
        <a:bodyPr/>
        <a:lstStyle/>
        <a:p>
          <a:pPr lvl="0">
            <a:defRPr b="0" i="0" sz="900">
              <a:solidFill>
                <a:srgbClr val="595959"/>
              </a:solidFill>
              <a:latin typeface="Calibri"/>
            </a:defRPr>
          </a:pPr>
        </a:p>
      </c:txPr>
    </c:legend>
    <c:plotVisOnly val="1"/>
  </c:chart>
  <c:spPr>
    <a:solidFill>
      <a:srgbClr val="FFFFFF"/>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Residential sector final energy consumption by energy carriers (secondary and vacant dwellings not or partially included)</a:t>
            </a:r>
          </a:p>
        </c:rich>
      </c:tx>
      <c:overlay val="0"/>
    </c:title>
    <c:plotArea>
      <c:layout/>
      <c:areaChart>
        <c:grouping val="stacked"/>
        <c:ser>
          <c:idx val="0"/>
          <c:order val="0"/>
          <c:tx>
            <c:v>Thermal solar</c:v>
          </c:tx>
          <c:spPr>
            <a:solidFill>
              <a:srgbClr val="FFFF00">
                <a:alpha val="30000"/>
              </a:srgbClr>
            </a:solidFill>
            <a:ln cmpd="sng">
              <a:solidFill>
                <a:srgbClr val="FFFF00"/>
              </a:solidFill>
            </a:ln>
          </c:spPr>
          <c:cat>
            <c:strRef>
              <c:f>'EDCM PreGraphs - Residential'!$B$1:$I$1</c:f>
            </c:strRef>
          </c:cat>
          <c:val>
            <c:numRef>
              <c:f>'EDCM PreGraphs - Residential'!$B$10:$I$10</c:f>
              <c:numCache/>
            </c:numRef>
          </c:val>
        </c:ser>
        <c:ser>
          <c:idx val="1"/>
          <c:order val="1"/>
          <c:tx>
            <c:v>Ambient heat (heat pumps…)</c:v>
          </c:tx>
          <c:spPr>
            <a:solidFill>
              <a:srgbClr val="A3DD01">
                <a:alpha val="30000"/>
              </a:srgbClr>
            </a:solidFill>
            <a:ln cmpd="sng">
              <a:solidFill>
                <a:srgbClr val="A3DD01"/>
              </a:solidFill>
            </a:ln>
          </c:spPr>
          <c:cat>
            <c:strRef>
              <c:f>'EDCM PreGraphs - Residential'!$B$1:$I$1</c:f>
            </c:strRef>
          </c:cat>
          <c:val>
            <c:numRef>
              <c:f>'EDCM PreGraphs - Residential'!$B$9:$I$9</c:f>
              <c:numCache/>
            </c:numRef>
          </c:val>
        </c:ser>
        <c:ser>
          <c:idx val="2"/>
          <c:order val="2"/>
          <c:tx>
            <c:v>Heating / cooling networks</c:v>
          </c:tx>
          <c:spPr>
            <a:solidFill>
              <a:srgbClr val="255E91">
                <a:alpha val="30000"/>
              </a:srgbClr>
            </a:solidFill>
            <a:ln cmpd="sng">
              <a:solidFill>
                <a:srgbClr val="255E91"/>
              </a:solidFill>
            </a:ln>
          </c:spPr>
          <c:cat>
            <c:strRef>
              <c:f>'EDCM PreGraphs - Residential'!$B$1:$I$1</c:f>
            </c:strRef>
          </c:cat>
          <c:val>
            <c:numRef>
              <c:f>'EDCM PreGraphs - Residential'!$B$8:$I$8</c:f>
              <c:numCache/>
            </c:numRef>
          </c:val>
        </c:ser>
        <c:ser>
          <c:idx val="3"/>
          <c:order val="3"/>
          <c:tx>
            <c:v>Electricity</c:v>
          </c:tx>
          <c:spPr>
            <a:solidFill>
              <a:srgbClr val="05BEFF">
                <a:alpha val="30000"/>
              </a:srgbClr>
            </a:solidFill>
            <a:ln cmpd="sng">
              <a:solidFill>
                <a:srgbClr val="05BEFF"/>
              </a:solidFill>
            </a:ln>
          </c:spPr>
          <c:cat>
            <c:strRef>
              <c:f>'EDCM PreGraphs - Residential'!$B$1:$I$1</c:f>
            </c:strRef>
          </c:cat>
          <c:val>
            <c:numRef>
              <c:f>'EDCM PreGraphs - Residential'!$B$7:$I$7</c:f>
              <c:numCache/>
            </c:numRef>
          </c:val>
        </c:ser>
        <c:ser>
          <c:idx val="4"/>
          <c:order val="4"/>
          <c:tx>
            <c:v>Gas grid / gas consumed locally</c:v>
          </c:tx>
          <c:spPr>
            <a:solidFill>
              <a:srgbClr val="FFB601">
                <a:alpha val="30000"/>
              </a:srgbClr>
            </a:solidFill>
            <a:ln cmpd="sng">
              <a:solidFill>
                <a:srgbClr val="FFB601"/>
              </a:solidFill>
            </a:ln>
          </c:spPr>
          <c:cat>
            <c:strRef>
              <c:f>'EDCM PreGraphs - Residential'!$B$1:$I$1</c:f>
            </c:strRef>
          </c:cat>
          <c:val>
            <c:numRef>
              <c:f>'EDCM PreGraphs - Residential'!$B$6:$I$6</c:f>
              <c:numCache/>
            </c:numRef>
          </c:val>
        </c:ser>
        <c:ser>
          <c:idx val="5"/>
          <c:order val="5"/>
          <c:tx>
            <c:v>Oil</c:v>
          </c:tx>
          <c:spPr>
            <a:solidFill>
              <a:srgbClr val="C00000">
                <a:alpha val="30000"/>
              </a:srgbClr>
            </a:solidFill>
            <a:ln cmpd="sng">
              <a:solidFill>
                <a:srgbClr val="C00000"/>
              </a:solidFill>
            </a:ln>
          </c:spPr>
          <c:cat>
            <c:strRef>
              <c:f>'EDCM PreGraphs - Residential'!$B$1:$I$1</c:f>
            </c:strRef>
          </c:cat>
          <c:val>
            <c:numRef>
              <c:f>'EDCM PreGraphs - Residential'!$B$5:$I$5</c:f>
              <c:numCache/>
            </c:numRef>
          </c:val>
        </c:ser>
        <c:ser>
          <c:idx val="6"/>
          <c:order val="6"/>
          <c:tx>
            <c:v>Solid biomass</c:v>
          </c:tx>
          <c:spPr>
            <a:solidFill>
              <a:srgbClr val="006600">
                <a:alpha val="30000"/>
              </a:srgbClr>
            </a:solidFill>
            <a:ln cmpd="sng">
              <a:solidFill>
                <a:srgbClr val="006600"/>
              </a:solidFill>
            </a:ln>
          </c:spPr>
          <c:cat>
            <c:strRef>
              <c:f>'EDCM PreGraphs - Residential'!$B$1:$I$1</c:f>
            </c:strRef>
          </c:cat>
          <c:val>
            <c:numRef>
              <c:f>'EDCM PreGraphs - Residential'!$B$4:$I$4</c:f>
              <c:numCache/>
            </c:numRef>
          </c:val>
        </c:ser>
        <c:axId val="113190744"/>
        <c:axId val="2123736353"/>
      </c:areaChart>
      <c:catAx>
        <c:axId val="1131907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0" i="0" sz="900">
                <a:solidFill>
                  <a:srgbClr val="595959"/>
                </a:solidFill>
                <a:latin typeface="Calibri"/>
              </a:defRPr>
            </a:pPr>
          </a:p>
        </c:txPr>
        <c:crossAx val="2123736353"/>
      </c:catAx>
      <c:valAx>
        <c:axId val="2123736353"/>
        <c:scaling>
          <c:orientation val="minMax"/>
        </c:scaling>
        <c:delete val="0"/>
        <c:axPos val="l"/>
        <c:majorGridlines>
          <c:spPr>
            <a:ln>
              <a:solidFill>
                <a:srgbClr val="B7B7B7"/>
              </a:solidFill>
            </a:ln>
          </c:spPr>
        </c:majorGridlines>
        <c:title>
          <c:tx>
            <c:rich>
              <a:bodyPr/>
              <a:lstStyle/>
              <a:p>
                <a:pPr lvl="0">
                  <a:defRPr b="0" i="0" sz="1000">
                    <a:solidFill>
                      <a:srgbClr val="595959"/>
                    </a:solidFill>
                    <a:latin typeface="Calibri"/>
                  </a:defRPr>
                </a:pPr>
                <a:r>
                  <a:rPr b="0" i="0" sz="1000">
                    <a:solidFill>
                      <a:srgbClr val="595959"/>
                    </a:solidFill>
                    <a:latin typeface="Calibri"/>
                  </a:rPr>
                  <a:t>TWh</a:t>
                </a:r>
              </a:p>
            </c:rich>
          </c:tx>
          <c:overlay val="0"/>
        </c:title>
        <c:numFmt formatCode="#\ ##0.000" sourceLinked="0"/>
        <c:majorTickMark val="none"/>
        <c:minorTickMark val="none"/>
        <c:tickLblPos val="nextTo"/>
        <c:spPr>
          <a:ln/>
        </c:spPr>
        <c:txPr>
          <a:bodyPr/>
          <a:lstStyle/>
          <a:p>
            <a:pPr lvl="0">
              <a:defRPr b="0" i="0" sz="900">
                <a:solidFill>
                  <a:srgbClr val="595959"/>
                </a:solidFill>
                <a:latin typeface="Calibri"/>
              </a:defRPr>
            </a:pPr>
          </a:p>
        </c:txPr>
        <c:crossAx val="113190744"/>
      </c:valAx>
    </c:plotArea>
    <c:legend>
      <c:legendPos val="r"/>
      <c:overlay val="0"/>
      <c:txPr>
        <a:bodyPr/>
        <a:lstStyle/>
        <a:p>
          <a:pPr lvl="0">
            <a:defRPr b="0" i="0" sz="900">
              <a:solidFill>
                <a:srgbClr val="595959"/>
              </a:solidFill>
              <a:latin typeface="Calibri"/>
            </a:defRPr>
          </a:pPr>
        </a:p>
      </c:txPr>
    </c:legend>
    <c:plotVisOnly val="1"/>
  </c:chart>
  <c:spPr>
    <a:solidFill>
      <a:srgbClr val="FFFFFF"/>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Residential sector final energy consumption by energy uses (secondary and vacant dwellings not or partially included)</a:t>
            </a:r>
          </a:p>
        </c:rich>
      </c:tx>
      <c:overlay val="0"/>
    </c:title>
    <c:plotArea>
      <c:layout/>
      <c:areaChart>
        <c:grouping val="stacked"/>
        <c:ser>
          <c:idx val="0"/>
          <c:order val="0"/>
          <c:tx>
            <c:v>Specific electricity</c:v>
          </c:tx>
          <c:spPr>
            <a:solidFill>
              <a:srgbClr val="000000">
                <a:alpha val="30000"/>
              </a:srgbClr>
            </a:solidFill>
            <a:ln cmpd="sng" w="19050">
              <a:solidFill>
                <a:srgbClr val="000000">
                  <a:alpha val="0"/>
                </a:srgbClr>
              </a:solidFill>
            </a:ln>
          </c:spPr>
          <c:cat>
            <c:strRef>
              <c:f>'EDCM PreGraphs - Residential'!$B$1:$I$1</c:f>
            </c:strRef>
          </c:cat>
          <c:val>
            <c:numRef>
              <c:f>'EDCM PreGraphs - Residential'!$B$29:$I$29</c:f>
              <c:numCache/>
            </c:numRef>
          </c:val>
        </c:ser>
        <c:ser>
          <c:idx val="1"/>
          <c:order val="1"/>
          <c:tx>
            <c:v>Cooking</c:v>
          </c:tx>
          <c:spPr>
            <a:solidFill>
              <a:srgbClr val="000000">
                <a:alpha val="30000"/>
              </a:srgbClr>
            </a:solidFill>
            <a:ln cmpd="sng" w="19050">
              <a:solidFill>
                <a:srgbClr val="000000">
                  <a:alpha val="0"/>
                </a:srgbClr>
              </a:solidFill>
            </a:ln>
          </c:spPr>
          <c:cat>
            <c:strRef>
              <c:f>'EDCM PreGraphs - Residential'!$B$1:$I$1</c:f>
            </c:strRef>
          </c:cat>
          <c:val>
            <c:numRef>
              <c:f>'EDCM PreGraphs - Residential'!$B$28:$I$28</c:f>
              <c:numCache/>
            </c:numRef>
          </c:val>
        </c:ser>
        <c:ser>
          <c:idx val="2"/>
          <c:order val="2"/>
          <c:tx>
            <c:v>Domestic hot water</c:v>
          </c:tx>
          <c:spPr>
            <a:solidFill>
              <a:srgbClr val="000000">
                <a:alpha val="30000"/>
              </a:srgbClr>
            </a:solidFill>
            <a:ln cmpd="sng" w="19050">
              <a:solidFill>
                <a:srgbClr val="000000">
                  <a:alpha val="0"/>
                </a:srgbClr>
              </a:solidFill>
            </a:ln>
          </c:spPr>
          <c:cat>
            <c:strRef>
              <c:f>'EDCM PreGraphs - Residential'!$B$1:$I$1</c:f>
            </c:strRef>
          </c:cat>
          <c:val>
            <c:numRef>
              <c:f>'EDCM PreGraphs - Residential'!$B$27:$I$27</c:f>
              <c:numCache/>
            </c:numRef>
          </c:val>
        </c:ser>
        <c:ser>
          <c:idx val="3"/>
          <c:order val="3"/>
          <c:tx>
            <c:v>Cooling</c:v>
          </c:tx>
          <c:spPr>
            <a:solidFill>
              <a:srgbClr val="000000">
                <a:alpha val="30000"/>
              </a:srgbClr>
            </a:solidFill>
            <a:ln cmpd="sng" w="19050">
              <a:solidFill>
                <a:srgbClr val="000000">
                  <a:alpha val="0"/>
                </a:srgbClr>
              </a:solidFill>
            </a:ln>
          </c:spPr>
          <c:cat>
            <c:strRef>
              <c:f>'EDCM PreGraphs - Residential'!$B$1:$I$1</c:f>
            </c:strRef>
          </c:cat>
          <c:val>
            <c:numRef>
              <c:f>'EDCM PreGraphs - Residential'!$B$26:$I$26</c:f>
              <c:numCache/>
            </c:numRef>
          </c:val>
        </c:ser>
        <c:axId val="853363520"/>
        <c:axId val="1929419167"/>
      </c:areaChart>
      <c:catAx>
        <c:axId val="8533635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0" i="0" sz="900">
                <a:solidFill>
                  <a:srgbClr val="595959"/>
                </a:solidFill>
                <a:latin typeface="Calibri"/>
              </a:defRPr>
            </a:pPr>
          </a:p>
        </c:txPr>
        <c:crossAx val="1929419167"/>
      </c:catAx>
      <c:valAx>
        <c:axId val="1929419167"/>
        <c:scaling>
          <c:orientation val="minMax"/>
        </c:scaling>
        <c:delete val="0"/>
        <c:axPos val="l"/>
        <c:majorGridlines>
          <c:spPr>
            <a:ln>
              <a:solidFill>
                <a:srgbClr val="B7B7B7"/>
              </a:solidFill>
            </a:ln>
          </c:spPr>
        </c:majorGridlines>
        <c:title>
          <c:tx>
            <c:rich>
              <a:bodyPr/>
              <a:lstStyle/>
              <a:p>
                <a:pPr lvl="0">
                  <a:defRPr b="0" i="0" sz="1000">
                    <a:solidFill>
                      <a:srgbClr val="595959"/>
                    </a:solidFill>
                    <a:latin typeface="Calibri"/>
                  </a:defRPr>
                </a:pPr>
                <a:r>
                  <a:rPr b="0" i="0" sz="1000">
                    <a:solidFill>
                      <a:srgbClr val="595959"/>
                    </a:solidFill>
                    <a:latin typeface="Calibri"/>
                  </a:rPr>
                  <a:t>TWh</a:t>
                </a:r>
              </a:p>
            </c:rich>
          </c:tx>
          <c:overlay val="0"/>
        </c:title>
        <c:numFmt formatCode="#\ ##0.000" sourceLinked="0"/>
        <c:majorTickMark val="none"/>
        <c:minorTickMark val="none"/>
        <c:tickLblPos val="nextTo"/>
        <c:spPr>
          <a:ln/>
        </c:spPr>
        <c:txPr>
          <a:bodyPr/>
          <a:lstStyle/>
          <a:p>
            <a:pPr lvl="0">
              <a:defRPr b="0" i="0" sz="900">
                <a:solidFill>
                  <a:srgbClr val="595959"/>
                </a:solidFill>
                <a:latin typeface="Calibri"/>
              </a:defRPr>
            </a:pPr>
          </a:p>
        </c:txPr>
        <c:crossAx val="853363520"/>
      </c:valAx>
    </c:plotArea>
    <c:legend>
      <c:legendPos val="r"/>
      <c:overlay val="0"/>
      <c:txPr>
        <a:bodyPr/>
        <a:lstStyle/>
        <a:p>
          <a:pPr lvl="0">
            <a:defRPr b="0" i="0" sz="900">
              <a:solidFill>
                <a:srgbClr val="595959"/>
              </a:solidFill>
              <a:latin typeface="Calibri"/>
            </a:defRPr>
          </a:pPr>
        </a:p>
      </c:txPr>
    </c:legend>
    <c:plotVisOnly val="1"/>
  </c:chart>
  <c:spPr>
    <a:solidFill>
      <a:srgbClr val="FFFFFF"/>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a:t>
            </a:r>
          </a:p>
        </c:rich>
      </c:tx>
      <c:overlay val="0"/>
    </c:title>
    <c:plotArea>
      <c:layout/>
      <c:scatterChart>
        <c:scatterStyle val="lineMarker"/>
        <c:ser>
          <c:idx val="0"/>
          <c:order val="0"/>
          <c:tx>
            <c:v>calculation</c:v>
          </c:tx>
          <c:spPr>
            <a:ln>
              <a:noFill/>
            </a:ln>
          </c:spPr>
          <c:marker>
            <c:symbol val="circle"/>
            <c:size val="7"/>
            <c:spPr>
              <a:solidFill>
                <a:srgbClr val="5B9BD5"/>
              </a:solidFill>
              <a:ln cmpd="sng">
                <a:solidFill>
                  <a:srgbClr val="5B9BD5"/>
                </a:solidFill>
              </a:ln>
            </c:spPr>
          </c:marker>
          <c:xVal>
            <c:numRef>
              <c:f>'EDCM PreGraphs - Tertiary'!$B$1:$I$1</c:f>
            </c:numRef>
          </c:xVal>
          <c:yVal>
            <c:numRef>
              <c:f>'EDCM PreGraphs - Tertiary'!$M$3:$T$3</c:f>
              <c:numCache/>
            </c:numRef>
          </c:yVal>
        </c:ser>
        <c:ser>
          <c:idx val="1"/>
          <c:order val="1"/>
          <c:tx>
            <c:v>input values</c:v>
          </c:tx>
          <c:spPr>
            <a:ln>
              <a:noFill/>
            </a:ln>
          </c:spPr>
          <c:marker>
            <c:symbol val="circle"/>
            <c:size val="7"/>
            <c:spPr>
              <a:solidFill>
                <a:srgbClr val="ED7D31"/>
              </a:solidFill>
              <a:ln cmpd="sng">
                <a:solidFill>
                  <a:srgbClr val="ED7D31"/>
                </a:solidFill>
              </a:ln>
            </c:spPr>
          </c:marker>
          <c:xVal>
            <c:numRef>
              <c:f>'EDCM PreGraphs - Tertiary'!$B$1:$I$1</c:f>
            </c:numRef>
          </c:xVal>
          <c:yVal>
            <c:numRef>
              <c:f>'EDCM PreGraphs - Tertiary'!$M$4:$T$4</c:f>
              <c:numCache/>
            </c:numRef>
          </c:yVal>
        </c:ser>
        <c:dLbls>
          <c:showLegendKey val="0"/>
          <c:showVal val="0"/>
          <c:showCatName val="0"/>
          <c:showSerName val="0"/>
          <c:showPercent val="0"/>
          <c:showBubbleSize val="0"/>
        </c:dLbls>
        <c:axId val="1180458929"/>
        <c:axId val="1044422119"/>
      </c:scatterChart>
      <c:valAx>
        <c:axId val="1180458929"/>
        <c:scaling>
          <c:orientation val="minMax"/>
          <c:max val="2050.0"/>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i="0" sz="900">
                <a:solidFill>
                  <a:srgbClr val="595959"/>
                </a:solidFill>
                <a:latin typeface="Calibri"/>
              </a:defRPr>
            </a:pPr>
          </a:p>
        </c:txPr>
        <c:crossAx val="1044422119"/>
      </c:valAx>
      <c:valAx>
        <c:axId val="104442211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 ##0&quot; TWh&quot;" sourceLinked="0"/>
        <c:majorTickMark val="none"/>
        <c:minorTickMark val="none"/>
        <c:tickLblPos val="nextTo"/>
        <c:spPr>
          <a:ln/>
        </c:spPr>
        <c:txPr>
          <a:bodyPr/>
          <a:lstStyle/>
          <a:p>
            <a:pPr lvl="0">
              <a:defRPr b="0" i="0" sz="900">
                <a:solidFill>
                  <a:srgbClr val="595959"/>
                </a:solidFill>
                <a:latin typeface="Calibri"/>
              </a:defRPr>
            </a:pPr>
          </a:p>
        </c:txPr>
        <c:crossAx val="1180458929"/>
      </c:valAx>
    </c:plotArea>
    <c:legend>
      <c:legendPos val="b"/>
      <c:overlay val="0"/>
      <c:txPr>
        <a:bodyPr/>
        <a:lstStyle/>
        <a:p>
          <a:pPr lvl="0">
            <a:defRPr b="0" i="0" sz="900">
              <a:solidFill>
                <a:srgbClr val="595959"/>
              </a:solidFill>
              <a:latin typeface="Calibri"/>
            </a:defRPr>
          </a:pPr>
        </a:p>
      </c:txPr>
    </c:legend>
    <c:plotVisOnly val="1"/>
  </c:chart>
  <c:spPr>
    <a:solidFill>
      <a:srgbClr val="FFFFFF"/>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Tertiary sector final energy consumption by energy carriers</a:t>
            </a:r>
          </a:p>
        </c:rich>
      </c:tx>
      <c:overlay val="0"/>
    </c:title>
    <c:plotArea>
      <c:layout/>
      <c:areaChart>
        <c:grouping val="stacked"/>
        <c:ser>
          <c:idx val="0"/>
          <c:order val="0"/>
          <c:tx>
            <c:v>Thermal solar</c:v>
          </c:tx>
          <c:spPr>
            <a:solidFill>
              <a:srgbClr val="FFFF00">
                <a:alpha val="30000"/>
              </a:srgbClr>
            </a:solidFill>
            <a:ln cmpd="sng">
              <a:solidFill>
                <a:srgbClr val="FFFF00"/>
              </a:solidFill>
            </a:ln>
          </c:spPr>
          <c:cat>
            <c:strRef>
              <c:f>'EDCM PreGraphs - Tertiary'!$B$1:$I$1</c:f>
            </c:strRef>
          </c:cat>
          <c:val>
            <c:numRef>
              <c:f>'EDCM PreGraphs - Tertiary'!$B$10:$I$10</c:f>
              <c:numCache/>
            </c:numRef>
          </c:val>
        </c:ser>
        <c:ser>
          <c:idx val="1"/>
          <c:order val="1"/>
          <c:tx>
            <c:v>Ambient heat (heat pumps…)</c:v>
          </c:tx>
          <c:spPr>
            <a:solidFill>
              <a:srgbClr val="A3DD01">
                <a:alpha val="30000"/>
              </a:srgbClr>
            </a:solidFill>
            <a:ln cmpd="sng">
              <a:solidFill>
                <a:srgbClr val="A3DD01"/>
              </a:solidFill>
            </a:ln>
          </c:spPr>
          <c:cat>
            <c:strRef>
              <c:f>'EDCM PreGraphs - Tertiary'!$B$1:$I$1</c:f>
            </c:strRef>
          </c:cat>
          <c:val>
            <c:numRef>
              <c:f>'EDCM PreGraphs - Tertiary'!$B$9:$I$9</c:f>
              <c:numCache/>
            </c:numRef>
          </c:val>
        </c:ser>
        <c:ser>
          <c:idx val="2"/>
          <c:order val="2"/>
          <c:tx>
            <c:v>Heating / cooling networks</c:v>
          </c:tx>
          <c:spPr>
            <a:solidFill>
              <a:srgbClr val="255E91">
                <a:alpha val="30000"/>
              </a:srgbClr>
            </a:solidFill>
            <a:ln cmpd="sng">
              <a:solidFill>
                <a:srgbClr val="255E91"/>
              </a:solidFill>
            </a:ln>
          </c:spPr>
          <c:cat>
            <c:strRef>
              <c:f>'EDCM PreGraphs - Tertiary'!$B$1:$I$1</c:f>
            </c:strRef>
          </c:cat>
          <c:val>
            <c:numRef>
              <c:f>'EDCM PreGraphs - Tertiary'!$B$8:$I$8</c:f>
              <c:numCache/>
            </c:numRef>
          </c:val>
        </c:ser>
        <c:ser>
          <c:idx val="3"/>
          <c:order val="3"/>
          <c:tx>
            <c:v>Electricity</c:v>
          </c:tx>
          <c:spPr>
            <a:solidFill>
              <a:srgbClr val="05BEFF">
                <a:alpha val="30000"/>
              </a:srgbClr>
            </a:solidFill>
            <a:ln cmpd="sng">
              <a:solidFill>
                <a:srgbClr val="05BEFF"/>
              </a:solidFill>
            </a:ln>
          </c:spPr>
          <c:cat>
            <c:strRef>
              <c:f>'EDCM PreGraphs - Tertiary'!$B$1:$I$1</c:f>
            </c:strRef>
          </c:cat>
          <c:val>
            <c:numRef>
              <c:f>'EDCM PreGraphs - Tertiary'!$B$7:$I$7</c:f>
              <c:numCache/>
            </c:numRef>
          </c:val>
        </c:ser>
        <c:ser>
          <c:idx val="4"/>
          <c:order val="4"/>
          <c:tx>
            <c:v>Gas grid / gas consumed locally</c:v>
          </c:tx>
          <c:spPr>
            <a:solidFill>
              <a:srgbClr val="FFB601">
                <a:alpha val="30000"/>
              </a:srgbClr>
            </a:solidFill>
            <a:ln cmpd="sng">
              <a:solidFill>
                <a:srgbClr val="FFB601"/>
              </a:solidFill>
            </a:ln>
          </c:spPr>
          <c:cat>
            <c:strRef>
              <c:f>'EDCM PreGraphs - Tertiary'!$B$1:$I$1</c:f>
            </c:strRef>
          </c:cat>
          <c:val>
            <c:numRef>
              <c:f>'EDCM PreGraphs - Tertiary'!$B$6:$I$6</c:f>
              <c:numCache/>
            </c:numRef>
          </c:val>
        </c:ser>
        <c:ser>
          <c:idx val="5"/>
          <c:order val="5"/>
          <c:tx>
            <c:v>Oil</c:v>
          </c:tx>
          <c:spPr>
            <a:solidFill>
              <a:srgbClr val="C00000">
                <a:alpha val="30000"/>
              </a:srgbClr>
            </a:solidFill>
            <a:ln cmpd="sng">
              <a:solidFill>
                <a:srgbClr val="C00000"/>
              </a:solidFill>
            </a:ln>
          </c:spPr>
          <c:cat>
            <c:strRef>
              <c:f>'EDCM PreGraphs - Tertiary'!$B$1:$I$1</c:f>
            </c:strRef>
          </c:cat>
          <c:val>
            <c:numRef>
              <c:f>'EDCM PreGraphs - Tertiary'!$B$5:$I$5</c:f>
              <c:numCache/>
            </c:numRef>
          </c:val>
        </c:ser>
        <c:ser>
          <c:idx val="6"/>
          <c:order val="6"/>
          <c:tx>
            <c:v>Solid biomass</c:v>
          </c:tx>
          <c:spPr>
            <a:solidFill>
              <a:srgbClr val="006600">
                <a:alpha val="30000"/>
              </a:srgbClr>
            </a:solidFill>
            <a:ln cmpd="sng">
              <a:solidFill>
                <a:srgbClr val="006600"/>
              </a:solidFill>
            </a:ln>
          </c:spPr>
          <c:cat>
            <c:strRef>
              <c:f>'EDCM PreGraphs - Tertiary'!$B$1:$I$1</c:f>
            </c:strRef>
          </c:cat>
          <c:val>
            <c:numRef>
              <c:f>'EDCM PreGraphs - Tertiary'!$B$4:$I$4</c:f>
              <c:numCache/>
            </c:numRef>
          </c:val>
        </c:ser>
        <c:ser>
          <c:idx val="7"/>
          <c:order val="7"/>
          <c:tx>
            <c:v>Solid fossil fuels (coal ...)</c:v>
          </c:tx>
          <c:spPr>
            <a:solidFill>
              <a:srgbClr val="0D0D0D">
                <a:alpha val="30000"/>
              </a:srgbClr>
            </a:solidFill>
            <a:ln cmpd="sng">
              <a:solidFill>
                <a:srgbClr val="0D0D0D"/>
              </a:solidFill>
            </a:ln>
          </c:spPr>
          <c:cat>
            <c:strRef>
              <c:f>'EDCM PreGraphs - Tertiary'!$B$1:$I$1</c:f>
            </c:strRef>
          </c:cat>
          <c:val>
            <c:numRef>
              <c:f>'EDCM PreGraphs - Tertiary'!$B$3:$I$3</c:f>
              <c:numCache/>
            </c:numRef>
          </c:val>
        </c:ser>
        <c:axId val="585038940"/>
        <c:axId val="1456989728"/>
      </c:areaChart>
      <c:catAx>
        <c:axId val="5850389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0" i="0" sz="900">
                <a:solidFill>
                  <a:srgbClr val="595959"/>
                </a:solidFill>
                <a:latin typeface="Calibri"/>
              </a:defRPr>
            </a:pPr>
          </a:p>
        </c:txPr>
        <c:crossAx val="1456989728"/>
      </c:catAx>
      <c:valAx>
        <c:axId val="1456989728"/>
        <c:scaling>
          <c:orientation val="minMax"/>
        </c:scaling>
        <c:delete val="0"/>
        <c:axPos val="l"/>
        <c:majorGridlines>
          <c:spPr>
            <a:ln>
              <a:solidFill>
                <a:srgbClr val="B7B7B7"/>
              </a:solidFill>
            </a:ln>
          </c:spPr>
        </c:majorGridlines>
        <c:title>
          <c:tx>
            <c:rich>
              <a:bodyPr/>
              <a:lstStyle/>
              <a:p>
                <a:pPr lvl="0">
                  <a:defRPr b="0" i="0" sz="1000">
                    <a:solidFill>
                      <a:srgbClr val="595959"/>
                    </a:solidFill>
                    <a:latin typeface="Calibri"/>
                  </a:defRPr>
                </a:pPr>
                <a:r>
                  <a:rPr b="0" i="0" sz="1000">
                    <a:solidFill>
                      <a:srgbClr val="595959"/>
                    </a:solidFill>
                    <a:latin typeface="Calibri"/>
                  </a:rPr>
                  <a:t>TWh</a:t>
                </a:r>
              </a:p>
            </c:rich>
          </c:tx>
          <c:overlay val="0"/>
        </c:title>
        <c:numFmt formatCode="#\ ##0.000" sourceLinked="0"/>
        <c:majorTickMark val="none"/>
        <c:minorTickMark val="none"/>
        <c:tickLblPos val="nextTo"/>
        <c:spPr>
          <a:ln/>
        </c:spPr>
        <c:txPr>
          <a:bodyPr/>
          <a:lstStyle/>
          <a:p>
            <a:pPr lvl="0">
              <a:defRPr b="0" i="0" sz="900">
                <a:solidFill>
                  <a:srgbClr val="595959"/>
                </a:solidFill>
                <a:latin typeface="Calibri"/>
              </a:defRPr>
            </a:pPr>
          </a:p>
        </c:txPr>
        <c:crossAx val="585038940"/>
      </c:valAx>
    </c:plotArea>
    <c:legend>
      <c:legendPos val="r"/>
      <c:overlay val="0"/>
      <c:txPr>
        <a:bodyPr/>
        <a:lstStyle/>
        <a:p>
          <a:pPr lvl="0">
            <a:defRPr b="0" i="0" sz="900">
              <a:solidFill>
                <a:srgbClr val="595959"/>
              </a:solidFill>
              <a:latin typeface="Calibri"/>
            </a:defRPr>
          </a:pPr>
        </a:p>
      </c:txPr>
    </c:legend>
    <c:plotVisOnly val="1"/>
  </c:chart>
  <c:spPr>
    <a:solidFill>
      <a:srgbClr val="FFFFFF"/>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Tertiary sector final energy consumption by energy uses</a:t>
            </a:r>
          </a:p>
        </c:rich>
      </c:tx>
      <c:overlay val="0"/>
    </c:title>
    <c:plotArea>
      <c:layout/>
      <c:areaChart>
        <c:grouping val="stacked"/>
        <c:ser>
          <c:idx val="0"/>
          <c:order val="0"/>
          <c:tx>
            <c:v>Specific electricity</c:v>
          </c:tx>
          <c:spPr>
            <a:solidFill>
              <a:srgbClr val="000000">
                <a:alpha val="30000"/>
              </a:srgbClr>
            </a:solidFill>
            <a:ln cmpd="sng" w="19050">
              <a:solidFill>
                <a:srgbClr val="000000">
                  <a:alpha val="0"/>
                </a:srgbClr>
              </a:solidFill>
            </a:ln>
          </c:spPr>
          <c:cat>
            <c:strRef>
              <c:f>'EDCM PreGraphs - Tertiary'!$B$1:$I$1</c:f>
            </c:strRef>
          </c:cat>
          <c:val>
            <c:numRef>
              <c:f>'EDCM PreGraphs - Tertiary'!$B$29:$I$29</c:f>
              <c:numCache/>
            </c:numRef>
          </c:val>
        </c:ser>
        <c:ser>
          <c:idx val="1"/>
          <c:order val="1"/>
          <c:tx>
            <c:v>Cooking</c:v>
          </c:tx>
          <c:spPr>
            <a:solidFill>
              <a:srgbClr val="000000">
                <a:alpha val="30000"/>
              </a:srgbClr>
            </a:solidFill>
            <a:ln cmpd="sng" w="19050">
              <a:solidFill>
                <a:srgbClr val="000000">
                  <a:alpha val="0"/>
                </a:srgbClr>
              </a:solidFill>
            </a:ln>
          </c:spPr>
          <c:cat>
            <c:strRef>
              <c:f>'EDCM PreGraphs - Tertiary'!$B$1:$I$1</c:f>
            </c:strRef>
          </c:cat>
          <c:val>
            <c:numRef>
              <c:f>'EDCM PreGraphs - Tertiary'!$B$28:$I$28</c:f>
              <c:numCache/>
            </c:numRef>
          </c:val>
        </c:ser>
        <c:ser>
          <c:idx val="2"/>
          <c:order val="2"/>
          <c:tx>
            <c:v>Hot water</c:v>
          </c:tx>
          <c:spPr>
            <a:solidFill>
              <a:srgbClr val="000000">
                <a:alpha val="30000"/>
              </a:srgbClr>
            </a:solidFill>
            <a:ln cmpd="sng" w="19050">
              <a:solidFill>
                <a:srgbClr val="000000">
                  <a:alpha val="0"/>
                </a:srgbClr>
              </a:solidFill>
            </a:ln>
          </c:spPr>
          <c:cat>
            <c:strRef>
              <c:f>'EDCM PreGraphs - Tertiary'!$B$1:$I$1</c:f>
            </c:strRef>
          </c:cat>
          <c:val>
            <c:numRef>
              <c:f>'EDCM PreGraphs - Tertiary'!$B$27:$I$27</c:f>
              <c:numCache/>
            </c:numRef>
          </c:val>
        </c:ser>
        <c:ser>
          <c:idx val="3"/>
          <c:order val="3"/>
          <c:tx>
            <c:v>Cooling</c:v>
          </c:tx>
          <c:spPr>
            <a:solidFill>
              <a:srgbClr val="000000">
                <a:alpha val="30000"/>
              </a:srgbClr>
            </a:solidFill>
            <a:ln cmpd="sng" w="19050">
              <a:solidFill>
                <a:srgbClr val="000000">
                  <a:alpha val="0"/>
                </a:srgbClr>
              </a:solidFill>
            </a:ln>
          </c:spPr>
          <c:cat>
            <c:strRef>
              <c:f>'EDCM PreGraphs - Tertiary'!$B$1:$I$1</c:f>
            </c:strRef>
          </c:cat>
          <c:val>
            <c:numRef>
              <c:f>'EDCM PreGraphs - Tertiary'!$B$26:$I$26</c:f>
              <c:numCache/>
            </c:numRef>
          </c:val>
        </c:ser>
        <c:ser>
          <c:idx val="4"/>
          <c:order val="4"/>
          <c:tx>
            <c:v>Heating</c:v>
          </c:tx>
          <c:spPr>
            <a:solidFill>
              <a:srgbClr val="000000">
                <a:alpha val="30000"/>
              </a:srgbClr>
            </a:solidFill>
            <a:ln cmpd="sng" w="19050">
              <a:solidFill>
                <a:srgbClr val="000000">
                  <a:alpha val="0"/>
                </a:srgbClr>
              </a:solidFill>
            </a:ln>
          </c:spPr>
          <c:cat>
            <c:strRef>
              <c:f>'EDCM PreGraphs - Tertiary'!$B$1:$I$1</c:f>
            </c:strRef>
          </c:cat>
          <c:val>
            <c:numRef>
              <c:f>'EDCM PreGraphs - Tertiary'!$B$25:$I$25</c:f>
              <c:numCache/>
            </c:numRef>
          </c:val>
        </c:ser>
        <c:axId val="1822519514"/>
        <c:axId val="1974188688"/>
      </c:areaChart>
      <c:catAx>
        <c:axId val="18225195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0" i="0" sz="900">
                <a:solidFill>
                  <a:srgbClr val="595959"/>
                </a:solidFill>
                <a:latin typeface="Calibri"/>
              </a:defRPr>
            </a:pPr>
          </a:p>
        </c:txPr>
        <c:crossAx val="1974188688"/>
      </c:catAx>
      <c:valAx>
        <c:axId val="1974188688"/>
        <c:scaling>
          <c:orientation val="minMax"/>
        </c:scaling>
        <c:delete val="0"/>
        <c:axPos val="l"/>
        <c:majorGridlines>
          <c:spPr>
            <a:ln>
              <a:solidFill>
                <a:srgbClr val="B7B7B7"/>
              </a:solidFill>
            </a:ln>
          </c:spPr>
        </c:majorGridlines>
        <c:title>
          <c:tx>
            <c:rich>
              <a:bodyPr/>
              <a:lstStyle/>
              <a:p>
                <a:pPr lvl="0">
                  <a:defRPr b="0" i="0" sz="1000">
                    <a:solidFill>
                      <a:srgbClr val="595959"/>
                    </a:solidFill>
                    <a:latin typeface="Calibri"/>
                  </a:defRPr>
                </a:pPr>
                <a:r>
                  <a:rPr b="0" i="0" sz="1000">
                    <a:solidFill>
                      <a:srgbClr val="595959"/>
                    </a:solidFill>
                    <a:latin typeface="Calibri"/>
                  </a:rPr>
                  <a:t>TWh</a:t>
                </a:r>
              </a:p>
            </c:rich>
          </c:tx>
          <c:overlay val="0"/>
        </c:title>
        <c:numFmt formatCode="#\ ##0.000" sourceLinked="0"/>
        <c:majorTickMark val="none"/>
        <c:minorTickMark val="none"/>
        <c:tickLblPos val="nextTo"/>
        <c:spPr>
          <a:ln/>
        </c:spPr>
        <c:txPr>
          <a:bodyPr/>
          <a:lstStyle/>
          <a:p>
            <a:pPr lvl="0">
              <a:defRPr b="0" i="0" sz="900">
                <a:solidFill>
                  <a:srgbClr val="595959"/>
                </a:solidFill>
                <a:latin typeface="Calibri"/>
              </a:defRPr>
            </a:pPr>
          </a:p>
        </c:txPr>
        <c:crossAx val="1822519514"/>
      </c:valAx>
    </c:plotArea>
    <c:legend>
      <c:legendPos val="r"/>
      <c:overlay val="0"/>
      <c:txPr>
        <a:bodyPr/>
        <a:lstStyle/>
        <a:p>
          <a:pPr lvl="0">
            <a:defRPr b="0" i="0" sz="900">
              <a:solidFill>
                <a:srgbClr val="595959"/>
              </a:solidFill>
              <a:latin typeface="Calibri"/>
            </a:defRPr>
          </a:pPr>
        </a:p>
      </c:txPr>
    </c:legend>
    <c:plotVisOnly val="1"/>
  </c:chart>
  <c:spPr>
    <a:solidFill>
      <a:srgbClr val="FFFFFF"/>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Chart Title</a:t>
            </a:r>
          </a:p>
        </c:rich>
      </c:tx>
      <c:overlay val="0"/>
    </c:title>
    <c:plotArea>
      <c:layout/>
      <c:areaChart>
        <c:grouping val="stacked"/>
        <c:ser>
          <c:idx val="0"/>
          <c:order val="0"/>
          <c:spPr>
            <a:solidFill>
              <a:srgbClr val="4472C4">
                <a:alpha val="30000"/>
              </a:srgbClr>
            </a:solidFill>
            <a:ln cmpd="sng">
              <a:solidFill>
                <a:srgbClr val="4472C4"/>
              </a:solidFill>
            </a:ln>
          </c:spPr>
          <c:val>
            <c:numRef>
              <c:f>Transport!$W$307:$AH$307</c:f>
              <c:numCache/>
            </c:numRef>
          </c:val>
        </c:ser>
        <c:ser>
          <c:idx val="1"/>
          <c:order val="1"/>
          <c:spPr>
            <a:solidFill>
              <a:srgbClr val="ED7D31">
                <a:alpha val="30000"/>
              </a:srgbClr>
            </a:solidFill>
            <a:ln cmpd="sng">
              <a:solidFill>
                <a:srgbClr val="ED7D31"/>
              </a:solidFill>
            </a:ln>
          </c:spPr>
          <c:val>
            <c:numRef>
              <c:f>Transport!$W$308:$AH$308</c:f>
              <c:numCache/>
            </c:numRef>
          </c:val>
        </c:ser>
        <c:ser>
          <c:idx val="2"/>
          <c:order val="2"/>
          <c:spPr>
            <a:solidFill>
              <a:srgbClr val="A5A5A5">
                <a:alpha val="30000"/>
              </a:srgbClr>
            </a:solidFill>
            <a:ln cmpd="sng">
              <a:solidFill>
                <a:srgbClr val="A5A5A5"/>
              </a:solidFill>
            </a:ln>
          </c:spPr>
          <c:val>
            <c:numRef>
              <c:f>Transport!$W$309:$AH$309</c:f>
              <c:numCache/>
            </c:numRef>
          </c:val>
        </c:ser>
        <c:ser>
          <c:idx val="3"/>
          <c:order val="3"/>
          <c:spPr>
            <a:solidFill>
              <a:srgbClr val="FFC000">
                <a:alpha val="30000"/>
              </a:srgbClr>
            </a:solidFill>
            <a:ln cmpd="sng">
              <a:solidFill>
                <a:srgbClr val="FFC000"/>
              </a:solidFill>
            </a:ln>
          </c:spPr>
          <c:val>
            <c:numRef>
              <c:f>Transport!$W$310:$AH$310</c:f>
              <c:numCache/>
            </c:numRef>
          </c:val>
        </c:ser>
        <c:axId val="1170916932"/>
        <c:axId val="1602004479"/>
      </c:areaChart>
      <c:catAx>
        <c:axId val="11709169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i="0" sz="900">
                <a:solidFill>
                  <a:srgbClr val="595959"/>
                </a:solidFill>
                <a:latin typeface="Calibri"/>
              </a:defRPr>
            </a:pPr>
          </a:p>
        </c:txPr>
        <c:crossAx val="1602004479"/>
      </c:catAx>
      <c:valAx>
        <c:axId val="160200447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 ##0.000" sourceLinked="0"/>
        <c:majorTickMark val="none"/>
        <c:minorTickMark val="none"/>
        <c:tickLblPos val="nextTo"/>
        <c:spPr>
          <a:ln/>
        </c:spPr>
        <c:txPr>
          <a:bodyPr/>
          <a:lstStyle/>
          <a:p>
            <a:pPr lvl="0">
              <a:defRPr b="0" i="0" sz="900">
                <a:solidFill>
                  <a:srgbClr val="595959"/>
                </a:solidFill>
                <a:latin typeface="Calibri"/>
              </a:defRPr>
            </a:pPr>
          </a:p>
        </c:txPr>
        <c:crossAx val="1170916932"/>
      </c:valAx>
    </c:plotArea>
    <c:legend>
      <c:legendPos val="b"/>
      <c:overlay val="0"/>
      <c:txPr>
        <a:bodyPr/>
        <a:lstStyle/>
        <a:p>
          <a:pPr lvl="0">
            <a:defRPr b="0" i="0" sz="900">
              <a:solidFill>
                <a:srgbClr val="595959"/>
              </a:solidFill>
              <a:latin typeface="Calibri"/>
            </a:defRPr>
          </a:pPr>
        </a:p>
      </c:txPr>
    </c:legend>
    <c:plotVisOnly val="1"/>
  </c:chart>
  <c:spPr>
    <a:solidFill>
      <a:srgbClr val="FFFFFF"/>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a:t>
            </a:r>
          </a:p>
        </c:rich>
      </c:tx>
      <c:overlay val="0"/>
    </c:title>
    <c:plotArea>
      <c:layout/>
      <c:scatterChart>
        <c:scatterStyle val="lineMarker"/>
        <c:varyColors val="0"/>
        <c:ser>
          <c:idx val="0"/>
          <c:order val="0"/>
          <c:tx>
            <c:v>calculation</c:v>
          </c:tx>
          <c:spPr>
            <a:ln>
              <a:noFill/>
            </a:ln>
          </c:spPr>
          <c:marker>
            <c:symbol val="circle"/>
            <c:size val="7"/>
            <c:spPr>
              <a:solidFill>
                <a:srgbClr val="5B9BD5"/>
              </a:solidFill>
              <a:ln cmpd="sng">
                <a:solidFill>
                  <a:srgbClr val="5B9BD5"/>
                </a:solidFill>
              </a:ln>
            </c:spPr>
          </c:marker>
          <c:xVal>
            <c:numRef>
              <c:f>'EDCM PreGraphs - Transport'!$B$1:$I$1</c:f>
            </c:numRef>
          </c:xVal>
          <c:yVal>
            <c:numRef>
              <c:f>'EDCM PreGraphs - Transport'!$M$3:$T$3</c:f>
              <c:numCache/>
            </c:numRef>
          </c:yVal>
        </c:ser>
        <c:dLbls>
          <c:showLegendKey val="0"/>
          <c:showVal val="0"/>
          <c:showCatName val="0"/>
          <c:showSerName val="0"/>
          <c:showPercent val="0"/>
          <c:showBubbleSize val="0"/>
        </c:dLbls>
        <c:axId val="1254848815"/>
        <c:axId val="428261881"/>
      </c:scatterChart>
      <c:valAx>
        <c:axId val="1254848815"/>
        <c:scaling>
          <c:orientation val="minMax"/>
          <c:max val="2050.0"/>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i="0" sz="900">
                <a:solidFill>
                  <a:srgbClr val="595959"/>
                </a:solidFill>
                <a:latin typeface="Calibri"/>
              </a:defRPr>
            </a:pPr>
          </a:p>
        </c:txPr>
        <c:crossAx val="428261881"/>
      </c:valAx>
      <c:valAx>
        <c:axId val="42826188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 ##0&quot; TWh&quot;" sourceLinked="0"/>
        <c:majorTickMark val="none"/>
        <c:minorTickMark val="none"/>
        <c:tickLblPos val="nextTo"/>
        <c:spPr>
          <a:ln/>
        </c:spPr>
        <c:txPr>
          <a:bodyPr/>
          <a:lstStyle/>
          <a:p>
            <a:pPr lvl="0">
              <a:defRPr b="0" i="0" sz="900">
                <a:solidFill>
                  <a:srgbClr val="595959"/>
                </a:solidFill>
                <a:latin typeface="Calibri"/>
              </a:defRPr>
            </a:pPr>
          </a:p>
        </c:txPr>
        <c:crossAx val="1254848815"/>
      </c:valAx>
    </c:plotArea>
    <c:legend>
      <c:legendPos val="b"/>
      <c:overlay val="0"/>
      <c:txPr>
        <a:bodyPr/>
        <a:lstStyle/>
        <a:p>
          <a:pPr lvl="0">
            <a:defRPr b="0" i="0" sz="900">
              <a:solidFill>
                <a:srgbClr val="595959"/>
              </a:solidFill>
              <a:latin typeface="Calibri"/>
            </a:defRPr>
          </a:pPr>
        </a:p>
      </c:txPr>
    </c:legend>
    <c:plotVisOnly val="1"/>
  </c:chart>
  <c:spPr>
    <a:solidFill>
      <a:srgbClr val="FFFFFF"/>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Transport sector final energy consumption by energy carriers</a:t>
            </a:r>
          </a:p>
        </c:rich>
      </c:tx>
      <c:overlay val="0"/>
    </c:title>
    <c:plotArea>
      <c:layout/>
      <c:areaChart>
        <c:grouping val="stacked"/>
        <c:axId val="1329440284"/>
        <c:axId val="809803342"/>
      </c:areaChart>
      <c:catAx>
        <c:axId val="13294402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0" i="0" sz="900">
                <a:solidFill>
                  <a:srgbClr val="595959"/>
                </a:solidFill>
                <a:latin typeface="Calibri"/>
              </a:defRPr>
            </a:pPr>
          </a:p>
        </c:txPr>
        <c:crossAx val="809803342"/>
      </c:catAx>
      <c:valAx>
        <c:axId val="809803342"/>
        <c:scaling>
          <c:orientation val="minMax"/>
        </c:scaling>
        <c:delete val="0"/>
        <c:axPos val="l"/>
        <c:tickLblPos val="nextTo"/>
        <c:spPr>
          <a:ln>
            <a:noFill/>
          </a:ln>
        </c:spPr>
        <c:crossAx val="1329440284"/>
      </c:valAx>
    </c:plotArea>
    <c:legend>
      <c:legendPos val="r"/>
      <c:overlay val="0"/>
      <c:txPr>
        <a:bodyPr/>
        <a:lstStyle/>
        <a:p>
          <a:pPr lvl="0">
            <a:defRPr b="0" i="0" sz="900">
              <a:solidFill>
                <a:srgbClr val="595959"/>
              </a:solidFill>
              <a:latin typeface="Calibri"/>
            </a:defRPr>
          </a:pPr>
        </a:p>
      </c:txPr>
    </c:legend>
    <c:plotVisOnly val="1"/>
  </c:chart>
  <c:spPr>
    <a:solidFill>
      <a:srgbClr val="FFFFFF"/>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Transport sector final energy consumption broken down by mobility/freight</a:t>
            </a:r>
          </a:p>
        </c:rich>
      </c:tx>
      <c:overlay val="0"/>
    </c:title>
    <c:plotArea>
      <c:layout/>
      <c:areaChart>
        <c:grouping val="stacked"/>
        <c:axId val="2089834441"/>
        <c:axId val="1762142580"/>
      </c:areaChart>
      <c:catAx>
        <c:axId val="20898344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0" i="0" sz="900">
                <a:solidFill>
                  <a:srgbClr val="595959"/>
                </a:solidFill>
                <a:latin typeface="Calibri"/>
              </a:defRPr>
            </a:pPr>
          </a:p>
        </c:txPr>
        <c:crossAx val="1762142580"/>
      </c:catAx>
      <c:valAx>
        <c:axId val="1762142580"/>
        <c:scaling>
          <c:orientation val="minMax"/>
        </c:scaling>
        <c:delete val="0"/>
        <c:axPos val="l"/>
        <c:tickLblPos val="nextTo"/>
        <c:spPr>
          <a:ln>
            <a:noFill/>
          </a:ln>
        </c:spPr>
        <c:crossAx val="2089834441"/>
      </c:valAx>
    </c:plotArea>
    <c:legend>
      <c:legendPos val="r"/>
      <c:overlay val="0"/>
      <c:txPr>
        <a:bodyPr/>
        <a:lstStyle/>
        <a:p>
          <a:pPr lvl="0">
            <a:defRPr b="0" i="0" sz="900">
              <a:solidFill>
                <a:srgbClr val="595959"/>
              </a:solidFill>
              <a:latin typeface="Calibri"/>
            </a:defRPr>
          </a:pPr>
        </a:p>
      </c:txPr>
    </c:legend>
    <c:plotVisOnly val="1"/>
  </c:chart>
  <c:spPr>
    <a:solidFill>
      <a:srgbClr val="FFFFFF"/>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rgbClr val="595959"/>
                </a:solidFill>
                <a:latin typeface="Calibri"/>
              </a:defRPr>
            </a:pPr>
            <a:r>
              <a:rPr b="1" i="0" sz="1800">
                <a:solidFill>
                  <a:srgbClr val="595959"/>
                </a:solidFill>
                <a:latin typeface="Calibri"/>
              </a:rPr>
              <a:t>Energy carriers share in the industry sector with a 5 years step</a:t>
            </a:r>
          </a:p>
        </c:rich>
      </c:tx>
      <c:overlay val="0"/>
    </c:title>
    <c:plotArea>
      <c:layout/>
      <c:areaChart>
        <c:grouping val="stacked"/>
        <c:ser>
          <c:idx val="0"/>
          <c:order val="0"/>
          <c:tx>
            <c:v>FEC of coal in industry</c:v>
          </c:tx>
          <c:spPr>
            <a:solidFill>
              <a:srgbClr val="000000">
                <a:alpha val="30000"/>
              </a:srgbClr>
            </a:solidFill>
            <a:ln cmpd="sng" w="19050">
              <a:solidFill>
                <a:srgbClr val="000000">
                  <a:alpha val="0"/>
                </a:srgbClr>
              </a:solidFill>
            </a:ln>
          </c:spPr>
          <c:cat>
            <c:strRef>
              <c:f>Industry_Calculation!$AY$5:$BF$5</c:f>
            </c:strRef>
          </c:cat>
          <c:val>
            <c:numRef>
              <c:f>Industry_Calculation!$AY$6:$BF$6</c:f>
              <c:numCache/>
            </c:numRef>
          </c:val>
        </c:ser>
        <c:ser>
          <c:idx val="1"/>
          <c:order val="1"/>
          <c:tx>
            <c:v>FEC of oil in industry</c:v>
          </c:tx>
          <c:spPr>
            <a:solidFill>
              <a:srgbClr val="000000">
                <a:alpha val="30000"/>
              </a:srgbClr>
            </a:solidFill>
            <a:ln cmpd="sng" w="19050">
              <a:solidFill>
                <a:srgbClr val="000000">
                  <a:alpha val="0"/>
                </a:srgbClr>
              </a:solidFill>
            </a:ln>
          </c:spPr>
          <c:cat>
            <c:strRef>
              <c:f>Industry_Calculation!$AY$5:$BF$5</c:f>
            </c:strRef>
          </c:cat>
          <c:val>
            <c:numRef>
              <c:f>Industry_Calculation!$AY$7:$BF$7</c:f>
              <c:numCache/>
            </c:numRef>
          </c:val>
        </c:ser>
        <c:ser>
          <c:idx val="2"/>
          <c:order val="2"/>
          <c:tx>
            <c:v>FEC of gaz in industry</c:v>
          </c:tx>
          <c:spPr>
            <a:solidFill>
              <a:srgbClr val="000000">
                <a:alpha val="30000"/>
              </a:srgbClr>
            </a:solidFill>
            <a:ln cmpd="sng" w="19050">
              <a:solidFill>
                <a:srgbClr val="000000">
                  <a:alpha val="0"/>
                </a:srgbClr>
              </a:solidFill>
            </a:ln>
          </c:spPr>
          <c:cat>
            <c:strRef>
              <c:f>Industry_Calculation!$AY$5:$BF$5</c:f>
            </c:strRef>
          </c:cat>
          <c:val>
            <c:numRef>
              <c:f>Industry_Calculation!$AY$8:$BF$8</c:f>
              <c:numCache/>
            </c:numRef>
          </c:val>
        </c:ser>
        <c:ser>
          <c:idx val="3"/>
          <c:order val="3"/>
          <c:tx>
            <c:v>FEC of heat in industry</c:v>
          </c:tx>
          <c:spPr>
            <a:solidFill>
              <a:srgbClr val="000000">
                <a:alpha val="30000"/>
              </a:srgbClr>
            </a:solidFill>
            <a:ln cmpd="sng" w="19050">
              <a:solidFill>
                <a:srgbClr val="000000">
                  <a:alpha val="0"/>
                </a:srgbClr>
              </a:solidFill>
            </a:ln>
          </c:spPr>
          <c:cat>
            <c:strRef>
              <c:f>Industry_Calculation!$AY$5:$BF$5</c:f>
            </c:strRef>
          </c:cat>
          <c:val>
            <c:numRef>
              <c:f>Industry_Calculation!$AY$9:$BF$9</c:f>
              <c:numCache/>
            </c:numRef>
          </c:val>
        </c:ser>
        <c:ser>
          <c:idx val="4"/>
          <c:order val="4"/>
          <c:tx>
            <c:v>FEC of biomass in industry</c:v>
          </c:tx>
          <c:spPr>
            <a:solidFill>
              <a:srgbClr val="000000">
                <a:alpha val="30000"/>
              </a:srgbClr>
            </a:solidFill>
            <a:ln cmpd="sng" w="19050">
              <a:solidFill>
                <a:srgbClr val="000000">
                  <a:alpha val="0"/>
                </a:srgbClr>
              </a:solidFill>
            </a:ln>
          </c:spPr>
          <c:cat>
            <c:strRef>
              <c:f>Industry_Calculation!$AY$5:$BF$5</c:f>
            </c:strRef>
          </c:cat>
          <c:val>
            <c:numRef>
              <c:f>Industry_Calculation!$AY$10:$BF$10</c:f>
              <c:numCache/>
            </c:numRef>
          </c:val>
        </c:ser>
        <c:ser>
          <c:idx val="5"/>
          <c:order val="5"/>
          <c:tx>
            <c:v>FEC of electricity in industry</c:v>
          </c:tx>
          <c:spPr>
            <a:solidFill>
              <a:srgbClr val="000000">
                <a:alpha val="30000"/>
              </a:srgbClr>
            </a:solidFill>
            <a:ln cmpd="sng" w="19050">
              <a:solidFill>
                <a:srgbClr val="000000">
                  <a:alpha val="0"/>
                </a:srgbClr>
              </a:solidFill>
            </a:ln>
          </c:spPr>
          <c:cat>
            <c:strRef>
              <c:f>Industry_Calculation!$AY$5:$BF$5</c:f>
            </c:strRef>
          </c:cat>
          <c:val>
            <c:numRef>
              <c:f>Industry_Calculation!$AY$11:$BF$11</c:f>
              <c:numCache/>
            </c:numRef>
          </c:val>
        </c:ser>
        <c:ser>
          <c:idx val="6"/>
          <c:order val="6"/>
          <c:tx>
            <c:v>FEC of hydrogen in industry</c:v>
          </c:tx>
          <c:spPr>
            <a:solidFill>
              <a:srgbClr val="000000">
                <a:alpha val="30000"/>
              </a:srgbClr>
            </a:solidFill>
            <a:ln cmpd="sng" w="19050">
              <a:solidFill>
                <a:srgbClr val="000000">
                  <a:alpha val="0"/>
                </a:srgbClr>
              </a:solidFill>
            </a:ln>
          </c:spPr>
          <c:cat>
            <c:strRef>
              <c:f>Industry_Calculation!$AY$5:$BF$5</c:f>
            </c:strRef>
          </c:cat>
          <c:val>
            <c:numRef>
              <c:f>Industry_Calculation!$AY$12:$BF$12</c:f>
              <c:numCache/>
            </c:numRef>
          </c:val>
        </c:ser>
        <c:ser>
          <c:idx val="7"/>
          <c:order val="7"/>
          <c:tx>
            <c:v>FEC of non-res waste in industry</c:v>
          </c:tx>
          <c:spPr>
            <a:solidFill>
              <a:srgbClr val="000000">
                <a:alpha val="30000"/>
              </a:srgbClr>
            </a:solidFill>
            <a:ln cmpd="sng" w="19050">
              <a:solidFill>
                <a:srgbClr val="000000">
                  <a:alpha val="0"/>
                </a:srgbClr>
              </a:solidFill>
            </a:ln>
          </c:spPr>
          <c:cat>
            <c:strRef>
              <c:f>Industry_Calculation!$AY$5:$BF$5</c:f>
            </c:strRef>
          </c:cat>
          <c:val>
            <c:numRef>
              <c:f>Industry_Calculation!$AY$13:$BF$13</c:f>
              <c:numCache/>
            </c:numRef>
          </c:val>
        </c:ser>
        <c:axId val="1138848686"/>
        <c:axId val="746436794"/>
      </c:areaChart>
      <c:catAx>
        <c:axId val="11388486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out"/>
        <c:minorTickMark val="none"/>
        <c:spPr/>
        <c:txPr>
          <a:bodyPr/>
          <a:lstStyle/>
          <a:p>
            <a:pPr lvl="0">
              <a:defRPr b="0" i="0" sz="900">
                <a:solidFill>
                  <a:srgbClr val="595959"/>
                </a:solidFill>
                <a:latin typeface="Calibri"/>
              </a:defRPr>
            </a:pPr>
          </a:p>
        </c:txPr>
        <c:crossAx val="746436794"/>
      </c:catAx>
      <c:valAx>
        <c:axId val="746436794"/>
        <c:scaling>
          <c:orientation val="minMax"/>
        </c:scaling>
        <c:delete val="0"/>
        <c:axPos val="l"/>
        <c:majorGridlines>
          <c:spPr>
            <a:ln>
              <a:solidFill>
                <a:srgbClr val="B7B7B7"/>
              </a:solidFill>
            </a:ln>
          </c:spPr>
        </c:majorGridlines>
        <c:title>
          <c:tx>
            <c:rich>
              <a:bodyPr/>
              <a:lstStyle/>
              <a:p>
                <a:pPr lvl="0">
                  <a:defRPr b="0" i="0" sz="1400">
                    <a:solidFill>
                      <a:srgbClr val="595959"/>
                    </a:solidFill>
                    <a:latin typeface="Calibri"/>
                  </a:defRPr>
                </a:pPr>
                <a:r>
                  <a:rPr b="0" i="0" sz="1400">
                    <a:solidFill>
                      <a:srgbClr val="595959"/>
                    </a:solidFill>
                    <a:latin typeface="Calibri"/>
                  </a:rPr>
                  <a:t>Energy consumption (TWh)</a:t>
                </a:r>
              </a:p>
            </c:rich>
          </c:tx>
          <c:overlay val="0"/>
        </c:title>
        <c:numFmt formatCode="#,##0" sourceLinked="0"/>
        <c:majorTickMark val="none"/>
        <c:minorTickMark val="none"/>
        <c:tickLblPos val="nextTo"/>
        <c:spPr>
          <a:ln/>
        </c:spPr>
        <c:txPr>
          <a:bodyPr/>
          <a:lstStyle/>
          <a:p>
            <a:pPr lvl="0">
              <a:defRPr b="0" i="0" sz="1000">
                <a:solidFill>
                  <a:srgbClr val="595959"/>
                </a:solidFill>
                <a:latin typeface="Calibri"/>
              </a:defRPr>
            </a:pPr>
          </a:p>
        </c:txPr>
        <c:crossAx val="1138848686"/>
      </c:valAx>
    </c:plotArea>
    <c:legend>
      <c:legendPos val="b"/>
      <c:overlay val="0"/>
      <c:txPr>
        <a:bodyPr/>
        <a:lstStyle/>
        <a:p>
          <a:pPr lvl="0">
            <a:defRPr b="0" i="0" sz="900">
              <a:solidFill>
                <a:srgbClr val="595959"/>
              </a:solidFill>
              <a:latin typeface="Calibri"/>
            </a:defRPr>
          </a:pPr>
        </a:p>
      </c:txPr>
    </c:legend>
    <c:plotVisOnly val="1"/>
  </c:chart>
  <c:spPr>
    <a:solidFill>
      <a:srgbClr val="FFFFFF"/>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rgbClr val="595959"/>
                </a:solidFill>
                <a:latin typeface="Calibri"/>
              </a:defRPr>
            </a:pPr>
            <a:r>
              <a:rPr b="1" i="0" sz="1800">
                <a:solidFill>
                  <a:srgbClr val="595959"/>
                </a:solidFill>
                <a:latin typeface="Calibri"/>
              </a:rPr>
              <a:t>Foreseen final energy consumption of industry sectors with a 5 years step</a:t>
            </a:r>
          </a:p>
        </c:rich>
      </c:tx>
      <c:overlay val="0"/>
    </c:title>
    <c:plotArea>
      <c:layout/>
      <c:areaChart>
        <c:grouping val="stacked"/>
        <c:ser>
          <c:idx val="0"/>
          <c:order val="0"/>
          <c:tx>
            <c:v>Final consumption of steel industry</c:v>
          </c:tx>
          <c:spPr>
            <a:solidFill>
              <a:srgbClr val="5B9BD5">
                <a:alpha val="30000"/>
              </a:srgbClr>
            </a:solidFill>
            <a:ln cmpd="sng">
              <a:solidFill>
                <a:srgbClr val="5B9BD5"/>
              </a:solidFill>
            </a:ln>
          </c:spPr>
          <c:val>
            <c:numRef>
              <c:f>Industry_Calculation!$AL$28:$BU$28</c:f>
              <c:numCache/>
            </c:numRef>
          </c:val>
        </c:ser>
        <c:ser>
          <c:idx val="1"/>
          <c:order val="1"/>
          <c:tx>
            <c:v>Final consumption of cement industry</c:v>
          </c:tx>
          <c:spPr>
            <a:solidFill>
              <a:srgbClr val="D99463">
                <a:alpha val="30000"/>
              </a:srgbClr>
            </a:solidFill>
            <a:ln cmpd="sng">
              <a:solidFill>
                <a:srgbClr val="D99463"/>
              </a:solidFill>
            </a:ln>
          </c:spPr>
          <c:val>
            <c:numRef>
              <c:f>Industry_Calculation!$AL$29:$BU$29</c:f>
              <c:numCache/>
            </c:numRef>
          </c:val>
        </c:ser>
        <c:ser>
          <c:idx val="2"/>
          <c:order val="2"/>
          <c:tx>
            <c:v>Final consumption of pulp &amp; paper industry</c:v>
          </c:tx>
          <c:spPr>
            <a:solidFill>
              <a:srgbClr val="70AD47">
                <a:alpha val="30000"/>
              </a:srgbClr>
            </a:solidFill>
            <a:ln cmpd="sng">
              <a:solidFill>
                <a:srgbClr val="70AD47"/>
              </a:solidFill>
            </a:ln>
          </c:spPr>
          <c:val>
            <c:numRef>
              <c:f>Industry_Calculation!$AL$30:$BU$30</c:f>
              <c:numCache/>
            </c:numRef>
          </c:val>
        </c:ser>
        <c:ser>
          <c:idx val="3"/>
          <c:order val="3"/>
          <c:tx>
            <c:v>Final consumption of glass industry</c:v>
          </c:tx>
          <c:spPr>
            <a:solidFill>
              <a:srgbClr val="B4C7E7">
                <a:alpha val="30000"/>
              </a:srgbClr>
            </a:solidFill>
            <a:ln cmpd="sng">
              <a:solidFill>
                <a:srgbClr val="B4C7E7"/>
              </a:solidFill>
            </a:ln>
          </c:spPr>
          <c:val>
            <c:numRef>
              <c:f>Industry_Calculation!$AL$31:$BU$31</c:f>
              <c:numCache/>
            </c:numRef>
          </c:val>
        </c:ser>
        <c:ser>
          <c:idx val="4"/>
          <c:order val="4"/>
          <c:tx>
            <c:v>Final consumption of chemicals method 1 (detailed)</c:v>
          </c:tx>
          <c:spPr>
            <a:solidFill>
              <a:srgbClr val="A278C2">
                <a:alpha val="30000"/>
              </a:srgbClr>
            </a:solidFill>
            <a:ln cmpd="sng">
              <a:solidFill>
                <a:srgbClr val="A278C2"/>
              </a:solidFill>
            </a:ln>
          </c:spPr>
          <c:val>
            <c:numRef>
              <c:f>Industry_Calculation!$AL$32:$BU$32</c:f>
              <c:numCache/>
            </c:numRef>
          </c:val>
        </c:ser>
        <c:ser>
          <c:idx val="5"/>
          <c:order val="5"/>
          <c:tx>
            <c:v>Final consumption of food industry</c:v>
          </c:tx>
          <c:spPr>
            <a:solidFill>
              <a:srgbClr val="A9D18E">
                <a:alpha val="30000"/>
              </a:srgbClr>
            </a:solidFill>
            <a:ln cmpd="sng">
              <a:solidFill>
                <a:srgbClr val="A9D18E"/>
              </a:solidFill>
            </a:ln>
          </c:spPr>
          <c:val>
            <c:numRef>
              <c:f>Industry_Calculation!$AL$33:$BU$33</c:f>
              <c:numCache/>
            </c:numRef>
          </c:val>
        </c:ser>
        <c:ser>
          <c:idx val="6"/>
          <c:order val="6"/>
          <c:tx>
            <c:v>Final consumption of non ferrous metals</c:v>
          </c:tx>
          <c:spPr>
            <a:solidFill>
              <a:srgbClr val="939393">
                <a:alpha val="30000"/>
              </a:srgbClr>
            </a:solidFill>
            <a:ln cmpd="sng">
              <a:solidFill>
                <a:srgbClr val="939393"/>
              </a:solidFill>
            </a:ln>
          </c:spPr>
          <c:val>
            <c:numRef>
              <c:f>Industry_Calculation!$AL$34:$BU$34</c:f>
              <c:numCache/>
            </c:numRef>
          </c:val>
        </c:ser>
        <c:ser>
          <c:idx val="7"/>
          <c:order val="7"/>
          <c:tx>
            <c:v>Final consumption of others</c:v>
          </c:tx>
          <c:spPr>
            <a:solidFill>
              <a:srgbClr val="FFD658">
                <a:alpha val="30000"/>
              </a:srgbClr>
            </a:solidFill>
            <a:ln cmpd="sng">
              <a:solidFill>
                <a:srgbClr val="FFD658"/>
              </a:solidFill>
            </a:ln>
          </c:spPr>
          <c:val>
            <c:numRef>
              <c:f>Industry_Calculation!$AL$35:$BU$35</c:f>
              <c:numCache/>
            </c:numRef>
          </c:val>
        </c:ser>
        <c:axId val="672382087"/>
        <c:axId val="396173981"/>
      </c:areaChart>
      <c:catAx>
        <c:axId val="6723820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out"/>
        <c:minorTickMark val="none"/>
        <c:spPr/>
        <c:txPr>
          <a:bodyPr/>
          <a:lstStyle/>
          <a:p>
            <a:pPr lvl="0">
              <a:defRPr b="0" i="1" sz="1000">
                <a:solidFill>
                  <a:srgbClr val="595959"/>
                </a:solidFill>
                <a:latin typeface="Calibri"/>
              </a:defRPr>
            </a:pPr>
          </a:p>
        </c:txPr>
        <c:crossAx val="396173981"/>
      </c:catAx>
      <c:valAx>
        <c:axId val="396173981"/>
        <c:scaling>
          <c:orientation val="minMax"/>
        </c:scaling>
        <c:delete val="0"/>
        <c:axPos val="l"/>
        <c:majorGridlines>
          <c:spPr>
            <a:ln>
              <a:solidFill>
                <a:srgbClr val="B7B7B7"/>
              </a:solidFill>
            </a:ln>
          </c:spPr>
        </c:majorGridlines>
        <c:title>
          <c:tx>
            <c:rich>
              <a:bodyPr/>
              <a:lstStyle/>
              <a:p>
                <a:pPr lvl="0">
                  <a:defRPr b="0" i="0" sz="1600">
                    <a:solidFill>
                      <a:srgbClr val="595959"/>
                    </a:solidFill>
                    <a:latin typeface="Calibri"/>
                  </a:defRPr>
                </a:pPr>
                <a:r>
                  <a:rPr b="0" i="0" sz="1600">
                    <a:solidFill>
                      <a:srgbClr val="595959"/>
                    </a:solidFill>
                    <a:latin typeface="Calibri"/>
                  </a:rPr>
                  <a:t>Final energy consumption (TWh)</a:t>
                </a:r>
              </a:p>
            </c:rich>
          </c:tx>
          <c:overlay val="0"/>
        </c:title>
        <c:numFmt formatCode="0" sourceLinked="0"/>
        <c:majorTickMark val="none"/>
        <c:minorTickMark val="none"/>
        <c:tickLblPos val="nextTo"/>
        <c:spPr>
          <a:ln/>
        </c:spPr>
        <c:txPr>
          <a:bodyPr/>
          <a:lstStyle/>
          <a:p>
            <a:pPr lvl="0">
              <a:defRPr b="1" i="0" sz="1200">
                <a:solidFill>
                  <a:srgbClr val="595959"/>
                </a:solidFill>
                <a:latin typeface="Calibri"/>
              </a:defRPr>
            </a:pPr>
          </a:p>
        </c:txPr>
        <c:crossAx val="672382087"/>
      </c:valAx>
    </c:plotArea>
    <c:legend>
      <c:legendPos val="b"/>
      <c:layout>
        <c:manualLayout>
          <c:xMode val="edge"/>
          <c:yMode val="edge"/>
          <c:x val="0.053207"/>
          <c:y val="0.897409"/>
        </c:manualLayout>
      </c:layout>
      <c:overlay val="0"/>
      <c:txPr>
        <a:bodyPr/>
        <a:lstStyle/>
        <a:p>
          <a:pPr lvl="0">
            <a:defRPr b="0" i="0" sz="1200">
              <a:solidFill>
                <a:srgbClr val="595959"/>
              </a:solidFill>
              <a:latin typeface="Calibri"/>
            </a:defRPr>
          </a:pPr>
        </a:p>
      </c:txPr>
    </c:legend>
    <c:plotVisOnly val="1"/>
  </c:chart>
  <c:spPr>
    <a:solidFill>
      <a:srgbClr val="FFFFFF"/>
    </a:solidFill>
  </c:spPr>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08368452739314"/>
          <c:y val="0.027996340347667"/>
          <c:w val="0.847682119205298"/>
          <c:h val="0.775205855443733"/>
        </c:manualLayout>
      </c:layout>
      <c:areaChart>
        <c:grouping val="stacked"/>
        <c:ser>
          <c:idx val="0"/>
          <c:order val="0"/>
          <c:tx>
            <c:v>steel</c:v>
          </c:tx>
          <c:spPr>
            <a:solidFill>
              <a:srgbClr val="5B9BD5">
                <a:alpha val="30000"/>
              </a:srgbClr>
            </a:solidFill>
            <a:ln cmpd="sng">
              <a:solidFill>
                <a:srgbClr val="5B9BD5"/>
              </a:solidFill>
            </a:ln>
          </c:spPr>
          <c:cat>
            <c:strRef>
              <c:f>Industry_Calculation!$AL$27:$BU$27</c:f>
            </c:strRef>
          </c:cat>
          <c:val>
            <c:numRef>
              <c:f>Industry_Calculation!$AL$28:$BU$28</c:f>
              <c:numCache/>
            </c:numRef>
          </c:val>
        </c:ser>
        <c:ser>
          <c:idx val="1"/>
          <c:order val="1"/>
          <c:tx>
            <c:v>cement</c:v>
          </c:tx>
          <c:spPr>
            <a:solidFill>
              <a:srgbClr val="D99463">
                <a:alpha val="30000"/>
              </a:srgbClr>
            </a:solidFill>
            <a:ln cmpd="sng">
              <a:solidFill>
                <a:srgbClr val="D99463"/>
              </a:solidFill>
            </a:ln>
          </c:spPr>
          <c:cat>
            <c:strRef>
              <c:f>Industry_Calculation!$AL$27:$BU$27</c:f>
            </c:strRef>
          </c:cat>
          <c:val>
            <c:numRef>
              <c:f>Industry_Calculation!$AL$29:$BU$29</c:f>
              <c:numCache/>
            </c:numRef>
          </c:val>
        </c:ser>
        <c:ser>
          <c:idx val="2"/>
          <c:order val="2"/>
          <c:tx>
            <c:v>paper &amp; pulp</c:v>
          </c:tx>
          <c:spPr>
            <a:solidFill>
              <a:srgbClr val="70AD47">
                <a:alpha val="30000"/>
              </a:srgbClr>
            </a:solidFill>
            <a:ln cmpd="sng">
              <a:solidFill>
                <a:srgbClr val="70AD47"/>
              </a:solidFill>
            </a:ln>
          </c:spPr>
          <c:cat>
            <c:strRef>
              <c:f>Industry_Calculation!$AL$27:$BU$27</c:f>
            </c:strRef>
          </c:cat>
          <c:val>
            <c:numRef>
              <c:f>Industry_Calculation!$AL$30:$BU$30</c:f>
              <c:numCache/>
            </c:numRef>
          </c:val>
        </c:ser>
        <c:ser>
          <c:idx val="3"/>
          <c:order val="3"/>
          <c:tx>
            <c:v>glass</c:v>
          </c:tx>
          <c:spPr>
            <a:solidFill>
              <a:srgbClr val="B4C7E7">
                <a:alpha val="30000"/>
              </a:srgbClr>
            </a:solidFill>
            <a:ln cmpd="sng">
              <a:solidFill>
                <a:srgbClr val="B4C7E7"/>
              </a:solidFill>
            </a:ln>
          </c:spPr>
          <c:cat>
            <c:strRef>
              <c:f>Industry_Calculation!$AL$27:$BU$27</c:f>
            </c:strRef>
          </c:cat>
          <c:val>
            <c:numRef>
              <c:f>Industry_Calculation!$AL$31:$BU$31</c:f>
              <c:numCache/>
            </c:numRef>
          </c:val>
        </c:ser>
        <c:ser>
          <c:idx val="4"/>
          <c:order val="4"/>
          <c:tx>
            <c:v>chemicals</c:v>
          </c:tx>
          <c:spPr>
            <a:solidFill>
              <a:srgbClr val="A278C2">
                <a:alpha val="30000"/>
              </a:srgbClr>
            </a:solidFill>
            <a:ln cmpd="sng">
              <a:solidFill>
                <a:srgbClr val="A278C2"/>
              </a:solidFill>
            </a:ln>
          </c:spPr>
          <c:cat>
            <c:strRef>
              <c:f>Industry_Calculation!$AL$27:$BU$27</c:f>
            </c:strRef>
          </c:cat>
          <c:val>
            <c:numRef>
              <c:f>Industry_Calculation!$AL$32:$BU$32</c:f>
              <c:numCache/>
            </c:numRef>
          </c:val>
        </c:ser>
        <c:ser>
          <c:idx val="5"/>
          <c:order val="5"/>
          <c:tx>
            <c:v>food</c:v>
          </c:tx>
          <c:spPr>
            <a:solidFill>
              <a:srgbClr val="A9D18E">
                <a:alpha val="30000"/>
              </a:srgbClr>
            </a:solidFill>
            <a:ln cmpd="sng">
              <a:solidFill>
                <a:srgbClr val="A9D18E"/>
              </a:solidFill>
            </a:ln>
          </c:spPr>
          <c:cat>
            <c:strRef>
              <c:f>Industry_Calculation!$AL$27:$BU$27</c:f>
            </c:strRef>
          </c:cat>
          <c:val>
            <c:numRef>
              <c:f>Industry_Calculation!$AL$33:$BU$33</c:f>
              <c:numCache/>
            </c:numRef>
          </c:val>
        </c:ser>
        <c:ser>
          <c:idx val="6"/>
          <c:order val="6"/>
          <c:tx>
            <c:v>NFM</c:v>
          </c:tx>
          <c:spPr>
            <a:solidFill>
              <a:srgbClr val="939393">
                <a:alpha val="30000"/>
              </a:srgbClr>
            </a:solidFill>
            <a:ln cmpd="sng">
              <a:solidFill>
                <a:srgbClr val="939393"/>
              </a:solidFill>
            </a:ln>
          </c:spPr>
          <c:cat>
            <c:strRef>
              <c:f>Industry_Calculation!$AL$27:$BU$27</c:f>
            </c:strRef>
          </c:cat>
          <c:val>
            <c:numRef>
              <c:f>Industry_Calculation!$AL$34:$BU$34</c:f>
              <c:numCache/>
            </c:numRef>
          </c:val>
        </c:ser>
        <c:ser>
          <c:idx val="7"/>
          <c:order val="7"/>
          <c:tx>
            <c:v>others</c:v>
          </c:tx>
          <c:spPr>
            <a:solidFill>
              <a:srgbClr val="FFD658">
                <a:alpha val="30000"/>
              </a:srgbClr>
            </a:solidFill>
            <a:ln cmpd="sng">
              <a:solidFill>
                <a:srgbClr val="FFD658"/>
              </a:solidFill>
            </a:ln>
          </c:spPr>
          <c:cat>
            <c:strRef>
              <c:f>Industry_Calculation!$AL$27:$BU$27</c:f>
            </c:strRef>
          </c:cat>
          <c:val>
            <c:numRef>
              <c:f>Industry_Calculation!$AL$35:$BU$35</c:f>
              <c:numCache/>
            </c:numRef>
          </c:val>
        </c:ser>
        <c:axId val="1160461729"/>
        <c:axId val="799807706"/>
      </c:areaChart>
      <c:catAx>
        <c:axId val="11604617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out"/>
        <c:minorTickMark val="none"/>
        <c:spPr/>
        <c:txPr>
          <a:bodyPr/>
          <a:lstStyle/>
          <a:p>
            <a:pPr lvl="0">
              <a:defRPr b="0" i="1" sz="1000">
                <a:solidFill>
                  <a:srgbClr val="595959"/>
                </a:solidFill>
                <a:latin typeface="Calibri"/>
              </a:defRPr>
            </a:pPr>
          </a:p>
        </c:txPr>
        <c:crossAx val="799807706"/>
      </c:catAx>
      <c:valAx>
        <c:axId val="799807706"/>
        <c:scaling>
          <c:orientation val="minMax"/>
        </c:scaling>
        <c:delete val="0"/>
        <c:axPos val="l"/>
        <c:majorGridlines>
          <c:spPr>
            <a:ln>
              <a:solidFill>
                <a:srgbClr val="B7B7B7"/>
              </a:solidFill>
            </a:ln>
          </c:spPr>
        </c:majorGridlines>
        <c:title>
          <c:tx>
            <c:rich>
              <a:bodyPr/>
              <a:lstStyle/>
              <a:p>
                <a:pPr lvl="0">
                  <a:defRPr b="0" i="0" sz="1600">
                    <a:solidFill>
                      <a:srgbClr val="595959"/>
                    </a:solidFill>
                    <a:latin typeface="Calibri"/>
                  </a:defRPr>
                </a:pPr>
                <a:r>
                  <a:rPr b="0" i="0" sz="1600">
                    <a:solidFill>
                      <a:srgbClr val="595959"/>
                    </a:solidFill>
                    <a:latin typeface="Calibri"/>
                  </a:rPr>
                  <a:t>FEC in TWh</a:t>
                </a:r>
              </a:p>
            </c:rich>
          </c:tx>
          <c:overlay val="0"/>
        </c:title>
        <c:numFmt formatCode="0" sourceLinked="0"/>
        <c:majorTickMark val="none"/>
        <c:minorTickMark val="none"/>
        <c:tickLblPos val="nextTo"/>
        <c:spPr>
          <a:ln/>
        </c:spPr>
        <c:txPr>
          <a:bodyPr/>
          <a:lstStyle/>
          <a:p>
            <a:pPr lvl="0">
              <a:defRPr b="0" i="0" sz="1000">
                <a:solidFill>
                  <a:srgbClr val="595959"/>
                </a:solidFill>
                <a:latin typeface="Calibri"/>
              </a:defRPr>
            </a:pPr>
          </a:p>
        </c:txPr>
        <c:crossAx val="1160461729"/>
      </c:valAx>
    </c:plotArea>
    <c:legend>
      <c:legendPos val="b"/>
      <c:layout>
        <c:manualLayout>
          <c:xMode val="edge"/>
          <c:yMode val="edge"/>
          <c:x val="0.05319"/>
          <c:y val="0.867921"/>
        </c:manualLayout>
      </c:layout>
      <c:overlay val="0"/>
      <c:txPr>
        <a:bodyPr/>
        <a:lstStyle/>
        <a:p>
          <a:pPr lvl="0">
            <a:defRPr b="0" i="0" sz="1200">
              <a:solidFill>
                <a:srgbClr val="595959"/>
              </a:solidFill>
              <a:latin typeface="Calibri"/>
            </a:defRPr>
          </a:pPr>
        </a:p>
      </c:txPr>
    </c:legend>
    <c:plotVisOnly val="1"/>
  </c:chart>
  <c:spPr>
    <a:solidFill>
      <a:srgbClr val="FFFFFF"/>
    </a:solidFill>
  </c:spPr>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v>coal</c:v>
          </c:tx>
          <c:spPr>
            <a:solidFill>
              <a:srgbClr val="000000">
                <a:alpha val="30000"/>
              </a:srgbClr>
            </a:solidFill>
            <a:ln cmpd="sng" w="19050">
              <a:solidFill>
                <a:srgbClr val="000000">
                  <a:alpha val="0"/>
                </a:srgbClr>
              </a:solidFill>
            </a:ln>
          </c:spPr>
          <c:cat>
            <c:strRef>
              <c:f>Industry_Calculation!$AY$5:$BF$5</c:f>
            </c:strRef>
          </c:cat>
          <c:val>
            <c:numRef>
              <c:f>Industry_Calculation!$AY$6:$BF$6</c:f>
              <c:numCache/>
            </c:numRef>
          </c:val>
        </c:ser>
        <c:ser>
          <c:idx val="1"/>
          <c:order val="1"/>
          <c:tx>
            <c:v>oil</c:v>
          </c:tx>
          <c:spPr>
            <a:solidFill>
              <a:srgbClr val="000000">
                <a:alpha val="30000"/>
              </a:srgbClr>
            </a:solidFill>
            <a:ln cmpd="sng" w="19050">
              <a:solidFill>
                <a:srgbClr val="000000">
                  <a:alpha val="0"/>
                </a:srgbClr>
              </a:solidFill>
            </a:ln>
          </c:spPr>
          <c:cat>
            <c:strRef>
              <c:f>Industry_Calculation!$AY$5:$BF$5</c:f>
            </c:strRef>
          </c:cat>
          <c:val>
            <c:numRef>
              <c:f>Industry_Calculation!$AY$7:$BF$7</c:f>
              <c:numCache/>
            </c:numRef>
          </c:val>
        </c:ser>
        <c:ser>
          <c:idx val="2"/>
          <c:order val="2"/>
          <c:tx>
            <c:v>gaz</c:v>
          </c:tx>
          <c:spPr>
            <a:solidFill>
              <a:srgbClr val="000000">
                <a:alpha val="30000"/>
              </a:srgbClr>
            </a:solidFill>
            <a:ln cmpd="sng" w="19050">
              <a:solidFill>
                <a:srgbClr val="000000">
                  <a:alpha val="0"/>
                </a:srgbClr>
              </a:solidFill>
            </a:ln>
          </c:spPr>
          <c:cat>
            <c:strRef>
              <c:f>Industry_Calculation!$AY$5:$BF$5</c:f>
            </c:strRef>
          </c:cat>
          <c:val>
            <c:numRef>
              <c:f>Industry_Calculation!$AY$8:$BF$8</c:f>
              <c:numCache/>
            </c:numRef>
          </c:val>
        </c:ser>
        <c:ser>
          <c:idx val="3"/>
          <c:order val="3"/>
          <c:tx>
            <c:v>heat</c:v>
          </c:tx>
          <c:spPr>
            <a:solidFill>
              <a:srgbClr val="000000">
                <a:alpha val="30000"/>
              </a:srgbClr>
            </a:solidFill>
            <a:ln cmpd="sng" w="19050">
              <a:solidFill>
                <a:srgbClr val="000000">
                  <a:alpha val="0"/>
                </a:srgbClr>
              </a:solidFill>
            </a:ln>
          </c:spPr>
          <c:cat>
            <c:strRef>
              <c:f>Industry_Calculation!$AY$5:$BF$5</c:f>
            </c:strRef>
          </c:cat>
          <c:val>
            <c:numRef>
              <c:f>Industry_Calculation!$AY$9:$BF$9</c:f>
              <c:numCache/>
            </c:numRef>
          </c:val>
        </c:ser>
        <c:ser>
          <c:idx val="4"/>
          <c:order val="4"/>
          <c:tx>
            <c:v>biomass</c:v>
          </c:tx>
          <c:spPr>
            <a:solidFill>
              <a:srgbClr val="000000">
                <a:alpha val="30000"/>
              </a:srgbClr>
            </a:solidFill>
            <a:ln cmpd="sng" w="19050">
              <a:solidFill>
                <a:srgbClr val="000000">
                  <a:alpha val="0"/>
                </a:srgbClr>
              </a:solidFill>
            </a:ln>
          </c:spPr>
          <c:cat>
            <c:strRef>
              <c:f>Industry_Calculation!$AY$5:$BF$5</c:f>
            </c:strRef>
          </c:cat>
          <c:val>
            <c:numRef>
              <c:f>Industry_Calculation!$AY$10:$BF$10</c:f>
              <c:numCache/>
            </c:numRef>
          </c:val>
        </c:ser>
        <c:ser>
          <c:idx val="5"/>
          <c:order val="5"/>
          <c:tx>
            <c:v>electricity</c:v>
          </c:tx>
          <c:spPr>
            <a:solidFill>
              <a:srgbClr val="000000">
                <a:alpha val="30000"/>
              </a:srgbClr>
            </a:solidFill>
            <a:ln cmpd="sng" w="19050">
              <a:solidFill>
                <a:srgbClr val="000000">
                  <a:alpha val="0"/>
                </a:srgbClr>
              </a:solidFill>
            </a:ln>
          </c:spPr>
          <c:cat>
            <c:strRef>
              <c:f>Industry_Calculation!$AY$5:$BF$5</c:f>
            </c:strRef>
          </c:cat>
          <c:val>
            <c:numRef>
              <c:f>Industry_Calculation!$AY$11:$BF$11</c:f>
              <c:numCache/>
            </c:numRef>
          </c:val>
        </c:ser>
        <c:ser>
          <c:idx val="6"/>
          <c:order val="6"/>
          <c:tx>
            <c:v>hydrogen</c:v>
          </c:tx>
          <c:spPr>
            <a:solidFill>
              <a:srgbClr val="000000">
                <a:alpha val="30000"/>
              </a:srgbClr>
            </a:solidFill>
            <a:ln cmpd="sng" w="19050">
              <a:solidFill>
                <a:srgbClr val="000000">
                  <a:alpha val="0"/>
                </a:srgbClr>
              </a:solidFill>
            </a:ln>
          </c:spPr>
          <c:cat>
            <c:strRef>
              <c:f>Industry_Calculation!$AY$5:$BF$5</c:f>
            </c:strRef>
          </c:cat>
          <c:val>
            <c:numRef>
              <c:f>Industry_Calculation!$AY$12:$BF$12</c:f>
              <c:numCache/>
            </c:numRef>
          </c:val>
        </c:ser>
        <c:ser>
          <c:idx val="7"/>
          <c:order val="7"/>
          <c:tx>
            <c:v>non-res waste</c:v>
          </c:tx>
          <c:spPr>
            <a:solidFill>
              <a:srgbClr val="000000">
                <a:alpha val="30000"/>
              </a:srgbClr>
            </a:solidFill>
            <a:ln cmpd="sng" w="19050">
              <a:solidFill>
                <a:srgbClr val="000000">
                  <a:alpha val="0"/>
                </a:srgbClr>
              </a:solidFill>
            </a:ln>
          </c:spPr>
          <c:cat>
            <c:strRef>
              <c:f>Industry_Calculation!$AY$5:$BF$5</c:f>
            </c:strRef>
          </c:cat>
          <c:val>
            <c:numRef>
              <c:f>Industry_Calculation!$AY$13:$BF$13</c:f>
              <c:numCache/>
            </c:numRef>
          </c:val>
        </c:ser>
        <c:axId val="396290551"/>
        <c:axId val="640078193"/>
      </c:areaChart>
      <c:catAx>
        <c:axId val="3962905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out"/>
        <c:minorTickMark val="none"/>
        <c:spPr/>
        <c:txPr>
          <a:bodyPr/>
          <a:lstStyle/>
          <a:p>
            <a:pPr lvl="0">
              <a:defRPr b="0" i="1" sz="1000">
                <a:solidFill>
                  <a:srgbClr val="595959"/>
                </a:solidFill>
                <a:latin typeface="Calibri"/>
              </a:defRPr>
            </a:pPr>
          </a:p>
        </c:txPr>
        <c:crossAx val="640078193"/>
      </c:catAx>
      <c:valAx>
        <c:axId val="640078193"/>
        <c:scaling>
          <c:orientation val="minMax"/>
        </c:scaling>
        <c:delete val="0"/>
        <c:axPos val="l"/>
        <c:majorGridlines>
          <c:spPr>
            <a:ln>
              <a:solidFill>
                <a:srgbClr val="B7B7B7"/>
              </a:solidFill>
            </a:ln>
          </c:spPr>
        </c:majorGridlines>
        <c:title>
          <c:tx>
            <c:rich>
              <a:bodyPr/>
              <a:lstStyle/>
              <a:p>
                <a:pPr lvl="0">
                  <a:defRPr b="0" i="0" sz="1600">
                    <a:solidFill>
                      <a:srgbClr val="595959"/>
                    </a:solidFill>
                    <a:latin typeface="Calibri"/>
                  </a:defRPr>
                </a:pPr>
                <a:r>
                  <a:rPr b="0" i="0" sz="1600">
                    <a:solidFill>
                      <a:srgbClr val="595959"/>
                    </a:solidFill>
                    <a:latin typeface="Calibri"/>
                  </a:rPr>
                  <a:t>Carriers share in TWh</a:t>
                </a:r>
              </a:p>
            </c:rich>
          </c:tx>
          <c:overlay val="0"/>
        </c:title>
        <c:numFmt formatCode="#,##0" sourceLinked="0"/>
        <c:majorTickMark val="none"/>
        <c:minorTickMark val="none"/>
        <c:tickLblPos val="nextTo"/>
        <c:spPr>
          <a:ln/>
        </c:spPr>
        <c:txPr>
          <a:bodyPr/>
          <a:lstStyle/>
          <a:p>
            <a:pPr lvl="0">
              <a:defRPr b="0" i="0" sz="1000">
                <a:solidFill>
                  <a:srgbClr val="595959"/>
                </a:solidFill>
                <a:latin typeface="Calibri"/>
              </a:defRPr>
            </a:pPr>
          </a:p>
        </c:txPr>
        <c:crossAx val="396290551"/>
      </c:valAx>
    </c:plotArea>
    <c:legend>
      <c:legendPos val="b"/>
      <c:overlay val="0"/>
      <c:txPr>
        <a:bodyPr/>
        <a:lstStyle/>
        <a:p>
          <a:pPr lvl="0">
            <a:defRPr b="0" i="0" sz="1200">
              <a:solidFill>
                <a:srgbClr val="595959"/>
              </a:solidFill>
              <a:latin typeface="Calibri"/>
            </a:defRPr>
          </a:pPr>
        </a:p>
      </c:txPr>
    </c:legend>
    <c:plotVisOnly val="1"/>
  </c:chart>
  <c:spPr>
    <a:solidFill>
      <a:srgbClr val="FFFFFF"/>
    </a:solidFill>
  </c:spPr>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rgbClr val="595959"/>
                </a:solidFill>
                <a:latin typeface="Calibri"/>
              </a:defRPr>
            </a:pPr>
            <a:r>
              <a:rPr b="1" i="0" sz="1800">
                <a:solidFill>
                  <a:srgbClr val="595959"/>
                </a:solidFill>
                <a:latin typeface="Calibri"/>
              </a:rPr>
              <a:t>Non-energy consumption (excluding H2 for HDRI steel)</a:t>
            </a:r>
          </a:p>
        </c:rich>
      </c:tx>
      <c:overlay val="0"/>
    </c:title>
    <c:plotArea>
      <c:layout/>
      <c:areaChart>
        <c:grouping val="stacked"/>
        <c:ser>
          <c:idx val="0"/>
          <c:order val="0"/>
          <c:tx>
            <c:v>oil</c:v>
          </c:tx>
          <c:spPr>
            <a:solidFill>
              <a:srgbClr val="000000">
                <a:alpha val="30000"/>
              </a:srgbClr>
            </a:solidFill>
            <a:ln cmpd="sng" w="19050">
              <a:solidFill>
                <a:srgbClr val="000000">
                  <a:alpha val="0"/>
                </a:srgbClr>
              </a:solidFill>
            </a:ln>
          </c:spPr>
          <c:val>
            <c:numRef>
              <c:f>Industry!$W$86:$AH$86</c:f>
              <c:numCache/>
            </c:numRef>
          </c:val>
        </c:ser>
        <c:ser>
          <c:idx val="1"/>
          <c:order val="1"/>
          <c:tx>
            <c:v>gaz</c:v>
          </c:tx>
          <c:spPr>
            <a:solidFill>
              <a:srgbClr val="000000">
                <a:alpha val="30000"/>
              </a:srgbClr>
            </a:solidFill>
            <a:ln cmpd="sng" w="19050">
              <a:solidFill>
                <a:srgbClr val="000000">
                  <a:alpha val="0"/>
                </a:srgbClr>
              </a:solidFill>
            </a:ln>
          </c:spPr>
          <c:val>
            <c:numRef>
              <c:f>Industry!$W$85:$AH$85</c:f>
              <c:numCache/>
            </c:numRef>
          </c:val>
        </c:ser>
        <c:ser>
          <c:idx val="2"/>
          <c:order val="2"/>
          <c:tx>
            <c:v>biomass</c:v>
          </c:tx>
          <c:spPr>
            <a:solidFill>
              <a:srgbClr val="000000">
                <a:alpha val="30000"/>
              </a:srgbClr>
            </a:solidFill>
            <a:ln cmpd="sng" w="19050">
              <a:solidFill>
                <a:srgbClr val="000000">
                  <a:alpha val="0"/>
                </a:srgbClr>
              </a:solidFill>
            </a:ln>
          </c:spPr>
          <c:val>
            <c:numRef>
              <c:f>Industry!$W$84:$AH$84</c:f>
              <c:numCache/>
            </c:numRef>
          </c:val>
        </c:ser>
        <c:ser>
          <c:idx val="3"/>
          <c:order val="3"/>
          <c:tx>
            <c:v>hydrogen</c:v>
          </c:tx>
          <c:spPr>
            <a:solidFill>
              <a:srgbClr val="000000">
                <a:alpha val="30000"/>
              </a:srgbClr>
            </a:solidFill>
            <a:ln cmpd="sng" w="19050">
              <a:solidFill>
                <a:srgbClr val="000000">
                  <a:alpha val="0"/>
                </a:srgbClr>
              </a:solidFill>
            </a:ln>
          </c:spPr>
          <c:val>
            <c:numRef>
              <c:f>Industry!$W$87:$AH$87</c:f>
              <c:numCache/>
            </c:numRef>
          </c:val>
        </c:ser>
        <c:axId val="113437203"/>
        <c:axId val="1010431140"/>
      </c:areaChart>
      <c:catAx>
        <c:axId val="1134372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out"/>
        <c:minorTickMark val="none"/>
        <c:spPr/>
        <c:txPr>
          <a:bodyPr/>
          <a:lstStyle/>
          <a:p>
            <a:pPr lvl="0">
              <a:defRPr b="0" i="1" sz="1000">
                <a:solidFill>
                  <a:srgbClr val="595959"/>
                </a:solidFill>
                <a:latin typeface="Calibri"/>
              </a:defRPr>
            </a:pPr>
          </a:p>
        </c:txPr>
        <c:crossAx val="1010431140"/>
      </c:catAx>
      <c:valAx>
        <c:axId val="1010431140"/>
        <c:scaling>
          <c:orientation val="minMax"/>
        </c:scaling>
        <c:delete val="0"/>
        <c:axPos val="l"/>
        <c:majorGridlines>
          <c:spPr>
            <a:ln>
              <a:solidFill>
                <a:srgbClr val="B7B7B7"/>
              </a:solidFill>
            </a:ln>
          </c:spPr>
        </c:majorGridlines>
        <c:title>
          <c:tx>
            <c:rich>
              <a:bodyPr/>
              <a:lstStyle/>
              <a:p>
                <a:pPr lvl="0">
                  <a:defRPr b="0" i="0" sz="1600">
                    <a:solidFill>
                      <a:srgbClr val="595959"/>
                    </a:solidFill>
                    <a:latin typeface="Calibri"/>
                  </a:defRPr>
                </a:pPr>
                <a:r>
                  <a:rPr b="0" i="0" sz="1600">
                    <a:solidFill>
                      <a:srgbClr val="595959"/>
                    </a:solidFill>
                    <a:latin typeface="Calibri"/>
                  </a:rPr>
                  <a:t>Carriers share in TWh</a:t>
                </a:r>
              </a:p>
            </c:rich>
          </c:tx>
          <c:overlay val="0"/>
        </c:title>
        <c:numFmt formatCode="#,##0" sourceLinked="0"/>
        <c:majorTickMark val="none"/>
        <c:minorTickMark val="none"/>
        <c:tickLblPos val="nextTo"/>
        <c:spPr>
          <a:ln/>
        </c:spPr>
        <c:txPr>
          <a:bodyPr/>
          <a:lstStyle/>
          <a:p>
            <a:pPr lvl="0">
              <a:defRPr b="0" i="0" sz="1000">
                <a:solidFill>
                  <a:srgbClr val="595959"/>
                </a:solidFill>
                <a:latin typeface="Calibri"/>
              </a:defRPr>
            </a:pPr>
          </a:p>
        </c:txPr>
        <c:crossAx val="113437203"/>
      </c:valAx>
    </c:plotArea>
    <c:legend>
      <c:legendPos val="b"/>
      <c:overlay val="0"/>
      <c:txPr>
        <a:bodyPr/>
        <a:lstStyle/>
        <a:p>
          <a:pPr lvl="0">
            <a:defRPr b="0" i="0" sz="1200">
              <a:solidFill>
                <a:srgbClr val="595959"/>
              </a:solidFill>
              <a:latin typeface="Calibri"/>
            </a:defRPr>
          </a:pPr>
        </a:p>
      </c:txPr>
    </c:legend>
    <c:plotVisOnly val="1"/>
  </c:chart>
  <c:spPr>
    <a:solidFill>
      <a:srgbClr val="FFFFFF"/>
    </a:solidFill>
  </c:spPr>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Chart Title</a:t>
            </a:r>
          </a:p>
        </c:rich>
      </c:tx>
      <c:overlay val="0"/>
    </c:title>
    <c:plotArea>
      <c:layout/>
      <c:pieChart>
        <c:varyColors val="1"/>
        <c:ser>
          <c:idx val="0"/>
          <c:order val="0"/>
          <c:dPt>
            <c:idx val="0"/>
            <c:spPr>
              <a:solidFill>
                <a:srgbClr val="4472C4"/>
              </a:solidFill>
            </c:spPr>
          </c:dPt>
          <c:dPt>
            <c:idx val="1"/>
            <c:spPr>
              <a:solidFill>
                <a:srgbClr val="ED7D31"/>
              </a:solidFill>
            </c:spPr>
          </c:dPt>
          <c:dPt>
            <c:idx val="2"/>
            <c:spPr>
              <a:solidFill>
                <a:srgbClr val="A5A5A5"/>
              </a:solidFill>
            </c:spPr>
          </c:dPt>
          <c:dLbls>
            <c:dLbl>
              <c:idx val="0"/>
              <c:txPr>
                <a:bodyPr/>
                <a:lstStyle/>
                <a:p>
                  <a:pPr lvl="0">
                    <a:defRPr b="0" i="0" sz="1000">
                      <a:solidFill>
                        <a:srgbClr val="000000"/>
                      </a:solidFill>
                      <a:latin typeface="Calibri"/>
                    </a:defRPr>
                  </a:pPr>
                </a:p>
              </c:txPr>
              <c:showLegendKey val="0"/>
              <c:showVal val="0"/>
              <c:showCatName val="0"/>
              <c:showSerName val="0"/>
              <c:showPercent val="0"/>
              <c:showBubbleSize val="0"/>
            </c:dLbl>
            <c:dLbl>
              <c:idx val="1"/>
              <c:txPr>
                <a:bodyPr/>
                <a:lstStyle/>
                <a:p>
                  <a:pPr lvl="0">
                    <a:defRPr b="0" i="0" sz="1000">
                      <a:solidFill>
                        <a:srgbClr val="000000"/>
                      </a:solidFill>
                      <a:latin typeface="Calibri"/>
                    </a:defRPr>
                  </a:pPr>
                </a:p>
              </c:txPr>
              <c:showLegendKey val="0"/>
              <c:showVal val="0"/>
              <c:showCatName val="0"/>
              <c:showSerName val="0"/>
              <c:showPercent val="0"/>
              <c:showBubbleSize val="0"/>
            </c:dLbl>
            <c:dLbl>
              <c:idx val="2"/>
              <c:txPr>
                <a:bodyPr/>
                <a:lstStyle/>
                <a:p>
                  <a:pPr lvl="0">
                    <a:defRPr b="0" i="0" sz="1000">
                      <a:solidFill>
                        <a:srgbClr val="000000"/>
                      </a:solidFill>
                      <a:latin typeface="Calibri"/>
                    </a:defRPr>
                  </a:pPr>
                </a:p>
              </c:txPr>
              <c:showLegendKey val="0"/>
              <c:showVal val="0"/>
              <c:showCatName val="0"/>
              <c:showSerName val="0"/>
              <c:showPercent val="0"/>
              <c:showBubbleSize val="0"/>
            </c:dLbl>
            <c:showLegendKey val="0"/>
            <c:showVal val="0"/>
            <c:showCatName val="0"/>
            <c:showSerName val="0"/>
            <c:showPercent val="0"/>
            <c:showBubbleSize val="0"/>
            <c:showLeaderLines val="1"/>
          </c:dLbls>
          <c:val>
            <c:numRef>
              <c:f>Industry_Calculation!$M$165:$M$167</c:f>
              <c:numCache/>
            </c:numRef>
          </c:val>
        </c:ser>
        <c:dLbls>
          <c:showLegendKey val="0"/>
          <c:showVal val="0"/>
          <c:showCatName val="0"/>
          <c:showSerName val="0"/>
          <c:showPercent val="0"/>
          <c:showBubbleSize val="0"/>
        </c:dLbls>
        <c:firstSliceAng val="0"/>
      </c:pieChart>
    </c:plotArea>
    <c:legend>
      <c:legendPos val="b"/>
      <c:overlay val="0"/>
      <c:txPr>
        <a:bodyPr/>
        <a:lstStyle/>
        <a:p>
          <a:pPr lvl="0">
            <a:defRPr b="0" i="0" sz="900">
              <a:solidFill>
                <a:srgbClr val="595959"/>
              </a:solidFill>
              <a:latin typeface="Calibri"/>
            </a:defRPr>
          </a:pPr>
        </a:p>
      </c:txPr>
    </c:legend>
    <c:plotVisOnly val="1"/>
  </c:chart>
  <c:spPr>
    <a:solidFill>
      <a:srgbClr val="FFFFFF"/>
    </a:solidFill>
  </c:spPr>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final energy consumption</a:t>
            </a:r>
          </a:p>
        </c:rich>
      </c:tx>
      <c:overlay val="0"/>
    </c:title>
    <c:plotArea>
      <c:layout/>
      <c:barChart>
        <c:barDir val="col"/>
        <c:ser>
          <c:idx val="0"/>
          <c:order val="0"/>
          <c:tx>
            <c:v>According to Eurostat</c:v>
          </c:tx>
          <c:spPr>
            <a:solidFill>
              <a:srgbClr val="5B9BD5"/>
            </a:solidFill>
            <a:ln cmpd="sng">
              <a:solidFill>
                <a:srgbClr val="000000"/>
              </a:solidFill>
            </a:ln>
          </c:spPr>
          <c:cat>
            <c:strRef>
              <c:f>'EDCM - TOTAL'!$A$198</c:f>
            </c:strRef>
          </c:cat>
          <c:val>
            <c:numRef>
              <c:f>'EDCM - TOTAL'!$W$200</c:f>
              <c:numCache/>
            </c:numRef>
          </c:val>
        </c:ser>
        <c:ser>
          <c:idx val="1"/>
          <c:order val="1"/>
          <c:cat>
            <c:strRef>
              <c:f>'EDCM - TOTAL'!$A$198</c:f>
            </c:strRef>
          </c:cat>
          <c:val>
            <c:numRef>
              <c:f>'EDCM - TOTAL'!$W$201</c:f>
              <c:numCache/>
            </c:numRef>
          </c:val>
        </c:ser>
        <c:ser>
          <c:idx val="2"/>
          <c:order val="2"/>
          <c:cat>
            <c:strRef>
              <c:f>'EDCM - TOTAL'!$A$198</c:f>
            </c:strRef>
          </c:cat>
          <c:val>
            <c:numRef>
              <c:f>'EDCM - TOTAL'!$W$202</c:f>
              <c:numCache/>
            </c:numRef>
          </c:val>
        </c:ser>
        <c:axId val="1800390566"/>
        <c:axId val="1308968528"/>
      </c:barChart>
      <c:catAx>
        <c:axId val="18003905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0" i="0" sz="900">
                <a:solidFill>
                  <a:srgbClr val="595959"/>
                </a:solidFill>
                <a:latin typeface="Calibri"/>
              </a:defRPr>
            </a:pPr>
          </a:p>
        </c:txPr>
        <c:crossAx val="1308968528"/>
      </c:catAx>
      <c:valAx>
        <c:axId val="130896852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 ##0.000" sourceLinked="0"/>
        <c:majorTickMark val="none"/>
        <c:minorTickMark val="none"/>
        <c:tickLblPos val="nextTo"/>
        <c:spPr>
          <a:ln/>
        </c:spPr>
        <c:txPr>
          <a:bodyPr/>
          <a:lstStyle/>
          <a:p>
            <a:pPr lvl="0">
              <a:defRPr b="0" i="0" sz="900">
                <a:solidFill>
                  <a:srgbClr val="595959"/>
                </a:solidFill>
                <a:latin typeface="Calibri"/>
              </a:defRPr>
            </a:pPr>
          </a:p>
        </c:txPr>
        <c:crossAx val="1800390566"/>
      </c:valAx>
    </c:plotArea>
    <c:legend>
      <c:legendPos val="r"/>
      <c:overlay val="0"/>
      <c:txPr>
        <a:bodyPr/>
        <a:lstStyle/>
        <a:p>
          <a:pPr lvl="0">
            <a:defRPr b="0" i="0" sz="900">
              <a:solidFill>
                <a:srgbClr val="595959"/>
              </a:solidFill>
              <a:latin typeface="Calibri"/>
            </a:defRPr>
          </a:pPr>
        </a:p>
      </c:txPr>
    </c:legend>
    <c:plotVisOnly val="1"/>
  </c:chart>
  <c:spPr>
    <a:solidFill>
      <a:srgbClr val="FFFFFF"/>
    </a:solidFill>
  </c:spPr>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Carriers for tertiary</a:t>
            </a:r>
          </a:p>
        </c:rich>
      </c:tx>
      <c:overlay val="0"/>
    </c:title>
    <c:plotArea>
      <c:layout/>
      <c:barChart>
        <c:barDir val="col"/>
        <c:ser>
          <c:idx val="0"/>
          <c:order val="0"/>
          <c:tx>
            <c:v>EDCM</c:v>
          </c:tx>
          <c:spPr>
            <a:solidFill>
              <a:srgbClr val="5B9BD5"/>
            </a:solidFill>
            <a:ln cmpd="sng">
              <a:solidFill>
                <a:srgbClr val="000000"/>
              </a:solidFill>
            </a:ln>
          </c:spPr>
          <c:cat>
            <c:strRef>
              <c:f>'EDCM - TOTAL'!$E$52:$E$56</c:f>
            </c:strRef>
          </c:cat>
          <c:val>
            <c:numRef>
              <c:f>'EDCM - TOTAL'!$W$52:$W$56</c:f>
              <c:numCache/>
            </c:numRef>
          </c:val>
        </c:ser>
        <c:ser>
          <c:idx val="1"/>
          <c:order val="1"/>
          <c:tx>
            <c:v>DB</c:v>
          </c:tx>
          <c:spPr>
            <a:solidFill>
              <a:srgbClr val="ED7D31"/>
            </a:solidFill>
            <a:ln cmpd="sng">
              <a:solidFill>
                <a:srgbClr val="000000"/>
              </a:solidFill>
            </a:ln>
          </c:spPr>
          <c:cat>
            <c:strRef>
              <c:f>'EDCM - TOTAL'!$E$52:$E$56</c:f>
            </c:strRef>
          </c:cat>
          <c:val>
            <c:numRef>
              <c:f>Tertiary!$W$197:$W$201</c:f>
              <c:numCache/>
            </c:numRef>
          </c:val>
        </c:ser>
        <c:axId val="1921478540"/>
        <c:axId val="35257588"/>
      </c:barChart>
      <c:catAx>
        <c:axId val="19214785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0" i="0" sz="900">
                <a:solidFill>
                  <a:srgbClr val="595959"/>
                </a:solidFill>
                <a:latin typeface="Calibri"/>
              </a:defRPr>
            </a:pPr>
          </a:p>
        </c:txPr>
        <c:crossAx val="35257588"/>
      </c:catAx>
      <c:valAx>
        <c:axId val="352575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 ##0.000" sourceLinked="0"/>
        <c:majorTickMark val="none"/>
        <c:minorTickMark val="none"/>
        <c:tickLblPos val="nextTo"/>
        <c:spPr>
          <a:ln/>
        </c:spPr>
        <c:txPr>
          <a:bodyPr/>
          <a:lstStyle/>
          <a:p>
            <a:pPr lvl="0">
              <a:defRPr b="0" i="0" sz="900">
                <a:solidFill>
                  <a:srgbClr val="595959"/>
                </a:solidFill>
                <a:latin typeface="Calibri"/>
              </a:defRPr>
            </a:pPr>
          </a:p>
        </c:txPr>
        <c:crossAx val="1921478540"/>
      </c:valAx>
    </c:plotArea>
    <c:legend>
      <c:legendPos val="r"/>
      <c:overlay val="0"/>
      <c:txPr>
        <a:bodyPr/>
        <a:lstStyle/>
        <a:p>
          <a:pPr lvl="0">
            <a:defRPr b="0" i="0" sz="900">
              <a:solidFill>
                <a:srgbClr val="595959"/>
              </a:solidFill>
              <a:latin typeface="Calibri"/>
            </a:defRPr>
          </a:pPr>
        </a:p>
      </c:txPr>
    </c:legend>
    <c:plotVisOnly val="1"/>
  </c:chart>
  <c:spPr>
    <a:solidFill>
      <a:srgbClr val="FFFFFF"/>
    </a:solidFill>
  </c:spPr>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Carriers for residential</a:t>
            </a:r>
          </a:p>
        </c:rich>
      </c:tx>
      <c:overlay val="0"/>
    </c:title>
    <c:plotArea>
      <c:layout/>
      <c:barChart>
        <c:barDir val="col"/>
        <c:ser>
          <c:idx val="0"/>
          <c:order val="0"/>
          <c:tx>
            <c:v>EDCM</c:v>
          </c:tx>
          <c:spPr>
            <a:solidFill>
              <a:srgbClr val="5B9BD5"/>
            </a:solidFill>
            <a:ln cmpd="sng">
              <a:solidFill>
                <a:srgbClr val="000000"/>
              </a:solidFill>
            </a:ln>
          </c:spPr>
          <c:cat>
            <c:strRef>
              <c:f>'EDCM - TOTAL'!$E$6:$E$13</c:f>
            </c:strRef>
          </c:cat>
          <c:val>
            <c:numRef>
              <c:f>'EDCM - TOTAL'!$W$6:$W$13</c:f>
              <c:numCache/>
            </c:numRef>
          </c:val>
        </c:ser>
        <c:ser>
          <c:idx val="1"/>
          <c:order val="1"/>
          <c:tx>
            <c:v>DB</c:v>
          </c:tx>
          <c:spPr>
            <a:solidFill>
              <a:srgbClr val="ED7D31"/>
            </a:solidFill>
            <a:ln cmpd="sng">
              <a:solidFill>
                <a:srgbClr val="000000"/>
              </a:solidFill>
            </a:ln>
          </c:spPr>
          <c:cat>
            <c:strRef>
              <c:f>'EDCM - TOTAL'!$E$6:$E$13</c:f>
            </c:strRef>
          </c:cat>
          <c:val>
            <c:numRef>
              <c:f>Residential!$W$213:$W$220</c:f>
              <c:numCache/>
            </c:numRef>
          </c:val>
        </c:ser>
        <c:axId val="343914751"/>
        <c:axId val="1671687391"/>
      </c:barChart>
      <c:catAx>
        <c:axId val="3439147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0" i="0" sz="900">
                <a:solidFill>
                  <a:srgbClr val="595959"/>
                </a:solidFill>
                <a:latin typeface="Calibri"/>
              </a:defRPr>
            </a:pPr>
          </a:p>
        </c:txPr>
        <c:crossAx val="1671687391"/>
      </c:catAx>
      <c:valAx>
        <c:axId val="167168739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 ##0.000" sourceLinked="0"/>
        <c:majorTickMark val="none"/>
        <c:minorTickMark val="none"/>
        <c:tickLblPos val="nextTo"/>
        <c:spPr>
          <a:ln/>
        </c:spPr>
        <c:txPr>
          <a:bodyPr/>
          <a:lstStyle/>
          <a:p>
            <a:pPr lvl="0">
              <a:defRPr b="0" i="0" sz="900">
                <a:solidFill>
                  <a:srgbClr val="595959"/>
                </a:solidFill>
                <a:latin typeface="Calibri"/>
              </a:defRPr>
            </a:pPr>
          </a:p>
        </c:txPr>
        <c:crossAx val="343914751"/>
      </c:valAx>
    </c:plotArea>
    <c:legend>
      <c:legendPos val="r"/>
      <c:overlay val="0"/>
      <c:txPr>
        <a:bodyPr/>
        <a:lstStyle/>
        <a:p>
          <a:pPr lvl="0">
            <a:defRPr b="0" i="0" sz="900">
              <a:solidFill>
                <a:srgbClr val="595959"/>
              </a:solidFill>
              <a:latin typeface="Calibri"/>
            </a:defRPr>
          </a:pPr>
        </a:p>
      </c:txPr>
    </c:legend>
    <c:plotVisOnly val="1"/>
  </c:chart>
  <c:spPr>
    <a:solidFill>
      <a:srgbClr val="FFFFFF"/>
    </a:solidFill>
  </c:spPr>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Comparaison vecteurs sur transport</a:t>
            </a:r>
          </a:p>
        </c:rich>
      </c:tx>
      <c:overlay val="0"/>
    </c:title>
    <c:plotArea>
      <c:layout/>
      <c:barChart>
        <c:barDir val="col"/>
        <c:ser>
          <c:idx val="0"/>
          <c:order val="0"/>
          <c:tx>
            <c:v>EDCM</c:v>
          </c:tx>
          <c:spPr>
            <a:solidFill>
              <a:srgbClr val="5B9BD5"/>
            </a:solidFill>
            <a:ln cmpd="sng">
              <a:solidFill>
                <a:srgbClr val="000000"/>
              </a:solidFill>
            </a:ln>
          </c:spPr>
          <c:cat>
            <c:strRef>
              <c:f>'EDCM - TOTAL'!$E$96:$E$99</c:f>
            </c:strRef>
          </c:cat>
          <c:val>
            <c:numRef>
              <c:f>'EDCM - TOTAL'!$W$96:$W$99</c:f>
              <c:numCache/>
            </c:numRef>
          </c:val>
        </c:ser>
        <c:axId val="1880069070"/>
        <c:axId val="857626127"/>
      </c:barChart>
      <c:catAx>
        <c:axId val="18800690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0" i="0" sz="900">
                <a:solidFill>
                  <a:srgbClr val="595959"/>
                </a:solidFill>
                <a:latin typeface="Calibri"/>
              </a:defRPr>
            </a:pPr>
          </a:p>
        </c:txPr>
        <c:crossAx val="857626127"/>
      </c:catAx>
      <c:valAx>
        <c:axId val="8576261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 ##0.000" sourceLinked="0"/>
        <c:majorTickMark val="none"/>
        <c:minorTickMark val="none"/>
        <c:tickLblPos val="nextTo"/>
        <c:spPr>
          <a:ln/>
        </c:spPr>
        <c:txPr>
          <a:bodyPr/>
          <a:lstStyle/>
          <a:p>
            <a:pPr lvl="0">
              <a:defRPr b="0" i="0" sz="900">
                <a:solidFill>
                  <a:srgbClr val="595959"/>
                </a:solidFill>
                <a:latin typeface="Calibri"/>
              </a:defRPr>
            </a:pPr>
          </a:p>
        </c:txPr>
        <c:crossAx val="1880069070"/>
      </c:valAx>
    </c:plotArea>
    <c:legend>
      <c:legendPos val="r"/>
      <c:overlay val="0"/>
      <c:txPr>
        <a:bodyPr/>
        <a:lstStyle/>
        <a:p>
          <a:pPr lvl="0">
            <a:defRPr b="0" i="0" sz="900">
              <a:solidFill>
                <a:srgbClr val="595959"/>
              </a:solidFill>
              <a:latin typeface="Calibri"/>
            </a:defRPr>
          </a:pPr>
        </a:p>
      </c:txPr>
    </c:legend>
    <c:plotVisOnly val="1"/>
  </c:chart>
  <c:spPr>
    <a:solidFill>
      <a:srgbClr val="FFFFFF"/>
    </a:solidFill>
  </c:spPr>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Comparaison vecteurs sur l'agriculture</a:t>
            </a:r>
          </a:p>
        </c:rich>
      </c:tx>
      <c:overlay val="0"/>
    </c:title>
    <c:plotArea>
      <c:layout/>
      <c:barChart>
        <c:barDir val="col"/>
        <c:ser>
          <c:idx val="0"/>
          <c:order val="0"/>
          <c:tx>
            <c:v>EDCM</c:v>
          </c:tx>
          <c:spPr>
            <a:solidFill>
              <a:srgbClr val="5B9BD5"/>
            </a:solidFill>
            <a:ln cmpd="sng">
              <a:solidFill>
                <a:srgbClr val="000000"/>
              </a:solidFill>
            </a:ln>
          </c:spPr>
          <c:cat>
            <c:strRef>
              <c:f>'EDCM - TOTAL'!$E$150:$E$157</c:f>
            </c:strRef>
          </c:cat>
          <c:val>
            <c:numRef>
              <c:f>'EDCM - TOTAL'!$W$150:$W$157</c:f>
              <c:numCache/>
            </c:numRef>
          </c:val>
        </c:ser>
        <c:ser>
          <c:idx val="1"/>
          <c:order val="1"/>
          <c:tx>
            <c:v>DB</c:v>
          </c:tx>
          <c:spPr>
            <a:solidFill>
              <a:srgbClr val="ED7D31"/>
            </a:solidFill>
            <a:ln cmpd="sng">
              <a:solidFill>
                <a:srgbClr val="000000"/>
              </a:solidFill>
            </a:ln>
          </c:spPr>
          <c:cat>
            <c:strRef>
              <c:f>'EDCM - TOTAL'!$E$150:$E$157</c:f>
            </c:strRef>
          </c:cat>
          <c:val>
            <c:numRef>
              <c:f>Agriculture!$W$92:$W$99</c:f>
              <c:numCache/>
            </c:numRef>
          </c:val>
        </c:ser>
        <c:axId val="1073258900"/>
        <c:axId val="2032879912"/>
      </c:barChart>
      <c:catAx>
        <c:axId val="10732589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0" i="0" sz="900">
                <a:solidFill>
                  <a:srgbClr val="595959"/>
                </a:solidFill>
                <a:latin typeface="Calibri"/>
              </a:defRPr>
            </a:pPr>
          </a:p>
        </c:txPr>
        <c:crossAx val="2032879912"/>
      </c:catAx>
      <c:valAx>
        <c:axId val="203287991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 ##0.000" sourceLinked="0"/>
        <c:majorTickMark val="none"/>
        <c:minorTickMark val="none"/>
        <c:tickLblPos val="nextTo"/>
        <c:spPr>
          <a:ln/>
        </c:spPr>
        <c:txPr>
          <a:bodyPr/>
          <a:lstStyle/>
          <a:p>
            <a:pPr lvl="0">
              <a:defRPr b="0" i="0" sz="900">
                <a:solidFill>
                  <a:srgbClr val="595959"/>
                </a:solidFill>
                <a:latin typeface="Calibri"/>
              </a:defRPr>
            </a:pPr>
          </a:p>
        </c:txPr>
        <c:crossAx val="1073258900"/>
      </c:valAx>
    </c:plotArea>
    <c:legend>
      <c:legendPos val="r"/>
      <c:overlay val="0"/>
      <c:txPr>
        <a:bodyPr/>
        <a:lstStyle/>
        <a:p>
          <a:pPr lvl="0">
            <a:defRPr b="0" i="0" sz="900">
              <a:solidFill>
                <a:srgbClr val="595959"/>
              </a:solidFill>
              <a:latin typeface="Calibri"/>
            </a:defRPr>
          </a:pPr>
        </a:p>
      </c:txPr>
    </c:legend>
    <c:plotVisOnly val="1"/>
  </c:chart>
  <c:spPr>
    <a:solidFill>
      <a:srgbClr val="FFFFFF"/>
    </a:solidFill>
  </c:spPr>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Carrier comparison</a:t>
            </a:r>
          </a:p>
        </c:rich>
      </c:tx>
      <c:overlay val="0"/>
    </c:title>
    <c:plotArea>
      <c:layout/>
      <c:barChart>
        <c:barDir val="col"/>
        <c:ser>
          <c:idx val="0"/>
          <c:order val="0"/>
          <c:tx>
            <c:v>EDCM</c:v>
          </c:tx>
          <c:spPr>
            <a:solidFill>
              <a:srgbClr val="5B9BD5"/>
            </a:solidFill>
            <a:ln cmpd="sng">
              <a:solidFill>
                <a:srgbClr val="000000"/>
              </a:solidFill>
            </a:ln>
          </c:spPr>
          <c:cat>
            <c:strRef>
              <c:f>'EDCM - TOTAL'!$E$166:$E$174</c:f>
            </c:strRef>
          </c:cat>
          <c:val>
            <c:numRef>
              <c:f>'EDCM - TOTAL'!$W$166:$W$174</c:f>
              <c:numCache/>
            </c:numRef>
          </c:val>
        </c:ser>
        <c:ser>
          <c:idx val="1"/>
          <c:order val="1"/>
          <c:tx>
            <c:v>DB</c:v>
          </c:tx>
          <c:spPr>
            <a:solidFill>
              <a:srgbClr val="ED7D31"/>
            </a:solidFill>
            <a:ln cmpd="sng">
              <a:solidFill>
                <a:srgbClr val="000000"/>
              </a:solidFill>
            </a:ln>
          </c:spPr>
          <c:cat>
            <c:strRef>
              <c:f>'EDCM - TOTAL'!$E$166:$E$174</c:f>
            </c:strRef>
          </c:cat>
          <c:val>
            <c:numRef>
              <c:f>'EDCM - TOTAL'!$W$177:$W$185</c:f>
              <c:numCache/>
            </c:numRef>
          </c:val>
        </c:ser>
        <c:axId val="1999052703"/>
        <c:axId val="788127730"/>
      </c:barChart>
      <c:catAx>
        <c:axId val="19990527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0" i="0" sz="900">
                <a:solidFill>
                  <a:srgbClr val="595959"/>
                </a:solidFill>
                <a:latin typeface="Calibri"/>
              </a:defRPr>
            </a:pPr>
          </a:p>
        </c:txPr>
        <c:crossAx val="788127730"/>
      </c:catAx>
      <c:valAx>
        <c:axId val="78812773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 ##0.000" sourceLinked="0"/>
        <c:majorTickMark val="none"/>
        <c:minorTickMark val="none"/>
        <c:tickLblPos val="nextTo"/>
        <c:spPr>
          <a:ln/>
        </c:spPr>
        <c:txPr>
          <a:bodyPr/>
          <a:lstStyle/>
          <a:p>
            <a:pPr lvl="0">
              <a:defRPr b="0" i="0" sz="900">
                <a:solidFill>
                  <a:srgbClr val="595959"/>
                </a:solidFill>
                <a:latin typeface="Calibri"/>
              </a:defRPr>
            </a:pPr>
          </a:p>
        </c:txPr>
        <c:crossAx val="1999052703"/>
      </c:valAx>
    </c:plotArea>
    <c:legend>
      <c:legendPos val="r"/>
      <c:overlay val="0"/>
      <c:txPr>
        <a:bodyPr/>
        <a:lstStyle/>
        <a:p>
          <a:pPr lvl="0">
            <a:defRPr b="0" i="0" sz="900">
              <a:solidFill>
                <a:srgbClr val="595959"/>
              </a:solidFill>
              <a:latin typeface="Calibri"/>
            </a:defRPr>
          </a:pPr>
        </a:p>
      </c:txPr>
    </c:legend>
    <c:plotVisOnly val="1"/>
  </c:chart>
  <c:spPr>
    <a:solidFill>
      <a:srgbClr val="FFFFFF"/>
    </a:solidFill>
  </c:spPr>
</c:chartSpace>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1.xml"/><Relationship Id="rId2" Type="http://schemas.openxmlformats.org/officeDocument/2006/relationships/chart" Target="../charts/chart12.xml"/><Relationship Id="rId3" Type="http://schemas.openxmlformats.org/officeDocument/2006/relationships/chart" Target="../charts/chart13.xml"/><Relationship Id="rId4" Type="http://schemas.openxmlformats.org/officeDocument/2006/relationships/chart" Target="../charts/chart14.xml"/><Relationship Id="rId11" Type="http://schemas.openxmlformats.org/officeDocument/2006/relationships/image" Target="../media/image6.jpg"/><Relationship Id="rId10" Type="http://schemas.openxmlformats.org/officeDocument/2006/relationships/image" Target="../media/image4.jpg"/><Relationship Id="rId12" Type="http://schemas.openxmlformats.org/officeDocument/2006/relationships/image" Target="../media/image8.jpg"/><Relationship Id="rId9" Type="http://schemas.openxmlformats.org/officeDocument/2006/relationships/image" Target="../media/image5.jpg"/><Relationship Id="rId5" Type="http://schemas.openxmlformats.org/officeDocument/2006/relationships/chart" Target="../charts/chart15.xml"/><Relationship Id="rId6" Type="http://schemas.openxmlformats.org/officeDocument/2006/relationships/chart" Target="../charts/chart16.xml"/><Relationship Id="rId7" Type="http://schemas.openxmlformats.org/officeDocument/2006/relationships/image" Target="../media/image3.jpg"/><Relationship Id="rId8" Type="http://schemas.openxmlformats.org/officeDocument/2006/relationships/image" Target="../media/image7.jpg"/></Relationships>
</file>

<file path=xl/drawings/_rels/drawing23.xml.rels><?xml version="1.0" encoding="UTF-8" standalone="yes"?><Relationships xmlns="http://schemas.openxmlformats.org/package/2006/relationships"><Relationship Id="rId1" Type="http://schemas.openxmlformats.org/officeDocument/2006/relationships/chart" Target="../charts/chart17.xml"/><Relationship Id="rId2" Type="http://schemas.openxmlformats.org/officeDocument/2006/relationships/chart" Target="../charts/chart18.xml"/><Relationship Id="rId3" Type="http://schemas.openxmlformats.org/officeDocument/2006/relationships/chart" Target="../charts/chart19.xml"/><Relationship Id="rId4" Type="http://schemas.openxmlformats.org/officeDocument/2006/relationships/chart" Target="../charts/chart20.xml"/><Relationship Id="rId5" Type="http://schemas.openxmlformats.org/officeDocument/2006/relationships/chart" Target="../charts/chart21.xml"/><Relationship Id="rId6"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57150</xdr:colOff>
      <xdr:row>5</xdr:row>
      <xdr:rowOff>38100</xdr:rowOff>
    </xdr:from>
    <xdr:ext cx="2876550" cy="200025"/>
    <xdr:sp>
      <xdr:nvSpPr>
        <xdr:cNvPr id="3" name="Shape 3"/>
        <xdr:cNvSpPr/>
      </xdr:nvSpPr>
      <xdr:spPr>
        <a:xfrm flipH="1" rot="10800000">
          <a:off x="3912488" y="3684750"/>
          <a:ext cx="2867025" cy="190500"/>
        </a:xfrm>
        <a:custGeom>
          <a:rect b="b" l="l" r="r" t="t"/>
          <a:pathLst>
            <a:path extrusionOk="0" h="21600" w="21600">
              <a:moveTo>
                <a:pt x="0" y="0"/>
              </a:moveTo>
              <a:lnTo>
                <a:pt x="21600" y="21600"/>
              </a:lnTo>
            </a:path>
          </a:pathLst>
        </a:custGeom>
        <a:noFill/>
        <a:ln cap="flat" cmpd="sng" w="9525">
          <a:solidFill>
            <a:srgbClr val="0070C0"/>
          </a:solidFill>
          <a:prstDash val="solid"/>
          <a:miter lim="8000"/>
          <a:headEnd len="sm" w="sm" type="none"/>
          <a:tailEnd len="med" w="med" type="stealth"/>
        </a:ln>
      </xdr:spPr>
    </xdr:sp>
    <xdr:clientData fLocksWithSheet="0"/>
  </xdr:oneCellAnchor>
  <xdr:oneCellAnchor>
    <xdr:from>
      <xdr:col>7</xdr:col>
      <xdr:colOff>285750</xdr:colOff>
      <xdr:row>5</xdr:row>
      <xdr:rowOff>0</xdr:rowOff>
    </xdr:from>
    <xdr:ext cx="247650" cy="171450"/>
    <xdr:sp>
      <xdr:nvSpPr>
        <xdr:cNvPr id="4" name="Shape 4"/>
        <xdr:cNvSpPr/>
      </xdr:nvSpPr>
      <xdr:spPr>
        <a:xfrm flipH="1" rot="10800000">
          <a:off x="5226938" y="3699038"/>
          <a:ext cx="238125" cy="161925"/>
        </a:xfrm>
        <a:custGeom>
          <a:rect b="b" l="l" r="r" t="t"/>
          <a:pathLst>
            <a:path extrusionOk="0" h="21600" w="21600">
              <a:moveTo>
                <a:pt x="0" y="0"/>
              </a:moveTo>
              <a:lnTo>
                <a:pt x="21600" y="21600"/>
              </a:lnTo>
            </a:path>
          </a:pathLst>
        </a:custGeom>
        <a:noFill/>
        <a:ln cap="flat" cmpd="sng" w="9525">
          <a:solidFill>
            <a:srgbClr val="C00000"/>
          </a:solidFill>
          <a:prstDash val="solid"/>
          <a:miter lim="8000"/>
          <a:headEnd len="sm" w="sm" type="none"/>
          <a:tailEnd len="med" w="med" type="stealth"/>
        </a:ln>
      </xdr:spPr>
    </xdr:sp>
    <xdr:clientData fLocksWithSheet="0"/>
  </xdr:oneCellAnchor>
  <xdr:oneCellAnchor>
    <xdr:from>
      <xdr:col>7</xdr:col>
      <xdr:colOff>704850</xdr:colOff>
      <xdr:row>5</xdr:row>
      <xdr:rowOff>19050</xdr:rowOff>
    </xdr:from>
    <xdr:ext cx="885825" cy="219075"/>
    <xdr:sp>
      <xdr:nvSpPr>
        <xdr:cNvPr id="5" name="Shape 5"/>
        <xdr:cNvSpPr/>
      </xdr:nvSpPr>
      <xdr:spPr>
        <a:xfrm rot="10800000">
          <a:off x="4907850" y="3675225"/>
          <a:ext cx="876300" cy="209550"/>
        </a:xfrm>
        <a:custGeom>
          <a:rect b="b" l="l" r="r" t="t"/>
          <a:pathLst>
            <a:path extrusionOk="0" h="21600" w="21600">
              <a:moveTo>
                <a:pt x="0" y="0"/>
              </a:moveTo>
              <a:lnTo>
                <a:pt x="21600" y="21600"/>
              </a:lnTo>
            </a:path>
          </a:pathLst>
        </a:custGeom>
        <a:noFill/>
        <a:ln cap="flat" cmpd="sng" w="9525">
          <a:solidFill>
            <a:srgbClr val="00B050"/>
          </a:solidFill>
          <a:prstDash val="solid"/>
          <a:miter lim="8000"/>
          <a:headEnd len="sm" w="sm" type="none"/>
          <a:tailEnd len="med" w="med" type="stealth"/>
        </a:ln>
      </xdr:spPr>
    </xdr:sp>
    <xdr:clientData fLocksWithSheet="0"/>
  </xdr:oneCellAnchor>
  <xdr:oneCellAnchor>
    <xdr:from>
      <xdr:col>5</xdr:col>
      <xdr:colOff>38100</xdr:colOff>
      <xdr:row>47</xdr:row>
      <xdr:rowOff>123825</xdr:rowOff>
    </xdr:from>
    <xdr:ext cx="1438275" cy="38100"/>
    <xdr:sp>
      <xdr:nvSpPr>
        <xdr:cNvPr id="6" name="Shape 6"/>
        <xdr:cNvSpPr/>
      </xdr:nvSpPr>
      <xdr:spPr>
        <a:xfrm>
          <a:off x="4626863" y="3780000"/>
          <a:ext cx="1438275" cy="0"/>
        </a:xfrm>
        <a:custGeom>
          <a:rect b="b" l="l" r="r" t="t"/>
          <a:pathLst>
            <a:path extrusionOk="0" h="21600" w="21600">
              <a:moveTo>
                <a:pt x="0" y="0"/>
              </a:moveTo>
              <a:lnTo>
                <a:pt x="21600" y="0"/>
              </a:lnTo>
            </a:path>
          </a:pathLst>
        </a:custGeom>
        <a:noFill/>
        <a:ln>
          <a:noFill/>
        </a:ln>
      </xdr:spPr>
    </xdr:sp>
    <xdr:clientData fLocksWithSheet="0"/>
  </xdr:oneCellAnchor>
  <xdr:oneCellAnchor>
    <xdr:from>
      <xdr:col>9</xdr:col>
      <xdr:colOff>180975</xdr:colOff>
      <xdr:row>33</xdr:row>
      <xdr:rowOff>114300</xdr:rowOff>
    </xdr:from>
    <xdr:ext cx="514350" cy="161925"/>
    <xdr:sp>
      <xdr:nvSpPr>
        <xdr:cNvPr id="7" name="Shape 7"/>
        <xdr:cNvSpPr/>
      </xdr:nvSpPr>
      <xdr:spPr>
        <a:xfrm>
          <a:off x="5093588" y="3708563"/>
          <a:ext cx="504825" cy="142875"/>
        </a:xfrm>
        <a:custGeom>
          <a:rect b="b" l="l" r="r" t="t"/>
          <a:pathLst>
            <a:path extrusionOk="0" h="21600" w="21600">
              <a:moveTo>
                <a:pt x="0" y="0"/>
              </a:moveTo>
              <a:lnTo>
                <a:pt x="21600" y="21600"/>
              </a:lnTo>
            </a:path>
          </a:pathLst>
        </a:custGeom>
        <a:noFill/>
        <a:ln cap="flat" cmpd="sng" w="12600">
          <a:solidFill>
            <a:srgbClr val="FFFFFF"/>
          </a:solidFill>
          <a:prstDash val="solid"/>
          <a:round/>
          <a:headEnd len="sm" w="sm" type="none"/>
          <a:tailEnd len="med" w="med" type="triangle"/>
        </a:ln>
      </xdr:spPr>
    </xdr:sp>
    <xdr:clientData fLocksWithSheet="0"/>
  </xdr:oneCellAnchor>
  <xdr:oneCellAnchor>
    <xdr:from>
      <xdr:col>3</xdr:col>
      <xdr:colOff>0</xdr:colOff>
      <xdr:row>38</xdr:row>
      <xdr:rowOff>76200</xdr:rowOff>
    </xdr:from>
    <xdr:ext cx="552450" cy="57150"/>
    <xdr:sp>
      <xdr:nvSpPr>
        <xdr:cNvPr id="8" name="Shape 8"/>
        <xdr:cNvSpPr/>
      </xdr:nvSpPr>
      <xdr:spPr>
        <a:xfrm rot="10800000">
          <a:off x="5074538" y="3756188"/>
          <a:ext cx="542925" cy="47625"/>
        </a:xfrm>
        <a:custGeom>
          <a:rect b="b" l="l" r="r" t="t"/>
          <a:pathLst>
            <a:path extrusionOk="0" h="21600" w="21600">
              <a:moveTo>
                <a:pt x="0" y="0"/>
              </a:moveTo>
              <a:lnTo>
                <a:pt x="21600" y="21600"/>
              </a:lnTo>
            </a:path>
          </a:pathLst>
        </a:custGeom>
        <a:noFill/>
        <a:ln cap="flat" cmpd="sng" w="12600">
          <a:solidFill>
            <a:srgbClr val="FFFFFF"/>
          </a:solidFill>
          <a:prstDash val="solid"/>
          <a:round/>
          <a:headEnd len="sm" w="sm" type="none"/>
          <a:tailEnd len="med" w="med" type="triangle"/>
        </a:ln>
      </xdr:spPr>
    </xdr:sp>
    <xdr:clientData fLocksWithSheet="0"/>
  </xdr:oneCellAnchor>
  <xdr:oneCellAnchor>
    <xdr:from>
      <xdr:col>3</xdr:col>
      <xdr:colOff>542925</xdr:colOff>
      <xdr:row>37</xdr:row>
      <xdr:rowOff>161925</xdr:rowOff>
    </xdr:from>
    <xdr:ext cx="4514850" cy="314325"/>
    <xdr:sp>
      <xdr:nvSpPr>
        <xdr:cNvPr id="9" name="Shape 9"/>
        <xdr:cNvSpPr/>
      </xdr:nvSpPr>
      <xdr:spPr>
        <a:xfrm>
          <a:off x="3102863" y="3637125"/>
          <a:ext cx="4486275" cy="285750"/>
        </a:xfrm>
        <a:prstGeom prst="rect">
          <a:avLst/>
        </a:prstGeom>
        <a:solidFill>
          <a:srgbClr val="FFFFFF"/>
        </a:solidFill>
        <a:ln cap="flat" cmpd="sng" w="28425">
          <a:solidFill>
            <a:srgbClr val="FFFF00"/>
          </a:solidFill>
          <a:prstDash val="solid"/>
          <a:round/>
          <a:headEnd len="sm" w="sm" type="none"/>
          <a:tailEnd len="sm" w="sm" type="none"/>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i="1" lang="en-US" sz="1100" strike="noStrike">
              <a:solidFill>
                <a:srgbClr val="404040"/>
              </a:solidFill>
              <a:latin typeface="Calibri"/>
              <a:ea typeface="Calibri"/>
              <a:cs typeface="Calibri"/>
              <a:sym typeface="Calibri"/>
            </a:rPr>
            <a:t>You can fold/unfold the subsections by clicking on the -/+ in the left margin.</a:t>
          </a:r>
          <a:endParaRPr b="0" sz="1100" strike="noStrike">
            <a:latin typeface="Calibri"/>
            <a:ea typeface="Calibri"/>
            <a:cs typeface="Calibri"/>
            <a:sym typeface="Calibri"/>
          </a:endParaRPr>
        </a:p>
      </xdr:txBody>
    </xdr:sp>
    <xdr:clientData fLocksWithSheet="0"/>
  </xdr:oneCellAnchor>
  <xdr:oneCellAnchor>
    <xdr:from>
      <xdr:col>5</xdr:col>
      <xdr:colOff>819150</xdr:colOff>
      <xdr:row>32</xdr:row>
      <xdr:rowOff>57150</xdr:rowOff>
    </xdr:from>
    <xdr:ext cx="3333750" cy="485775"/>
    <xdr:sp>
      <xdr:nvSpPr>
        <xdr:cNvPr id="10" name="Shape 10"/>
        <xdr:cNvSpPr/>
      </xdr:nvSpPr>
      <xdr:spPr>
        <a:xfrm>
          <a:off x="3693413" y="3551400"/>
          <a:ext cx="3305175" cy="457200"/>
        </a:xfrm>
        <a:prstGeom prst="rect">
          <a:avLst/>
        </a:prstGeom>
        <a:solidFill>
          <a:srgbClr val="FFFFFF"/>
        </a:solidFill>
        <a:ln cap="flat" cmpd="sng" w="28425">
          <a:solidFill>
            <a:srgbClr val="FFFF00"/>
          </a:solidFill>
          <a:prstDash val="solid"/>
          <a:round/>
          <a:headEnd len="sm" w="sm" type="none"/>
          <a:tailEnd len="sm" w="sm" type="none"/>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i="1" lang="en-US" sz="1100" strike="noStrike">
              <a:solidFill>
                <a:srgbClr val="404040"/>
              </a:solidFill>
              <a:latin typeface="Calibri"/>
              <a:ea typeface="Calibri"/>
              <a:cs typeface="Calibri"/>
              <a:sym typeface="Calibri"/>
            </a:rPr>
            <a:t>You can fold/unfold the columns of the historical years by clicking on the -/+ in the upper margin.</a:t>
          </a:r>
          <a:endParaRPr b="0" sz="1100" strike="noStrike">
            <a:latin typeface="Calibri"/>
            <a:ea typeface="Calibri"/>
            <a:cs typeface="Calibri"/>
            <a:sym typeface="Calibri"/>
          </a:endParaRPr>
        </a:p>
      </xdr:txBody>
    </xdr:sp>
    <xdr:clientData fLocksWithSheet="0"/>
  </xdr:oneCellAnchor>
  <xdr:oneCellAnchor>
    <xdr:from>
      <xdr:col>10</xdr:col>
      <xdr:colOff>9525</xdr:colOff>
      <xdr:row>33</xdr:row>
      <xdr:rowOff>142875</xdr:rowOff>
    </xdr:from>
    <xdr:ext cx="12153900" cy="2381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47625</xdr:colOff>
      <xdr:row>35</xdr:row>
      <xdr:rowOff>104775</xdr:rowOff>
    </xdr:from>
    <xdr:ext cx="400050" cy="120967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657225</xdr:colOff>
      <xdr:row>8</xdr:row>
      <xdr:rowOff>38100</xdr:rowOff>
    </xdr:from>
    <xdr:ext cx="4953000" cy="2686050"/>
    <xdr:graphicFrame>
      <xdr:nvGraphicFramePr>
        <xdr:cNvPr id="1096224223"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219075</xdr:colOff>
      <xdr:row>1</xdr:row>
      <xdr:rowOff>9525</xdr:rowOff>
    </xdr:from>
    <xdr:ext cx="7658100" cy="4743450"/>
    <xdr:graphicFrame>
      <xdr:nvGraphicFramePr>
        <xdr:cNvPr id="1939750751" name="Chart 2"/>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323850</xdr:colOff>
      <xdr:row>1</xdr:row>
      <xdr:rowOff>9525</xdr:rowOff>
    </xdr:from>
    <xdr:ext cx="7658100" cy="4743450"/>
    <xdr:graphicFrame>
      <xdr:nvGraphicFramePr>
        <xdr:cNvPr id="149470703" name="Chart 3"/>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657225</xdr:colOff>
      <xdr:row>7</xdr:row>
      <xdr:rowOff>142875</xdr:rowOff>
    </xdr:from>
    <xdr:ext cx="4229100" cy="2647950"/>
    <xdr:graphicFrame>
      <xdr:nvGraphicFramePr>
        <xdr:cNvPr id="1828505597" name="Chart 4"/>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219075</xdr:colOff>
      <xdr:row>1</xdr:row>
      <xdr:rowOff>9525</xdr:rowOff>
    </xdr:from>
    <xdr:ext cx="7658100" cy="4743450"/>
    <xdr:graphicFrame>
      <xdr:nvGraphicFramePr>
        <xdr:cNvPr id="420962683" name="Chart 5"/>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323850</xdr:colOff>
      <xdr:row>1</xdr:row>
      <xdr:rowOff>9525</xdr:rowOff>
    </xdr:from>
    <xdr:ext cx="7658100" cy="4743450"/>
    <xdr:graphicFrame>
      <xdr:nvGraphicFramePr>
        <xdr:cNvPr id="1537684418" name="Chart 6"/>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238125</xdr:colOff>
      <xdr:row>320</xdr:row>
      <xdr:rowOff>133350</xdr:rowOff>
    </xdr:from>
    <xdr:ext cx="4495800" cy="2676525"/>
    <xdr:graphicFrame>
      <xdr:nvGraphicFramePr>
        <xdr:cNvPr id="1635910078" name="Chart 7"/>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638175</xdr:colOff>
      <xdr:row>315</xdr:row>
      <xdr:rowOff>28575</xdr:rowOff>
    </xdr:from>
    <xdr:ext cx="752475" cy="6000750"/>
    <xdr:sp>
      <xdr:nvSpPr>
        <xdr:cNvPr id="11" name="Shape 11"/>
        <xdr:cNvSpPr/>
      </xdr:nvSpPr>
      <xdr:spPr>
        <a:xfrm>
          <a:off x="4974525" y="784388"/>
          <a:ext cx="742950" cy="5991225"/>
        </a:xfrm>
        <a:prstGeom prst="rect">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266700</xdr:colOff>
      <xdr:row>5</xdr:row>
      <xdr:rowOff>123825</xdr:rowOff>
    </xdr:from>
    <xdr:ext cx="4229100" cy="2171700"/>
    <xdr:graphicFrame>
      <xdr:nvGraphicFramePr>
        <xdr:cNvPr id="1369877090" name="Chart 8"/>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1</xdr:row>
      <xdr:rowOff>19050</xdr:rowOff>
    </xdr:from>
    <xdr:ext cx="7658100" cy="4743450"/>
    <xdr:graphicFrame>
      <xdr:nvGraphicFramePr>
        <xdr:cNvPr id="1546564508" name="Chart 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323850</xdr:colOff>
      <xdr:row>1</xdr:row>
      <xdr:rowOff>9525</xdr:rowOff>
    </xdr:from>
    <xdr:ext cx="7658100" cy="4743450"/>
    <xdr:graphicFrame>
      <xdr:nvGraphicFramePr>
        <xdr:cNvPr id="20465015" name="Chart 10"/>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46</xdr:col>
      <xdr:colOff>95250</xdr:colOff>
      <xdr:row>41</xdr:row>
      <xdr:rowOff>152400</xdr:rowOff>
    </xdr:from>
    <xdr:ext cx="12839700" cy="8162925"/>
    <xdr:graphicFrame>
      <xdr:nvGraphicFramePr>
        <xdr:cNvPr id="1148537136" name="Chart 1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33</xdr:col>
      <xdr:colOff>76200</xdr:colOff>
      <xdr:row>41</xdr:row>
      <xdr:rowOff>180975</xdr:rowOff>
    </xdr:from>
    <xdr:ext cx="13287375" cy="8134350"/>
    <xdr:graphicFrame>
      <xdr:nvGraphicFramePr>
        <xdr:cNvPr id="899514641" name="Chart 12"/>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190500</xdr:colOff>
      <xdr:row>42</xdr:row>
      <xdr:rowOff>161925</xdr:rowOff>
    </xdr:from>
    <xdr:ext cx="8467725" cy="3743325"/>
    <xdr:graphicFrame>
      <xdr:nvGraphicFramePr>
        <xdr:cNvPr id="133986696" name="Chart 13"/>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190500</xdr:colOff>
      <xdr:row>64</xdr:row>
      <xdr:rowOff>66675</xdr:rowOff>
    </xdr:from>
    <xdr:ext cx="8448675" cy="3619500"/>
    <xdr:graphicFrame>
      <xdr:nvGraphicFramePr>
        <xdr:cNvPr id="109999055" name="Chart 14"/>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200025</xdr:colOff>
      <xdr:row>88</xdr:row>
      <xdr:rowOff>114300</xdr:rowOff>
    </xdr:from>
    <xdr:ext cx="8448675" cy="3000375"/>
    <xdr:graphicFrame>
      <xdr:nvGraphicFramePr>
        <xdr:cNvPr id="1336771744" name="Chart 15"/>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14</xdr:col>
      <xdr:colOff>333375</xdr:colOff>
      <xdr:row>158</xdr:row>
      <xdr:rowOff>104775</xdr:rowOff>
    </xdr:from>
    <xdr:ext cx="4581525" cy="2600325"/>
    <xdr:graphicFrame>
      <xdr:nvGraphicFramePr>
        <xdr:cNvPr id="1459700888" name="Chart 16"/>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15</xdr:col>
      <xdr:colOff>2200275</xdr:colOff>
      <xdr:row>11</xdr:row>
      <xdr:rowOff>104775</xdr:rowOff>
    </xdr:from>
    <xdr:ext cx="1590675" cy="1581150"/>
    <xdr:sp>
      <xdr:nvSpPr>
        <xdr:cNvPr id="12" name="Shape 12"/>
        <xdr:cNvSpPr/>
      </xdr:nvSpPr>
      <xdr:spPr>
        <a:xfrm>
          <a:off x="4555425" y="2994188"/>
          <a:ext cx="1581150" cy="1571625"/>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lang="en-US" sz="1100" strike="noStrike">
              <a:solidFill>
                <a:srgbClr val="000000"/>
              </a:solidFill>
              <a:latin typeface="Calibri"/>
              <a:ea typeface="Calibri"/>
              <a:cs typeface="Calibri"/>
              <a:sym typeface="Calibri"/>
            </a:rPr>
            <a:t>1. General information</a:t>
          </a:r>
          <a:endParaRPr b="0" sz="1100" strike="noStrike">
            <a:latin typeface="Calibri"/>
            <a:ea typeface="Calibri"/>
            <a:cs typeface="Calibri"/>
            <a:sym typeface="Calibri"/>
          </a:endParaRPr>
        </a:p>
        <a:p>
          <a:pPr indent="0" lvl="0" marL="0" rtl="0" algn="l">
            <a:lnSpc>
              <a:spcPct val="100000"/>
            </a:lnSpc>
            <a:spcBef>
              <a:spcPts val="0"/>
            </a:spcBef>
            <a:spcAft>
              <a:spcPts val="0"/>
            </a:spcAft>
            <a:buNone/>
          </a:pPr>
          <a:r>
            <a:rPr b="0" lang="en-US" sz="1100" strike="noStrike">
              <a:solidFill>
                <a:srgbClr val="000000"/>
              </a:solidFill>
              <a:latin typeface="Calibri"/>
              <a:ea typeface="Calibri"/>
              <a:cs typeface="Calibri"/>
              <a:sym typeface="Calibri"/>
            </a:rPr>
            <a:t>2. Parameters &amp; assumptions</a:t>
          </a:r>
          <a:endParaRPr b="0" sz="1100" strike="noStrike">
            <a:latin typeface="Calibri"/>
            <a:ea typeface="Calibri"/>
            <a:cs typeface="Calibri"/>
            <a:sym typeface="Calibri"/>
          </a:endParaRPr>
        </a:p>
        <a:p>
          <a:pPr indent="0" lvl="0" marL="0" rtl="0" algn="l">
            <a:lnSpc>
              <a:spcPct val="100000"/>
            </a:lnSpc>
            <a:spcBef>
              <a:spcPts val="0"/>
            </a:spcBef>
            <a:spcAft>
              <a:spcPts val="0"/>
            </a:spcAft>
            <a:buNone/>
          </a:pPr>
          <a:r>
            <a:rPr b="0" lang="en-US" sz="1100" strike="noStrike">
              <a:solidFill>
                <a:srgbClr val="000000"/>
              </a:solidFill>
              <a:latin typeface="Calibri"/>
              <a:ea typeface="Calibri"/>
              <a:cs typeface="Calibri"/>
              <a:sym typeface="Calibri"/>
            </a:rPr>
            <a:t>3. Calculations</a:t>
          </a:r>
          <a:endParaRPr b="0" sz="1100" strike="noStrike">
            <a:latin typeface="Calibri"/>
            <a:ea typeface="Calibri"/>
            <a:cs typeface="Calibri"/>
            <a:sym typeface="Calibri"/>
          </a:endParaRPr>
        </a:p>
        <a:p>
          <a:pPr indent="0" lvl="0" marL="0" rtl="0" algn="l">
            <a:lnSpc>
              <a:spcPct val="100000"/>
            </a:lnSpc>
            <a:spcBef>
              <a:spcPts val="0"/>
            </a:spcBef>
            <a:spcAft>
              <a:spcPts val="0"/>
            </a:spcAft>
            <a:buNone/>
          </a:pPr>
          <a:r>
            <a:rPr b="0" lang="en-US" sz="1100" strike="noStrike">
              <a:solidFill>
                <a:srgbClr val="000000"/>
              </a:solidFill>
              <a:latin typeface="Calibri"/>
              <a:ea typeface="Calibri"/>
              <a:cs typeface="Calibri"/>
              <a:sym typeface="Calibri"/>
            </a:rPr>
            <a:t>4. Results </a:t>
          </a:r>
          <a:endParaRPr b="0" sz="1100" strike="noStrike">
            <a:latin typeface="Calibri"/>
            <a:ea typeface="Calibri"/>
            <a:cs typeface="Calibri"/>
            <a:sym typeface="Calibri"/>
          </a:endParaRPr>
        </a:p>
        <a:p>
          <a:pPr indent="0" lvl="0" marL="0" rtl="0" algn="l">
            <a:lnSpc>
              <a:spcPct val="100000"/>
            </a:lnSpc>
            <a:spcBef>
              <a:spcPts val="0"/>
            </a:spcBef>
            <a:spcAft>
              <a:spcPts val="0"/>
            </a:spcAft>
            <a:buNone/>
          </a:pPr>
          <a:r>
            <a:rPr b="0" lang="en-US" sz="1100" strike="noStrike">
              <a:solidFill>
                <a:srgbClr val="000000"/>
              </a:solidFill>
              <a:latin typeface="Calibri"/>
              <a:ea typeface="Calibri"/>
              <a:cs typeface="Calibri"/>
              <a:sym typeface="Calibri"/>
            </a:rPr>
            <a:t>5. Results for graphic</a:t>
          </a:r>
          <a:endParaRPr b="0" sz="1100" strike="noStrike">
            <a:latin typeface="Calibri"/>
            <a:ea typeface="Calibri"/>
            <a:cs typeface="Calibri"/>
            <a:sym typeface="Calibri"/>
          </a:endParaRPr>
        </a:p>
        <a:p>
          <a:pPr indent="0" lvl="0" marL="0" rtl="0" algn="l">
            <a:lnSpc>
              <a:spcPct val="100000"/>
            </a:lnSpc>
            <a:spcBef>
              <a:spcPts val="0"/>
            </a:spcBef>
            <a:spcAft>
              <a:spcPts val="0"/>
            </a:spcAft>
            <a:buNone/>
          </a:pPr>
          <a:r>
            <a:rPr b="0" lang="en-US" sz="1100" strike="noStrike">
              <a:solidFill>
                <a:srgbClr val="000000"/>
              </a:solidFill>
              <a:latin typeface="Calibri"/>
              <a:ea typeface="Calibri"/>
              <a:cs typeface="Calibri"/>
              <a:sym typeface="Calibri"/>
            </a:rPr>
            <a:t>6. Results for export</a:t>
          </a:r>
          <a:endParaRPr b="0" sz="1100" strike="noStrike">
            <a:latin typeface="Calibri"/>
            <a:ea typeface="Calibri"/>
            <a:cs typeface="Calibri"/>
            <a:sym typeface="Calibri"/>
          </a:endParaRPr>
        </a:p>
      </xdr:txBody>
    </xdr:sp>
    <xdr:clientData fLocksWithSheet="0"/>
  </xdr:oneCellAnchor>
  <xdr:oneCellAnchor>
    <xdr:from>
      <xdr:col>10</xdr:col>
      <xdr:colOff>161925</xdr:colOff>
      <xdr:row>31</xdr:row>
      <xdr:rowOff>85725</xdr:rowOff>
    </xdr:from>
    <xdr:ext cx="2800350" cy="533400"/>
    <xdr:sp>
      <xdr:nvSpPr>
        <xdr:cNvPr id="13" name="Shape 13"/>
        <xdr:cNvSpPr/>
      </xdr:nvSpPr>
      <xdr:spPr>
        <a:xfrm>
          <a:off x="3950588" y="3518063"/>
          <a:ext cx="2790825" cy="523875"/>
        </a:xfrm>
        <a:prstGeom prst="roundRect">
          <a:avLst>
            <a:gd fmla="val 16667" name="adj"/>
          </a:avLst>
        </a:prstGeom>
        <a:solidFill>
          <a:srgbClr val="EAE6E6"/>
        </a:solidFill>
        <a:ln cap="flat" cmpd="sng" w="12700">
          <a:solidFill>
            <a:srgbClr val="5B9BD5"/>
          </a:solidFill>
          <a:prstDash val="solid"/>
          <a:miter lim="8000"/>
          <a:headEnd len="sm" w="sm" type="none"/>
          <a:tailEnd len="sm" w="sm" type="none"/>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0" i="1" lang="en-US" sz="900" strike="noStrike">
              <a:solidFill>
                <a:srgbClr val="5B9BD5"/>
              </a:solidFill>
              <a:latin typeface="Calibri"/>
              <a:ea typeface="Calibri"/>
              <a:cs typeface="Calibri"/>
              <a:sym typeface="Calibri"/>
            </a:rPr>
            <a:t>2019 calculation for trajectories building.</a:t>
          </a:r>
          <a:endParaRPr b="0" sz="900" strike="noStrike">
            <a:latin typeface="Calibri"/>
            <a:ea typeface="Calibri"/>
            <a:cs typeface="Calibri"/>
            <a:sym typeface="Calibri"/>
          </a:endParaRPr>
        </a:p>
        <a:p>
          <a:pPr indent="0" lvl="0" marL="0" rtl="0" algn="l">
            <a:lnSpc>
              <a:spcPct val="100000"/>
            </a:lnSpc>
            <a:spcBef>
              <a:spcPts val="0"/>
            </a:spcBef>
            <a:spcAft>
              <a:spcPts val="0"/>
            </a:spcAft>
            <a:buNone/>
          </a:pPr>
          <a:r>
            <a:rPr b="0" i="1" lang="en-US" sz="900" strike="noStrike">
              <a:solidFill>
                <a:srgbClr val="5B9BD5"/>
              </a:solidFill>
              <a:latin typeface="Calibri"/>
              <a:ea typeface="Calibri"/>
              <a:cs typeface="Calibri"/>
              <a:sym typeface="Calibri"/>
            </a:rPr>
            <a:t>Partners are invited to modify them if they have access to 2019 national data.</a:t>
          </a:r>
          <a:endParaRPr b="0" sz="900" strike="noStrike">
            <a:latin typeface="Calibri"/>
            <a:ea typeface="Calibri"/>
            <a:cs typeface="Calibri"/>
            <a:sym typeface="Calibri"/>
          </a:endParaRPr>
        </a:p>
      </xdr:txBody>
    </xdr:sp>
    <xdr:clientData fLocksWithSheet="0"/>
  </xdr:oneCellAnchor>
  <xdr:oneCellAnchor>
    <xdr:from>
      <xdr:col>8</xdr:col>
      <xdr:colOff>266700</xdr:colOff>
      <xdr:row>32</xdr:row>
      <xdr:rowOff>152400</xdr:rowOff>
    </xdr:from>
    <xdr:ext cx="781050" cy="590550"/>
    <xdr:sp>
      <xdr:nvSpPr>
        <xdr:cNvPr id="14" name="Shape 14"/>
        <xdr:cNvSpPr/>
      </xdr:nvSpPr>
      <xdr:spPr>
        <a:xfrm rot="10800000">
          <a:off x="4965000" y="3489488"/>
          <a:ext cx="762000" cy="581025"/>
        </a:xfrm>
        <a:prstGeom prst="bentUpArrow">
          <a:avLst>
            <a:gd fmla="val 10882" name="adj1"/>
            <a:gd fmla="val 14411" name="adj2"/>
            <a:gd fmla="val 23824" name="adj3"/>
          </a:avLst>
        </a:prstGeom>
        <a:solidFill>
          <a:srgbClr val="E7E4E4"/>
        </a:solidFill>
        <a:ln cap="flat" cmpd="sng" w="12700">
          <a:solidFill>
            <a:srgbClr val="5B9BD5"/>
          </a:solidFill>
          <a:prstDash val="solid"/>
          <a:miter lim="8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371475</xdr:colOff>
      <xdr:row>20</xdr:row>
      <xdr:rowOff>152400</xdr:rowOff>
    </xdr:from>
    <xdr:ext cx="4914900" cy="2286000"/>
    <xdr:sp>
      <xdr:nvSpPr>
        <xdr:cNvPr id="15" name="Shape 15"/>
        <xdr:cNvSpPr/>
      </xdr:nvSpPr>
      <xdr:spPr>
        <a:xfrm>
          <a:off x="2893313" y="2641763"/>
          <a:ext cx="4905375" cy="2276475"/>
        </a:xfrm>
        <a:prstGeom prst="rect">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11</xdr:row>
      <xdr:rowOff>28575</xdr:rowOff>
    </xdr:from>
    <xdr:ext cx="5429250" cy="1704975"/>
    <xdr:pic>
      <xdr:nvPicPr>
        <xdr:cNvPr id="0" name="image3.jp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600075</xdr:colOff>
      <xdr:row>11</xdr:row>
      <xdr:rowOff>28575</xdr:rowOff>
    </xdr:from>
    <xdr:ext cx="4352925" cy="1704975"/>
    <xdr:pic>
      <xdr:nvPicPr>
        <xdr:cNvPr id="0" name="image7.jpg"/>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76200</xdr:colOff>
      <xdr:row>11</xdr:row>
      <xdr:rowOff>66675</xdr:rowOff>
    </xdr:from>
    <xdr:ext cx="1885950" cy="1504950"/>
    <xdr:pic>
      <xdr:nvPicPr>
        <xdr:cNvPr id="0" name="image5.jpg"/>
        <xdr:cNvPicPr preferRelativeResize="0"/>
      </xdr:nvPicPr>
      <xdr:blipFill>
        <a:blip cstate="print" r:embed="rId9"/>
        <a:stretch>
          <a:fillRect/>
        </a:stretch>
      </xdr:blipFill>
      <xdr:spPr>
        <a:prstGeom prst="rect">
          <a:avLst/>
        </a:prstGeom>
        <a:noFill/>
      </xdr:spPr>
    </xdr:pic>
    <xdr:clientData fLocksWithSheet="0"/>
  </xdr:oneCellAnchor>
  <xdr:oneCellAnchor>
    <xdr:from>
      <xdr:col>28</xdr:col>
      <xdr:colOff>85725</xdr:colOff>
      <xdr:row>25</xdr:row>
      <xdr:rowOff>9525</xdr:rowOff>
    </xdr:from>
    <xdr:ext cx="466725" cy="523875"/>
    <xdr:pic>
      <xdr:nvPicPr>
        <xdr:cNvPr id="0" name="image4.jpg"/>
        <xdr:cNvPicPr preferRelativeResize="0"/>
      </xdr:nvPicPr>
      <xdr:blipFill>
        <a:blip cstate="print" r:embed="rId10"/>
        <a:stretch>
          <a:fillRect/>
        </a:stretch>
      </xdr:blipFill>
      <xdr:spPr>
        <a:prstGeom prst="rect">
          <a:avLst/>
        </a:prstGeom>
        <a:noFill/>
      </xdr:spPr>
    </xdr:pic>
    <xdr:clientData fLocksWithSheet="0"/>
  </xdr:oneCellAnchor>
  <xdr:oneCellAnchor>
    <xdr:from>
      <xdr:col>28</xdr:col>
      <xdr:colOff>104775</xdr:colOff>
      <xdr:row>0</xdr:row>
      <xdr:rowOff>0</xdr:rowOff>
    </xdr:from>
    <xdr:ext cx="466725" cy="523875"/>
    <xdr:pic>
      <xdr:nvPicPr>
        <xdr:cNvPr id="0" name="image6.jpg"/>
        <xdr:cNvPicPr preferRelativeResize="0"/>
      </xdr:nvPicPr>
      <xdr:blipFill>
        <a:blip cstate="print" r:embed="rId11"/>
        <a:stretch>
          <a:fillRect/>
        </a:stretch>
      </xdr:blipFill>
      <xdr:spPr>
        <a:prstGeom prst="rect">
          <a:avLst/>
        </a:prstGeom>
        <a:noFill/>
      </xdr:spPr>
    </xdr:pic>
    <xdr:clientData fLocksWithSheet="0"/>
  </xdr:oneCellAnchor>
  <xdr:oneCellAnchor>
    <xdr:from>
      <xdr:col>28</xdr:col>
      <xdr:colOff>200025</xdr:colOff>
      <xdr:row>108</xdr:row>
      <xdr:rowOff>47625</xdr:rowOff>
    </xdr:from>
    <xdr:ext cx="466725" cy="628650"/>
    <xdr:pic>
      <xdr:nvPicPr>
        <xdr:cNvPr id="0" name="image8.jp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297</xdr:row>
      <xdr:rowOff>0</xdr:rowOff>
    </xdr:from>
    <xdr:ext cx="6172200" cy="4371975"/>
    <xdr:graphicFrame>
      <xdr:nvGraphicFramePr>
        <xdr:cNvPr id="2065381171" name="Chart 17"/>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5886450</xdr:colOff>
      <xdr:row>322</xdr:row>
      <xdr:rowOff>9525</xdr:rowOff>
    </xdr:from>
    <xdr:ext cx="19469100" cy="4800600"/>
    <xdr:graphicFrame>
      <xdr:nvGraphicFramePr>
        <xdr:cNvPr id="794213081" name="Chart 18"/>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xdr:col>
      <xdr:colOff>9525</xdr:colOff>
      <xdr:row>321</xdr:row>
      <xdr:rowOff>161925</xdr:rowOff>
    </xdr:from>
    <xdr:ext cx="6200775" cy="4867275"/>
    <xdr:graphicFrame>
      <xdr:nvGraphicFramePr>
        <xdr:cNvPr id="345079045" name="Chart 19"/>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9525</xdr:colOff>
      <xdr:row>349</xdr:row>
      <xdr:rowOff>57150</xdr:rowOff>
    </xdr:from>
    <xdr:ext cx="6219825" cy="4867275"/>
    <xdr:graphicFrame>
      <xdr:nvGraphicFramePr>
        <xdr:cNvPr id="81164930" name="Chart 20"/>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5895975</xdr:colOff>
      <xdr:row>349</xdr:row>
      <xdr:rowOff>47625</xdr:rowOff>
    </xdr:from>
    <xdr:ext cx="19535775" cy="4848225"/>
    <xdr:graphicFrame>
      <xdr:nvGraphicFramePr>
        <xdr:cNvPr id="308933852" name="Chart 21"/>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5895975</xdr:colOff>
      <xdr:row>296</xdr:row>
      <xdr:rowOff>133350</xdr:rowOff>
    </xdr:from>
    <xdr:ext cx="20688300" cy="4448175"/>
    <xdr:graphicFrame>
      <xdr:nvGraphicFramePr>
        <xdr:cNvPr id="1461580763" name="Chart 22"/>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xdr:col>
      <xdr:colOff>66675</xdr:colOff>
      <xdr:row>262</xdr:row>
      <xdr:rowOff>66675</xdr:rowOff>
    </xdr:from>
    <xdr:ext cx="1276350" cy="3905250"/>
    <xdr:sp>
      <xdr:nvSpPr>
        <xdr:cNvPr id="16" name="Shape 16"/>
        <xdr:cNvSpPr/>
      </xdr:nvSpPr>
      <xdr:spPr>
        <a:xfrm>
          <a:off x="4712588" y="1832138"/>
          <a:ext cx="1266825" cy="3895725"/>
        </a:xfrm>
        <a:prstGeom prst="rect">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afterres2050.solagro.org/wp-content/uploads/2020/02/Afterres2050-eng.pdf"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www.caneurope.org/docman/energy-union-governance/3613-opportunities-and-gaps-in-final-necps/file" TargetMode="External"/><Relationship Id="rId2" Type="http://schemas.openxmlformats.org/officeDocument/2006/relationships/hyperlink" Target="http://www.caneurope.org/docman/energy-union-governance/3613-opportunities-and-gaps-in-final-necps/fi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3.xml"/><Relationship Id="rId3"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hyperlink" Target="https://www.engineeringtoolbox.com/fuels-higher-calorific-values-d_169.html" TargetMode="External"/><Relationship Id="rId2" Type="http://schemas.openxmlformats.org/officeDocument/2006/relationships/hyperlink" Target="https://www.engineeringtoolbox.com/fuels-higher-calorific-values-d_169.html"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ec.europa.eu/eurostat/web/circular-economy/indicators" TargetMode="External"/><Relationship Id="rId2" Type="http://schemas.openxmlformats.org/officeDocument/2006/relationships/hyperlink" Target="https://ec.europa.eu/eurostat/web/circular-economy/indicators" TargetMode="External"/><Relationship Id="rId3" Type="http://schemas.openxmlformats.org/officeDocument/2006/relationships/hyperlink" Target="https://ec.europa.eu/eurostat/web/circular-economy/indicators" TargetMode="External"/><Relationship Id="rId4" Type="http://schemas.openxmlformats.org/officeDocument/2006/relationships/hyperlink" Target="https://ec.europa.eu/eurostat/web/circular-economy/indicators" TargetMode="External"/><Relationship Id="rId5" Type="http://schemas.openxmlformats.org/officeDocument/2006/relationships/hyperlink" Target="https://ec.europa.eu/eurostat/web/circular-economy/indicators" TargetMode="External"/><Relationship Id="rId6" Type="http://schemas.openxmlformats.org/officeDocument/2006/relationships/hyperlink" Target="https://ec.europa.eu/eurostat/web/products-datasets/-/ten00130" TargetMode="External"/><Relationship Id="rId7"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8.xml"/><Relationship Id="rId3" Type="http://schemas.openxmlformats.org/officeDocument/2006/relationships/vmlDrawing" Target="../drawings/vmlDrawing2.vml"/></Relationships>
</file>

<file path=xl/worksheets/_rels/sheet19.xml.rels><?xml version="1.0" encoding="UTF-8" standalone="yes"?><Relationships xmlns="http://schemas.openxmlformats.org/package/2006/relationships"><Relationship Id="rId1" Type="http://schemas.openxmlformats.org/officeDocument/2006/relationships/hyperlink" Target="http://www.hcia.gr/en/statistical-elements/production/"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3.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57"/>
    <col customWidth="1" min="2" max="28" width="10.57"/>
  </cols>
  <sheetData>
    <row r="1" ht="14.25" customHeight="1">
      <c r="A1" s="1" t="s">
        <v>0</v>
      </c>
      <c r="B1" s="1" t="s">
        <v>1</v>
      </c>
    </row>
    <row r="2" ht="14.25" customHeight="1">
      <c r="A2" s="1" t="s">
        <v>2</v>
      </c>
      <c r="B2" s="1">
        <v>2015.0</v>
      </c>
    </row>
    <row r="3" ht="14.25" customHeight="1">
      <c r="A3" s="1" t="s">
        <v>3</v>
      </c>
      <c r="B3" s="1">
        <v>2050.0</v>
      </c>
    </row>
    <row r="4" ht="14.25" customHeight="1">
      <c r="A4" s="1" t="s">
        <v>4</v>
      </c>
      <c r="B4" s="1">
        <v>2000.0</v>
      </c>
      <c r="C4" s="1">
        <v>2001.0</v>
      </c>
      <c r="D4" s="1">
        <v>2002.0</v>
      </c>
      <c r="E4" s="1">
        <v>2003.0</v>
      </c>
      <c r="F4" s="1">
        <v>2004.0</v>
      </c>
      <c r="G4" s="1">
        <v>2005.0</v>
      </c>
      <c r="H4" s="1">
        <v>2006.0</v>
      </c>
      <c r="I4" s="1">
        <v>2007.0</v>
      </c>
      <c r="J4" s="1">
        <v>2008.0</v>
      </c>
      <c r="K4" s="1">
        <v>2009.0</v>
      </c>
      <c r="L4" s="1">
        <v>2010.0</v>
      </c>
      <c r="M4" s="1">
        <v>2011.0</v>
      </c>
      <c r="N4" s="1">
        <v>2012.0</v>
      </c>
      <c r="O4" s="1">
        <v>2013.0</v>
      </c>
      <c r="P4" s="1">
        <v>2014.0</v>
      </c>
      <c r="Q4" s="1">
        <v>2015.0</v>
      </c>
      <c r="R4" s="1">
        <v>2016.0</v>
      </c>
      <c r="S4" s="1">
        <v>2017.0</v>
      </c>
      <c r="T4" s="1">
        <v>2018.0</v>
      </c>
      <c r="U4" s="1">
        <v>2019.0</v>
      </c>
      <c r="V4" s="1">
        <v>2020.0</v>
      </c>
      <c r="W4" s="1">
        <f t="shared" ref="W4:AB4" si="1">V4+5</f>
        <v>2025</v>
      </c>
      <c r="X4" s="1">
        <f t="shared" si="1"/>
        <v>2030</v>
      </c>
      <c r="Y4" s="1">
        <f t="shared" si="1"/>
        <v>2035</v>
      </c>
      <c r="Z4" s="1">
        <f t="shared" si="1"/>
        <v>2040</v>
      </c>
      <c r="AA4" s="1">
        <f t="shared" si="1"/>
        <v>2045</v>
      </c>
      <c r="AB4" s="1">
        <f t="shared" si="1"/>
        <v>2050</v>
      </c>
    </row>
    <row r="5" ht="14.25" customHeight="1">
      <c r="A5" s="1" t="s">
        <v>5</v>
      </c>
      <c r="B5" s="1">
        <v>0.0</v>
      </c>
      <c r="C5" s="1">
        <v>0.0</v>
      </c>
      <c r="D5" s="1">
        <v>0.0</v>
      </c>
      <c r="E5" s="1">
        <v>0.0</v>
      </c>
      <c r="F5" s="1">
        <v>0.0</v>
      </c>
      <c r="G5" s="1">
        <v>0.0</v>
      </c>
      <c r="H5" s="1">
        <v>0.0</v>
      </c>
      <c r="I5" s="1">
        <v>0.0</v>
      </c>
      <c r="J5" s="1">
        <v>0.0</v>
      </c>
      <c r="K5" s="1">
        <v>0.0</v>
      </c>
      <c r="L5" s="1">
        <v>0.0</v>
      </c>
      <c r="M5" s="1">
        <v>0.0</v>
      </c>
      <c r="N5" s="1">
        <v>0.0</v>
      </c>
      <c r="O5" s="1">
        <v>0.0</v>
      </c>
      <c r="P5" s="1">
        <v>0.0</v>
      </c>
      <c r="Q5" s="1">
        <v>0.0</v>
      </c>
      <c r="R5" s="1">
        <v>0.0</v>
      </c>
      <c r="S5" s="1">
        <v>0.0</v>
      </c>
      <c r="T5" s="1">
        <v>0.0</v>
      </c>
      <c r="U5" s="1">
        <v>0.0</v>
      </c>
      <c r="V5" s="1">
        <f t="shared" ref="V5:AB5" si="2">V4</f>
        <v>2020</v>
      </c>
      <c r="W5" s="1">
        <f t="shared" si="2"/>
        <v>2025</v>
      </c>
      <c r="X5" s="1">
        <f t="shared" si="2"/>
        <v>2030</v>
      </c>
      <c r="Y5" s="1">
        <f t="shared" si="2"/>
        <v>2035</v>
      </c>
      <c r="Z5" s="1">
        <f t="shared" si="2"/>
        <v>2040</v>
      </c>
      <c r="AA5" s="1">
        <f t="shared" si="2"/>
        <v>2045</v>
      </c>
      <c r="AB5" s="1">
        <f t="shared" si="2"/>
        <v>2050</v>
      </c>
    </row>
    <row r="6" ht="14.25" customHeight="1"/>
    <row r="7" ht="14.25" customHeight="1"/>
    <row r="8" ht="14.25" customHeight="1"/>
    <row r="9" ht="14.25" customHeight="1">
      <c r="A9" s="1" t="s">
        <v>6</v>
      </c>
    </row>
    <row r="10" ht="14.25" customHeight="1">
      <c r="A10" s="1" t="s">
        <v>7</v>
      </c>
    </row>
    <row r="11" ht="14.25" customHeight="1"/>
    <row r="12" ht="14.25" customHeight="1">
      <c r="A12" s="1" t="s">
        <v>8</v>
      </c>
    </row>
    <row r="13" ht="14.25" customHeight="1">
      <c r="A13" s="1" t="s">
        <v>7</v>
      </c>
    </row>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FBFBF"/>
    <pageSetUpPr/>
  </sheetPr>
  <sheetViews>
    <sheetView showGridLines="0" workbookViewId="0"/>
  </sheetViews>
  <sheetFormatPr customHeight="1" defaultColWidth="14.43" defaultRowHeight="15.0" outlineLevelCol="1"/>
  <cols>
    <col customWidth="1" min="1" max="1" width="2.57"/>
    <col customWidth="1" min="2" max="2" width="2.43"/>
    <col customWidth="1" min="3" max="3" width="4.57"/>
    <col customWidth="1" min="4" max="6" width="21.57"/>
    <col customWidth="1" min="7" max="7" width="2.57"/>
    <col customWidth="1" min="8" max="8" width="24.43"/>
    <col customWidth="1" min="9" max="9" width="10.57"/>
    <col customWidth="1" min="10" max="10" width="17.0"/>
    <col customWidth="1" min="11" max="11" width="13.43"/>
    <col customWidth="1" hidden="1" min="12" max="26" width="10.57" outlineLevel="1"/>
    <col customWidth="1" min="27" max="27" width="10.57"/>
    <col customWidth="1" hidden="1" min="28" max="31" width="10.57" outlineLevel="1"/>
    <col customWidth="1" min="32" max="38" width="10.57"/>
    <col customWidth="1" min="39" max="39" width="17.43"/>
    <col customWidth="1" min="40" max="40" width="18.57"/>
    <col customWidth="1" min="41" max="41" width="17.43"/>
    <col customWidth="1" min="42" max="42" width="37.43"/>
    <col customWidth="1" min="43" max="43" width="30.57"/>
    <col customWidth="1" min="44" max="44" width="2.43"/>
  </cols>
  <sheetData>
    <row r="1" ht="14.2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row>
    <row r="2" ht="14.25" customHeight="1">
      <c r="A2" s="2"/>
      <c r="B2" s="3"/>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5"/>
    </row>
    <row r="3" ht="14.25" customHeight="1">
      <c r="A3" s="2"/>
      <c r="B3" s="6"/>
      <c r="C3" s="7" t="s">
        <v>9</v>
      </c>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9"/>
    </row>
    <row r="4" ht="14.25" customHeight="1">
      <c r="A4" s="2"/>
      <c r="B4" s="6"/>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9"/>
    </row>
    <row r="5" ht="14.25" customHeight="1">
      <c r="A5" s="2"/>
      <c r="B5" s="6"/>
      <c r="C5" s="8"/>
      <c r="D5" s="8"/>
      <c r="E5" s="8"/>
      <c r="F5" s="8" t="s">
        <v>10</v>
      </c>
      <c r="G5" s="8"/>
      <c r="H5" s="10"/>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9"/>
    </row>
    <row r="6" ht="14.25" customHeight="1">
      <c r="A6" s="2"/>
      <c r="B6" s="6"/>
      <c r="C6" s="8"/>
      <c r="D6" s="8"/>
      <c r="E6" s="8"/>
      <c r="F6" s="8"/>
      <c r="G6" s="8"/>
      <c r="H6" s="10"/>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9"/>
    </row>
    <row r="7" ht="14.25" customHeight="1">
      <c r="A7" s="2"/>
      <c r="B7" s="6"/>
      <c r="C7" s="11" t="s">
        <v>11</v>
      </c>
      <c r="D7" s="8"/>
      <c r="E7" s="8"/>
      <c r="F7" s="12" t="s">
        <v>12</v>
      </c>
      <c r="G7" s="8"/>
      <c r="H7" s="8"/>
      <c r="I7" s="13" t="s">
        <v>13</v>
      </c>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9"/>
    </row>
    <row r="8" ht="14.25" customHeight="1">
      <c r="A8" s="2"/>
      <c r="B8" s="6"/>
      <c r="C8" s="11" t="s">
        <v>14</v>
      </c>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9"/>
    </row>
    <row r="9" ht="14.25" customHeight="1">
      <c r="A9" s="2"/>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9"/>
    </row>
    <row r="10" ht="14.25" customHeight="1">
      <c r="A10" s="2"/>
      <c r="B10" s="6"/>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9"/>
    </row>
    <row r="11" ht="14.25" customHeight="1">
      <c r="A11" s="2"/>
      <c r="B11" s="6"/>
      <c r="C11" s="7" t="s">
        <v>15</v>
      </c>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9"/>
    </row>
    <row r="12" ht="14.25" customHeight="1">
      <c r="A12" s="2"/>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9"/>
    </row>
    <row r="13" ht="14.25" customHeight="1">
      <c r="A13" s="2"/>
      <c r="B13" s="6"/>
      <c r="C13" s="15" t="s">
        <v>16</v>
      </c>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9"/>
    </row>
    <row r="14" ht="14.25" customHeight="1">
      <c r="A14" s="2"/>
      <c r="B14" s="6"/>
      <c r="C14" s="8"/>
      <c r="D14" s="16" t="s">
        <v>17</v>
      </c>
      <c r="E14" s="17" t="s">
        <v>18</v>
      </c>
      <c r="F14" s="18"/>
      <c r="G14" s="18"/>
      <c r="H14" s="18"/>
      <c r="I14" s="18"/>
      <c r="J14" s="18"/>
      <c r="K14" s="19"/>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9"/>
    </row>
    <row r="15" ht="4.5" customHeight="1">
      <c r="A15" s="2"/>
      <c r="B15" s="6"/>
      <c r="C15" s="8"/>
      <c r="D15" s="16"/>
      <c r="E15" s="16"/>
      <c r="F15" s="16"/>
      <c r="G15" s="16"/>
      <c r="H15" s="16"/>
      <c r="I15" s="16"/>
      <c r="J15" s="16"/>
      <c r="K15" s="16"/>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9"/>
    </row>
    <row r="16" ht="14.25" customHeight="1">
      <c r="A16" s="2"/>
      <c r="B16" s="6"/>
      <c r="C16" s="8"/>
      <c r="D16" s="20" t="s">
        <v>19</v>
      </c>
      <c r="E16" s="21" t="s">
        <v>20</v>
      </c>
      <c r="F16" s="22"/>
      <c r="G16" s="22"/>
      <c r="H16" s="23"/>
      <c r="I16" s="24" t="s">
        <v>21</v>
      </c>
      <c r="J16" s="22"/>
      <c r="K16" s="23"/>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9"/>
    </row>
    <row r="17" ht="14.25" customHeight="1">
      <c r="A17" s="2"/>
      <c r="B17" s="6"/>
      <c r="C17" s="8"/>
      <c r="D17" s="25"/>
      <c r="E17" s="26" t="s">
        <v>22</v>
      </c>
      <c r="F17" s="22"/>
      <c r="G17" s="22"/>
      <c r="H17" s="22"/>
      <c r="I17" s="22"/>
      <c r="J17" s="22"/>
      <c r="K17" s="23"/>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9"/>
    </row>
    <row r="18" ht="14.25" customHeight="1">
      <c r="A18" s="2"/>
      <c r="B18" s="6"/>
      <c r="C18" s="8"/>
      <c r="D18" s="27" t="s">
        <v>23</v>
      </c>
      <c r="E18" s="28" t="s">
        <v>24</v>
      </c>
      <c r="F18" s="29"/>
      <c r="G18" s="29"/>
      <c r="H18" s="29"/>
      <c r="I18" s="29"/>
      <c r="J18" s="29"/>
      <c r="K18" s="30"/>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9"/>
    </row>
    <row r="19" ht="14.25" customHeight="1">
      <c r="A19" s="2"/>
      <c r="B19" s="6"/>
      <c r="C19" s="8"/>
      <c r="D19" s="31" t="s">
        <v>25</v>
      </c>
      <c r="E19" s="32" t="s">
        <v>26</v>
      </c>
      <c r="F19" s="33"/>
      <c r="G19" s="33"/>
      <c r="H19" s="33"/>
      <c r="I19" s="33"/>
      <c r="J19" s="33"/>
      <c r="K19" s="34"/>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9"/>
    </row>
    <row r="20" ht="14.25" customHeight="1">
      <c r="A20" s="2"/>
      <c r="B20" s="6"/>
      <c r="C20" s="8"/>
      <c r="D20" s="35" t="s">
        <v>27</v>
      </c>
      <c r="E20" s="36" t="s">
        <v>28</v>
      </c>
      <c r="F20" s="22"/>
      <c r="G20" s="22"/>
      <c r="H20" s="22"/>
      <c r="I20" s="22"/>
      <c r="J20" s="22"/>
      <c r="K20" s="23"/>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9"/>
    </row>
    <row r="21" ht="14.25" customHeight="1">
      <c r="A21" s="2"/>
      <c r="B21" s="6"/>
      <c r="C21" s="8"/>
      <c r="D21" s="25"/>
      <c r="E21" s="36" t="s">
        <v>29</v>
      </c>
      <c r="F21" s="22"/>
      <c r="G21" s="22"/>
      <c r="H21" s="22"/>
      <c r="I21" s="22"/>
      <c r="J21" s="22"/>
      <c r="K21" s="23"/>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9"/>
    </row>
    <row r="22" ht="14.25" customHeight="1">
      <c r="A22" s="2"/>
      <c r="B22" s="6"/>
      <c r="C22" s="8"/>
      <c r="D22" s="37" t="s">
        <v>30</v>
      </c>
      <c r="E22" s="38" t="s">
        <v>31</v>
      </c>
      <c r="F22" s="22"/>
      <c r="G22" s="22"/>
      <c r="H22" s="22"/>
      <c r="I22" s="22"/>
      <c r="J22" s="22"/>
      <c r="K22" s="23"/>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9"/>
    </row>
    <row r="23" ht="14.25" customHeight="1">
      <c r="A23" s="2"/>
      <c r="B23" s="6"/>
      <c r="C23" s="8"/>
      <c r="D23" s="25"/>
      <c r="E23" s="39" t="s">
        <v>32</v>
      </c>
      <c r="F23" s="40" t="s">
        <v>33</v>
      </c>
      <c r="G23" s="22"/>
      <c r="H23" s="22"/>
      <c r="I23" s="22"/>
      <c r="J23" s="22"/>
      <c r="K23" s="23"/>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9"/>
    </row>
    <row r="24" ht="14.25" customHeight="1">
      <c r="A24" s="2"/>
      <c r="B24" s="6"/>
      <c r="C24" s="8"/>
      <c r="D24" s="41" t="s">
        <v>34</v>
      </c>
      <c r="E24" s="42" t="s">
        <v>35</v>
      </c>
      <c r="F24" s="43"/>
      <c r="G24" s="44"/>
      <c r="H24" s="45" t="s">
        <v>36</v>
      </c>
      <c r="I24" s="22"/>
      <c r="J24" s="22"/>
      <c r="K24" s="23"/>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9"/>
    </row>
    <row r="25" ht="14.25" customHeight="1">
      <c r="A25" s="2"/>
      <c r="B25" s="6"/>
      <c r="C25" s="8"/>
      <c r="D25" s="46"/>
      <c r="E25" s="47"/>
      <c r="G25" s="48"/>
      <c r="H25" s="45" t="s">
        <v>37</v>
      </c>
      <c r="I25" s="22"/>
      <c r="J25" s="22"/>
      <c r="K25" s="23"/>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9"/>
    </row>
    <row r="26" ht="14.25" customHeight="1">
      <c r="A26" s="2"/>
      <c r="B26" s="6"/>
      <c r="C26" s="8"/>
      <c r="D26" s="46"/>
      <c r="E26" s="47"/>
      <c r="G26" s="48"/>
      <c r="H26" s="45" t="s">
        <v>34</v>
      </c>
      <c r="I26" s="22"/>
      <c r="J26" s="22"/>
      <c r="K26" s="23"/>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9"/>
    </row>
    <row r="27" ht="14.25" customHeight="1">
      <c r="A27" s="2"/>
      <c r="B27" s="6"/>
      <c r="C27" s="8"/>
      <c r="D27" s="25"/>
      <c r="E27" s="49"/>
      <c r="F27" s="50"/>
      <c r="G27" s="51"/>
      <c r="H27" s="45" t="s">
        <v>38</v>
      </c>
      <c r="I27" s="22"/>
      <c r="J27" s="22"/>
      <c r="K27" s="23"/>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9"/>
    </row>
    <row r="28" ht="14.25" customHeight="1">
      <c r="A28" s="2"/>
      <c r="B28" s="6"/>
      <c r="C28" s="8"/>
      <c r="D28" s="52" t="s">
        <v>39</v>
      </c>
      <c r="E28" s="53" t="s">
        <v>40</v>
      </c>
      <c r="F28" s="54"/>
      <c r="G28" s="55"/>
      <c r="H28" s="56" t="s">
        <v>41</v>
      </c>
      <c r="I28" s="22"/>
      <c r="J28" s="22"/>
      <c r="K28" s="23"/>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9"/>
    </row>
    <row r="29" ht="14.25" customHeight="1">
      <c r="A29" s="2"/>
      <c r="B29" s="6"/>
      <c r="C29" s="8"/>
      <c r="D29" s="57" t="s">
        <v>42</v>
      </c>
      <c r="E29" s="58" t="s">
        <v>43</v>
      </c>
      <c r="F29" s="22"/>
      <c r="G29" s="22"/>
      <c r="H29" s="22"/>
      <c r="I29" s="22"/>
      <c r="J29" s="22"/>
      <c r="K29" s="23"/>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9"/>
    </row>
    <row r="30" ht="14.25" customHeight="1">
      <c r="A30" s="2"/>
      <c r="B30" s="6"/>
      <c r="C30" s="8"/>
      <c r="D30" s="46"/>
      <c r="E30" s="58" t="s">
        <v>44</v>
      </c>
      <c r="F30" s="22"/>
      <c r="G30" s="22"/>
      <c r="H30" s="22"/>
      <c r="I30" s="22"/>
      <c r="J30" s="22"/>
      <c r="K30" s="23"/>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9"/>
    </row>
    <row r="31" ht="14.25" customHeight="1">
      <c r="A31" s="2"/>
      <c r="B31" s="6"/>
      <c r="C31" s="8"/>
      <c r="D31" s="25"/>
      <c r="E31" s="58" t="s">
        <v>45</v>
      </c>
      <c r="F31" s="22"/>
      <c r="G31" s="22"/>
      <c r="H31" s="22"/>
      <c r="I31" s="22"/>
      <c r="J31" s="22"/>
      <c r="K31" s="23"/>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9"/>
    </row>
    <row r="32" ht="14.25" customHeight="1">
      <c r="A32" s="2"/>
      <c r="B32" s="6"/>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9"/>
    </row>
    <row r="33" ht="14.25" customHeight="1">
      <c r="A33" s="2"/>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9"/>
    </row>
    <row r="34" ht="14.25" customHeight="1">
      <c r="A34" s="2"/>
      <c r="B34" s="6"/>
      <c r="C34" s="15" t="s">
        <v>46</v>
      </c>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59" t="s">
        <v>47</v>
      </c>
      <c r="AH34" s="60">
        <v>2015.0</v>
      </c>
      <c r="AI34" s="8"/>
      <c r="AJ34" s="59" t="s">
        <v>48</v>
      </c>
      <c r="AK34" s="60">
        <v>2050.0</v>
      </c>
      <c r="AL34" s="8"/>
      <c r="AM34" s="8"/>
      <c r="AN34" s="8"/>
      <c r="AO34" s="8"/>
      <c r="AP34" s="8"/>
      <c r="AQ34" s="8"/>
      <c r="AR34" s="9"/>
    </row>
    <row r="35" ht="14.25" customHeight="1">
      <c r="A35" s="2"/>
      <c r="B35" s="6"/>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9"/>
    </row>
    <row r="36" ht="14.25" customHeight="1">
      <c r="A36" s="2"/>
      <c r="B36" s="6"/>
      <c r="C36" s="8"/>
      <c r="D36" s="61" t="s">
        <v>49</v>
      </c>
      <c r="E36" s="29"/>
      <c r="F36" s="29"/>
      <c r="G36" s="29"/>
      <c r="H36" s="29"/>
      <c r="I36" s="30"/>
      <c r="J36" s="62" t="s">
        <v>50</v>
      </c>
      <c r="K36" s="62" t="s">
        <v>51</v>
      </c>
      <c r="L36" s="62">
        <v>2000.0</v>
      </c>
      <c r="M36" s="62">
        <v>2001.0</v>
      </c>
      <c r="N36" s="62">
        <v>2002.0</v>
      </c>
      <c r="O36" s="62">
        <v>2003.0</v>
      </c>
      <c r="P36" s="62">
        <v>2004.0</v>
      </c>
      <c r="Q36" s="62">
        <v>2005.0</v>
      </c>
      <c r="R36" s="62">
        <v>2006.0</v>
      </c>
      <c r="S36" s="62">
        <v>2007.0</v>
      </c>
      <c r="T36" s="62">
        <v>2008.0</v>
      </c>
      <c r="U36" s="62">
        <v>2009.0</v>
      </c>
      <c r="V36" s="62">
        <v>2010.0</v>
      </c>
      <c r="W36" s="62">
        <v>2011.0</v>
      </c>
      <c r="X36" s="62">
        <v>2012.0</v>
      </c>
      <c r="Y36" s="62">
        <v>2013.0</v>
      </c>
      <c r="Z36" s="62">
        <v>2014.0</v>
      </c>
      <c r="AA36" s="62">
        <f>ReferenceYear</f>
        <v>2015</v>
      </c>
      <c r="AB36" s="62">
        <v>2016.0</v>
      </c>
      <c r="AC36" s="62">
        <v>2017.0</v>
      </c>
      <c r="AD36" s="62">
        <v>2018.0</v>
      </c>
      <c r="AE36" s="62">
        <v>2019.0</v>
      </c>
      <c r="AF36" s="62">
        <f>IFERROR(IF(AA36+5&lt;=TargetYear,AA36+5,""),"")</f>
        <v>2020</v>
      </c>
      <c r="AG36" s="62">
        <f>IFERROR(IF(AF36+5&lt;=TargetYear,AF36+5,""),"")</f>
        <v>2025</v>
      </c>
      <c r="AH36" s="62">
        <f>IFERROR(IF(AG36+5&lt;=TargetYear,AG36+5,""),"")</f>
        <v>2030</v>
      </c>
      <c r="AI36" s="62">
        <f>IFERROR(IF(AH36+5&lt;=TargetYear,AH36+5,""),"")</f>
        <v>2035</v>
      </c>
      <c r="AJ36" s="62">
        <f>IFERROR(IF(AI36+5&lt;=TargetYear,AI36+5,""),"")</f>
        <v>2040</v>
      </c>
      <c r="AK36" s="62">
        <f>IFERROR(IF(AJ36+5&lt;=TargetYear,AJ36+5,""),"")</f>
        <v>2045</v>
      </c>
      <c r="AL36" s="62">
        <f>IFERROR(IF(AK36+5&lt;=TargetYear,AK36+5,""),"")</f>
        <v>2050</v>
      </c>
      <c r="AM36" s="62" t="s">
        <v>52</v>
      </c>
      <c r="AN36" s="62" t="s">
        <v>53</v>
      </c>
      <c r="AO36" s="62" t="s">
        <v>54</v>
      </c>
      <c r="AP36" s="62" t="s">
        <v>55</v>
      </c>
      <c r="AQ36" s="62" t="s">
        <v>56</v>
      </c>
      <c r="AR36" s="9"/>
    </row>
    <row r="37" ht="57.75" customHeight="1">
      <c r="A37" s="63"/>
      <c r="B37" s="64"/>
      <c r="C37" s="65"/>
      <c r="D37" s="66" t="s">
        <v>57</v>
      </c>
      <c r="E37" s="67"/>
      <c r="F37" s="67"/>
      <c r="G37" s="67"/>
      <c r="H37" s="67"/>
      <c r="I37" s="68"/>
      <c r="J37" s="69" t="s">
        <v>58</v>
      </c>
      <c r="K37" s="69" t="s">
        <v>59</v>
      </c>
      <c r="L37" s="70" t="s">
        <v>60</v>
      </c>
      <c r="M37" s="70" t="s">
        <v>60</v>
      </c>
      <c r="N37" s="70" t="s">
        <v>60</v>
      </c>
      <c r="O37" s="70" t="s">
        <v>60</v>
      </c>
      <c r="P37" s="70" t="s">
        <v>60</v>
      </c>
      <c r="Q37" s="70" t="s">
        <v>60</v>
      </c>
      <c r="R37" s="70" t="s">
        <v>60</v>
      </c>
      <c r="S37" s="70" t="s">
        <v>60</v>
      </c>
      <c r="T37" s="70" t="s">
        <v>60</v>
      </c>
      <c r="U37" s="70" t="s">
        <v>60</v>
      </c>
      <c r="V37" s="70" t="s">
        <v>60</v>
      </c>
      <c r="W37" s="70" t="s">
        <v>60</v>
      </c>
      <c r="X37" s="70" t="s">
        <v>60</v>
      </c>
      <c r="Y37" s="70" t="s">
        <v>60</v>
      </c>
      <c r="Z37" s="70" t="s">
        <v>60</v>
      </c>
      <c r="AA37" s="71" t="s">
        <v>61</v>
      </c>
      <c r="AB37" s="70" t="s">
        <v>60</v>
      </c>
      <c r="AC37" s="70" t="s">
        <v>60</v>
      </c>
      <c r="AD37" s="70" t="s">
        <v>60</v>
      </c>
      <c r="AE37" s="70" t="s">
        <v>60</v>
      </c>
      <c r="AF37" s="71" t="s">
        <v>61</v>
      </c>
      <c r="AG37" s="71" t="s">
        <v>61</v>
      </c>
      <c r="AH37" s="71" t="s">
        <v>61</v>
      </c>
      <c r="AI37" s="71" t="s">
        <v>61</v>
      </c>
      <c r="AJ37" s="71" t="s">
        <v>61</v>
      </c>
      <c r="AK37" s="71" t="s">
        <v>61</v>
      </c>
      <c r="AL37" s="71" t="s">
        <v>61</v>
      </c>
      <c r="AM37" s="72" t="s">
        <v>62</v>
      </c>
      <c r="AN37" s="72" t="s">
        <v>63</v>
      </c>
      <c r="AO37" s="72" t="s">
        <v>64</v>
      </c>
      <c r="AP37" s="72" t="s">
        <v>65</v>
      </c>
      <c r="AQ37" s="73" t="s">
        <v>66</v>
      </c>
      <c r="AR37" s="74"/>
    </row>
    <row r="38" ht="14.25" customHeight="1">
      <c r="A38" s="2"/>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9"/>
    </row>
    <row r="39" ht="14.25" customHeight="1">
      <c r="A39" s="2"/>
      <c r="B39" s="6"/>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9"/>
    </row>
    <row r="40" ht="14.25" customHeight="1">
      <c r="A40" s="2"/>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9"/>
    </row>
    <row r="41" ht="14.25" customHeight="1">
      <c r="A41" s="2"/>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9"/>
    </row>
    <row r="42" ht="14.25" customHeight="1">
      <c r="A42" s="2"/>
      <c r="B42" s="6"/>
      <c r="C42" s="8"/>
      <c r="D42" s="75" t="s">
        <v>67</v>
      </c>
      <c r="E42" s="8"/>
      <c r="F42" s="8"/>
      <c r="G42" s="8"/>
      <c r="H42" s="76" t="s">
        <v>61</v>
      </c>
      <c r="I42" s="8" t="s">
        <v>68</v>
      </c>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9"/>
    </row>
    <row r="43" ht="14.25" customHeight="1">
      <c r="A43" s="2"/>
      <c r="B43" s="6"/>
      <c r="C43" s="8"/>
      <c r="D43" s="8"/>
      <c r="E43" s="8"/>
      <c r="F43" s="8"/>
      <c r="G43" s="8"/>
      <c r="H43" s="77" t="s">
        <v>60</v>
      </c>
      <c r="I43" s="8" t="s">
        <v>69</v>
      </c>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9"/>
    </row>
    <row r="44" ht="14.25" customHeight="1">
      <c r="A44" s="2"/>
      <c r="B44" s="6"/>
      <c r="C44" s="8"/>
      <c r="D44" s="8"/>
      <c r="E44" s="8"/>
      <c r="F44" s="8"/>
      <c r="G44" s="8"/>
      <c r="H44" s="78" t="s">
        <v>70</v>
      </c>
      <c r="I44" s="8" t="s">
        <v>71</v>
      </c>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9"/>
    </row>
    <row r="45" ht="14.25" customHeight="1">
      <c r="A45" s="2"/>
      <c r="B45" s="6"/>
      <c r="C45" s="8"/>
      <c r="D45" s="8"/>
      <c r="E45" s="8"/>
      <c r="F45" s="8"/>
      <c r="G45" s="8"/>
      <c r="H45" s="79" t="s">
        <v>72</v>
      </c>
      <c r="I45" s="8" t="s">
        <v>73</v>
      </c>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9"/>
    </row>
    <row r="46" ht="14.25" customHeight="1">
      <c r="A46" s="2"/>
      <c r="B46" s="6"/>
      <c r="C46" s="8"/>
      <c r="D46" s="8"/>
      <c r="E46" s="8"/>
      <c r="F46" s="8"/>
      <c r="G46" s="8"/>
      <c r="H46" s="80" t="s">
        <v>74</v>
      </c>
      <c r="I46" s="8" t="s">
        <v>75</v>
      </c>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9"/>
    </row>
    <row r="47" ht="14.25" customHeight="1">
      <c r="A47" s="2"/>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9"/>
    </row>
    <row r="48" ht="14.25" customHeight="1">
      <c r="A48" s="2"/>
      <c r="B48" s="6"/>
      <c r="C48" s="8"/>
      <c r="D48" s="10" t="s">
        <v>76</v>
      </c>
      <c r="E48" s="8"/>
      <c r="F48" s="8"/>
      <c r="G48" s="8"/>
      <c r="H48" s="10" t="s">
        <v>77</v>
      </c>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9"/>
    </row>
    <row r="49" ht="14.25" customHeight="1">
      <c r="A49" s="2"/>
      <c r="B49" s="6"/>
      <c r="C49" s="8"/>
      <c r="D49" s="81" t="s">
        <v>78</v>
      </c>
      <c r="E49" s="67"/>
      <c r="F49" s="68"/>
      <c r="G49" s="8"/>
      <c r="H49" s="77" t="s">
        <v>60</v>
      </c>
      <c r="I49" s="76" t="s">
        <v>61</v>
      </c>
      <c r="J49" s="78" t="s">
        <v>70</v>
      </c>
      <c r="K49" s="79" t="s">
        <v>72</v>
      </c>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9"/>
    </row>
    <row r="50" ht="14.25" customHeight="1">
      <c r="A50" s="2"/>
      <c r="B50" s="6"/>
      <c r="C50" s="8"/>
      <c r="D50" s="82" t="s">
        <v>79</v>
      </c>
      <c r="E50" s="67"/>
      <c r="F50" s="68"/>
      <c r="G50" s="8"/>
      <c r="H50" s="77" t="s">
        <v>60</v>
      </c>
      <c r="I50" s="76" t="s">
        <v>61</v>
      </c>
      <c r="J50" s="78" t="s">
        <v>70</v>
      </c>
      <c r="K50" s="79" t="s">
        <v>72</v>
      </c>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9"/>
    </row>
    <row r="51" ht="14.25" customHeight="1">
      <c r="A51" s="2"/>
      <c r="B51" s="6"/>
      <c r="C51" s="8"/>
      <c r="D51" s="83" t="s">
        <v>80</v>
      </c>
      <c r="E51" s="67"/>
      <c r="F51" s="68"/>
      <c r="G51" s="8"/>
      <c r="H51" s="84" t="s">
        <v>8</v>
      </c>
      <c r="I51" s="85"/>
      <c r="J51" s="85"/>
      <c r="K51" s="86"/>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9"/>
    </row>
    <row r="52" ht="14.25" customHeight="1">
      <c r="A52" s="2"/>
      <c r="B52" s="6"/>
      <c r="C52" s="8"/>
      <c r="D52" s="87" t="s">
        <v>81</v>
      </c>
      <c r="E52" s="67"/>
      <c r="F52" s="68"/>
      <c r="G52" s="8"/>
      <c r="H52" s="88" t="s">
        <v>82</v>
      </c>
      <c r="I52" s="89"/>
      <c r="J52" s="89"/>
      <c r="K52" s="90"/>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9"/>
    </row>
    <row r="53" ht="14.25" customHeight="1">
      <c r="A53" s="2"/>
      <c r="B53" s="6"/>
      <c r="C53" s="8"/>
      <c r="D53" s="91" t="s">
        <v>83</v>
      </c>
      <c r="E53" s="67"/>
      <c r="F53" s="68"/>
      <c r="G53" s="8"/>
      <c r="H53" s="88" t="s">
        <v>82</v>
      </c>
      <c r="I53" s="89"/>
      <c r="J53" s="89"/>
      <c r="K53" s="90"/>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9"/>
    </row>
    <row r="54" ht="14.25" customHeight="1">
      <c r="A54" s="2"/>
      <c r="B54" s="6"/>
      <c r="C54" s="8"/>
      <c r="D54" s="92" t="s">
        <v>84</v>
      </c>
      <c r="E54" s="67"/>
      <c r="F54" s="68"/>
      <c r="G54" s="8"/>
      <c r="H54" s="84" t="s">
        <v>8</v>
      </c>
      <c r="I54" s="85"/>
      <c r="J54" s="85"/>
      <c r="K54" s="86"/>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9"/>
    </row>
    <row r="55" ht="14.25" customHeight="1">
      <c r="A55" s="2"/>
      <c r="B55" s="6"/>
      <c r="C55" s="8"/>
      <c r="D55" s="93" t="s">
        <v>85</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9"/>
    </row>
    <row r="56" ht="14.25" customHeight="1">
      <c r="A56" s="2"/>
      <c r="B56" s="6"/>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9"/>
    </row>
    <row r="57" ht="14.25" customHeight="1">
      <c r="A57" s="2"/>
      <c r="B57" s="6"/>
      <c r="C57" s="8"/>
      <c r="D57" s="10" t="s">
        <v>86</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9"/>
    </row>
    <row r="58" ht="14.25" customHeight="1">
      <c r="A58" s="2"/>
      <c r="B58" s="6"/>
      <c r="C58" s="8"/>
      <c r="D58" s="94" t="s">
        <v>87</v>
      </c>
      <c r="E58" s="18"/>
      <c r="F58" s="18"/>
      <c r="G58" s="18"/>
      <c r="H58" s="18"/>
      <c r="I58" s="18"/>
      <c r="J58" s="18"/>
      <c r="K58" s="19"/>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9"/>
    </row>
    <row r="59" ht="14.25" customHeight="1">
      <c r="A59" s="2"/>
      <c r="B59" s="6"/>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9"/>
    </row>
    <row r="60" ht="14.25" customHeight="1">
      <c r="A60" s="2"/>
      <c r="B60" s="6"/>
      <c r="C60" s="8"/>
      <c r="D60" s="10" t="s">
        <v>88</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9"/>
    </row>
    <row r="61" ht="30.75" customHeight="1">
      <c r="A61" s="2"/>
      <c r="B61" s="6"/>
      <c r="C61" s="8"/>
      <c r="D61" s="94" t="s">
        <v>89</v>
      </c>
      <c r="E61" s="18"/>
      <c r="F61" s="18"/>
      <c r="G61" s="18"/>
      <c r="H61" s="18"/>
      <c r="I61" s="18"/>
      <c r="J61" s="18"/>
      <c r="K61" s="19"/>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9"/>
    </row>
    <row r="62" ht="14.25" customHeight="1">
      <c r="A62" s="2"/>
      <c r="B62" s="6"/>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9"/>
    </row>
    <row r="63" ht="14.25" customHeight="1">
      <c r="A63" s="2"/>
      <c r="B63" s="6"/>
      <c r="C63" s="8"/>
      <c r="D63" s="10" t="s">
        <v>90</v>
      </c>
      <c r="E63" s="8"/>
      <c r="F63" s="8"/>
      <c r="G63" s="8"/>
      <c r="H63" s="95" t="s">
        <v>91</v>
      </c>
      <c r="I63" s="96"/>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9"/>
    </row>
    <row r="64" ht="14.25" customHeight="1">
      <c r="A64" s="2"/>
      <c r="B64" s="6"/>
      <c r="C64" s="10"/>
      <c r="D64" s="97" t="s">
        <v>92</v>
      </c>
      <c r="E64" s="18"/>
      <c r="F64" s="18"/>
      <c r="G64" s="18"/>
      <c r="H64" s="18"/>
      <c r="I64" s="18"/>
      <c r="J64" s="18"/>
      <c r="K64" s="19"/>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9"/>
    </row>
    <row r="65" ht="14.25" customHeight="1">
      <c r="A65" s="2"/>
      <c r="B65" s="6"/>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9"/>
    </row>
    <row r="66" ht="14.25" customHeight="1">
      <c r="A66" s="2"/>
      <c r="B66" s="6"/>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9"/>
    </row>
    <row r="67" ht="14.25" customHeight="1">
      <c r="A67" s="2"/>
      <c r="B67" s="6"/>
      <c r="C67" s="7" t="s">
        <v>93</v>
      </c>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9"/>
    </row>
    <row r="68" ht="67.5" customHeight="1">
      <c r="A68" s="98"/>
      <c r="B68" s="99"/>
      <c r="C68" s="100"/>
      <c r="D68" s="94" t="s">
        <v>94</v>
      </c>
      <c r="E68" s="18"/>
      <c r="F68" s="18"/>
      <c r="G68" s="18"/>
      <c r="H68" s="18"/>
      <c r="I68" s="18"/>
      <c r="J68" s="18"/>
      <c r="K68" s="19"/>
      <c r="L68" s="100"/>
      <c r="M68" s="100"/>
      <c r="N68" s="100"/>
      <c r="O68" s="100"/>
      <c r="P68" s="100"/>
      <c r="Q68" s="100"/>
      <c r="R68" s="100"/>
      <c r="S68" s="100"/>
      <c r="T68" s="100"/>
      <c r="U68" s="100"/>
      <c r="V68" s="100"/>
      <c r="W68" s="100"/>
      <c r="X68" s="100"/>
      <c r="Y68" s="100"/>
      <c r="Z68" s="100"/>
      <c r="AA68" s="100"/>
      <c r="AB68" s="100"/>
      <c r="AC68" s="100"/>
      <c r="AD68" s="100"/>
      <c r="AE68" s="100"/>
      <c r="AF68" s="100"/>
      <c r="AG68" s="100"/>
      <c r="AH68" s="101"/>
      <c r="AI68" s="100"/>
      <c r="AJ68" s="100"/>
      <c r="AK68" s="100"/>
      <c r="AL68" s="100"/>
      <c r="AM68" s="100"/>
      <c r="AN68" s="100"/>
      <c r="AO68" s="100"/>
      <c r="AP68" s="100"/>
      <c r="AQ68" s="100"/>
      <c r="AR68" s="102"/>
    </row>
    <row r="69" ht="14.25" customHeight="1">
      <c r="A69" s="2"/>
      <c r="B69" s="6"/>
      <c r="C69" s="8"/>
      <c r="D69" s="101"/>
      <c r="E69" s="101"/>
      <c r="F69" s="101"/>
      <c r="G69" s="101"/>
      <c r="H69" s="101"/>
      <c r="I69" s="101"/>
      <c r="J69" s="101"/>
      <c r="K69" s="101"/>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9"/>
    </row>
    <row r="70" ht="14.25" customHeight="1">
      <c r="A70" s="2"/>
      <c r="B70" s="6"/>
      <c r="C70" s="14"/>
      <c r="D70" s="103"/>
      <c r="E70" s="103"/>
      <c r="F70" s="103"/>
      <c r="G70" s="103"/>
      <c r="H70" s="103"/>
      <c r="I70" s="103"/>
      <c r="J70" s="103"/>
      <c r="K70" s="103"/>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9"/>
    </row>
    <row r="71" ht="14.25" customHeight="1">
      <c r="A71" s="2"/>
      <c r="B71" s="6"/>
      <c r="C71" s="7" t="s">
        <v>95</v>
      </c>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9"/>
    </row>
    <row r="72" ht="66.0" customHeight="1">
      <c r="A72" s="98"/>
      <c r="B72" s="99"/>
      <c r="C72" s="100"/>
      <c r="D72" s="94" t="s">
        <v>96</v>
      </c>
      <c r="E72" s="18"/>
      <c r="F72" s="18"/>
      <c r="G72" s="18"/>
      <c r="H72" s="18"/>
      <c r="I72" s="18"/>
      <c r="J72" s="18"/>
      <c r="K72" s="19"/>
      <c r="L72" s="100"/>
      <c r="M72" s="100"/>
      <c r="N72" s="100"/>
      <c r="O72" s="100"/>
      <c r="P72" s="100"/>
      <c r="Q72" s="100"/>
      <c r="R72" s="100"/>
      <c r="S72" s="100"/>
      <c r="T72" s="100"/>
      <c r="U72" s="100"/>
      <c r="V72" s="100"/>
      <c r="W72" s="100"/>
      <c r="X72" s="100"/>
      <c r="Y72" s="100"/>
      <c r="Z72" s="100"/>
      <c r="AA72" s="100"/>
      <c r="AB72" s="100"/>
      <c r="AC72" s="100"/>
      <c r="AD72" s="100"/>
      <c r="AE72" s="100"/>
      <c r="AF72" s="100"/>
      <c r="AG72" s="100"/>
      <c r="AH72" s="100"/>
      <c r="AI72" s="100"/>
      <c r="AJ72" s="100"/>
      <c r="AK72" s="100"/>
      <c r="AL72" s="100"/>
      <c r="AM72" s="100"/>
      <c r="AN72" s="100"/>
      <c r="AO72" s="100"/>
      <c r="AP72" s="100"/>
      <c r="AQ72" s="100"/>
      <c r="AR72" s="102"/>
    </row>
    <row r="73" ht="14.25" customHeight="1">
      <c r="A73" s="2"/>
      <c r="B73" s="6"/>
      <c r="C73" s="8"/>
      <c r="D73" s="101"/>
      <c r="E73" s="101"/>
      <c r="F73" s="101"/>
      <c r="G73" s="101"/>
      <c r="H73" s="101"/>
      <c r="I73" s="101"/>
      <c r="J73" s="101"/>
      <c r="K73" s="101"/>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9"/>
    </row>
    <row r="74" ht="14.25" customHeight="1">
      <c r="A74" s="2"/>
      <c r="B74" s="6"/>
      <c r="C74" s="14"/>
      <c r="D74" s="103"/>
      <c r="E74" s="103"/>
      <c r="F74" s="103"/>
      <c r="G74" s="103"/>
      <c r="H74" s="103"/>
      <c r="I74" s="103"/>
      <c r="J74" s="103"/>
      <c r="K74" s="103"/>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9"/>
    </row>
    <row r="75" ht="14.25" customHeight="1">
      <c r="A75" s="98"/>
      <c r="B75" s="99"/>
      <c r="C75" s="7" t="s">
        <v>97</v>
      </c>
      <c r="D75" s="104"/>
      <c r="E75" s="104"/>
      <c r="F75" s="104"/>
      <c r="G75" s="104"/>
      <c r="H75" s="104"/>
      <c r="I75" s="104"/>
      <c r="J75" s="104"/>
      <c r="K75" s="104"/>
      <c r="L75" s="100"/>
      <c r="M75" s="100"/>
      <c r="N75" s="100"/>
      <c r="O75" s="100"/>
      <c r="P75" s="100"/>
      <c r="Q75" s="100"/>
      <c r="R75" s="100"/>
      <c r="S75" s="100"/>
      <c r="T75" s="100"/>
      <c r="U75" s="100"/>
      <c r="V75" s="100"/>
      <c r="W75" s="100"/>
      <c r="X75" s="100"/>
      <c r="Y75" s="100"/>
      <c r="Z75" s="100"/>
      <c r="AA75" s="100"/>
      <c r="AB75" s="100"/>
      <c r="AC75" s="100"/>
      <c r="AD75" s="100"/>
      <c r="AE75" s="100"/>
      <c r="AF75" s="100"/>
      <c r="AG75" s="100"/>
      <c r="AH75" s="100"/>
      <c r="AI75" s="100"/>
      <c r="AJ75" s="100"/>
      <c r="AK75" s="100"/>
      <c r="AL75" s="100"/>
      <c r="AM75" s="100"/>
      <c r="AN75" s="100"/>
      <c r="AO75" s="100"/>
      <c r="AP75" s="100"/>
      <c r="AQ75" s="100"/>
      <c r="AR75" s="102"/>
    </row>
    <row r="76" ht="97.5" customHeight="1">
      <c r="A76" s="98"/>
      <c r="B76" s="99"/>
      <c r="C76" s="7"/>
      <c r="D76" s="105" t="s">
        <v>98</v>
      </c>
      <c r="E76" s="18"/>
      <c r="F76" s="18"/>
      <c r="G76" s="18"/>
      <c r="H76" s="18"/>
      <c r="I76" s="18"/>
      <c r="J76" s="18"/>
      <c r="K76" s="19"/>
      <c r="L76" s="100"/>
      <c r="M76" s="100"/>
      <c r="N76" s="100"/>
      <c r="O76" s="100"/>
      <c r="P76" s="100"/>
      <c r="Q76" s="100"/>
      <c r="R76" s="100"/>
      <c r="S76" s="100"/>
      <c r="T76" s="100"/>
      <c r="U76" s="100"/>
      <c r="V76" s="100"/>
      <c r="W76" s="100"/>
      <c r="X76" s="100"/>
      <c r="Y76" s="100"/>
      <c r="Z76" s="100"/>
      <c r="AA76" s="100"/>
      <c r="AB76" s="100"/>
      <c r="AC76" s="100"/>
      <c r="AD76" s="100"/>
      <c r="AE76" s="100"/>
      <c r="AF76" s="100"/>
      <c r="AG76" s="100"/>
      <c r="AH76" s="100"/>
      <c r="AI76" s="100"/>
      <c r="AJ76" s="100"/>
      <c r="AK76" s="100"/>
      <c r="AL76" s="100"/>
      <c r="AM76" s="100"/>
      <c r="AN76" s="100"/>
      <c r="AO76" s="100"/>
      <c r="AP76" s="100"/>
      <c r="AQ76" s="100"/>
      <c r="AR76" s="102"/>
    </row>
    <row r="77" ht="14.25" customHeight="1">
      <c r="A77" s="2"/>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9"/>
    </row>
    <row r="78" ht="14.25" customHeight="1">
      <c r="A78" s="2"/>
      <c r="B78" s="6"/>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9"/>
    </row>
    <row r="79" ht="14.25" customHeight="1">
      <c r="A79" s="2"/>
      <c r="B79" s="6"/>
      <c r="C79" s="7" t="s">
        <v>99</v>
      </c>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9"/>
    </row>
    <row r="80" ht="14.25" customHeight="1">
      <c r="A80" s="2"/>
      <c r="B80" s="6"/>
      <c r="C80" s="8"/>
      <c r="D80" s="8" t="s">
        <v>100</v>
      </c>
      <c r="E80" s="8" t="s">
        <v>101</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9"/>
    </row>
    <row r="81" ht="14.25" customHeight="1">
      <c r="A81" s="2"/>
      <c r="B81" s="6"/>
      <c r="C81" s="8"/>
      <c r="D81" s="8" t="s">
        <v>102</v>
      </c>
      <c r="E81" s="8" t="s">
        <v>103</v>
      </c>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9"/>
    </row>
    <row r="82" ht="14.25" customHeight="1">
      <c r="A82" s="2"/>
      <c r="B82" s="6"/>
      <c r="C82" s="8"/>
      <c r="D82" s="8" t="s">
        <v>104</v>
      </c>
      <c r="E82" s="8" t="s">
        <v>105</v>
      </c>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9"/>
    </row>
    <row r="83" ht="14.25" customHeight="1">
      <c r="A83" s="2"/>
      <c r="B83" s="6"/>
      <c r="C83" s="8"/>
      <c r="D83" s="8" t="s">
        <v>106</v>
      </c>
      <c r="E83" s="8" t="s">
        <v>107</v>
      </c>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9"/>
    </row>
    <row r="84" ht="14.25" customHeight="1">
      <c r="A84" s="2"/>
      <c r="B84" s="6"/>
      <c r="C84" s="8"/>
      <c r="D84" s="8" t="s">
        <v>108</v>
      </c>
      <c r="E84" s="8" t="s">
        <v>109</v>
      </c>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9"/>
    </row>
    <row r="85" ht="14.25" customHeight="1">
      <c r="A85" s="2"/>
      <c r="B85" s="6"/>
      <c r="C85" s="8"/>
      <c r="D85" s="8" t="s">
        <v>110</v>
      </c>
      <c r="E85" s="8" t="s">
        <v>111</v>
      </c>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9"/>
    </row>
    <row r="86" ht="14.25" customHeight="1">
      <c r="A86" s="2"/>
      <c r="B86" s="6"/>
      <c r="C86" s="8"/>
      <c r="D86" s="8" t="s">
        <v>112</v>
      </c>
      <c r="E86" s="8" t="s">
        <v>113</v>
      </c>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9"/>
    </row>
    <row r="87" ht="14.25" customHeight="1">
      <c r="A87" s="2"/>
      <c r="B87" s="6"/>
      <c r="C87" s="8"/>
      <c r="D87" s="8" t="s">
        <v>114</v>
      </c>
      <c r="E87" s="8" t="s">
        <v>115</v>
      </c>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9"/>
    </row>
    <row r="88" ht="14.25" customHeight="1">
      <c r="A88" s="2"/>
      <c r="B88" s="6"/>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9"/>
    </row>
    <row r="89" ht="14.25" customHeight="1">
      <c r="A89" s="2"/>
      <c r="B89" s="6"/>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9"/>
    </row>
    <row r="90" ht="14.25" customHeight="1">
      <c r="A90" s="2"/>
      <c r="B90" s="6"/>
      <c r="C90" s="7" t="s">
        <v>116</v>
      </c>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9"/>
    </row>
    <row r="91" ht="32.25" customHeight="1">
      <c r="A91" s="2"/>
      <c r="B91" s="6"/>
      <c r="C91" s="8"/>
      <c r="D91" s="106" t="s">
        <v>117</v>
      </c>
      <c r="E91" s="18"/>
      <c r="F91" s="18"/>
      <c r="G91" s="18"/>
      <c r="H91" s="18"/>
      <c r="I91" s="18"/>
      <c r="J91" s="18"/>
      <c r="K91" s="19"/>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9"/>
    </row>
    <row r="92" ht="14.25" customHeight="1">
      <c r="A92" s="2"/>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9"/>
    </row>
    <row r="93" ht="14.25" customHeight="1">
      <c r="A93" s="2"/>
      <c r="B93" s="6"/>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9"/>
    </row>
    <row r="94" ht="14.25" customHeight="1">
      <c r="A94" s="2"/>
      <c r="B94" s="6"/>
      <c r="C94" s="7" t="s">
        <v>118</v>
      </c>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9"/>
    </row>
    <row r="95" ht="19.5" customHeight="1">
      <c r="A95" s="98"/>
      <c r="B95" s="99"/>
      <c r="C95" s="100"/>
      <c r="D95" s="97" t="s">
        <v>119</v>
      </c>
      <c r="E95" s="18"/>
      <c r="F95" s="18"/>
      <c r="G95" s="18"/>
      <c r="H95" s="18"/>
      <c r="I95" s="18"/>
      <c r="J95" s="18"/>
      <c r="K95" s="19"/>
      <c r="L95" s="100"/>
      <c r="M95" s="100"/>
      <c r="N95" s="100"/>
      <c r="O95" s="100"/>
      <c r="P95" s="100"/>
      <c r="Q95" s="100"/>
      <c r="R95" s="100"/>
      <c r="S95" s="100"/>
      <c r="T95" s="100"/>
      <c r="U95" s="100"/>
      <c r="V95" s="100"/>
      <c r="W95" s="100"/>
      <c r="X95" s="100"/>
      <c r="Y95" s="100"/>
      <c r="Z95" s="100"/>
      <c r="AA95" s="100"/>
      <c r="AB95" s="100"/>
      <c r="AC95" s="100"/>
      <c r="AD95" s="100"/>
      <c r="AE95" s="100"/>
      <c r="AF95" s="100"/>
      <c r="AG95" s="100"/>
      <c r="AH95" s="100"/>
      <c r="AI95" s="100"/>
      <c r="AJ95" s="100"/>
      <c r="AK95" s="100"/>
      <c r="AL95" s="100"/>
      <c r="AM95" s="100"/>
      <c r="AN95" s="100"/>
      <c r="AO95" s="100"/>
      <c r="AP95" s="100"/>
      <c r="AQ95" s="100"/>
      <c r="AR95" s="102"/>
    </row>
    <row r="96" ht="18.75" customHeight="1">
      <c r="A96" s="2"/>
      <c r="B96" s="6"/>
      <c r="C96" s="8"/>
      <c r="D96" s="97" t="s">
        <v>120</v>
      </c>
      <c r="E96" s="18"/>
      <c r="F96" s="18"/>
      <c r="G96" s="18"/>
      <c r="H96" s="18"/>
      <c r="I96" s="18"/>
      <c r="J96" s="18"/>
      <c r="K96" s="19"/>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9"/>
    </row>
    <row r="97" ht="33.0" customHeight="1">
      <c r="A97" s="2"/>
      <c r="B97" s="6"/>
      <c r="C97" s="8"/>
      <c r="D97" s="107" t="s">
        <v>121</v>
      </c>
      <c r="E97" s="18"/>
      <c r="F97" s="18"/>
      <c r="G97" s="18"/>
      <c r="H97" s="18"/>
      <c r="I97" s="18"/>
      <c r="J97" s="18"/>
      <c r="K97" s="19"/>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9"/>
    </row>
    <row r="98" ht="34.5" customHeight="1">
      <c r="A98" s="2"/>
      <c r="B98" s="6"/>
      <c r="C98" s="8"/>
      <c r="D98" s="107" t="s">
        <v>122</v>
      </c>
      <c r="E98" s="18"/>
      <c r="F98" s="18"/>
      <c r="G98" s="18"/>
      <c r="H98" s="18"/>
      <c r="I98" s="18"/>
      <c r="J98" s="18"/>
      <c r="K98" s="19"/>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9"/>
    </row>
    <row r="99" ht="49.5" customHeight="1">
      <c r="A99" s="2"/>
      <c r="B99" s="6"/>
      <c r="C99" s="8"/>
      <c r="D99" s="107" t="s">
        <v>123</v>
      </c>
      <c r="E99" s="18"/>
      <c r="F99" s="18"/>
      <c r="G99" s="18"/>
      <c r="H99" s="18"/>
      <c r="I99" s="18"/>
      <c r="J99" s="18"/>
      <c r="K99" s="19"/>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9"/>
    </row>
    <row r="100" ht="61.5" customHeight="1">
      <c r="A100" s="2"/>
      <c r="B100" s="6"/>
      <c r="C100" s="8"/>
      <c r="D100" s="107" t="s">
        <v>124</v>
      </c>
      <c r="E100" s="18"/>
      <c r="F100" s="18"/>
      <c r="G100" s="18"/>
      <c r="H100" s="18"/>
      <c r="I100" s="18"/>
      <c r="J100" s="18"/>
      <c r="K100" s="19"/>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9"/>
    </row>
    <row r="101" ht="51.0" customHeight="1">
      <c r="A101" s="2"/>
      <c r="B101" s="6"/>
      <c r="C101" s="8"/>
      <c r="D101" s="107" t="s">
        <v>125</v>
      </c>
      <c r="E101" s="18"/>
      <c r="F101" s="18"/>
      <c r="G101" s="18"/>
      <c r="H101" s="18"/>
      <c r="I101" s="18"/>
      <c r="J101" s="18"/>
      <c r="K101" s="19"/>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9"/>
    </row>
    <row r="102" ht="14.25" customHeight="1">
      <c r="A102" s="2"/>
      <c r="B102" s="108"/>
      <c r="C102" s="109"/>
      <c r="D102" s="109"/>
      <c r="E102" s="109"/>
      <c r="F102" s="109"/>
      <c r="G102" s="109"/>
      <c r="H102" s="109"/>
      <c r="I102" s="109"/>
      <c r="J102" s="109"/>
      <c r="K102" s="109"/>
      <c r="L102" s="109"/>
      <c r="M102" s="109"/>
      <c r="N102" s="109"/>
      <c r="O102" s="109"/>
      <c r="P102" s="109"/>
      <c r="Q102" s="109"/>
      <c r="R102" s="109"/>
      <c r="S102" s="109"/>
      <c r="T102" s="109"/>
      <c r="U102" s="109"/>
      <c r="V102" s="109"/>
      <c r="W102" s="109"/>
      <c r="X102" s="109"/>
      <c r="Y102" s="109"/>
      <c r="Z102" s="109"/>
      <c r="AA102" s="109"/>
      <c r="AB102" s="109"/>
      <c r="AC102" s="109"/>
      <c r="AD102" s="109"/>
      <c r="AE102" s="109"/>
      <c r="AF102" s="109"/>
      <c r="AG102" s="109"/>
      <c r="AH102" s="109"/>
      <c r="AI102" s="109"/>
      <c r="AJ102" s="109"/>
      <c r="AK102" s="109"/>
      <c r="AL102" s="109"/>
      <c r="AM102" s="109"/>
      <c r="AN102" s="109"/>
      <c r="AO102" s="109"/>
      <c r="AP102" s="109"/>
      <c r="AQ102" s="109"/>
      <c r="AR102" s="110"/>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row>
  </sheetData>
  <mergeCells count="50">
    <mergeCell ref="D100:K100"/>
    <mergeCell ref="D101:K101"/>
    <mergeCell ref="D76:K76"/>
    <mergeCell ref="D91:K91"/>
    <mergeCell ref="D95:K95"/>
    <mergeCell ref="D96:K96"/>
    <mergeCell ref="D97:K97"/>
    <mergeCell ref="D98:K98"/>
    <mergeCell ref="D99:K99"/>
    <mergeCell ref="E19:K19"/>
    <mergeCell ref="E20:K20"/>
    <mergeCell ref="E14:K14"/>
    <mergeCell ref="D16:D17"/>
    <mergeCell ref="E16:H16"/>
    <mergeCell ref="I16:K16"/>
    <mergeCell ref="E17:K17"/>
    <mergeCell ref="E18:K18"/>
    <mergeCell ref="E21:K21"/>
    <mergeCell ref="E22:K22"/>
    <mergeCell ref="F23:K23"/>
    <mergeCell ref="H24:K24"/>
    <mergeCell ref="H25:K25"/>
    <mergeCell ref="H26:K26"/>
    <mergeCell ref="H27:K27"/>
    <mergeCell ref="H28:K28"/>
    <mergeCell ref="D51:F51"/>
    <mergeCell ref="D52:F52"/>
    <mergeCell ref="D53:F53"/>
    <mergeCell ref="D54:F54"/>
    <mergeCell ref="D20:D21"/>
    <mergeCell ref="D22:D23"/>
    <mergeCell ref="D24:D27"/>
    <mergeCell ref="E24:G27"/>
    <mergeCell ref="D29:D31"/>
    <mergeCell ref="D49:F49"/>
    <mergeCell ref="D50:F50"/>
    <mergeCell ref="E29:K29"/>
    <mergeCell ref="E30:K30"/>
    <mergeCell ref="E31:K31"/>
    <mergeCell ref="D36:I36"/>
    <mergeCell ref="D37:I37"/>
    <mergeCell ref="H51:K51"/>
    <mergeCell ref="H52:K52"/>
    <mergeCell ref="H53:K53"/>
    <mergeCell ref="H54:K54"/>
    <mergeCell ref="D58:K58"/>
    <mergeCell ref="D61:K61"/>
    <mergeCell ref="D64:K64"/>
    <mergeCell ref="D68:K68"/>
    <mergeCell ref="D72:K72"/>
  </mergeCells>
  <hyperlinks>
    <hyperlink r:id="rId1" ref="D76"/>
  </hyperlinks>
  <printOptions/>
  <pageMargins bottom="0.75" footer="0.0" header="0.0" left="0.7" right="0.7" top="0.75"/>
  <pageSetup paperSize="9" orientation="portrait"/>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showGridLines="0" workbookViewId="0">
      <pane ySplit="1.0" topLeftCell="A2" activePane="bottomLeft" state="frozen"/>
      <selection activeCell="B3" sqref="B3" pane="bottomLeft"/>
    </sheetView>
  </sheetViews>
  <sheetFormatPr customHeight="1" defaultColWidth="14.43" defaultRowHeight="15.0"/>
  <cols>
    <col customWidth="1" min="1" max="4" width="3.43"/>
    <col customWidth="1" min="5" max="5" width="58.57"/>
    <col customWidth="1" min="6" max="6" width="8.57"/>
    <col customWidth="1" min="7" max="7" width="13.43"/>
    <col customWidth="1" min="8" max="11" width="28.43"/>
    <col customWidth="1" min="12" max="12" width="71.43"/>
    <col customWidth="1" hidden="1" min="13" max="13" width="11.43"/>
    <col customWidth="1" min="14" max="14" width="6.43"/>
    <col customWidth="1" min="15" max="33" width="10.57"/>
  </cols>
  <sheetData>
    <row r="1" ht="14.25" customHeight="1">
      <c r="A1" s="111" t="s">
        <v>126</v>
      </c>
      <c r="B1" s="112"/>
      <c r="C1" s="112"/>
      <c r="D1" s="112"/>
      <c r="E1" s="113"/>
      <c r="F1" s="114" t="s">
        <v>50</v>
      </c>
      <c r="G1" s="114" t="s">
        <v>51</v>
      </c>
      <c r="H1" s="114" t="s">
        <v>1</v>
      </c>
      <c r="I1" s="114" t="s">
        <v>52</v>
      </c>
      <c r="J1" s="114" t="s">
        <v>54</v>
      </c>
      <c r="K1" s="114" t="s">
        <v>55</v>
      </c>
      <c r="L1" s="114" t="s">
        <v>56</v>
      </c>
      <c r="M1" s="115" t="s">
        <v>127</v>
      </c>
      <c r="N1" s="116"/>
      <c r="O1" s="2"/>
      <c r="P1" s="2"/>
      <c r="Q1" s="2"/>
      <c r="R1" s="2"/>
      <c r="S1" s="2"/>
      <c r="T1" s="2"/>
      <c r="U1" s="2"/>
      <c r="V1" s="2"/>
      <c r="W1" s="2"/>
      <c r="X1" s="2"/>
      <c r="Y1" s="2"/>
      <c r="Z1" s="2"/>
      <c r="AA1" s="2"/>
      <c r="AB1" s="2"/>
      <c r="AC1" s="2"/>
      <c r="AD1" s="2"/>
      <c r="AE1" s="2"/>
      <c r="AF1" s="2"/>
      <c r="AG1" s="2"/>
    </row>
    <row r="2" ht="14.25" customHeight="1">
      <c r="A2" s="117" t="s">
        <v>128</v>
      </c>
      <c r="B2" s="118"/>
      <c r="C2" s="118"/>
      <c r="D2" s="118"/>
      <c r="E2" s="118"/>
      <c r="F2" s="118"/>
      <c r="G2" s="118"/>
      <c r="H2" s="119"/>
      <c r="I2" s="119"/>
      <c r="J2" s="119"/>
      <c r="K2" s="119"/>
      <c r="L2" s="118"/>
      <c r="M2" s="100" t="b">
        <f t="shared" ref="M2:M36" si="1">_xlfn.ISFORMULA(H2)</f>
        <v>0</v>
      </c>
      <c r="N2" s="120"/>
      <c r="O2" s="2"/>
      <c r="P2" s="2"/>
      <c r="Q2" s="2"/>
      <c r="R2" s="2"/>
      <c r="S2" s="2"/>
      <c r="T2" s="2"/>
      <c r="U2" s="2"/>
      <c r="V2" s="2"/>
      <c r="W2" s="2"/>
      <c r="X2" s="2"/>
      <c r="Y2" s="2"/>
      <c r="Z2" s="2"/>
      <c r="AA2" s="2"/>
      <c r="AB2" s="2"/>
      <c r="AC2" s="2"/>
      <c r="AD2" s="2"/>
      <c r="AE2" s="2"/>
      <c r="AF2" s="2"/>
      <c r="AG2" s="2"/>
    </row>
    <row r="3" ht="14.25" customHeight="1">
      <c r="A3" s="121"/>
      <c r="B3" s="2"/>
      <c r="C3" s="2"/>
      <c r="D3" s="2"/>
      <c r="E3" s="122" t="s">
        <v>129</v>
      </c>
      <c r="F3" s="123"/>
      <c r="G3" s="123" t="s">
        <v>130</v>
      </c>
      <c r="H3" s="124" t="s">
        <v>131</v>
      </c>
      <c r="I3" s="125"/>
      <c r="J3" s="125"/>
      <c r="K3" s="125"/>
      <c r="L3" s="126" t="s">
        <v>132</v>
      </c>
      <c r="M3" s="100" t="b">
        <f t="shared" si="1"/>
        <v>0</v>
      </c>
      <c r="N3" s="120"/>
      <c r="O3" s="2"/>
      <c r="P3" s="2"/>
      <c r="Q3" s="2"/>
      <c r="R3" s="2"/>
      <c r="S3" s="2"/>
      <c r="T3" s="2"/>
      <c r="U3" s="2"/>
      <c r="V3" s="2"/>
      <c r="W3" s="2"/>
      <c r="X3" s="2"/>
      <c r="Y3" s="2"/>
      <c r="Z3" s="2"/>
      <c r="AA3" s="2"/>
      <c r="AB3" s="2"/>
      <c r="AC3" s="2"/>
      <c r="AD3" s="2"/>
      <c r="AE3" s="2"/>
      <c r="AF3" s="2"/>
      <c r="AG3" s="2"/>
    </row>
    <row r="4" ht="9.75" customHeight="1">
      <c r="A4" s="121"/>
      <c r="B4" s="2"/>
      <c r="C4" s="2"/>
      <c r="D4" s="2"/>
      <c r="E4" s="127"/>
      <c r="F4" s="128"/>
      <c r="G4" s="128"/>
      <c r="H4" s="128"/>
      <c r="I4" s="128"/>
      <c r="J4" s="128"/>
      <c r="K4" s="128"/>
      <c r="L4" s="128"/>
      <c r="M4" s="100" t="b">
        <f t="shared" si="1"/>
        <v>0</v>
      </c>
      <c r="N4" s="120"/>
      <c r="O4" s="2"/>
      <c r="P4" s="2"/>
      <c r="Q4" s="2"/>
      <c r="R4" s="2"/>
      <c r="S4" s="2"/>
      <c r="T4" s="2"/>
      <c r="U4" s="2"/>
      <c r="V4" s="2"/>
      <c r="W4" s="2"/>
      <c r="X4" s="2"/>
      <c r="Y4" s="2"/>
      <c r="Z4" s="2"/>
      <c r="AA4" s="2"/>
      <c r="AB4" s="2"/>
      <c r="AC4" s="2"/>
      <c r="AD4" s="2"/>
      <c r="AE4" s="2"/>
      <c r="AF4" s="2"/>
      <c r="AG4" s="2"/>
    </row>
    <row r="5" ht="14.25" customHeight="1">
      <c r="A5" s="117" t="s">
        <v>133</v>
      </c>
      <c r="B5" s="118"/>
      <c r="C5" s="118"/>
      <c r="D5" s="118"/>
      <c r="E5" s="118"/>
      <c r="F5" s="118"/>
      <c r="G5" s="118"/>
      <c r="H5" s="119"/>
      <c r="I5" s="119"/>
      <c r="J5" s="119"/>
      <c r="K5" s="119"/>
      <c r="L5" s="118"/>
      <c r="M5" s="100" t="b">
        <f t="shared" si="1"/>
        <v>0</v>
      </c>
      <c r="N5" s="120"/>
      <c r="O5" s="2"/>
      <c r="P5" s="2"/>
      <c r="Q5" s="2"/>
      <c r="R5" s="2"/>
      <c r="S5" s="2"/>
      <c r="T5" s="2"/>
      <c r="U5" s="2"/>
      <c r="V5" s="2"/>
      <c r="W5" s="2"/>
      <c r="X5" s="2"/>
      <c r="Y5" s="2"/>
      <c r="Z5" s="2"/>
      <c r="AA5" s="2"/>
      <c r="AB5" s="2"/>
      <c r="AC5" s="2"/>
      <c r="AD5" s="2"/>
      <c r="AE5" s="2"/>
      <c r="AF5" s="2"/>
      <c r="AG5" s="2"/>
    </row>
    <row r="6" ht="14.25" customHeight="1">
      <c r="A6" s="121"/>
      <c r="B6" s="2"/>
      <c r="C6" s="2"/>
      <c r="D6" s="2"/>
      <c r="E6" s="122" t="s">
        <v>134</v>
      </c>
      <c r="F6" s="123" t="s">
        <v>135</v>
      </c>
      <c r="G6" s="123" t="s">
        <v>136</v>
      </c>
      <c r="H6" s="129">
        <v>409.376</v>
      </c>
      <c r="I6" s="125"/>
      <c r="J6" s="125"/>
      <c r="K6" s="125"/>
      <c r="L6" s="130" t="s">
        <v>137</v>
      </c>
      <c r="M6" s="100" t="b">
        <f t="shared" si="1"/>
        <v>0</v>
      </c>
      <c r="N6" s="120"/>
      <c r="O6" s="2"/>
      <c r="P6" s="2"/>
      <c r="Q6" s="2"/>
      <c r="R6" s="2"/>
      <c r="S6" s="2"/>
      <c r="T6" s="2"/>
      <c r="U6" s="2"/>
      <c r="V6" s="2"/>
      <c r="W6" s="2"/>
      <c r="X6" s="2"/>
      <c r="Y6" s="2"/>
      <c r="Z6" s="2"/>
      <c r="AA6" s="2"/>
      <c r="AB6" s="2"/>
      <c r="AC6" s="2"/>
      <c r="AD6" s="2"/>
      <c r="AE6" s="2"/>
      <c r="AF6" s="2"/>
      <c r="AG6" s="2"/>
    </row>
    <row r="7" ht="14.25" customHeight="1">
      <c r="A7" s="121"/>
      <c r="B7" s="2"/>
      <c r="C7" s="2"/>
      <c r="D7" s="2"/>
      <c r="E7" s="122" t="s">
        <v>138</v>
      </c>
      <c r="F7" s="123" t="s">
        <v>135</v>
      </c>
      <c r="G7" s="123" t="s">
        <v>139</v>
      </c>
      <c r="H7" s="129">
        <v>496.601</v>
      </c>
      <c r="I7" s="125"/>
      <c r="J7" s="125"/>
      <c r="K7" s="125"/>
      <c r="L7" s="130" t="s">
        <v>140</v>
      </c>
      <c r="M7" s="100" t="b">
        <f t="shared" si="1"/>
        <v>0</v>
      </c>
      <c r="N7" s="120"/>
      <c r="O7" s="2"/>
      <c r="P7" s="2"/>
      <c r="Q7" s="2"/>
      <c r="R7" s="2"/>
      <c r="S7" s="2"/>
      <c r="T7" s="2"/>
      <c r="U7" s="2"/>
      <c r="V7" s="2"/>
      <c r="W7" s="2"/>
      <c r="X7" s="2"/>
      <c r="Y7" s="2"/>
      <c r="Z7" s="2"/>
      <c r="AA7" s="2"/>
      <c r="AB7" s="2"/>
      <c r="AC7" s="2"/>
      <c r="AD7" s="2"/>
      <c r="AE7" s="2"/>
      <c r="AF7" s="2"/>
      <c r="AG7" s="2"/>
    </row>
    <row r="8" ht="14.25" customHeight="1">
      <c r="A8" s="121"/>
      <c r="B8" s="2"/>
      <c r="C8" s="2"/>
      <c r="D8" s="2"/>
      <c r="E8" s="122" t="s">
        <v>141</v>
      </c>
      <c r="F8" s="123" t="s">
        <v>142</v>
      </c>
      <c r="G8" s="123" t="s">
        <v>143</v>
      </c>
      <c r="H8" s="124">
        <v>0.1469</v>
      </c>
      <c r="I8" s="125"/>
      <c r="J8" s="125" t="s">
        <v>144</v>
      </c>
      <c r="K8" s="125"/>
      <c r="L8" s="126"/>
      <c r="M8" s="100" t="b">
        <f t="shared" si="1"/>
        <v>0</v>
      </c>
      <c r="N8" s="120"/>
      <c r="O8" s="2"/>
      <c r="P8" s="2"/>
      <c r="Q8" s="2"/>
      <c r="R8" s="2"/>
      <c r="S8" s="2"/>
      <c r="T8" s="2"/>
      <c r="U8" s="2"/>
      <c r="V8" s="2"/>
      <c r="W8" s="2"/>
      <c r="X8" s="2"/>
      <c r="Y8" s="2"/>
      <c r="Z8" s="2"/>
      <c r="AA8" s="2"/>
      <c r="AB8" s="2"/>
      <c r="AC8" s="2"/>
      <c r="AD8" s="2"/>
      <c r="AE8" s="2"/>
      <c r="AF8" s="2"/>
      <c r="AG8" s="2"/>
    </row>
    <row r="9" ht="9.75" customHeight="1">
      <c r="A9" s="121"/>
      <c r="B9" s="2"/>
      <c r="C9" s="2"/>
      <c r="D9" s="2"/>
      <c r="E9" s="127"/>
      <c r="F9" s="128"/>
      <c r="G9" s="128"/>
      <c r="H9" s="131"/>
      <c r="I9" s="131"/>
      <c r="J9" s="131"/>
      <c r="K9" s="131"/>
      <c r="L9" s="128"/>
      <c r="M9" s="100" t="b">
        <f t="shared" si="1"/>
        <v>0</v>
      </c>
      <c r="N9" s="120"/>
      <c r="O9" s="2"/>
      <c r="P9" s="2"/>
      <c r="Q9" s="2"/>
      <c r="R9" s="2"/>
      <c r="S9" s="2"/>
      <c r="T9" s="2"/>
      <c r="U9" s="2"/>
      <c r="V9" s="2"/>
      <c r="W9" s="2"/>
      <c r="X9" s="2"/>
      <c r="Y9" s="2"/>
      <c r="Z9" s="2"/>
      <c r="AA9" s="2"/>
      <c r="AB9" s="2"/>
      <c r="AC9" s="2"/>
      <c r="AD9" s="2"/>
      <c r="AE9" s="2"/>
      <c r="AF9" s="2"/>
      <c r="AG9" s="2"/>
    </row>
    <row r="10" ht="14.25" customHeight="1">
      <c r="A10" s="117" t="s">
        <v>145</v>
      </c>
      <c r="B10" s="118"/>
      <c r="C10" s="118"/>
      <c r="D10" s="118"/>
      <c r="E10" s="118"/>
      <c r="F10" s="118"/>
      <c r="G10" s="118"/>
      <c r="H10" s="119"/>
      <c r="I10" s="119"/>
      <c r="J10" s="119"/>
      <c r="K10" s="119"/>
      <c r="L10" s="118"/>
      <c r="M10" s="100" t="b">
        <f t="shared" si="1"/>
        <v>0</v>
      </c>
      <c r="N10" s="120"/>
      <c r="O10" s="2"/>
      <c r="P10" s="2"/>
      <c r="Q10" s="2"/>
      <c r="R10" s="2"/>
      <c r="S10" s="2"/>
      <c r="T10" s="2"/>
      <c r="U10" s="2"/>
      <c r="V10" s="2"/>
      <c r="W10" s="2"/>
      <c r="X10" s="2"/>
      <c r="Y10" s="2"/>
      <c r="Z10" s="2"/>
      <c r="AA10" s="2"/>
      <c r="AB10" s="2"/>
      <c r="AC10" s="2"/>
      <c r="AD10" s="2"/>
      <c r="AE10" s="2"/>
      <c r="AF10" s="2"/>
      <c r="AG10" s="2"/>
    </row>
    <row r="11" ht="14.25" customHeight="1">
      <c r="A11" s="121"/>
      <c r="B11" s="2"/>
      <c r="C11" s="2"/>
      <c r="D11" s="2"/>
      <c r="E11" s="122" t="s">
        <v>146</v>
      </c>
      <c r="F11" s="123"/>
      <c r="G11" s="123" t="s">
        <v>147</v>
      </c>
      <c r="H11" s="124" t="s">
        <v>148</v>
      </c>
      <c r="I11" s="125"/>
      <c r="J11" s="125"/>
      <c r="K11" s="125"/>
      <c r="L11" s="126"/>
      <c r="M11" s="100" t="b">
        <f t="shared" si="1"/>
        <v>0</v>
      </c>
      <c r="N11" s="120"/>
      <c r="O11" s="2"/>
      <c r="P11" s="2"/>
      <c r="Q11" s="2"/>
      <c r="R11" s="2"/>
      <c r="S11" s="2"/>
      <c r="T11" s="2"/>
      <c r="U11" s="2"/>
      <c r="V11" s="2"/>
      <c r="W11" s="2"/>
      <c r="X11" s="2"/>
      <c r="Y11" s="2"/>
      <c r="Z11" s="2"/>
      <c r="AA11" s="2"/>
      <c r="AB11" s="2"/>
      <c r="AC11" s="2"/>
      <c r="AD11" s="2"/>
      <c r="AE11" s="2"/>
      <c r="AF11" s="2"/>
      <c r="AG11" s="2"/>
    </row>
    <row r="12" ht="14.25" customHeight="1">
      <c r="A12" s="121"/>
      <c r="B12" s="2"/>
      <c r="C12" s="2"/>
      <c r="D12" s="2"/>
      <c r="E12" s="122" t="s">
        <v>149</v>
      </c>
      <c r="F12" s="123"/>
      <c r="G12" s="123" t="s">
        <v>150</v>
      </c>
      <c r="H12" s="124" t="s">
        <v>151</v>
      </c>
      <c r="I12" s="125"/>
      <c r="J12" s="125"/>
      <c r="K12" s="125"/>
      <c r="L12" s="126"/>
      <c r="M12" s="100" t="b">
        <f t="shared" si="1"/>
        <v>0</v>
      </c>
      <c r="N12" s="120"/>
      <c r="O12" s="2"/>
      <c r="P12" s="2"/>
      <c r="Q12" s="2"/>
      <c r="R12" s="2"/>
      <c r="S12" s="2"/>
      <c r="T12" s="2"/>
      <c r="U12" s="2"/>
      <c r="V12" s="2"/>
      <c r="W12" s="2"/>
      <c r="X12" s="2"/>
      <c r="Y12" s="2"/>
      <c r="Z12" s="2"/>
      <c r="AA12" s="2"/>
      <c r="AB12" s="2"/>
      <c r="AC12" s="2"/>
      <c r="AD12" s="2"/>
      <c r="AE12" s="2"/>
      <c r="AF12" s="2"/>
      <c r="AG12" s="2"/>
    </row>
    <row r="13" ht="14.25" customHeight="1">
      <c r="A13" s="121"/>
      <c r="B13" s="2"/>
      <c r="C13" s="2"/>
      <c r="D13" s="2"/>
      <c r="E13" s="122" t="s">
        <v>152</v>
      </c>
      <c r="F13" s="123"/>
      <c r="G13" s="123" t="s">
        <v>153</v>
      </c>
      <c r="H13" s="124" t="s">
        <v>154</v>
      </c>
      <c r="I13" s="125"/>
      <c r="J13" s="125"/>
      <c r="K13" s="125"/>
      <c r="L13" s="126"/>
      <c r="M13" s="100" t="b">
        <f t="shared" si="1"/>
        <v>0</v>
      </c>
      <c r="N13" s="120"/>
      <c r="O13" s="2"/>
      <c r="P13" s="2"/>
      <c r="Q13" s="2"/>
      <c r="R13" s="2"/>
      <c r="S13" s="2"/>
      <c r="T13" s="2"/>
      <c r="U13" s="2"/>
      <c r="V13" s="2"/>
      <c r="W13" s="2"/>
      <c r="X13" s="2"/>
      <c r="Y13" s="2"/>
      <c r="Z13" s="2"/>
      <c r="AA13" s="2"/>
      <c r="AB13" s="2"/>
      <c r="AC13" s="2"/>
      <c r="AD13" s="2"/>
      <c r="AE13" s="2"/>
      <c r="AF13" s="2"/>
      <c r="AG13" s="2"/>
    </row>
    <row r="14" ht="14.25" customHeight="1">
      <c r="A14" s="121"/>
      <c r="B14" s="2"/>
      <c r="C14" s="2"/>
      <c r="D14" s="2"/>
      <c r="E14" s="122" t="s">
        <v>155</v>
      </c>
      <c r="F14" s="123"/>
      <c r="G14" s="123" t="s">
        <v>156</v>
      </c>
      <c r="H14" s="124" t="s">
        <v>157</v>
      </c>
      <c r="I14" s="125"/>
      <c r="J14" s="125"/>
      <c r="K14" s="125"/>
      <c r="L14" s="126"/>
      <c r="M14" s="100" t="b">
        <f t="shared" si="1"/>
        <v>0</v>
      </c>
      <c r="N14" s="120"/>
      <c r="O14" s="2"/>
      <c r="P14" s="2"/>
      <c r="Q14" s="2"/>
      <c r="R14" s="2"/>
      <c r="S14" s="2"/>
      <c r="T14" s="2"/>
      <c r="U14" s="2"/>
      <c r="V14" s="2"/>
      <c r="W14" s="2"/>
      <c r="X14" s="2"/>
      <c r="Y14" s="2"/>
      <c r="Z14" s="2"/>
      <c r="AA14" s="2"/>
      <c r="AB14" s="2"/>
      <c r="AC14" s="2"/>
      <c r="AD14" s="2"/>
      <c r="AE14" s="2"/>
      <c r="AF14" s="2"/>
      <c r="AG14" s="2"/>
    </row>
    <row r="15" ht="14.25" customHeight="1">
      <c r="A15" s="121"/>
      <c r="B15" s="2"/>
      <c r="C15" s="2"/>
      <c r="D15" s="2"/>
      <c r="E15" s="122" t="s">
        <v>158</v>
      </c>
      <c r="F15" s="123"/>
      <c r="G15" s="123" t="s">
        <v>159</v>
      </c>
      <c r="H15" s="124" t="s">
        <v>160</v>
      </c>
      <c r="I15" s="125"/>
      <c r="J15" s="125"/>
      <c r="K15" s="125"/>
      <c r="L15" s="126"/>
      <c r="M15" s="100" t="b">
        <f t="shared" si="1"/>
        <v>0</v>
      </c>
      <c r="N15" s="120"/>
      <c r="O15" s="2"/>
      <c r="P15" s="2"/>
      <c r="Q15" s="2"/>
      <c r="R15" s="2"/>
      <c r="S15" s="2"/>
      <c r="T15" s="2"/>
      <c r="U15" s="2"/>
      <c r="V15" s="2"/>
      <c r="W15" s="2"/>
      <c r="X15" s="2"/>
      <c r="Y15" s="2"/>
      <c r="Z15" s="2"/>
      <c r="AA15" s="2"/>
      <c r="AB15" s="2"/>
      <c r="AC15" s="2"/>
      <c r="AD15" s="2"/>
      <c r="AE15" s="2"/>
      <c r="AF15" s="2"/>
      <c r="AG15" s="2"/>
    </row>
    <row r="16" ht="14.25" customHeight="1">
      <c r="A16" s="121"/>
      <c r="B16" s="2"/>
      <c r="C16" s="2"/>
      <c r="D16" s="2"/>
      <c r="E16" s="122" t="s">
        <v>161</v>
      </c>
      <c r="F16" s="123"/>
      <c r="G16" s="123" t="s">
        <v>162</v>
      </c>
      <c r="H16" s="124" t="s">
        <v>163</v>
      </c>
      <c r="I16" s="125"/>
      <c r="J16" s="125"/>
      <c r="K16" s="125"/>
      <c r="L16" s="126"/>
      <c r="M16" s="100" t="b">
        <f t="shared" si="1"/>
        <v>0</v>
      </c>
      <c r="N16" s="120"/>
      <c r="O16" s="2"/>
      <c r="P16" s="2"/>
      <c r="Q16" s="2"/>
      <c r="R16" s="2"/>
      <c r="S16" s="2"/>
      <c r="T16" s="2"/>
      <c r="U16" s="2"/>
      <c r="V16" s="2"/>
      <c r="W16" s="2"/>
      <c r="X16" s="2"/>
      <c r="Y16" s="2"/>
      <c r="Z16" s="2"/>
      <c r="AA16" s="2"/>
      <c r="AB16" s="2"/>
      <c r="AC16" s="2"/>
      <c r="AD16" s="2"/>
      <c r="AE16" s="2"/>
      <c r="AF16" s="2"/>
      <c r="AG16" s="2"/>
    </row>
    <row r="17" ht="14.25" customHeight="1">
      <c r="A17" s="121"/>
      <c r="B17" s="2"/>
      <c r="C17" s="2"/>
      <c r="D17" s="2"/>
      <c r="E17" s="122" t="s">
        <v>164</v>
      </c>
      <c r="F17" s="123"/>
      <c r="G17" s="123" t="s">
        <v>165</v>
      </c>
      <c r="H17" s="124" t="s">
        <v>166</v>
      </c>
      <c r="I17" s="125"/>
      <c r="J17" s="125"/>
      <c r="K17" s="125"/>
      <c r="L17" s="126"/>
      <c r="M17" s="100" t="b">
        <f t="shared" si="1"/>
        <v>0</v>
      </c>
      <c r="N17" s="120"/>
      <c r="O17" s="2"/>
      <c r="P17" s="2"/>
      <c r="Q17" s="2"/>
      <c r="R17" s="2"/>
      <c r="S17" s="2"/>
      <c r="T17" s="2"/>
      <c r="U17" s="2"/>
      <c r="V17" s="2"/>
      <c r="W17" s="2"/>
      <c r="X17" s="2"/>
      <c r="Y17" s="2"/>
      <c r="Z17" s="2"/>
      <c r="AA17" s="2"/>
      <c r="AB17" s="2"/>
      <c r="AC17" s="2"/>
      <c r="AD17" s="2"/>
      <c r="AE17" s="2"/>
      <c r="AF17" s="2"/>
      <c r="AG17" s="2"/>
    </row>
    <row r="18" ht="14.25" customHeight="1">
      <c r="A18" s="121"/>
      <c r="B18" s="2"/>
      <c r="C18" s="2"/>
      <c r="D18" s="2"/>
      <c r="E18" s="122" t="s">
        <v>167</v>
      </c>
      <c r="F18" s="123"/>
      <c r="G18" s="123" t="s">
        <v>168</v>
      </c>
      <c r="H18" s="124" t="s">
        <v>169</v>
      </c>
      <c r="I18" s="125"/>
      <c r="J18" s="125"/>
      <c r="K18" s="125"/>
      <c r="L18" s="126"/>
      <c r="M18" s="100" t="b">
        <f t="shared" si="1"/>
        <v>0</v>
      </c>
      <c r="N18" s="120"/>
      <c r="O18" s="2"/>
      <c r="P18" s="2"/>
      <c r="Q18" s="2"/>
      <c r="R18" s="2"/>
      <c r="S18" s="2"/>
      <c r="T18" s="2"/>
      <c r="U18" s="2"/>
      <c r="V18" s="2"/>
      <c r="W18" s="2"/>
      <c r="X18" s="2"/>
      <c r="Y18" s="2"/>
      <c r="Z18" s="2"/>
      <c r="AA18" s="2"/>
      <c r="AB18" s="2"/>
      <c r="AC18" s="2"/>
      <c r="AD18" s="2"/>
      <c r="AE18" s="2"/>
      <c r="AF18" s="2"/>
      <c r="AG18" s="2"/>
    </row>
    <row r="19" ht="14.25" customHeight="1">
      <c r="A19" s="121"/>
      <c r="B19" s="2"/>
      <c r="C19" s="2"/>
      <c r="D19" s="2"/>
      <c r="E19" s="122" t="s">
        <v>170</v>
      </c>
      <c r="F19" s="123"/>
      <c r="G19" s="123" t="s">
        <v>171</v>
      </c>
      <c r="H19" s="124" t="s">
        <v>172</v>
      </c>
      <c r="I19" s="125"/>
      <c r="J19" s="125"/>
      <c r="K19" s="125"/>
      <c r="L19" s="126"/>
      <c r="M19" s="100" t="b">
        <f t="shared" si="1"/>
        <v>0</v>
      </c>
      <c r="N19" s="120"/>
      <c r="O19" s="2"/>
      <c r="P19" s="2"/>
      <c r="Q19" s="2"/>
      <c r="R19" s="2"/>
      <c r="S19" s="2"/>
      <c r="T19" s="2"/>
      <c r="U19" s="2"/>
      <c r="V19" s="2"/>
      <c r="W19" s="2"/>
      <c r="X19" s="2"/>
      <c r="Y19" s="2"/>
      <c r="Z19" s="2"/>
      <c r="AA19" s="2"/>
      <c r="AB19" s="2"/>
      <c r="AC19" s="2"/>
      <c r="AD19" s="2"/>
      <c r="AE19" s="2"/>
      <c r="AF19" s="2"/>
      <c r="AG19" s="2"/>
    </row>
    <row r="20" ht="14.25" customHeight="1">
      <c r="A20" s="121"/>
      <c r="B20" s="2"/>
      <c r="C20" s="2"/>
      <c r="D20" s="2"/>
      <c r="E20" s="122" t="s">
        <v>173</v>
      </c>
      <c r="F20" s="123"/>
      <c r="G20" s="123" t="s">
        <v>174</v>
      </c>
      <c r="H20" s="124" t="s">
        <v>175</v>
      </c>
      <c r="I20" s="125"/>
      <c r="J20" s="125"/>
      <c r="K20" s="125"/>
      <c r="L20" s="126"/>
      <c r="M20" s="100" t="b">
        <f t="shared" si="1"/>
        <v>0</v>
      </c>
      <c r="N20" s="120"/>
      <c r="O20" s="2"/>
      <c r="P20" s="2"/>
      <c r="Q20" s="2"/>
      <c r="R20" s="2"/>
      <c r="S20" s="2"/>
      <c r="T20" s="2"/>
      <c r="U20" s="2"/>
      <c r="V20" s="2"/>
      <c r="W20" s="2"/>
      <c r="X20" s="2"/>
      <c r="Y20" s="2"/>
      <c r="Z20" s="2"/>
      <c r="AA20" s="2"/>
      <c r="AB20" s="2"/>
      <c r="AC20" s="2"/>
      <c r="AD20" s="2"/>
      <c r="AE20" s="2"/>
      <c r="AF20" s="2"/>
      <c r="AG20" s="2"/>
    </row>
    <row r="21" ht="14.25" customHeight="1">
      <c r="A21" s="121"/>
      <c r="B21" s="2"/>
      <c r="C21" s="2"/>
      <c r="D21" s="2"/>
      <c r="E21" s="122" t="s">
        <v>176</v>
      </c>
      <c r="F21" s="123"/>
      <c r="G21" s="123" t="s">
        <v>177</v>
      </c>
      <c r="H21" s="124" t="s">
        <v>178</v>
      </c>
      <c r="I21" s="125"/>
      <c r="J21" s="125"/>
      <c r="K21" s="125"/>
      <c r="L21" s="126"/>
      <c r="M21" s="100" t="b">
        <f t="shared" si="1"/>
        <v>0</v>
      </c>
      <c r="N21" s="120"/>
      <c r="O21" s="2"/>
      <c r="P21" s="2"/>
      <c r="Q21" s="2"/>
      <c r="R21" s="2"/>
      <c r="S21" s="2"/>
      <c r="T21" s="2"/>
      <c r="U21" s="2"/>
      <c r="V21" s="2"/>
      <c r="W21" s="2"/>
      <c r="X21" s="2"/>
      <c r="Y21" s="2"/>
      <c r="Z21" s="2"/>
      <c r="AA21" s="2"/>
      <c r="AB21" s="2"/>
      <c r="AC21" s="2"/>
      <c r="AD21" s="2"/>
      <c r="AE21" s="2"/>
      <c r="AF21" s="2"/>
      <c r="AG21" s="2"/>
    </row>
    <row r="22" ht="14.25" customHeight="1">
      <c r="A22" s="121"/>
      <c r="B22" s="2"/>
      <c r="C22" s="2"/>
      <c r="D22" s="2"/>
      <c r="E22" s="122" t="s">
        <v>179</v>
      </c>
      <c r="F22" s="123"/>
      <c r="G22" s="123" t="s">
        <v>180</v>
      </c>
      <c r="H22" s="124" t="s">
        <v>181</v>
      </c>
      <c r="I22" s="125"/>
      <c r="J22" s="125"/>
      <c r="K22" s="125"/>
      <c r="L22" s="126"/>
      <c r="M22" s="100" t="b">
        <f t="shared" si="1"/>
        <v>0</v>
      </c>
      <c r="N22" s="120"/>
      <c r="O22" s="2"/>
      <c r="P22" s="2"/>
      <c r="Q22" s="2"/>
      <c r="R22" s="2"/>
      <c r="S22" s="2"/>
      <c r="T22" s="2"/>
      <c r="U22" s="2"/>
      <c r="V22" s="2"/>
      <c r="W22" s="2"/>
      <c r="X22" s="2"/>
      <c r="Y22" s="2"/>
      <c r="Z22" s="2"/>
      <c r="AA22" s="2"/>
      <c r="AB22" s="2"/>
      <c r="AC22" s="2"/>
      <c r="AD22" s="2"/>
      <c r="AE22" s="2"/>
      <c r="AF22" s="2"/>
      <c r="AG22" s="2"/>
    </row>
    <row r="23" ht="14.25" customHeight="1">
      <c r="A23" s="121"/>
      <c r="B23" s="2"/>
      <c r="C23" s="2"/>
      <c r="D23" s="2"/>
      <c r="E23" s="122" t="s">
        <v>182</v>
      </c>
      <c r="F23" s="123"/>
      <c r="G23" s="123" t="s">
        <v>183</v>
      </c>
      <c r="H23" s="124" t="s">
        <v>184</v>
      </c>
      <c r="I23" s="125"/>
      <c r="J23" s="125"/>
      <c r="K23" s="125"/>
      <c r="L23" s="126"/>
      <c r="M23" s="100" t="b">
        <f t="shared" si="1"/>
        <v>0</v>
      </c>
      <c r="N23" s="120"/>
      <c r="O23" s="2"/>
      <c r="P23" s="2"/>
      <c r="Q23" s="2"/>
      <c r="R23" s="2"/>
      <c r="S23" s="2"/>
      <c r="T23" s="2"/>
      <c r="U23" s="2"/>
      <c r="V23" s="2"/>
      <c r="W23" s="2"/>
      <c r="X23" s="2"/>
      <c r="Y23" s="2"/>
      <c r="Z23" s="2"/>
      <c r="AA23" s="2"/>
      <c r="AB23" s="2"/>
      <c r="AC23" s="2"/>
      <c r="AD23" s="2"/>
      <c r="AE23" s="2"/>
      <c r="AF23" s="2"/>
      <c r="AG23" s="2"/>
    </row>
    <row r="24" ht="14.25" customHeight="1">
      <c r="A24" s="121"/>
      <c r="B24" s="2"/>
      <c r="C24" s="2"/>
      <c r="D24" s="2"/>
      <c r="E24" s="122" t="s">
        <v>185</v>
      </c>
      <c r="F24" s="123"/>
      <c r="G24" s="123" t="s">
        <v>186</v>
      </c>
      <c r="H24" s="124" t="s">
        <v>187</v>
      </c>
      <c r="I24" s="125"/>
      <c r="J24" s="125"/>
      <c r="K24" s="125"/>
      <c r="L24" s="126"/>
      <c r="M24" s="100" t="b">
        <f t="shared" si="1"/>
        <v>0</v>
      </c>
      <c r="N24" s="120"/>
      <c r="O24" s="2"/>
      <c r="P24" s="2"/>
      <c r="Q24" s="2"/>
      <c r="R24" s="2"/>
      <c r="S24" s="2"/>
      <c r="T24" s="2"/>
      <c r="U24" s="2"/>
      <c r="V24" s="2"/>
      <c r="W24" s="2"/>
      <c r="X24" s="2"/>
      <c r="Y24" s="2"/>
      <c r="Z24" s="2"/>
      <c r="AA24" s="2"/>
      <c r="AB24" s="2"/>
      <c r="AC24" s="2"/>
      <c r="AD24" s="2"/>
      <c r="AE24" s="2"/>
      <c r="AF24" s="2"/>
      <c r="AG24" s="2"/>
    </row>
    <row r="25" ht="14.25" customHeight="1">
      <c r="A25" s="121"/>
      <c r="B25" s="2"/>
      <c r="C25" s="2"/>
      <c r="D25" s="2"/>
      <c r="E25" s="122" t="s">
        <v>188</v>
      </c>
      <c r="F25" s="123"/>
      <c r="G25" s="123" t="s">
        <v>189</v>
      </c>
      <c r="H25" s="124" t="s">
        <v>190</v>
      </c>
      <c r="I25" s="125"/>
      <c r="J25" s="125"/>
      <c r="K25" s="125"/>
      <c r="L25" s="126"/>
      <c r="M25" s="100" t="b">
        <f t="shared" si="1"/>
        <v>0</v>
      </c>
      <c r="N25" s="120"/>
      <c r="O25" s="2"/>
      <c r="P25" s="2"/>
      <c r="Q25" s="2"/>
      <c r="R25" s="2"/>
      <c r="S25" s="2"/>
      <c r="T25" s="2"/>
      <c r="U25" s="2"/>
      <c r="V25" s="2"/>
      <c r="W25" s="2"/>
      <c r="X25" s="2"/>
      <c r="Y25" s="2"/>
      <c r="Z25" s="2"/>
      <c r="AA25" s="2"/>
      <c r="AB25" s="2"/>
      <c r="AC25" s="2"/>
      <c r="AD25" s="2"/>
      <c r="AE25" s="2"/>
      <c r="AF25" s="2"/>
      <c r="AG25" s="2"/>
    </row>
    <row r="26" ht="14.25" customHeight="1">
      <c r="A26" s="121"/>
      <c r="B26" s="2"/>
      <c r="C26" s="2"/>
      <c r="D26" s="2"/>
      <c r="E26" s="122" t="s">
        <v>191</v>
      </c>
      <c r="F26" s="123"/>
      <c r="G26" s="123" t="s">
        <v>192</v>
      </c>
      <c r="H26" s="124" t="s">
        <v>193</v>
      </c>
      <c r="I26" s="125"/>
      <c r="J26" s="125"/>
      <c r="K26" s="125"/>
      <c r="L26" s="126"/>
      <c r="M26" s="100" t="b">
        <f t="shared" si="1"/>
        <v>0</v>
      </c>
      <c r="N26" s="120"/>
      <c r="O26" s="2"/>
      <c r="P26" s="2"/>
      <c r="Q26" s="2"/>
      <c r="R26" s="2"/>
      <c r="S26" s="2"/>
      <c r="T26" s="2"/>
      <c r="U26" s="2"/>
      <c r="V26" s="2"/>
      <c r="W26" s="2"/>
      <c r="X26" s="2"/>
      <c r="Y26" s="2"/>
      <c r="Z26" s="2"/>
      <c r="AA26" s="2"/>
      <c r="AB26" s="2"/>
      <c r="AC26" s="2"/>
      <c r="AD26" s="2"/>
      <c r="AE26" s="2"/>
      <c r="AF26" s="2"/>
      <c r="AG26" s="2"/>
    </row>
    <row r="27" ht="14.25" customHeight="1">
      <c r="A27" s="121"/>
      <c r="B27" s="2"/>
      <c r="C27" s="2"/>
      <c r="D27" s="2"/>
      <c r="E27" s="122" t="s">
        <v>188</v>
      </c>
      <c r="F27" s="123"/>
      <c r="G27" s="123" t="s">
        <v>194</v>
      </c>
      <c r="H27" s="124" t="s">
        <v>190</v>
      </c>
      <c r="I27" s="125"/>
      <c r="J27" s="125"/>
      <c r="K27" s="125"/>
      <c r="L27" s="126"/>
      <c r="M27" s="100" t="b">
        <f t="shared" si="1"/>
        <v>0</v>
      </c>
      <c r="N27" s="120"/>
      <c r="O27" s="2"/>
      <c r="P27" s="2"/>
      <c r="Q27" s="2"/>
      <c r="R27" s="2"/>
      <c r="S27" s="2"/>
      <c r="T27" s="2"/>
      <c r="U27" s="2"/>
      <c r="V27" s="2"/>
      <c r="W27" s="2"/>
      <c r="X27" s="2"/>
      <c r="Y27" s="2"/>
      <c r="Z27" s="2"/>
      <c r="AA27" s="2"/>
      <c r="AB27" s="2"/>
      <c r="AC27" s="2"/>
      <c r="AD27" s="2"/>
      <c r="AE27" s="2"/>
      <c r="AF27" s="2"/>
      <c r="AG27" s="2"/>
    </row>
    <row r="28" ht="14.25" customHeight="1">
      <c r="A28" s="121"/>
      <c r="B28" s="2"/>
      <c r="C28" s="2"/>
      <c r="D28" s="2"/>
      <c r="E28" s="122" t="s">
        <v>191</v>
      </c>
      <c r="F28" s="123"/>
      <c r="G28" s="123" t="s">
        <v>195</v>
      </c>
      <c r="H28" s="124" t="s">
        <v>193</v>
      </c>
      <c r="I28" s="125"/>
      <c r="J28" s="125"/>
      <c r="K28" s="125"/>
      <c r="L28" s="126"/>
      <c r="M28" s="100" t="b">
        <f t="shared" si="1"/>
        <v>0</v>
      </c>
      <c r="N28" s="120"/>
      <c r="O28" s="2"/>
      <c r="P28" s="2"/>
      <c r="Q28" s="2"/>
      <c r="R28" s="2"/>
      <c r="S28" s="2"/>
      <c r="T28" s="2"/>
      <c r="U28" s="2"/>
      <c r="V28" s="2"/>
      <c r="W28" s="2"/>
      <c r="X28" s="2"/>
      <c r="Y28" s="2"/>
      <c r="Z28" s="2"/>
      <c r="AA28" s="2"/>
      <c r="AB28" s="2"/>
      <c r="AC28" s="2"/>
      <c r="AD28" s="2"/>
      <c r="AE28" s="2"/>
      <c r="AF28" s="2"/>
      <c r="AG28" s="2"/>
    </row>
    <row r="29" ht="14.25" hidden="1" customHeight="1">
      <c r="A29" s="121"/>
      <c r="B29" s="2"/>
      <c r="C29" s="2"/>
      <c r="D29" s="2"/>
      <c r="E29" s="2"/>
      <c r="F29" s="2"/>
      <c r="G29" s="2"/>
      <c r="H29" s="132" t="s">
        <v>148</v>
      </c>
      <c r="I29" s="132"/>
      <c r="J29" s="132"/>
      <c r="K29" s="132"/>
      <c r="L29" s="2" t="s">
        <v>131</v>
      </c>
      <c r="M29" s="100" t="b">
        <f t="shared" si="1"/>
        <v>0</v>
      </c>
      <c r="N29" s="120"/>
      <c r="O29" s="2"/>
      <c r="P29" s="2"/>
      <c r="Q29" s="2"/>
      <c r="R29" s="2"/>
      <c r="S29" s="2"/>
      <c r="T29" s="2"/>
      <c r="U29" s="2"/>
      <c r="V29" s="2"/>
      <c r="W29" s="2"/>
      <c r="X29" s="2"/>
      <c r="Y29" s="2"/>
      <c r="Z29" s="2"/>
      <c r="AA29" s="2"/>
      <c r="AB29" s="2"/>
      <c r="AC29" s="2"/>
      <c r="AD29" s="2"/>
      <c r="AE29" s="2"/>
      <c r="AF29" s="2"/>
      <c r="AG29" s="2"/>
    </row>
    <row r="30" ht="14.25" hidden="1" customHeight="1">
      <c r="A30" s="121"/>
      <c r="B30" s="2"/>
      <c r="C30" s="2"/>
      <c r="D30" s="2"/>
      <c r="E30" s="2"/>
      <c r="F30" s="2"/>
      <c r="G30" s="2"/>
      <c r="H30" s="132" t="s">
        <v>151</v>
      </c>
      <c r="I30" s="132"/>
      <c r="J30" s="132"/>
      <c r="K30" s="132"/>
      <c r="L30" s="2" t="s">
        <v>196</v>
      </c>
      <c r="M30" s="100" t="b">
        <f t="shared" si="1"/>
        <v>0</v>
      </c>
      <c r="N30" s="120"/>
      <c r="O30" s="2"/>
      <c r="P30" s="2"/>
      <c r="Q30" s="2"/>
      <c r="R30" s="2"/>
      <c r="S30" s="2"/>
      <c r="T30" s="2"/>
      <c r="U30" s="2"/>
      <c r="V30" s="2"/>
      <c r="W30" s="2"/>
      <c r="X30" s="2"/>
      <c r="Y30" s="2"/>
      <c r="Z30" s="2"/>
      <c r="AA30" s="2"/>
      <c r="AB30" s="2"/>
      <c r="AC30" s="2"/>
      <c r="AD30" s="2"/>
      <c r="AE30" s="2"/>
      <c r="AF30" s="2"/>
      <c r="AG30" s="2"/>
    </row>
    <row r="31" ht="14.25" hidden="1" customHeight="1">
      <c r="A31" s="121"/>
      <c r="B31" s="2"/>
      <c r="C31" s="2"/>
      <c r="D31" s="2"/>
      <c r="E31" s="2"/>
      <c r="F31" s="2"/>
      <c r="G31" s="2"/>
      <c r="H31" s="132" t="s">
        <v>154</v>
      </c>
      <c r="I31" s="132"/>
      <c r="J31" s="132"/>
      <c r="K31" s="132"/>
      <c r="L31" s="2"/>
      <c r="M31" s="100" t="b">
        <f t="shared" si="1"/>
        <v>0</v>
      </c>
      <c r="N31" s="120"/>
      <c r="O31" s="2"/>
      <c r="P31" s="2"/>
      <c r="Q31" s="2"/>
      <c r="R31" s="2"/>
      <c r="S31" s="2"/>
      <c r="T31" s="2"/>
      <c r="U31" s="2"/>
      <c r="V31" s="2"/>
      <c r="W31" s="2"/>
      <c r="X31" s="2"/>
      <c r="Y31" s="2"/>
      <c r="Z31" s="2"/>
      <c r="AA31" s="2"/>
      <c r="AB31" s="2"/>
      <c r="AC31" s="2"/>
      <c r="AD31" s="2"/>
      <c r="AE31" s="2"/>
      <c r="AF31" s="2"/>
      <c r="AG31" s="2"/>
    </row>
    <row r="32" ht="14.25" hidden="1" customHeight="1">
      <c r="A32" s="121"/>
      <c r="B32" s="2"/>
      <c r="C32" s="2"/>
      <c r="D32" s="2"/>
      <c r="E32" s="2"/>
      <c r="F32" s="2"/>
      <c r="G32" s="2"/>
      <c r="H32" s="132" t="s">
        <v>157</v>
      </c>
      <c r="I32" s="132"/>
      <c r="J32" s="132"/>
      <c r="K32" s="132"/>
      <c r="L32" s="2"/>
      <c r="M32" s="100" t="b">
        <f t="shared" si="1"/>
        <v>0</v>
      </c>
      <c r="N32" s="120"/>
      <c r="O32" s="2"/>
      <c r="P32" s="2"/>
      <c r="Q32" s="2"/>
      <c r="R32" s="2"/>
      <c r="S32" s="2"/>
      <c r="T32" s="2"/>
      <c r="U32" s="2"/>
      <c r="V32" s="2"/>
      <c r="W32" s="2"/>
      <c r="X32" s="2"/>
      <c r="Y32" s="2"/>
      <c r="Z32" s="2"/>
      <c r="AA32" s="2"/>
      <c r="AB32" s="2"/>
      <c r="AC32" s="2"/>
      <c r="AD32" s="2"/>
      <c r="AE32" s="2"/>
      <c r="AF32" s="2"/>
      <c r="AG32" s="2"/>
    </row>
    <row r="33" ht="14.25" hidden="1" customHeight="1">
      <c r="A33" s="121"/>
      <c r="B33" s="2"/>
      <c r="C33" s="2"/>
      <c r="D33" s="2"/>
      <c r="E33" s="2"/>
      <c r="F33" s="2"/>
      <c r="G33" s="2"/>
      <c r="H33" s="132" t="s">
        <v>160</v>
      </c>
      <c r="I33" s="132"/>
      <c r="J33" s="132"/>
      <c r="K33" s="132"/>
      <c r="L33" s="2"/>
      <c r="M33" s="100" t="b">
        <f t="shared" si="1"/>
        <v>0</v>
      </c>
      <c r="N33" s="120"/>
      <c r="O33" s="2"/>
      <c r="P33" s="2"/>
      <c r="Q33" s="2"/>
      <c r="R33" s="2"/>
      <c r="S33" s="2"/>
      <c r="T33" s="2"/>
      <c r="U33" s="2"/>
      <c r="V33" s="2"/>
      <c r="W33" s="2"/>
      <c r="X33" s="2"/>
      <c r="Y33" s="2"/>
      <c r="Z33" s="2"/>
      <c r="AA33" s="2"/>
      <c r="AB33" s="2"/>
      <c r="AC33" s="2"/>
      <c r="AD33" s="2"/>
      <c r="AE33" s="2"/>
      <c r="AF33" s="2"/>
      <c r="AG33" s="2"/>
    </row>
    <row r="34" ht="14.25" hidden="1" customHeight="1">
      <c r="A34" s="121"/>
      <c r="B34" s="2"/>
      <c r="C34" s="2"/>
      <c r="D34" s="2"/>
      <c r="E34" s="2"/>
      <c r="F34" s="2"/>
      <c r="G34" s="2"/>
      <c r="H34" s="132" t="s">
        <v>163</v>
      </c>
      <c r="I34" s="132"/>
      <c r="J34" s="132"/>
      <c r="K34" s="132"/>
      <c r="L34" s="2"/>
      <c r="M34" s="100" t="b">
        <f t="shared" si="1"/>
        <v>0</v>
      </c>
      <c r="N34" s="120"/>
      <c r="O34" s="2"/>
      <c r="P34" s="2"/>
      <c r="Q34" s="2"/>
      <c r="R34" s="2"/>
      <c r="S34" s="2"/>
      <c r="T34" s="2"/>
      <c r="U34" s="2"/>
      <c r="V34" s="2"/>
      <c r="W34" s="2"/>
      <c r="X34" s="2"/>
      <c r="Y34" s="2"/>
      <c r="Z34" s="2"/>
      <c r="AA34" s="2"/>
      <c r="AB34" s="2"/>
      <c r="AC34" s="2"/>
      <c r="AD34" s="2"/>
      <c r="AE34" s="2"/>
      <c r="AF34" s="2"/>
      <c r="AG34" s="2"/>
    </row>
    <row r="35" ht="14.25" hidden="1" customHeight="1">
      <c r="A35" s="121"/>
      <c r="B35" s="2"/>
      <c r="C35" s="2"/>
      <c r="D35" s="2"/>
      <c r="E35" s="2"/>
      <c r="F35" s="2"/>
      <c r="G35" s="2"/>
      <c r="H35" s="132" t="s">
        <v>166</v>
      </c>
      <c r="I35" s="132"/>
      <c r="J35" s="132"/>
      <c r="K35" s="132"/>
      <c r="L35" s="2"/>
      <c r="M35" s="100" t="b">
        <f t="shared" si="1"/>
        <v>0</v>
      </c>
      <c r="N35" s="120"/>
      <c r="O35" s="2"/>
      <c r="P35" s="2"/>
      <c r="Q35" s="2"/>
      <c r="R35" s="2"/>
      <c r="S35" s="2"/>
      <c r="T35" s="2"/>
      <c r="U35" s="2"/>
      <c r="V35" s="2"/>
      <c r="W35" s="2"/>
      <c r="X35" s="2"/>
      <c r="Y35" s="2"/>
      <c r="Z35" s="2"/>
      <c r="AA35" s="2"/>
      <c r="AB35" s="2"/>
      <c r="AC35" s="2"/>
      <c r="AD35" s="2"/>
      <c r="AE35" s="2"/>
      <c r="AF35" s="2"/>
      <c r="AG35" s="2"/>
    </row>
    <row r="36" ht="14.25" hidden="1" customHeight="1">
      <c r="A36" s="121"/>
      <c r="B36" s="2"/>
      <c r="C36" s="2"/>
      <c r="D36" s="2"/>
      <c r="E36" s="2"/>
      <c r="F36" s="2"/>
      <c r="G36" s="2"/>
      <c r="H36" s="132" t="s">
        <v>197</v>
      </c>
      <c r="I36" s="132"/>
      <c r="J36" s="132"/>
      <c r="K36" s="132"/>
      <c r="L36" s="2"/>
      <c r="M36" s="100" t="b">
        <f t="shared" si="1"/>
        <v>0</v>
      </c>
      <c r="N36" s="120"/>
      <c r="O36" s="2"/>
      <c r="P36" s="2"/>
      <c r="Q36" s="2"/>
      <c r="R36" s="2"/>
      <c r="S36" s="2"/>
      <c r="T36" s="2"/>
      <c r="U36" s="2"/>
      <c r="V36" s="2"/>
      <c r="W36" s="2"/>
      <c r="X36" s="2"/>
      <c r="Y36" s="2"/>
      <c r="Z36" s="2"/>
      <c r="AA36" s="2"/>
      <c r="AB36" s="2"/>
      <c r="AC36" s="2"/>
      <c r="AD36" s="2"/>
      <c r="AE36" s="2"/>
      <c r="AF36" s="2"/>
      <c r="AG36" s="2"/>
    </row>
    <row r="37" ht="14.25" hidden="1" customHeight="1">
      <c r="A37" s="121"/>
      <c r="B37" s="2"/>
      <c r="C37" s="2"/>
      <c r="D37" s="2"/>
      <c r="E37" s="2"/>
      <c r="F37" s="2"/>
      <c r="G37" s="2"/>
      <c r="H37" s="132" t="s">
        <v>198</v>
      </c>
      <c r="I37" s="132"/>
      <c r="J37" s="132"/>
      <c r="K37" s="132"/>
      <c r="L37" s="2"/>
      <c r="M37" s="100"/>
      <c r="N37" s="120"/>
      <c r="O37" s="2"/>
      <c r="P37" s="2"/>
      <c r="Q37" s="2"/>
      <c r="R37" s="2"/>
      <c r="S37" s="2"/>
      <c r="T37" s="2"/>
      <c r="U37" s="2"/>
      <c r="V37" s="2"/>
      <c r="W37" s="2"/>
      <c r="X37" s="2"/>
      <c r="Y37" s="2"/>
      <c r="Z37" s="2"/>
      <c r="AA37" s="2"/>
      <c r="AB37" s="2"/>
      <c r="AC37" s="2"/>
      <c r="AD37" s="2"/>
      <c r="AE37" s="2"/>
      <c r="AF37" s="2"/>
      <c r="AG37" s="2"/>
    </row>
    <row r="38" ht="14.25" hidden="1" customHeight="1">
      <c r="A38" s="121"/>
      <c r="B38" s="2"/>
      <c r="C38" s="2"/>
      <c r="D38" s="2"/>
      <c r="E38" s="2"/>
      <c r="F38" s="2"/>
      <c r="G38" s="2"/>
      <c r="H38" s="132" t="s">
        <v>169</v>
      </c>
      <c r="I38" s="132"/>
      <c r="J38" s="132"/>
      <c r="K38" s="132"/>
      <c r="L38" s="2"/>
      <c r="M38" s="100" t="b">
        <f t="shared" ref="M38:M47" si="2">_xlfn.ISFORMULA(H38)</f>
        <v>0</v>
      </c>
      <c r="N38" s="120"/>
      <c r="O38" s="2"/>
      <c r="P38" s="2"/>
      <c r="Q38" s="2"/>
      <c r="R38" s="2"/>
      <c r="S38" s="2"/>
      <c r="T38" s="2"/>
      <c r="U38" s="2"/>
      <c r="V38" s="2"/>
      <c r="W38" s="2"/>
      <c r="X38" s="2"/>
      <c r="Y38" s="2"/>
      <c r="Z38" s="2"/>
      <c r="AA38" s="2"/>
      <c r="AB38" s="2"/>
      <c r="AC38" s="2"/>
      <c r="AD38" s="2"/>
      <c r="AE38" s="2"/>
      <c r="AF38" s="2"/>
      <c r="AG38" s="2"/>
    </row>
    <row r="39" ht="14.25" hidden="1" customHeight="1">
      <c r="A39" s="121"/>
      <c r="B39" s="2"/>
      <c r="C39" s="2"/>
      <c r="D39" s="2"/>
      <c r="E39" s="2"/>
      <c r="F39" s="2"/>
      <c r="G39" s="2"/>
      <c r="H39" s="132" t="s">
        <v>172</v>
      </c>
      <c r="I39" s="132"/>
      <c r="J39" s="132"/>
      <c r="K39" s="132"/>
      <c r="L39" s="2"/>
      <c r="M39" s="100" t="b">
        <f t="shared" si="2"/>
        <v>0</v>
      </c>
      <c r="N39" s="120"/>
      <c r="O39" s="2"/>
      <c r="P39" s="2"/>
      <c r="Q39" s="2"/>
      <c r="R39" s="2"/>
      <c r="S39" s="2"/>
      <c r="T39" s="2"/>
      <c r="U39" s="2"/>
      <c r="V39" s="2"/>
      <c r="W39" s="2"/>
      <c r="X39" s="2"/>
      <c r="Y39" s="2"/>
      <c r="Z39" s="2"/>
      <c r="AA39" s="2"/>
      <c r="AB39" s="2"/>
      <c r="AC39" s="2"/>
      <c r="AD39" s="2"/>
      <c r="AE39" s="2"/>
      <c r="AF39" s="2"/>
      <c r="AG39" s="2"/>
    </row>
    <row r="40" ht="14.25" hidden="1" customHeight="1">
      <c r="A40" s="121"/>
      <c r="B40" s="2"/>
      <c r="C40" s="2"/>
      <c r="D40" s="2"/>
      <c r="E40" s="2"/>
      <c r="F40" s="2"/>
      <c r="G40" s="2"/>
      <c r="H40" s="132" t="s">
        <v>175</v>
      </c>
      <c r="I40" s="132"/>
      <c r="J40" s="132"/>
      <c r="K40" s="132"/>
      <c r="L40" s="2"/>
      <c r="M40" s="100" t="b">
        <f t="shared" si="2"/>
        <v>0</v>
      </c>
      <c r="N40" s="120"/>
      <c r="O40" s="2"/>
      <c r="P40" s="2"/>
      <c r="Q40" s="2"/>
      <c r="R40" s="2"/>
      <c r="S40" s="2"/>
      <c r="T40" s="2"/>
      <c r="U40" s="2"/>
      <c r="V40" s="2"/>
      <c r="W40" s="2"/>
      <c r="X40" s="2"/>
      <c r="Y40" s="2"/>
      <c r="Z40" s="2"/>
      <c r="AA40" s="2"/>
      <c r="AB40" s="2"/>
      <c r="AC40" s="2"/>
      <c r="AD40" s="2"/>
      <c r="AE40" s="2"/>
      <c r="AF40" s="2"/>
      <c r="AG40" s="2"/>
    </row>
    <row r="41" ht="14.25" hidden="1" customHeight="1">
      <c r="A41" s="121"/>
      <c r="B41" s="2"/>
      <c r="C41" s="2"/>
      <c r="D41" s="2"/>
      <c r="E41" s="2"/>
      <c r="F41" s="2"/>
      <c r="G41" s="2"/>
      <c r="H41" s="132" t="s">
        <v>178</v>
      </c>
      <c r="I41" s="132"/>
      <c r="J41" s="132"/>
      <c r="K41" s="132"/>
      <c r="L41" s="2"/>
      <c r="M41" s="100" t="b">
        <f t="shared" si="2"/>
        <v>0</v>
      </c>
      <c r="N41" s="120"/>
      <c r="O41" s="2"/>
      <c r="P41" s="2"/>
      <c r="Q41" s="2"/>
      <c r="R41" s="2"/>
      <c r="S41" s="2"/>
      <c r="T41" s="2"/>
      <c r="U41" s="2"/>
      <c r="V41" s="2"/>
      <c r="W41" s="2"/>
      <c r="X41" s="2"/>
      <c r="Y41" s="2"/>
      <c r="Z41" s="2"/>
      <c r="AA41" s="2"/>
      <c r="AB41" s="2"/>
      <c r="AC41" s="2"/>
      <c r="AD41" s="2"/>
      <c r="AE41" s="2"/>
      <c r="AF41" s="2"/>
      <c r="AG41" s="2"/>
    </row>
    <row r="42" ht="14.25" hidden="1" customHeight="1">
      <c r="A42" s="121"/>
      <c r="B42" s="2"/>
      <c r="C42" s="2"/>
      <c r="D42" s="2"/>
      <c r="E42" s="2"/>
      <c r="F42" s="2"/>
      <c r="G42" s="2"/>
      <c r="H42" s="132" t="s">
        <v>181</v>
      </c>
      <c r="I42" s="132"/>
      <c r="J42" s="132"/>
      <c r="K42" s="132"/>
      <c r="L42" s="2"/>
      <c r="M42" s="100" t="b">
        <f t="shared" si="2"/>
        <v>0</v>
      </c>
      <c r="N42" s="120"/>
      <c r="O42" s="2"/>
      <c r="P42" s="2"/>
      <c r="Q42" s="2"/>
      <c r="R42" s="2"/>
      <c r="S42" s="2"/>
      <c r="T42" s="2"/>
      <c r="U42" s="2"/>
      <c r="V42" s="2"/>
      <c r="W42" s="2"/>
      <c r="X42" s="2"/>
      <c r="Y42" s="2"/>
      <c r="Z42" s="2"/>
      <c r="AA42" s="2"/>
      <c r="AB42" s="2"/>
      <c r="AC42" s="2"/>
      <c r="AD42" s="2"/>
      <c r="AE42" s="2"/>
      <c r="AF42" s="2"/>
      <c r="AG42" s="2"/>
    </row>
    <row r="43" ht="14.25" hidden="1" customHeight="1">
      <c r="A43" s="121"/>
      <c r="B43" s="2"/>
      <c r="C43" s="2"/>
      <c r="D43" s="2"/>
      <c r="E43" s="2"/>
      <c r="F43" s="2"/>
      <c r="G43" s="2"/>
      <c r="H43" s="132" t="s">
        <v>184</v>
      </c>
      <c r="I43" s="132"/>
      <c r="J43" s="132"/>
      <c r="K43" s="132"/>
      <c r="L43" s="2"/>
      <c r="M43" s="100" t="b">
        <f t="shared" si="2"/>
        <v>0</v>
      </c>
      <c r="N43" s="120"/>
      <c r="O43" s="2"/>
      <c r="P43" s="2"/>
      <c r="Q43" s="2"/>
      <c r="R43" s="2"/>
      <c r="S43" s="2"/>
      <c r="T43" s="2"/>
      <c r="U43" s="2"/>
      <c r="V43" s="2"/>
      <c r="W43" s="2"/>
      <c r="X43" s="2"/>
      <c r="Y43" s="2"/>
      <c r="Z43" s="2"/>
      <c r="AA43" s="2"/>
      <c r="AB43" s="2"/>
      <c r="AC43" s="2"/>
      <c r="AD43" s="2"/>
      <c r="AE43" s="2"/>
      <c r="AF43" s="2"/>
      <c r="AG43" s="2"/>
    </row>
    <row r="44" ht="14.25" hidden="1" customHeight="1">
      <c r="A44" s="121"/>
      <c r="B44" s="2"/>
      <c r="C44" s="2"/>
      <c r="D44" s="2"/>
      <c r="E44" s="2"/>
      <c r="F44" s="2"/>
      <c r="G44" s="2"/>
      <c r="H44" s="132" t="s">
        <v>187</v>
      </c>
      <c r="I44" s="132"/>
      <c r="J44" s="132"/>
      <c r="K44" s="132"/>
      <c r="L44" s="2"/>
      <c r="M44" s="100" t="b">
        <f t="shared" si="2"/>
        <v>0</v>
      </c>
      <c r="N44" s="120"/>
      <c r="O44" s="2"/>
      <c r="P44" s="2"/>
      <c r="Q44" s="2"/>
      <c r="R44" s="2"/>
      <c r="S44" s="2"/>
      <c r="T44" s="2"/>
      <c r="U44" s="2"/>
      <c r="V44" s="2"/>
      <c r="W44" s="2"/>
      <c r="X44" s="2"/>
      <c r="Y44" s="2"/>
      <c r="Z44" s="2"/>
      <c r="AA44" s="2"/>
      <c r="AB44" s="2"/>
      <c r="AC44" s="2"/>
      <c r="AD44" s="2"/>
      <c r="AE44" s="2"/>
      <c r="AF44" s="2"/>
      <c r="AG44" s="2"/>
    </row>
    <row r="45" ht="14.25" hidden="1" customHeight="1">
      <c r="A45" s="121"/>
      <c r="B45" s="2"/>
      <c r="C45" s="2"/>
      <c r="D45" s="2"/>
      <c r="E45" s="2"/>
      <c r="F45" s="2"/>
      <c r="G45" s="2"/>
      <c r="H45" s="132" t="s">
        <v>190</v>
      </c>
      <c r="I45" s="132"/>
      <c r="J45" s="132"/>
      <c r="K45" s="132"/>
      <c r="L45" s="2"/>
      <c r="M45" s="100" t="b">
        <f t="shared" si="2"/>
        <v>0</v>
      </c>
      <c r="N45" s="120"/>
      <c r="O45" s="2"/>
      <c r="P45" s="2"/>
      <c r="Q45" s="2"/>
      <c r="R45" s="2"/>
      <c r="S45" s="2"/>
      <c r="T45" s="2"/>
      <c r="U45" s="2"/>
      <c r="V45" s="2"/>
      <c r="W45" s="2"/>
      <c r="X45" s="2"/>
      <c r="Y45" s="2"/>
      <c r="Z45" s="2"/>
      <c r="AA45" s="2"/>
      <c r="AB45" s="2"/>
      <c r="AC45" s="2"/>
      <c r="AD45" s="2"/>
      <c r="AE45" s="2"/>
      <c r="AF45" s="2"/>
      <c r="AG45" s="2"/>
    </row>
    <row r="46" ht="14.25" hidden="1" customHeight="1">
      <c r="A46" s="121"/>
      <c r="B46" s="2"/>
      <c r="C46" s="2"/>
      <c r="D46" s="2"/>
      <c r="E46" s="2"/>
      <c r="F46" s="2"/>
      <c r="G46" s="2"/>
      <c r="H46" s="132" t="s">
        <v>193</v>
      </c>
      <c r="I46" s="132"/>
      <c r="J46" s="132"/>
      <c r="K46" s="132"/>
      <c r="L46" s="2"/>
      <c r="M46" s="100" t="b">
        <f t="shared" si="2"/>
        <v>0</v>
      </c>
      <c r="N46" s="120"/>
      <c r="O46" s="2"/>
      <c r="P46" s="2"/>
      <c r="Q46" s="2"/>
      <c r="R46" s="2"/>
      <c r="S46" s="2"/>
      <c r="T46" s="2"/>
      <c r="U46" s="2"/>
      <c r="V46" s="2"/>
      <c r="W46" s="2"/>
      <c r="X46" s="2"/>
      <c r="Y46" s="2"/>
      <c r="Z46" s="2"/>
      <c r="AA46" s="2"/>
      <c r="AB46" s="2"/>
      <c r="AC46" s="2"/>
      <c r="AD46" s="2"/>
      <c r="AE46" s="2"/>
      <c r="AF46" s="2"/>
      <c r="AG46" s="2"/>
    </row>
    <row r="47" ht="14.25" customHeight="1">
      <c r="A47" s="121"/>
      <c r="B47" s="2"/>
      <c r="C47" s="2"/>
      <c r="D47" s="2"/>
      <c r="E47" s="2"/>
      <c r="F47" s="2"/>
      <c r="G47" s="2"/>
      <c r="H47" s="132"/>
      <c r="I47" s="132"/>
      <c r="J47" s="132"/>
      <c r="K47" s="132"/>
      <c r="L47" s="2"/>
      <c r="M47" s="100" t="b">
        <f t="shared" si="2"/>
        <v>0</v>
      </c>
      <c r="N47" s="120"/>
      <c r="O47" s="2"/>
      <c r="P47" s="2"/>
      <c r="Q47" s="2"/>
      <c r="R47" s="2"/>
      <c r="S47" s="2"/>
      <c r="T47" s="2"/>
      <c r="U47" s="2"/>
      <c r="V47" s="2"/>
      <c r="W47" s="2"/>
      <c r="X47" s="2"/>
      <c r="Y47" s="2"/>
      <c r="Z47" s="2"/>
      <c r="AA47" s="2"/>
      <c r="AB47" s="2"/>
      <c r="AC47" s="2"/>
      <c r="AD47" s="2"/>
      <c r="AE47" s="2"/>
      <c r="AF47" s="2"/>
      <c r="AG47" s="2"/>
    </row>
    <row r="48" ht="14.25" customHeight="1">
      <c r="A48" s="121"/>
      <c r="B48" s="2"/>
      <c r="C48" s="2"/>
      <c r="D48" s="2"/>
      <c r="E48" s="2"/>
      <c r="F48" s="2"/>
      <c r="G48" s="2"/>
      <c r="H48" s="132"/>
      <c r="I48" s="132"/>
      <c r="J48" s="132"/>
      <c r="K48" s="132"/>
      <c r="L48" s="2"/>
      <c r="M48" s="2"/>
      <c r="N48" s="120"/>
      <c r="O48" s="2"/>
      <c r="P48" s="2"/>
      <c r="Q48" s="2"/>
      <c r="R48" s="2"/>
      <c r="S48" s="2"/>
      <c r="T48" s="2"/>
      <c r="U48" s="2"/>
      <c r="V48" s="2"/>
      <c r="W48" s="2"/>
      <c r="X48" s="2"/>
      <c r="Y48" s="2"/>
      <c r="Z48" s="2"/>
      <c r="AA48" s="2"/>
      <c r="AB48" s="2"/>
      <c r="AC48" s="2"/>
      <c r="AD48" s="2"/>
      <c r="AE48" s="2"/>
      <c r="AF48" s="2"/>
      <c r="AG48" s="2"/>
    </row>
    <row r="49" ht="14.25" customHeight="1">
      <c r="A49" s="121"/>
      <c r="B49" s="2"/>
      <c r="C49" s="2"/>
      <c r="D49" s="2"/>
      <c r="E49" s="2"/>
      <c r="F49" s="2"/>
      <c r="G49" s="2"/>
      <c r="H49" s="132"/>
      <c r="I49" s="132"/>
      <c r="J49" s="132"/>
      <c r="K49" s="132"/>
      <c r="L49" s="2"/>
      <c r="M49" s="2"/>
      <c r="N49" s="120"/>
      <c r="O49" s="2"/>
      <c r="P49" s="2"/>
      <c r="Q49" s="2"/>
      <c r="R49" s="2"/>
      <c r="S49" s="2"/>
      <c r="T49" s="2"/>
      <c r="U49" s="2"/>
      <c r="V49" s="2"/>
      <c r="W49" s="2"/>
      <c r="X49" s="2"/>
      <c r="Y49" s="2"/>
      <c r="Z49" s="2"/>
      <c r="AA49" s="2"/>
      <c r="AB49" s="2"/>
      <c r="AC49" s="2"/>
      <c r="AD49" s="2"/>
      <c r="AE49" s="2"/>
      <c r="AF49" s="2"/>
      <c r="AG49" s="2"/>
    </row>
    <row r="50" ht="14.25" customHeight="1">
      <c r="A50" s="121"/>
      <c r="B50" s="2"/>
      <c r="C50" s="2"/>
      <c r="D50" s="2"/>
      <c r="E50" s="2"/>
      <c r="F50" s="2"/>
      <c r="G50" s="2"/>
      <c r="H50" s="132"/>
      <c r="I50" s="132"/>
      <c r="J50" s="132"/>
      <c r="K50" s="132"/>
      <c r="L50" s="2"/>
      <c r="M50" s="2"/>
      <c r="N50" s="120"/>
      <c r="O50" s="2"/>
      <c r="P50" s="2"/>
      <c r="Q50" s="2"/>
      <c r="R50" s="2"/>
      <c r="S50" s="2"/>
      <c r="T50" s="2"/>
      <c r="U50" s="2"/>
      <c r="V50" s="2"/>
      <c r="W50" s="2"/>
      <c r="X50" s="2"/>
      <c r="Y50" s="2"/>
      <c r="Z50" s="2"/>
      <c r="AA50" s="2"/>
      <c r="AB50" s="2"/>
      <c r="AC50" s="2"/>
      <c r="AD50" s="2"/>
      <c r="AE50" s="2"/>
      <c r="AF50" s="2"/>
      <c r="AG50" s="2"/>
    </row>
    <row r="51" ht="14.25" customHeight="1">
      <c r="A51" s="121"/>
      <c r="B51" s="2"/>
      <c r="C51" s="2"/>
      <c r="D51" s="2"/>
      <c r="E51" s="133" t="s">
        <v>199</v>
      </c>
      <c r="F51" s="2"/>
      <c r="G51" s="2"/>
      <c r="H51" s="132"/>
      <c r="I51" s="132"/>
      <c r="J51" s="132"/>
      <c r="K51" s="132"/>
      <c r="L51" s="2"/>
      <c r="M51" s="2"/>
      <c r="N51" s="120"/>
      <c r="O51" s="2"/>
      <c r="P51" s="2"/>
      <c r="Q51" s="2"/>
      <c r="R51" s="2"/>
      <c r="S51" s="2"/>
      <c r="T51" s="2"/>
      <c r="U51" s="2"/>
      <c r="V51" s="2"/>
      <c r="W51" s="2"/>
      <c r="X51" s="2"/>
      <c r="Y51" s="2"/>
      <c r="Z51" s="2"/>
      <c r="AA51" s="2"/>
      <c r="AB51" s="2"/>
      <c r="AC51" s="2"/>
      <c r="AD51" s="2"/>
      <c r="AE51" s="2"/>
      <c r="AF51" s="2"/>
      <c r="AG51" s="2"/>
    </row>
    <row r="52" ht="60.0" customHeight="1">
      <c r="A52" s="121"/>
      <c r="B52" s="2"/>
      <c r="C52" s="2"/>
      <c r="D52" s="2"/>
      <c r="E52" s="134"/>
      <c r="F52" s="2"/>
      <c r="G52" s="2"/>
      <c r="H52" s="132"/>
      <c r="I52" s="132"/>
      <c r="J52" s="132"/>
      <c r="K52" s="132"/>
      <c r="L52" s="2"/>
      <c r="M52" s="2"/>
      <c r="N52" s="120"/>
      <c r="O52" s="2"/>
      <c r="P52" s="2"/>
      <c r="Q52" s="2"/>
      <c r="R52" s="2"/>
      <c r="S52" s="2"/>
      <c r="T52" s="2"/>
      <c r="U52" s="2"/>
      <c r="V52" s="2"/>
      <c r="W52" s="2"/>
      <c r="X52" s="2"/>
      <c r="Y52" s="2"/>
      <c r="Z52" s="2"/>
      <c r="AA52" s="2"/>
      <c r="AB52" s="2"/>
      <c r="AC52" s="2"/>
      <c r="AD52" s="2"/>
      <c r="AE52" s="2"/>
      <c r="AF52" s="2"/>
      <c r="AG52" s="2"/>
    </row>
    <row r="53" ht="14.25" customHeight="1">
      <c r="A53" s="121"/>
      <c r="B53" s="2"/>
      <c r="C53" s="2"/>
      <c r="D53" s="2"/>
      <c r="E53" s="2"/>
      <c r="F53" s="2"/>
      <c r="G53" s="2"/>
      <c r="H53" s="132"/>
      <c r="I53" s="132"/>
      <c r="J53" s="132"/>
      <c r="K53" s="132"/>
      <c r="L53" s="2"/>
      <c r="M53" s="2"/>
      <c r="N53" s="120"/>
      <c r="O53" s="2"/>
      <c r="P53" s="2"/>
      <c r="Q53" s="2"/>
      <c r="R53" s="2"/>
      <c r="S53" s="2"/>
      <c r="T53" s="2"/>
      <c r="U53" s="2"/>
      <c r="V53" s="2"/>
      <c r="W53" s="2"/>
      <c r="X53" s="2"/>
      <c r="Y53" s="2"/>
      <c r="Z53" s="2"/>
      <c r="AA53" s="2"/>
      <c r="AB53" s="2"/>
      <c r="AC53" s="2"/>
      <c r="AD53" s="2"/>
      <c r="AE53" s="2"/>
      <c r="AF53" s="2"/>
      <c r="AG53" s="2"/>
    </row>
    <row r="54" ht="14.25" customHeight="1">
      <c r="A54" s="121"/>
      <c r="B54" s="2"/>
      <c r="C54" s="2"/>
      <c r="D54" s="2"/>
      <c r="E54" s="135" t="s">
        <v>200</v>
      </c>
      <c r="F54" s="2"/>
      <c r="G54" s="2"/>
      <c r="H54" s="132"/>
      <c r="I54" s="132"/>
      <c r="J54" s="132"/>
      <c r="K54" s="132"/>
      <c r="L54" s="2"/>
      <c r="M54" s="2"/>
      <c r="N54" s="120"/>
      <c r="O54" s="2"/>
      <c r="P54" s="2"/>
      <c r="Q54" s="2"/>
      <c r="R54" s="2"/>
      <c r="S54" s="2"/>
      <c r="T54" s="2"/>
      <c r="U54" s="2"/>
      <c r="V54" s="2"/>
      <c r="W54" s="2"/>
      <c r="X54" s="2"/>
      <c r="Y54" s="2"/>
      <c r="Z54" s="2"/>
      <c r="AA54" s="2"/>
      <c r="AB54" s="2"/>
      <c r="AC54" s="2"/>
      <c r="AD54" s="2"/>
      <c r="AE54" s="2"/>
      <c r="AF54" s="2"/>
      <c r="AG54" s="2"/>
    </row>
    <row r="55" ht="60.0" customHeight="1">
      <c r="A55" s="121"/>
      <c r="B55" s="2"/>
      <c r="C55" s="2"/>
      <c r="D55" s="2"/>
      <c r="E55" s="134"/>
      <c r="F55" s="2"/>
      <c r="G55" s="2"/>
      <c r="H55" s="132"/>
      <c r="I55" s="132"/>
      <c r="J55" s="132"/>
      <c r="K55" s="132"/>
      <c r="L55" s="2"/>
      <c r="M55" s="2"/>
      <c r="N55" s="120"/>
      <c r="O55" s="2"/>
      <c r="P55" s="2"/>
      <c r="Q55" s="2"/>
      <c r="R55" s="2"/>
      <c r="S55" s="2"/>
      <c r="T55" s="2"/>
      <c r="U55" s="2"/>
      <c r="V55" s="2"/>
      <c r="W55" s="2"/>
      <c r="X55" s="2"/>
      <c r="Y55" s="2"/>
      <c r="Z55" s="2"/>
      <c r="AA55" s="2"/>
      <c r="AB55" s="2"/>
      <c r="AC55" s="2"/>
      <c r="AD55" s="2"/>
      <c r="AE55" s="2"/>
      <c r="AF55" s="2"/>
      <c r="AG55" s="2"/>
    </row>
    <row r="56" ht="14.25" customHeight="1">
      <c r="A56" s="121"/>
      <c r="B56" s="2"/>
      <c r="C56" s="2"/>
      <c r="D56" s="2"/>
      <c r="E56" s="2"/>
      <c r="F56" s="2"/>
      <c r="G56" s="2"/>
      <c r="H56" s="132"/>
      <c r="I56" s="132"/>
      <c r="J56" s="132"/>
      <c r="K56" s="132"/>
      <c r="L56" s="2"/>
      <c r="M56" s="2"/>
      <c r="N56" s="120"/>
      <c r="O56" s="2"/>
      <c r="P56" s="2"/>
      <c r="Q56" s="2"/>
      <c r="R56" s="2"/>
      <c r="S56" s="2"/>
      <c r="T56" s="2"/>
      <c r="U56" s="2"/>
      <c r="V56" s="2"/>
      <c r="W56" s="2"/>
      <c r="X56" s="2"/>
      <c r="Y56" s="2"/>
      <c r="Z56" s="2"/>
      <c r="AA56" s="2"/>
      <c r="AB56" s="2"/>
      <c r="AC56" s="2"/>
      <c r="AD56" s="2"/>
      <c r="AE56" s="2"/>
      <c r="AF56" s="2"/>
      <c r="AG56" s="2"/>
    </row>
    <row r="57" ht="14.25" customHeight="1">
      <c r="A57" s="121"/>
      <c r="B57" s="2"/>
      <c r="C57" s="2"/>
      <c r="D57" s="2"/>
      <c r="E57" s="2"/>
      <c r="F57" s="2"/>
      <c r="G57" s="2"/>
      <c r="H57" s="132"/>
      <c r="I57" s="132"/>
      <c r="J57" s="132"/>
      <c r="K57" s="132"/>
      <c r="L57" s="2"/>
      <c r="M57" s="2"/>
      <c r="N57" s="120"/>
      <c r="O57" s="2"/>
      <c r="P57" s="2"/>
      <c r="Q57" s="2"/>
      <c r="R57" s="2"/>
      <c r="S57" s="2"/>
      <c r="T57" s="2"/>
      <c r="U57" s="2"/>
      <c r="V57" s="2"/>
      <c r="W57" s="2"/>
      <c r="X57" s="2"/>
      <c r="Y57" s="2"/>
      <c r="Z57" s="2"/>
      <c r="AA57" s="2"/>
      <c r="AB57" s="2"/>
      <c r="AC57" s="2"/>
      <c r="AD57" s="2"/>
      <c r="AE57" s="2"/>
      <c r="AF57" s="2"/>
      <c r="AG57" s="2"/>
    </row>
    <row r="58" ht="14.25" customHeight="1">
      <c r="A58" s="121"/>
      <c r="B58" s="2"/>
      <c r="C58" s="2"/>
      <c r="D58" s="2"/>
      <c r="E58" s="2"/>
      <c r="F58" s="2"/>
      <c r="G58" s="2"/>
      <c r="H58" s="132"/>
      <c r="I58" s="132"/>
      <c r="J58" s="132"/>
      <c r="K58" s="132"/>
      <c r="L58" s="2"/>
      <c r="M58" s="2"/>
      <c r="N58" s="120"/>
      <c r="O58" s="2"/>
      <c r="P58" s="2"/>
      <c r="Q58" s="2"/>
      <c r="R58" s="2"/>
      <c r="S58" s="2"/>
      <c r="T58" s="2"/>
      <c r="U58" s="2"/>
      <c r="V58" s="2"/>
      <c r="W58" s="2"/>
      <c r="X58" s="2"/>
      <c r="Y58" s="2"/>
      <c r="Z58" s="2"/>
      <c r="AA58" s="2"/>
      <c r="AB58" s="2"/>
      <c r="AC58" s="2"/>
      <c r="AD58" s="2"/>
      <c r="AE58" s="2"/>
      <c r="AF58" s="2"/>
      <c r="AG58" s="2"/>
    </row>
    <row r="59" ht="14.25" customHeight="1">
      <c r="A59" s="136" t="s">
        <v>201</v>
      </c>
      <c r="B59" s="137"/>
      <c r="C59" s="137"/>
      <c r="D59" s="138"/>
      <c r="E59" s="137"/>
      <c r="F59" s="137"/>
      <c r="G59" s="137"/>
      <c r="H59" s="62" t="s">
        <v>1</v>
      </c>
      <c r="I59" s="100"/>
      <c r="J59" s="100"/>
      <c r="K59" s="100"/>
      <c r="L59" s="100"/>
      <c r="M59" s="100"/>
      <c r="N59" s="102"/>
      <c r="O59" s="98"/>
      <c r="P59" s="98"/>
      <c r="Q59" s="98"/>
      <c r="R59" s="98"/>
      <c r="S59" s="98"/>
      <c r="T59" s="98"/>
      <c r="U59" s="98"/>
      <c r="V59" s="98"/>
      <c r="W59" s="98"/>
      <c r="X59" s="98"/>
      <c r="Y59" s="98"/>
      <c r="Z59" s="98"/>
      <c r="AA59" s="98"/>
      <c r="AB59" s="98"/>
      <c r="AC59" s="98"/>
      <c r="AD59" s="98"/>
      <c r="AE59" s="98"/>
      <c r="AF59" s="98"/>
      <c r="AG59" s="98"/>
    </row>
    <row r="60" ht="14.25" customHeight="1">
      <c r="A60" s="139" t="s">
        <v>202</v>
      </c>
      <c r="B60" s="140"/>
      <c r="C60" s="140"/>
      <c r="D60" s="140"/>
      <c r="E60" s="140"/>
      <c r="F60" s="140"/>
      <c r="G60" s="140"/>
      <c r="H60" s="141">
        <f>(COUNTA(H2:H26)-COUNTIF($M$2:$M$26,1))/(COUNTA($G$2:$G$26)-COUNTIF($M$2:$M$26,1))</f>
        <v>1</v>
      </c>
      <c r="I60" s="100"/>
      <c r="J60" s="100"/>
      <c r="K60" s="100"/>
      <c r="L60" s="100"/>
      <c r="M60" s="100"/>
      <c r="N60" s="102"/>
      <c r="O60" s="98"/>
      <c r="P60" s="98"/>
      <c r="Q60" s="98"/>
      <c r="R60" s="98"/>
      <c r="S60" s="98"/>
      <c r="T60" s="98"/>
      <c r="U60" s="98"/>
      <c r="V60" s="98"/>
      <c r="W60" s="98"/>
      <c r="X60" s="98"/>
      <c r="Y60" s="98"/>
      <c r="Z60" s="98"/>
      <c r="AA60" s="98"/>
      <c r="AB60" s="98"/>
      <c r="AC60" s="98"/>
      <c r="AD60" s="98"/>
      <c r="AE60" s="98"/>
      <c r="AF60" s="98"/>
      <c r="AG60" s="98"/>
    </row>
    <row r="61" ht="14.25" customHeight="1">
      <c r="A61" s="121"/>
      <c r="B61" s="2"/>
      <c r="C61" s="2"/>
      <c r="D61" s="2"/>
      <c r="E61" s="2"/>
      <c r="F61" s="2"/>
      <c r="G61" s="2"/>
      <c r="H61" s="132"/>
      <c r="I61" s="132"/>
      <c r="J61" s="132"/>
      <c r="K61" s="132"/>
      <c r="L61" s="2"/>
      <c r="M61" s="2"/>
      <c r="N61" s="120"/>
      <c r="O61" s="2"/>
      <c r="P61" s="2"/>
      <c r="Q61" s="2"/>
      <c r="R61" s="2"/>
      <c r="S61" s="2"/>
      <c r="T61" s="2"/>
      <c r="U61" s="2"/>
      <c r="V61" s="2"/>
      <c r="W61" s="2"/>
      <c r="X61" s="2"/>
      <c r="Y61" s="2"/>
      <c r="Z61" s="2"/>
      <c r="AA61" s="2"/>
      <c r="AB61" s="2"/>
      <c r="AC61" s="2"/>
      <c r="AD61" s="2"/>
      <c r="AE61" s="2"/>
      <c r="AF61" s="2"/>
      <c r="AG61" s="2"/>
    </row>
    <row r="62" ht="14.25" customHeight="1">
      <c r="A62" s="142"/>
      <c r="B62" s="143"/>
      <c r="C62" s="143"/>
      <c r="D62" s="143"/>
      <c r="E62" s="143"/>
      <c r="F62" s="143"/>
      <c r="G62" s="143"/>
      <c r="H62" s="144"/>
      <c r="I62" s="144"/>
      <c r="J62" s="144"/>
      <c r="K62" s="144"/>
      <c r="L62" s="143"/>
      <c r="M62" s="143"/>
      <c r="N62" s="145"/>
      <c r="O62" s="2"/>
      <c r="P62" s="2"/>
      <c r="Q62" s="2"/>
      <c r="R62" s="2"/>
      <c r="S62" s="2"/>
      <c r="T62" s="2"/>
      <c r="U62" s="2"/>
      <c r="V62" s="2"/>
      <c r="W62" s="2"/>
      <c r="X62" s="2"/>
      <c r="Y62" s="2"/>
      <c r="Z62" s="2"/>
      <c r="AA62" s="2"/>
      <c r="AB62" s="2"/>
      <c r="AC62" s="2"/>
      <c r="AD62" s="2"/>
      <c r="AE62" s="2"/>
      <c r="AF62" s="2"/>
      <c r="AG62" s="2"/>
    </row>
    <row r="63" ht="14.25" customHeight="1">
      <c r="A63" s="2"/>
      <c r="B63" s="2"/>
      <c r="C63" s="2"/>
      <c r="D63" s="2"/>
      <c r="E63" s="2"/>
      <c r="F63" s="2"/>
      <c r="G63" s="2"/>
      <c r="H63" s="146"/>
      <c r="I63" s="146"/>
      <c r="J63" s="146"/>
      <c r="K63" s="146"/>
      <c r="L63" s="2"/>
      <c r="M63" s="2"/>
      <c r="N63" s="2"/>
      <c r="O63" s="2"/>
      <c r="P63" s="2"/>
      <c r="Q63" s="2"/>
      <c r="R63" s="2"/>
      <c r="S63" s="2"/>
      <c r="T63" s="2"/>
      <c r="U63" s="2"/>
      <c r="V63" s="2"/>
      <c r="W63" s="2"/>
      <c r="X63" s="2"/>
      <c r="Y63" s="2"/>
      <c r="Z63" s="2"/>
      <c r="AA63" s="2"/>
      <c r="AB63" s="2"/>
      <c r="AC63" s="2"/>
      <c r="AD63" s="2"/>
      <c r="AE63" s="2"/>
      <c r="AF63" s="2"/>
      <c r="AG63" s="2"/>
    </row>
    <row r="64" ht="14.25" customHeight="1">
      <c r="A64" s="2"/>
      <c r="B64" s="2"/>
      <c r="C64" s="2"/>
      <c r="D64" s="2"/>
      <c r="E64" s="2"/>
      <c r="F64" s="2"/>
      <c r="G64" s="2"/>
      <c r="H64" s="146"/>
      <c r="I64" s="146"/>
      <c r="J64" s="146"/>
      <c r="K64" s="146"/>
      <c r="L64" s="2"/>
      <c r="M64" s="2"/>
      <c r="N64" s="2"/>
      <c r="O64" s="2"/>
      <c r="P64" s="2"/>
      <c r="Q64" s="2"/>
      <c r="R64" s="2"/>
      <c r="S64" s="2"/>
      <c r="T64" s="2"/>
      <c r="U64" s="2"/>
      <c r="V64" s="2"/>
      <c r="W64" s="2"/>
      <c r="X64" s="2"/>
      <c r="Y64" s="2"/>
      <c r="Z64" s="2"/>
      <c r="AA64" s="2"/>
      <c r="AB64" s="2"/>
      <c r="AC64" s="2"/>
      <c r="AD64" s="2"/>
      <c r="AE64" s="2"/>
      <c r="AF64" s="2"/>
      <c r="AG64" s="2"/>
    </row>
    <row r="65" ht="14.25" customHeight="1">
      <c r="A65" s="2"/>
      <c r="B65" s="2"/>
      <c r="C65" s="2"/>
      <c r="D65" s="2"/>
      <c r="E65" s="2"/>
      <c r="F65" s="2"/>
      <c r="G65" s="2"/>
      <c r="H65" s="146"/>
      <c r="I65" s="146"/>
      <c r="J65" s="146"/>
      <c r="K65" s="146"/>
      <c r="L65" s="2"/>
      <c r="M65" s="2"/>
      <c r="N65" s="2"/>
      <c r="O65" s="2"/>
      <c r="P65" s="2"/>
      <c r="Q65" s="2"/>
      <c r="R65" s="2"/>
      <c r="S65" s="2"/>
      <c r="T65" s="2"/>
      <c r="U65" s="2"/>
      <c r="V65" s="2"/>
      <c r="W65" s="2"/>
      <c r="X65" s="2"/>
      <c r="Y65" s="2"/>
      <c r="Z65" s="2"/>
      <c r="AA65" s="2"/>
      <c r="AB65" s="2"/>
      <c r="AC65" s="2"/>
      <c r="AD65" s="2"/>
      <c r="AE65" s="2"/>
      <c r="AF65" s="2"/>
      <c r="AG65" s="2"/>
    </row>
    <row r="66" ht="14.25" customHeight="1">
      <c r="A66" s="2"/>
      <c r="B66" s="2"/>
      <c r="C66" s="2"/>
      <c r="D66" s="2"/>
      <c r="E66" s="2"/>
      <c r="F66" s="2"/>
      <c r="G66" s="2"/>
      <c r="H66" s="146"/>
      <c r="I66" s="146"/>
      <c r="J66" s="146"/>
      <c r="K66" s="146"/>
      <c r="L66" s="2"/>
      <c r="M66" s="2"/>
      <c r="N66" s="2"/>
      <c r="O66" s="2"/>
      <c r="P66" s="2"/>
      <c r="Q66" s="2"/>
      <c r="R66" s="2"/>
      <c r="S66" s="2"/>
      <c r="T66" s="2"/>
      <c r="U66" s="2"/>
      <c r="V66" s="2"/>
      <c r="W66" s="2"/>
      <c r="X66" s="2"/>
      <c r="Y66" s="2"/>
      <c r="Z66" s="2"/>
      <c r="AA66" s="2"/>
      <c r="AB66" s="2"/>
      <c r="AC66" s="2"/>
      <c r="AD66" s="2"/>
      <c r="AE66" s="2"/>
      <c r="AF66" s="2"/>
      <c r="AG66" s="2"/>
    </row>
    <row r="67" ht="14.25" customHeight="1">
      <c r="A67" s="2"/>
      <c r="B67" s="2"/>
      <c r="C67" s="2"/>
      <c r="D67" s="2"/>
      <c r="E67" s="2"/>
      <c r="F67" s="2"/>
      <c r="G67" s="2"/>
      <c r="H67" s="146"/>
      <c r="I67" s="146"/>
      <c r="J67" s="146"/>
      <c r="K67" s="146"/>
      <c r="L67" s="2"/>
      <c r="M67" s="2"/>
      <c r="N67" s="2"/>
      <c r="O67" s="2"/>
      <c r="P67" s="2"/>
      <c r="Q67" s="2"/>
      <c r="R67" s="2"/>
      <c r="S67" s="2"/>
      <c r="T67" s="2"/>
      <c r="U67" s="2"/>
      <c r="V67" s="2"/>
      <c r="W67" s="2"/>
      <c r="X67" s="2"/>
      <c r="Y67" s="2"/>
      <c r="Z67" s="2"/>
      <c r="AA67" s="2"/>
      <c r="AB67" s="2"/>
      <c r="AC67" s="2"/>
      <c r="AD67" s="2"/>
      <c r="AE67" s="2"/>
      <c r="AF67" s="2"/>
      <c r="AG67" s="2"/>
    </row>
    <row r="68" ht="14.25" customHeight="1">
      <c r="A68" s="2"/>
      <c r="B68" s="2"/>
      <c r="C68" s="2"/>
      <c r="D68" s="2"/>
      <c r="E68" s="2"/>
      <c r="F68" s="2"/>
      <c r="G68" s="2"/>
      <c r="H68" s="146"/>
      <c r="I68" s="146"/>
      <c r="J68" s="146"/>
      <c r="K68" s="146"/>
      <c r="L68" s="2"/>
      <c r="M68" s="2"/>
      <c r="N68" s="2"/>
      <c r="O68" s="2"/>
      <c r="P68" s="2"/>
      <c r="Q68" s="2"/>
      <c r="R68" s="2"/>
      <c r="S68" s="2"/>
      <c r="T68" s="2"/>
      <c r="U68" s="2"/>
      <c r="V68" s="2"/>
      <c r="W68" s="2"/>
      <c r="X68" s="2"/>
      <c r="Y68" s="2"/>
      <c r="Z68" s="2"/>
      <c r="AA68" s="2"/>
      <c r="AB68" s="2"/>
      <c r="AC68" s="2"/>
      <c r="AD68" s="2"/>
      <c r="AE68" s="2"/>
      <c r="AF68" s="2"/>
      <c r="AG68" s="2"/>
    </row>
    <row r="69" ht="14.25" customHeight="1">
      <c r="A69" s="2"/>
      <c r="B69" s="2"/>
      <c r="C69" s="2"/>
      <c r="D69" s="2"/>
      <c r="E69" s="2"/>
      <c r="F69" s="2"/>
      <c r="G69" s="2"/>
      <c r="H69" s="146"/>
      <c r="I69" s="146"/>
      <c r="J69" s="146"/>
      <c r="K69" s="146"/>
      <c r="L69" s="2"/>
      <c r="M69" s="2"/>
      <c r="N69" s="2"/>
      <c r="O69" s="2"/>
      <c r="P69" s="2"/>
      <c r="Q69" s="2"/>
      <c r="R69" s="2"/>
      <c r="S69" s="2"/>
      <c r="T69" s="2"/>
      <c r="U69" s="2"/>
      <c r="V69" s="2"/>
      <c r="W69" s="2"/>
      <c r="X69" s="2"/>
      <c r="Y69" s="2"/>
      <c r="Z69" s="2"/>
      <c r="AA69" s="2"/>
      <c r="AB69" s="2"/>
      <c r="AC69" s="2"/>
      <c r="AD69" s="2"/>
      <c r="AE69" s="2"/>
      <c r="AF69" s="2"/>
      <c r="AG69" s="2"/>
    </row>
    <row r="70" ht="14.25" customHeight="1">
      <c r="A70" s="2"/>
      <c r="B70" s="2"/>
      <c r="C70" s="2"/>
      <c r="D70" s="2"/>
      <c r="E70" s="2"/>
      <c r="F70" s="2"/>
      <c r="G70" s="2"/>
      <c r="H70" s="146"/>
      <c r="I70" s="146"/>
      <c r="J70" s="146"/>
      <c r="K70" s="146"/>
      <c r="L70" s="2"/>
      <c r="M70" s="2"/>
      <c r="N70" s="2"/>
      <c r="O70" s="2"/>
      <c r="P70" s="2"/>
      <c r="Q70" s="2"/>
      <c r="R70" s="2"/>
      <c r="S70" s="2"/>
      <c r="T70" s="2"/>
      <c r="U70" s="2"/>
      <c r="V70" s="2"/>
      <c r="W70" s="2"/>
      <c r="X70" s="2"/>
      <c r="Y70" s="2"/>
      <c r="Z70" s="2"/>
      <c r="AA70" s="2"/>
      <c r="AB70" s="2"/>
      <c r="AC70" s="2"/>
      <c r="AD70" s="2"/>
      <c r="AE70" s="2"/>
      <c r="AF70" s="2"/>
      <c r="AG70" s="2"/>
    </row>
    <row r="71" ht="14.25" customHeight="1">
      <c r="A71" s="2"/>
      <c r="B71" s="2"/>
      <c r="C71" s="2"/>
      <c r="D71" s="2"/>
      <c r="E71" s="2"/>
      <c r="F71" s="2"/>
      <c r="G71" s="2"/>
      <c r="H71" s="146"/>
      <c r="I71" s="146"/>
      <c r="J71" s="146"/>
      <c r="K71" s="146"/>
      <c r="L71" s="2"/>
      <c r="M71" s="2"/>
      <c r="N71" s="2"/>
      <c r="O71" s="2"/>
      <c r="P71" s="2"/>
      <c r="Q71" s="2"/>
      <c r="R71" s="2"/>
      <c r="S71" s="2"/>
      <c r="T71" s="2"/>
      <c r="U71" s="2"/>
      <c r="V71" s="2"/>
      <c r="W71" s="2"/>
      <c r="X71" s="2"/>
      <c r="Y71" s="2"/>
      <c r="Z71" s="2"/>
      <c r="AA71" s="2"/>
      <c r="AB71" s="2"/>
      <c r="AC71" s="2"/>
      <c r="AD71" s="2"/>
      <c r="AE71" s="2"/>
      <c r="AF71" s="2"/>
      <c r="AG71" s="2"/>
    </row>
    <row r="72" ht="14.25" customHeight="1">
      <c r="A72" s="2"/>
      <c r="B72" s="2"/>
      <c r="C72" s="2"/>
      <c r="D72" s="2"/>
      <c r="E72" s="2"/>
      <c r="F72" s="2"/>
      <c r="G72" s="2"/>
      <c r="H72" s="146"/>
      <c r="I72" s="146"/>
      <c r="J72" s="146"/>
      <c r="K72" s="146"/>
      <c r="L72" s="2"/>
      <c r="M72" s="2"/>
      <c r="N72" s="2"/>
      <c r="O72" s="2"/>
      <c r="P72" s="2"/>
      <c r="Q72" s="2"/>
      <c r="R72" s="2"/>
      <c r="S72" s="2"/>
      <c r="T72" s="2"/>
      <c r="U72" s="2"/>
      <c r="V72" s="2"/>
      <c r="W72" s="2"/>
      <c r="X72" s="2"/>
      <c r="Y72" s="2"/>
      <c r="Z72" s="2"/>
      <c r="AA72" s="2"/>
      <c r="AB72" s="2"/>
      <c r="AC72" s="2"/>
      <c r="AD72" s="2"/>
      <c r="AE72" s="2"/>
      <c r="AF72" s="2"/>
      <c r="AG72" s="2"/>
    </row>
    <row r="73" ht="14.25" customHeight="1">
      <c r="A73" s="2"/>
      <c r="B73" s="2"/>
      <c r="C73" s="2"/>
      <c r="D73" s="2"/>
      <c r="E73" s="2"/>
      <c r="F73" s="2"/>
      <c r="G73" s="2"/>
      <c r="H73" s="146"/>
      <c r="I73" s="146"/>
      <c r="J73" s="146"/>
      <c r="K73" s="146"/>
      <c r="L73" s="2"/>
      <c r="M73" s="2"/>
      <c r="N73" s="2"/>
      <c r="O73" s="2"/>
      <c r="P73" s="2"/>
      <c r="Q73" s="2"/>
      <c r="R73" s="2"/>
      <c r="S73" s="2"/>
      <c r="T73" s="2"/>
      <c r="U73" s="2"/>
      <c r="V73" s="2"/>
      <c r="W73" s="2"/>
      <c r="X73" s="2"/>
      <c r="Y73" s="2"/>
      <c r="Z73" s="2"/>
      <c r="AA73" s="2"/>
      <c r="AB73" s="2"/>
      <c r="AC73" s="2"/>
      <c r="AD73" s="2"/>
      <c r="AE73" s="2"/>
      <c r="AF73" s="2"/>
      <c r="AG73" s="2"/>
    </row>
    <row r="74" ht="14.25" customHeight="1">
      <c r="A74" s="2"/>
      <c r="B74" s="2"/>
      <c r="C74" s="2"/>
      <c r="D74" s="2"/>
      <c r="E74" s="2"/>
      <c r="F74" s="2"/>
      <c r="G74" s="2"/>
      <c r="H74" s="146"/>
      <c r="I74" s="146"/>
      <c r="J74" s="146"/>
      <c r="K74" s="146"/>
      <c r="L74" s="2"/>
      <c r="M74" s="2"/>
      <c r="N74" s="2"/>
      <c r="O74" s="2"/>
      <c r="P74" s="2"/>
      <c r="Q74" s="2"/>
      <c r="R74" s="2"/>
      <c r="S74" s="2"/>
      <c r="T74" s="2"/>
      <c r="U74" s="2"/>
      <c r="V74" s="2"/>
      <c r="W74" s="2"/>
      <c r="X74" s="2"/>
      <c r="Y74" s="2"/>
      <c r="Z74" s="2"/>
      <c r="AA74" s="2"/>
      <c r="AB74" s="2"/>
      <c r="AC74" s="2"/>
      <c r="AD74" s="2"/>
      <c r="AE74" s="2"/>
      <c r="AF74" s="2"/>
      <c r="AG74" s="2"/>
    </row>
    <row r="75" ht="14.25" customHeight="1">
      <c r="A75" s="2"/>
      <c r="B75" s="2"/>
      <c r="C75" s="2"/>
      <c r="D75" s="2"/>
      <c r="E75" s="2"/>
      <c r="F75" s="2"/>
      <c r="G75" s="2"/>
      <c r="H75" s="146"/>
      <c r="I75" s="146"/>
      <c r="J75" s="146"/>
      <c r="K75" s="146"/>
      <c r="L75" s="2"/>
      <c r="M75" s="2"/>
      <c r="N75" s="2"/>
      <c r="O75" s="2"/>
      <c r="P75" s="2"/>
      <c r="Q75" s="2"/>
      <c r="R75" s="2"/>
      <c r="S75" s="2"/>
      <c r="T75" s="2"/>
      <c r="U75" s="2"/>
      <c r="V75" s="2"/>
      <c r="W75" s="2"/>
      <c r="X75" s="2"/>
      <c r="Y75" s="2"/>
      <c r="Z75" s="2"/>
      <c r="AA75" s="2"/>
      <c r="AB75" s="2"/>
      <c r="AC75" s="2"/>
      <c r="AD75" s="2"/>
      <c r="AE75" s="2"/>
      <c r="AF75" s="2"/>
      <c r="AG75" s="2"/>
    </row>
    <row r="76" ht="14.25" customHeight="1">
      <c r="A76" s="2"/>
      <c r="B76" s="2"/>
      <c r="C76" s="2"/>
      <c r="D76" s="2"/>
      <c r="E76" s="2"/>
      <c r="F76" s="2"/>
      <c r="G76" s="2"/>
      <c r="H76" s="146"/>
      <c r="I76" s="146"/>
      <c r="J76" s="146"/>
      <c r="K76" s="146"/>
      <c r="L76" s="2"/>
      <c r="M76" s="2"/>
      <c r="N76" s="2"/>
      <c r="O76" s="2"/>
      <c r="P76" s="2"/>
      <c r="Q76" s="2"/>
      <c r="R76" s="2"/>
      <c r="S76" s="2"/>
      <c r="T76" s="2"/>
      <c r="U76" s="2"/>
      <c r="V76" s="2"/>
      <c r="W76" s="2"/>
      <c r="X76" s="2"/>
      <c r="Y76" s="2"/>
      <c r="Z76" s="2"/>
      <c r="AA76" s="2"/>
      <c r="AB76" s="2"/>
      <c r="AC76" s="2"/>
      <c r="AD76" s="2"/>
      <c r="AE76" s="2"/>
      <c r="AF76" s="2"/>
      <c r="AG76" s="2"/>
    </row>
    <row r="77" ht="14.25" customHeight="1">
      <c r="A77" s="2"/>
      <c r="B77" s="2"/>
      <c r="C77" s="2"/>
      <c r="D77" s="2"/>
      <c r="E77" s="2"/>
      <c r="F77" s="2"/>
      <c r="G77" s="2"/>
      <c r="H77" s="146"/>
      <c r="I77" s="146"/>
      <c r="J77" s="146"/>
      <c r="K77" s="146"/>
      <c r="L77" s="2"/>
      <c r="M77" s="2"/>
      <c r="N77" s="2"/>
      <c r="O77" s="2"/>
      <c r="P77" s="2"/>
      <c r="Q77" s="2"/>
      <c r="R77" s="2"/>
      <c r="S77" s="2"/>
      <c r="T77" s="2"/>
      <c r="U77" s="2"/>
      <c r="V77" s="2"/>
      <c r="W77" s="2"/>
      <c r="X77" s="2"/>
      <c r="Y77" s="2"/>
      <c r="Z77" s="2"/>
      <c r="AA77" s="2"/>
      <c r="AB77" s="2"/>
      <c r="AC77" s="2"/>
      <c r="AD77" s="2"/>
      <c r="AE77" s="2"/>
      <c r="AF77" s="2"/>
      <c r="AG77" s="2"/>
    </row>
    <row r="78" ht="14.25" customHeight="1">
      <c r="A78" s="2"/>
      <c r="B78" s="2"/>
      <c r="C78" s="2"/>
      <c r="D78" s="2"/>
      <c r="E78" s="2"/>
      <c r="F78" s="2"/>
      <c r="G78" s="2"/>
      <c r="H78" s="146"/>
      <c r="I78" s="146"/>
      <c r="J78" s="146"/>
      <c r="K78" s="146"/>
      <c r="L78" s="2"/>
      <c r="M78" s="2"/>
      <c r="N78" s="2"/>
      <c r="O78" s="2"/>
      <c r="P78" s="2"/>
      <c r="Q78" s="2"/>
      <c r="R78" s="2"/>
      <c r="S78" s="2"/>
      <c r="T78" s="2"/>
      <c r="U78" s="2"/>
      <c r="V78" s="2"/>
      <c r="W78" s="2"/>
      <c r="X78" s="2"/>
      <c r="Y78" s="2"/>
      <c r="Z78" s="2"/>
      <c r="AA78" s="2"/>
      <c r="AB78" s="2"/>
      <c r="AC78" s="2"/>
      <c r="AD78" s="2"/>
      <c r="AE78" s="2"/>
      <c r="AF78" s="2"/>
      <c r="AG78" s="2"/>
    </row>
    <row r="79" ht="14.25" customHeight="1">
      <c r="A79" s="2"/>
      <c r="B79" s="2"/>
      <c r="C79" s="2"/>
      <c r="D79" s="2"/>
      <c r="E79" s="2"/>
      <c r="F79" s="2"/>
      <c r="G79" s="2"/>
      <c r="H79" s="146"/>
      <c r="I79" s="146"/>
      <c r="J79" s="146"/>
      <c r="K79" s="146"/>
      <c r="L79" s="2"/>
      <c r="M79" s="2"/>
      <c r="N79" s="2"/>
      <c r="O79" s="2"/>
      <c r="P79" s="2"/>
      <c r="Q79" s="2"/>
      <c r="R79" s="2"/>
      <c r="S79" s="2"/>
      <c r="T79" s="2"/>
      <c r="U79" s="2"/>
      <c r="V79" s="2"/>
      <c r="W79" s="2"/>
      <c r="X79" s="2"/>
      <c r="Y79" s="2"/>
      <c r="Z79" s="2"/>
      <c r="AA79" s="2"/>
      <c r="AB79" s="2"/>
      <c r="AC79" s="2"/>
      <c r="AD79" s="2"/>
      <c r="AE79" s="2"/>
      <c r="AF79" s="2"/>
      <c r="AG79" s="2"/>
    </row>
    <row r="80" ht="14.25" customHeight="1">
      <c r="A80" s="2"/>
      <c r="B80" s="2"/>
      <c r="C80" s="2"/>
      <c r="D80" s="2"/>
      <c r="E80" s="2"/>
      <c r="F80" s="2"/>
      <c r="G80" s="2"/>
      <c r="H80" s="146"/>
      <c r="I80" s="146"/>
      <c r="J80" s="146"/>
      <c r="K80" s="146"/>
      <c r="L80" s="2"/>
      <c r="M80" s="2"/>
      <c r="N80" s="2"/>
      <c r="O80" s="2"/>
      <c r="P80" s="2"/>
      <c r="Q80" s="2"/>
      <c r="R80" s="2"/>
      <c r="S80" s="2"/>
      <c r="T80" s="2"/>
      <c r="U80" s="2"/>
      <c r="V80" s="2"/>
      <c r="W80" s="2"/>
      <c r="X80" s="2"/>
      <c r="Y80" s="2"/>
      <c r="Z80" s="2"/>
      <c r="AA80" s="2"/>
      <c r="AB80" s="2"/>
      <c r="AC80" s="2"/>
      <c r="AD80" s="2"/>
      <c r="AE80" s="2"/>
      <c r="AF80" s="2"/>
      <c r="AG80" s="2"/>
    </row>
    <row r="81" ht="14.25" customHeight="1">
      <c r="A81" s="2"/>
      <c r="B81" s="2"/>
      <c r="C81" s="2"/>
      <c r="D81" s="2"/>
      <c r="E81" s="2"/>
      <c r="F81" s="2"/>
      <c r="G81" s="2"/>
      <c r="H81" s="146"/>
      <c r="I81" s="146"/>
      <c r="J81" s="146"/>
      <c r="K81" s="146"/>
      <c r="L81" s="2"/>
      <c r="M81" s="2"/>
      <c r="N81" s="2"/>
      <c r="O81" s="2"/>
      <c r="P81" s="2"/>
      <c r="Q81" s="2"/>
      <c r="R81" s="2"/>
      <c r="S81" s="2"/>
      <c r="T81" s="2"/>
      <c r="U81" s="2"/>
      <c r="V81" s="2"/>
      <c r="W81" s="2"/>
      <c r="X81" s="2"/>
      <c r="Y81" s="2"/>
      <c r="Z81" s="2"/>
      <c r="AA81" s="2"/>
      <c r="AB81" s="2"/>
      <c r="AC81" s="2"/>
      <c r="AD81" s="2"/>
      <c r="AE81" s="2"/>
      <c r="AF81" s="2"/>
      <c r="AG81" s="2"/>
    </row>
    <row r="82" ht="14.25" customHeight="1">
      <c r="A82" s="2"/>
      <c r="B82" s="2"/>
      <c r="C82" s="2"/>
      <c r="D82" s="2"/>
      <c r="E82" s="2"/>
      <c r="F82" s="2"/>
      <c r="G82" s="2"/>
      <c r="H82" s="146"/>
      <c r="I82" s="146"/>
      <c r="J82" s="146"/>
      <c r="K82" s="146"/>
      <c r="L82" s="2"/>
      <c r="M82" s="2"/>
      <c r="N82" s="2"/>
      <c r="O82" s="2"/>
      <c r="P82" s="2"/>
      <c r="Q82" s="2"/>
      <c r="R82" s="2"/>
      <c r="S82" s="2"/>
      <c r="T82" s="2"/>
      <c r="U82" s="2"/>
      <c r="V82" s="2"/>
      <c r="W82" s="2"/>
      <c r="X82" s="2"/>
      <c r="Y82" s="2"/>
      <c r="Z82" s="2"/>
      <c r="AA82" s="2"/>
      <c r="AB82" s="2"/>
      <c r="AC82" s="2"/>
      <c r="AD82" s="2"/>
      <c r="AE82" s="2"/>
      <c r="AF82" s="2"/>
      <c r="AG82" s="2"/>
    </row>
    <row r="83" ht="14.25" customHeight="1">
      <c r="A83" s="2"/>
      <c r="B83" s="2"/>
      <c r="C83" s="2"/>
      <c r="D83" s="2"/>
      <c r="E83" s="2"/>
      <c r="F83" s="2"/>
      <c r="G83" s="2"/>
      <c r="H83" s="146"/>
      <c r="I83" s="146"/>
      <c r="J83" s="146"/>
      <c r="K83" s="146"/>
      <c r="L83" s="2"/>
      <c r="M83" s="2"/>
      <c r="N83" s="2"/>
      <c r="O83" s="2"/>
      <c r="P83" s="2"/>
      <c r="Q83" s="2"/>
      <c r="R83" s="2"/>
      <c r="S83" s="2"/>
      <c r="T83" s="2"/>
      <c r="U83" s="2"/>
      <c r="V83" s="2"/>
      <c r="W83" s="2"/>
      <c r="X83" s="2"/>
      <c r="Y83" s="2"/>
      <c r="Z83" s="2"/>
      <c r="AA83" s="2"/>
      <c r="AB83" s="2"/>
      <c r="AC83" s="2"/>
      <c r="AD83" s="2"/>
      <c r="AE83" s="2"/>
      <c r="AF83" s="2"/>
      <c r="AG83" s="2"/>
    </row>
    <row r="84" ht="14.25" customHeight="1">
      <c r="A84" s="2"/>
      <c r="B84" s="2"/>
      <c r="C84" s="2"/>
      <c r="D84" s="2"/>
      <c r="E84" s="2"/>
      <c r="F84" s="2"/>
      <c r="G84" s="2"/>
      <c r="H84" s="146"/>
      <c r="I84" s="146"/>
      <c r="J84" s="146"/>
      <c r="K84" s="146"/>
      <c r="L84" s="2"/>
      <c r="M84" s="2"/>
      <c r="N84" s="2"/>
      <c r="O84" s="2"/>
      <c r="P84" s="2"/>
      <c r="Q84" s="2"/>
      <c r="R84" s="2"/>
      <c r="S84" s="2"/>
      <c r="T84" s="2"/>
      <c r="U84" s="2"/>
      <c r="V84" s="2"/>
      <c r="W84" s="2"/>
      <c r="X84" s="2"/>
      <c r="Y84" s="2"/>
      <c r="Z84" s="2"/>
      <c r="AA84" s="2"/>
      <c r="AB84" s="2"/>
      <c r="AC84" s="2"/>
      <c r="AD84" s="2"/>
      <c r="AE84" s="2"/>
      <c r="AF84" s="2"/>
      <c r="AG84" s="2"/>
    </row>
    <row r="85" ht="14.25" customHeight="1">
      <c r="A85" s="2"/>
      <c r="B85" s="2"/>
      <c r="C85" s="2"/>
      <c r="D85" s="2"/>
      <c r="E85" s="2"/>
      <c r="F85" s="2"/>
      <c r="G85" s="2"/>
      <c r="H85" s="146"/>
      <c r="I85" s="146"/>
      <c r="J85" s="146"/>
      <c r="K85" s="146"/>
      <c r="L85" s="2"/>
      <c r="M85" s="2"/>
      <c r="N85" s="2"/>
      <c r="O85" s="2"/>
      <c r="P85" s="2"/>
      <c r="Q85" s="2"/>
      <c r="R85" s="2"/>
      <c r="S85" s="2"/>
      <c r="T85" s="2"/>
      <c r="U85" s="2"/>
      <c r="V85" s="2"/>
      <c r="W85" s="2"/>
      <c r="X85" s="2"/>
      <c r="Y85" s="2"/>
      <c r="Z85" s="2"/>
      <c r="AA85" s="2"/>
      <c r="AB85" s="2"/>
      <c r="AC85" s="2"/>
      <c r="AD85" s="2"/>
      <c r="AE85" s="2"/>
      <c r="AF85" s="2"/>
      <c r="AG85" s="2"/>
    </row>
    <row r="86" ht="14.25" customHeight="1">
      <c r="A86" s="2"/>
      <c r="B86" s="2"/>
      <c r="C86" s="2"/>
      <c r="D86" s="2"/>
      <c r="E86" s="2"/>
      <c r="F86" s="2"/>
      <c r="G86" s="2"/>
      <c r="H86" s="146"/>
      <c r="I86" s="146"/>
      <c r="J86" s="146"/>
      <c r="K86" s="146"/>
      <c r="L86" s="2"/>
      <c r="M86" s="2"/>
      <c r="N86" s="2"/>
      <c r="O86" s="2"/>
      <c r="P86" s="2"/>
      <c r="Q86" s="2"/>
      <c r="R86" s="2"/>
      <c r="S86" s="2"/>
      <c r="T86" s="2"/>
      <c r="U86" s="2"/>
      <c r="V86" s="2"/>
      <c r="W86" s="2"/>
      <c r="X86" s="2"/>
      <c r="Y86" s="2"/>
      <c r="Z86" s="2"/>
      <c r="AA86" s="2"/>
      <c r="AB86" s="2"/>
      <c r="AC86" s="2"/>
      <c r="AD86" s="2"/>
      <c r="AE86" s="2"/>
      <c r="AF86" s="2"/>
      <c r="AG86" s="2"/>
    </row>
    <row r="87" ht="14.25" customHeight="1">
      <c r="A87" s="2"/>
      <c r="B87" s="2"/>
      <c r="C87" s="2"/>
      <c r="D87" s="2"/>
      <c r="E87" s="2"/>
      <c r="F87" s="2"/>
      <c r="G87" s="2"/>
      <c r="H87" s="146"/>
      <c r="I87" s="146"/>
      <c r="J87" s="146"/>
      <c r="K87" s="146"/>
      <c r="L87" s="2"/>
      <c r="M87" s="2"/>
      <c r="N87" s="2"/>
      <c r="O87" s="2"/>
      <c r="P87" s="2"/>
      <c r="Q87" s="2"/>
      <c r="R87" s="2"/>
      <c r="S87" s="2"/>
      <c r="T87" s="2"/>
      <c r="U87" s="2"/>
      <c r="V87" s="2"/>
      <c r="W87" s="2"/>
      <c r="X87" s="2"/>
      <c r="Y87" s="2"/>
      <c r="Z87" s="2"/>
      <c r="AA87" s="2"/>
      <c r="AB87" s="2"/>
      <c r="AC87" s="2"/>
      <c r="AD87" s="2"/>
      <c r="AE87" s="2"/>
      <c r="AF87" s="2"/>
      <c r="AG87" s="2"/>
    </row>
    <row r="88" ht="14.25" customHeight="1">
      <c r="A88" s="2"/>
      <c r="B88" s="2"/>
      <c r="C88" s="2"/>
      <c r="D88" s="2"/>
      <c r="E88" s="2"/>
      <c r="F88" s="2"/>
      <c r="G88" s="2"/>
      <c r="H88" s="146"/>
      <c r="I88" s="146"/>
      <c r="J88" s="146"/>
      <c r="K88" s="146"/>
      <c r="L88" s="2"/>
      <c r="M88" s="2"/>
      <c r="N88" s="2"/>
      <c r="O88" s="2"/>
      <c r="P88" s="2"/>
      <c r="Q88" s="2"/>
      <c r="R88" s="2"/>
      <c r="S88" s="2"/>
      <c r="T88" s="2"/>
      <c r="U88" s="2"/>
      <c r="V88" s="2"/>
      <c r="W88" s="2"/>
      <c r="X88" s="2"/>
      <c r="Y88" s="2"/>
      <c r="Z88" s="2"/>
      <c r="AA88" s="2"/>
      <c r="AB88" s="2"/>
      <c r="AC88" s="2"/>
      <c r="AD88" s="2"/>
      <c r="AE88" s="2"/>
      <c r="AF88" s="2"/>
      <c r="AG88" s="2"/>
    </row>
    <row r="89" ht="14.25" customHeight="1">
      <c r="A89" s="2"/>
      <c r="B89" s="2"/>
      <c r="C89" s="2"/>
      <c r="D89" s="2"/>
      <c r="E89" s="2"/>
      <c r="F89" s="2"/>
      <c r="G89" s="2"/>
      <c r="H89" s="146"/>
      <c r="I89" s="146"/>
      <c r="J89" s="146"/>
      <c r="K89" s="146"/>
      <c r="L89" s="2"/>
      <c r="M89" s="2"/>
      <c r="N89" s="2"/>
      <c r="O89" s="2"/>
      <c r="P89" s="2"/>
      <c r="Q89" s="2"/>
      <c r="R89" s="2"/>
      <c r="S89" s="2"/>
      <c r="T89" s="2"/>
      <c r="U89" s="2"/>
      <c r="V89" s="2"/>
      <c r="W89" s="2"/>
      <c r="X89" s="2"/>
      <c r="Y89" s="2"/>
      <c r="Z89" s="2"/>
      <c r="AA89" s="2"/>
      <c r="AB89" s="2"/>
      <c r="AC89" s="2"/>
      <c r="AD89" s="2"/>
      <c r="AE89" s="2"/>
      <c r="AF89" s="2"/>
      <c r="AG89" s="2"/>
    </row>
    <row r="90" ht="14.25" customHeight="1">
      <c r="A90" s="2"/>
      <c r="B90" s="2"/>
      <c r="C90" s="2"/>
      <c r="D90" s="2"/>
      <c r="E90" s="2"/>
      <c r="F90" s="2"/>
      <c r="G90" s="2"/>
      <c r="H90" s="146"/>
      <c r="I90" s="146"/>
      <c r="J90" s="146"/>
      <c r="K90" s="146"/>
      <c r="L90" s="2"/>
      <c r="M90" s="2"/>
      <c r="N90" s="2"/>
      <c r="O90" s="2"/>
      <c r="P90" s="2"/>
      <c r="Q90" s="2"/>
      <c r="R90" s="2"/>
      <c r="S90" s="2"/>
      <c r="T90" s="2"/>
      <c r="U90" s="2"/>
      <c r="V90" s="2"/>
      <c r="W90" s="2"/>
      <c r="X90" s="2"/>
      <c r="Y90" s="2"/>
      <c r="Z90" s="2"/>
      <c r="AA90" s="2"/>
      <c r="AB90" s="2"/>
      <c r="AC90" s="2"/>
      <c r="AD90" s="2"/>
      <c r="AE90" s="2"/>
      <c r="AF90" s="2"/>
      <c r="AG90" s="2"/>
    </row>
    <row r="91" ht="14.25" customHeight="1">
      <c r="A91" s="2"/>
      <c r="B91" s="2"/>
      <c r="C91" s="2"/>
      <c r="D91" s="2"/>
      <c r="E91" s="2"/>
      <c r="F91" s="2"/>
      <c r="G91" s="2"/>
      <c r="H91" s="146"/>
      <c r="I91" s="146"/>
      <c r="J91" s="146"/>
      <c r="K91" s="146"/>
      <c r="L91" s="2"/>
      <c r="M91" s="2"/>
      <c r="N91" s="2"/>
      <c r="O91" s="2"/>
      <c r="P91" s="2"/>
      <c r="Q91" s="2"/>
      <c r="R91" s="2"/>
      <c r="S91" s="2"/>
      <c r="T91" s="2"/>
      <c r="U91" s="2"/>
      <c r="V91" s="2"/>
      <c r="W91" s="2"/>
      <c r="X91" s="2"/>
      <c r="Y91" s="2"/>
      <c r="Z91" s="2"/>
      <c r="AA91" s="2"/>
      <c r="AB91" s="2"/>
      <c r="AC91" s="2"/>
      <c r="AD91" s="2"/>
      <c r="AE91" s="2"/>
      <c r="AF91" s="2"/>
      <c r="AG91" s="2"/>
    </row>
    <row r="92" ht="14.25" customHeight="1">
      <c r="A92" s="2"/>
      <c r="B92" s="2"/>
      <c r="C92" s="2"/>
      <c r="D92" s="2"/>
      <c r="E92" s="2"/>
      <c r="F92" s="2"/>
      <c r="G92" s="2"/>
      <c r="H92" s="146"/>
      <c r="I92" s="146"/>
      <c r="J92" s="146"/>
      <c r="K92" s="146"/>
      <c r="L92" s="2"/>
      <c r="M92" s="2"/>
      <c r="N92" s="2"/>
      <c r="O92" s="2"/>
      <c r="P92" s="2"/>
      <c r="Q92" s="2"/>
      <c r="R92" s="2"/>
      <c r="S92" s="2"/>
      <c r="T92" s="2"/>
      <c r="U92" s="2"/>
      <c r="V92" s="2"/>
      <c r="W92" s="2"/>
      <c r="X92" s="2"/>
      <c r="Y92" s="2"/>
      <c r="Z92" s="2"/>
      <c r="AA92" s="2"/>
      <c r="AB92" s="2"/>
      <c r="AC92" s="2"/>
      <c r="AD92" s="2"/>
      <c r="AE92" s="2"/>
      <c r="AF92" s="2"/>
      <c r="AG92" s="2"/>
    </row>
    <row r="93" ht="14.25" customHeight="1">
      <c r="A93" s="2"/>
      <c r="B93" s="2"/>
      <c r="C93" s="2"/>
      <c r="D93" s="2"/>
      <c r="E93" s="2"/>
      <c r="F93" s="2"/>
      <c r="G93" s="2"/>
      <c r="H93" s="146"/>
      <c r="I93" s="146"/>
      <c r="J93" s="146"/>
      <c r="K93" s="146"/>
      <c r="L93" s="2"/>
      <c r="M93" s="2"/>
      <c r="N93" s="2"/>
      <c r="O93" s="2"/>
      <c r="P93" s="2"/>
      <c r="Q93" s="2"/>
      <c r="R93" s="2"/>
      <c r="S93" s="2"/>
      <c r="T93" s="2"/>
      <c r="U93" s="2"/>
      <c r="V93" s="2"/>
      <c r="W93" s="2"/>
      <c r="X93" s="2"/>
      <c r="Y93" s="2"/>
      <c r="Z93" s="2"/>
      <c r="AA93" s="2"/>
      <c r="AB93" s="2"/>
      <c r="AC93" s="2"/>
      <c r="AD93" s="2"/>
      <c r="AE93" s="2"/>
      <c r="AF93" s="2"/>
      <c r="AG93" s="2"/>
    </row>
    <row r="94" ht="14.25" customHeight="1">
      <c r="A94" s="2"/>
      <c r="B94" s="2"/>
      <c r="C94" s="2"/>
      <c r="D94" s="2"/>
      <c r="E94" s="2"/>
      <c r="F94" s="2"/>
      <c r="G94" s="2"/>
      <c r="H94" s="146"/>
      <c r="I94" s="146"/>
      <c r="J94" s="146"/>
      <c r="K94" s="146"/>
      <c r="L94" s="2"/>
      <c r="M94" s="2"/>
      <c r="N94" s="2"/>
      <c r="O94" s="2"/>
      <c r="P94" s="2"/>
      <c r="Q94" s="2"/>
      <c r="R94" s="2"/>
      <c r="S94" s="2"/>
      <c r="T94" s="2"/>
      <c r="U94" s="2"/>
      <c r="V94" s="2"/>
      <c r="W94" s="2"/>
      <c r="X94" s="2"/>
      <c r="Y94" s="2"/>
      <c r="Z94" s="2"/>
      <c r="AA94" s="2"/>
      <c r="AB94" s="2"/>
      <c r="AC94" s="2"/>
      <c r="AD94" s="2"/>
      <c r="AE94" s="2"/>
      <c r="AF94" s="2"/>
      <c r="AG94" s="2"/>
    </row>
    <row r="95" ht="14.25" customHeight="1">
      <c r="A95" s="2"/>
      <c r="B95" s="2"/>
      <c r="C95" s="2"/>
      <c r="D95" s="2"/>
      <c r="E95" s="2"/>
      <c r="F95" s="2"/>
      <c r="G95" s="2"/>
      <c r="H95" s="146"/>
      <c r="I95" s="146"/>
      <c r="J95" s="146"/>
      <c r="K95" s="146"/>
      <c r="L95" s="2"/>
      <c r="M95" s="2"/>
      <c r="N95" s="2"/>
      <c r="O95" s="2"/>
      <c r="P95" s="2"/>
      <c r="Q95" s="2"/>
      <c r="R95" s="2"/>
      <c r="S95" s="2"/>
      <c r="T95" s="2"/>
      <c r="U95" s="2"/>
      <c r="V95" s="2"/>
      <c r="W95" s="2"/>
      <c r="X95" s="2"/>
      <c r="Y95" s="2"/>
      <c r="Z95" s="2"/>
      <c r="AA95" s="2"/>
      <c r="AB95" s="2"/>
      <c r="AC95" s="2"/>
      <c r="AD95" s="2"/>
      <c r="AE95" s="2"/>
      <c r="AF95" s="2"/>
      <c r="AG95" s="2"/>
    </row>
    <row r="96" ht="14.25" customHeight="1">
      <c r="A96" s="2"/>
      <c r="B96" s="2"/>
      <c r="C96" s="2"/>
      <c r="D96" s="2"/>
      <c r="E96" s="2"/>
      <c r="F96" s="2"/>
      <c r="G96" s="2"/>
      <c r="H96" s="146"/>
      <c r="I96" s="146"/>
      <c r="J96" s="146"/>
      <c r="K96" s="146"/>
      <c r="L96" s="2"/>
      <c r="M96" s="2"/>
      <c r="N96" s="2"/>
      <c r="O96" s="2"/>
      <c r="P96" s="2"/>
      <c r="Q96" s="2"/>
      <c r="R96" s="2"/>
      <c r="S96" s="2"/>
      <c r="T96" s="2"/>
      <c r="U96" s="2"/>
      <c r="V96" s="2"/>
      <c r="W96" s="2"/>
      <c r="X96" s="2"/>
      <c r="Y96" s="2"/>
      <c r="Z96" s="2"/>
      <c r="AA96" s="2"/>
      <c r="AB96" s="2"/>
      <c r="AC96" s="2"/>
      <c r="AD96" s="2"/>
      <c r="AE96" s="2"/>
      <c r="AF96" s="2"/>
      <c r="AG96" s="2"/>
    </row>
    <row r="97" ht="14.25" customHeight="1">
      <c r="A97" s="2"/>
      <c r="B97" s="2"/>
      <c r="C97" s="2"/>
      <c r="D97" s="2"/>
      <c r="E97" s="2"/>
      <c r="F97" s="2"/>
      <c r="G97" s="2"/>
      <c r="H97" s="146"/>
      <c r="I97" s="146"/>
      <c r="J97" s="146"/>
      <c r="K97" s="146"/>
      <c r="L97" s="2"/>
      <c r="M97" s="2"/>
      <c r="N97" s="2"/>
      <c r="O97" s="2"/>
      <c r="P97" s="2"/>
      <c r="Q97" s="2"/>
      <c r="R97" s="2"/>
      <c r="S97" s="2"/>
      <c r="T97" s="2"/>
      <c r="U97" s="2"/>
      <c r="V97" s="2"/>
      <c r="W97" s="2"/>
      <c r="X97" s="2"/>
      <c r="Y97" s="2"/>
      <c r="Z97" s="2"/>
      <c r="AA97" s="2"/>
      <c r="AB97" s="2"/>
      <c r="AC97" s="2"/>
      <c r="AD97" s="2"/>
      <c r="AE97" s="2"/>
      <c r="AF97" s="2"/>
      <c r="AG97" s="2"/>
    </row>
    <row r="98" ht="14.25" customHeight="1">
      <c r="A98" s="2"/>
      <c r="B98" s="2"/>
      <c r="C98" s="2"/>
      <c r="D98" s="2"/>
      <c r="E98" s="2"/>
      <c r="F98" s="2"/>
      <c r="G98" s="2"/>
      <c r="H98" s="146"/>
      <c r="I98" s="146"/>
      <c r="J98" s="146"/>
      <c r="K98" s="146"/>
      <c r="L98" s="2"/>
      <c r="M98" s="2"/>
      <c r="N98" s="2"/>
      <c r="O98" s="2"/>
      <c r="P98" s="2"/>
      <c r="Q98" s="2"/>
      <c r="R98" s="2"/>
      <c r="S98" s="2"/>
      <c r="T98" s="2"/>
      <c r="U98" s="2"/>
      <c r="V98" s="2"/>
      <c r="W98" s="2"/>
      <c r="X98" s="2"/>
      <c r="Y98" s="2"/>
      <c r="Z98" s="2"/>
      <c r="AA98" s="2"/>
      <c r="AB98" s="2"/>
      <c r="AC98" s="2"/>
      <c r="AD98" s="2"/>
      <c r="AE98" s="2"/>
      <c r="AF98" s="2"/>
      <c r="AG98" s="2"/>
    </row>
    <row r="99" ht="14.25" customHeight="1">
      <c r="A99" s="2"/>
      <c r="B99" s="2"/>
      <c r="C99" s="2"/>
      <c r="D99" s="2"/>
      <c r="E99" s="2"/>
      <c r="F99" s="2"/>
      <c r="G99" s="2"/>
      <c r="H99" s="146"/>
      <c r="I99" s="146"/>
      <c r="J99" s="146"/>
      <c r="K99" s="146"/>
      <c r="L99" s="2"/>
      <c r="M99" s="2"/>
      <c r="N99" s="2"/>
      <c r="O99" s="2"/>
      <c r="P99" s="2"/>
      <c r="Q99" s="2"/>
      <c r="R99" s="2"/>
      <c r="S99" s="2"/>
      <c r="T99" s="2"/>
      <c r="U99" s="2"/>
      <c r="V99" s="2"/>
      <c r="W99" s="2"/>
      <c r="X99" s="2"/>
      <c r="Y99" s="2"/>
      <c r="Z99" s="2"/>
      <c r="AA99" s="2"/>
      <c r="AB99" s="2"/>
      <c r="AC99" s="2"/>
      <c r="AD99" s="2"/>
      <c r="AE99" s="2"/>
      <c r="AF99" s="2"/>
      <c r="AG99" s="2"/>
    </row>
    <row r="100" ht="14.25" customHeight="1">
      <c r="A100" s="2"/>
      <c r="B100" s="2"/>
      <c r="C100" s="2"/>
      <c r="D100" s="2"/>
      <c r="E100" s="2"/>
      <c r="F100" s="2"/>
      <c r="G100" s="2"/>
      <c r="H100" s="146"/>
      <c r="I100" s="146"/>
      <c r="J100" s="146"/>
      <c r="K100" s="146"/>
      <c r="L100" s="2"/>
      <c r="M100" s="2"/>
      <c r="N100" s="2"/>
      <c r="O100" s="2"/>
      <c r="P100" s="2"/>
      <c r="Q100" s="2"/>
      <c r="R100" s="2"/>
      <c r="S100" s="2"/>
      <c r="T100" s="2"/>
      <c r="U100" s="2"/>
      <c r="V100" s="2"/>
      <c r="W100" s="2"/>
      <c r="X100" s="2"/>
      <c r="Y100" s="2"/>
      <c r="Z100" s="2"/>
      <c r="AA100" s="2"/>
      <c r="AB100" s="2"/>
      <c r="AC100" s="2"/>
      <c r="AD100" s="2"/>
      <c r="AE100" s="2"/>
      <c r="AF100" s="2"/>
      <c r="AG100" s="2"/>
    </row>
    <row r="101" ht="14.25" customHeight="1">
      <c r="A101" s="2"/>
      <c r="B101" s="2"/>
      <c r="C101" s="2"/>
      <c r="D101" s="2"/>
      <c r="E101" s="2"/>
      <c r="F101" s="2"/>
      <c r="G101" s="2"/>
      <c r="H101" s="146"/>
      <c r="I101" s="146"/>
      <c r="J101" s="146"/>
      <c r="K101" s="146"/>
      <c r="L101" s="2"/>
      <c r="M101" s="2"/>
      <c r="N101" s="2"/>
      <c r="O101" s="2"/>
      <c r="P101" s="2"/>
      <c r="Q101" s="2"/>
      <c r="R101" s="2"/>
      <c r="S101" s="2"/>
      <c r="T101" s="2"/>
      <c r="U101" s="2"/>
      <c r="V101" s="2"/>
      <c r="W101" s="2"/>
      <c r="X101" s="2"/>
      <c r="Y101" s="2"/>
      <c r="Z101" s="2"/>
      <c r="AA101" s="2"/>
      <c r="AB101" s="2"/>
      <c r="AC101" s="2"/>
      <c r="AD101" s="2"/>
      <c r="AE101" s="2"/>
      <c r="AF101" s="2"/>
      <c r="AG101" s="2"/>
    </row>
    <row r="102" ht="14.25" customHeight="1">
      <c r="A102" s="2"/>
      <c r="B102" s="2"/>
      <c r="C102" s="2"/>
      <c r="D102" s="2"/>
      <c r="E102" s="2"/>
      <c r="F102" s="2"/>
      <c r="G102" s="2"/>
      <c r="H102" s="146"/>
      <c r="I102" s="146"/>
      <c r="J102" s="146"/>
      <c r="K102" s="146"/>
      <c r="L102" s="2"/>
      <c r="M102" s="2"/>
      <c r="N102" s="2"/>
      <c r="O102" s="2"/>
      <c r="P102" s="2"/>
      <c r="Q102" s="2"/>
      <c r="R102" s="2"/>
      <c r="S102" s="2"/>
      <c r="T102" s="2"/>
      <c r="U102" s="2"/>
      <c r="V102" s="2"/>
      <c r="W102" s="2"/>
      <c r="X102" s="2"/>
      <c r="Y102" s="2"/>
      <c r="Z102" s="2"/>
      <c r="AA102" s="2"/>
      <c r="AB102" s="2"/>
      <c r="AC102" s="2"/>
      <c r="AD102" s="2"/>
      <c r="AE102" s="2"/>
      <c r="AF102" s="2"/>
      <c r="AG102" s="2"/>
    </row>
    <row r="103" ht="14.25" customHeight="1">
      <c r="A103" s="2"/>
      <c r="B103" s="2"/>
      <c r="C103" s="2"/>
      <c r="D103" s="2"/>
      <c r="E103" s="2"/>
      <c r="F103" s="2"/>
      <c r="G103" s="2"/>
      <c r="H103" s="146"/>
      <c r="I103" s="146"/>
      <c r="J103" s="146"/>
      <c r="K103" s="146"/>
      <c r="L103" s="2"/>
      <c r="M103" s="2"/>
      <c r="N103" s="2"/>
      <c r="O103" s="2"/>
      <c r="P103" s="2"/>
      <c r="Q103" s="2"/>
      <c r="R103" s="2"/>
      <c r="S103" s="2"/>
      <c r="T103" s="2"/>
      <c r="U103" s="2"/>
      <c r="V103" s="2"/>
      <c r="W103" s="2"/>
      <c r="X103" s="2"/>
      <c r="Y103" s="2"/>
      <c r="Z103" s="2"/>
      <c r="AA103" s="2"/>
      <c r="AB103" s="2"/>
      <c r="AC103" s="2"/>
      <c r="AD103" s="2"/>
      <c r="AE103" s="2"/>
      <c r="AF103" s="2"/>
      <c r="AG103" s="2"/>
    </row>
    <row r="104" ht="14.25" customHeight="1">
      <c r="A104" s="2"/>
      <c r="B104" s="2"/>
      <c r="C104" s="2"/>
      <c r="D104" s="2"/>
      <c r="E104" s="2"/>
      <c r="F104" s="2"/>
      <c r="G104" s="2"/>
      <c r="H104" s="146"/>
      <c r="I104" s="146"/>
      <c r="J104" s="146"/>
      <c r="K104" s="146"/>
      <c r="L104" s="2"/>
      <c r="M104" s="2"/>
      <c r="N104" s="2"/>
      <c r="O104" s="2"/>
      <c r="P104" s="2"/>
      <c r="Q104" s="2"/>
      <c r="R104" s="2"/>
      <c r="S104" s="2"/>
      <c r="T104" s="2"/>
      <c r="U104" s="2"/>
      <c r="V104" s="2"/>
      <c r="W104" s="2"/>
      <c r="X104" s="2"/>
      <c r="Y104" s="2"/>
      <c r="Z104" s="2"/>
      <c r="AA104" s="2"/>
      <c r="AB104" s="2"/>
      <c r="AC104" s="2"/>
      <c r="AD104" s="2"/>
      <c r="AE104" s="2"/>
      <c r="AF104" s="2"/>
      <c r="AG104" s="2"/>
    </row>
    <row r="105" ht="14.25" customHeight="1">
      <c r="A105" s="2"/>
      <c r="B105" s="2"/>
      <c r="C105" s="2"/>
      <c r="D105" s="2"/>
      <c r="E105" s="2"/>
      <c r="F105" s="2"/>
      <c r="G105" s="2"/>
      <c r="H105" s="146"/>
      <c r="I105" s="146"/>
      <c r="J105" s="146"/>
      <c r="K105" s="146"/>
      <c r="L105" s="2"/>
      <c r="M105" s="2"/>
      <c r="N105" s="2"/>
      <c r="O105" s="2"/>
      <c r="P105" s="2"/>
      <c r="Q105" s="2"/>
      <c r="R105" s="2"/>
      <c r="S105" s="2"/>
      <c r="T105" s="2"/>
      <c r="U105" s="2"/>
      <c r="V105" s="2"/>
      <c r="W105" s="2"/>
      <c r="X105" s="2"/>
      <c r="Y105" s="2"/>
      <c r="Z105" s="2"/>
      <c r="AA105" s="2"/>
      <c r="AB105" s="2"/>
      <c r="AC105" s="2"/>
      <c r="AD105" s="2"/>
      <c r="AE105" s="2"/>
      <c r="AF105" s="2"/>
      <c r="AG105" s="2"/>
    </row>
    <row r="106" ht="14.25" customHeight="1">
      <c r="A106" s="2"/>
      <c r="B106" s="2"/>
      <c r="C106" s="2"/>
      <c r="D106" s="2"/>
      <c r="E106" s="2"/>
      <c r="F106" s="2"/>
      <c r="G106" s="2"/>
      <c r="H106" s="146"/>
      <c r="I106" s="146"/>
      <c r="J106" s="146"/>
      <c r="K106" s="146"/>
      <c r="L106" s="2"/>
      <c r="M106" s="2"/>
      <c r="N106" s="2"/>
      <c r="O106" s="2"/>
      <c r="P106" s="2"/>
      <c r="Q106" s="2"/>
      <c r="R106" s="2"/>
      <c r="S106" s="2"/>
      <c r="T106" s="2"/>
      <c r="U106" s="2"/>
      <c r="V106" s="2"/>
      <c r="W106" s="2"/>
      <c r="X106" s="2"/>
      <c r="Y106" s="2"/>
      <c r="Z106" s="2"/>
      <c r="AA106" s="2"/>
      <c r="AB106" s="2"/>
      <c r="AC106" s="2"/>
      <c r="AD106" s="2"/>
      <c r="AE106" s="2"/>
      <c r="AF106" s="2"/>
      <c r="AG106" s="2"/>
    </row>
    <row r="107" ht="14.25" customHeight="1">
      <c r="A107" s="2"/>
      <c r="B107" s="2"/>
      <c r="C107" s="2"/>
      <c r="D107" s="2"/>
      <c r="E107" s="2"/>
      <c r="F107" s="2"/>
      <c r="G107" s="2"/>
      <c r="H107" s="146"/>
      <c r="I107" s="146"/>
      <c r="J107" s="146"/>
      <c r="K107" s="146"/>
      <c r="L107" s="2"/>
      <c r="M107" s="2"/>
      <c r="N107" s="2"/>
      <c r="O107" s="2"/>
      <c r="P107" s="2"/>
      <c r="Q107" s="2"/>
      <c r="R107" s="2"/>
      <c r="S107" s="2"/>
      <c r="T107" s="2"/>
      <c r="U107" s="2"/>
      <c r="V107" s="2"/>
      <c r="W107" s="2"/>
      <c r="X107" s="2"/>
      <c r="Y107" s="2"/>
      <c r="Z107" s="2"/>
      <c r="AA107" s="2"/>
      <c r="AB107" s="2"/>
      <c r="AC107" s="2"/>
      <c r="AD107" s="2"/>
      <c r="AE107" s="2"/>
      <c r="AF107" s="2"/>
      <c r="AG107" s="2"/>
    </row>
    <row r="108" ht="14.25" customHeight="1">
      <c r="A108" s="2"/>
      <c r="B108" s="2"/>
      <c r="C108" s="2"/>
      <c r="D108" s="2"/>
      <c r="E108" s="2"/>
      <c r="F108" s="2"/>
      <c r="G108" s="2"/>
      <c r="H108" s="146"/>
      <c r="I108" s="146"/>
      <c r="J108" s="146"/>
      <c r="K108" s="146"/>
      <c r="L108" s="2"/>
      <c r="M108" s="2"/>
      <c r="N108" s="2"/>
      <c r="O108" s="2"/>
      <c r="P108" s="2"/>
      <c r="Q108" s="2"/>
      <c r="R108" s="2"/>
      <c r="S108" s="2"/>
      <c r="T108" s="2"/>
      <c r="U108" s="2"/>
      <c r="V108" s="2"/>
      <c r="W108" s="2"/>
      <c r="X108" s="2"/>
      <c r="Y108" s="2"/>
      <c r="Z108" s="2"/>
      <c r="AA108" s="2"/>
      <c r="AB108" s="2"/>
      <c r="AC108" s="2"/>
      <c r="AD108" s="2"/>
      <c r="AE108" s="2"/>
      <c r="AF108" s="2"/>
      <c r="AG108" s="2"/>
    </row>
    <row r="109" ht="14.25" customHeight="1">
      <c r="A109" s="2"/>
      <c r="B109" s="2"/>
      <c r="C109" s="2"/>
      <c r="D109" s="2"/>
      <c r="E109" s="2"/>
      <c r="F109" s="2"/>
      <c r="G109" s="2"/>
      <c r="H109" s="146"/>
      <c r="I109" s="146"/>
      <c r="J109" s="146"/>
      <c r="K109" s="146"/>
      <c r="L109" s="2"/>
      <c r="M109" s="2"/>
      <c r="N109" s="2"/>
      <c r="O109" s="2"/>
      <c r="P109" s="2"/>
      <c r="Q109" s="2"/>
      <c r="R109" s="2"/>
      <c r="S109" s="2"/>
      <c r="T109" s="2"/>
      <c r="U109" s="2"/>
      <c r="V109" s="2"/>
      <c r="W109" s="2"/>
      <c r="X109" s="2"/>
      <c r="Y109" s="2"/>
      <c r="Z109" s="2"/>
      <c r="AA109" s="2"/>
      <c r="AB109" s="2"/>
      <c r="AC109" s="2"/>
      <c r="AD109" s="2"/>
      <c r="AE109" s="2"/>
      <c r="AF109" s="2"/>
      <c r="AG109" s="2"/>
    </row>
    <row r="110" ht="14.25" customHeight="1">
      <c r="A110" s="2"/>
      <c r="B110" s="2"/>
      <c r="C110" s="2"/>
      <c r="D110" s="2"/>
      <c r="E110" s="2"/>
      <c r="F110" s="2"/>
      <c r="G110" s="2"/>
      <c r="H110" s="146"/>
      <c r="I110" s="146"/>
      <c r="J110" s="146"/>
      <c r="K110" s="146"/>
      <c r="L110" s="2"/>
      <c r="M110" s="2"/>
      <c r="N110" s="2"/>
      <c r="O110" s="2"/>
      <c r="P110" s="2"/>
      <c r="Q110" s="2"/>
      <c r="R110" s="2"/>
      <c r="S110" s="2"/>
      <c r="T110" s="2"/>
      <c r="U110" s="2"/>
      <c r="V110" s="2"/>
      <c r="W110" s="2"/>
      <c r="X110" s="2"/>
      <c r="Y110" s="2"/>
      <c r="Z110" s="2"/>
      <c r="AA110" s="2"/>
      <c r="AB110" s="2"/>
      <c r="AC110" s="2"/>
      <c r="AD110" s="2"/>
      <c r="AE110" s="2"/>
      <c r="AF110" s="2"/>
      <c r="AG110" s="2"/>
    </row>
    <row r="111" ht="14.25" customHeight="1">
      <c r="A111" s="2"/>
      <c r="B111" s="2"/>
      <c r="C111" s="2"/>
      <c r="D111" s="2"/>
      <c r="E111" s="2"/>
      <c r="F111" s="2"/>
      <c r="G111" s="2"/>
      <c r="H111" s="146"/>
      <c r="I111" s="146"/>
      <c r="J111" s="146"/>
      <c r="K111" s="146"/>
      <c r="L111" s="2"/>
      <c r="M111" s="2"/>
      <c r="N111" s="2"/>
      <c r="O111" s="2"/>
      <c r="P111" s="2"/>
      <c r="Q111" s="2"/>
      <c r="R111" s="2"/>
      <c r="S111" s="2"/>
      <c r="T111" s="2"/>
      <c r="U111" s="2"/>
      <c r="V111" s="2"/>
      <c r="W111" s="2"/>
      <c r="X111" s="2"/>
      <c r="Y111" s="2"/>
      <c r="Z111" s="2"/>
      <c r="AA111" s="2"/>
      <c r="AB111" s="2"/>
      <c r="AC111" s="2"/>
      <c r="AD111" s="2"/>
      <c r="AE111" s="2"/>
      <c r="AF111" s="2"/>
      <c r="AG111" s="2"/>
    </row>
    <row r="112" ht="14.25" customHeight="1">
      <c r="A112" s="2"/>
      <c r="B112" s="2"/>
      <c r="C112" s="2"/>
      <c r="D112" s="2"/>
      <c r="E112" s="2"/>
      <c r="F112" s="2"/>
      <c r="G112" s="2"/>
      <c r="H112" s="146"/>
      <c r="I112" s="146"/>
      <c r="J112" s="146"/>
      <c r="K112" s="146"/>
      <c r="L112" s="2"/>
      <c r="M112" s="2"/>
      <c r="N112" s="2"/>
      <c r="O112" s="2"/>
      <c r="P112" s="2"/>
      <c r="Q112" s="2"/>
      <c r="R112" s="2"/>
      <c r="S112" s="2"/>
      <c r="T112" s="2"/>
      <c r="U112" s="2"/>
      <c r="V112" s="2"/>
      <c r="W112" s="2"/>
      <c r="X112" s="2"/>
      <c r="Y112" s="2"/>
      <c r="Z112" s="2"/>
      <c r="AA112" s="2"/>
      <c r="AB112" s="2"/>
      <c r="AC112" s="2"/>
      <c r="AD112" s="2"/>
      <c r="AE112" s="2"/>
      <c r="AF112" s="2"/>
      <c r="AG112" s="2"/>
    </row>
    <row r="113" ht="14.25" customHeight="1">
      <c r="A113" s="2"/>
      <c r="B113" s="2"/>
      <c r="C113" s="2"/>
      <c r="D113" s="2"/>
      <c r="E113" s="2"/>
      <c r="F113" s="2"/>
      <c r="G113" s="2"/>
      <c r="H113" s="146"/>
      <c r="I113" s="146"/>
      <c r="J113" s="146"/>
      <c r="K113" s="146"/>
      <c r="L113" s="2"/>
      <c r="M113" s="2"/>
      <c r="N113" s="2"/>
      <c r="O113" s="2"/>
      <c r="P113" s="2"/>
      <c r="Q113" s="2"/>
      <c r="R113" s="2"/>
      <c r="S113" s="2"/>
      <c r="T113" s="2"/>
      <c r="U113" s="2"/>
      <c r="V113" s="2"/>
      <c r="W113" s="2"/>
      <c r="X113" s="2"/>
      <c r="Y113" s="2"/>
      <c r="Z113" s="2"/>
      <c r="AA113" s="2"/>
      <c r="AB113" s="2"/>
      <c r="AC113" s="2"/>
      <c r="AD113" s="2"/>
      <c r="AE113" s="2"/>
      <c r="AF113" s="2"/>
      <c r="AG113" s="2"/>
    </row>
    <row r="114" ht="14.25" customHeight="1">
      <c r="A114" s="2"/>
      <c r="B114" s="2"/>
      <c r="C114" s="2"/>
      <c r="D114" s="2"/>
      <c r="E114" s="2"/>
      <c r="F114" s="2"/>
      <c r="G114" s="2"/>
      <c r="H114" s="146"/>
      <c r="I114" s="146"/>
      <c r="J114" s="146"/>
      <c r="K114" s="146"/>
      <c r="L114" s="2"/>
      <c r="M114" s="2"/>
      <c r="N114" s="2"/>
      <c r="O114" s="2"/>
      <c r="P114" s="2"/>
      <c r="Q114" s="2"/>
      <c r="R114" s="2"/>
      <c r="S114" s="2"/>
      <c r="T114" s="2"/>
      <c r="U114" s="2"/>
      <c r="V114" s="2"/>
      <c r="W114" s="2"/>
      <c r="X114" s="2"/>
      <c r="Y114" s="2"/>
      <c r="Z114" s="2"/>
      <c r="AA114" s="2"/>
      <c r="AB114" s="2"/>
      <c r="AC114" s="2"/>
      <c r="AD114" s="2"/>
      <c r="AE114" s="2"/>
      <c r="AF114" s="2"/>
      <c r="AG114" s="2"/>
    </row>
    <row r="115" ht="14.25" customHeight="1">
      <c r="A115" s="2"/>
      <c r="B115" s="2"/>
      <c r="C115" s="2"/>
      <c r="D115" s="2"/>
      <c r="E115" s="2"/>
      <c r="F115" s="2"/>
      <c r="G115" s="2"/>
      <c r="H115" s="146"/>
      <c r="I115" s="146"/>
      <c r="J115" s="146"/>
      <c r="K115" s="146"/>
      <c r="L115" s="2"/>
      <c r="M115" s="2"/>
      <c r="N115" s="2"/>
      <c r="O115" s="2"/>
      <c r="P115" s="2"/>
      <c r="Q115" s="2"/>
      <c r="R115" s="2"/>
      <c r="S115" s="2"/>
      <c r="T115" s="2"/>
      <c r="U115" s="2"/>
      <c r="V115" s="2"/>
      <c r="W115" s="2"/>
      <c r="X115" s="2"/>
      <c r="Y115" s="2"/>
      <c r="Z115" s="2"/>
      <c r="AA115" s="2"/>
      <c r="AB115" s="2"/>
      <c r="AC115" s="2"/>
      <c r="AD115" s="2"/>
      <c r="AE115" s="2"/>
      <c r="AF115" s="2"/>
      <c r="AG115" s="2"/>
    </row>
    <row r="116" ht="14.25" customHeight="1">
      <c r="A116" s="2"/>
      <c r="B116" s="2"/>
      <c r="C116" s="2"/>
      <c r="D116" s="2"/>
      <c r="E116" s="2"/>
      <c r="F116" s="2"/>
      <c r="G116" s="2"/>
      <c r="H116" s="146"/>
      <c r="I116" s="146"/>
      <c r="J116" s="146"/>
      <c r="K116" s="146"/>
      <c r="L116" s="2"/>
      <c r="M116" s="2"/>
      <c r="N116" s="2"/>
      <c r="O116" s="2"/>
      <c r="P116" s="2"/>
      <c r="Q116" s="2"/>
      <c r="R116" s="2"/>
      <c r="S116" s="2"/>
      <c r="T116" s="2"/>
      <c r="U116" s="2"/>
      <c r="V116" s="2"/>
      <c r="W116" s="2"/>
      <c r="X116" s="2"/>
      <c r="Y116" s="2"/>
      <c r="Z116" s="2"/>
      <c r="AA116" s="2"/>
      <c r="AB116" s="2"/>
      <c r="AC116" s="2"/>
      <c r="AD116" s="2"/>
      <c r="AE116" s="2"/>
      <c r="AF116" s="2"/>
      <c r="AG116" s="2"/>
    </row>
    <row r="117" ht="14.25" customHeight="1">
      <c r="A117" s="2"/>
      <c r="B117" s="2"/>
      <c r="C117" s="2"/>
      <c r="D117" s="2"/>
      <c r="E117" s="2"/>
      <c r="F117" s="2"/>
      <c r="G117" s="2"/>
      <c r="H117" s="146"/>
      <c r="I117" s="146"/>
      <c r="J117" s="146"/>
      <c r="K117" s="146"/>
      <c r="L117" s="2"/>
      <c r="M117" s="2"/>
      <c r="N117" s="2"/>
      <c r="O117" s="2"/>
      <c r="P117" s="2"/>
      <c r="Q117" s="2"/>
      <c r="R117" s="2"/>
      <c r="S117" s="2"/>
      <c r="T117" s="2"/>
      <c r="U117" s="2"/>
      <c r="V117" s="2"/>
      <c r="W117" s="2"/>
      <c r="X117" s="2"/>
      <c r="Y117" s="2"/>
      <c r="Z117" s="2"/>
      <c r="AA117" s="2"/>
      <c r="AB117" s="2"/>
      <c r="AC117" s="2"/>
      <c r="AD117" s="2"/>
      <c r="AE117" s="2"/>
      <c r="AF117" s="2"/>
      <c r="AG117" s="2"/>
    </row>
    <row r="118" ht="14.25" customHeight="1">
      <c r="A118" s="2"/>
      <c r="B118" s="2"/>
      <c r="C118" s="2"/>
      <c r="D118" s="2"/>
      <c r="E118" s="2"/>
      <c r="F118" s="2"/>
      <c r="G118" s="2"/>
      <c r="H118" s="146"/>
      <c r="I118" s="146"/>
      <c r="J118" s="146"/>
      <c r="K118" s="146"/>
      <c r="L118" s="2"/>
      <c r="M118" s="2"/>
      <c r="N118" s="2"/>
      <c r="O118" s="2"/>
      <c r="P118" s="2"/>
      <c r="Q118" s="2"/>
      <c r="R118" s="2"/>
      <c r="S118" s="2"/>
      <c r="T118" s="2"/>
      <c r="U118" s="2"/>
      <c r="V118" s="2"/>
      <c r="W118" s="2"/>
      <c r="X118" s="2"/>
      <c r="Y118" s="2"/>
      <c r="Z118" s="2"/>
      <c r="AA118" s="2"/>
      <c r="AB118" s="2"/>
      <c r="AC118" s="2"/>
      <c r="AD118" s="2"/>
      <c r="AE118" s="2"/>
      <c r="AF118" s="2"/>
      <c r="AG118" s="2"/>
    </row>
    <row r="119" ht="14.25" customHeight="1">
      <c r="A119" s="2"/>
      <c r="B119" s="2"/>
      <c r="C119" s="2"/>
      <c r="D119" s="2"/>
      <c r="E119" s="2"/>
      <c r="F119" s="2"/>
      <c r="G119" s="2"/>
      <c r="H119" s="146"/>
      <c r="I119" s="146"/>
      <c r="J119" s="146"/>
      <c r="K119" s="146"/>
      <c r="L119" s="2"/>
      <c r="M119" s="2"/>
      <c r="N119" s="2"/>
      <c r="O119" s="2"/>
      <c r="P119" s="2"/>
      <c r="Q119" s="2"/>
      <c r="R119" s="2"/>
      <c r="S119" s="2"/>
      <c r="T119" s="2"/>
      <c r="U119" s="2"/>
      <c r="V119" s="2"/>
      <c r="W119" s="2"/>
      <c r="X119" s="2"/>
      <c r="Y119" s="2"/>
      <c r="Z119" s="2"/>
      <c r="AA119" s="2"/>
      <c r="AB119" s="2"/>
      <c r="AC119" s="2"/>
      <c r="AD119" s="2"/>
      <c r="AE119" s="2"/>
      <c r="AF119" s="2"/>
      <c r="AG119" s="2"/>
    </row>
    <row r="120" ht="14.25" customHeight="1">
      <c r="A120" s="2"/>
      <c r="B120" s="2"/>
      <c r="C120" s="2"/>
      <c r="D120" s="2"/>
      <c r="E120" s="2"/>
      <c r="F120" s="2"/>
      <c r="G120" s="2"/>
      <c r="H120" s="146"/>
      <c r="I120" s="146"/>
      <c r="J120" s="146"/>
      <c r="K120" s="146"/>
      <c r="L120" s="2"/>
      <c r="M120" s="2"/>
      <c r="N120" s="2"/>
      <c r="O120" s="2"/>
      <c r="P120" s="2"/>
      <c r="Q120" s="2"/>
      <c r="R120" s="2"/>
      <c r="S120" s="2"/>
      <c r="T120" s="2"/>
      <c r="U120" s="2"/>
      <c r="V120" s="2"/>
      <c r="W120" s="2"/>
      <c r="X120" s="2"/>
      <c r="Y120" s="2"/>
      <c r="Z120" s="2"/>
      <c r="AA120" s="2"/>
      <c r="AB120" s="2"/>
      <c r="AC120" s="2"/>
      <c r="AD120" s="2"/>
      <c r="AE120" s="2"/>
      <c r="AF120" s="2"/>
      <c r="AG120" s="2"/>
    </row>
    <row r="121" ht="14.25" customHeight="1">
      <c r="A121" s="2"/>
      <c r="B121" s="2"/>
      <c r="C121" s="2"/>
      <c r="D121" s="2"/>
      <c r="E121" s="2"/>
      <c r="F121" s="2"/>
      <c r="G121" s="2"/>
      <c r="H121" s="146"/>
      <c r="I121" s="146"/>
      <c r="J121" s="146"/>
      <c r="K121" s="146"/>
      <c r="L121" s="2"/>
      <c r="M121" s="2"/>
      <c r="N121" s="2"/>
      <c r="O121" s="2"/>
      <c r="P121" s="2"/>
      <c r="Q121" s="2"/>
      <c r="R121" s="2"/>
      <c r="S121" s="2"/>
      <c r="T121" s="2"/>
      <c r="U121" s="2"/>
      <c r="V121" s="2"/>
      <c r="W121" s="2"/>
      <c r="X121" s="2"/>
      <c r="Y121" s="2"/>
      <c r="Z121" s="2"/>
      <c r="AA121" s="2"/>
      <c r="AB121" s="2"/>
      <c r="AC121" s="2"/>
      <c r="AD121" s="2"/>
      <c r="AE121" s="2"/>
      <c r="AF121" s="2"/>
      <c r="AG121" s="2"/>
    </row>
    <row r="122" ht="14.25" customHeight="1">
      <c r="A122" s="2"/>
      <c r="B122" s="2"/>
      <c r="C122" s="2"/>
      <c r="D122" s="2"/>
      <c r="E122" s="2"/>
      <c r="F122" s="2"/>
      <c r="G122" s="2"/>
      <c r="H122" s="146"/>
      <c r="I122" s="146"/>
      <c r="J122" s="146"/>
      <c r="K122" s="146"/>
      <c r="L122" s="2"/>
      <c r="M122" s="2"/>
      <c r="N122" s="2"/>
      <c r="O122" s="2"/>
      <c r="P122" s="2"/>
      <c r="Q122" s="2"/>
      <c r="R122" s="2"/>
      <c r="S122" s="2"/>
      <c r="T122" s="2"/>
      <c r="U122" s="2"/>
      <c r="V122" s="2"/>
      <c r="W122" s="2"/>
      <c r="X122" s="2"/>
      <c r="Y122" s="2"/>
      <c r="Z122" s="2"/>
      <c r="AA122" s="2"/>
      <c r="AB122" s="2"/>
      <c r="AC122" s="2"/>
      <c r="AD122" s="2"/>
      <c r="AE122" s="2"/>
      <c r="AF122" s="2"/>
      <c r="AG122" s="2"/>
    </row>
    <row r="123" ht="14.25" customHeight="1">
      <c r="A123" s="2"/>
      <c r="B123" s="2"/>
      <c r="C123" s="2"/>
      <c r="D123" s="2"/>
      <c r="E123" s="2"/>
      <c r="F123" s="2"/>
      <c r="G123" s="2"/>
      <c r="H123" s="146"/>
      <c r="I123" s="146"/>
      <c r="J123" s="146"/>
      <c r="K123" s="146"/>
      <c r="L123" s="2"/>
      <c r="M123" s="2"/>
      <c r="N123" s="2"/>
      <c r="O123" s="2"/>
      <c r="P123" s="2"/>
      <c r="Q123" s="2"/>
      <c r="R123" s="2"/>
      <c r="S123" s="2"/>
      <c r="T123" s="2"/>
      <c r="U123" s="2"/>
      <c r="V123" s="2"/>
      <c r="W123" s="2"/>
      <c r="X123" s="2"/>
      <c r="Y123" s="2"/>
      <c r="Z123" s="2"/>
      <c r="AA123" s="2"/>
      <c r="AB123" s="2"/>
      <c r="AC123" s="2"/>
      <c r="AD123" s="2"/>
      <c r="AE123" s="2"/>
      <c r="AF123" s="2"/>
      <c r="AG123" s="2"/>
    </row>
    <row r="124" ht="14.25" customHeight="1">
      <c r="A124" s="2"/>
      <c r="B124" s="2"/>
      <c r="C124" s="2"/>
      <c r="D124" s="2"/>
      <c r="E124" s="2"/>
      <c r="F124" s="2"/>
      <c r="G124" s="2"/>
      <c r="H124" s="146"/>
      <c r="I124" s="146"/>
      <c r="J124" s="146"/>
      <c r="K124" s="146"/>
      <c r="L124" s="2"/>
      <c r="M124" s="2"/>
      <c r="N124" s="2"/>
      <c r="O124" s="2"/>
      <c r="P124" s="2"/>
      <c r="Q124" s="2"/>
      <c r="R124" s="2"/>
      <c r="S124" s="2"/>
      <c r="T124" s="2"/>
      <c r="U124" s="2"/>
      <c r="V124" s="2"/>
      <c r="W124" s="2"/>
      <c r="X124" s="2"/>
      <c r="Y124" s="2"/>
      <c r="Z124" s="2"/>
      <c r="AA124" s="2"/>
      <c r="AB124" s="2"/>
      <c r="AC124" s="2"/>
      <c r="AD124" s="2"/>
      <c r="AE124" s="2"/>
      <c r="AF124" s="2"/>
      <c r="AG124" s="2"/>
    </row>
    <row r="125" ht="14.25" customHeight="1">
      <c r="A125" s="2"/>
      <c r="B125" s="2"/>
      <c r="C125" s="2"/>
      <c r="D125" s="2"/>
      <c r="E125" s="2"/>
      <c r="F125" s="2"/>
      <c r="G125" s="2"/>
      <c r="H125" s="146"/>
      <c r="I125" s="146"/>
      <c r="J125" s="146"/>
      <c r="K125" s="146"/>
      <c r="L125" s="2"/>
      <c r="M125" s="2"/>
      <c r="N125" s="2"/>
      <c r="O125" s="2"/>
      <c r="P125" s="2"/>
      <c r="Q125" s="2"/>
      <c r="R125" s="2"/>
      <c r="S125" s="2"/>
      <c r="T125" s="2"/>
      <c r="U125" s="2"/>
      <c r="V125" s="2"/>
      <c r="W125" s="2"/>
      <c r="X125" s="2"/>
      <c r="Y125" s="2"/>
      <c r="Z125" s="2"/>
      <c r="AA125" s="2"/>
      <c r="AB125" s="2"/>
      <c r="AC125" s="2"/>
      <c r="AD125" s="2"/>
      <c r="AE125" s="2"/>
      <c r="AF125" s="2"/>
      <c r="AG125" s="2"/>
    </row>
    <row r="126" ht="14.25" customHeight="1">
      <c r="A126" s="2"/>
      <c r="B126" s="2"/>
      <c r="C126" s="2"/>
      <c r="D126" s="2"/>
      <c r="E126" s="2"/>
      <c r="F126" s="2"/>
      <c r="G126" s="2"/>
      <c r="H126" s="146"/>
      <c r="I126" s="146"/>
      <c r="J126" s="146"/>
      <c r="K126" s="146"/>
      <c r="L126" s="2"/>
      <c r="M126" s="2"/>
      <c r="N126" s="2"/>
      <c r="O126" s="2"/>
      <c r="P126" s="2"/>
      <c r="Q126" s="2"/>
      <c r="R126" s="2"/>
      <c r="S126" s="2"/>
      <c r="T126" s="2"/>
      <c r="U126" s="2"/>
      <c r="V126" s="2"/>
      <c r="W126" s="2"/>
      <c r="X126" s="2"/>
      <c r="Y126" s="2"/>
      <c r="Z126" s="2"/>
      <c r="AA126" s="2"/>
      <c r="AB126" s="2"/>
      <c r="AC126" s="2"/>
      <c r="AD126" s="2"/>
      <c r="AE126" s="2"/>
      <c r="AF126" s="2"/>
      <c r="AG126" s="2"/>
    </row>
    <row r="127" ht="14.25" customHeight="1">
      <c r="A127" s="2"/>
      <c r="B127" s="2"/>
      <c r="C127" s="2"/>
      <c r="D127" s="2"/>
      <c r="E127" s="2"/>
      <c r="F127" s="2"/>
      <c r="G127" s="2"/>
      <c r="H127" s="146"/>
      <c r="I127" s="146"/>
      <c r="J127" s="146"/>
      <c r="K127" s="146"/>
      <c r="L127" s="2"/>
      <c r="M127" s="2"/>
      <c r="N127" s="2"/>
      <c r="O127" s="2"/>
      <c r="P127" s="2"/>
      <c r="Q127" s="2"/>
      <c r="R127" s="2"/>
      <c r="S127" s="2"/>
      <c r="T127" s="2"/>
      <c r="U127" s="2"/>
      <c r="V127" s="2"/>
      <c r="W127" s="2"/>
      <c r="X127" s="2"/>
      <c r="Y127" s="2"/>
      <c r="Z127" s="2"/>
      <c r="AA127" s="2"/>
      <c r="AB127" s="2"/>
      <c r="AC127" s="2"/>
      <c r="AD127" s="2"/>
      <c r="AE127" s="2"/>
      <c r="AF127" s="2"/>
      <c r="AG127" s="2"/>
    </row>
    <row r="128" ht="14.25" customHeight="1">
      <c r="A128" s="2"/>
      <c r="B128" s="2"/>
      <c r="C128" s="2"/>
      <c r="D128" s="2"/>
      <c r="E128" s="2"/>
      <c r="F128" s="2"/>
      <c r="G128" s="2"/>
      <c r="H128" s="146"/>
      <c r="I128" s="146"/>
      <c r="J128" s="146"/>
      <c r="K128" s="146"/>
      <c r="L128" s="2"/>
      <c r="M128" s="2"/>
      <c r="N128" s="2"/>
      <c r="O128" s="2"/>
      <c r="P128" s="2"/>
      <c r="Q128" s="2"/>
      <c r="R128" s="2"/>
      <c r="S128" s="2"/>
      <c r="T128" s="2"/>
      <c r="U128" s="2"/>
      <c r="V128" s="2"/>
      <c r="W128" s="2"/>
      <c r="X128" s="2"/>
      <c r="Y128" s="2"/>
      <c r="Z128" s="2"/>
      <c r="AA128" s="2"/>
      <c r="AB128" s="2"/>
      <c r="AC128" s="2"/>
      <c r="AD128" s="2"/>
      <c r="AE128" s="2"/>
      <c r="AF128" s="2"/>
      <c r="AG128" s="2"/>
    </row>
    <row r="129" ht="14.25" customHeight="1">
      <c r="A129" s="2"/>
      <c r="B129" s="2"/>
      <c r="C129" s="2"/>
      <c r="D129" s="2"/>
      <c r="E129" s="2"/>
      <c r="F129" s="2"/>
      <c r="G129" s="2"/>
      <c r="H129" s="146"/>
      <c r="I129" s="146"/>
      <c r="J129" s="146"/>
      <c r="K129" s="146"/>
      <c r="L129" s="2"/>
      <c r="M129" s="2"/>
      <c r="N129" s="2"/>
      <c r="O129" s="2"/>
      <c r="P129" s="2"/>
      <c r="Q129" s="2"/>
      <c r="R129" s="2"/>
      <c r="S129" s="2"/>
      <c r="T129" s="2"/>
      <c r="U129" s="2"/>
      <c r="V129" s="2"/>
      <c r="W129" s="2"/>
      <c r="X129" s="2"/>
      <c r="Y129" s="2"/>
      <c r="Z129" s="2"/>
      <c r="AA129" s="2"/>
      <c r="AB129" s="2"/>
      <c r="AC129" s="2"/>
      <c r="AD129" s="2"/>
      <c r="AE129" s="2"/>
      <c r="AF129" s="2"/>
      <c r="AG129" s="2"/>
    </row>
    <row r="130" ht="14.25" customHeight="1">
      <c r="A130" s="2"/>
      <c r="B130" s="2"/>
      <c r="C130" s="2"/>
      <c r="D130" s="2"/>
      <c r="E130" s="2"/>
      <c r="F130" s="2"/>
      <c r="G130" s="2"/>
      <c r="H130" s="146"/>
      <c r="I130" s="146"/>
      <c r="J130" s="146"/>
      <c r="K130" s="146"/>
      <c r="L130" s="2"/>
      <c r="M130" s="2"/>
      <c r="N130" s="2"/>
      <c r="O130" s="2"/>
      <c r="P130" s="2"/>
      <c r="Q130" s="2"/>
      <c r="R130" s="2"/>
      <c r="S130" s="2"/>
      <c r="T130" s="2"/>
      <c r="U130" s="2"/>
      <c r="V130" s="2"/>
      <c r="W130" s="2"/>
      <c r="X130" s="2"/>
      <c r="Y130" s="2"/>
      <c r="Z130" s="2"/>
      <c r="AA130" s="2"/>
      <c r="AB130" s="2"/>
      <c r="AC130" s="2"/>
      <c r="AD130" s="2"/>
      <c r="AE130" s="2"/>
      <c r="AF130" s="2"/>
      <c r="AG130" s="2"/>
    </row>
    <row r="131" ht="14.25" customHeight="1">
      <c r="A131" s="2"/>
      <c r="B131" s="2"/>
      <c r="C131" s="2"/>
      <c r="D131" s="2"/>
      <c r="E131" s="2"/>
      <c r="F131" s="2"/>
      <c r="G131" s="2"/>
      <c r="H131" s="146"/>
      <c r="I131" s="146"/>
      <c r="J131" s="146"/>
      <c r="K131" s="146"/>
      <c r="L131" s="2"/>
      <c r="M131" s="2"/>
      <c r="N131" s="2"/>
      <c r="O131" s="2"/>
      <c r="P131" s="2"/>
      <c r="Q131" s="2"/>
      <c r="R131" s="2"/>
      <c r="S131" s="2"/>
      <c r="T131" s="2"/>
      <c r="U131" s="2"/>
      <c r="V131" s="2"/>
      <c r="W131" s="2"/>
      <c r="X131" s="2"/>
      <c r="Y131" s="2"/>
      <c r="Z131" s="2"/>
      <c r="AA131" s="2"/>
      <c r="AB131" s="2"/>
      <c r="AC131" s="2"/>
      <c r="AD131" s="2"/>
      <c r="AE131" s="2"/>
      <c r="AF131" s="2"/>
      <c r="AG131" s="2"/>
    </row>
    <row r="132" ht="14.25" customHeight="1">
      <c r="A132" s="2"/>
      <c r="B132" s="2"/>
      <c r="C132" s="2"/>
      <c r="D132" s="2"/>
      <c r="E132" s="2"/>
      <c r="F132" s="2"/>
      <c r="G132" s="2"/>
      <c r="H132" s="146"/>
      <c r="I132" s="146"/>
      <c r="J132" s="146"/>
      <c r="K132" s="146"/>
      <c r="L132" s="2"/>
      <c r="M132" s="2"/>
      <c r="N132" s="2"/>
      <c r="O132" s="2"/>
      <c r="P132" s="2"/>
      <c r="Q132" s="2"/>
      <c r="R132" s="2"/>
      <c r="S132" s="2"/>
      <c r="T132" s="2"/>
      <c r="U132" s="2"/>
      <c r="V132" s="2"/>
      <c r="W132" s="2"/>
      <c r="X132" s="2"/>
      <c r="Y132" s="2"/>
      <c r="Z132" s="2"/>
      <c r="AA132" s="2"/>
      <c r="AB132" s="2"/>
      <c r="AC132" s="2"/>
      <c r="AD132" s="2"/>
      <c r="AE132" s="2"/>
      <c r="AF132" s="2"/>
      <c r="AG132" s="2"/>
    </row>
    <row r="133" ht="14.25" customHeight="1">
      <c r="A133" s="2"/>
      <c r="B133" s="2"/>
      <c r="C133" s="2"/>
      <c r="D133" s="2"/>
      <c r="E133" s="2"/>
      <c r="F133" s="2"/>
      <c r="G133" s="2"/>
      <c r="H133" s="146"/>
      <c r="I133" s="146"/>
      <c r="J133" s="146"/>
      <c r="K133" s="146"/>
      <c r="L133" s="2"/>
      <c r="M133" s="2"/>
      <c r="N133" s="2"/>
      <c r="O133" s="2"/>
      <c r="P133" s="2"/>
      <c r="Q133" s="2"/>
      <c r="R133" s="2"/>
      <c r="S133" s="2"/>
      <c r="T133" s="2"/>
      <c r="U133" s="2"/>
      <c r="V133" s="2"/>
      <c r="W133" s="2"/>
      <c r="X133" s="2"/>
      <c r="Y133" s="2"/>
      <c r="Z133" s="2"/>
      <c r="AA133" s="2"/>
      <c r="AB133" s="2"/>
      <c r="AC133" s="2"/>
      <c r="AD133" s="2"/>
      <c r="AE133" s="2"/>
      <c r="AF133" s="2"/>
      <c r="AG133" s="2"/>
    </row>
    <row r="134" ht="14.25" customHeight="1">
      <c r="A134" s="2"/>
      <c r="B134" s="2"/>
      <c r="C134" s="2"/>
      <c r="D134" s="2"/>
      <c r="E134" s="2"/>
      <c r="F134" s="2"/>
      <c r="G134" s="2"/>
      <c r="H134" s="146"/>
      <c r="I134" s="146"/>
      <c r="J134" s="146"/>
      <c r="K134" s="146"/>
      <c r="L134" s="2"/>
      <c r="M134" s="2"/>
      <c r="N134" s="2"/>
      <c r="O134" s="2"/>
      <c r="P134" s="2"/>
      <c r="Q134" s="2"/>
      <c r="R134" s="2"/>
      <c r="S134" s="2"/>
      <c r="T134" s="2"/>
      <c r="U134" s="2"/>
      <c r="V134" s="2"/>
      <c r="W134" s="2"/>
      <c r="X134" s="2"/>
      <c r="Y134" s="2"/>
      <c r="Z134" s="2"/>
      <c r="AA134" s="2"/>
      <c r="AB134" s="2"/>
      <c r="AC134" s="2"/>
      <c r="AD134" s="2"/>
      <c r="AE134" s="2"/>
      <c r="AF134" s="2"/>
      <c r="AG134" s="2"/>
    </row>
    <row r="135" ht="14.25" customHeight="1">
      <c r="A135" s="2"/>
      <c r="B135" s="2"/>
      <c r="C135" s="2"/>
      <c r="D135" s="2"/>
      <c r="E135" s="2"/>
      <c r="F135" s="2"/>
      <c r="G135" s="2"/>
      <c r="H135" s="146"/>
      <c r="I135" s="146"/>
      <c r="J135" s="146"/>
      <c r="K135" s="146"/>
      <c r="L135" s="2"/>
      <c r="M135" s="2"/>
      <c r="N135" s="2"/>
      <c r="O135" s="2"/>
      <c r="P135" s="2"/>
      <c r="Q135" s="2"/>
      <c r="R135" s="2"/>
      <c r="S135" s="2"/>
      <c r="T135" s="2"/>
      <c r="U135" s="2"/>
      <c r="V135" s="2"/>
      <c r="W135" s="2"/>
      <c r="X135" s="2"/>
      <c r="Y135" s="2"/>
      <c r="Z135" s="2"/>
      <c r="AA135" s="2"/>
      <c r="AB135" s="2"/>
      <c r="AC135" s="2"/>
      <c r="AD135" s="2"/>
      <c r="AE135" s="2"/>
      <c r="AF135" s="2"/>
      <c r="AG135" s="2"/>
    </row>
    <row r="136" ht="14.25" customHeight="1">
      <c r="A136" s="2"/>
      <c r="B136" s="2"/>
      <c r="C136" s="2"/>
      <c r="D136" s="2"/>
      <c r="E136" s="2"/>
      <c r="F136" s="2"/>
      <c r="G136" s="2"/>
      <c r="H136" s="146"/>
      <c r="I136" s="146"/>
      <c r="J136" s="146"/>
      <c r="K136" s="146"/>
      <c r="L136" s="2"/>
      <c r="M136" s="2"/>
      <c r="N136" s="2"/>
      <c r="O136" s="2"/>
      <c r="P136" s="2"/>
      <c r="Q136" s="2"/>
      <c r="R136" s="2"/>
      <c r="S136" s="2"/>
      <c r="T136" s="2"/>
      <c r="U136" s="2"/>
      <c r="V136" s="2"/>
      <c r="W136" s="2"/>
      <c r="X136" s="2"/>
      <c r="Y136" s="2"/>
      <c r="Z136" s="2"/>
      <c r="AA136" s="2"/>
      <c r="AB136" s="2"/>
      <c r="AC136" s="2"/>
      <c r="AD136" s="2"/>
      <c r="AE136" s="2"/>
      <c r="AF136" s="2"/>
      <c r="AG136" s="2"/>
    </row>
    <row r="137" ht="14.25" customHeight="1">
      <c r="A137" s="2"/>
      <c r="B137" s="2"/>
      <c r="C137" s="2"/>
      <c r="D137" s="2"/>
      <c r="E137" s="2"/>
      <c r="F137" s="2"/>
      <c r="G137" s="2"/>
      <c r="H137" s="146"/>
      <c r="I137" s="146"/>
      <c r="J137" s="146"/>
      <c r="K137" s="146"/>
      <c r="L137" s="2"/>
      <c r="M137" s="2"/>
      <c r="N137" s="2"/>
      <c r="O137" s="2"/>
      <c r="P137" s="2"/>
      <c r="Q137" s="2"/>
      <c r="R137" s="2"/>
      <c r="S137" s="2"/>
      <c r="T137" s="2"/>
      <c r="U137" s="2"/>
      <c r="V137" s="2"/>
      <c r="W137" s="2"/>
      <c r="X137" s="2"/>
      <c r="Y137" s="2"/>
      <c r="Z137" s="2"/>
      <c r="AA137" s="2"/>
      <c r="AB137" s="2"/>
      <c r="AC137" s="2"/>
      <c r="AD137" s="2"/>
      <c r="AE137" s="2"/>
      <c r="AF137" s="2"/>
      <c r="AG137" s="2"/>
    </row>
    <row r="138" ht="14.25" customHeight="1">
      <c r="A138" s="2"/>
      <c r="B138" s="2"/>
      <c r="C138" s="2"/>
      <c r="D138" s="2"/>
      <c r="E138" s="2"/>
      <c r="F138" s="2"/>
      <c r="G138" s="2"/>
      <c r="H138" s="146"/>
      <c r="I138" s="146"/>
      <c r="J138" s="146"/>
      <c r="K138" s="146"/>
      <c r="L138" s="2"/>
      <c r="M138" s="2"/>
      <c r="N138" s="2"/>
      <c r="O138" s="2"/>
      <c r="P138" s="2"/>
      <c r="Q138" s="2"/>
      <c r="R138" s="2"/>
      <c r="S138" s="2"/>
      <c r="T138" s="2"/>
      <c r="U138" s="2"/>
      <c r="V138" s="2"/>
      <c r="W138" s="2"/>
      <c r="X138" s="2"/>
      <c r="Y138" s="2"/>
      <c r="Z138" s="2"/>
      <c r="AA138" s="2"/>
      <c r="AB138" s="2"/>
      <c r="AC138" s="2"/>
      <c r="AD138" s="2"/>
      <c r="AE138" s="2"/>
      <c r="AF138" s="2"/>
      <c r="AG138" s="2"/>
    </row>
    <row r="139" ht="14.25" customHeight="1">
      <c r="A139" s="2"/>
      <c r="B139" s="2"/>
      <c r="C139" s="2"/>
      <c r="D139" s="2"/>
      <c r="E139" s="2"/>
      <c r="F139" s="2"/>
      <c r="G139" s="2"/>
      <c r="H139" s="146"/>
      <c r="I139" s="146"/>
      <c r="J139" s="146"/>
      <c r="K139" s="146"/>
      <c r="L139" s="2"/>
      <c r="M139" s="2"/>
      <c r="N139" s="2"/>
      <c r="O139" s="2"/>
      <c r="P139" s="2"/>
      <c r="Q139" s="2"/>
      <c r="R139" s="2"/>
      <c r="S139" s="2"/>
      <c r="T139" s="2"/>
      <c r="U139" s="2"/>
      <c r="V139" s="2"/>
      <c r="W139" s="2"/>
      <c r="X139" s="2"/>
      <c r="Y139" s="2"/>
      <c r="Z139" s="2"/>
      <c r="AA139" s="2"/>
      <c r="AB139" s="2"/>
      <c r="AC139" s="2"/>
      <c r="AD139" s="2"/>
      <c r="AE139" s="2"/>
      <c r="AF139" s="2"/>
      <c r="AG139" s="2"/>
    </row>
    <row r="140" ht="14.25" customHeight="1">
      <c r="A140" s="2"/>
      <c r="B140" s="2"/>
      <c r="C140" s="2"/>
      <c r="D140" s="2"/>
      <c r="E140" s="2"/>
      <c r="F140" s="2"/>
      <c r="G140" s="2"/>
      <c r="H140" s="146"/>
      <c r="I140" s="146"/>
      <c r="J140" s="146"/>
      <c r="K140" s="146"/>
      <c r="L140" s="2"/>
      <c r="M140" s="2"/>
      <c r="N140" s="2"/>
      <c r="O140" s="2"/>
      <c r="P140" s="2"/>
      <c r="Q140" s="2"/>
      <c r="R140" s="2"/>
      <c r="S140" s="2"/>
      <c r="T140" s="2"/>
      <c r="U140" s="2"/>
      <c r="V140" s="2"/>
      <c r="W140" s="2"/>
      <c r="X140" s="2"/>
      <c r="Y140" s="2"/>
      <c r="Z140" s="2"/>
      <c r="AA140" s="2"/>
      <c r="AB140" s="2"/>
      <c r="AC140" s="2"/>
      <c r="AD140" s="2"/>
      <c r="AE140" s="2"/>
      <c r="AF140" s="2"/>
      <c r="AG140" s="2"/>
    </row>
    <row r="141" ht="14.25" customHeight="1">
      <c r="A141" s="2"/>
      <c r="B141" s="2"/>
      <c r="C141" s="2"/>
      <c r="D141" s="2"/>
      <c r="E141" s="2"/>
      <c r="F141" s="2"/>
      <c r="G141" s="2"/>
      <c r="H141" s="146"/>
      <c r="I141" s="146"/>
      <c r="J141" s="146"/>
      <c r="K141" s="146"/>
      <c r="L141" s="2"/>
      <c r="M141" s="2"/>
      <c r="N141" s="2"/>
      <c r="O141" s="2"/>
      <c r="P141" s="2"/>
      <c r="Q141" s="2"/>
      <c r="R141" s="2"/>
      <c r="S141" s="2"/>
      <c r="T141" s="2"/>
      <c r="U141" s="2"/>
      <c r="V141" s="2"/>
      <c r="W141" s="2"/>
      <c r="X141" s="2"/>
      <c r="Y141" s="2"/>
      <c r="Z141" s="2"/>
      <c r="AA141" s="2"/>
      <c r="AB141" s="2"/>
      <c r="AC141" s="2"/>
      <c r="AD141" s="2"/>
      <c r="AE141" s="2"/>
      <c r="AF141" s="2"/>
      <c r="AG141" s="2"/>
    </row>
    <row r="142" ht="14.25" customHeight="1">
      <c r="A142" s="2"/>
      <c r="B142" s="2"/>
      <c r="C142" s="2"/>
      <c r="D142" s="2"/>
      <c r="E142" s="2"/>
      <c r="F142" s="2"/>
      <c r="G142" s="2"/>
      <c r="H142" s="146"/>
      <c r="I142" s="146"/>
      <c r="J142" s="146"/>
      <c r="K142" s="146"/>
      <c r="L142" s="2"/>
      <c r="M142" s="2"/>
      <c r="N142" s="2"/>
      <c r="O142" s="2"/>
      <c r="P142" s="2"/>
      <c r="Q142" s="2"/>
      <c r="R142" s="2"/>
      <c r="S142" s="2"/>
      <c r="T142" s="2"/>
      <c r="U142" s="2"/>
      <c r="V142" s="2"/>
      <c r="W142" s="2"/>
      <c r="X142" s="2"/>
      <c r="Y142" s="2"/>
      <c r="Z142" s="2"/>
      <c r="AA142" s="2"/>
      <c r="AB142" s="2"/>
      <c r="AC142" s="2"/>
      <c r="AD142" s="2"/>
      <c r="AE142" s="2"/>
      <c r="AF142" s="2"/>
      <c r="AG142" s="2"/>
    </row>
    <row r="143" ht="14.25" customHeight="1">
      <c r="A143" s="2"/>
      <c r="B143" s="2"/>
      <c r="C143" s="2"/>
      <c r="D143" s="2"/>
      <c r="E143" s="2"/>
      <c r="F143" s="2"/>
      <c r="G143" s="2"/>
      <c r="H143" s="146"/>
      <c r="I143" s="146"/>
      <c r="J143" s="146"/>
      <c r="K143" s="146"/>
      <c r="L143" s="2"/>
      <c r="M143" s="2"/>
      <c r="N143" s="2"/>
      <c r="O143" s="2"/>
      <c r="P143" s="2"/>
      <c r="Q143" s="2"/>
      <c r="R143" s="2"/>
      <c r="S143" s="2"/>
      <c r="T143" s="2"/>
      <c r="U143" s="2"/>
      <c r="V143" s="2"/>
      <c r="W143" s="2"/>
      <c r="X143" s="2"/>
      <c r="Y143" s="2"/>
      <c r="Z143" s="2"/>
      <c r="AA143" s="2"/>
      <c r="AB143" s="2"/>
      <c r="AC143" s="2"/>
      <c r="AD143" s="2"/>
      <c r="AE143" s="2"/>
      <c r="AF143" s="2"/>
      <c r="AG143" s="2"/>
    </row>
    <row r="144" ht="14.25" customHeight="1">
      <c r="A144" s="2"/>
      <c r="B144" s="2"/>
      <c r="C144" s="2"/>
      <c r="D144" s="2"/>
      <c r="E144" s="2"/>
      <c r="F144" s="2"/>
      <c r="G144" s="2"/>
      <c r="H144" s="146"/>
      <c r="I144" s="146"/>
      <c r="J144" s="146"/>
      <c r="K144" s="146"/>
      <c r="L144" s="2"/>
      <c r="M144" s="2"/>
      <c r="N144" s="2"/>
      <c r="O144" s="2"/>
      <c r="P144" s="2"/>
      <c r="Q144" s="2"/>
      <c r="R144" s="2"/>
      <c r="S144" s="2"/>
      <c r="T144" s="2"/>
      <c r="U144" s="2"/>
      <c r="V144" s="2"/>
      <c r="W144" s="2"/>
      <c r="X144" s="2"/>
      <c r="Y144" s="2"/>
      <c r="Z144" s="2"/>
      <c r="AA144" s="2"/>
      <c r="AB144" s="2"/>
      <c r="AC144" s="2"/>
      <c r="AD144" s="2"/>
      <c r="AE144" s="2"/>
      <c r="AF144" s="2"/>
      <c r="AG144" s="2"/>
    </row>
    <row r="145" ht="14.25" customHeight="1">
      <c r="A145" s="2"/>
      <c r="B145" s="2"/>
      <c r="C145" s="2"/>
      <c r="D145" s="2"/>
      <c r="E145" s="2"/>
      <c r="F145" s="2"/>
      <c r="G145" s="2"/>
      <c r="H145" s="146"/>
      <c r="I145" s="146"/>
      <c r="J145" s="146"/>
      <c r="K145" s="146"/>
      <c r="L145" s="2"/>
      <c r="M145" s="2"/>
      <c r="N145" s="2"/>
      <c r="O145" s="2"/>
      <c r="P145" s="2"/>
      <c r="Q145" s="2"/>
      <c r="R145" s="2"/>
      <c r="S145" s="2"/>
      <c r="T145" s="2"/>
      <c r="U145" s="2"/>
      <c r="V145" s="2"/>
      <c r="W145" s="2"/>
      <c r="X145" s="2"/>
      <c r="Y145" s="2"/>
      <c r="Z145" s="2"/>
      <c r="AA145" s="2"/>
      <c r="AB145" s="2"/>
      <c r="AC145" s="2"/>
      <c r="AD145" s="2"/>
      <c r="AE145" s="2"/>
      <c r="AF145" s="2"/>
      <c r="AG145" s="2"/>
    </row>
    <row r="146" ht="14.25" customHeight="1">
      <c r="A146" s="2"/>
      <c r="B146" s="2"/>
      <c r="C146" s="2"/>
      <c r="D146" s="2"/>
      <c r="E146" s="2"/>
      <c r="F146" s="2"/>
      <c r="G146" s="2"/>
      <c r="H146" s="146"/>
      <c r="I146" s="146"/>
      <c r="J146" s="146"/>
      <c r="K146" s="146"/>
      <c r="L146" s="2"/>
      <c r="M146" s="2"/>
      <c r="N146" s="2"/>
      <c r="O146" s="2"/>
      <c r="P146" s="2"/>
      <c r="Q146" s="2"/>
      <c r="R146" s="2"/>
      <c r="S146" s="2"/>
      <c r="T146" s="2"/>
      <c r="U146" s="2"/>
      <c r="V146" s="2"/>
      <c r="W146" s="2"/>
      <c r="X146" s="2"/>
      <c r="Y146" s="2"/>
      <c r="Z146" s="2"/>
      <c r="AA146" s="2"/>
      <c r="AB146" s="2"/>
      <c r="AC146" s="2"/>
      <c r="AD146" s="2"/>
      <c r="AE146" s="2"/>
      <c r="AF146" s="2"/>
      <c r="AG146" s="2"/>
    </row>
    <row r="147" ht="14.25" customHeight="1">
      <c r="A147" s="2"/>
      <c r="B147" s="2"/>
      <c r="C147" s="2"/>
      <c r="D147" s="2"/>
      <c r="E147" s="2"/>
      <c r="F147" s="2"/>
      <c r="G147" s="2"/>
      <c r="H147" s="146"/>
      <c r="I147" s="146"/>
      <c r="J147" s="146"/>
      <c r="K147" s="146"/>
      <c r="L147" s="2"/>
      <c r="M147" s="2"/>
      <c r="N147" s="2"/>
      <c r="O147" s="2"/>
      <c r="P147" s="2"/>
      <c r="Q147" s="2"/>
      <c r="R147" s="2"/>
      <c r="S147" s="2"/>
      <c r="T147" s="2"/>
      <c r="U147" s="2"/>
      <c r="V147" s="2"/>
      <c r="W147" s="2"/>
      <c r="X147" s="2"/>
      <c r="Y147" s="2"/>
      <c r="Z147" s="2"/>
      <c r="AA147" s="2"/>
      <c r="AB147" s="2"/>
      <c r="AC147" s="2"/>
      <c r="AD147" s="2"/>
      <c r="AE147" s="2"/>
      <c r="AF147" s="2"/>
      <c r="AG147" s="2"/>
    </row>
    <row r="148" ht="14.25" customHeight="1">
      <c r="A148" s="2"/>
      <c r="B148" s="2"/>
      <c r="C148" s="2"/>
      <c r="D148" s="2"/>
      <c r="E148" s="2"/>
      <c r="F148" s="2"/>
      <c r="G148" s="2"/>
      <c r="H148" s="146"/>
      <c r="I148" s="146"/>
      <c r="J148" s="146"/>
      <c r="K148" s="146"/>
      <c r="L148" s="2"/>
      <c r="M148" s="2"/>
      <c r="N148" s="2"/>
      <c r="O148" s="2"/>
      <c r="P148" s="2"/>
      <c r="Q148" s="2"/>
      <c r="R148" s="2"/>
      <c r="S148" s="2"/>
      <c r="T148" s="2"/>
      <c r="U148" s="2"/>
      <c r="V148" s="2"/>
      <c r="W148" s="2"/>
      <c r="X148" s="2"/>
      <c r="Y148" s="2"/>
      <c r="Z148" s="2"/>
      <c r="AA148" s="2"/>
      <c r="AB148" s="2"/>
      <c r="AC148" s="2"/>
      <c r="AD148" s="2"/>
      <c r="AE148" s="2"/>
      <c r="AF148" s="2"/>
      <c r="AG148" s="2"/>
    </row>
    <row r="149" ht="14.25" customHeight="1">
      <c r="A149" s="2"/>
      <c r="B149" s="2"/>
      <c r="C149" s="2"/>
      <c r="D149" s="2"/>
      <c r="E149" s="2"/>
      <c r="F149" s="2"/>
      <c r="G149" s="2"/>
      <c r="H149" s="146"/>
      <c r="I149" s="146"/>
      <c r="J149" s="146"/>
      <c r="K149" s="146"/>
      <c r="L149" s="2"/>
      <c r="M149" s="2"/>
      <c r="N149" s="2"/>
      <c r="O149" s="2"/>
      <c r="P149" s="2"/>
      <c r="Q149" s="2"/>
      <c r="R149" s="2"/>
      <c r="S149" s="2"/>
      <c r="T149" s="2"/>
      <c r="U149" s="2"/>
      <c r="V149" s="2"/>
      <c r="W149" s="2"/>
      <c r="X149" s="2"/>
      <c r="Y149" s="2"/>
      <c r="Z149" s="2"/>
      <c r="AA149" s="2"/>
      <c r="AB149" s="2"/>
      <c r="AC149" s="2"/>
      <c r="AD149" s="2"/>
      <c r="AE149" s="2"/>
      <c r="AF149" s="2"/>
      <c r="AG149" s="2"/>
    </row>
    <row r="150" ht="14.25" customHeight="1">
      <c r="A150" s="2"/>
      <c r="B150" s="2"/>
      <c r="C150" s="2"/>
      <c r="D150" s="2"/>
      <c r="E150" s="2"/>
      <c r="F150" s="2"/>
      <c r="G150" s="2"/>
      <c r="H150" s="146"/>
      <c r="I150" s="146"/>
      <c r="J150" s="146"/>
      <c r="K150" s="146"/>
      <c r="L150" s="2"/>
      <c r="M150" s="2"/>
      <c r="N150" s="2"/>
      <c r="O150" s="2"/>
      <c r="P150" s="2"/>
      <c r="Q150" s="2"/>
      <c r="R150" s="2"/>
      <c r="S150" s="2"/>
      <c r="T150" s="2"/>
      <c r="U150" s="2"/>
      <c r="V150" s="2"/>
      <c r="W150" s="2"/>
      <c r="X150" s="2"/>
      <c r="Y150" s="2"/>
      <c r="Z150" s="2"/>
      <c r="AA150" s="2"/>
      <c r="AB150" s="2"/>
      <c r="AC150" s="2"/>
      <c r="AD150" s="2"/>
      <c r="AE150" s="2"/>
      <c r="AF150" s="2"/>
      <c r="AG150" s="2"/>
    </row>
    <row r="151" ht="14.25" customHeight="1">
      <c r="A151" s="2"/>
      <c r="B151" s="2"/>
      <c r="C151" s="2"/>
      <c r="D151" s="2"/>
      <c r="E151" s="2"/>
      <c r="F151" s="2"/>
      <c r="G151" s="2"/>
      <c r="H151" s="146"/>
      <c r="I151" s="146"/>
      <c r="J151" s="146"/>
      <c r="K151" s="146"/>
      <c r="L151" s="2"/>
      <c r="M151" s="2"/>
      <c r="N151" s="2"/>
      <c r="O151" s="2"/>
      <c r="P151" s="2"/>
      <c r="Q151" s="2"/>
      <c r="R151" s="2"/>
      <c r="S151" s="2"/>
      <c r="T151" s="2"/>
      <c r="U151" s="2"/>
      <c r="V151" s="2"/>
      <c r="W151" s="2"/>
      <c r="X151" s="2"/>
      <c r="Y151" s="2"/>
      <c r="Z151" s="2"/>
      <c r="AA151" s="2"/>
      <c r="AB151" s="2"/>
      <c r="AC151" s="2"/>
      <c r="AD151" s="2"/>
      <c r="AE151" s="2"/>
      <c r="AF151" s="2"/>
      <c r="AG151" s="2"/>
    </row>
    <row r="152" ht="14.25" customHeight="1">
      <c r="A152" s="2"/>
      <c r="B152" s="2"/>
      <c r="C152" s="2"/>
      <c r="D152" s="2"/>
      <c r="E152" s="2"/>
      <c r="F152" s="2"/>
      <c r="G152" s="2"/>
      <c r="H152" s="146"/>
      <c r="I152" s="146"/>
      <c r="J152" s="146"/>
      <c r="K152" s="146"/>
      <c r="L152" s="2"/>
      <c r="M152" s="2"/>
      <c r="N152" s="2"/>
      <c r="O152" s="2"/>
      <c r="P152" s="2"/>
      <c r="Q152" s="2"/>
      <c r="R152" s="2"/>
      <c r="S152" s="2"/>
      <c r="T152" s="2"/>
      <c r="U152" s="2"/>
      <c r="V152" s="2"/>
      <c r="W152" s="2"/>
      <c r="X152" s="2"/>
      <c r="Y152" s="2"/>
      <c r="Z152" s="2"/>
      <c r="AA152" s="2"/>
      <c r="AB152" s="2"/>
      <c r="AC152" s="2"/>
      <c r="AD152" s="2"/>
      <c r="AE152" s="2"/>
      <c r="AF152" s="2"/>
      <c r="AG152" s="2"/>
    </row>
    <row r="153" ht="14.25" customHeight="1">
      <c r="A153" s="2"/>
      <c r="B153" s="2"/>
      <c r="C153" s="2"/>
      <c r="D153" s="2"/>
      <c r="E153" s="2"/>
      <c r="F153" s="2"/>
      <c r="G153" s="2"/>
      <c r="H153" s="146"/>
      <c r="I153" s="146"/>
      <c r="J153" s="146"/>
      <c r="K153" s="146"/>
      <c r="L153" s="2"/>
      <c r="M153" s="2"/>
      <c r="N153" s="2"/>
      <c r="O153" s="2"/>
      <c r="P153" s="2"/>
      <c r="Q153" s="2"/>
      <c r="R153" s="2"/>
      <c r="S153" s="2"/>
      <c r="T153" s="2"/>
      <c r="U153" s="2"/>
      <c r="V153" s="2"/>
      <c r="W153" s="2"/>
      <c r="X153" s="2"/>
      <c r="Y153" s="2"/>
      <c r="Z153" s="2"/>
      <c r="AA153" s="2"/>
      <c r="AB153" s="2"/>
      <c r="AC153" s="2"/>
      <c r="AD153" s="2"/>
      <c r="AE153" s="2"/>
      <c r="AF153" s="2"/>
      <c r="AG153" s="2"/>
    </row>
    <row r="154" ht="14.25" customHeight="1">
      <c r="A154" s="2"/>
      <c r="B154" s="2"/>
      <c r="C154" s="2"/>
      <c r="D154" s="2"/>
      <c r="E154" s="2"/>
      <c r="F154" s="2"/>
      <c r="G154" s="2"/>
      <c r="H154" s="146"/>
      <c r="I154" s="146"/>
      <c r="J154" s="146"/>
      <c r="K154" s="146"/>
      <c r="L154" s="2"/>
      <c r="M154" s="2"/>
      <c r="N154" s="2"/>
      <c r="O154" s="2"/>
      <c r="P154" s="2"/>
      <c r="Q154" s="2"/>
      <c r="R154" s="2"/>
      <c r="S154" s="2"/>
      <c r="T154" s="2"/>
      <c r="U154" s="2"/>
      <c r="V154" s="2"/>
      <c r="W154" s="2"/>
      <c r="X154" s="2"/>
      <c r="Y154" s="2"/>
      <c r="Z154" s="2"/>
      <c r="AA154" s="2"/>
      <c r="AB154" s="2"/>
      <c r="AC154" s="2"/>
      <c r="AD154" s="2"/>
      <c r="AE154" s="2"/>
      <c r="AF154" s="2"/>
      <c r="AG154" s="2"/>
    </row>
    <row r="155" ht="14.25" customHeight="1">
      <c r="A155" s="2"/>
      <c r="B155" s="2"/>
      <c r="C155" s="2"/>
      <c r="D155" s="2"/>
      <c r="E155" s="2"/>
      <c r="F155" s="2"/>
      <c r="G155" s="2"/>
      <c r="H155" s="146"/>
      <c r="I155" s="146"/>
      <c r="J155" s="146"/>
      <c r="K155" s="146"/>
      <c r="L155" s="2"/>
      <c r="M155" s="2"/>
      <c r="N155" s="2"/>
      <c r="O155" s="2"/>
      <c r="P155" s="2"/>
      <c r="Q155" s="2"/>
      <c r="R155" s="2"/>
      <c r="S155" s="2"/>
      <c r="T155" s="2"/>
      <c r="U155" s="2"/>
      <c r="V155" s="2"/>
      <c r="W155" s="2"/>
      <c r="X155" s="2"/>
      <c r="Y155" s="2"/>
      <c r="Z155" s="2"/>
      <c r="AA155" s="2"/>
      <c r="AB155" s="2"/>
      <c r="AC155" s="2"/>
      <c r="AD155" s="2"/>
      <c r="AE155" s="2"/>
      <c r="AF155" s="2"/>
      <c r="AG155" s="2"/>
    </row>
    <row r="156" ht="14.25" customHeight="1">
      <c r="A156" s="2"/>
      <c r="B156" s="2"/>
      <c r="C156" s="2"/>
      <c r="D156" s="2"/>
      <c r="E156" s="2"/>
      <c r="F156" s="2"/>
      <c r="G156" s="2"/>
      <c r="H156" s="146"/>
      <c r="I156" s="146"/>
      <c r="J156" s="146"/>
      <c r="K156" s="146"/>
      <c r="L156" s="2"/>
      <c r="M156" s="2"/>
      <c r="N156" s="2"/>
      <c r="O156" s="2"/>
      <c r="P156" s="2"/>
      <c r="Q156" s="2"/>
      <c r="R156" s="2"/>
      <c r="S156" s="2"/>
      <c r="T156" s="2"/>
      <c r="U156" s="2"/>
      <c r="V156" s="2"/>
      <c r="W156" s="2"/>
      <c r="X156" s="2"/>
      <c r="Y156" s="2"/>
      <c r="Z156" s="2"/>
      <c r="AA156" s="2"/>
      <c r="AB156" s="2"/>
      <c r="AC156" s="2"/>
      <c r="AD156" s="2"/>
      <c r="AE156" s="2"/>
      <c r="AF156" s="2"/>
      <c r="AG156" s="2"/>
    </row>
    <row r="157" ht="14.25" customHeight="1">
      <c r="A157" s="2"/>
      <c r="B157" s="2"/>
      <c r="C157" s="2"/>
      <c r="D157" s="2"/>
      <c r="E157" s="2"/>
      <c r="F157" s="2"/>
      <c r="G157" s="2"/>
      <c r="H157" s="146"/>
      <c r="I157" s="146"/>
      <c r="J157" s="146"/>
      <c r="K157" s="146"/>
      <c r="L157" s="2"/>
      <c r="M157" s="2"/>
      <c r="N157" s="2"/>
      <c r="O157" s="2"/>
      <c r="P157" s="2"/>
      <c r="Q157" s="2"/>
      <c r="R157" s="2"/>
      <c r="S157" s="2"/>
      <c r="T157" s="2"/>
      <c r="U157" s="2"/>
      <c r="V157" s="2"/>
      <c r="W157" s="2"/>
      <c r="X157" s="2"/>
      <c r="Y157" s="2"/>
      <c r="Z157" s="2"/>
      <c r="AA157" s="2"/>
      <c r="AB157" s="2"/>
      <c r="AC157" s="2"/>
      <c r="AD157" s="2"/>
      <c r="AE157" s="2"/>
      <c r="AF157" s="2"/>
      <c r="AG157" s="2"/>
    </row>
    <row r="158" ht="14.25" customHeight="1">
      <c r="A158" s="2"/>
      <c r="B158" s="2"/>
      <c r="C158" s="2"/>
      <c r="D158" s="2"/>
      <c r="E158" s="2"/>
      <c r="F158" s="2"/>
      <c r="G158" s="2"/>
      <c r="H158" s="146"/>
      <c r="I158" s="146"/>
      <c r="J158" s="146"/>
      <c r="K158" s="146"/>
      <c r="L158" s="2"/>
      <c r="M158" s="2"/>
      <c r="N158" s="2"/>
      <c r="O158" s="2"/>
      <c r="P158" s="2"/>
      <c r="Q158" s="2"/>
      <c r="R158" s="2"/>
      <c r="S158" s="2"/>
      <c r="T158" s="2"/>
      <c r="U158" s="2"/>
      <c r="V158" s="2"/>
      <c r="W158" s="2"/>
      <c r="X158" s="2"/>
      <c r="Y158" s="2"/>
      <c r="Z158" s="2"/>
      <c r="AA158" s="2"/>
      <c r="AB158" s="2"/>
      <c r="AC158" s="2"/>
      <c r="AD158" s="2"/>
      <c r="AE158" s="2"/>
      <c r="AF158" s="2"/>
      <c r="AG158" s="2"/>
    </row>
    <row r="159" ht="14.25" customHeight="1">
      <c r="A159" s="2"/>
      <c r="B159" s="2"/>
      <c r="C159" s="2"/>
      <c r="D159" s="2"/>
      <c r="E159" s="2"/>
      <c r="F159" s="2"/>
      <c r="G159" s="2"/>
      <c r="H159" s="146"/>
      <c r="I159" s="146"/>
      <c r="J159" s="146"/>
      <c r="K159" s="146"/>
      <c r="L159" s="2"/>
      <c r="M159" s="2"/>
      <c r="N159" s="2"/>
      <c r="O159" s="2"/>
      <c r="P159" s="2"/>
      <c r="Q159" s="2"/>
      <c r="R159" s="2"/>
      <c r="S159" s="2"/>
      <c r="T159" s="2"/>
      <c r="U159" s="2"/>
      <c r="V159" s="2"/>
      <c r="W159" s="2"/>
      <c r="X159" s="2"/>
      <c r="Y159" s="2"/>
      <c r="Z159" s="2"/>
      <c r="AA159" s="2"/>
      <c r="AB159" s="2"/>
      <c r="AC159" s="2"/>
      <c r="AD159" s="2"/>
      <c r="AE159" s="2"/>
      <c r="AF159" s="2"/>
      <c r="AG159" s="2"/>
    </row>
    <row r="160" ht="14.25" customHeight="1">
      <c r="A160" s="2"/>
      <c r="B160" s="2"/>
      <c r="C160" s="2"/>
      <c r="D160" s="2"/>
      <c r="E160" s="2"/>
      <c r="F160" s="2"/>
      <c r="G160" s="2"/>
      <c r="H160" s="146"/>
      <c r="I160" s="146"/>
      <c r="J160" s="146"/>
      <c r="K160" s="146"/>
      <c r="L160" s="2"/>
      <c r="M160" s="2"/>
      <c r="N160" s="2"/>
      <c r="O160" s="2"/>
      <c r="P160" s="2"/>
      <c r="Q160" s="2"/>
      <c r="R160" s="2"/>
      <c r="S160" s="2"/>
      <c r="T160" s="2"/>
      <c r="U160" s="2"/>
      <c r="V160" s="2"/>
      <c r="W160" s="2"/>
      <c r="X160" s="2"/>
      <c r="Y160" s="2"/>
      <c r="Z160" s="2"/>
      <c r="AA160" s="2"/>
      <c r="AB160" s="2"/>
      <c r="AC160" s="2"/>
      <c r="AD160" s="2"/>
      <c r="AE160" s="2"/>
      <c r="AF160" s="2"/>
      <c r="AG160" s="2"/>
    </row>
    <row r="161" ht="14.25" customHeight="1">
      <c r="A161" s="2"/>
      <c r="B161" s="2"/>
      <c r="C161" s="2"/>
      <c r="D161" s="2"/>
      <c r="E161" s="2"/>
      <c r="F161" s="2"/>
      <c r="G161" s="2"/>
      <c r="H161" s="146"/>
      <c r="I161" s="146"/>
      <c r="J161" s="146"/>
      <c r="K161" s="146"/>
      <c r="L161" s="2"/>
      <c r="M161" s="2"/>
      <c r="N161" s="2"/>
      <c r="O161" s="2"/>
      <c r="P161" s="2"/>
      <c r="Q161" s="2"/>
      <c r="R161" s="2"/>
      <c r="S161" s="2"/>
      <c r="T161" s="2"/>
      <c r="U161" s="2"/>
      <c r="V161" s="2"/>
      <c r="W161" s="2"/>
      <c r="X161" s="2"/>
      <c r="Y161" s="2"/>
      <c r="Z161" s="2"/>
      <c r="AA161" s="2"/>
      <c r="AB161" s="2"/>
      <c r="AC161" s="2"/>
      <c r="AD161" s="2"/>
      <c r="AE161" s="2"/>
      <c r="AF161" s="2"/>
      <c r="AG161" s="2"/>
    </row>
    <row r="162" ht="14.25" customHeight="1">
      <c r="A162" s="2"/>
      <c r="B162" s="2"/>
      <c r="C162" s="2"/>
      <c r="D162" s="2"/>
      <c r="E162" s="2"/>
      <c r="F162" s="2"/>
      <c r="G162" s="2"/>
      <c r="H162" s="146"/>
      <c r="I162" s="146"/>
      <c r="J162" s="146"/>
      <c r="K162" s="146"/>
      <c r="L162" s="2"/>
      <c r="M162" s="2"/>
      <c r="N162" s="2"/>
      <c r="O162" s="2"/>
      <c r="P162" s="2"/>
      <c r="Q162" s="2"/>
      <c r="R162" s="2"/>
      <c r="S162" s="2"/>
      <c r="T162" s="2"/>
      <c r="U162" s="2"/>
      <c r="V162" s="2"/>
      <c r="W162" s="2"/>
      <c r="X162" s="2"/>
      <c r="Y162" s="2"/>
      <c r="Z162" s="2"/>
      <c r="AA162" s="2"/>
      <c r="AB162" s="2"/>
      <c r="AC162" s="2"/>
      <c r="AD162" s="2"/>
      <c r="AE162" s="2"/>
      <c r="AF162" s="2"/>
      <c r="AG162" s="2"/>
    </row>
    <row r="163" ht="14.25" customHeight="1">
      <c r="A163" s="2"/>
      <c r="B163" s="2"/>
      <c r="C163" s="2"/>
      <c r="D163" s="2"/>
      <c r="E163" s="2"/>
      <c r="F163" s="2"/>
      <c r="G163" s="2"/>
      <c r="H163" s="146"/>
      <c r="I163" s="146"/>
      <c r="J163" s="146"/>
      <c r="K163" s="146"/>
      <c r="L163" s="2"/>
      <c r="M163" s="2"/>
      <c r="N163" s="2"/>
      <c r="O163" s="2"/>
      <c r="P163" s="2"/>
      <c r="Q163" s="2"/>
      <c r="R163" s="2"/>
      <c r="S163" s="2"/>
      <c r="T163" s="2"/>
      <c r="U163" s="2"/>
      <c r="V163" s="2"/>
      <c r="W163" s="2"/>
      <c r="X163" s="2"/>
      <c r="Y163" s="2"/>
      <c r="Z163" s="2"/>
      <c r="AA163" s="2"/>
      <c r="AB163" s="2"/>
      <c r="AC163" s="2"/>
      <c r="AD163" s="2"/>
      <c r="AE163" s="2"/>
      <c r="AF163" s="2"/>
      <c r="AG163" s="2"/>
    </row>
    <row r="164" ht="14.25" customHeight="1">
      <c r="A164" s="2"/>
      <c r="B164" s="2"/>
      <c r="C164" s="2"/>
      <c r="D164" s="2"/>
      <c r="E164" s="2"/>
      <c r="F164" s="2"/>
      <c r="G164" s="2"/>
      <c r="H164" s="146"/>
      <c r="I164" s="146"/>
      <c r="J164" s="146"/>
      <c r="K164" s="146"/>
      <c r="L164" s="2"/>
      <c r="M164" s="2"/>
      <c r="N164" s="2"/>
      <c r="O164" s="2"/>
      <c r="P164" s="2"/>
      <c r="Q164" s="2"/>
      <c r="R164" s="2"/>
      <c r="S164" s="2"/>
      <c r="T164" s="2"/>
      <c r="U164" s="2"/>
      <c r="V164" s="2"/>
      <c r="W164" s="2"/>
      <c r="X164" s="2"/>
      <c r="Y164" s="2"/>
      <c r="Z164" s="2"/>
      <c r="AA164" s="2"/>
      <c r="AB164" s="2"/>
      <c r="AC164" s="2"/>
      <c r="AD164" s="2"/>
      <c r="AE164" s="2"/>
      <c r="AF164" s="2"/>
      <c r="AG164" s="2"/>
    </row>
    <row r="165" ht="14.25" customHeight="1">
      <c r="A165" s="2"/>
      <c r="B165" s="2"/>
      <c r="C165" s="2"/>
      <c r="D165" s="2"/>
      <c r="E165" s="2"/>
      <c r="F165" s="2"/>
      <c r="G165" s="2"/>
      <c r="H165" s="146"/>
      <c r="I165" s="146"/>
      <c r="J165" s="146"/>
      <c r="K165" s="146"/>
      <c r="L165" s="2"/>
      <c r="M165" s="2"/>
      <c r="N165" s="2"/>
      <c r="O165" s="2"/>
      <c r="P165" s="2"/>
      <c r="Q165" s="2"/>
      <c r="R165" s="2"/>
      <c r="S165" s="2"/>
      <c r="T165" s="2"/>
      <c r="U165" s="2"/>
      <c r="V165" s="2"/>
      <c r="W165" s="2"/>
      <c r="X165" s="2"/>
      <c r="Y165" s="2"/>
      <c r="Z165" s="2"/>
      <c r="AA165" s="2"/>
      <c r="AB165" s="2"/>
      <c r="AC165" s="2"/>
      <c r="AD165" s="2"/>
      <c r="AE165" s="2"/>
      <c r="AF165" s="2"/>
      <c r="AG165" s="2"/>
    </row>
    <row r="166" ht="14.25" customHeight="1">
      <c r="A166" s="2"/>
      <c r="B166" s="2"/>
      <c r="C166" s="2"/>
      <c r="D166" s="2"/>
      <c r="E166" s="2"/>
      <c r="F166" s="2"/>
      <c r="G166" s="2"/>
      <c r="H166" s="146"/>
      <c r="I166" s="146"/>
      <c r="J166" s="146"/>
      <c r="K166" s="146"/>
      <c r="L166" s="2"/>
      <c r="M166" s="2"/>
      <c r="N166" s="2"/>
      <c r="O166" s="2"/>
      <c r="P166" s="2"/>
      <c r="Q166" s="2"/>
      <c r="R166" s="2"/>
      <c r="S166" s="2"/>
      <c r="T166" s="2"/>
      <c r="U166" s="2"/>
      <c r="V166" s="2"/>
      <c r="W166" s="2"/>
      <c r="X166" s="2"/>
      <c r="Y166" s="2"/>
      <c r="Z166" s="2"/>
      <c r="AA166" s="2"/>
      <c r="AB166" s="2"/>
      <c r="AC166" s="2"/>
      <c r="AD166" s="2"/>
      <c r="AE166" s="2"/>
      <c r="AF166" s="2"/>
      <c r="AG166" s="2"/>
    </row>
    <row r="167" ht="14.25" customHeight="1">
      <c r="A167" s="2"/>
      <c r="B167" s="2"/>
      <c r="C167" s="2"/>
      <c r="D167" s="2"/>
      <c r="E167" s="2"/>
      <c r="F167" s="2"/>
      <c r="G167" s="2"/>
      <c r="H167" s="146"/>
      <c r="I167" s="146"/>
      <c r="J167" s="146"/>
      <c r="K167" s="146"/>
      <c r="L167" s="2"/>
      <c r="M167" s="2"/>
      <c r="N167" s="2"/>
      <c r="O167" s="2"/>
      <c r="P167" s="2"/>
      <c r="Q167" s="2"/>
      <c r="R167" s="2"/>
      <c r="S167" s="2"/>
      <c r="T167" s="2"/>
      <c r="U167" s="2"/>
      <c r="V167" s="2"/>
      <c r="W167" s="2"/>
      <c r="X167" s="2"/>
      <c r="Y167" s="2"/>
      <c r="Z167" s="2"/>
      <c r="AA167" s="2"/>
      <c r="AB167" s="2"/>
      <c r="AC167" s="2"/>
      <c r="AD167" s="2"/>
      <c r="AE167" s="2"/>
      <c r="AF167" s="2"/>
      <c r="AG167" s="2"/>
    </row>
    <row r="168" ht="14.25" customHeight="1">
      <c r="A168" s="2"/>
      <c r="B168" s="2"/>
      <c r="C168" s="2"/>
      <c r="D168" s="2"/>
      <c r="E168" s="2"/>
      <c r="F168" s="2"/>
      <c r="G168" s="2"/>
      <c r="H168" s="146"/>
      <c r="I168" s="146"/>
      <c r="J168" s="146"/>
      <c r="K168" s="146"/>
      <c r="L168" s="2"/>
      <c r="M168" s="2"/>
      <c r="N168" s="2"/>
      <c r="O168" s="2"/>
      <c r="P168" s="2"/>
      <c r="Q168" s="2"/>
      <c r="R168" s="2"/>
      <c r="S168" s="2"/>
      <c r="T168" s="2"/>
      <c r="U168" s="2"/>
      <c r="V168" s="2"/>
      <c r="W168" s="2"/>
      <c r="X168" s="2"/>
      <c r="Y168" s="2"/>
      <c r="Z168" s="2"/>
      <c r="AA168" s="2"/>
      <c r="AB168" s="2"/>
      <c r="AC168" s="2"/>
      <c r="AD168" s="2"/>
      <c r="AE168" s="2"/>
      <c r="AF168" s="2"/>
      <c r="AG168" s="2"/>
    </row>
    <row r="169" ht="14.25" customHeight="1">
      <c r="A169" s="2"/>
      <c r="B169" s="2"/>
      <c r="C169" s="2"/>
      <c r="D169" s="2"/>
      <c r="E169" s="2"/>
      <c r="F169" s="2"/>
      <c r="G169" s="2"/>
      <c r="H169" s="146"/>
      <c r="I169" s="146"/>
      <c r="J169" s="146"/>
      <c r="K169" s="146"/>
      <c r="L169" s="2"/>
      <c r="M169" s="2"/>
      <c r="N169" s="2"/>
      <c r="O169" s="2"/>
      <c r="P169" s="2"/>
      <c r="Q169" s="2"/>
      <c r="R169" s="2"/>
      <c r="S169" s="2"/>
      <c r="T169" s="2"/>
      <c r="U169" s="2"/>
      <c r="V169" s="2"/>
      <c r="W169" s="2"/>
      <c r="X169" s="2"/>
      <c r="Y169" s="2"/>
      <c r="Z169" s="2"/>
      <c r="AA169" s="2"/>
      <c r="AB169" s="2"/>
      <c r="AC169" s="2"/>
      <c r="AD169" s="2"/>
      <c r="AE169" s="2"/>
      <c r="AF169" s="2"/>
      <c r="AG169" s="2"/>
    </row>
    <row r="170" ht="14.25" customHeight="1">
      <c r="A170" s="2"/>
      <c r="B170" s="2"/>
      <c r="C170" s="2"/>
      <c r="D170" s="2"/>
      <c r="E170" s="2"/>
      <c r="F170" s="2"/>
      <c r="G170" s="2"/>
      <c r="H170" s="146"/>
      <c r="I170" s="146"/>
      <c r="J170" s="146"/>
      <c r="K170" s="146"/>
      <c r="L170" s="2"/>
      <c r="M170" s="2"/>
      <c r="N170" s="2"/>
      <c r="O170" s="2"/>
      <c r="P170" s="2"/>
      <c r="Q170" s="2"/>
      <c r="R170" s="2"/>
      <c r="S170" s="2"/>
      <c r="T170" s="2"/>
      <c r="U170" s="2"/>
      <c r="V170" s="2"/>
      <c r="W170" s="2"/>
      <c r="X170" s="2"/>
      <c r="Y170" s="2"/>
      <c r="Z170" s="2"/>
      <c r="AA170" s="2"/>
      <c r="AB170" s="2"/>
      <c r="AC170" s="2"/>
      <c r="AD170" s="2"/>
      <c r="AE170" s="2"/>
      <c r="AF170" s="2"/>
      <c r="AG170" s="2"/>
    </row>
    <row r="171" ht="14.25" customHeight="1">
      <c r="A171" s="2"/>
      <c r="B171" s="2"/>
      <c r="C171" s="2"/>
      <c r="D171" s="2"/>
      <c r="E171" s="2"/>
      <c r="F171" s="2"/>
      <c r="G171" s="2"/>
      <c r="H171" s="146"/>
      <c r="I171" s="146"/>
      <c r="J171" s="146"/>
      <c r="K171" s="146"/>
      <c r="L171" s="2"/>
      <c r="M171" s="2"/>
      <c r="N171" s="2"/>
      <c r="O171" s="2"/>
      <c r="P171" s="2"/>
      <c r="Q171" s="2"/>
      <c r="R171" s="2"/>
      <c r="S171" s="2"/>
      <c r="T171" s="2"/>
      <c r="U171" s="2"/>
      <c r="V171" s="2"/>
      <c r="W171" s="2"/>
      <c r="X171" s="2"/>
      <c r="Y171" s="2"/>
      <c r="Z171" s="2"/>
      <c r="AA171" s="2"/>
      <c r="AB171" s="2"/>
      <c r="AC171" s="2"/>
      <c r="AD171" s="2"/>
      <c r="AE171" s="2"/>
      <c r="AF171" s="2"/>
      <c r="AG171" s="2"/>
    </row>
    <row r="172" ht="14.25" customHeight="1">
      <c r="A172" s="2"/>
      <c r="B172" s="2"/>
      <c r="C172" s="2"/>
      <c r="D172" s="2"/>
      <c r="E172" s="2"/>
      <c r="F172" s="2"/>
      <c r="G172" s="2"/>
      <c r="H172" s="146"/>
      <c r="I172" s="146"/>
      <c r="J172" s="146"/>
      <c r="K172" s="146"/>
      <c r="L172" s="2"/>
      <c r="M172" s="2"/>
      <c r="N172" s="2"/>
      <c r="O172" s="2"/>
      <c r="P172" s="2"/>
      <c r="Q172" s="2"/>
      <c r="R172" s="2"/>
      <c r="S172" s="2"/>
      <c r="T172" s="2"/>
      <c r="U172" s="2"/>
      <c r="V172" s="2"/>
      <c r="W172" s="2"/>
      <c r="X172" s="2"/>
      <c r="Y172" s="2"/>
      <c r="Z172" s="2"/>
      <c r="AA172" s="2"/>
      <c r="AB172" s="2"/>
      <c r="AC172" s="2"/>
      <c r="AD172" s="2"/>
      <c r="AE172" s="2"/>
      <c r="AF172" s="2"/>
      <c r="AG172" s="2"/>
    </row>
    <row r="173" ht="14.25" customHeight="1">
      <c r="A173" s="2"/>
      <c r="B173" s="2"/>
      <c r="C173" s="2"/>
      <c r="D173" s="2"/>
      <c r="E173" s="2"/>
      <c r="F173" s="2"/>
      <c r="G173" s="2"/>
      <c r="H173" s="146"/>
      <c r="I173" s="146"/>
      <c r="J173" s="146"/>
      <c r="K173" s="146"/>
      <c r="L173" s="2"/>
      <c r="M173" s="2"/>
      <c r="N173" s="2"/>
      <c r="O173" s="2"/>
      <c r="P173" s="2"/>
      <c r="Q173" s="2"/>
      <c r="R173" s="2"/>
      <c r="S173" s="2"/>
      <c r="T173" s="2"/>
      <c r="U173" s="2"/>
      <c r="V173" s="2"/>
      <c r="W173" s="2"/>
      <c r="X173" s="2"/>
      <c r="Y173" s="2"/>
      <c r="Z173" s="2"/>
      <c r="AA173" s="2"/>
      <c r="AB173" s="2"/>
      <c r="AC173" s="2"/>
      <c r="AD173" s="2"/>
      <c r="AE173" s="2"/>
      <c r="AF173" s="2"/>
      <c r="AG173" s="2"/>
    </row>
    <row r="174" ht="14.25" customHeight="1">
      <c r="A174" s="2"/>
      <c r="B174" s="2"/>
      <c r="C174" s="2"/>
      <c r="D174" s="2"/>
      <c r="E174" s="2"/>
      <c r="F174" s="2"/>
      <c r="G174" s="2"/>
      <c r="H174" s="146"/>
      <c r="I174" s="146"/>
      <c r="J174" s="146"/>
      <c r="K174" s="146"/>
      <c r="L174" s="2"/>
      <c r="M174" s="2"/>
      <c r="N174" s="2"/>
      <c r="O174" s="2"/>
      <c r="P174" s="2"/>
      <c r="Q174" s="2"/>
      <c r="R174" s="2"/>
      <c r="S174" s="2"/>
      <c r="T174" s="2"/>
      <c r="U174" s="2"/>
      <c r="V174" s="2"/>
      <c r="W174" s="2"/>
      <c r="X174" s="2"/>
      <c r="Y174" s="2"/>
      <c r="Z174" s="2"/>
      <c r="AA174" s="2"/>
      <c r="AB174" s="2"/>
      <c r="AC174" s="2"/>
      <c r="AD174" s="2"/>
      <c r="AE174" s="2"/>
      <c r="AF174" s="2"/>
      <c r="AG174" s="2"/>
    </row>
    <row r="175" ht="14.25" customHeight="1">
      <c r="A175" s="2"/>
      <c r="B175" s="2"/>
      <c r="C175" s="2"/>
      <c r="D175" s="2"/>
      <c r="E175" s="2"/>
      <c r="F175" s="2"/>
      <c r="G175" s="2"/>
      <c r="H175" s="146"/>
      <c r="I175" s="146"/>
      <c r="J175" s="146"/>
      <c r="K175" s="146"/>
      <c r="L175" s="2"/>
      <c r="M175" s="2"/>
      <c r="N175" s="2"/>
      <c r="O175" s="2"/>
      <c r="P175" s="2"/>
      <c r="Q175" s="2"/>
      <c r="R175" s="2"/>
      <c r="S175" s="2"/>
      <c r="T175" s="2"/>
      <c r="U175" s="2"/>
      <c r="V175" s="2"/>
      <c r="W175" s="2"/>
      <c r="X175" s="2"/>
      <c r="Y175" s="2"/>
      <c r="Z175" s="2"/>
      <c r="AA175" s="2"/>
      <c r="AB175" s="2"/>
      <c r="AC175" s="2"/>
      <c r="AD175" s="2"/>
      <c r="AE175" s="2"/>
      <c r="AF175" s="2"/>
      <c r="AG175" s="2"/>
    </row>
    <row r="176" ht="14.25" customHeight="1">
      <c r="A176" s="2"/>
      <c r="B176" s="2"/>
      <c r="C176" s="2"/>
      <c r="D176" s="2"/>
      <c r="E176" s="2"/>
      <c r="F176" s="2"/>
      <c r="G176" s="2"/>
      <c r="H176" s="146"/>
      <c r="I176" s="146"/>
      <c r="J176" s="146"/>
      <c r="K176" s="146"/>
      <c r="L176" s="2"/>
      <c r="M176" s="2"/>
      <c r="N176" s="2"/>
      <c r="O176" s="2"/>
      <c r="P176" s="2"/>
      <c r="Q176" s="2"/>
      <c r="R176" s="2"/>
      <c r="S176" s="2"/>
      <c r="T176" s="2"/>
      <c r="U176" s="2"/>
      <c r="V176" s="2"/>
      <c r="W176" s="2"/>
      <c r="X176" s="2"/>
      <c r="Y176" s="2"/>
      <c r="Z176" s="2"/>
      <c r="AA176" s="2"/>
      <c r="AB176" s="2"/>
      <c r="AC176" s="2"/>
      <c r="AD176" s="2"/>
      <c r="AE176" s="2"/>
      <c r="AF176" s="2"/>
      <c r="AG176" s="2"/>
    </row>
    <row r="177" ht="14.25" customHeight="1">
      <c r="A177" s="2"/>
      <c r="B177" s="2"/>
      <c r="C177" s="2"/>
      <c r="D177" s="2"/>
      <c r="E177" s="2"/>
      <c r="F177" s="2"/>
      <c r="G177" s="2"/>
      <c r="H177" s="146"/>
      <c r="I177" s="146"/>
      <c r="J177" s="146"/>
      <c r="K177" s="146"/>
      <c r="L177" s="2"/>
      <c r="M177" s="2"/>
      <c r="N177" s="2"/>
      <c r="O177" s="2"/>
      <c r="P177" s="2"/>
      <c r="Q177" s="2"/>
      <c r="R177" s="2"/>
      <c r="S177" s="2"/>
      <c r="T177" s="2"/>
      <c r="U177" s="2"/>
      <c r="V177" s="2"/>
      <c r="W177" s="2"/>
      <c r="X177" s="2"/>
      <c r="Y177" s="2"/>
      <c r="Z177" s="2"/>
      <c r="AA177" s="2"/>
      <c r="AB177" s="2"/>
      <c r="AC177" s="2"/>
      <c r="AD177" s="2"/>
      <c r="AE177" s="2"/>
      <c r="AF177" s="2"/>
      <c r="AG177" s="2"/>
    </row>
    <row r="178" ht="14.25" customHeight="1">
      <c r="A178" s="2"/>
      <c r="B178" s="2"/>
      <c r="C178" s="2"/>
      <c r="D178" s="2"/>
      <c r="E178" s="2"/>
      <c r="F178" s="2"/>
      <c r="G178" s="2"/>
      <c r="H178" s="146"/>
      <c r="I178" s="146"/>
      <c r="J178" s="146"/>
      <c r="K178" s="146"/>
      <c r="L178" s="2"/>
      <c r="M178" s="2"/>
      <c r="N178" s="2"/>
      <c r="O178" s="2"/>
      <c r="P178" s="2"/>
      <c r="Q178" s="2"/>
      <c r="R178" s="2"/>
      <c r="S178" s="2"/>
      <c r="T178" s="2"/>
      <c r="U178" s="2"/>
      <c r="V178" s="2"/>
      <c r="W178" s="2"/>
      <c r="X178" s="2"/>
      <c r="Y178" s="2"/>
      <c r="Z178" s="2"/>
      <c r="AA178" s="2"/>
      <c r="AB178" s="2"/>
      <c r="AC178" s="2"/>
      <c r="AD178" s="2"/>
      <c r="AE178" s="2"/>
      <c r="AF178" s="2"/>
      <c r="AG178" s="2"/>
    </row>
    <row r="179" ht="14.25" customHeight="1">
      <c r="A179" s="2"/>
      <c r="B179" s="2"/>
      <c r="C179" s="2"/>
      <c r="D179" s="2"/>
      <c r="E179" s="2"/>
      <c r="F179" s="2"/>
      <c r="G179" s="2"/>
      <c r="H179" s="146"/>
      <c r="I179" s="146"/>
      <c r="J179" s="146"/>
      <c r="K179" s="146"/>
      <c r="L179" s="2"/>
      <c r="M179" s="2"/>
      <c r="N179" s="2"/>
      <c r="O179" s="2"/>
      <c r="P179" s="2"/>
      <c r="Q179" s="2"/>
      <c r="R179" s="2"/>
      <c r="S179" s="2"/>
      <c r="T179" s="2"/>
      <c r="U179" s="2"/>
      <c r="V179" s="2"/>
      <c r="W179" s="2"/>
      <c r="X179" s="2"/>
      <c r="Y179" s="2"/>
      <c r="Z179" s="2"/>
      <c r="AA179" s="2"/>
      <c r="AB179" s="2"/>
      <c r="AC179" s="2"/>
      <c r="AD179" s="2"/>
      <c r="AE179" s="2"/>
      <c r="AF179" s="2"/>
      <c r="AG179" s="2"/>
    </row>
    <row r="180" ht="14.25" customHeight="1">
      <c r="A180" s="2"/>
      <c r="B180" s="2"/>
      <c r="C180" s="2"/>
      <c r="D180" s="2"/>
      <c r="E180" s="2"/>
      <c r="F180" s="2"/>
      <c r="G180" s="2"/>
      <c r="H180" s="146"/>
      <c r="I180" s="146"/>
      <c r="J180" s="146"/>
      <c r="K180" s="146"/>
      <c r="L180" s="2"/>
      <c r="M180" s="2"/>
      <c r="N180" s="2"/>
      <c r="O180" s="2"/>
      <c r="P180" s="2"/>
      <c r="Q180" s="2"/>
      <c r="R180" s="2"/>
      <c r="S180" s="2"/>
      <c r="T180" s="2"/>
      <c r="U180" s="2"/>
      <c r="V180" s="2"/>
      <c r="W180" s="2"/>
      <c r="X180" s="2"/>
      <c r="Y180" s="2"/>
      <c r="Z180" s="2"/>
      <c r="AA180" s="2"/>
      <c r="AB180" s="2"/>
      <c r="AC180" s="2"/>
      <c r="AD180" s="2"/>
      <c r="AE180" s="2"/>
      <c r="AF180" s="2"/>
      <c r="AG180" s="2"/>
    </row>
    <row r="181" ht="14.25" customHeight="1">
      <c r="A181" s="2"/>
      <c r="B181" s="2"/>
      <c r="C181" s="2"/>
      <c r="D181" s="2"/>
      <c r="E181" s="2"/>
      <c r="F181" s="2"/>
      <c r="G181" s="2"/>
      <c r="H181" s="146"/>
      <c r="I181" s="146"/>
      <c r="J181" s="146"/>
      <c r="K181" s="146"/>
      <c r="L181" s="2"/>
      <c r="M181" s="2"/>
      <c r="N181" s="2"/>
      <c r="O181" s="2"/>
      <c r="P181" s="2"/>
      <c r="Q181" s="2"/>
      <c r="R181" s="2"/>
      <c r="S181" s="2"/>
      <c r="T181" s="2"/>
      <c r="U181" s="2"/>
      <c r="V181" s="2"/>
      <c r="W181" s="2"/>
      <c r="X181" s="2"/>
      <c r="Y181" s="2"/>
      <c r="Z181" s="2"/>
      <c r="AA181" s="2"/>
      <c r="AB181" s="2"/>
      <c r="AC181" s="2"/>
      <c r="AD181" s="2"/>
      <c r="AE181" s="2"/>
      <c r="AF181" s="2"/>
      <c r="AG181" s="2"/>
    </row>
    <row r="182" ht="14.25" customHeight="1">
      <c r="A182" s="2"/>
      <c r="B182" s="2"/>
      <c r="C182" s="2"/>
      <c r="D182" s="2"/>
      <c r="E182" s="2"/>
      <c r="F182" s="2"/>
      <c r="G182" s="2"/>
      <c r="H182" s="146"/>
      <c r="I182" s="146"/>
      <c r="J182" s="146"/>
      <c r="K182" s="146"/>
      <c r="L182" s="2"/>
      <c r="M182" s="2"/>
      <c r="N182" s="2"/>
      <c r="O182" s="2"/>
      <c r="P182" s="2"/>
      <c r="Q182" s="2"/>
      <c r="R182" s="2"/>
      <c r="S182" s="2"/>
      <c r="T182" s="2"/>
      <c r="U182" s="2"/>
      <c r="V182" s="2"/>
      <c r="W182" s="2"/>
      <c r="X182" s="2"/>
      <c r="Y182" s="2"/>
      <c r="Z182" s="2"/>
      <c r="AA182" s="2"/>
      <c r="AB182" s="2"/>
      <c r="AC182" s="2"/>
      <c r="AD182" s="2"/>
      <c r="AE182" s="2"/>
      <c r="AF182" s="2"/>
      <c r="AG182" s="2"/>
    </row>
    <row r="183" ht="14.25" customHeight="1">
      <c r="A183" s="2"/>
      <c r="B183" s="2"/>
      <c r="C183" s="2"/>
      <c r="D183" s="2"/>
      <c r="E183" s="2"/>
      <c r="F183" s="2"/>
      <c r="G183" s="2"/>
      <c r="H183" s="146"/>
      <c r="I183" s="146"/>
      <c r="J183" s="146"/>
      <c r="K183" s="146"/>
      <c r="L183" s="2"/>
      <c r="M183" s="2"/>
      <c r="N183" s="2"/>
      <c r="O183" s="2"/>
      <c r="P183" s="2"/>
      <c r="Q183" s="2"/>
      <c r="R183" s="2"/>
      <c r="S183" s="2"/>
      <c r="T183" s="2"/>
      <c r="U183" s="2"/>
      <c r="V183" s="2"/>
      <c r="W183" s="2"/>
      <c r="X183" s="2"/>
      <c r="Y183" s="2"/>
      <c r="Z183" s="2"/>
      <c r="AA183" s="2"/>
      <c r="AB183" s="2"/>
      <c r="AC183" s="2"/>
      <c r="AD183" s="2"/>
      <c r="AE183" s="2"/>
      <c r="AF183" s="2"/>
      <c r="AG183" s="2"/>
    </row>
    <row r="184" ht="14.25" customHeight="1">
      <c r="A184" s="2"/>
      <c r="B184" s="2"/>
      <c r="C184" s="2"/>
      <c r="D184" s="2"/>
      <c r="E184" s="2"/>
      <c r="F184" s="2"/>
      <c r="G184" s="2"/>
      <c r="H184" s="146"/>
      <c r="I184" s="146"/>
      <c r="J184" s="146"/>
      <c r="K184" s="146"/>
      <c r="L184" s="2"/>
      <c r="M184" s="2"/>
      <c r="N184" s="2"/>
      <c r="O184" s="2"/>
      <c r="P184" s="2"/>
      <c r="Q184" s="2"/>
      <c r="R184" s="2"/>
      <c r="S184" s="2"/>
      <c r="T184" s="2"/>
      <c r="U184" s="2"/>
      <c r="V184" s="2"/>
      <c r="W184" s="2"/>
      <c r="X184" s="2"/>
      <c r="Y184" s="2"/>
      <c r="Z184" s="2"/>
      <c r="AA184" s="2"/>
      <c r="AB184" s="2"/>
      <c r="AC184" s="2"/>
      <c r="AD184" s="2"/>
      <c r="AE184" s="2"/>
      <c r="AF184" s="2"/>
      <c r="AG184" s="2"/>
    </row>
    <row r="185" ht="14.25" customHeight="1">
      <c r="A185" s="2"/>
      <c r="B185" s="2"/>
      <c r="C185" s="2"/>
      <c r="D185" s="2"/>
      <c r="E185" s="2"/>
      <c r="F185" s="2"/>
      <c r="G185" s="2"/>
      <c r="H185" s="146"/>
      <c r="I185" s="146"/>
      <c r="J185" s="146"/>
      <c r="K185" s="146"/>
      <c r="L185" s="2"/>
      <c r="M185" s="2"/>
      <c r="N185" s="2"/>
      <c r="O185" s="2"/>
      <c r="P185" s="2"/>
      <c r="Q185" s="2"/>
      <c r="R185" s="2"/>
      <c r="S185" s="2"/>
      <c r="T185" s="2"/>
      <c r="U185" s="2"/>
      <c r="V185" s="2"/>
      <c r="W185" s="2"/>
      <c r="X185" s="2"/>
      <c r="Y185" s="2"/>
      <c r="Z185" s="2"/>
      <c r="AA185" s="2"/>
      <c r="AB185" s="2"/>
      <c r="AC185" s="2"/>
      <c r="AD185" s="2"/>
      <c r="AE185" s="2"/>
      <c r="AF185" s="2"/>
      <c r="AG185" s="2"/>
    </row>
    <row r="186" ht="14.25" customHeight="1">
      <c r="A186" s="2"/>
      <c r="B186" s="2"/>
      <c r="C186" s="2"/>
      <c r="D186" s="2"/>
      <c r="E186" s="2"/>
      <c r="F186" s="2"/>
      <c r="G186" s="2"/>
      <c r="H186" s="146"/>
      <c r="I186" s="146"/>
      <c r="J186" s="146"/>
      <c r="K186" s="146"/>
      <c r="L186" s="2"/>
      <c r="M186" s="2"/>
      <c r="N186" s="2"/>
      <c r="O186" s="2"/>
      <c r="P186" s="2"/>
      <c r="Q186" s="2"/>
      <c r="R186" s="2"/>
      <c r="S186" s="2"/>
      <c r="T186" s="2"/>
      <c r="U186" s="2"/>
      <c r="V186" s="2"/>
      <c r="W186" s="2"/>
      <c r="X186" s="2"/>
      <c r="Y186" s="2"/>
      <c r="Z186" s="2"/>
      <c r="AA186" s="2"/>
      <c r="AB186" s="2"/>
      <c r="AC186" s="2"/>
      <c r="AD186" s="2"/>
      <c r="AE186" s="2"/>
      <c r="AF186" s="2"/>
      <c r="AG186" s="2"/>
    </row>
    <row r="187" ht="14.25" customHeight="1">
      <c r="A187" s="2"/>
      <c r="B187" s="2"/>
      <c r="C187" s="2"/>
      <c r="D187" s="2"/>
      <c r="E187" s="2"/>
      <c r="F187" s="2"/>
      <c r="G187" s="2"/>
      <c r="H187" s="146"/>
      <c r="I187" s="146"/>
      <c r="J187" s="146"/>
      <c r="K187" s="146"/>
      <c r="L187" s="2"/>
      <c r="M187" s="2"/>
      <c r="N187" s="2"/>
      <c r="O187" s="2"/>
      <c r="P187" s="2"/>
      <c r="Q187" s="2"/>
      <c r="R187" s="2"/>
      <c r="S187" s="2"/>
      <c r="T187" s="2"/>
      <c r="U187" s="2"/>
      <c r="V187" s="2"/>
      <c r="W187" s="2"/>
      <c r="X187" s="2"/>
      <c r="Y187" s="2"/>
      <c r="Z187" s="2"/>
      <c r="AA187" s="2"/>
      <c r="AB187" s="2"/>
      <c r="AC187" s="2"/>
      <c r="AD187" s="2"/>
      <c r="AE187" s="2"/>
      <c r="AF187" s="2"/>
      <c r="AG187" s="2"/>
    </row>
    <row r="188" ht="14.25" customHeight="1">
      <c r="A188" s="2"/>
      <c r="B188" s="2"/>
      <c r="C188" s="2"/>
      <c r="D188" s="2"/>
      <c r="E188" s="2"/>
      <c r="F188" s="2"/>
      <c r="G188" s="2"/>
      <c r="H188" s="146"/>
      <c r="I188" s="146"/>
      <c r="J188" s="146"/>
      <c r="K188" s="146"/>
      <c r="L188" s="2"/>
      <c r="M188" s="2"/>
      <c r="N188" s="2"/>
      <c r="O188" s="2"/>
      <c r="P188" s="2"/>
      <c r="Q188" s="2"/>
      <c r="R188" s="2"/>
      <c r="S188" s="2"/>
      <c r="T188" s="2"/>
      <c r="U188" s="2"/>
      <c r="V188" s="2"/>
      <c r="W188" s="2"/>
      <c r="X188" s="2"/>
      <c r="Y188" s="2"/>
      <c r="Z188" s="2"/>
      <c r="AA188" s="2"/>
      <c r="AB188" s="2"/>
      <c r="AC188" s="2"/>
      <c r="AD188" s="2"/>
      <c r="AE188" s="2"/>
      <c r="AF188" s="2"/>
      <c r="AG188" s="2"/>
    </row>
    <row r="189" ht="14.25" customHeight="1">
      <c r="A189" s="2"/>
      <c r="B189" s="2"/>
      <c r="C189" s="2"/>
      <c r="D189" s="2"/>
      <c r="E189" s="2"/>
      <c r="F189" s="2"/>
      <c r="G189" s="2"/>
      <c r="H189" s="146"/>
      <c r="I189" s="146"/>
      <c r="J189" s="146"/>
      <c r="K189" s="146"/>
      <c r="L189" s="2"/>
      <c r="M189" s="2"/>
      <c r="N189" s="2"/>
      <c r="O189" s="2"/>
      <c r="P189" s="2"/>
      <c r="Q189" s="2"/>
      <c r="R189" s="2"/>
      <c r="S189" s="2"/>
      <c r="T189" s="2"/>
      <c r="U189" s="2"/>
      <c r="V189" s="2"/>
      <c r="W189" s="2"/>
      <c r="X189" s="2"/>
      <c r="Y189" s="2"/>
      <c r="Z189" s="2"/>
      <c r="AA189" s="2"/>
      <c r="AB189" s="2"/>
      <c r="AC189" s="2"/>
      <c r="AD189" s="2"/>
      <c r="AE189" s="2"/>
      <c r="AF189" s="2"/>
      <c r="AG189" s="2"/>
    </row>
    <row r="190" ht="14.25" customHeight="1">
      <c r="A190" s="2"/>
      <c r="B190" s="2"/>
      <c r="C190" s="2"/>
      <c r="D190" s="2"/>
      <c r="E190" s="2"/>
      <c r="F190" s="2"/>
      <c r="G190" s="2"/>
      <c r="H190" s="146"/>
      <c r="I190" s="146"/>
      <c r="J190" s="146"/>
      <c r="K190" s="146"/>
      <c r="L190" s="2"/>
      <c r="M190" s="2"/>
      <c r="N190" s="2"/>
      <c r="O190" s="2"/>
      <c r="P190" s="2"/>
      <c r="Q190" s="2"/>
      <c r="R190" s="2"/>
      <c r="S190" s="2"/>
      <c r="T190" s="2"/>
      <c r="U190" s="2"/>
      <c r="V190" s="2"/>
      <c r="W190" s="2"/>
      <c r="X190" s="2"/>
      <c r="Y190" s="2"/>
      <c r="Z190" s="2"/>
      <c r="AA190" s="2"/>
      <c r="AB190" s="2"/>
      <c r="AC190" s="2"/>
      <c r="AD190" s="2"/>
      <c r="AE190" s="2"/>
      <c r="AF190" s="2"/>
      <c r="AG190" s="2"/>
    </row>
    <row r="191" ht="14.25" customHeight="1">
      <c r="A191" s="2"/>
      <c r="B191" s="2"/>
      <c r="C191" s="2"/>
      <c r="D191" s="2"/>
      <c r="E191" s="2"/>
      <c r="F191" s="2"/>
      <c r="G191" s="2"/>
      <c r="H191" s="146"/>
      <c r="I191" s="146"/>
      <c r="J191" s="146"/>
      <c r="K191" s="146"/>
      <c r="L191" s="2"/>
      <c r="M191" s="2"/>
      <c r="N191" s="2"/>
      <c r="O191" s="2"/>
      <c r="P191" s="2"/>
      <c r="Q191" s="2"/>
      <c r="R191" s="2"/>
      <c r="S191" s="2"/>
      <c r="T191" s="2"/>
      <c r="U191" s="2"/>
      <c r="V191" s="2"/>
      <c r="W191" s="2"/>
      <c r="X191" s="2"/>
      <c r="Y191" s="2"/>
      <c r="Z191" s="2"/>
      <c r="AA191" s="2"/>
      <c r="AB191" s="2"/>
      <c r="AC191" s="2"/>
      <c r="AD191" s="2"/>
      <c r="AE191" s="2"/>
      <c r="AF191" s="2"/>
      <c r="AG191" s="2"/>
    </row>
    <row r="192" ht="14.25" customHeight="1">
      <c r="A192" s="2"/>
      <c r="B192" s="2"/>
      <c r="C192" s="2"/>
      <c r="D192" s="2"/>
      <c r="E192" s="2"/>
      <c r="F192" s="2"/>
      <c r="G192" s="2"/>
      <c r="H192" s="146"/>
      <c r="I192" s="146"/>
      <c r="J192" s="146"/>
      <c r="K192" s="146"/>
      <c r="L192" s="2"/>
      <c r="M192" s="2"/>
      <c r="N192" s="2"/>
      <c r="O192" s="2"/>
      <c r="P192" s="2"/>
      <c r="Q192" s="2"/>
      <c r="R192" s="2"/>
      <c r="S192" s="2"/>
      <c r="T192" s="2"/>
      <c r="U192" s="2"/>
      <c r="V192" s="2"/>
      <c r="W192" s="2"/>
      <c r="X192" s="2"/>
      <c r="Y192" s="2"/>
      <c r="Z192" s="2"/>
      <c r="AA192" s="2"/>
      <c r="AB192" s="2"/>
      <c r="AC192" s="2"/>
      <c r="AD192" s="2"/>
      <c r="AE192" s="2"/>
      <c r="AF192" s="2"/>
      <c r="AG192" s="2"/>
    </row>
    <row r="193" ht="14.25" customHeight="1">
      <c r="A193" s="2"/>
      <c r="B193" s="2"/>
      <c r="C193" s="2"/>
      <c r="D193" s="2"/>
      <c r="E193" s="2"/>
      <c r="F193" s="2"/>
      <c r="G193" s="2"/>
      <c r="H193" s="146"/>
      <c r="I193" s="146"/>
      <c r="J193" s="146"/>
      <c r="K193" s="146"/>
      <c r="L193" s="2"/>
      <c r="M193" s="2"/>
      <c r="N193" s="2"/>
      <c r="O193" s="2"/>
      <c r="P193" s="2"/>
      <c r="Q193" s="2"/>
      <c r="R193" s="2"/>
      <c r="S193" s="2"/>
      <c r="T193" s="2"/>
      <c r="U193" s="2"/>
      <c r="V193" s="2"/>
      <c r="W193" s="2"/>
      <c r="X193" s="2"/>
      <c r="Y193" s="2"/>
      <c r="Z193" s="2"/>
      <c r="AA193" s="2"/>
      <c r="AB193" s="2"/>
      <c r="AC193" s="2"/>
      <c r="AD193" s="2"/>
      <c r="AE193" s="2"/>
      <c r="AF193" s="2"/>
      <c r="AG193" s="2"/>
    </row>
    <row r="194" ht="14.25" customHeight="1">
      <c r="A194" s="2"/>
      <c r="B194" s="2"/>
      <c r="C194" s="2"/>
      <c r="D194" s="2"/>
      <c r="E194" s="2"/>
      <c r="F194" s="2"/>
      <c r="G194" s="2"/>
      <c r="H194" s="146"/>
      <c r="I194" s="146"/>
      <c r="J194" s="146"/>
      <c r="K194" s="146"/>
      <c r="L194" s="2"/>
      <c r="M194" s="2"/>
      <c r="N194" s="2"/>
      <c r="O194" s="2"/>
      <c r="P194" s="2"/>
      <c r="Q194" s="2"/>
      <c r="R194" s="2"/>
      <c r="S194" s="2"/>
      <c r="T194" s="2"/>
      <c r="U194" s="2"/>
      <c r="V194" s="2"/>
      <c r="W194" s="2"/>
      <c r="X194" s="2"/>
      <c r="Y194" s="2"/>
      <c r="Z194" s="2"/>
      <c r="AA194" s="2"/>
      <c r="AB194" s="2"/>
      <c r="AC194" s="2"/>
      <c r="AD194" s="2"/>
      <c r="AE194" s="2"/>
      <c r="AF194" s="2"/>
      <c r="AG194" s="2"/>
    </row>
    <row r="195" ht="14.25" customHeight="1">
      <c r="A195" s="2"/>
      <c r="B195" s="2"/>
      <c r="C195" s="2"/>
      <c r="D195" s="2"/>
      <c r="E195" s="2"/>
      <c r="F195" s="2"/>
      <c r="G195" s="2"/>
      <c r="H195" s="146"/>
      <c r="I195" s="146"/>
      <c r="J195" s="146"/>
      <c r="K195" s="146"/>
      <c r="L195" s="2"/>
      <c r="M195" s="2"/>
      <c r="N195" s="2"/>
      <c r="O195" s="2"/>
      <c r="P195" s="2"/>
      <c r="Q195" s="2"/>
      <c r="R195" s="2"/>
      <c r="S195" s="2"/>
      <c r="T195" s="2"/>
      <c r="U195" s="2"/>
      <c r="V195" s="2"/>
      <c r="W195" s="2"/>
      <c r="X195" s="2"/>
      <c r="Y195" s="2"/>
      <c r="Z195" s="2"/>
      <c r="AA195" s="2"/>
      <c r="AB195" s="2"/>
      <c r="AC195" s="2"/>
      <c r="AD195" s="2"/>
      <c r="AE195" s="2"/>
      <c r="AF195" s="2"/>
      <c r="AG195" s="2"/>
    </row>
    <row r="196" ht="14.25" customHeight="1">
      <c r="A196" s="2"/>
      <c r="B196" s="2"/>
      <c r="C196" s="2"/>
      <c r="D196" s="2"/>
      <c r="E196" s="2"/>
      <c r="F196" s="2"/>
      <c r="G196" s="2"/>
      <c r="H196" s="146"/>
      <c r="I196" s="146"/>
      <c r="J196" s="146"/>
      <c r="K196" s="146"/>
      <c r="L196" s="2"/>
      <c r="M196" s="2"/>
      <c r="N196" s="2"/>
      <c r="O196" s="2"/>
      <c r="P196" s="2"/>
      <c r="Q196" s="2"/>
      <c r="R196" s="2"/>
      <c r="S196" s="2"/>
      <c r="T196" s="2"/>
      <c r="U196" s="2"/>
      <c r="V196" s="2"/>
      <c r="W196" s="2"/>
      <c r="X196" s="2"/>
      <c r="Y196" s="2"/>
      <c r="Z196" s="2"/>
      <c r="AA196" s="2"/>
      <c r="AB196" s="2"/>
      <c r="AC196" s="2"/>
      <c r="AD196" s="2"/>
      <c r="AE196" s="2"/>
      <c r="AF196" s="2"/>
      <c r="AG196" s="2"/>
    </row>
    <row r="197" ht="14.25" customHeight="1">
      <c r="A197" s="2"/>
      <c r="B197" s="2"/>
      <c r="C197" s="2"/>
      <c r="D197" s="2"/>
      <c r="E197" s="2"/>
      <c r="F197" s="2"/>
      <c r="G197" s="2"/>
      <c r="H197" s="146"/>
      <c r="I197" s="146"/>
      <c r="J197" s="146"/>
      <c r="K197" s="146"/>
      <c r="L197" s="2"/>
      <c r="M197" s="2"/>
      <c r="N197" s="2"/>
      <c r="O197" s="2"/>
      <c r="P197" s="2"/>
      <c r="Q197" s="2"/>
      <c r="R197" s="2"/>
      <c r="S197" s="2"/>
      <c r="T197" s="2"/>
      <c r="U197" s="2"/>
      <c r="V197" s="2"/>
      <c r="W197" s="2"/>
      <c r="X197" s="2"/>
      <c r="Y197" s="2"/>
      <c r="Z197" s="2"/>
      <c r="AA197" s="2"/>
      <c r="AB197" s="2"/>
      <c r="AC197" s="2"/>
      <c r="AD197" s="2"/>
      <c r="AE197" s="2"/>
      <c r="AF197" s="2"/>
      <c r="AG197" s="2"/>
    </row>
    <row r="198" ht="14.25" customHeight="1">
      <c r="A198" s="2"/>
      <c r="B198" s="2"/>
      <c r="C198" s="2"/>
      <c r="D198" s="2"/>
      <c r="E198" s="2"/>
      <c r="F198" s="2"/>
      <c r="G198" s="2"/>
      <c r="H198" s="146"/>
      <c r="I198" s="146"/>
      <c r="J198" s="146"/>
      <c r="K198" s="146"/>
      <c r="L198" s="2"/>
      <c r="M198" s="2"/>
      <c r="N198" s="2"/>
      <c r="O198" s="2"/>
      <c r="P198" s="2"/>
      <c r="Q198" s="2"/>
      <c r="R198" s="2"/>
      <c r="S198" s="2"/>
      <c r="T198" s="2"/>
      <c r="U198" s="2"/>
      <c r="V198" s="2"/>
      <c r="W198" s="2"/>
      <c r="X198" s="2"/>
      <c r="Y198" s="2"/>
      <c r="Z198" s="2"/>
      <c r="AA198" s="2"/>
      <c r="AB198" s="2"/>
      <c r="AC198" s="2"/>
      <c r="AD198" s="2"/>
      <c r="AE198" s="2"/>
      <c r="AF198" s="2"/>
      <c r="AG198" s="2"/>
    </row>
    <row r="199" ht="14.25" customHeight="1">
      <c r="A199" s="2"/>
      <c r="B199" s="2"/>
      <c r="C199" s="2"/>
      <c r="D199" s="2"/>
      <c r="E199" s="2"/>
      <c r="F199" s="2"/>
      <c r="G199" s="2"/>
      <c r="H199" s="146"/>
      <c r="I199" s="146"/>
      <c r="J199" s="146"/>
      <c r="K199" s="146"/>
      <c r="L199" s="2"/>
      <c r="M199" s="2"/>
      <c r="N199" s="2"/>
      <c r="O199" s="2"/>
      <c r="P199" s="2"/>
      <c r="Q199" s="2"/>
      <c r="R199" s="2"/>
      <c r="S199" s="2"/>
      <c r="T199" s="2"/>
      <c r="U199" s="2"/>
      <c r="V199" s="2"/>
      <c r="W199" s="2"/>
      <c r="X199" s="2"/>
      <c r="Y199" s="2"/>
      <c r="Z199" s="2"/>
      <c r="AA199" s="2"/>
      <c r="AB199" s="2"/>
      <c r="AC199" s="2"/>
      <c r="AD199" s="2"/>
      <c r="AE199" s="2"/>
      <c r="AF199" s="2"/>
      <c r="AG199" s="2"/>
    </row>
    <row r="200" ht="14.25" customHeight="1">
      <c r="A200" s="2"/>
      <c r="B200" s="2"/>
      <c r="C200" s="2"/>
      <c r="D200" s="2"/>
      <c r="E200" s="2"/>
      <c r="F200" s="2"/>
      <c r="G200" s="2"/>
      <c r="H200" s="146"/>
      <c r="I200" s="146"/>
      <c r="J200" s="146"/>
      <c r="K200" s="146"/>
      <c r="L200" s="2"/>
      <c r="M200" s="2"/>
      <c r="N200" s="2"/>
      <c r="O200" s="2"/>
      <c r="P200" s="2"/>
      <c r="Q200" s="2"/>
      <c r="R200" s="2"/>
      <c r="S200" s="2"/>
      <c r="T200" s="2"/>
      <c r="U200" s="2"/>
      <c r="V200" s="2"/>
      <c r="W200" s="2"/>
      <c r="X200" s="2"/>
      <c r="Y200" s="2"/>
      <c r="Z200" s="2"/>
      <c r="AA200" s="2"/>
      <c r="AB200" s="2"/>
      <c r="AC200" s="2"/>
      <c r="AD200" s="2"/>
      <c r="AE200" s="2"/>
      <c r="AF200" s="2"/>
      <c r="AG200" s="2"/>
    </row>
    <row r="201" ht="14.25" customHeight="1">
      <c r="A201" s="2"/>
      <c r="B201" s="2"/>
      <c r="C201" s="2"/>
      <c r="D201" s="2"/>
      <c r="E201" s="2"/>
      <c r="F201" s="2"/>
      <c r="G201" s="2"/>
      <c r="H201" s="146"/>
      <c r="I201" s="146"/>
      <c r="J201" s="146"/>
      <c r="K201" s="146"/>
      <c r="L201" s="2"/>
      <c r="M201" s="2"/>
      <c r="N201" s="2"/>
      <c r="O201" s="2"/>
      <c r="P201" s="2"/>
      <c r="Q201" s="2"/>
      <c r="R201" s="2"/>
      <c r="S201" s="2"/>
      <c r="T201" s="2"/>
      <c r="U201" s="2"/>
      <c r="V201" s="2"/>
      <c r="W201" s="2"/>
      <c r="X201" s="2"/>
      <c r="Y201" s="2"/>
      <c r="Z201" s="2"/>
      <c r="AA201" s="2"/>
      <c r="AB201" s="2"/>
      <c r="AC201" s="2"/>
      <c r="AD201" s="2"/>
      <c r="AE201" s="2"/>
      <c r="AF201" s="2"/>
      <c r="AG201" s="2"/>
    </row>
    <row r="202" ht="14.25" customHeight="1">
      <c r="A202" s="2"/>
      <c r="B202" s="2"/>
      <c r="C202" s="2"/>
      <c r="D202" s="2"/>
      <c r="E202" s="2"/>
      <c r="F202" s="2"/>
      <c r="G202" s="2"/>
      <c r="H202" s="146"/>
      <c r="I202" s="146"/>
      <c r="J202" s="146"/>
      <c r="K202" s="146"/>
      <c r="L202" s="2"/>
      <c r="M202" s="2"/>
      <c r="N202" s="2"/>
      <c r="O202" s="2"/>
      <c r="P202" s="2"/>
      <c r="Q202" s="2"/>
      <c r="R202" s="2"/>
      <c r="S202" s="2"/>
      <c r="T202" s="2"/>
      <c r="U202" s="2"/>
      <c r="V202" s="2"/>
      <c r="W202" s="2"/>
      <c r="X202" s="2"/>
      <c r="Y202" s="2"/>
      <c r="Z202" s="2"/>
      <c r="AA202" s="2"/>
      <c r="AB202" s="2"/>
      <c r="AC202" s="2"/>
      <c r="AD202" s="2"/>
      <c r="AE202" s="2"/>
      <c r="AF202" s="2"/>
      <c r="AG202" s="2"/>
    </row>
    <row r="203" ht="14.25" customHeight="1">
      <c r="A203" s="2"/>
      <c r="B203" s="2"/>
      <c r="C203" s="2"/>
      <c r="D203" s="2"/>
      <c r="E203" s="2"/>
      <c r="F203" s="2"/>
      <c r="G203" s="2"/>
      <c r="H203" s="146"/>
      <c r="I203" s="146"/>
      <c r="J203" s="146"/>
      <c r="K203" s="146"/>
      <c r="L203" s="2"/>
      <c r="M203" s="2"/>
      <c r="N203" s="2"/>
      <c r="O203" s="2"/>
      <c r="P203" s="2"/>
      <c r="Q203" s="2"/>
      <c r="R203" s="2"/>
      <c r="S203" s="2"/>
      <c r="T203" s="2"/>
      <c r="U203" s="2"/>
      <c r="V203" s="2"/>
      <c r="W203" s="2"/>
      <c r="X203" s="2"/>
      <c r="Y203" s="2"/>
      <c r="Z203" s="2"/>
      <c r="AA203" s="2"/>
      <c r="AB203" s="2"/>
      <c r="AC203" s="2"/>
      <c r="AD203" s="2"/>
      <c r="AE203" s="2"/>
      <c r="AF203" s="2"/>
      <c r="AG203" s="2"/>
    </row>
    <row r="204" ht="14.25" customHeight="1">
      <c r="A204" s="2"/>
      <c r="B204" s="2"/>
      <c r="C204" s="2"/>
      <c r="D204" s="2"/>
      <c r="E204" s="2"/>
      <c r="F204" s="2"/>
      <c r="G204" s="2"/>
      <c r="H204" s="146"/>
      <c r="I204" s="146"/>
      <c r="J204" s="146"/>
      <c r="K204" s="146"/>
      <c r="L204" s="2"/>
      <c r="M204" s="2"/>
      <c r="N204" s="2"/>
      <c r="O204" s="2"/>
      <c r="P204" s="2"/>
      <c r="Q204" s="2"/>
      <c r="R204" s="2"/>
      <c r="S204" s="2"/>
      <c r="T204" s="2"/>
      <c r="U204" s="2"/>
      <c r="V204" s="2"/>
      <c r="W204" s="2"/>
      <c r="X204" s="2"/>
      <c r="Y204" s="2"/>
      <c r="Z204" s="2"/>
      <c r="AA204" s="2"/>
      <c r="AB204" s="2"/>
      <c r="AC204" s="2"/>
      <c r="AD204" s="2"/>
      <c r="AE204" s="2"/>
      <c r="AF204" s="2"/>
      <c r="AG204" s="2"/>
    </row>
    <row r="205" ht="14.25" customHeight="1">
      <c r="A205" s="2"/>
      <c r="B205" s="2"/>
      <c r="C205" s="2"/>
      <c r="D205" s="2"/>
      <c r="E205" s="2"/>
      <c r="F205" s="2"/>
      <c r="G205" s="2"/>
      <c r="H205" s="146"/>
      <c r="I205" s="146"/>
      <c r="J205" s="146"/>
      <c r="K205" s="146"/>
      <c r="L205" s="2"/>
      <c r="M205" s="2"/>
      <c r="N205" s="2"/>
      <c r="O205" s="2"/>
      <c r="P205" s="2"/>
      <c r="Q205" s="2"/>
      <c r="R205" s="2"/>
      <c r="S205" s="2"/>
      <c r="T205" s="2"/>
      <c r="U205" s="2"/>
      <c r="V205" s="2"/>
      <c r="W205" s="2"/>
      <c r="X205" s="2"/>
      <c r="Y205" s="2"/>
      <c r="Z205" s="2"/>
      <c r="AA205" s="2"/>
      <c r="AB205" s="2"/>
      <c r="AC205" s="2"/>
      <c r="AD205" s="2"/>
      <c r="AE205" s="2"/>
      <c r="AF205" s="2"/>
      <c r="AG205" s="2"/>
    </row>
    <row r="206" ht="14.25" customHeight="1">
      <c r="A206" s="2"/>
      <c r="B206" s="2"/>
      <c r="C206" s="2"/>
      <c r="D206" s="2"/>
      <c r="E206" s="2"/>
      <c r="F206" s="2"/>
      <c r="G206" s="2"/>
      <c r="H206" s="146"/>
      <c r="I206" s="146"/>
      <c r="J206" s="146"/>
      <c r="K206" s="146"/>
      <c r="L206" s="2"/>
      <c r="M206" s="2"/>
      <c r="N206" s="2"/>
      <c r="O206" s="2"/>
      <c r="P206" s="2"/>
      <c r="Q206" s="2"/>
      <c r="R206" s="2"/>
      <c r="S206" s="2"/>
      <c r="T206" s="2"/>
      <c r="U206" s="2"/>
      <c r="V206" s="2"/>
      <c r="W206" s="2"/>
      <c r="X206" s="2"/>
      <c r="Y206" s="2"/>
      <c r="Z206" s="2"/>
      <c r="AA206" s="2"/>
      <c r="AB206" s="2"/>
      <c r="AC206" s="2"/>
      <c r="AD206" s="2"/>
      <c r="AE206" s="2"/>
      <c r="AF206" s="2"/>
      <c r="AG206" s="2"/>
    </row>
    <row r="207" ht="14.25" customHeight="1">
      <c r="A207" s="2"/>
      <c r="B207" s="2"/>
      <c r="C207" s="2"/>
      <c r="D207" s="2"/>
      <c r="E207" s="2"/>
      <c r="F207" s="2"/>
      <c r="G207" s="2"/>
      <c r="H207" s="146"/>
      <c r="I207" s="146"/>
      <c r="J207" s="146"/>
      <c r="K207" s="146"/>
      <c r="L207" s="2"/>
      <c r="M207" s="2"/>
      <c r="N207" s="2"/>
      <c r="O207" s="2"/>
      <c r="P207" s="2"/>
      <c r="Q207" s="2"/>
      <c r="R207" s="2"/>
      <c r="S207" s="2"/>
      <c r="T207" s="2"/>
      <c r="U207" s="2"/>
      <c r="V207" s="2"/>
      <c r="W207" s="2"/>
      <c r="X207" s="2"/>
      <c r="Y207" s="2"/>
      <c r="Z207" s="2"/>
      <c r="AA207" s="2"/>
      <c r="AB207" s="2"/>
      <c r="AC207" s="2"/>
      <c r="AD207" s="2"/>
      <c r="AE207" s="2"/>
      <c r="AF207" s="2"/>
      <c r="AG207" s="2"/>
    </row>
    <row r="208" ht="14.25" customHeight="1">
      <c r="A208" s="2"/>
      <c r="B208" s="2"/>
      <c r="C208" s="2"/>
      <c r="D208" s="2"/>
      <c r="E208" s="2"/>
      <c r="F208" s="2"/>
      <c r="G208" s="2"/>
      <c r="H208" s="146"/>
      <c r="I208" s="146"/>
      <c r="J208" s="146"/>
      <c r="K208" s="146"/>
      <c r="L208" s="2"/>
      <c r="M208" s="2"/>
      <c r="N208" s="2"/>
      <c r="O208" s="2"/>
      <c r="P208" s="2"/>
      <c r="Q208" s="2"/>
      <c r="R208" s="2"/>
      <c r="S208" s="2"/>
      <c r="T208" s="2"/>
      <c r="U208" s="2"/>
      <c r="V208" s="2"/>
      <c r="W208" s="2"/>
      <c r="X208" s="2"/>
      <c r="Y208" s="2"/>
      <c r="Z208" s="2"/>
      <c r="AA208" s="2"/>
      <c r="AB208" s="2"/>
      <c r="AC208" s="2"/>
      <c r="AD208" s="2"/>
      <c r="AE208" s="2"/>
      <c r="AF208" s="2"/>
      <c r="AG208" s="2"/>
    </row>
    <row r="209" ht="14.25" customHeight="1">
      <c r="A209" s="2"/>
      <c r="B209" s="2"/>
      <c r="C209" s="2"/>
      <c r="D209" s="2"/>
      <c r="E209" s="2"/>
      <c r="F209" s="2"/>
      <c r="G209" s="2"/>
      <c r="H209" s="146"/>
      <c r="I209" s="146"/>
      <c r="J209" s="146"/>
      <c r="K209" s="146"/>
      <c r="L209" s="2"/>
      <c r="M209" s="2"/>
      <c r="N209" s="2"/>
      <c r="O209" s="2"/>
      <c r="P209" s="2"/>
      <c r="Q209" s="2"/>
      <c r="R209" s="2"/>
      <c r="S209" s="2"/>
      <c r="T209" s="2"/>
      <c r="U209" s="2"/>
      <c r="V209" s="2"/>
      <c r="W209" s="2"/>
      <c r="X209" s="2"/>
      <c r="Y209" s="2"/>
      <c r="Z209" s="2"/>
      <c r="AA209" s="2"/>
      <c r="AB209" s="2"/>
      <c r="AC209" s="2"/>
      <c r="AD209" s="2"/>
      <c r="AE209" s="2"/>
      <c r="AF209" s="2"/>
      <c r="AG209" s="2"/>
    </row>
    <row r="210" ht="14.25" customHeight="1">
      <c r="A210" s="2"/>
      <c r="B210" s="2"/>
      <c r="C210" s="2"/>
      <c r="D210" s="2"/>
      <c r="E210" s="2"/>
      <c r="F210" s="2"/>
      <c r="G210" s="2"/>
      <c r="H210" s="146"/>
      <c r="I210" s="146"/>
      <c r="J210" s="146"/>
      <c r="K210" s="146"/>
      <c r="L210" s="2"/>
      <c r="M210" s="2"/>
      <c r="N210" s="2"/>
      <c r="O210" s="2"/>
      <c r="P210" s="2"/>
      <c r="Q210" s="2"/>
      <c r="R210" s="2"/>
      <c r="S210" s="2"/>
      <c r="T210" s="2"/>
      <c r="U210" s="2"/>
      <c r="V210" s="2"/>
      <c r="W210" s="2"/>
      <c r="X210" s="2"/>
      <c r="Y210" s="2"/>
      <c r="Z210" s="2"/>
      <c r="AA210" s="2"/>
      <c r="AB210" s="2"/>
      <c r="AC210" s="2"/>
      <c r="AD210" s="2"/>
      <c r="AE210" s="2"/>
      <c r="AF210" s="2"/>
      <c r="AG210" s="2"/>
    </row>
    <row r="211" ht="14.25" customHeight="1">
      <c r="A211" s="2"/>
      <c r="B211" s="2"/>
      <c r="C211" s="2"/>
      <c r="D211" s="2"/>
      <c r="E211" s="2"/>
      <c r="F211" s="2"/>
      <c r="G211" s="2"/>
      <c r="H211" s="146"/>
      <c r="I211" s="146"/>
      <c r="J211" s="146"/>
      <c r="K211" s="146"/>
      <c r="L211" s="2"/>
      <c r="M211" s="2"/>
      <c r="N211" s="2"/>
      <c r="O211" s="2"/>
      <c r="P211" s="2"/>
      <c r="Q211" s="2"/>
      <c r="R211" s="2"/>
      <c r="S211" s="2"/>
      <c r="T211" s="2"/>
      <c r="U211" s="2"/>
      <c r="V211" s="2"/>
      <c r="W211" s="2"/>
      <c r="X211" s="2"/>
      <c r="Y211" s="2"/>
      <c r="Z211" s="2"/>
      <c r="AA211" s="2"/>
      <c r="AB211" s="2"/>
      <c r="AC211" s="2"/>
      <c r="AD211" s="2"/>
      <c r="AE211" s="2"/>
      <c r="AF211" s="2"/>
      <c r="AG211" s="2"/>
    </row>
    <row r="212" ht="14.25" customHeight="1">
      <c r="A212" s="2"/>
      <c r="B212" s="2"/>
      <c r="C212" s="2"/>
      <c r="D212" s="2"/>
      <c r="E212" s="2"/>
      <c r="F212" s="2"/>
      <c r="G212" s="2"/>
      <c r="H212" s="146"/>
      <c r="I212" s="146"/>
      <c r="J212" s="146"/>
      <c r="K212" s="146"/>
      <c r="L212" s="2"/>
      <c r="M212" s="2"/>
      <c r="N212" s="2"/>
      <c r="O212" s="2"/>
      <c r="P212" s="2"/>
      <c r="Q212" s="2"/>
      <c r="R212" s="2"/>
      <c r="S212" s="2"/>
      <c r="T212" s="2"/>
      <c r="U212" s="2"/>
      <c r="V212" s="2"/>
      <c r="W212" s="2"/>
      <c r="X212" s="2"/>
      <c r="Y212" s="2"/>
      <c r="Z212" s="2"/>
      <c r="AA212" s="2"/>
      <c r="AB212" s="2"/>
      <c r="AC212" s="2"/>
      <c r="AD212" s="2"/>
      <c r="AE212" s="2"/>
      <c r="AF212" s="2"/>
      <c r="AG212" s="2"/>
    </row>
    <row r="213" ht="14.25" customHeight="1">
      <c r="A213" s="2"/>
      <c r="B213" s="2"/>
      <c r="C213" s="2"/>
      <c r="D213" s="2"/>
      <c r="E213" s="2"/>
      <c r="F213" s="2"/>
      <c r="G213" s="2"/>
      <c r="H213" s="146"/>
      <c r="I213" s="146"/>
      <c r="J213" s="146"/>
      <c r="K213" s="146"/>
      <c r="L213" s="2"/>
      <c r="M213" s="2"/>
      <c r="N213" s="2"/>
      <c r="O213" s="2"/>
      <c r="P213" s="2"/>
      <c r="Q213" s="2"/>
      <c r="R213" s="2"/>
      <c r="S213" s="2"/>
      <c r="T213" s="2"/>
      <c r="U213" s="2"/>
      <c r="V213" s="2"/>
      <c r="W213" s="2"/>
      <c r="X213" s="2"/>
      <c r="Y213" s="2"/>
      <c r="Z213" s="2"/>
      <c r="AA213" s="2"/>
      <c r="AB213" s="2"/>
      <c r="AC213" s="2"/>
      <c r="AD213" s="2"/>
      <c r="AE213" s="2"/>
      <c r="AF213" s="2"/>
      <c r="AG213" s="2"/>
    </row>
    <row r="214" ht="14.25" customHeight="1">
      <c r="A214" s="2"/>
      <c r="B214" s="2"/>
      <c r="C214" s="2"/>
      <c r="D214" s="2"/>
      <c r="E214" s="2"/>
      <c r="F214" s="2"/>
      <c r="G214" s="2"/>
      <c r="H214" s="146"/>
      <c r="I214" s="146"/>
      <c r="J214" s="146"/>
      <c r="K214" s="146"/>
      <c r="L214" s="2"/>
      <c r="M214" s="2"/>
      <c r="N214" s="2"/>
      <c r="O214" s="2"/>
      <c r="P214" s="2"/>
      <c r="Q214" s="2"/>
      <c r="R214" s="2"/>
      <c r="S214" s="2"/>
      <c r="T214" s="2"/>
      <c r="U214" s="2"/>
      <c r="V214" s="2"/>
      <c r="W214" s="2"/>
      <c r="X214" s="2"/>
      <c r="Y214" s="2"/>
      <c r="Z214" s="2"/>
      <c r="AA214" s="2"/>
      <c r="AB214" s="2"/>
      <c r="AC214" s="2"/>
      <c r="AD214" s="2"/>
      <c r="AE214" s="2"/>
      <c r="AF214" s="2"/>
      <c r="AG214" s="2"/>
    </row>
    <row r="215" ht="14.25" customHeight="1">
      <c r="A215" s="2"/>
      <c r="B215" s="2"/>
      <c r="C215" s="2"/>
      <c r="D215" s="2"/>
      <c r="E215" s="2"/>
      <c r="F215" s="2"/>
      <c r="G215" s="2"/>
      <c r="H215" s="146"/>
      <c r="I215" s="146"/>
      <c r="J215" s="146"/>
      <c r="K215" s="146"/>
      <c r="L215" s="2"/>
      <c r="M215" s="2"/>
      <c r="N215" s="2"/>
      <c r="O215" s="2"/>
      <c r="P215" s="2"/>
      <c r="Q215" s="2"/>
      <c r="R215" s="2"/>
      <c r="S215" s="2"/>
      <c r="T215" s="2"/>
      <c r="U215" s="2"/>
      <c r="V215" s="2"/>
      <c r="W215" s="2"/>
      <c r="X215" s="2"/>
      <c r="Y215" s="2"/>
      <c r="Z215" s="2"/>
      <c r="AA215" s="2"/>
      <c r="AB215" s="2"/>
      <c r="AC215" s="2"/>
      <c r="AD215" s="2"/>
      <c r="AE215" s="2"/>
      <c r="AF215" s="2"/>
      <c r="AG215" s="2"/>
    </row>
    <row r="216" ht="14.25" customHeight="1">
      <c r="A216" s="2"/>
      <c r="B216" s="2"/>
      <c r="C216" s="2"/>
      <c r="D216" s="2"/>
      <c r="E216" s="2"/>
      <c r="F216" s="2"/>
      <c r="G216" s="2"/>
      <c r="H216" s="146"/>
      <c r="I216" s="146"/>
      <c r="J216" s="146"/>
      <c r="K216" s="146"/>
      <c r="L216" s="2"/>
      <c r="M216" s="2"/>
      <c r="N216" s="2"/>
      <c r="O216" s="2"/>
      <c r="P216" s="2"/>
      <c r="Q216" s="2"/>
      <c r="R216" s="2"/>
      <c r="S216" s="2"/>
      <c r="T216" s="2"/>
      <c r="U216" s="2"/>
      <c r="V216" s="2"/>
      <c r="W216" s="2"/>
      <c r="X216" s="2"/>
      <c r="Y216" s="2"/>
      <c r="Z216" s="2"/>
      <c r="AA216" s="2"/>
      <c r="AB216" s="2"/>
      <c r="AC216" s="2"/>
      <c r="AD216" s="2"/>
      <c r="AE216" s="2"/>
      <c r="AF216" s="2"/>
      <c r="AG216" s="2"/>
    </row>
    <row r="217" ht="14.25" customHeight="1">
      <c r="A217" s="2"/>
      <c r="B217" s="2"/>
      <c r="C217" s="2"/>
      <c r="D217" s="2"/>
      <c r="E217" s="2"/>
      <c r="F217" s="2"/>
      <c r="G217" s="2"/>
      <c r="H217" s="146"/>
      <c r="I217" s="146"/>
      <c r="J217" s="146"/>
      <c r="K217" s="146"/>
      <c r="L217" s="2"/>
      <c r="M217" s="2"/>
      <c r="N217" s="2"/>
      <c r="O217" s="2"/>
      <c r="P217" s="2"/>
      <c r="Q217" s="2"/>
      <c r="R217" s="2"/>
      <c r="S217" s="2"/>
      <c r="T217" s="2"/>
      <c r="U217" s="2"/>
      <c r="V217" s="2"/>
      <c r="W217" s="2"/>
      <c r="X217" s="2"/>
      <c r="Y217" s="2"/>
      <c r="Z217" s="2"/>
      <c r="AA217" s="2"/>
      <c r="AB217" s="2"/>
      <c r="AC217" s="2"/>
      <c r="AD217" s="2"/>
      <c r="AE217" s="2"/>
      <c r="AF217" s="2"/>
      <c r="AG217" s="2"/>
    </row>
    <row r="218" ht="14.25" customHeight="1">
      <c r="A218" s="2"/>
      <c r="B218" s="2"/>
      <c r="C218" s="2"/>
      <c r="D218" s="2"/>
      <c r="E218" s="2"/>
      <c r="F218" s="2"/>
      <c r="G218" s="2"/>
      <c r="H218" s="146"/>
      <c r="I218" s="146"/>
      <c r="J218" s="146"/>
      <c r="K218" s="146"/>
      <c r="L218" s="2"/>
      <c r="M218" s="2"/>
      <c r="N218" s="2"/>
      <c r="O218" s="2"/>
      <c r="P218" s="2"/>
      <c r="Q218" s="2"/>
      <c r="R218" s="2"/>
      <c r="S218" s="2"/>
      <c r="T218" s="2"/>
      <c r="U218" s="2"/>
      <c r="V218" s="2"/>
      <c r="W218" s="2"/>
      <c r="X218" s="2"/>
      <c r="Y218" s="2"/>
      <c r="Z218" s="2"/>
      <c r="AA218" s="2"/>
      <c r="AB218" s="2"/>
      <c r="AC218" s="2"/>
      <c r="AD218" s="2"/>
      <c r="AE218" s="2"/>
      <c r="AF218" s="2"/>
      <c r="AG218" s="2"/>
    </row>
    <row r="219" ht="14.25" customHeight="1">
      <c r="A219" s="2"/>
      <c r="B219" s="2"/>
      <c r="C219" s="2"/>
      <c r="D219" s="2"/>
      <c r="E219" s="2"/>
      <c r="F219" s="2"/>
      <c r="G219" s="2"/>
      <c r="H219" s="146"/>
      <c r="I219" s="146"/>
      <c r="J219" s="146"/>
      <c r="K219" s="146"/>
      <c r="L219" s="2"/>
      <c r="M219" s="2"/>
      <c r="N219" s="2"/>
      <c r="O219" s="2"/>
      <c r="P219" s="2"/>
      <c r="Q219" s="2"/>
      <c r="R219" s="2"/>
      <c r="S219" s="2"/>
      <c r="T219" s="2"/>
      <c r="U219" s="2"/>
      <c r="V219" s="2"/>
      <c r="W219" s="2"/>
      <c r="X219" s="2"/>
      <c r="Y219" s="2"/>
      <c r="Z219" s="2"/>
      <c r="AA219" s="2"/>
      <c r="AB219" s="2"/>
      <c r="AC219" s="2"/>
      <c r="AD219" s="2"/>
      <c r="AE219" s="2"/>
      <c r="AF219" s="2"/>
      <c r="AG219" s="2"/>
    </row>
    <row r="220" ht="14.25" customHeight="1">
      <c r="A220" s="2"/>
      <c r="B220" s="2"/>
      <c r="C220" s="2"/>
      <c r="D220" s="2"/>
      <c r="E220" s="2"/>
      <c r="F220" s="2"/>
      <c r="G220" s="2"/>
      <c r="H220" s="146"/>
      <c r="I220" s="146"/>
      <c r="J220" s="146"/>
      <c r="K220" s="146"/>
      <c r="L220" s="2"/>
      <c r="M220" s="2"/>
      <c r="N220" s="2"/>
      <c r="O220" s="2"/>
      <c r="P220" s="2"/>
      <c r="Q220" s="2"/>
      <c r="R220" s="2"/>
      <c r="S220" s="2"/>
      <c r="T220" s="2"/>
      <c r="U220" s="2"/>
      <c r="V220" s="2"/>
      <c r="W220" s="2"/>
      <c r="X220" s="2"/>
      <c r="Y220" s="2"/>
      <c r="Z220" s="2"/>
      <c r="AA220" s="2"/>
      <c r="AB220" s="2"/>
      <c r="AC220" s="2"/>
      <c r="AD220" s="2"/>
      <c r="AE220" s="2"/>
      <c r="AF220" s="2"/>
      <c r="AG220" s="2"/>
    </row>
    <row r="221" ht="14.25" customHeight="1">
      <c r="A221" s="2"/>
      <c r="B221" s="2"/>
      <c r="C221" s="2"/>
      <c r="D221" s="2"/>
      <c r="E221" s="2"/>
      <c r="F221" s="2"/>
      <c r="G221" s="2"/>
      <c r="H221" s="146"/>
      <c r="I221" s="146"/>
      <c r="J221" s="146"/>
      <c r="K221" s="146"/>
      <c r="L221" s="2"/>
      <c r="M221" s="2"/>
      <c r="N221" s="2"/>
      <c r="O221" s="2"/>
      <c r="P221" s="2"/>
      <c r="Q221" s="2"/>
      <c r="R221" s="2"/>
      <c r="S221" s="2"/>
      <c r="T221" s="2"/>
      <c r="U221" s="2"/>
      <c r="V221" s="2"/>
      <c r="W221" s="2"/>
      <c r="X221" s="2"/>
      <c r="Y221" s="2"/>
      <c r="Z221" s="2"/>
      <c r="AA221" s="2"/>
      <c r="AB221" s="2"/>
      <c r="AC221" s="2"/>
      <c r="AD221" s="2"/>
      <c r="AE221" s="2"/>
      <c r="AF221" s="2"/>
      <c r="AG221" s="2"/>
    </row>
    <row r="222" ht="14.25" customHeight="1">
      <c r="A222" s="2"/>
      <c r="B222" s="2"/>
      <c r="C222" s="2"/>
      <c r="D222" s="2"/>
      <c r="E222" s="2"/>
      <c r="F222" s="2"/>
      <c r="G222" s="2"/>
      <c r="H222" s="146"/>
      <c r="I222" s="146"/>
      <c r="J222" s="146"/>
      <c r="K222" s="146"/>
      <c r="L222" s="2"/>
      <c r="M222" s="2"/>
      <c r="N222" s="2"/>
      <c r="O222" s="2"/>
      <c r="P222" s="2"/>
      <c r="Q222" s="2"/>
      <c r="R222" s="2"/>
      <c r="S222" s="2"/>
      <c r="T222" s="2"/>
      <c r="U222" s="2"/>
      <c r="V222" s="2"/>
      <c r="W222" s="2"/>
      <c r="X222" s="2"/>
      <c r="Y222" s="2"/>
      <c r="Z222" s="2"/>
      <c r="AA222" s="2"/>
      <c r="AB222" s="2"/>
      <c r="AC222" s="2"/>
      <c r="AD222" s="2"/>
      <c r="AE222" s="2"/>
      <c r="AF222" s="2"/>
      <c r="AG222" s="2"/>
    </row>
    <row r="223" ht="14.25" customHeight="1">
      <c r="A223" s="2"/>
      <c r="B223" s="2"/>
      <c r="C223" s="2"/>
      <c r="D223" s="2"/>
      <c r="E223" s="2"/>
      <c r="F223" s="2"/>
      <c r="G223" s="2"/>
      <c r="H223" s="146"/>
      <c r="I223" s="146"/>
      <c r="J223" s="146"/>
      <c r="K223" s="146"/>
      <c r="L223" s="2"/>
      <c r="M223" s="2"/>
      <c r="N223" s="2"/>
      <c r="O223" s="2"/>
      <c r="P223" s="2"/>
      <c r="Q223" s="2"/>
      <c r="R223" s="2"/>
      <c r="S223" s="2"/>
      <c r="T223" s="2"/>
      <c r="U223" s="2"/>
      <c r="V223" s="2"/>
      <c r="W223" s="2"/>
      <c r="X223" s="2"/>
      <c r="Y223" s="2"/>
      <c r="Z223" s="2"/>
      <c r="AA223" s="2"/>
      <c r="AB223" s="2"/>
      <c r="AC223" s="2"/>
      <c r="AD223" s="2"/>
      <c r="AE223" s="2"/>
      <c r="AF223" s="2"/>
      <c r="AG223" s="2"/>
    </row>
    <row r="224" ht="14.25" customHeight="1">
      <c r="A224" s="2"/>
      <c r="B224" s="2"/>
      <c r="C224" s="2"/>
      <c r="D224" s="2"/>
      <c r="E224" s="2"/>
      <c r="F224" s="2"/>
      <c r="G224" s="2"/>
      <c r="H224" s="146"/>
      <c r="I224" s="146"/>
      <c r="J224" s="146"/>
      <c r="K224" s="146"/>
      <c r="L224" s="2"/>
      <c r="M224" s="2"/>
      <c r="N224" s="2"/>
      <c r="O224" s="2"/>
      <c r="P224" s="2"/>
      <c r="Q224" s="2"/>
      <c r="R224" s="2"/>
      <c r="S224" s="2"/>
      <c r="T224" s="2"/>
      <c r="U224" s="2"/>
      <c r="V224" s="2"/>
      <c r="W224" s="2"/>
      <c r="X224" s="2"/>
      <c r="Y224" s="2"/>
      <c r="Z224" s="2"/>
      <c r="AA224" s="2"/>
      <c r="AB224" s="2"/>
      <c r="AC224" s="2"/>
      <c r="AD224" s="2"/>
      <c r="AE224" s="2"/>
      <c r="AF224" s="2"/>
      <c r="AG224" s="2"/>
    </row>
    <row r="225" ht="14.25" customHeight="1">
      <c r="A225" s="2"/>
      <c r="B225" s="2"/>
      <c r="C225" s="2"/>
      <c r="D225" s="2"/>
      <c r="E225" s="2"/>
      <c r="F225" s="2"/>
      <c r="G225" s="2"/>
      <c r="H225" s="146"/>
      <c r="I225" s="146"/>
      <c r="J225" s="146"/>
      <c r="K225" s="146"/>
      <c r="L225" s="2"/>
      <c r="M225" s="2"/>
      <c r="N225" s="2"/>
      <c r="O225" s="2"/>
      <c r="P225" s="2"/>
      <c r="Q225" s="2"/>
      <c r="R225" s="2"/>
      <c r="S225" s="2"/>
      <c r="T225" s="2"/>
      <c r="U225" s="2"/>
      <c r="V225" s="2"/>
      <c r="W225" s="2"/>
      <c r="X225" s="2"/>
      <c r="Y225" s="2"/>
      <c r="Z225" s="2"/>
      <c r="AA225" s="2"/>
      <c r="AB225" s="2"/>
      <c r="AC225" s="2"/>
      <c r="AD225" s="2"/>
      <c r="AE225" s="2"/>
      <c r="AF225" s="2"/>
      <c r="AG225" s="2"/>
    </row>
    <row r="226" ht="14.25" customHeight="1">
      <c r="A226" s="2"/>
      <c r="B226" s="2"/>
      <c r="C226" s="2"/>
      <c r="D226" s="2"/>
      <c r="E226" s="2"/>
      <c r="F226" s="2"/>
      <c r="G226" s="2"/>
      <c r="H226" s="146"/>
      <c r="I226" s="146"/>
      <c r="J226" s="146"/>
      <c r="K226" s="146"/>
      <c r="L226" s="2"/>
      <c r="M226" s="2"/>
      <c r="N226" s="2"/>
      <c r="O226" s="2"/>
      <c r="P226" s="2"/>
      <c r="Q226" s="2"/>
      <c r="R226" s="2"/>
      <c r="S226" s="2"/>
      <c r="T226" s="2"/>
      <c r="U226" s="2"/>
      <c r="V226" s="2"/>
      <c r="W226" s="2"/>
      <c r="X226" s="2"/>
      <c r="Y226" s="2"/>
      <c r="Z226" s="2"/>
      <c r="AA226" s="2"/>
      <c r="AB226" s="2"/>
      <c r="AC226" s="2"/>
      <c r="AD226" s="2"/>
      <c r="AE226" s="2"/>
      <c r="AF226" s="2"/>
      <c r="AG226" s="2"/>
    </row>
    <row r="227" ht="14.25" customHeight="1">
      <c r="A227" s="2"/>
      <c r="B227" s="2"/>
      <c r="C227" s="2"/>
      <c r="D227" s="2"/>
      <c r="E227" s="2"/>
      <c r="F227" s="2"/>
      <c r="G227" s="2"/>
      <c r="H227" s="146"/>
      <c r="I227" s="146"/>
      <c r="J227" s="146"/>
      <c r="K227" s="146"/>
      <c r="L227" s="2"/>
      <c r="M227" s="2"/>
      <c r="N227" s="2"/>
      <c r="O227" s="2"/>
      <c r="P227" s="2"/>
      <c r="Q227" s="2"/>
      <c r="R227" s="2"/>
      <c r="S227" s="2"/>
      <c r="T227" s="2"/>
      <c r="U227" s="2"/>
      <c r="V227" s="2"/>
      <c r="W227" s="2"/>
      <c r="X227" s="2"/>
      <c r="Y227" s="2"/>
      <c r="Z227" s="2"/>
      <c r="AA227" s="2"/>
      <c r="AB227" s="2"/>
      <c r="AC227" s="2"/>
      <c r="AD227" s="2"/>
      <c r="AE227" s="2"/>
      <c r="AF227" s="2"/>
      <c r="AG227" s="2"/>
    </row>
    <row r="228" ht="14.25" customHeight="1">
      <c r="A228" s="2"/>
      <c r="B228" s="2"/>
      <c r="C228" s="2"/>
      <c r="D228" s="2"/>
      <c r="E228" s="2"/>
      <c r="F228" s="2"/>
      <c r="G228" s="2"/>
      <c r="H228" s="146"/>
      <c r="I228" s="146"/>
      <c r="J228" s="146"/>
      <c r="K228" s="146"/>
      <c r="L228" s="2"/>
      <c r="M228" s="2"/>
      <c r="N228" s="2"/>
      <c r="O228" s="2"/>
      <c r="P228" s="2"/>
      <c r="Q228" s="2"/>
      <c r="R228" s="2"/>
      <c r="S228" s="2"/>
      <c r="T228" s="2"/>
      <c r="U228" s="2"/>
      <c r="V228" s="2"/>
      <c r="W228" s="2"/>
      <c r="X228" s="2"/>
      <c r="Y228" s="2"/>
      <c r="Z228" s="2"/>
      <c r="AA228" s="2"/>
      <c r="AB228" s="2"/>
      <c r="AC228" s="2"/>
      <c r="AD228" s="2"/>
      <c r="AE228" s="2"/>
      <c r="AF228" s="2"/>
      <c r="AG228" s="2"/>
    </row>
    <row r="229" ht="14.25" customHeight="1">
      <c r="A229" s="2"/>
      <c r="B229" s="2"/>
      <c r="C229" s="2"/>
      <c r="D229" s="2"/>
      <c r="E229" s="2"/>
      <c r="F229" s="2"/>
      <c r="G229" s="2"/>
      <c r="H229" s="146"/>
      <c r="I229" s="146"/>
      <c r="J229" s="146"/>
      <c r="K229" s="146"/>
      <c r="L229" s="2"/>
      <c r="M229" s="2"/>
      <c r="N229" s="2"/>
      <c r="O229" s="2"/>
      <c r="P229" s="2"/>
      <c r="Q229" s="2"/>
      <c r="R229" s="2"/>
      <c r="S229" s="2"/>
      <c r="T229" s="2"/>
      <c r="U229" s="2"/>
      <c r="V229" s="2"/>
      <c r="W229" s="2"/>
      <c r="X229" s="2"/>
      <c r="Y229" s="2"/>
      <c r="Z229" s="2"/>
      <c r="AA229" s="2"/>
      <c r="AB229" s="2"/>
      <c r="AC229" s="2"/>
      <c r="AD229" s="2"/>
      <c r="AE229" s="2"/>
      <c r="AF229" s="2"/>
      <c r="AG229" s="2"/>
    </row>
    <row r="230" ht="14.25" customHeight="1">
      <c r="A230" s="2"/>
      <c r="B230" s="2"/>
      <c r="C230" s="2"/>
      <c r="D230" s="2"/>
      <c r="E230" s="2"/>
      <c r="F230" s="2"/>
      <c r="G230" s="2"/>
      <c r="H230" s="146"/>
      <c r="I230" s="146"/>
      <c r="J230" s="146"/>
      <c r="K230" s="146"/>
      <c r="L230" s="2"/>
      <c r="M230" s="2"/>
      <c r="N230" s="2"/>
      <c r="O230" s="2"/>
      <c r="P230" s="2"/>
      <c r="Q230" s="2"/>
      <c r="R230" s="2"/>
      <c r="S230" s="2"/>
      <c r="T230" s="2"/>
      <c r="U230" s="2"/>
      <c r="V230" s="2"/>
      <c r="W230" s="2"/>
      <c r="X230" s="2"/>
      <c r="Y230" s="2"/>
      <c r="Z230" s="2"/>
      <c r="AA230" s="2"/>
      <c r="AB230" s="2"/>
      <c r="AC230" s="2"/>
      <c r="AD230" s="2"/>
      <c r="AE230" s="2"/>
      <c r="AF230" s="2"/>
      <c r="AG230" s="2"/>
    </row>
    <row r="231" ht="14.25" customHeight="1">
      <c r="A231" s="2"/>
      <c r="B231" s="2"/>
      <c r="C231" s="2"/>
      <c r="D231" s="2"/>
      <c r="E231" s="2"/>
      <c r="F231" s="2"/>
      <c r="G231" s="2"/>
      <c r="H231" s="146"/>
      <c r="I231" s="146"/>
      <c r="J231" s="146"/>
      <c r="K231" s="146"/>
      <c r="L231" s="2"/>
      <c r="M231" s="2"/>
      <c r="N231" s="2"/>
      <c r="O231" s="2"/>
      <c r="P231" s="2"/>
      <c r="Q231" s="2"/>
      <c r="R231" s="2"/>
      <c r="S231" s="2"/>
      <c r="T231" s="2"/>
      <c r="U231" s="2"/>
      <c r="V231" s="2"/>
      <c r="W231" s="2"/>
      <c r="X231" s="2"/>
      <c r="Y231" s="2"/>
      <c r="Z231" s="2"/>
      <c r="AA231" s="2"/>
      <c r="AB231" s="2"/>
      <c r="AC231" s="2"/>
      <c r="AD231" s="2"/>
      <c r="AE231" s="2"/>
      <c r="AF231" s="2"/>
      <c r="AG231" s="2"/>
    </row>
    <row r="232" ht="14.25" customHeight="1">
      <c r="A232" s="2"/>
      <c r="B232" s="2"/>
      <c r="C232" s="2"/>
      <c r="D232" s="2"/>
      <c r="E232" s="2"/>
      <c r="F232" s="2"/>
      <c r="G232" s="2"/>
      <c r="H232" s="146"/>
      <c r="I232" s="146"/>
      <c r="J232" s="146"/>
      <c r="K232" s="146"/>
      <c r="L232" s="2"/>
      <c r="M232" s="2"/>
      <c r="N232" s="2"/>
      <c r="O232" s="2"/>
      <c r="P232" s="2"/>
      <c r="Q232" s="2"/>
      <c r="R232" s="2"/>
      <c r="S232" s="2"/>
      <c r="T232" s="2"/>
      <c r="U232" s="2"/>
      <c r="V232" s="2"/>
      <c r="W232" s="2"/>
      <c r="X232" s="2"/>
      <c r="Y232" s="2"/>
      <c r="Z232" s="2"/>
      <c r="AA232" s="2"/>
      <c r="AB232" s="2"/>
      <c r="AC232" s="2"/>
      <c r="AD232" s="2"/>
      <c r="AE232" s="2"/>
      <c r="AF232" s="2"/>
      <c r="AG232" s="2"/>
    </row>
    <row r="233" ht="14.25" customHeight="1">
      <c r="A233" s="2"/>
      <c r="B233" s="2"/>
      <c r="C233" s="2"/>
      <c r="D233" s="2"/>
      <c r="E233" s="2"/>
      <c r="F233" s="2"/>
      <c r="G233" s="2"/>
      <c r="H233" s="146"/>
      <c r="I233" s="146"/>
      <c r="J233" s="146"/>
      <c r="K233" s="146"/>
      <c r="L233" s="2"/>
      <c r="M233" s="2"/>
      <c r="N233" s="2"/>
      <c r="O233" s="2"/>
      <c r="P233" s="2"/>
      <c r="Q233" s="2"/>
      <c r="R233" s="2"/>
      <c r="S233" s="2"/>
      <c r="T233" s="2"/>
      <c r="U233" s="2"/>
      <c r="V233" s="2"/>
      <c r="W233" s="2"/>
      <c r="X233" s="2"/>
      <c r="Y233" s="2"/>
      <c r="Z233" s="2"/>
      <c r="AA233" s="2"/>
      <c r="AB233" s="2"/>
      <c r="AC233" s="2"/>
      <c r="AD233" s="2"/>
      <c r="AE233" s="2"/>
      <c r="AF233" s="2"/>
      <c r="AG233" s="2"/>
    </row>
    <row r="234" ht="14.25" customHeight="1">
      <c r="A234" s="2"/>
      <c r="B234" s="2"/>
      <c r="C234" s="2"/>
      <c r="D234" s="2"/>
      <c r="E234" s="2"/>
      <c r="F234" s="2"/>
      <c r="G234" s="2"/>
      <c r="H234" s="146"/>
      <c r="I234" s="146"/>
      <c r="J234" s="146"/>
      <c r="K234" s="146"/>
      <c r="L234" s="2"/>
      <c r="M234" s="2"/>
      <c r="N234" s="2"/>
      <c r="O234" s="2"/>
      <c r="P234" s="2"/>
      <c r="Q234" s="2"/>
      <c r="R234" s="2"/>
      <c r="S234" s="2"/>
      <c r="T234" s="2"/>
      <c r="U234" s="2"/>
      <c r="V234" s="2"/>
      <c r="W234" s="2"/>
      <c r="X234" s="2"/>
      <c r="Y234" s="2"/>
      <c r="Z234" s="2"/>
      <c r="AA234" s="2"/>
      <c r="AB234" s="2"/>
      <c r="AC234" s="2"/>
      <c r="AD234" s="2"/>
      <c r="AE234" s="2"/>
      <c r="AF234" s="2"/>
      <c r="AG234" s="2"/>
    </row>
    <row r="235" ht="14.25" customHeight="1">
      <c r="A235" s="2"/>
      <c r="B235" s="2"/>
      <c r="C235" s="2"/>
      <c r="D235" s="2"/>
      <c r="E235" s="2"/>
      <c r="F235" s="2"/>
      <c r="G235" s="2"/>
      <c r="H235" s="146"/>
      <c r="I235" s="146"/>
      <c r="J235" s="146"/>
      <c r="K235" s="146"/>
      <c r="L235" s="2"/>
      <c r="M235" s="2"/>
      <c r="N235" s="2"/>
      <c r="O235" s="2"/>
      <c r="P235" s="2"/>
      <c r="Q235" s="2"/>
      <c r="R235" s="2"/>
      <c r="S235" s="2"/>
      <c r="T235" s="2"/>
      <c r="U235" s="2"/>
      <c r="V235" s="2"/>
      <c r="W235" s="2"/>
      <c r="X235" s="2"/>
      <c r="Y235" s="2"/>
      <c r="Z235" s="2"/>
      <c r="AA235" s="2"/>
      <c r="AB235" s="2"/>
      <c r="AC235" s="2"/>
      <c r="AD235" s="2"/>
      <c r="AE235" s="2"/>
      <c r="AF235" s="2"/>
      <c r="AG235" s="2"/>
    </row>
    <row r="236" ht="14.25" customHeight="1">
      <c r="A236" s="2"/>
      <c r="B236" s="2"/>
      <c r="C236" s="2"/>
      <c r="D236" s="2"/>
      <c r="E236" s="2"/>
      <c r="F236" s="2"/>
      <c r="G236" s="2"/>
      <c r="H236" s="146"/>
      <c r="I236" s="146"/>
      <c r="J236" s="146"/>
      <c r="K236" s="146"/>
      <c r="L236" s="2"/>
      <c r="M236" s="2"/>
      <c r="N236" s="2"/>
      <c r="O236" s="2"/>
      <c r="P236" s="2"/>
      <c r="Q236" s="2"/>
      <c r="R236" s="2"/>
      <c r="S236" s="2"/>
      <c r="T236" s="2"/>
      <c r="U236" s="2"/>
      <c r="V236" s="2"/>
      <c r="W236" s="2"/>
      <c r="X236" s="2"/>
      <c r="Y236" s="2"/>
      <c r="Z236" s="2"/>
      <c r="AA236" s="2"/>
      <c r="AB236" s="2"/>
      <c r="AC236" s="2"/>
      <c r="AD236" s="2"/>
      <c r="AE236" s="2"/>
      <c r="AF236" s="2"/>
      <c r="AG236" s="2"/>
    </row>
    <row r="237" ht="14.25" customHeight="1">
      <c r="A237" s="2"/>
      <c r="B237" s="2"/>
      <c r="C237" s="2"/>
      <c r="D237" s="2"/>
      <c r="E237" s="2"/>
      <c r="F237" s="2"/>
      <c r="G237" s="2"/>
      <c r="H237" s="146"/>
      <c r="I237" s="146"/>
      <c r="J237" s="146"/>
      <c r="K237" s="146"/>
      <c r="L237" s="2"/>
      <c r="M237" s="2"/>
      <c r="N237" s="2"/>
      <c r="O237" s="2"/>
      <c r="P237" s="2"/>
      <c r="Q237" s="2"/>
      <c r="R237" s="2"/>
      <c r="S237" s="2"/>
      <c r="T237" s="2"/>
      <c r="U237" s="2"/>
      <c r="V237" s="2"/>
      <c r="W237" s="2"/>
      <c r="X237" s="2"/>
      <c r="Y237" s="2"/>
      <c r="Z237" s="2"/>
      <c r="AA237" s="2"/>
      <c r="AB237" s="2"/>
      <c r="AC237" s="2"/>
      <c r="AD237" s="2"/>
      <c r="AE237" s="2"/>
      <c r="AF237" s="2"/>
      <c r="AG237" s="2"/>
    </row>
    <row r="238" ht="14.25" customHeight="1">
      <c r="A238" s="2"/>
      <c r="B238" s="2"/>
      <c r="C238" s="2"/>
      <c r="D238" s="2"/>
      <c r="E238" s="2"/>
      <c r="F238" s="2"/>
      <c r="G238" s="2"/>
      <c r="H238" s="146"/>
      <c r="I238" s="146"/>
      <c r="J238" s="146"/>
      <c r="K238" s="146"/>
      <c r="L238" s="2"/>
      <c r="M238" s="2"/>
      <c r="N238" s="2"/>
      <c r="O238" s="2"/>
      <c r="P238" s="2"/>
      <c r="Q238" s="2"/>
      <c r="R238" s="2"/>
      <c r="S238" s="2"/>
      <c r="T238" s="2"/>
      <c r="U238" s="2"/>
      <c r="V238" s="2"/>
      <c r="W238" s="2"/>
      <c r="X238" s="2"/>
      <c r="Y238" s="2"/>
      <c r="Z238" s="2"/>
      <c r="AA238" s="2"/>
      <c r="AB238" s="2"/>
      <c r="AC238" s="2"/>
      <c r="AD238" s="2"/>
      <c r="AE238" s="2"/>
      <c r="AF238" s="2"/>
      <c r="AG238" s="2"/>
    </row>
    <row r="239" ht="14.25" customHeight="1">
      <c r="A239" s="2"/>
      <c r="B239" s="2"/>
      <c r="C239" s="2"/>
      <c r="D239" s="2"/>
      <c r="E239" s="2"/>
      <c r="F239" s="2"/>
      <c r="G239" s="2"/>
      <c r="H239" s="146"/>
      <c r="I239" s="146"/>
      <c r="J239" s="146"/>
      <c r="K239" s="146"/>
      <c r="L239" s="2"/>
      <c r="M239" s="2"/>
      <c r="N239" s="2"/>
      <c r="O239" s="2"/>
      <c r="P239" s="2"/>
      <c r="Q239" s="2"/>
      <c r="R239" s="2"/>
      <c r="S239" s="2"/>
      <c r="T239" s="2"/>
      <c r="U239" s="2"/>
      <c r="V239" s="2"/>
      <c r="W239" s="2"/>
      <c r="X239" s="2"/>
      <c r="Y239" s="2"/>
      <c r="Z239" s="2"/>
      <c r="AA239" s="2"/>
      <c r="AB239" s="2"/>
      <c r="AC239" s="2"/>
      <c r="AD239" s="2"/>
      <c r="AE239" s="2"/>
      <c r="AF239" s="2"/>
      <c r="AG239" s="2"/>
    </row>
    <row r="240" ht="14.25" customHeight="1">
      <c r="A240" s="2"/>
      <c r="B240" s="2"/>
      <c r="C240" s="2"/>
      <c r="D240" s="2"/>
      <c r="E240" s="2"/>
      <c r="F240" s="2"/>
      <c r="G240" s="2"/>
      <c r="H240" s="146"/>
      <c r="I240" s="146"/>
      <c r="J240" s="146"/>
      <c r="K240" s="146"/>
      <c r="L240" s="2"/>
      <c r="M240" s="2"/>
      <c r="N240" s="2"/>
      <c r="O240" s="2"/>
      <c r="P240" s="2"/>
      <c r="Q240" s="2"/>
      <c r="R240" s="2"/>
      <c r="S240" s="2"/>
      <c r="T240" s="2"/>
      <c r="U240" s="2"/>
      <c r="V240" s="2"/>
      <c r="W240" s="2"/>
      <c r="X240" s="2"/>
      <c r="Y240" s="2"/>
      <c r="Z240" s="2"/>
      <c r="AA240" s="2"/>
      <c r="AB240" s="2"/>
      <c r="AC240" s="2"/>
      <c r="AD240" s="2"/>
      <c r="AE240" s="2"/>
      <c r="AF240" s="2"/>
      <c r="AG240" s="2"/>
    </row>
    <row r="241" ht="14.25" customHeight="1">
      <c r="A241" s="2"/>
      <c r="B241" s="2"/>
      <c r="C241" s="2"/>
      <c r="D241" s="2"/>
      <c r="E241" s="2"/>
      <c r="F241" s="2"/>
      <c r="G241" s="2"/>
      <c r="H241" s="146"/>
      <c r="I241" s="146"/>
      <c r="J241" s="146"/>
      <c r="K241" s="146"/>
      <c r="L241" s="2"/>
      <c r="M241" s="2"/>
      <c r="N241" s="2"/>
      <c r="O241" s="2"/>
      <c r="P241" s="2"/>
      <c r="Q241" s="2"/>
      <c r="R241" s="2"/>
      <c r="S241" s="2"/>
      <c r="T241" s="2"/>
      <c r="U241" s="2"/>
      <c r="V241" s="2"/>
      <c r="W241" s="2"/>
      <c r="X241" s="2"/>
      <c r="Y241" s="2"/>
      <c r="Z241" s="2"/>
      <c r="AA241" s="2"/>
      <c r="AB241" s="2"/>
      <c r="AC241" s="2"/>
      <c r="AD241" s="2"/>
      <c r="AE241" s="2"/>
      <c r="AF241" s="2"/>
      <c r="AG241" s="2"/>
    </row>
    <row r="242" ht="14.25" customHeight="1">
      <c r="A242" s="2"/>
      <c r="B242" s="2"/>
      <c r="C242" s="2"/>
      <c r="D242" s="2"/>
      <c r="E242" s="2"/>
      <c r="F242" s="2"/>
      <c r="G242" s="2"/>
      <c r="H242" s="146"/>
      <c r="I242" s="146"/>
      <c r="J242" s="146"/>
      <c r="K242" s="146"/>
      <c r="L242" s="2"/>
      <c r="M242" s="2"/>
      <c r="N242" s="2"/>
      <c r="O242" s="2"/>
      <c r="P242" s="2"/>
      <c r="Q242" s="2"/>
      <c r="R242" s="2"/>
      <c r="S242" s="2"/>
      <c r="T242" s="2"/>
      <c r="U242" s="2"/>
      <c r="V242" s="2"/>
      <c r="W242" s="2"/>
      <c r="X242" s="2"/>
      <c r="Y242" s="2"/>
      <c r="Z242" s="2"/>
      <c r="AA242" s="2"/>
      <c r="AB242" s="2"/>
      <c r="AC242" s="2"/>
      <c r="AD242" s="2"/>
      <c r="AE242" s="2"/>
      <c r="AF242" s="2"/>
      <c r="AG242" s="2"/>
    </row>
    <row r="243" ht="14.25" customHeight="1">
      <c r="A243" s="2"/>
      <c r="B243" s="2"/>
      <c r="C243" s="2"/>
      <c r="D243" s="2"/>
      <c r="E243" s="2"/>
      <c r="F243" s="2"/>
      <c r="G243" s="2"/>
      <c r="H243" s="146"/>
      <c r="I243" s="146"/>
      <c r="J243" s="146"/>
      <c r="K243" s="146"/>
      <c r="L243" s="2"/>
      <c r="M243" s="2"/>
      <c r="N243" s="2"/>
      <c r="O243" s="2"/>
      <c r="P243" s="2"/>
      <c r="Q243" s="2"/>
      <c r="R243" s="2"/>
      <c r="S243" s="2"/>
      <c r="T243" s="2"/>
      <c r="U243" s="2"/>
      <c r="V243" s="2"/>
      <c r="W243" s="2"/>
      <c r="X243" s="2"/>
      <c r="Y243" s="2"/>
      <c r="Z243" s="2"/>
      <c r="AA243" s="2"/>
      <c r="AB243" s="2"/>
      <c r="AC243" s="2"/>
      <c r="AD243" s="2"/>
      <c r="AE243" s="2"/>
      <c r="AF243" s="2"/>
      <c r="AG243" s="2"/>
    </row>
    <row r="244" ht="14.25" customHeight="1">
      <c r="A244" s="2"/>
      <c r="B244" s="2"/>
      <c r="C244" s="2"/>
      <c r="D244" s="2"/>
      <c r="E244" s="2"/>
      <c r="F244" s="2"/>
      <c r="G244" s="2"/>
      <c r="H244" s="146"/>
      <c r="I244" s="146"/>
      <c r="J244" s="146"/>
      <c r="K244" s="146"/>
      <c r="L244" s="2"/>
      <c r="M244" s="2"/>
      <c r="N244" s="2"/>
      <c r="O244" s="2"/>
      <c r="P244" s="2"/>
      <c r="Q244" s="2"/>
      <c r="R244" s="2"/>
      <c r="S244" s="2"/>
      <c r="T244" s="2"/>
      <c r="U244" s="2"/>
      <c r="V244" s="2"/>
      <c r="W244" s="2"/>
      <c r="X244" s="2"/>
      <c r="Y244" s="2"/>
      <c r="Z244" s="2"/>
      <c r="AA244" s="2"/>
      <c r="AB244" s="2"/>
      <c r="AC244" s="2"/>
      <c r="AD244" s="2"/>
      <c r="AE244" s="2"/>
      <c r="AF244" s="2"/>
      <c r="AG244" s="2"/>
    </row>
    <row r="245" ht="14.25" customHeight="1">
      <c r="A245" s="2"/>
      <c r="B245" s="2"/>
      <c r="C245" s="2"/>
      <c r="D245" s="2"/>
      <c r="E245" s="2"/>
      <c r="F245" s="2"/>
      <c r="G245" s="2"/>
      <c r="H245" s="146"/>
      <c r="I245" s="146"/>
      <c r="J245" s="146"/>
      <c r="K245" s="146"/>
      <c r="L245" s="2"/>
      <c r="M245" s="2"/>
      <c r="N245" s="2"/>
      <c r="O245" s="2"/>
      <c r="P245" s="2"/>
      <c r="Q245" s="2"/>
      <c r="R245" s="2"/>
      <c r="S245" s="2"/>
      <c r="T245" s="2"/>
      <c r="U245" s="2"/>
      <c r="V245" s="2"/>
      <c r="W245" s="2"/>
      <c r="X245" s="2"/>
      <c r="Y245" s="2"/>
      <c r="Z245" s="2"/>
      <c r="AA245" s="2"/>
      <c r="AB245" s="2"/>
      <c r="AC245" s="2"/>
      <c r="AD245" s="2"/>
      <c r="AE245" s="2"/>
      <c r="AF245" s="2"/>
      <c r="AG245" s="2"/>
    </row>
    <row r="246" ht="14.25" customHeight="1">
      <c r="A246" s="2"/>
      <c r="B246" s="2"/>
      <c r="C246" s="2"/>
      <c r="D246" s="2"/>
      <c r="E246" s="2"/>
      <c r="F246" s="2"/>
      <c r="G246" s="2"/>
      <c r="H246" s="146"/>
      <c r="I246" s="146"/>
      <c r="J246" s="146"/>
      <c r="K246" s="146"/>
      <c r="L246" s="2"/>
      <c r="M246" s="2"/>
      <c r="N246" s="2"/>
      <c r="O246" s="2"/>
      <c r="P246" s="2"/>
      <c r="Q246" s="2"/>
      <c r="R246" s="2"/>
      <c r="S246" s="2"/>
      <c r="T246" s="2"/>
      <c r="U246" s="2"/>
      <c r="V246" s="2"/>
      <c r="W246" s="2"/>
      <c r="X246" s="2"/>
      <c r="Y246" s="2"/>
      <c r="Z246" s="2"/>
      <c r="AA246" s="2"/>
      <c r="AB246" s="2"/>
      <c r="AC246" s="2"/>
      <c r="AD246" s="2"/>
      <c r="AE246" s="2"/>
      <c r="AF246" s="2"/>
      <c r="AG246" s="2"/>
    </row>
    <row r="247" ht="14.25" customHeight="1">
      <c r="A247" s="2"/>
      <c r="B247" s="2"/>
      <c r="C247" s="2"/>
      <c r="D247" s="2"/>
      <c r="E247" s="2"/>
      <c r="F247" s="2"/>
      <c r="G247" s="2"/>
      <c r="H247" s="146"/>
      <c r="I247" s="146"/>
      <c r="J247" s="146"/>
      <c r="K247" s="146"/>
      <c r="L247" s="2"/>
      <c r="M247" s="2"/>
      <c r="N247" s="2"/>
      <c r="O247" s="2"/>
      <c r="P247" s="2"/>
      <c r="Q247" s="2"/>
      <c r="R247" s="2"/>
      <c r="S247" s="2"/>
      <c r="T247" s="2"/>
      <c r="U247" s="2"/>
      <c r="V247" s="2"/>
      <c r="W247" s="2"/>
      <c r="X247" s="2"/>
      <c r="Y247" s="2"/>
      <c r="Z247" s="2"/>
      <c r="AA247" s="2"/>
      <c r="AB247" s="2"/>
      <c r="AC247" s="2"/>
      <c r="AD247" s="2"/>
      <c r="AE247" s="2"/>
      <c r="AF247" s="2"/>
      <c r="AG247" s="2"/>
    </row>
    <row r="248" ht="14.25" customHeight="1">
      <c r="A248" s="2"/>
      <c r="B248" s="2"/>
      <c r="C248" s="2"/>
      <c r="D248" s="2"/>
      <c r="E248" s="2"/>
      <c r="F248" s="2"/>
      <c r="G248" s="2"/>
      <c r="H248" s="146"/>
      <c r="I248" s="146"/>
      <c r="J248" s="146"/>
      <c r="K248" s="146"/>
      <c r="L248" s="2"/>
      <c r="M248" s="2"/>
      <c r="N248" s="2"/>
      <c r="O248" s="2"/>
      <c r="P248" s="2"/>
      <c r="Q248" s="2"/>
      <c r="R248" s="2"/>
      <c r="S248" s="2"/>
      <c r="T248" s="2"/>
      <c r="U248" s="2"/>
      <c r="V248" s="2"/>
      <c r="W248" s="2"/>
      <c r="X248" s="2"/>
      <c r="Y248" s="2"/>
      <c r="Z248" s="2"/>
      <c r="AA248" s="2"/>
      <c r="AB248" s="2"/>
      <c r="AC248" s="2"/>
      <c r="AD248" s="2"/>
      <c r="AE248" s="2"/>
      <c r="AF248" s="2"/>
      <c r="AG248" s="2"/>
    </row>
    <row r="249" ht="14.25" customHeight="1">
      <c r="A249" s="2"/>
      <c r="B249" s="2"/>
      <c r="C249" s="2"/>
      <c r="D249" s="2"/>
      <c r="E249" s="2"/>
      <c r="F249" s="2"/>
      <c r="G249" s="2"/>
      <c r="H249" s="146"/>
      <c r="I249" s="146"/>
      <c r="J249" s="146"/>
      <c r="K249" s="146"/>
      <c r="L249" s="2"/>
      <c r="M249" s="2"/>
      <c r="N249" s="2"/>
      <c r="O249" s="2"/>
      <c r="P249" s="2"/>
      <c r="Q249" s="2"/>
      <c r="R249" s="2"/>
      <c r="S249" s="2"/>
      <c r="T249" s="2"/>
      <c r="U249" s="2"/>
      <c r="V249" s="2"/>
      <c r="W249" s="2"/>
      <c r="X249" s="2"/>
      <c r="Y249" s="2"/>
      <c r="Z249" s="2"/>
      <c r="AA249" s="2"/>
      <c r="AB249" s="2"/>
      <c r="AC249" s="2"/>
      <c r="AD249" s="2"/>
      <c r="AE249" s="2"/>
      <c r="AF249" s="2"/>
      <c r="AG249" s="2"/>
    </row>
    <row r="250" ht="14.25" customHeight="1">
      <c r="A250" s="2"/>
      <c r="B250" s="2"/>
      <c r="C250" s="2"/>
      <c r="D250" s="2"/>
      <c r="E250" s="2"/>
      <c r="F250" s="2"/>
      <c r="G250" s="2"/>
      <c r="H250" s="146"/>
      <c r="I250" s="146"/>
      <c r="J250" s="146"/>
      <c r="K250" s="146"/>
      <c r="L250" s="2"/>
      <c r="M250" s="2"/>
      <c r="N250" s="2"/>
      <c r="O250" s="2"/>
      <c r="P250" s="2"/>
      <c r="Q250" s="2"/>
      <c r="R250" s="2"/>
      <c r="S250" s="2"/>
      <c r="T250" s="2"/>
      <c r="U250" s="2"/>
      <c r="V250" s="2"/>
      <c r="W250" s="2"/>
      <c r="X250" s="2"/>
      <c r="Y250" s="2"/>
      <c r="Z250" s="2"/>
      <c r="AA250" s="2"/>
      <c r="AB250" s="2"/>
      <c r="AC250" s="2"/>
      <c r="AD250" s="2"/>
      <c r="AE250" s="2"/>
      <c r="AF250" s="2"/>
      <c r="AG250" s="2"/>
    </row>
    <row r="251" ht="14.25" customHeight="1">
      <c r="A251" s="2"/>
      <c r="B251" s="2"/>
      <c r="C251" s="2"/>
      <c r="D251" s="2"/>
      <c r="E251" s="2"/>
      <c r="F251" s="2"/>
      <c r="G251" s="2"/>
      <c r="H251" s="146"/>
      <c r="I251" s="146"/>
      <c r="J251" s="146"/>
      <c r="K251" s="146"/>
      <c r="L251" s="2"/>
      <c r="M251" s="2"/>
      <c r="N251" s="2"/>
      <c r="O251" s="2"/>
      <c r="P251" s="2"/>
      <c r="Q251" s="2"/>
      <c r="R251" s="2"/>
      <c r="S251" s="2"/>
      <c r="T251" s="2"/>
      <c r="U251" s="2"/>
      <c r="V251" s="2"/>
      <c r="W251" s="2"/>
      <c r="X251" s="2"/>
      <c r="Y251" s="2"/>
      <c r="Z251" s="2"/>
      <c r="AA251" s="2"/>
      <c r="AB251" s="2"/>
      <c r="AC251" s="2"/>
      <c r="AD251" s="2"/>
      <c r="AE251" s="2"/>
      <c r="AF251" s="2"/>
      <c r="AG251" s="2"/>
    </row>
    <row r="252" ht="14.25" customHeight="1">
      <c r="A252" s="2"/>
      <c r="B252" s="2"/>
      <c r="C252" s="2"/>
      <c r="D252" s="2"/>
      <c r="E252" s="2"/>
      <c r="F252" s="2"/>
      <c r="G252" s="2"/>
      <c r="H252" s="146"/>
      <c r="I252" s="146"/>
      <c r="J252" s="146"/>
      <c r="K252" s="146"/>
      <c r="L252" s="2"/>
      <c r="M252" s="2"/>
      <c r="N252" s="2"/>
      <c r="O252" s="2"/>
      <c r="P252" s="2"/>
      <c r="Q252" s="2"/>
      <c r="R252" s="2"/>
      <c r="S252" s="2"/>
      <c r="T252" s="2"/>
      <c r="U252" s="2"/>
      <c r="V252" s="2"/>
      <c r="W252" s="2"/>
      <c r="X252" s="2"/>
      <c r="Y252" s="2"/>
      <c r="Z252" s="2"/>
      <c r="AA252" s="2"/>
      <c r="AB252" s="2"/>
      <c r="AC252" s="2"/>
      <c r="AD252" s="2"/>
      <c r="AE252" s="2"/>
      <c r="AF252" s="2"/>
      <c r="AG252" s="2"/>
    </row>
    <row r="253" ht="14.25" customHeight="1">
      <c r="A253" s="2"/>
      <c r="B253" s="2"/>
      <c r="C253" s="2"/>
      <c r="D253" s="2"/>
      <c r="E253" s="2"/>
      <c r="F253" s="2"/>
      <c r="G253" s="2"/>
      <c r="H253" s="146"/>
      <c r="I253" s="146"/>
      <c r="J253" s="146"/>
      <c r="K253" s="146"/>
      <c r="L253" s="2"/>
      <c r="M253" s="2"/>
      <c r="N253" s="2"/>
      <c r="O253" s="2"/>
      <c r="P253" s="2"/>
      <c r="Q253" s="2"/>
      <c r="R253" s="2"/>
      <c r="S253" s="2"/>
      <c r="T253" s="2"/>
      <c r="U253" s="2"/>
      <c r="V253" s="2"/>
      <c r="W253" s="2"/>
      <c r="X253" s="2"/>
      <c r="Y253" s="2"/>
      <c r="Z253" s="2"/>
      <c r="AA253" s="2"/>
      <c r="AB253" s="2"/>
      <c r="AC253" s="2"/>
      <c r="AD253" s="2"/>
      <c r="AE253" s="2"/>
      <c r="AF253" s="2"/>
      <c r="AG253" s="2"/>
    </row>
    <row r="254" ht="14.25" customHeight="1">
      <c r="A254" s="2"/>
      <c r="B254" s="2"/>
      <c r="C254" s="2"/>
      <c r="D254" s="2"/>
      <c r="E254" s="2"/>
      <c r="F254" s="2"/>
      <c r="G254" s="2"/>
      <c r="H254" s="146"/>
      <c r="I254" s="146"/>
      <c r="J254" s="146"/>
      <c r="K254" s="146"/>
      <c r="L254" s="2"/>
      <c r="M254" s="2"/>
      <c r="N254" s="2"/>
      <c r="O254" s="2"/>
      <c r="P254" s="2"/>
      <c r="Q254" s="2"/>
      <c r="R254" s="2"/>
      <c r="S254" s="2"/>
      <c r="T254" s="2"/>
      <c r="U254" s="2"/>
      <c r="V254" s="2"/>
      <c r="W254" s="2"/>
      <c r="X254" s="2"/>
      <c r="Y254" s="2"/>
      <c r="Z254" s="2"/>
      <c r="AA254" s="2"/>
      <c r="AB254" s="2"/>
      <c r="AC254" s="2"/>
      <c r="AD254" s="2"/>
      <c r="AE254" s="2"/>
      <c r="AF254" s="2"/>
      <c r="AG254" s="2"/>
    </row>
    <row r="255" ht="14.25" customHeight="1">
      <c r="A255" s="2"/>
      <c r="B255" s="2"/>
      <c r="C255" s="2"/>
      <c r="D255" s="2"/>
      <c r="E255" s="2"/>
      <c r="F255" s="2"/>
      <c r="G255" s="2"/>
      <c r="H255" s="146"/>
      <c r="I255" s="146"/>
      <c r="J255" s="146"/>
      <c r="K255" s="146"/>
      <c r="L255" s="2"/>
      <c r="M255" s="2"/>
      <c r="N255" s="2"/>
      <c r="O255" s="2"/>
      <c r="P255" s="2"/>
      <c r="Q255" s="2"/>
      <c r="R255" s="2"/>
      <c r="S255" s="2"/>
      <c r="T255" s="2"/>
      <c r="U255" s="2"/>
      <c r="V255" s="2"/>
      <c r="W255" s="2"/>
      <c r="X255" s="2"/>
      <c r="Y255" s="2"/>
      <c r="Z255" s="2"/>
      <c r="AA255" s="2"/>
      <c r="AB255" s="2"/>
      <c r="AC255" s="2"/>
      <c r="AD255" s="2"/>
      <c r="AE255" s="2"/>
      <c r="AF255" s="2"/>
      <c r="AG255" s="2"/>
    </row>
    <row r="256" ht="14.25" customHeight="1">
      <c r="A256" s="2"/>
      <c r="B256" s="2"/>
      <c r="C256" s="2"/>
      <c r="D256" s="2"/>
      <c r="E256" s="2"/>
      <c r="F256" s="2"/>
      <c r="G256" s="2"/>
      <c r="H256" s="146"/>
      <c r="I256" s="146"/>
      <c r="J256" s="146"/>
      <c r="K256" s="146"/>
      <c r="L256" s="2"/>
      <c r="M256" s="2"/>
      <c r="N256" s="2"/>
      <c r="O256" s="2"/>
      <c r="P256" s="2"/>
      <c r="Q256" s="2"/>
      <c r="R256" s="2"/>
      <c r="S256" s="2"/>
      <c r="T256" s="2"/>
      <c r="U256" s="2"/>
      <c r="V256" s="2"/>
      <c r="W256" s="2"/>
      <c r="X256" s="2"/>
      <c r="Y256" s="2"/>
      <c r="Z256" s="2"/>
      <c r="AA256" s="2"/>
      <c r="AB256" s="2"/>
      <c r="AC256" s="2"/>
      <c r="AD256" s="2"/>
      <c r="AE256" s="2"/>
      <c r="AF256" s="2"/>
      <c r="AG256" s="2"/>
    </row>
    <row r="257" ht="14.25" customHeight="1">
      <c r="A257" s="2"/>
      <c r="B257" s="2"/>
      <c r="C257" s="2"/>
      <c r="D257" s="2"/>
      <c r="E257" s="2"/>
      <c r="F257" s="2"/>
      <c r="G257" s="2"/>
      <c r="H257" s="146"/>
      <c r="I257" s="146"/>
      <c r="J257" s="146"/>
      <c r="K257" s="146"/>
      <c r="L257" s="2"/>
      <c r="M257" s="2"/>
      <c r="N257" s="2"/>
      <c r="O257" s="2"/>
      <c r="P257" s="2"/>
      <c r="Q257" s="2"/>
      <c r="R257" s="2"/>
      <c r="S257" s="2"/>
      <c r="T257" s="2"/>
      <c r="U257" s="2"/>
      <c r="V257" s="2"/>
      <c r="W257" s="2"/>
      <c r="X257" s="2"/>
      <c r="Y257" s="2"/>
      <c r="Z257" s="2"/>
      <c r="AA257" s="2"/>
      <c r="AB257" s="2"/>
      <c r="AC257" s="2"/>
      <c r="AD257" s="2"/>
      <c r="AE257" s="2"/>
      <c r="AF257" s="2"/>
      <c r="AG257" s="2"/>
    </row>
    <row r="258" ht="14.25" customHeight="1">
      <c r="A258" s="2"/>
      <c r="B258" s="2"/>
      <c r="C258" s="2"/>
      <c r="D258" s="2"/>
      <c r="E258" s="2"/>
      <c r="F258" s="2"/>
      <c r="G258" s="2"/>
      <c r="H258" s="146"/>
      <c r="I258" s="146"/>
      <c r="J258" s="146"/>
      <c r="K258" s="146"/>
      <c r="L258" s="2"/>
      <c r="M258" s="2"/>
      <c r="N258" s="2"/>
      <c r="O258" s="2"/>
      <c r="P258" s="2"/>
      <c r="Q258" s="2"/>
      <c r="R258" s="2"/>
      <c r="S258" s="2"/>
      <c r="T258" s="2"/>
      <c r="U258" s="2"/>
      <c r="V258" s="2"/>
      <c r="W258" s="2"/>
      <c r="X258" s="2"/>
      <c r="Y258" s="2"/>
      <c r="Z258" s="2"/>
      <c r="AA258" s="2"/>
      <c r="AB258" s="2"/>
      <c r="AC258" s="2"/>
      <c r="AD258" s="2"/>
      <c r="AE258" s="2"/>
      <c r="AF258" s="2"/>
      <c r="AG258" s="2"/>
    </row>
    <row r="259" ht="14.25" customHeight="1">
      <c r="A259" s="2"/>
      <c r="B259" s="2"/>
      <c r="C259" s="2"/>
      <c r="D259" s="2"/>
      <c r="E259" s="2"/>
      <c r="F259" s="2"/>
      <c r="G259" s="2"/>
      <c r="H259" s="146"/>
      <c r="I259" s="146"/>
      <c r="J259" s="146"/>
      <c r="K259" s="146"/>
      <c r="L259" s="2"/>
      <c r="M259" s="2"/>
      <c r="N259" s="2"/>
      <c r="O259" s="2"/>
      <c r="P259" s="2"/>
      <c r="Q259" s="2"/>
      <c r="R259" s="2"/>
      <c r="S259" s="2"/>
      <c r="T259" s="2"/>
      <c r="U259" s="2"/>
      <c r="V259" s="2"/>
      <c r="W259" s="2"/>
      <c r="X259" s="2"/>
      <c r="Y259" s="2"/>
      <c r="Z259" s="2"/>
      <c r="AA259" s="2"/>
      <c r="AB259" s="2"/>
      <c r="AC259" s="2"/>
      <c r="AD259" s="2"/>
      <c r="AE259" s="2"/>
      <c r="AF259" s="2"/>
      <c r="AG259" s="2"/>
    </row>
    <row r="260" ht="14.25" customHeight="1">
      <c r="A260" s="2"/>
      <c r="B260" s="2"/>
      <c r="C260" s="2"/>
      <c r="D260" s="2"/>
      <c r="E260" s="2"/>
      <c r="F260" s="2"/>
      <c r="G260" s="2"/>
      <c r="H260" s="146"/>
      <c r="I260" s="146"/>
      <c r="J260" s="146"/>
      <c r="K260" s="146"/>
      <c r="L260" s="2"/>
      <c r="M260" s="2"/>
      <c r="N260" s="2"/>
      <c r="O260" s="2"/>
      <c r="P260" s="2"/>
      <c r="Q260" s="2"/>
      <c r="R260" s="2"/>
      <c r="S260" s="2"/>
      <c r="T260" s="2"/>
      <c r="U260" s="2"/>
      <c r="V260" s="2"/>
      <c r="W260" s="2"/>
      <c r="X260" s="2"/>
      <c r="Y260" s="2"/>
      <c r="Z260" s="2"/>
      <c r="AA260" s="2"/>
      <c r="AB260" s="2"/>
      <c r="AC260" s="2"/>
      <c r="AD260" s="2"/>
      <c r="AE260" s="2"/>
      <c r="AF260" s="2"/>
      <c r="AG260" s="2"/>
    </row>
    <row r="261" ht="14.25" customHeight="1">
      <c r="A261" s="2"/>
      <c r="B261" s="2"/>
      <c r="C261" s="2"/>
      <c r="D261" s="2"/>
      <c r="E261" s="2"/>
      <c r="F261" s="2"/>
      <c r="G261" s="2"/>
      <c r="H261" s="146"/>
      <c r="I261" s="146"/>
      <c r="J261" s="146"/>
      <c r="K261" s="146"/>
      <c r="L261" s="2"/>
      <c r="M261" s="2"/>
      <c r="N261" s="2"/>
      <c r="O261" s="2"/>
      <c r="P261" s="2"/>
      <c r="Q261" s="2"/>
      <c r="R261" s="2"/>
      <c r="S261" s="2"/>
      <c r="T261" s="2"/>
      <c r="U261" s="2"/>
      <c r="V261" s="2"/>
      <c r="W261" s="2"/>
      <c r="X261" s="2"/>
      <c r="Y261" s="2"/>
      <c r="Z261" s="2"/>
      <c r="AA261" s="2"/>
      <c r="AB261" s="2"/>
      <c r="AC261" s="2"/>
      <c r="AD261" s="2"/>
      <c r="AE261" s="2"/>
      <c r="AF261" s="2"/>
      <c r="AG261" s="2"/>
    </row>
    <row r="262" ht="14.25" customHeight="1">
      <c r="A262" s="2"/>
      <c r="B262" s="2"/>
      <c r="C262" s="2"/>
      <c r="D262" s="2"/>
      <c r="E262" s="2"/>
      <c r="F262" s="2"/>
      <c r="G262" s="2"/>
      <c r="H262" s="146"/>
      <c r="I262" s="146"/>
      <c r="J262" s="146"/>
      <c r="K262" s="146"/>
      <c r="L262" s="2"/>
      <c r="M262" s="2"/>
      <c r="N262" s="2"/>
      <c r="O262" s="2"/>
      <c r="P262" s="2"/>
      <c r="Q262" s="2"/>
      <c r="R262" s="2"/>
      <c r="S262" s="2"/>
      <c r="T262" s="2"/>
      <c r="U262" s="2"/>
      <c r="V262" s="2"/>
      <c r="W262" s="2"/>
      <c r="X262" s="2"/>
      <c r="Y262" s="2"/>
      <c r="Z262" s="2"/>
      <c r="AA262" s="2"/>
      <c r="AB262" s="2"/>
      <c r="AC262" s="2"/>
      <c r="AD262" s="2"/>
      <c r="AE262" s="2"/>
      <c r="AF262" s="2"/>
      <c r="AG262" s="2"/>
    </row>
    <row r="263" ht="14.25" customHeight="1">
      <c r="A263" s="2"/>
      <c r="B263" s="2"/>
      <c r="C263" s="2"/>
      <c r="D263" s="2"/>
      <c r="E263" s="2"/>
      <c r="F263" s="2"/>
      <c r="G263" s="2"/>
      <c r="H263" s="146"/>
      <c r="I263" s="146"/>
      <c r="J263" s="146"/>
      <c r="K263" s="146"/>
      <c r="L263" s="2"/>
      <c r="M263" s="2"/>
      <c r="N263" s="2"/>
      <c r="O263" s="2"/>
      <c r="P263" s="2"/>
      <c r="Q263" s="2"/>
      <c r="R263" s="2"/>
      <c r="S263" s="2"/>
      <c r="T263" s="2"/>
      <c r="U263" s="2"/>
      <c r="V263" s="2"/>
      <c r="W263" s="2"/>
      <c r="X263" s="2"/>
      <c r="Y263" s="2"/>
      <c r="Z263" s="2"/>
      <c r="AA263" s="2"/>
      <c r="AB263" s="2"/>
      <c r="AC263" s="2"/>
      <c r="AD263" s="2"/>
      <c r="AE263" s="2"/>
      <c r="AF263" s="2"/>
      <c r="AG263" s="2"/>
    </row>
    <row r="264" ht="14.25" customHeight="1">
      <c r="A264" s="2"/>
      <c r="B264" s="2"/>
      <c r="C264" s="2"/>
      <c r="D264" s="2"/>
      <c r="E264" s="2"/>
      <c r="F264" s="2"/>
      <c r="G264" s="2"/>
      <c r="H264" s="146"/>
      <c r="I264" s="146"/>
      <c r="J264" s="146"/>
      <c r="K264" s="146"/>
      <c r="L264" s="2"/>
      <c r="M264" s="2"/>
      <c r="N264" s="2"/>
      <c r="O264" s="2"/>
      <c r="P264" s="2"/>
      <c r="Q264" s="2"/>
      <c r="R264" s="2"/>
      <c r="S264" s="2"/>
      <c r="T264" s="2"/>
      <c r="U264" s="2"/>
      <c r="V264" s="2"/>
      <c r="W264" s="2"/>
      <c r="X264" s="2"/>
      <c r="Y264" s="2"/>
      <c r="Z264" s="2"/>
      <c r="AA264" s="2"/>
      <c r="AB264" s="2"/>
      <c r="AC264" s="2"/>
      <c r="AD264" s="2"/>
      <c r="AE264" s="2"/>
      <c r="AF264" s="2"/>
      <c r="AG264" s="2"/>
    </row>
    <row r="265" ht="14.25" customHeight="1">
      <c r="A265" s="2"/>
      <c r="B265" s="2"/>
      <c r="C265" s="2"/>
      <c r="D265" s="2"/>
      <c r="E265" s="2"/>
      <c r="F265" s="2"/>
      <c r="G265" s="2"/>
      <c r="H265" s="146"/>
      <c r="I265" s="146"/>
      <c r="J265" s="146"/>
      <c r="K265" s="146"/>
      <c r="L265" s="2"/>
      <c r="M265" s="2"/>
      <c r="N265" s="2"/>
      <c r="O265" s="2"/>
      <c r="P265" s="2"/>
      <c r="Q265" s="2"/>
      <c r="R265" s="2"/>
      <c r="S265" s="2"/>
      <c r="T265" s="2"/>
      <c r="U265" s="2"/>
      <c r="V265" s="2"/>
      <c r="W265" s="2"/>
      <c r="X265" s="2"/>
      <c r="Y265" s="2"/>
      <c r="Z265" s="2"/>
      <c r="AA265" s="2"/>
      <c r="AB265" s="2"/>
      <c r="AC265" s="2"/>
      <c r="AD265" s="2"/>
      <c r="AE265" s="2"/>
      <c r="AF265" s="2"/>
      <c r="AG265" s="2"/>
    </row>
    <row r="266" ht="14.25" customHeight="1">
      <c r="A266" s="2"/>
      <c r="B266" s="2"/>
      <c r="C266" s="2"/>
      <c r="D266" s="2"/>
      <c r="E266" s="2"/>
      <c r="F266" s="2"/>
      <c r="G266" s="2"/>
      <c r="H266" s="146"/>
      <c r="I266" s="146"/>
      <c r="J266" s="146"/>
      <c r="K266" s="146"/>
      <c r="L266" s="2"/>
      <c r="M266" s="2"/>
      <c r="N266" s="2"/>
      <c r="O266" s="2"/>
      <c r="P266" s="2"/>
      <c r="Q266" s="2"/>
      <c r="R266" s="2"/>
      <c r="S266" s="2"/>
      <c r="T266" s="2"/>
      <c r="U266" s="2"/>
      <c r="V266" s="2"/>
      <c r="W266" s="2"/>
      <c r="X266" s="2"/>
      <c r="Y266" s="2"/>
      <c r="Z266" s="2"/>
      <c r="AA266" s="2"/>
      <c r="AB266" s="2"/>
      <c r="AC266" s="2"/>
      <c r="AD266" s="2"/>
      <c r="AE266" s="2"/>
      <c r="AF266" s="2"/>
      <c r="AG266" s="2"/>
    </row>
    <row r="267" ht="14.25" customHeight="1">
      <c r="A267" s="2"/>
      <c r="B267" s="2"/>
      <c r="C267" s="2"/>
      <c r="D267" s="2"/>
      <c r="E267" s="2"/>
      <c r="F267" s="2"/>
      <c r="G267" s="2"/>
      <c r="H267" s="146"/>
      <c r="I267" s="146"/>
      <c r="J267" s="146"/>
      <c r="K267" s="146"/>
      <c r="L267" s="2"/>
      <c r="M267" s="2"/>
      <c r="N267" s="2"/>
      <c r="O267" s="2"/>
      <c r="P267" s="2"/>
      <c r="Q267" s="2"/>
      <c r="R267" s="2"/>
      <c r="S267" s="2"/>
      <c r="T267" s="2"/>
      <c r="U267" s="2"/>
      <c r="V267" s="2"/>
      <c r="W267" s="2"/>
      <c r="X267" s="2"/>
      <c r="Y267" s="2"/>
      <c r="Z267" s="2"/>
      <c r="AA267" s="2"/>
      <c r="AB267" s="2"/>
      <c r="AC267" s="2"/>
      <c r="AD267" s="2"/>
      <c r="AE267" s="2"/>
      <c r="AF267" s="2"/>
      <c r="AG267" s="2"/>
    </row>
    <row r="268" ht="14.25" customHeight="1">
      <c r="A268" s="2"/>
      <c r="B268" s="2"/>
      <c r="C268" s="2"/>
      <c r="D268" s="2"/>
      <c r="E268" s="2"/>
      <c r="F268" s="2"/>
      <c r="G268" s="2"/>
      <c r="H268" s="146"/>
      <c r="I268" s="146"/>
      <c r="J268" s="146"/>
      <c r="K268" s="146"/>
      <c r="L268" s="2"/>
      <c r="M268" s="2"/>
      <c r="N268" s="2"/>
      <c r="O268" s="2"/>
      <c r="P268" s="2"/>
      <c r="Q268" s="2"/>
      <c r="R268" s="2"/>
      <c r="S268" s="2"/>
      <c r="T268" s="2"/>
      <c r="U268" s="2"/>
      <c r="V268" s="2"/>
      <c r="W268" s="2"/>
      <c r="X268" s="2"/>
      <c r="Y268" s="2"/>
      <c r="Z268" s="2"/>
      <c r="AA268" s="2"/>
      <c r="AB268" s="2"/>
      <c r="AC268" s="2"/>
      <c r="AD268" s="2"/>
      <c r="AE268" s="2"/>
      <c r="AF268" s="2"/>
      <c r="AG268" s="2"/>
    </row>
    <row r="269" ht="14.25" customHeight="1">
      <c r="A269" s="2"/>
      <c r="B269" s="2"/>
      <c r="C269" s="2"/>
      <c r="D269" s="2"/>
      <c r="E269" s="2"/>
      <c r="F269" s="2"/>
      <c r="G269" s="2"/>
      <c r="H269" s="146"/>
      <c r="I269" s="146"/>
      <c r="J269" s="146"/>
      <c r="K269" s="146"/>
      <c r="L269" s="2"/>
      <c r="M269" s="2"/>
      <c r="N269" s="2"/>
      <c r="O269" s="2"/>
      <c r="P269" s="2"/>
      <c r="Q269" s="2"/>
      <c r="R269" s="2"/>
      <c r="S269" s="2"/>
      <c r="T269" s="2"/>
      <c r="U269" s="2"/>
      <c r="V269" s="2"/>
      <c r="W269" s="2"/>
      <c r="X269" s="2"/>
      <c r="Y269" s="2"/>
      <c r="Z269" s="2"/>
      <c r="AA269" s="2"/>
      <c r="AB269" s="2"/>
      <c r="AC269" s="2"/>
      <c r="AD269" s="2"/>
      <c r="AE269" s="2"/>
      <c r="AF269" s="2"/>
      <c r="AG269" s="2"/>
    </row>
    <row r="270" ht="14.25" customHeight="1">
      <c r="A270" s="2"/>
      <c r="B270" s="2"/>
      <c r="C270" s="2"/>
      <c r="D270" s="2"/>
      <c r="E270" s="2"/>
      <c r="F270" s="2"/>
      <c r="G270" s="2"/>
      <c r="H270" s="146"/>
      <c r="I270" s="146"/>
      <c r="J270" s="146"/>
      <c r="K270" s="146"/>
      <c r="L270" s="2"/>
      <c r="M270" s="2"/>
      <c r="N270" s="2"/>
      <c r="O270" s="2"/>
      <c r="P270" s="2"/>
      <c r="Q270" s="2"/>
      <c r="R270" s="2"/>
      <c r="S270" s="2"/>
      <c r="T270" s="2"/>
      <c r="U270" s="2"/>
      <c r="V270" s="2"/>
      <c r="W270" s="2"/>
      <c r="X270" s="2"/>
      <c r="Y270" s="2"/>
      <c r="Z270" s="2"/>
      <c r="AA270" s="2"/>
      <c r="AB270" s="2"/>
      <c r="AC270" s="2"/>
      <c r="AD270" s="2"/>
      <c r="AE270" s="2"/>
      <c r="AF270" s="2"/>
      <c r="AG270" s="2"/>
    </row>
    <row r="271" ht="14.25" customHeight="1">
      <c r="A271" s="2"/>
      <c r="B271" s="2"/>
      <c r="C271" s="2"/>
      <c r="D271" s="2"/>
      <c r="E271" s="2"/>
      <c r="F271" s="2"/>
      <c r="G271" s="2"/>
      <c r="H271" s="146"/>
      <c r="I271" s="146"/>
      <c r="J271" s="146"/>
      <c r="K271" s="146"/>
      <c r="L271" s="2"/>
      <c r="M271" s="2"/>
      <c r="N271" s="2"/>
      <c r="O271" s="2"/>
      <c r="P271" s="2"/>
      <c r="Q271" s="2"/>
      <c r="R271" s="2"/>
      <c r="S271" s="2"/>
      <c r="T271" s="2"/>
      <c r="U271" s="2"/>
      <c r="V271" s="2"/>
      <c r="W271" s="2"/>
      <c r="X271" s="2"/>
      <c r="Y271" s="2"/>
      <c r="Z271" s="2"/>
      <c r="AA271" s="2"/>
      <c r="AB271" s="2"/>
      <c r="AC271" s="2"/>
      <c r="AD271" s="2"/>
      <c r="AE271" s="2"/>
      <c r="AF271" s="2"/>
      <c r="AG271" s="2"/>
    </row>
    <row r="272" ht="14.25" customHeight="1">
      <c r="A272" s="2"/>
      <c r="B272" s="2"/>
      <c r="C272" s="2"/>
      <c r="D272" s="2"/>
      <c r="E272" s="2"/>
      <c r="F272" s="2"/>
      <c r="G272" s="2"/>
      <c r="H272" s="146"/>
      <c r="I272" s="146"/>
      <c r="J272" s="146"/>
      <c r="K272" s="146"/>
      <c r="L272" s="2"/>
      <c r="M272" s="2"/>
      <c r="N272" s="2"/>
      <c r="O272" s="2"/>
      <c r="P272" s="2"/>
      <c r="Q272" s="2"/>
      <c r="R272" s="2"/>
      <c r="S272" s="2"/>
      <c r="T272" s="2"/>
      <c r="U272" s="2"/>
      <c r="V272" s="2"/>
      <c r="W272" s="2"/>
      <c r="X272" s="2"/>
      <c r="Y272" s="2"/>
      <c r="Z272" s="2"/>
      <c r="AA272" s="2"/>
      <c r="AB272" s="2"/>
      <c r="AC272" s="2"/>
      <c r="AD272" s="2"/>
      <c r="AE272" s="2"/>
      <c r="AF272" s="2"/>
      <c r="AG272" s="2"/>
    </row>
    <row r="273" ht="14.25" customHeight="1">
      <c r="A273" s="2"/>
      <c r="B273" s="2"/>
      <c r="C273" s="2"/>
      <c r="D273" s="2"/>
      <c r="E273" s="2"/>
      <c r="F273" s="2"/>
      <c r="G273" s="2"/>
      <c r="H273" s="146"/>
      <c r="I273" s="146"/>
      <c r="J273" s="146"/>
      <c r="K273" s="146"/>
      <c r="L273" s="2"/>
      <c r="M273" s="2"/>
      <c r="N273" s="2"/>
      <c r="O273" s="2"/>
      <c r="P273" s="2"/>
      <c r="Q273" s="2"/>
      <c r="R273" s="2"/>
      <c r="S273" s="2"/>
      <c r="T273" s="2"/>
      <c r="U273" s="2"/>
      <c r="V273" s="2"/>
      <c r="W273" s="2"/>
      <c r="X273" s="2"/>
      <c r="Y273" s="2"/>
      <c r="Z273" s="2"/>
      <c r="AA273" s="2"/>
      <c r="AB273" s="2"/>
      <c r="AC273" s="2"/>
      <c r="AD273" s="2"/>
      <c r="AE273" s="2"/>
      <c r="AF273" s="2"/>
      <c r="AG273" s="2"/>
    </row>
    <row r="274" ht="14.25" customHeight="1">
      <c r="A274" s="2"/>
      <c r="B274" s="2"/>
      <c r="C274" s="2"/>
      <c r="D274" s="2"/>
      <c r="E274" s="2"/>
      <c r="F274" s="2"/>
      <c r="G274" s="2"/>
      <c r="H274" s="146"/>
      <c r="I274" s="146"/>
      <c r="J274" s="146"/>
      <c r="K274" s="146"/>
      <c r="L274" s="2"/>
      <c r="M274" s="2"/>
      <c r="N274" s="2"/>
      <c r="O274" s="2"/>
      <c r="P274" s="2"/>
      <c r="Q274" s="2"/>
      <c r="R274" s="2"/>
      <c r="S274" s="2"/>
      <c r="T274" s="2"/>
      <c r="U274" s="2"/>
      <c r="V274" s="2"/>
      <c r="W274" s="2"/>
      <c r="X274" s="2"/>
      <c r="Y274" s="2"/>
      <c r="Z274" s="2"/>
      <c r="AA274" s="2"/>
      <c r="AB274" s="2"/>
      <c r="AC274" s="2"/>
      <c r="AD274" s="2"/>
      <c r="AE274" s="2"/>
      <c r="AF274" s="2"/>
      <c r="AG274" s="2"/>
    </row>
    <row r="275" ht="14.25" customHeight="1">
      <c r="A275" s="2"/>
      <c r="B275" s="2"/>
      <c r="C275" s="2"/>
      <c r="D275" s="2"/>
      <c r="E275" s="2"/>
      <c r="F275" s="2"/>
      <c r="G275" s="2"/>
      <c r="H275" s="146"/>
      <c r="I275" s="146"/>
      <c r="J275" s="146"/>
      <c r="K275" s="146"/>
      <c r="L275" s="2"/>
      <c r="M275" s="2"/>
      <c r="N275" s="2"/>
      <c r="O275" s="2"/>
      <c r="P275" s="2"/>
      <c r="Q275" s="2"/>
      <c r="R275" s="2"/>
      <c r="S275" s="2"/>
      <c r="T275" s="2"/>
      <c r="U275" s="2"/>
      <c r="V275" s="2"/>
      <c r="W275" s="2"/>
      <c r="X275" s="2"/>
      <c r="Y275" s="2"/>
      <c r="Z275" s="2"/>
      <c r="AA275" s="2"/>
      <c r="AB275" s="2"/>
      <c r="AC275" s="2"/>
      <c r="AD275" s="2"/>
      <c r="AE275" s="2"/>
      <c r="AF275" s="2"/>
      <c r="AG275" s="2"/>
    </row>
    <row r="276" ht="14.25" customHeight="1">
      <c r="A276" s="2"/>
      <c r="B276" s="2"/>
      <c r="C276" s="2"/>
      <c r="D276" s="2"/>
      <c r="E276" s="2"/>
      <c r="F276" s="2"/>
      <c r="G276" s="2"/>
      <c r="H276" s="146"/>
      <c r="I276" s="146"/>
      <c r="J276" s="146"/>
      <c r="K276" s="146"/>
      <c r="L276" s="2"/>
      <c r="M276" s="2"/>
      <c r="N276" s="2"/>
      <c r="O276" s="2"/>
      <c r="P276" s="2"/>
      <c r="Q276" s="2"/>
      <c r="R276" s="2"/>
      <c r="S276" s="2"/>
      <c r="T276" s="2"/>
      <c r="U276" s="2"/>
      <c r="V276" s="2"/>
      <c r="W276" s="2"/>
      <c r="X276" s="2"/>
      <c r="Y276" s="2"/>
      <c r="Z276" s="2"/>
      <c r="AA276" s="2"/>
      <c r="AB276" s="2"/>
      <c r="AC276" s="2"/>
      <c r="AD276" s="2"/>
      <c r="AE276" s="2"/>
      <c r="AF276" s="2"/>
      <c r="AG276" s="2"/>
    </row>
    <row r="277" ht="14.25" customHeight="1">
      <c r="A277" s="2"/>
      <c r="B277" s="2"/>
      <c r="C277" s="2"/>
      <c r="D277" s="2"/>
      <c r="E277" s="2"/>
      <c r="F277" s="2"/>
      <c r="G277" s="2"/>
      <c r="H277" s="146"/>
      <c r="I277" s="146"/>
      <c r="J277" s="146"/>
      <c r="K277" s="146"/>
      <c r="L277" s="2"/>
      <c r="M277" s="2"/>
      <c r="N277" s="2"/>
      <c r="O277" s="2"/>
      <c r="P277" s="2"/>
      <c r="Q277" s="2"/>
      <c r="R277" s="2"/>
      <c r="S277" s="2"/>
      <c r="T277" s="2"/>
      <c r="U277" s="2"/>
      <c r="V277" s="2"/>
      <c r="W277" s="2"/>
      <c r="X277" s="2"/>
      <c r="Y277" s="2"/>
      <c r="Z277" s="2"/>
      <c r="AA277" s="2"/>
      <c r="AB277" s="2"/>
      <c r="AC277" s="2"/>
      <c r="AD277" s="2"/>
      <c r="AE277" s="2"/>
      <c r="AF277" s="2"/>
      <c r="AG277" s="2"/>
    </row>
    <row r="278" ht="14.25" customHeight="1">
      <c r="A278" s="2"/>
      <c r="B278" s="2"/>
      <c r="C278" s="2"/>
      <c r="D278" s="2"/>
      <c r="E278" s="2"/>
      <c r="F278" s="2"/>
      <c r="G278" s="2"/>
      <c r="H278" s="146"/>
      <c r="I278" s="146"/>
      <c r="J278" s="146"/>
      <c r="K278" s="146"/>
      <c r="L278" s="2"/>
      <c r="M278" s="2"/>
      <c r="N278" s="2"/>
      <c r="O278" s="2"/>
      <c r="P278" s="2"/>
      <c r="Q278" s="2"/>
      <c r="R278" s="2"/>
      <c r="S278" s="2"/>
      <c r="T278" s="2"/>
      <c r="U278" s="2"/>
      <c r="V278" s="2"/>
      <c r="W278" s="2"/>
      <c r="X278" s="2"/>
      <c r="Y278" s="2"/>
      <c r="Z278" s="2"/>
      <c r="AA278" s="2"/>
      <c r="AB278" s="2"/>
      <c r="AC278" s="2"/>
      <c r="AD278" s="2"/>
      <c r="AE278" s="2"/>
      <c r="AF278" s="2"/>
      <c r="AG278" s="2"/>
    </row>
    <row r="279" ht="14.25" customHeight="1">
      <c r="A279" s="2"/>
      <c r="B279" s="2"/>
      <c r="C279" s="2"/>
      <c r="D279" s="2"/>
      <c r="E279" s="2"/>
      <c r="F279" s="2"/>
      <c r="G279" s="2"/>
      <c r="H279" s="146"/>
      <c r="I279" s="146"/>
      <c r="J279" s="146"/>
      <c r="K279" s="146"/>
      <c r="L279" s="2"/>
      <c r="M279" s="2"/>
      <c r="N279" s="2"/>
      <c r="O279" s="2"/>
      <c r="P279" s="2"/>
      <c r="Q279" s="2"/>
      <c r="R279" s="2"/>
      <c r="S279" s="2"/>
      <c r="T279" s="2"/>
      <c r="U279" s="2"/>
      <c r="V279" s="2"/>
      <c r="W279" s="2"/>
      <c r="X279" s="2"/>
      <c r="Y279" s="2"/>
      <c r="Z279" s="2"/>
      <c r="AA279" s="2"/>
      <c r="AB279" s="2"/>
      <c r="AC279" s="2"/>
      <c r="AD279" s="2"/>
      <c r="AE279" s="2"/>
      <c r="AF279" s="2"/>
      <c r="AG279" s="2"/>
    </row>
    <row r="280" ht="14.25" customHeight="1">
      <c r="A280" s="2"/>
      <c r="B280" s="2"/>
      <c r="C280" s="2"/>
      <c r="D280" s="2"/>
      <c r="E280" s="2"/>
      <c r="F280" s="2"/>
      <c r="G280" s="2"/>
      <c r="H280" s="146"/>
      <c r="I280" s="146"/>
      <c r="J280" s="146"/>
      <c r="K280" s="146"/>
      <c r="L280" s="2"/>
      <c r="M280" s="2"/>
      <c r="N280" s="2"/>
      <c r="O280" s="2"/>
      <c r="P280" s="2"/>
      <c r="Q280" s="2"/>
      <c r="R280" s="2"/>
      <c r="S280" s="2"/>
      <c r="T280" s="2"/>
      <c r="U280" s="2"/>
      <c r="V280" s="2"/>
      <c r="W280" s="2"/>
      <c r="X280" s="2"/>
      <c r="Y280" s="2"/>
      <c r="Z280" s="2"/>
      <c r="AA280" s="2"/>
      <c r="AB280" s="2"/>
      <c r="AC280" s="2"/>
      <c r="AD280" s="2"/>
      <c r="AE280" s="2"/>
      <c r="AF280" s="2"/>
      <c r="AG280" s="2"/>
    </row>
    <row r="281" ht="14.25" customHeight="1">
      <c r="A281" s="2"/>
      <c r="B281" s="2"/>
      <c r="C281" s="2"/>
      <c r="D281" s="2"/>
      <c r="E281" s="2"/>
      <c r="F281" s="2"/>
      <c r="G281" s="2"/>
      <c r="H281" s="146"/>
      <c r="I281" s="146"/>
      <c r="J281" s="146"/>
      <c r="K281" s="146"/>
      <c r="L281" s="2"/>
      <c r="M281" s="2"/>
      <c r="N281" s="2"/>
      <c r="O281" s="2"/>
      <c r="P281" s="2"/>
      <c r="Q281" s="2"/>
      <c r="R281" s="2"/>
      <c r="S281" s="2"/>
      <c r="T281" s="2"/>
      <c r="U281" s="2"/>
      <c r="V281" s="2"/>
      <c r="W281" s="2"/>
      <c r="X281" s="2"/>
      <c r="Y281" s="2"/>
      <c r="Z281" s="2"/>
      <c r="AA281" s="2"/>
      <c r="AB281" s="2"/>
      <c r="AC281" s="2"/>
      <c r="AD281" s="2"/>
      <c r="AE281" s="2"/>
      <c r="AF281" s="2"/>
      <c r="AG281" s="2"/>
    </row>
    <row r="282" ht="14.25" customHeight="1">
      <c r="A282" s="2"/>
      <c r="B282" s="2"/>
      <c r="C282" s="2"/>
      <c r="D282" s="2"/>
      <c r="E282" s="2"/>
      <c r="F282" s="2"/>
      <c r="G282" s="2"/>
      <c r="H282" s="146"/>
      <c r="I282" s="146"/>
      <c r="J282" s="146"/>
      <c r="K282" s="146"/>
      <c r="L282" s="2"/>
      <c r="M282" s="2"/>
      <c r="N282" s="2"/>
      <c r="O282" s="2"/>
      <c r="P282" s="2"/>
      <c r="Q282" s="2"/>
      <c r="R282" s="2"/>
      <c r="S282" s="2"/>
      <c r="T282" s="2"/>
      <c r="U282" s="2"/>
      <c r="V282" s="2"/>
      <c r="W282" s="2"/>
      <c r="X282" s="2"/>
      <c r="Y282" s="2"/>
      <c r="Z282" s="2"/>
      <c r="AA282" s="2"/>
      <c r="AB282" s="2"/>
      <c r="AC282" s="2"/>
      <c r="AD282" s="2"/>
      <c r="AE282" s="2"/>
      <c r="AF282" s="2"/>
      <c r="AG282" s="2"/>
    </row>
    <row r="283" ht="14.25" customHeight="1">
      <c r="A283" s="2"/>
      <c r="B283" s="2"/>
      <c r="C283" s="2"/>
      <c r="D283" s="2"/>
      <c r="E283" s="2"/>
      <c r="F283" s="2"/>
      <c r="G283" s="2"/>
      <c r="H283" s="146"/>
      <c r="I283" s="146"/>
      <c r="J283" s="146"/>
      <c r="K283" s="146"/>
      <c r="L283" s="2"/>
      <c r="M283" s="2"/>
      <c r="N283" s="2"/>
      <c r="O283" s="2"/>
      <c r="P283" s="2"/>
      <c r="Q283" s="2"/>
      <c r="R283" s="2"/>
      <c r="S283" s="2"/>
      <c r="T283" s="2"/>
      <c r="U283" s="2"/>
      <c r="V283" s="2"/>
      <c r="W283" s="2"/>
      <c r="X283" s="2"/>
      <c r="Y283" s="2"/>
      <c r="Z283" s="2"/>
      <c r="AA283" s="2"/>
      <c r="AB283" s="2"/>
      <c r="AC283" s="2"/>
      <c r="AD283" s="2"/>
      <c r="AE283" s="2"/>
      <c r="AF283" s="2"/>
      <c r="AG283" s="2"/>
    </row>
    <row r="284" ht="14.25" customHeight="1">
      <c r="A284" s="2"/>
      <c r="B284" s="2"/>
      <c r="C284" s="2"/>
      <c r="D284" s="2"/>
      <c r="E284" s="2"/>
      <c r="F284" s="2"/>
      <c r="G284" s="2"/>
      <c r="H284" s="146"/>
      <c r="I284" s="146"/>
      <c r="J284" s="146"/>
      <c r="K284" s="146"/>
      <c r="L284" s="2"/>
      <c r="M284" s="2"/>
      <c r="N284" s="2"/>
      <c r="O284" s="2"/>
      <c r="P284" s="2"/>
      <c r="Q284" s="2"/>
      <c r="R284" s="2"/>
      <c r="S284" s="2"/>
      <c r="T284" s="2"/>
      <c r="U284" s="2"/>
      <c r="V284" s="2"/>
      <c r="W284" s="2"/>
      <c r="X284" s="2"/>
      <c r="Y284" s="2"/>
      <c r="Z284" s="2"/>
      <c r="AA284" s="2"/>
      <c r="AB284" s="2"/>
      <c r="AC284" s="2"/>
      <c r="AD284" s="2"/>
      <c r="AE284" s="2"/>
      <c r="AF284" s="2"/>
      <c r="AG284" s="2"/>
    </row>
    <row r="285" ht="14.25" customHeight="1">
      <c r="A285" s="2"/>
      <c r="B285" s="2"/>
      <c r="C285" s="2"/>
      <c r="D285" s="2"/>
      <c r="E285" s="2"/>
      <c r="F285" s="2"/>
      <c r="G285" s="2"/>
      <c r="H285" s="146"/>
      <c r="I285" s="146"/>
      <c r="J285" s="146"/>
      <c r="K285" s="146"/>
      <c r="L285" s="2"/>
      <c r="M285" s="2"/>
      <c r="N285" s="2"/>
      <c r="O285" s="2"/>
      <c r="P285" s="2"/>
      <c r="Q285" s="2"/>
      <c r="R285" s="2"/>
      <c r="S285" s="2"/>
      <c r="T285" s="2"/>
      <c r="U285" s="2"/>
      <c r="V285" s="2"/>
      <c r="W285" s="2"/>
      <c r="X285" s="2"/>
      <c r="Y285" s="2"/>
      <c r="Z285" s="2"/>
      <c r="AA285" s="2"/>
      <c r="AB285" s="2"/>
      <c r="AC285" s="2"/>
      <c r="AD285" s="2"/>
      <c r="AE285" s="2"/>
      <c r="AF285" s="2"/>
      <c r="AG285" s="2"/>
    </row>
    <row r="286" ht="14.25" customHeight="1">
      <c r="A286" s="2"/>
      <c r="B286" s="2"/>
      <c r="C286" s="2"/>
      <c r="D286" s="2"/>
      <c r="E286" s="2"/>
      <c r="F286" s="2"/>
      <c r="G286" s="2"/>
      <c r="H286" s="146"/>
      <c r="I286" s="146"/>
      <c r="J286" s="146"/>
      <c r="K286" s="146"/>
      <c r="L286" s="2"/>
      <c r="M286" s="2"/>
      <c r="N286" s="2"/>
      <c r="O286" s="2"/>
      <c r="P286" s="2"/>
      <c r="Q286" s="2"/>
      <c r="R286" s="2"/>
      <c r="S286" s="2"/>
      <c r="T286" s="2"/>
      <c r="U286" s="2"/>
      <c r="V286" s="2"/>
      <c r="W286" s="2"/>
      <c r="X286" s="2"/>
      <c r="Y286" s="2"/>
      <c r="Z286" s="2"/>
      <c r="AA286" s="2"/>
      <c r="AB286" s="2"/>
      <c r="AC286" s="2"/>
      <c r="AD286" s="2"/>
      <c r="AE286" s="2"/>
      <c r="AF286" s="2"/>
      <c r="AG286" s="2"/>
    </row>
    <row r="287" ht="14.25" customHeight="1">
      <c r="A287" s="2"/>
      <c r="B287" s="2"/>
      <c r="C287" s="2"/>
      <c r="D287" s="2"/>
      <c r="E287" s="2"/>
      <c r="F287" s="2"/>
      <c r="G287" s="2"/>
      <c r="H287" s="146"/>
      <c r="I287" s="146"/>
      <c r="J287" s="146"/>
      <c r="K287" s="146"/>
      <c r="L287" s="2"/>
      <c r="M287" s="2"/>
      <c r="N287" s="2"/>
      <c r="O287" s="2"/>
      <c r="P287" s="2"/>
      <c r="Q287" s="2"/>
      <c r="R287" s="2"/>
      <c r="S287" s="2"/>
      <c r="T287" s="2"/>
      <c r="U287" s="2"/>
      <c r="V287" s="2"/>
      <c r="W287" s="2"/>
      <c r="X287" s="2"/>
      <c r="Y287" s="2"/>
      <c r="Z287" s="2"/>
      <c r="AA287" s="2"/>
      <c r="AB287" s="2"/>
      <c r="AC287" s="2"/>
      <c r="AD287" s="2"/>
      <c r="AE287" s="2"/>
      <c r="AF287" s="2"/>
      <c r="AG287" s="2"/>
    </row>
    <row r="288" ht="14.25" customHeight="1">
      <c r="A288" s="2"/>
      <c r="B288" s="2"/>
      <c r="C288" s="2"/>
      <c r="D288" s="2"/>
      <c r="E288" s="2"/>
      <c r="F288" s="2"/>
      <c r="G288" s="2"/>
      <c r="H288" s="146"/>
      <c r="I288" s="146"/>
      <c r="J288" s="146"/>
      <c r="K288" s="146"/>
      <c r="L288" s="2"/>
      <c r="M288" s="2"/>
      <c r="N288" s="2"/>
      <c r="O288" s="2"/>
      <c r="P288" s="2"/>
      <c r="Q288" s="2"/>
      <c r="R288" s="2"/>
      <c r="S288" s="2"/>
      <c r="T288" s="2"/>
      <c r="U288" s="2"/>
      <c r="V288" s="2"/>
      <c r="W288" s="2"/>
      <c r="X288" s="2"/>
      <c r="Y288" s="2"/>
      <c r="Z288" s="2"/>
      <c r="AA288" s="2"/>
      <c r="AB288" s="2"/>
      <c r="AC288" s="2"/>
      <c r="AD288" s="2"/>
      <c r="AE288" s="2"/>
      <c r="AF288" s="2"/>
      <c r="AG288" s="2"/>
    </row>
    <row r="289" ht="14.25" customHeight="1">
      <c r="A289" s="2"/>
      <c r="B289" s="2"/>
      <c r="C289" s="2"/>
      <c r="D289" s="2"/>
      <c r="E289" s="2"/>
      <c r="F289" s="2"/>
      <c r="G289" s="2"/>
      <c r="H289" s="146"/>
      <c r="I289" s="146"/>
      <c r="J289" s="146"/>
      <c r="K289" s="146"/>
      <c r="L289" s="2"/>
      <c r="M289" s="2"/>
      <c r="N289" s="2"/>
      <c r="O289" s="2"/>
      <c r="P289" s="2"/>
      <c r="Q289" s="2"/>
      <c r="R289" s="2"/>
      <c r="S289" s="2"/>
      <c r="T289" s="2"/>
      <c r="U289" s="2"/>
      <c r="V289" s="2"/>
      <c r="W289" s="2"/>
      <c r="X289" s="2"/>
      <c r="Y289" s="2"/>
      <c r="Z289" s="2"/>
      <c r="AA289" s="2"/>
      <c r="AB289" s="2"/>
      <c r="AC289" s="2"/>
      <c r="AD289" s="2"/>
      <c r="AE289" s="2"/>
      <c r="AF289" s="2"/>
      <c r="AG289" s="2"/>
    </row>
    <row r="290" ht="14.25" customHeight="1">
      <c r="A290" s="2"/>
      <c r="B290" s="2"/>
      <c r="C290" s="2"/>
      <c r="D290" s="2"/>
      <c r="E290" s="2"/>
      <c r="F290" s="2"/>
      <c r="G290" s="2"/>
      <c r="H290" s="146"/>
      <c r="I290" s="146"/>
      <c r="J290" s="146"/>
      <c r="K290" s="146"/>
      <c r="L290" s="2"/>
      <c r="M290" s="2"/>
      <c r="N290" s="2"/>
      <c r="O290" s="2"/>
      <c r="P290" s="2"/>
      <c r="Q290" s="2"/>
      <c r="R290" s="2"/>
      <c r="S290" s="2"/>
      <c r="T290" s="2"/>
      <c r="U290" s="2"/>
      <c r="V290" s="2"/>
      <c r="W290" s="2"/>
      <c r="X290" s="2"/>
      <c r="Y290" s="2"/>
      <c r="Z290" s="2"/>
      <c r="AA290" s="2"/>
      <c r="AB290" s="2"/>
      <c r="AC290" s="2"/>
      <c r="AD290" s="2"/>
      <c r="AE290" s="2"/>
      <c r="AF290" s="2"/>
      <c r="AG290" s="2"/>
    </row>
    <row r="291" ht="14.25" customHeight="1">
      <c r="A291" s="2"/>
      <c r="B291" s="2"/>
      <c r="C291" s="2"/>
      <c r="D291" s="2"/>
      <c r="E291" s="2"/>
      <c r="F291" s="2"/>
      <c r="G291" s="2"/>
      <c r="H291" s="146"/>
      <c r="I291" s="146"/>
      <c r="J291" s="146"/>
      <c r="K291" s="146"/>
      <c r="L291" s="2"/>
      <c r="M291" s="2"/>
      <c r="N291" s="2"/>
      <c r="O291" s="2"/>
      <c r="P291" s="2"/>
      <c r="Q291" s="2"/>
      <c r="R291" s="2"/>
      <c r="S291" s="2"/>
      <c r="T291" s="2"/>
      <c r="U291" s="2"/>
      <c r="V291" s="2"/>
      <c r="W291" s="2"/>
      <c r="X291" s="2"/>
      <c r="Y291" s="2"/>
      <c r="Z291" s="2"/>
      <c r="AA291" s="2"/>
      <c r="AB291" s="2"/>
      <c r="AC291" s="2"/>
      <c r="AD291" s="2"/>
      <c r="AE291" s="2"/>
      <c r="AF291" s="2"/>
      <c r="AG291" s="2"/>
    </row>
    <row r="292" ht="14.25" customHeight="1">
      <c r="A292" s="2"/>
      <c r="B292" s="2"/>
      <c r="C292" s="2"/>
      <c r="D292" s="2"/>
      <c r="E292" s="2"/>
      <c r="F292" s="2"/>
      <c r="G292" s="2"/>
      <c r="H292" s="146"/>
      <c r="I292" s="146"/>
      <c r="J292" s="146"/>
      <c r="K292" s="146"/>
      <c r="L292" s="2"/>
      <c r="M292" s="2"/>
      <c r="N292" s="2"/>
      <c r="O292" s="2"/>
      <c r="P292" s="2"/>
      <c r="Q292" s="2"/>
      <c r="R292" s="2"/>
      <c r="S292" s="2"/>
      <c r="T292" s="2"/>
      <c r="U292" s="2"/>
      <c r="V292" s="2"/>
      <c r="W292" s="2"/>
      <c r="X292" s="2"/>
      <c r="Y292" s="2"/>
      <c r="Z292" s="2"/>
      <c r="AA292" s="2"/>
      <c r="AB292" s="2"/>
      <c r="AC292" s="2"/>
      <c r="AD292" s="2"/>
      <c r="AE292" s="2"/>
      <c r="AF292" s="2"/>
      <c r="AG292" s="2"/>
    </row>
    <row r="293" ht="14.25" customHeight="1">
      <c r="A293" s="2"/>
      <c r="B293" s="2"/>
      <c r="C293" s="2"/>
      <c r="D293" s="2"/>
      <c r="E293" s="2"/>
      <c r="F293" s="2"/>
      <c r="G293" s="2"/>
      <c r="H293" s="146"/>
      <c r="I293" s="146"/>
      <c r="J293" s="146"/>
      <c r="K293" s="146"/>
      <c r="L293" s="2"/>
      <c r="M293" s="2"/>
      <c r="N293" s="2"/>
      <c r="O293" s="2"/>
      <c r="P293" s="2"/>
      <c r="Q293" s="2"/>
      <c r="R293" s="2"/>
      <c r="S293" s="2"/>
      <c r="T293" s="2"/>
      <c r="U293" s="2"/>
      <c r="V293" s="2"/>
      <c r="W293" s="2"/>
      <c r="X293" s="2"/>
      <c r="Y293" s="2"/>
      <c r="Z293" s="2"/>
      <c r="AA293" s="2"/>
      <c r="AB293" s="2"/>
      <c r="AC293" s="2"/>
      <c r="AD293" s="2"/>
      <c r="AE293" s="2"/>
      <c r="AF293" s="2"/>
      <c r="AG293" s="2"/>
    </row>
    <row r="294" ht="14.25" customHeight="1">
      <c r="A294" s="2"/>
      <c r="B294" s="2"/>
      <c r="C294" s="2"/>
      <c r="D294" s="2"/>
      <c r="E294" s="2"/>
      <c r="F294" s="2"/>
      <c r="G294" s="2"/>
      <c r="H294" s="146"/>
      <c r="I294" s="146"/>
      <c r="J294" s="146"/>
      <c r="K294" s="146"/>
      <c r="L294" s="2"/>
      <c r="M294" s="2"/>
      <c r="N294" s="2"/>
      <c r="O294" s="2"/>
      <c r="P294" s="2"/>
      <c r="Q294" s="2"/>
      <c r="R294" s="2"/>
      <c r="S294" s="2"/>
      <c r="T294" s="2"/>
      <c r="U294" s="2"/>
      <c r="V294" s="2"/>
      <c r="W294" s="2"/>
      <c r="X294" s="2"/>
      <c r="Y294" s="2"/>
      <c r="Z294" s="2"/>
      <c r="AA294" s="2"/>
      <c r="AB294" s="2"/>
      <c r="AC294" s="2"/>
      <c r="AD294" s="2"/>
      <c r="AE294" s="2"/>
      <c r="AF294" s="2"/>
      <c r="AG294" s="2"/>
    </row>
    <row r="295" ht="14.25" customHeight="1">
      <c r="A295" s="2"/>
      <c r="B295" s="2"/>
      <c r="C295" s="2"/>
      <c r="D295" s="2"/>
      <c r="E295" s="2"/>
      <c r="F295" s="2"/>
      <c r="G295" s="2"/>
      <c r="H295" s="146"/>
      <c r="I295" s="146"/>
      <c r="J295" s="146"/>
      <c r="K295" s="146"/>
      <c r="L295" s="2"/>
      <c r="M295" s="2"/>
      <c r="N295" s="2"/>
      <c r="O295" s="2"/>
      <c r="P295" s="2"/>
      <c r="Q295" s="2"/>
      <c r="R295" s="2"/>
      <c r="S295" s="2"/>
      <c r="T295" s="2"/>
      <c r="U295" s="2"/>
      <c r="V295" s="2"/>
      <c r="W295" s="2"/>
      <c r="X295" s="2"/>
      <c r="Y295" s="2"/>
      <c r="Z295" s="2"/>
      <c r="AA295" s="2"/>
      <c r="AB295" s="2"/>
      <c r="AC295" s="2"/>
      <c r="AD295" s="2"/>
      <c r="AE295" s="2"/>
      <c r="AF295" s="2"/>
      <c r="AG295" s="2"/>
    </row>
    <row r="296" ht="14.25" customHeight="1">
      <c r="A296" s="2"/>
      <c r="B296" s="2"/>
      <c r="C296" s="2"/>
      <c r="D296" s="2"/>
      <c r="E296" s="2"/>
      <c r="F296" s="2"/>
      <c r="G296" s="2"/>
      <c r="H296" s="146"/>
      <c r="I296" s="146"/>
      <c r="J296" s="146"/>
      <c r="K296" s="146"/>
      <c r="L296" s="2"/>
      <c r="M296" s="2"/>
      <c r="N296" s="2"/>
      <c r="O296" s="2"/>
      <c r="P296" s="2"/>
      <c r="Q296" s="2"/>
      <c r="R296" s="2"/>
      <c r="S296" s="2"/>
      <c r="T296" s="2"/>
      <c r="U296" s="2"/>
      <c r="V296" s="2"/>
      <c r="W296" s="2"/>
      <c r="X296" s="2"/>
      <c r="Y296" s="2"/>
      <c r="Z296" s="2"/>
      <c r="AA296" s="2"/>
      <c r="AB296" s="2"/>
      <c r="AC296" s="2"/>
      <c r="AD296" s="2"/>
      <c r="AE296" s="2"/>
      <c r="AF296" s="2"/>
      <c r="AG296" s="2"/>
    </row>
    <row r="297" ht="14.25" customHeight="1">
      <c r="A297" s="2"/>
      <c r="B297" s="2"/>
      <c r="C297" s="2"/>
      <c r="D297" s="2"/>
      <c r="E297" s="2"/>
      <c r="F297" s="2"/>
      <c r="G297" s="2"/>
      <c r="H297" s="146"/>
      <c r="I297" s="146"/>
      <c r="J297" s="146"/>
      <c r="K297" s="146"/>
      <c r="L297" s="2"/>
      <c r="M297" s="2"/>
      <c r="N297" s="2"/>
      <c r="O297" s="2"/>
      <c r="P297" s="2"/>
      <c r="Q297" s="2"/>
      <c r="R297" s="2"/>
      <c r="S297" s="2"/>
      <c r="T297" s="2"/>
      <c r="U297" s="2"/>
      <c r="V297" s="2"/>
      <c r="W297" s="2"/>
      <c r="X297" s="2"/>
      <c r="Y297" s="2"/>
      <c r="Z297" s="2"/>
      <c r="AA297" s="2"/>
      <c r="AB297" s="2"/>
      <c r="AC297" s="2"/>
      <c r="AD297" s="2"/>
      <c r="AE297" s="2"/>
      <c r="AF297" s="2"/>
      <c r="AG297" s="2"/>
    </row>
    <row r="298" ht="14.25" customHeight="1">
      <c r="A298" s="2"/>
      <c r="B298" s="2"/>
      <c r="C298" s="2"/>
      <c r="D298" s="2"/>
      <c r="E298" s="2"/>
      <c r="F298" s="2"/>
      <c r="G298" s="2"/>
      <c r="H298" s="146"/>
      <c r="I298" s="146"/>
      <c r="J298" s="146"/>
      <c r="K298" s="146"/>
      <c r="L298" s="2"/>
      <c r="M298" s="2"/>
      <c r="N298" s="2"/>
      <c r="O298" s="2"/>
      <c r="P298" s="2"/>
      <c r="Q298" s="2"/>
      <c r="R298" s="2"/>
      <c r="S298" s="2"/>
      <c r="T298" s="2"/>
      <c r="U298" s="2"/>
      <c r="V298" s="2"/>
      <c r="W298" s="2"/>
      <c r="X298" s="2"/>
      <c r="Y298" s="2"/>
      <c r="Z298" s="2"/>
      <c r="AA298" s="2"/>
      <c r="AB298" s="2"/>
      <c r="AC298" s="2"/>
      <c r="AD298" s="2"/>
      <c r="AE298" s="2"/>
      <c r="AF298" s="2"/>
      <c r="AG298" s="2"/>
    </row>
    <row r="299" ht="14.25" customHeight="1">
      <c r="A299" s="2"/>
      <c r="B299" s="2"/>
      <c r="C299" s="2"/>
      <c r="D299" s="2"/>
      <c r="E299" s="2"/>
      <c r="F299" s="2"/>
      <c r="G299" s="2"/>
      <c r="H299" s="146"/>
      <c r="I299" s="146"/>
      <c r="J299" s="146"/>
      <c r="K299" s="146"/>
      <c r="L299" s="2"/>
      <c r="M299" s="2"/>
      <c r="N299" s="2"/>
      <c r="O299" s="2"/>
      <c r="P299" s="2"/>
      <c r="Q299" s="2"/>
      <c r="R299" s="2"/>
      <c r="S299" s="2"/>
      <c r="T299" s="2"/>
      <c r="U299" s="2"/>
      <c r="V299" s="2"/>
      <c r="W299" s="2"/>
      <c r="X299" s="2"/>
      <c r="Y299" s="2"/>
      <c r="Z299" s="2"/>
      <c r="AA299" s="2"/>
      <c r="AB299" s="2"/>
      <c r="AC299" s="2"/>
      <c r="AD299" s="2"/>
      <c r="AE299" s="2"/>
      <c r="AF299" s="2"/>
      <c r="AG299" s="2"/>
    </row>
    <row r="300" ht="14.25" customHeight="1">
      <c r="A300" s="2"/>
      <c r="B300" s="2"/>
      <c r="C300" s="2"/>
      <c r="D300" s="2"/>
      <c r="E300" s="2"/>
      <c r="F300" s="2"/>
      <c r="G300" s="2"/>
      <c r="H300" s="146"/>
      <c r="I300" s="146"/>
      <c r="J300" s="146"/>
      <c r="K300" s="146"/>
      <c r="L300" s="2"/>
      <c r="M300" s="2"/>
      <c r="N300" s="2"/>
      <c r="O300" s="2"/>
      <c r="P300" s="2"/>
      <c r="Q300" s="2"/>
      <c r="R300" s="2"/>
      <c r="S300" s="2"/>
      <c r="T300" s="2"/>
      <c r="U300" s="2"/>
      <c r="V300" s="2"/>
      <c r="W300" s="2"/>
      <c r="X300" s="2"/>
      <c r="Y300" s="2"/>
      <c r="Z300" s="2"/>
      <c r="AA300" s="2"/>
      <c r="AB300" s="2"/>
      <c r="AC300" s="2"/>
      <c r="AD300" s="2"/>
      <c r="AE300" s="2"/>
      <c r="AF300" s="2"/>
      <c r="AG300" s="2"/>
    </row>
    <row r="301" ht="14.25" customHeight="1">
      <c r="A301" s="2"/>
      <c r="B301" s="2"/>
      <c r="C301" s="2"/>
      <c r="D301" s="2"/>
      <c r="E301" s="2"/>
      <c r="F301" s="2"/>
      <c r="G301" s="2"/>
      <c r="H301" s="146"/>
      <c r="I301" s="146"/>
      <c r="J301" s="146"/>
      <c r="K301" s="146"/>
      <c r="L301" s="2"/>
      <c r="M301" s="2"/>
      <c r="N301" s="2"/>
      <c r="O301" s="2"/>
      <c r="P301" s="2"/>
      <c r="Q301" s="2"/>
      <c r="R301" s="2"/>
      <c r="S301" s="2"/>
      <c r="T301" s="2"/>
      <c r="U301" s="2"/>
      <c r="V301" s="2"/>
      <c r="W301" s="2"/>
      <c r="X301" s="2"/>
      <c r="Y301" s="2"/>
      <c r="Z301" s="2"/>
      <c r="AA301" s="2"/>
      <c r="AB301" s="2"/>
      <c r="AC301" s="2"/>
      <c r="AD301" s="2"/>
      <c r="AE301" s="2"/>
      <c r="AF301" s="2"/>
      <c r="AG301" s="2"/>
    </row>
    <row r="302" ht="14.25" customHeight="1">
      <c r="A302" s="2"/>
      <c r="B302" s="2"/>
      <c r="C302" s="2"/>
      <c r="D302" s="2"/>
      <c r="E302" s="2"/>
      <c r="F302" s="2"/>
      <c r="G302" s="2"/>
      <c r="H302" s="146"/>
      <c r="I302" s="146"/>
      <c r="J302" s="146"/>
      <c r="K302" s="146"/>
      <c r="L302" s="2"/>
      <c r="M302" s="2"/>
      <c r="N302" s="2"/>
      <c r="O302" s="2"/>
      <c r="P302" s="2"/>
      <c r="Q302" s="2"/>
      <c r="R302" s="2"/>
      <c r="S302" s="2"/>
      <c r="T302" s="2"/>
      <c r="U302" s="2"/>
      <c r="V302" s="2"/>
      <c r="W302" s="2"/>
      <c r="X302" s="2"/>
      <c r="Y302" s="2"/>
      <c r="Z302" s="2"/>
      <c r="AA302" s="2"/>
      <c r="AB302" s="2"/>
      <c r="AC302" s="2"/>
      <c r="AD302" s="2"/>
      <c r="AE302" s="2"/>
      <c r="AF302" s="2"/>
      <c r="AG302" s="2"/>
    </row>
    <row r="303" ht="14.25" customHeight="1">
      <c r="A303" s="2"/>
      <c r="B303" s="2"/>
      <c r="C303" s="2"/>
      <c r="D303" s="2"/>
      <c r="E303" s="2"/>
      <c r="F303" s="2"/>
      <c r="G303" s="2"/>
      <c r="H303" s="146"/>
      <c r="I303" s="146"/>
      <c r="J303" s="146"/>
      <c r="K303" s="146"/>
      <c r="L303" s="2"/>
      <c r="M303" s="2"/>
      <c r="N303" s="2"/>
      <c r="O303" s="2"/>
      <c r="P303" s="2"/>
      <c r="Q303" s="2"/>
      <c r="R303" s="2"/>
      <c r="S303" s="2"/>
      <c r="T303" s="2"/>
      <c r="U303" s="2"/>
      <c r="V303" s="2"/>
      <c r="W303" s="2"/>
      <c r="X303" s="2"/>
      <c r="Y303" s="2"/>
      <c r="Z303" s="2"/>
      <c r="AA303" s="2"/>
      <c r="AB303" s="2"/>
      <c r="AC303" s="2"/>
      <c r="AD303" s="2"/>
      <c r="AE303" s="2"/>
      <c r="AF303" s="2"/>
      <c r="AG303" s="2"/>
    </row>
    <row r="304" ht="14.25" customHeight="1">
      <c r="A304" s="2"/>
      <c r="B304" s="2"/>
      <c r="C304" s="2"/>
      <c r="D304" s="2"/>
      <c r="E304" s="2"/>
      <c r="F304" s="2"/>
      <c r="G304" s="2"/>
      <c r="H304" s="146"/>
      <c r="I304" s="146"/>
      <c r="J304" s="146"/>
      <c r="K304" s="146"/>
      <c r="L304" s="2"/>
      <c r="M304" s="2"/>
      <c r="N304" s="2"/>
      <c r="O304" s="2"/>
      <c r="P304" s="2"/>
      <c r="Q304" s="2"/>
      <c r="R304" s="2"/>
      <c r="S304" s="2"/>
      <c r="T304" s="2"/>
      <c r="U304" s="2"/>
      <c r="V304" s="2"/>
      <c r="W304" s="2"/>
      <c r="X304" s="2"/>
      <c r="Y304" s="2"/>
      <c r="Z304" s="2"/>
      <c r="AA304" s="2"/>
      <c r="AB304" s="2"/>
      <c r="AC304" s="2"/>
      <c r="AD304" s="2"/>
      <c r="AE304" s="2"/>
      <c r="AF304" s="2"/>
      <c r="AG304" s="2"/>
    </row>
    <row r="305" ht="14.25" customHeight="1">
      <c r="A305" s="2"/>
      <c r="B305" s="2"/>
      <c r="C305" s="2"/>
      <c r="D305" s="2"/>
      <c r="E305" s="2"/>
      <c r="F305" s="2"/>
      <c r="G305" s="2"/>
      <c r="H305" s="146"/>
      <c r="I305" s="146"/>
      <c r="J305" s="146"/>
      <c r="K305" s="146"/>
      <c r="L305" s="2"/>
      <c r="M305" s="2"/>
      <c r="N305" s="2"/>
      <c r="O305" s="2"/>
      <c r="P305" s="2"/>
      <c r="Q305" s="2"/>
      <c r="R305" s="2"/>
      <c r="S305" s="2"/>
      <c r="T305" s="2"/>
      <c r="U305" s="2"/>
      <c r="V305" s="2"/>
      <c r="W305" s="2"/>
      <c r="X305" s="2"/>
      <c r="Y305" s="2"/>
      <c r="Z305" s="2"/>
      <c r="AA305" s="2"/>
      <c r="AB305" s="2"/>
      <c r="AC305" s="2"/>
      <c r="AD305" s="2"/>
      <c r="AE305" s="2"/>
      <c r="AF305" s="2"/>
      <c r="AG305" s="2"/>
    </row>
    <row r="306" ht="14.25" customHeight="1">
      <c r="A306" s="2"/>
      <c r="B306" s="2"/>
      <c r="C306" s="2"/>
      <c r="D306" s="2"/>
      <c r="E306" s="2"/>
      <c r="F306" s="2"/>
      <c r="G306" s="2"/>
      <c r="H306" s="146"/>
      <c r="I306" s="146"/>
      <c r="J306" s="146"/>
      <c r="K306" s="146"/>
      <c r="L306" s="2"/>
      <c r="M306" s="2"/>
      <c r="N306" s="2"/>
      <c r="O306" s="2"/>
      <c r="P306" s="2"/>
      <c r="Q306" s="2"/>
      <c r="R306" s="2"/>
      <c r="S306" s="2"/>
      <c r="T306" s="2"/>
      <c r="U306" s="2"/>
      <c r="V306" s="2"/>
      <c r="W306" s="2"/>
      <c r="X306" s="2"/>
      <c r="Y306" s="2"/>
      <c r="Z306" s="2"/>
      <c r="AA306" s="2"/>
      <c r="AB306" s="2"/>
      <c r="AC306" s="2"/>
      <c r="AD306" s="2"/>
      <c r="AE306" s="2"/>
      <c r="AF306" s="2"/>
      <c r="AG306" s="2"/>
    </row>
    <row r="307" ht="14.25" customHeight="1">
      <c r="A307" s="2"/>
      <c r="B307" s="2"/>
      <c r="C307" s="2"/>
      <c r="D307" s="2"/>
      <c r="E307" s="2"/>
      <c r="F307" s="2"/>
      <c r="G307" s="2"/>
      <c r="H307" s="146"/>
      <c r="I307" s="146"/>
      <c r="J307" s="146"/>
      <c r="K307" s="146"/>
      <c r="L307" s="2"/>
      <c r="M307" s="2"/>
      <c r="N307" s="2"/>
      <c r="O307" s="2"/>
      <c r="P307" s="2"/>
      <c r="Q307" s="2"/>
      <c r="R307" s="2"/>
      <c r="S307" s="2"/>
      <c r="T307" s="2"/>
      <c r="U307" s="2"/>
      <c r="V307" s="2"/>
      <c r="W307" s="2"/>
      <c r="X307" s="2"/>
      <c r="Y307" s="2"/>
      <c r="Z307" s="2"/>
      <c r="AA307" s="2"/>
      <c r="AB307" s="2"/>
      <c r="AC307" s="2"/>
      <c r="AD307" s="2"/>
      <c r="AE307" s="2"/>
      <c r="AF307" s="2"/>
      <c r="AG307" s="2"/>
    </row>
    <row r="308" ht="14.25" customHeight="1">
      <c r="A308" s="2"/>
      <c r="B308" s="2"/>
      <c r="C308" s="2"/>
      <c r="D308" s="2"/>
      <c r="E308" s="2"/>
      <c r="F308" s="2"/>
      <c r="G308" s="2"/>
      <c r="H308" s="146"/>
      <c r="I308" s="146"/>
      <c r="J308" s="146"/>
      <c r="K308" s="146"/>
      <c r="L308" s="2"/>
      <c r="M308" s="2"/>
      <c r="N308" s="2"/>
      <c r="O308" s="2"/>
      <c r="P308" s="2"/>
      <c r="Q308" s="2"/>
      <c r="R308" s="2"/>
      <c r="S308" s="2"/>
      <c r="T308" s="2"/>
      <c r="U308" s="2"/>
      <c r="V308" s="2"/>
      <c r="W308" s="2"/>
      <c r="X308" s="2"/>
      <c r="Y308" s="2"/>
      <c r="Z308" s="2"/>
      <c r="AA308" s="2"/>
      <c r="AB308" s="2"/>
      <c r="AC308" s="2"/>
      <c r="AD308" s="2"/>
      <c r="AE308" s="2"/>
      <c r="AF308" s="2"/>
      <c r="AG308" s="2"/>
    </row>
    <row r="309" ht="14.25" customHeight="1">
      <c r="A309" s="2"/>
      <c r="B309" s="2"/>
      <c r="C309" s="2"/>
      <c r="D309" s="2"/>
      <c r="E309" s="2"/>
      <c r="F309" s="2"/>
      <c r="G309" s="2"/>
      <c r="H309" s="146"/>
      <c r="I309" s="146"/>
      <c r="J309" s="146"/>
      <c r="K309" s="146"/>
      <c r="L309" s="2"/>
      <c r="M309" s="2"/>
      <c r="N309" s="2"/>
      <c r="O309" s="2"/>
      <c r="P309" s="2"/>
      <c r="Q309" s="2"/>
      <c r="R309" s="2"/>
      <c r="S309" s="2"/>
      <c r="T309" s="2"/>
      <c r="U309" s="2"/>
      <c r="V309" s="2"/>
      <c r="W309" s="2"/>
      <c r="X309" s="2"/>
      <c r="Y309" s="2"/>
      <c r="Z309" s="2"/>
      <c r="AA309" s="2"/>
      <c r="AB309" s="2"/>
      <c r="AC309" s="2"/>
      <c r="AD309" s="2"/>
      <c r="AE309" s="2"/>
      <c r="AF309" s="2"/>
      <c r="AG309" s="2"/>
    </row>
    <row r="310" ht="14.25" customHeight="1">
      <c r="A310" s="2"/>
      <c r="B310" s="2"/>
      <c r="C310" s="2"/>
      <c r="D310" s="2"/>
      <c r="E310" s="2"/>
      <c r="F310" s="2"/>
      <c r="G310" s="2"/>
      <c r="H310" s="146"/>
      <c r="I310" s="146"/>
      <c r="J310" s="146"/>
      <c r="K310" s="146"/>
      <c r="L310" s="2"/>
      <c r="M310" s="2"/>
      <c r="N310" s="2"/>
      <c r="O310" s="2"/>
      <c r="P310" s="2"/>
      <c r="Q310" s="2"/>
      <c r="R310" s="2"/>
      <c r="S310" s="2"/>
      <c r="T310" s="2"/>
      <c r="U310" s="2"/>
      <c r="V310" s="2"/>
      <c r="W310" s="2"/>
      <c r="X310" s="2"/>
      <c r="Y310" s="2"/>
      <c r="Z310" s="2"/>
      <c r="AA310" s="2"/>
      <c r="AB310" s="2"/>
      <c r="AC310" s="2"/>
      <c r="AD310" s="2"/>
      <c r="AE310" s="2"/>
      <c r="AF310" s="2"/>
      <c r="AG310" s="2"/>
    </row>
    <row r="311" ht="14.25" customHeight="1">
      <c r="A311" s="2"/>
      <c r="B311" s="2"/>
      <c r="C311" s="2"/>
      <c r="D311" s="2"/>
      <c r="E311" s="2"/>
      <c r="F311" s="2"/>
      <c r="G311" s="2"/>
      <c r="H311" s="146"/>
      <c r="I311" s="146"/>
      <c r="J311" s="146"/>
      <c r="K311" s="146"/>
      <c r="L311" s="2"/>
      <c r="M311" s="2"/>
      <c r="N311" s="2"/>
      <c r="O311" s="2"/>
      <c r="P311" s="2"/>
      <c r="Q311" s="2"/>
      <c r="R311" s="2"/>
      <c r="S311" s="2"/>
      <c r="T311" s="2"/>
      <c r="U311" s="2"/>
      <c r="V311" s="2"/>
      <c r="W311" s="2"/>
      <c r="X311" s="2"/>
      <c r="Y311" s="2"/>
      <c r="Z311" s="2"/>
      <c r="AA311" s="2"/>
      <c r="AB311" s="2"/>
      <c r="AC311" s="2"/>
      <c r="AD311" s="2"/>
      <c r="AE311" s="2"/>
      <c r="AF311" s="2"/>
      <c r="AG311" s="2"/>
    </row>
    <row r="312" ht="14.25" customHeight="1">
      <c r="A312" s="2"/>
      <c r="B312" s="2"/>
      <c r="C312" s="2"/>
      <c r="D312" s="2"/>
      <c r="E312" s="2"/>
      <c r="F312" s="2"/>
      <c r="G312" s="2"/>
      <c r="H312" s="146"/>
      <c r="I312" s="146"/>
      <c r="J312" s="146"/>
      <c r="K312" s="146"/>
      <c r="L312" s="2"/>
      <c r="M312" s="2"/>
      <c r="N312" s="2"/>
      <c r="O312" s="2"/>
      <c r="P312" s="2"/>
      <c r="Q312" s="2"/>
      <c r="R312" s="2"/>
      <c r="S312" s="2"/>
      <c r="T312" s="2"/>
      <c r="U312" s="2"/>
      <c r="V312" s="2"/>
      <c r="W312" s="2"/>
      <c r="X312" s="2"/>
      <c r="Y312" s="2"/>
      <c r="Z312" s="2"/>
      <c r="AA312" s="2"/>
      <c r="AB312" s="2"/>
      <c r="AC312" s="2"/>
      <c r="AD312" s="2"/>
      <c r="AE312" s="2"/>
      <c r="AF312" s="2"/>
      <c r="AG312" s="2"/>
    </row>
    <row r="313" ht="14.25" customHeight="1">
      <c r="A313" s="2"/>
      <c r="B313" s="2"/>
      <c r="C313" s="2"/>
      <c r="D313" s="2"/>
      <c r="E313" s="2"/>
      <c r="F313" s="2"/>
      <c r="G313" s="2"/>
      <c r="H313" s="146"/>
      <c r="I313" s="146"/>
      <c r="J313" s="146"/>
      <c r="K313" s="146"/>
      <c r="L313" s="2"/>
      <c r="M313" s="2"/>
      <c r="N313" s="2"/>
      <c r="O313" s="2"/>
      <c r="P313" s="2"/>
      <c r="Q313" s="2"/>
      <c r="R313" s="2"/>
      <c r="S313" s="2"/>
      <c r="T313" s="2"/>
      <c r="U313" s="2"/>
      <c r="V313" s="2"/>
      <c r="W313" s="2"/>
      <c r="X313" s="2"/>
      <c r="Y313" s="2"/>
      <c r="Z313" s="2"/>
      <c r="AA313" s="2"/>
      <c r="AB313" s="2"/>
      <c r="AC313" s="2"/>
      <c r="AD313" s="2"/>
      <c r="AE313" s="2"/>
      <c r="AF313" s="2"/>
      <c r="AG313" s="2"/>
    </row>
    <row r="314" ht="14.25" customHeight="1">
      <c r="A314" s="2"/>
      <c r="B314" s="2"/>
      <c r="C314" s="2"/>
      <c r="D314" s="2"/>
      <c r="E314" s="2"/>
      <c r="F314" s="2"/>
      <c r="G314" s="2"/>
      <c r="H314" s="146"/>
      <c r="I314" s="146"/>
      <c r="J314" s="146"/>
      <c r="K314" s="146"/>
      <c r="L314" s="2"/>
      <c r="M314" s="2"/>
      <c r="N314" s="2"/>
      <c r="O314" s="2"/>
      <c r="P314" s="2"/>
      <c r="Q314" s="2"/>
      <c r="R314" s="2"/>
      <c r="S314" s="2"/>
      <c r="T314" s="2"/>
      <c r="U314" s="2"/>
      <c r="V314" s="2"/>
      <c r="W314" s="2"/>
      <c r="X314" s="2"/>
      <c r="Y314" s="2"/>
      <c r="Z314" s="2"/>
      <c r="AA314" s="2"/>
      <c r="AB314" s="2"/>
      <c r="AC314" s="2"/>
      <c r="AD314" s="2"/>
      <c r="AE314" s="2"/>
      <c r="AF314" s="2"/>
      <c r="AG314" s="2"/>
    </row>
    <row r="315" ht="14.25" customHeight="1">
      <c r="A315" s="2"/>
      <c r="B315" s="2"/>
      <c r="C315" s="2"/>
      <c r="D315" s="2"/>
      <c r="E315" s="2"/>
      <c r="F315" s="2"/>
      <c r="G315" s="2"/>
      <c r="H315" s="146"/>
      <c r="I315" s="146"/>
      <c r="J315" s="146"/>
      <c r="K315" s="146"/>
      <c r="L315" s="2"/>
      <c r="M315" s="2"/>
      <c r="N315" s="2"/>
      <c r="O315" s="2"/>
      <c r="P315" s="2"/>
      <c r="Q315" s="2"/>
      <c r="R315" s="2"/>
      <c r="S315" s="2"/>
      <c r="T315" s="2"/>
      <c r="U315" s="2"/>
      <c r="V315" s="2"/>
      <c r="W315" s="2"/>
      <c r="X315" s="2"/>
      <c r="Y315" s="2"/>
      <c r="Z315" s="2"/>
      <c r="AA315" s="2"/>
      <c r="AB315" s="2"/>
      <c r="AC315" s="2"/>
      <c r="AD315" s="2"/>
      <c r="AE315" s="2"/>
      <c r="AF315" s="2"/>
      <c r="AG315" s="2"/>
    </row>
    <row r="316" ht="14.25" customHeight="1">
      <c r="A316" s="2"/>
      <c r="B316" s="2"/>
      <c r="C316" s="2"/>
      <c r="D316" s="2"/>
      <c r="E316" s="2"/>
      <c r="F316" s="2"/>
      <c r="G316" s="2"/>
      <c r="H316" s="146"/>
      <c r="I316" s="146"/>
      <c r="J316" s="146"/>
      <c r="K316" s="146"/>
      <c r="L316" s="2"/>
      <c r="M316" s="2"/>
      <c r="N316" s="2"/>
      <c r="O316" s="2"/>
      <c r="P316" s="2"/>
      <c r="Q316" s="2"/>
      <c r="R316" s="2"/>
      <c r="S316" s="2"/>
      <c r="T316" s="2"/>
      <c r="U316" s="2"/>
      <c r="V316" s="2"/>
      <c r="W316" s="2"/>
      <c r="X316" s="2"/>
      <c r="Y316" s="2"/>
      <c r="Z316" s="2"/>
      <c r="AA316" s="2"/>
      <c r="AB316" s="2"/>
      <c r="AC316" s="2"/>
      <c r="AD316" s="2"/>
      <c r="AE316" s="2"/>
      <c r="AF316" s="2"/>
      <c r="AG316" s="2"/>
    </row>
    <row r="317" ht="14.25" customHeight="1">
      <c r="A317" s="2"/>
      <c r="B317" s="2"/>
      <c r="C317" s="2"/>
      <c r="D317" s="2"/>
      <c r="E317" s="2"/>
      <c r="F317" s="2"/>
      <c r="G317" s="2"/>
      <c r="H317" s="146"/>
      <c r="I317" s="146"/>
      <c r="J317" s="146"/>
      <c r="K317" s="146"/>
      <c r="L317" s="2"/>
      <c r="M317" s="2"/>
      <c r="N317" s="2"/>
      <c r="O317" s="2"/>
      <c r="P317" s="2"/>
      <c r="Q317" s="2"/>
      <c r="R317" s="2"/>
      <c r="S317" s="2"/>
      <c r="T317" s="2"/>
      <c r="U317" s="2"/>
      <c r="V317" s="2"/>
      <c r="W317" s="2"/>
      <c r="X317" s="2"/>
      <c r="Y317" s="2"/>
      <c r="Z317" s="2"/>
      <c r="AA317" s="2"/>
      <c r="AB317" s="2"/>
      <c r="AC317" s="2"/>
      <c r="AD317" s="2"/>
      <c r="AE317" s="2"/>
      <c r="AF317" s="2"/>
      <c r="AG317" s="2"/>
    </row>
    <row r="318" ht="14.25" customHeight="1">
      <c r="A318" s="2"/>
      <c r="B318" s="2"/>
      <c r="C318" s="2"/>
      <c r="D318" s="2"/>
      <c r="E318" s="2"/>
      <c r="F318" s="2"/>
      <c r="G318" s="2"/>
      <c r="H318" s="146"/>
      <c r="I318" s="146"/>
      <c r="J318" s="146"/>
      <c r="K318" s="146"/>
      <c r="L318" s="2"/>
      <c r="M318" s="2"/>
      <c r="N318" s="2"/>
      <c r="O318" s="2"/>
      <c r="P318" s="2"/>
      <c r="Q318" s="2"/>
      <c r="R318" s="2"/>
      <c r="S318" s="2"/>
      <c r="T318" s="2"/>
      <c r="U318" s="2"/>
      <c r="V318" s="2"/>
      <c r="W318" s="2"/>
      <c r="X318" s="2"/>
      <c r="Y318" s="2"/>
      <c r="Z318" s="2"/>
      <c r="AA318" s="2"/>
      <c r="AB318" s="2"/>
      <c r="AC318" s="2"/>
      <c r="AD318" s="2"/>
      <c r="AE318" s="2"/>
      <c r="AF318" s="2"/>
      <c r="AG318" s="2"/>
    </row>
    <row r="319" ht="14.25" customHeight="1">
      <c r="A319" s="2"/>
      <c r="B319" s="2"/>
      <c r="C319" s="2"/>
      <c r="D319" s="2"/>
      <c r="E319" s="2"/>
      <c r="F319" s="2"/>
      <c r="G319" s="2"/>
      <c r="H319" s="146"/>
      <c r="I319" s="146"/>
      <c r="J319" s="146"/>
      <c r="K319" s="146"/>
      <c r="L319" s="2"/>
      <c r="M319" s="2"/>
      <c r="N319" s="2"/>
      <c r="O319" s="2"/>
      <c r="P319" s="2"/>
      <c r="Q319" s="2"/>
      <c r="R319" s="2"/>
      <c r="S319" s="2"/>
      <c r="T319" s="2"/>
      <c r="U319" s="2"/>
      <c r="V319" s="2"/>
      <c r="W319" s="2"/>
      <c r="X319" s="2"/>
      <c r="Y319" s="2"/>
      <c r="Z319" s="2"/>
      <c r="AA319" s="2"/>
      <c r="AB319" s="2"/>
      <c r="AC319" s="2"/>
      <c r="AD319" s="2"/>
      <c r="AE319" s="2"/>
      <c r="AF319" s="2"/>
      <c r="AG319" s="2"/>
    </row>
    <row r="320" ht="14.25" customHeight="1">
      <c r="A320" s="2"/>
      <c r="B320" s="2"/>
      <c r="C320" s="2"/>
      <c r="D320" s="2"/>
      <c r="E320" s="2"/>
      <c r="F320" s="2"/>
      <c r="G320" s="2"/>
      <c r="H320" s="146"/>
      <c r="I320" s="146"/>
      <c r="J320" s="146"/>
      <c r="K320" s="146"/>
      <c r="L320" s="2"/>
      <c r="M320" s="2"/>
      <c r="N320" s="2"/>
      <c r="O320" s="2"/>
      <c r="P320" s="2"/>
      <c r="Q320" s="2"/>
      <c r="R320" s="2"/>
      <c r="S320" s="2"/>
      <c r="T320" s="2"/>
      <c r="U320" s="2"/>
      <c r="V320" s="2"/>
      <c r="W320" s="2"/>
      <c r="X320" s="2"/>
      <c r="Y320" s="2"/>
      <c r="Z320" s="2"/>
      <c r="AA320" s="2"/>
      <c r="AB320" s="2"/>
      <c r="AC320" s="2"/>
      <c r="AD320" s="2"/>
      <c r="AE320" s="2"/>
      <c r="AF320" s="2"/>
      <c r="AG320" s="2"/>
    </row>
    <row r="321" ht="14.25" customHeight="1">
      <c r="A321" s="2"/>
      <c r="B321" s="2"/>
      <c r="C321" s="2"/>
      <c r="D321" s="2"/>
      <c r="E321" s="2"/>
      <c r="F321" s="2"/>
      <c r="G321" s="2"/>
      <c r="H321" s="146"/>
      <c r="I321" s="146"/>
      <c r="J321" s="146"/>
      <c r="K321" s="146"/>
      <c r="L321" s="2"/>
      <c r="M321" s="2"/>
      <c r="N321" s="2"/>
      <c r="O321" s="2"/>
      <c r="P321" s="2"/>
      <c r="Q321" s="2"/>
      <c r="R321" s="2"/>
      <c r="S321" s="2"/>
      <c r="T321" s="2"/>
      <c r="U321" s="2"/>
      <c r="V321" s="2"/>
      <c r="W321" s="2"/>
      <c r="X321" s="2"/>
      <c r="Y321" s="2"/>
      <c r="Z321" s="2"/>
      <c r="AA321" s="2"/>
      <c r="AB321" s="2"/>
      <c r="AC321" s="2"/>
      <c r="AD321" s="2"/>
      <c r="AE321" s="2"/>
      <c r="AF321" s="2"/>
      <c r="AG321" s="2"/>
    </row>
    <row r="322" ht="14.25" customHeight="1">
      <c r="A322" s="2"/>
      <c r="B322" s="2"/>
      <c r="C322" s="2"/>
      <c r="D322" s="2"/>
      <c r="E322" s="2"/>
      <c r="F322" s="2"/>
      <c r="G322" s="2"/>
      <c r="H322" s="146"/>
      <c r="I322" s="146"/>
      <c r="J322" s="146"/>
      <c r="K322" s="146"/>
      <c r="L322" s="2"/>
      <c r="M322" s="2"/>
      <c r="N322" s="2"/>
      <c r="O322" s="2"/>
      <c r="P322" s="2"/>
      <c r="Q322" s="2"/>
      <c r="R322" s="2"/>
      <c r="S322" s="2"/>
      <c r="T322" s="2"/>
      <c r="U322" s="2"/>
      <c r="V322" s="2"/>
      <c r="W322" s="2"/>
      <c r="X322" s="2"/>
      <c r="Y322" s="2"/>
      <c r="Z322" s="2"/>
      <c r="AA322" s="2"/>
      <c r="AB322" s="2"/>
      <c r="AC322" s="2"/>
      <c r="AD322" s="2"/>
      <c r="AE322" s="2"/>
      <c r="AF322" s="2"/>
      <c r="AG322" s="2"/>
    </row>
    <row r="323" ht="14.25" customHeight="1">
      <c r="A323" s="2"/>
      <c r="B323" s="2"/>
      <c r="C323" s="2"/>
      <c r="D323" s="2"/>
      <c r="E323" s="2"/>
      <c r="F323" s="2"/>
      <c r="G323" s="2"/>
      <c r="H323" s="146"/>
      <c r="I323" s="146"/>
      <c r="J323" s="146"/>
      <c r="K323" s="146"/>
      <c r="L323" s="2"/>
      <c r="M323" s="2"/>
      <c r="N323" s="2"/>
      <c r="O323" s="2"/>
      <c r="P323" s="2"/>
      <c r="Q323" s="2"/>
      <c r="R323" s="2"/>
      <c r="S323" s="2"/>
      <c r="T323" s="2"/>
      <c r="U323" s="2"/>
      <c r="V323" s="2"/>
      <c r="W323" s="2"/>
      <c r="X323" s="2"/>
      <c r="Y323" s="2"/>
      <c r="Z323" s="2"/>
      <c r="AA323" s="2"/>
      <c r="AB323" s="2"/>
      <c r="AC323" s="2"/>
      <c r="AD323" s="2"/>
      <c r="AE323" s="2"/>
      <c r="AF323" s="2"/>
      <c r="AG323" s="2"/>
    </row>
    <row r="324" ht="14.25" customHeight="1">
      <c r="A324" s="2"/>
      <c r="B324" s="2"/>
      <c r="C324" s="2"/>
      <c r="D324" s="2"/>
      <c r="E324" s="2"/>
      <c r="F324" s="2"/>
      <c r="G324" s="2"/>
      <c r="H324" s="146"/>
      <c r="I324" s="146"/>
      <c r="J324" s="146"/>
      <c r="K324" s="146"/>
      <c r="L324" s="2"/>
      <c r="M324" s="2"/>
      <c r="N324" s="2"/>
      <c r="O324" s="2"/>
      <c r="P324" s="2"/>
      <c r="Q324" s="2"/>
      <c r="R324" s="2"/>
      <c r="S324" s="2"/>
      <c r="T324" s="2"/>
      <c r="U324" s="2"/>
      <c r="V324" s="2"/>
      <c r="W324" s="2"/>
      <c r="X324" s="2"/>
      <c r="Y324" s="2"/>
      <c r="Z324" s="2"/>
      <c r="AA324" s="2"/>
      <c r="AB324" s="2"/>
      <c r="AC324" s="2"/>
      <c r="AD324" s="2"/>
      <c r="AE324" s="2"/>
      <c r="AF324" s="2"/>
      <c r="AG324" s="2"/>
    </row>
    <row r="325" ht="14.25" customHeight="1">
      <c r="A325" s="2"/>
      <c r="B325" s="2"/>
      <c r="C325" s="2"/>
      <c r="D325" s="2"/>
      <c r="E325" s="2"/>
      <c r="F325" s="2"/>
      <c r="G325" s="2"/>
      <c r="H325" s="146"/>
      <c r="I325" s="146"/>
      <c r="J325" s="146"/>
      <c r="K325" s="146"/>
      <c r="L325" s="2"/>
      <c r="M325" s="2"/>
      <c r="N325" s="2"/>
      <c r="O325" s="2"/>
      <c r="P325" s="2"/>
      <c r="Q325" s="2"/>
      <c r="R325" s="2"/>
      <c r="S325" s="2"/>
      <c r="T325" s="2"/>
      <c r="U325" s="2"/>
      <c r="V325" s="2"/>
      <c r="W325" s="2"/>
      <c r="X325" s="2"/>
      <c r="Y325" s="2"/>
      <c r="Z325" s="2"/>
      <c r="AA325" s="2"/>
      <c r="AB325" s="2"/>
      <c r="AC325" s="2"/>
      <c r="AD325" s="2"/>
      <c r="AE325" s="2"/>
      <c r="AF325" s="2"/>
      <c r="AG325" s="2"/>
    </row>
    <row r="326" ht="14.25" customHeight="1">
      <c r="A326" s="2"/>
      <c r="B326" s="2"/>
      <c r="C326" s="2"/>
      <c r="D326" s="2"/>
      <c r="E326" s="2"/>
      <c r="F326" s="2"/>
      <c r="G326" s="2"/>
      <c r="H326" s="146"/>
      <c r="I326" s="146"/>
      <c r="J326" s="146"/>
      <c r="K326" s="146"/>
      <c r="L326" s="2"/>
      <c r="M326" s="2"/>
      <c r="N326" s="2"/>
      <c r="O326" s="2"/>
      <c r="P326" s="2"/>
      <c r="Q326" s="2"/>
      <c r="R326" s="2"/>
      <c r="S326" s="2"/>
      <c r="T326" s="2"/>
      <c r="U326" s="2"/>
      <c r="V326" s="2"/>
      <c r="W326" s="2"/>
      <c r="X326" s="2"/>
      <c r="Y326" s="2"/>
      <c r="Z326" s="2"/>
      <c r="AA326" s="2"/>
      <c r="AB326" s="2"/>
      <c r="AC326" s="2"/>
      <c r="AD326" s="2"/>
      <c r="AE326" s="2"/>
      <c r="AF326" s="2"/>
      <c r="AG326" s="2"/>
    </row>
    <row r="327" ht="14.25" customHeight="1">
      <c r="A327" s="2"/>
      <c r="B327" s="2"/>
      <c r="C327" s="2"/>
      <c r="D327" s="2"/>
      <c r="E327" s="2"/>
      <c r="F327" s="2"/>
      <c r="G327" s="2"/>
      <c r="H327" s="146"/>
      <c r="I327" s="146"/>
      <c r="J327" s="146"/>
      <c r="K327" s="146"/>
      <c r="L327" s="2"/>
      <c r="M327" s="2"/>
      <c r="N327" s="2"/>
      <c r="O327" s="2"/>
      <c r="P327" s="2"/>
      <c r="Q327" s="2"/>
      <c r="R327" s="2"/>
      <c r="S327" s="2"/>
      <c r="T327" s="2"/>
      <c r="U327" s="2"/>
      <c r="V327" s="2"/>
      <c r="W327" s="2"/>
      <c r="X327" s="2"/>
      <c r="Y327" s="2"/>
      <c r="Z327" s="2"/>
      <c r="AA327" s="2"/>
      <c r="AB327" s="2"/>
      <c r="AC327" s="2"/>
      <c r="AD327" s="2"/>
      <c r="AE327" s="2"/>
      <c r="AF327" s="2"/>
      <c r="AG327" s="2"/>
    </row>
    <row r="328" ht="14.25" customHeight="1">
      <c r="A328" s="2"/>
      <c r="B328" s="2"/>
      <c r="C328" s="2"/>
      <c r="D328" s="2"/>
      <c r="E328" s="2"/>
      <c r="F328" s="2"/>
      <c r="G328" s="2"/>
      <c r="H328" s="146"/>
      <c r="I328" s="146"/>
      <c r="J328" s="146"/>
      <c r="K328" s="146"/>
      <c r="L328" s="2"/>
      <c r="M328" s="2"/>
      <c r="N328" s="2"/>
      <c r="O328" s="2"/>
      <c r="P328" s="2"/>
      <c r="Q328" s="2"/>
      <c r="R328" s="2"/>
      <c r="S328" s="2"/>
      <c r="T328" s="2"/>
      <c r="U328" s="2"/>
      <c r="V328" s="2"/>
      <c r="W328" s="2"/>
      <c r="X328" s="2"/>
      <c r="Y328" s="2"/>
      <c r="Z328" s="2"/>
      <c r="AA328" s="2"/>
      <c r="AB328" s="2"/>
      <c r="AC328" s="2"/>
      <c r="AD328" s="2"/>
      <c r="AE328" s="2"/>
      <c r="AF328" s="2"/>
      <c r="AG328" s="2"/>
    </row>
    <row r="329" ht="14.25" customHeight="1">
      <c r="A329" s="2"/>
      <c r="B329" s="2"/>
      <c r="C329" s="2"/>
      <c r="D329" s="2"/>
      <c r="E329" s="2"/>
      <c r="F329" s="2"/>
      <c r="G329" s="2"/>
      <c r="H329" s="146"/>
      <c r="I329" s="146"/>
      <c r="J329" s="146"/>
      <c r="K329" s="146"/>
      <c r="L329" s="2"/>
      <c r="M329" s="2"/>
      <c r="N329" s="2"/>
      <c r="O329" s="2"/>
      <c r="P329" s="2"/>
      <c r="Q329" s="2"/>
      <c r="R329" s="2"/>
      <c r="S329" s="2"/>
      <c r="T329" s="2"/>
      <c r="U329" s="2"/>
      <c r="V329" s="2"/>
      <c r="W329" s="2"/>
      <c r="X329" s="2"/>
      <c r="Y329" s="2"/>
      <c r="Z329" s="2"/>
      <c r="AA329" s="2"/>
      <c r="AB329" s="2"/>
      <c r="AC329" s="2"/>
      <c r="AD329" s="2"/>
      <c r="AE329" s="2"/>
      <c r="AF329" s="2"/>
      <c r="AG329" s="2"/>
    </row>
    <row r="330" ht="14.25" customHeight="1">
      <c r="A330" s="2"/>
      <c r="B330" s="2"/>
      <c r="C330" s="2"/>
      <c r="D330" s="2"/>
      <c r="E330" s="2"/>
      <c r="F330" s="2"/>
      <c r="G330" s="2"/>
      <c r="H330" s="146"/>
      <c r="I330" s="146"/>
      <c r="J330" s="146"/>
      <c r="K330" s="146"/>
      <c r="L330" s="2"/>
      <c r="M330" s="2"/>
      <c r="N330" s="2"/>
      <c r="O330" s="2"/>
      <c r="P330" s="2"/>
      <c r="Q330" s="2"/>
      <c r="R330" s="2"/>
      <c r="S330" s="2"/>
      <c r="T330" s="2"/>
      <c r="U330" s="2"/>
      <c r="V330" s="2"/>
      <c r="W330" s="2"/>
      <c r="X330" s="2"/>
      <c r="Y330" s="2"/>
      <c r="Z330" s="2"/>
      <c r="AA330" s="2"/>
      <c r="AB330" s="2"/>
      <c r="AC330" s="2"/>
      <c r="AD330" s="2"/>
      <c r="AE330" s="2"/>
      <c r="AF330" s="2"/>
      <c r="AG330" s="2"/>
    </row>
    <row r="331" ht="14.25" customHeight="1">
      <c r="A331" s="2"/>
      <c r="B331" s="2"/>
      <c r="C331" s="2"/>
      <c r="D331" s="2"/>
      <c r="E331" s="2"/>
      <c r="F331" s="2"/>
      <c r="G331" s="2"/>
      <c r="H331" s="146"/>
      <c r="I331" s="146"/>
      <c r="J331" s="146"/>
      <c r="K331" s="146"/>
      <c r="L331" s="2"/>
      <c r="M331" s="2"/>
      <c r="N331" s="2"/>
      <c r="O331" s="2"/>
      <c r="P331" s="2"/>
      <c r="Q331" s="2"/>
      <c r="R331" s="2"/>
      <c r="S331" s="2"/>
      <c r="T331" s="2"/>
      <c r="U331" s="2"/>
      <c r="V331" s="2"/>
      <c r="W331" s="2"/>
      <c r="X331" s="2"/>
      <c r="Y331" s="2"/>
      <c r="Z331" s="2"/>
      <c r="AA331" s="2"/>
      <c r="AB331" s="2"/>
      <c r="AC331" s="2"/>
      <c r="AD331" s="2"/>
      <c r="AE331" s="2"/>
      <c r="AF331" s="2"/>
      <c r="AG331" s="2"/>
    </row>
    <row r="332" ht="14.25" customHeight="1">
      <c r="A332" s="2"/>
      <c r="B332" s="2"/>
      <c r="C332" s="2"/>
      <c r="D332" s="2"/>
      <c r="E332" s="2"/>
      <c r="F332" s="2"/>
      <c r="G332" s="2"/>
      <c r="H332" s="146"/>
      <c r="I332" s="146"/>
      <c r="J332" s="146"/>
      <c r="K332" s="146"/>
      <c r="L332" s="2"/>
      <c r="M332" s="2"/>
      <c r="N332" s="2"/>
      <c r="O332" s="2"/>
      <c r="P332" s="2"/>
      <c r="Q332" s="2"/>
      <c r="R332" s="2"/>
      <c r="S332" s="2"/>
      <c r="T332" s="2"/>
      <c r="U332" s="2"/>
      <c r="V332" s="2"/>
      <c r="W332" s="2"/>
      <c r="X332" s="2"/>
      <c r="Y332" s="2"/>
      <c r="Z332" s="2"/>
      <c r="AA332" s="2"/>
      <c r="AB332" s="2"/>
      <c r="AC332" s="2"/>
      <c r="AD332" s="2"/>
      <c r="AE332" s="2"/>
      <c r="AF332" s="2"/>
      <c r="AG332" s="2"/>
    </row>
    <row r="333" ht="14.25" customHeight="1">
      <c r="A333" s="2"/>
      <c r="B333" s="2"/>
      <c r="C333" s="2"/>
      <c r="D333" s="2"/>
      <c r="E333" s="2"/>
      <c r="F333" s="2"/>
      <c r="G333" s="2"/>
      <c r="H333" s="146"/>
      <c r="I333" s="146"/>
      <c r="J333" s="146"/>
      <c r="K333" s="146"/>
      <c r="L333" s="2"/>
      <c r="M333" s="2"/>
      <c r="N333" s="2"/>
      <c r="O333" s="2"/>
      <c r="P333" s="2"/>
      <c r="Q333" s="2"/>
      <c r="R333" s="2"/>
      <c r="S333" s="2"/>
      <c r="T333" s="2"/>
      <c r="U333" s="2"/>
      <c r="V333" s="2"/>
      <c r="W333" s="2"/>
      <c r="X333" s="2"/>
      <c r="Y333" s="2"/>
      <c r="Z333" s="2"/>
      <c r="AA333" s="2"/>
      <c r="AB333" s="2"/>
      <c r="AC333" s="2"/>
      <c r="AD333" s="2"/>
      <c r="AE333" s="2"/>
      <c r="AF333" s="2"/>
      <c r="AG333" s="2"/>
    </row>
    <row r="334" ht="14.25" customHeight="1">
      <c r="A334" s="2"/>
      <c r="B334" s="2"/>
      <c r="C334" s="2"/>
      <c r="D334" s="2"/>
      <c r="E334" s="2"/>
      <c r="F334" s="2"/>
      <c r="G334" s="2"/>
      <c r="H334" s="146"/>
      <c r="I334" s="146"/>
      <c r="J334" s="146"/>
      <c r="K334" s="146"/>
      <c r="L334" s="2"/>
      <c r="M334" s="2"/>
      <c r="N334" s="2"/>
      <c r="O334" s="2"/>
      <c r="P334" s="2"/>
      <c r="Q334" s="2"/>
      <c r="R334" s="2"/>
      <c r="S334" s="2"/>
      <c r="T334" s="2"/>
      <c r="U334" s="2"/>
      <c r="V334" s="2"/>
      <c r="W334" s="2"/>
      <c r="X334" s="2"/>
      <c r="Y334" s="2"/>
      <c r="Z334" s="2"/>
      <c r="AA334" s="2"/>
      <c r="AB334" s="2"/>
      <c r="AC334" s="2"/>
      <c r="AD334" s="2"/>
      <c r="AE334" s="2"/>
      <c r="AF334" s="2"/>
      <c r="AG334" s="2"/>
    </row>
    <row r="335" ht="14.25" customHeight="1">
      <c r="A335" s="2"/>
      <c r="B335" s="2"/>
      <c r="C335" s="2"/>
      <c r="D335" s="2"/>
      <c r="E335" s="2"/>
      <c r="F335" s="2"/>
      <c r="G335" s="2"/>
      <c r="H335" s="146"/>
      <c r="I335" s="146"/>
      <c r="J335" s="146"/>
      <c r="K335" s="146"/>
      <c r="L335" s="2"/>
      <c r="M335" s="2"/>
      <c r="N335" s="2"/>
      <c r="O335" s="2"/>
      <c r="P335" s="2"/>
      <c r="Q335" s="2"/>
      <c r="R335" s="2"/>
      <c r="S335" s="2"/>
      <c r="T335" s="2"/>
      <c r="U335" s="2"/>
      <c r="V335" s="2"/>
      <c r="W335" s="2"/>
      <c r="X335" s="2"/>
      <c r="Y335" s="2"/>
      <c r="Z335" s="2"/>
      <c r="AA335" s="2"/>
      <c r="AB335" s="2"/>
      <c r="AC335" s="2"/>
      <c r="AD335" s="2"/>
      <c r="AE335" s="2"/>
      <c r="AF335" s="2"/>
      <c r="AG335" s="2"/>
    </row>
    <row r="336" ht="14.25" customHeight="1">
      <c r="A336" s="2"/>
      <c r="B336" s="2"/>
      <c r="C336" s="2"/>
      <c r="D336" s="2"/>
      <c r="E336" s="2"/>
      <c r="F336" s="2"/>
      <c r="G336" s="2"/>
      <c r="H336" s="146"/>
      <c r="I336" s="146"/>
      <c r="J336" s="146"/>
      <c r="K336" s="146"/>
      <c r="L336" s="2"/>
      <c r="M336" s="2"/>
      <c r="N336" s="2"/>
      <c r="O336" s="2"/>
      <c r="P336" s="2"/>
      <c r="Q336" s="2"/>
      <c r="R336" s="2"/>
      <c r="S336" s="2"/>
      <c r="T336" s="2"/>
      <c r="U336" s="2"/>
      <c r="V336" s="2"/>
      <c r="W336" s="2"/>
      <c r="X336" s="2"/>
      <c r="Y336" s="2"/>
      <c r="Z336" s="2"/>
      <c r="AA336" s="2"/>
      <c r="AB336" s="2"/>
      <c r="AC336" s="2"/>
      <c r="AD336" s="2"/>
      <c r="AE336" s="2"/>
      <c r="AF336" s="2"/>
      <c r="AG336" s="2"/>
    </row>
    <row r="337" ht="14.25" customHeight="1">
      <c r="A337" s="2"/>
      <c r="B337" s="2"/>
      <c r="C337" s="2"/>
      <c r="D337" s="2"/>
      <c r="E337" s="2"/>
      <c r="F337" s="2"/>
      <c r="G337" s="2"/>
      <c r="H337" s="146"/>
      <c r="I337" s="146"/>
      <c r="J337" s="146"/>
      <c r="K337" s="146"/>
      <c r="L337" s="2"/>
      <c r="M337" s="2"/>
      <c r="N337" s="2"/>
      <c r="O337" s="2"/>
      <c r="P337" s="2"/>
      <c r="Q337" s="2"/>
      <c r="R337" s="2"/>
      <c r="S337" s="2"/>
      <c r="T337" s="2"/>
      <c r="U337" s="2"/>
      <c r="V337" s="2"/>
      <c r="W337" s="2"/>
      <c r="X337" s="2"/>
      <c r="Y337" s="2"/>
      <c r="Z337" s="2"/>
      <c r="AA337" s="2"/>
      <c r="AB337" s="2"/>
      <c r="AC337" s="2"/>
      <c r="AD337" s="2"/>
      <c r="AE337" s="2"/>
      <c r="AF337" s="2"/>
      <c r="AG337" s="2"/>
    </row>
    <row r="338" ht="14.25" customHeight="1">
      <c r="A338" s="2"/>
      <c r="B338" s="2"/>
      <c r="C338" s="2"/>
      <c r="D338" s="2"/>
      <c r="E338" s="2"/>
      <c r="F338" s="2"/>
      <c r="G338" s="2"/>
      <c r="H338" s="146"/>
      <c r="I338" s="146"/>
      <c r="J338" s="146"/>
      <c r="K338" s="146"/>
      <c r="L338" s="2"/>
      <c r="M338" s="2"/>
      <c r="N338" s="2"/>
      <c r="O338" s="2"/>
      <c r="P338" s="2"/>
      <c r="Q338" s="2"/>
      <c r="R338" s="2"/>
      <c r="S338" s="2"/>
      <c r="T338" s="2"/>
      <c r="U338" s="2"/>
      <c r="V338" s="2"/>
      <c r="W338" s="2"/>
      <c r="X338" s="2"/>
      <c r="Y338" s="2"/>
      <c r="Z338" s="2"/>
      <c r="AA338" s="2"/>
      <c r="AB338" s="2"/>
      <c r="AC338" s="2"/>
      <c r="AD338" s="2"/>
      <c r="AE338" s="2"/>
      <c r="AF338" s="2"/>
      <c r="AG338" s="2"/>
    </row>
    <row r="339" ht="14.25" customHeight="1">
      <c r="A339" s="2"/>
      <c r="B339" s="2"/>
      <c r="C339" s="2"/>
      <c r="D339" s="2"/>
      <c r="E339" s="2"/>
      <c r="F339" s="2"/>
      <c r="G339" s="2"/>
      <c r="H339" s="146"/>
      <c r="I339" s="146"/>
      <c r="J339" s="146"/>
      <c r="K339" s="146"/>
      <c r="L339" s="2"/>
      <c r="M339" s="2"/>
      <c r="N339" s="2"/>
      <c r="O339" s="2"/>
      <c r="P339" s="2"/>
      <c r="Q339" s="2"/>
      <c r="R339" s="2"/>
      <c r="S339" s="2"/>
      <c r="T339" s="2"/>
      <c r="U339" s="2"/>
      <c r="V339" s="2"/>
      <c r="W339" s="2"/>
      <c r="X339" s="2"/>
      <c r="Y339" s="2"/>
      <c r="Z339" s="2"/>
      <c r="AA339" s="2"/>
      <c r="AB339" s="2"/>
      <c r="AC339" s="2"/>
      <c r="AD339" s="2"/>
      <c r="AE339" s="2"/>
      <c r="AF339" s="2"/>
      <c r="AG339" s="2"/>
    </row>
    <row r="340" ht="14.25" customHeight="1">
      <c r="A340" s="2"/>
      <c r="B340" s="2"/>
      <c r="C340" s="2"/>
      <c r="D340" s="2"/>
      <c r="E340" s="2"/>
      <c r="F340" s="2"/>
      <c r="G340" s="2"/>
      <c r="H340" s="146"/>
      <c r="I340" s="146"/>
      <c r="J340" s="146"/>
      <c r="K340" s="146"/>
      <c r="L340" s="2"/>
      <c r="M340" s="2"/>
      <c r="N340" s="2"/>
      <c r="O340" s="2"/>
      <c r="P340" s="2"/>
      <c r="Q340" s="2"/>
      <c r="R340" s="2"/>
      <c r="S340" s="2"/>
      <c r="T340" s="2"/>
      <c r="U340" s="2"/>
      <c r="V340" s="2"/>
      <c r="W340" s="2"/>
      <c r="X340" s="2"/>
      <c r="Y340" s="2"/>
      <c r="Z340" s="2"/>
      <c r="AA340" s="2"/>
      <c r="AB340" s="2"/>
      <c r="AC340" s="2"/>
      <c r="AD340" s="2"/>
      <c r="AE340" s="2"/>
      <c r="AF340" s="2"/>
      <c r="AG340" s="2"/>
    </row>
    <row r="341" ht="14.25" customHeight="1">
      <c r="A341" s="2"/>
      <c r="B341" s="2"/>
      <c r="C341" s="2"/>
      <c r="D341" s="2"/>
      <c r="E341" s="2"/>
      <c r="F341" s="2"/>
      <c r="G341" s="2"/>
      <c r="H341" s="146"/>
      <c r="I341" s="146"/>
      <c r="J341" s="146"/>
      <c r="K341" s="146"/>
      <c r="L341" s="2"/>
      <c r="M341" s="2"/>
      <c r="N341" s="2"/>
      <c r="O341" s="2"/>
      <c r="P341" s="2"/>
      <c r="Q341" s="2"/>
      <c r="R341" s="2"/>
      <c r="S341" s="2"/>
      <c r="T341" s="2"/>
      <c r="U341" s="2"/>
      <c r="V341" s="2"/>
      <c r="W341" s="2"/>
      <c r="X341" s="2"/>
      <c r="Y341" s="2"/>
      <c r="Z341" s="2"/>
      <c r="AA341" s="2"/>
      <c r="AB341" s="2"/>
      <c r="AC341" s="2"/>
      <c r="AD341" s="2"/>
      <c r="AE341" s="2"/>
      <c r="AF341" s="2"/>
      <c r="AG341" s="2"/>
    </row>
    <row r="342" ht="14.25" customHeight="1">
      <c r="A342" s="2"/>
      <c r="B342" s="2"/>
      <c r="C342" s="2"/>
      <c r="D342" s="2"/>
      <c r="E342" s="2"/>
      <c r="F342" s="2"/>
      <c r="G342" s="2"/>
      <c r="H342" s="146"/>
      <c r="I342" s="146"/>
      <c r="J342" s="146"/>
      <c r="K342" s="146"/>
      <c r="L342" s="2"/>
      <c r="M342" s="2"/>
      <c r="N342" s="2"/>
      <c r="O342" s="2"/>
      <c r="P342" s="2"/>
      <c r="Q342" s="2"/>
      <c r="R342" s="2"/>
      <c r="S342" s="2"/>
      <c r="T342" s="2"/>
      <c r="U342" s="2"/>
      <c r="V342" s="2"/>
      <c r="W342" s="2"/>
      <c r="X342" s="2"/>
      <c r="Y342" s="2"/>
      <c r="Z342" s="2"/>
      <c r="AA342" s="2"/>
      <c r="AB342" s="2"/>
      <c r="AC342" s="2"/>
      <c r="AD342" s="2"/>
      <c r="AE342" s="2"/>
      <c r="AF342" s="2"/>
      <c r="AG342" s="2"/>
    </row>
    <row r="343" ht="14.25" customHeight="1">
      <c r="A343" s="2"/>
      <c r="B343" s="2"/>
      <c r="C343" s="2"/>
      <c r="D343" s="2"/>
      <c r="E343" s="2"/>
      <c r="F343" s="2"/>
      <c r="G343" s="2"/>
      <c r="H343" s="146"/>
      <c r="I343" s="146"/>
      <c r="J343" s="146"/>
      <c r="K343" s="146"/>
      <c r="L343" s="2"/>
      <c r="M343" s="2"/>
      <c r="N343" s="2"/>
      <c r="O343" s="2"/>
      <c r="P343" s="2"/>
      <c r="Q343" s="2"/>
      <c r="R343" s="2"/>
      <c r="S343" s="2"/>
      <c r="T343" s="2"/>
      <c r="U343" s="2"/>
      <c r="V343" s="2"/>
      <c r="W343" s="2"/>
      <c r="X343" s="2"/>
      <c r="Y343" s="2"/>
      <c r="Z343" s="2"/>
      <c r="AA343" s="2"/>
      <c r="AB343" s="2"/>
      <c r="AC343" s="2"/>
      <c r="AD343" s="2"/>
      <c r="AE343" s="2"/>
      <c r="AF343" s="2"/>
      <c r="AG343" s="2"/>
    </row>
    <row r="344" ht="14.25" customHeight="1">
      <c r="A344" s="2"/>
      <c r="B344" s="2"/>
      <c r="C344" s="2"/>
      <c r="D344" s="2"/>
      <c r="E344" s="2"/>
      <c r="F344" s="2"/>
      <c r="G344" s="2"/>
      <c r="H344" s="146"/>
      <c r="I344" s="146"/>
      <c r="J344" s="146"/>
      <c r="K344" s="146"/>
      <c r="L344" s="2"/>
      <c r="M344" s="2"/>
      <c r="N344" s="2"/>
      <c r="O344" s="2"/>
      <c r="P344" s="2"/>
      <c r="Q344" s="2"/>
      <c r="R344" s="2"/>
      <c r="S344" s="2"/>
      <c r="T344" s="2"/>
      <c r="U344" s="2"/>
      <c r="V344" s="2"/>
      <c r="W344" s="2"/>
      <c r="X344" s="2"/>
      <c r="Y344" s="2"/>
      <c r="Z344" s="2"/>
      <c r="AA344" s="2"/>
      <c r="AB344" s="2"/>
      <c r="AC344" s="2"/>
      <c r="AD344" s="2"/>
      <c r="AE344" s="2"/>
      <c r="AF344" s="2"/>
      <c r="AG344" s="2"/>
    </row>
    <row r="345" ht="14.25" customHeight="1">
      <c r="A345" s="2"/>
      <c r="B345" s="2"/>
      <c r="C345" s="2"/>
      <c r="D345" s="2"/>
      <c r="E345" s="2"/>
      <c r="F345" s="2"/>
      <c r="G345" s="2"/>
      <c r="H345" s="146"/>
      <c r="I345" s="146"/>
      <c r="J345" s="146"/>
      <c r="K345" s="146"/>
      <c r="L345" s="2"/>
      <c r="M345" s="2"/>
      <c r="N345" s="2"/>
      <c r="O345" s="2"/>
      <c r="P345" s="2"/>
      <c r="Q345" s="2"/>
      <c r="R345" s="2"/>
      <c r="S345" s="2"/>
      <c r="T345" s="2"/>
      <c r="U345" s="2"/>
      <c r="V345" s="2"/>
      <c r="W345" s="2"/>
      <c r="X345" s="2"/>
      <c r="Y345" s="2"/>
      <c r="Z345" s="2"/>
      <c r="AA345" s="2"/>
      <c r="AB345" s="2"/>
      <c r="AC345" s="2"/>
      <c r="AD345" s="2"/>
      <c r="AE345" s="2"/>
      <c r="AF345" s="2"/>
      <c r="AG345" s="2"/>
    </row>
    <row r="346" ht="14.25" customHeight="1">
      <c r="A346" s="2"/>
      <c r="B346" s="2"/>
      <c r="C346" s="2"/>
      <c r="D346" s="2"/>
      <c r="E346" s="2"/>
      <c r="F346" s="2"/>
      <c r="G346" s="2"/>
      <c r="H346" s="146"/>
      <c r="I346" s="146"/>
      <c r="J346" s="146"/>
      <c r="K346" s="146"/>
      <c r="L346" s="2"/>
      <c r="M346" s="2"/>
      <c r="N346" s="2"/>
      <c r="O346" s="2"/>
      <c r="P346" s="2"/>
      <c r="Q346" s="2"/>
      <c r="R346" s="2"/>
      <c r="S346" s="2"/>
      <c r="T346" s="2"/>
      <c r="U346" s="2"/>
      <c r="V346" s="2"/>
      <c r="W346" s="2"/>
      <c r="X346" s="2"/>
      <c r="Y346" s="2"/>
      <c r="Z346" s="2"/>
      <c r="AA346" s="2"/>
      <c r="AB346" s="2"/>
      <c r="AC346" s="2"/>
      <c r="AD346" s="2"/>
      <c r="AE346" s="2"/>
      <c r="AF346" s="2"/>
      <c r="AG346" s="2"/>
    </row>
    <row r="347" ht="14.25" customHeight="1">
      <c r="A347" s="2"/>
      <c r="B347" s="2"/>
      <c r="C347" s="2"/>
      <c r="D347" s="2"/>
      <c r="E347" s="2"/>
      <c r="F347" s="2"/>
      <c r="G347" s="2"/>
      <c r="H347" s="146"/>
      <c r="I347" s="146"/>
      <c r="J347" s="146"/>
      <c r="K347" s="146"/>
      <c r="L347" s="2"/>
      <c r="M347" s="2"/>
      <c r="N347" s="2"/>
      <c r="O347" s="2"/>
      <c r="P347" s="2"/>
      <c r="Q347" s="2"/>
      <c r="R347" s="2"/>
      <c r="S347" s="2"/>
      <c r="T347" s="2"/>
      <c r="U347" s="2"/>
      <c r="V347" s="2"/>
      <c r="W347" s="2"/>
      <c r="X347" s="2"/>
      <c r="Y347" s="2"/>
      <c r="Z347" s="2"/>
      <c r="AA347" s="2"/>
      <c r="AB347" s="2"/>
      <c r="AC347" s="2"/>
      <c r="AD347" s="2"/>
      <c r="AE347" s="2"/>
      <c r="AF347" s="2"/>
      <c r="AG347" s="2"/>
    </row>
    <row r="348" ht="14.25" customHeight="1">
      <c r="A348" s="2"/>
      <c r="B348" s="2"/>
      <c r="C348" s="2"/>
      <c r="D348" s="2"/>
      <c r="E348" s="2"/>
      <c r="F348" s="2"/>
      <c r="G348" s="2"/>
      <c r="H348" s="146"/>
      <c r="I348" s="146"/>
      <c r="J348" s="146"/>
      <c r="K348" s="146"/>
      <c r="L348" s="2"/>
      <c r="M348" s="2"/>
      <c r="N348" s="2"/>
      <c r="O348" s="2"/>
      <c r="P348" s="2"/>
      <c r="Q348" s="2"/>
      <c r="R348" s="2"/>
      <c r="S348" s="2"/>
      <c r="T348" s="2"/>
      <c r="U348" s="2"/>
      <c r="V348" s="2"/>
      <c r="W348" s="2"/>
      <c r="X348" s="2"/>
      <c r="Y348" s="2"/>
      <c r="Z348" s="2"/>
      <c r="AA348" s="2"/>
      <c r="AB348" s="2"/>
      <c r="AC348" s="2"/>
      <c r="AD348" s="2"/>
      <c r="AE348" s="2"/>
      <c r="AF348" s="2"/>
      <c r="AG348" s="2"/>
    </row>
    <row r="349" ht="14.25" customHeight="1">
      <c r="A349" s="2"/>
      <c r="B349" s="2"/>
      <c r="C349" s="2"/>
      <c r="D349" s="2"/>
      <c r="E349" s="2"/>
      <c r="F349" s="2"/>
      <c r="G349" s="2"/>
      <c r="H349" s="146"/>
      <c r="I349" s="146"/>
      <c r="J349" s="146"/>
      <c r="K349" s="146"/>
      <c r="L349" s="2"/>
      <c r="M349" s="2"/>
      <c r="N349" s="2"/>
      <c r="O349" s="2"/>
      <c r="P349" s="2"/>
      <c r="Q349" s="2"/>
      <c r="R349" s="2"/>
      <c r="S349" s="2"/>
      <c r="T349" s="2"/>
      <c r="U349" s="2"/>
      <c r="V349" s="2"/>
      <c r="W349" s="2"/>
      <c r="X349" s="2"/>
      <c r="Y349" s="2"/>
      <c r="Z349" s="2"/>
      <c r="AA349" s="2"/>
      <c r="AB349" s="2"/>
      <c r="AC349" s="2"/>
      <c r="AD349" s="2"/>
      <c r="AE349" s="2"/>
      <c r="AF349" s="2"/>
      <c r="AG349" s="2"/>
    </row>
    <row r="350" ht="14.25" customHeight="1">
      <c r="A350" s="2"/>
      <c r="B350" s="2"/>
      <c r="C350" s="2"/>
      <c r="D350" s="2"/>
      <c r="E350" s="2"/>
      <c r="F350" s="2"/>
      <c r="G350" s="2"/>
      <c r="H350" s="146"/>
      <c r="I350" s="146"/>
      <c r="J350" s="146"/>
      <c r="K350" s="146"/>
      <c r="L350" s="2"/>
      <c r="M350" s="2"/>
      <c r="N350" s="2"/>
      <c r="O350" s="2"/>
      <c r="P350" s="2"/>
      <c r="Q350" s="2"/>
      <c r="R350" s="2"/>
      <c r="S350" s="2"/>
      <c r="T350" s="2"/>
      <c r="U350" s="2"/>
      <c r="V350" s="2"/>
      <c r="W350" s="2"/>
      <c r="X350" s="2"/>
      <c r="Y350" s="2"/>
      <c r="Z350" s="2"/>
      <c r="AA350" s="2"/>
      <c r="AB350" s="2"/>
      <c r="AC350" s="2"/>
      <c r="AD350" s="2"/>
      <c r="AE350" s="2"/>
      <c r="AF350" s="2"/>
      <c r="AG350" s="2"/>
    </row>
    <row r="351" ht="14.25" customHeight="1">
      <c r="A351" s="2"/>
      <c r="B351" s="2"/>
      <c r="C351" s="2"/>
      <c r="D351" s="2"/>
      <c r="E351" s="2"/>
      <c r="F351" s="2"/>
      <c r="G351" s="2"/>
      <c r="H351" s="146"/>
      <c r="I351" s="146"/>
      <c r="J351" s="146"/>
      <c r="K351" s="146"/>
      <c r="L351" s="2"/>
      <c r="M351" s="2"/>
      <c r="N351" s="2"/>
      <c r="O351" s="2"/>
      <c r="P351" s="2"/>
      <c r="Q351" s="2"/>
      <c r="R351" s="2"/>
      <c r="S351" s="2"/>
      <c r="T351" s="2"/>
      <c r="U351" s="2"/>
      <c r="V351" s="2"/>
      <c r="W351" s="2"/>
      <c r="X351" s="2"/>
      <c r="Y351" s="2"/>
      <c r="Z351" s="2"/>
      <c r="AA351" s="2"/>
      <c r="AB351" s="2"/>
      <c r="AC351" s="2"/>
      <c r="AD351" s="2"/>
      <c r="AE351" s="2"/>
      <c r="AF351" s="2"/>
      <c r="AG351" s="2"/>
    </row>
    <row r="352" ht="14.25" customHeight="1">
      <c r="A352" s="2"/>
      <c r="B352" s="2"/>
      <c r="C352" s="2"/>
      <c r="D352" s="2"/>
      <c r="E352" s="2"/>
      <c r="F352" s="2"/>
      <c r="G352" s="2"/>
      <c r="H352" s="146"/>
      <c r="I352" s="146"/>
      <c r="J352" s="146"/>
      <c r="K352" s="146"/>
      <c r="L352" s="2"/>
      <c r="M352" s="2"/>
      <c r="N352" s="2"/>
      <c r="O352" s="2"/>
      <c r="P352" s="2"/>
      <c r="Q352" s="2"/>
      <c r="R352" s="2"/>
      <c r="S352" s="2"/>
      <c r="T352" s="2"/>
      <c r="U352" s="2"/>
      <c r="V352" s="2"/>
      <c r="W352" s="2"/>
      <c r="X352" s="2"/>
      <c r="Y352" s="2"/>
      <c r="Z352" s="2"/>
      <c r="AA352" s="2"/>
      <c r="AB352" s="2"/>
      <c r="AC352" s="2"/>
      <c r="AD352" s="2"/>
      <c r="AE352" s="2"/>
      <c r="AF352" s="2"/>
      <c r="AG352" s="2"/>
    </row>
    <row r="353" ht="14.25" customHeight="1">
      <c r="A353" s="2"/>
      <c r="B353" s="2"/>
      <c r="C353" s="2"/>
      <c r="D353" s="2"/>
      <c r="E353" s="2"/>
      <c r="F353" s="2"/>
      <c r="G353" s="2"/>
      <c r="H353" s="146"/>
      <c r="I353" s="146"/>
      <c r="J353" s="146"/>
      <c r="K353" s="146"/>
      <c r="L353" s="2"/>
      <c r="M353" s="2"/>
      <c r="N353" s="2"/>
      <c r="O353" s="2"/>
      <c r="P353" s="2"/>
      <c r="Q353" s="2"/>
      <c r="R353" s="2"/>
      <c r="S353" s="2"/>
      <c r="T353" s="2"/>
      <c r="U353" s="2"/>
      <c r="V353" s="2"/>
      <c r="W353" s="2"/>
      <c r="X353" s="2"/>
      <c r="Y353" s="2"/>
      <c r="Z353" s="2"/>
      <c r="AA353" s="2"/>
      <c r="AB353" s="2"/>
      <c r="AC353" s="2"/>
      <c r="AD353" s="2"/>
      <c r="AE353" s="2"/>
      <c r="AF353" s="2"/>
      <c r="AG353" s="2"/>
    </row>
    <row r="354" ht="14.25" customHeight="1">
      <c r="A354" s="2"/>
      <c r="B354" s="2"/>
      <c r="C354" s="2"/>
      <c r="D354" s="2"/>
      <c r="E354" s="2"/>
      <c r="F354" s="2"/>
      <c r="G354" s="2"/>
      <c r="H354" s="146"/>
      <c r="I354" s="146"/>
      <c r="J354" s="146"/>
      <c r="K354" s="146"/>
      <c r="L354" s="2"/>
      <c r="M354" s="2"/>
      <c r="N354" s="2"/>
      <c r="O354" s="2"/>
      <c r="P354" s="2"/>
      <c r="Q354" s="2"/>
      <c r="R354" s="2"/>
      <c r="S354" s="2"/>
      <c r="T354" s="2"/>
      <c r="U354" s="2"/>
      <c r="V354" s="2"/>
      <c r="W354" s="2"/>
      <c r="X354" s="2"/>
      <c r="Y354" s="2"/>
      <c r="Z354" s="2"/>
      <c r="AA354" s="2"/>
      <c r="AB354" s="2"/>
      <c r="AC354" s="2"/>
      <c r="AD354" s="2"/>
      <c r="AE354" s="2"/>
      <c r="AF354" s="2"/>
      <c r="AG354" s="2"/>
    </row>
    <row r="355" ht="14.25" customHeight="1">
      <c r="A355" s="2"/>
      <c r="B355" s="2"/>
      <c r="C355" s="2"/>
      <c r="D355" s="2"/>
      <c r="E355" s="2"/>
      <c r="F355" s="2"/>
      <c r="G355" s="2"/>
      <c r="H355" s="146"/>
      <c r="I355" s="146"/>
      <c r="J355" s="146"/>
      <c r="K355" s="146"/>
      <c r="L355" s="2"/>
      <c r="M355" s="2"/>
      <c r="N355" s="2"/>
      <c r="O355" s="2"/>
      <c r="P355" s="2"/>
      <c r="Q355" s="2"/>
      <c r="R355" s="2"/>
      <c r="S355" s="2"/>
      <c r="T355" s="2"/>
      <c r="U355" s="2"/>
      <c r="V355" s="2"/>
      <c r="W355" s="2"/>
      <c r="X355" s="2"/>
      <c r="Y355" s="2"/>
      <c r="Z355" s="2"/>
      <c r="AA355" s="2"/>
      <c r="AB355" s="2"/>
      <c r="AC355" s="2"/>
      <c r="AD355" s="2"/>
      <c r="AE355" s="2"/>
      <c r="AF355" s="2"/>
      <c r="AG355" s="2"/>
    </row>
    <row r="356" ht="14.25" customHeight="1">
      <c r="A356" s="2"/>
      <c r="B356" s="2"/>
      <c r="C356" s="2"/>
      <c r="D356" s="2"/>
      <c r="E356" s="2"/>
      <c r="F356" s="2"/>
      <c r="G356" s="2"/>
      <c r="H356" s="146"/>
      <c r="I356" s="146"/>
      <c r="J356" s="146"/>
      <c r="K356" s="146"/>
      <c r="L356" s="2"/>
      <c r="M356" s="2"/>
      <c r="N356" s="2"/>
      <c r="O356" s="2"/>
      <c r="P356" s="2"/>
      <c r="Q356" s="2"/>
      <c r="R356" s="2"/>
      <c r="S356" s="2"/>
      <c r="T356" s="2"/>
      <c r="U356" s="2"/>
      <c r="V356" s="2"/>
      <c r="W356" s="2"/>
      <c r="X356" s="2"/>
      <c r="Y356" s="2"/>
      <c r="Z356" s="2"/>
      <c r="AA356" s="2"/>
      <c r="AB356" s="2"/>
      <c r="AC356" s="2"/>
      <c r="AD356" s="2"/>
      <c r="AE356" s="2"/>
      <c r="AF356" s="2"/>
      <c r="AG356" s="2"/>
    </row>
    <row r="357" ht="14.25" customHeight="1">
      <c r="A357" s="2"/>
      <c r="B357" s="2"/>
      <c r="C357" s="2"/>
      <c r="D357" s="2"/>
      <c r="E357" s="2"/>
      <c r="F357" s="2"/>
      <c r="G357" s="2"/>
      <c r="H357" s="146"/>
      <c r="I357" s="146"/>
      <c r="J357" s="146"/>
      <c r="K357" s="146"/>
      <c r="L357" s="2"/>
      <c r="M357" s="2"/>
      <c r="N357" s="2"/>
      <c r="O357" s="2"/>
      <c r="P357" s="2"/>
      <c r="Q357" s="2"/>
      <c r="R357" s="2"/>
      <c r="S357" s="2"/>
      <c r="T357" s="2"/>
      <c r="U357" s="2"/>
      <c r="V357" s="2"/>
      <c r="W357" s="2"/>
      <c r="X357" s="2"/>
      <c r="Y357" s="2"/>
      <c r="Z357" s="2"/>
      <c r="AA357" s="2"/>
      <c r="AB357" s="2"/>
      <c r="AC357" s="2"/>
      <c r="AD357" s="2"/>
      <c r="AE357" s="2"/>
      <c r="AF357" s="2"/>
      <c r="AG357" s="2"/>
    </row>
    <row r="358" ht="14.25" customHeight="1">
      <c r="A358" s="2"/>
      <c r="B358" s="2"/>
      <c r="C358" s="2"/>
      <c r="D358" s="2"/>
      <c r="E358" s="2"/>
      <c r="F358" s="2"/>
      <c r="G358" s="2"/>
      <c r="H358" s="146"/>
      <c r="I358" s="146"/>
      <c r="J358" s="146"/>
      <c r="K358" s="146"/>
      <c r="L358" s="2"/>
      <c r="M358" s="2"/>
      <c r="N358" s="2"/>
      <c r="O358" s="2"/>
      <c r="P358" s="2"/>
      <c r="Q358" s="2"/>
      <c r="R358" s="2"/>
      <c r="S358" s="2"/>
      <c r="T358" s="2"/>
      <c r="U358" s="2"/>
      <c r="V358" s="2"/>
      <c r="W358" s="2"/>
      <c r="X358" s="2"/>
      <c r="Y358" s="2"/>
      <c r="Z358" s="2"/>
      <c r="AA358" s="2"/>
      <c r="AB358" s="2"/>
      <c r="AC358" s="2"/>
      <c r="AD358" s="2"/>
      <c r="AE358" s="2"/>
      <c r="AF358" s="2"/>
      <c r="AG358" s="2"/>
    </row>
    <row r="359" ht="14.25" customHeight="1">
      <c r="A359" s="2"/>
      <c r="B359" s="2"/>
      <c r="C359" s="2"/>
      <c r="D359" s="2"/>
      <c r="E359" s="2"/>
      <c r="F359" s="2"/>
      <c r="G359" s="2"/>
      <c r="H359" s="146"/>
      <c r="I359" s="146"/>
      <c r="J359" s="146"/>
      <c r="K359" s="146"/>
      <c r="L359" s="2"/>
      <c r="M359" s="2"/>
      <c r="N359" s="2"/>
      <c r="O359" s="2"/>
      <c r="P359" s="2"/>
      <c r="Q359" s="2"/>
      <c r="R359" s="2"/>
      <c r="S359" s="2"/>
      <c r="T359" s="2"/>
      <c r="U359" s="2"/>
      <c r="V359" s="2"/>
      <c r="W359" s="2"/>
      <c r="X359" s="2"/>
      <c r="Y359" s="2"/>
      <c r="Z359" s="2"/>
      <c r="AA359" s="2"/>
      <c r="AB359" s="2"/>
      <c r="AC359" s="2"/>
      <c r="AD359" s="2"/>
      <c r="AE359" s="2"/>
      <c r="AF359" s="2"/>
      <c r="AG359" s="2"/>
    </row>
    <row r="360" ht="14.25" customHeight="1">
      <c r="A360" s="2"/>
      <c r="B360" s="2"/>
      <c r="C360" s="2"/>
      <c r="D360" s="2"/>
      <c r="E360" s="2"/>
      <c r="F360" s="2"/>
      <c r="G360" s="2"/>
      <c r="H360" s="146"/>
      <c r="I360" s="146"/>
      <c r="J360" s="146"/>
      <c r="K360" s="146"/>
      <c r="L360" s="2"/>
      <c r="M360" s="2"/>
      <c r="N360" s="2"/>
      <c r="O360" s="2"/>
      <c r="P360" s="2"/>
      <c r="Q360" s="2"/>
      <c r="R360" s="2"/>
      <c r="S360" s="2"/>
      <c r="T360" s="2"/>
      <c r="U360" s="2"/>
      <c r="V360" s="2"/>
      <c r="W360" s="2"/>
      <c r="X360" s="2"/>
      <c r="Y360" s="2"/>
      <c r="Z360" s="2"/>
      <c r="AA360" s="2"/>
      <c r="AB360" s="2"/>
      <c r="AC360" s="2"/>
      <c r="AD360" s="2"/>
      <c r="AE360" s="2"/>
      <c r="AF360" s="2"/>
      <c r="AG360" s="2"/>
    </row>
    <row r="361" ht="14.25" customHeight="1">
      <c r="A361" s="2"/>
      <c r="B361" s="2"/>
      <c r="C361" s="2"/>
      <c r="D361" s="2"/>
      <c r="E361" s="2"/>
      <c r="F361" s="2"/>
      <c r="G361" s="2"/>
      <c r="H361" s="146"/>
      <c r="I361" s="146"/>
      <c r="J361" s="146"/>
      <c r="K361" s="146"/>
      <c r="L361" s="2"/>
      <c r="M361" s="2"/>
      <c r="N361" s="2"/>
      <c r="O361" s="2"/>
      <c r="P361" s="2"/>
      <c r="Q361" s="2"/>
      <c r="R361" s="2"/>
      <c r="S361" s="2"/>
      <c r="T361" s="2"/>
      <c r="U361" s="2"/>
      <c r="V361" s="2"/>
      <c r="W361" s="2"/>
      <c r="X361" s="2"/>
      <c r="Y361" s="2"/>
      <c r="Z361" s="2"/>
      <c r="AA361" s="2"/>
      <c r="AB361" s="2"/>
      <c r="AC361" s="2"/>
      <c r="AD361" s="2"/>
      <c r="AE361" s="2"/>
      <c r="AF361" s="2"/>
      <c r="AG361" s="2"/>
    </row>
    <row r="362" ht="14.25" customHeight="1">
      <c r="A362" s="2"/>
      <c r="B362" s="2"/>
      <c r="C362" s="2"/>
      <c r="D362" s="2"/>
      <c r="E362" s="2"/>
      <c r="F362" s="2"/>
      <c r="G362" s="2"/>
      <c r="H362" s="146"/>
      <c r="I362" s="146"/>
      <c r="J362" s="146"/>
      <c r="K362" s="146"/>
      <c r="L362" s="2"/>
      <c r="M362" s="2"/>
      <c r="N362" s="2"/>
      <c r="O362" s="2"/>
      <c r="P362" s="2"/>
      <c r="Q362" s="2"/>
      <c r="R362" s="2"/>
      <c r="S362" s="2"/>
      <c r="T362" s="2"/>
      <c r="U362" s="2"/>
      <c r="V362" s="2"/>
      <c r="W362" s="2"/>
      <c r="X362" s="2"/>
      <c r="Y362" s="2"/>
      <c r="Z362" s="2"/>
      <c r="AA362" s="2"/>
      <c r="AB362" s="2"/>
      <c r="AC362" s="2"/>
      <c r="AD362" s="2"/>
      <c r="AE362" s="2"/>
      <c r="AF362" s="2"/>
      <c r="AG362" s="2"/>
    </row>
    <row r="363" ht="14.25" customHeight="1">
      <c r="A363" s="2"/>
      <c r="B363" s="2"/>
      <c r="C363" s="2"/>
      <c r="D363" s="2"/>
      <c r="E363" s="2"/>
      <c r="F363" s="2"/>
      <c r="G363" s="2"/>
      <c r="H363" s="146"/>
      <c r="I363" s="146"/>
      <c r="J363" s="146"/>
      <c r="K363" s="146"/>
      <c r="L363" s="2"/>
      <c r="M363" s="2"/>
      <c r="N363" s="2"/>
      <c r="O363" s="2"/>
      <c r="P363" s="2"/>
      <c r="Q363" s="2"/>
      <c r="R363" s="2"/>
      <c r="S363" s="2"/>
      <c r="T363" s="2"/>
      <c r="U363" s="2"/>
      <c r="V363" s="2"/>
      <c r="W363" s="2"/>
      <c r="X363" s="2"/>
      <c r="Y363" s="2"/>
      <c r="Z363" s="2"/>
      <c r="AA363" s="2"/>
      <c r="AB363" s="2"/>
      <c r="AC363" s="2"/>
      <c r="AD363" s="2"/>
      <c r="AE363" s="2"/>
      <c r="AF363" s="2"/>
      <c r="AG363" s="2"/>
    </row>
    <row r="364" ht="14.25" customHeight="1">
      <c r="A364" s="2"/>
      <c r="B364" s="2"/>
      <c r="C364" s="2"/>
      <c r="D364" s="2"/>
      <c r="E364" s="2"/>
      <c r="F364" s="2"/>
      <c r="G364" s="2"/>
      <c r="H364" s="146"/>
      <c r="I364" s="146"/>
      <c r="J364" s="146"/>
      <c r="K364" s="146"/>
      <c r="L364" s="2"/>
      <c r="M364" s="2"/>
      <c r="N364" s="2"/>
      <c r="O364" s="2"/>
      <c r="P364" s="2"/>
      <c r="Q364" s="2"/>
      <c r="R364" s="2"/>
      <c r="S364" s="2"/>
      <c r="T364" s="2"/>
      <c r="U364" s="2"/>
      <c r="V364" s="2"/>
      <c r="W364" s="2"/>
      <c r="X364" s="2"/>
      <c r="Y364" s="2"/>
      <c r="Z364" s="2"/>
      <c r="AA364" s="2"/>
      <c r="AB364" s="2"/>
      <c r="AC364" s="2"/>
      <c r="AD364" s="2"/>
      <c r="AE364" s="2"/>
      <c r="AF364" s="2"/>
      <c r="AG364" s="2"/>
    </row>
    <row r="365" ht="14.25" customHeight="1">
      <c r="A365" s="2"/>
      <c r="B365" s="2"/>
      <c r="C365" s="2"/>
      <c r="D365" s="2"/>
      <c r="E365" s="2"/>
      <c r="F365" s="2"/>
      <c r="G365" s="2"/>
      <c r="H365" s="146"/>
      <c r="I365" s="146"/>
      <c r="J365" s="146"/>
      <c r="K365" s="146"/>
      <c r="L365" s="2"/>
      <c r="M365" s="2"/>
      <c r="N365" s="2"/>
      <c r="O365" s="2"/>
      <c r="P365" s="2"/>
      <c r="Q365" s="2"/>
      <c r="R365" s="2"/>
      <c r="S365" s="2"/>
      <c r="T365" s="2"/>
      <c r="U365" s="2"/>
      <c r="V365" s="2"/>
      <c r="W365" s="2"/>
      <c r="X365" s="2"/>
      <c r="Y365" s="2"/>
      <c r="Z365" s="2"/>
      <c r="AA365" s="2"/>
      <c r="AB365" s="2"/>
      <c r="AC365" s="2"/>
      <c r="AD365" s="2"/>
      <c r="AE365" s="2"/>
      <c r="AF365" s="2"/>
      <c r="AG365" s="2"/>
    </row>
    <row r="366" ht="14.25" customHeight="1">
      <c r="A366" s="2"/>
      <c r="B366" s="2"/>
      <c r="C366" s="2"/>
      <c r="D366" s="2"/>
      <c r="E366" s="2"/>
      <c r="F366" s="2"/>
      <c r="G366" s="2"/>
      <c r="H366" s="146"/>
      <c r="I366" s="146"/>
      <c r="J366" s="146"/>
      <c r="K366" s="146"/>
      <c r="L366" s="2"/>
      <c r="M366" s="2"/>
      <c r="N366" s="2"/>
      <c r="O366" s="2"/>
      <c r="P366" s="2"/>
      <c r="Q366" s="2"/>
      <c r="R366" s="2"/>
      <c r="S366" s="2"/>
      <c r="T366" s="2"/>
      <c r="U366" s="2"/>
      <c r="V366" s="2"/>
      <c r="W366" s="2"/>
      <c r="X366" s="2"/>
      <c r="Y366" s="2"/>
      <c r="Z366" s="2"/>
      <c r="AA366" s="2"/>
      <c r="AB366" s="2"/>
      <c r="AC366" s="2"/>
      <c r="AD366" s="2"/>
      <c r="AE366" s="2"/>
      <c r="AF366" s="2"/>
      <c r="AG366" s="2"/>
    </row>
    <row r="367" ht="14.25" customHeight="1">
      <c r="A367" s="2"/>
      <c r="B367" s="2"/>
      <c r="C367" s="2"/>
      <c r="D367" s="2"/>
      <c r="E367" s="2"/>
      <c r="F367" s="2"/>
      <c r="G367" s="2"/>
      <c r="H367" s="146"/>
      <c r="I367" s="146"/>
      <c r="J367" s="146"/>
      <c r="K367" s="146"/>
      <c r="L367" s="2"/>
      <c r="M367" s="2"/>
      <c r="N367" s="2"/>
      <c r="O367" s="2"/>
      <c r="P367" s="2"/>
      <c r="Q367" s="2"/>
      <c r="R367" s="2"/>
      <c r="S367" s="2"/>
      <c r="T367" s="2"/>
      <c r="U367" s="2"/>
      <c r="V367" s="2"/>
      <c r="W367" s="2"/>
      <c r="X367" s="2"/>
      <c r="Y367" s="2"/>
      <c r="Z367" s="2"/>
      <c r="AA367" s="2"/>
      <c r="AB367" s="2"/>
      <c r="AC367" s="2"/>
      <c r="AD367" s="2"/>
      <c r="AE367" s="2"/>
      <c r="AF367" s="2"/>
      <c r="AG367" s="2"/>
    </row>
    <row r="368" ht="14.25" customHeight="1">
      <c r="A368" s="2"/>
      <c r="B368" s="2"/>
      <c r="C368" s="2"/>
      <c r="D368" s="2"/>
      <c r="E368" s="2"/>
      <c r="F368" s="2"/>
      <c r="G368" s="2"/>
      <c r="H368" s="146"/>
      <c r="I368" s="146"/>
      <c r="J368" s="146"/>
      <c r="K368" s="146"/>
      <c r="L368" s="2"/>
      <c r="M368" s="2"/>
      <c r="N368" s="2"/>
      <c r="O368" s="2"/>
      <c r="P368" s="2"/>
      <c r="Q368" s="2"/>
      <c r="R368" s="2"/>
      <c r="S368" s="2"/>
      <c r="T368" s="2"/>
      <c r="U368" s="2"/>
      <c r="V368" s="2"/>
      <c r="W368" s="2"/>
      <c r="X368" s="2"/>
      <c r="Y368" s="2"/>
      <c r="Z368" s="2"/>
      <c r="AA368" s="2"/>
      <c r="AB368" s="2"/>
      <c r="AC368" s="2"/>
      <c r="AD368" s="2"/>
      <c r="AE368" s="2"/>
      <c r="AF368" s="2"/>
      <c r="AG368" s="2"/>
    </row>
    <row r="369" ht="14.25" customHeight="1">
      <c r="A369" s="2"/>
      <c r="B369" s="2"/>
      <c r="C369" s="2"/>
      <c r="D369" s="2"/>
      <c r="E369" s="2"/>
      <c r="F369" s="2"/>
      <c r="G369" s="2"/>
      <c r="H369" s="146"/>
      <c r="I369" s="146"/>
      <c r="J369" s="146"/>
      <c r="K369" s="146"/>
      <c r="L369" s="2"/>
      <c r="M369" s="2"/>
      <c r="N369" s="2"/>
      <c r="O369" s="2"/>
      <c r="P369" s="2"/>
      <c r="Q369" s="2"/>
      <c r="R369" s="2"/>
      <c r="S369" s="2"/>
      <c r="T369" s="2"/>
      <c r="U369" s="2"/>
      <c r="V369" s="2"/>
      <c r="W369" s="2"/>
      <c r="X369" s="2"/>
      <c r="Y369" s="2"/>
      <c r="Z369" s="2"/>
      <c r="AA369" s="2"/>
      <c r="AB369" s="2"/>
      <c r="AC369" s="2"/>
      <c r="AD369" s="2"/>
      <c r="AE369" s="2"/>
      <c r="AF369" s="2"/>
      <c r="AG369" s="2"/>
    </row>
    <row r="370" ht="14.25" customHeight="1">
      <c r="A370" s="2"/>
      <c r="B370" s="2"/>
      <c r="C370" s="2"/>
      <c r="D370" s="2"/>
      <c r="E370" s="2"/>
      <c r="F370" s="2"/>
      <c r="G370" s="2"/>
      <c r="H370" s="146"/>
      <c r="I370" s="146"/>
      <c r="J370" s="146"/>
      <c r="K370" s="146"/>
      <c r="L370" s="2"/>
      <c r="M370" s="2"/>
      <c r="N370" s="2"/>
      <c r="O370" s="2"/>
      <c r="P370" s="2"/>
      <c r="Q370" s="2"/>
      <c r="R370" s="2"/>
      <c r="S370" s="2"/>
      <c r="T370" s="2"/>
      <c r="U370" s="2"/>
      <c r="V370" s="2"/>
      <c r="W370" s="2"/>
      <c r="X370" s="2"/>
      <c r="Y370" s="2"/>
      <c r="Z370" s="2"/>
      <c r="AA370" s="2"/>
      <c r="AB370" s="2"/>
      <c r="AC370" s="2"/>
      <c r="AD370" s="2"/>
      <c r="AE370" s="2"/>
      <c r="AF370" s="2"/>
      <c r="AG370" s="2"/>
    </row>
    <row r="371" ht="14.25" customHeight="1">
      <c r="A371" s="2"/>
      <c r="B371" s="2"/>
      <c r="C371" s="2"/>
      <c r="D371" s="2"/>
      <c r="E371" s="2"/>
      <c r="F371" s="2"/>
      <c r="G371" s="2"/>
      <c r="H371" s="146"/>
      <c r="I371" s="146"/>
      <c r="J371" s="146"/>
      <c r="K371" s="146"/>
      <c r="L371" s="2"/>
      <c r="M371" s="2"/>
      <c r="N371" s="2"/>
      <c r="O371" s="2"/>
      <c r="P371" s="2"/>
      <c r="Q371" s="2"/>
      <c r="R371" s="2"/>
      <c r="S371" s="2"/>
      <c r="T371" s="2"/>
      <c r="U371" s="2"/>
      <c r="V371" s="2"/>
      <c r="W371" s="2"/>
      <c r="X371" s="2"/>
      <c r="Y371" s="2"/>
      <c r="Z371" s="2"/>
      <c r="AA371" s="2"/>
      <c r="AB371" s="2"/>
      <c r="AC371" s="2"/>
      <c r="AD371" s="2"/>
      <c r="AE371" s="2"/>
      <c r="AF371" s="2"/>
      <c r="AG371" s="2"/>
    </row>
    <row r="372" ht="14.25" customHeight="1">
      <c r="A372" s="2"/>
      <c r="B372" s="2"/>
      <c r="C372" s="2"/>
      <c r="D372" s="2"/>
      <c r="E372" s="2"/>
      <c r="F372" s="2"/>
      <c r="G372" s="2"/>
      <c r="H372" s="146"/>
      <c r="I372" s="146"/>
      <c r="J372" s="146"/>
      <c r="K372" s="146"/>
      <c r="L372" s="2"/>
      <c r="M372" s="2"/>
      <c r="N372" s="2"/>
      <c r="O372" s="2"/>
      <c r="P372" s="2"/>
      <c r="Q372" s="2"/>
      <c r="R372" s="2"/>
      <c r="S372" s="2"/>
      <c r="T372" s="2"/>
      <c r="U372" s="2"/>
      <c r="V372" s="2"/>
      <c r="W372" s="2"/>
      <c r="X372" s="2"/>
      <c r="Y372" s="2"/>
      <c r="Z372" s="2"/>
      <c r="AA372" s="2"/>
      <c r="AB372" s="2"/>
      <c r="AC372" s="2"/>
      <c r="AD372" s="2"/>
      <c r="AE372" s="2"/>
      <c r="AF372" s="2"/>
      <c r="AG372" s="2"/>
    </row>
    <row r="373" ht="14.25" customHeight="1">
      <c r="A373" s="2"/>
      <c r="B373" s="2"/>
      <c r="C373" s="2"/>
      <c r="D373" s="2"/>
      <c r="E373" s="2"/>
      <c r="F373" s="2"/>
      <c r="G373" s="2"/>
      <c r="H373" s="146"/>
      <c r="I373" s="146"/>
      <c r="J373" s="146"/>
      <c r="K373" s="146"/>
      <c r="L373" s="2"/>
      <c r="M373" s="2"/>
      <c r="N373" s="2"/>
      <c r="O373" s="2"/>
      <c r="P373" s="2"/>
      <c r="Q373" s="2"/>
      <c r="R373" s="2"/>
      <c r="S373" s="2"/>
      <c r="T373" s="2"/>
      <c r="U373" s="2"/>
      <c r="V373" s="2"/>
      <c r="W373" s="2"/>
      <c r="X373" s="2"/>
      <c r="Y373" s="2"/>
      <c r="Z373" s="2"/>
      <c r="AA373" s="2"/>
      <c r="AB373" s="2"/>
      <c r="AC373" s="2"/>
      <c r="AD373" s="2"/>
      <c r="AE373" s="2"/>
      <c r="AF373" s="2"/>
      <c r="AG373" s="2"/>
    </row>
    <row r="374" ht="14.25" customHeight="1">
      <c r="A374" s="2"/>
      <c r="B374" s="2"/>
      <c r="C374" s="2"/>
      <c r="D374" s="2"/>
      <c r="E374" s="2"/>
      <c r="F374" s="2"/>
      <c r="G374" s="2"/>
      <c r="H374" s="146"/>
      <c r="I374" s="146"/>
      <c r="J374" s="146"/>
      <c r="K374" s="146"/>
      <c r="L374" s="2"/>
      <c r="M374" s="2"/>
      <c r="N374" s="2"/>
      <c r="O374" s="2"/>
      <c r="P374" s="2"/>
      <c r="Q374" s="2"/>
      <c r="R374" s="2"/>
      <c r="S374" s="2"/>
      <c r="T374" s="2"/>
      <c r="U374" s="2"/>
      <c r="V374" s="2"/>
      <c r="W374" s="2"/>
      <c r="X374" s="2"/>
      <c r="Y374" s="2"/>
      <c r="Z374" s="2"/>
      <c r="AA374" s="2"/>
      <c r="AB374" s="2"/>
      <c r="AC374" s="2"/>
      <c r="AD374" s="2"/>
      <c r="AE374" s="2"/>
      <c r="AF374" s="2"/>
      <c r="AG374" s="2"/>
    </row>
    <row r="375" ht="14.25" customHeight="1">
      <c r="A375" s="2"/>
      <c r="B375" s="2"/>
      <c r="C375" s="2"/>
      <c r="D375" s="2"/>
      <c r="E375" s="2"/>
      <c r="F375" s="2"/>
      <c r="G375" s="2"/>
      <c r="H375" s="146"/>
      <c r="I375" s="146"/>
      <c r="J375" s="146"/>
      <c r="K375" s="146"/>
      <c r="L375" s="2"/>
      <c r="M375" s="2"/>
      <c r="N375" s="2"/>
      <c r="O375" s="2"/>
      <c r="P375" s="2"/>
      <c r="Q375" s="2"/>
      <c r="R375" s="2"/>
      <c r="S375" s="2"/>
      <c r="T375" s="2"/>
      <c r="U375" s="2"/>
      <c r="V375" s="2"/>
      <c r="W375" s="2"/>
      <c r="X375" s="2"/>
      <c r="Y375" s="2"/>
      <c r="Z375" s="2"/>
      <c r="AA375" s="2"/>
      <c r="AB375" s="2"/>
      <c r="AC375" s="2"/>
      <c r="AD375" s="2"/>
      <c r="AE375" s="2"/>
      <c r="AF375" s="2"/>
      <c r="AG375" s="2"/>
    </row>
    <row r="376" ht="14.25" customHeight="1">
      <c r="A376" s="2"/>
      <c r="B376" s="2"/>
      <c r="C376" s="2"/>
      <c r="D376" s="2"/>
      <c r="E376" s="2"/>
      <c r="F376" s="2"/>
      <c r="G376" s="2"/>
      <c r="H376" s="146"/>
      <c r="I376" s="146"/>
      <c r="J376" s="146"/>
      <c r="K376" s="146"/>
      <c r="L376" s="2"/>
      <c r="M376" s="2"/>
      <c r="N376" s="2"/>
      <c r="O376" s="2"/>
      <c r="P376" s="2"/>
      <c r="Q376" s="2"/>
      <c r="R376" s="2"/>
      <c r="S376" s="2"/>
      <c r="T376" s="2"/>
      <c r="U376" s="2"/>
      <c r="V376" s="2"/>
      <c r="W376" s="2"/>
      <c r="X376" s="2"/>
      <c r="Y376" s="2"/>
      <c r="Z376" s="2"/>
      <c r="AA376" s="2"/>
      <c r="AB376" s="2"/>
      <c r="AC376" s="2"/>
      <c r="AD376" s="2"/>
      <c r="AE376" s="2"/>
      <c r="AF376" s="2"/>
      <c r="AG376" s="2"/>
    </row>
    <row r="377" ht="14.25" customHeight="1">
      <c r="A377" s="2"/>
      <c r="B377" s="2"/>
      <c r="C377" s="2"/>
      <c r="D377" s="2"/>
      <c r="E377" s="2"/>
      <c r="F377" s="2"/>
      <c r="G377" s="2"/>
      <c r="H377" s="146"/>
      <c r="I377" s="146"/>
      <c r="J377" s="146"/>
      <c r="K377" s="146"/>
      <c r="L377" s="2"/>
      <c r="M377" s="2"/>
      <c r="N377" s="2"/>
      <c r="O377" s="2"/>
      <c r="P377" s="2"/>
      <c r="Q377" s="2"/>
      <c r="R377" s="2"/>
      <c r="S377" s="2"/>
      <c r="T377" s="2"/>
      <c r="U377" s="2"/>
      <c r="V377" s="2"/>
      <c r="W377" s="2"/>
      <c r="X377" s="2"/>
      <c r="Y377" s="2"/>
      <c r="Z377" s="2"/>
      <c r="AA377" s="2"/>
      <c r="AB377" s="2"/>
      <c r="AC377" s="2"/>
      <c r="AD377" s="2"/>
      <c r="AE377" s="2"/>
      <c r="AF377" s="2"/>
      <c r="AG377" s="2"/>
    </row>
    <row r="378" ht="14.25" customHeight="1">
      <c r="A378" s="2"/>
      <c r="B378" s="2"/>
      <c r="C378" s="2"/>
      <c r="D378" s="2"/>
      <c r="E378" s="2"/>
      <c r="F378" s="2"/>
      <c r="G378" s="2"/>
      <c r="H378" s="146"/>
      <c r="I378" s="146"/>
      <c r="J378" s="146"/>
      <c r="K378" s="146"/>
      <c r="L378" s="2"/>
      <c r="M378" s="2"/>
      <c r="N378" s="2"/>
      <c r="O378" s="2"/>
      <c r="P378" s="2"/>
      <c r="Q378" s="2"/>
      <c r="R378" s="2"/>
      <c r="S378" s="2"/>
      <c r="T378" s="2"/>
      <c r="U378" s="2"/>
      <c r="V378" s="2"/>
      <c r="W378" s="2"/>
      <c r="X378" s="2"/>
      <c r="Y378" s="2"/>
      <c r="Z378" s="2"/>
      <c r="AA378" s="2"/>
      <c r="AB378" s="2"/>
      <c r="AC378" s="2"/>
      <c r="AD378" s="2"/>
      <c r="AE378" s="2"/>
      <c r="AF378" s="2"/>
      <c r="AG378" s="2"/>
    </row>
    <row r="379" ht="14.25" customHeight="1">
      <c r="A379" s="2"/>
      <c r="B379" s="2"/>
      <c r="C379" s="2"/>
      <c r="D379" s="2"/>
      <c r="E379" s="2"/>
      <c r="F379" s="2"/>
      <c r="G379" s="2"/>
      <c r="H379" s="146"/>
      <c r="I379" s="146"/>
      <c r="J379" s="146"/>
      <c r="K379" s="146"/>
      <c r="L379" s="2"/>
      <c r="M379" s="2"/>
      <c r="N379" s="2"/>
      <c r="O379" s="2"/>
      <c r="P379" s="2"/>
      <c r="Q379" s="2"/>
      <c r="R379" s="2"/>
      <c r="S379" s="2"/>
      <c r="T379" s="2"/>
      <c r="U379" s="2"/>
      <c r="V379" s="2"/>
      <c r="W379" s="2"/>
      <c r="X379" s="2"/>
      <c r="Y379" s="2"/>
      <c r="Z379" s="2"/>
      <c r="AA379" s="2"/>
      <c r="AB379" s="2"/>
      <c r="AC379" s="2"/>
      <c r="AD379" s="2"/>
      <c r="AE379" s="2"/>
      <c r="AF379" s="2"/>
      <c r="AG379" s="2"/>
    </row>
    <row r="380" ht="14.25" customHeight="1">
      <c r="A380" s="2"/>
      <c r="B380" s="2"/>
      <c r="C380" s="2"/>
      <c r="D380" s="2"/>
      <c r="E380" s="2"/>
      <c r="F380" s="2"/>
      <c r="G380" s="2"/>
      <c r="H380" s="146"/>
      <c r="I380" s="146"/>
      <c r="J380" s="146"/>
      <c r="K380" s="146"/>
      <c r="L380" s="2"/>
      <c r="M380" s="2"/>
      <c r="N380" s="2"/>
      <c r="O380" s="2"/>
      <c r="P380" s="2"/>
      <c r="Q380" s="2"/>
      <c r="R380" s="2"/>
      <c r="S380" s="2"/>
      <c r="T380" s="2"/>
      <c r="U380" s="2"/>
      <c r="V380" s="2"/>
      <c r="W380" s="2"/>
      <c r="X380" s="2"/>
      <c r="Y380" s="2"/>
      <c r="Z380" s="2"/>
      <c r="AA380" s="2"/>
      <c r="AB380" s="2"/>
      <c r="AC380" s="2"/>
      <c r="AD380" s="2"/>
      <c r="AE380" s="2"/>
      <c r="AF380" s="2"/>
      <c r="AG380" s="2"/>
    </row>
    <row r="381" ht="14.25" customHeight="1">
      <c r="A381" s="2"/>
      <c r="B381" s="2"/>
      <c r="C381" s="2"/>
      <c r="D381" s="2"/>
      <c r="E381" s="2"/>
      <c r="F381" s="2"/>
      <c r="G381" s="2"/>
      <c r="H381" s="146"/>
      <c r="I381" s="146"/>
      <c r="J381" s="146"/>
      <c r="K381" s="146"/>
      <c r="L381" s="2"/>
      <c r="M381" s="2"/>
      <c r="N381" s="2"/>
      <c r="O381" s="2"/>
      <c r="P381" s="2"/>
      <c r="Q381" s="2"/>
      <c r="R381" s="2"/>
      <c r="S381" s="2"/>
      <c r="T381" s="2"/>
      <c r="U381" s="2"/>
      <c r="V381" s="2"/>
      <c r="W381" s="2"/>
      <c r="X381" s="2"/>
      <c r="Y381" s="2"/>
      <c r="Z381" s="2"/>
      <c r="AA381" s="2"/>
      <c r="AB381" s="2"/>
      <c r="AC381" s="2"/>
      <c r="AD381" s="2"/>
      <c r="AE381" s="2"/>
      <c r="AF381" s="2"/>
      <c r="AG381" s="2"/>
    </row>
    <row r="382" ht="14.25" customHeight="1">
      <c r="A382" s="2"/>
      <c r="B382" s="2"/>
      <c r="C382" s="2"/>
      <c r="D382" s="2"/>
      <c r="E382" s="2"/>
      <c r="F382" s="2"/>
      <c r="G382" s="2"/>
      <c r="H382" s="146"/>
      <c r="I382" s="146"/>
      <c r="J382" s="146"/>
      <c r="K382" s="146"/>
      <c r="L382" s="2"/>
      <c r="M382" s="2"/>
      <c r="N382" s="2"/>
      <c r="O382" s="2"/>
      <c r="P382" s="2"/>
      <c r="Q382" s="2"/>
      <c r="R382" s="2"/>
      <c r="S382" s="2"/>
      <c r="T382" s="2"/>
      <c r="U382" s="2"/>
      <c r="V382" s="2"/>
      <c r="W382" s="2"/>
      <c r="X382" s="2"/>
      <c r="Y382" s="2"/>
      <c r="Z382" s="2"/>
      <c r="AA382" s="2"/>
      <c r="AB382" s="2"/>
      <c r="AC382" s="2"/>
      <c r="AD382" s="2"/>
      <c r="AE382" s="2"/>
      <c r="AF382" s="2"/>
      <c r="AG382" s="2"/>
    </row>
    <row r="383" ht="14.25" customHeight="1">
      <c r="A383" s="2"/>
      <c r="B383" s="2"/>
      <c r="C383" s="2"/>
      <c r="D383" s="2"/>
      <c r="E383" s="2"/>
      <c r="F383" s="2"/>
      <c r="G383" s="2"/>
      <c r="H383" s="146"/>
      <c r="I383" s="146"/>
      <c r="J383" s="146"/>
      <c r="K383" s="146"/>
      <c r="L383" s="2"/>
      <c r="M383" s="2"/>
      <c r="N383" s="2"/>
      <c r="O383" s="2"/>
      <c r="P383" s="2"/>
      <c r="Q383" s="2"/>
      <c r="R383" s="2"/>
      <c r="S383" s="2"/>
      <c r="T383" s="2"/>
      <c r="U383" s="2"/>
      <c r="V383" s="2"/>
      <c r="W383" s="2"/>
      <c r="X383" s="2"/>
      <c r="Y383" s="2"/>
      <c r="Z383" s="2"/>
      <c r="AA383" s="2"/>
      <c r="AB383" s="2"/>
      <c r="AC383" s="2"/>
      <c r="AD383" s="2"/>
      <c r="AE383" s="2"/>
      <c r="AF383" s="2"/>
      <c r="AG383" s="2"/>
    </row>
    <row r="384" ht="14.25" customHeight="1">
      <c r="A384" s="2"/>
      <c r="B384" s="2"/>
      <c r="C384" s="2"/>
      <c r="D384" s="2"/>
      <c r="E384" s="2"/>
      <c r="F384" s="2"/>
      <c r="G384" s="2"/>
      <c r="H384" s="146"/>
      <c r="I384" s="146"/>
      <c r="J384" s="146"/>
      <c r="K384" s="146"/>
      <c r="L384" s="2"/>
      <c r="M384" s="2"/>
      <c r="N384" s="2"/>
      <c r="O384" s="2"/>
      <c r="P384" s="2"/>
      <c r="Q384" s="2"/>
      <c r="R384" s="2"/>
      <c r="S384" s="2"/>
      <c r="T384" s="2"/>
      <c r="U384" s="2"/>
      <c r="V384" s="2"/>
      <c r="W384" s="2"/>
      <c r="X384" s="2"/>
      <c r="Y384" s="2"/>
      <c r="Z384" s="2"/>
      <c r="AA384" s="2"/>
      <c r="AB384" s="2"/>
      <c r="AC384" s="2"/>
      <c r="AD384" s="2"/>
      <c r="AE384" s="2"/>
      <c r="AF384" s="2"/>
      <c r="AG384" s="2"/>
    </row>
    <row r="385" ht="14.25" customHeight="1">
      <c r="A385" s="2"/>
      <c r="B385" s="2"/>
      <c r="C385" s="2"/>
      <c r="D385" s="2"/>
      <c r="E385" s="2"/>
      <c r="F385" s="2"/>
      <c r="G385" s="2"/>
      <c r="H385" s="146"/>
      <c r="I385" s="146"/>
      <c r="J385" s="146"/>
      <c r="K385" s="146"/>
      <c r="L385" s="2"/>
      <c r="M385" s="2"/>
      <c r="N385" s="2"/>
      <c r="O385" s="2"/>
      <c r="P385" s="2"/>
      <c r="Q385" s="2"/>
      <c r="R385" s="2"/>
      <c r="S385" s="2"/>
      <c r="T385" s="2"/>
      <c r="U385" s="2"/>
      <c r="V385" s="2"/>
      <c r="W385" s="2"/>
      <c r="X385" s="2"/>
      <c r="Y385" s="2"/>
      <c r="Z385" s="2"/>
      <c r="AA385" s="2"/>
      <c r="AB385" s="2"/>
      <c r="AC385" s="2"/>
      <c r="AD385" s="2"/>
      <c r="AE385" s="2"/>
      <c r="AF385" s="2"/>
      <c r="AG385" s="2"/>
    </row>
    <row r="386" ht="14.25" customHeight="1">
      <c r="A386" s="2"/>
      <c r="B386" s="2"/>
      <c r="C386" s="2"/>
      <c r="D386" s="2"/>
      <c r="E386" s="2"/>
      <c r="F386" s="2"/>
      <c r="G386" s="2"/>
      <c r="H386" s="146"/>
      <c r="I386" s="146"/>
      <c r="J386" s="146"/>
      <c r="K386" s="146"/>
      <c r="L386" s="2"/>
      <c r="M386" s="2"/>
      <c r="N386" s="2"/>
      <c r="O386" s="2"/>
      <c r="P386" s="2"/>
      <c r="Q386" s="2"/>
      <c r="R386" s="2"/>
      <c r="S386" s="2"/>
      <c r="T386" s="2"/>
      <c r="U386" s="2"/>
      <c r="V386" s="2"/>
      <c r="W386" s="2"/>
      <c r="X386" s="2"/>
      <c r="Y386" s="2"/>
      <c r="Z386" s="2"/>
      <c r="AA386" s="2"/>
      <c r="AB386" s="2"/>
      <c r="AC386" s="2"/>
      <c r="AD386" s="2"/>
      <c r="AE386" s="2"/>
      <c r="AF386" s="2"/>
      <c r="AG386" s="2"/>
    </row>
    <row r="387" ht="14.25" customHeight="1">
      <c r="A387" s="2"/>
      <c r="B387" s="2"/>
      <c r="C387" s="2"/>
      <c r="D387" s="2"/>
      <c r="E387" s="2"/>
      <c r="F387" s="2"/>
      <c r="G387" s="2"/>
      <c r="H387" s="146"/>
      <c r="I387" s="146"/>
      <c r="J387" s="146"/>
      <c r="K387" s="146"/>
      <c r="L387" s="2"/>
      <c r="M387" s="2"/>
      <c r="N387" s="2"/>
      <c r="O387" s="2"/>
      <c r="P387" s="2"/>
      <c r="Q387" s="2"/>
      <c r="R387" s="2"/>
      <c r="S387" s="2"/>
      <c r="T387" s="2"/>
      <c r="U387" s="2"/>
      <c r="V387" s="2"/>
      <c r="W387" s="2"/>
      <c r="X387" s="2"/>
      <c r="Y387" s="2"/>
      <c r="Z387" s="2"/>
      <c r="AA387" s="2"/>
      <c r="AB387" s="2"/>
      <c r="AC387" s="2"/>
      <c r="AD387" s="2"/>
      <c r="AE387" s="2"/>
      <c r="AF387" s="2"/>
      <c r="AG387" s="2"/>
    </row>
    <row r="388" ht="14.25" customHeight="1">
      <c r="A388" s="2"/>
      <c r="B388" s="2"/>
      <c r="C388" s="2"/>
      <c r="D388" s="2"/>
      <c r="E388" s="2"/>
      <c r="F388" s="2"/>
      <c r="G388" s="2"/>
      <c r="H388" s="146"/>
      <c r="I388" s="146"/>
      <c r="J388" s="146"/>
      <c r="K388" s="146"/>
      <c r="L388" s="2"/>
      <c r="M388" s="2"/>
      <c r="N388" s="2"/>
      <c r="O388" s="2"/>
      <c r="P388" s="2"/>
      <c r="Q388" s="2"/>
      <c r="R388" s="2"/>
      <c r="S388" s="2"/>
      <c r="T388" s="2"/>
      <c r="U388" s="2"/>
      <c r="V388" s="2"/>
      <c r="W388" s="2"/>
      <c r="X388" s="2"/>
      <c r="Y388" s="2"/>
      <c r="Z388" s="2"/>
      <c r="AA388" s="2"/>
      <c r="AB388" s="2"/>
      <c r="AC388" s="2"/>
      <c r="AD388" s="2"/>
      <c r="AE388" s="2"/>
      <c r="AF388" s="2"/>
      <c r="AG388" s="2"/>
    </row>
    <row r="389" ht="14.25" customHeight="1">
      <c r="A389" s="2"/>
      <c r="B389" s="2"/>
      <c r="C389" s="2"/>
      <c r="D389" s="2"/>
      <c r="E389" s="2"/>
      <c r="F389" s="2"/>
      <c r="G389" s="2"/>
      <c r="H389" s="146"/>
      <c r="I389" s="146"/>
      <c r="J389" s="146"/>
      <c r="K389" s="146"/>
      <c r="L389" s="2"/>
      <c r="M389" s="2"/>
      <c r="N389" s="2"/>
      <c r="O389" s="2"/>
      <c r="P389" s="2"/>
      <c r="Q389" s="2"/>
      <c r="R389" s="2"/>
      <c r="S389" s="2"/>
      <c r="T389" s="2"/>
      <c r="U389" s="2"/>
      <c r="V389" s="2"/>
      <c r="W389" s="2"/>
      <c r="X389" s="2"/>
      <c r="Y389" s="2"/>
      <c r="Z389" s="2"/>
      <c r="AA389" s="2"/>
      <c r="AB389" s="2"/>
      <c r="AC389" s="2"/>
      <c r="AD389" s="2"/>
      <c r="AE389" s="2"/>
      <c r="AF389" s="2"/>
      <c r="AG389" s="2"/>
    </row>
    <row r="390" ht="14.25" customHeight="1">
      <c r="A390" s="2"/>
      <c r="B390" s="2"/>
      <c r="C390" s="2"/>
      <c r="D390" s="2"/>
      <c r="E390" s="2"/>
      <c r="F390" s="2"/>
      <c r="G390" s="2"/>
      <c r="H390" s="146"/>
      <c r="I390" s="146"/>
      <c r="J390" s="146"/>
      <c r="K390" s="146"/>
      <c r="L390" s="2"/>
      <c r="M390" s="2"/>
      <c r="N390" s="2"/>
      <c r="O390" s="2"/>
      <c r="P390" s="2"/>
      <c r="Q390" s="2"/>
      <c r="R390" s="2"/>
      <c r="S390" s="2"/>
      <c r="T390" s="2"/>
      <c r="U390" s="2"/>
      <c r="V390" s="2"/>
      <c r="W390" s="2"/>
      <c r="X390" s="2"/>
      <c r="Y390" s="2"/>
      <c r="Z390" s="2"/>
      <c r="AA390" s="2"/>
      <c r="AB390" s="2"/>
      <c r="AC390" s="2"/>
      <c r="AD390" s="2"/>
      <c r="AE390" s="2"/>
      <c r="AF390" s="2"/>
      <c r="AG390" s="2"/>
    </row>
    <row r="391" ht="14.25" customHeight="1">
      <c r="A391" s="2"/>
      <c r="B391" s="2"/>
      <c r="C391" s="2"/>
      <c r="D391" s="2"/>
      <c r="E391" s="2"/>
      <c r="F391" s="2"/>
      <c r="G391" s="2"/>
      <c r="H391" s="146"/>
      <c r="I391" s="146"/>
      <c r="J391" s="146"/>
      <c r="K391" s="146"/>
      <c r="L391" s="2"/>
      <c r="M391" s="2"/>
      <c r="N391" s="2"/>
      <c r="O391" s="2"/>
      <c r="P391" s="2"/>
      <c r="Q391" s="2"/>
      <c r="R391" s="2"/>
      <c r="S391" s="2"/>
      <c r="T391" s="2"/>
      <c r="U391" s="2"/>
      <c r="V391" s="2"/>
      <c r="W391" s="2"/>
      <c r="X391" s="2"/>
      <c r="Y391" s="2"/>
      <c r="Z391" s="2"/>
      <c r="AA391" s="2"/>
      <c r="AB391" s="2"/>
      <c r="AC391" s="2"/>
      <c r="AD391" s="2"/>
      <c r="AE391" s="2"/>
      <c r="AF391" s="2"/>
      <c r="AG391" s="2"/>
    </row>
    <row r="392" ht="14.25" customHeight="1">
      <c r="A392" s="2"/>
      <c r="B392" s="2"/>
      <c r="C392" s="2"/>
      <c r="D392" s="2"/>
      <c r="E392" s="2"/>
      <c r="F392" s="2"/>
      <c r="G392" s="2"/>
      <c r="H392" s="146"/>
      <c r="I392" s="146"/>
      <c r="J392" s="146"/>
      <c r="K392" s="146"/>
      <c r="L392" s="2"/>
      <c r="M392" s="2"/>
      <c r="N392" s="2"/>
      <c r="O392" s="2"/>
      <c r="P392" s="2"/>
      <c r="Q392" s="2"/>
      <c r="R392" s="2"/>
      <c r="S392" s="2"/>
      <c r="T392" s="2"/>
      <c r="U392" s="2"/>
      <c r="V392" s="2"/>
      <c r="W392" s="2"/>
      <c r="X392" s="2"/>
      <c r="Y392" s="2"/>
      <c r="Z392" s="2"/>
      <c r="AA392" s="2"/>
      <c r="AB392" s="2"/>
      <c r="AC392" s="2"/>
      <c r="AD392" s="2"/>
      <c r="AE392" s="2"/>
      <c r="AF392" s="2"/>
      <c r="AG392" s="2"/>
    </row>
    <row r="393" ht="14.25" customHeight="1">
      <c r="A393" s="2"/>
      <c r="B393" s="2"/>
      <c r="C393" s="2"/>
      <c r="D393" s="2"/>
      <c r="E393" s="2"/>
      <c r="F393" s="2"/>
      <c r="G393" s="2"/>
      <c r="H393" s="146"/>
      <c r="I393" s="146"/>
      <c r="J393" s="146"/>
      <c r="K393" s="146"/>
      <c r="L393" s="2"/>
      <c r="M393" s="2"/>
      <c r="N393" s="2"/>
      <c r="O393" s="2"/>
      <c r="P393" s="2"/>
      <c r="Q393" s="2"/>
      <c r="R393" s="2"/>
      <c r="S393" s="2"/>
      <c r="T393" s="2"/>
      <c r="U393" s="2"/>
      <c r="V393" s="2"/>
      <c r="W393" s="2"/>
      <c r="X393" s="2"/>
      <c r="Y393" s="2"/>
      <c r="Z393" s="2"/>
      <c r="AA393" s="2"/>
      <c r="AB393" s="2"/>
      <c r="AC393" s="2"/>
      <c r="AD393" s="2"/>
      <c r="AE393" s="2"/>
      <c r="AF393" s="2"/>
      <c r="AG393" s="2"/>
    </row>
    <row r="394" ht="14.25" customHeight="1">
      <c r="A394" s="2"/>
      <c r="B394" s="2"/>
      <c r="C394" s="2"/>
      <c r="D394" s="2"/>
      <c r="E394" s="2"/>
      <c r="F394" s="2"/>
      <c r="G394" s="2"/>
      <c r="H394" s="146"/>
      <c r="I394" s="146"/>
      <c r="J394" s="146"/>
      <c r="K394" s="146"/>
      <c r="L394" s="2"/>
      <c r="M394" s="2"/>
      <c r="N394" s="2"/>
      <c r="O394" s="2"/>
      <c r="P394" s="2"/>
      <c r="Q394" s="2"/>
      <c r="R394" s="2"/>
      <c r="S394" s="2"/>
      <c r="T394" s="2"/>
      <c r="U394" s="2"/>
      <c r="V394" s="2"/>
      <c r="W394" s="2"/>
      <c r="X394" s="2"/>
      <c r="Y394" s="2"/>
      <c r="Z394" s="2"/>
      <c r="AA394" s="2"/>
      <c r="AB394" s="2"/>
      <c r="AC394" s="2"/>
      <c r="AD394" s="2"/>
      <c r="AE394" s="2"/>
      <c r="AF394" s="2"/>
      <c r="AG394" s="2"/>
    </row>
    <row r="395" ht="14.25" customHeight="1">
      <c r="A395" s="2"/>
      <c r="B395" s="2"/>
      <c r="C395" s="2"/>
      <c r="D395" s="2"/>
      <c r="E395" s="2"/>
      <c r="F395" s="2"/>
      <c r="G395" s="2"/>
      <c r="H395" s="146"/>
      <c r="I395" s="146"/>
      <c r="J395" s="146"/>
      <c r="K395" s="146"/>
      <c r="L395" s="2"/>
      <c r="M395" s="2"/>
      <c r="N395" s="2"/>
      <c r="O395" s="2"/>
      <c r="P395" s="2"/>
      <c r="Q395" s="2"/>
      <c r="R395" s="2"/>
      <c r="S395" s="2"/>
      <c r="T395" s="2"/>
      <c r="U395" s="2"/>
      <c r="V395" s="2"/>
      <c r="W395" s="2"/>
      <c r="X395" s="2"/>
      <c r="Y395" s="2"/>
      <c r="Z395" s="2"/>
      <c r="AA395" s="2"/>
      <c r="AB395" s="2"/>
      <c r="AC395" s="2"/>
      <c r="AD395" s="2"/>
      <c r="AE395" s="2"/>
      <c r="AF395" s="2"/>
      <c r="AG395" s="2"/>
    </row>
    <row r="396" ht="14.25" customHeight="1">
      <c r="A396" s="2"/>
      <c r="B396" s="2"/>
      <c r="C396" s="2"/>
      <c r="D396" s="2"/>
      <c r="E396" s="2"/>
      <c r="F396" s="2"/>
      <c r="G396" s="2"/>
      <c r="H396" s="146"/>
      <c r="I396" s="146"/>
      <c r="J396" s="146"/>
      <c r="K396" s="146"/>
      <c r="L396" s="2"/>
      <c r="M396" s="2"/>
      <c r="N396" s="2"/>
      <c r="O396" s="2"/>
      <c r="P396" s="2"/>
      <c r="Q396" s="2"/>
      <c r="R396" s="2"/>
      <c r="S396" s="2"/>
      <c r="T396" s="2"/>
      <c r="U396" s="2"/>
      <c r="V396" s="2"/>
      <c r="W396" s="2"/>
      <c r="X396" s="2"/>
      <c r="Y396" s="2"/>
      <c r="Z396" s="2"/>
      <c r="AA396" s="2"/>
      <c r="AB396" s="2"/>
      <c r="AC396" s="2"/>
      <c r="AD396" s="2"/>
      <c r="AE396" s="2"/>
      <c r="AF396" s="2"/>
      <c r="AG396" s="2"/>
    </row>
    <row r="397" ht="14.25" customHeight="1">
      <c r="A397" s="2"/>
      <c r="B397" s="2"/>
      <c r="C397" s="2"/>
      <c r="D397" s="2"/>
      <c r="E397" s="2"/>
      <c r="F397" s="2"/>
      <c r="G397" s="2"/>
      <c r="H397" s="146"/>
      <c r="I397" s="146"/>
      <c r="J397" s="146"/>
      <c r="K397" s="146"/>
      <c r="L397" s="2"/>
      <c r="M397" s="2"/>
      <c r="N397" s="2"/>
      <c r="O397" s="2"/>
      <c r="P397" s="2"/>
      <c r="Q397" s="2"/>
      <c r="R397" s="2"/>
      <c r="S397" s="2"/>
      <c r="T397" s="2"/>
      <c r="U397" s="2"/>
      <c r="V397" s="2"/>
      <c r="W397" s="2"/>
      <c r="X397" s="2"/>
      <c r="Y397" s="2"/>
      <c r="Z397" s="2"/>
      <c r="AA397" s="2"/>
      <c r="AB397" s="2"/>
      <c r="AC397" s="2"/>
      <c r="AD397" s="2"/>
      <c r="AE397" s="2"/>
      <c r="AF397" s="2"/>
      <c r="AG397" s="2"/>
    </row>
    <row r="398" ht="14.25" customHeight="1">
      <c r="A398" s="2"/>
      <c r="B398" s="2"/>
      <c r="C398" s="2"/>
      <c r="D398" s="2"/>
      <c r="E398" s="2"/>
      <c r="F398" s="2"/>
      <c r="G398" s="2"/>
      <c r="H398" s="146"/>
      <c r="I398" s="146"/>
      <c r="J398" s="146"/>
      <c r="K398" s="146"/>
      <c r="L398" s="2"/>
      <c r="M398" s="2"/>
      <c r="N398" s="2"/>
      <c r="O398" s="2"/>
      <c r="P398" s="2"/>
      <c r="Q398" s="2"/>
      <c r="R398" s="2"/>
      <c r="S398" s="2"/>
      <c r="T398" s="2"/>
      <c r="U398" s="2"/>
      <c r="V398" s="2"/>
      <c r="W398" s="2"/>
      <c r="X398" s="2"/>
      <c r="Y398" s="2"/>
      <c r="Z398" s="2"/>
      <c r="AA398" s="2"/>
      <c r="AB398" s="2"/>
      <c r="AC398" s="2"/>
      <c r="AD398" s="2"/>
      <c r="AE398" s="2"/>
      <c r="AF398" s="2"/>
      <c r="AG398" s="2"/>
    </row>
    <row r="399" ht="14.25" customHeight="1">
      <c r="A399" s="2"/>
      <c r="B399" s="2"/>
      <c r="C399" s="2"/>
      <c r="D399" s="2"/>
      <c r="E399" s="2"/>
      <c r="F399" s="2"/>
      <c r="G399" s="2"/>
      <c r="H399" s="146"/>
      <c r="I399" s="146"/>
      <c r="J399" s="146"/>
      <c r="K399" s="146"/>
      <c r="L399" s="2"/>
      <c r="M399" s="2"/>
      <c r="N399" s="2"/>
      <c r="O399" s="2"/>
      <c r="P399" s="2"/>
      <c r="Q399" s="2"/>
      <c r="R399" s="2"/>
      <c r="S399" s="2"/>
      <c r="T399" s="2"/>
      <c r="U399" s="2"/>
      <c r="V399" s="2"/>
      <c r="W399" s="2"/>
      <c r="X399" s="2"/>
      <c r="Y399" s="2"/>
      <c r="Z399" s="2"/>
      <c r="AA399" s="2"/>
      <c r="AB399" s="2"/>
      <c r="AC399" s="2"/>
      <c r="AD399" s="2"/>
      <c r="AE399" s="2"/>
      <c r="AF399" s="2"/>
      <c r="AG399" s="2"/>
    </row>
    <row r="400" ht="14.25" customHeight="1">
      <c r="A400" s="2"/>
      <c r="B400" s="2"/>
      <c r="C400" s="2"/>
      <c r="D400" s="2"/>
      <c r="E400" s="2"/>
      <c r="F400" s="2"/>
      <c r="G400" s="2"/>
      <c r="H400" s="146"/>
      <c r="I400" s="146"/>
      <c r="J400" s="146"/>
      <c r="K400" s="146"/>
      <c r="L400" s="2"/>
      <c r="M400" s="2"/>
      <c r="N400" s="2"/>
      <c r="O400" s="2"/>
      <c r="P400" s="2"/>
      <c r="Q400" s="2"/>
      <c r="R400" s="2"/>
      <c r="S400" s="2"/>
      <c r="T400" s="2"/>
      <c r="U400" s="2"/>
      <c r="V400" s="2"/>
      <c r="W400" s="2"/>
      <c r="X400" s="2"/>
      <c r="Y400" s="2"/>
      <c r="Z400" s="2"/>
      <c r="AA400" s="2"/>
      <c r="AB400" s="2"/>
      <c r="AC400" s="2"/>
      <c r="AD400" s="2"/>
      <c r="AE400" s="2"/>
      <c r="AF400" s="2"/>
      <c r="AG400" s="2"/>
    </row>
    <row r="401" ht="14.25" customHeight="1">
      <c r="A401" s="2"/>
      <c r="B401" s="2"/>
      <c r="C401" s="2"/>
      <c r="D401" s="2"/>
      <c r="E401" s="2"/>
      <c r="F401" s="2"/>
      <c r="G401" s="2"/>
      <c r="H401" s="146"/>
      <c r="I401" s="146"/>
      <c r="J401" s="146"/>
      <c r="K401" s="146"/>
      <c r="L401" s="2"/>
      <c r="M401" s="2"/>
      <c r="N401" s="2"/>
      <c r="O401" s="2"/>
      <c r="P401" s="2"/>
      <c r="Q401" s="2"/>
      <c r="R401" s="2"/>
      <c r="S401" s="2"/>
      <c r="T401" s="2"/>
      <c r="U401" s="2"/>
      <c r="V401" s="2"/>
      <c r="W401" s="2"/>
      <c r="X401" s="2"/>
      <c r="Y401" s="2"/>
      <c r="Z401" s="2"/>
      <c r="AA401" s="2"/>
      <c r="AB401" s="2"/>
      <c r="AC401" s="2"/>
      <c r="AD401" s="2"/>
      <c r="AE401" s="2"/>
      <c r="AF401" s="2"/>
      <c r="AG401" s="2"/>
    </row>
    <row r="402" ht="14.25" customHeight="1">
      <c r="A402" s="2"/>
      <c r="B402" s="2"/>
      <c r="C402" s="2"/>
      <c r="D402" s="2"/>
      <c r="E402" s="2"/>
      <c r="F402" s="2"/>
      <c r="G402" s="2"/>
      <c r="H402" s="146"/>
      <c r="I402" s="146"/>
      <c r="J402" s="146"/>
      <c r="K402" s="146"/>
      <c r="L402" s="2"/>
      <c r="M402" s="2"/>
      <c r="N402" s="2"/>
      <c r="O402" s="2"/>
      <c r="P402" s="2"/>
      <c r="Q402" s="2"/>
      <c r="R402" s="2"/>
      <c r="S402" s="2"/>
      <c r="T402" s="2"/>
      <c r="U402" s="2"/>
      <c r="V402" s="2"/>
      <c r="W402" s="2"/>
      <c r="X402" s="2"/>
      <c r="Y402" s="2"/>
      <c r="Z402" s="2"/>
      <c r="AA402" s="2"/>
      <c r="AB402" s="2"/>
      <c r="AC402" s="2"/>
      <c r="AD402" s="2"/>
      <c r="AE402" s="2"/>
      <c r="AF402" s="2"/>
      <c r="AG402" s="2"/>
    </row>
    <row r="403" ht="14.25" customHeight="1">
      <c r="A403" s="2"/>
      <c r="B403" s="2"/>
      <c r="C403" s="2"/>
      <c r="D403" s="2"/>
      <c r="E403" s="2"/>
      <c r="F403" s="2"/>
      <c r="G403" s="2"/>
      <c r="H403" s="146"/>
      <c r="I403" s="146"/>
      <c r="J403" s="146"/>
      <c r="K403" s="146"/>
      <c r="L403" s="2"/>
      <c r="M403" s="2"/>
      <c r="N403" s="2"/>
      <c r="O403" s="2"/>
      <c r="P403" s="2"/>
      <c r="Q403" s="2"/>
      <c r="R403" s="2"/>
      <c r="S403" s="2"/>
      <c r="T403" s="2"/>
      <c r="U403" s="2"/>
      <c r="V403" s="2"/>
      <c r="W403" s="2"/>
      <c r="X403" s="2"/>
      <c r="Y403" s="2"/>
      <c r="Z403" s="2"/>
      <c r="AA403" s="2"/>
      <c r="AB403" s="2"/>
      <c r="AC403" s="2"/>
      <c r="AD403" s="2"/>
      <c r="AE403" s="2"/>
      <c r="AF403" s="2"/>
      <c r="AG403" s="2"/>
    </row>
    <row r="404" ht="14.25" customHeight="1">
      <c r="A404" s="2"/>
      <c r="B404" s="2"/>
      <c r="C404" s="2"/>
      <c r="D404" s="2"/>
      <c r="E404" s="2"/>
      <c r="F404" s="2"/>
      <c r="G404" s="2"/>
      <c r="H404" s="146"/>
      <c r="I404" s="146"/>
      <c r="J404" s="146"/>
      <c r="K404" s="146"/>
      <c r="L404" s="2"/>
      <c r="M404" s="2"/>
      <c r="N404" s="2"/>
      <c r="O404" s="2"/>
      <c r="P404" s="2"/>
      <c r="Q404" s="2"/>
      <c r="R404" s="2"/>
      <c r="S404" s="2"/>
      <c r="T404" s="2"/>
      <c r="U404" s="2"/>
      <c r="V404" s="2"/>
      <c r="W404" s="2"/>
      <c r="X404" s="2"/>
      <c r="Y404" s="2"/>
      <c r="Z404" s="2"/>
      <c r="AA404" s="2"/>
      <c r="AB404" s="2"/>
      <c r="AC404" s="2"/>
      <c r="AD404" s="2"/>
      <c r="AE404" s="2"/>
      <c r="AF404" s="2"/>
      <c r="AG404" s="2"/>
    </row>
    <row r="405" ht="14.25" customHeight="1">
      <c r="A405" s="2"/>
      <c r="B405" s="2"/>
      <c r="C405" s="2"/>
      <c r="D405" s="2"/>
      <c r="E405" s="2"/>
      <c r="F405" s="2"/>
      <c r="G405" s="2"/>
      <c r="H405" s="146"/>
      <c r="I405" s="146"/>
      <c r="J405" s="146"/>
      <c r="K405" s="146"/>
      <c r="L405" s="2"/>
      <c r="M405" s="2"/>
      <c r="N405" s="2"/>
      <c r="O405" s="2"/>
      <c r="P405" s="2"/>
      <c r="Q405" s="2"/>
      <c r="R405" s="2"/>
      <c r="S405" s="2"/>
      <c r="T405" s="2"/>
      <c r="U405" s="2"/>
      <c r="V405" s="2"/>
      <c r="W405" s="2"/>
      <c r="X405" s="2"/>
      <c r="Y405" s="2"/>
      <c r="Z405" s="2"/>
      <c r="AA405" s="2"/>
      <c r="AB405" s="2"/>
      <c r="AC405" s="2"/>
      <c r="AD405" s="2"/>
      <c r="AE405" s="2"/>
      <c r="AF405" s="2"/>
      <c r="AG405" s="2"/>
    </row>
    <row r="406" ht="14.25" customHeight="1">
      <c r="A406" s="2"/>
      <c r="B406" s="2"/>
      <c r="C406" s="2"/>
      <c r="D406" s="2"/>
      <c r="E406" s="2"/>
      <c r="F406" s="2"/>
      <c r="G406" s="2"/>
      <c r="H406" s="146"/>
      <c r="I406" s="146"/>
      <c r="J406" s="146"/>
      <c r="K406" s="146"/>
      <c r="L406" s="2"/>
      <c r="M406" s="2"/>
      <c r="N406" s="2"/>
      <c r="O406" s="2"/>
      <c r="P406" s="2"/>
      <c r="Q406" s="2"/>
      <c r="R406" s="2"/>
      <c r="S406" s="2"/>
      <c r="T406" s="2"/>
      <c r="U406" s="2"/>
      <c r="V406" s="2"/>
      <c r="W406" s="2"/>
      <c r="X406" s="2"/>
      <c r="Y406" s="2"/>
      <c r="Z406" s="2"/>
      <c r="AA406" s="2"/>
      <c r="AB406" s="2"/>
      <c r="AC406" s="2"/>
      <c r="AD406" s="2"/>
      <c r="AE406" s="2"/>
      <c r="AF406" s="2"/>
      <c r="AG406" s="2"/>
    </row>
    <row r="407" ht="14.25" customHeight="1">
      <c r="A407" s="2"/>
      <c r="B407" s="2"/>
      <c r="C407" s="2"/>
      <c r="D407" s="2"/>
      <c r="E407" s="2"/>
      <c r="F407" s="2"/>
      <c r="G407" s="2"/>
      <c r="H407" s="146"/>
      <c r="I407" s="146"/>
      <c r="J407" s="146"/>
      <c r="K407" s="146"/>
      <c r="L407" s="2"/>
      <c r="M407" s="2"/>
      <c r="N407" s="2"/>
      <c r="O407" s="2"/>
      <c r="P407" s="2"/>
      <c r="Q407" s="2"/>
      <c r="R407" s="2"/>
      <c r="S407" s="2"/>
      <c r="T407" s="2"/>
      <c r="U407" s="2"/>
      <c r="V407" s="2"/>
      <c r="W407" s="2"/>
      <c r="X407" s="2"/>
      <c r="Y407" s="2"/>
      <c r="Z407" s="2"/>
      <c r="AA407" s="2"/>
      <c r="AB407" s="2"/>
      <c r="AC407" s="2"/>
      <c r="AD407" s="2"/>
      <c r="AE407" s="2"/>
      <c r="AF407" s="2"/>
      <c r="AG407" s="2"/>
    </row>
    <row r="408" ht="14.25" customHeight="1">
      <c r="A408" s="2"/>
      <c r="B408" s="2"/>
      <c r="C408" s="2"/>
      <c r="D408" s="2"/>
      <c r="E408" s="2"/>
      <c r="F408" s="2"/>
      <c r="G408" s="2"/>
      <c r="H408" s="146"/>
      <c r="I408" s="146"/>
      <c r="J408" s="146"/>
      <c r="K408" s="146"/>
      <c r="L408" s="2"/>
      <c r="M408" s="2"/>
      <c r="N408" s="2"/>
      <c r="O408" s="2"/>
      <c r="P408" s="2"/>
      <c r="Q408" s="2"/>
      <c r="R408" s="2"/>
      <c r="S408" s="2"/>
      <c r="T408" s="2"/>
      <c r="U408" s="2"/>
      <c r="V408" s="2"/>
      <c r="W408" s="2"/>
      <c r="X408" s="2"/>
      <c r="Y408" s="2"/>
      <c r="Z408" s="2"/>
      <c r="AA408" s="2"/>
      <c r="AB408" s="2"/>
      <c r="AC408" s="2"/>
      <c r="AD408" s="2"/>
      <c r="AE408" s="2"/>
      <c r="AF408" s="2"/>
      <c r="AG408" s="2"/>
    </row>
    <row r="409" ht="14.25" customHeight="1">
      <c r="A409" s="2"/>
      <c r="B409" s="2"/>
      <c r="C409" s="2"/>
      <c r="D409" s="2"/>
      <c r="E409" s="2"/>
      <c r="F409" s="2"/>
      <c r="G409" s="2"/>
      <c r="H409" s="146"/>
      <c r="I409" s="146"/>
      <c r="J409" s="146"/>
      <c r="K409" s="146"/>
      <c r="L409" s="2"/>
      <c r="M409" s="2"/>
      <c r="N409" s="2"/>
      <c r="O409" s="2"/>
      <c r="P409" s="2"/>
      <c r="Q409" s="2"/>
      <c r="R409" s="2"/>
      <c r="S409" s="2"/>
      <c r="T409" s="2"/>
      <c r="U409" s="2"/>
      <c r="V409" s="2"/>
      <c r="W409" s="2"/>
      <c r="X409" s="2"/>
      <c r="Y409" s="2"/>
      <c r="Z409" s="2"/>
      <c r="AA409" s="2"/>
      <c r="AB409" s="2"/>
      <c r="AC409" s="2"/>
      <c r="AD409" s="2"/>
      <c r="AE409" s="2"/>
      <c r="AF409" s="2"/>
      <c r="AG409" s="2"/>
    </row>
    <row r="410" ht="14.25" customHeight="1">
      <c r="A410" s="2"/>
      <c r="B410" s="2"/>
      <c r="C410" s="2"/>
      <c r="D410" s="2"/>
      <c r="E410" s="2"/>
      <c r="F410" s="2"/>
      <c r="G410" s="2"/>
      <c r="H410" s="146"/>
      <c r="I410" s="146"/>
      <c r="J410" s="146"/>
      <c r="K410" s="146"/>
      <c r="L410" s="2"/>
      <c r="M410" s="2"/>
      <c r="N410" s="2"/>
      <c r="O410" s="2"/>
      <c r="P410" s="2"/>
      <c r="Q410" s="2"/>
      <c r="R410" s="2"/>
      <c r="S410" s="2"/>
      <c r="T410" s="2"/>
      <c r="U410" s="2"/>
      <c r="V410" s="2"/>
      <c r="W410" s="2"/>
      <c r="X410" s="2"/>
      <c r="Y410" s="2"/>
      <c r="Z410" s="2"/>
      <c r="AA410" s="2"/>
      <c r="AB410" s="2"/>
      <c r="AC410" s="2"/>
      <c r="AD410" s="2"/>
      <c r="AE410" s="2"/>
      <c r="AF410" s="2"/>
      <c r="AG410" s="2"/>
    </row>
    <row r="411" ht="14.25" customHeight="1">
      <c r="A411" s="2"/>
      <c r="B411" s="2"/>
      <c r="C411" s="2"/>
      <c r="D411" s="2"/>
      <c r="E411" s="2"/>
      <c r="F411" s="2"/>
      <c r="G411" s="2"/>
      <c r="H411" s="146"/>
      <c r="I411" s="146"/>
      <c r="J411" s="146"/>
      <c r="K411" s="146"/>
      <c r="L411" s="2"/>
      <c r="M411" s="2"/>
      <c r="N411" s="2"/>
      <c r="O411" s="2"/>
      <c r="P411" s="2"/>
      <c r="Q411" s="2"/>
      <c r="R411" s="2"/>
      <c r="S411" s="2"/>
      <c r="T411" s="2"/>
      <c r="U411" s="2"/>
      <c r="V411" s="2"/>
      <c r="W411" s="2"/>
      <c r="X411" s="2"/>
      <c r="Y411" s="2"/>
      <c r="Z411" s="2"/>
      <c r="AA411" s="2"/>
      <c r="AB411" s="2"/>
      <c r="AC411" s="2"/>
      <c r="AD411" s="2"/>
      <c r="AE411" s="2"/>
      <c r="AF411" s="2"/>
      <c r="AG411" s="2"/>
    </row>
    <row r="412" ht="14.25" customHeight="1">
      <c r="A412" s="2"/>
      <c r="B412" s="2"/>
      <c r="C412" s="2"/>
      <c r="D412" s="2"/>
      <c r="E412" s="2"/>
      <c r="F412" s="2"/>
      <c r="G412" s="2"/>
      <c r="H412" s="146"/>
      <c r="I412" s="146"/>
      <c r="J412" s="146"/>
      <c r="K412" s="146"/>
      <c r="L412" s="2"/>
      <c r="M412" s="2"/>
      <c r="N412" s="2"/>
      <c r="O412" s="2"/>
      <c r="P412" s="2"/>
      <c r="Q412" s="2"/>
      <c r="R412" s="2"/>
      <c r="S412" s="2"/>
      <c r="T412" s="2"/>
      <c r="U412" s="2"/>
      <c r="V412" s="2"/>
      <c r="W412" s="2"/>
      <c r="X412" s="2"/>
      <c r="Y412" s="2"/>
      <c r="Z412" s="2"/>
      <c r="AA412" s="2"/>
      <c r="AB412" s="2"/>
      <c r="AC412" s="2"/>
      <c r="AD412" s="2"/>
      <c r="AE412" s="2"/>
      <c r="AF412" s="2"/>
      <c r="AG412" s="2"/>
    </row>
    <row r="413" ht="14.25" customHeight="1">
      <c r="A413" s="2"/>
      <c r="B413" s="2"/>
      <c r="C413" s="2"/>
      <c r="D413" s="2"/>
      <c r="E413" s="2"/>
      <c r="F413" s="2"/>
      <c r="G413" s="2"/>
      <c r="H413" s="146"/>
      <c r="I413" s="146"/>
      <c r="J413" s="146"/>
      <c r="K413" s="146"/>
      <c r="L413" s="2"/>
      <c r="M413" s="2"/>
      <c r="N413" s="2"/>
      <c r="O413" s="2"/>
      <c r="P413" s="2"/>
      <c r="Q413" s="2"/>
      <c r="R413" s="2"/>
      <c r="S413" s="2"/>
      <c r="T413" s="2"/>
      <c r="U413" s="2"/>
      <c r="V413" s="2"/>
      <c r="W413" s="2"/>
      <c r="X413" s="2"/>
      <c r="Y413" s="2"/>
      <c r="Z413" s="2"/>
      <c r="AA413" s="2"/>
      <c r="AB413" s="2"/>
      <c r="AC413" s="2"/>
      <c r="AD413" s="2"/>
      <c r="AE413" s="2"/>
      <c r="AF413" s="2"/>
      <c r="AG413" s="2"/>
    </row>
    <row r="414" ht="14.25" customHeight="1">
      <c r="A414" s="2"/>
      <c r="B414" s="2"/>
      <c r="C414" s="2"/>
      <c r="D414" s="2"/>
      <c r="E414" s="2"/>
      <c r="F414" s="2"/>
      <c r="G414" s="2"/>
      <c r="H414" s="146"/>
      <c r="I414" s="146"/>
      <c r="J414" s="146"/>
      <c r="K414" s="146"/>
      <c r="L414" s="2"/>
      <c r="M414" s="2"/>
      <c r="N414" s="2"/>
      <c r="O414" s="2"/>
      <c r="P414" s="2"/>
      <c r="Q414" s="2"/>
      <c r="R414" s="2"/>
      <c r="S414" s="2"/>
      <c r="T414" s="2"/>
      <c r="U414" s="2"/>
      <c r="V414" s="2"/>
      <c r="W414" s="2"/>
      <c r="X414" s="2"/>
      <c r="Y414" s="2"/>
      <c r="Z414" s="2"/>
      <c r="AA414" s="2"/>
      <c r="AB414" s="2"/>
      <c r="AC414" s="2"/>
      <c r="AD414" s="2"/>
      <c r="AE414" s="2"/>
      <c r="AF414" s="2"/>
      <c r="AG414" s="2"/>
    </row>
    <row r="415" ht="14.25" customHeight="1">
      <c r="A415" s="2"/>
      <c r="B415" s="2"/>
      <c r="C415" s="2"/>
      <c r="D415" s="2"/>
      <c r="E415" s="2"/>
      <c r="F415" s="2"/>
      <c r="G415" s="2"/>
      <c r="H415" s="146"/>
      <c r="I415" s="146"/>
      <c r="J415" s="146"/>
      <c r="K415" s="146"/>
      <c r="L415" s="2"/>
      <c r="M415" s="2"/>
      <c r="N415" s="2"/>
      <c r="O415" s="2"/>
      <c r="P415" s="2"/>
      <c r="Q415" s="2"/>
      <c r="R415" s="2"/>
      <c r="S415" s="2"/>
      <c r="T415" s="2"/>
      <c r="U415" s="2"/>
      <c r="V415" s="2"/>
      <c r="W415" s="2"/>
      <c r="X415" s="2"/>
      <c r="Y415" s="2"/>
      <c r="Z415" s="2"/>
      <c r="AA415" s="2"/>
      <c r="AB415" s="2"/>
      <c r="AC415" s="2"/>
      <c r="AD415" s="2"/>
      <c r="AE415" s="2"/>
      <c r="AF415" s="2"/>
      <c r="AG415" s="2"/>
    </row>
    <row r="416" ht="14.25" customHeight="1">
      <c r="A416" s="2"/>
      <c r="B416" s="2"/>
      <c r="C416" s="2"/>
      <c r="D416" s="2"/>
      <c r="E416" s="2"/>
      <c r="F416" s="2"/>
      <c r="G416" s="2"/>
      <c r="H416" s="146"/>
      <c r="I416" s="146"/>
      <c r="J416" s="146"/>
      <c r="K416" s="146"/>
      <c r="L416" s="2"/>
      <c r="M416" s="2"/>
      <c r="N416" s="2"/>
      <c r="O416" s="2"/>
      <c r="P416" s="2"/>
      <c r="Q416" s="2"/>
      <c r="R416" s="2"/>
      <c r="S416" s="2"/>
      <c r="T416" s="2"/>
      <c r="U416" s="2"/>
      <c r="V416" s="2"/>
      <c r="W416" s="2"/>
      <c r="X416" s="2"/>
      <c r="Y416" s="2"/>
      <c r="Z416" s="2"/>
      <c r="AA416" s="2"/>
      <c r="AB416" s="2"/>
      <c r="AC416" s="2"/>
      <c r="AD416" s="2"/>
      <c r="AE416" s="2"/>
      <c r="AF416" s="2"/>
      <c r="AG416" s="2"/>
    </row>
    <row r="417" ht="14.25" customHeight="1">
      <c r="A417" s="2"/>
      <c r="B417" s="2"/>
      <c r="C417" s="2"/>
      <c r="D417" s="2"/>
      <c r="E417" s="2"/>
      <c r="F417" s="2"/>
      <c r="G417" s="2"/>
      <c r="H417" s="146"/>
      <c r="I417" s="146"/>
      <c r="J417" s="146"/>
      <c r="K417" s="146"/>
      <c r="L417" s="2"/>
      <c r="M417" s="2"/>
      <c r="N417" s="2"/>
      <c r="O417" s="2"/>
      <c r="P417" s="2"/>
      <c r="Q417" s="2"/>
      <c r="R417" s="2"/>
      <c r="S417" s="2"/>
      <c r="T417" s="2"/>
      <c r="U417" s="2"/>
      <c r="V417" s="2"/>
      <c r="W417" s="2"/>
      <c r="X417" s="2"/>
      <c r="Y417" s="2"/>
      <c r="Z417" s="2"/>
      <c r="AA417" s="2"/>
      <c r="AB417" s="2"/>
      <c r="AC417" s="2"/>
      <c r="AD417" s="2"/>
      <c r="AE417" s="2"/>
      <c r="AF417" s="2"/>
      <c r="AG417" s="2"/>
    </row>
    <row r="418" ht="14.25" customHeight="1">
      <c r="A418" s="2"/>
      <c r="B418" s="2"/>
      <c r="C418" s="2"/>
      <c r="D418" s="2"/>
      <c r="E418" s="2"/>
      <c r="F418" s="2"/>
      <c r="G418" s="2"/>
      <c r="H418" s="146"/>
      <c r="I418" s="146"/>
      <c r="J418" s="146"/>
      <c r="K418" s="146"/>
      <c r="L418" s="2"/>
      <c r="M418" s="2"/>
      <c r="N418" s="2"/>
      <c r="O418" s="2"/>
      <c r="P418" s="2"/>
      <c r="Q418" s="2"/>
      <c r="R418" s="2"/>
      <c r="S418" s="2"/>
      <c r="T418" s="2"/>
      <c r="U418" s="2"/>
      <c r="V418" s="2"/>
      <c r="W418" s="2"/>
      <c r="X418" s="2"/>
      <c r="Y418" s="2"/>
      <c r="Z418" s="2"/>
      <c r="AA418" s="2"/>
      <c r="AB418" s="2"/>
      <c r="AC418" s="2"/>
      <c r="AD418" s="2"/>
      <c r="AE418" s="2"/>
      <c r="AF418" s="2"/>
      <c r="AG418" s="2"/>
    </row>
    <row r="419" ht="14.25" customHeight="1">
      <c r="A419" s="2"/>
      <c r="B419" s="2"/>
      <c r="C419" s="2"/>
      <c r="D419" s="2"/>
      <c r="E419" s="2"/>
      <c r="F419" s="2"/>
      <c r="G419" s="2"/>
      <c r="H419" s="146"/>
      <c r="I419" s="146"/>
      <c r="J419" s="146"/>
      <c r="K419" s="146"/>
      <c r="L419" s="2"/>
      <c r="M419" s="2"/>
      <c r="N419" s="2"/>
      <c r="O419" s="2"/>
      <c r="P419" s="2"/>
      <c r="Q419" s="2"/>
      <c r="R419" s="2"/>
      <c r="S419" s="2"/>
      <c r="T419" s="2"/>
      <c r="U419" s="2"/>
      <c r="V419" s="2"/>
      <c r="W419" s="2"/>
      <c r="X419" s="2"/>
      <c r="Y419" s="2"/>
      <c r="Z419" s="2"/>
      <c r="AA419" s="2"/>
      <c r="AB419" s="2"/>
      <c r="AC419" s="2"/>
      <c r="AD419" s="2"/>
      <c r="AE419" s="2"/>
      <c r="AF419" s="2"/>
      <c r="AG419" s="2"/>
    </row>
    <row r="420" ht="14.25" customHeight="1">
      <c r="A420" s="2"/>
      <c r="B420" s="2"/>
      <c r="C420" s="2"/>
      <c r="D420" s="2"/>
      <c r="E420" s="2"/>
      <c r="F420" s="2"/>
      <c r="G420" s="2"/>
      <c r="H420" s="146"/>
      <c r="I420" s="146"/>
      <c r="J420" s="146"/>
      <c r="K420" s="146"/>
      <c r="L420" s="2"/>
      <c r="M420" s="2"/>
      <c r="N420" s="2"/>
      <c r="O420" s="2"/>
      <c r="P420" s="2"/>
      <c r="Q420" s="2"/>
      <c r="R420" s="2"/>
      <c r="S420" s="2"/>
      <c r="T420" s="2"/>
      <c r="U420" s="2"/>
      <c r="V420" s="2"/>
      <c r="W420" s="2"/>
      <c r="X420" s="2"/>
      <c r="Y420" s="2"/>
      <c r="Z420" s="2"/>
      <c r="AA420" s="2"/>
      <c r="AB420" s="2"/>
      <c r="AC420" s="2"/>
      <c r="AD420" s="2"/>
      <c r="AE420" s="2"/>
      <c r="AF420" s="2"/>
      <c r="AG420" s="2"/>
    </row>
    <row r="421" ht="14.25" customHeight="1">
      <c r="A421" s="2"/>
      <c r="B421" s="2"/>
      <c r="C421" s="2"/>
      <c r="D421" s="2"/>
      <c r="E421" s="2"/>
      <c r="F421" s="2"/>
      <c r="G421" s="2"/>
      <c r="H421" s="146"/>
      <c r="I421" s="146"/>
      <c r="J421" s="146"/>
      <c r="K421" s="146"/>
      <c r="L421" s="2"/>
      <c r="M421" s="2"/>
      <c r="N421" s="2"/>
      <c r="O421" s="2"/>
      <c r="P421" s="2"/>
      <c r="Q421" s="2"/>
      <c r="R421" s="2"/>
      <c r="S421" s="2"/>
      <c r="T421" s="2"/>
      <c r="U421" s="2"/>
      <c r="V421" s="2"/>
      <c r="W421" s="2"/>
      <c r="X421" s="2"/>
      <c r="Y421" s="2"/>
      <c r="Z421" s="2"/>
      <c r="AA421" s="2"/>
      <c r="AB421" s="2"/>
      <c r="AC421" s="2"/>
      <c r="AD421" s="2"/>
      <c r="AE421" s="2"/>
      <c r="AF421" s="2"/>
      <c r="AG421" s="2"/>
    </row>
    <row r="422" ht="14.25" customHeight="1">
      <c r="A422" s="2"/>
      <c r="B422" s="2"/>
      <c r="C422" s="2"/>
      <c r="D422" s="2"/>
      <c r="E422" s="2"/>
      <c r="F422" s="2"/>
      <c r="G422" s="2"/>
      <c r="H422" s="146"/>
      <c r="I422" s="146"/>
      <c r="J422" s="146"/>
      <c r="K422" s="146"/>
      <c r="L422" s="2"/>
      <c r="M422" s="2"/>
      <c r="N422" s="2"/>
      <c r="O422" s="2"/>
      <c r="P422" s="2"/>
      <c r="Q422" s="2"/>
      <c r="R422" s="2"/>
      <c r="S422" s="2"/>
      <c r="T422" s="2"/>
      <c r="U422" s="2"/>
      <c r="V422" s="2"/>
      <c r="W422" s="2"/>
      <c r="X422" s="2"/>
      <c r="Y422" s="2"/>
      <c r="Z422" s="2"/>
      <c r="AA422" s="2"/>
      <c r="AB422" s="2"/>
      <c r="AC422" s="2"/>
      <c r="AD422" s="2"/>
      <c r="AE422" s="2"/>
      <c r="AF422" s="2"/>
      <c r="AG422" s="2"/>
    </row>
    <row r="423" ht="14.25" customHeight="1">
      <c r="A423" s="2"/>
      <c r="B423" s="2"/>
      <c r="C423" s="2"/>
      <c r="D423" s="2"/>
      <c r="E423" s="2"/>
      <c r="F423" s="2"/>
      <c r="G423" s="2"/>
      <c r="H423" s="146"/>
      <c r="I423" s="146"/>
      <c r="J423" s="146"/>
      <c r="K423" s="146"/>
      <c r="L423" s="2"/>
      <c r="M423" s="2"/>
      <c r="N423" s="2"/>
      <c r="O423" s="2"/>
      <c r="P423" s="2"/>
      <c r="Q423" s="2"/>
      <c r="R423" s="2"/>
      <c r="S423" s="2"/>
      <c r="T423" s="2"/>
      <c r="U423" s="2"/>
      <c r="V423" s="2"/>
      <c r="W423" s="2"/>
      <c r="X423" s="2"/>
      <c r="Y423" s="2"/>
      <c r="Z423" s="2"/>
      <c r="AA423" s="2"/>
      <c r="AB423" s="2"/>
      <c r="AC423" s="2"/>
      <c r="AD423" s="2"/>
      <c r="AE423" s="2"/>
      <c r="AF423" s="2"/>
      <c r="AG423" s="2"/>
    </row>
    <row r="424" ht="14.25" customHeight="1">
      <c r="A424" s="2"/>
      <c r="B424" s="2"/>
      <c r="C424" s="2"/>
      <c r="D424" s="2"/>
      <c r="E424" s="2"/>
      <c r="F424" s="2"/>
      <c r="G424" s="2"/>
      <c r="H424" s="146"/>
      <c r="I424" s="146"/>
      <c r="J424" s="146"/>
      <c r="K424" s="146"/>
      <c r="L424" s="2"/>
      <c r="M424" s="2"/>
      <c r="N424" s="2"/>
      <c r="O424" s="2"/>
      <c r="P424" s="2"/>
      <c r="Q424" s="2"/>
      <c r="R424" s="2"/>
      <c r="S424" s="2"/>
      <c r="T424" s="2"/>
      <c r="U424" s="2"/>
      <c r="V424" s="2"/>
      <c r="W424" s="2"/>
      <c r="X424" s="2"/>
      <c r="Y424" s="2"/>
      <c r="Z424" s="2"/>
      <c r="AA424" s="2"/>
      <c r="AB424" s="2"/>
      <c r="AC424" s="2"/>
      <c r="AD424" s="2"/>
      <c r="AE424" s="2"/>
      <c r="AF424" s="2"/>
      <c r="AG424" s="2"/>
    </row>
    <row r="425" ht="14.25" customHeight="1">
      <c r="A425" s="2"/>
      <c r="B425" s="2"/>
      <c r="C425" s="2"/>
      <c r="D425" s="2"/>
      <c r="E425" s="2"/>
      <c r="F425" s="2"/>
      <c r="G425" s="2"/>
      <c r="H425" s="146"/>
      <c r="I425" s="146"/>
      <c r="J425" s="146"/>
      <c r="K425" s="146"/>
      <c r="L425" s="2"/>
      <c r="M425" s="2"/>
      <c r="N425" s="2"/>
      <c r="O425" s="2"/>
      <c r="P425" s="2"/>
      <c r="Q425" s="2"/>
      <c r="R425" s="2"/>
      <c r="S425" s="2"/>
      <c r="T425" s="2"/>
      <c r="U425" s="2"/>
      <c r="V425" s="2"/>
      <c r="W425" s="2"/>
      <c r="X425" s="2"/>
      <c r="Y425" s="2"/>
      <c r="Z425" s="2"/>
      <c r="AA425" s="2"/>
      <c r="AB425" s="2"/>
      <c r="AC425" s="2"/>
      <c r="AD425" s="2"/>
      <c r="AE425" s="2"/>
      <c r="AF425" s="2"/>
      <c r="AG425" s="2"/>
    </row>
    <row r="426" ht="14.25" customHeight="1">
      <c r="A426" s="2"/>
      <c r="B426" s="2"/>
      <c r="C426" s="2"/>
      <c r="D426" s="2"/>
      <c r="E426" s="2"/>
      <c r="F426" s="2"/>
      <c r="G426" s="2"/>
      <c r="H426" s="146"/>
      <c r="I426" s="146"/>
      <c r="J426" s="146"/>
      <c r="K426" s="146"/>
      <c r="L426" s="2"/>
      <c r="M426" s="2"/>
      <c r="N426" s="2"/>
      <c r="O426" s="2"/>
      <c r="P426" s="2"/>
      <c r="Q426" s="2"/>
      <c r="R426" s="2"/>
      <c r="S426" s="2"/>
      <c r="T426" s="2"/>
      <c r="U426" s="2"/>
      <c r="V426" s="2"/>
      <c r="W426" s="2"/>
      <c r="X426" s="2"/>
      <c r="Y426" s="2"/>
      <c r="Z426" s="2"/>
      <c r="AA426" s="2"/>
      <c r="AB426" s="2"/>
      <c r="AC426" s="2"/>
      <c r="AD426" s="2"/>
      <c r="AE426" s="2"/>
      <c r="AF426" s="2"/>
      <c r="AG426" s="2"/>
    </row>
    <row r="427" ht="14.25" customHeight="1">
      <c r="A427" s="2"/>
      <c r="B427" s="2"/>
      <c r="C427" s="2"/>
      <c r="D427" s="2"/>
      <c r="E427" s="2"/>
      <c r="F427" s="2"/>
      <c r="G427" s="2"/>
      <c r="H427" s="146"/>
      <c r="I427" s="146"/>
      <c r="J427" s="146"/>
      <c r="K427" s="146"/>
      <c r="L427" s="2"/>
      <c r="M427" s="2"/>
      <c r="N427" s="2"/>
      <c r="O427" s="2"/>
      <c r="P427" s="2"/>
      <c r="Q427" s="2"/>
      <c r="R427" s="2"/>
      <c r="S427" s="2"/>
      <c r="T427" s="2"/>
      <c r="U427" s="2"/>
      <c r="V427" s="2"/>
      <c r="W427" s="2"/>
      <c r="X427" s="2"/>
      <c r="Y427" s="2"/>
      <c r="Z427" s="2"/>
      <c r="AA427" s="2"/>
      <c r="AB427" s="2"/>
      <c r="AC427" s="2"/>
      <c r="AD427" s="2"/>
      <c r="AE427" s="2"/>
      <c r="AF427" s="2"/>
      <c r="AG427" s="2"/>
    </row>
    <row r="428" ht="14.25" customHeight="1">
      <c r="A428" s="2"/>
      <c r="B428" s="2"/>
      <c r="C428" s="2"/>
      <c r="D428" s="2"/>
      <c r="E428" s="2"/>
      <c r="F428" s="2"/>
      <c r="G428" s="2"/>
      <c r="H428" s="146"/>
      <c r="I428" s="146"/>
      <c r="J428" s="146"/>
      <c r="K428" s="146"/>
      <c r="L428" s="2"/>
      <c r="M428" s="2"/>
      <c r="N428" s="2"/>
      <c r="O428" s="2"/>
      <c r="P428" s="2"/>
      <c r="Q428" s="2"/>
      <c r="R428" s="2"/>
      <c r="S428" s="2"/>
      <c r="T428" s="2"/>
      <c r="U428" s="2"/>
      <c r="V428" s="2"/>
      <c r="W428" s="2"/>
      <c r="X428" s="2"/>
      <c r="Y428" s="2"/>
      <c r="Z428" s="2"/>
      <c r="AA428" s="2"/>
      <c r="AB428" s="2"/>
      <c r="AC428" s="2"/>
      <c r="AD428" s="2"/>
      <c r="AE428" s="2"/>
      <c r="AF428" s="2"/>
      <c r="AG428" s="2"/>
    </row>
    <row r="429" ht="14.25" customHeight="1">
      <c r="A429" s="2"/>
      <c r="B429" s="2"/>
      <c r="C429" s="2"/>
      <c r="D429" s="2"/>
      <c r="E429" s="2"/>
      <c r="F429" s="2"/>
      <c r="G429" s="2"/>
      <c r="H429" s="146"/>
      <c r="I429" s="146"/>
      <c r="J429" s="146"/>
      <c r="K429" s="146"/>
      <c r="L429" s="2"/>
      <c r="M429" s="2"/>
      <c r="N429" s="2"/>
      <c r="O429" s="2"/>
      <c r="P429" s="2"/>
      <c r="Q429" s="2"/>
      <c r="R429" s="2"/>
      <c r="S429" s="2"/>
      <c r="T429" s="2"/>
      <c r="U429" s="2"/>
      <c r="V429" s="2"/>
      <c r="W429" s="2"/>
      <c r="X429" s="2"/>
      <c r="Y429" s="2"/>
      <c r="Z429" s="2"/>
      <c r="AA429" s="2"/>
      <c r="AB429" s="2"/>
      <c r="AC429" s="2"/>
      <c r="AD429" s="2"/>
      <c r="AE429" s="2"/>
      <c r="AF429" s="2"/>
      <c r="AG429" s="2"/>
    </row>
    <row r="430" ht="14.25" customHeight="1">
      <c r="A430" s="2"/>
      <c r="B430" s="2"/>
      <c r="C430" s="2"/>
      <c r="D430" s="2"/>
      <c r="E430" s="2"/>
      <c r="F430" s="2"/>
      <c r="G430" s="2"/>
      <c r="H430" s="146"/>
      <c r="I430" s="146"/>
      <c r="J430" s="146"/>
      <c r="K430" s="146"/>
      <c r="L430" s="2"/>
      <c r="M430" s="2"/>
      <c r="N430" s="2"/>
      <c r="O430" s="2"/>
      <c r="P430" s="2"/>
      <c r="Q430" s="2"/>
      <c r="R430" s="2"/>
      <c r="S430" s="2"/>
      <c r="T430" s="2"/>
      <c r="U430" s="2"/>
      <c r="V430" s="2"/>
      <c r="W430" s="2"/>
      <c r="X430" s="2"/>
      <c r="Y430" s="2"/>
      <c r="Z430" s="2"/>
      <c r="AA430" s="2"/>
      <c r="AB430" s="2"/>
      <c r="AC430" s="2"/>
      <c r="AD430" s="2"/>
      <c r="AE430" s="2"/>
      <c r="AF430" s="2"/>
      <c r="AG430" s="2"/>
    </row>
    <row r="431" ht="14.25" customHeight="1">
      <c r="A431" s="2"/>
      <c r="B431" s="2"/>
      <c r="C431" s="2"/>
      <c r="D431" s="2"/>
      <c r="E431" s="2"/>
      <c r="F431" s="2"/>
      <c r="G431" s="2"/>
      <c r="H431" s="146"/>
      <c r="I431" s="146"/>
      <c r="J431" s="146"/>
      <c r="K431" s="146"/>
      <c r="L431" s="2"/>
      <c r="M431" s="2"/>
      <c r="N431" s="2"/>
      <c r="O431" s="2"/>
      <c r="P431" s="2"/>
      <c r="Q431" s="2"/>
      <c r="R431" s="2"/>
      <c r="S431" s="2"/>
      <c r="T431" s="2"/>
      <c r="U431" s="2"/>
      <c r="V431" s="2"/>
      <c r="W431" s="2"/>
      <c r="X431" s="2"/>
      <c r="Y431" s="2"/>
      <c r="Z431" s="2"/>
      <c r="AA431" s="2"/>
      <c r="AB431" s="2"/>
      <c r="AC431" s="2"/>
      <c r="AD431" s="2"/>
      <c r="AE431" s="2"/>
      <c r="AF431" s="2"/>
      <c r="AG431" s="2"/>
    </row>
    <row r="432" ht="14.25" customHeight="1">
      <c r="A432" s="2"/>
      <c r="B432" s="2"/>
      <c r="C432" s="2"/>
      <c r="D432" s="2"/>
      <c r="E432" s="2"/>
      <c r="F432" s="2"/>
      <c r="G432" s="2"/>
      <c r="H432" s="146"/>
      <c r="I432" s="146"/>
      <c r="J432" s="146"/>
      <c r="K432" s="146"/>
      <c r="L432" s="2"/>
      <c r="M432" s="2"/>
      <c r="N432" s="2"/>
      <c r="O432" s="2"/>
      <c r="P432" s="2"/>
      <c r="Q432" s="2"/>
      <c r="R432" s="2"/>
      <c r="S432" s="2"/>
      <c r="T432" s="2"/>
      <c r="U432" s="2"/>
      <c r="V432" s="2"/>
      <c r="W432" s="2"/>
      <c r="X432" s="2"/>
      <c r="Y432" s="2"/>
      <c r="Z432" s="2"/>
      <c r="AA432" s="2"/>
      <c r="AB432" s="2"/>
      <c r="AC432" s="2"/>
      <c r="AD432" s="2"/>
      <c r="AE432" s="2"/>
      <c r="AF432" s="2"/>
      <c r="AG432" s="2"/>
    </row>
    <row r="433" ht="14.25" customHeight="1">
      <c r="A433" s="2"/>
      <c r="B433" s="2"/>
      <c r="C433" s="2"/>
      <c r="D433" s="2"/>
      <c r="E433" s="2"/>
      <c r="F433" s="2"/>
      <c r="G433" s="2"/>
      <c r="H433" s="146"/>
      <c r="I433" s="146"/>
      <c r="J433" s="146"/>
      <c r="K433" s="146"/>
      <c r="L433" s="2"/>
      <c r="M433" s="2"/>
      <c r="N433" s="2"/>
      <c r="O433" s="2"/>
      <c r="P433" s="2"/>
      <c r="Q433" s="2"/>
      <c r="R433" s="2"/>
      <c r="S433" s="2"/>
      <c r="T433" s="2"/>
      <c r="U433" s="2"/>
      <c r="V433" s="2"/>
      <c r="W433" s="2"/>
      <c r="X433" s="2"/>
      <c r="Y433" s="2"/>
      <c r="Z433" s="2"/>
      <c r="AA433" s="2"/>
      <c r="AB433" s="2"/>
      <c r="AC433" s="2"/>
      <c r="AD433" s="2"/>
      <c r="AE433" s="2"/>
      <c r="AF433" s="2"/>
      <c r="AG433" s="2"/>
    </row>
    <row r="434" ht="14.25" customHeight="1">
      <c r="A434" s="2"/>
      <c r="B434" s="2"/>
      <c r="C434" s="2"/>
      <c r="D434" s="2"/>
      <c r="E434" s="2"/>
      <c r="F434" s="2"/>
      <c r="G434" s="2"/>
      <c r="H434" s="146"/>
      <c r="I434" s="146"/>
      <c r="J434" s="146"/>
      <c r="K434" s="146"/>
      <c r="L434" s="2"/>
      <c r="M434" s="2"/>
      <c r="N434" s="2"/>
      <c r="O434" s="2"/>
      <c r="P434" s="2"/>
      <c r="Q434" s="2"/>
      <c r="R434" s="2"/>
      <c r="S434" s="2"/>
      <c r="T434" s="2"/>
      <c r="U434" s="2"/>
      <c r="V434" s="2"/>
      <c r="W434" s="2"/>
      <c r="X434" s="2"/>
      <c r="Y434" s="2"/>
      <c r="Z434" s="2"/>
      <c r="AA434" s="2"/>
      <c r="AB434" s="2"/>
      <c r="AC434" s="2"/>
      <c r="AD434" s="2"/>
      <c r="AE434" s="2"/>
      <c r="AF434" s="2"/>
      <c r="AG434" s="2"/>
    </row>
    <row r="435" ht="14.25" customHeight="1">
      <c r="A435" s="2"/>
      <c r="B435" s="2"/>
      <c r="C435" s="2"/>
      <c r="D435" s="2"/>
      <c r="E435" s="2"/>
      <c r="F435" s="2"/>
      <c r="G435" s="2"/>
      <c r="H435" s="146"/>
      <c r="I435" s="146"/>
      <c r="J435" s="146"/>
      <c r="K435" s="146"/>
      <c r="L435" s="2"/>
      <c r="M435" s="2"/>
      <c r="N435" s="2"/>
      <c r="O435" s="2"/>
      <c r="P435" s="2"/>
      <c r="Q435" s="2"/>
      <c r="R435" s="2"/>
      <c r="S435" s="2"/>
      <c r="T435" s="2"/>
      <c r="U435" s="2"/>
      <c r="V435" s="2"/>
      <c r="W435" s="2"/>
      <c r="X435" s="2"/>
      <c r="Y435" s="2"/>
      <c r="Z435" s="2"/>
      <c r="AA435" s="2"/>
      <c r="AB435" s="2"/>
      <c r="AC435" s="2"/>
      <c r="AD435" s="2"/>
      <c r="AE435" s="2"/>
      <c r="AF435" s="2"/>
      <c r="AG435" s="2"/>
    </row>
    <row r="436" ht="14.25" customHeight="1">
      <c r="A436" s="2"/>
      <c r="B436" s="2"/>
      <c r="C436" s="2"/>
      <c r="D436" s="2"/>
      <c r="E436" s="2"/>
      <c r="F436" s="2"/>
      <c r="G436" s="2"/>
      <c r="H436" s="146"/>
      <c r="I436" s="146"/>
      <c r="J436" s="146"/>
      <c r="K436" s="146"/>
      <c r="L436" s="2"/>
      <c r="M436" s="2"/>
      <c r="N436" s="2"/>
      <c r="O436" s="2"/>
      <c r="P436" s="2"/>
      <c r="Q436" s="2"/>
      <c r="R436" s="2"/>
      <c r="S436" s="2"/>
      <c r="T436" s="2"/>
      <c r="U436" s="2"/>
      <c r="V436" s="2"/>
      <c r="W436" s="2"/>
      <c r="X436" s="2"/>
      <c r="Y436" s="2"/>
      <c r="Z436" s="2"/>
      <c r="AA436" s="2"/>
      <c r="AB436" s="2"/>
      <c r="AC436" s="2"/>
      <c r="AD436" s="2"/>
      <c r="AE436" s="2"/>
      <c r="AF436" s="2"/>
      <c r="AG436" s="2"/>
    </row>
    <row r="437" ht="14.25" customHeight="1">
      <c r="A437" s="2"/>
      <c r="B437" s="2"/>
      <c r="C437" s="2"/>
      <c r="D437" s="2"/>
      <c r="E437" s="2"/>
      <c r="F437" s="2"/>
      <c r="G437" s="2"/>
      <c r="H437" s="146"/>
      <c r="I437" s="146"/>
      <c r="J437" s="146"/>
      <c r="K437" s="146"/>
      <c r="L437" s="2"/>
      <c r="M437" s="2"/>
      <c r="N437" s="2"/>
      <c r="O437" s="2"/>
      <c r="P437" s="2"/>
      <c r="Q437" s="2"/>
      <c r="R437" s="2"/>
      <c r="S437" s="2"/>
      <c r="T437" s="2"/>
      <c r="U437" s="2"/>
      <c r="V437" s="2"/>
      <c r="W437" s="2"/>
      <c r="X437" s="2"/>
      <c r="Y437" s="2"/>
      <c r="Z437" s="2"/>
      <c r="AA437" s="2"/>
      <c r="AB437" s="2"/>
      <c r="AC437" s="2"/>
      <c r="AD437" s="2"/>
      <c r="AE437" s="2"/>
      <c r="AF437" s="2"/>
      <c r="AG437" s="2"/>
    </row>
    <row r="438" ht="14.25" customHeight="1">
      <c r="A438" s="2"/>
      <c r="B438" s="2"/>
      <c r="C438" s="2"/>
      <c r="D438" s="2"/>
      <c r="E438" s="2"/>
      <c r="F438" s="2"/>
      <c r="G438" s="2"/>
      <c r="H438" s="146"/>
      <c r="I438" s="146"/>
      <c r="J438" s="146"/>
      <c r="K438" s="146"/>
      <c r="L438" s="2"/>
      <c r="M438" s="2"/>
      <c r="N438" s="2"/>
      <c r="O438" s="2"/>
      <c r="P438" s="2"/>
      <c r="Q438" s="2"/>
      <c r="R438" s="2"/>
      <c r="S438" s="2"/>
      <c r="T438" s="2"/>
      <c r="U438" s="2"/>
      <c r="V438" s="2"/>
      <c r="W438" s="2"/>
      <c r="X438" s="2"/>
      <c r="Y438" s="2"/>
      <c r="Z438" s="2"/>
      <c r="AA438" s="2"/>
      <c r="AB438" s="2"/>
      <c r="AC438" s="2"/>
      <c r="AD438" s="2"/>
      <c r="AE438" s="2"/>
      <c r="AF438" s="2"/>
      <c r="AG438" s="2"/>
    </row>
    <row r="439" ht="14.25" customHeight="1">
      <c r="A439" s="2"/>
      <c r="B439" s="2"/>
      <c r="C439" s="2"/>
      <c r="D439" s="2"/>
      <c r="E439" s="2"/>
      <c r="F439" s="2"/>
      <c r="G439" s="2"/>
      <c r="H439" s="146"/>
      <c r="I439" s="146"/>
      <c r="J439" s="146"/>
      <c r="K439" s="146"/>
      <c r="L439" s="2"/>
      <c r="M439" s="2"/>
      <c r="N439" s="2"/>
      <c r="O439" s="2"/>
      <c r="P439" s="2"/>
      <c r="Q439" s="2"/>
      <c r="R439" s="2"/>
      <c r="S439" s="2"/>
      <c r="T439" s="2"/>
      <c r="U439" s="2"/>
      <c r="V439" s="2"/>
      <c r="W439" s="2"/>
      <c r="X439" s="2"/>
      <c r="Y439" s="2"/>
      <c r="Z439" s="2"/>
      <c r="AA439" s="2"/>
      <c r="AB439" s="2"/>
      <c r="AC439" s="2"/>
      <c r="AD439" s="2"/>
      <c r="AE439" s="2"/>
      <c r="AF439" s="2"/>
      <c r="AG439" s="2"/>
    </row>
    <row r="440" ht="14.25" customHeight="1">
      <c r="A440" s="2"/>
      <c r="B440" s="2"/>
      <c r="C440" s="2"/>
      <c r="D440" s="2"/>
      <c r="E440" s="2"/>
      <c r="F440" s="2"/>
      <c r="G440" s="2"/>
      <c r="H440" s="146"/>
      <c r="I440" s="146"/>
      <c r="J440" s="146"/>
      <c r="K440" s="146"/>
      <c r="L440" s="2"/>
      <c r="M440" s="2"/>
      <c r="N440" s="2"/>
      <c r="O440" s="2"/>
      <c r="P440" s="2"/>
      <c r="Q440" s="2"/>
      <c r="R440" s="2"/>
      <c r="S440" s="2"/>
      <c r="T440" s="2"/>
      <c r="U440" s="2"/>
      <c r="V440" s="2"/>
      <c r="W440" s="2"/>
      <c r="X440" s="2"/>
      <c r="Y440" s="2"/>
      <c r="Z440" s="2"/>
      <c r="AA440" s="2"/>
      <c r="AB440" s="2"/>
      <c r="AC440" s="2"/>
      <c r="AD440" s="2"/>
      <c r="AE440" s="2"/>
      <c r="AF440" s="2"/>
      <c r="AG440" s="2"/>
    </row>
    <row r="441" ht="14.25" customHeight="1">
      <c r="A441" s="2"/>
      <c r="B441" s="2"/>
      <c r="C441" s="2"/>
      <c r="D441" s="2"/>
      <c r="E441" s="2"/>
      <c r="F441" s="2"/>
      <c r="G441" s="2"/>
      <c r="H441" s="146"/>
      <c r="I441" s="146"/>
      <c r="J441" s="146"/>
      <c r="K441" s="146"/>
      <c r="L441" s="2"/>
      <c r="M441" s="2"/>
      <c r="N441" s="2"/>
      <c r="O441" s="2"/>
      <c r="P441" s="2"/>
      <c r="Q441" s="2"/>
      <c r="R441" s="2"/>
      <c r="S441" s="2"/>
      <c r="T441" s="2"/>
      <c r="U441" s="2"/>
      <c r="V441" s="2"/>
      <c r="W441" s="2"/>
      <c r="X441" s="2"/>
      <c r="Y441" s="2"/>
      <c r="Z441" s="2"/>
      <c r="AA441" s="2"/>
      <c r="AB441" s="2"/>
      <c r="AC441" s="2"/>
      <c r="AD441" s="2"/>
      <c r="AE441" s="2"/>
      <c r="AF441" s="2"/>
      <c r="AG441" s="2"/>
    </row>
    <row r="442" ht="14.25" customHeight="1">
      <c r="A442" s="2"/>
      <c r="B442" s="2"/>
      <c r="C442" s="2"/>
      <c r="D442" s="2"/>
      <c r="E442" s="2"/>
      <c r="F442" s="2"/>
      <c r="G442" s="2"/>
      <c r="H442" s="146"/>
      <c r="I442" s="146"/>
      <c r="J442" s="146"/>
      <c r="K442" s="146"/>
      <c r="L442" s="2"/>
      <c r="M442" s="2"/>
      <c r="N442" s="2"/>
      <c r="O442" s="2"/>
      <c r="P442" s="2"/>
      <c r="Q442" s="2"/>
      <c r="R442" s="2"/>
      <c r="S442" s="2"/>
      <c r="T442" s="2"/>
      <c r="U442" s="2"/>
      <c r="V442" s="2"/>
      <c r="W442" s="2"/>
      <c r="X442" s="2"/>
      <c r="Y442" s="2"/>
      <c r="Z442" s="2"/>
      <c r="AA442" s="2"/>
      <c r="AB442" s="2"/>
      <c r="AC442" s="2"/>
      <c r="AD442" s="2"/>
      <c r="AE442" s="2"/>
      <c r="AF442" s="2"/>
      <c r="AG442" s="2"/>
    </row>
    <row r="443" ht="14.25" customHeight="1">
      <c r="A443" s="2"/>
      <c r="B443" s="2"/>
      <c r="C443" s="2"/>
      <c r="D443" s="2"/>
      <c r="E443" s="2"/>
      <c r="F443" s="2"/>
      <c r="G443" s="2"/>
      <c r="H443" s="146"/>
      <c r="I443" s="146"/>
      <c r="J443" s="146"/>
      <c r="K443" s="146"/>
      <c r="L443" s="2"/>
      <c r="M443" s="2"/>
      <c r="N443" s="2"/>
      <c r="O443" s="2"/>
      <c r="P443" s="2"/>
      <c r="Q443" s="2"/>
      <c r="R443" s="2"/>
      <c r="S443" s="2"/>
      <c r="T443" s="2"/>
      <c r="U443" s="2"/>
      <c r="V443" s="2"/>
      <c r="W443" s="2"/>
      <c r="X443" s="2"/>
      <c r="Y443" s="2"/>
      <c r="Z443" s="2"/>
      <c r="AA443" s="2"/>
      <c r="AB443" s="2"/>
      <c r="AC443" s="2"/>
      <c r="AD443" s="2"/>
      <c r="AE443" s="2"/>
      <c r="AF443" s="2"/>
      <c r="AG443" s="2"/>
    </row>
    <row r="444" ht="14.25" customHeight="1">
      <c r="A444" s="2"/>
      <c r="B444" s="2"/>
      <c r="C444" s="2"/>
      <c r="D444" s="2"/>
      <c r="E444" s="2"/>
      <c r="F444" s="2"/>
      <c r="G444" s="2"/>
      <c r="H444" s="146"/>
      <c r="I444" s="146"/>
      <c r="J444" s="146"/>
      <c r="K444" s="146"/>
      <c r="L444" s="2"/>
      <c r="M444" s="2"/>
      <c r="N444" s="2"/>
      <c r="O444" s="2"/>
      <c r="P444" s="2"/>
      <c r="Q444" s="2"/>
      <c r="R444" s="2"/>
      <c r="S444" s="2"/>
      <c r="T444" s="2"/>
      <c r="U444" s="2"/>
      <c r="V444" s="2"/>
      <c r="W444" s="2"/>
      <c r="X444" s="2"/>
      <c r="Y444" s="2"/>
      <c r="Z444" s="2"/>
      <c r="AA444" s="2"/>
      <c r="AB444" s="2"/>
      <c r="AC444" s="2"/>
      <c r="AD444" s="2"/>
      <c r="AE444" s="2"/>
      <c r="AF444" s="2"/>
      <c r="AG444" s="2"/>
    </row>
    <row r="445" ht="14.25" customHeight="1">
      <c r="A445" s="2"/>
      <c r="B445" s="2"/>
      <c r="C445" s="2"/>
      <c r="D445" s="2"/>
      <c r="E445" s="2"/>
      <c r="F445" s="2"/>
      <c r="G445" s="2"/>
      <c r="H445" s="146"/>
      <c r="I445" s="146"/>
      <c r="J445" s="146"/>
      <c r="K445" s="146"/>
      <c r="L445" s="2"/>
      <c r="M445" s="2"/>
      <c r="N445" s="2"/>
      <c r="O445" s="2"/>
      <c r="P445" s="2"/>
      <c r="Q445" s="2"/>
      <c r="R445" s="2"/>
      <c r="S445" s="2"/>
      <c r="T445" s="2"/>
      <c r="U445" s="2"/>
      <c r="V445" s="2"/>
      <c r="W445" s="2"/>
      <c r="X445" s="2"/>
      <c r="Y445" s="2"/>
      <c r="Z445" s="2"/>
      <c r="AA445" s="2"/>
      <c r="AB445" s="2"/>
      <c r="AC445" s="2"/>
      <c r="AD445" s="2"/>
      <c r="AE445" s="2"/>
      <c r="AF445" s="2"/>
      <c r="AG445" s="2"/>
    </row>
    <row r="446" ht="14.25" customHeight="1">
      <c r="A446" s="2"/>
      <c r="B446" s="2"/>
      <c r="C446" s="2"/>
      <c r="D446" s="2"/>
      <c r="E446" s="2"/>
      <c r="F446" s="2"/>
      <c r="G446" s="2"/>
      <c r="H446" s="146"/>
      <c r="I446" s="146"/>
      <c r="J446" s="146"/>
      <c r="K446" s="146"/>
      <c r="L446" s="2"/>
      <c r="M446" s="2"/>
      <c r="N446" s="2"/>
      <c r="O446" s="2"/>
      <c r="P446" s="2"/>
      <c r="Q446" s="2"/>
      <c r="R446" s="2"/>
      <c r="S446" s="2"/>
      <c r="T446" s="2"/>
      <c r="U446" s="2"/>
      <c r="V446" s="2"/>
      <c r="W446" s="2"/>
      <c r="X446" s="2"/>
      <c r="Y446" s="2"/>
      <c r="Z446" s="2"/>
      <c r="AA446" s="2"/>
      <c r="AB446" s="2"/>
      <c r="AC446" s="2"/>
      <c r="AD446" s="2"/>
      <c r="AE446" s="2"/>
      <c r="AF446" s="2"/>
      <c r="AG446" s="2"/>
    </row>
    <row r="447" ht="14.25" customHeight="1">
      <c r="A447" s="2"/>
      <c r="B447" s="2"/>
      <c r="C447" s="2"/>
      <c r="D447" s="2"/>
      <c r="E447" s="2"/>
      <c r="F447" s="2"/>
      <c r="G447" s="2"/>
      <c r="H447" s="146"/>
      <c r="I447" s="146"/>
      <c r="J447" s="146"/>
      <c r="K447" s="146"/>
      <c r="L447" s="2"/>
      <c r="M447" s="2"/>
      <c r="N447" s="2"/>
      <c r="O447" s="2"/>
      <c r="P447" s="2"/>
      <c r="Q447" s="2"/>
      <c r="R447" s="2"/>
      <c r="S447" s="2"/>
      <c r="T447" s="2"/>
      <c r="U447" s="2"/>
      <c r="V447" s="2"/>
      <c r="W447" s="2"/>
      <c r="X447" s="2"/>
      <c r="Y447" s="2"/>
      <c r="Z447" s="2"/>
      <c r="AA447" s="2"/>
      <c r="AB447" s="2"/>
      <c r="AC447" s="2"/>
      <c r="AD447" s="2"/>
      <c r="AE447" s="2"/>
      <c r="AF447" s="2"/>
      <c r="AG447" s="2"/>
    </row>
    <row r="448" ht="14.25" customHeight="1">
      <c r="A448" s="2"/>
      <c r="B448" s="2"/>
      <c r="C448" s="2"/>
      <c r="D448" s="2"/>
      <c r="E448" s="2"/>
      <c r="F448" s="2"/>
      <c r="G448" s="2"/>
      <c r="H448" s="146"/>
      <c r="I448" s="146"/>
      <c r="J448" s="146"/>
      <c r="K448" s="146"/>
      <c r="L448" s="2"/>
      <c r="M448" s="2"/>
      <c r="N448" s="2"/>
      <c r="O448" s="2"/>
      <c r="P448" s="2"/>
      <c r="Q448" s="2"/>
      <c r="R448" s="2"/>
      <c r="S448" s="2"/>
      <c r="T448" s="2"/>
      <c r="U448" s="2"/>
      <c r="V448" s="2"/>
      <c r="W448" s="2"/>
      <c r="X448" s="2"/>
      <c r="Y448" s="2"/>
      <c r="Z448" s="2"/>
      <c r="AA448" s="2"/>
      <c r="AB448" s="2"/>
      <c r="AC448" s="2"/>
      <c r="AD448" s="2"/>
      <c r="AE448" s="2"/>
      <c r="AF448" s="2"/>
      <c r="AG448" s="2"/>
    </row>
    <row r="449" ht="14.25" customHeight="1">
      <c r="A449" s="2"/>
      <c r="B449" s="2"/>
      <c r="C449" s="2"/>
      <c r="D449" s="2"/>
      <c r="E449" s="2"/>
      <c r="F449" s="2"/>
      <c r="G449" s="2"/>
      <c r="H449" s="146"/>
      <c r="I449" s="146"/>
      <c r="J449" s="146"/>
      <c r="K449" s="146"/>
      <c r="L449" s="2"/>
      <c r="M449" s="2"/>
      <c r="N449" s="2"/>
      <c r="O449" s="2"/>
      <c r="P449" s="2"/>
      <c r="Q449" s="2"/>
      <c r="R449" s="2"/>
      <c r="S449" s="2"/>
      <c r="T449" s="2"/>
      <c r="U449" s="2"/>
      <c r="V449" s="2"/>
      <c r="W449" s="2"/>
      <c r="X449" s="2"/>
      <c r="Y449" s="2"/>
      <c r="Z449" s="2"/>
      <c r="AA449" s="2"/>
      <c r="AB449" s="2"/>
      <c r="AC449" s="2"/>
      <c r="AD449" s="2"/>
      <c r="AE449" s="2"/>
      <c r="AF449" s="2"/>
      <c r="AG449" s="2"/>
    </row>
    <row r="450" ht="14.25" customHeight="1">
      <c r="A450" s="2"/>
      <c r="B450" s="2"/>
      <c r="C450" s="2"/>
      <c r="D450" s="2"/>
      <c r="E450" s="2"/>
      <c r="F450" s="2"/>
      <c r="G450" s="2"/>
      <c r="H450" s="146"/>
      <c r="I450" s="146"/>
      <c r="J450" s="146"/>
      <c r="K450" s="146"/>
      <c r="L450" s="2"/>
      <c r="M450" s="2"/>
      <c r="N450" s="2"/>
      <c r="O450" s="2"/>
      <c r="P450" s="2"/>
      <c r="Q450" s="2"/>
      <c r="R450" s="2"/>
      <c r="S450" s="2"/>
      <c r="T450" s="2"/>
      <c r="U450" s="2"/>
      <c r="V450" s="2"/>
      <c r="W450" s="2"/>
      <c r="X450" s="2"/>
      <c r="Y450" s="2"/>
      <c r="Z450" s="2"/>
      <c r="AA450" s="2"/>
      <c r="AB450" s="2"/>
      <c r="AC450" s="2"/>
      <c r="AD450" s="2"/>
      <c r="AE450" s="2"/>
      <c r="AF450" s="2"/>
      <c r="AG450" s="2"/>
    </row>
    <row r="451" ht="14.25" customHeight="1">
      <c r="A451" s="2"/>
      <c r="B451" s="2"/>
      <c r="C451" s="2"/>
      <c r="D451" s="2"/>
      <c r="E451" s="2"/>
      <c r="F451" s="2"/>
      <c r="G451" s="2"/>
      <c r="H451" s="146"/>
      <c r="I451" s="146"/>
      <c r="J451" s="146"/>
      <c r="K451" s="146"/>
      <c r="L451" s="2"/>
      <c r="M451" s="2"/>
      <c r="N451" s="2"/>
      <c r="O451" s="2"/>
      <c r="P451" s="2"/>
      <c r="Q451" s="2"/>
      <c r="R451" s="2"/>
      <c r="S451" s="2"/>
      <c r="T451" s="2"/>
      <c r="U451" s="2"/>
      <c r="V451" s="2"/>
      <c r="W451" s="2"/>
      <c r="X451" s="2"/>
      <c r="Y451" s="2"/>
      <c r="Z451" s="2"/>
      <c r="AA451" s="2"/>
      <c r="AB451" s="2"/>
      <c r="AC451" s="2"/>
      <c r="AD451" s="2"/>
      <c r="AE451" s="2"/>
      <c r="AF451" s="2"/>
      <c r="AG451" s="2"/>
    </row>
    <row r="452" ht="14.25" customHeight="1">
      <c r="A452" s="2"/>
      <c r="B452" s="2"/>
      <c r="C452" s="2"/>
      <c r="D452" s="2"/>
      <c r="E452" s="2"/>
      <c r="F452" s="2"/>
      <c r="G452" s="2"/>
      <c r="H452" s="146"/>
      <c r="I452" s="146"/>
      <c r="J452" s="146"/>
      <c r="K452" s="146"/>
      <c r="L452" s="2"/>
      <c r="M452" s="2"/>
      <c r="N452" s="2"/>
      <c r="O452" s="2"/>
      <c r="P452" s="2"/>
      <c r="Q452" s="2"/>
      <c r="R452" s="2"/>
      <c r="S452" s="2"/>
      <c r="T452" s="2"/>
      <c r="U452" s="2"/>
      <c r="V452" s="2"/>
      <c r="W452" s="2"/>
      <c r="X452" s="2"/>
      <c r="Y452" s="2"/>
      <c r="Z452" s="2"/>
      <c r="AA452" s="2"/>
      <c r="AB452" s="2"/>
      <c r="AC452" s="2"/>
      <c r="AD452" s="2"/>
      <c r="AE452" s="2"/>
      <c r="AF452" s="2"/>
      <c r="AG452" s="2"/>
    </row>
    <row r="453" ht="14.25" customHeight="1">
      <c r="A453" s="2"/>
      <c r="B453" s="2"/>
      <c r="C453" s="2"/>
      <c r="D453" s="2"/>
      <c r="E453" s="2"/>
      <c r="F453" s="2"/>
      <c r="G453" s="2"/>
      <c r="H453" s="146"/>
      <c r="I453" s="146"/>
      <c r="J453" s="146"/>
      <c r="K453" s="146"/>
      <c r="L453" s="2"/>
      <c r="M453" s="2"/>
      <c r="N453" s="2"/>
      <c r="O453" s="2"/>
      <c r="P453" s="2"/>
      <c r="Q453" s="2"/>
      <c r="R453" s="2"/>
      <c r="S453" s="2"/>
      <c r="T453" s="2"/>
      <c r="U453" s="2"/>
      <c r="V453" s="2"/>
      <c r="W453" s="2"/>
      <c r="X453" s="2"/>
      <c r="Y453" s="2"/>
      <c r="Z453" s="2"/>
      <c r="AA453" s="2"/>
      <c r="AB453" s="2"/>
      <c r="AC453" s="2"/>
      <c r="AD453" s="2"/>
      <c r="AE453" s="2"/>
      <c r="AF453" s="2"/>
      <c r="AG453" s="2"/>
    </row>
    <row r="454" ht="14.25" customHeight="1">
      <c r="A454" s="2"/>
      <c r="B454" s="2"/>
      <c r="C454" s="2"/>
      <c r="D454" s="2"/>
      <c r="E454" s="2"/>
      <c r="F454" s="2"/>
      <c r="G454" s="2"/>
      <c r="H454" s="146"/>
      <c r="I454" s="146"/>
      <c r="J454" s="146"/>
      <c r="K454" s="146"/>
      <c r="L454" s="2"/>
      <c r="M454" s="2"/>
      <c r="N454" s="2"/>
      <c r="O454" s="2"/>
      <c r="P454" s="2"/>
      <c r="Q454" s="2"/>
      <c r="R454" s="2"/>
      <c r="S454" s="2"/>
      <c r="T454" s="2"/>
      <c r="U454" s="2"/>
      <c r="V454" s="2"/>
      <c r="W454" s="2"/>
      <c r="X454" s="2"/>
      <c r="Y454" s="2"/>
      <c r="Z454" s="2"/>
      <c r="AA454" s="2"/>
      <c r="AB454" s="2"/>
      <c r="AC454" s="2"/>
      <c r="AD454" s="2"/>
      <c r="AE454" s="2"/>
      <c r="AF454" s="2"/>
      <c r="AG454" s="2"/>
    </row>
    <row r="455" ht="14.25" customHeight="1">
      <c r="A455" s="2"/>
      <c r="B455" s="2"/>
      <c r="C455" s="2"/>
      <c r="D455" s="2"/>
      <c r="E455" s="2"/>
      <c r="F455" s="2"/>
      <c r="G455" s="2"/>
      <c r="H455" s="146"/>
      <c r="I455" s="146"/>
      <c r="J455" s="146"/>
      <c r="K455" s="146"/>
      <c r="L455" s="2"/>
      <c r="M455" s="2"/>
      <c r="N455" s="2"/>
      <c r="O455" s="2"/>
      <c r="P455" s="2"/>
      <c r="Q455" s="2"/>
      <c r="R455" s="2"/>
      <c r="S455" s="2"/>
      <c r="T455" s="2"/>
      <c r="U455" s="2"/>
      <c r="V455" s="2"/>
      <c r="W455" s="2"/>
      <c r="X455" s="2"/>
      <c r="Y455" s="2"/>
      <c r="Z455" s="2"/>
      <c r="AA455" s="2"/>
      <c r="AB455" s="2"/>
      <c r="AC455" s="2"/>
      <c r="AD455" s="2"/>
      <c r="AE455" s="2"/>
      <c r="AF455" s="2"/>
      <c r="AG455" s="2"/>
    </row>
    <row r="456" ht="14.25" customHeight="1">
      <c r="A456" s="2"/>
      <c r="B456" s="2"/>
      <c r="C456" s="2"/>
      <c r="D456" s="2"/>
      <c r="E456" s="2"/>
      <c r="F456" s="2"/>
      <c r="G456" s="2"/>
      <c r="H456" s="146"/>
      <c r="I456" s="146"/>
      <c r="J456" s="146"/>
      <c r="K456" s="146"/>
      <c r="L456" s="2"/>
      <c r="M456" s="2"/>
      <c r="N456" s="2"/>
      <c r="O456" s="2"/>
      <c r="P456" s="2"/>
      <c r="Q456" s="2"/>
      <c r="R456" s="2"/>
      <c r="S456" s="2"/>
      <c r="T456" s="2"/>
      <c r="U456" s="2"/>
      <c r="V456" s="2"/>
      <c r="W456" s="2"/>
      <c r="X456" s="2"/>
      <c r="Y456" s="2"/>
      <c r="Z456" s="2"/>
      <c r="AA456" s="2"/>
      <c r="AB456" s="2"/>
      <c r="AC456" s="2"/>
      <c r="AD456" s="2"/>
      <c r="AE456" s="2"/>
      <c r="AF456" s="2"/>
      <c r="AG456" s="2"/>
    </row>
    <row r="457" ht="14.25" customHeight="1">
      <c r="A457" s="2"/>
      <c r="B457" s="2"/>
      <c r="C457" s="2"/>
      <c r="D457" s="2"/>
      <c r="E457" s="2"/>
      <c r="F457" s="2"/>
      <c r="G457" s="2"/>
      <c r="H457" s="146"/>
      <c r="I457" s="146"/>
      <c r="J457" s="146"/>
      <c r="K457" s="146"/>
      <c r="L457" s="2"/>
      <c r="M457" s="2"/>
      <c r="N457" s="2"/>
      <c r="O457" s="2"/>
      <c r="P457" s="2"/>
      <c r="Q457" s="2"/>
      <c r="R457" s="2"/>
      <c r="S457" s="2"/>
      <c r="T457" s="2"/>
      <c r="U457" s="2"/>
      <c r="V457" s="2"/>
      <c r="W457" s="2"/>
      <c r="X457" s="2"/>
      <c r="Y457" s="2"/>
      <c r="Z457" s="2"/>
      <c r="AA457" s="2"/>
      <c r="AB457" s="2"/>
      <c r="AC457" s="2"/>
      <c r="AD457" s="2"/>
      <c r="AE457" s="2"/>
      <c r="AF457" s="2"/>
      <c r="AG457" s="2"/>
    </row>
    <row r="458" ht="14.25" customHeight="1">
      <c r="A458" s="2"/>
      <c r="B458" s="2"/>
      <c r="C458" s="2"/>
      <c r="D458" s="2"/>
      <c r="E458" s="2"/>
      <c r="F458" s="2"/>
      <c r="G458" s="2"/>
      <c r="H458" s="146"/>
      <c r="I458" s="146"/>
      <c r="J458" s="146"/>
      <c r="K458" s="146"/>
      <c r="L458" s="2"/>
      <c r="M458" s="2"/>
      <c r="N458" s="2"/>
      <c r="O458" s="2"/>
      <c r="P458" s="2"/>
      <c r="Q458" s="2"/>
      <c r="R458" s="2"/>
      <c r="S458" s="2"/>
      <c r="T458" s="2"/>
      <c r="U458" s="2"/>
      <c r="V458" s="2"/>
      <c r="W458" s="2"/>
      <c r="X458" s="2"/>
      <c r="Y458" s="2"/>
      <c r="Z458" s="2"/>
      <c r="AA458" s="2"/>
      <c r="AB458" s="2"/>
      <c r="AC458" s="2"/>
      <c r="AD458" s="2"/>
      <c r="AE458" s="2"/>
      <c r="AF458" s="2"/>
      <c r="AG458" s="2"/>
    </row>
    <row r="459" ht="14.25" customHeight="1">
      <c r="A459" s="2"/>
      <c r="B459" s="2"/>
      <c r="C459" s="2"/>
      <c r="D459" s="2"/>
      <c r="E459" s="2"/>
      <c r="F459" s="2"/>
      <c r="G459" s="2"/>
      <c r="H459" s="146"/>
      <c r="I459" s="146"/>
      <c r="J459" s="146"/>
      <c r="K459" s="146"/>
      <c r="L459" s="2"/>
      <c r="M459" s="2"/>
      <c r="N459" s="2"/>
      <c r="O459" s="2"/>
      <c r="P459" s="2"/>
      <c r="Q459" s="2"/>
      <c r="R459" s="2"/>
      <c r="S459" s="2"/>
      <c r="T459" s="2"/>
      <c r="U459" s="2"/>
      <c r="V459" s="2"/>
      <c r="W459" s="2"/>
      <c r="X459" s="2"/>
      <c r="Y459" s="2"/>
      <c r="Z459" s="2"/>
      <c r="AA459" s="2"/>
      <c r="AB459" s="2"/>
      <c r="AC459" s="2"/>
      <c r="AD459" s="2"/>
      <c r="AE459" s="2"/>
      <c r="AF459" s="2"/>
      <c r="AG459" s="2"/>
    </row>
    <row r="460" ht="14.25" customHeight="1">
      <c r="A460" s="2"/>
      <c r="B460" s="2"/>
      <c r="C460" s="2"/>
      <c r="D460" s="2"/>
      <c r="E460" s="2"/>
      <c r="F460" s="2"/>
      <c r="G460" s="2"/>
      <c r="H460" s="146"/>
      <c r="I460" s="146"/>
      <c r="J460" s="146"/>
      <c r="K460" s="146"/>
      <c r="L460" s="2"/>
      <c r="M460" s="2"/>
      <c r="N460" s="2"/>
      <c r="O460" s="2"/>
      <c r="P460" s="2"/>
      <c r="Q460" s="2"/>
      <c r="R460" s="2"/>
      <c r="S460" s="2"/>
      <c r="T460" s="2"/>
      <c r="U460" s="2"/>
      <c r="V460" s="2"/>
      <c r="W460" s="2"/>
      <c r="X460" s="2"/>
      <c r="Y460" s="2"/>
      <c r="Z460" s="2"/>
      <c r="AA460" s="2"/>
      <c r="AB460" s="2"/>
      <c r="AC460" s="2"/>
      <c r="AD460" s="2"/>
      <c r="AE460" s="2"/>
      <c r="AF460" s="2"/>
      <c r="AG460" s="2"/>
    </row>
    <row r="461" ht="14.25" customHeight="1">
      <c r="A461" s="2"/>
      <c r="B461" s="2"/>
      <c r="C461" s="2"/>
      <c r="D461" s="2"/>
      <c r="E461" s="2"/>
      <c r="F461" s="2"/>
      <c r="G461" s="2"/>
      <c r="H461" s="146"/>
      <c r="I461" s="146"/>
      <c r="J461" s="146"/>
      <c r="K461" s="146"/>
      <c r="L461" s="2"/>
      <c r="M461" s="2"/>
      <c r="N461" s="2"/>
      <c r="O461" s="2"/>
      <c r="P461" s="2"/>
      <c r="Q461" s="2"/>
      <c r="R461" s="2"/>
      <c r="S461" s="2"/>
      <c r="T461" s="2"/>
      <c r="U461" s="2"/>
      <c r="V461" s="2"/>
      <c r="W461" s="2"/>
      <c r="X461" s="2"/>
      <c r="Y461" s="2"/>
      <c r="Z461" s="2"/>
      <c r="AA461" s="2"/>
      <c r="AB461" s="2"/>
      <c r="AC461" s="2"/>
      <c r="AD461" s="2"/>
      <c r="AE461" s="2"/>
      <c r="AF461" s="2"/>
      <c r="AG461" s="2"/>
    </row>
    <row r="462" ht="14.25" customHeight="1">
      <c r="A462" s="2"/>
      <c r="B462" s="2"/>
      <c r="C462" s="2"/>
      <c r="D462" s="2"/>
      <c r="E462" s="2"/>
      <c r="F462" s="2"/>
      <c r="G462" s="2"/>
      <c r="H462" s="146"/>
      <c r="I462" s="146"/>
      <c r="J462" s="146"/>
      <c r="K462" s="146"/>
      <c r="L462" s="2"/>
      <c r="M462" s="2"/>
      <c r="N462" s="2"/>
      <c r="O462" s="2"/>
      <c r="P462" s="2"/>
      <c r="Q462" s="2"/>
      <c r="R462" s="2"/>
      <c r="S462" s="2"/>
      <c r="T462" s="2"/>
      <c r="U462" s="2"/>
      <c r="V462" s="2"/>
      <c r="W462" s="2"/>
      <c r="X462" s="2"/>
      <c r="Y462" s="2"/>
      <c r="Z462" s="2"/>
      <c r="AA462" s="2"/>
      <c r="AB462" s="2"/>
      <c r="AC462" s="2"/>
      <c r="AD462" s="2"/>
      <c r="AE462" s="2"/>
      <c r="AF462" s="2"/>
      <c r="AG462" s="2"/>
    </row>
    <row r="463" ht="14.25" customHeight="1">
      <c r="A463" s="2"/>
      <c r="B463" s="2"/>
      <c r="C463" s="2"/>
      <c r="D463" s="2"/>
      <c r="E463" s="2"/>
      <c r="F463" s="2"/>
      <c r="G463" s="2"/>
      <c r="H463" s="146"/>
      <c r="I463" s="146"/>
      <c r="J463" s="146"/>
      <c r="K463" s="146"/>
      <c r="L463" s="2"/>
      <c r="M463" s="2"/>
      <c r="N463" s="2"/>
      <c r="O463" s="2"/>
      <c r="P463" s="2"/>
      <c r="Q463" s="2"/>
      <c r="R463" s="2"/>
      <c r="S463" s="2"/>
      <c r="T463" s="2"/>
      <c r="U463" s="2"/>
      <c r="V463" s="2"/>
      <c r="W463" s="2"/>
      <c r="X463" s="2"/>
      <c r="Y463" s="2"/>
      <c r="Z463" s="2"/>
      <c r="AA463" s="2"/>
      <c r="AB463" s="2"/>
      <c r="AC463" s="2"/>
      <c r="AD463" s="2"/>
      <c r="AE463" s="2"/>
      <c r="AF463" s="2"/>
      <c r="AG463" s="2"/>
    </row>
    <row r="464" ht="14.25" customHeight="1">
      <c r="A464" s="2"/>
      <c r="B464" s="2"/>
      <c r="C464" s="2"/>
      <c r="D464" s="2"/>
      <c r="E464" s="2"/>
      <c r="F464" s="2"/>
      <c r="G464" s="2"/>
      <c r="H464" s="146"/>
      <c r="I464" s="146"/>
      <c r="J464" s="146"/>
      <c r="K464" s="146"/>
      <c r="L464" s="2"/>
      <c r="M464" s="2"/>
      <c r="N464" s="2"/>
      <c r="O464" s="2"/>
      <c r="P464" s="2"/>
      <c r="Q464" s="2"/>
      <c r="R464" s="2"/>
      <c r="S464" s="2"/>
      <c r="T464" s="2"/>
      <c r="U464" s="2"/>
      <c r="V464" s="2"/>
      <c r="W464" s="2"/>
      <c r="X464" s="2"/>
      <c r="Y464" s="2"/>
      <c r="Z464" s="2"/>
      <c r="AA464" s="2"/>
      <c r="AB464" s="2"/>
      <c r="AC464" s="2"/>
      <c r="AD464" s="2"/>
      <c r="AE464" s="2"/>
      <c r="AF464" s="2"/>
      <c r="AG464" s="2"/>
    </row>
    <row r="465" ht="14.25" customHeight="1">
      <c r="A465" s="2"/>
      <c r="B465" s="2"/>
      <c r="C465" s="2"/>
      <c r="D465" s="2"/>
      <c r="E465" s="2"/>
      <c r="F465" s="2"/>
      <c r="G465" s="2"/>
      <c r="H465" s="146"/>
      <c r="I465" s="146"/>
      <c r="J465" s="146"/>
      <c r="K465" s="146"/>
      <c r="L465" s="2"/>
      <c r="M465" s="2"/>
      <c r="N465" s="2"/>
      <c r="O465" s="2"/>
      <c r="P465" s="2"/>
      <c r="Q465" s="2"/>
      <c r="R465" s="2"/>
      <c r="S465" s="2"/>
      <c r="T465" s="2"/>
      <c r="U465" s="2"/>
      <c r="V465" s="2"/>
      <c r="W465" s="2"/>
      <c r="X465" s="2"/>
      <c r="Y465" s="2"/>
      <c r="Z465" s="2"/>
      <c r="AA465" s="2"/>
      <c r="AB465" s="2"/>
      <c r="AC465" s="2"/>
      <c r="AD465" s="2"/>
      <c r="AE465" s="2"/>
      <c r="AF465" s="2"/>
      <c r="AG465" s="2"/>
    </row>
    <row r="466" ht="14.25" customHeight="1">
      <c r="A466" s="2"/>
      <c r="B466" s="2"/>
      <c r="C466" s="2"/>
      <c r="D466" s="2"/>
      <c r="E466" s="2"/>
      <c r="F466" s="2"/>
      <c r="G466" s="2"/>
      <c r="H466" s="146"/>
      <c r="I466" s="146"/>
      <c r="J466" s="146"/>
      <c r="K466" s="146"/>
      <c r="L466" s="2"/>
      <c r="M466" s="2"/>
      <c r="N466" s="2"/>
      <c r="O466" s="2"/>
      <c r="P466" s="2"/>
      <c r="Q466" s="2"/>
      <c r="R466" s="2"/>
      <c r="S466" s="2"/>
      <c r="T466" s="2"/>
      <c r="U466" s="2"/>
      <c r="V466" s="2"/>
      <c r="W466" s="2"/>
      <c r="X466" s="2"/>
      <c r="Y466" s="2"/>
      <c r="Z466" s="2"/>
      <c r="AA466" s="2"/>
      <c r="AB466" s="2"/>
      <c r="AC466" s="2"/>
      <c r="AD466" s="2"/>
      <c r="AE466" s="2"/>
      <c r="AF466" s="2"/>
      <c r="AG466" s="2"/>
    </row>
    <row r="467" ht="14.25" customHeight="1">
      <c r="A467" s="2"/>
      <c r="B467" s="2"/>
      <c r="C467" s="2"/>
      <c r="D467" s="2"/>
      <c r="E467" s="2"/>
      <c r="F467" s="2"/>
      <c r="G467" s="2"/>
      <c r="H467" s="146"/>
      <c r="I467" s="146"/>
      <c r="J467" s="146"/>
      <c r="K467" s="146"/>
      <c r="L467" s="2"/>
      <c r="M467" s="2"/>
      <c r="N467" s="2"/>
      <c r="O467" s="2"/>
      <c r="P467" s="2"/>
      <c r="Q467" s="2"/>
      <c r="R467" s="2"/>
      <c r="S467" s="2"/>
      <c r="T467" s="2"/>
      <c r="U467" s="2"/>
      <c r="V467" s="2"/>
      <c r="W467" s="2"/>
      <c r="X467" s="2"/>
      <c r="Y467" s="2"/>
      <c r="Z467" s="2"/>
      <c r="AA467" s="2"/>
      <c r="AB467" s="2"/>
      <c r="AC467" s="2"/>
      <c r="AD467" s="2"/>
      <c r="AE467" s="2"/>
      <c r="AF467" s="2"/>
      <c r="AG467" s="2"/>
    </row>
    <row r="468" ht="14.25" customHeight="1">
      <c r="A468" s="2"/>
      <c r="B468" s="2"/>
      <c r="C468" s="2"/>
      <c r="D468" s="2"/>
      <c r="E468" s="2"/>
      <c r="F468" s="2"/>
      <c r="G468" s="2"/>
      <c r="H468" s="146"/>
      <c r="I468" s="146"/>
      <c r="J468" s="146"/>
      <c r="K468" s="146"/>
      <c r="L468" s="2"/>
      <c r="M468" s="2"/>
      <c r="N468" s="2"/>
      <c r="O468" s="2"/>
      <c r="P468" s="2"/>
      <c r="Q468" s="2"/>
      <c r="R468" s="2"/>
      <c r="S468" s="2"/>
      <c r="T468" s="2"/>
      <c r="U468" s="2"/>
      <c r="V468" s="2"/>
      <c r="W468" s="2"/>
      <c r="X468" s="2"/>
      <c r="Y468" s="2"/>
      <c r="Z468" s="2"/>
      <c r="AA468" s="2"/>
      <c r="AB468" s="2"/>
      <c r="AC468" s="2"/>
      <c r="AD468" s="2"/>
      <c r="AE468" s="2"/>
      <c r="AF468" s="2"/>
      <c r="AG468" s="2"/>
    </row>
    <row r="469" ht="14.25" customHeight="1">
      <c r="A469" s="2"/>
      <c r="B469" s="2"/>
      <c r="C469" s="2"/>
      <c r="D469" s="2"/>
      <c r="E469" s="2"/>
      <c r="F469" s="2"/>
      <c r="G469" s="2"/>
      <c r="H469" s="146"/>
      <c r="I469" s="146"/>
      <c r="J469" s="146"/>
      <c r="K469" s="146"/>
      <c r="L469" s="2"/>
      <c r="M469" s="2"/>
      <c r="N469" s="2"/>
      <c r="O469" s="2"/>
      <c r="P469" s="2"/>
      <c r="Q469" s="2"/>
      <c r="R469" s="2"/>
      <c r="S469" s="2"/>
      <c r="T469" s="2"/>
      <c r="U469" s="2"/>
      <c r="V469" s="2"/>
      <c r="W469" s="2"/>
      <c r="X469" s="2"/>
      <c r="Y469" s="2"/>
      <c r="Z469" s="2"/>
      <c r="AA469" s="2"/>
      <c r="AB469" s="2"/>
      <c r="AC469" s="2"/>
      <c r="AD469" s="2"/>
      <c r="AE469" s="2"/>
      <c r="AF469" s="2"/>
      <c r="AG469" s="2"/>
    </row>
    <row r="470" ht="14.25" customHeight="1">
      <c r="A470" s="2"/>
      <c r="B470" s="2"/>
      <c r="C470" s="2"/>
      <c r="D470" s="2"/>
      <c r="E470" s="2"/>
      <c r="F470" s="2"/>
      <c r="G470" s="2"/>
      <c r="H470" s="146"/>
      <c r="I470" s="146"/>
      <c r="J470" s="146"/>
      <c r="K470" s="146"/>
      <c r="L470" s="2"/>
      <c r="M470" s="2"/>
      <c r="N470" s="2"/>
      <c r="O470" s="2"/>
      <c r="P470" s="2"/>
      <c r="Q470" s="2"/>
      <c r="R470" s="2"/>
      <c r="S470" s="2"/>
      <c r="T470" s="2"/>
      <c r="U470" s="2"/>
      <c r="V470" s="2"/>
      <c r="W470" s="2"/>
      <c r="X470" s="2"/>
      <c r="Y470" s="2"/>
      <c r="Z470" s="2"/>
      <c r="AA470" s="2"/>
      <c r="AB470" s="2"/>
      <c r="AC470" s="2"/>
      <c r="AD470" s="2"/>
      <c r="AE470" s="2"/>
      <c r="AF470" s="2"/>
      <c r="AG470" s="2"/>
    </row>
    <row r="471" ht="14.25" customHeight="1">
      <c r="A471" s="2"/>
      <c r="B471" s="2"/>
      <c r="C471" s="2"/>
      <c r="D471" s="2"/>
      <c r="E471" s="2"/>
      <c r="F471" s="2"/>
      <c r="G471" s="2"/>
      <c r="H471" s="146"/>
      <c r="I471" s="146"/>
      <c r="J471" s="146"/>
      <c r="K471" s="146"/>
      <c r="L471" s="2"/>
      <c r="M471" s="2"/>
      <c r="N471" s="2"/>
      <c r="O471" s="2"/>
      <c r="P471" s="2"/>
      <c r="Q471" s="2"/>
      <c r="R471" s="2"/>
      <c r="S471" s="2"/>
      <c r="T471" s="2"/>
      <c r="U471" s="2"/>
      <c r="V471" s="2"/>
      <c r="W471" s="2"/>
      <c r="X471" s="2"/>
      <c r="Y471" s="2"/>
      <c r="Z471" s="2"/>
      <c r="AA471" s="2"/>
      <c r="AB471" s="2"/>
      <c r="AC471" s="2"/>
      <c r="AD471" s="2"/>
      <c r="AE471" s="2"/>
      <c r="AF471" s="2"/>
      <c r="AG471" s="2"/>
    </row>
    <row r="472" ht="14.25" customHeight="1">
      <c r="A472" s="2"/>
      <c r="B472" s="2"/>
      <c r="C472" s="2"/>
      <c r="D472" s="2"/>
      <c r="E472" s="2"/>
      <c r="F472" s="2"/>
      <c r="G472" s="2"/>
      <c r="H472" s="146"/>
      <c r="I472" s="146"/>
      <c r="J472" s="146"/>
      <c r="K472" s="146"/>
      <c r="L472" s="2"/>
      <c r="M472" s="2"/>
      <c r="N472" s="2"/>
      <c r="O472" s="2"/>
      <c r="P472" s="2"/>
      <c r="Q472" s="2"/>
      <c r="R472" s="2"/>
      <c r="S472" s="2"/>
      <c r="T472" s="2"/>
      <c r="U472" s="2"/>
      <c r="V472" s="2"/>
      <c r="W472" s="2"/>
      <c r="X472" s="2"/>
      <c r="Y472" s="2"/>
      <c r="Z472" s="2"/>
      <c r="AA472" s="2"/>
      <c r="AB472" s="2"/>
      <c r="AC472" s="2"/>
      <c r="AD472" s="2"/>
      <c r="AE472" s="2"/>
      <c r="AF472" s="2"/>
      <c r="AG472" s="2"/>
    </row>
    <row r="473" ht="14.25" customHeight="1">
      <c r="A473" s="2"/>
      <c r="B473" s="2"/>
      <c r="C473" s="2"/>
      <c r="D473" s="2"/>
      <c r="E473" s="2"/>
      <c r="F473" s="2"/>
      <c r="G473" s="2"/>
      <c r="H473" s="146"/>
      <c r="I473" s="146"/>
      <c r="J473" s="146"/>
      <c r="K473" s="146"/>
      <c r="L473" s="2"/>
      <c r="M473" s="2"/>
      <c r="N473" s="2"/>
      <c r="O473" s="2"/>
      <c r="P473" s="2"/>
      <c r="Q473" s="2"/>
      <c r="R473" s="2"/>
      <c r="S473" s="2"/>
      <c r="T473" s="2"/>
      <c r="U473" s="2"/>
      <c r="V473" s="2"/>
      <c r="W473" s="2"/>
      <c r="X473" s="2"/>
      <c r="Y473" s="2"/>
      <c r="Z473" s="2"/>
      <c r="AA473" s="2"/>
      <c r="AB473" s="2"/>
      <c r="AC473" s="2"/>
      <c r="AD473" s="2"/>
      <c r="AE473" s="2"/>
      <c r="AF473" s="2"/>
      <c r="AG473" s="2"/>
    </row>
    <row r="474" ht="14.25" customHeight="1">
      <c r="A474" s="2"/>
      <c r="B474" s="2"/>
      <c r="C474" s="2"/>
      <c r="D474" s="2"/>
      <c r="E474" s="2"/>
      <c r="F474" s="2"/>
      <c r="G474" s="2"/>
      <c r="H474" s="146"/>
      <c r="I474" s="146"/>
      <c r="J474" s="146"/>
      <c r="K474" s="146"/>
      <c r="L474" s="2"/>
      <c r="M474" s="2"/>
      <c r="N474" s="2"/>
      <c r="O474" s="2"/>
      <c r="P474" s="2"/>
      <c r="Q474" s="2"/>
      <c r="R474" s="2"/>
      <c r="S474" s="2"/>
      <c r="T474" s="2"/>
      <c r="U474" s="2"/>
      <c r="V474" s="2"/>
      <c r="W474" s="2"/>
      <c r="X474" s="2"/>
      <c r="Y474" s="2"/>
      <c r="Z474" s="2"/>
      <c r="AA474" s="2"/>
      <c r="AB474" s="2"/>
      <c r="AC474" s="2"/>
      <c r="AD474" s="2"/>
      <c r="AE474" s="2"/>
      <c r="AF474" s="2"/>
      <c r="AG474" s="2"/>
    </row>
    <row r="475" ht="14.25" customHeight="1">
      <c r="A475" s="2"/>
      <c r="B475" s="2"/>
      <c r="C475" s="2"/>
      <c r="D475" s="2"/>
      <c r="E475" s="2"/>
      <c r="F475" s="2"/>
      <c r="G475" s="2"/>
      <c r="H475" s="146"/>
      <c r="I475" s="146"/>
      <c r="J475" s="146"/>
      <c r="K475" s="146"/>
      <c r="L475" s="2"/>
      <c r="M475" s="2"/>
      <c r="N475" s="2"/>
      <c r="O475" s="2"/>
      <c r="P475" s="2"/>
      <c r="Q475" s="2"/>
      <c r="R475" s="2"/>
      <c r="S475" s="2"/>
      <c r="T475" s="2"/>
      <c r="U475" s="2"/>
      <c r="V475" s="2"/>
      <c r="W475" s="2"/>
      <c r="X475" s="2"/>
      <c r="Y475" s="2"/>
      <c r="Z475" s="2"/>
      <c r="AA475" s="2"/>
      <c r="AB475" s="2"/>
      <c r="AC475" s="2"/>
      <c r="AD475" s="2"/>
      <c r="AE475" s="2"/>
      <c r="AF475" s="2"/>
      <c r="AG475" s="2"/>
    </row>
    <row r="476" ht="14.25" customHeight="1">
      <c r="A476" s="2"/>
      <c r="B476" s="2"/>
      <c r="C476" s="2"/>
      <c r="D476" s="2"/>
      <c r="E476" s="2"/>
      <c r="F476" s="2"/>
      <c r="G476" s="2"/>
      <c r="H476" s="146"/>
      <c r="I476" s="146"/>
      <c r="J476" s="146"/>
      <c r="K476" s="146"/>
      <c r="L476" s="2"/>
      <c r="M476" s="2"/>
      <c r="N476" s="2"/>
      <c r="O476" s="2"/>
      <c r="P476" s="2"/>
      <c r="Q476" s="2"/>
      <c r="R476" s="2"/>
      <c r="S476" s="2"/>
      <c r="T476" s="2"/>
      <c r="U476" s="2"/>
      <c r="V476" s="2"/>
      <c r="W476" s="2"/>
      <c r="X476" s="2"/>
      <c r="Y476" s="2"/>
      <c r="Z476" s="2"/>
      <c r="AA476" s="2"/>
      <c r="AB476" s="2"/>
      <c r="AC476" s="2"/>
      <c r="AD476" s="2"/>
      <c r="AE476" s="2"/>
      <c r="AF476" s="2"/>
      <c r="AG476" s="2"/>
    </row>
    <row r="477" ht="14.25" customHeight="1">
      <c r="A477" s="2"/>
      <c r="B477" s="2"/>
      <c r="C477" s="2"/>
      <c r="D477" s="2"/>
      <c r="E477" s="2"/>
      <c r="F477" s="2"/>
      <c r="G477" s="2"/>
      <c r="H477" s="146"/>
      <c r="I477" s="146"/>
      <c r="J477" s="146"/>
      <c r="K477" s="146"/>
      <c r="L477" s="2"/>
      <c r="M477" s="2"/>
      <c r="N477" s="2"/>
      <c r="O477" s="2"/>
      <c r="P477" s="2"/>
      <c r="Q477" s="2"/>
      <c r="R477" s="2"/>
      <c r="S477" s="2"/>
      <c r="T477" s="2"/>
      <c r="U477" s="2"/>
      <c r="V477" s="2"/>
      <c r="W477" s="2"/>
      <c r="X477" s="2"/>
      <c r="Y477" s="2"/>
      <c r="Z477" s="2"/>
      <c r="AA477" s="2"/>
      <c r="AB477" s="2"/>
      <c r="AC477" s="2"/>
      <c r="AD477" s="2"/>
      <c r="AE477" s="2"/>
      <c r="AF477" s="2"/>
      <c r="AG477" s="2"/>
    </row>
    <row r="478" ht="14.25" customHeight="1">
      <c r="A478" s="2"/>
      <c r="B478" s="2"/>
      <c r="C478" s="2"/>
      <c r="D478" s="2"/>
      <c r="E478" s="2"/>
      <c r="F478" s="2"/>
      <c r="G478" s="2"/>
      <c r="H478" s="146"/>
      <c r="I478" s="146"/>
      <c r="J478" s="146"/>
      <c r="K478" s="146"/>
      <c r="L478" s="2"/>
      <c r="M478" s="2"/>
      <c r="N478" s="2"/>
      <c r="O478" s="2"/>
      <c r="P478" s="2"/>
      <c r="Q478" s="2"/>
      <c r="R478" s="2"/>
      <c r="S478" s="2"/>
      <c r="T478" s="2"/>
      <c r="U478" s="2"/>
      <c r="V478" s="2"/>
      <c r="W478" s="2"/>
      <c r="X478" s="2"/>
      <c r="Y478" s="2"/>
      <c r="Z478" s="2"/>
      <c r="AA478" s="2"/>
      <c r="AB478" s="2"/>
      <c r="AC478" s="2"/>
      <c r="AD478" s="2"/>
      <c r="AE478" s="2"/>
      <c r="AF478" s="2"/>
      <c r="AG478" s="2"/>
    </row>
    <row r="479" ht="14.25" customHeight="1">
      <c r="A479" s="2"/>
      <c r="B479" s="2"/>
      <c r="C479" s="2"/>
      <c r="D479" s="2"/>
      <c r="E479" s="2"/>
      <c r="F479" s="2"/>
      <c r="G479" s="2"/>
      <c r="H479" s="146"/>
      <c r="I479" s="146"/>
      <c r="J479" s="146"/>
      <c r="K479" s="146"/>
      <c r="L479" s="2"/>
      <c r="M479" s="2"/>
      <c r="N479" s="2"/>
      <c r="O479" s="2"/>
      <c r="P479" s="2"/>
      <c r="Q479" s="2"/>
      <c r="R479" s="2"/>
      <c r="S479" s="2"/>
      <c r="T479" s="2"/>
      <c r="U479" s="2"/>
      <c r="V479" s="2"/>
      <c r="W479" s="2"/>
      <c r="X479" s="2"/>
      <c r="Y479" s="2"/>
      <c r="Z479" s="2"/>
      <c r="AA479" s="2"/>
      <c r="AB479" s="2"/>
      <c r="AC479" s="2"/>
      <c r="AD479" s="2"/>
      <c r="AE479" s="2"/>
      <c r="AF479" s="2"/>
      <c r="AG479" s="2"/>
    </row>
    <row r="480" ht="14.25" customHeight="1">
      <c r="A480" s="2"/>
      <c r="B480" s="2"/>
      <c r="C480" s="2"/>
      <c r="D480" s="2"/>
      <c r="E480" s="2"/>
      <c r="F480" s="2"/>
      <c r="G480" s="2"/>
      <c r="H480" s="146"/>
      <c r="I480" s="146"/>
      <c r="J480" s="146"/>
      <c r="K480" s="146"/>
      <c r="L480" s="2"/>
      <c r="M480" s="2"/>
      <c r="N480" s="2"/>
      <c r="O480" s="2"/>
      <c r="P480" s="2"/>
      <c r="Q480" s="2"/>
      <c r="R480" s="2"/>
      <c r="S480" s="2"/>
      <c r="T480" s="2"/>
      <c r="U480" s="2"/>
      <c r="V480" s="2"/>
      <c r="W480" s="2"/>
      <c r="X480" s="2"/>
      <c r="Y480" s="2"/>
      <c r="Z480" s="2"/>
      <c r="AA480" s="2"/>
      <c r="AB480" s="2"/>
      <c r="AC480" s="2"/>
      <c r="AD480" s="2"/>
      <c r="AE480" s="2"/>
      <c r="AF480" s="2"/>
      <c r="AG480" s="2"/>
    </row>
    <row r="481" ht="14.25" customHeight="1">
      <c r="A481" s="2"/>
      <c r="B481" s="2"/>
      <c r="C481" s="2"/>
      <c r="D481" s="2"/>
      <c r="E481" s="2"/>
      <c r="F481" s="2"/>
      <c r="G481" s="2"/>
      <c r="H481" s="146"/>
      <c r="I481" s="146"/>
      <c r="J481" s="146"/>
      <c r="K481" s="146"/>
      <c r="L481" s="2"/>
      <c r="M481" s="2"/>
      <c r="N481" s="2"/>
      <c r="O481" s="2"/>
      <c r="P481" s="2"/>
      <c r="Q481" s="2"/>
      <c r="R481" s="2"/>
      <c r="S481" s="2"/>
      <c r="T481" s="2"/>
      <c r="U481" s="2"/>
      <c r="V481" s="2"/>
      <c r="W481" s="2"/>
      <c r="X481" s="2"/>
      <c r="Y481" s="2"/>
      <c r="Z481" s="2"/>
      <c r="AA481" s="2"/>
      <c r="AB481" s="2"/>
      <c r="AC481" s="2"/>
      <c r="AD481" s="2"/>
      <c r="AE481" s="2"/>
      <c r="AF481" s="2"/>
      <c r="AG481" s="2"/>
    </row>
    <row r="482" ht="14.25" customHeight="1">
      <c r="A482" s="2"/>
      <c r="B482" s="2"/>
      <c r="C482" s="2"/>
      <c r="D482" s="2"/>
      <c r="E482" s="2"/>
      <c r="F482" s="2"/>
      <c r="G482" s="2"/>
      <c r="H482" s="146"/>
      <c r="I482" s="146"/>
      <c r="J482" s="146"/>
      <c r="K482" s="146"/>
      <c r="L482" s="2"/>
      <c r="M482" s="2"/>
      <c r="N482" s="2"/>
      <c r="O482" s="2"/>
      <c r="P482" s="2"/>
      <c r="Q482" s="2"/>
      <c r="R482" s="2"/>
      <c r="S482" s="2"/>
      <c r="T482" s="2"/>
      <c r="U482" s="2"/>
      <c r="V482" s="2"/>
      <c r="W482" s="2"/>
      <c r="X482" s="2"/>
      <c r="Y482" s="2"/>
      <c r="Z482" s="2"/>
      <c r="AA482" s="2"/>
      <c r="AB482" s="2"/>
      <c r="AC482" s="2"/>
      <c r="AD482" s="2"/>
      <c r="AE482" s="2"/>
      <c r="AF482" s="2"/>
      <c r="AG482" s="2"/>
    </row>
    <row r="483" ht="14.25" customHeight="1">
      <c r="A483" s="2"/>
      <c r="B483" s="2"/>
      <c r="C483" s="2"/>
      <c r="D483" s="2"/>
      <c r="E483" s="2"/>
      <c r="F483" s="2"/>
      <c r="G483" s="2"/>
      <c r="H483" s="146"/>
      <c r="I483" s="146"/>
      <c r="J483" s="146"/>
      <c r="K483" s="146"/>
      <c r="L483" s="2"/>
      <c r="M483" s="2"/>
      <c r="N483" s="2"/>
      <c r="O483" s="2"/>
      <c r="P483" s="2"/>
      <c r="Q483" s="2"/>
      <c r="R483" s="2"/>
      <c r="S483" s="2"/>
      <c r="T483" s="2"/>
      <c r="U483" s="2"/>
      <c r="V483" s="2"/>
      <c r="W483" s="2"/>
      <c r="X483" s="2"/>
      <c r="Y483" s="2"/>
      <c r="Z483" s="2"/>
      <c r="AA483" s="2"/>
      <c r="AB483" s="2"/>
      <c r="AC483" s="2"/>
      <c r="AD483" s="2"/>
      <c r="AE483" s="2"/>
      <c r="AF483" s="2"/>
      <c r="AG483" s="2"/>
    </row>
    <row r="484" ht="14.25" customHeight="1">
      <c r="A484" s="2"/>
      <c r="B484" s="2"/>
      <c r="C484" s="2"/>
      <c r="D484" s="2"/>
      <c r="E484" s="2"/>
      <c r="F484" s="2"/>
      <c r="G484" s="2"/>
      <c r="H484" s="146"/>
      <c r="I484" s="146"/>
      <c r="J484" s="146"/>
      <c r="K484" s="146"/>
      <c r="L484" s="2"/>
      <c r="M484" s="2"/>
      <c r="N484" s="2"/>
      <c r="O484" s="2"/>
      <c r="P484" s="2"/>
      <c r="Q484" s="2"/>
      <c r="R484" s="2"/>
      <c r="S484" s="2"/>
      <c r="T484" s="2"/>
      <c r="U484" s="2"/>
      <c r="V484" s="2"/>
      <c r="W484" s="2"/>
      <c r="X484" s="2"/>
      <c r="Y484" s="2"/>
      <c r="Z484" s="2"/>
      <c r="AA484" s="2"/>
      <c r="AB484" s="2"/>
      <c r="AC484" s="2"/>
      <c r="AD484" s="2"/>
      <c r="AE484" s="2"/>
      <c r="AF484" s="2"/>
      <c r="AG484" s="2"/>
    </row>
    <row r="485" ht="14.25" customHeight="1">
      <c r="A485" s="2"/>
      <c r="B485" s="2"/>
      <c r="C485" s="2"/>
      <c r="D485" s="2"/>
      <c r="E485" s="2"/>
      <c r="F485" s="2"/>
      <c r="G485" s="2"/>
      <c r="H485" s="146"/>
      <c r="I485" s="146"/>
      <c r="J485" s="146"/>
      <c r="K485" s="146"/>
      <c r="L485" s="2"/>
      <c r="M485" s="2"/>
      <c r="N485" s="2"/>
      <c r="O485" s="2"/>
      <c r="P485" s="2"/>
      <c r="Q485" s="2"/>
      <c r="R485" s="2"/>
      <c r="S485" s="2"/>
      <c r="T485" s="2"/>
      <c r="U485" s="2"/>
      <c r="V485" s="2"/>
      <c r="W485" s="2"/>
      <c r="X485" s="2"/>
      <c r="Y485" s="2"/>
      <c r="Z485" s="2"/>
      <c r="AA485" s="2"/>
      <c r="AB485" s="2"/>
      <c r="AC485" s="2"/>
      <c r="AD485" s="2"/>
      <c r="AE485" s="2"/>
      <c r="AF485" s="2"/>
      <c r="AG485" s="2"/>
    </row>
    <row r="486" ht="14.25" customHeight="1">
      <c r="A486" s="2"/>
      <c r="B486" s="2"/>
      <c r="C486" s="2"/>
      <c r="D486" s="2"/>
      <c r="E486" s="2"/>
      <c r="F486" s="2"/>
      <c r="G486" s="2"/>
      <c r="H486" s="146"/>
      <c r="I486" s="146"/>
      <c r="J486" s="146"/>
      <c r="K486" s="146"/>
      <c r="L486" s="2"/>
      <c r="M486" s="2"/>
      <c r="N486" s="2"/>
      <c r="O486" s="2"/>
      <c r="P486" s="2"/>
      <c r="Q486" s="2"/>
      <c r="R486" s="2"/>
      <c r="S486" s="2"/>
      <c r="T486" s="2"/>
      <c r="U486" s="2"/>
      <c r="V486" s="2"/>
      <c r="W486" s="2"/>
      <c r="X486" s="2"/>
      <c r="Y486" s="2"/>
      <c r="Z486" s="2"/>
      <c r="AA486" s="2"/>
      <c r="AB486" s="2"/>
      <c r="AC486" s="2"/>
      <c r="AD486" s="2"/>
      <c r="AE486" s="2"/>
      <c r="AF486" s="2"/>
      <c r="AG486" s="2"/>
    </row>
    <row r="487" ht="14.25" customHeight="1">
      <c r="A487" s="2"/>
      <c r="B487" s="2"/>
      <c r="C487" s="2"/>
      <c r="D487" s="2"/>
      <c r="E487" s="2"/>
      <c r="F487" s="2"/>
      <c r="G487" s="2"/>
      <c r="H487" s="146"/>
      <c r="I487" s="146"/>
      <c r="J487" s="146"/>
      <c r="K487" s="146"/>
      <c r="L487" s="2"/>
      <c r="M487" s="2"/>
      <c r="N487" s="2"/>
      <c r="O487" s="2"/>
      <c r="P487" s="2"/>
      <c r="Q487" s="2"/>
      <c r="R487" s="2"/>
      <c r="S487" s="2"/>
      <c r="T487" s="2"/>
      <c r="U487" s="2"/>
      <c r="V487" s="2"/>
      <c r="W487" s="2"/>
      <c r="X487" s="2"/>
      <c r="Y487" s="2"/>
      <c r="Z487" s="2"/>
      <c r="AA487" s="2"/>
      <c r="AB487" s="2"/>
      <c r="AC487" s="2"/>
      <c r="AD487" s="2"/>
      <c r="AE487" s="2"/>
      <c r="AF487" s="2"/>
      <c r="AG487" s="2"/>
    </row>
    <row r="488" ht="14.25" customHeight="1">
      <c r="A488" s="2"/>
      <c r="B488" s="2"/>
      <c r="C488" s="2"/>
      <c r="D488" s="2"/>
      <c r="E488" s="2"/>
      <c r="F488" s="2"/>
      <c r="G488" s="2"/>
      <c r="H488" s="146"/>
      <c r="I488" s="146"/>
      <c r="J488" s="146"/>
      <c r="K488" s="146"/>
      <c r="L488" s="2"/>
      <c r="M488" s="2"/>
      <c r="N488" s="2"/>
      <c r="O488" s="2"/>
      <c r="P488" s="2"/>
      <c r="Q488" s="2"/>
      <c r="R488" s="2"/>
      <c r="S488" s="2"/>
      <c r="T488" s="2"/>
      <c r="U488" s="2"/>
      <c r="V488" s="2"/>
      <c r="W488" s="2"/>
      <c r="X488" s="2"/>
      <c r="Y488" s="2"/>
      <c r="Z488" s="2"/>
      <c r="AA488" s="2"/>
      <c r="AB488" s="2"/>
      <c r="AC488" s="2"/>
      <c r="AD488" s="2"/>
      <c r="AE488" s="2"/>
      <c r="AF488" s="2"/>
      <c r="AG488" s="2"/>
    </row>
    <row r="489" ht="14.25" customHeight="1">
      <c r="A489" s="2"/>
      <c r="B489" s="2"/>
      <c r="C489" s="2"/>
      <c r="D489" s="2"/>
      <c r="E489" s="2"/>
      <c r="F489" s="2"/>
      <c r="G489" s="2"/>
      <c r="H489" s="146"/>
      <c r="I489" s="146"/>
      <c r="J489" s="146"/>
      <c r="K489" s="146"/>
      <c r="L489" s="2"/>
      <c r="M489" s="2"/>
      <c r="N489" s="2"/>
      <c r="O489" s="2"/>
      <c r="P489" s="2"/>
      <c r="Q489" s="2"/>
      <c r="R489" s="2"/>
      <c r="S489" s="2"/>
      <c r="T489" s="2"/>
      <c r="U489" s="2"/>
      <c r="V489" s="2"/>
      <c r="W489" s="2"/>
      <c r="X489" s="2"/>
      <c r="Y489" s="2"/>
      <c r="Z489" s="2"/>
      <c r="AA489" s="2"/>
      <c r="AB489" s="2"/>
      <c r="AC489" s="2"/>
      <c r="AD489" s="2"/>
      <c r="AE489" s="2"/>
      <c r="AF489" s="2"/>
      <c r="AG489" s="2"/>
    </row>
    <row r="490" ht="14.25" customHeight="1">
      <c r="A490" s="2"/>
      <c r="B490" s="2"/>
      <c r="C490" s="2"/>
      <c r="D490" s="2"/>
      <c r="E490" s="2"/>
      <c r="F490" s="2"/>
      <c r="G490" s="2"/>
      <c r="H490" s="146"/>
      <c r="I490" s="146"/>
      <c r="J490" s="146"/>
      <c r="K490" s="146"/>
      <c r="L490" s="2"/>
      <c r="M490" s="2"/>
      <c r="N490" s="2"/>
      <c r="O490" s="2"/>
      <c r="P490" s="2"/>
      <c r="Q490" s="2"/>
      <c r="R490" s="2"/>
      <c r="S490" s="2"/>
      <c r="T490" s="2"/>
      <c r="U490" s="2"/>
      <c r="V490" s="2"/>
      <c r="W490" s="2"/>
      <c r="X490" s="2"/>
      <c r="Y490" s="2"/>
      <c r="Z490" s="2"/>
      <c r="AA490" s="2"/>
      <c r="AB490" s="2"/>
      <c r="AC490" s="2"/>
      <c r="AD490" s="2"/>
      <c r="AE490" s="2"/>
      <c r="AF490" s="2"/>
      <c r="AG490" s="2"/>
    </row>
    <row r="491" ht="14.25" customHeight="1">
      <c r="A491" s="2"/>
      <c r="B491" s="2"/>
      <c r="C491" s="2"/>
      <c r="D491" s="2"/>
      <c r="E491" s="2"/>
      <c r="F491" s="2"/>
      <c r="G491" s="2"/>
      <c r="H491" s="146"/>
      <c r="I491" s="146"/>
      <c r="J491" s="146"/>
      <c r="K491" s="146"/>
      <c r="L491" s="2"/>
      <c r="M491" s="2"/>
      <c r="N491" s="2"/>
      <c r="O491" s="2"/>
      <c r="P491" s="2"/>
      <c r="Q491" s="2"/>
      <c r="R491" s="2"/>
      <c r="S491" s="2"/>
      <c r="T491" s="2"/>
      <c r="U491" s="2"/>
      <c r="V491" s="2"/>
      <c r="W491" s="2"/>
      <c r="X491" s="2"/>
      <c r="Y491" s="2"/>
      <c r="Z491" s="2"/>
      <c r="AA491" s="2"/>
      <c r="AB491" s="2"/>
      <c r="AC491" s="2"/>
      <c r="AD491" s="2"/>
      <c r="AE491" s="2"/>
      <c r="AF491" s="2"/>
      <c r="AG491" s="2"/>
    </row>
    <row r="492" ht="14.25" customHeight="1">
      <c r="A492" s="2"/>
      <c r="B492" s="2"/>
      <c r="C492" s="2"/>
      <c r="D492" s="2"/>
      <c r="E492" s="2"/>
      <c r="F492" s="2"/>
      <c r="G492" s="2"/>
      <c r="H492" s="146"/>
      <c r="I492" s="146"/>
      <c r="J492" s="146"/>
      <c r="K492" s="146"/>
      <c r="L492" s="2"/>
      <c r="M492" s="2"/>
      <c r="N492" s="2"/>
      <c r="O492" s="2"/>
      <c r="P492" s="2"/>
      <c r="Q492" s="2"/>
      <c r="R492" s="2"/>
      <c r="S492" s="2"/>
      <c r="T492" s="2"/>
      <c r="U492" s="2"/>
      <c r="V492" s="2"/>
      <c r="W492" s="2"/>
      <c r="X492" s="2"/>
      <c r="Y492" s="2"/>
      <c r="Z492" s="2"/>
      <c r="AA492" s="2"/>
      <c r="AB492" s="2"/>
      <c r="AC492" s="2"/>
      <c r="AD492" s="2"/>
      <c r="AE492" s="2"/>
      <c r="AF492" s="2"/>
      <c r="AG492" s="2"/>
    </row>
    <row r="493" ht="14.25" customHeight="1">
      <c r="A493" s="2"/>
      <c r="B493" s="2"/>
      <c r="C493" s="2"/>
      <c r="D493" s="2"/>
      <c r="E493" s="2"/>
      <c r="F493" s="2"/>
      <c r="G493" s="2"/>
      <c r="H493" s="146"/>
      <c r="I493" s="146"/>
      <c r="J493" s="146"/>
      <c r="K493" s="146"/>
      <c r="L493" s="2"/>
      <c r="M493" s="2"/>
      <c r="N493" s="2"/>
      <c r="O493" s="2"/>
      <c r="P493" s="2"/>
      <c r="Q493" s="2"/>
      <c r="R493" s="2"/>
      <c r="S493" s="2"/>
      <c r="T493" s="2"/>
      <c r="U493" s="2"/>
      <c r="V493" s="2"/>
      <c r="W493" s="2"/>
      <c r="X493" s="2"/>
      <c r="Y493" s="2"/>
      <c r="Z493" s="2"/>
      <c r="AA493" s="2"/>
      <c r="AB493" s="2"/>
      <c r="AC493" s="2"/>
      <c r="AD493" s="2"/>
      <c r="AE493" s="2"/>
      <c r="AF493" s="2"/>
      <c r="AG493" s="2"/>
    </row>
    <row r="494" ht="14.25" customHeight="1">
      <c r="A494" s="2"/>
      <c r="B494" s="2"/>
      <c r="C494" s="2"/>
      <c r="D494" s="2"/>
      <c r="E494" s="2"/>
      <c r="F494" s="2"/>
      <c r="G494" s="2"/>
      <c r="H494" s="146"/>
      <c r="I494" s="146"/>
      <c r="J494" s="146"/>
      <c r="K494" s="146"/>
      <c r="L494" s="2"/>
      <c r="M494" s="2"/>
      <c r="N494" s="2"/>
      <c r="O494" s="2"/>
      <c r="P494" s="2"/>
      <c r="Q494" s="2"/>
      <c r="R494" s="2"/>
      <c r="S494" s="2"/>
      <c r="T494" s="2"/>
      <c r="U494" s="2"/>
      <c r="V494" s="2"/>
      <c r="W494" s="2"/>
      <c r="X494" s="2"/>
      <c r="Y494" s="2"/>
      <c r="Z494" s="2"/>
      <c r="AA494" s="2"/>
      <c r="AB494" s="2"/>
      <c r="AC494" s="2"/>
      <c r="AD494" s="2"/>
      <c r="AE494" s="2"/>
      <c r="AF494" s="2"/>
      <c r="AG494" s="2"/>
    </row>
    <row r="495" ht="14.25" customHeight="1">
      <c r="A495" s="2"/>
      <c r="B495" s="2"/>
      <c r="C495" s="2"/>
      <c r="D495" s="2"/>
      <c r="E495" s="2"/>
      <c r="F495" s="2"/>
      <c r="G495" s="2"/>
      <c r="H495" s="146"/>
      <c r="I495" s="146"/>
      <c r="J495" s="146"/>
      <c r="K495" s="146"/>
      <c r="L495" s="2"/>
      <c r="M495" s="2"/>
      <c r="N495" s="2"/>
      <c r="O495" s="2"/>
      <c r="P495" s="2"/>
      <c r="Q495" s="2"/>
      <c r="R495" s="2"/>
      <c r="S495" s="2"/>
      <c r="T495" s="2"/>
      <c r="U495" s="2"/>
      <c r="V495" s="2"/>
      <c r="W495" s="2"/>
      <c r="X495" s="2"/>
      <c r="Y495" s="2"/>
      <c r="Z495" s="2"/>
      <c r="AA495" s="2"/>
      <c r="AB495" s="2"/>
      <c r="AC495" s="2"/>
      <c r="AD495" s="2"/>
      <c r="AE495" s="2"/>
      <c r="AF495" s="2"/>
      <c r="AG495" s="2"/>
    </row>
    <row r="496" ht="14.25" customHeight="1">
      <c r="A496" s="2"/>
      <c r="B496" s="2"/>
      <c r="C496" s="2"/>
      <c r="D496" s="2"/>
      <c r="E496" s="2"/>
      <c r="F496" s="2"/>
      <c r="G496" s="2"/>
      <c r="H496" s="146"/>
      <c r="I496" s="146"/>
      <c r="J496" s="146"/>
      <c r="K496" s="146"/>
      <c r="L496" s="2"/>
      <c r="M496" s="2"/>
      <c r="N496" s="2"/>
      <c r="O496" s="2"/>
      <c r="P496" s="2"/>
      <c r="Q496" s="2"/>
      <c r="R496" s="2"/>
      <c r="S496" s="2"/>
      <c r="T496" s="2"/>
      <c r="U496" s="2"/>
      <c r="V496" s="2"/>
      <c r="W496" s="2"/>
      <c r="X496" s="2"/>
      <c r="Y496" s="2"/>
      <c r="Z496" s="2"/>
      <c r="AA496" s="2"/>
      <c r="AB496" s="2"/>
      <c r="AC496" s="2"/>
      <c r="AD496" s="2"/>
      <c r="AE496" s="2"/>
      <c r="AF496" s="2"/>
      <c r="AG496" s="2"/>
    </row>
    <row r="497" ht="14.25" customHeight="1">
      <c r="A497" s="2"/>
      <c r="B497" s="2"/>
      <c r="C497" s="2"/>
      <c r="D497" s="2"/>
      <c r="E497" s="2"/>
      <c r="F497" s="2"/>
      <c r="G497" s="2"/>
      <c r="H497" s="146"/>
      <c r="I497" s="146"/>
      <c r="J497" s="146"/>
      <c r="K497" s="146"/>
      <c r="L497" s="2"/>
      <c r="M497" s="2"/>
      <c r="N497" s="2"/>
      <c r="O497" s="2"/>
      <c r="P497" s="2"/>
      <c r="Q497" s="2"/>
      <c r="R497" s="2"/>
      <c r="S497" s="2"/>
      <c r="T497" s="2"/>
      <c r="U497" s="2"/>
      <c r="V497" s="2"/>
      <c r="W497" s="2"/>
      <c r="X497" s="2"/>
      <c r="Y497" s="2"/>
      <c r="Z497" s="2"/>
      <c r="AA497" s="2"/>
      <c r="AB497" s="2"/>
      <c r="AC497" s="2"/>
      <c r="AD497" s="2"/>
      <c r="AE497" s="2"/>
      <c r="AF497" s="2"/>
      <c r="AG497" s="2"/>
    </row>
    <row r="498" ht="14.25" customHeight="1">
      <c r="A498" s="2"/>
      <c r="B498" s="2"/>
      <c r="C498" s="2"/>
      <c r="D498" s="2"/>
      <c r="E498" s="2"/>
      <c r="F498" s="2"/>
      <c r="G498" s="2"/>
      <c r="H498" s="146"/>
      <c r="I498" s="146"/>
      <c r="J498" s="146"/>
      <c r="K498" s="146"/>
      <c r="L498" s="2"/>
      <c r="M498" s="2"/>
      <c r="N498" s="2"/>
      <c r="O498" s="2"/>
      <c r="P498" s="2"/>
      <c r="Q498" s="2"/>
      <c r="R498" s="2"/>
      <c r="S498" s="2"/>
      <c r="T498" s="2"/>
      <c r="U498" s="2"/>
      <c r="V498" s="2"/>
      <c r="W498" s="2"/>
      <c r="X498" s="2"/>
      <c r="Y498" s="2"/>
      <c r="Z498" s="2"/>
      <c r="AA498" s="2"/>
      <c r="AB498" s="2"/>
      <c r="AC498" s="2"/>
      <c r="AD498" s="2"/>
      <c r="AE498" s="2"/>
      <c r="AF498" s="2"/>
      <c r="AG498" s="2"/>
    </row>
    <row r="499" ht="14.25" customHeight="1">
      <c r="A499" s="2"/>
      <c r="B499" s="2"/>
      <c r="C499" s="2"/>
      <c r="D499" s="2"/>
      <c r="E499" s="2"/>
      <c r="F499" s="2"/>
      <c r="G499" s="2"/>
      <c r="H499" s="146"/>
      <c r="I499" s="146"/>
      <c r="J499" s="146"/>
      <c r="K499" s="146"/>
      <c r="L499" s="2"/>
      <c r="M499" s="2"/>
      <c r="N499" s="2"/>
      <c r="O499" s="2"/>
      <c r="P499" s="2"/>
      <c r="Q499" s="2"/>
      <c r="R499" s="2"/>
      <c r="S499" s="2"/>
      <c r="T499" s="2"/>
      <c r="U499" s="2"/>
      <c r="V499" s="2"/>
      <c r="W499" s="2"/>
      <c r="X499" s="2"/>
      <c r="Y499" s="2"/>
      <c r="Z499" s="2"/>
      <c r="AA499" s="2"/>
      <c r="AB499" s="2"/>
      <c r="AC499" s="2"/>
      <c r="AD499" s="2"/>
      <c r="AE499" s="2"/>
      <c r="AF499" s="2"/>
      <c r="AG499" s="2"/>
    </row>
    <row r="500" ht="14.25" customHeight="1">
      <c r="A500" s="2"/>
      <c r="B500" s="2"/>
      <c r="C500" s="2"/>
      <c r="D500" s="2"/>
      <c r="E500" s="2"/>
      <c r="F500" s="2"/>
      <c r="G500" s="2"/>
      <c r="H500" s="146"/>
      <c r="I500" s="146"/>
      <c r="J500" s="146"/>
      <c r="K500" s="146"/>
      <c r="L500" s="2"/>
      <c r="M500" s="2"/>
      <c r="N500" s="2"/>
      <c r="O500" s="2"/>
      <c r="P500" s="2"/>
      <c r="Q500" s="2"/>
      <c r="R500" s="2"/>
      <c r="S500" s="2"/>
      <c r="T500" s="2"/>
      <c r="U500" s="2"/>
      <c r="V500" s="2"/>
      <c r="W500" s="2"/>
      <c r="X500" s="2"/>
      <c r="Y500" s="2"/>
      <c r="Z500" s="2"/>
      <c r="AA500" s="2"/>
      <c r="AB500" s="2"/>
      <c r="AC500" s="2"/>
      <c r="AD500" s="2"/>
      <c r="AE500" s="2"/>
      <c r="AF500" s="2"/>
      <c r="AG500" s="2"/>
    </row>
    <row r="501" ht="14.25" customHeight="1">
      <c r="A501" s="2"/>
      <c r="B501" s="2"/>
      <c r="C501" s="2"/>
      <c r="D501" s="2"/>
      <c r="E501" s="2"/>
      <c r="F501" s="2"/>
      <c r="G501" s="2"/>
      <c r="H501" s="146"/>
      <c r="I501" s="146"/>
      <c r="J501" s="146"/>
      <c r="K501" s="146"/>
      <c r="L501" s="2"/>
      <c r="M501" s="2"/>
      <c r="N501" s="2"/>
      <c r="O501" s="2"/>
      <c r="P501" s="2"/>
      <c r="Q501" s="2"/>
      <c r="R501" s="2"/>
      <c r="S501" s="2"/>
      <c r="T501" s="2"/>
      <c r="U501" s="2"/>
      <c r="V501" s="2"/>
      <c r="W501" s="2"/>
      <c r="X501" s="2"/>
      <c r="Y501" s="2"/>
      <c r="Z501" s="2"/>
      <c r="AA501" s="2"/>
      <c r="AB501" s="2"/>
      <c r="AC501" s="2"/>
      <c r="AD501" s="2"/>
      <c r="AE501" s="2"/>
      <c r="AF501" s="2"/>
      <c r="AG501" s="2"/>
    </row>
    <row r="502" ht="14.25" customHeight="1">
      <c r="A502" s="2"/>
      <c r="B502" s="2"/>
      <c r="C502" s="2"/>
      <c r="D502" s="2"/>
      <c r="E502" s="2"/>
      <c r="F502" s="2"/>
      <c r="G502" s="2"/>
      <c r="H502" s="146"/>
      <c r="I502" s="146"/>
      <c r="J502" s="146"/>
      <c r="K502" s="146"/>
      <c r="L502" s="2"/>
      <c r="M502" s="2"/>
      <c r="N502" s="2"/>
      <c r="O502" s="2"/>
      <c r="P502" s="2"/>
      <c r="Q502" s="2"/>
      <c r="R502" s="2"/>
      <c r="S502" s="2"/>
      <c r="T502" s="2"/>
      <c r="U502" s="2"/>
      <c r="V502" s="2"/>
      <c r="W502" s="2"/>
      <c r="X502" s="2"/>
      <c r="Y502" s="2"/>
      <c r="Z502" s="2"/>
      <c r="AA502" s="2"/>
      <c r="AB502" s="2"/>
      <c r="AC502" s="2"/>
      <c r="AD502" s="2"/>
      <c r="AE502" s="2"/>
      <c r="AF502" s="2"/>
      <c r="AG502" s="2"/>
    </row>
    <row r="503" ht="14.25" customHeight="1">
      <c r="A503" s="2"/>
      <c r="B503" s="2"/>
      <c r="C503" s="2"/>
      <c r="D503" s="2"/>
      <c r="E503" s="2"/>
      <c r="F503" s="2"/>
      <c r="G503" s="2"/>
      <c r="H503" s="146"/>
      <c r="I503" s="146"/>
      <c r="J503" s="146"/>
      <c r="K503" s="146"/>
      <c r="L503" s="2"/>
      <c r="M503" s="2"/>
      <c r="N503" s="2"/>
      <c r="O503" s="2"/>
      <c r="P503" s="2"/>
      <c r="Q503" s="2"/>
      <c r="R503" s="2"/>
      <c r="S503" s="2"/>
      <c r="T503" s="2"/>
      <c r="U503" s="2"/>
      <c r="V503" s="2"/>
      <c r="W503" s="2"/>
      <c r="X503" s="2"/>
      <c r="Y503" s="2"/>
      <c r="Z503" s="2"/>
      <c r="AA503" s="2"/>
      <c r="AB503" s="2"/>
      <c r="AC503" s="2"/>
      <c r="AD503" s="2"/>
      <c r="AE503" s="2"/>
      <c r="AF503" s="2"/>
      <c r="AG503" s="2"/>
    </row>
    <row r="504" ht="14.25" customHeight="1">
      <c r="A504" s="2"/>
      <c r="B504" s="2"/>
      <c r="C504" s="2"/>
      <c r="D504" s="2"/>
      <c r="E504" s="2"/>
      <c r="F504" s="2"/>
      <c r="G504" s="2"/>
      <c r="H504" s="146"/>
      <c r="I504" s="146"/>
      <c r="J504" s="146"/>
      <c r="K504" s="146"/>
      <c r="L504" s="2"/>
      <c r="M504" s="2"/>
      <c r="N504" s="2"/>
      <c r="O504" s="2"/>
      <c r="P504" s="2"/>
      <c r="Q504" s="2"/>
      <c r="R504" s="2"/>
      <c r="S504" s="2"/>
      <c r="T504" s="2"/>
      <c r="U504" s="2"/>
      <c r="V504" s="2"/>
      <c r="W504" s="2"/>
      <c r="X504" s="2"/>
      <c r="Y504" s="2"/>
      <c r="Z504" s="2"/>
      <c r="AA504" s="2"/>
      <c r="AB504" s="2"/>
      <c r="AC504" s="2"/>
      <c r="AD504" s="2"/>
      <c r="AE504" s="2"/>
      <c r="AF504" s="2"/>
      <c r="AG504" s="2"/>
    </row>
    <row r="505" ht="14.25" customHeight="1">
      <c r="A505" s="2"/>
      <c r="B505" s="2"/>
      <c r="C505" s="2"/>
      <c r="D505" s="2"/>
      <c r="E505" s="2"/>
      <c r="F505" s="2"/>
      <c r="G505" s="2"/>
      <c r="H505" s="146"/>
      <c r="I505" s="146"/>
      <c r="J505" s="146"/>
      <c r="K505" s="146"/>
      <c r="L505" s="2"/>
      <c r="M505" s="2"/>
      <c r="N505" s="2"/>
      <c r="O505" s="2"/>
      <c r="P505" s="2"/>
      <c r="Q505" s="2"/>
      <c r="R505" s="2"/>
      <c r="S505" s="2"/>
      <c r="T505" s="2"/>
      <c r="U505" s="2"/>
      <c r="V505" s="2"/>
      <c r="W505" s="2"/>
      <c r="X505" s="2"/>
      <c r="Y505" s="2"/>
      <c r="Z505" s="2"/>
      <c r="AA505" s="2"/>
      <c r="AB505" s="2"/>
      <c r="AC505" s="2"/>
      <c r="AD505" s="2"/>
      <c r="AE505" s="2"/>
      <c r="AF505" s="2"/>
      <c r="AG505" s="2"/>
    </row>
    <row r="506" ht="14.25" customHeight="1">
      <c r="A506" s="2"/>
      <c r="B506" s="2"/>
      <c r="C506" s="2"/>
      <c r="D506" s="2"/>
      <c r="E506" s="2"/>
      <c r="F506" s="2"/>
      <c r="G506" s="2"/>
      <c r="H506" s="146"/>
      <c r="I506" s="146"/>
      <c r="J506" s="146"/>
      <c r="K506" s="146"/>
      <c r="L506" s="2"/>
      <c r="M506" s="2"/>
      <c r="N506" s="2"/>
      <c r="O506" s="2"/>
      <c r="P506" s="2"/>
      <c r="Q506" s="2"/>
      <c r="R506" s="2"/>
      <c r="S506" s="2"/>
      <c r="T506" s="2"/>
      <c r="U506" s="2"/>
      <c r="V506" s="2"/>
      <c r="W506" s="2"/>
      <c r="X506" s="2"/>
      <c r="Y506" s="2"/>
      <c r="Z506" s="2"/>
      <c r="AA506" s="2"/>
      <c r="AB506" s="2"/>
      <c r="AC506" s="2"/>
      <c r="AD506" s="2"/>
      <c r="AE506" s="2"/>
      <c r="AF506" s="2"/>
      <c r="AG506" s="2"/>
    </row>
    <row r="507" ht="14.25" customHeight="1">
      <c r="A507" s="2"/>
      <c r="B507" s="2"/>
      <c r="C507" s="2"/>
      <c r="D507" s="2"/>
      <c r="E507" s="2"/>
      <c r="F507" s="2"/>
      <c r="G507" s="2"/>
      <c r="H507" s="146"/>
      <c r="I507" s="146"/>
      <c r="J507" s="146"/>
      <c r="K507" s="146"/>
      <c r="L507" s="2"/>
      <c r="M507" s="2"/>
      <c r="N507" s="2"/>
      <c r="O507" s="2"/>
      <c r="P507" s="2"/>
      <c r="Q507" s="2"/>
      <c r="R507" s="2"/>
      <c r="S507" s="2"/>
      <c r="T507" s="2"/>
      <c r="U507" s="2"/>
      <c r="V507" s="2"/>
      <c r="W507" s="2"/>
      <c r="X507" s="2"/>
      <c r="Y507" s="2"/>
      <c r="Z507" s="2"/>
      <c r="AA507" s="2"/>
      <c r="AB507" s="2"/>
      <c r="AC507" s="2"/>
      <c r="AD507" s="2"/>
      <c r="AE507" s="2"/>
      <c r="AF507" s="2"/>
      <c r="AG507" s="2"/>
    </row>
    <row r="508" ht="14.25" customHeight="1">
      <c r="A508" s="2"/>
      <c r="B508" s="2"/>
      <c r="C508" s="2"/>
      <c r="D508" s="2"/>
      <c r="E508" s="2"/>
      <c r="F508" s="2"/>
      <c r="G508" s="2"/>
      <c r="H508" s="146"/>
      <c r="I508" s="146"/>
      <c r="J508" s="146"/>
      <c r="K508" s="146"/>
      <c r="L508" s="2"/>
      <c r="M508" s="2"/>
      <c r="N508" s="2"/>
      <c r="O508" s="2"/>
      <c r="P508" s="2"/>
      <c r="Q508" s="2"/>
      <c r="R508" s="2"/>
      <c r="S508" s="2"/>
      <c r="T508" s="2"/>
      <c r="U508" s="2"/>
      <c r="V508" s="2"/>
      <c r="W508" s="2"/>
      <c r="X508" s="2"/>
      <c r="Y508" s="2"/>
      <c r="Z508" s="2"/>
      <c r="AA508" s="2"/>
      <c r="AB508" s="2"/>
      <c r="AC508" s="2"/>
      <c r="AD508" s="2"/>
      <c r="AE508" s="2"/>
      <c r="AF508" s="2"/>
      <c r="AG508" s="2"/>
    </row>
    <row r="509" ht="14.25" customHeight="1">
      <c r="A509" s="2"/>
      <c r="B509" s="2"/>
      <c r="C509" s="2"/>
      <c r="D509" s="2"/>
      <c r="E509" s="2"/>
      <c r="F509" s="2"/>
      <c r="G509" s="2"/>
      <c r="H509" s="146"/>
      <c r="I509" s="146"/>
      <c r="J509" s="146"/>
      <c r="K509" s="146"/>
      <c r="L509" s="2"/>
      <c r="M509" s="2"/>
      <c r="N509" s="2"/>
      <c r="O509" s="2"/>
      <c r="P509" s="2"/>
      <c r="Q509" s="2"/>
      <c r="R509" s="2"/>
      <c r="S509" s="2"/>
      <c r="T509" s="2"/>
      <c r="U509" s="2"/>
      <c r="V509" s="2"/>
      <c r="W509" s="2"/>
      <c r="X509" s="2"/>
      <c r="Y509" s="2"/>
      <c r="Z509" s="2"/>
      <c r="AA509" s="2"/>
      <c r="AB509" s="2"/>
      <c r="AC509" s="2"/>
      <c r="AD509" s="2"/>
      <c r="AE509" s="2"/>
      <c r="AF509" s="2"/>
      <c r="AG509" s="2"/>
    </row>
    <row r="510" ht="14.25" customHeight="1">
      <c r="A510" s="2"/>
      <c r="B510" s="2"/>
      <c r="C510" s="2"/>
      <c r="D510" s="2"/>
      <c r="E510" s="2"/>
      <c r="F510" s="2"/>
      <c r="G510" s="2"/>
      <c r="H510" s="146"/>
      <c r="I510" s="146"/>
      <c r="J510" s="146"/>
      <c r="K510" s="146"/>
      <c r="L510" s="2"/>
      <c r="M510" s="2"/>
      <c r="N510" s="2"/>
      <c r="O510" s="2"/>
      <c r="P510" s="2"/>
      <c r="Q510" s="2"/>
      <c r="R510" s="2"/>
      <c r="S510" s="2"/>
      <c r="T510" s="2"/>
      <c r="U510" s="2"/>
      <c r="V510" s="2"/>
      <c r="W510" s="2"/>
      <c r="X510" s="2"/>
      <c r="Y510" s="2"/>
      <c r="Z510" s="2"/>
      <c r="AA510" s="2"/>
      <c r="AB510" s="2"/>
      <c r="AC510" s="2"/>
      <c r="AD510" s="2"/>
      <c r="AE510" s="2"/>
      <c r="AF510" s="2"/>
      <c r="AG510" s="2"/>
    </row>
    <row r="511" ht="14.25" customHeight="1">
      <c r="A511" s="2"/>
      <c r="B511" s="2"/>
      <c r="C511" s="2"/>
      <c r="D511" s="2"/>
      <c r="E511" s="2"/>
      <c r="F511" s="2"/>
      <c r="G511" s="2"/>
      <c r="H511" s="146"/>
      <c r="I511" s="146"/>
      <c r="J511" s="146"/>
      <c r="K511" s="146"/>
      <c r="L511" s="2"/>
      <c r="M511" s="2"/>
      <c r="N511" s="2"/>
      <c r="O511" s="2"/>
      <c r="P511" s="2"/>
      <c r="Q511" s="2"/>
      <c r="R511" s="2"/>
      <c r="S511" s="2"/>
      <c r="T511" s="2"/>
      <c r="U511" s="2"/>
      <c r="V511" s="2"/>
      <c r="W511" s="2"/>
      <c r="X511" s="2"/>
      <c r="Y511" s="2"/>
      <c r="Z511" s="2"/>
      <c r="AA511" s="2"/>
      <c r="AB511" s="2"/>
      <c r="AC511" s="2"/>
      <c r="AD511" s="2"/>
      <c r="AE511" s="2"/>
      <c r="AF511" s="2"/>
      <c r="AG511" s="2"/>
    </row>
    <row r="512" ht="14.25" customHeight="1">
      <c r="A512" s="2"/>
      <c r="B512" s="2"/>
      <c r="C512" s="2"/>
      <c r="D512" s="2"/>
      <c r="E512" s="2"/>
      <c r="F512" s="2"/>
      <c r="G512" s="2"/>
      <c r="H512" s="146"/>
      <c r="I512" s="146"/>
      <c r="J512" s="146"/>
      <c r="K512" s="146"/>
      <c r="L512" s="2"/>
      <c r="M512" s="2"/>
      <c r="N512" s="2"/>
      <c r="O512" s="2"/>
      <c r="P512" s="2"/>
      <c r="Q512" s="2"/>
      <c r="R512" s="2"/>
      <c r="S512" s="2"/>
      <c r="T512" s="2"/>
      <c r="U512" s="2"/>
      <c r="V512" s="2"/>
      <c r="W512" s="2"/>
      <c r="X512" s="2"/>
      <c r="Y512" s="2"/>
      <c r="Z512" s="2"/>
      <c r="AA512" s="2"/>
      <c r="AB512" s="2"/>
      <c r="AC512" s="2"/>
      <c r="AD512" s="2"/>
      <c r="AE512" s="2"/>
      <c r="AF512" s="2"/>
      <c r="AG512" s="2"/>
    </row>
    <row r="513" ht="14.25" customHeight="1">
      <c r="A513" s="2"/>
      <c r="B513" s="2"/>
      <c r="C513" s="2"/>
      <c r="D513" s="2"/>
      <c r="E513" s="2"/>
      <c r="F513" s="2"/>
      <c r="G513" s="2"/>
      <c r="H513" s="146"/>
      <c r="I513" s="146"/>
      <c r="J513" s="146"/>
      <c r="K513" s="146"/>
      <c r="L513" s="2"/>
      <c r="M513" s="2"/>
      <c r="N513" s="2"/>
      <c r="O513" s="2"/>
      <c r="P513" s="2"/>
      <c r="Q513" s="2"/>
      <c r="R513" s="2"/>
      <c r="S513" s="2"/>
      <c r="T513" s="2"/>
      <c r="U513" s="2"/>
      <c r="V513" s="2"/>
      <c r="W513" s="2"/>
      <c r="X513" s="2"/>
      <c r="Y513" s="2"/>
      <c r="Z513" s="2"/>
      <c r="AA513" s="2"/>
      <c r="AB513" s="2"/>
      <c r="AC513" s="2"/>
      <c r="AD513" s="2"/>
      <c r="AE513" s="2"/>
      <c r="AF513" s="2"/>
      <c r="AG513" s="2"/>
    </row>
    <row r="514" ht="14.25" customHeight="1">
      <c r="A514" s="2"/>
      <c r="B514" s="2"/>
      <c r="C514" s="2"/>
      <c r="D514" s="2"/>
      <c r="E514" s="2"/>
      <c r="F514" s="2"/>
      <c r="G514" s="2"/>
      <c r="H514" s="146"/>
      <c r="I514" s="146"/>
      <c r="J514" s="146"/>
      <c r="K514" s="146"/>
      <c r="L514" s="2"/>
      <c r="M514" s="2"/>
      <c r="N514" s="2"/>
      <c r="O514" s="2"/>
      <c r="P514" s="2"/>
      <c r="Q514" s="2"/>
      <c r="R514" s="2"/>
      <c r="S514" s="2"/>
      <c r="T514" s="2"/>
      <c r="U514" s="2"/>
      <c r="V514" s="2"/>
      <c r="W514" s="2"/>
      <c r="X514" s="2"/>
      <c r="Y514" s="2"/>
      <c r="Z514" s="2"/>
      <c r="AA514" s="2"/>
      <c r="AB514" s="2"/>
      <c r="AC514" s="2"/>
      <c r="AD514" s="2"/>
      <c r="AE514" s="2"/>
      <c r="AF514" s="2"/>
      <c r="AG514" s="2"/>
    </row>
    <row r="515" ht="14.25" customHeight="1">
      <c r="A515" s="2"/>
      <c r="B515" s="2"/>
      <c r="C515" s="2"/>
      <c r="D515" s="2"/>
      <c r="E515" s="2"/>
      <c r="F515" s="2"/>
      <c r="G515" s="2"/>
      <c r="H515" s="146"/>
      <c r="I515" s="146"/>
      <c r="J515" s="146"/>
      <c r="K515" s="146"/>
      <c r="L515" s="2"/>
      <c r="M515" s="2"/>
      <c r="N515" s="2"/>
      <c r="O515" s="2"/>
      <c r="P515" s="2"/>
      <c r="Q515" s="2"/>
      <c r="R515" s="2"/>
      <c r="S515" s="2"/>
      <c r="T515" s="2"/>
      <c r="U515" s="2"/>
      <c r="V515" s="2"/>
      <c r="W515" s="2"/>
      <c r="X515" s="2"/>
      <c r="Y515" s="2"/>
      <c r="Z515" s="2"/>
      <c r="AA515" s="2"/>
      <c r="AB515" s="2"/>
      <c r="AC515" s="2"/>
      <c r="AD515" s="2"/>
      <c r="AE515" s="2"/>
      <c r="AF515" s="2"/>
      <c r="AG515" s="2"/>
    </row>
    <row r="516" ht="14.25" customHeight="1">
      <c r="A516" s="2"/>
      <c r="B516" s="2"/>
      <c r="C516" s="2"/>
      <c r="D516" s="2"/>
      <c r="E516" s="2"/>
      <c r="F516" s="2"/>
      <c r="G516" s="2"/>
      <c r="H516" s="146"/>
      <c r="I516" s="146"/>
      <c r="J516" s="146"/>
      <c r="K516" s="146"/>
      <c r="L516" s="2"/>
      <c r="M516" s="2"/>
      <c r="N516" s="2"/>
      <c r="O516" s="2"/>
      <c r="P516" s="2"/>
      <c r="Q516" s="2"/>
      <c r="R516" s="2"/>
      <c r="S516" s="2"/>
      <c r="T516" s="2"/>
      <c r="U516" s="2"/>
      <c r="V516" s="2"/>
      <c r="W516" s="2"/>
      <c r="X516" s="2"/>
      <c r="Y516" s="2"/>
      <c r="Z516" s="2"/>
      <c r="AA516" s="2"/>
      <c r="AB516" s="2"/>
      <c r="AC516" s="2"/>
      <c r="AD516" s="2"/>
      <c r="AE516" s="2"/>
      <c r="AF516" s="2"/>
      <c r="AG516" s="2"/>
    </row>
    <row r="517" ht="14.25" customHeight="1">
      <c r="A517" s="2"/>
      <c r="B517" s="2"/>
      <c r="C517" s="2"/>
      <c r="D517" s="2"/>
      <c r="E517" s="2"/>
      <c r="F517" s="2"/>
      <c r="G517" s="2"/>
      <c r="H517" s="146"/>
      <c r="I517" s="146"/>
      <c r="J517" s="146"/>
      <c r="K517" s="146"/>
      <c r="L517" s="2"/>
      <c r="M517" s="2"/>
      <c r="N517" s="2"/>
      <c r="O517" s="2"/>
      <c r="P517" s="2"/>
      <c r="Q517" s="2"/>
      <c r="R517" s="2"/>
      <c r="S517" s="2"/>
      <c r="T517" s="2"/>
      <c r="U517" s="2"/>
      <c r="V517" s="2"/>
      <c r="W517" s="2"/>
      <c r="X517" s="2"/>
      <c r="Y517" s="2"/>
      <c r="Z517" s="2"/>
      <c r="AA517" s="2"/>
      <c r="AB517" s="2"/>
      <c r="AC517" s="2"/>
      <c r="AD517" s="2"/>
      <c r="AE517" s="2"/>
      <c r="AF517" s="2"/>
      <c r="AG517" s="2"/>
    </row>
    <row r="518" ht="14.25" customHeight="1">
      <c r="A518" s="2"/>
      <c r="B518" s="2"/>
      <c r="C518" s="2"/>
      <c r="D518" s="2"/>
      <c r="E518" s="2"/>
      <c r="F518" s="2"/>
      <c r="G518" s="2"/>
      <c r="H518" s="146"/>
      <c r="I518" s="146"/>
      <c r="J518" s="146"/>
      <c r="K518" s="146"/>
      <c r="L518" s="2"/>
      <c r="M518" s="2"/>
      <c r="N518" s="2"/>
      <c r="O518" s="2"/>
      <c r="P518" s="2"/>
      <c r="Q518" s="2"/>
      <c r="R518" s="2"/>
      <c r="S518" s="2"/>
      <c r="T518" s="2"/>
      <c r="U518" s="2"/>
      <c r="V518" s="2"/>
      <c r="W518" s="2"/>
      <c r="X518" s="2"/>
      <c r="Y518" s="2"/>
      <c r="Z518" s="2"/>
      <c r="AA518" s="2"/>
      <c r="AB518" s="2"/>
      <c r="AC518" s="2"/>
      <c r="AD518" s="2"/>
      <c r="AE518" s="2"/>
      <c r="AF518" s="2"/>
      <c r="AG518" s="2"/>
    </row>
    <row r="519" ht="14.25" customHeight="1">
      <c r="A519" s="2"/>
      <c r="B519" s="2"/>
      <c r="C519" s="2"/>
      <c r="D519" s="2"/>
      <c r="E519" s="2"/>
      <c r="F519" s="2"/>
      <c r="G519" s="2"/>
      <c r="H519" s="146"/>
      <c r="I519" s="146"/>
      <c r="J519" s="146"/>
      <c r="K519" s="146"/>
      <c r="L519" s="2"/>
      <c r="M519" s="2"/>
      <c r="N519" s="2"/>
      <c r="O519" s="2"/>
      <c r="P519" s="2"/>
      <c r="Q519" s="2"/>
      <c r="R519" s="2"/>
      <c r="S519" s="2"/>
      <c r="T519" s="2"/>
      <c r="U519" s="2"/>
      <c r="V519" s="2"/>
      <c r="W519" s="2"/>
      <c r="X519" s="2"/>
      <c r="Y519" s="2"/>
      <c r="Z519" s="2"/>
      <c r="AA519" s="2"/>
      <c r="AB519" s="2"/>
      <c r="AC519" s="2"/>
      <c r="AD519" s="2"/>
      <c r="AE519" s="2"/>
      <c r="AF519" s="2"/>
      <c r="AG519" s="2"/>
    </row>
    <row r="520" ht="14.25" customHeight="1">
      <c r="A520" s="2"/>
      <c r="B520" s="2"/>
      <c r="C520" s="2"/>
      <c r="D520" s="2"/>
      <c r="E520" s="2"/>
      <c r="F520" s="2"/>
      <c r="G520" s="2"/>
      <c r="H520" s="146"/>
      <c r="I520" s="146"/>
      <c r="J520" s="146"/>
      <c r="K520" s="146"/>
      <c r="L520" s="2"/>
      <c r="M520" s="2"/>
      <c r="N520" s="2"/>
      <c r="O520" s="2"/>
      <c r="P520" s="2"/>
      <c r="Q520" s="2"/>
      <c r="R520" s="2"/>
      <c r="S520" s="2"/>
      <c r="T520" s="2"/>
      <c r="U520" s="2"/>
      <c r="V520" s="2"/>
      <c r="W520" s="2"/>
      <c r="X520" s="2"/>
      <c r="Y520" s="2"/>
      <c r="Z520" s="2"/>
      <c r="AA520" s="2"/>
      <c r="AB520" s="2"/>
      <c r="AC520" s="2"/>
      <c r="AD520" s="2"/>
      <c r="AE520" s="2"/>
      <c r="AF520" s="2"/>
      <c r="AG520" s="2"/>
    </row>
    <row r="521" ht="14.25" customHeight="1">
      <c r="A521" s="2"/>
      <c r="B521" s="2"/>
      <c r="C521" s="2"/>
      <c r="D521" s="2"/>
      <c r="E521" s="2"/>
      <c r="F521" s="2"/>
      <c r="G521" s="2"/>
      <c r="H521" s="146"/>
      <c r="I521" s="146"/>
      <c r="J521" s="146"/>
      <c r="K521" s="146"/>
      <c r="L521" s="2"/>
      <c r="M521" s="2"/>
      <c r="N521" s="2"/>
      <c r="O521" s="2"/>
      <c r="P521" s="2"/>
      <c r="Q521" s="2"/>
      <c r="R521" s="2"/>
      <c r="S521" s="2"/>
      <c r="T521" s="2"/>
      <c r="U521" s="2"/>
      <c r="V521" s="2"/>
      <c r="W521" s="2"/>
      <c r="X521" s="2"/>
      <c r="Y521" s="2"/>
      <c r="Z521" s="2"/>
      <c r="AA521" s="2"/>
      <c r="AB521" s="2"/>
      <c r="AC521" s="2"/>
      <c r="AD521" s="2"/>
      <c r="AE521" s="2"/>
      <c r="AF521" s="2"/>
      <c r="AG521" s="2"/>
    </row>
    <row r="522" ht="14.25" customHeight="1">
      <c r="A522" s="2"/>
      <c r="B522" s="2"/>
      <c r="C522" s="2"/>
      <c r="D522" s="2"/>
      <c r="E522" s="2"/>
      <c r="F522" s="2"/>
      <c r="G522" s="2"/>
      <c r="H522" s="146"/>
      <c r="I522" s="146"/>
      <c r="J522" s="146"/>
      <c r="K522" s="146"/>
      <c r="L522" s="2"/>
      <c r="M522" s="2"/>
      <c r="N522" s="2"/>
      <c r="O522" s="2"/>
      <c r="P522" s="2"/>
      <c r="Q522" s="2"/>
      <c r="R522" s="2"/>
      <c r="S522" s="2"/>
      <c r="T522" s="2"/>
      <c r="U522" s="2"/>
      <c r="V522" s="2"/>
      <c r="W522" s="2"/>
      <c r="X522" s="2"/>
      <c r="Y522" s="2"/>
      <c r="Z522" s="2"/>
      <c r="AA522" s="2"/>
      <c r="AB522" s="2"/>
      <c r="AC522" s="2"/>
      <c r="AD522" s="2"/>
      <c r="AE522" s="2"/>
      <c r="AF522" s="2"/>
      <c r="AG522" s="2"/>
    </row>
    <row r="523" ht="14.25" customHeight="1">
      <c r="A523" s="2"/>
      <c r="B523" s="2"/>
      <c r="C523" s="2"/>
      <c r="D523" s="2"/>
      <c r="E523" s="2"/>
      <c r="F523" s="2"/>
      <c r="G523" s="2"/>
      <c r="H523" s="146"/>
      <c r="I523" s="146"/>
      <c r="J523" s="146"/>
      <c r="K523" s="146"/>
      <c r="L523" s="2"/>
      <c r="M523" s="2"/>
      <c r="N523" s="2"/>
      <c r="O523" s="2"/>
      <c r="P523" s="2"/>
      <c r="Q523" s="2"/>
      <c r="R523" s="2"/>
      <c r="S523" s="2"/>
      <c r="T523" s="2"/>
      <c r="U523" s="2"/>
      <c r="V523" s="2"/>
      <c r="W523" s="2"/>
      <c r="X523" s="2"/>
      <c r="Y523" s="2"/>
      <c r="Z523" s="2"/>
      <c r="AA523" s="2"/>
      <c r="AB523" s="2"/>
      <c r="AC523" s="2"/>
      <c r="AD523" s="2"/>
      <c r="AE523" s="2"/>
      <c r="AF523" s="2"/>
      <c r="AG523" s="2"/>
    </row>
    <row r="524" ht="14.25" customHeight="1">
      <c r="A524" s="2"/>
      <c r="B524" s="2"/>
      <c r="C524" s="2"/>
      <c r="D524" s="2"/>
      <c r="E524" s="2"/>
      <c r="F524" s="2"/>
      <c r="G524" s="2"/>
      <c r="H524" s="146"/>
      <c r="I524" s="146"/>
      <c r="J524" s="146"/>
      <c r="K524" s="146"/>
      <c r="L524" s="2"/>
      <c r="M524" s="2"/>
      <c r="N524" s="2"/>
      <c r="O524" s="2"/>
      <c r="P524" s="2"/>
      <c r="Q524" s="2"/>
      <c r="R524" s="2"/>
      <c r="S524" s="2"/>
      <c r="T524" s="2"/>
      <c r="U524" s="2"/>
      <c r="V524" s="2"/>
      <c r="W524" s="2"/>
      <c r="X524" s="2"/>
      <c r="Y524" s="2"/>
      <c r="Z524" s="2"/>
      <c r="AA524" s="2"/>
      <c r="AB524" s="2"/>
      <c r="AC524" s="2"/>
      <c r="AD524" s="2"/>
      <c r="AE524" s="2"/>
      <c r="AF524" s="2"/>
      <c r="AG524" s="2"/>
    </row>
    <row r="525" ht="14.25" customHeight="1">
      <c r="A525" s="2"/>
      <c r="B525" s="2"/>
      <c r="C525" s="2"/>
      <c r="D525" s="2"/>
      <c r="E525" s="2"/>
      <c r="F525" s="2"/>
      <c r="G525" s="2"/>
      <c r="H525" s="146"/>
      <c r="I525" s="146"/>
      <c r="J525" s="146"/>
      <c r="K525" s="146"/>
      <c r="L525" s="2"/>
      <c r="M525" s="2"/>
      <c r="N525" s="2"/>
      <c r="O525" s="2"/>
      <c r="P525" s="2"/>
      <c r="Q525" s="2"/>
      <c r="R525" s="2"/>
      <c r="S525" s="2"/>
      <c r="T525" s="2"/>
      <c r="U525" s="2"/>
      <c r="V525" s="2"/>
      <c r="W525" s="2"/>
      <c r="X525" s="2"/>
      <c r="Y525" s="2"/>
      <c r="Z525" s="2"/>
      <c r="AA525" s="2"/>
      <c r="AB525" s="2"/>
      <c r="AC525" s="2"/>
      <c r="AD525" s="2"/>
      <c r="AE525" s="2"/>
      <c r="AF525" s="2"/>
      <c r="AG525" s="2"/>
    </row>
    <row r="526" ht="14.25" customHeight="1">
      <c r="A526" s="2"/>
      <c r="B526" s="2"/>
      <c r="C526" s="2"/>
      <c r="D526" s="2"/>
      <c r="E526" s="2"/>
      <c r="F526" s="2"/>
      <c r="G526" s="2"/>
      <c r="H526" s="146"/>
      <c r="I526" s="146"/>
      <c r="J526" s="146"/>
      <c r="K526" s="146"/>
      <c r="L526" s="2"/>
      <c r="M526" s="2"/>
      <c r="N526" s="2"/>
      <c r="O526" s="2"/>
      <c r="P526" s="2"/>
      <c r="Q526" s="2"/>
      <c r="R526" s="2"/>
      <c r="S526" s="2"/>
      <c r="T526" s="2"/>
      <c r="U526" s="2"/>
      <c r="V526" s="2"/>
      <c r="W526" s="2"/>
      <c r="X526" s="2"/>
      <c r="Y526" s="2"/>
      <c r="Z526" s="2"/>
      <c r="AA526" s="2"/>
      <c r="AB526" s="2"/>
      <c r="AC526" s="2"/>
      <c r="AD526" s="2"/>
      <c r="AE526" s="2"/>
      <c r="AF526" s="2"/>
      <c r="AG526" s="2"/>
    </row>
    <row r="527" ht="14.25" customHeight="1">
      <c r="A527" s="2"/>
      <c r="B527" s="2"/>
      <c r="C527" s="2"/>
      <c r="D527" s="2"/>
      <c r="E527" s="2"/>
      <c r="F527" s="2"/>
      <c r="G527" s="2"/>
      <c r="H527" s="146"/>
      <c r="I527" s="146"/>
      <c r="J527" s="146"/>
      <c r="K527" s="146"/>
      <c r="L527" s="2"/>
      <c r="M527" s="2"/>
      <c r="N527" s="2"/>
      <c r="O527" s="2"/>
      <c r="P527" s="2"/>
      <c r="Q527" s="2"/>
      <c r="R527" s="2"/>
      <c r="S527" s="2"/>
      <c r="T527" s="2"/>
      <c r="U527" s="2"/>
      <c r="V527" s="2"/>
      <c r="W527" s="2"/>
      <c r="X527" s="2"/>
      <c r="Y527" s="2"/>
      <c r="Z527" s="2"/>
      <c r="AA527" s="2"/>
      <c r="AB527" s="2"/>
      <c r="AC527" s="2"/>
      <c r="AD527" s="2"/>
      <c r="AE527" s="2"/>
      <c r="AF527" s="2"/>
      <c r="AG527" s="2"/>
    </row>
    <row r="528" ht="14.25" customHeight="1">
      <c r="A528" s="2"/>
      <c r="B528" s="2"/>
      <c r="C528" s="2"/>
      <c r="D528" s="2"/>
      <c r="E528" s="2"/>
      <c r="F528" s="2"/>
      <c r="G528" s="2"/>
      <c r="H528" s="146"/>
      <c r="I528" s="146"/>
      <c r="J528" s="146"/>
      <c r="K528" s="146"/>
      <c r="L528" s="2"/>
      <c r="M528" s="2"/>
      <c r="N528" s="2"/>
      <c r="O528" s="2"/>
      <c r="P528" s="2"/>
      <c r="Q528" s="2"/>
      <c r="R528" s="2"/>
      <c r="S528" s="2"/>
      <c r="T528" s="2"/>
      <c r="U528" s="2"/>
      <c r="V528" s="2"/>
      <c r="W528" s="2"/>
      <c r="X528" s="2"/>
      <c r="Y528" s="2"/>
      <c r="Z528" s="2"/>
      <c r="AA528" s="2"/>
      <c r="AB528" s="2"/>
      <c r="AC528" s="2"/>
      <c r="AD528" s="2"/>
      <c r="AE528" s="2"/>
      <c r="AF528" s="2"/>
      <c r="AG528" s="2"/>
    </row>
    <row r="529" ht="14.25" customHeight="1">
      <c r="A529" s="2"/>
      <c r="B529" s="2"/>
      <c r="C529" s="2"/>
      <c r="D529" s="2"/>
      <c r="E529" s="2"/>
      <c r="F529" s="2"/>
      <c r="G529" s="2"/>
      <c r="H529" s="146"/>
      <c r="I529" s="146"/>
      <c r="J529" s="146"/>
      <c r="K529" s="146"/>
      <c r="L529" s="2"/>
      <c r="M529" s="2"/>
      <c r="N529" s="2"/>
      <c r="O529" s="2"/>
      <c r="P529" s="2"/>
      <c r="Q529" s="2"/>
      <c r="R529" s="2"/>
      <c r="S529" s="2"/>
      <c r="T529" s="2"/>
      <c r="U529" s="2"/>
      <c r="V529" s="2"/>
      <c r="W529" s="2"/>
      <c r="X529" s="2"/>
      <c r="Y529" s="2"/>
      <c r="Z529" s="2"/>
      <c r="AA529" s="2"/>
      <c r="AB529" s="2"/>
      <c r="AC529" s="2"/>
      <c r="AD529" s="2"/>
      <c r="AE529" s="2"/>
      <c r="AF529" s="2"/>
      <c r="AG529" s="2"/>
    </row>
    <row r="530" ht="14.25" customHeight="1">
      <c r="A530" s="2"/>
      <c r="B530" s="2"/>
      <c r="C530" s="2"/>
      <c r="D530" s="2"/>
      <c r="E530" s="2"/>
      <c r="F530" s="2"/>
      <c r="G530" s="2"/>
      <c r="H530" s="146"/>
      <c r="I530" s="146"/>
      <c r="J530" s="146"/>
      <c r="K530" s="146"/>
      <c r="L530" s="2"/>
      <c r="M530" s="2"/>
      <c r="N530" s="2"/>
      <c r="O530" s="2"/>
      <c r="P530" s="2"/>
      <c r="Q530" s="2"/>
      <c r="R530" s="2"/>
      <c r="S530" s="2"/>
      <c r="T530" s="2"/>
      <c r="U530" s="2"/>
      <c r="V530" s="2"/>
      <c r="W530" s="2"/>
      <c r="X530" s="2"/>
      <c r="Y530" s="2"/>
      <c r="Z530" s="2"/>
      <c r="AA530" s="2"/>
      <c r="AB530" s="2"/>
      <c r="AC530" s="2"/>
      <c r="AD530" s="2"/>
      <c r="AE530" s="2"/>
      <c r="AF530" s="2"/>
      <c r="AG530" s="2"/>
    </row>
    <row r="531" ht="14.25" customHeight="1">
      <c r="A531" s="2"/>
      <c r="B531" s="2"/>
      <c r="C531" s="2"/>
      <c r="D531" s="2"/>
      <c r="E531" s="2"/>
      <c r="F531" s="2"/>
      <c r="G531" s="2"/>
      <c r="H531" s="146"/>
      <c r="I531" s="146"/>
      <c r="J531" s="146"/>
      <c r="K531" s="146"/>
      <c r="L531" s="2"/>
      <c r="M531" s="2"/>
      <c r="N531" s="2"/>
      <c r="O531" s="2"/>
      <c r="P531" s="2"/>
      <c r="Q531" s="2"/>
      <c r="R531" s="2"/>
      <c r="S531" s="2"/>
      <c r="T531" s="2"/>
      <c r="U531" s="2"/>
      <c r="V531" s="2"/>
      <c r="W531" s="2"/>
      <c r="X531" s="2"/>
      <c r="Y531" s="2"/>
      <c r="Z531" s="2"/>
      <c r="AA531" s="2"/>
      <c r="AB531" s="2"/>
      <c r="AC531" s="2"/>
      <c r="AD531" s="2"/>
      <c r="AE531" s="2"/>
      <c r="AF531" s="2"/>
      <c r="AG531" s="2"/>
    </row>
    <row r="532" ht="14.25" customHeight="1">
      <c r="A532" s="2"/>
      <c r="B532" s="2"/>
      <c r="C532" s="2"/>
      <c r="D532" s="2"/>
      <c r="E532" s="2"/>
      <c r="F532" s="2"/>
      <c r="G532" s="2"/>
      <c r="H532" s="146"/>
      <c r="I532" s="146"/>
      <c r="J532" s="146"/>
      <c r="K532" s="146"/>
      <c r="L532" s="2"/>
      <c r="M532" s="2"/>
      <c r="N532" s="2"/>
      <c r="O532" s="2"/>
      <c r="P532" s="2"/>
      <c r="Q532" s="2"/>
      <c r="R532" s="2"/>
      <c r="S532" s="2"/>
      <c r="T532" s="2"/>
      <c r="U532" s="2"/>
      <c r="V532" s="2"/>
      <c r="W532" s="2"/>
      <c r="X532" s="2"/>
      <c r="Y532" s="2"/>
      <c r="Z532" s="2"/>
      <c r="AA532" s="2"/>
      <c r="AB532" s="2"/>
      <c r="AC532" s="2"/>
      <c r="AD532" s="2"/>
      <c r="AE532" s="2"/>
      <c r="AF532" s="2"/>
      <c r="AG532" s="2"/>
    </row>
    <row r="533" ht="14.25" customHeight="1">
      <c r="A533" s="2"/>
      <c r="B533" s="2"/>
      <c r="C533" s="2"/>
      <c r="D533" s="2"/>
      <c r="E533" s="2"/>
      <c r="F533" s="2"/>
      <c r="G533" s="2"/>
      <c r="H533" s="146"/>
      <c r="I533" s="146"/>
      <c r="J533" s="146"/>
      <c r="K533" s="146"/>
      <c r="L533" s="2"/>
      <c r="M533" s="2"/>
      <c r="N533" s="2"/>
      <c r="O533" s="2"/>
      <c r="P533" s="2"/>
      <c r="Q533" s="2"/>
      <c r="R533" s="2"/>
      <c r="S533" s="2"/>
      <c r="T533" s="2"/>
      <c r="U533" s="2"/>
      <c r="V533" s="2"/>
      <c r="W533" s="2"/>
      <c r="X533" s="2"/>
      <c r="Y533" s="2"/>
      <c r="Z533" s="2"/>
      <c r="AA533" s="2"/>
      <c r="AB533" s="2"/>
      <c r="AC533" s="2"/>
      <c r="AD533" s="2"/>
      <c r="AE533" s="2"/>
      <c r="AF533" s="2"/>
      <c r="AG533" s="2"/>
    </row>
    <row r="534" ht="14.25" customHeight="1">
      <c r="A534" s="2"/>
      <c r="B534" s="2"/>
      <c r="C534" s="2"/>
      <c r="D534" s="2"/>
      <c r="E534" s="2"/>
      <c r="F534" s="2"/>
      <c r="G534" s="2"/>
      <c r="H534" s="146"/>
      <c r="I534" s="146"/>
      <c r="J534" s="146"/>
      <c r="K534" s="146"/>
      <c r="L534" s="2"/>
      <c r="M534" s="2"/>
      <c r="N534" s="2"/>
      <c r="O534" s="2"/>
      <c r="P534" s="2"/>
      <c r="Q534" s="2"/>
      <c r="R534" s="2"/>
      <c r="S534" s="2"/>
      <c r="T534" s="2"/>
      <c r="U534" s="2"/>
      <c r="V534" s="2"/>
      <c r="W534" s="2"/>
      <c r="X534" s="2"/>
      <c r="Y534" s="2"/>
      <c r="Z534" s="2"/>
      <c r="AA534" s="2"/>
      <c r="AB534" s="2"/>
      <c r="AC534" s="2"/>
      <c r="AD534" s="2"/>
      <c r="AE534" s="2"/>
      <c r="AF534" s="2"/>
      <c r="AG534" s="2"/>
    </row>
    <row r="535" ht="14.25" customHeight="1">
      <c r="A535" s="2"/>
      <c r="B535" s="2"/>
      <c r="C535" s="2"/>
      <c r="D535" s="2"/>
      <c r="E535" s="2"/>
      <c r="F535" s="2"/>
      <c r="G535" s="2"/>
      <c r="H535" s="146"/>
      <c r="I535" s="146"/>
      <c r="J535" s="146"/>
      <c r="K535" s="146"/>
      <c r="L535" s="2"/>
      <c r="M535" s="2"/>
      <c r="N535" s="2"/>
      <c r="O535" s="2"/>
      <c r="P535" s="2"/>
      <c r="Q535" s="2"/>
      <c r="R535" s="2"/>
      <c r="S535" s="2"/>
      <c r="T535" s="2"/>
      <c r="U535" s="2"/>
      <c r="V535" s="2"/>
      <c r="W535" s="2"/>
      <c r="X535" s="2"/>
      <c r="Y535" s="2"/>
      <c r="Z535" s="2"/>
      <c r="AA535" s="2"/>
      <c r="AB535" s="2"/>
      <c r="AC535" s="2"/>
      <c r="AD535" s="2"/>
      <c r="AE535" s="2"/>
      <c r="AF535" s="2"/>
      <c r="AG535" s="2"/>
    </row>
    <row r="536" ht="14.25" customHeight="1">
      <c r="A536" s="2"/>
      <c r="B536" s="2"/>
      <c r="C536" s="2"/>
      <c r="D536" s="2"/>
      <c r="E536" s="2"/>
      <c r="F536" s="2"/>
      <c r="G536" s="2"/>
      <c r="H536" s="146"/>
      <c r="I536" s="146"/>
      <c r="J536" s="146"/>
      <c r="K536" s="146"/>
      <c r="L536" s="2"/>
      <c r="M536" s="2"/>
      <c r="N536" s="2"/>
      <c r="O536" s="2"/>
      <c r="P536" s="2"/>
      <c r="Q536" s="2"/>
      <c r="R536" s="2"/>
      <c r="S536" s="2"/>
      <c r="T536" s="2"/>
      <c r="U536" s="2"/>
      <c r="V536" s="2"/>
      <c r="W536" s="2"/>
      <c r="X536" s="2"/>
      <c r="Y536" s="2"/>
      <c r="Z536" s="2"/>
      <c r="AA536" s="2"/>
      <c r="AB536" s="2"/>
      <c r="AC536" s="2"/>
      <c r="AD536" s="2"/>
      <c r="AE536" s="2"/>
      <c r="AF536" s="2"/>
      <c r="AG536" s="2"/>
    </row>
    <row r="537" ht="14.25" customHeight="1">
      <c r="A537" s="2"/>
      <c r="B537" s="2"/>
      <c r="C537" s="2"/>
      <c r="D537" s="2"/>
      <c r="E537" s="2"/>
      <c r="F537" s="2"/>
      <c r="G537" s="2"/>
      <c r="H537" s="146"/>
      <c r="I537" s="146"/>
      <c r="J537" s="146"/>
      <c r="K537" s="146"/>
      <c r="L537" s="2"/>
      <c r="M537" s="2"/>
      <c r="N537" s="2"/>
      <c r="O537" s="2"/>
      <c r="P537" s="2"/>
      <c r="Q537" s="2"/>
      <c r="R537" s="2"/>
      <c r="S537" s="2"/>
      <c r="T537" s="2"/>
      <c r="U537" s="2"/>
      <c r="V537" s="2"/>
      <c r="W537" s="2"/>
      <c r="X537" s="2"/>
      <c r="Y537" s="2"/>
      <c r="Z537" s="2"/>
      <c r="AA537" s="2"/>
      <c r="AB537" s="2"/>
      <c r="AC537" s="2"/>
      <c r="AD537" s="2"/>
      <c r="AE537" s="2"/>
      <c r="AF537" s="2"/>
      <c r="AG537" s="2"/>
    </row>
    <row r="538" ht="14.25" customHeight="1">
      <c r="A538" s="2"/>
      <c r="B538" s="2"/>
      <c r="C538" s="2"/>
      <c r="D538" s="2"/>
      <c r="E538" s="2"/>
      <c r="F538" s="2"/>
      <c r="G538" s="2"/>
      <c r="H538" s="146"/>
      <c r="I538" s="146"/>
      <c r="J538" s="146"/>
      <c r="K538" s="146"/>
      <c r="L538" s="2"/>
      <c r="M538" s="2"/>
      <c r="N538" s="2"/>
      <c r="O538" s="2"/>
      <c r="P538" s="2"/>
      <c r="Q538" s="2"/>
      <c r="R538" s="2"/>
      <c r="S538" s="2"/>
      <c r="T538" s="2"/>
      <c r="U538" s="2"/>
      <c r="V538" s="2"/>
      <c r="W538" s="2"/>
      <c r="X538" s="2"/>
      <c r="Y538" s="2"/>
      <c r="Z538" s="2"/>
      <c r="AA538" s="2"/>
      <c r="AB538" s="2"/>
      <c r="AC538" s="2"/>
      <c r="AD538" s="2"/>
      <c r="AE538" s="2"/>
      <c r="AF538" s="2"/>
      <c r="AG538" s="2"/>
    </row>
    <row r="539" ht="14.25" customHeight="1">
      <c r="A539" s="2"/>
      <c r="B539" s="2"/>
      <c r="C539" s="2"/>
      <c r="D539" s="2"/>
      <c r="E539" s="2"/>
      <c r="F539" s="2"/>
      <c r="G539" s="2"/>
      <c r="H539" s="146"/>
      <c r="I539" s="146"/>
      <c r="J539" s="146"/>
      <c r="K539" s="146"/>
      <c r="L539" s="2"/>
      <c r="M539" s="2"/>
      <c r="N539" s="2"/>
      <c r="O539" s="2"/>
      <c r="P539" s="2"/>
      <c r="Q539" s="2"/>
      <c r="R539" s="2"/>
      <c r="S539" s="2"/>
      <c r="T539" s="2"/>
      <c r="U539" s="2"/>
      <c r="V539" s="2"/>
      <c r="W539" s="2"/>
      <c r="X539" s="2"/>
      <c r="Y539" s="2"/>
      <c r="Z539" s="2"/>
      <c r="AA539" s="2"/>
      <c r="AB539" s="2"/>
      <c r="AC539" s="2"/>
      <c r="AD539" s="2"/>
      <c r="AE539" s="2"/>
      <c r="AF539" s="2"/>
      <c r="AG539" s="2"/>
    </row>
    <row r="540" ht="14.25" customHeight="1">
      <c r="A540" s="2"/>
      <c r="B540" s="2"/>
      <c r="C540" s="2"/>
      <c r="D540" s="2"/>
      <c r="E540" s="2"/>
      <c r="F540" s="2"/>
      <c r="G540" s="2"/>
      <c r="H540" s="146"/>
      <c r="I540" s="146"/>
      <c r="J540" s="146"/>
      <c r="K540" s="146"/>
      <c r="L540" s="2"/>
      <c r="M540" s="2"/>
      <c r="N540" s="2"/>
      <c r="O540" s="2"/>
      <c r="P540" s="2"/>
      <c r="Q540" s="2"/>
      <c r="R540" s="2"/>
      <c r="S540" s="2"/>
      <c r="T540" s="2"/>
      <c r="U540" s="2"/>
      <c r="V540" s="2"/>
      <c r="W540" s="2"/>
      <c r="X540" s="2"/>
      <c r="Y540" s="2"/>
      <c r="Z540" s="2"/>
      <c r="AA540" s="2"/>
      <c r="AB540" s="2"/>
      <c r="AC540" s="2"/>
      <c r="AD540" s="2"/>
      <c r="AE540" s="2"/>
      <c r="AF540" s="2"/>
      <c r="AG540" s="2"/>
    </row>
    <row r="541" ht="14.25" customHeight="1">
      <c r="A541" s="2"/>
      <c r="B541" s="2"/>
      <c r="C541" s="2"/>
      <c r="D541" s="2"/>
      <c r="E541" s="2"/>
      <c r="F541" s="2"/>
      <c r="G541" s="2"/>
      <c r="H541" s="146"/>
      <c r="I541" s="146"/>
      <c r="J541" s="146"/>
      <c r="K541" s="146"/>
      <c r="L541" s="2"/>
      <c r="M541" s="2"/>
      <c r="N541" s="2"/>
      <c r="O541" s="2"/>
      <c r="P541" s="2"/>
      <c r="Q541" s="2"/>
      <c r="R541" s="2"/>
      <c r="S541" s="2"/>
      <c r="T541" s="2"/>
      <c r="U541" s="2"/>
      <c r="V541" s="2"/>
      <c r="W541" s="2"/>
      <c r="X541" s="2"/>
      <c r="Y541" s="2"/>
      <c r="Z541" s="2"/>
      <c r="AA541" s="2"/>
      <c r="AB541" s="2"/>
      <c r="AC541" s="2"/>
      <c r="AD541" s="2"/>
      <c r="AE541" s="2"/>
      <c r="AF541" s="2"/>
      <c r="AG541" s="2"/>
    </row>
    <row r="542" ht="14.25" customHeight="1">
      <c r="A542" s="2"/>
      <c r="B542" s="2"/>
      <c r="C542" s="2"/>
      <c r="D542" s="2"/>
      <c r="E542" s="2"/>
      <c r="F542" s="2"/>
      <c r="G542" s="2"/>
      <c r="H542" s="146"/>
      <c r="I542" s="146"/>
      <c r="J542" s="146"/>
      <c r="K542" s="146"/>
      <c r="L542" s="2"/>
      <c r="M542" s="2"/>
      <c r="N542" s="2"/>
      <c r="O542" s="2"/>
      <c r="P542" s="2"/>
      <c r="Q542" s="2"/>
      <c r="R542" s="2"/>
      <c r="S542" s="2"/>
      <c r="T542" s="2"/>
      <c r="U542" s="2"/>
      <c r="V542" s="2"/>
      <c r="W542" s="2"/>
      <c r="X542" s="2"/>
      <c r="Y542" s="2"/>
      <c r="Z542" s="2"/>
      <c r="AA542" s="2"/>
      <c r="AB542" s="2"/>
      <c r="AC542" s="2"/>
      <c r="AD542" s="2"/>
      <c r="AE542" s="2"/>
      <c r="AF542" s="2"/>
      <c r="AG542" s="2"/>
    </row>
    <row r="543" ht="14.25" customHeight="1">
      <c r="A543" s="2"/>
      <c r="B543" s="2"/>
      <c r="C543" s="2"/>
      <c r="D543" s="2"/>
      <c r="E543" s="2"/>
      <c r="F543" s="2"/>
      <c r="G543" s="2"/>
      <c r="H543" s="146"/>
      <c r="I543" s="146"/>
      <c r="J543" s="146"/>
      <c r="K543" s="146"/>
      <c r="L543" s="2"/>
      <c r="M543" s="2"/>
      <c r="N543" s="2"/>
      <c r="O543" s="2"/>
      <c r="P543" s="2"/>
      <c r="Q543" s="2"/>
      <c r="R543" s="2"/>
      <c r="S543" s="2"/>
      <c r="T543" s="2"/>
      <c r="U543" s="2"/>
      <c r="V543" s="2"/>
      <c r="W543" s="2"/>
      <c r="X543" s="2"/>
      <c r="Y543" s="2"/>
      <c r="Z543" s="2"/>
      <c r="AA543" s="2"/>
      <c r="AB543" s="2"/>
      <c r="AC543" s="2"/>
      <c r="AD543" s="2"/>
      <c r="AE543" s="2"/>
      <c r="AF543" s="2"/>
      <c r="AG543" s="2"/>
    </row>
    <row r="544" ht="14.25" customHeight="1">
      <c r="A544" s="2"/>
      <c r="B544" s="2"/>
      <c r="C544" s="2"/>
      <c r="D544" s="2"/>
      <c r="E544" s="2"/>
      <c r="F544" s="2"/>
      <c r="G544" s="2"/>
      <c r="H544" s="146"/>
      <c r="I544" s="146"/>
      <c r="J544" s="146"/>
      <c r="K544" s="146"/>
      <c r="L544" s="2"/>
      <c r="M544" s="2"/>
      <c r="N544" s="2"/>
      <c r="O544" s="2"/>
      <c r="P544" s="2"/>
      <c r="Q544" s="2"/>
      <c r="R544" s="2"/>
      <c r="S544" s="2"/>
      <c r="T544" s="2"/>
      <c r="U544" s="2"/>
      <c r="V544" s="2"/>
      <c r="W544" s="2"/>
      <c r="X544" s="2"/>
      <c r="Y544" s="2"/>
      <c r="Z544" s="2"/>
      <c r="AA544" s="2"/>
      <c r="AB544" s="2"/>
      <c r="AC544" s="2"/>
      <c r="AD544" s="2"/>
      <c r="AE544" s="2"/>
      <c r="AF544" s="2"/>
      <c r="AG544" s="2"/>
    </row>
    <row r="545" ht="14.25" customHeight="1">
      <c r="A545" s="2"/>
      <c r="B545" s="2"/>
      <c r="C545" s="2"/>
      <c r="D545" s="2"/>
      <c r="E545" s="2"/>
      <c r="F545" s="2"/>
      <c r="G545" s="2"/>
      <c r="H545" s="146"/>
      <c r="I545" s="146"/>
      <c r="J545" s="146"/>
      <c r="K545" s="146"/>
      <c r="L545" s="2"/>
      <c r="M545" s="2"/>
      <c r="N545" s="2"/>
      <c r="O545" s="2"/>
      <c r="P545" s="2"/>
      <c r="Q545" s="2"/>
      <c r="R545" s="2"/>
      <c r="S545" s="2"/>
      <c r="T545" s="2"/>
      <c r="U545" s="2"/>
      <c r="V545" s="2"/>
      <c r="W545" s="2"/>
      <c r="X545" s="2"/>
      <c r="Y545" s="2"/>
      <c r="Z545" s="2"/>
      <c r="AA545" s="2"/>
      <c r="AB545" s="2"/>
      <c r="AC545" s="2"/>
      <c r="AD545" s="2"/>
      <c r="AE545" s="2"/>
      <c r="AF545" s="2"/>
      <c r="AG545" s="2"/>
    </row>
    <row r="546" ht="14.25" customHeight="1">
      <c r="A546" s="2"/>
      <c r="B546" s="2"/>
      <c r="C546" s="2"/>
      <c r="D546" s="2"/>
      <c r="E546" s="2"/>
      <c r="F546" s="2"/>
      <c r="G546" s="2"/>
      <c r="H546" s="146"/>
      <c r="I546" s="146"/>
      <c r="J546" s="146"/>
      <c r="K546" s="146"/>
      <c r="L546" s="2"/>
      <c r="M546" s="2"/>
      <c r="N546" s="2"/>
      <c r="O546" s="2"/>
      <c r="P546" s="2"/>
      <c r="Q546" s="2"/>
      <c r="R546" s="2"/>
      <c r="S546" s="2"/>
      <c r="T546" s="2"/>
      <c r="U546" s="2"/>
      <c r="V546" s="2"/>
      <c r="W546" s="2"/>
      <c r="X546" s="2"/>
      <c r="Y546" s="2"/>
      <c r="Z546" s="2"/>
      <c r="AA546" s="2"/>
      <c r="AB546" s="2"/>
      <c r="AC546" s="2"/>
      <c r="AD546" s="2"/>
      <c r="AE546" s="2"/>
      <c r="AF546" s="2"/>
      <c r="AG546" s="2"/>
    </row>
    <row r="547" ht="14.25" customHeight="1">
      <c r="A547" s="2"/>
      <c r="B547" s="2"/>
      <c r="C547" s="2"/>
      <c r="D547" s="2"/>
      <c r="E547" s="2"/>
      <c r="F547" s="2"/>
      <c r="G547" s="2"/>
      <c r="H547" s="146"/>
      <c r="I547" s="146"/>
      <c r="J547" s="146"/>
      <c r="K547" s="146"/>
      <c r="L547" s="2"/>
      <c r="M547" s="2"/>
      <c r="N547" s="2"/>
      <c r="O547" s="2"/>
      <c r="P547" s="2"/>
      <c r="Q547" s="2"/>
      <c r="R547" s="2"/>
      <c r="S547" s="2"/>
      <c r="T547" s="2"/>
      <c r="U547" s="2"/>
      <c r="V547" s="2"/>
      <c r="W547" s="2"/>
      <c r="X547" s="2"/>
      <c r="Y547" s="2"/>
      <c r="Z547" s="2"/>
      <c r="AA547" s="2"/>
      <c r="AB547" s="2"/>
      <c r="AC547" s="2"/>
      <c r="AD547" s="2"/>
      <c r="AE547" s="2"/>
      <c r="AF547" s="2"/>
      <c r="AG547" s="2"/>
    </row>
    <row r="548" ht="14.25" customHeight="1">
      <c r="A548" s="2"/>
      <c r="B548" s="2"/>
      <c r="C548" s="2"/>
      <c r="D548" s="2"/>
      <c r="E548" s="2"/>
      <c r="F548" s="2"/>
      <c r="G548" s="2"/>
      <c r="H548" s="146"/>
      <c r="I548" s="146"/>
      <c r="J548" s="146"/>
      <c r="K548" s="146"/>
      <c r="L548" s="2"/>
      <c r="M548" s="2"/>
      <c r="N548" s="2"/>
      <c r="O548" s="2"/>
      <c r="P548" s="2"/>
      <c r="Q548" s="2"/>
      <c r="R548" s="2"/>
      <c r="S548" s="2"/>
      <c r="T548" s="2"/>
      <c r="U548" s="2"/>
      <c r="V548" s="2"/>
      <c r="W548" s="2"/>
      <c r="X548" s="2"/>
      <c r="Y548" s="2"/>
      <c r="Z548" s="2"/>
      <c r="AA548" s="2"/>
      <c r="AB548" s="2"/>
      <c r="AC548" s="2"/>
      <c r="AD548" s="2"/>
      <c r="AE548" s="2"/>
      <c r="AF548" s="2"/>
      <c r="AG548" s="2"/>
    </row>
    <row r="549" ht="14.25" customHeight="1">
      <c r="A549" s="2"/>
      <c r="B549" s="2"/>
      <c r="C549" s="2"/>
      <c r="D549" s="2"/>
      <c r="E549" s="2"/>
      <c r="F549" s="2"/>
      <c r="G549" s="2"/>
      <c r="H549" s="146"/>
      <c r="I549" s="146"/>
      <c r="J549" s="146"/>
      <c r="K549" s="146"/>
      <c r="L549" s="2"/>
      <c r="M549" s="2"/>
      <c r="N549" s="2"/>
      <c r="O549" s="2"/>
      <c r="P549" s="2"/>
      <c r="Q549" s="2"/>
      <c r="R549" s="2"/>
      <c r="S549" s="2"/>
      <c r="T549" s="2"/>
      <c r="U549" s="2"/>
      <c r="V549" s="2"/>
      <c r="W549" s="2"/>
      <c r="X549" s="2"/>
      <c r="Y549" s="2"/>
      <c r="Z549" s="2"/>
      <c r="AA549" s="2"/>
      <c r="AB549" s="2"/>
      <c r="AC549" s="2"/>
      <c r="AD549" s="2"/>
      <c r="AE549" s="2"/>
      <c r="AF549" s="2"/>
      <c r="AG549" s="2"/>
    </row>
    <row r="550" ht="14.25" customHeight="1">
      <c r="A550" s="2"/>
      <c r="B550" s="2"/>
      <c r="C550" s="2"/>
      <c r="D550" s="2"/>
      <c r="E550" s="2"/>
      <c r="F550" s="2"/>
      <c r="G550" s="2"/>
      <c r="H550" s="146"/>
      <c r="I550" s="146"/>
      <c r="J550" s="146"/>
      <c r="K550" s="146"/>
      <c r="L550" s="2"/>
      <c r="M550" s="2"/>
      <c r="N550" s="2"/>
      <c r="O550" s="2"/>
      <c r="P550" s="2"/>
      <c r="Q550" s="2"/>
      <c r="R550" s="2"/>
      <c r="S550" s="2"/>
      <c r="T550" s="2"/>
      <c r="U550" s="2"/>
      <c r="V550" s="2"/>
      <c r="W550" s="2"/>
      <c r="X550" s="2"/>
      <c r="Y550" s="2"/>
      <c r="Z550" s="2"/>
      <c r="AA550" s="2"/>
      <c r="AB550" s="2"/>
      <c r="AC550" s="2"/>
      <c r="AD550" s="2"/>
      <c r="AE550" s="2"/>
      <c r="AF550" s="2"/>
      <c r="AG550" s="2"/>
    </row>
    <row r="551" ht="14.25" customHeight="1">
      <c r="A551" s="2"/>
      <c r="B551" s="2"/>
      <c r="C551" s="2"/>
      <c r="D551" s="2"/>
      <c r="E551" s="2"/>
      <c r="F551" s="2"/>
      <c r="G551" s="2"/>
      <c r="H551" s="146"/>
      <c r="I551" s="146"/>
      <c r="J551" s="146"/>
      <c r="K551" s="146"/>
      <c r="L551" s="2"/>
      <c r="M551" s="2"/>
      <c r="N551" s="2"/>
      <c r="O551" s="2"/>
      <c r="P551" s="2"/>
      <c r="Q551" s="2"/>
      <c r="R551" s="2"/>
      <c r="S551" s="2"/>
      <c r="T551" s="2"/>
      <c r="U551" s="2"/>
      <c r="V551" s="2"/>
      <c r="W551" s="2"/>
      <c r="X551" s="2"/>
      <c r="Y551" s="2"/>
      <c r="Z551" s="2"/>
      <c r="AA551" s="2"/>
      <c r="AB551" s="2"/>
      <c r="AC551" s="2"/>
      <c r="AD551" s="2"/>
      <c r="AE551" s="2"/>
      <c r="AF551" s="2"/>
      <c r="AG551" s="2"/>
    </row>
    <row r="552" ht="14.25" customHeight="1">
      <c r="A552" s="2"/>
      <c r="B552" s="2"/>
      <c r="C552" s="2"/>
      <c r="D552" s="2"/>
      <c r="E552" s="2"/>
      <c r="F552" s="2"/>
      <c r="G552" s="2"/>
      <c r="H552" s="146"/>
      <c r="I552" s="146"/>
      <c r="J552" s="146"/>
      <c r="K552" s="146"/>
      <c r="L552" s="2"/>
      <c r="M552" s="2"/>
      <c r="N552" s="2"/>
      <c r="O552" s="2"/>
      <c r="P552" s="2"/>
      <c r="Q552" s="2"/>
      <c r="R552" s="2"/>
      <c r="S552" s="2"/>
      <c r="T552" s="2"/>
      <c r="U552" s="2"/>
      <c r="V552" s="2"/>
      <c r="W552" s="2"/>
      <c r="X552" s="2"/>
      <c r="Y552" s="2"/>
      <c r="Z552" s="2"/>
      <c r="AA552" s="2"/>
      <c r="AB552" s="2"/>
      <c r="AC552" s="2"/>
      <c r="AD552" s="2"/>
      <c r="AE552" s="2"/>
      <c r="AF552" s="2"/>
      <c r="AG552" s="2"/>
    </row>
    <row r="553" ht="14.25" customHeight="1">
      <c r="A553" s="2"/>
      <c r="B553" s="2"/>
      <c r="C553" s="2"/>
      <c r="D553" s="2"/>
      <c r="E553" s="2"/>
      <c r="F553" s="2"/>
      <c r="G553" s="2"/>
      <c r="H553" s="146"/>
      <c r="I553" s="146"/>
      <c r="J553" s="146"/>
      <c r="K553" s="146"/>
      <c r="L553" s="2"/>
      <c r="M553" s="2"/>
      <c r="N553" s="2"/>
      <c r="O553" s="2"/>
      <c r="P553" s="2"/>
      <c r="Q553" s="2"/>
      <c r="R553" s="2"/>
      <c r="S553" s="2"/>
      <c r="T553" s="2"/>
      <c r="U553" s="2"/>
      <c r="V553" s="2"/>
      <c r="W553" s="2"/>
      <c r="X553" s="2"/>
      <c r="Y553" s="2"/>
      <c r="Z553" s="2"/>
      <c r="AA553" s="2"/>
      <c r="AB553" s="2"/>
      <c r="AC553" s="2"/>
      <c r="AD553" s="2"/>
      <c r="AE553" s="2"/>
      <c r="AF553" s="2"/>
      <c r="AG553" s="2"/>
    </row>
    <row r="554" ht="14.25" customHeight="1">
      <c r="A554" s="2"/>
      <c r="B554" s="2"/>
      <c r="C554" s="2"/>
      <c r="D554" s="2"/>
      <c r="E554" s="2"/>
      <c r="F554" s="2"/>
      <c r="G554" s="2"/>
      <c r="H554" s="146"/>
      <c r="I554" s="146"/>
      <c r="J554" s="146"/>
      <c r="K554" s="146"/>
      <c r="L554" s="2"/>
      <c r="M554" s="2"/>
      <c r="N554" s="2"/>
      <c r="O554" s="2"/>
      <c r="P554" s="2"/>
      <c r="Q554" s="2"/>
      <c r="R554" s="2"/>
      <c r="S554" s="2"/>
      <c r="T554" s="2"/>
      <c r="U554" s="2"/>
      <c r="V554" s="2"/>
      <c r="W554" s="2"/>
      <c r="X554" s="2"/>
      <c r="Y554" s="2"/>
      <c r="Z554" s="2"/>
      <c r="AA554" s="2"/>
      <c r="AB554" s="2"/>
      <c r="AC554" s="2"/>
      <c r="AD554" s="2"/>
      <c r="AE554" s="2"/>
      <c r="AF554" s="2"/>
      <c r="AG554" s="2"/>
    </row>
    <row r="555" ht="14.25" customHeight="1">
      <c r="A555" s="2"/>
      <c r="B555" s="2"/>
      <c r="C555" s="2"/>
      <c r="D555" s="2"/>
      <c r="E555" s="2"/>
      <c r="F555" s="2"/>
      <c r="G555" s="2"/>
      <c r="H555" s="146"/>
      <c r="I555" s="146"/>
      <c r="J555" s="146"/>
      <c r="K555" s="146"/>
      <c r="L555" s="2"/>
      <c r="M555" s="2"/>
      <c r="N555" s="2"/>
      <c r="O555" s="2"/>
      <c r="P555" s="2"/>
      <c r="Q555" s="2"/>
      <c r="R555" s="2"/>
      <c r="S555" s="2"/>
      <c r="T555" s="2"/>
      <c r="U555" s="2"/>
      <c r="V555" s="2"/>
      <c r="W555" s="2"/>
      <c r="X555" s="2"/>
      <c r="Y555" s="2"/>
      <c r="Z555" s="2"/>
      <c r="AA555" s="2"/>
      <c r="AB555" s="2"/>
      <c r="AC555" s="2"/>
      <c r="AD555" s="2"/>
      <c r="AE555" s="2"/>
      <c r="AF555" s="2"/>
      <c r="AG555" s="2"/>
    </row>
    <row r="556" ht="14.25" customHeight="1">
      <c r="A556" s="2"/>
      <c r="B556" s="2"/>
      <c r="C556" s="2"/>
      <c r="D556" s="2"/>
      <c r="E556" s="2"/>
      <c r="F556" s="2"/>
      <c r="G556" s="2"/>
      <c r="H556" s="146"/>
      <c r="I556" s="146"/>
      <c r="J556" s="146"/>
      <c r="K556" s="146"/>
      <c r="L556" s="2"/>
      <c r="M556" s="2"/>
      <c r="N556" s="2"/>
      <c r="O556" s="2"/>
      <c r="P556" s="2"/>
      <c r="Q556" s="2"/>
      <c r="R556" s="2"/>
      <c r="S556" s="2"/>
      <c r="T556" s="2"/>
      <c r="U556" s="2"/>
      <c r="V556" s="2"/>
      <c r="W556" s="2"/>
      <c r="X556" s="2"/>
      <c r="Y556" s="2"/>
      <c r="Z556" s="2"/>
      <c r="AA556" s="2"/>
      <c r="AB556" s="2"/>
      <c r="AC556" s="2"/>
      <c r="AD556" s="2"/>
      <c r="AE556" s="2"/>
      <c r="AF556" s="2"/>
      <c r="AG556" s="2"/>
    </row>
    <row r="557" ht="14.25" customHeight="1">
      <c r="A557" s="2"/>
      <c r="B557" s="2"/>
      <c r="C557" s="2"/>
      <c r="D557" s="2"/>
      <c r="E557" s="2"/>
      <c r="F557" s="2"/>
      <c r="G557" s="2"/>
      <c r="H557" s="146"/>
      <c r="I557" s="146"/>
      <c r="J557" s="146"/>
      <c r="K557" s="146"/>
      <c r="L557" s="2"/>
      <c r="M557" s="2"/>
      <c r="N557" s="2"/>
      <c r="O557" s="2"/>
      <c r="P557" s="2"/>
      <c r="Q557" s="2"/>
      <c r="R557" s="2"/>
      <c r="S557" s="2"/>
      <c r="T557" s="2"/>
      <c r="U557" s="2"/>
      <c r="V557" s="2"/>
      <c r="W557" s="2"/>
      <c r="X557" s="2"/>
      <c r="Y557" s="2"/>
      <c r="Z557" s="2"/>
      <c r="AA557" s="2"/>
      <c r="AB557" s="2"/>
      <c r="AC557" s="2"/>
      <c r="AD557" s="2"/>
      <c r="AE557" s="2"/>
      <c r="AF557" s="2"/>
      <c r="AG557" s="2"/>
    </row>
    <row r="558" ht="14.25" customHeight="1">
      <c r="A558" s="2"/>
      <c r="B558" s="2"/>
      <c r="C558" s="2"/>
      <c r="D558" s="2"/>
      <c r="E558" s="2"/>
      <c r="F558" s="2"/>
      <c r="G558" s="2"/>
      <c r="H558" s="146"/>
      <c r="I558" s="146"/>
      <c r="J558" s="146"/>
      <c r="K558" s="146"/>
      <c r="L558" s="2"/>
      <c r="M558" s="2"/>
      <c r="N558" s="2"/>
      <c r="O558" s="2"/>
      <c r="P558" s="2"/>
      <c r="Q558" s="2"/>
      <c r="R558" s="2"/>
      <c r="S558" s="2"/>
      <c r="T558" s="2"/>
      <c r="U558" s="2"/>
      <c r="V558" s="2"/>
      <c r="W558" s="2"/>
      <c r="X558" s="2"/>
      <c r="Y558" s="2"/>
      <c r="Z558" s="2"/>
      <c r="AA558" s="2"/>
      <c r="AB558" s="2"/>
      <c r="AC558" s="2"/>
      <c r="AD558" s="2"/>
      <c r="AE558" s="2"/>
      <c r="AF558" s="2"/>
      <c r="AG558" s="2"/>
    </row>
    <row r="559" ht="14.25" customHeight="1">
      <c r="A559" s="2"/>
      <c r="B559" s="2"/>
      <c r="C559" s="2"/>
      <c r="D559" s="2"/>
      <c r="E559" s="2"/>
      <c r="F559" s="2"/>
      <c r="G559" s="2"/>
      <c r="H559" s="146"/>
      <c r="I559" s="146"/>
      <c r="J559" s="146"/>
      <c r="K559" s="146"/>
      <c r="L559" s="2"/>
      <c r="M559" s="2"/>
      <c r="N559" s="2"/>
      <c r="O559" s="2"/>
      <c r="P559" s="2"/>
      <c r="Q559" s="2"/>
      <c r="R559" s="2"/>
      <c r="S559" s="2"/>
      <c r="T559" s="2"/>
      <c r="U559" s="2"/>
      <c r="V559" s="2"/>
      <c r="W559" s="2"/>
      <c r="X559" s="2"/>
      <c r="Y559" s="2"/>
      <c r="Z559" s="2"/>
      <c r="AA559" s="2"/>
      <c r="AB559" s="2"/>
      <c r="AC559" s="2"/>
      <c r="AD559" s="2"/>
      <c r="AE559" s="2"/>
      <c r="AF559" s="2"/>
      <c r="AG559" s="2"/>
    </row>
    <row r="560" ht="14.25" customHeight="1">
      <c r="A560" s="2"/>
      <c r="B560" s="2"/>
      <c r="C560" s="2"/>
      <c r="D560" s="2"/>
      <c r="E560" s="2"/>
      <c r="F560" s="2"/>
      <c r="G560" s="2"/>
      <c r="H560" s="146"/>
      <c r="I560" s="146"/>
      <c r="J560" s="146"/>
      <c r="K560" s="146"/>
      <c r="L560" s="2"/>
      <c r="M560" s="2"/>
      <c r="N560" s="2"/>
      <c r="O560" s="2"/>
      <c r="P560" s="2"/>
      <c r="Q560" s="2"/>
      <c r="R560" s="2"/>
      <c r="S560" s="2"/>
      <c r="T560" s="2"/>
      <c r="U560" s="2"/>
      <c r="V560" s="2"/>
      <c r="W560" s="2"/>
      <c r="X560" s="2"/>
      <c r="Y560" s="2"/>
      <c r="Z560" s="2"/>
      <c r="AA560" s="2"/>
      <c r="AB560" s="2"/>
      <c r="AC560" s="2"/>
      <c r="AD560" s="2"/>
      <c r="AE560" s="2"/>
      <c r="AF560" s="2"/>
      <c r="AG560" s="2"/>
    </row>
    <row r="561" ht="14.25" customHeight="1">
      <c r="A561" s="2"/>
      <c r="B561" s="2"/>
      <c r="C561" s="2"/>
      <c r="D561" s="2"/>
      <c r="E561" s="2"/>
      <c r="F561" s="2"/>
      <c r="G561" s="2"/>
      <c r="H561" s="146"/>
      <c r="I561" s="146"/>
      <c r="J561" s="146"/>
      <c r="K561" s="146"/>
      <c r="L561" s="2"/>
      <c r="M561" s="2"/>
      <c r="N561" s="2"/>
      <c r="O561" s="2"/>
      <c r="P561" s="2"/>
      <c r="Q561" s="2"/>
      <c r="R561" s="2"/>
      <c r="S561" s="2"/>
      <c r="T561" s="2"/>
      <c r="U561" s="2"/>
      <c r="V561" s="2"/>
      <c r="W561" s="2"/>
      <c r="X561" s="2"/>
      <c r="Y561" s="2"/>
      <c r="Z561" s="2"/>
      <c r="AA561" s="2"/>
      <c r="AB561" s="2"/>
      <c r="AC561" s="2"/>
      <c r="AD561" s="2"/>
      <c r="AE561" s="2"/>
      <c r="AF561" s="2"/>
      <c r="AG561" s="2"/>
    </row>
    <row r="562" ht="14.25" customHeight="1">
      <c r="A562" s="2"/>
      <c r="B562" s="2"/>
      <c r="C562" s="2"/>
      <c r="D562" s="2"/>
      <c r="E562" s="2"/>
      <c r="F562" s="2"/>
      <c r="G562" s="2"/>
      <c r="H562" s="146"/>
      <c r="I562" s="146"/>
      <c r="J562" s="146"/>
      <c r="K562" s="146"/>
      <c r="L562" s="2"/>
      <c r="M562" s="2"/>
      <c r="N562" s="2"/>
      <c r="O562" s="2"/>
      <c r="P562" s="2"/>
      <c r="Q562" s="2"/>
      <c r="R562" s="2"/>
      <c r="S562" s="2"/>
      <c r="T562" s="2"/>
      <c r="U562" s="2"/>
      <c r="V562" s="2"/>
      <c r="W562" s="2"/>
      <c r="X562" s="2"/>
      <c r="Y562" s="2"/>
      <c r="Z562" s="2"/>
      <c r="AA562" s="2"/>
      <c r="AB562" s="2"/>
      <c r="AC562" s="2"/>
      <c r="AD562" s="2"/>
      <c r="AE562" s="2"/>
      <c r="AF562" s="2"/>
      <c r="AG562" s="2"/>
    </row>
    <row r="563" ht="14.25" customHeight="1">
      <c r="A563" s="2"/>
      <c r="B563" s="2"/>
      <c r="C563" s="2"/>
      <c r="D563" s="2"/>
      <c r="E563" s="2"/>
      <c r="F563" s="2"/>
      <c r="G563" s="2"/>
      <c r="H563" s="146"/>
      <c r="I563" s="146"/>
      <c r="J563" s="146"/>
      <c r="K563" s="146"/>
      <c r="L563" s="2"/>
      <c r="M563" s="2"/>
      <c r="N563" s="2"/>
      <c r="O563" s="2"/>
      <c r="P563" s="2"/>
      <c r="Q563" s="2"/>
      <c r="R563" s="2"/>
      <c r="S563" s="2"/>
      <c r="T563" s="2"/>
      <c r="U563" s="2"/>
      <c r="V563" s="2"/>
      <c r="W563" s="2"/>
      <c r="X563" s="2"/>
      <c r="Y563" s="2"/>
      <c r="Z563" s="2"/>
      <c r="AA563" s="2"/>
      <c r="AB563" s="2"/>
      <c r="AC563" s="2"/>
      <c r="AD563" s="2"/>
      <c r="AE563" s="2"/>
      <c r="AF563" s="2"/>
      <c r="AG563" s="2"/>
    </row>
    <row r="564" ht="14.25" customHeight="1">
      <c r="A564" s="2"/>
      <c r="B564" s="2"/>
      <c r="C564" s="2"/>
      <c r="D564" s="2"/>
      <c r="E564" s="2"/>
      <c r="F564" s="2"/>
      <c r="G564" s="2"/>
      <c r="H564" s="146"/>
      <c r="I564" s="146"/>
      <c r="J564" s="146"/>
      <c r="K564" s="146"/>
      <c r="L564" s="2"/>
      <c r="M564" s="2"/>
      <c r="N564" s="2"/>
      <c r="O564" s="2"/>
      <c r="P564" s="2"/>
      <c r="Q564" s="2"/>
      <c r="R564" s="2"/>
      <c r="S564" s="2"/>
      <c r="T564" s="2"/>
      <c r="U564" s="2"/>
      <c r="V564" s="2"/>
      <c r="W564" s="2"/>
      <c r="X564" s="2"/>
      <c r="Y564" s="2"/>
      <c r="Z564" s="2"/>
      <c r="AA564" s="2"/>
      <c r="AB564" s="2"/>
      <c r="AC564" s="2"/>
      <c r="AD564" s="2"/>
      <c r="AE564" s="2"/>
      <c r="AF564" s="2"/>
      <c r="AG564" s="2"/>
    </row>
    <row r="565" ht="14.25" customHeight="1">
      <c r="A565" s="2"/>
      <c r="B565" s="2"/>
      <c r="C565" s="2"/>
      <c r="D565" s="2"/>
      <c r="E565" s="2"/>
      <c r="F565" s="2"/>
      <c r="G565" s="2"/>
      <c r="H565" s="146"/>
      <c r="I565" s="146"/>
      <c r="J565" s="146"/>
      <c r="K565" s="146"/>
      <c r="L565" s="2"/>
      <c r="M565" s="2"/>
      <c r="N565" s="2"/>
      <c r="O565" s="2"/>
      <c r="P565" s="2"/>
      <c r="Q565" s="2"/>
      <c r="R565" s="2"/>
      <c r="S565" s="2"/>
      <c r="T565" s="2"/>
      <c r="U565" s="2"/>
      <c r="V565" s="2"/>
      <c r="W565" s="2"/>
      <c r="X565" s="2"/>
      <c r="Y565" s="2"/>
      <c r="Z565" s="2"/>
      <c r="AA565" s="2"/>
      <c r="AB565" s="2"/>
      <c r="AC565" s="2"/>
      <c r="AD565" s="2"/>
      <c r="AE565" s="2"/>
      <c r="AF565" s="2"/>
      <c r="AG565" s="2"/>
    </row>
    <row r="566" ht="14.25" customHeight="1">
      <c r="A566" s="2"/>
      <c r="B566" s="2"/>
      <c r="C566" s="2"/>
      <c r="D566" s="2"/>
      <c r="E566" s="2"/>
      <c r="F566" s="2"/>
      <c r="G566" s="2"/>
      <c r="H566" s="146"/>
      <c r="I566" s="146"/>
      <c r="J566" s="146"/>
      <c r="K566" s="146"/>
      <c r="L566" s="2"/>
      <c r="M566" s="2"/>
      <c r="N566" s="2"/>
      <c r="O566" s="2"/>
      <c r="P566" s="2"/>
      <c r="Q566" s="2"/>
      <c r="R566" s="2"/>
      <c r="S566" s="2"/>
      <c r="T566" s="2"/>
      <c r="U566" s="2"/>
      <c r="V566" s="2"/>
      <c r="W566" s="2"/>
      <c r="X566" s="2"/>
      <c r="Y566" s="2"/>
      <c r="Z566" s="2"/>
      <c r="AA566" s="2"/>
      <c r="AB566" s="2"/>
      <c r="AC566" s="2"/>
      <c r="AD566" s="2"/>
      <c r="AE566" s="2"/>
      <c r="AF566" s="2"/>
      <c r="AG566" s="2"/>
    </row>
    <row r="567" ht="14.25" customHeight="1">
      <c r="A567" s="2"/>
      <c r="B567" s="2"/>
      <c r="C567" s="2"/>
      <c r="D567" s="2"/>
      <c r="E567" s="2"/>
      <c r="F567" s="2"/>
      <c r="G567" s="2"/>
      <c r="H567" s="146"/>
      <c r="I567" s="146"/>
      <c r="J567" s="146"/>
      <c r="K567" s="146"/>
      <c r="L567" s="2"/>
      <c r="M567" s="2"/>
      <c r="N567" s="2"/>
      <c r="O567" s="2"/>
      <c r="P567" s="2"/>
      <c r="Q567" s="2"/>
      <c r="R567" s="2"/>
      <c r="S567" s="2"/>
      <c r="T567" s="2"/>
      <c r="U567" s="2"/>
      <c r="V567" s="2"/>
      <c r="W567" s="2"/>
      <c r="X567" s="2"/>
      <c r="Y567" s="2"/>
      <c r="Z567" s="2"/>
      <c r="AA567" s="2"/>
      <c r="AB567" s="2"/>
      <c r="AC567" s="2"/>
      <c r="AD567" s="2"/>
      <c r="AE567" s="2"/>
      <c r="AF567" s="2"/>
      <c r="AG567" s="2"/>
    </row>
    <row r="568" ht="14.25" customHeight="1">
      <c r="A568" s="2"/>
      <c r="B568" s="2"/>
      <c r="C568" s="2"/>
      <c r="D568" s="2"/>
      <c r="E568" s="2"/>
      <c r="F568" s="2"/>
      <c r="G568" s="2"/>
      <c r="H568" s="146"/>
      <c r="I568" s="146"/>
      <c r="J568" s="146"/>
      <c r="K568" s="146"/>
      <c r="L568" s="2"/>
      <c r="M568" s="2"/>
      <c r="N568" s="2"/>
      <c r="O568" s="2"/>
      <c r="P568" s="2"/>
      <c r="Q568" s="2"/>
      <c r="R568" s="2"/>
      <c r="S568" s="2"/>
      <c r="T568" s="2"/>
      <c r="U568" s="2"/>
      <c r="V568" s="2"/>
      <c r="W568" s="2"/>
      <c r="X568" s="2"/>
      <c r="Y568" s="2"/>
      <c r="Z568" s="2"/>
      <c r="AA568" s="2"/>
      <c r="AB568" s="2"/>
      <c r="AC568" s="2"/>
      <c r="AD568" s="2"/>
      <c r="AE568" s="2"/>
      <c r="AF568" s="2"/>
      <c r="AG568" s="2"/>
    </row>
    <row r="569" ht="14.25" customHeight="1">
      <c r="A569" s="2"/>
      <c r="B569" s="2"/>
      <c r="C569" s="2"/>
      <c r="D569" s="2"/>
      <c r="E569" s="2"/>
      <c r="F569" s="2"/>
      <c r="G569" s="2"/>
      <c r="H569" s="146"/>
      <c r="I569" s="146"/>
      <c r="J569" s="146"/>
      <c r="K569" s="146"/>
      <c r="L569" s="2"/>
      <c r="M569" s="2"/>
      <c r="N569" s="2"/>
      <c r="O569" s="2"/>
      <c r="P569" s="2"/>
      <c r="Q569" s="2"/>
      <c r="R569" s="2"/>
      <c r="S569" s="2"/>
      <c r="T569" s="2"/>
      <c r="U569" s="2"/>
      <c r="V569" s="2"/>
      <c r="W569" s="2"/>
      <c r="X569" s="2"/>
      <c r="Y569" s="2"/>
      <c r="Z569" s="2"/>
      <c r="AA569" s="2"/>
      <c r="AB569" s="2"/>
      <c r="AC569" s="2"/>
      <c r="AD569" s="2"/>
      <c r="AE569" s="2"/>
      <c r="AF569" s="2"/>
      <c r="AG569" s="2"/>
    </row>
    <row r="570" ht="14.25" customHeight="1">
      <c r="A570" s="2"/>
      <c r="B570" s="2"/>
      <c r="C570" s="2"/>
      <c r="D570" s="2"/>
      <c r="E570" s="2"/>
      <c r="F570" s="2"/>
      <c r="G570" s="2"/>
      <c r="H570" s="146"/>
      <c r="I570" s="146"/>
      <c r="J570" s="146"/>
      <c r="K570" s="146"/>
      <c r="L570" s="2"/>
      <c r="M570" s="2"/>
      <c r="N570" s="2"/>
      <c r="O570" s="2"/>
      <c r="P570" s="2"/>
      <c r="Q570" s="2"/>
      <c r="R570" s="2"/>
      <c r="S570" s="2"/>
      <c r="T570" s="2"/>
      <c r="U570" s="2"/>
      <c r="V570" s="2"/>
      <c r="W570" s="2"/>
      <c r="X570" s="2"/>
      <c r="Y570" s="2"/>
      <c r="Z570" s="2"/>
      <c r="AA570" s="2"/>
      <c r="AB570" s="2"/>
      <c r="AC570" s="2"/>
      <c r="AD570" s="2"/>
      <c r="AE570" s="2"/>
      <c r="AF570" s="2"/>
      <c r="AG570" s="2"/>
    </row>
    <row r="571" ht="14.25" customHeight="1">
      <c r="A571" s="2"/>
      <c r="B571" s="2"/>
      <c r="C571" s="2"/>
      <c r="D571" s="2"/>
      <c r="E571" s="2"/>
      <c r="F571" s="2"/>
      <c r="G571" s="2"/>
      <c r="H571" s="146"/>
      <c r="I571" s="146"/>
      <c r="J571" s="146"/>
      <c r="K571" s="146"/>
      <c r="L571" s="2"/>
      <c r="M571" s="2"/>
      <c r="N571" s="2"/>
      <c r="O571" s="2"/>
      <c r="P571" s="2"/>
      <c r="Q571" s="2"/>
      <c r="R571" s="2"/>
      <c r="S571" s="2"/>
      <c r="T571" s="2"/>
      <c r="U571" s="2"/>
      <c r="V571" s="2"/>
      <c r="W571" s="2"/>
      <c r="X571" s="2"/>
      <c r="Y571" s="2"/>
      <c r="Z571" s="2"/>
      <c r="AA571" s="2"/>
      <c r="AB571" s="2"/>
      <c r="AC571" s="2"/>
      <c r="AD571" s="2"/>
      <c r="AE571" s="2"/>
      <c r="AF571" s="2"/>
      <c r="AG571" s="2"/>
    </row>
    <row r="572" ht="14.25" customHeight="1">
      <c r="A572" s="2"/>
      <c r="B572" s="2"/>
      <c r="C572" s="2"/>
      <c r="D572" s="2"/>
      <c r="E572" s="2"/>
      <c r="F572" s="2"/>
      <c r="G572" s="2"/>
      <c r="H572" s="146"/>
      <c r="I572" s="146"/>
      <c r="J572" s="146"/>
      <c r="K572" s="146"/>
      <c r="L572" s="2"/>
      <c r="M572" s="2"/>
      <c r="N572" s="2"/>
      <c r="O572" s="2"/>
      <c r="P572" s="2"/>
      <c r="Q572" s="2"/>
      <c r="R572" s="2"/>
      <c r="S572" s="2"/>
      <c r="T572" s="2"/>
      <c r="U572" s="2"/>
      <c r="V572" s="2"/>
      <c r="W572" s="2"/>
      <c r="X572" s="2"/>
      <c r="Y572" s="2"/>
      <c r="Z572" s="2"/>
      <c r="AA572" s="2"/>
      <c r="AB572" s="2"/>
      <c r="AC572" s="2"/>
      <c r="AD572" s="2"/>
      <c r="AE572" s="2"/>
      <c r="AF572" s="2"/>
      <c r="AG572" s="2"/>
    </row>
    <row r="573" ht="14.25" customHeight="1">
      <c r="A573" s="2"/>
      <c r="B573" s="2"/>
      <c r="C573" s="2"/>
      <c r="D573" s="2"/>
      <c r="E573" s="2"/>
      <c r="F573" s="2"/>
      <c r="G573" s="2"/>
      <c r="H573" s="146"/>
      <c r="I573" s="146"/>
      <c r="J573" s="146"/>
      <c r="K573" s="146"/>
      <c r="L573" s="2"/>
      <c r="M573" s="2"/>
      <c r="N573" s="2"/>
      <c r="O573" s="2"/>
      <c r="P573" s="2"/>
      <c r="Q573" s="2"/>
      <c r="R573" s="2"/>
      <c r="S573" s="2"/>
      <c r="T573" s="2"/>
      <c r="U573" s="2"/>
      <c r="V573" s="2"/>
      <c r="W573" s="2"/>
      <c r="X573" s="2"/>
      <c r="Y573" s="2"/>
      <c r="Z573" s="2"/>
      <c r="AA573" s="2"/>
      <c r="AB573" s="2"/>
      <c r="AC573" s="2"/>
      <c r="AD573" s="2"/>
      <c r="AE573" s="2"/>
      <c r="AF573" s="2"/>
      <c r="AG573" s="2"/>
    </row>
    <row r="574" ht="14.25" customHeight="1">
      <c r="A574" s="2"/>
      <c r="B574" s="2"/>
      <c r="C574" s="2"/>
      <c r="D574" s="2"/>
      <c r="E574" s="2"/>
      <c r="F574" s="2"/>
      <c r="G574" s="2"/>
      <c r="H574" s="146"/>
      <c r="I574" s="146"/>
      <c r="J574" s="146"/>
      <c r="K574" s="146"/>
      <c r="L574" s="2"/>
      <c r="M574" s="2"/>
      <c r="N574" s="2"/>
      <c r="O574" s="2"/>
      <c r="P574" s="2"/>
      <c r="Q574" s="2"/>
      <c r="R574" s="2"/>
      <c r="S574" s="2"/>
      <c r="T574" s="2"/>
      <c r="U574" s="2"/>
      <c r="V574" s="2"/>
      <c r="W574" s="2"/>
      <c r="X574" s="2"/>
      <c r="Y574" s="2"/>
      <c r="Z574" s="2"/>
      <c r="AA574" s="2"/>
      <c r="AB574" s="2"/>
      <c r="AC574" s="2"/>
      <c r="AD574" s="2"/>
      <c r="AE574" s="2"/>
      <c r="AF574" s="2"/>
      <c r="AG574" s="2"/>
    </row>
    <row r="575" ht="14.25" customHeight="1">
      <c r="A575" s="2"/>
      <c r="B575" s="2"/>
      <c r="C575" s="2"/>
      <c r="D575" s="2"/>
      <c r="E575" s="2"/>
      <c r="F575" s="2"/>
      <c r="G575" s="2"/>
      <c r="H575" s="146"/>
      <c r="I575" s="146"/>
      <c r="J575" s="146"/>
      <c r="K575" s="146"/>
      <c r="L575" s="2"/>
      <c r="M575" s="2"/>
      <c r="N575" s="2"/>
      <c r="O575" s="2"/>
      <c r="P575" s="2"/>
      <c r="Q575" s="2"/>
      <c r="R575" s="2"/>
      <c r="S575" s="2"/>
      <c r="T575" s="2"/>
      <c r="U575" s="2"/>
      <c r="V575" s="2"/>
      <c r="W575" s="2"/>
      <c r="X575" s="2"/>
      <c r="Y575" s="2"/>
      <c r="Z575" s="2"/>
      <c r="AA575" s="2"/>
      <c r="AB575" s="2"/>
      <c r="AC575" s="2"/>
      <c r="AD575" s="2"/>
      <c r="AE575" s="2"/>
      <c r="AF575" s="2"/>
      <c r="AG575" s="2"/>
    </row>
    <row r="576" ht="14.25" customHeight="1">
      <c r="A576" s="2"/>
      <c r="B576" s="2"/>
      <c r="C576" s="2"/>
      <c r="D576" s="2"/>
      <c r="E576" s="2"/>
      <c r="F576" s="2"/>
      <c r="G576" s="2"/>
      <c r="H576" s="146"/>
      <c r="I576" s="146"/>
      <c r="J576" s="146"/>
      <c r="K576" s="146"/>
      <c r="L576" s="2"/>
      <c r="M576" s="2"/>
      <c r="N576" s="2"/>
      <c r="O576" s="2"/>
      <c r="P576" s="2"/>
      <c r="Q576" s="2"/>
      <c r="R576" s="2"/>
      <c r="S576" s="2"/>
      <c r="T576" s="2"/>
      <c r="U576" s="2"/>
      <c r="V576" s="2"/>
      <c r="W576" s="2"/>
      <c r="X576" s="2"/>
      <c r="Y576" s="2"/>
      <c r="Z576" s="2"/>
      <c r="AA576" s="2"/>
      <c r="AB576" s="2"/>
      <c r="AC576" s="2"/>
      <c r="AD576" s="2"/>
      <c r="AE576" s="2"/>
      <c r="AF576" s="2"/>
      <c r="AG576" s="2"/>
    </row>
    <row r="577" ht="14.25" customHeight="1">
      <c r="A577" s="2"/>
      <c r="B577" s="2"/>
      <c r="C577" s="2"/>
      <c r="D577" s="2"/>
      <c r="E577" s="2"/>
      <c r="F577" s="2"/>
      <c r="G577" s="2"/>
      <c r="H577" s="146"/>
      <c r="I577" s="146"/>
      <c r="J577" s="146"/>
      <c r="K577" s="146"/>
      <c r="L577" s="2"/>
      <c r="M577" s="2"/>
      <c r="N577" s="2"/>
      <c r="O577" s="2"/>
      <c r="P577" s="2"/>
      <c r="Q577" s="2"/>
      <c r="R577" s="2"/>
      <c r="S577" s="2"/>
      <c r="T577" s="2"/>
      <c r="U577" s="2"/>
      <c r="V577" s="2"/>
      <c r="W577" s="2"/>
      <c r="X577" s="2"/>
      <c r="Y577" s="2"/>
      <c r="Z577" s="2"/>
      <c r="AA577" s="2"/>
      <c r="AB577" s="2"/>
      <c r="AC577" s="2"/>
      <c r="AD577" s="2"/>
      <c r="AE577" s="2"/>
      <c r="AF577" s="2"/>
      <c r="AG577" s="2"/>
    </row>
    <row r="578" ht="14.25" customHeight="1">
      <c r="A578" s="2"/>
      <c r="B578" s="2"/>
      <c r="C578" s="2"/>
      <c r="D578" s="2"/>
      <c r="E578" s="2"/>
      <c r="F578" s="2"/>
      <c r="G578" s="2"/>
      <c r="H578" s="146"/>
      <c r="I578" s="146"/>
      <c r="J578" s="146"/>
      <c r="K578" s="146"/>
      <c r="L578" s="2"/>
      <c r="M578" s="2"/>
      <c r="N578" s="2"/>
      <c r="O578" s="2"/>
      <c r="P578" s="2"/>
      <c r="Q578" s="2"/>
      <c r="R578" s="2"/>
      <c r="S578" s="2"/>
      <c r="T578" s="2"/>
      <c r="U578" s="2"/>
      <c r="V578" s="2"/>
      <c r="W578" s="2"/>
      <c r="X578" s="2"/>
      <c r="Y578" s="2"/>
      <c r="Z578" s="2"/>
      <c r="AA578" s="2"/>
      <c r="AB578" s="2"/>
      <c r="AC578" s="2"/>
      <c r="AD578" s="2"/>
      <c r="AE578" s="2"/>
      <c r="AF578" s="2"/>
      <c r="AG578" s="2"/>
    </row>
    <row r="579" ht="14.25" customHeight="1">
      <c r="A579" s="2"/>
      <c r="B579" s="2"/>
      <c r="C579" s="2"/>
      <c r="D579" s="2"/>
      <c r="E579" s="2"/>
      <c r="F579" s="2"/>
      <c r="G579" s="2"/>
      <c r="H579" s="146"/>
      <c r="I579" s="146"/>
      <c r="J579" s="146"/>
      <c r="K579" s="146"/>
      <c r="L579" s="2"/>
      <c r="M579" s="2"/>
      <c r="N579" s="2"/>
      <c r="O579" s="2"/>
      <c r="P579" s="2"/>
      <c r="Q579" s="2"/>
      <c r="R579" s="2"/>
      <c r="S579" s="2"/>
      <c r="T579" s="2"/>
      <c r="U579" s="2"/>
      <c r="V579" s="2"/>
      <c r="W579" s="2"/>
      <c r="X579" s="2"/>
      <c r="Y579" s="2"/>
      <c r="Z579" s="2"/>
      <c r="AA579" s="2"/>
      <c r="AB579" s="2"/>
      <c r="AC579" s="2"/>
      <c r="AD579" s="2"/>
      <c r="AE579" s="2"/>
      <c r="AF579" s="2"/>
      <c r="AG579" s="2"/>
    </row>
    <row r="580" ht="14.25" customHeight="1">
      <c r="A580" s="2"/>
      <c r="B580" s="2"/>
      <c r="C580" s="2"/>
      <c r="D580" s="2"/>
      <c r="E580" s="2"/>
      <c r="F580" s="2"/>
      <c r="G580" s="2"/>
      <c r="H580" s="146"/>
      <c r="I580" s="146"/>
      <c r="J580" s="146"/>
      <c r="K580" s="146"/>
      <c r="L580" s="2"/>
      <c r="M580" s="2"/>
      <c r="N580" s="2"/>
      <c r="O580" s="2"/>
      <c r="P580" s="2"/>
      <c r="Q580" s="2"/>
      <c r="R580" s="2"/>
      <c r="S580" s="2"/>
      <c r="T580" s="2"/>
      <c r="U580" s="2"/>
      <c r="V580" s="2"/>
      <c r="W580" s="2"/>
      <c r="X580" s="2"/>
      <c r="Y580" s="2"/>
      <c r="Z580" s="2"/>
      <c r="AA580" s="2"/>
      <c r="AB580" s="2"/>
      <c r="AC580" s="2"/>
      <c r="AD580" s="2"/>
      <c r="AE580" s="2"/>
      <c r="AF580" s="2"/>
      <c r="AG580" s="2"/>
    </row>
    <row r="581" ht="14.25" customHeight="1">
      <c r="A581" s="2"/>
      <c r="B581" s="2"/>
      <c r="C581" s="2"/>
      <c r="D581" s="2"/>
      <c r="E581" s="2"/>
      <c r="F581" s="2"/>
      <c r="G581" s="2"/>
      <c r="H581" s="146"/>
      <c r="I581" s="146"/>
      <c r="J581" s="146"/>
      <c r="K581" s="146"/>
      <c r="L581" s="2"/>
      <c r="M581" s="2"/>
      <c r="N581" s="2"/>
      <c r="O581" s="2"/>
      <c r="P581" s="2"/>
      <c r="Q581" s="2"/>
      <c r="R581" s="2"/>
      <c r="S581" s="2"/>
      <c r="T581" s="2"/>
      <c r="U581" s="2"/>
      <c r="V581" s="2"/>
      <c r="W581" s="2"/>
      <c r="X581" s="2"/>
      <c r="Y581" s="2"/>
      <c r="Z581" s="2"/>
      <c r="AA581" s="2"/>
      <c r="AB581" s="2"/>
      <c r="AC581" s="2"/>
      <c r="AD581" s="2"/>
      <c r="AE581" s="2"/>
      <c r="AF581" s="2"/>
      <c r="AG581" s="2"/>
    </row>
    <row r="582" ht="14.25" customHeight="1">
      <c r="A582" s="2"/>
      <c r="B582" s="2"/>
      <c r="C582" s="2"/>
      <c r="D582" s="2"/>
      <c r="E582" s="2"/>
      <c r="F582" s="2"/>
      <c r="G582" s="2"/>
      <c r="H582" s="146"/>
      <c r="I582" s="146"/>
      <c r="J582" s="146"/>
      <c r="K582" s="146"/>
      <c r="L582" s="2"/>
      <c r="M582" s="2"/>
      <c r="N582" s="2"/>
      <c r="O582" s="2"/>
      <c r="P582" s="2"/>
      <c r="Q582" s="2"/>
      <c r="R582" s="2"/>
      <c r="S582" s="2"/>
      <c r="T582" s="2"/>
      <c r="U582" s="2"/>
      <c r="V582" s="2"/>
      <c r="W582" s="2"/>
      <c r="X582" s="2"/>
      <c r="Y582" s="2"/>
      <c r="Z582" s="2"/>
      <c r="AA582" s="2"/>
      <c r="AB582" s="2"/>
      <c r="AC582" s="2"/>
      <c r="AD582" s="2"/>
      <c r="AE582" s="2"/>
      <c r="AF582" s="2"/>
      <c r="AG582" s="2"/>
    </row>
    <row r="583" ht="14.25" customHeight="1">
      <c r="A583" s="2"/>
      <c r="B583" s="2"/>
      <c r="C583" s="2"/>
      <c r="D583" s="2"/>
      <c r="E583" s="2"/>
      <c r="F583" s="2"/>
      <c r="G583" s="2"/>
      <c r="H583" s="146"/>
      <c r="I583" s="146"/>
      <c r="J583" s="146"/>
      <c r="K583" s="146"/>
      <c r="L583" s="2"/>
      <c r="M583" s="2"/>
      <c r="N583" s="2"/>
      <c r="O583" s="2"/>
      <c r="P583" s="2"/>
      <c r="Q583" s="2"/>
      <c r="R583" s="2"/>
      <c r="S583" s="2"/>
      <c r="T583" s="2"/>
      <c r="U583" s="2"/>
      <c r="V583" s="2"/>
      <c r="W583" s="2"/>
      <c r="X583" s="2"/>
      <c r="Y583" s="2"/>
      <c r="Z583" s="2"/>
      <c r="AA583" s="2"/>
      <c r="AB583" s="2"/>
      <c r="AC583" s="2"/>
      <c r="AD583" s="2"/>
      <c r="AE583" s="2"/>
      <c r="AF583" s="2"/>
      <c r="AG583" s="2"/>
    </row>
    <row r="584" ht="14.25" customHeight="1">
      <c r="A584" s="2"/>
      <c r="B584" s="2"/>
      <c r="C584" s="2"/>
      <c r="D584" s="2"/>
      <c r="E584" s="2"/>
      <c r="F584" s="2"/>
      <c r="G584" s="2"/>
      <c r="H584" s="146"/>
      <c r="I584" s="146"/>
      <c r="J584" s="146"/>
      <c r="K584" s="146"/>
      <c r="L584" s="2"/>
      <c r="M584" s="2"/>
      <c r="N584" s="2"/>
      <c r="O584" s="2"/>
      <c r="P584" s="2"/>
      <c r="Q584" s="2"/>
      <c r="R584" s="2"/>
      <c r="S584" s="2"/>
      <c r="T584" s="2"/>
      <c r="U584" s="2"/>
      <c r="V584" s="2"/>
      <c r="W584" s="2"/>
      <c r="X584" s="2"/>
      <c r="Y584" s="2"/>
      <c r="Z584" s="2"/>
      <c r="AA584" s="2"/>
      <c r="AB584" s="2"/>
      <c r="AC584" s="2"/>
      <c r="AD584" s="2"/>
      <c r="AE584" s="2"/>
      <c r="AF584" s="2"/>
      <c r="AG584" s="2"/>
    </row>
    <row r="585" ht="14.25" customHeight="1">
      <c r="A585" s="2"/>
      <c r="B585" s="2"/>
      <c r="C585" s="2"/>
      <c r="D585" s="2"/>
      <c r="E585" s="2"/>
      <c r="F585" s="2"/>
      <c r="G585" s="2"/>
      <c r="H585" s="146"/>
      <c r="I585" s="146"/>
      <c r="J585" s="146"/>
      <c r="K585" s="146"/>
      <c r="L585" s="2"/>
      <c r="M585" s="2"/>
      <c r="N585" s="2"/>
      <c r="O585" s="2"/>
      <c r="P585" s="2"/>
      <c r="Q585" s="2"/>
      <c r="R585" s="2"/>
      <c r="S585" s="2"/>
      <c r="T585" s="2"/>
      <c r="U585" s="2"/>
      <c r="V585" s="2"/>
      <c r="W585" s="2"/>
      <c r="X585" s="2"/>
      <c r="Y585" s="2"/>
      <c r="Z585" s="2"/>
      <c r="AA585" s="2"/>
      <c r="AB585" s="2"/>
      <c r="AC585" s="2"/>
      <c r="AD585" s="2"/>
      <c r="AE585" s="2"/>
      <c r="AF585" s="2"/>
      <c r="AG585" s="2"/>
    </row>
    <row r="586" ht="14.25" customHeight="1">
      <c r="A586" s="2"/>
      <c r="B586" s="2"/>
      <c r="C586" s="2"/>
      <c r="D586" s="2"/>
      <c r="E586" s="2"/>
      <c r="F586" s="2"/>
      <c r="G586" s="2"/>
      <c r="H586" s="146"/>
      <c r="I586" s="146"/>
      <c r="J586" s="146"/>
      <c r="K586" s="146"/>
      <c r="L586" s="2"/>
      <c r="M586" s="2"/>
      <c r="N586" s="2"/>
      <c r="O586" s="2"/>
      <c r="P586" s="2"/>
      <c r="Q586" s="2"/>
      <c r="R586" s="2"/>
      <c r="S586" s="2"/>
      <c r="T586" s="2"/>
      <c r="U586" s="2"/>
      <c r="V586" s="2"/>
      <c r="W586" s="2"/>
      <c r="X586" s="2"/>
      <c r="Y586" s="2"/>
      <c r="Z586" s="2"/>
      <c r="AA586" s="2"/>
      <c r="AB586" s="2"/>
      <c r="AC586" s="2"/>
      <c r="AD586" s="2"/>
      <c r="AE586" s="2"/>
      <c r="AF586" s="2"/>
      <c r="AG586" s="2"/>
    </row>
    <row r="587" ht="14.25" customHeight="1">
      <c r="A587" s="2"/>
      <c r="B587" s="2"/>
      <c r="C587" s="2"/>
      <c r="D587" s="2"/>
      <c r="E587" s="2"/>
      <c r="F587" s="2"/>
      <c r="G587" s="2"/>
      <c r="H587" s="146"/>
      <c r="I587" s="146"/>
      <c r="J587" s="146"/>
      <c r="K587" s="146"/>
      <c r="L587" s="2"/>
      <c r="M587" s="2"/>
      <c r="N587" s="2"/>
      <c r="O587" s="2"/>
      <c r="P587" s="2"/>
      <c r="Q587" s="2"/>
      <c r="R587" s="2"/>
      <c r="S587" s="2"/>
      <c r="T587" s="2"/>
      <c r="U587" s="2"/>
      <c r="V587" s="2"/>
      <c r="W587" s="2"/>
      <c r="X587" s="2"/>
      <c r="Y587" s="2"/>
      <c r="Z587" s="2"/>
      <c r="AA587" s="2"/>
      <c r="AB587" s="2"/>
      <c r="AC587" s="2"/>
      <c r="AD587" s="2"/>
      <c r="AE587" s="2"/>
      <c r="AF587" s="2"/>
      <c r="AG587" s="2"/>
    </row>
    <row r="588" ht="14.25" customHeight="1">
      <c r="A588" s="2"/>
      <c r="B588" s="2"/>
      <c r="C588" s="2"/>
      <c r="D588" s="2"/>
      <c r="E588" s="2"/>
      <c r="F588" s="2"/>
      <c r="G588" s="2"/>
      <c r="H588" s="146"/>
      <c r="I588" s="146"/>
      <c r="J588" s="146"/>
      <c r="K588" s="146"/>
      <c r="L588" s="2"/>
      <c r="M588" s="2"/>
      <c r="N588" s="2"/>
      <c r="O588" s="2"/>
      <c r="P588" s="2"/>
      <c r="Q588" s="2"/>
      <c r="R588" s="2"/>
      <c r="S588" s="2"/>
      <c r="T588" s="2"/>
      <c r="U588" s="2"/>
      <c r="V588" s="2"/>
      <c r="W588" s="2"/>
      <c r="X588" s="2"/>
      <c r="Y588" s="2"/>
      <c r="Z588" s="2"/>
      <c r="AA588" s="2"/>
      <c r="AB588" s="2"/>
      <c r="AC588" s="2"/>
      <c r="AD588" s="2"/>
      <c r="AE588" s="2"/>
      <c r="AF588" s="2"/>
      <c r="AG588" s="2"/>
    </row>
    <row r="589" ht="14.25" customHeight="1">
      <c r="A589" s="2"/>
      <c r="B589" s="2"/>
      <c r="C589" s="2"/>
      <c r="D589" s="2"/>
      <c r="E589" s="2"/>
      <c r="F589" s="2"/>
      <c r="G589" s="2"/>
      <c r="H589" s="146"/>
      <c r="I589" s="146"/>
      <c r="J589" s="146"/>
      <c r="K589" s="146"/>
      <c r="L589" s="2"/>
      <c r="M589" s="2"/>
      <c r="N589" s="2"/>
      <c r="O589" s="2"/>
      <c r="P589" s="2"/>
      <c r="Q589" s="2"/>
      <c r="R589" s="2"/>
      <c r="S589" s="2"/>
      <c r="T589" s="2"/>
      <c r="U589" s="2"/>
      <c r="V589" s="2"/>
      <c r="W589" s="2"/>
      <c r="X589" s="2"/>
      <c r="Y589" s="2"/>
      <c r="Z589" s="2"/>
      <c r="AA589" s="2"/>
      <c r="AB589" s="2"/>
      <c r="AC589" s="2"/>
      <c r="AD589" s="2"/>
      <c r="AE589" s="2"/>
      <c r="AF589" s="2"/>
      <c r="AG589" s="2"/>
    </row>
    <row r="590" ht="14.25" customHeight="1">
      <c r="A590" s="2"/>
      <c r="B590" s="2"/>
      <c r="C590" s="2"/>
      <c r="D590" s="2"/>
      <c r="E590" s="2"/>
      <c r="F590" s="2"/>
      <c r="G590" s="2"/>
      <c r="H590" s="146"/>
      <c r="I590" s="146"/>
      <c r="J590" s="146"/>
      <c r="K590" s="146"/>
      <c r="L590" s="2"/>
      <c r="M590" s="2"/>
      <c r="N590" s="2"/>
      <c r="O590" s="2"/>
      <c r="P590" s="2"/>
      <c r="Q590" s="2"/>
      <c r="R590" s="2"/>
      <c r="S590" s="2"/>
      <c r="T590" s="2"/>
      <c r="U590" s="2"/>
      <c r="V590" s="2"/>
      <c r="W590" s="2"/>
      <c r="X590" s="2"/>
      <c r="Y590" s="2"/>
      <c r="Z590" s="2"/>
      <c r="AA590" s="2"/>
      <c r="AB590" s="2"/>
      <c r="AC590" s="2"/>
      <c r="AD590" s="2"/>
      <c r="AE590" s="2"/>
      <c r="AF590" s="2"/>
      <c r="AG590" s="2"/>
    </row>
    <row r="591" ht="14.25" customHeight="1">
      <c r="A591" s="2"/>
      <c r="B591" s="2"/>
      <c r="C591" s="2"/>
      <c r="D591" s="2"/>
      <c r="E591" s="2"/>
      <c r="F591" s="2"/>
      <c r="G591" s="2"/>
      <c r="H591" s="146"/>
      <c r="I591" s="146"/>
      <c r="J591" s="146"/>
      <c r="K591" s="146"/>
      <c r="L591" s="2"/>
      <c r="M591" s="2"/>
      <c r="N591" s="2"/>
      <c r="O591" s="2"/>
      <c r="P591" s="2"/>
      <c r="Q591" s="2"/>
      <c r="R591" s="2"/>
      <c r="S591" s="2"/>
      <c r="T591" s="2"/>
      <c r="U591" s="2"/>
      <c r="V591" s="2"/>
      <c r="W591" s="2"/>
      <c r="X591" s="2"/>
      <c r="Y591" s="2"/>
      <c r="Z591" s="2"/>
      <c r="AA591" s="2"/>
      <c r="AB591" s="2"/>
      <c r="AC591" s="2"/>
      <c r="AD591" s="2"/>
      <c r="AE591" s="2"/>
      <c r="AF591" s="2"/>
      <c r="AG591" s="2"/>
    </row>
    <row r="592" ht="14.25" customHeight="1">
      <c r="A592" s="2"/>
      <c r="B592" s="2"/>
      <c r="C592" s="2"/>
      <c r="D592" s="2"/>
      <c r="E592" s="2"/>
      <c r="F592" s="2"/>
      <c r="G592" s="2"/>
      <c r="H592" s="146"/>
      <c r="I592" s="146"/>
      <c r="J592" s="146"/>
      <c r="K592" s="146"/>
      <c r="L592" s="2"/>
      <c r="M592" s="2"/>
      <c r="N592" s="2"/>
      <c r="O592" s="2"/>
      <c r="P592" s="2"/>
      <c r="Q592" s="2"/>
      <c r="R592" s="2"/>
      <c r="S592" s="2"/>
      <c r="T592" s="2"/>
      <c r="U592" s="2"/>
      <c r="V592" s="2"/>
      <c r="W592" s="2"/>
      <c r="X592" s="2"/>
      <c r="Y592" s="2"/>
      <c r="Z592" s="2"/>
      <c r="AA592" s="2"/>
      <c r="AB592" s="2"/>
      <c r="AC592" s="2"/>
      <c r="AD592" s="2"/>
      <c r="AE592" s="2"/>
      <c r="AF592" s="2"/>
      <c r="AG592" s="2"/>
    </row>
    <row r="593" ht="14.25" customHeight="1">
      <c r="A593" s="2"/>
      <c r="B593" s="2"/>
      <c r="C593" s="2"/>
      <c r="D593" s="2"/>
      <c r="E593" s="2"/>
      <c r="F593" s="2"/>
      <c r="G593" s="2"/>
      <c r="H593" s="146"/>
      <c r="I593" s="146"/>
      <c r="J593" s="146"/>
      <c r="K593" s="146"/>
      <c r="L593" s="2"/>
      <c r="M593" s="2"/>
      <c r="N593" s="2"/>
      <c r="O593" s="2"/>
      <c r="P593" s="2"/>
      <c r="Q593" s="2"/>
      <c r="R593" s="2"/>
      <c r="S593" s="2"/>
      <c r="T593" s="2"/>
      <c r="U593" s="2"/>
      <c r="V593" s="2"/>
      <c r="W593" s="2"/>
      <c r="X593" s="2"/>
      <c r="Y593" s="2"/>
      <c r="Z593" s="2"/>
      <c r="AA593" s="2"/>
      <c r="AB593" s="2"/>
      <c r="AC593" s="2"/>
      <c r="AD593" s="2"/>
      <c r="AE593" s="2"/>
      <c r="AF593" s="2"/>
      <c r="AG593" s="2"/>
    </row>
    <row r="594" ht="14.25" customHeight="1">
      <c r="A594" s="2"/>
      <c r="B594" s="2"/>
      <c r="C594" s="2"/>
      <c r="D594" s="2"/>
      <c r="E594" s="2"/>
      <c r="F594" s="2"/>
      <c r="G594" s="2"/>
      <c r="H594" s="146"/>
      <c r="I594" s="146"/>
      <c r="J594" s="146"/>
      <c r="K594" s="146"/>
      <c r="L594" s="2"/>
      <c r="M594" s="2"/>
      <c r="N594" s="2"/>
      <c r="O594" s="2"/>
      <c r="P594" s="2"/>
      <c r="Q594" s="2"/>
      <c r="R594" s="2"/>
      <c r="S594" s="2"/>
      <c r="T594" s="2"/>
      <c r="U594" s="2"/>
      <c r="V594" s="2"/>
      <c r="W594" s="2"/>
      <c r="X594" s="2"/>
      <c r="Y594" s="2"/>
      <c r="Z594" s="2"/>
      <c r="AA594" s="2"/>
      <c r="AB594" s="2"/>
      <c r="AC594" s="2"/>
      <c r="AD594" s="2"/>
      <c r="AE594" s="2"/>
      <c r="AF594" s="2"/>
      <c r="AG594" s="2"/>
    </row>
    <row r="595" ht="14.25" customHeight="1">
      <c r="A595" s="2"/>
      <c r="B595" s="2"/>
      <c r="C595" s="2"/>
      <c r="D595" s="2"/>
      <c r="E595" s="2"/>
      <c r="F595" s="2"/>
      <c r="G595" s="2"/>
      <c r="H595" s="146"/>
      <c r="I595" s="146"/>
      <c r="J595" s="146"/>
      <c r="K595" s="146"/>
      <c r="L595" s="2"/>
      <c r="M595" s="2"/>
      <c r="N595" s="2"/>
      <c r="O595" s="2"/>
      <c r="P595" s="2"/>
      <c r="Q595" s="2"/>
      <c r="R595" s="2"/>
      <c r="S595" s="2"/>
      <c r="T595" s="2"/>
      <c r="U595" s="2"/>
      <c r="V595" s="2"/>
      <c r="W595" s="2"/>
      <c r="X595" s="2"/>
      <c r="Y595" s="2"/>
      <c r="Z595" s="2"/>
      <c r="AA595" s="2"/>
      <c r="AB595" s="2"/>
      <c r="AC595" s="2"/>
      <c r="AD595" s="2"/>
      <c r="AE595" s="2"/>
      <c r="AF595" s="2"/>
      <c r="AG595" s="2"/>
    </row>
    <row r="596" ht="14.25" customHeight="1">
      <c r="A596" s="2"/>
      <c r="B596" s="2"/>
      <c r="C596" s="2"/>
      <c r="D596" s="2"/>
      <c r="E596" s="2"/>
      <c r="F596" s="2"/>
      <c r="G596" s="2"/>
      <c r="H596" s="146"/>
      <c r="I596" s="146"/>
      <c r="J596" s="146"/>
      <c r="K596" s="146"/>
      <c r="L596" s="2"/>
      <c r="M596" s="2"/>
      <c r="N596" s="2"/>
      <c r="O596" s="2"/>
      <c r="P596" s="2"/>
      <c r="Q596" s="2"/>
      <c r="R596" s="2"/>
      <c r="S596" s="2"/>
      <c r="T596" s="2"/>
      <c r="U596" s="2"/>
      <c r="V596" s="2"/>
      <c r="W596" s="2"/>
      <c r="X596" s="2"/>
      <c r="Y596" s="2"/>
      <c r="Z596" s="2"/>
      <c r="AA596" s="2"/>
      <c r="AB596" s="2"/>
      <c r="AC596" s="2"/>
      <c r="AD596" s="2"/>
      <c r="AE596" s="2"/>
      <c r="AF596" s="2"/>
      <c r="AG596" s="2"/>
    </row>
    <row r="597" ht="14.25" customHeight="1">
      <c r="A597" s="2"/>
      <c r="B597" s="2"/>
      <c r="C597" s="2"/>
      <c r="D597" s="2"/>
      <c r="E597" s="2"/>
      <c r="F597" s="2"/>
      <c r="G597" s="2"/>
      <c r="H597" s="146"/>
      <c r="I597" s="146"/>
      <c r="J597" s="146"/>
      <c r="K597" s="146"/>
      <c r="L597" s="2"/>
      <c r="M597" s="2"/>
      <c r="N597" s="2"/>
      <c r="O597" s="2"/>
      <c r="P597" s="2"/>
      <c r="Q597" s="2"/>
      <c r="R597" s="2"/>
      <c r="S597" s="2"/>
      <c r="T597" s="2"/>
      <c r="U597" s="2"/>
      <c r="V597" s="2"/>
      <c r="W597" s="2"/>
      <c r="X597" s="2"/>
      <c r="Y597" s="2"/>
      <c r="Z597" s="2"/>
      <c r="AA597" s="2"/>
      <c r="AB597" s="2"/>
      <c r="AC597" s="2"/>
      <c r="AD597" s="2"/>
      <c r="AE597" s="2"/>
      <c r="AF597" s="2"/>
      <c r="AG597" s="2"/>
    </row>
    <row r="598" ht="14.25" customHeight="1">
      <c r="A598" s="2"/>
      <c r="B598" s="2"/>
      <c r="C598" s="2"/>
      <c r="D598" s="2"/>
      <c r="E598" s="2"/>
      <c r="F598" s="2"/>
      <c r="G598" s="2"/>
      <c r="H598" s="146"/>
      <c r="I598" s="146"/>
      <c r="J598" s="146"/>
      <c r="K598" s="146"/>
      <c r="L598" s="2"/>
      <c r="M598" s="2"/>
      <c r="N598" s="2"/>
      <c r="O598" s="2"/>
      <c r="P598" s="2"/>
      <c r="Q598" s="2"/>
      <c r="R598" s="2"/>
      <c r="S598" s="2"/>
      <c r="T598" s="2"/>
      <c r="U598" s="2"/>
      <c r="V598" s="2"/>
      <c r="W598" s="2"/>
      <c r="X598" s="2"/>
      <c r="Y598" s="2"/>
      <c r="Z598" s="2"/>
      <c r="AA598" s="2"/>
      <c r="AB598" s="2"/>
      <c r="AC598" s="2"/>
      <c r="AD598" s="2"/>
      <c r="AE598" s="2"/>
      <c r="AF598" s="2"/>
      <c r="AG598" s="2"/>
    </row>
    <row r="599" ht="14.25" customHeight="1">
      <c r="A599" s="2"/>
      <c r="B599" s="2"/>
      <c r="C599" s="2"/>
      <c r="D599" s="2"/>
      <c r="E599" s="2"/>
      <c r="F599" s="2"/>
      <c r="G599" s="2"/>
      <c r="H599" s="146"/>
      <c r="I599" s="146"/>
      <c r="J599" s="146"/>
      <c r="K599" s="146"/>
      <c r="L599" s="2"/>
      <c r="M599" s="2"/>
      <c r="N599" s="2"/>
      <c r="O599" s="2"/>
      <c r="P599" s="2"/>
      <c r="Q599" s="2"/>
      <c r="R599" s="2"/>
      <c r="S599" s="2"/>
      <c r="T599" s="2"/>
      <c r="U599" s="2"/>
      <c r="V599" s="2"/>
      <c r="W599" s="2"/>
      <c r="X599" s="2"/>
      <c r="Y599" s="2"/>
      <c r="Z599" s="2"/>
      <c r="AA599" s="2"/>
      <c r="AB599" s="2"/>
      <c r="AC599" s="2"/>
      <c r="AD599" s="2"/>
      <c r="AE599" s="2"/>
      <c r="AF599" s="2"/>
      <c r="AG599" s="2"/>
    </row>
    <row r="600" ht="14.25" customHeight="1">
      <c r="A600" s="2"/>
      <c r="B600" s="2"/>
      <c r="C600" s="2"/>
      <c r="D600" s="2"/>
      <c r="E600" s="2"/>
      <c r="F600" s="2"/>
      <c r="G600" s="2"/>
      <c r="H600" s="146"/>
      <c r="I600" s="146"/>
      <c r="J600" s="146"/>
      <c r="K600" s="146"/>
      <c r="L600" s="2"/>
      <c r="M600" s="2"/>
      <c r="N600" s="2"/>
      <c r="O600" s="2"/>
      <c r="P600" s="2"/>
      <c r="Q600" s="2"/>
      <c r="R600" s="2"/>
      <c r="S600" s="2"/>
      <c r="T600" s="2"/>
      <c r="U600" s="2"/>
      <c r="V600" s="2"/>
      <c r="W600" s="2"/>
      <c r="X600" s="2"/>
      <c r="Y600" s="2"/>
      <c r="Z600" s="2"/>
      <c r="AA600" s="2"/>
      <c r="AB600" s="2"/>
      <c r="AC600" s="2"/>
      <c r="AD600" s="2"/>
      <c r="AE600" s="2"/>
      <c r="AF600" s="2"/>
      <c r="AG600" s="2"/>
    </row>
    <row r="601" ht="14.25" customHeight="1">
      <c r="A601" s="2"/>
      <c r="B601" s="2"/>
      <c r="C601" s="2"/>
      <c r="D601" s="2"/>
      <c r="E601" s="2"/>
      <c r="F601" s="2"/>
      <c r="G601" s="2"/>
      <c r="H601" s="146"/>
      <c r="I601" s="146"/>
      <c r="J601" s="146"/>
      <c r="K601" s="146"/>
      <c r="L601" s="2"/>
      <c r="M601" s="2"/>
      <c r="N601" s="2"/>
      <c r="O601" s="2"/>
      <c r="P601" s="2"/>
      <c r="Q601" s="2"/>
      <c r="R601" s="2"/>
      <c r="S601" s="2"/>
      <c r="T601" s="2"/>
      <c r="U601" s="2"/>
      <c r="V601" s="2"/>
      <c r="W601" s="2"/>
      <c r="X601" s="2"/>
      <c r="Y601" s="2"/>
      <c r="Z601" s="2"/>
      <c r="AA601" s="2"/>
      <c r="AB601" s="2"/>
      <c r="AC601" s="2"/>
      <c r="AD601" s="2"/>
      <c r="AE601" s="2"/>
      <c r="AF601" s="2"/>
      <c r="AG601" s="2"/>
    </row>
    <row r="602" ht="14.25" customHeight="1">
      <c r="A602" s="2"/>
      <c r="B602" s="2"/>
      <c r="C602" s="2"/>
      <c r="D602" s="2"/>
      <c r="E602" s="2"/>
      <c r="F602" s="2"/>
      <c r="G602" s="2"/>
      <c r="H602" s="146"/>
      <c r="I602" s="146"/>
      <c r="J602" s="146"/>
      <c r="K602" s="146"/>
      <c r="L602" s="2"/>
      <c r="M602" s="2"/>
      <c r="N602" s="2"/>
      <c r="O602" s="2"/>
      <c r="P602" s="2"/>
      <c r="Q602" s="2"/>
      <c r="R602" s="2"/>
      <c r="S602" s="2"/>
      <c r="T602" s="2"/>
      <c r="U602" s="2"/>
      <c r="V602" s="2"/>
      <c r="W602" s="2"/>
      <c r="X602" s="2"/>
      <c r="Y602" s="2"/>
      <c r="Z602" s="2"/>
      <c r="AA602" s="2"/>
      <c r="AB602" s="2"/>
      <c r="AC602" s="2"/>
      <c r="AD602" s="2"/>
      <c r="AE602" s="2"/>
      <c r="AF602" s="2"/>
      <c r="AG602" s="2"/>
    </row>
    <row r="603" ht="14.25" customHeight="1">
      <c r="A603" s="2"/>
      <c r="B603" s="2"/>
      <c r="C603" s="2"/>
      <c r="D603" s="2"/>
      <c r="E603" s="2"/>
      <c r="F603" s="2"/>
      <c r="G603" s="2"/>
      <c r="H603" s="146"/>
      <c r="I603" s="146"/>
      <c r="J603" s="146"/>
      <c r="K603" s="146"/>
      <c r="L603" s="2"/>
      <c r="M603" s="2"/>
      <c r="N603" s="2"/>
      <c r="O603" s="2"/>
      <c r="P603" s="2"/>
      <c r="Q603" s="2"/>
      <c r="R603" s="2"/>
      <c r="S603" s="2"/>
      <c r="T603" s="2"/>
      <c r="U603" s="2"/>
      <c r="V603" s="2"/>
      <c r="W603" s="2"/>
      <c r="X603" s="2"/>
      <c r="Y603" s="2"/>
      <c r="Z603" s="2"/>
      <c r="AA603" s="2"/>
      <c r="AB603" s="2"/>
      <c r="AC603" s="2"/>
      <c r="AD603" s="2"/>
      <c r="AE603" s="2"/>
      <c r="AF603" s="2"/>
      <c r="AG603" s="2"/>
    </row>
    <row r="604" ht="14.25" customHeight="1">
      <c r="A604" s="2"/>
      <c r="B604" s="2"/>
      <c r="C604" s="2"/>
      <c r="D604" s="2"/>
      <c r="E604" s="2"/>
      <c r="F604" s="2"/>
      <c r="G604" s="2"/>
      <c r="H604" s="146"/>
      <c r="I604" s="146"/>
      <c r="J604" s="146"/>
      <c r="K604" s="146"/>
      <c r="L604" s="2"/>
      <c r="M604" s="2"/>
      <c r="N604" s="2"/>
      <c r="O604" s="2"/>
      <c r="P604" s="2"/>
      <c r="Q604" s="2"/>
      <c r="R604" s="2"/>
      <c r="S604" s="2"/>
      <c r="T604" s="2"/>
      <c r="U604" s="2"/>
      <c r="V604" s="2"/>
      <c r="W604" s="2"/>
      <c r="X604" s="2"/>
      <c r="Y604" s="2"/>
      <c r="Z604" s="2"/>
      <c r="AA604" s="2"/>
      <c r="AB604" s="2"/>
      <c r="AC604" s="2"/>
      <c r="AD604" s="2"/>
      <c r="AE604" s="2"/>
      <c r="AF604" s="2"/>
      <c r="AG604" s="2"/>
    </row>
    <row r="605" ht="14.25" customHeight="1">
      <c r="A605" s="2"/>
      <c r="B605" s="2"/>
      <c r="C605" s="2"/>
      <c r="D605" s="2"/>
      <c r="E605" s="2"/>
      <c r="F605" s="2"/>
      <c r="G605" s="2"/>
      <c r="H605" s="146"/>
      <c r="I605" s="146"/>
      <c r="J605" s="146"/>
      <c r="K605" s="146"/>
      <c r="L605" s="2"/>
      <c r="M605" s="2"/>
      <c r="N605" s="2"/>
      <c r="O605" s="2"/>
      <c r="P605" s="2"/>
      <c r="Q605" s="2"/>
      <c r="R605" s="2"/>
      <c r="S605" s="2"/>
      <c r="T605" s="2"/>
      <c r="U605" s="2"/>
      <c r="V605" s="2"/>
      <c r="W605" s="2"/>
      <c r="X605" s="2"/>
      <c r="Y605" s="2"/>
      <c r="Z605" s="2"/>
      <c r="AA605" s="2"/>
      <c r="AB605" s="2"/>
      <c r="AC605" s="2"/>
      <c r="AD605" s="2"/>
      <c r="AE605" s="2"/>
      <c r="AF605" s="2"/>
      <c r="AG605" s="2"/>
    </row>
    <row r="606" ht="14.25" customHeight="1">
      <c r="A606" s="2"/>
      <c r="B606" s="2"/>
      <c r="C606" s="2"/>
      <c r="D606" s="2"/>
      <c r="E606" s="2"/>
      <c r="F606" s="2"/>
      <c r="G606" s="2"/>
      <c r="H606" s="146"/>
      <c r="I606" s="146"/>
      <c r="J606" s="146"/>
      <c r="K606" s="146"/>
      <c r="L606" s="2"/>
      <c r="M606" s="2"/>
      <c r="N606" s="2"/>
      <c r="O606" s="2"/>
      <c r="P606" s="2"/>
      <c r="Q606" s="2"/>
      <c r="R606" s="2"/>
      <c r="S606" s="2"/>
      <c r="T606" s="2"/>
      <c r="U606" s="2"/>
      <c r="V606" s="2"/>
      <c r="W606" s="2"/>
      <c r="X606" s="2"/>
      <c r="Y606" s="2"/>
      <c r="Z606" s="2"/>
      <c r="AA606" s="2"/>
      <c r="AB606" s="2"/>
      <c r="AC606" s="2"/>
      <c r="AD606" s="2"/>
      <c r="AE606" s="2"/>
      <c r="AF606" s="2"/>
      <c r="AG606" s="2"/>
    </row>
    <row r="607" ht="14.25" customHeight="1">
      <c r="A607" s="2"/>
      <c r="B607" s="2"/>
      <c r="C607" s="2"/>
      <c r="D607" s="2"/>
      <c r="E607" s="2"/>
      <c r="F607" s="2"/>
      <c r="G607" s="2"/>
      <c r="H607" s="146"/>
      <c r="I607" s="146"/>
      <c r="J607" s="146"/>
      <c r="K607" s="146"/>
      <c r="L607" s="2"/>
      <c r="M607" s="2"/>
      <c r="N607" s="2"/>
      <c r="O607" s="2"/>
      <c r="P607" s="2"/>
      <c r="Q607" s="2"/>
      <c r="R607" s="2"/>
      <c r="S607" s="2"/>
      <c r="T607" s="2"/>
      <c r="U607" s="2"/>
      <c r="V607" s="2"/>
      <c r="W607" s="2"/>
      <c r="X607" s="2"/>
      <c r="Y607" s="2"/>
      <c r="Z607" s="2"/>
      <c r="AA607" s="2"/>
      <c r="AB607" s="2"/>
      <c r="AC607" s="2"/>
      <c r="AD607" s="2"/>
      <c r="AE607" s="2"/>
      <c r="AF607" s="2"/>
      <c r="AG607" s="2"/>
    </row>
    <row r="608" ht="14.25" customHeight="1">
      <c r="A608" s="2"/>
      <c r="B608" s="2"/>
      <c r="C608" s="2"/>
      <c r="D608" s="2"/>
      <c r="E608" s="2"/>
      <c r="F608" s="2"/>
      <c r="G608" s="2"/>
      <c r="H608" s="146"/>
      <c r="I608" s="146"/>
      <c r="J608" s="146"/>
      <c r="K608" s="146"/>
      <c r="L608" s="2"/>
      <c r="M608" s="2"/>
      <c r="N608" s="2"/>
      <c r="O608" s="2"/>
      <c r="P608" s="2"/>
      <c r="Q608" s="2"/>
      <c r="R608" s="2"/>
      <c r="S608" s="2"/>
      <c r="T608" s="2"/>
      <c r="U608" s="2"/>
      <c r="V608" s="2"/>
      <c r="W608" s="2"/>
      <c r="X608" s="2"/>
      <c r="Y608" s="2"/>
      <c r="Z608" s="2"/>
      <c r="AA608" s="2"/>
      <c r="AB608" s="2"/>
      <c r="AC608" s="2"/>
      <c r="AD608" s="2"/>
      <c r="AE608" s="2"/>
      <c r="AF608" s="2"/>
      <c r="AG608" s="2"/>
    </row>
    <row r="609" ht="14.25" customHeight="1">
      <c r="A609" s="2"/>
      <c r="B609" s="2"/>
      <c r="C609" s="2"/>
      <c r="D609" s="2"/>
      <c r="E609" s="2"/>
      <c r="F609" s="2"/>
      <c r="G609" s="2"/>
      <c r="H609" s="146"/>
      <c r="I609" s="146"/>
      <c r="J609" s="146"/>
      <c r="K609" s="146"/>
      <c r="L609" s="2"/>
      <c r="M609" s="2"/>
      <c r="N609" s="2"/>
      <c r="O609" s="2"/>
      <c r="P609" s="2"/>
      <c r="Q609" s="2"/>
      <c r="R609" s="2"/>
      <c r="S609" s="2"/>
      <c r="T609" s="2"/>
      <c r="U609" s="2"/>
      <c r="V609" s="2"/>
      <c r="W609" s="2"/>
      <c r="X609" s="2"/>
      <c r="Y609" s="2"/>
      <c r="Z609" s="2"/>
      <c r="AA609" s="2"/>
      <c r="AB609" s="2"/>
      <c r="AC609" s="2"/>
      <c r="AD609" s="2"/>
      <c r="AE609" s="2"/>
      <c r="AF609" s="2"/>
      <c r="AG609" s="2"/>
    </row>
    <row r="610" ht="14.25" customHeight="1">
      <c r="A610" s="2"/>
      <c r="B610" s="2"/>
      <c r="C610" s="2"/>
      <c r="D610" s="2"/>
      <c r="E610" s="2"/>
      <c r="F610" s="2"/>
      <c r="G610" s="2"/>
      <c r="H610" s="146"/>
      <c r="I610" s="146"/>
      <c r="J610" s="146"/>
      <c r="K610" s="146"/>
      <c r="L610" s="2"/>
      <c r="M610" s="2"/>
      <c r="N610" s="2"/>
      <c r="O610" s="2"/>
      <c r="P610" s="2"/>
      <c r="Q610" s="2"/>
      <c r="R610" s="2"/>
      <c r="S610" s="2"/>
      <c r="T610" s="2"/>
      <c r="U610" s="2"/>
      <c r="V610" s="2"/>
      <c r="W610" s="2"/>
      <c r="X610" s="2"/>
      <c r="Y610" s="2"/>
      <c r="Z610" s="2"/>
      <c r="AA610" s="2"/>
      <c r="AB610" s="2"/>
      <c r="AC610" s="2"/>
      <c r="AD610" s="2"/>
      <c r="AE610" s="2"/>
      <c r="AF610" s="2"/>
      <c r="AG610" s="2"/>
    </row>
    <row r="611" ht="14.25" customHeight="1">
      <c r="A611" s="2"/>
      <c r="B611" s="2"/>
      <c r="C611" s="2"/>
      <c r="D611" s="2"/>
      <c r="E611" s="2"/>
      <c r="F611" s="2"/>
      <c r="G611" s="2"/>
      <c r="H611" s="146"/>
      <c r="I611" s="146"/>
      <c r="J611" s="146"/>
      <c r="K611" s="146"/>
      <c r="L611" s="2"/>
      <c r="M611" s="2"/>
      <c r="N611" s="2"/>
      <c r="O611" s="2"/>
      <c r="P611" s="2"/>
      <c r="Q611" s="2"/>
      <c r="R611" s="2"/>
      <c r="S611" s="2"/>
      <c r="T611" s="2"/>
      <c r="U611" s="2"/>
      <c r="V611" s="2"/>
      <c r="W611" s="2"/>
      <c r="X611" s="2"/>
      <c r="Y611" s="2"/>
      <c r="Z611" s="2"/>
      <c r="AA611" s="2"/>
      <c r="AB611" s="2"/>
      <c r="AC611" s="2"/>
      <c r="AD611" s="2"/>
      <c r="AE611" s="2"/>
      <c r="AF611" s="2"/>
      <c r="AG611" s="2"/>
    </row>
    <row r="612" ht="14.25" customHeight="1">
      <c r="A612" s="2"/>
      <c r="B612" s="2"/>
      <c r="C612" s="2"/>
      <c r="D612" s="2"/>
      <c r="E612" s="2"/>
      <c r="F612" s="2"/>
      <c r="G612" s="2"/>
      <c r="H612" s="146"/>
      <c r="I612" s="146"/>
      <c r="J612" s="146"/>
      <c r="K612" s="146"/>
      <c r="L612" s="2"/>
      <c r="M612" s="2"/>
      <c r="N612" s="2"/>
      <c r="O612" s="2"/>
      <c r="P612" s="2"/>
      <c r="Q612" s="2"/>
      <c r="R612" s="2"/>
      <c r="S612" s="2"/>
      <c r="T612" s="2"/>
      <c r="U612" s="2"/>
      <c r="V612" s="2"/>
      <c r="W612" s="2"/>
      <c r="X612" s="2"/>
      <c r="Y612" s="2"/>
      <c r="Z612" s="2"/>
      <c r="AA612" s="2"/>
      <c r="AB612" s="2"/>
      <c r="AC612" s="2"/>
      <c r="AD612" s="2"/>
      <c r="AE612" s="2"/>
      <c r="AF612" s="2"/>
      <c r="AG612" s="2"/>
    </row>
    <row r="613" ht="14.25" customHeight="1">
      <c r="A613" s="2"/>
      <c r="B613" s="2"/>
      <c r="C613" s="2"/>
      <c r="D613" s="2"/>
      <c r="E613" s="2"/>
      <c r="F613" s="2"/>
      <c r="G613" s="2"/>
      <c r="H613" s="146"/>
      <c r="I613" s="146"/>
      <c r="J613" s="146"/>
      <c r="K613" s="146"/>
      <c r="L613" s="2"/>
      <c r="M613" s="2"/>
      <c r="N613" s="2"/>
      <c r="O613" s="2"/>
      <c r="P613" s="2"/>
      <c r="Q613" s="2"/>
      <c r="R613" s="2"/>
      <c r="S613" s="2"/>
      <c r="T613" s="2"/>
      <c r="U613" s="2"/>
      <c r="V613" s="2"/>
      <c r="W613" s="2"/>
      <c r="X613" s="2"/>
      <c r="Y613" s="2"/>
      <c r="Z613" s="2"/>
      <c r="AA613" s="2"/>
      <c r="AB613" s="2"/>
      <c r="AC613" s="2"/>
      <c r="AD613" s="2"/>
      <c r="AE613" s="2"/>
      <c r="AF613" s="2"/>
      <c r="AG613" s="2"/>
    </row>
    <row r="614" ht="14.25" customHeight="1">
      <c r="A614" s="2"/>
      <c r="B614" s="2"/>
      <c r="C614" s="2"/>
      <c r="D614" s="2"/>
      <c r="E614" s="2"/>
      <c r="F614" s="2"/>
      <c r="G614" s="2"/>
      <c r="H614" s="146"/>
      <c r="I614" s="146"/>
      <c r="J614" s="146"/>
      <c r="K614" s="146"/>
      <c r="L614" s="2"/>
      <c r="M614" s="2"/>
      <c r="N614" s="2"/>
      <c r="O614" s="2"/>
      <c r="P614" s="2"/>
      <c r="Q614" s="2"/>
      <c r="R614" s="2"/>
      <c r="S614" s="2"/>
      <c r="T614" s="2"/>
      <c r="U614" s="2"/>
      <c r="V614" s="2"/>
      <c r="W614" s="2"/>
      <c r="X614" s="2"/>
      <c r="Y614" s="2"/>
      <c r="Z614" s="2"/>
      <c r="AA614" s="2"/>
      <c r="AB614" s="2"/>
      <c r="AC614" s="2"/>
      <c r="AD614" s="2"/>
      <c r="AE614" s="2"/>
      <c r="AF614" s="2"/>
      <c r="AG614" s="2"/>
    </row>
    <row r="615" ht="14.25" customHeight="1">
      <c r="A615" s="2"/>
      <c r="B615" s="2"/>
      <c r="C615" s="2"/>
      <c r="D615" s="2"/>
      <c r="E615" s="2"/>
      <c r="F615" s="2"/>
      <c r="G615" s="2"/>
      <c r="H615" s="146"/>
      <c r="I615" s="146"/>
      <c r="J615" s="146"/>
      <c r="K615" s="146"/>
      <c r="L615" s="2"/>
      <c r="M615" s="2"/>
      <c r="N615" s="2"/>
      <c r="O615" s="2"/>
      <c r="P615" s="2"/>
      <c r="Q615" s="2"/>
      <c r="R615" s="2"/>
      <c r="S615" s="2"/>
      <c r="T615" s="2"/>
      <c r="U615" s="2"/>
      <c r="V615" s="2"/>
      <c r="W615" s="2"/>
      <c r="X615" s="2"/>
      <c r="Y615" s="2"/>
      <c r="Z615" s="2"/>
      <c r="AA615" s="2"/>
      <c r="AB615" s="2"/>
      <c r="AC615" s="2"/>
      <c r="AD615" s="2"/>
      <c r="AE615" s="2"/>
      <c r="AF615" s="2"/>
      <c r="AG615" s="2"/>
    </row>
    <row r="616" ht="14.25" customHeight="1">
      <c r="A616" s="2"/>
      <c r="B616" s="2"/>
      <c r="C616" s="2"/>
      <c r="D616" s="2"/>
      <c r="E616" s="2"/>
      <c r="F616" s="2"/>
      <c r="G616" s="2"/>
      <c r="H616" s="146"/>
      <c r="I616" s="146"/>
      <c r="J616" s="146"/>
      <c r="K616" s="146"/>
      <c r="L616" s="2"/>
      <c r="M616" s="2"/>
      <c r="N616" s="2"/>
      <c r="O616" s="2"/>
      <c r="P616" s="2"/>
      <c r="Q616" s="2"/>
      <c r="R616" s="2"/>
      <c r="S616" s="2"/>
      <c r="T616" s="2"/>
      <c r="U616" s="2"/>
      <c r="V616" s="2"/>
      <c r="W616" s="2"/>
      <c r="X616" s="2"/>
      <c r="Y616" s="2"/>
      <c r="Z616" s="2"/>
      <c r="AA616" s="2"/>
      <c r="AB616" s="2"/>
      <c r="AC616" s="2"/>
      <c r="AD616" s="2"/>
      <c r="AE616" s="2"/>
      <c r="AF616" s="2"/>
      <c r="AG616" s="2"/>
    </row>
    <row r="617" ht="14.25" customHeight="1">
      <c r="A617" s="2"/>
      <c r="B617" s="2"/>
      <c r="C617" s="2"/>
      <c r="D617" s="2"/>
      <c r="E617" s="2"/>
      <c r="F617" s="2"/>
      <c r="G617" s="2"/>
      <c r="H617" s="146"/>
      <c r="I617" s="146"/>
      <c r="J617" s="146"/>
      <c r="K617" s="146"/>
      <c r="L617" s="2"/>
      <c r="M617" s="2"/>
      <c r="N617" s="2"/>
      <c r="O617" s="2"/>
      <c r="P617" s="2"/>
      <c r="Q617" s="2"/>
      <c r="R617" s="2"/>
      <c r="S617" s="2"/>
      <c r="T617" s="2"/>
      <c r="U617" s="2"/>
      <c r="V617" s="2"/>
      <c r="W617" s="2"/>
      <c r="X617" s="2"/>
      <c r="Y617" s="2"/>
      <c r="Z617" s="2"/>
      <c r="AA617" s="2"/>
      <c r="AB617" s="2"/>
      <c r="AC617" s="2"/>
      <c r="AD617" s="2"/>
      <c r="AE617" s="2"/>
      <c r="AF617" s="2"/>
      <c r="AG617" s="2"/>
    </row>
    <row r="618" ht="14.25" customHeight="1">
      <c r="A618" s="2"/>
      <c r="B618" s="2"/>
      <c r="C618" s="2"/>
      <c r="D618" s="2"/>
      <c r="E618" s="2"/>
      <c r="F618" s="2"/>
      <c r="G618" s="2"/>
      <c r="H618" s="146"/>
      <c r="I618" s="146"/>
      <c r="J618" s="146"/>
      <c r="K618" s="146"/>
      <c r="L618" s="2"/>
      <c r="M618" s="2"/>
      <c r="N618" s="2"/>
      <c r="O618" s="2"/>
      <c r="P618" s="2"/>
      <c r="Q618" s="2"/>
      <c r="R618" s="2"/>
      <c r="S618" s="2"/>
      <c r="T618" s="2"/>
      <c r="U618" s="2"/>
      <c r="V618" s="2"/>
      <c r="W618" s="2"/>
      <c r="X618" s="2"/>
      <c r="Y618" s="2"/>
      <c r="Z618" s="2"/>
      <c r="AA618" s="2"/>
      <c r="AB618" s="2"/>
      <c r="AC618" s="2"/>
      <c r="AD618" s="2"/>
      <c r="AE618" s="2"/>
      <c r="AF618" s="2"/>
      <c r="AG618" s="2"/>
    </row>
    <row r="619" ht="14.25" customHeight="1">
      <c r="A619" s="2"/>
      <c r="B619" s="2"/>
      <c r="C619" s="2"/>
      <c r="D619" s="2"/>
      <c r="E619" s="2"/>
      <c r="F619" s="2"/>
      <c r="G619" s="2"/>
      <c r="H619" s="146"/>
      <c r="I619" s="146"/>
      <c r="J619" s="146"/>
      <c r="K619" s="146"/>
      <c r="L619" s="2"/>
      <c r="M619" s="2"/>
      <c r="N619" s="2"/>
      <c r="O619" s="2"/>
      <c r="P619" s="2"/>
      <c r="Q619" s="2"/>
      <c r="R619" s="2"/>
      <c r="S619" s="2"/>
      <c r="T619" s="2"/>
      <c r="U619" s="2"/>
      <c r="V619" s="2"/>
      <c r="W619" s="2"/>
      <c r="X619" s="2"/>
      <c r="Y619" s="2"/>
      <c r="Z619" s="2"/>
      <c r="AA619" s="2"/>
      <c r="AB619" s="2"/>
      <c r="AC619" s="2"/>
      <c r="AD619" s="2"/>
      <c r="AE619" s="2"/>
      <c r="AF619" s="2"/>
      <c r="AG619" s="2"/>
    </row>
    <row r="620" ht="14.25" customHeight="1">
      <c r="A620" s="2"/>
      <c r="B620" s="2"/>
      <c r="C620" s="2"/>
      <c r="D620" s="2"/>
      <c r="E620" s="2"/>
      <c r="F620" s="2"/>
      <c r="G620" s="2"/>
      <c r="H620" s="146"/>
      <c r="I620" s="146"/>
      <c r="J620" s="146"/>
      <c r="K620" s="146"/>
      <c r="L620" s="2"/>
      <c r="M620" s="2"/>
      <c r="N620" s="2"/>
      <c r="O620" s="2"/>
      <c r="P620" s="2"/>
      <c r="Q620" s="2"/>
      <c r="R620" s="2"/>
      <c r="S620" s="2"/>
      <c r="T620" s="2"/>
      <c r="U620" s="2"/>
      <c r="V620" s="2"/>
      <c r="W620" s="2"/>
      <c r="X620" s="2"/>
      <c r="Y620" s="2"/>
      <c r="Z620" s="2"/>
      <c r="AA620" s="2"/>
      <c r="AB620" s="2"/>
      <c r="AC620" s="2"/>
      <c r="AD620" s="2"/>
      <c r="AE620" s="2"/>
      <c r="AF620" s="2"/>
      <c r="AG620" s="2"/>
    </row>
    <row r="621" ht="14.25" customHeight="1">
      <c r="A621" s="2"/>
      <c r="B621" s="2"/>
      <c r="C621" s="2"/>
      <c r="D621" s="2"/>
      <c r="E621" s="2"/>
      <c r="F621" s="2"/>
      <c r="G621" s="2"/>
      <c r="H621" s="146"/>
      <c r="I621" s="146"/>
      <c r="J621" s="146"/>
      <c r="K621" s="146"/>
      <c r="L621" s="2"/>
      <c r="M621" s="2"/>
      <c r="N621" s="2"/>
      <c r="O621" s="2"/>
      <c r="P621" s="2"/>
      <c r="Q621" s="2"/>
      <c r="R621" s="2"/>
      <c r="S621" s="2"/>
      <c r="T621" s="2"/>
      <c r="U621" s="2"/>
      <c r="V621" s="2"/>
      <c r="W621" s="2"/>
      <c r="X621" s="2"/>
      <c r="Y621" s="2"/>
      <c r="Z621" s="2"/>
      <c r="AA621" s="2"/>
      <c r="AB621" s="2"/>
      <c r="AC621" s="2"/>
      <c r="AD621" s="2"/>
      <c r="AE621" s="2"/>
      <c r="AF621" s="2"/>
      <c r="AG621" s="2"/>
    </row>
    <row r="622" ht="14.25" customHeight="1">
      <c r="A622" s="2"/>
      <c r="B622" s="2"/>
      <c r="C622" s="2"/>
      <c r="D622" s="2"/>
      <c r="E622" s="2"/>
      <c r="F622" s="2"/>
      <c r="G622" s="2"/>
      <c r="H622" s="146"/>
      <c r="I622" s="146"/>
      <c r="J622" s="146"/>
      <c r="K622" s="146"/>
      <c r="L622" s="2"/>
      <c r="M622" s="2"/>
      <c r="N622" s="2"/>
      <c r="O622" s="2"/>
      <c r="P622" s="2"/>
      <c r="Q622" s="2"/>
      <c r="R622" s="2"/>
      <c r="S622" s="2"/>
      <c r="T622" s="2"/>
      <c r="U622" s="2"/>
      <c r="V622" s="2"/>
      <c r="W622" s="2"/>
      <c r="X622" s="2"/>
      <c r="Y622" s="2"/>
      <c r="Z622" s="2"/>
      <c r="AA622" s="2"/>
      <c r="AB622" s="2"/>
      <c r="AC622" s="2"/>
      <c r="AD622" s="2"/>
      <c r="AE622" s="2"/>
      <c r="AF622" s="2"/>
      <c r="AG622" s="2"/>
    </row>
    <row r="623" ht="14.25" customHeight="1">
      <c r="A623" s="2"/>
      <c r="B623" s="2"/>
      <c r="C623" s="2"/>
      <c r="D623" s="2"/>
      <c r="E623" s="2"/>
      <c r="F623" s="2"/>
      <c r="G623" s="2"/>
      <c r="H623" s="146"/>
      <c r="I623" s="146"/>
      <c r="J623" s="146"/>
      <c r="K623" s="146"/>
      <c r="L623" s="2"/>
      <c r="M623" s="2"/>
      <c r="N623" s="2"/>
      <c r="O623" s="2"/>
      <c r="P623" s="2"/>
      <c r="Q623" s="2"/>
      <c r="R623" s="2"/>
      <c r="S623" s="2"/>
      <c r="T623" s="2"/>
      <c r="U623" s="2"/>
      <c r="V623" s="2"/>
      <c r="W623" s="2"/>
      <c r="X623" s="2"/>
      <c r="Y623" s="2"/>
      <c r="Z623" s="2"/>
      <c r="AA623" s="2"/>
      <c r="AB623" s="2"/>
      <c r="AC623" s="2"/>
      <c r="AD623" s="2"/>
      <c r="AE623" s="2"/>
      <c r="AF623" s="2"/>
      <c r="AG623" s="2"/>
    </row>
    <row r="624" ht="14.25" customHeight="1">
      <c r="A624" s="2"/>
      <c r="B624" s="2"/>
      <c r="C624" s="2"/>
      <c r="D624" s="2"/>
      <c r="E624" s="2"/>
      <c r="F624" s="2"/>
      <c r="G624" s="2"/>
      <c r="H624" s="146"/>
      <c r="I624" s="146"/>
      <c r="J624" s="146"/>
      <c r="K624" s="146"/>
      <c r="L624" s="2"/>
      <c r="M624" s="2"/>
      <c r="N624" s="2"/>
      <c r="O624" s="2"/>
      <c r="P624" s="2"/>
      <c r="Q624" s="2"/>
      <c r="R624" s="2"/>
      <c r="S624" s="2"/>
      <c r="T624" s="2"/>
      <c r="U624" s="2"/>
      <c r="V624" s="2"/>
      <c r="W624" s="2"/>
      <c r="X624" s="2"/>
      <c r="Y624" s="2"/>
      <c r="Z624" s="2"/>
      <c r="AA624" s="2"/>
      <c r="AB624" s="2"/>
      <c r="AC624" s="2"/>
      <c r="AD624" s="2"/>
      <c r="AE624" s="2"/>
      <c r="AF624" s="2"/>
      <c r="AG624" s="2"/>
    </row>
    <row r="625" ht="14.25" customHeight="1">
      <c r="A625" s="2"/>
      <c r="B625" s="2"/>
      <c r="C625" s="2"/>
      <c r="D625" s="2"/>
      <c r="E625" s="2"/>
      <c r="F625" s="2"/>
      <c r="G625" s="2"/>
      <c r="H625" s="146"/>
      <c r="I625" s="146"/>
      <c r="J625" s="146"/>
      <c r="K625" s="146"/>
      <c r="L625" s="2"/>
      <c r="M625" s="2"/>
      <c r="N625" s="2"/>
      <c r="O625" s="2"/>
      <c r="P625" s="2"/>
      <c r="Q625" s="2"/>
      <c r="R625" s="2"/>
      <c r="S625" s="2"/>
      <c r="T625" s="2"/>
      <c r="U625" s="2"/>
      <c r="V625" s="2"/>
      <c r="W625" s="2"/>
      <c r="X625" s="2"/>
      <c r="Y625" s="2"/>
      <c r="Z625" s="2"/>
      <c r="AA625" s="2"/>
      <c r="AB625" s="2"/>
      <c r="AC625" s="2"/>
      <c r="AD625" s="2"/>
      <c r="AE625" s="2"/>
      <c r="AF625" s="2"/>
      <c r="AG625" s="2"/>
    </row>
    <row r="626" ht="14.25" customHeight="1">
      <c r="A626" s="2"/>
      <c r="B626" s="2"/>
      <c r="C626" s="2"/>
      <c r="D626" s="2"/>
      <c r="E626" s="2"/>
      <c r="F626" s="2"/>
      <c r="G626" s="2"/>
      <c r="H626" s="146"/>
      <c r="I626" s="146"/>
      <c r="J626" s="146"/>
      <c r="K626" s="146"/>
      <c r="L626" s="2"/>
      <c r="M626" s="2"/>
      <c r="N626" s="2"/>
      <c r="O626" s="2"/>
      <c r="P626" s="2"/>
      <c r="Q626" s="2"/>
      <c r="R626" s="2"/>
      <c r="S626" s="2"/>
      <c r="T626" s="2"/>
      <c r="U626" s="2"/>
      <c r="V626" s="2"/>
      <c r="W626" s="2"/>
      <c r="X626" s="2"/>
      <c r="Y626" s="2"/>
      <c r="Z626" s="2"/>
      <c r="AA626" s="2"/>
      <c r="AB626" s="2"/>
      <c r="AC626" s="2"/>
      <c r="AD626" s="2"/>
      <c r="AE626" s="2"/>
      <c r="AF626" s="2"/>
      <c r="AG626" s="2"/>
    </row>
    <row r="627" ht="14.25" customHeight="1">
      <c r="A627" s="2"/>
      <c r="B627" s="2"/>
      <c r="C627" s="2"/>
      <c r="D627" s="2"/>
      <c r="E627" s="2"/>
      <c r="F627" s="2"/>
      <c r="G627" s="2"/>
      <c r="H627" s="146"/>
      <c r="I627" s="146"/>
      <c r="J627" s="146"/>
      <c r="K627" s="146"/>
      <c r="L627" s="2"/>
      <c r="M627" s="2"/>
      <c r="N627" s="2"/>
      <c r="O627" s="2"/>
      <c r="P627" s="2"/>
      <c r="Q627" s="2"/>
      <c r="R627" s="2"/>
      <c r="S627" s="2"/>
      <c r="T627" s="2"/>
      <c r="U627" s="2"/>
      <c r="V627" s="2"/>
      <c r="W627" s="2"/>
      <c r="X627" s="2"/>
      <c r="Y627" s="2"/>
      <c r="Z627" s="2"/>
      <c r="AA627" s="2"/>
      <c r="AB627" s="2"/>
      <c r="AC627" s="2"/>
      <c r="AD627" s="2"/>
      <c r="AE627" s="2"/>
      <c r="AF627" s="2"/>
      <c r="AG627" s="2"/>
    </row>
    <row r="628" ht="14.25" customHeight="1">
      <c r="A628" s="2"/>
      <c r="B628" s="2"/>
      <c r="C628" s="2"/>
      <c r="D628" s="2"/>
      <c r="E628" s="2"/>
      <c r="F628" s="2"/>
      <c r="G628" s="2"/>
      <c r="H628" s="146"/>
      <c r="I628" s="146"/>
      <c r="J628" s="146"/>
      <c r="K628" s="146"/>
      <c r="L628" s="2"/>
      <c r="M628" s="2"/>
      <c r="N628" s="2"/>
      <c r="O628" s="2"/>
      <c r="P628" s="2"/>
      <c r="Q628" s="2"/>
      <c r="R628" s="2"/>
      <c r="S628" s="2"/>
      <c r="T628" s="2"/>
      <c r="U628" s="2"/>
      <c r="V628" s="2"/>
      <c r="W628" s="2"/>
      <c r="X628" s="2"/>
      <c r="Y628" s="2"/>
      <c r="Z628" s="2"/>
      <c r="AA628" s="2"/>
      <c r="AB628" s="2"/>
      <c r="AC628" s="2"/>
      <c r="AD628" s="2"/>
      <c r="AE628" s="2"/>
      <c r="AF628" s="2"/>
      <c r="AG628" s="2"/>
    </row>
    <row r="629" ht="14.25" customHeight="1">
      <c r="A629" s="2"/>
      <c r="B629" s="2"/>
      <c r="C629" s="2"/>
      <c r="D629" s="2"/>
      <c r="E629" s="2"/>
      <c r="F629" s="2"/>
      <c r="G629" s="2"/>
      <c r="H629" s="146"/>
      <c r="I629" s="146"/>
      <c r="J629" s="146"/>
      <c r="K629" s="146"/>
      <c r="L629" s="2"/>
      <c r="M629" s="2"/>
      <c r="N629" s="2"/>
      <c r="O629" s="2"/>
      <c r="P629" s="2"/>
      <c r="Q629" s="2"/>
      <c r="R629" s="2"/>
      <c r="S629" s="2"/>
      <c r="T629" s="2"/>
      <c r="U629" s="2"/>
      <c r="V629" s="2"/>
      <c r="W629" s="2"/>
      <c r="X629" s="2"/>
      <c r="Y629" s="2"/>
      <c r="Z629" s="2"/>
      <c r="AA629" s="2"/>
      <c r="AB629" s="2"/>
      <c r="AC629" s="2"/>
      <c r="AD629" s="2"/>
      <c r="AE629" s="2"/>
      <c r="AF629" s="2"/>
      <c r="AG629" s="2"/>
    </row>
    <row r="630" ht="14.25" customHeight="1">
      <c r="A630" s="2"/>
      <c r="B630" s="2"/>
      <c r="C630" s="2"/>
      <c r="D630" s="2"/>
      <c r="E630" s="2"/>
      <c r="F630" s="2"/>
      <c r="G630" s="2"/>
      <c r="H630" s="146"/>
      <c r="I630" s="146"/>
      <c r="J630" s="146"/>
      <c r="K630" s="146"/>
      <c r="L630" s="2"/>
      <c r="M630" s="2"/>
      <c r="N630" s="2"/>
      <c r="O630" s="2"/>
      <c r="P630" s="2"/>
      <c r="Q630" s="2"/>
      <c r="R630" s="2"/>
      <c r="S630" s="2"/>
      <c r="T630" s="2"/>
      <c r="U630" s="2"/>
      <c r="V630" s="2"/>
      <c r="W630" s="2"/>
      <c r="X630" s="2"/>
      <c r="Y630" s="2"/>
      <c r="Z630" s="2"/>
      <c r="AA630" s="2"/>
      <c r="AB630" s="2"/>
      <c r="AC630" s="2"/>
      <c r="AD630" s="2"/>
      <c r="AE630" s="2"/>
      <c r="AF630" s="2"/>
      <c r="AG630" s="2"/>
    </row>
    <row r="631" ht="14.25" customHeight="1">
      <c r="A631" s="2"/>
      <c r="B631" s="2"/>
      <c r="C631" s="2"/>
      <c r="D631" s="2"/>
      <c r="E631" s="2"/>
      <c r="F631" s="2"/>
      <c r="G631" s="2"/>
      <c r="H631" s="146"/>
      <c r="I631" s="146"/>
      <c r="J631" s="146"/>
      <c r="K631" s="146"/>
      <c r="L631" s="2"/>
      <c r="M631" s="2"/>
      <c r="N631" s="2"/>
      <c r="O631" s="2"/>
      <c r="P631" s="2"/>
      <c r="Q631" s="2"/>
      <c r="R631" s="2"/>
      <c r="S631" s="2"/>
      <c r="T631" s="2"/>
      <c r="U631" s="2"/>
      <c r="V631" s="2"/>
      <c r="W631" s="2"/>
      <c r="X631" s="2"/>
      <c r="Y631" s="2"/>
      <c r="Z631" s="2"/>
      <c r="AA631" s="2"/>
      <c r="AB631" s="2"/>
      <c r="AC631" s="2"/>
      <c r="AD631" s="2"/>
      <c r="AE631" s="2"/>
      <c r="AF631" s="2"/>
      <c r="AG631" s="2"/>
    </row>
    <row r="632" ht="14.25" customHeight="1">
      <c r="A632" s="2"/>
      <c r="B632" s="2"/>
      <c r="C632" s="2"/>
      <c r="D632" s="2"/>
      <c r="E632" s="2"/>
      <c r="F632" s="2"/>
      <c r="G632" s="2"/>
      <c r="H632" s="146"/>
      <c r="I632" s="146"/>
      <c r="J632" s="146"/>
      <c r="K632" s="146"/>
      <c r="L632" s="2"/>
      <c r="M632" s="2"/>
      <c r="N632" s="2"/>
      <c r="O632" s="2"/>
      <c r="P632" s="2"/>
      <c r="Q632" s="2"/>
      <c r="R632" s="2"/>
      <c r="S632" s="2"/>
      <c r="T632" s="2"/>
      <c r="U632" s="2"/>
      <c r="V632" s="2"/>
      <c r="W632" s="2"/>
      <c r="X632" s="2"/>
      <c r="Y632" s="2"/>
      <c r="Z632" s="2"/>
      <c r="AA632" s="2"/>
      <c r="AB632" s="2"/>
      <c r="AC632" s="2"/>
      <c r="AD632" s="2"/>
      <c r="AE632" s="2"/>
      <c r="AF632" s="2"/>
      <c r="AG632" s="2"/>
    </row>
    <row r="633" ht="14.25" customHeight="1">
      <c r="A633" s="2"/>
      <c r="B633" s="2"/>
      <c r="C633" s="2"/>
      <c r="D633" s="2"/>
      <c r="E633" s="2"/>
      <c r="F633" s="2"/>
      <c r="G633" s="2"/>
      <c r="H633" s="146"/>
      <c r="I633" s="146"/>
      <c r="J633" s="146"/>
      <c r="K633" s="146"/>
      <c r="L633" s="2"/>
      <c r="M633" s="2"/>
      <c r="N633" s="2"/>
      <c r="O633" s="2"/>
      <c r="P633" s="2"/>
      <c r="Q633" s="2"/>
      <c r="R633" s="2"/>
      <c r="S633" s="2"/>
      <c r="T633" s="2"/>
      <c r="U633" s="2"/>
      <c r="V633" s="2"/>
      <c r="W633" s="2"/>
      <c r="X633" s="2"/>
      <c r="Y633" s="2"/>
      <c r="Z633" s="2"/>
      <c r="AA633" s="2"/>
      <c r="AB633" s="2"/>
      <c r="AC633" s="2"/>
      <c r="AD633" s="2"/>
      <c r="AE633" s="2"/>
      <c r="AF633" s="2"/>
      <c r="AG633" s="2"/>
    </row>
    <row r="634" ht="14.25" customHeight="1">
      <c r="A634" s="2"/>
      <c r="B634" s="2"/>
      <c r="C634" s="2"/>
      <c r="D634" s="2"/>
      <c r="E634" s="2"/>
      <c r="F634" s="2"/>
      <c r="G634" s="2"/>
      <c r="H634" s="146"/>
      <c r="I634" s="146"/>
      <c r="J634" s="146"/>
      <c r="K634" s="146"/>
      <c r="L634" s="2"/>
      <c r="M634" s="2"/>
      <c r="N634" s="2"/>
      <c r="O634" s="2"/>
      <c r="P634" s="2"/>
      <c r="Q634" s="2"/>
      <c r="R634" s="2"/>
      <c r="S634" s="2"/>
      <c r="T634" s="2"/>
      <c r="U634" s="2"/>
      <c r="V634" s="2"/>
      <c r="W634" s="2"/>
      <c r="X634" s="2"/>
      <c r="Y634" s="2"/>
      <c r="Z634" s="2"/>
      <c r="AA634" s="2"/>
      <c r="AB634" s="2"/>
      <c r="AC634" s="2"/>
      <c r="AD634" s="2"/>
      <c r="AE634" s="2"/>
      <c r="AF634" s="2"/>
      <c r="AG634" s="2"/>
    </row>
    <row r="635" ht="14.25" customHeight="1">
      <c r="A635" s="2"/>
      <c r="B635" s="2"/>
      <c r="C635" s="2"/>
      <c r="D635" s="2"/>
      <c r="E635" s="2"/>
      <c r="F635" s="2"/>
      <c r="G635" s="2"/>
      <c r="H635" s="146"/>
      <c r="I635" s="146"/>
      <c r="J635" s="146"/>
      <c r="K635" s="146"/>
      <c r="L635" s="2"/>
      <c r="M635" s="2"/>
      <c r="N635" s="2"/>
      <c r="O635" s="2"/>
      <c r="P635" s="2"/>
      <c r="Q635" s="2"/>
      <c r="R635" s="2"/>
      <c r="S635" s="2"/>
      <c r="T635" s="2"/>
      <c r="U635" s="2"/>
      <c r="V635" s="2"/>
      <c r="W635" s="2"/>
      <c r="X635" s="2"/>
      <c r="Y635" s="2"/>
      <c r="Z635" s="2"/>
      <c r="AA635" s="2"/>
      <c r="AB635" s="2"/>
      <c r="AC635" s="2"/>
      <c r="AD635" s="2"/>
      <c r="AE635" s="2"/>
      <c r="AF635" s="2"/>
      <c r="AG635" s="2"/>
    </row>
    <row r="636" ht="14.25" customHeight="1">
      <c r="A636" s="2"/>
      <c r="B636" s="2"/>
      <c r="C636" s="2"/>
      <c r="D636" s="2"/>
      <c r="E636" s="2"/>
      <c r="F636" s="2"/>
      <c r="G636" s="2"/>
      <c r="H636" s="146"/>
      <c r="I636" s="146"/>
      <c r="J636" s="146"/>
      <c r="K636" s="146"/>
      <c r="L636" s="2"/>
      <c r="M636" s="2"/>
      <c r="N636" s="2"/>
      <c r="O636" s="2"/>
      <c r="P636" s="2"/>
      <c r="Q636" s="2"/>
      <c r="R636" s="2"/>
      <c r="S636" s="2"/>
      <c r="T636" s="2"/>
      <c r="U636" s="2"/>
      <c r="V636" s="2"/>
      <c r="W636" s="2"/>
      <c r="X636" s="2"/>
      <c r="Y636" s="2"/>
      <c r="Z636" s="2"/>
      <c r="AA636" s="2"/>
      <c r="AB636" s="2"/>
      <c r="AC636" s="2"/>
      <c r="AD636" s="2"/>
      <c r="AE636" s="2"/>
      <c r="AF636" s="2"/>
      <c r="AG636" s="2"/>
    </row>
    <row r="637" ht="14.25" customHeight="1">
      <c r="A637" s="2"/>
      <c r="B637" s="2"/>
      <c r="C637" s="2"/>
      <c r="D637" s="2"/>
      <c r="E637" s="2"/>
      <c r="F637" s="2"/>
      <c r="G637" s="2"/>
      <c r="H637" s="146"/>
      <c r="I637" s="146"/>
      <c r="J637" s="146"/>
      <c r="K637" s="146"/>
      <c r="L637" s="2"/>
      <c r="M637" s="2"/>
      <c r="N637" s="2"/>
      <c r="O637" s="2"/>
      <c r="P637" s="2"/>
      <c r="Q637" s="2"/>
      <c r="R637" s="2"/>
      <c r="S637" s="2"/>
      <c r="T637" s="2"/>
      <c r="U637" s="2"/>
      <c r="V637" s="2"/>
      <c r="W637" s="2"/>
      <c r="X637" s="2"/>
      <c r="Y637" s="2"/>
      <c r="Z637" s="2"/>
      <c r="AA637" s="2"/>
      <c r="AB637" s="2"/>
      <c r="AC637" s="2"/>
      <c r="AD637" s="2"/>
      <c r="AE637" s="2"/>
      <c r="AF637" s="2"/>
      <c r="AG637" s="2"/>
    </row>
    <row r="638" ht="14.25" customHeight="1">
      <c r="A638" s="2"/>
      <c r="B638" s="2"/>
      <c r="C638" s="2"/>
      <c r="D638" s="2"/>
      <c r="E638" s="2"/>
      <c r="F638" s="2"/>
      <c r="G638" s="2"/>
      <c r="H638" s="146"/>
      <c r="I638" s="146"/>
      <c r="J638" s="146"/>
      <c r="K638" s="146"/>
      <c r="L638" s="2"/>
      <c r="M638" s="2"/>
      <c r="N638" s="2"/>
      <c r="O638" s="2"/>
      <c r="P638" s="2"/>
      <c r="Q638" s="2"/>
      <c r="R638" s="2"/>
      <c r="S638" s="2"/>
      <c r="T638" s="2"/>
      <c r="U638" s="2"/>
      <c r="V638" s="2"/>
      <c r="W638" s="2"/>
      <c r="X638" s="2"/>
      <c r="Y638" s="2"/>
      <c r="Z638" s="2"/>
      <c r="AA638" s="2"/>
      <c r="AB638" s="2"/>
      <c r="AC638" s="2"/>
      <c r="AD638" s="2"/>
      <c r="AE638" s="2"/>
      <c r="AF638" s="2"/>
      <c r="AG638" s="2"/>
    </row>
    <row r="639" ht="14.25" customHeight="1">
      <c r="A639" s="2"/>
      <c r="B639" s="2"/>
      <c r="C639" s="2"/>
      <c r="D639" s="2"/>
      <c r="E639" s="2"/>
      <c r="F639" s="2"/>
      <c r="G639" s="2"/>
      <c r="H639" s="146"/>
      <c r="I639" s="146"/>
      <c r="J639" s="146"/>
      <c r="K639" s="146"/>
      <c r="L639" s="2"/>
      <c r="M639" s="2"/>
      <c r="N639" s="2"/>
      <c r="O639" s="2"/>
      <c r="P639" s="2"/>
      <c r="Q639" s="2"/>
      <c r="R639" s="2"/>
      <c r="S639" s="2"/>
      <c r="T639" s="2"/>
      <c r="U639" s="2"/>
      <c r="V639" s="2"/>
      <c r="W639" s="2"/>
      <c r="X639" s="2"/>
      <c r="Y639" s="2"/>
      <c r="Z639" s="2"/>
      <c r="AA639" s="2"/>
      <c r="AB639" s="2"/>
      <c r="AC639" s="2"/>
      <c r="AD639" s="2"/>
      <c r="AE639" s="2"/>
      <c r="AF639" s="2"/>
      <c r="AG639" s="2"/>
    </row>
    <row r="640" ht="14.25" customHeight="1">
      <c r="A640" s="2"/>
      <c r="B640" s="2"/>
      <c r="C640" s="2"/>
      <c r="D640" s="2"/>
      <c r="E640" s="2"/>
      <c r="F640" s="2"/>
      <c r="G640" s="2"/>
      <c r="H640" s="146"/>
      <c r="I640" s="146"/>
      <c r="J640" s="146"/>
      <c r="K640" s="146"/>
      <c r="L640" s="2"/>
      <c r="M640" s="2"/>
      <c r="N640" s="2"/>
      <c r="O640" s="2"/>
      <c r="P640" s="2"/>
      <c r="Q640" s="2"/>
      <c r="R640" s="2"/>
      <c r="S640" s="2"/>
      <c r="T640" s="2"/>
      <c r="U640" s="2"/>
      <c r="V640" s="2"/>
      <c r="W640" s="2"/>
      <c r="X640" s="2"/>
      <c r="Y640" s="2"/>
      <c r="Z640" s="2"/>
      <c r="AA640" s="2"/>
      <c r="AB640" s="2"/>
      <c r="AC640" s="2"/>
      <c r="AD640" s="2"/>
      <c r="AE640" s="2"/>
      <c r="AF640" s="2"/>
      <c r="AG640" s="2"/>
    </row>
    <row r="641" ht="14.25" customHeight="1">
      <c r="A641" s="2"/>
      <c r="B641" s="2"/>
      <c r="C641" s="2"/>
      <c r="D641" s="2"/>
      <c r="E641" s="2"/>
      <c r="F641" s="2"/>
      <c r="G641" s="2"/>
      <c r="H641" s="146"/>
      <c r="I641" s="146"/>
      <c r="J641" s="146"/>
      <c r="K641" s="146"/>
      <c r="L641" s="2"/>
      <c r="M641" s="2"/>
      <c r="N641" s="2"/>
      <c r="O641" s="2"/>
      <c r="P641" s="2"/>
      <c r="Q641" s="2"/>
      <c r="R641" s="2"/>
      <c r="S641" s="2"/>
      <c r="T641" s="2"/>
      <c r="U641" s="2"/>
      <c r="V641" s="2"/>
      <c r="W641" s="2"/>
      <c r="X641" s="2"/>
      <c r="Y641" s="2"/>
      <c r="Z641" s="2"/>
      <c r="AA641" s="2"/>
      <c r="AB641" s="2"/>
      <c r="AC641" s="2"/>
      <c r="AD641" s="2"/>
      <c r="AE641" s="2"/>
      <c r="AF641" s="2"/>
      <c r="AG641" s="2"/>
    </row>
    <row r="642" ht="14.25" customHeight="1">
      <c r="A642" s="2"/>
      <c r="B642" s="2"/>
      <c r="C642" s="2"/>
      <c r="D642" s="2"/>
      <c r="E642" s="2"/>
      <c r="F642" s="2"/>
      <c r="G642" s="2"/>
      <c r="H642" s="146"/>
      <c r="I642" s="146"/>
      <c r="J642" s="146"/>
      <c r="K642" s="146"/>
      <c r="L642" s="2"/>
      <c r="M642" s="2"/>
      <c r="N642" s="2"/>
      <c r="O642" s="2"/>
      <c r="P642" s="2"/>
      <c r="Q642" s="2"/>
      <c r="R642" s="2"/>
      <c r="S642" s="2"/>
      <c r="T642" s="2"/>
      <c r="U642" s="2"/>
      <c r="V642" s="2"/>
      <c r="W642" s="2"/>
      <c r="X642" s="2"/>
      <c r="Y642" s="2"/>
      <c r="Z642" s="2"/>
      <c r="AA642" s="2"/>
      <c r="AB642" s="2"/>
      <c r="AC642" s="2"/>
      <c r="AD642" s="2"/>
      <c r="AE642" s="2"/>
      <c r="AF642" s="2"/>
      <c r="AG642" s="2"/>
    </row>
    <row r="643" ht="14.25" customHeight="1">
      <c r="A643" s="2"/>
      <c r="B643" s="2"/>
      <c r="C643" s="2"/>
      <c r="D643" s="2"/>
      <c r="E643" s="2"/>
      <c r="F643" s="2"/>
      <c r="G643" s="2"/>
      <c r="H643" s="146"/>
      <c r="I643" s="146"/>
      <c r="J643" s="146"/>
      <c r="K643" s="146"/>
      <c r="L643" s="2"/>
      <c r="M643" s="2"/>
      <c r="N643" s="2"/>
      <c r="O643" s="2"/>
      <c r="P643" s="2"/>
      <c r="Q643" s="2"/>
      <c r="R643" s="2"/>
      <c r="S643" s="2"/>
      <c r="T643" s="2"/>
      <c r="U643" s="2"/>
      <c r="V643" s="2"/>
      <c r="W643" s="2"/>
      <c r="X643" s="2"/>
      <c r="Y643" s="2"/>
      <c r="Z643" s="2"/>
      <c r="AA643" s="2"/>
      <c r="AB643" s="2"/>
      <c r="AC643" s="2"/>
      <c r="AD643" s="2"/>
      <c r="AE643" s="2"/>
      <c r="AF643" s="2"/>
      <c r="AG643" s="2"/>
    </row>
    <row r="644" ht="14.25" customHeight="1">
      <c r="A644" s="2"/>
      <c r="B644" s="2"/>
      <c r="C644" s="2"/>
      <c r="D644" s="2"/>
      <c r="E644" s="2"/>
      <c r="F644" s="2"/>
      <c r="G644" s="2"/>
      <c r="H644" s="146"/>
      <c r="I644" s="146"/>
      <c r="J644" s="146"/>
      <c r="K644" s="146"/>
      <c r="L644" s="2"/>
      <c r="M644" s="2"/>
      <c r="N644" s="2"/>
      <c r="O644" s="2"/>
      <c r="P644" s="2"/>
      <c r="Q644" s="2"/>
      <c r="R644" s="2"/>
      <c r="S644" s="2"/>
      <c r="T644" s="2"/>
      <c r="U644" s="2"/>
      <c r="V644" s="2"/>
      <c r="W644" s="2"/>
      <c r="X644" s="2"/>
      <c r="Y644" s="2"/>
      <c r="Z644" s="2"/>
      <c r="AA644" s="2"/>
      <c r="AB644" s="2"/>
      <c r="AC644" s="2"/>
      <c r="AD644" s="2"/>
      <c r="AE644" s="2"/>
      <c r="AF644" s="2"/>
      <c r="AG644" s="2"/>
    </row>
    <row r="645" ht="14.25" customHeight="1">
      <c r="A645" s="2"/>
      <c r="B645" s="2"/>
      <c r="C645" s="2"/>
      <c r="D645" s="2"/>
      <c r="E645" s="2"/>
      <c r="F645" s="2"/>
      <c r="G645" s="2"/>
      <c r="H645" s="146"/>
      <c r="I645" s="146"/>
      <c r="J645" s="146"/>
      <c r="K645" s="146"/>
      <c r="L645" s="2"/>
      <c r="M645" s="2"/>
      <c r="N645" s="2"/>
      <c r="O645" s="2"/>
      <c r="P645" s="2"/>
      <c r="Q645" s="2"/>
      <c r="R645" s="2"/>
      <c r="S645" s="2"/>
      <c r="T645" s="2"/>
      <c r="U645" s="2"/>
      <c r="V645" s="2"/>
      <c r="W645" s="2"/>
      <c r="X645" s="2"/>
      <c r="Y645" s="2"/>
      <c r="Z645" s="2"/>
      <c r="AA645" s="2"/>
      <c r="AB645" s="2"/>
      <c r="AC645" s="2"/>
      <c r="AD645" s="2"/>
      <c r="AE645" s="2"/>
      <c r="AF645" s="2"/>
      <c r="AG645" s="2"/>
    </row>
    <row r="646" ht="14.25" customHeight="1">
      <c r="A646" s="2"/>
      <c r="B646" s="2"/>
      <c r="C646" s="2"/>
      <c r="D646" s="2"/>
      <c r="E646" s="2"/>
      <c r="F646" s="2"/>
      <c r="G646" s="2"/>
      <c r="H646" s="146"/>
      <c r="I646" s="146"/>
      <c r="J646" s="146"/>
      <c r="K646" s="146"/>
      <c r="L646" s="2"/>
      <c r="M646" s="2"/>
      <c r="N646" s="2"/>
      <c r="O646" s="2"/>
      <c r="P646" s="2"/>
      <c r="Q646" s="2"/>
      <c r="R646" s="2"/>
      <c r="S646" s="2"/>
      <c r="T646" s="2"/>
      <c r="U646" s="2"/>
      <c r="V646" s="2"/>
      <c r="W646" s="2"/>
      <c r="X646" s="2"/>
      <c r="Y646" s="2"/>
      <c r="Z646" s="2"/>
      <c r="AA646" s="2"/>
      <c r="AB646" s="2"/>
      <c r="AC646" s="2"/>
      <c r="AD646" s="2"/>
      <c r="AE646" s="2"/>
      <c r="AF646" s="2"/>
      <c r="AG646" s="2"/>
    </row>
    <row r="647" ht="14.25" customHeight="1">
      <c r="A647" s="2"/>
      <c r="B647" s="2"/>
      <c r="C647" s="2"/>
      <c r="D647" s="2"/>
      <c r="E647" s="2"/>
      <c r="F647" s="2"/>
      <c r="G647" s="2"/>
      <c r="H647" s="146"/>
      <c r="I647" s="146"/>
      <c r="J647" s="146"/>
      <c r="K647" s="146"/>
      <c r="L647" s="2"/>
      <c r="M647" s="2"/>
      <c r="N647" s="2"/>
      <c r="O647" s="2"/>
      <c r="P647" s="2"/>
      <c r="Q647" s="2"/>
      <c r="R647" s="2"/>
      <c r="S647" s="2"/>
      <c r="T647" s="2"/>
      <c r="U647" s="2"/>
      <c r="V647" s="2"/>
      <c r="W647" s="2"/>
      <c r="X647" s="2"/>
      <c r="Y647" s="2"/>
      <c r="Z647" s="2"/>
      <c r="AA647" s="2"/>
      <c r="AB647" s="2"/>
      <c r="AC647" s="2"/>
      <c r="AD647" s="2"/>
      <c r="AE647" s="2"/>
      <c r="AF647" s="2"/>
      <c r="AG647" s="2"/>
    </row>
    <row r="648" ht="14.25" customHeight="1">
      <c r="A648" s="2"/>
      <c r="B648" s="2"/>
      <c r="C648" s="2"/>
      <c r="D648" s="2"/>
      <c r="E648" s="2"/>
      <c r="F648" s="2"/>
      <c r="G648" s="2"/>
      <c r="H648" s="146"/>
      <c r="I648" s="146"/>
      <c r="J648" s="146"/>
      <c r="K648" s="146"/>
      <c r="L648" s="2"/>
      <c r="M648" s="2"/>
      <c r="N648" s="2"/>
      <c r="O648" s="2"/>
      <c r="P648" s="2"/>
      <c r="Q648" s="2"/>
      <c r="R648" s="2"/>
      <c r="S648" s="2"/>
      <c r="T648" s="2"/>
      <c r="U648" s="2"/>
      <c r="V648" s="2"/>
      <c r="W648" s="2"/>
      <c r="X648" s="2"/>
      <c r="Y648" s="2"/>
      <c r="Z648" s="2"/>
      <c r="AA648" s="2"/>
      <c r="AB648" s="2"/>
      <c r="AC648" s="2"/>
      <c r="AD648" s="2"/>
      <c r="AE648" s="2"/>
      <c r="AF648" s="2"/>
      <c r="AG648" s="2"/>
    </row>
    <row r="649" ht="14.25" customHeight="1">
      <c r="A649" s="2"/>
      <c r="B649" s="2"/>
      <c r="C649" s="2"/>
      <c r="D649" s="2"/>
      <c r="E649" s="2"/>
      <c r="F649" s="2"/>
      <c r="G649" s="2"/>
      <c r="H649" s="146"/>
      <c r="I649" s="146"/>
      <c r="J649" s="146"/>
      <c r="K649" s="146"/>
      <c r="L649" s="2"/>
      <c r="M649" s="2"/>
      <c r="N649" s="2"/>
      <c r="O649" s="2"/>
      <c r="P649" s="2"/>
      <c r="Q649" s="2"/>
      <c r="R649" s="2"/>
      <c r="S649" s="2"/>
      <c r="T649" s="2"/>
      <c r="U649" s="2"/>
      <c r="V649" s="2"/>
      <c r="W649" s="2"/>
      <c r="X649" s="2"/>
      <c r="Y649" s="2"/>
      <c r="Z649" s="2"/>
      <c r="AA649" s="2"/>
      <c r="AB649" s="2"/>
      <c r="AC649" s="2"/>
      <c r="AD649" s="2"/>
      <c r="AE649" s="2"/>
      <c r="AF649" s="2"/>
      <c r="AG649" s="2"/>
    </row>
    <row r="650" ht="14.25" customHeight="1">
      <c r="A650" s="2"/>
      <c r="B650" s="2"/>
      <c r="C650" s="2"/>
      <c r="D650" s="2"/>
      <c r="E650" s="2"/>
      <c r="F650" s="2"/>
      <c r="G650" s="2"/>
      <c r="H650" s="146"/>
      <c r="I650" s="146"/>
      <c r="J650" s="146"/>
      <c r="K650" s="146"/>
      <c r="L650" s="2"/>
      <c r="M650" s="2"/>
      <c r="N650" s="2"/>
      <c r="O650" s="2"/>
      <c r="P650" s="2"/>
      <c r="Q650" s="2"/>
      <c r="R650" s="2"/>
      <c r="S650" s="2"/>
      <c r="T650" s="2"/>
      <c r="U650" s="2"/>
      <c r="V650" s="2"/>
      <c r="W650" s="2"/>
      <c r="X650" s="2"/>
      <c r="Y650" s="2"/>
      <c r="Z650" s="2"/>
      <c r="AA650" s="2"/>
      <c r="AB650" s="2"/>
      <c r="AC650" s="2"/>
      <c r="AD650" s="2"/>
      <c r="AE650" s="2"/>
      <c r="AF650" s="2"/>
      <c r="AG650" s="2"/>
    </row>
    <row r="651" ht="14.25" customHeight="1">
      <c r="A651" s="2"/>
      <c r="B651" s="2"/>
      <c r="C651" s="2"/>
      <c r="D651" s="2"/>
      <c r="E651" s="2"/>
      <c r="F651" s="2"/>
      <c r="G651" s="2"/>
      <c r="H651" s="146"/>
      <c r="I651" s="146"/>
      <c r="J651" s="146"/>
      <c r="K651" s="146"/>
      <c r="L651" s="2"/>
      <c r="M651" s="2"/>
      <c r="N651" s="2"/>
      <c r="O651" s="2"/>
      <c r="P651" s="2"/>
      <c r="Q651" s="2"/>
      <c r="R651" s="2"/>
      <c r="S651" s="2"/>
      <c r="T651" s="2"/>
      <c r="U651" s="2"/>
      <c r="V651" s="2"/>
      <c r="W651" s="2"/>
      <c r="X651" s="2"/>
      <c r="Y651" s="2"/>
      <c r="Z651" s="2"/>
      <c r="AA651" s="2"/>
      <c r="AB651" s="2"/>
      <c r="AC651" s="2"/>
      <c r="AD651" s="2"/>
      <c r="AE651" s="2"/>
      <c r="AF651" s="2"/>
      <c r="AG651" s="2"/>
    </row>
    <row r="652" ht="14.25" customHeight="1">
      <c r="A652" s="2"/>
      <c r="B652" s="2"/>
      <c r="C652" s="2"/>
      <c r="D652" s="2"/>
      <c r="E652" s="2"/>
      <c r="F652" s="2"/>
      <c r="G652" s="2"/>
      <c r="H652" s="146"/>
      <c r="I652" s="146"/>
      <c r="J652" s="146"/>
      <c r="K652" s="146"/>
      <c r="L652" s="2"/>
      <c r="M652" s="2"/>
      <c r="N652" s="2"/>
      <c r="O652" s="2"/>
      <c r="P652" s="2"/>
      <c r="Q652" s="2"/>
      <c r="R652" s="2"/>
      <c r="S652" s="2"/>
      <c r="T652" s="2"/>
      <c r="U652" s="2"/>
      <c r="V652" s="2"/>
      <c r="W652" s="2"/>
      <c r="X652" s="2"/>
      <c r="Y652" s="2"/>
      <c r="Z652" s="2"/>
      <c r="AA652" s="2"/>
      <c r="AB652" s="2"/>
      <c r="AC652" s="2"/>
      <c r="AD652" s="2"/>
      <c r="AE652" s="2"/>
      <c r="AF652" s="2"/>
      <c r="AG652" s="2"/>
    </row>
    <row r="653" ht="14.25" customHeight="1">
      <c r="A653" s="2"/>
      <c r="B653" s="2"/>
      <c r="C653" s="2"/>
      <c r="D653" s="2"/>
      <c r="E653" s="2"/>
      <c r="F653" s="2"/>
      <c r="G653" s="2"/>
      <c r="H653" s="146"/>
      <c r="I653" s="146"/>
      <c r="J653" s="146"/>
      <c r="K653" s="146"/>
      <c r="L653" s="2"/>
      <c r="M653" s="2"/>
      <c r="N653" s="2"/>
      <c r="O653" s="2"/>
      <c r="P653" s="2"/>
      <c r="Q653" s="2"/>
      <c r="R653" s="2"/>
      <c r="S653" s="2"/>
      <c r="T653" s="2"/>
      <c r="U653" s="2"/>
      <c r="V653" s="2"/>
      <c r="W653" s="2"/>
      <c r="X653" s="2"/>
      <c r="Y653" s="2"/>
      <c r="Z653" s="2"/>
      <c r="AA653" s="2"/>
      <c r="AB653" s="2"/>
      <c r="AC653" s="2"/>
      <c r="AD653" s="2"/>
      <c r="AE653" s="2"/>
      <c r="AF653" s="2"/>
      <c r="AG653" s="2"/>
    </row>
    <row r="654" ht="14.25" customHeight="1">
      <c r="A654" s="2"/>
      <c r="B654" s="2"/>
      <c r="C654" s="2"/>
      <c r="D654" s="2"/>
      <c r="E654" s="2"/>
      <c r="F654" s="2"/>
      <c r="G654" s="2"/>
      <c r="H654" s="146"/>
      <c r="I654" s="146"/>
      <c r="J654" s="146"/>
      <c r="K654" s="146"/>
      <c r="L654" s="2"/>
      <c r="M654" s="2"/>
      <c r="N654" s="2"/>
      <c r="O654" s="2"/>
      <c r="P654" s="2"/>
      <c r="Q654" s="2"/>
      <c r="R654" s="2"/>
      <c r="S654" s="2"/>
      <c r="T654" s="2"/>
      <c r="U654" s="2"/>
      <c r="V654" s="2"/>
      <c r="W654" s="2"/>
      <c r="X654" s="2"/>
      <c r="Y654" s="2"/>
      <c r="Z654" s="2"/>
      <c r="AA654" s="2"/>
      <c r="AB654" s="2"/>
      <c r="AC654" s="2"/>
      <c r="AD654" s="2"/>
      <c r="AE654" s="2"/>
      <c r="AF654" s="2"/>
      <c r="AG654" s="2"/>
    </row>
    <row r="655" ht="14.25" customHeight="1">
      <c r="A655" s="2"/>
      <c r="B655" s="2"/>
      <c r="C655" s="2"/>
      <c r="D655" s="2"/>
      <c r="E655" s="2"/>
      <c r="F655" s="2"/>
      <c r="G655" s="2"/>
      <c r="H655" s="146"/>
      <c r="I655" s="146"/>
      <c r="J655" s="146"/>
      <c r="K655" s="146"/>
      <c r="L655" s="2"/>
      <c r="M655" s="2"/>
      <c r="N655" s="2"/>
      <c r="O655" s="2"/>
      <c r="P655" s="2"/>
      <c r="Q655" s="2"/>
      <c r="R655" s="2"/>
      <c r="S655" s="2"/>
      <c r="T655" s="2"/>
      <c r="U655" s="2"/>
      <c r="V655" s="2"/>
      <c r="W655" s="2"/>
      <c r="X655" s="2"/>
      <c r="Y655" s="2"/>
      <c r="Z655" s="2"/>
      <c r="AA655" s="2"/>
      <c r="AB655" s="2"/>
      <c r="AC655" s="2"/>
      <c r="AD655" s="2"/>
      <c r="AE655" s="2"/>
      <c r="AF655" s="2"/>
      <c r="AG655" s="2"/>
    </row>
    <row r="656" ht="14.25" customHeight="1">
      <c r="A656" s="2"/>
      <c r="B656" s="2"/>
      <c r="C656" s="2"/>
      <c r="D656" s="2"/>
      <c r="E656" s="2"/>
      <c r="F656" s="2"/>
      <c r="G656" s="2"/>
      <c r="H656" s="146"/>
      <c r="I656" s="146"/>
      <c r="J656" s="146"/>
      <c r="K656" s="146"/>
      <c r="L656" s="2"/>
      <c r="M656" s="2"/>
      <c r="N656" s="2"/>
      <c r="O656" s="2"/>
      <c r="P656" s="2"/>
      <c r="Q656" s="2"/>
      <c r="R656" s="2"/>
      <c r="S656" s="2"/>
      <c r="T656" s="2"/>
      <c r="U656" s="2"/>
      <c r="V656" s="2"/>
      <c r="W656" s="2"/>
      <c r="X656" s="2"/>
      <c r="Y656" s="2"/>
      <c r="Z656" s="2"/>
      <c r="AA656" s="2"/>
      <c r="AB656" s="2"/>
      <c r="AC656" s="2"/>
      <c r="AD656" s="2"/>
      <c r="AE656" s="2"/>
      <c r="AF656" s="2"/>
      <c r="AG656" s="2"/>
    </row>
    <row r="657" ht="14.25" customHeight="1">
      <c r="A657" s="2"/>
      <c r="B657" s="2"/>
      <c r="C657" s="2"/>
      <c r="D657" s="2"/>
      <c r="E657" s="2"/>
      <c r="F657" s="2"/>
      <c r="G657" s="2"/>
      <c r="H657" s="146"/>
      <c r="I657" s="146"/>
      <c r="J657" s="146"/>
      <c r="K657" s="146"/>
      <c r="L657" s="2"/>
      <c r="M657" s="2"/>
      <c r="N657" s="2"/>
      <c r="O657" s="2"/>
      <c r="P657" s="2"/>
      <c r="Q657" s="2"/>
      <c r="R657" s="2"/>
      <c r="S657" s="2"/>
      <c r="T657" s="2"/>
      <c r="U657" s="2"/>
      <c r="V657" s="2"/>
      <c r="W657" s="2"/>
      <c r="X657" s="2"/>
      <c r="Y657" s="2"/>
      <c r="Z657" s="2"/>
      <c r="AA657" s="2"/>
      <c r="AB657" s="2"/>
      <c r="AC657" s="2"/>
      <c r="AD657" s="2"/>
      <c r="AE657" s="2"/>
      <c r="AF657" s="2"/>
      <c r="AG657" s="2"/>
    </row>
    <row r="658" ht="14.25" customHeight="1">
      <c r="A658" s="2"/>
      <c r="B658" s="2"/>
      <c r="C658" s="2"/>
      <c r="D658" s="2"/>
      <c r="E658" s="2"/>
      <c r="F658" s="2"/>
      <c r="G658" s="2"/>
      <c r="H658" s="146"/>
      <c r="I658" s="146"/>
      <c r="J658" s="146"/>
      <c r="K658" s="146"/>
      <c r="L658" s="2"/>
      <c r="M658" s="2"/>
      <c r="N658" s="2"/>
      <c r="O658" s="2"/>
      <c r="P658" s="2"/>
      <c r="Q658" s="2"/>
      <c r="R658" s="2"/>
      <c r="S658" s="2"/>
      <c r="T658" s="2"/>
      <c r="U658" s="2"/>
      <c r="V658" s="2"/>
      <c r="W658" s="2"/>
      <c r="X658" s="2"/>
      <c r="Y658" s="2"/>
      <c r="Z658" s="2"/>
      <c r="AA658" s="2"/>
      <c r="AB658" s="2"/>
      <c r="AC658" s="2"/>
      <c r="AD658" s="2"/>
      <c r="AE658" s="2"/>
      <c r="AF658" s="2"/>
      <c r="AG658" s="2"/>
    </row>
    <row r="659" ht="14.25" customHeight="1">
      <c r="A659" s="2"/>
      <c r="B659" s="2"/>
      <c r="C659" s="2"/>
      <c r="D659" s="2"/>
      <c r="E659" s="2"/>
      <c r="F659" s="2"/>
      <c r="G659" s="2"/>
      <c r="H659" s="146"/>
      <c r="I659" s="146"/>
      <c r="J659" s="146"/>
      <c r="K659" s="146"/>
      <c r="L659" s="2"/>
      <c r="M659" s="2"/>
      <c r="N659" s="2"/>
      <c r="O659" s="2"/>
      <c r="P659" s="2"/>
      <c r="Q659" s="2"/>
      <c r="R659" s="2"/>
      <c r="S659" s="2"/>
      <c r="T659" s="2"/>
      <c r="U659" s="2"/>
      <c r="V659" s="2"/>
      <c r="W659" s="2"/>
      <c r="X659" s="2"/>
      <c r="Y659" s="2"/>
      <c r="Z659" s="2"/>
      <c r="AA659" s="2"/>
      <c r="AB659" s="2"/>
      <c r="AC659" s="2"/>
      <c r="AD659" s="2"/>
      <c r="AE659" s="2"/>
      <c r="AF659" s="2"/>
      <c r="AG659" s="2"/>
    </row>
    <row r="660" ht="14.25" customHeight="1">
      <c r="A660" s="2"/>
      <c r="B660" s="2"/>
      <c r="C660" s="2"/>
      <c r="D660" s="2"/>
      <c r="E660" s="2"/>
      <c r="F660" s="2"/>
      <c r="G660" s="2"/>
      <c r="H660" s="146"/>
      <c r="I660" s="146"/>
      <c r="J660" s="146"/>
      <c r="K660" s="146"/>
      <c r="L660" s="2"/>
      <c r="M660" s="2"/>
      <c r="N660" s="2"/>
      <c r="O660" s="2"/>
      <c r="P660" s="2"/>
      <c r="Q660" s="2"/>
      <c r="R660" s="2"/>
      <c r="S660" s="2"/>
      <c r="T660" s="2"/>
      <c r="U660" s="2"/>
      <c r="V660" s="2"/>
      <c r="W660" s="2"/>
      <c r="X660" s="2"/>
      <c r="Y660" s="2"/>
      <c r="Z660" s="2"/>
      <c r="AA660" s="2"/>
      <c r="AB660" s="2"/>
      <c r="AC660" s="2"/>
      <c r="AD660" s="2"/>
      <c r="AE660" s="2"/>
      <c r="AF660" s="2"/>
      <c r="AG660" s="2"/>
    </row>
    <row r="661" ht="14.25" customHeight="1">
      <c r="A661" s="2"/>
      <c r="B661" s="2"/>
      <c r="C661" s="2"/>
      <c r="D661" s="2"/>
      <c r="E661" s="2"/>
      <c r="F661" s="2"/>
      <c r="G661" s="2"/>
      <c r="H661" s="146"/>
      <c r="I661" s="146"/>
      <c r="J661" s="146"/>
      <c r="K661" s="146"/>
      <c r="L661" s="2"/>
      <c r="M661" s="2"/>
      <c r="N661" s="2"/>
      <c r="O661" s="2"/>
      <c r="P661" s="2"/>
      <c r="Q661" s="2"/>
      <c r="R661" s="2"/>
      <c r="S661" s="2"/>
      <c r="T661" s="2"/>
      <c r="U661" s="2"/>
      <c r="V661" s="2"/>
      <c r="W661" s="2"/>
      <c r="X661" s="2"/>
      <c r="Y661" s="2"/>
      <c r="Z661" s="2"/>
      <c r="AA661" s="2"/>
      <c r="AB661" s="2"/>
      <c r="AC661" s="2"/>
      <c r="AD661" s="2"/>
      <c r="AE661" s="2"/>
      <c r="AF661" s="2"/>
      <c r="AG661" s="2"/>
    </row>
    <row r="662" ht="14.25" customHeight="1">
      <c r="A662" s="2"/>
      <c r="B662" s="2"/>
      <c r="C662" s="2"/>
      <c r="D662" s="2"/>
      <c r="E662" s="2"/>
      <c r="F662" s="2"/>
      <c r="G662" s="2"/>
      <c r="H662" s="146"/>
      <c r="I662" s="146"/>
      <c r="J662" s="146"/>
      <c r="K662" s="146"/>
      <c r="L662" s="2"/>
      <c r="M662" s="2"/>
      <c r="N662" s="2"/>
      <c r="O662" s="2"/>
      <c r="P662" s="2"/>
      <c r="Q662" s="2"/>
      <c r="R662" s="2"/>
      <c r="S662" s="2"/>
      <c r="T662" s="2"/>
      <c r="U662" s="2"/>
      <c r="V662" s="2"/>
      <c r="W662" s="2"/>
      <c r="X662" s="2"/>
      <c r="Y662" s="2"/>
      <c r="Z662" s="2"/>
      <c r="AA662" s="2"/>
      <c r="AB662" s="2"/>
      <c r="AC662" s="2"/>
      <c r="AD662" s="2"/>
      <c r="AE662" s="2"/>
      <c r="AF662" s="2"/>
      <c r="AG662" s="2"/>
    </row>
    <row r="663" ht="14.25" customHeight="1">
      <c r="A663" s="2"/>
      <c r="B663" s="2"/>
      <c r="C663" s="2"/>
      <c r="D663" s="2"/>
      <c r="E663" s="2"/>
      <c r="F663" s="2"/>
      <c r="G663" s="2"/>
      <c r="H663" s="146"/>
      <c r="I663" s="146"/>
      <c r="J663" s="146"/>
      <c r="K663" s="146"/>
      <c r="L663" s="2"/>
      <c r="M663" s="2"/>
      <c r="N663" s="2"/>
      <c r="O663" s="2"/>
      <c r="P663" s="2"/>
      <c r="Q663" s="2"/>
      <c r="R663" s="2"/>
      <c r="S663" s="2"/>
      <c r="T663" s="2"/>
      <c r="U663" s="2"/>
      <c r="V663" s="2"/>
      <c r="W663" s="2"/>
      <c r="X663" s="2"/>
      <c r="Y663" s="2"/>
      <c r="Z663" s="2"/>
      <c r="AA663" s="2"/>
      <c r="AB663" s="2"/>
      <c r="AC663" s="2"/>
      <c r="AD663" s="2"/>
      <c r="AE663" s="2"/>
      <c r="AF663" s="2"/>
      <c r="AG663" s="2"/>
    </row>
    <row r="664" ht="14.25" customHeight="1">
      <c r="A664" s="2"/>
      <c r="B664" s="2"/>
      <c r="C664" s="2"/>
      <c r="D664" s="2"/>
      <c r="E664" s="2"/>
      <c r="F664" s="2"/>
      <c r="G664" s="2"/>
      <c r="H664" s="146"/>
      <c r="I664" s="146"/>
      <c r="J664" s="146"/>
      <c r="K664" s="146"/>
      <c r="L664" s="2"/>
      <c r="M664" s="2"/>
      <c r="N664" s="2"/>
      <c r="O664" s="2"/>
      <c r="P664" s="2"/>
      <c r="Q664" s="2"/>
      <c r="R664" s="2"/>
      <c r="S664" s="2"/>
      <c r="T664" s="2"/>
      <c r="U664" s="2"/>
      <c r="V664" s="2"/>
      <c r="W664" s="2"/>
      <c r="X664" s="2"/>
      <c r="Y664" s="2"/>
      <c r="Z664" s="2"/>
      <c r="AA664" s="2"/>
      <c r="AB664" s="2"/>
      <c r="AC664" s="2"/>
      <c r="AD664" s="2"/>
      <c r="AE664" s="2"/>
      <c r="AF664" s="2"/>
      <c r="AG664" s="2"/>
    </row>
    <row r="665" ht="14.25" customHeight="1">
      <c r="A665" s="2"/>
      <c r="B665" s="2"/>
      <c r="C665" s="2"/>
      <c r="D665" s="2"/>
      <c r="E665" s="2"/>
      <c r="F665" s="2"/>
      <c r="G665" s="2"/>
      <c r="H665" s="146"/>
      <c r="I665" s="146"/>
      <c r="J665" s="146"/>
      <c r="K665" s="146"/>
      <c r="L665" s="2"/>
      <c r="M665" s="2"/>
      <c r="N665" s="2"/>
      <c r="O665" s="2"/>
      <c r="P665" s="2"/>
      <c r="Q665" s="2"/>
      <c r="R665" s="2"/>
      <c r="S665" s="2"/>
      <c r="T665" s="2"/>
      <c r="U665" s="2"/>
      <c r="V665" s="2"/>
      <c r="W665" s="2"/>
      <c r="X665" s="2"/>
      <c r="Y665" s="2"/>
      <c r="Z665" s="2"/>
      <c r="AA665" s="2"/>
      <c r="AB665" s="2"/>
      <c r="AC665" s="2"/>
      <c r="AD665" s="2"/>
      <c r="AE665" s="2"/>
      <c r="AF665" s="2"/>
      <c r="AG665" s="2"/>
    </row>
    <row r="666" ht="14.25" customHeight="1">
      <c r="A666" s="2"/>
      <c r="B666" s="2"/>
      <c r="C666" s="2"/>
      <c r="D666" s="2"/>
      <c r="E666" s="2"/>
      <c r="F666" s="2"/>
      <c r="G666" s="2"/>
      <c r="H666" s="146"/>
      <c r="I666" s="146"/>
      <c r="J666" s="146"/>
      <c r="K666" s="146"/>
      <c r="L666" s="2"/>
      <c r="M666" s="2"/>
      <c r="N666" s="2"/>
      <c r="O666" s="2"/>
      <c r="P666" s="2"/>
      <c r="Q666" s="2"/>
      <c r="R666" s="2"/>
      <c r="S666" s="2"/>
      <c r="T666" s="2"/>
      <c r="U666" s="2"/>
      <c r="V666" s="2"/>
      <c r="W666" s="2"/>
      <c r="X666" s="2"/>
      <c r="Y666" s="2"/>
      <c r="Z666" s="2"/>
      <c r="AA666" s="2"/>
      <c r="AB666" s="2"/>
      <c r="AC666" s="2"/>
      <c r="AD666" s="2"/>
      <c r="AE666" s="2"/>
      <c r="AF666" s="2"/>
      <c r="AG666" s="2"/>
    </row>
    <row r="667" ht="14.25" customHeight="1">
      <c r="A667" s="2"/>
      <c r="B667" s="2"/>
      <c r="C667" s="2"/>
      <c r="D667" s="2"/>
      <c r="E667" s="2"/>
      <c r="F667" s="2"/>
      <c r="G667" s="2"/>
      <c r="H667" s="146"/>
      <c r="I667" s="146"/>
      <c r="J667" s="146"/>
      <c r="K667" s="146"/>
      <c r="L667" s="2"/>
      <c r="M667" s="2"/>
      <c r="N667" s="2"/>
      <c r="O667" s="2"/>
      <c r="P667" s="2"/>
      <c r="Q667" s="2"/>
      <c r="R667" s="2"/>
      <c r="S667" s="2"/>
      <c r="T667" s="2"/>
      <c r="U667" s="2"/>
      <c r="V667" s="2"/>
      <c r="W667" s="2"/>
      <c r="X667" s="2"/>
      <c r="Y667" s="2"/>
      <c r="Z667" s="2"/>
      <c r="AA667" s="2"/>
      <c r="AB667" s="2"/>
      <c r="AC667" s="2"/>
      <c r="AD667" s="2"/>
      <c r="AE667" s="2"/>
      <c r="AF667" s="2"/>
      <c r="AG667" s="2"/>
    </row>
    <row r="668" ht="14.25" customHeight="1">
      <c r="A668" s="2"/>
      <c r="B668" s="2"/>
      <c r="C668" s="2"/>
      <c r="D668" s="2"/>
      <c r="E668" s="2"/>
      <c r="F668" s="2"/>
      <c r="G668" s="2"/>
      <c r="H668" s="146"/>
      <c r="I668" s="146"/>
      <c r="J668" s="146"/>
      <c r="K668" s="146"/>
      <c r="L668" s="2"/>
      <c r="M668" s="2"/>
      <c r="N668" s="2"/>
      <c r="O668" s="2"/>
      <c r="P668" s="2"/>
      <c r="Q668" s="2"/>
      <c r="R668" s="2"/>
      <c r="S668" s="2"/>
      <c r="T668" s="2"/>
      <c r="U668" s="2"/>
      <c r="V668" s="2"/>
      <c r="W668" s="2"/>
      <c r="X668" s="2"/>
      <c r="Y668" s="2"/>
      <c r="Z668" s="2"/>
      <c r="AA668" s="2"/>
      <c r="AB668" s="2"/>
      <c r="AC668" s="2"/>
      <c r="AD668" s="2"/>
      <c r="AE668" s="2"/>
      <c r="AF668" s="2"/>
      <c r="AG668" s="2"/>
    </row>
    <row r="669" ht="14.25" customHeight="1">
      <c r="A669" s="2"/>
      <c r="B669" s="2"/>
      <c r="C669" s="2"/>
      <c r="D669" s="2"/>
      <c r="E669" s="2"/>
      <c r="F669" s="2"/>
      <c r="G669" s="2"/>
      <c r="H669" s="146"/>
      <c r="I669" s="146"/>
      <c r="J669" s="146"/>
      <c r="K669" s="146"/>
      <c r="L669" s="2"/>
      <c r="M669" s="2"/>
      <c r="N669" s="2"/>
      <c r="O669" s="2"/>
      <c r="P669" s="2"/>
      <c r="Q669" s="2"/>
      <c r="R669" s="2"/>
      <c r="S669" s="2"/>
      <c r="T669" s="2"/>
      <c r="U669" s="2"/>
      <c r="V669" s="2"/>
      <c r="W669" s="2"/>
      <c r="X669" s="2"/>
      <c r="Y669" s="2"/>
      <c r="Z669" s="2"/>
      <c r="AA669" s="2"/>
      <c r="AB669" s="2"/>
      <c r="AC669" s="2"/>
      <c r="AD669" s="2"/>
      <c r="AE669" s="2"/>
      <c r="AF669" s="2"/>
      <c r="AG669" s="2"/>
    </row>
    <row r="670" ht="14.25" customHeight="1">
      <c r="A670" s="2"/>
      <c r="B670" s="2"/>
      <c r="C670" s="2"/>
      <c r="D670" s="2"/>
      <c r="E670" s="2"/>
      <c r="F670" s="2"/>
      <c r="G670" s="2"/>
      <c r="H670" s="146"/>
      <c r="I670" s="146"/>
      <c r="J670" s="146"/>
      <c r="K670" s="146"/>
      <c r="L670" s="2"/>
      <c r="M670" s="2"/>
      <c r="N670" s="2"/>
      <c r="O670" s="2"/>
      <c r="P670" s="2"/>
      <c r="Q670" s="2"/>
      <c r="R670" s="2"/>
      <c r="S670" s="2"/>
      <c r="T670" s="2"/>
      <c r="U670" s="2"/>
      <c r="V670" s="2"/>
      <c r="W670" s="2"/>
      <c r="X670" s="2"/>
      <c r="Y670" s="2"/>
      <c r="Z670" s="2"/>
      <c r="AA670" s="2"/>
      <c r="AB670" s="2"/>
      <c r="AC670" s="2"/>
      <c r="AD670" s="2"/>
      <c r="AE670" s="2"/>
      <c r="AF670" s="2"/>
      <c r="AG670" s="2"/>
    </row>
    <row r="671" ht="14.25" customHeight="1">
      <c r="A671" s="2"/>
      <c r="B671" s="2"/>
      <c r="C671" s="2"/>
      <c r="D671" s="2"/>
      <c r="E671" s="2"/>
      <c r="F671" s="2"/>
      <c r="G671" s="2"/>
      <c r="H671" s="146"/>
      <c r="I671" s="146"/>
      <c r="J671" s="146"/>
      <c r="K671" s="146"/>
      <c r="L671" s="2"/>
      <c r="M671" s="2"/>
      <c r="N671" s="2"/>
      <c r="O671" s="2"/>
      <c r="P671" s="2"/>
      <c r="Q671" s="2"/>
      <c r="R671" s="2"/>
      <c r="S671" s="2"/>
      <c r="T671" s="2"/>
      <c r="U671" s="2"/>
      <c r="V671" s="2"/>
      <c r="W671" s="2"/>
      <c r="X671" s="2"/>
      <c r="Y671" s="2"/>
      <c r="Z671" s="2"/>
      <c r="AA671" s="2"/>
      <c r="AB671" s="2"/>
      <c r="AC671" s="2"/>
      <c r="AD671" s="2"/>
      <c r="AE671" s="2"/>
      <c r="AF671" s="2"/>
      <c r="AG671" s="2"/>
    </row>
    <row r="672" ht="14.25" customHeight="1">
      <c r="A672" s="2"/>
      <c r="B672" s="2"/>
      <c r="C672" s="2"/>
      <c r="D672" s="2"/>
      <c r="E672" s="2"/>
      <c r="F672" s="2"/>
      <c r="G672" s="2"/>
      <c r="H672" s="146"/>
      <c r="I672" s="146"/>
      <c r="J672" s="146"/>
      <c r="K672" s="146"/>
      <c r="L672" s="2"/>
      <c r="M672" s="2"/>
      <c r="N672" s="2"/>
      <c r="O672" s="2"/>
      <c r="P672" s="2"/>
      <c r="Q672" s="2"/>
      <c r="R672" s="2"/>
      <c r="S672" s="2"/>
      <c r="T672" s="2"/>
      <c r="U672" s="2"/>
      <c r="V672" s="2"/>
      <c r="W672" s="2"/>
      <c r="X672" s="2"/>
      <c r="Y672" s="2"/>
      <c r="Z672" s="2"/>
      <c r="AA672" s="2"/>
      <c r="AB672" s="2"/>
      <c r="AC672" s="2"/>
      <c r="AD672" s="2"/>
      <c r="AE672" s="2"/>
      <c r="AF672" s="2"/>
      <c r="AG672" s="2"/>
    </row>
    <row r="673" ht="14.25" customHeight="1">
      <c r="A673" s="2"/>
      <c r="B673" s="2"/>
      <c r="C673" s="2"/>
      <c r="D673" s="2"/>
      <c r="E673" s="2"/>
      <c r="F673" s="2"/>
      <c r="G673" s="2"/>
      <c r="H673" s="146"/>
      <c r="I673" s="146"/>
      <c r="J673" s="146"/>
      <c r="K673" s="146"/>
      <c r="L673" s="2"/>
      <c r="M673" s="2"/>
      <c r="N673" s="2"/>
      <c r="O673" s="2"/>
      <c r="P673" s="2"/>
      <c r="Q673" s="2"/>
      <c r="R673" s="2"/>
      <c r="S673" s="2"/>
      <c r="T673" s="2"/>
      <c r="U673" s="2"/>
      <c r="V673" s="2"/>
      <c r="W673" s="2"/>
      <c r="X673" s="2"/>
      <c r="Y673" s="2"/>
      <c r="Z673" s="2"/>
      <c r="AA673" s="2"/>
      <c r="AB673" s="2"/>
      <c r="AC673" s="2"/>
      <c r="AD673" s="2"/>
      <c r="AE673" s="2"/>
      <c r="AF673" s="2"/>
      <c r="AG673" s="2"/>
    </row>
    <row r="674" ht="14.25" customHeight="1">
      <c r="A674" s="2"/>
      <c r="B674" s="2"/>
      <c r="C674" s="2"/>
      <c r="D674" s="2"/>
      <c r="E674" s="2"/>
      <c r="F674" s="2"/>
      <c r="G674" s="2"/>
      <c r="H674" s="146"/>
      <c r="I674" s="146"/>
      <c r="J674" s="146"/>
      <c r="K674" s="146"/>
      <c r="L674" s="2"/>
      <c r="M674" s="2"/>
      <c r="N674" s="2"/>
      <c r="O674" s="2"/>
      <c r="P674" s="2"/>
      <c r="Q674" s="2"/>
      <c r="R674" s="2"/>
      <c r="S674" s="2"/>
      <c r="T674" s="2"/>
      <c r="U674" s="2"/>
      <c r="V674" s="2"/>
      <c r="W674" s="2"/>
      <c r="X674" s="2"/>
      <c r="Y674" s="2"/>
      <c r="Z674" s="2"/>
      <c r="AA674" s="2"/>
      <c r="AB674" s="2"/>
      <c r="AC674" s="2"/>
      <c r="AD674" s="2"/>
      <c r="AE674" s="2"/>
      <c r="AF674" s="2"/>
      <c r="AG674" s="2"/>
    </row>
    <row r="675" ht="14.25" customHeight="1">
      <c r="A675" s="2"/>
      <c r="B675" s="2"/>
      <c r="C675" s="2"/>
      <c r="D675" s="2"/>
      <c r="E675" s="2"/>
      <c r="F675" s="2"/>
      <c r="G675" s="2"/>
      <c r="H675" s="146"/>
      <c r="I675" s="146"/>
      <c r="J675" s="146"/>
      <c r="K675" s="146"/>
      <c r="L675" s="2"/>
      <c r="M675" s="2"/>
      <c r="N675" s="2"/>
      <c r="O675" s="2"/>
      <c r="P675" s="2"/>
      <c r="Q675" s="2"/>
      <c r="R675" s="2"/>
      <c r="S675" s="2"/>
      <c r="T675" s="2"/>
      <c r="U675" s="2"/>
      <c r="V675" s="2"/>
      <c r="W675" s="2"/>
      <c r="X675" s="2"/>
      <c r="Y675" s="2"/>
      <c r="Z675" s="2"/>
      <c r="AA675" s="2"/>
      <c r="AB675" s="2"/>
      <c r="AC675" s="2"/>
      <c r="AD675" s="2"/>
      <c r="AE675" s="2"/>
      <c r="AF675" s="2"/>
      <c r="AG675" s="2"/>
    </row>
    <row r="676" ht="14.25" customHeight="1">
      <c r="A676" s="2"/>
      <c r="B676" s="2"/>
      <c r="C676" s="2"/>
      <c r="D676" s="2"/>
      <c r="E676" s="2"/>
      <c r="F676" s="2"/>
      <c r="G676" s="2"/>
      <c r="H676" s="146"/>
      <c r="I676" s="146"/>
      <c r="J676" s="146"/>
      <c r="K676" s="146"/>
      <c r="L676" s="2"/>
      <c r="M676" s="2"/>
      <c r="N676" s="2"/>
      <c r="O676" s="2"/>
      <c r="P676" s="2"/>
      <c r="Q676" s="2"/>
      <c r="R676" s="2"/>
      <c r="S676" s="2"/>
      <c r="T676" s="2"/>
      <c r="U676" s="2"/>
      <c r="V676" s="2"/>
      <c r="W676" s="2"/>
      <c r="X676" s="2"/>
      <c r="Y676" s="2"/>
      <c r="Z676" s="2"/>
      <c r="AA676" s="2"/>
      <c r="AB676" s="2"/>
      <c r="AC676" s="2"/>
      <c r="AD676" s="2"/>
      <c r="AE676" s="2"/>
      <c r="AF676" s="2"/>
      <c r="AG676" s="2"/>
    </row>
    <row r="677" ht="14.25" customHeight="1">
      <c r="A677" s="2"/>
      <c r="B677" s="2"/>
      <c r="C677" s="2"/>
      <c r="D677" s="2"/>
      <c r="E677" s="2"/>
      <c r="F677" s="2"/>
      <c r="G677" s="2"/>
      <c r="H677" s="146"/>
      <c r="I677" s="146"/>
      <c r="J677" s="146"/>
      <c r="K677" s="146"/>
      <c r="L677" s="2"/>
      <c r="M677" s="2"/>
      <c r="N677" s="2"/>
      <c r="O677" s="2"/>
      <c r="P677" s="2"/>
      <c r="Q677" s="2"/>
      <c r="R677" s="2"/>
      <c r="S677" s="2"/>
      <c r="T677" s="2"/>
      <c r="U677" s="2"/>
      <c r="V677" s="2"/>
      <c r="W677" s="2"/>
      <c r="X677" s="2"/>
      <c r="Y677" s="2"/>
      <c r="Z677" s="2"/>
      <c r="AA677" s="2"/>
      <c r="AB677" s="2"/>
      <c r="AC677" s="2"/>
      <c r="AD677" s="2"/>
      <c r="AE677" s="2"/>
      <c r="AF677" s="2"/>
      <c r="AG677" s="2"/>
    </row>
    <row r="678" ht="14.25" customHeight="1">
      <c r="A678" s="2"/>
      <c r="B678" s="2"/>
      <c r="C678" s="2"/>
      <c r="D678" s="2"/>
      <c r="E678" s="2"/>
      <c r="F678" s="2"/>
      <c r="G678" s="2"/>
      <c r="H678" s="146"/>
      <c r="I678" s="146"/>
      <c r="J678" s="146"/>
      <c r="K678" s="146"/>
      <c r="L678" s="2"/>
      <c r="M678" s="2"/>
      <c r="N678" s="2"/>
      <c r="O678" s="2"/>
      <c r="P678" s="2"/>
      <c r="Q678" s="2"/>
      <c r="R678" s="2"/>
      <c r="S678" s="2"/>
      <c r="T678" s="2"/>
      <c r="U678" s="2"/>
      <c r="V678" s="2"/>
      <c r="W678" s="2"/>
      <c r="X678" s="2"/>
      <c r="Y678" s="2"/>
      <c r="Z678" s="2"/>
      <c r="AA678" s="2"/>
      <c r="AB678" s="2"/>
      <c r="AC678" s="2"/>
      <c r="AD678" s="2"/>
      <c r="AE678" s="2"/>
      <c r="AF678" s="2"/>
      <c r="AG678" s="2"/>
    </row>
    <row r="679" ht="14.25" customHeight="1">
      <c r="A679" s="2"/>
      <c r="B679" s="2"/>
      <c r="C679" s="2"/>
      <c r="D679" s="2"/>
      <c r="E679" s="2"/>
      <c r="F679" s="2"/>
      <c r="G679" s="2"/>
      <c r="H679" s="146"/>
      <c r="I679" s="146"/>
      <c r="J679" s="146"/>
      <c r="K679" s="146"/>
      <c r="L679" s="2"/>
      <c r="M679" s="2"/>
      <c r="N679" s="2"/>
      <c r="O679" s="2"/>
      <c r="P679" s="2"/>
      <c r="Q679" s="2"/>
      <c r="R679" s="2"/>
      <c r="S679" s="2"/>
      <c r="T679" s="2"/>
      <c r="U679" s="2"/>
      <c r="V679" s="2"/>
      <c r="W679" s="2"/>
      <c r="X679" s="2"/>
      <c r="Y679" s="2"/>
      <c r="Z679" s="2"/>
      <c r="AA679" s="2"/>
      <c r="AB679" s="2"/>
      <c r="AC679" s="2"/>
      <c r="AD679" s="2"/>
      <c r="AE679" s="2"/>
      <c r="AF679" s="2"/>
      <c r="AG679" s="2"/>
    </row>
    <row r="680" ht="14.25" customHeight="1">
      <c r="A680" s="2"/>
      <c r="B680" s="2"/>
      <c r="C680" s="2"/>
      <c r="D680" s="2"/>
      <c r="E680" s="2"/>
      <c r="F680" s="2"/>
      <c r="G680" s="2"/>
      <c r="H680" s="146"/>
      <c r="I680" s="146"/>
      <c r="J680" s="146"/>
      <c r="K680" s="146"/>
      <c r="L680" s="2"/>
      <c r="M680" s="2"/>
      <c r="N680" s="2"/>
      <c r="O680" s="2"/>
      <c r="P680" s="2"/>
      <c r="Q680" s="2"/>
      <c r="R680" s="2"/>
      <c r="S680" s="2"/>
      <c r="T680" s="2"/>
      <c r="U680" s="2"/>
      <c r="V680" s="2"/>
      <c r="W680" s="2"/>
      <c r="X680" s="2"/>
      <c r="Y680" s="2"/>
      <c r="Z680" s="2"/>
      <c r="AA680" s="2"/>
      <c r="AB680" s="2"/>
      <c r="AC680" s="2"/>
      <c r="AD680" s="2"/>
      <c r="AE680" s="2"/>
      <c r="AF680" s="2"/>
      <c r="AG680" s="2"/>
    </row>
    <row r="681" ht="14.25" customHeight="1">
      <c r="A681" s="2"/>
      <c r="B681" s="2"/>
      <c r="C681" s="2"/>
      <c r="D681" s="2"/>
      <c r="E681" s="2"/>
      <c r="F681" s="2"/>
      <c r="G681" s="2"/>
      <c r="H681" s="146"/>
      <c r="I681" s="146"/>
      <c r="J681" s="146"/>
      <c r="K681" s="146"/>
      <c r="L681" s="2"/>
      <c r="M681" s="2"/>
      <c r="N681" s="2"/>
      <c r="O681" s="2"/>
      <c r="P681" s="2"/>
      <c r="Q681" s="2"/>
      <c r="R681" s="2"/>
      <c r="S681" s="2"/>
      <c r="T681" s="2"/>
      <c r="U681" s="2"/>
      <c r="V681" s="2"/>
      <c r="W681" s="2"/>
      <c r="X681" s="2"/>
      <c r="Y681" s="2"/>
      <c r="Z681" s="2"/>
      <c r="AA681" s="2"/>
      <c r="AB681" s="2"/>
      <c r="AC681" s="2"/>
      <c r="AD681" s="2"/>
      <c r="AE681" s="2"/>
      <c r="AF681" s="2"/>
      <c r="AG681" s="2"/>
    </row>
    <row r="682" ht="14.25" customHeight="1">
      <c r="A682" s="2"/>
      <c r="B682" s="2"/>
      <c r="C682" s="2"/>
      <c r="D682" s="2"/>
      <c r="E682" s="2"/>
      <c r="F682" s="2"/>
      <c r="G682" s="2"/>
      <c r="H682" s="146"/>
      <c r="I682" s="146"/>
      <c r="J682" s="146"/>
      <c r="K682" s="146"/>
      <c r="L682" s="2"/>
      <c r="M682" s="2"/>
      <c r="N682" s="2"/>
      <c r="O682" s="2"/>
      <c r="P682" s="2"/>
      <c r="Q682" s="2"/>
      <c r="R682" s="2"/>
      <c r="S682" s="2"/>
      <c r="T682" s="2"/>
      <c r="U682" s="2"/>
      <c r="V682" s="2"/>
      <c r="W682" s="2"/>
      <c r="X682" s="2"/>
      <c r="Y682" s="2"/>
      <c r="Z682" s="2"/>
      <c r="AA682" s="2"/>
      <c r="AB682" s="2"/>
      <c r="AC682" s="2"/>
      <c r="AD682" s="2"/>
      <c r="AE682" s="2"/>
      <c r="AF682" s="2"/>
      <c r="AG682" s="2"/>
    </row>
    <row r="683" ht="14.25" customHeight="1">
      <c r="A683" s="2"/>
      <c r="B683" s="2"/>
      <c r="C683" s="2"/>
      <c r="D683" s="2"/>
      <c r="E683" s="2"/>
      <c r="F683" s="2"/>
      <c r="G683" s="2"/>
      <c r="H683" s="146"/>
      <c r="I683" s="146"/>
      <c r="J683" s="146"/>
      <c r="K683" s="146"/>
      <c r="L683" s="2"/>
      <c r="M683" s="2"/>
      <c r="N683" s="2"/>
      <c r="O683" s="2"/>
      <c r="P683" s="2"/>
      <c r="Q683" s="2"/>
      <c r="R683" s="2"/>
      <c r="S683" s="2"/>
      <c r="T683" s="2"/>
      <c r="U683" s="2"/>
      <c r="V683" s="2"/>
      <c r="W683" s="2"/>
      <c r="X683" s="2"/>
      <c r="Y683" s="2"/>
      <c r="Z683" s="2"/>
      <c r="AA683" s="2"/>
      <c r="AB683" s="2"/>
      <c r="AC683" s="2"/>
      <c r="AD683" s="2"/>
      <c r="AE683" s="2"/>
      <c r="AF683" s="2"/>
      <c r="AG683" s="2"/>
    </row>
    <row r="684" ht="14.25" customHeight="1">
      <c r="A684" s="2"/>
      <c r="B684" s="2"/>
      <c r="C684" s="2"/>
      <c r="D684" s="2"/>
      <c r="E684" s="2"/>
      <c r="F684" s="2"/>
      <c r="G684" s="2"/>
      <c r="H684" s="146"/>
      <c r="I684" s="146"/>
      <c r="J684" s="146"/>
      <c r="K684" s="146"/>
      <c r="L684" s="2"/>
      <c r="M684" s="2"/>
      <c r="N684" s="2"/>
      <c r="O684" s="2"/>
      <c r="P684" s="2"/>
      <c r="Q684" s="2"/>
      <c r="R684" s="2"/>
      <c r="S684" s="2"/>
      <c r="T684" s="2"/>
      <c r="U684" s="2"/>
      <c r="V684" s="2"/>
      <c r="W684" s="2"/>
      <c r="X684" s="2"/>
      <c r="Y684" s="2"/>
      <c r="Z684" s="2"/>
      <c r="AA684" s="2"/>
      <c r="AB684" s="2"/>
      <c r="AC684" s="2"/>
      <c r="AD684" s="2"/>
      <c r="AE684" s="2"/>
      <c r="AF684" s="2"/>
      <c r="AG684" s="2"/>
    </row>
    <row r="685" ht="14.25" customHeight="1">
      <c r="A685" s="2"/>
      <c r="B685" s="2"/>
      <c r="C685" s="2"/>
      <c r="D685" s="2"/>
      <c r="E685" s="2"/>
      <c r="F685" s="2"/>
      <c r="G685" s="2"/>
      <c r="H685" s="146"/>
      <c r="I685" s="146"/>
      <c r="J685" s="146"/>
      <c r="K685" s="146"/>
      <c r="L685" s="2"/>
      <c r="M685" s="2"/>
      <c r="N685" s="2"/>
      <c r="O685" s="2"/>
      <c r="P685" s="2"/>
      <c r="Q685" s="2"/>
      <c r="R685" s="2"/>
      <c r="S685" s="2"/>
      <c r="T685" s="2"/>
      <c r="U685" s="2"/>
      <c r="V685" s="2"/>
      <c r="W685" s="2"/>
      <c r="X685" s="2"/>
      <c r="Y685" s="2"/>
      <c r="Z685" s="2"/>
      <c r="AA685" s="2"/>
      <c r="AB685" s="2"/>
      <c r="AC685" s="2"/>
      <c r="AD685" s="2"/>
      <c r="AE685" s="2"/>
      <c r="AF685" s="2"/>
      <c r="AG685" s="2"/>
    </row>
    <row r="686" ht="14.25" customHeight="1">
      <c r="A686" s="2"/>
      <c r="B686" s="2"/>
      <c r="C686" s="2"/>
      <c r="D686" s="2"/>
      <c r="E686" s="2"/>
      <c r="F686" s="2"/>
      <c r="G686" s="2"/>
      <c r="H686" s="146"/>
      <c r="I686" s="146"/>
      <c r="J686" s="146"/>
      <c r="K686" s="146"/>
      <c r="L686" s="2"/>
      <c r="M686" s="2"/>
      <c r="N686" s="2"/>
      <c r="O686" s="2"/>
      <c r="P686" s="2"/>
      <c r="Q686" s="2"/>
      <c r="R686" s="2"/>
      <c r="S686" s="2"/>
      <c r="T686" s="2"/>
      <c r="U686" s="2"/>
      <c r="V686" s="2"/>
      <c r="W686" s="2"/>
      <c r="X686" s="2"/>
      <c r="Y686" s="2"/>
      <c r="Z686" s="2"/>
      <c r="AA686" s="2"/>
      <c r="AB686" s="2"/>
      <c r="AC686" s="2"/>
      <c r="AD686" s="2"/>
      <c r="AE686" s="2"/>
      <c r="AF686" s="2"/>
      <c r="AG686" s="2"/>
    </row>
    <row r="687" ht="14.25" customHeight="1">
      <c r="A687" s="2"/>
      <c r="B687" s="2"/>
      <c r="C687" s="2"/>
      <c r="D687" s="2"/>
      <c r="E687" s="2"/>
      <c r="F687" s="2"/>
      <c r="G687" s="2"/>
      <c r="H687" s="146"/>
      <c r="I687" s="146"/>
      <c r="J687" s="146"/>
      <c r="K687" s="146"/>
      <c r="L687" s="2"/>
      <c r="M687" s="2"/>
      <c r="N687" s="2"/>
      <c r="O687" s="2"/>
      <c r="P687" s="2"/>
      <c r="Q687" s="2"/>
      <c r="R687" s="2"/>
      <c r="S687" s="2"/>
      <c r="T687" s="2"/>
      <c r="U687" s="2"/>
      <c r="V687" s="2"/>
      <c r="W687" s="2"/>
      <c r="X687" s="2"/>
      <c r="Y687" s="2"/>
      <c r="Z687" s="2"/>
      <c r="AA687" s="2"/>
      <c r="AB687" s="2"/>
      <c r="AC687" s="2"/>
      <c r="AD687" s="2"/>
      <c r="AE687" s="2"/>
      <c r="AF687" s="2"/>
      <c r="AG687" s="2"/>
    </row>
    <row r="688" ht="14.25" customHeight="1">
      <c r="A688" s="2"/>
      <c r="B688" s="2"/>
      <c r="C688" s="2"/>
      <c r="D688" s="2"/>
      <c r="E688" s="2"/>
      <c r="F688" s="2"/>
      <c r="G688" s="2"/>
      <c r="H688" s="146"/>
      <c r="I688" s="146"/>
      <c r="J688" s="146"/>
      <c r="K688" s="146"/>
      <c r="L688" s="2"/>
      <c r="M688" s="2"/>
      <c r="N688" s="2"/>
      <c r="O688" s="2"/>
      <c r="P688" s="2"/>
      <c r="Q688" s="2"/>
      <c r="R688" s="2"/>
      <c r="S688" s="2"/>
      <c r="T688" s="2"/>
      <c r="U688" s="2"/>
      <c r="V688" s="2"/>
      <c r="W688" s="2"/>
      <c r="X688" s="2"/>
      <c r="Y688" s="2"/>
      <c r="Z688" s="2"/>
      <c r="AA688" s="2"/>
      <c r="AB688" s="2"/>
      <c r="AC688" s="2"/>
      <c r="AD688" s="2"/>
      <c r="AE688" s="2"/>
      <c r="AF688" s="2"/>
      <c r="AG688" s="2"/>
    </row>
    <row r="689" ht="14.25" customHeight="1">
      <c r="A689" s="2"/>
      <c r="B689" s="2"/>
      <c r="C689" s="2"/>
      <c r="D689" s="2"/>
      <c r="E689" s="2"/>
      <c r="F689" s="2"/>
      <c r="G689" s="2"/>
      <c r="H689" s="146"/>
      <c r="I689" s="146"/>
      <c r="J689" s="146"/>
      <c r="K689" s="146"/>
      <c r="L689" s="2"/>
      <c r="M689" s="2"/>
      <c r="N689" s="2"/>
      <c r="O689" s="2"/>
      <c r="P689" s="2"/>
      <c r="Q689" s="2"/>
      <c r="R689" s="2"/>
      <c r="S689" s="2"/>
      <c r="T689" s="2"/>
      <c r="U689" s="2"/>
      <c r="V689" s="2"/>
      <c r="W689" s="2"/>
      <c r="X689" s="2"/>
      <c r="Y689" s="2"/>
      <c r="Z689" s="2"/>
      <c r="AA689" s="2"/>
      <c r="AB689" s="2"/>
      <c r="AC689" s="2"/>
      <c r="AD689" s="2"/>
      <c r="AE689" s="2"/>
      <c r="AF689" s="2"/>
      <c r="AG689" s="2"/>
    </row>
    <row r="690" ht="14.25" customHeight="1">
      <c r="A690" s="2"/>
      <c r="B690" s="2"/>
      <c r="C690" s="2"/>
      <c r="D690" s="2"/>
      <c r="E690" s="2"/>
      <c r="F690" s="2"/>
      <c r="G690" s="2"/>
      <c r="H690" s="146"/>
      <c r="I690" s="146"/>
      <c r="J690" s="146"/>
      <c r="K690" s="146"/>
      <c r="L690" s="2"/>
      <c r="M690" s="2"/>
      <c r="N690" s="2"/>
      <c r="O690" s="2"/>
      <c r="P690" s="2"/>
      <c r="Q690" s="2"/>
      <c r="R690" s="2"/>
      <c r="S690" s="2"/>
      <c r="T690" s="2"/>
      <c r="U690" s="2"/>
      <c r="V690" s="2"/>
      <c r="W690" s="2"/>
      <c r="X690" s="2"/>
      <c r="Y690" s="2"/>
      <c r="Z690" s="2"/>
      <c r="AA690" s="2"/>
      <c r="AB690" s="2"/>
      <c r="AC690" s="2"/>
      <c r="AD690" s="2"/>
      <c r="AE690" s="2"/>
      <c r="AF690" s="2"/>
      <c r="AG690" s="2"/>
    </row>
    <row r="691" ht="14.25" customHeight="1">
      <c r="A691" s="2"/>
      <c r="B691" s="2"/>
      <c r="C691" s="2"/>
      <c r="D691" s="2"/>
      <c r="E691" s="2"/>
      <c r="F691" s="2"/>
      <c r="G691" s="2"/>
      <c r="H691" s="146"/>
      <c r="I691" s="146"/>
      <c r="J691" s="146"/>
      <c r="K691" s="146"/>
      <c r="L691" s="2"/>
      <c r="M691" s="2"/>
      <c r="N691" s="2"/>
      <c r="O691" s="2"/>
      <c r="P691" s="2"/>
      <c r="Q691" s="2"/>
      <c r="R691" s="2"/>
      <c r="S691" s="2"/>
      <c r="T691" s="2"/>
      <c r="U691" s="2"/>
      <c r="V691" s="2"/>
      <c r="W691" s="2"/>
      <c r="X691" s="2"/>
      <c r="Y691" s="2"/>
      <c r="Z691" s="2"/>
      <c r="AA691" s="2"/>
      <c r="AB691" s="2"/>
      <c r="AC691" s="2"/>
      <c r="AD691" s="2"/>
      <c r="AE691" s="2"/>
      <c r="AF691" s="2"/>
      <c r="AG691" s="2"/>
    </row>
    <row r="692" ht="14.25" customHeight="1">
      <c r="A692" s="2"/>
      <c r="B692" s="2"/>
      <c r="C692" s="2"/>
      <c r="D692" s="2"/>
      <c r="E692" s="2"/>
      <c r="F692" s="2"/>
      <c r="G692" s="2"/>
      <c r="H692" s="146"/>
      <c r="I692" s="146"/>
      <c r="J692" s="146"/>
      <c r="K692" s="146"/>
      <c r="L692" s="2"/>
      <c r="M692" s="2"/>
      <c r="N692" s="2"/>
      <c r="O692" s="2"/>
      <c r="P692" s="2"/>
      <c r="Q692" s="2"/>
      <c r="R692" s="2"/>
      <c r="S692" s="2"/>
      <c r="T692" s="2"/>
      <c r="U692" s="2"/>
      <c r="V692" s="2"/>
      <c r="W692" s="2"/>
      <c r="X692" s="2"/>
      <c r="Y692" s="2"/>
      <c r="Z692" s="2"/>
      <c r="AA692" s="2"/>
      <c r="AB692" s="2"/>
      <c r="AC692" s="2"/>
      <c r="AD692" s="2"/>
      <c r="AE692" s="2"/>
      <c r="AF692" s="2"/>
      <c r="AG692" s="2"/>
    </row>
    <row r="693" ht="14.25" customHeight="1">
      <c r="A693" s="2"/>
      <c r="B693" s="2"/>
      <c r="C693" s="2"/>
      <c r="D693" s="2"/>
      <c r="E693" s="2"/>
      <c r="F693" s="2"/>
      <c r="G693" s="2"/>
      <c r="H693" s="146"/>
      <c r="I693" s="146"/>
      <c r="J693" s="146"/>
      <c r="K693" s="146"/>
      <c r="L693" s="2"/>
      <c r="M693" s="2"/>
      <c r="N693" s="2"/>
      <c r="O693" s="2"/>
      <c r="P693" s="2"/>
      <c r="Q693" s="2"/>
      <c r="R693" s="2"/>
      <c r="S693" s="2"/>
      <c r="T693" s="2"/>
      <c r="U693" s="2"/>
      <c r="V693" s="2"/>
      <c r="W693" s="2"/>
      <c r="X693" s="2"/>
      <c r="Y693" s="2"/>
      <c r="Z693" s="2"/>
      <c r="AA693" s="2"/>
      <c r="AB693" s="2"/>
      <c r="AC693" s="2"/>
      <c r="AD693" s="2"/>
      <c r="AE693" s="2"/>
      <c r="AF693" s="2"/>
      <c r="AG693" s="2"/>
    </row>
    <row r="694" ht="14.25" customHeight="1">
      <c r="A694" s="2"/>
      <c r="B694" s="2"/>
      <c r="C694" s="2"/>
      <c r="D694" s="2"/>
      <c r="E694" s="2"/>
      <c r="F694" s="2"/>
      <c r="G694" s="2"/>
      <c r="H694" s="146"/>
      <c r="I694" s="146"/>
      <c r="J694" s="146"/>
      <c r="K694" s="146"/>
      <c r="L694" s="2"/>
      <c r="M694" s="2"/>
      <c r="N694" s="2"/>
      <c r="O694" s="2"/>
      <c r="P694" s="2"/>
      <c r="Q694" s="2"/>
      <c r="R694" s="2"/>
      <c r="S694" s="2"/>
      <c r="T694" s="2"/>
      <c r="U694" s="2"/>
      <c r="V694" s="2"/>
      <c r="W694" s="2"/>
      <c r="X694" s="2"/>
      <c r="Y694" s="2"/>
      <c r="Z694" s="2"/>
      <c r="AA694" s="2"/>
      <c r="AB694" s="2"/>
      <c r="AC694" s="2"/>
      <c r="AD694" s="2"/>
      <c r="AE694" s="2"/>
      <c r="AF694" s="2"/>
      <c r="AG694" s="2"/>
    </row>
    <row r="695" ht="14.25" customHeight="1">
      <c r="A695" s="2"/>
      <c r="B695" s="2"/>
      <c r="C695" s="2"/>
      <c r="D695" s="2"/>
      <c r="E695" s="2"/>
      <c r="F695" s="2"/>
      <c r="G695" s="2"/>
      <c r="H695" s="146"/>
      <c r="I695" s="146"/>
      <c r="J695" s="146"/>
      <c r="K695" s="146"/>
      <c r="L695" s="2"/>
      <c r="M695" s="2"/>
      <c r="N695" s="2"/>
      <c r="O695" s="2"/>
      <c r="P695" s="2"/>
      <c r="Q695" s="2"/>
      <c r="R695" s="2"/>
      <c r="S695" s="2"/>
      <c r="T695" s="2"/>
      <c r="U695" s="2"/>
      <c r="V695" s="2"/>
      <c r="W695" s="2"/>
      <c r="X695" s="2"/>
      <c r="Y695" s="2"/>
      <c r="Z695" s="2"/>
      <c r="AA695" s="2"/>
      <c r="AB695" s="2"/>
      <c r="AC695" s="2"/>
      <c r="AD695" s="2"/>
      <c r="AE695" s="2"/>
      <c r="AF695" s="2"/>
      <c r="AG695" s="2"/>
    </row>
    <row r="696" ht="14.25" customHeight="1">
      <c r="A696" s="2"/>
      <c r="B696" s="2"/>
      <c r="C696" s="2"/>
      <c r="D696" s="2"/>
      <c r="E696" s="2"/>
      <c r="F696" s="2"/>
      <c r="G696" s="2"/>
      <c r="H696" s="146"/>
      <c r="I696" s="146"/>
      <c r="J696" s="146"/>
      <c r="K696" s="146"/>
      <c r="L696" s="2"/>
      <c r="M696" s="2"/>
      <c r="N696" s="2"/>
      <c r="O696" s="2"/>
      <c r="P696" s="2"/>
      <c r="Q696" s="2"/>
      <c r="R696" s="2"/>
      <c r="S696" s="2"/>
      <c r="T696" s="2"/>
      <c r="U696" s="2"/>
      <c r="V696" s="2"/>
      <c r="W696" s="2"/>
      <c r="X696" s="2"/>
      <c r="Y696" s="2"/>
      <c r="Z696" s="2"/>
      <c r="AA696" s="2"/>
      <c r="AB696" s="2"/>
      <c r="AC696" s="2"/>
      <c r="AD696" s="2"/>
      <c r="AE696" s="2"/>
      <c r="AF696" s="2"/>
      <c r="AG696" s="2"/>
    </row>
    <row r="697" ht="14.25" customHeight="1">
      <c r="A697" s="2"/>
      <c r="B697" s="2"/>
      <c r="C697" s="2"/>
      <c r="D697" s="2"/>
      <c r="E697" s="2"/>
      <c r="F697" s="2"/>
      <c r="G697" s="2"/>
      <c r="H697" s="146"/>
      <c r="I697" s="146"/>
      <c r="J697" s="146"/>
      <c r="K697" s="146"/>
      <c r="L697" s="2"/>
      <c r="M697" s="2"/>
      <c r="N697" s="2"/>
      <c r="O697" s="2"/>
      <c r="P697" s="2"/>
      <c r="Q697" s="2"/>
      <c r="R697" s="2"/>
      <c r="S697" s="2"/>
      <c r="T697" s="2"/>
      <c r="U697" s="2"/>
      <c r="V697" s="2"/>
      <c r="W697" s="2"/>
      <c r="X697" s="2"/>
      <c r="Y697" s="2"/>
      <c r="Z697" s="2"/>
      <c r="AA697" s="2"/>
      <c r="AB697" s="2"/>
      <c r="AC697" s="2"/>
      <c r="AD697" s="2"/>
      <c r="AE697" s="2"/>
      <c r="AF697" s="2"/>
      <c r="AG697" s="2"/>
    </row>
    <row r="698" ht="14.25" customHeight="1">
      <c r="A698" s="2"/>
      <c r="B698" s="2"/>
      <c r="C698" s="2"/>
      <c r="D698" s="2"/>
      <c r="E698" s="2"/>
      <c r="F698" s="2"/>
      <c r="G698" s="2"/>
      <c r="H698" s="146"/>
      <c r="I698" s="146"/>
      <c r="J698" s="146"/>
      <c r="K698" s="146"/>
      <c r="L698" s="2"/>
      <c r="M698" s="2"/>
      <c r="N698" s="2"/>
      <c r="O698" s="2"/>
      <c r="P698" s="2"/>
      <c r="Q698" s="2"/>
      <c r="R698" s="2"/>
      <c r="S698" s="2"/>
      <c r="T698" s="2"/>
      <c r="U698" s="2"/>
      <c r="V698" s="2"/>
      <c r="W698" s="2"/>
      <c r="X698" s="2"/>
      <c r="Y698" s="2"/>
      <c r="Z698" s="2"/>
      <c r="AA698" s="2"/>
      <c r="AB698" s="2"/>
      <c r="AC698" s="2"/>
      <c r="AD698" s="2"/>
      <c r="AE698" s="2"/>
      <c r="AF698" s="2"/>
      <c r="AG698" s="2"/>
    </row>
    <row r="699" ht="14.25" customHeight="1">
      <c r="A699" s="2"/>
      <c r="B699" s="2"/>
      <c r="C699" s="2"/>
      <c r="D699" s="2"/>
      <c r="E699" s="2"/>
      <c r="F699" s="2"/>
      <c r="G699" s="2"/>
      <c r="H699" s="146"/>
      <c r="I699" s="146"/>
      <c r="J699" s="146"/>
      <c r="K699" s="146"/>
      <c r="L699" s="2"/>
      <c r="M699" s="2"/>
      <c r="N699" s="2"/>
      <c r="O699" s="2"/>
      <c r="P699" s="2"/>
      <c r="Q699" s="2"/>
      <c r="R699" s="2"/>
      <c r="S699" s="2"/>
      <c r="T699" s="2"/>
      <c r="U699" s="2"/>
      <c r="V699" s="2"/>
      <c r="W699" s="2"/>
      <c r="X699" s="2"/>
      <c r="Y699" s="2"/>
      <c r="Z699" s="2"/>
      <c r="AA699" s="2"/>
      <c r="AB699" s="2"/>
      <c r="AC699" s="2"/>
      <c r="AD699" s="2"/>
      <c r="AE699" s="2"/>
      <c r="AF699" s="2"/>
      <c r="AG699" s="2"/>
    </row>
    <row r="700" ht="14.25" customHeight="1">
      <c r="A700" s="2"/>
      <c r="B700" s="2"/>
      <c r="C700" s="2"/>
      <c r="D700" s="2"/>
      <c r="E700" s="2"/>
      <c r="F700" s="2"/>
      <c r="G700" s="2"/>
      <c r="H700" s="146"/>
      <c r="I700" s="146"/>
      <c r="J700" s="146"/>
      <c r="K700" s="146"/>
      <c r="L700" s="2"/>
      <c r="M700" s="2"/>
      <c r="N700" s="2"/>
      <c r="O700" s="2"/>
      <c r="P700" s="2"/>
      <c r="Q700" s="2"/>
      <c r="R700" s="2"/>
      <c r="S700" s="2"/>
      <c r="T700" s="2"/>
      <c r="U700" s="2"/>
      <c r="V700" s="2"/>
      <c r="W700" s="2"/>
      <c r="X700" s="2"/>
      <c r="Y700" s="2"/>
      <c r="Z700" s="2"/>
      <c r="AA700" s="2"/>
      <c r="AB700" s="2"/>
      <c r="AC700" s="2"/>
      <c r="AD700" s="2"/>
      <c r="AE700" s="2"/>
      <c r="AF700" s="2"/>
      <c r="AG700" s="2"/>
    </row>
    <row r="701" ht="14.25" customHeight="1">
      <c r="A701" s="2"/>
      <c r="B701" s="2"/>
      <c r="C701" s="2"/>
      <c r="D701" s="2"/>
      <c r="E701" s="2"/>
      <c r="F701" s="2"/>
      <c r="G701" s="2"/>
      <c r="H701" s="146"/>
      <c r="I701" s="146"/>
      <c r="J701" s="146"/>
      <c r="K701" s="146"/>
      <c r="L701" s="2"/>
      <c r="M701" s="2"/>
      <c r="N701" s="2"/>
      <c r="O701" s="2"/>
      <c r="P701" s="2"/>
      <c r="Q701" s="2"/>
      <c r="R701" s="2"/>
      <c r="S701" s="2"/>
      <c r="T701" s="2"/>
      <c r="U701" s="2"/>
      <c r="V701" s="2"/>
      <c r="W701" s="2"/>
      <c r="X701" s="2"/>
      <c r="Y701" s="2"/>
      <c r="Z701" s="2"/>
      <c r="AA701" s="2"/>
      <c r="AB701" s="2"/>
      <c r="AC701" s="2"/>
      <c r="AD701" s="2"/>
      <c r="AE701" s="2"/>
      <c r="AF701" s="2"/>
      <c r="AG701" s="2"/>
    </row>
    <row r="702" ht="14.25" customHeight="1">
      <c r="A702" s="2"/>
      <c r="B702" s="2"/>
      <c r="C702" s="2"/>
      <c r="D702" s="2"/>
      <c r="E702" s="2"/>
      <c r="F702" s="2"/>
      <c r="G702" s="2"/>
      <c r="H702" s="146"/>
      <c r="I702" s="146"/>
      <c r="J702" s="146"/>
      <c r="K702" s="146"/>
      <c r="L702" s="2"/>
      <c r="M702" s="2"/>
      <c r="N702" s="2"/>
      <c r="O702" s="2"/>
      <c r="P702" s="2"/>
      <c r="Q702" s="2"/>
      <c r="R702" s="2"/>
      <c r="S702" s="2"/>
      <c r="T702" s="2"/>
      <c r="U702" s="2"/>
      <c r="V702" s="2"/>
      <c r="W702" s="2"/>
      <c r="X702" s="2"/>
      <c r="Y702" s="2"/>
      <c r="Z702" s="2"/>
      <c r="AA702" s="2"/>
      <c r="AB702" s="2"/>
      <c r="AC702" s="2"/>
      <c r="AD702" s="2"/>
      <c r="AE702" s="2"/>
      <c r="AF702" s="2"/>
      <c r="AG702" s="2"/>
    </row>
    <row r="703" ht="14.25" customHeight="1">
      <c r="A703" s="2"/>
      <c r="B703" s="2"/>
      <c r="C703" s="2"/>
      <c r="D703" s="2"/>
      <c r="E703" s="2"/>
      <c r="F703" s="2"/>
      <c r="G703" s="2"/>
      <c r="H703" s="146"/>
      <c r="I703" s="146"/>
      <c r="J703" s="146"/>
      <c r="K703" s="146"/>
      <c r="L703" s="2"/>
      <c r="M703" s="2"/>
      <c r="N703" s="2"/>
      <c r="O703" s="2"/>
      <c r="P703" s="2"/>
      <c r="Q703" s="2"/>
      <c r="R703" s="2"/>
      <c r="S703" s="2"/>
      <c r="T703" s="2"/>
      <c r="U703" s="2"/>
      <c r="V703" s="2"/>
      <c r="W703" s="2"/>
      <c r="X703" s="2"/>
      <c r="Y703" s="2"/>
      <c r="Z703" s="2"/>
      <c r="AA703" s="2"/>
      <c r="AB703" s="2"/>
      <c r="AC703" s="2"/>
      <c r="AD703" s="2"/>
      <c r="AE703" s="2"/>
      <c r="AF703" s="2"/>
      <c r="AG703" s="2"/>
    </row>
    <row r="704" ht="14.25" customHeight="1">
      <c r="A704" s="2"/>
      <c r="B704" s="2"/>
      <c r="C704" s="2"/>
      <c r="D704" s="2"/>
      <c r="E704" s="2"/>
      <c r="F704" s="2"/>
      <c r="G704" s="2"/>
      <c r="H704" s="146"/>
      <c r="I704" s="146"/>
      <c r="J704" s="146"/>
      <c r="K704" s="146"/>
      <c r="L704" s="2"/>
      <c r="M704" s="2"/>
      <c r="N704" s="2"/>
      <c r="O704" s="2"/>
      <c r="P704" s="2"/>
      <c r="Q704" s="2"/>
      <c r="R704" s="2"/>
      <c r="S704" s="2"/>
      <c r="T704" s="2"/>
      <c r="U704" s="2"/>
      <c r="V704" s="2"/>
      <c r="W704" s="2"/>
      <c r="X704" s="2"/>
      <c r="Y704" s="2"/>
      <c r="Z704" s="2"/>
      <c r="AA704" s="2"/>
      <c r="AB704" s="2"/>
      <c r="AC704" s="2"/>
      <c r="AD704" s="2"/>
      <c r="AE704" s="2"/>
      <c r="AF704" s="2"/>
      <c r="AG704" s="2"/>
    </row>
    <row r="705" ht="14.25" customHeight="1">
      <c r="A705" s="2"/>
      <c r="B705" s="2"/>
      <c r="C705" s="2"/>
      <c r="D705" s="2"/>
      <c r="E705" s="2"/>
      <c r="F705" s="2"/>
      <c r="G705" s="2"/>
      <c r="H705" s="146"/>
      <c r="I705" s="146"/>
      <c r="J705" s="146"/>
      <c r="K705" s="146"/>
      <c r="L705" s="2"/>
      <c r="M705" s="2"/>
      <c r="N705" s="2"/>
      <c r="O705" s="2"/>
      <c r="P705" s="2"/>
      <c r="Q705" s="2"/>
      <c r="R705" s="2"/>
      <c r="S705" s="2"/>
      <c r="T705" s="2"/>
      <c r="U705" s="2"/>
      <c r="V705" s="2"/>
      <c r="W705" s="2"/>
      <c r="X705" s="2"/>
      <c r="Y705" s="2"/>
      <c r="Z705" s="2"/>
      <c r="AA705" s="2"/>
      <c r="AB705" s="2"/>
      <c r="AC705" s="2"/>
      <c r="AD705" s="2"/>
      <c r="AE705" s="2"/>
      <c r="AF705" s="2"/>
      <c r="AG705" s="2"/>
    </row>
    <row r="706" ht="14.25" customHeight="1">
      <c r="A706" s="2"/>
      <c r="B706" s="2"/>
      <c r="C706" s="2"/>
      <c r="D706" s="2"/>
      <c r="E706" s="2"/>
      <c r="F706" s="2"/>
      <c r="G706" s="2"/>
      <c r="H706" s="146"/>
      <c r="I706" s="146"/>
      <c r="J706" s="146"/>
      <c r="K706" s="146"/>
      <c r="L706" s="2"/>
      <c r="M706" s="2"/>
      <c r="N706" s="2"/>
      <c r="O706" s="2"/>
      <c r="P706" s="2"/>
      <c r="Q706" s="2"/>
      <c r="R706" s="2"/>
      <c r="S706" s="2"/>
      <c r="T706" s="2"/>
      <c r="U706" s="2"/>
      <c r="V706" s="2"/>
      <c r="W706" s="2"/>
      <c r="X706" s="2"/>
      <c r="Y706" s="2"/>
      <c r="Z706" s="2"/>
      <c r="AA706" s="2"/>
      <c r="AB706" s="2"/>
      <c r="AC706" s="2"/>
      <c r="AD706" s="2"/>
      <c r="AE706" s="2"/>
      <c r="AF706" s="2"/>
      <c r="AG706" s="2"/>
    </row>
    <row r="707" ht="14.25" customHeight="1">
      <c r="A707" s="2"/>
      <c r="B707" s="2"/>
      <c r="C707" s="2"/>
      <c r="D707" s="2"/>
      <c r="E707" s="2"/>
      <c r="F707" s="2"/>
      <c r="G707" s="2"/>
      <c r="H707" s="146"/>
      <c r="I707" s="146"/>
      <c r="J707" s="146"/>
      <c r="K707" s="146"/>
      <c r="L707" s="2"/>
      <c r="M707" s="2"/>
      <c r="N707" s="2"/>
      <c r="O707" s="2"/>
      <c r="P707" s="2"/>
      <c r="Q707" s="2"/>
      <c r="R707" s="2"/>
      <c r="S707" s="2"/>
      <c r="T707" s="2"/>
      <c r="U707" s="2"/>
      <c r="V707" s="2"/>
      <c r="W707" s="2"/>
      <c r="X707" s="2"/>
      <c r="Y707" s="2"/>
      <c r="Z707" s="2"/>
      <c r="AA707" s="2"/>
      <c r="AB707" s="2"/>
      <c r="AC707" s="2"/>
      <c r="AD707" s="2"/>
      <c r="AE707" s="2"/>
      <c r="AF707" s="2"/>
      <c r="AG707" s="2"/>
    </row>
    <row r="708" ht="14.25" customHeight="1">
      <c r="A708" s="2"/>
      <c r="B708" s="2"/>
      <c r="C708" s="2"/>
      <c r="D708" s="2"/>
      <c r="E708" s="2"/>
      <c r="F708" s="2"/>
      <c r="G708" s="2"/>
      <c r="H708" s="146"/>
      <c r="I708" s="146"/>
      <c r="J708" s="146"/>
      <c r="K708" s="146"/>
      <c r="L708" s="2"/>
      <c r="M708" s="2"/>
      <c r="N708" s="2"/>
      <c r="O708" s="2"/>
      <c r="P708" s="2"/>
      <c r="Q708" s="2"/>
      <c r="R708" s="2"/>
      <c r="S708" s="2"/>
      <c r="T708" s="2"/>
      <c r="U708" s="2"/>
      <c r="V708" s="2"/>
      <c r="W708" s="2"/>
      <c r="X708" s="2"/>
      <c r="Y708" s="2"/>
      <c r="Z708" s="2"/>
      <c r="AA708" s="2"/>
      <c r="AB708" s="2"/>
      <c r="AC708" s="2"/>
      <c r="AD708" s="2"/>
      <c r="AE708" s="2"/>
      <c r="AF708" s="2"/>
      <c r="AG708" s="2"/>
    </row>
    <row r="709" ht="14.25" customHeight="1">
      <c r="A709" s="2"/>
      <c r="B709" s="2"/>
      <c r="C709" s="2"/>
      <c r="D709" s="2"/>
      <c r="E709" s="2"/>
      <c r="F709" s="2"/>
      <c r="G709" s="2"/>
      <c r="H709" s="146"/>
      <c r="I709" s="146"/>
      <c r="J709" s="146"/>
      <c r="K709" s="146"/>
      <c r="L709" s="2"/>
      <c r="M709" s="2"/>
      <c r="N709" s="2"/>
      <c r="O709" s="2"/>
      <c r="P709" s="2"/>
      <c r="Q709" s="2"/>
      <c r="R709" s="2"/>
      <c r="S709" s="2"/>
      <c r="T709" s="2"/>
      <c r="U709" s="2"/>
      <c r="V709" s="2"/>
      <c r="W709" s="2"/>
      <c r="X709" s="2"/>
      <c r="Y709" s="2"/>
      <c r="Z709" s="2"/>
      <c r="AA709" s="2"/>
      <c r="AB709" s="2"/>
      <c r="AC709" s="2"/>
      <c r="AD709" s="2"/>
      <c r="AE709" s="2"/>
      <c r="AF709" s="2"/>
      <c r="AG709" s="2"/>
    </row>
    <row r="710" ht="14.25" customHeight="1">
      <c r="A710" s="2"/>
      <c r="B710" s="2"/>
      <c r="C710" s="2"/>
      <c r="D710" s="2"/>
      <c r="E710" s="2"/>
      <c r="F710" s="2"/>
      <c r="G710" s="2"/>
      <c r="H710" s="146"/>
      <c r="I710" s="146"/>
      <c r="J710" s="146"/>
      <c r="K710" s="146"/>
      <c r="L710" s="2"/>
      <c r="M710" s="2"/>
      <c r="N710" s="2"/>
      <c r="O710" s="2"/>
      <c r="P710" s="2"/>
      <c r="Q710" s="2"/>
      <c r="R710" s="2"/>
      <c r="S710" s="2"/>
      <c r="T710" s="2"/>
      <c r="U710" s="2"/>
      <c r="V710" s="2"/>
      <c r="W710" s="2"/>
      <c r="X710" s="2"/>
      <c r="Y710" s="2"/>
      <c r="Z710" s="2"/>
      <c r="AA710" s="2"/>
      <c r="AB710" s="2"/>
      <c r="AC710" s="2"/>
      <c r="AD710" s="2"/>
      <c r="AE710" s="2"/>
      <c r="AF710" s="2"/>
      <c r="AG710" s="2"/>
    </row>
    <row r="711" ht="14.25" customHeight="1">
      <c r="A711" s="2"/>
      <c r="B711" s="2"/>
      <c r="C711" s="2"/>
      <c r="D711" s="2"/>
      <c r="E711" s="2"/>
      <c r="F711" s="2"/>
      <c r="G711" s="2"/>
      <c r="H711" s="146"/>
      <c r="I711" s="146"/>
      <c r="J711" s="146"/>
      <c r="K711" s="146"/>
      <c r="L711" s="2"/>
      <c r="M711" s="2"/>
      <c r="N711" s="2"/>
      <c r="O711" s="2"/>
      <c r="P711" s="2"/>
      <c r="Q711" s="2"/>
      <c r="R711" s="2"/>
      <c r="S711" s="2"/>
      <c r="T711" s="2"/>
      <c r="U711" s="2"/>
      <c r="V711" s="2"/>
      <c r="W711" s="2"/>
      <c r="X711" s="2"/>
      <c r="Y711" s="2"/>
      <c r="Z711" s="2"/>
      <c r="AA711" s="2"/>
      <c r="AB711" s="2"/>
      <c r="AC711" s="2"/>
      <c r="AD711" s="2"/>
      <c r="AE711" s="2"/>
      <c r="AF711" s="2"/>
      <c r="AG711" s="2"/>
    </row>
    <row r="712" ht="14.25" customHeight="1">
      <c r="A712" s="2"/>
      <c r="B712" s="2"/>
      <c r="C712" s="2"/>
      <c r="D712" s="2"/>
      <c r="E712" s="2"/>
      <c r="F712" s="2"/>
      <c r="G712" s="2"/>
      <c r="H712" s="146"/>
      <c r="I712" s="146"/>
      <c r="J712" s="146"/>
      <c r="K712" s="146"/>
      <c r="L712" s="2"/>
      <c r="M712" s="2"/>
      <c r="N712" s="2"/>
      <c r="O712" s="2"/>
      <c r="P712" s="2"/>
      <c r="Q712" s="2"/>
      <c r="R712" s="2"/>
      <c r="S712" s="2"/>
      <c r="T712" s="2"/>
      <c r="U712" s="2"/>
      <c r="V712" s="2"/>
      <c r="W712" s="2"/>
      <c r="X712" s="2"/>
      <c r="Y712" s="2"/>
      <c r="Z712" s="2"/>
      <c r="AA712" s="2"/>
      <c r="AB712" s="2"/>
      <c r="AC712" s="2"/>
      <c r="AD712" s="2"/>
      <c r="AE712" s="2"/>
      <c r="AF712" s="2"/>
      <c r="AG712" s="2"/>
    </row>
    <row r="713" ht="14.25" customHeight="1">
      <c r="A713" s="2"/>
      <c r="B713" s="2"/>
      <c r="C713" s="2"/>
      <c r="D713" s="2"/>
      <c r="E713" s="2"/>
      <c r="F713" s="2"/>
      <c r="G713" s="2"/>
      <c r="H713" s="146"/>
      <c r="I713" s="146"/>
      <c r="J713" s="146"/>
      <c r="K713" s="146"/>
      <c r="L713" s="2"/>
      <c r="M713" s="2"/>
      <c r="N713" s="2"/>
      <c r="O713" s="2"/>
      <c r="P713" s="2"/>
      <c r="Q713" s="2"/>
      <c r="R713" s="2"/>
      <c r="S713" s="2"/>
      <c r="T713" s="2"/>
      <c r="U713" s="2"/>
      <c r="V713" s="2"/>
      <c r="W713" s="2"/>
      <c r="X713" s="2"/>
      <c r="Y713" s="2"/>
      <c r="Z713" s="2"/>
      <c r="AA713" s="2"/>
      <c r="AB713" s="2"/>
      <c r="AC713" s="2"/>
      <c r="AD713" s="2"/>
      <c r="AE713" s="2"/>
      <c r="AF713" s="2"/>
      <c r="AG713" s="2"/>
    </row>
    <row r="714" ht="14.25" customHeight="1">
      <c r="A714" s="2"/>
      <c r="B714" s="2"/>
      <c r="C714" s="2"/>
      <c r="D714" s="2"/>
      <c r="E714" s="2"/>
      <c r="F714" s="2"/>
      <c r="G714" s="2"/>
      <c r="H714" s="146"/>
      <c r="I714" s="146"/>
      <c r="J714" s="146"/>
      <c r="K714" s="146"/>
      <c r="L714" s="2"/>
      <c r="M714" s="2"/>
      <c r="N714" s="2"/>
      <c r="O714" s="2"/>
      <c r="P714" s="2"/>
      <c r="Q714" s="2"/>
      <c r="R714" s="2"/>
      <c r="S714" s="2"/>
      <c r="T714" s="2"/>
      <c r="U714" s="2"/>
      <c r="V714" s="2"/>
      <c r="W714" s="2"/>
      <c r="X714" s="2"/>
      <c r="Y714" s="2"/>
      <c r="Z714" s="2"/>
      <c r="AA714" s="2"/>
      <c r="AB714" s="2"/>
      <c r="AC714" s="2"/>
      <c r="AD714" s="2"/>
      <c r="AE714" s="2"/>
      <c r="AF714" s="2"/>
      <c r="AG714" s="2"/>
    </row>
    <row r="715" ht="14.25" customHeight="1">
      <c r="A715" s="2"/>
      <c r="B715" s="2"/>
      <c r="C715" s="2"/>
      <c r="D715" s="2"/>
      <c r="E715" s="2"/>
      <c r="F715" s="2"/>
      <c r="G715" s="2"/>
      <c r="H715" s="146"/>
      <c r="I715" s="146"/>
      <c r="J715" s="146"/>
      <c r="K715" s="146"/>
      <c r="L715" s="2"/>
      <c r="M715" s="2"/>
      <c r="N715" s="2"/>
      <c r="O715" s="2"/>
      <c r="P715" s="2"/>
      <c r="Q715" s="2"/>
      <c r="R715" s="2"/>
      <c r="S715" s="2"/>
      <c r="T715" s="2"/>
      <c r="U715" s="2"/>
      <c r="V715" s="2"/>
      <c r="W715" s="2"/>
      <c r="X715" s="2"/>
      <c r="Y715" s="2"/>
      <c r="Z715" s="2"/>
      <c r="AA715" s="2"/>
      <c r="AB715" s="2"/>
      <c r="AC715" s="2"/>
      <c r="AD715" s="2"/>
      <c r="AE715" s="2"/>
      <c r="AF715" s="2"/>
      <c r="AG715" s="2"/>
    </row>
    <row r="716" ht="14.25" customHeight="1">
      <c r="A716" s="2"/>
      <c r="B716" s="2"/>
      <c r="C716" s="2"/>
      <c r="D716" s="2"/>
      <c r="E716" s="2"/>
      <c r="F716" s="2"/>
      <c r="G716" s="2"/>
      <c r="H716" s="146"/>
      <c r="I716" s="146"/>
      <c r="J716" s="146"/>
      <c r="K716" s="146"/>
      <c r="L716" s="2"/>
      <c r="M716" s="2"/>
      <c r="N716" s="2"/>
      <c r="O716" s="2"/>
      <c r="P716" s="2"/>
      <c r="Q716" s="2"/>
      <c r="R716" s="2"/>
      <c r="S716" s="2"/>
      <c r="T716" s="2"/>
      <c r="U716" s="2"/>
      <c r="V716" s="2"/>
      <c r="W716" s="2"/>
      <c r="X716" s="2"/>
      <c r="Y716" s="2"/>
      <c r="Z716" s="2"/>
      <c r="AA716" s="2"/>
      <c r="AB716" s="2"/>
      <c r="AC716" s="2"/>
      <c r="AD716" s="2"/>
      <c r="AE716" s="2"/>
      <c r="AF716" s="2"/>
      <c r="AG716" s="2"/>
    </row>
    <row r="717" ht="14.25" customHeight="1">
      <c r="A717" s="2"/>
      <c r="B717" s="2"/>
      <c r="C717" s="2"/>
      <c r="D717" s="2"/>
      <c r="E717" s="2"/>
      <c r="F717" s="2"/>
      <c r="G717" s="2"/>
      <c r="H717" s="146"/>
      <c r="I717" s="146"/>
      <c r="J717" s="146"/>
      <c r="K717" s="146"/>
      <c r="L717" s="2"/>
      <c r="M717" s="2"/>
      <c r="N717" s="2"/>
      <c r="O717" s="2"/>
      <c r="P717" s="2"/>
      <c r="Q717" s="2"/>
      <c r="R717" s="2"/>
      <c r="S717" s="2"/>
      <c r="T717" s="2"/>
      <c r="U717" s="2"/>
      <c r="V717" s="2"/>
      <c r="W717" s="2"/>
      <c r="X717" s="2"/>
      <c r="Y717" s="2"/>
      <c r="Z717" s="2"/>
      <c r="AA717" s="2"/>
      <c r="AB717" s="2"/>
      <c r="AC717" s="2"/>
      <c r="AD717" s="2"/>
      <c r="AE717" s="2"/>
      <c r="AF717" s="2"/>
      <c r="AG717" s="2"/>
    </row>
    <row r="718" ht="14.25" customHeight="1">
      <c r="A718" s="2"/>
      <c r="B718" s="2"/>
      <c r="C718" s="2"/>
      <c r="D718" s="2"/>
      <c r="E718" s="2"/>
      <c r="F718" s="2"/>
      <c r="G718" s="2"/>
      <c r="H718" s="146"/>
      <c r="I718" s="146"/>
      <c r="J718" s="146"/>
      <c r="K718" s="146"/>
      <c r="L718" s="2"/>
      <c r="M718" s="2"/>
      <c r="N718" s="2"/>
      <c r="O718" s="2"/>
      <c r="P718" s="2"/>
      <c r="Q718" s="2"/>
      <c r="R718" s="2"/>
      <c r="S718" s="2"/>
      <c r="T718" s="2"/>
      <c r="U718" s="2"/>
      <c r="V718" s="2"/>
      <c r="W718" s="2"/>
      <c r="X718" s="2"/>
      <c r="Y718" s="2"/>
      <c r="Z718" s="2"/>
      <c r="AA718" s="2"/>
      <c r="AB718" s="2"/>
      <c r="AC718" s="2"/>
      <c r="AD718" s="2"/>
      <c r="AE718" s="2"/>
      <c r="AF718" s="2"/>
      <c r="AG718" s="2"/>
    </row>
    <row r="719" ht="14.25" customHeight="1">
      <c r="A719" s="2"/>
      <c r="B719" s="2"/>
      <c r="C719" s="2"/>
      <c r="D719" s="2"/>
      <c r="E719" s="2"/>
      <c r="F719" s="2"/>
      <c r="G719" s="2"/>
      <c r="H719" s="146"/>
      <c r="I719" s="146"/>
      <c r="J719" s="146"/>
      <c r="K719" s="146"/>
      <c r="L719" s="2"/>
      <c r="M719" s="2"/>
      <c r="N719" s="2"/>
      <c r="O719" s="2"/>
      <c r="P719" s="2"/>
      <c r="Q719" s="2"/>
      <c r="R719" s="2"/>
      <c r="S719" s="2"/>
      <c r="T719" s="2"/>
      <c r="U719" s="2"/>
      <c r="V719" s="2"/>
      <c r="W719" s="2"/>
      <c r="X719" s="2"/>
      <c r="Y719" s="2"/>
      <c r="Z719" s="2"/>
      <c r="AA719" s="2"/>
      <c r="AB719" s="2"/>
      <c r="AC719" s="2"/>
      <c r="AD719" s="2"/>
      <c r="AE719" s="2"/>
      <c r="AF719" s="2"/>
      <c r="AG719" s="2"/>
    </row>
    <row r="720" ht="14.25" customHeight="1">
      <c r="A720" s="2"/>
      <c r="B720" s="2"/>
      <c r="C720" s="2"/>
      <c r="D720" s="2"/>
      <c r="E720" s="2"/>
      <c r="F720" s="2"/>
      <c r="G720" s="2"/>
      <c r="H720" s="146"/>
      <c r="I720" s="146"/>
      <c r="J720" s="146"/>
      <c r="K720" s="146"/>
      <c r="L720" s="2"/>
      <c r="M720" s="2"/>
      <c r="N720" s="2"/>
      <c r="O720" s="2"/>
      <c r="P720" s="2"/>
      <c r="Q720" s="2"/>
      <c r="R720" s="2"/>
      <c r="S720" s="2"/>
      <c r="T720" s="2"/>
      <c r="U720" s="2"/>
      <c r="V720" s="2"/>
      <c r="W720" s="2"/>
      <c r="X720" s="2"/>
      <c r="Y720" s="2"/>
      <c r="Z720" s="2"/>
      <c r="AA720" s="2"/>
      <c r="AB720" s="2"/>
      <c r="AC720" s="2"/>
      <c r="AD720" s="2"/>
      <c r="AE720" s="2"/>
      <c r="AF720" s="2"/>
      <c r="AG720" s="2"/>
    </row>
    <row r="721" ht="14.25" customHeight="1">
      <c r="A721" s="2"/>
      <c r="B721" s="2"/>
      <c r="C721" s="2"/>
      <c r="D721" s="2"/>
      <c r="E721" s="2"/>
      <c r="F721" s="2"/>
      <c r="G721" s="2"/>
      <c r="H721" s="146"/>
      <c r="I721" s="146"/>
      <c r="J721" s="146"/>
      <c r="K721" s="146"/>
      <c r="L721" s="2"/>
      <c r="M721" s="2"/>
      <c r="N721" s="2"/>
      <c r="O721" s="2"/>
      <c r="P721" s="2"/>
      <c r="Q721" s="2"/>
      <c r="R721" s="2"/>
      <c r="S721" s="2"/>
      <c r="T721" s="2"/>
      <c r="U721" s="2"/>
      <c r="V721" s="2"/>
      <c r="W721" s="2"/>
      <c r="X721" s="2"/>
      <c r="Y721" s="2"/>
      <c r="Z721" s="2"/>
      <c r="AA721" s="2"/>
      <c r="AB721" s="2"/>
      <c r="AC721" s="2"/>
      <c r="AD721" s="2"/>
      <c r="AE721" s="2"/>
      <c r="AF721" s="2"/>
      <c r="AG721" s="2"/>
    </row>
    <row r="722" ht="14.25" customHeight="1">
      <c r="A722" s="2"/>
      <c r="B722" s="2"/>
      <c r="C722" s="2"/>
      <c r="D722" s="2"/>
      <c r="E722" s="2"/>
      <c r="F722" s="2"/>
      <c r="G722" s="2"/>
      <c r="H722" s="146"/>
      <c r="I722" s="146"/>
      <c r="J722" s="146"/>
      <c r="K722" s="146"/>
      <c r="L722" s="2"/>
      <c r="M722" s="2"/>
      <c r="N722" s="2"/>
      <c r="O722" s="2"/>
      <c r="P722" s="2"/>
      <c r="Q722" s="2"/>
      <c r="R722" s="2"/>
      <c r="S722" s="2"/>
      <c r="T722" s="2"/>
      <c r="U722" s="2"/>
      <c r="V722" s="2"/>
      <c r="W722" s="2"/>
      <c r="X722" s="2"/>
      <c r="Y722" s="2"/>
      <c r="Z722" s="2"/>
      <c r="AA722" s="2"/>
      <c r="AB722" s="2"/>
      <c r="AC722" s="2"/>
      <c r="AD722" s="2"/>
      <c r="AE722" s="2"/>
      <c r="AF722" s="2"/>
      <c r="AG722" s="2"/>
    </row>
    <row r="723" ht="14.25" customHeight="1">
      <c r="A723" s="2"/>
      <c r="B723" s="2"/>
      <c r="C723" s="2"/>
      <c r="D723" s="2"/>
      <c r="E723" s="2"/>
      <c r="F723" s="2"/>
      <c r="G723" s="2"/>
      <c r="H723" s="146"/>
      <c r="I723" s="146"/>
      <c r="J723" s="146"/>
      <c r="K723" s="146"/>
      <c r="L723" s="2"/>
      <c r="M723" s="2"/>
      <c r="N723" s="2"/>
      <c r="O723" s="2"/>
      <c r="P723" s="2"/>
      <c r="Q723" s="2"/>
      <c r="R723" s="2"/>
      <c r="S723" s="2"/>
      <c r="T723" s="2"/>
      <c r="U723" s="2"/>
      <c r="V723" s="2"/>
      <c r="W723" s="2"/>
      <c r="X723" s="2"/>
      <c r="Y723" s="2"/>
      <c r="Z723" s="2"/>
      <c r="AA723" s="2"/>
      <c r="AB723" s="2"/>
      <c r="AC723" s="2"/>
      <c r="AD723" s="2"/>
      <c r="AE723" s="2"/>
      <c r="AF723" s="2"/>
      <c r="AG723" s="2"/>
    </row>
    <row r="724" ht="14.25" customHeight="1">
      <c r="A724" s="2"/>
      <c r="B724" s="2"/>
      <c r="C724" s="2"/>
      <c r="D724" s="2"/>
      <c r="E724" s="2"/>
      <c r="F724" s="2"/>
      <c r="G724" s="2"/>
      <c r="H724" s="146"/>
      <c r="I724" s="146"/>
      <c r="J724" s="146"/>
      <c r="K724" s="146"/>
      <c r="L724" s="2"/>
      <c r="M724" s="2"/>
      <c r="N724" s="2"/>
      <c r="O724" s="2"/>
      <c r="P724" s="2"/>
      <c r="Q724" s="2"/>
      <c r="R724" s="2"/>
      <c r="S724" s="2"/>
      <c r="T724" s="2"/>
      <c r="U724" s="2"/>
      <c r="V724" s="2"/>
      <c r="W724" s="2"/>
      <c r="X724" s="2"/>
      <c r="Y724" s="2"/>
      <c r="Z724" s="2"/>
      <c r="AA724" s="2"/>
      <c r="AB724" s="2"/>
      <c r="AC724" s="2"/>
      <c r="AD724" s="2"/>
      <c r="AE724" s="2"/>
      <c r="AF724" s="2"/>
      <c r="AG724" s="2"/>
    </row>
    <row r="725" ht="14.25" customHeight="1">
      <c r="A725" s="2"/>
      <c r="B725" s="2"/>
      <c r="C725" s="2"/>
      <c r="D725" s="2"/>
      <c r="E725" s="2"/>
      <c r="F725" s="2"/>
      <c r="G725" s="2"/>
      <c r="H725" s="146"/>
      <c r="I725" s="146"/>
      <c r="J725" s="146"/>
      <c r="K725" s="146"/>
      <c r="L725" s="2"/>
      <c r="M725" s="2"/>
      <c r="N725" s="2"/>
      <c r="O725" s="2"/>
      <c r="P725" s="2"/>
      <c r="Q725" s="2"/>
      <c r="R725" s="2"/>
      <c r="S725" s="2"/>
      <c r="T725" s="2"/>
      <c r="U725" s="2"/>
      <c r="V725" s="2"/>
      <c r="W725" s="2"/>
      <c r="X725" s="2"/>
      <c r="Y725" s="2"/>
      <c r="Z725" s="2"/>
      <c r="AA725" s="2"/>
      <c r="AB725" s="2"/>
      <c r="AC725" s="2"/>
      <c r="AD725" s="2"/>
      <c r="AE725" s="2"/>
      <c r="AF725" s="2"/>
      <c r="AG725" s="2"/>
    </row>
    <row r="726" ht="14.25" customHeight="1">
      <c r="A726" s="2"/>
      <c r="B726" s="2"/>
      <c r="C726" s="2"/>
      <c r="D726" s="2"/>
      <c r="E726" s="2"/>
      <c r="F726" s="2"/>
      <c r="G726" s="2"/>
      <c r="H726" s="146"/>
      <c r="I726" s="146"/>
      <c r="J726" s="146"/>
      <c r="K726" s="146"/>
      <c r="L726" s="2"/>
      <c r="M726" s="2"/>
      <c r="N726" s="2"/>
      <c r="O726" s="2"/>
      <c r="P726" s="2"/>
      <c r="Q726" s="2"/>
      <c r="R726" s="2"/>
      <c r="S726" s="2"/>
      <c r="T726" s="2"/>
      <c r="U726" s="2"/>
      <c r="V726" s="2"/>
      <c r="W726" s="2"/>
      <c r="X726" s="2"/>
      <c r="Y726" s="2"/>
      <c r="Z726" s="2"/>
      <c r="AA726" s="2"/>
      <c r="AB726" s="2"/>
      <c r="AC726" s="2"/>
      <c r="AD726" s="2"/>
      <c r="AE726" s="2"/>
      <c r="AF726" s="2"/>
      <c r="AG726" s="2"/>
    </row>
    <row r="727" ht="14.25" customHeight="1">
      <c r="A727" s="2"/>
      <c r="B727" s="2"/>
      <c r="C727" s="2"/>
      <c r="D727" s="2"/>
      <c r="E727" s="2"/>
      <c r="F727" s="2"/>
      <c r="G727" s="2"/>
      <c r="H727" s="146"/>
      <c r="I727" s="146"/>
      <c r="J727" s="146"/>
      <c r="K727" s="146"/>
      <c r="L727" s="2"/>
      <c r="M727" s="2"/>
      <c r="N727" s="2"/>
      <c r="O727" s="2"/>
      <c r="P727" s="2"/>
      <c r="Q727" s="2"/>
      <c r="R727" s="2"/>
      <c r="S727" s="2"/>
      <c r="T727" s="2"/>
      <c r="U727" s="2"/>
      <c r="V727" s="2"/>
      <c r="W727" s="2"/>
      <c r="X727" s="2"/>
      <c r="Y727" s="2"/>
      <c r="Z727" s="2"/>
      <c r="AA727" s="2"/>
      <c r="AB727" s="2"/>
      <c r="AC727" s="2"/>
      <c r="AD727" s="2"/>
      <c r="AE727" s="2"/>
      <c r="AF727" s="2"/>
      <c r="AG727" s="2"/>
    </row>
    <row r="728" ht="14.25" customHeight="1">
      <c r="A728" s="2"/>
      <c r="B728" s="2"/>
      <c r="C728" s="2"/>
      <c r="D728" s="2"/>
      <c r="E728" s="2"/>
      <c r="F728" s="2"/>
      <c r="G728" s="2"/>
      <c r="H728" s="146"/>
      <c r="I728" s="146"/>
      <c r="J728" s="146"/>
      <c r="K728" s="146"/>
      <c r="L728" s="2"/>
      <c r="M728" s="2"/>
      <c r="N728" s="2"/>
      <c r="O728" s="2"/>
      <c r="P728" s="2"/>
      <c r="Q728" s="2"/>
      <c r="R728" s="2"/>
      <c r="S728" s="2"/>
      <c r="T728" s="2"/>
      <c r="U728" s="2"/>
      <c r="V728" s="2"/>
      <c r="W728" s="2"/>
      <c r="X728" s="2"/>
      <c r="Y728" s="2"/>
      <c r="Z728" s="2"/>
      <c r="AA728" s="2"/>
      <c r="AB728" s="2"/>
      <c r="AC728" s="2"/>
      <c r="AD728" s="2"/>
      <c r="AE728" s="2"/>
      <c r="AF728" s="2"/>
      <c r="AG728" s="2"/>
    </row>
    <row r="729" ht="14.25" customHeight="1">
      <c r="A729" s="2"/>
      <c r="B729" s="2"/>
      <c r="C729" s="2"/>
      <c r="D729" s="2"/>
      <c r="E729" s="2"/>
      <c r="F729" s="2"/>
      <c r="G729" s="2"/>
      <c r="H729" s="146"/>
      <c r="I729" s="146"/>
      <c r="J729" s="146"/>
      <c r="K729" s="146"/>
      <c r="L729" s="2"/>
      <c r="M729" s="2"/>
      <c r="N729" s="2"/>
      <c r="O729" s="2"/>
      <c r="P729" s="2"/>
      <c r="Q729" s="2"/>
      <c r="R729" s="2"/>
      <c r="S729" s="2"/>
      <c r="T729" s="2"/>
      <c r="U729" s="2"/>
      <c r="V729" s="2"/>
      <c r="W729" s="2"/>
      <c r="X729" s="2"/>
      <c r="Y729" s="2"/>
      <c r="Z729" s="2"/>
      <c r="AA729" s="2"/>
      <c r="AB729" s="2"/>
      <c r="AC729" s="2"/>
      <c r="AD729" s="2"/>
      <c r="AE729" s="2"/>
      <c r="AF729" s="2"/>
      <c r="AG729" s="2"/>
    </row>
    <row r="730" ht="14.25" customHeight="1">
      <c r="A730" s="2"/>
      <c r="B730" s="2"/>
      <c r="C730" s="2"/>
      <c r="D730" s="2"/>
      <c r="E730" s="2"/>
      <c r="F730" s="2"/>
      <c r="G730" s="2"/>
      <c r="H730" s="146"/>
      <c r="I730" s="146"/>
      <c r="J730" s="146"/>
      <c r="K730" s="146"/>
      <c r="L730" s="2"/>
      <c r="M730" s="2"/>
      <c r="N730" s="2"/>
      <c r="O730" s="2"/>
      <c r="P730" s="2"/>
      <c r="Q730" s="2"/>
      <c r="R730" s="2"/>
      <c r="S730" s="2"/>
      <c r="T730" s="2"/>
      <c r="U730" s="2"/>
      <c r="V730" s="2"/>
      <c r="W730" s="2"/>
      <c r="X730" s="2"/>
      <c r="Y730" s="2"/>
      <c r="Z730" s="2"/>
      <c r="AA730" s="2"/>
      <c r="AB730" s="2"/>
      <c r="AC730" s="2"/>
      <c r="AD730" s="2"/>
      <c r="AE730" s="2"/>
      <c r="AF730" s="2"/>
      <c r="AG730" s="2"/>
    </row>
    <row r="731" ht="14.25" customHeight="1">
      <c r="A731" s="2"/>
      <c r="B731" s="2"/>
      <c r="C731" s="2"/>
      <c r="D731" s="2"/>
      <c r="E731" s="2"/>
      <c r="F731" s="2"/>
      <c r="G731" s="2"/>
      <c r="H731" s="146"/>
      <c r="I731" s="146"/>
      <c r="J731" s="146"/>
      <c r="K731" s="146"/>
      <c r="L731" s="2"/>
      <c r="M731" s="2"/>
      <c r="N731" s="2"/>
      <c r="O731" s="2"/>
      <c r="P731" s="2"/>
      <c r="Q731" s="2"/>
      <c r="R731" s="2"/>
      <c r="S731" s="2"/>
      <c r="T731" s="2"/>
      <c r="U731" s="2"/>
      <c r="V731" s="2"/>
      <c r="W731" s="2"/>
      <c r="X731" s="2"/>
      <c r="Y731" s="2"/>
      <c r="Z731" s="2"/>
      <c r="AA731" s="2"/>
      <c r="AB731" s="2"/>
      <c r="AC731" s="2"/>
      <c r="AD731" s="2"/>
      <c r="AE731" s="2"/>
      <c r="AF731" s="2"/>
      <c r="AG731" s="2"/>
    </row>
    <row r="732" ht="14.25" customHeight="1">
      <c r="A732" s="2"/>
      <c r="B732" s="2"/>
      <c r="C732" s="2"/>
      <c r="D732" s="2"/>
      <c r="E732" s="2"/>
      <c r="F732" s="2"/>
      <c r="G732" s="2"/>
      <c r="H732" s="146"/>
      <c r="I732" s="146"/>
      <c r="J732" s="146"/>
      <c r="K732" s="146"/>
      <c r="L732" s="2"/>
      <c r="M732" s="2"/>
      <c r="N732" s="2"/>
      <c r="O732" s="2"/>
      <c r="P732" s="2"/>
      <c r="Q732" s="2"/>
      <c r="R732" s="2"/>
      <c r="S732" s="2"/>
      <c r="T732" s="2"/>
      <c r="U732" s="2"/>
      <c r="V732" s="2"/>
      <c r="W732" s="2"/>
      <c r="X732" s="2"/>
      <c r="Y732" s="2"/>
      <c r="Z732" s="2"/>
      <c r="AA732" s="2"/>
      <c r="AB732" s="2"/>
      <c r="AC732" s="2"/>
      <c r="AD732" s="2"/>
      <c r="AE732" s="2"/>
      <c r="AF732" s="2"/>
      <c r="AG732" s="2"/>
    </row>
    <row r="733" ht="14.25" customHeight="1">
      <c r="A733" s="2"/>
      <c r="B733" s="2"/>
      <c r="C733" s="2"/>
      <c r="D733" s="2"/>
      <c r="E733" s="2"/>
      <c r="F733" s="2"/>
      <c r="G733" s="2"/>
      <c r="H733" s="146"/>
      <c r="I733" s="146"/>
      <c r="J733" s="146"/>
      <c r="K733" s="146"/>
      <c r="L733" s="2"/>
      <c r="M733" s="2"/>
      <c r="N733" s="2"/>
      <c r="O733" s="2"/>
      <c r="P733" s="2"/>
      <c r="Q733" s="2"/>
      <c r="R733" s="2"/>
      <c r="S733" s="2"/>
      <c r="T733" s="2"/>
      <c r="U733" s="2"/>
      <c r="V733" s="2"/>
      <c r="W733" s="2"/>
      <c r="X733" s="2"/>
      <c r="Y733" s="2"/>
      <c r="Z733" s="2"/>
      <c r="AA733" s="2"/>
      <c r="AB733" s="2"/>
      <c r="AC733" s="2"/>
      <c r="AD733" s="2"/>
      <c r="AE733" s="2"/>
      <c r="AF733" s="2"/>
      <c r="AG733" s="2"/>
    </row>
    <row r="734" ht="14.25" customHeight="1">
      <c r="A734" s="2"/>
      <c r="B734" s="2"/>
      <c r="C734" s="2"/>
      <c r="D734" s="2"/>
      <c r="E734" s="2"/>
      <c r="F734" s="2"/>
      <c r="G734" s="2"/>
      <c r="H734" s="146"/>
      <c r="I734" s="146"/>
      <c r="J734" s="146"/>
      <c r="K734" s="146"/>
      <c r="L734" s="2"/>
      <c r="M734" s="2"/>
      <c r="N734" s="2"/>
      <c r="O734" s="2"/>
      <c r="P734" s="2"/>
      <c r="Q734" s="2"/>
      <c r="R734" s="2"/>
      <c r="S734" s="2"/>
      <c r="T734" s="2"/>
      <c r="U734" s="2"/>
      <c r="V734" s="2"/>
      <c r="W734" s="2"/>
      <c r="X734" s="2"/>
      <c r="Y734" s="2"/>
      <c r="Z734" s="2"/>
      <c r="AA734" s="2"/>
      <c r="AB734" s="2"/>
      <c r="AC734" s="2"/>
      <c r="AD734" s="2"/>
      <c r="AE734" s="2"/>
      <c r="AF734" s="2"/>
      <c r="AG734" s="2"/>
    </row>
    <row r="735" ht="14.25" customHeight="1">
      <c r="A735" s="2"/>
      <c r="B735" s="2"/>
      <c r="C735" s="2"/>
      <c r="D735" s="2"/>
      <c r="E735" s="2"/>
      <c r="F735" s="2"/>
      <c r="G735" s="2"/>
      <c r="H735" s="146"/>
      <c r="I735" s="146"/>
      <c r="J735" s="146"/>
      <c r="K735" s="146"/>
      <c r="L735" s="2"/>
      <c r="M735" s="2"/>
      <c r="N735" s="2"/>
      <c r="O735" s="2"/>
      <c r="P735" s="2"/>
      <c r="Q735" s="2"/>
      <c r="R735" s="2"/>
      <c r="S735" s="2"/>
      <c r="T735" s="2"/>
      <c r="U735" s="2"/>
      <c r="V735" s="2"/>
      <c r="W735" s="2"/>
      <c r="X735" s="2"/>
      <c r="Y735" s="2"/>
      <c r="Z735" s="2"/>
      <c r="AA735" s="2"/>
      <c r="AB735" s="2"/>
      <c r="AC735" s="2"/>
      <c r="AD735" s="2"/>
      <c r="AE735" s="2"/>
      <c r="AF735" s="2"/>
      <c r="AG735" s="2"/>
    </row>
    <row r="736" ht="14.25" customHeight="1">
      <c r="A736" s="2"/>
      <c r="B736" s="2"/>
      <c r="C736" s="2"/>
      <c r="D736" s="2"/>
      <c r="E736" s="2"/>
      <c r="F736" s="2"/>
      <c r="G736" s="2"/>
      <c r="H736" s="146"/>
      <c r="I736" s="146"/>
      <c r="J736" s="146"/>
      <c r="K736" s="146"/>
      <c r="L736" s="2"/>
      <c r="M736" s="2"/>
      <c r="N736" s="2"/>
      <c r="O736" s="2"/>
      <c r="P736" s="2"/>
      <c r="Q736" s="2"/>
      <c r="R736" s="2"/>
      <c r="S736" s="2"/>
      <c r="T736" s="2"/>
      <c r="U736" s="2"/>
      <c r="V736" s="2"/>
      <c r="W736" s="2"/>
      <c r="X736" s="2"/>
      <c r="Y736" s="2"/>
      <c r="Z736" s="2"/>
      <c r="AA736" s="2"/>
      <c r="AB736" s="2"/>
      <c r="AC736" s="2"/>
      <c r="AD736" s="2"/>
      <c r="AE736" s="2"/>
      <c r="AF736" s="2"/>
      <c r="AG736" s="2"/>
    </row>
    <row r="737" ht="14.25" customHeight="1">
      <c r="A737" s="2"/>
      <c r="B737" s="2"/>
      <c r="C737" s="2"/>
      <c r="D737" s="2"/>
      <c r="E737" s="2"/>
      <c r="F737" s="2"/>
      <c r="G737" s="2"/>
      <c r="H737" s="146"/>
      <c r="I737" s="146"/>
      <c r="J737" s="146"/>
      <c r="K737" s="146"/>
      <c r="L737" s="2"/>
      <c r="M737" s="2"/>
      <c r="N737" s="2"/>
      <c r="O737" s="2"/>
      <c r="P737" s="2"/>
      <c r="Q737" s="2"/>
      <c r="R737" s="2"/>
      <c r="S737" s="2"/>
      <c r="T737" s="2"/>
      <c r="U737" s="2"/>
      <c r="V737" s="2"/>
      <c r="W737" s="2"/>
      <c r="X737" s="2"/>
      <c r="Y737" s="2"/>
      <c r="Z737" s="2"/>
      <c r="AA737" s="2"/>
      <c r="AB737" s="2"/>
      <c r="AC737" s="2"/>
      <c r="AD737" s="2"/>
      <c r="AE737" s="2"/>
      <c r="AF737" s="2"/>
      <c r="AG737" s="2"/>
    </row>
    <row r="738" ht="14.25" customHeight="1">
      <c r="A738" s="2"/>
      <c r="B738" s="2"/>
      <c r="C738" s="2"/>
      <c r="D738" s="2"/>
      <c r="E738" s="2"/>
      <c r="F738" s="2"/>
      <c r="G738" s="2"/>
      <c r="H738" s="146"/>
      <c r="I738" s="146"/>
      <c r="J738" s="146"/>
      <c r="K738" s="146"/>
      <c r="L738" s="2"/>
      <c r="M738" s="2"/>
      <c r="N738" s="2"/>
      <c r="O738" s="2"/>
      <c r="P738" s="2"/>
      <c r="Q738" s="2"/>
      <c r="R738" s="2"/>
      <c r="S738" s="2"/>
      <c r="T738" s="2"/>
      <c r="U738" s="2"/>
      <c r="V738" s="2"/>
      <c r="W738" s="2"/>
      <c r="X738" s="2"/>
      <c r="Y738" s="2"/>
      <c r="Z738" s="2"/>
      <c r="AA738" s="2"/>
      <c r="AB738" s="2"/>
      <c r="AC738" s="2"/>
      <c r="AD738" s="2"/>
      <c r="AE738" s="2"/>
      <c r="AF738" s="2"/>
      <c r="AG738" s="2"/>
    </row>
    <row r="739" ht="14.25" customHeight="1">
      <c r="A739" s="2"/>
      <c r="B739" s="2"/>
      <c r="C739" s="2"/>
      <c r="D739" s="2"/>
      <c r="E739" s="2"/>
      <c r="F739" s="2"/>
      <c r="G739" s="2"/>
      <c r="H739" s="146"/>
      <c r="I739" s="146"/>
      <c r="J739" s="146"/>
      <c r="K739" s="146"/>
      <c r="L739" s="2"/>
      <c r="M739" s="2"/>
      <c r="N739" s="2"/>
      <c r="O739" s="2"/>
      <c r="P739" s="2"/>
      <c r="Q739" s="2"/>
      <c r="R739" s="2"/>
      <c r="S739" s="2"/>
      <c r="T739" s="2"/>
      <c r="U739" s="2"/>
      <c r="V739" s="2"/>
      <c r="W739" s="2"/>
      <c r="X739" s="2"/>
      <c r="Y739" s="2"/>
      <c r="Z739" s="2"/>
      <c r="AA739" s="2"/>
      <c r="AB739" s="2"/>
      <c r="AC739" s="2"/>
      <c r="AD739" s="2"/>
      <c r="AE739" s="2"/>
      <c r="AF739" s="2"/>
      <c r="AG739" s="2"/>
    </row>
    <row r="740" ht="14.25" customHeight="1">
      <c r="A740" s="2"/>
      <c r="B740" s="2"/>
      <c r="C740" s="2"/>
      <c r="D740" s="2"/>
      <c r="E740" s="2"/>
      <c r="F740" s="2"/>
      <c r="G740" s="2"/>
      <c r="H740" s="146"/>
      <c r="I740" s="146"/>
      <c r="J740" s="146"/>
      <c r="K740" s="146"/>
      <c r="L740" s="2"/>
      <c r="M740" s="2"/>
      <c r="N740" s="2"/>
      <c r="O740" s="2"/>
      <c r="P740" s="2"/>
      <c r="Q740" s="2"/>
      <c r="R740" s="2"/>
      <c r="S740" s="2"/>
      <c r="T740" s="2"/>
      <c r="U740" s="2"/>
      <c r="V740" s="2"/>
      <c r="W740" s="2"/>
      <c r="X740" s="2"/>
      <c r="Y740" s="2"/>
      <c r="Z740" s="2"/>
      <c r="AA740" s="2"/>
      <c r="AB740" s="2"/>
      <c r="AC740" s="2"/>
      <c r="AD740" s="2"/>
      <c r="AE740" s="2"/>
      <c r="AF740" s="2"/>
      <c r="AG740" s="2"/>
    </row>
    <row r="741" ht="14.25" customHeight="1">
      <c r="A741" s="2"/>
      <c r="B741" s="2"/>
      <c r="C741" s="2"/>
      <c r="D741" s="2"/>
      <c r="E741" s="2"/>
      <c r="F741" s="2"/>
      <c r="G741" s="2"/>
      <c r="H741" s="146"/>
      <c r="I741" s="146"/>
      <c r="J741" s="146"/>
      <c r="K741" s="146"/>
      <c r="L741" s="2"/>
      <c r="M741" s="2"/>
      <c r="N741" s="2"/>
      <c r="O741" s="2"/>
      <c r="P741" s="2"/>
      <c r="Q741" s="2"/>
      <c r="R741" s="2"/>
      <c r="S741" s="2"/>
      <c r="T741" s="2"/>
      <c r="U741" s="2"/>
      <c r="V741" s="2"/>
      <c r="W741" s="2"/>
      <c r="X741" s="2"/>
      <c r="Y741" s="2"/>
      <c r="Z741" s="2"/>
      <c r="AA741" s="2"/>
      <c r="AB741" s="2"/>
      <c r="AC741" s="2"/>
      <c r="AD741" s="2"/>
      <c r="AE741" s="2"/>
      <c r="AF741" s="2"/>
      <c r="AG741" s="2"/>
    </row>
    <row r="742" ht="14.25" customHeight="1">
      <c r="A742" s="2"/>
      <c r="B742" s="2"/>
      <c r="C742" s="2"/>
      <c r="D742" s="2"/>
      <c r="E742" s="2"/>
      <c r="F742" s="2"/>
      <c r="G742" s="2"/>
      <c r="H742" s="146"/>
      <c r="I742" s="146"/>
      <c r="J742" s="146"/>
      <c r="K742" s="146"/>
      <c r="L742" s="2"/>
      <c r="M742" s="2"/>
      <c r="N742" s="2"/>
      <c r="O742" s="2"/>
      <c r="P742" s="2"/>
      <c r="Q742" s="2"/>
      <c r="R742" s="2"/>
      <c r="S742" s="2"/>
      <c r="T742" s="2"/>
      <c r="U742" s="2"/>
      <c r="V742" s="2"/>
      <c r="W742" s="2"/>
      <c r="X742" s="2"/>
      <c r="Y742" s="2"/>
      <c r="Z742" s="2"/>
      <c r="AA742" s="2"/>
      <c r="AB742" s="2"/>
      <c r="AC742" s="2"/>
      <c r="AD742" s="2"/>
      <c r="AE742" s="2"/>
      <c r="AF742" s="2"/>
      <c r="AG742" s="2"/>
    </row>
    <row r="743" ht="14.25" customHeight="1">
      <c r="A743" s="2"/>
      <c r="B743" s="2"/>
      <c r="C743" s="2"/>
      <c r="D743" s="2"/>
      <c r="E743" s="2"/>
      <c r="F743" s="2"/>
      <c r="G743" s="2"/>
      <c r="H743" s="146"/>
      <c r="I743" s="146"/>
      <c r="J743" s="146"/>
      <c r="K743" s="146"/>
      <c r="L743" s="2"/>
      <c r="M743" s="2"/>
      <c r="N743" s="2"/>
      <c r="O743" s="2"/>
      <c r="P743" s="2"/>
      <c r="Q743" s="2"/>
      <c r="R743" s="2"/>
      <c r="S743" s="2"/>
      <c r="T743" s="2"/>
      <c r="U743" s="2"/>
      <c r="V743" s="2"/>
      <c r="W743" s="2"/>
      <c r="X743" s="2"/>
      <c r="Y743" s="2"/>
      <c r="Z743" s="2"/>
      <c r="AA743" s="2"/>
      <c r="AB743" s="2"/>
      <c r="AC743" s="2"/>
      <c r="AD743" s="2"/>
      <c r="AE743" s="2"/>
      <c r="AF743" s="2"/>
      <c r="AG743" s="2"/>
    </row>
    <row r="744" ht="14.25" customHeight="1">
      <c r="A744" s="2"/>
      <c r="B744" s="2"/>
      <c r="C744" s="2"/>
      <c r="D744" s="2"/>
      <c r="E744" s="2"/>
      <c r="F744" s="2"/>
      <c r="G744" s="2"/>
      <c r="H744" s="146"/>
      <c r="I744" s="146"/>
      <c r="J744" s="146"/>
      <c r="K744" s="146"/>
      <c r="L744" s="2"/>
      <c r="M744" s="2"/>
      <c r="N744" s="2"/>
      <c r="O744" s="2"/>
      <c r="P744" s="2"/>
      <c r="Q744" s="2"/>
      <c r="R744" s="2"/>
      <c r="S744" s="2"/>
      <c r="T744" s="2"/>
      <c r="U744" s="2"/>
      <c r="V744" s="2"/>
      <c r="W744" s="2"/>
      <c r="X744" s="2"/>
      <c r="Y744" s="2"/>
      <c r="Z744" s="2"/>
      <c r="AA744" s="2"/>
      <c r="AB744" s="2"/>
      <c r="AC744" s="2"/>
      <c r="AD744" s="2"/>
      <c r="AE744" s="2"/>
      <c r="AF744" s="2"/>
      <c r="AG744" s="2"/>
    </row>
    <row r="745" ht="14.25" customHeight="1">
      <c r="A745" s="2"/>
      <c r="B745" s="2"/>
      <c r="C745" s="2"/>
      <c r="D745" s="2"/>
      <c r="E745" s="2"/>
      <c r="F745" s="2"/>
      <c r="G745" s="2"/>
      <c r="H745" s="146"/>
      <c r="I745" s="146"/>
      <c r="J745" s="146"/>
      <c r="K745" s="146"/>
      <c r="L745" s="2"/>
      <c r="M745" s="2"/>
      <c r="N745" s="2"/>
      <c r="O745" s="2"/>
      <c r="P745" s="2"/>
      <c r="Q745" s="2"/>
      <c r="R745" s="2"/>
      <c r="S745" s="2"/>
      <c r="T745" s="2"/>
      <c r="U745" s="2"/>
      <c r="V745" s="2"/>
      <c r="W745" s="2"/>
      <c r="X745" s="2"/>
      <c r="Y745" s="2"/>
      <c r="Z745" s="2"/>
      <c r="AA745" s="2"/>
      <c r="AB745" s="2"/>
      <c r="AC745" s="2"/>
      <c r="AD745" s="2"/>
      <c r="AE745" s="2"/>
      <c r="AF745" s="2"/>
      <c r="AG745" s="2"/>
    </row>
    <row r="746" ht="14.25" customHeight="1">
      <c r="A746" s="2"/>
      <c r="B746" s="2"/>
      <c r="C746" s="2"/>
      <c r="D746" s="2"/>
      <c r="E746" s="2"/>
      <c r="F746" s="2"/>
      <c r="G746" s="2"/>
      <c r="H746" s="146"/>
      <c r="I746" s="146"/>
      <c r="J746" s="146"/>
      <c r="K746" s="146"/>
      <c r="L746" s="2"/>
      <c r="M746" s="2"/>
      <c r="N746" s="2"/>
      <c r="O746" s="2"/>
      <c r="P746" s="2"/>
      <c r="Q746" s="2"/>
      <c r="R746" s="2"/>
      <c r="S746" s="2"/>
      <c r="T746" s="2"/>
      <c r="U746" s="2"/>
      <c r="V746" s="2"/>
      <c r="W746" s="2"/>
      <c r="X746" s="2"/>
      <c r="Y746" s="2"/>
      <c r="Z746" s="2"/>
      <c r="AA746" s="2"/>
      <c r="AB746" s="2"/>
      <c r="AC746" s="2"/>
      <c r="AD746" s="2"/>
      <c r="AE746" s="2"/>
      <c r="AF746" s="2"/>
      <c r="AG746" s="2"/>
    </row>
    <row r="747" ht="14.25" customHeight="1">
      <c r="A747" s="2"/>
      <c r="B747" s="2"/>
      <c r="C747" s="2"/>
      <c r="D747" s="2"/>
      <c r="E747" s="2"/>
      <c r="F747" s="2"/>
      <c r="G747" s="2"/>
      <c r="H747" s="146"/>
      <c r="I747" s="146"/>
      <c r="J747" s="146"/>
      <c r="K747" s="146"/>
      <c r="L747" s="2"/>
      <c r="M747" s="2"/>
      <c r="N747" s="2"/>
      <c r="O747" s="2"/>
      <c r="P747" s="2"/>
      <c r="Q747" s="2"/>
      <c r="R747" s="2"/>
      <c r="S747" s="2"/>
      <c r="T747" s="2"/>
      <c r="U747" s="2"/>
      <c r="V747" s="2"/>
      <c r="W747" s="2"/>
      <c r="X747" s="2"/>
      <c r="Y747" s="2"/>
      <c r="Z747" s="2"/>
      <c r="AA747" s="2"/>
      <c r="AB747" s="2"/>
      <c r="AC747" s="2"/>
      <c r="AD747" s="2"/>
      <c r="AE747" s="2"/>
      <c r="AF747" s="2"/>
      <c r="AG747" s="2"/>
    </row>
    <row r="748" ht="14.25" customHeight="1">
      <c r="A748" s="2"/>
      <c r="B748" s="2"/>
      <c r="C748" s="2"/>
      <c r="D748" s="2"/>
      <c r="E748" s="2"/>
      <c r="F748" s="2"/>
      <c r="G748" s="2"/>
      <c r="H748" s="146"/>
      <c r="I748" s="146"/>
      <c r="J748" s="146"/>
      <c r="K748" s="146"/>
      <c r="L748" s="2"/>
      <c r="M748" s="2"/>
      <c r="N748" s="2"/>
      <c r="O748" s="2"/>
      <c r="P748" s="2"/>
      <c r="Q748" s="2"/>
      <c r="R748" s="2"/>
      <c r="S748" s="2"/>
      <c r="T748" s="2"/>
      <c r="U748" s="2"/>
      <c r="V748" s="2"/>
      <c r="W748" s="2"/>
      <c r="X748" s="2"/>
      <c r="Y748" s="2"/>
      <c r="Z748" s="2"/>
      <c r="AA748" s="2"/>
      <c r="AB748" s="2"/>
      <c r="AC748" s="2"/>
      <c r="AD748" s="2"/>
      <c r="AE748" s="2"/>
      <c r="AF748" s="2"/>
      <c r="AG748" s="2"/>
    </row>
    <row r="749" ht="14.25" customHeight="1">
      <c r="A749" s="2"/>
      <c r="B749" s="2"/>
      <c r="C749" s="2"/>
      <c r="D749" s="2"/>
      <c r="E749" s="2"/>
      <c r="F749" s="2"/>
      <c r="G749" s="2"/>
      <c r="H749" s="146"/>
      <c r="I749" s="146"/>
      <c r="J749" s="146"/>
      <c r="K749" s="146"/>
      <c r="L749" s="2"/>
      <c r="M749" s="2"/>
      <c r="N749" s="2"/>
      <c r="O749" s="2"/>
      <c r="P749" s="2"/>
      <c r="Q749" s="2"/>
      <c r="R749" s="2"/>
      <c r="S749" s="2"/>
      <c r="T749" s="2"/>
      <c r="U749" s="2"/>
      <c r="V749" s="2"/>
      <c r="W749" s="2"/>
      <c r="X749" s="2"/>
      <c r="Y749" s="2"/>
      <c r="Z749" s="2"/>
      <c r="AA749" s="2"/>
      <c r="AB749" s="2"/>
      <c r="AC749" s="2"/>
      <c r="AD749" s="2"/>
      <c r="AE749" s="2"/>
      <c r="AF749" s="2"/>
      <c r="AG749" s="2"/>
    </row>
    <row r="750" ht="14.25" customHeight="1">
      <c r="A750" s="2"/>
      <c r="B750" s="2"/>
      <c r="C750" s="2"/>
      <c r="D750" s="2"/>
      <c r="E750" s="2"/>
      <c r="F750" s="2"/>
      <c r="G750" s="2"/>
      <c r="H750" s="146"/>
      <c r="I750" s="146"/>
      <c r="J750" s="146"/>
      <c r="K750" s="146"/>
      <c r="L750" s="2"/>
      <c r="M750" s="2"/>
      <c r="N750" s="2"/>
      <c r="O750" s="2"/>
      <c r="P750" s="2"/>
      <c r="Q750" s="2"/>
      <c r="R750" s="2"/>
      <c r="S750" s="2"/>
      <c r="T750" s="2"/>
      <c r="U750" s="2"/>
      <c r="V750" s="2"/>
      <c r="W750" s="2"/>
      <c r="X750" s="2"/>
      <c r="Y750" s="2"/>
      <c r="Z750" s="2"/>
      <c r="AA750" s="2"/>
      <c r="AB750" s="2"/>
      <c r="AC750" s="2"/>
      <c r="AD750" s="2"/>
      <c r="AE750" s="2"/>
      <c r="AF750" s="2"/>
      <c r="AG750" s="2"/>
    </row>
    <row r="751" ht="14.25" customHeight="1">
      <c r="A751" s="2"/>
      <c r="B751" s="2"/>
      <c r="C751" s="2"/>
      <c r="D751" s="2"/>
      <c r="E751" s="2"/>
      <c r="F751" s="2"/>
      <c r="G751" s="2"/>
      <c r="H751" s="146"/>
      <c r="I751" s="146"/>
      <c r="J751" s="146"/>
      <c r="K751" s="146"/>
      <c r="L751" s="2"/>
      <c r="M751" s="2"/>
      <c r="N751" s="2"/>
      <c r="O751" s="2"/>
      <c r="P751" s="2"/>
      <c r="Q751" s="2"/>
      <c r="R751" s="2"/>
      <c r="S751" s="2"/>
      <c r="T751" s="2"/>
      <c r="U751" s="2"/>
      <c r="V751" s="2"/>
      <c r="W751" s="2"/>
      <c r="X751" s="2"/>
      <c r="Y751" s="2"/>
      <c r="Z751" s="2"/>
      <c r="AA751" s="2"/>
      <c r="AB751" s="2"/>
      <c r="AC751" s="2"/>
      <c r="AD751" s="2"/>
      <c r="AE751" s="2"/>
      <c r="AF751" s="2"/>
      <c r="AG751" s="2"/>
    </row>
    <row r="752" ht="14.25" customHeight="1">
      <c r="A752" s="2"/>
      <c r="B752" s="2"/>
      <c r="C752" s="2"/>
      <c r="D752" s="2"/>
      <c r="E752" s="2"/>
      <c r="F752" s="2"/>
      <c r="G752" s="2"/>
      <c r="H752" s="146"/>
      <c r="I752" s="146"/>
      <c r="J752" s="146"/>
      <c r="K752" s="146"/>
      <c r="L752" s="2"/>
      <c r="M752" s="2"/>
      <c r="N752" s="2"/>
      <c r="O752" s="2"/>
      <c r="P752" s="2"/>
      <c r="Q752" s="2"/>
      <c r="R752" s="2"/>
      <c r="S752" s="2"/>
      <c r="T752" s="2"/>
      <c r="U752" s="2"/>
      <c r="V752" s="2"/>
      <c r="W752" s="2"/>
      <c r="X752" s="2"/>
      <c r="Y752" s="2"/>
      <c r="Z752" s="2"/>
      <c r="AA752" s="2"/>
      <c r="AB752" s="2"/>
      <c r="AC752" s="2"/>
      <c r="AD752" s="2"/>
      <c r="AE752" s="2"/>
      <c r="AF752" s="2"/>
      <c r="AG752" s="2"/>
    </row>
    <row r="753" ht="14.25" customHeight="1">
      <c r="A753" s="2"/>
      <c r="B753" s="2"/>
      <c r="C753" s="2"/>
      <c r="D753" s="2"/>
      <c r="E753" s="2"/>
      <c r="F753" s="2"/>
      <c r="G753" s="2"/>
      <c r="H753" s="146"/>
      <c r="I753" s="146"/>
      <c r="J753" s="146"/>
      <c r="K753" s="146"/>
      <c r="L753" s="2"/>
      <c r="M753" s="2"/>
      <c r="N753" s="2"/>
      <c r="O753" s="2"/>
      <c r="P753" s="2"/>
      <c r="Q753" s="2"/>
      <c r="R753" s="2"/>
      <c r="S753" s="2"/>
      <c r="T753" s="2"/>
      <c r="U753" s="2"/>
      <c r="V753" s="2"/>
      <c r="W753" s="2"/>
      <c r="X753" s="2"/>
      <c r="Y753" s="2"/>
      <c r="Z753" s="2"/>
      <c r="AA753" s="2"/>
      <c r="AB753" s="2"/>
      <c r="AC753" s="2"/>
      <c r="AD753" s="2"/>
      <c r="AE753" s="2"/>
      <c r="AF753" s="2"/>
      <c r="AG753" s="2"/>
    </row>
    <row r="754" ht="14.25" customHeight="1">
      <c r="A754" s="2"/>
      <c r="B754" s="2"/>
      <c r="C754" s="2"/>
      <c r="D754" s="2"/>
      <c r="E754" s="2"/>
      <c r="F754" s="2"/>
      <c r="G754" s="2"/>
      <c r="H754" s="146"/>
      <c r="I754" s="146"/>
      <c r="J754" s="146"/>
      <c r="K754" s="146"/>
      <c r="L754" s="2"/>
      <c r="M754" s="2"/>
      <c r="N754" s="2"/>
      <c r="O754" s="2"/>
      <c r="P754" s="2"/>
      <c r="Q754" s="2"/>
      <c r="R754" s="2"/>
      <c r="S754" s="2"/>
      <c r="T754" s="2"/>
      <c r="U754" s="2"/>
      <c r="V754" s="2"/>
      <c r="W754" s="2"/>
      <c r="X754" s="2"/>
      <c r="Y754" s="2"/>
      <c r="Z754" s="2"/>
      <c r="AA754" s="2"/>
      <c r="AB754" s="2"/>
      <c r="AC754" s="2"/>
      <c r="AD754" s="2"/>
      <c r="AE754" s="2"/>
      <c r="AF754" s="2"/>
      <c r="AG754" s="2"/>
    </row>
    <row r="755" ht="14.25" customHeight="1">
      <c r="A755" s="2"/>
      <c r="B755" s="2"/>
      <c r="C755" s="2"/>
      <c r="D755" s="2"/>
      <c r="E755" s="2"/>
      <c r="F755" s="2"/>
      <c r="G755" s="2"/>
      <c r="H755" s="146"/>
      <c r="I755" s="146"/>
      <c r="J755" s="146"/>
      <c r="K755" s="146"/>
      <c r="L755" s="2"/>
      <c r="M755" s="2"/>
      <c r="N755" s="2"/>
      <c r="O755" s="2"/>
      <c r="P755" s="2"/>
      <c r="Q755" s="2"/>
      <c r="R755" s="2"/>
      <c r="S755" s="2"/>
      <c r="T755" s="2"/>
      <c r="U755" s="2"/>
      <c r="V755" s="2"/>
      <c r="W755" s="2"/>
      <c r="X755" s="2"/>
      <c r="Y755" s="2"/>
      <c r="Z755" s="2"/>
      <c r="AA755" s="2"/>
      <c r="AB755" s="2"/>
      <c r="AC755" s="2"/>
      <c r="AD755" s="2"/>
      <c r="AE755" s="2"/>
      <c r="AF755" s="2"/>
      <c r="AG755" s="2"/>
    </row>
    <row r="756" ht="14.25" customHeight="1">
      <c r="A756" s="2"/>
      <c r="B756" s="2"/>
      <c r="C756" s="2"/>
      <c r="D756" s="2"/>
      <c r="E756" s="2"/>
      <c r="F756" s="2"/>
      <c r="G756" s="2"/>
      <c r="H756" s="146"/>
      <c r="I756" s="146"/>
      <c r="J756" s="146"/>
      <c r="K756" s="146"/>
      <c r="L756" s="2"/>
      <c r="M756" s="2"/>
      <c r="N756" s="2"/>
      <c r="O756" s="2"/>
      <c r="P756" s="2"/>
      <c r="Q756" s="2"/>
      <c r="R756" s="2"/>
      <c r="S756" s="2"/>
      <c r="T756" s="2"/>
      <c r="U756" s="2"/>
      <c r="V756" s="2"/>
      <c r="W756" s="2"/>
      <c r="X756" s="2"/>
      <c r="Y756" s="2"/>
      <c r="Z756" s="2"/>
      <c r="AA756" s="2"/>
      <c r="AB756" s="2"/>
      <c r="AC756" s="2"/>
      <c r="AD756" s="2"/>
      <c r="AE756" s="2"/>
      <c r="AF756" s="2"/>
      <c r="AG756" s="2"/>
    </row>
    <row r="757" ht="14.25" customHeight="1">
      <c r="A757" s="2"/>
      <c r="B757" s="2"/>
      <c r="C757" s="2"/>
      <c r="D757" s="2"/>
      <c r="E757" s="2"/>
      <c r="F757" s="2"/>
      <c r="G757" s="2"/>
      <c r="H757" s="146"/>
      <c r="I757" s="146"/>
      <c r="J757" s="146"/>
      <c r="K757" s="146"/>
      <c r="L757" s="2"/>
      <c r="M757" s="2"/>
      <c r="N757" s="2"/>
      <c r="O757" s="2"/>
      <c r="P757" s="2"/>
      <c r="Q757" s="2"/>
      <c r="R757" s="2"/>
      <c r="S757" s="2"/>
      <c r="T757" s="2"/>
      <c r="U757" s="2"/>
      <c r="V757" s="2"/>
      <c r="W757" s="2"/>
      <c r="X757" s="2"/>
      <c r="Y757" s="2"/>
      <c r="Z757" s="2"/>
      <c r="AA757" s="2"/>
      <c r="AB757" s="2"/>
      <c r="AC757" s="2"/>
      <c r="AD757" s="2"/>
      <c r="AE757" s="2"/>
      <c r="AF757" s="2"/>
      <c r="AG757" s="2"/>
    </row>
    <row r="758" ht="14.25" customHeight="1">
      <c r="A758" s="2"/>
      <c r="B758" s="2"/>
      <c r="C758" s="2"/>
      <c r="D758" s="2"/>
      <c r="E758" s="2"/>
      <c r="F758" s="2"/>
      <c r="G758" s="2"/>
      <c r="H758" s="146"/>
      <c r="I758" s="146"/>
      <c r="J758" s="146"/>
      <c r="K758" s="146"/>
      <c r="L758" s="2"/>
      <c r="M758" s="2"/>
      <c r="N758" s="2"/>
      <c r="O758" s="2"/>
      <c r="P758" s="2"/>
      <c r="Q758" s="2"/>
      <c r="R758" s="2"/>
      <c r="S758" s="2"/>
      <c r="T758" s="2"/>
      <c r="U758" s="2"/>
      <c r="V758" s="2"/>
      <c r="W758" s="2"/>
      <c r="X758" s="2"/>
      <c r="Y758" s="2"/>
      <c r="Z758" s="2"/>
      <c r="AA758" s="2"/>
      <c r="AB758" s="2"/>
      <c r="AC758" s="2"/>
      <c r="AD758" s="2"/>
      <c r="AE758" s="2"/>
      <c r="AF758" s="2"/>
      <c r="AG758" s="2"/>
    </row>
    <row r="759" ht="14.25" customHeight="1">
      <c r="A759" s="2"/>
      <c r="B759" s="2"/>
      <c r="C759" s="2"/>
      <c r="D759" s="2"/>
      <c r="E759" s="2"/>
      <c r="F759" s="2"/>
      <c r="G759" s="2"/>
      <c r="H759" s="146"/>
      <c r="I759" s="146"/>
      <c r="J759" s="146"/>
      <c r="K759" s="146"/>
      <c r="L759" s="2"/>
      <c r="M759" s="2"/>
      <c r="N759" s="2"/>
      <c r="O759" s="2"/>
      <c r="P759" s="2"/>
      <c r="Q759" s="2"/>
      <c r="R759" s="2"/>
      <c r="S759" s="2"/>
      <c r="T759" s="2"/>
      <c r="U759" s="2"/>
      <c r="V759" s="2"/>
      <c r="W759" s="2"/>
      <c r="X759" s="2"/>
      <c r="Y759" s="2"/>
      <c r="Z759" s="2"/>
      <c r="AA759" s="2"/>
      <c r="AB759" s="2"/>
      <c r="AC759" s="2"/>
      <c r="AD759" s="2"/>
      <c r="AE759" s="2"/>
      <c r="AF759" s="2"/>
      <c r="AG759" s="2"/>
    </row>
    <row r="760" ht="14.25" customHeight="1">
      <c r="A760" s="2"/>
      <c r="B760" s="2"/>
      <c r="C760" s="2"/>
      <c r="D760" s="2"/>
      <c r="E760" s="2"/>
      <c r="F760" s="2"/>
      <c r="G760" s="2"/>
      <c r="H760" s="146"/>
      <c r="I760" s="146"/>
      <c r="J760" s="146"/>
      <c r="K760" s="146"/>
      <c r="L760" s="2"/>
      <c r="M760" s="2"/>
      <c r="N760" s="2"/>
      <c r="O760" s="2"/>
      <c r="P760" s="2"/>
      <c r="Q760" s="2"/>
      <c r="R760" s="2"/>
      <c r="S760" s="2"/>
      <c r="T760" s="2"/>
      <c r="U760" s="2"/>
      <c r="V760" s="2"/>
      <c r="W760" s="2"/>
      <c r="X760" s="2"/>
      <c r="Y760" s="2"/>
      <c r="Z760" s="2"/>
      <c r="AA760" s="2"/>
      <c r="AB760" s="2"/>
      <c r="AC760" s="2"/>
      <c r="AD760" s="2"/>
      <c r="AE760" s="2"/>
      <c r="AF760" s="2"/>
      <c r="AG760" s="2"/>
    </row>
    <row r="761" ht="14.25" customHeight="1">
      <c r="A761" s="2"/>
      <c r="B761" s="2"/>
      <c r="C761" s="2"/>
      <c r="D761" s="2"/>
      <c r="E761" s="2"/>
      <c r="F761" s="2"/>
      <c r="G761" s="2"/>
      <c r="H761" s="146"/>
      <c r="I761" s="146"/>
      <c r="J761" s="146"/>
      <c r="K761" s="146"/>
      <c r="L761" s="2"/>
      <c r="M761" s="2"/>
      <c r="N761" s="2"/>
      <c r="O761" s="2"/>
      <c r="P761" s="2"/>
      <c r="Q761" s="2"/>
      <c r="R761" s="2"/>
      <c r="S761" s="2"/>
      <c r="T761" s="2"/>
      <c r="U761" s="2"/>
      <c r="V761" s="2"/>
      <c r="W761" s="2"/>
      <c r="X761" s="2"/>
      <c r="Y761" s="2"/>
      <c r="Z761" s="2"/>
      <c r="AA761" s="2"/>
      <c r="AB761" s="2"/>
      <c r="AC761" s="2"/>
      <c r="AD761" s="2"/>
      <c r="AE761" s="2"/>
      <c r="AF761" s="2"/>
      <c r="AG761" s="2"/>
    </row>
    <row r="762" ht="14.25" customHeight="1">
      <c r="A762" s="2"/>
      <c r="B762" s="2"/>
      <c r="C762" s="2"/>
      <c r="D762" s="2"/>
      <c r="E762" s="2"/>
      <c r="F762" s="2"/>
      <c r="G762" s="2"/>
      <c r="H762" s="146"/>
      <c r="I762" s="146"/>
      <c r="J762" s="146"/>
      <c r="K762" s="146"/>
      <c r="L762" s="2"/>
      <c r="M762" s="2"/>
      <c r="N762" s="2"/>
      <c r="O762" s="2"/>
      <c r="P762" s="2"/>
      <c r="Q762" s="2"/>
      <c r="R762" s="2"/>
      <c r="S762" s="2"/>
      <c r="T762" s="2"/>
      <c r="U762" s="2"/>
      <c r="V762" s="2"/>
      <c r="W762" s="2"/>
      <c r="X762" s="2"/>
      <c r="Y762" s="2"/>
      <c r="Z762" s="2"/>
      <c r="AA762" s="2"/>
      <c r="AB762" s="2"/>
      <c r="AC762" s="2"/>
      <c r="AD762" s="2"/>
      <c r="AE762" s="2"/>
      <c r="AF762" s="2"/>
      <c r="AG762" s="2"/>
    </row>
    <row r="763" ht="14.25" customHeight="1">
      <c r="A763" s="2"/>
      <c r="B763" s="2"/>
      <c r="C763" s="2"/>
      <c r="D763" s="2"/>
      <c r="E763" s="2"/>
      <c r="F763" s="2"/>
      <c r="G763" s="2"/>
      <c r="H763" s="146"/>
      <c r="I763" s="146"/>
      <c r="J763" s="146"/>
      <c r="K763" s="146"/>
      <c r="L763" s="2"/>
      <c r="M763" s="2"/>
      <c r="N763" s="2"/>
      <c r="O763" s="2"/>
      <c r="P763" s="2"/>
      <c r="Q763" s="2"/>
      <c r="R763" s="2"/>
      <c r="S763" s="2"/>
      <c r="T763" s="2"/>
      <c r="U763" s="2"/>
      <c r="V763" s="2"/>
      <c r="W763" s="2"/>
      <c r="X763" s="2"/>
      <c r="Y763" s="2"/>
      <c r="Z763" s="2"/>
      <c r="AA763" s="2"/>
      <c r="AB763" s="2"/>
      <c r="AC763" s="2"/>
      <c r="AD763" s="2"/>
      <c r="AE763" s="2"/>
      <c r="AF763" s="2"/>
      <c r="AG763" s="2"/>
    </row>
    <row r="764" ht="14.25" customHeight="1">
      <c r="A764" s="2"/>
      <c r="B764" s="2"/>
      <c r="C764" s="2"/>
      <c r="D764" s="2"/>
      <c r="E764" s="2"/>
      <c r="F764" s="2"/>
      <c r="G764" s="2"/>
      <c r="H764" s="146"/>
      <c r="I764" s="146"/>
      <c r="J764" s="146"/>
      <c r="K764" s="146"/>
      <c r="L764" s="2"/>
      <c r="M764" s="2"/>
      <c r="N764" s="2"/>
      <c r="O764" s="2"/>
      <c r="P764" s="2"/>
      <c r="Q764" s="2"/>
      <c r="R764" s="2"/>
      <c r="S764" s="2"/>
      <c r="T764" s="2"/>
      <c r="U764" s="2"/>
      <c r="V764" s="2"/>
      <c r="W764" s="2"/>
      <c r="X764" s="2"/>
      <c r="Y764" s="2"/>
      <c r="Z764" s="2"/>
      <c r="AA764" s="2"/>
      <c r="AB764" s="2"/>
      <c r="AC764" s="2"/>
      <c r="AD764" s="2"/>
      <c r="AE764" s="2"/>
      <c r="AF764" s="2"/>
      <c r="AG764" s="2"/>
    </row>
    <row r="765" ht="14.25" customHeight="1">
      <c r="A765" s="2"/>
      <c r="B765" s="2"/>
      <c r="C765" s="2"/>
      <c r="D765" s="2"/>
      <c r="E765" s="2"/>
      <c r="F765" s="2"/>
      <c r="G765" s="2"/>
      <c r="H765" s="146"/>
      <c r="I765" s="146"/>
      <c r="J765" s="146"/>
      <c r="K765" s="146"/>
      <c r="L765" s="2"/>
      <c r="M765" s="2"/>
      <c r="N765" s="2"/>
      <c r="O765" s="2"/>
      <c r="P765" s="2"/>
      <c r="Q765" s="2"/>
      <c r="R765" s="2"/>
      <c r="S765" s="2"/>
      <c r="T765" s="2"/>
      <c r="U765" s="2"/>
      <c r="V765" s="2"/>
      <c r="W765" s="2"/>
      <c r="X765" s="2"/>
      <c r="Y765" s="2"/>
      <c r="Z765" s="2"/>
      <c r="AA765" s="2"/>
      <c r="AB765" s="2"/>
      <c r="AC765" s="2"/>
      <c r="AD765" s="2"/>
      <c r="AE765" s="2"/>
      <c r="AF765" s="2"/>
      <c r="AG765" s="2"/>
    </row>
    <row r="766" ht="14.25" customHeight="1">
      <c r="A766" s="2"/>
      <c r="B766" s="2"/>
      <c r="C766" s="2"/>
      <c r="D766" s="2"/>
      <c r="E766" s="2"/>
      <c r="F766" s="2"/>
      <c r="G766" s="2"/>
      <c r="H766" s="146"/>
      <c r="I766" s="146"/>
      <c r="J766" s="146"/>
      <c r="K766" s="146"/>
      <c r="L766" s="2"/>
      <c r="M766" s="2"/>
      <c r="N766" s="2"/>
      <c r="O766" s="2"/>
      <c r="P766" s="2"/>
      <c r="Q766" s="2"/>
      <c r="R766" s="2"/>
      <c r="S766" s="2"/>
      <c r="T766" s="2"/>
      <c r="U766" s="2"/>
      <c r="V766" s="2"/>
      <c r="W766" s="2"/>
      <c r="X766" s="2"/>
      <c r="Y766" s="2"/>
      <c r="Z766" s="2"/>
      <c r="AA766" s="2"/>
      <c r="AB766" s="2"/>
      <c r="AC766" s="2"/>
      <c r="AD766" s="2"/>
      <c r="AE766" s="2"/>
      <c r="AF766" s="2"/>
      <c r="AG766" s="2"/>
    </row>
    <row r="767" ht="14.25" customHeight="1">
      <c r="A767" s="2"/>
      <c r="B767" s="2"/>
      <c r="C767" s="2"/>
      <c r="D767" s="2"/>
      <c r="E767" s="2"/>
      <c r="F767" s="2"/>
      <c r="G767" s="2"/>
      <c r="H767" s="146"/>
      <c r="I767" s="146"/>
      <c r="J767" s="146"/>
      <c r="K767" s="146"/>
      <c r="L767" s="2"/>
      <c r="M767" s="2"/>
      <c r="N767" s="2"/>
      <c r="O767" s="2"/>
      <c r="P767" s="2"/>
      <c r="Q767" s="2"/>
      <c r="R767" s="2"/>
      <c r="S767" s="2"/>
      <c r="T767" s="2"/>
      <c r="U767" s="2"/>
      <c r="V767" s="2"/>
      <c r="W767" s="2"/>
      <c r="X767" s="2"/>
      <c r="Y767" s="2"/>
      <c r="Z767" s="2"/>
      <c r="AA767" s="2"/>
      <c r="AB767" s="2"/>
      <c r="AC767" s="2"/>
      <c r="AD767" s="2"/>
      <c r="AE767" s="2"/>
      <c r="AF767" s="2"/>
      <c r="AG767" s="2"/>
    </row>
    <row r="768" ht="14.25" customHeight="1">
      <c r="A768" s="2"/>
      <c r="B768" s="2"/>
      <c r="C768" s="2"/>
      <c r="D768" s="2"/>
      <c r="E768" s="2"/>
      <c r="F768" s="2"/>
      <c r="G768" s="2"/>
      <c r="H768" s="146"/>
      <c r="I768" s="146"/>
      <c r="J768" s="146"/>
      <c r="K768" s="146"/>
      <c r="L768" s="2"/>
      <c r="M768" s="2"/>
      <c r="N768" s="2"/>
      <c r="O768" s="2"/>
      <c r="P768" s="2"/>
      <c r="Q768" s="2"/>
      <c r="R768" s="2"/>
      <c r="S768" s="2"/>
      <c r="T768" s="2"/>
      <c r="U768" s="2"/>
      <c r="V768" s="2"/>
      <c r="W768" s="2"/>
      <c r="X768" s="2"/>
      <c r="Y768" s="2"/>
      <c r="Z768" s="2"/>
      <c r="AA768" s="2"/>
      <c r="AB768" s="2"/>
      <c r="AC768" s="2"/>
      <c r="AD768" s="2"/>
      <c r="AE768" s="2"/>
      <c r="AF768" s="2"/>
      <c r="AG768" s="2"/>
    </row>
    <row r="769" ht="14.25" customHeight="1">
      <c r="A769" s="2"/>
      <c r="B769" s="2"/>
      <c r="C769" s="2"/>
      <c r="D769" s="2"/>
      <c r="E769" s="2"/>
      <c r="F769" s="2"/>
      <c r="G769" s="2"/>
      <c r="H769" s="146"/>
      <c r="I769" s="146"/>
      <c r="J769" s="146"/>
      <c r="K769" s="146"/>
      <c r="L769" s="2"/>
      <c r="M769" s="2"/>
      <c r="N769" s="2"/>
      <c r="O769" s="2"/>
      <c r="P769" s="2"/>
      <c r="Q769" s="2"/>
      <c r="R769" s="2"/>
      <c r="S769" s="2"/>
      <c r="T769" s="2"/>
      <c r="U769" s="2"/>
      <c r="V769" s="2"/>
      <c r="W769" s="2"/>
      <c r="X769" s="2"/>
      <c r="Y769" s="2"/>
      <c r="Z769" s="2"/>
      <c r="AA769" s="2"/>
      <c r="AB769" s="2"/>
      <c r="AC769" s="2"/>
      <c r="AD769" s="2"/>
      <c r="AE769" s="2"/>
      <c r="AF769" s="2"/>
      <c r="AG769" s="2"/>
    </row>
    <row r="770" ht="14.25" customHeight="1">
      <c r="A770" s="2"/>
      <c r="B770" s="2"/>
      <c r="C770" s="2"/>
      <c r="D770" s="2"/>
      <c r="E770" s="2"/>
      <c r="F770" s="2"/>
      <c r="G770" s="2"/>
      <c r="H770" s="146"/>
      <c r="I770" s="146"/>
      <c r="J770" s="146"/>
      <c r="K770" s="146"/>
      <c r="L770" s="2"/>
      <c r="M770" s="2"/>
      <c r="N770" s="2"/>
      <c r="O770" s="2"/>
      <c r="P770" s="2"/>
      <c r="Q770" s="2"/>
      <c r="R770" s="2"/>
      <c r="S770" s="2"/>
      <c r="T770" s="2"/>
      <c r="U770" s="2"/>
      <c r="V770" s="2"/>
      <c r="W770" s="2"/>
      <c r="X770" s="2"/>
      <c r="Y770" s="2"/>
      <c r="Z770" s="2"/>
      <c r="AA770" s="2"/>
      <c r="AB770" s="2"/>
      <c r="AC770" s="2"/>
      <c r="AD770" s="2"/>
      <c r="AE770" s="2"/>
      <c r="AF770" s="2"/>
      <c r="AG770" s="2"/>
    </row>
    <row r="771" ht="14.25" customHeight="1">
      <c r="A771" s="2"/>
      <c r="B771" s="2"/>
      <c r="C771" s="2"/>
      <c r="D771" s="2"/>
      <c r="E771" s="2"/>
      <c r="F771" s="2"/>
      <c r="G771" s="2"/>
      <c r="H771" s="146"/>
      <c r="I771" s="146"/>
      <c r="J771" s="146"/>
      <c r="K771" s="146"/>
      <c r="L771" s="2"/>
      <c r="M771" s="2"/>
      <c r="N771" s="2"/>
      <c r="O771" s="2"/>
      <c r="P771" s="2"/>
      <c r="Q771" s="2"/>
      <c r="R771" s="2"/>
      <c r="S771" s="2"/>
      <c r="T771" s="2"/>
      <c r="U771" s="2"/>
      <c r="V771" s="2"/>
      <c r="W771" s="2"/>
      <c r="X771" s="2"/>
      <c r="Y771" s="2"/>
      <c r="Z771" s="2"/>
      <c r="AA771" s="2"/>
      <c r="AB771" s="2"/>
      <c r="AC771" s="2"/>
      <c r="AD771" s="2"/>
      <c r="AE771" s="2"/>
      <c r="AF771" s="2"/>
      <c r="AG771" s="2"/>
    </row>
    <row r="772" ht="14.25" customHeight="1">
      <c r="A772" s="2"/>
      <c r="B772" s="2"/>
      <c r="C772" s="2"/>
      <c r="D772" s="2"/>
      <c r="E772" s="2"/>
      <c r="F772" s="2"/>
      <c r="G772" s="2"/>
      <c r="H772" s="146"/>
      <c r="I772" s="146"/>
      <c r="J772" s="146"/>
      <c r="K772" s="146"/>
      <c r="L772" s="2"/>
      <c r="M772" s="2"/>
      <c r="N772" s="2"/>
      <c r="O772" s="2"/>
      <c r="P772" s="2"/>
      <c r="Q772" s="2"/>
      <c r="R772" s="2"/>
      <c r="S772" s="2"/>
      <c r="T772" s="2"/>
      <c r="U772" s="2"/>
      <c r="V772" s="2"/>
      <c r="W772" s="2"/>
      <c r="X772" s="2"/>
      <c r="Y772" s="2"/>
      <c r="Z772" s="2"/>
      <c r="AA772" s="2"/>
      <c r="AB772" s="2"/>
      <c r="AC772" s="2"/>
      <c r="AD772" s="2"/>
      <c r="AE772" s="2"/>
      <c r="AF772" s="2"/>
      <c r="AG772" s="2"/>
    </row>
    <row r="773" ht="14.25" customHeight="1">
      <c r="A773" s="2"/>
      <c r="B773" s="2"/>
      <c r="C773" s="2"/>
      <c r="D773" s="2"/>
      <c r="E773" s="2"/>
      <c r="F773" s="2"/>
      <c r="G773" s="2"/>
      <c r="H773" s="146"/>
      <c r="I773" s="146"/>
      <c r="J773" s="146"/>
      <c r="K773" s="146"/>
      <c r="L773" s="2"/>
      <c r="M773" s="2"/>
      <c r="N773" s="2"/>
      <c r="O773" s="2"/>
      <c r="P773" s="2"/>
      <c r="Q773" s="2"/>
      <c r="R773" s="2"/>
      <c r="S773" s="2"/>
      <c r="T773" s="2"/>
      <c r="U773" s="2"/>
      <c r="V773" s="2"/>
      <c r="W773" s="2"/>
      <c r="X773" s="2"/>
      <c r="Y773" s="2"/>
      <c r="Z773" s="2"/>
      <c r="AA773" s="2"/>
      <c r="AB773" s="2"/>
      <c r="AC773" s="2"/>
      <c r="AD773" s="2"/>
      <c r="AE773" s="2"/>
      <c r="AF773" s="2"/>
      <c r="AG773" s="2"/>
    </row>
    <row r="774" ht="14.25" customHeight="1">
      <c r="A774" s="2"/>
      <c r="B774" s="2"/>
      <c r="C774" s="2"/>
      <c r="D774" s="2"/>
      <c r="E774" s="2"/>
      <c r="F774" s="2"/>
      <c r="G774" s="2"/>
      <c r="H774" s="146"/>
      <c r="I774" s="146"/>
      <c r="J774" s="146"/>
      <c r="K774" s="146"/>
      <c r="L774" s="2"/>
      <c r="M774" s="2"/>
      <c r="N774" s="2"/>
      <c r="O774" s="2"/>
      <c r="P774" s="2"/>
      <c r="Q774" s="2"/>
      <c r="R774" s="2"/>
      <c r="S774" s="2"/>
      <c r="T774" s="2"/>
      <c r="U774" s="2"/>
      <c r="V774" s="2"/>
      <c r="W774" s="2"/>
      <c r="X774" s="2"/>
      <c r="Y774" s="2"/>
      <c r="Z774" s="2"/>
      <c r="AA774" s="2"/>
      <c r="AB774" s="2"/>
      <c r="AC774" s="2"/>
      <c r="AD774" s="2"/>
      <c r="AE774" s="2"/>
      <c r="AF774" s="2"/>
      <c r="AG774" s="2"/>
    </row>
    <row r="775" ht="14.25" customHeight="1">
      <c r="A775" s="2"/>
      <c r="B775" s="2"/>
      <c r="C775" s="2"/>
      <c r="D775" s="2"/>
      <c r="E775" s="2"/>
      <c r="F775" s="2"/>
      <c r="G775" s="2"/>
      <c r="H775" s="146"/>
      <c r="I775" s="146"/>
      <c r="J775" s="146"/>
      <c r="K775" s="146"/>
      <c r="L775" s="2"/>
      <c r="M775" s="2"/>
      <c r="N775" s="2"/>
      <c r="O775" s="2"/>
      <c r="P775" s="2"/>
      <c r="Q775" s="2"/>
      <c r="R775" s="2"/>
      <c r="S775" s="2"/>
      <c r="T775" s="2"/>
      <c r="U775" s="2"/>
      <c r="V775" s="2"/>
      <c r="W775" s="2"/>
      <c r="X775" s="2"/>
      <c r="Y775" s="2"/>
      <c r="Z775" s="2"/>
      <c r="AA775" s="2"/>
      <c r="AB775" s="2"/>
      <c r="AC775" s="2"/>
      <c r="AD775" s="2"/>
      <c r="AE775" s="2"/>
      <c r="AF775" s="2"/>
      <c r="AG775" s="2"/>
    </row>
    <row r="776" ht="14.25" customHeight="1">
      <c r="A776" s="2"/>
      <c r="B776" s="2"/>
      <c r="C776" s="2"/>
      <c r="D776" s="2"/>
      <c r="E776" s="2"/>
      <c r="F776" s="2"/>
      <c r="G776" s="2"/>
      <c r="H776" s="146"/>
      <c r="I776" s="146"/>
      <c r="J776" s="146"/>
      <c r="K776" s="146"/>
      <c r="L776" s="2"/>
      <c r="M776" s="2"/>
      <c r="N776" s="2"/>
      <c r="O776" s="2"/>
      <c r="P776" s="2"/>
      <c r="Q776" s="2"/>
      <c r="R776" s="2"/>
      <c r="S776" s="2"/>
      <c r="T776" s="2"/>
      <c r="U776" s="2"/>
      <c r="V776" s="2"/>
      <c r="W776" s="2"/>
      <c r="X776" s="2"/>
      <c r="Y776" s="2"/>
      <c r="Z776" s="2"/>
      <c r="AA776" s="2"/>
      <c r="AB776" s="2"/>
      <c r="AC776" s="2"/>
      <c r="AD776" s="2"/>
      <c r="AE776" s="2"/>
      <c r="AF776" s="2"/>
      <c r="AG776" s="2"/>
    </row>
    <row r="777" ht="14.25" customHeight="1">
      <c r="A777" s="2"/>
      <c r="B777" s="2"/>
      <c r="C777" s="2"/>
      <c r="D777" s="2"/>
      <c r="E777" s="2"/>
      <c r="F777" s="2"/>
      <c r="G777" s="2"/>
      <c r="H777" s="146"/>
      <c r="I777" s="146"/>
      <c r="J777" s="146"/>
      <c r="K777" s="146"/>
      <c r="L777" s="2"/>
      <c r="M777" s="2"/>
      <c r="N777" s="2"/>
      <c r="O777" s="2"/>
      <c r="P777" s="2"/>
      <c r="Q777" s="2"/>
      <c r="R777" s="2"/>
      <c r="S777" s="2"/>
      <c r="T777" s="2"/>
      <c r="U777" s="2"/>
      <c r="V777" s="2"/>
      <c r="W777" s="2"/>
      <c r="X777" s="2"/>
      <c r="Y777" s="2"/>
      <c r="Z777" s="2"/>
      <c r="AA777" s="2"/>
      <c r="AB777" s="2"/>
      <c r="AC777" s="2"/>
      <c r="AD777" s="2"/>
      <c r="AE777" s="2"/>
      <c r="AF777" s="2"/>
      <c r="AG777" s="2"/>
    </row>
    <row r="778" ht="14.25" customHeight="1">
      <c r="A778" s="2"/>
      <c r="B778" s="2"/>
      <c r="C778" s="2"/>
      <c r="D778" s="2"/>
      <c r="E778" s="2"/>
      <c r="F778" s="2"/>
      <c r="G778" s="2"/>
      <c r="H778" s="146"/>
      <c r="I778" s="146"/>
      <c r="J778" s="146"/>
      <c r="K778" s="146"/>
      <c r="L778" s="2"/>
      <c r="M778" s="2"/>
      <c r="N778" s="2"/>
      <c r="O778" s="2"/>
      <c r="P778" s="2"/>
      <c r="Q778" s="2"/>
      <c r="R778" s="2"/>
      <c r="S778" s="2"/>
      <c r="T778" s="2"/>
      <c r="U778" s="2"/>
      <c r="V778" s="2"/>
      <c r="W778" s="2"/>
      <c r="X778" s="2"/>
      <c r="Y778" s="2"/>
      <c r="Z778" s="2"/>
      <c r="AA778" s="2"/>
      <c r="AB778" s="2"/>
      <c r="AC778" s="2"/>
      <c r="AD778" s="2"/>
      <c r="AE778" s="2"/>
      <c r="AF778" s="2"/>
      <c r="AG778" s="2"/>
    </row>
    <row r="779" ht="14.25" customHeight="1">
      <c r="A779" s="2"/>
      <c r="B779" s="2"/>
      <c r="C779" s="2"/>
      <c r="D779" s="2"/>
      <c r="E779" s="2"/>
      <c r="F779" s="2"/>
      <c r="G779" s="2"/>
      <c r="H779" s="146"/>
      <c r="I779" s="146"/>
      <c r="J779" s="146"/>
      <c r="K779" s="146"/>
      <c r="L779" s="2"/>
      <c r="M779" s="2"/>
      <c r="N779" s="2"/>
      <c r="O779" s="2"/>
      <c r="P779" s="2"/>
      <c r="Q779" s="2"/>
      <c r="R779" s="2"/>
      <c r="S779" s="2"/>
      <c r="T779" s="2"/>
      <c r="U779" s="2"/>
      <c r="V779" s="2"/>
      <c r="W779" s="2"/>
      <c r="X779" s="2"/>
      <c r="Y779" s="2"/>
      <c r="Z779" s="2"/>
      <c r="AA779" s="2"/>
      <c r="AB779" s="2"/>
      <c r="AC779" s="2"/>
      <c r="AD779" s="2"/>
      <c r="AE779" s="2"/>
      <c r="AF779" s="2"/>
      <c r="AG779" s="2"/>
    </row>
    <row r="780" ht="14.25" customHeight="1">
      <c r="A780" s="2"/>
      <c r="B780" s="2"/>
      <c r="C780" s="2"/>
      <c r="D780" s="2"/>
      <c r="E780" s="2"/>
      <c r="F780" s="2"/>
      <c r="G780" s="2"/>
      <c r="H780" s="146"/>
      <c r="I780" s="146"/>
      <c r="J780" s="146"/>
      <c r="K780" s="146"/>
      <c r="L780" s="2"/>
      <c r="M780" s="2"/>
      <c r="N780" s="2"/>
      <c r="O780" s="2"/>
      <c r="P780" s="2"/>
      <c r="Q780" s="2"/>
      <c r="R780" s="2"/>
      <c r="S780" s="2"/>
      <c r="T780" s="2"/>
      <c r="U780" s="2"/>
      <c r="V780" s="2"/>
      <c r="W780" s="2"/>
      <c r="X780" s="2"/>
      <c r="Y780" s="2"/>
      <c r="Z780" s="2"/>
      <c r="AA780" s="2"/>
      <c r="AB780" s="2"/>
      <c r="AC780" s="2"/>
      <c r="AD780" s="2"/>
      <c r="AE780" s="2"/>
      <c r="AF780" s="2"/>
      <c r="AG780" s="2"/>
    </row>
    <row r="781" ht="14.25" customHeight="1">
      <c r="A781" s="2"/>
      <c r="B781" s="2"/>
      <c r="C781" s="2"/>
      <c r="D781" s="2"/>
      <c r="E781" s="2"/>
      <c r="F781" s="2"/>
      <c r="G781" s="2"/>
      <c r="H781" s="146"/>
      <c r="I781" s="146"/>
      <c r="J781" s="146"/>
      <c r="K781" s="146"/>
      <c r="L781" s="2"/>
      <c r="M781" s="2"/>
      <c r="N781" s="2"/>
      <c r="O781" s="2"/>
      <c r="P781" s="2"/>
      <c r="Q781" s="2"/>
      <c r="R781" s="2"/>
      <c r="S781" s="2"/>
      <c r="T781" s="2"/>
      <c r="U781" s="2"/>
      <c r="V781" s="2"/>
      <c r="W781" s="2"/>
      <c r="X781" s="2"/>
      <c r="Y781" s="2"/>
      <c r="Z781" s="2"/>
      <c r="AA781" s="2"/>
      <c r="AB781" s="2"/>
      <c r="AC781" s="2"/>
      <c r="AD781" s="2"/>
      <c r="AE781" s="2"/>
      <c r="AF781" s="2"/>
      <c r="AG781" s="2"/>
    </row>
    <row r="782" ht="14.25" customHeight="1">
      <c r="A782" s="2"/>
      <c r="B782" s="2"/>
      <c r="C782" s="2"/>
      <c r="D782" s="2"/>
      <c r="E782" s="2"/>
      <c r="F782" s="2"/>
      <c r="G782" s="2"/>
      <c r="H782" s="146"/>
      <c r="I782" s="146"/>
      <c r="J782" s="146"/>
      <c r="K782" s="146"/>
      <c r="L782" s="2"/>
      <c r="M782" s="2"/>
      <c r="N782" s="2"/>
      <c r="O782" s="2"/>
      <c r="P782" s="2"/>
      <c r="Q782" s="2"/>
      <c r="R782" s="2"/>
      <c r="S782" s="2"/>
      <c r="T782" s="2"/>
      <c r="U782" s="2"/>
      <c r="V782" s="2"/>
      <c r="W782" s="2"/>
      <c r="X782" s="2"/>
      <c r="Y782" s="2"/>
      <c r="Z782" s="2"/>
      <c r="AA782" s="2"/>
      <c r="AB782" s="2"/>
      <c r="AC782" s="2"/>
      <c r="AD782" s="2"/>
      <c r="AE782" s="2"/>
      <c r="AF782" s="2"/>
      <c r="AG782" s="2"/>
    </row>
    <row r="783" ht="14.25" customHeight="1">
      <c r="A783" s="2"/>
      <c r="B783" s="2"/>
      <c r="C783" s="2"/>
      <c r="D783" s="2"/>
      <c r="E783" s="2"/>
      <c r="F783" s="2"/>
      <c r="G783" s="2"/>
      <c r="H783" s="146"/>
      <c r="I783" s="146"/>
      <c r="J783" s="146"/>
      <c r="K783" s="146"/>
      <c r="L783" s="2"/>
      <c r="M783" s="2"/>
      <c r="N783" s="2"/>
      <c r="O783" s="2"/>
      <c r="P783" s="2"/>
      <c r="Q783" s="2"/>
      <c r="R783" s="2"/>
      <c r="S783" s="2"/>
      <c r="T783" s="2"/>
      <c r="U783" s="2"/>
      <c r="V783" s="2"/>
      <c r="W783" s="2"/>
      <c r="X783" s="2"/>
      <c r="Y783" s="2"/>
      <c r="Z783" s="2"/>
      <c r="AA783" s="2"/>
      <c r="AB783" s="2"/>
      <c r="AC783" s="2"/>
      <c r="AD783" s="2"/>
      <c r="AE783" s="2"/>
      <c r="AF783" s="2"/>
      <c r="AG783" s="2"/>
    </row>
    <row r="784" ht="14.25" customHeight="1">
      <c r="A784" s="2"/>
      <c r="B784" s="2"/>
      <c r="C784" s="2"/>
      <c r="D784" s="2"/>
      <c r="E784" s="2"/>
      <c r="F784" s="2"/>
      <c r="G784" s="2"/>
      <c r="H784" s="146"/>
      <c r="I784" s="146"/>
      <c r="J784" s="146"/>
      <c r="K784" s="146"/>
      <c r="L784" s="2"/>
      <c r="M784" s="2"/>
      <c r="N784" s="2"/>
      <c r="O784" s="2"/>
      <c r="P784" s="2"/>
      <c r="Q784" s="2"/>
      <c r="R784" s="2"/>
      <c r="S784" s="2"/>
      <c r="T784" s="2"/>
      <c r="U784" s="2"/>
      <c r="V784" s="2"/>
      <c r="W784" s="2"/>
      <c r="X784" s="2"/>
      <c r="Y784" s="2"/>
      <c r="Z784" s="2"/>
      <c r="AA784" s="2"/>
      <c r="AB784" s="2"/>
      <c r="AC784" s="2"/>
      <c r="AD784" s="2"/>
      <c r="AE784" s="2"/>
      <c r="AF784" s="2"/>
      <c r="AG784" s="2"/>
    </row>
    <row r="785" ht="14.25" customHeight="1">
      <c r="A785" s="2"/>
      <c r="B785" s="2"/>
      <c r="C785" s="2"/>
      <c r="D785" s="2"/>
      <c r="E785" s="2"/>
      <c r="F785" s="2"/>
      <c r="G785" s="2"/>
      <c r="H785" s="146"/>
      <c r="I785" s="146"/>
      <c r="J785" s="146"/>
      <c r="K785" s="146"/>
      <c r="L785" s="2"/>
      <c r="M785" s="2"/>
      <c r="N785" s="2"/>
      <c r="O785" s="2"/>
      <c r="P785" s="2"/>
      <c r="Q785" s="2"/>
      <c r="R785" s="2"/>
      <c r="S785" s="2"/>
      <c r="T785" s="2"/>
      <c r="U785" s="2"/>
      <c r="V785" s="2"/>
      <c r="W785" s="2"/>
      <c r="X785" s="2"/>
      <c r="Y785" s="2"/>
      <c r="Z785" s="2"/>
      <c r="AA785" s="2"/>
      <c r="AB785" s="2"/>
      <c r="AC785" s="2"/>
      <c r="AD785" s="2"/>
      <c r="AE785" s="2"/>
      <c r="AF785" s="2"/>
      <c r="AG785" s="2"/>
    </row>
    <row r="786" ht="14.25" customHeight="1">
      <c r="A786" s="2"/>
      <c r="B786" s="2"/>
      <c r="C786" s="2"/>
      <c r="D786" s="2"/>
      <c r="E786" s="2"/>
      <c r="F786" s="2"/>
      <c r="G786" s="2"/>
      <c r="H786" s="146"/>
      <c r="I786" s="146"/>
      <c r="J786" s="146"/>
      <c r="K786" s="146"/>
      <c r="L786" s="2"/>
      <c r="M786" s="2"/>
      <c r="N786" s="2"/>
      <c r="O786" s="2"/>
      <c r="P786" s="2"/>
      <c r="Q786" s="2"/>
      <c r="R786" s="2"/>
      <c r="S786" s="2"/>
      <c r="T786" s="2"/>
      <c r="U786" s="2"/>
      <c r="V786" s="2"/>
      <c r="W786" s="2"/>
      <c r="X786" s="2"/>
      <c r="Y786" s="2"/>
      <c r="Z786" s="2"/>
      <c r="AA786" s="2"/>
      <c r="AB786" s="2"/>
      <c r="AC786" s="2"/>
      <c r="AD786" s="2"/>
      <c r="AE786" s="2"/>
      <c r="AF786" s="2"/>
      <c r="AG786" s="2"/>
    </row>
    <row r="787" ht="14.25" customHeight="1">
      <c r="A787" s="2"/>
      <c r="B787" s="2"/>
      <c r="C787" s="2"/>
      <c r="D787" s="2"/>
      <c r="E787" s="2"/>
      <c r="F787" s="2"/>
      <c r="G787" s="2"/>
      <c r="H787" s="146"/>
      <c r="I787" s="146"/>
      <c r="J787" s="146"/>
      <c r="K787" s="146"/>
      <c r="L787" s="2"/>
      <c r="M787" s="2"/>
      <c r="N787" s="2"/>
      <c r="O787" s="2"/>
      <c r="P787" s="2"/>
      <c r="Q787" s="2"/>
      <c r="R787" s="2"/>
      <c r="S787" s="2"/>
      <c r="T787" s="2"/>
      <c r="U787" s="2"/>
      <c r="V787" s="2"/>
      <c r="W787" s="2"/>
      <c r="X787" s="2"/>
      <c r="Y787" s="2"/>
      <c r="Z787" s="2"/>
      <c r="AA787" s="2"/>
      <c r="AB787" s="2"/>
      <c r="AC787" s="2"/>
      <c r="AD787" s="2"/>
      <c r="AE787" s="2"/>
      <c r="AF787" s="2"/>
      <c r="AG787" s="2"/>
    </row>
    <row r="788" ht="14.25" customHeight="1">
      <c r="A788" s="2"/>
      <c r="B788" s="2"/>
      <c r="C788" s="2"/>
      <c r="D788" s="2"/>
      <c r="E788" s="2"/>
      <c r="F788" s="2"/>
      <c r="G788" s="2"/>
      <c r="H788" s="146"/>
      <c r="I788" s="146"/>
      <c r="J788" s="146"/>
      <c r="K788" s="146"/>
      <c r="L788" s="2"/>
      <c r="M788" s="2"/>
      <c r="N788" s="2"/>
      <c r="O788" s="2"/>
      <c r="P788" s="2"/>
      <c r="Q788" s="2"/>
      <c r="R788" s="2"/>
      <c r="S788" s="2"/>
      <c r="T788" s="2"/>
      <c r="U788" s="2"/>
      <c r="V788" s="2"/>
      <c r="W788" s="2"/>
      <c r="X788" s="2"/>
      <c r="Y788" s="2"/>
      <c r="Z788" s="2"/>
      <c r="AA788" s="2"/>
      <c r="AB788" s="2"/>
      <c r="AC788" s="2"/>
      <c r="AD788" s="2"/>
      <c r="AE788" s="2"/>
      <c r="AF788" s="2"/>
      <c r="AG788" s="2"/>
    </row>
    <row r="789" ht="14.25" customHeight="1">
      <c r="A789" s="2"/>
      <c r="B789" s="2"/>
      <c r="C789" s="2"/>
      <c r="D789" s="2"/>
      <c r="E789" s="2"/>
      <c r="F789" s="2"/>
      <c r="G789" s="2"/>
      <c r="H789" s="146"/>
      <c r="I789" s="146"/>
      <c r="J789" s="146"/>
      <c r="K789" s="146"/>
      <c r="L789" s="2"/>
      <c r="M789" s="2"/>
      <c r="N789" s="2"/>
      <c r="O789" s="2"/>
      <c r="P789" s="2"/>
      <c r="Q789" s="2"/>
      <c r="R789" s="2"/>
      <c r="S789" s="2"/>
      <c r="T789" s="2"/>
      <c r="U789" s="2"/>
      <c r="V789" s="2"/>
      <c r="W789" s="2"/>
      <c r="X789" s="2"/>
      <c r="Y789" s="2"/>
      <c r="Z789" s="2"/>
      <c r="AA789" s="2"/>
      <c r="AB789" s="2"/>
      <c r="AC789" s="2"/>
      <c r="AD789" s="2"/>
      <c r="AE789" s="2"/>
      <c r="AF789" s="2"/>
      <c r="AG789" s="2"/>
    </row>
    <row r="790" ht="14.25" customHeight="1">
      <c r="A790" s="2"/>
      <c r="B790" s="2"/>
      <c r="C790" s="2"/>
      <c r="D790" s="2"/>
      <c r="E790" s="2"/>
      <c r="F790" s="2"/>
      <c r="G790" s="2"/>
      <c r="H790" s="146"/>
      <c r="I790" s="146"/>
      <c r="J790" s="146"/>
      <c r="K790" s="146"/>
      <c r="L790" s="2"/>
      <c r="M790" s="2"/>
      <c r="N790" s="2"/>
      <c r="O790" s="2"/>
      <c r="P790" s="2"/>
      <c r="Q790" s="2"/>
      <c r="R790" s="2"/>
      <c r="S790" s="2"/>
      <c r="T790" s="2"/>
      <c r="U790" s="2"/>
      <c r="V790" s="2"/>
      <c r="W790" s="2"/>
      <c r="X790" s="2"/>
      <c r="Y790" s="2"/>
      <c r="Z790" s="2"/>
      <c r="AA790" s="2"/>
      <c r="AB790" s="2"/>
      <c r="AC790" s="2"/>
      <c r="AD790" s="2"/>
      <c r="AE790" s="2"/>
      <c r="AF790" s="2"/>
      <c r="AG790" s="2"/>
    </row>
    <row r="791" ht="14.25" customHeight="1">
      <c r="A791" s="2"/>
      <c r="B791" s="2"/>
      <c r="C791" s="2"/>
      <c r="D791" s="2"/>
      <c r="E791" s="2"/>
      <c r="F791" s="2"/>
      <c r="G791" s="2"/>
      <c r="H791" s="146"/>
      <c r="I791" s="146"/>
      <c r="J791" s="146"/>
      <c r="K791" s="146"/>
      <c r="L791" s="2"/>
      <c r="M791" s="2"/>
      <c r="N791" s="2"/>
      <c r="O791" s="2"/>
      <c r="P791" s="2"/>
      <c r="Q791" s="2"/>
      <c r="R791" s="2"/>
      <c r="S791" s="2"/>
      <c r="T791" s="2"/>
      <c r="U791" s="2"/>
      <c r="V791" s="2"/>
      <c r="W791" s="2"/>
      <c r="X791" s="2"/>
      <c r="Y791" s="2"/>
      <c r="Z791" s="2"/>
      <c r="AA791" s="2"/>
      <c r="AB791" s="2"/>
      <c r="AC791" s="2"/>
      <c r="AD791" s="2"/>
      <c r="AE791" s="2"/>
      <c r="AF791" s="2"/>
      <c r="AG791" s="2"/>
    </row>
    <row r="792" ht="14.25" customHeight="1">
      <c r="A792" s="2"/>
      <c r="B792" s="2"/>
      <c r="C792" s="2"/>
      <c r="D792" s="2"/>
      <c r="E792" s="2"/>
      <c r="F792" s="2"/>
      <c r="G792" s="2"/>
      <c r="H792" s="146"/>
      <c r="I792" s="146"/>
      <c r="J792" s="146"/>
      <c r="K792" s="146"/>
      <c r="L792" s="2"/>
      <c r="M792" s="2"/>
      <c r="N792" s="2"/>
      <c r="O792" s="2"/>
      <c r="P792" s="2"/>
      <c r="Q792" s="2"/>
      <c r="R792" s="2"/>
      <c r="S792" s="2"/>
      <c r="T792" s="2"/>
      <c r="U792" s="2"/>
      <c r="V792" s="2"/>
      <c r="W792" s="2"/>
      <c r="X792" s="2"/>
      <c r="Y792" s="2"/>
      <c r="Z792" s="2"/>
      <c r="AA792" s="2"/>
      <c r="AB792" s="2"/>
      <c r="AC792" s="2"/>
      <c r="AD792" s="2"/>
      <c r="AE792" s="2"/>
      <c r="AF792" s="2"/>
      <c r="AG792" s="2"/>
    </row>
    <row r="793" ht="14.25" customHeight="1">
      <c r="A793" s="2"/>
      <c r="B793" s="2"/>
      <c r="C793" s="2"/>
      <c r="D793" s="2"/>
      <c r="E793" s="2"/>
      <c r="F793" s="2"/>
      <c r="G793" s="2"/>
      <c r="H793" s="146"/>
      <c r="I793" s="146"/>
      <c r="J793" s="146"/>
      <c r="K793" s="146"/>
      <c r="L793" s="2"/>
      <c r="M793" s="2"/>
      <c r="N793" s="2"/>
      <c r="O793" s="2"/>
      <c r="P793" s="2"/>
      <c r="Q793" s="2"/>
      <c r="R793" s="2"/>
      <c r="S793" s="2"/>
      <c r="T793" s="2"/>
      <c r="U793" s="2"/>
      <c r="V793" s="2"/>
      <c r="W793" s="2"/>
      <c r="X793" s="2"/>
      <c r="Y793" s="2"/>
      <c r="Z793" s="2"/>
      <c r="AA793" s="2"/>
      <c r="AB793" s="2"/>
      <c r="AC793" s="2"/>
      <c r="AD793" s="2"/>
      <c r="AE793" s="2"/>
      <c r="AF793" s="2"/>
      <c r="AG793" s="2"/>
    </row>
    <row r="794" ht="14.25" customHeight="1">
      <c r="A794" s="2"/>
      <c r="B794" s="2"/>
      <c r="C794" s="2"/>
      <c r="D794" s="2"/>
      <c r="E794" s="2"/>
      <c r="F794" s="2"/>
      <c r="G794" s="2"/>
      <c r="H794" s="146"/>
      <c r="I794" s="146"/>
      <c r="J794" s="146"/>
      <c r="K794" s="146"/>
      <c r="L794" s="2"/>
      <c r="M794" s="2"/>
      <c r="N794" s="2"/>
      <c r="O794" s="2"/>
      <c r="P794" s="2"/>
      <c r="Q794" s="2"/>
      <c r="R794" s="2"/>
      <c r="S794" s="2"/>
      <c r="T794" s="2"/>
      <c r="U794" s="2"/>
      <c r="V794" s="2"/>
      <c r="W794" s="2"/>
      <c r="X794" s="2"/>
      <c r="Y794" s="2"/>
      <c r="Z794" s="2"/>
      <c r="AA794" s="2"/>
      <c r="AB794" s="2"/>
      <c r="AC794" s="2"/>
      <c r="AD794" s="2"/>
      <c r="AE794" s="2"/>
      <c r="AF794" s="2"/>
      <c r="AG794" s="2"/>
    </row>
    <row r="795" ht="14.25" customHeight="1">
      <c r="A795" s="2"/>
      <c r="B795" s="2"/>
      <c r="C795" s="2"/>
      <c r="D795" s="2"/>
      <c r="E795" s="2"/>
      <c r="F795" s="2"/>
      <c r="G795" s="2"/>
      <c r="H795" s="146"/>
      <c r="I795" s="146"/>
      <c r="J795" s="146"/>
      <c r="K795" s="146"/>
      <c r="L795" s="2"/>
      <c r="M795" s="2"/>
      <c r="N795" s="2"/>
      <c r="O795" s="2"/>
      <c r="P795" s="2"/>
      <c r="Q795" s="2"/>
      <c r="R795" s="2"/>
      <c r="S795" s="2"/>
      <c r="T795" s="2"/>
      <c r="U795" s="2"/>
      <c r="V795" s="2"/>
      <c r="W795" s="2"/>
      <c r="X795" s="2"/>
      <c r="Y795" s="2"/>
      <c r="Z795" s="2"/>
      <c r="AA795" s="2"/>
      <c r="AB795" s="2"/>
      <c r="AC795" s="2"/>
      <c r="AD795" s="2"/>
      <c r="AE795" s="2"/>
      <c r="AF795" s="2"/>
      <c r="AG795" s="2"/>
    </row>
    <row r="796" ht="14.25" customHeight="1">
      <c r="A796" s="2"/>
      <c r="B796" s="2"/>
      <c r="C796" s="2"/>
      <c r="D796" s="2"/>
      <c r="E796" s="2"/>
      <c r="F796" s="2"/>
      <c r="G796" s="2"/>
      <c r="H796" s="146"/>
      <c r="I796" s="146"/>
      <c r="J796" s="146"/>
      <c r="K796" s="146"/>
      <c r="L796" s="2"/>
      <c r="M796" s="2"/>
      <c r="N796" s="2"/>
      <c r="O796" s="2"/>
      <c r="P796" s="2"/>
      <c r="Q796" s="2"/>
      <c r="R796" s="2"/>
      <c r="S796" s="2"/>
      <c r="T796" s="2"/>
      <c r="U796" s="2"/>
      <c r="V796" s="2"/>
      <c r="W796" s="2"/>
      <c r="X796" s="2"/>
      <c r="Y796" s="2"/>
      <c r="Z796" s="2"/>
      <c r="AA796" s="2"/>
      <c r="AB796" s="2"/>
      <c r="AC796" s="2"/>
      <c r="AD796" s="2"/>
      <c r="AE796" s="2"/>
      <c r="AF796" s="2"/>
      <c r="AG796" s="2"/>
    </row>
    <row r="797" ht="14.25" customHeight="1">
      <c r="A797" s="2"/>
      <c r="B797" s="2"/>
      <c r="C797" s="2"/>
      <c r="D797" s="2"/>
      <c r="E797" s="2"/>
      <c r="F797" s="2"/>
      <c r="G797" s="2"/>
      <c r="H797" s="146"/>
      <c r="I797" s="146"/>
      <c r="J797" s="146"/>
      <c r="K797" s="146"/>
      <c r="L797" s="2"/>
      <c r="M797" s="2"/>
      <c r="N797" s="2"/>
      <c r="O797" s="2"/>
      <c r="P797" s="2"/>
      <c r="Q797" s="2"/>
      <c r="R797" s="2"/>
      <c r="S797" s="2"/>
      <c r="T797" s="2"/>
      <c r="U797" s="2"/>
      <c r="V797" s="2"/>
      <c r="W797" s="2"/>
      <c r="X797" s="2"/>
      <c r="Y797" s="2"/>
      <c r="Z797" s="2"/>
      <c r="AA797" s="2"/>
      <c r="AB797" s="2"/>
      <c r="AC797" s="2"/>
      <c r="AD797" s="2"/>
      <c r="AE797" s="2"/>
      <c r="AF797" s="2"/>
      <c r="AG797" s="2"/>
    </row>
    <row r="798" ht="14.25" customHeight="1">
      <c r="A798" s="2"/>
      <c r="B798" s="2"/>
      <c r="C798" s="2"/>
      <c r="D798" s="2"/>
      <c r="E798" s="2"/>
      <c r="F798" s="2"/>
      <c r="G798" s="2"/>
      <c r="H798" s="146"/>
      <c r="I798" s="146"/>
      <c r="J798" s="146"/>
      <c r="K798" s="146"/>
      <c r="L798" s="2"/>
      <c r="M798" s="2"/>
      <c r="N798" s="2"/>
      <c r="O798" s="2"/>
      <c r="P798" s="2"/>
      <c r="Q798" s="2"/>
      <c r="R798" s="2"/>
      <c r="S798" s="2"/>
      <c r="T798" s="2"/>
      <c r="U798" s="2"/>
      <c r="V798" s="2"/>
      <c r="W798" s="2"/>
      <c r="X798" s="2"/>
      <c r="Y798" s="2"/>
      <c r="Z798" s="2"/>
      <c r="AA798" s="2"/>
      <c r="AB798" s="2"/>
      <c r="AC798" s="2"/>
      <c r="AD798" s="2"/>
      <c r="AE798" s="2"/>
      <c r="AF798" s="2"/>
      <c r="AG798" s="2"/>
    </row>
    <row r="799" ht="14.25" customHeight="1">
      <c r="A799" s="2"/>
      <c r="B799" s="2"/>
      <c r="C799" s="2"/>
      <c r="D799" s="2"/>
      <c r="E799" s="2"/>
      <c r="F799" s="2"/>
      <c r="G799" s="2"/>
      <c r="H799" s="146"/>
      <c r="I799" s="146"/>
      <c r="J799" s="146"/>
      <c r="K799" s="146"/>
      <c r="L799" s="2"/>
      <c r="M799" s="2"/>
      <c r="N799" s="2"/>
      <c r="O799" s="2"/>
      <c r="P799" s="2"/>
      <c r="Q799" s="2"/>
      <c r="R799" s="2"/>
      <c r="S799" s="2"/>
      <c r="T799" s="2"/>
      <c r="U799" s="2"/>
      <c r="V799" s="2"/>
      <c r="W799" s="2"/>
      <c r="X799" s="2"/>
      <c r="Y799" s="2"/>
      <c r="Z799" s="2"/>
      <c r="AA799" s="2"/>
      <c r="AB799" s="2"/>
      <c r="AC799" s="2"/>
      <c r="AD799" s="2"/>
      <c r="AE799" s="2"/>
      <c r="AF799" s="2"/>
      <c r="AG799" s="2"/>
    </row>
    <row r="800" ht="14.25" customHeight="1">
      <c r="A800" s="2"/>
      <c r="B800" s="2"/>
      <c r="C800" s="2"/>
      <c r="D800" s="2"/>
      <c r="E800" s="2"/>
      <c r="F800" s="2"/>
      <c r="G800" s="2"/>
      <c r="H800" s="146"/>
      <c r="I800" s="146"/>
      <c r="J800" s="146"/>
      <c r="K800" s="146"/>
      <c r="L800" s="2"/>
      <c r="M800" s="2"/>
      <c r="N800" s="2"/>
      <c r="O800" s="2"/>
      <c r="P800" s="2"/>
      <c r="Q800" s="2"/>
      <c r="R800" s="2"/>
      <c r="S800" s="2"/>
      <c r="T800" s="2"/>
      <c r="U800" s="2"/>
      <c r="V800" s="2"/>
      <c r="W800" s="2"/>
      <c r="X800" s="2"/>
      <c r="Y800" s="2"/>
      <c r="Z800" s="2"/>
      <c r="AA800" s="2"/>
      <c r="AB800" s="2"/>
      <c r="AC800" s="2"/>
      <c r="AD800" s="2"/>
      <c r="AE800" s="2"/>
      <c r="AF800" s="2"/>
      <c r="AG800" s="2"/>
    </row>
    <row r="801" ht="14.25" customHeight="1">
      <c r="A801" s="2"/>
      <c r="B801" s="2"/>
      <c r="C801" s="2"/>
      <c r="D801" s="2"/>
      <c r="E801" s="2"/>
      <c r="F801" s="2"/>
      <c r="G801" s="2"/>
      <c r="H801" s="146"/>
      <c r="I801" s="146"/>
      <c r="J801" s="146"/>
      <c r="K801" s="146"/>
      <c r="L801" s="2"/>
      <c r="M801" s="2"/>
      <c r="N801" s="2"/>
      <c r="O801" s="2"/>
      <c r="P801" s="2"/>
      <c r="Q801" s="2"/>
      <c r="R801" s="2"/>
      <c r="S801" s="2"/>
      <c r="T801" s="2"/>
      <c r="U801" s="2"/>
      <c r="V801" s="2"/>
      <c r="W801" s="2"/>
      <c r="X801" s="2"/>
      <c r="Y801" s="2"/>
      <c r="Z801" s="2"/>
      <c r="AA801" s="2"/>
      <c r="AB801" s="2"/>
      <c r="AC801" s="2"/>
      <c r="AD801" s="2"/>
      <c r="AE801" s="2"/>
      <c r="AF801" s="2"/>
      <c r="AG801" s="2"/>
    </row>
    <row r="802" ht="14.25" customHeight="1">
      <c r="A802" s="2"/>
      <c r="B802" s="2"/>
      <c r="C802" s="2"/>
      <c r="D802" s="2"/>
      <c r="E802" s="2"/>
      <c r="F802" s="2"/>
      <c r="G802" s="2"/>
      <c r="H802" s="146"/>
      <c r="I802" s="146"/>
      <c r="J802" s="146"/>
      <c r="K802" s="146"/>
      <c r="L802" s="2"/>
      <c r="M802" s="2"/>
      <c r="N802" s="2"/>
      <c r="O802" s="2"/>
      <c r="P802" s="2"/>
      <c r="Q802" s="2"/>
      <c r="R802" s="2"/>
      <c r="S802" s="2"/>
      <c r="T802" s="2"/>
      <c r="U802" s="2"/>
      <c r="V802" s="2"/>
      <c r="W802" s="2"/>
      <c r="X802" s="2"/>
      <c r="Y802" s="2"/>
      <c r="Z802" s="2"/>
      <c r="AA802" s="2"/>
      <c r="AB802" s="2"/>
      <c r="AC802" s="2"/>
      <c r="AD802" s="2"/>
      <c r="AE802" s="2"/>
      <c r="AF802" s="2"/>
      <c r="AG802" s="2"/>
    </row>
    <row r="803" ht="14.25" customHeight="1">
      <c r="A803" s="2"/>
      <c r="B803" s="2"/>
      <c r="C803" s="2"/>
      <c r="D803" s="2"/>
      <c r="E803" s="2"/>
      <c r="F803" s="2"/>
      <c r="G803" s="2"/>
      <c r="H803" s="146"/>
      <c r="I803" s="146"/>
      <c r="J803" s="146"/>
      <c r="K803" s="146"/>
      <c r="L803" s="2"/>
      <c r="M803" s="2"/>
      <c r="N803" s="2"/>
      <c r="O803" s="2"/>
      <c r="P803" s="2"/>
      <c r="Q803" s="2"/>
      <c r="R803" s="2"/>
      <c r="S803" s="2"/>
      <c r="T803" s="2"/>
      <c r="U803" s="2"/>
      <c r="V803" s="2"/>
      <c r="W803" s="2"/>
      <c r="X803" s="2"/>
      <c r="Y803" s="2"/>
      <c r="Z803" s="2"/>
      <c r="AA803" s="2"/>
      <c r="AB803" s="2"/>
      <c r="AC803" s="2"/>
      <c r="AD803" s="2"/>
      <c r="AE803" s="2"/>
      <c r="AF803" s="2"/>
      <c r="AG803" s="2"/>
    </row>
    <row r="804" ht="14.25" customHeight="1">
      <c r="A804" s="2"/>
      <c r="B804" s="2"/>
      <c r="C804" s="2"/>
      <c r="D804" s="2"/>
      <c r="E804" s="2"/>
      <c r="F804" s="2"/>
      <c r="G804" s="2"/>
      <c r="H804" s="146"/>
      <c r="I804" s="146"/>
      <c r="J804" s="146"/>
      <c r="K804" s="146"/>
      <c r="L804" s="2"/>
      <c r="M804" s="2"/>
      <c r="N804" s="2"/>
      <c r="O804" s="2"/>
      <c r="P804" s="2"/>
      <c r="Q804" s="2"/>
      <c r="R804" s="2"/>
      <c r="S804" s="2"/>
      <c r="T804" s="2"/>
      <c r="U804" s="2"/>
      <c r="V804" s="2"/>
      <c r="W804" s="2"/>
      <c r="X804" s="2"/>
      <c r="Y804" s="2"/>
      <c r="Z804" s="2"/>
      <c r="AA804" s="2"/>
      <c r="AB804" s="2"/>
      <c r="AC804" s="2"/>
      <c r="AD804" s="2"/>
      <c r="AE804" s="2"/>
      <c r="AF804" s="2"/>
      <c r="AG804" s="2"/>
    </row>
    <row r="805" ht="14.25" customHeight="1">
      <c r="A805" s="2"/>
      <c r="B805" s="2"/>
      <c r="C805" s="2"/>
      <c r="D805" s="2"/>
      <c r="E805" s="2"/>
      <c r="F805" s="2"/>
      <c r="G805" s="2"/>
      <c r="H805" s="146"/>
      <c r="I805" s="146"/>
      <c r="J805" s="146"/>
      <c r="K805" s="146"/>
      <c r="L805" s="2"/>
      <c r="M805" s="2"/>
      <c r="N805" s="2"/>
      <c r="O805" s="2"/>
      <c r="P805" s="2"/>
      <c r="Q805" s="2"/>
      <c r="R805" s="2"/>
      <c r="S805" s="2"/>
      <c r="T805" s="2"/>
      <c r="U805" s="2"/>
      <c r="V805" s="2"/>
      <c r="W805" s="2"/>
      <c r="X805" s="2"/>
      <c r="Y805" s="2"/>
      <c r="Z805" s="2"/>
      <c r="AA805" s="2"/>
      <c r="AB805" s="2"/>
      <c r="AC805" s="2"/>
      <c r="AD805" s="2"/>
      <c r="AE805" s="2"/>
      <c r="AF805" s="2"/>
      <c r="AG805" s="2"/>
    </row>
    <row r="806" ht="14.25" customHeight="1">
      <c r="A806" s="2"/>
      <c r="B806" s="2"/>
      <c r="C806" s="2"/>
      <c r="D806" s="2"/>
      <c r="E806" s="2"/>
      <c r="F806" s="2"/>
      <c r="G806" s="2"/>
      <c r="H806" s="146"/>
      <c r="I806" s="146"/>
      <c r="J806" s="146"/>
      <c r="K806" s="146"/>
      <c r="L806" s="2"/>
      <c r="M806" s="2"/>
      <c r="N806" s="2"/>
      <c r="O806" s="2"/>
      <c r="P806" s="2"/>
      <c r="Q806" s="2"/>
      <c r="R806" s="2"/>
      <c r="S806" s="2"/>
      <c r="T806" s="2"/>
      <c r="U806" s="2"/>
      <c r="V806" s="2"/>
      <c r="W806" s="2"/>
      <c r="X806" s="2"/>
      <c r="Y806" s="2"/>
      <c r="Z806" s="2"/>
      <c r="AA806" s="2"/>
      <c r="AB806" s="2"/>
      <c r="AC806" s="2"/>
      <c r="AD806" s="2"/>
      <c r="AE806" s="2"/>
      <c r="AF806" s="2"/>
      <c r="AG806" s="2"/>
    </row>
    <row r="807" ht="14.25" customHeight="1">
      <c r="A807" s="2"/>
      <c r="B807" s="2"/>
      <c r="C807" s="2"/>
      <c r="D807" s="2"/>
      <c r="E807" s="2"/>
      <c r="F807" s="2"/>
      <c r="G807" s="2"/>
      <c r="H807" s="146"/>
      <c r="I807" s="146"/>
      <c r="J807" s="146"/>
      <c r="K807" s="146"/>
      <c r="L807" s="2"/>
      <c r="M807" s="2"/>
      <c r="N807" s="2"/>
      <c r="O807" s="2"/>
      <c r="P807" s="2"/>
      <c r="Q807" s="2"/>
      <c r="R807" s="2"/>
      <c r="S807" s="2"/>
      <c r="T807" s="2"/>
      <c r="U807" s="2"/>
      <c r="V807" s="2"/>
      <c r="W807" s="2"/>
      <c r="X807" s="2"/>
      <c r="Y807" s="2"/>
      <c r="Z807" s="2"/>
      <c r="AA807" s="2"/>
      <c r="AB807" s="2"/>
      <c r="AC807" s="2"/>
      <c r="AD807" s="2"/>
      <c r="AE807" s="2"/>
      <c r="AF807" s="2"/>
      <c r="AG807" s="2"/>
    </row>
    <row r="808" ht="14.25" customHeight="1">
      <c r="A808" s="2"/>
      <c r="B808" s="2"/>
      <c r="C808" s="2"/>
      <c r="D808" s="2"/>
      <c r="E808" s="2"/>
      <c r="F808" s="2"/>
      <c r="G808" s="2"/>
      <c r="H808" s="146"/>
      <c r="I808" s="146"/>
      <c r="J808" s="146"/>
      <c r="K808" s="146"/>
      <c r="L808" s="2"/>
      <c r="M808" s="2"/>
      <c r="N808" s="2"/>
      <c r="O808" s="2"/>
      <c r="P808" s="2"/>
      <c r="Q808" s="2"/>
      <c r="R808" s="2"/>
      <c r="S808" s="2"/>
      <c r="T808" s="2"/>
      <c r="U808" s="2"/>
      <c r="V808" s="2"/>
      <c r="W808" s="2"/>
      <c r="X808" s="2"/>
      <c r="Y808" s="2"/>
      <c r="Z808" s="2"/>
      <c r="AA808" s="2"/>
      <c r="AB808" s="2"/>
      <c r="AC808" s="2"/>
      <c r="AD808" s="2"/>
      <c r="AE808" s="2"/>
      <c r="AF808" s="2"/>
      <c r="AG808" s="2"/>
    </row>
    <row r="809" ht="14.25" customHeight="1">
      <c r="A809" s="2"/>
      <c r="B809" s="2"/>
      <c r="C809" s="2"/>
      <c r="D809" s="2"/>
      <c r="E809" s="2"/>
      <c r="F809" s="2"/>
      <c r="G809" s="2"/>
      <c r="H809" s="146"/>
      <c r="I809" s="146"/>
      <c r="J809" s="146"/>
      <c r="K809" s="146"/>
      <c r="L809" s="2"/>
      <c r="M809" s="2"/>
      <c r="N809" s="2"/>
      <c r="O809" s="2"/>
      <c r="P809" s="2"/>
      <c r="Q809" s="2"/>
      <c r="R809" s="2"/>
      <c r="S809" s="2"/>
      <c r="T809" s="2"/>
      <c r="U809" s="2"/>
      <c r="V809" s="2"/>
      <c r="W809" s="2"/>
      <c r="X809" s="2"/>
      <c r="Y809" s="2"/>
      <c r="Z809" s="2"/>
      <c r="AA809" s="2"/>
      <c r="AB809" s="2"/>
      <c r="AC809" s="2"/>
      <c r="AD809" s="2"/>
      <c r="AE809" s="2"/>
      <c r="AF809" s="2"/>
      <c r="AG809" s="2"/>
    </row>
    <row r="810" ht="14.25" customHeight="1">
      <c r="A810" s="2"/>
      <c r="B810" s="2"/>
      <c r="C810" s="2"/>
      <c r="D810" s="2"/>
      <c r="E810" s="2"/>
      <c r="F810" s="2"/>
      <c r="G810" s="2"/>
      <c r="H810" s="146"/>
      <c r="I810" s="146"/>
      <c r="J810" s="146"/>
      <c r="K810" s="146"/>
      <c r="L810" s="2"/>
      <c r="M810" s="2"/>
      <c r="N810" s="2"/>
      <c r="O810" s="2"/>
      <c r="P810" s="2"/>
      <c r="Q810" s="2"/>
      <c r="R810" s="2"/>
      <c r="S810" s="2"/>
      <c r="T810" s="2"/>
      <c r="U810" s="2"/>
      <c r="V810" s="2"/>
      <c r="W810" s="2"/>
      <c r="X810" s="2"/>
      <c r="Y810" s="2"/>
      <c r="Z810" s="2"/>
      <c r="AA810" s="2"/>
      <c r="AB810" s="2"/>
      <c r="AC810" s="2"/>
      <c r="AD810" s="2"/>
      <c r="AE810" s="2"/>
      <c r="AF810" s="2"/>
      <c r="AG810" s="2"/>
    </row>
    <row r="811" ht="14.25" customHeight="1">
      <c r="A811" s="2"/>
      <c r="B811" s="2"/>
      <c r="C811" s="2"/>
      <c r="D811" s="2"/>
      <c r="E811" s="2"/>
      <c r="F811" s="2"/>
      <c r="G811" s="2"/>
      <c r="H811" s="146"/>
      <c r="I811" s="146"/>
      <c r="J811" s="146"/>
      <c r="K811" s="146"/>
      <c r="L811" s="2"/>
      <c r="M811" s="2"/>
      <c r="N811" s="2"/>
      <c r="O811" s="2"/>
      <c r="P811" s="2"/>
      <c r="Q811" s="2"/>
      <c r="R811" s="2"/>
      <c r="S811" s="2"/>
      <c r="T811" s="2"/>
      <c r="U811" s="2"/>
      <c r="V811" s="2"/>
      <c r="W811" s="2"/>
      <c r="X811" s="2"/>
      <c r="Y811" s="2"/>
      <c r="Z811" s="2"/>
      <c r="AA811" s="2"/>
      <c r="AB811" s="2"/>
      <c r="AC811" s="2"/>
      <c r="AD811" s="2"/>
      <c r="AE811" s="2"/>
      <c r="AF811" s="2"/>
      <c r="AG811" s="2"/>
    </row>
    <row r="812" ht="14.25" customHeight="1">
      <c r="A812" s="2"/>
      <c r="B812" s="2"/>
      <c r="C812" s="2"/>
      <c r="D812" s="2"/>
      <c r="E812" s="2"/>
      <c r="F812" s="2"/>
      <c r="G812" s="2"/>
      <c r="H812" s="146"/>
      <c r="I812" s="146"/>
      <c r="J812" s="146"/>
      <c r="K812" s="146"/>
      <c r="L812" s="2"/>
      <c r="M812" s="2"/>
      <c r="N812" s="2"/>
      <c r="O812" s="2"/>
      <c r="P812" s="2"/>
      <c r="Q812" s="2"/>
      <c r="R812" s="2"/>
      <c r="S812" s="2"/>
      <c r="T812" s="2"/>
      <c r="U812" s="2"/>
      <c r="V812" s="2"/>
      <c r="W812" s="2"/>
      <c r="X812" s="2"/>
      <c r="Y812" s="2"/>
      <c r="Z812" s="2"/>
      <c r="AA812" s="2"/>
      <c r="AB812" s="2"/>
      <c r="AC812" s="2"/>
      <c r="AD812" s="2"/>
      <c r="AE812" s="2"/>
      <c r="AF812" s="2"/>
      <c r="AG812" s="2"/>
    </row>
    <row r="813" ht="14.25" customHeight="1">
      <c r="A813" s="2"/>
      <c r="B813" s="2"/>
      <c r="C813" s="2"/>
      <c r="D813" s="2"/>
      <c r="E813" s="2"/>
      <c r="F813" s="2"/>
      <c r="G813" s="2"/>
      <c r="H813" s="146"/>
      <c r="I813" s="146"/>
      <c r="J813" s="146"/>
      <c r="K813" s="146"/>
      <c r="L813" s="2"/>
      <c r="M813" s="2"/>
      <c r="N813" s="2"/>
      <c r="O813" s="2"/>
      <c r="P813" s="2"/>
      <c r="Q813" s="2"/>
      <c r="R813" s="2"/>
      <c r="S813" s="2"/>
      <c r="T813" s="2"/>
      <c r="U813" s="2"/>
      <c r="V813" s="2"/>
      <c r="W813" s="2"/>
      <c r="X813" s="2"/>
      <c r="Y813" s="2"/>
      <c r="Z813" s="2"/>
      <c r="AA813" s="2"/>
      <c r="AB813" s="2"/>
      <c r="AC813" s="2"/>
      <c r="AD813" s="2"/>
      <c r="AE813" s="2"/>
      <c r="AF813" s="2"/>
      <c r="AG813" s="2"/>
    </row>
    <row r="814" ht="14.25" customHeight="1">
      <c r="A814" s="2"/>
      <c r="B814" s="2"/>
      <c r="C814" s="2"/>
      <c r="D814" s="2"/>
      <c r="E814" s="2"/>
      <c r="F814" s="2"/>
      <c r="G814" s="2"/>
      <c r="H814" s="146"/>
      <c r="I814" s="146"/>
      <c r="J814" s="146"/>
      <c r="K814" s="146"/>
      <c r="L814" s="2"/>
      <c r="M814" s="2"/>
      <c r="N814" s="2"/>
      <c r="O814" s="2"/>
      <c r="P814" s="2"/>
      <c r="Q814" s="2"/>
      <c r="R814" s="2"/>
      <c r="S814" s="2"/>
      <c r="T814" s="2"/>
      <c r="U814" s="2"/>
      <c r="V814" s="2"/>
      <c r="W814" s="2"/>
      <c r="X814" s="2"/>
      <c r="Y814" s="2"/>
      <c r="Z814" s="2"/>
      <c r="AA814" s="2"/>
      <c r="AB814" s="2"/>
      <c r="AC814" s="2"/>
      <c r="AD814" s="2"/>
      <c r="AE814" s="2"/>
      <c r="AF814" s="2"/>
      <c r="AG814" s="2"/>
    </row>
    <row r="815" ht="14.25" customHeight="1">
      <c r="A815" s="2"/>
      <c r="B815" s="2"/>
      <c r="C815" s="2"/>
      <c r="D815" s="2"/>
      <c r="E815" s="2"/>
      <c r="F815" s="2"/>
      <c r="G815" s="2"/>
      <c r="H815" s="146"/>
      <c r="I815" s="146"/>
      <c r="J815" s="146"/>
      <c r="K815" s="146"/>
      <c r="L815" s="2"/>
      <c r="M815" s="2"/>
      <c r="N815" s="2"/>
      <c r="O815" s="2"/>
      <c r="P815" s="2"/>
      <c r="Q815" s="2"/>
      <c r="R815" s="2"/>
      <c r="S815" s="2"/>
      <c r="T815" s="2"/>
      <c r="U815" s="2"/>
      <c r="V815" s="2"/>
      <c r="W815" s="2"/>
      <c r="X815" s="2"/>
      <c r="Y815" s="2"/>
      <c r="Z815" s="2"/>
      <c r="AA815" s="2"/>
      <c r="AB815" s="2"/>
      <c r="AC815" s="2"/>
      <c r="AD815" s="2"/>
      <c r="AE815" s="2"/>
      <c r="AF815" s="2"/>
      <c r="AG815" s="2"/>
    </row>
    <row r="816" ht="14.25" customHeight="1">
      <c r="A816" s="2"/>
      <c r="B816" s="2"/>
      <c r="C816" s="2"/>
      <c r="D816" s="2"/>
      <c r="E816" s="2"/>
      <c r="F816" s="2"/>
      <c r="G816" s="2"/>
      <c r="H816" s="146"/>
      <c r="I816" s="146"/>
      <c r="J816" s="146"/>
      <c r="K816" s="146"/>
      <c r="L816" s="2"/>
      <c r="M816" s="2"/>
      <c r="N816" s="2"/>
      <c r="O816" s="2"/>
      <c r="P816" s="2"/>
      <c r="Q816" s="2"/>
      <c r="R816" s="2"/>
      <c r="S816" s="2"/>
      <c r="T816" s="2"/>
      <c r="U816" s="2"/>
      <c r="V816" s="2"/>
      <c r="W816" s="2"/>
      <c r="X816" s="2"/>
      <c r="Y816" s="2"/>
      <c r="Z816" s="2"/>
      <c r="AA816" s="2"/>
      <c r="AB816" s="2"/>
      <c r="AC816" s="2"/>
      <c r="AD816" s="2"/>
      <c r="AE816" s="2"/>
      <c r="AF816" s="2"/>
      <c r="AG816" s="2"/>
    </row>
    <row r="817" ht="14.25" customHeight="1">
      <c r="A817" s="2"/>
      <c r="B817" s="2"/>
      <c r="C817" s="2"/>
      <c r="D817" s="2"/>
      <c r="E817" s="2"/>
      <c r="F817" s="2"/>
      <c r="G817" s="2"/>
      <c r="H817" s="146"/>
      <c r="I817" s="146"/>
      <c r="J817" s="146"/>
      <c r="K817" s="146"/>
      <c r="L817" s="2"/>
      <c r="M817" s="2"/>
      <c r="N817" s="2"/>
      <c r="O817" s="2"/>
      <c r="P817" s="2"/>
      <c r="Q817" s="2"/>
      <c r="R817" s="2"/>
      <c r="S817" s="2"/>
      <c r="T817" s="2"/>
      <c r="U817" s="2"/>
      <c r="V817" s="2"/>
      <c r="W817" s="2"/>
      <c r="X817" s="2"/>
      <c r="Y817" s="2"/>
      <c r="Z817" s="2"/>
      <c r="AA817" s="2"/>
      <c r="AB817" s="2"/>
      <c r="AC817" s="2"/>
      <c r="AD817" s="2"/>
      <c r="AE817" s="2"/>
      <c r="AF817" s="2"/>
      <c r="AG817" s="2"/>
    </row>
    <row r="818" ht="14.25" customHeight="1">
      <c r="A818" s="2"/>
      <c r="B818" s="2"/>
      <c r="C818" s="2"/>
      <c r="D818" s="2"/>
      <c r="E818" s="2"/>
      <c r="F818" s="2"/>
      <c r="G818" s="2"/>
      <c r="H818" s="146"/>
      <c r="I818" s="146"/>
      <c r="J818" s="146"/>
      <c r="K818" s="146"/>
      <c r="L818" s="2"/>
      <c r="M818" s="2"/>
      <c r="N818" s="2"/>
      <c r="O818" s="2"/>
      <c r="P818" s="2"/>
      <c r="Q818" s="2"/>
      <c r="R818" s="2"/>
      <c r="S818" s="2"/>
      <c r="T818" s="2"/>
      <c r="U818" s="2"/>
      <c r="V818" s="2"/>
      <c r="W818" s="2"/>
      <c r="X818" s="2"/>
      <c r="Y818" s="2"/>
      <c r="Z818" s="2"/>
      <c r="AA818" s="2"/>
      <c r="AB818" s="2"/>
      <c r="AC818" s="2"/>
      <c r="AD818" s="2"/>
      <c r="AE818" s="2"/>
      <c r="AF818" s="2"/>
      <c r="AG818" s="2"/>
    </row>
    <row r="819" ht="14.25" customHeight="1">
      <c r="A819" s="2"/>
      <c r="B819" s="2"/>
      <c r="C819" s="2"/>
      <c r="D819" s="2"/>
      <c r="E819" s="2"/>
      <c r="F819" s="2"/>
      <c r="G819" s="2"/>
      <c r="H819" s="146"/>
      <c r="I819" s="146"/>
      <c r="J819" s="146"/>
      <c r="K819" s="146"/>
      <c r="L819" s="2"/>
      <c r="M819" s="2"/>
      <c r="N819" s="2"/>
      <c r="O819" s="2"/>
      <c r="P819" s="2"/>
      <c r="Q819" s="2"/>
      <c r="R819" s="2"/>
      <c r="S819" s="2"/>
      <c r="T819" s="2"/>
      <c r="U819" s="2"/>
      <c r="V819" s="2"/>
      <c r="W819" s="2"/>
      <c r="X819" s="2"/>
      <c r="Y819" s="2"/>
      <c r="Z819" s="2"/>
      <c r="AA819" s="2"/>
      <c r="AB819" s="2"/>
      <c r="AC819" s="2"/>
      <c r="AD819" s="2"/>
      <c r="AE819" s="2"/>
      <c r="AF819" s="2"/>
      <c r="AG819" s="2"/>
    </row>
    <row r="820" ht="14.25" customHeight="1">
      <c r="A820" s="2"/>
      <c r="B820" s="2"/>
      <c r="C820" s="2"/>
      <c r="D820" s="2"/>
      <c r="E820" s="2"/>
      <c r="F820" s="2"/>
      <c r="G820" s="2"/>
      <c r="H820" s="146"/>
      <c r="I820" s="146"/>
      <c r="J820" s="146"/>
      <c r="K820" s="146"/>
      <c r="L820" s="2"/>
      <c r="M820" s="2"/>
      <c r="N820" s="2"/>
      <c r="O820" s="2"/>
      <c r="P820" s="2"/>
      <c r="Q820" s="2"/>
      <c r="R820" s="2"/>
      <c r="S820" s="2"/>
      <c r="T820" s="2"/>
      <c r="U820" s="2"/>
      <c r="V820" s="2"/>
      <c r="W820" s="2"/>
      <c r="X820" s="2"/>
      <c r="Y820" s="2"/>
      <c r="Z820" s="2"/>
      <c r="AA820" s="2"/>
      <c r="AB820" s="2"/>
      <c r="AC820" s="2"/>
      <c r="AD820" s="2"/>
      <c r="AE820" s="2"/>
      <c r="AF820" s="2"/>
      <c r="AG820" s="2"/>
    </row>
    <row r="821" ht="14.25" customHeight="1">
      <c r="A821" s="2"/>
      <c r="B821" s="2"/>
      <c r="C821" s="2"/>
      <c r="D821" s="2"/>
      <c r="E821" s="2"/>
      <c r="F821" s="2"/>
      <c r="G821" s="2"/>
      <c r="H821" s="146"/>
      <c r="I821" s="146"/>
      <c r="J821" s="146"/>
      <c r="K821" s="146"/>
      <c r="L821" s="2"/>
      <c r="M821" s="2"/>
      <c r="N821" s="2"/>
      <c r="O821" s="2"/>
      <c r="P821" s="2"/>
      <c r="Q821" s="2"/>
      <c r="R821" s="2"/>
      <c r="S821" s="2"/>
      <c r="T821" s="2"/>
      <c r="U821" s="2"/>
      <c r="V821" s="2"/>
      <c r="W821" s="2"/>
      <c r="X821" s="2"/>
      <c r="Y821" s="2"/>
      <c r="Z821" s="2"/>
      <c r="AA821" s="2"/>
      <c r="AB821" s="2"/>
      <c r="AC821" s="2"/>
      <c r="AD821" s="2"/>
      <c r="AE821" s="2"/>
      <c r="AF821" s="2"/>
      <c r="AG821" s="2"/>
    </row>
    <row r="822" ht="14.25" customHeight="1">
      <c r="A822" s="2"/>
      <c r="B822" s="2"/>
      <c r="C822" s="2"/>
      <c r="D822" s="2"/>
      <c r="E822" s="2"/>
      <c r="F822" s="2"/>
      <c r="G822" s="2"/>
      <c r="H822" s="146"/>
      <c r="I822" s="146"/>
      <c r="J822" s="146"/>
      <c r="K822" s="146"/>
      <c r="L822" s="2"/>
      <c r="M822" s="2"/>
      <c r="N822" s="2"/>
      <c r="O822" s="2"/>
      <c r="P822" s="2"/>
      <c r="Q822" s="2"/>
      <c r="R822" s="2"/>
      <c r="S822" s="2"/>
      <c r="T822" s="2"/>
      <c r="U822" s="2"/>
      <c r="V822" s="2"/>
      <c r="W822" s="2"/>
      <c r="X822" s="2"/>
      <c r="Y822" s="2"/>
      <c r="Z822" s="2"/>
      <c r="AA822" s="2"/>
      <c r="AB822" s="2"/>
      <c r="AC822" s="2"/>
      <c r="AD822" s="2"/>
      <c r="AE822" s="2"/>
      <c r="AF822" s="2"/>
      <c r="AG822" s="2"/>
    </row>
    <row r="823" ht="14.25" customHeight="1">
      <c r="A823" s="2"/>
      <c r="B823" s="2"/>
      <c r="C823" s="2"/>
      <c r="D823" s="2"/>
      <c r="E823" s="2"/>
      <c r="F823" s="2"/>
      <c r="G823" s="2"/>
      <c r="H823" s="146"/>
      <c r="I823" s="146"/>
      <c r="J823" s="146"/>
      <c r="K823" s="146"/>
      <c r="L823" s="2"/>
      <c r="M823" s="2"/>
      <c r="N823" s="2"/>
      <c r="O823" s="2"/>
      <c r="P823" s="2"/>
      <c r="Q823" s="2"/>
      <c r="R823" s="2"/>
      <c r="S823" s="2"/>
      <c r="T823" s="2"/>
      <c r="U823" s="2"/>
      <c r="V823" s="2"/>
      <c r="W823" s="2"/>
      <c r="X823" s="2"/>
      <c r="Y823" s="2"/>
      <c r="Z823" s="2"/>
      <c r="AA823" s="2"/>
      <c r="AB823" s="2"/>
      <c r="AC823" s="2"/>
      <c r="AD823" s="2"/>
      <c r="AE823" s="2"/>
      <c r="AF823" s="2"/>
      <c r="AG823" s="2"/>
    </row>
    <row r="824" ht="14.25" customHeight="1">
      <c r="A824" s="2"/>
      <c r="B824" s="2"/>
      <c r="C824" s="2"/>
      <c r="D824" s="2"/>
      <c r="E824" s="2"/>
      <c r="F824" s="2"/>
      <c r="G824" s="2"/>
      <c r="H824" s="146"/>
      <c r="I824" s="146"/>
      <c r="J824" s="146"/>
      <c r="K824" s="146"/>
      <c r="L824" s="2"/>
      <c r="M824" s="2"/>
      <c r="N824" s="2"/>
      <c r="O824" s="2"/>
      <c r="P824" s="2"/>
      <c r="Q824" s="2"/>
      <c r="R824" s="2"/>
      <c r="S824" s="2"/>
      <c r="T824" s="2"/>
      <c r="U824" s="2"/>
      <c r="V824" s="2"/>
      <c r="W824" s="2"/>
      <c r="X824" s="2"/>
      <c r="Y824" s="2"/>
      <c r="Z824" s="2"/>
      <c r="AA824" s="2"/>
      <c r="AB824" s="2"/>
      <c r="AC824" s="2"/>
      <c r="AD824" s="2"/>
      <c r="AE824" s="2"/>
      <c r="AF824" s="2"/>
      <c r="AG824" s="2"/>
    </row>
    <row r="825" ht="14.25" customHeight="1">
      <c r="A825" s="2"/>
      <c r="B825" s="2"/>
      <c r="C825" s="2"/>
      <c r="D825" s="2"/>
      <c r="E825" s="2"/>
      <c r="F825" s="2"/>
      <c r="G825" s="2"/>
      <c r="H825" s="146"/>
      <c r="I825" s="146"/>
      <c r="J825" s="146"/>
      <c r="K825" s="146"/>
      <c r="L825" s="2"/>
      <c r="M825" s="2"/>
      <c r="N825" s="2"/>
      <c r="O825" s="2"/>
      <c r="P825" s="2"/>
      <c r="Q825" s="2"/>
      <c r="R825" s="2"/>
      <c r="S825" s="2"/>
      <c r="T825" s="2"/>
      <c r="U825" s="2"/>
      <c r="V825" s="2"/>
      <c r="W825" s="2"/>
      <c r="X825" s="2"/>
      <c r="Y825" s="2"/>
      <c r="Z825" s="2"/>
      <c r="AA825" s="2"/>
      <c r="AB825" s="2"/>
      <c r="AC825" s="2"/>
      <c r="AD825" s="2"/>
      <c r="AE825" s="2"/>
      <c r="AF825" s="2"/>
      <c r="AG825" s="2"/>
    </row>
    <row r="826" ht="14.25" customHeight="1">
      <c r="A826" s="2"/>
      <c r="B826" s="2"/>
      <c r="C826" s="2"/>
      <c r="D826" s="2"/>
      <c r="E826" s="2"/>
      <c r="F826" s="2"/>
      <c r="G826" s="2"/>
      <c r="H826" s="146"/>
      <c r="I826" s="146"/>
      <c r="J826" s="146"/>
      <c r="K826" s="146"/>
      <c r="L826" s="2"/>
      <c r="M826" s="2"/>
      <c r="N826" s="2"/>
      <c r="O826" s="2"/>
      <c r="P826" s="2"/>
      <c r="Q826" s="2"/>
      <c r="R826" s="2"/>
      <c r="S826" s="2"/>
      <c r="T826" s="2"/>
      <c r="U826" s="2"/>
      <c r="V826" s="2"/>
      <c r="W826" s="2"/>
      <c r="X826" s="2"/>
      <c r="Y826" s="2"/>
      <c r="Z826" s="2"/>
      <c r="AA826" s="2"/>
      <c r="AB826" s="2"/>
      <c r="AC826" s="2"/>
      <c r="AD826" s="2"/>
      <c r="AE826" s="2"/>
      <c r="AF826" s="2"/>
      <c r="AG826" s="2"/>
    </row>
    <row r="827" ht="14.25" customHeight="1">
      <c r="A827" s="2"/>
      <c r="B827" s="2"/>
      <c r="C827" s="2"/>
      <c r="D827" s="2"/>
      <c r="E827" s="2"/>
      <c r="F827" s="2"/>
      <c r="G827" s="2"/>
      <c r="H827" s="146"/>
      <c r="I827" s="146"/>
      <c r="J827" s="146"/>
      <c r="K827" s="146"/>
      <c r="L827" s="2"/>
      <c r="M827" s="2"/>
      <c r="N827" s="2"/>
      <c r="O827" s="2"/>
      <c r="P827" s="2"/>
      <c r="Q827" s="2"/>
      <c r="R827" s="2"/>
      <c r="S827" s="2"/>
      <c r="T827" s="2"/>
      <c r="U827" s="2"/>
      <c r="V827" s="2"/>
      <c r="W827" s="2"/>
      <c r="X827" s="2"/>
      <c r="Y827" s="2"/>
      <c r="Z827" s="2"/>
      <c r="AA827" s="2"/>
      <c r="AB827" s="2"/>
      <c r="AC827" s="2"/>
      <c r="AD827" s="2"/>
      <c r="AE827" s="2"/>
      <c r="AF827" s="2"/>
      <c r="AG827" s="2"/>
    </row>
    <row r="828" ht="14.25" customHeight="1">
      <c r="A828" s="2"/>
      <c r="B828" s="2"/>
      <c r="C828" s="2"/>
      <c r="D828" s="2"/>
      <c r="E828" s="2"/>
      <c r="F828" s="2"/>
      <c r="G828" s="2"/>
      <c r="H828" s="146"/>
      <c r="I828" s="146"/>
      <c r="J828" s="146"/>
      <c r="K828" s="146"/>
      <c r="L828" s="2"/>
      <c r="M828" s="2"/>
      <c r="N828" s="2"/>
      <c r="O828" s="2"/>
      <c r="P828" s="2"/>
      <c r="Q828" s="2"/>
      <c r="R828" s="2"/>
      <c r="S828" s="2"/>
      <c r="T828" s="2"/>
      <c r="U828" s="2"/>
      <c r="V828" s="2"/>
      <c r="W828" s="2"/>
      <c r="X828" s="2"/>
      <c r="Y828" s="2"/>
      <c r="Z828" s="2"/>
      <c r="AA828" s="2"/>
      <c r="AB828" s="2"/>
      <c r="AC828" s="2"/>
      <c r="AD828" s="2"/>
      <c r="AE828" s="2"/>
      <c r="AF828" s="2"/>
      <c r="AG828" s="2"/>
    </row>
    <row r="829" ht="14.25" customHeight="1">
      <c r="A829" s="2"/>
      <c r="B829" s="2"/>
      <c r="C829" s="2"/>
      <c r="D829" s="2"/>
      <c r="E829" s="2"/>
      <c r="F829" s="2"/>
      <c r="G829" s="2"/>
      <c r="H829" s="146"/>
      <c r="I829" s="146"/>
      <c r="J829" s="146"/>
      <c r="K829" s="146"/>
      <c r="L829" s="2"/>
      <c r="M829" s="2"/>
      <c r="N829" s="2"/>
      <c r="O829" s="2"/>
      <c r="P829" s="2"/>
      <c r="Q829" s="2"/>
      <c r="R829" s="2"/>
      <c r="S829" s="2"/>
      <c r="T829" s="2"/>
      <c r="U829" s="2"/>
      <c r="V829" s="2"/>
      <c r="W829" s="2"/>
      <c r="X829" s="2"/>
      <c r="Y829" s="2"/>
      <c r="Z829" s="2"/>
      <c r="AA829" s="2"/>
      <c r="AB829" s="2"/>
      <c r="AC829" s="2"/>
      <c r="AD829" s="2"/>
      <c r="AE829" s="2"/>
      <c r="AF829" s="2"/>
      <c r="AG829" s="2"/>
    </row>
    <row r="830" ht="14.25" customHeight="1">
      <c r="A830" s="2"/>
      <c r="B830" s="2"/>
      <c r="C830" s="2"/>
      <c r="D830" s="2"/>
      <c r="E830" s="2"/>
      <c r="F830" s="2"/>
      <c r="G830" s="2"/>
      <c r="H830" s="146"/>
      <c r="I830" s="146"/>
      <c r="J830" s="146"/>
      <c r="K830" s="146"/>
      <c r="L830" s="2"/>
      <c r="M830" s="2"/>
      <c r="N830" s="2"/>
      <c r="O830" s="2"/>
      <c r="P830" s="2"/>
      <c r="Q830" s="2"/>
      <c r="R830" s="2"/>
      <c r="S830" s="2"/>
      <c r="T830" s="2"/>
      <c r="U830" s="2"/>
      <c r="V830" s="2"/>
      <c r="W830" s="2"/>
      <c r="X830" s="2"/>
      <c r="Y830" s="2"/>
      <c r="Z830" s="2"/>
      <c r="AA830" s="2"/>
      <c r="AB830" s="2"/>
      <c r="AC830" s="2"/>
      <c r="AD830" s="2"/>
      <c r="AE830" s="2"/>
      <c r="AF830" s="2"/>
      <c r="AG830" s="2"/>
    </row>
    <row r="831" ht="14.25" customHeight="1">
      <c r="A831" s="2"/>
      <c r="B831" s="2"/>
      <c r="C831" s="2"/>
      <c r="D831" s="2"/>
      <c r="E831" s="2"/>
      <c r="F831" s="2"/>
      <c r="G831" s="2"/>
      <c r="H831" s="146"/>
      <c r="I831" s="146"/>
      <c r="J831" s="146"/>
      <c r="K831" s="146"/>
      <c r="L831" s="2"/>
      <c r="M831" s="2"/>
      <c r="N831" s="2"/>
      <c r="O831" s="2"/>
      <c r="P831" s="2"/>
      <c r="Q831" s="2"/>
      <c r="R831" s="2"/>
      <c r="S831" s="2"/>
      <c r="T831" s="2"/>
      <c r="U831" s="2"/>
      <c r="V831" s="2"/>
      <c r="W831" s="2"/>
      <c r="X831" s="2"/>
      <c r="Y831" s="2"/>
      <c r="Z831" s="2"/>
      <c r="AA831" s="2"/>
      <c r="AB831" s="2"/>
      <c r="AC831" s="2"/>
      <c r="AD831" s="2"/>
      <c r="AE831" s="2"/>
      <c r="AF831" s="2"/>
      <c r="AG831" s="2"/>
    </row>
    <row r="832" ht="14.25" customHeight="1">
      <c r="A832" s="2"/>
      <c r="B832" s="2"/>
      <c r="C832" s="2"/>
      <c r="D832" s="2"/>
      <c r="E832" s="2"/>
      <c r="F832" s="2"/>
      <c r="G832" s="2"/>
      <c r="H832" s="146"/>
      <c r="I832" s="146"/>
      <c r="J832" s="146"/>
      <c r="K832" s="146"/>
      <c r="L832" s="2"/>
      <c r="M832" s="2"/>
      <c r="N832" s="2"/>
      <c r="O832" s="2"/>
      <c r="P832" s="2"/>
      <c r="Q832" s="2"/>
      <c r="R832" s="2"/>
      <c r="S832" s="2"/>
      <c r="T832" s="2"/>
      <c r="U832" s="2"/>
      <c r="V832" s="2"/>
      <c r="W832" s="2"/>
      <c r="X832" s="2"/>
      <c r="Y832" s="2"/>
      <c r="Z832" s="2"/>
      <c r="AA832" s="2"/>
      <c r="AB832" s="2"/>
      <c r="AC832" s="2"/>
      <c r="AD832" s="2"/>
      <c r="AE832" s="2"/>
      <c r="AF832" s="2"/>
      <c r="AG832" s="2"/>
    </row>
    <row r="833" ht="14.25" customHeight="1">
      <c r="A833" s="2"/>
      <c r="B833" s="2"/>
      <c r="C833" s="2"/>
      <c r="D833" s="2"/>
      <c r="E833" s="2"/>
      <c r="F833" s="2"/>
      <c r="G833" s="2"/>
      <c r="H833" s="146"/>
      <c r="I833" s="146"/>
      <c r="J833" s="146"/>
      <c r="K833" s="146"/>
      <c r="L833" s="2"/>
      <c r="M833" s="2"/>
      <c r="N833" s="2"/>
      <c r="O833" s="2"/>
      <c r="P833" s="2"/>
      <c r="Q833" s="2"/>
      <c r="R833" s="2"/>
      <c r="S833" s="2"/>
      <c r="T833" s="2"/>
      <c r="U833" s="2"/>
      <c r="V833" s="2"/>
      <c r="W833" s="2"/>
      <c r="X833" s="2"/>
      <c r="Y833" s="2"/>
      <c r="Z833" s="2"/>
      <c r="AA833" s="2"/>
      <c r="AB833" s="2"/>
      <c r="AC833" s="2"/>
      <c r="AD833" s="2"/>
      <c r="AE833" s="2"/>
      <c r="AF833" s="2"/>
      <c r="AG833" s="2"/>
    </row>
    <row r="834" ht="14.25" customHeight="1">
      <c r="A834" s="2"/>
      <c r="B834" s="2"/>
      <c r="C834" s="2"/>
      <c r="D834" s="2"/>
      <c r="E834" s="2"/>
      <c r="F834" s="2"/>
      <c r="G834" s="2"/>
      <c r="H834" s="146"/>
      <c r="I834" s="146"/>
      <c r="J834" s="146"/>
      <c r="K834" s="146"/>
      <c r="L834" s="2"/>
      <c r="M834" s="2"/>
      <c r="N834" s="2"/>
      <c r="O834" s="2"/>
      <c r="P834" s="2"/>
      <c r="Q834" s="2"/>
      <c r="R834" s="2"/>
      <c r="S834" s="2"/>
      <c r="T834" s="2"/>
      <c r="U834" s="2"/>
      <c r="V834" s="2"/>
      <c r="W834" s="2"/>
      <c r="X834" s="2"/>
      <c r="Y834" s="2"/>
      <c r="Z834" s="2"/>
      <c r="AA834" s="2"/>
      <c r="AB834" s="2"/>
      <c r="AC834" s="2"/>
      <c r="AD834" s="2"/>
      <c r="AE834" s="2"/>
      <c r="AF834" s="2"/>
      <c r="AG834" s="2"/>
    </row>
    <row r="835" ht="14.25" customHeight="1">
      <c r="A835" s="2"/>
      <c r="B835" s="2"/>
      <c r="C835" s="2"/>
      <c r="D835" s="2"/>
      <c r="E835" s="2"/>
      <c r="F835" s="2"/>
      <c r="G835" s="2"/>
      <c r="H835" s="146"/>
      <c r="I835" s="146"/>
      <c r="J835" s="146"/>
      <c r="K835" s="146"/>
      <c r="L835" s="2"/>
      <c r="M835" s="2"/>
      <c r="N835" s="2"/>
      <c r="O835" s="2"/>
      <c r="P835" s="2"/>
      <c r="Q835" s="2"/>
      <c r="R835" s="2"/>
      <c r="S835" s="2"/>
      <c r="T835" s="2"/>
      <c r="U835" s="2"/>
      <c r="V835" s="2"/>
      <c r="W835" s="2"/>
      <c r="X835" s="2"/>
      <c r="Y835" s="2"/>
      <c r="Z835" s="2"/>
      <c r="AA835" s="2"/>
      <c r="AB835" s="2"/>
      <c r="AC835" s="2"/>
      <c r="AD835" s="2"/>
      <c r="AE835" s="2"/>
      <c r="AF835" s="2"/>
      <c r="AG835" s="2"/>
    </row>
    <row r="836" ht="14.25" customHeight="1">
      <c r="A836" s="2"/>
      <c r="B836" s="2"/>
      <c r="C836" s="2"/>
      <c r="D836" s="2"/>
      <c r="E836" s="2"/>
      <c r="F836" s="2"/>
      <c r="G836" s="2"/>
      <c r="H836" s="146"/>
      <c r="I836" s="146"/>
      <c r="J836" s="146"/>
      <c r="K836" s="146"/>
      <c r="L836" s="2"/>
      <c r="M836" s="2"/>
      <c r="N836" s="2"/>
      <c r="O836" s="2"/>
      <c r="P836" s="2"/>
      <c r="Q836" s="2"/>
      <c r="R836" s="2"/>
      <c r="S836" s="2"/>
      <c r="T836" s="2"/>
      <c r="U836" s="2"/>
      <c r="V836" s="2"/>
      <c r="W836" s="2"/>
      <c r="X836" s="2"/>
      <c r="Y836" s="2"/>
      <c r="Z836" s="2"/>
      <c r="AA836" s="2"/>
      <c r="AB836" s="2"/>
      <c r="AC836" s="2"/>
      <c r="AD836" s="2"/>
      <c r="AE836" s="2"/>
      <c r="AF836" s="2"/>
      <c r="AG836" s="2"/>
    </row>
    <row r="837" ht="14.25" customHeight="1">
      <c r="A837" s="2"/>
      <c r="B837" s="2"/>
      <c r="C837" s="2"/>
      <c r="D837" s="2"/>
      <c r="E837" s="2"/>
      <c r="F837" s="2"/>
      <c r="G837" s="2"/>
      <c r="H837" s="146"/>
      <c r="I837" s="146"/>
      <c r="J837" s="146"/>
      <c r="K837" s="146"/>
      <c r="L837" s="2"/>
      <c r="M837" s="2"/>
      <c r="N837" s="2"/>
      <c r="O837" s="2"/>
      <c r="P837" s="2"/>
      <c r="Q837" s="2"/>
      <c r="R837" s="2"/>
      <c r="S837" s="2"/>
      <c r="T837" s="2"/>
      <c r="U837" s="2"/>
      <c r="V837" s="2"/>
      <c r="W837" s="2"/>
      <c r="X837" s="2"/>
      <c r="Y837" s="2"/>
      <c r="Z837" s="2"/>
      <c r="AA837" s="2"/>
      <c r="AB837" s="2"/>
      <c r="AC837" s="2"/>
      <c r="AD837" s="2"/>
      <c r="AE837" s="2"/>
      <c r="AF837" s="2"/>
      <c r="AG837" s="2"/>
    </row>
    <row r="838" ht="14.25" customHeight="1">
      <c r="A838" s="2"/>
      <c r="B838" s="2"/>
      <c r="C838" s="2"/>
      <c r="D838" s="2"/>
      <c r="E838" s="2"/>
      <c r="F838" s="2"/>
      <c r="G838" s="2"/>
      <c r="H838" s="146"/>
      <c r="I838" s="146"/>
      <c r="J838" s="146"/>
      <c r="K838" s="146"/>
      <c r="L838" s="2"/>
      <c r="M838" s="2"/>
      <c r="N838" s="2"/>
      <c r="O838" s="2"/>
      <c r="P838" s="2"/>
      <c r="Q838" s="2"/>
      <c r="R838" s="2"/>
      <c r="S838" s="2"/>
      <c r="T838" s="2"/>
      <c r="U838" s="2"/>
      <c r="V838" s="2"/>
      <c r="W838" s="2"/>
      <c r="X838" s="2"/>
      <c r="Y838" s="2"/>
      <c r="Z838" s="2"/>
      <c r="AA838" s="2"/>
      <c r="AB838" s="2"/>
      <c r="AC838" s="2"/>
      <c r="AD838" s="2"/>
      <c r="AE838" s="2"/>
      <c r="AF838" s="2"/>
      <c r="AG838" s="2"/>
    </row>
    <row r="839" ht="14.25" customHeight="1">
      <c r="A839" s="2"/>
      <c r="B839" s="2"/>
      <c r="C839" s="2"/>
      <c r="D839" s="2"/>
      <c r="E839" s="2"/>
      <c r="F839" s="2"/>
      <c r="G839" s="2"/>
      <c r="H839" s="146"/>
      <c r="I839" s="146"/>
      <c r="J839" s="146"/>
      <c r="K839" s="146"/>
      <c r="L839" s="2"/>
      <c r="M839" s="2"/>
      <c r="N839" s="2"/>
      <c r="O839" s="2"/>
      <c r="P839" s="2"/>
      <c r="Q839" s="2"/>
      <c r="R839" s="2"/>
      <c r="S839" s="2"/>
      <c r="T839" s="2"/>
      <c r="U839" s="2"/>
      <c r="V839" s="2"/>
      <c r="W839" s="2"/>
      <c r="X839" s="2"/>
      <c r="Y839" s="2"/>
      <c r="Z839" s="2"/>
      <c r="AA839" s="2"/>
      <c r="AB839" s="2"/>
      <c r="AC839" s="2"/>
      <c r="AD839" s="2"/>
      <c r="AE839" s="2"/>
      <c r="AF839" s="2"/>
      <c r="AG839" s="2"/>
    </row>
    <row r="840" ht="14.25" customHeight="1">
      <c r="A840" s="2"/>
      <c r="B840" s="2"/>
      <c r="C840" s="2"/>
      <c r="D840" s="2"/>
      <c r="E840" s="2"/>
      <c r="F840" s="2"/>
      <c r="G840" s="2"/>
      <c r="H840" s="146"/>
      <c r="I840" s="146"/>
      <c r="J840" s="146"/>
      <c r="K840" s="146"/>
      <c r="L840" s="2"/>
      <c r="M840" s="2"/>
      <c r="N840" s="2"/>
      <c r="O840" s="2"/>
      <c r="P840" s="2"/>
      <c r="Q840" s="2"/>
      <c r="R840" s="2"/>
      <c r="S840" s="2"/>
      <c r="T840" s="2"/>
      <c r="U840" s="2"/>
      <c r="V840" s="2"/>
      <c r="W840" s="2"/>
      <c r="X840" s="2"/>
      <c r="Y840" s="2"/>
      <c r="Z840" s="2"/>
      <c r="AA840" s="2"/>
      <c r="AB840" s="2"/>
      <c r="AC840" s="2"/>
      <c r="AD840" s="2"/>
      <c r="AE840" s="2"/>
      <c r="AF840" s="2"/>
      <c r="AG840" s="2"/>
    </row>
    <row r="841" ht="14.25" customHeight="1">
      <c r="A841" s="2"/>
      <c r="B841" s="2"/>
      <c r="C841" s="2"/>
      <c r="D841" s="2"/>
      <c r="E841" s="2"/>
      <c r="F841" s="2"/>
      <c r="G841" s="2"/>
      <c r="H841" s="146"/>
      <c r="I841" s="146"/>
      <c r="J841" s="146"/>
      <c r="K841" s="146"/>
      <c r="L841" s="2"/>
      <c r="M841" s="2"/>
      <c r="N841" s="2"/>
      <c r="O841" s="2"/>
      <c r="P841" s="2"/>
      <c r="Q841" s="2"/>
      <c r="R841" s="2"/>
      <c r="S841" s="2"/>
      <c r="T841" s="2"/>
      <c r="U841" s="2"/>
      <c r="V841" s="2"/>
      <c r="W841" s="2"/>
      <c r="X841" s="2"/>
      <c r="Y841" s="2"/>
      <c r="Z841" s="2"/>
      <c r="AA841" s="2"/>
      <c r="AB841" s="2"/>
      <c r="AC841" s="2"/>
      <c r="AD841" s="2"/>
      <c r="AE841" s="2"/>
      <c r="AF841" s="2"/>
      <c r="AG841" s="2"/>
    </row>
    <row r="842" ht="14.25" customHeight="1">
      <c r="A842" s="2"/>
      <c r="B842" s="2"/>
      <c r="C842" s="2"/>
      <c r="D842" s="2"/>
      <c r="E842" s="2"/>
      <c r="F842" s="2"/>
      <c r="G842" s="2"/>
      <c r="H842" s="146"/>
      <c r="I842" s="146"/>
      <c r="J842" s="146"/>
      <c r="K842" s="146"/>
      <c r="L842" s="2"/>
      <c r="M842" s="2"/>
      <c r="N842" s="2"/>
      <c r="O842" s="2"/>
      <c r="P842" s="2"/>
      <c r="Q842" s="2"/>
      <c r="R842" s="2"/>
      <c r="S842" s="2"/>
      <c r="T842" s="2"/>
      <c r="U842" s="2"/>
      <c r="V842" s="2"/>
      <c r="W842" s="2"/>
      <c r="X842" s="2"/>
      <c r="Y842" s="2"/>
      <c r="Z842" s="2"/>
      <c r="AA842" s="2"/>
      <c r="AB842" s="2"/>
      <c r="AC842" s="2"/>
      <c r="AD842" s="2"/>
      <c r="AE842" s="2"/>
      <c r="AF842" s="2"/>
      <c r="AG842" s="2"/>
    </row>
    <row r="843" ht="14.25" customHeight="1">
      <c r="A843" s="2"/>
      <c r="B843" s="2"/>
      <c r="C843" s="2"/>
      <c r="D843" s="2"/>
      <c r="E843" s="2"/>
      <c r="F843" s="2"/>
      <c r="G843" s="2"/>
      <c r="H843" s="146"/>
      <c r="I843" s="146"/>
      <c r="J843" s="146"/>
      <c r="K843" s="146"/>
      <c r="L843" s="2"/>
      <c r="M843" s="2"/>
      <c r="N843" s="2"/>
      <c r="O843" s="2"/>
      <c r="P843" s="2"/>
      <c r="Q843" s="2"/>
      <c r="R843" s="2"/>
      <c r="S843" s="2"/>
      <c r="T843" s="2"/>
      <c r="U843" s="2"/>
      <c r="V843" s="2"/>
      <c r="W843" s="2"/>
      <c r="X843" s="2"/>
      <c r="Y843" s="2"/>
      <c r="Z843" s="2"/>
      <c r="AA843" s="2"/>
      <c r="AB843" s="2"/>
      <c r="AC843" s="2"/>
      <c r="AD843" s="2"/>
      <c r="AE843" s="2"/>
      <c r="AF843" s="2"/>
      <c r="AG843" s="2"/>
    </row>
    <row r="844" ht="14.25" customHeight="1">
      <c r="A844" s="2"/>
      <c r="B844" s="2"/>
      <c r="C844" s="2"/>
      <c r="D844" s="2"/>
      <c r="E844" s="2"/>
      <c r="F844" s="2"/>
      <c r="G844" s="2"/>
      <c r="H844" s="146"/>
      <c r="I844" s="146"/>
      <c r="J844" s="146"/>
      <c r="K844" s="146"/>
      <c r="L844" s="2"/>
      <c r="M844" s="2"/>
      <c r="N844" s="2"/>
      <c r="O844" s="2"/>
      <c r="P844" s="2"/>
      <c r="Q844" s="2"/>
      <c r="R844" s="2"/>
      <c r="S844" s="2"/>
      <c r="T844" s="2"/>
      <c r="U844" s="2"/>
      <c r="V844" s="2"/>
      <c r="W844" s="2"/>
      <c r="X844" s="2"/>
      <c r="Y844" s="2"/>
      <c r="Z844" s="2"/>
      <c r="AA844" s="2"/>
      <c r="AB844" s="2"/>
      <c r="AC844" s="2"/>
      <c r="AD844" s="2"/>
      <c r="AE844" s="2"/>
      <c r="AF844" s="2"/>
      <c r="AG844" s="2"/>
    </row>
    <row r="845" ht="14.25" customHeight="1">
      <c r="A845" s="2"/>
      <c r="B845" s="2"/>
      <c r="C845" s="2"/>
      <c r="D845" s="2"/>
      <c r="E845" s="2"/>
      <c r="F845" s="2"/>
      <c r="G845" s="2"/>
      <c r="H845" s="146"/>
      <c r="I845" s="146"/>
      <c r="J845" s="146"/>
      <c r="K845" s="146"/>
      <c r="L845" s="2"/>
      <c r="M845" s="2"/>
      <c r="N845" s="2"/>
      <c r="O845" s="2"/>
      <c r="P845" s="2"/>
      <c r="Q845" s="2"/>
      <c r="R845" s="2"/>
      <c r="S845" s="2"/>
      <c r="T845" s="2"/>
      <c r="U845" s="2"/>
      <c r="V845" s="2"/>
      <c r="W845" s="2"/>
      <c r="X845" s="2"/>
      <c r="Y845" s="2"/>
      <c r="Z845" s="2"/>
      <c r="AA845" s="2"/>
      <c r="AB845" s="2"/>
      <c r="AC845" s="2"/>
      <c r="AD845" s="2"/>
      <c r="AE845" s="2"/>
      <c r="AF845" s="2"/>
      <c r="AG845" s="2"/>
    </row>
    <row r="846" ht="14.25" customHeight="1">
      <c r="A846" s="2"/>
      <c r="B846" s="2"/>
      <c r="C846" s="2"/>
      <c r="D846" s="2"/>
      <c r="E846" s="2"/>
      <c r="F846" s="2"/>
      <c r="G846" s="2"/>
      <c r="H846" s="146"/>
      <c r="I846" s="146"/>
      <c r="J846" s="146"/>
      <c r="K846" s="146"/>
      <c r="L846" s="2"/>
      <c r="M846" s="2"/>
      <c r="N846" s="2"/>
      <c r="O846" s="2"/>
      <c r="P846" s="2"/>
      <c r="Q846" s="2"/>
      <c r="R846" s="2"/>
      <c r="S846" s="2"/>
      <c r="T846" s="2"/>
      <c r="U846" s="2"/>
      <c r="V846" s="2"/>
      <c r="W846" s="2"/>
      <c r="X846" s="2"/>
      <c r="Y846" s="2"/>
      <c r="Z846" s="2"/>
      <c r="AA846" s="2"/>
      <c r="AB846" s="2"/>
      <c r="AC846" s="2"/>
      <c r="AD846" s="2"/>
      <c r="AE846" s="2"/>
      <c r="AF846" s="2"/>
      <c r="AG846" s="2"/>
    </row>
    <row r="847" ht="14.25" customHeight="1">
      <c r="A847" s="2"/>
      <c r="B847" s="2"/>
      <c r="C847" s="2"/>
      <c r="D847" s="2"/>
      <c r="E847" s="2"/>
      <c r="F847" s="2"/>
      <c r="G847" s="2"/>
      <c r="H847" s="146"/>
      <c r="I847" s="146"/>
      <c r="J847" s="146"/>
      <c r="K847" s="146"/>
      <c r="L847" s="2"/>
      <c r="M847" s="2"/>
      <c r="N847" s="2"/>
      <c r="O847" s="2"/>
      <c r="P847" s="2"/>
      <c r="Q847" s="2"/>
      <c r="R847" s="2"/>
      <c r="S847" s="2"/>
      <c r="T847" s="2"/>
      <c r="U847" s="2"/>
      <c r="V847" s="2"/>
      <c r="W847" s="2"/>
      <c r="X847" s="2"/>
      <c r="Y847" s="2"/>
      <c r="Z847" s="2"/>
      <c r="AA847" s="2"/>
      <c r="AB847" s="2"/>
      <c r="AC847" s="2"/>
      <c r="AD847" s="2"/>
      <c r="AE847" s="2"/>
      <c r="AF847" s="2"/>
      <c r="AG847" s="2"/>
    </row>
    <row r="848" ht="14.25" customHeight="1">
      <c r="A848" s="2"/>
      <c r="B848" s="2"/>
      <c r="C848" s="2"/>
      <c r="D848" s="2"/>
      <c r="E848" s="2"/>
      <c r="F848" s="2"/>
      <c r="G848" s="2"/>
      <c r="H848" s="146"/>
      <c r="I848" s="146"/>
      <c r="J848" s="146"/>
      <c r="K848" s="146"/>
      <c r="L848" s="2"/>
      <c r="M848" s="2"/>
      <c r="N848" s="2"/>
      <c r="O848" s="2"/>
      <c r="P848" s="2"/>
      <c r="Q848" s="2"/>
      <c r="R848" s="2"/>
      <c r="S848" s="2"/>
      <c r="T848" s="2"/>
      <c r="U848" s="2"/>
      <c r="V848" s="2"/>
      <c r="W848" s="2"/>
      <c r="X848" s="2"/>
      <c r="Y848" s="2"/>
      <c r="Z848" s="2"/>
      <c r="AA848" s="2"/>
      <c r="AB848" s="2"/>
      <c r="AC848" s="2"/>
      <c r="AD848" s="2"/>
      <c r="AE848" s="2"/>
      <c r="AF848" s="2"/>
      <c r="AG848" s="2"/>
    </row>
    <row r="849" ht="14.25" customHeight="1">
      <c r="A849" s="2"/>
      <c r="B849" s="2"/>
      <c r="C849" s="2"/>
      <c r="D849" s="2"/>
      <c r="E849" s="2"/>
      <c r="F849" s="2"/>
      <c r="G849" s="2"/>
      <c r="H849" s="146"/>
      <c r="I849" s="146"/>
      <c r="J849" s="146"/>
      <c r="K849" s="146"/>
      <c r="L849" s="2"/>
      <c r="M849" s="2"/>
      <c r="N849" s="2"/>
      <c r="O849" s="2"/>
      <c r="P849" s="2"/>
      <c r="Q849" s="2"/>
      <c r="R849" s="2"/>
      <c r="S849" s="2"/>
      <c r="T849" s="2"/>
      <c r="U849" s="2"/>
      <c r="V849" s="2"/>
      <c r="W849" s="2"/>
      <c r="X849" s="2"/>
      <c r="Y849" s="2"/>
      <c r="Z849" s="2"/>
      <c r="AA849" s="2"/>
      <c r="AB849" s="2"/>
      <c r="AC849" s="2"/>
      <c r="AD849" s="2"/>
      <c r="AE849" s="2"/>
      <c r="AF849" s="2"/>
      <c r="AG849" s="2"/>
    </row>
    <row r="850" ht="14.25" customHeight="1">
      <c r="A850" s="2"/>
      <c r="B850" s="2"/>
      <c r="C850" s="2"/>
      <c r="D850" s="2"/>
      <c r="E850" s="2"/>
      <c r="F850" s="2"/>
      <c r="G850" s="2"/>
      <c r="H850" s="146"/>
      <c r="I850" s="146"/>
      <c r="J850" s="146"/>
      <c r="K850" s="146"/>
      <c r="L850" s="2"/>
      <c r="M850" s="2"/>
      <c r="N850" s="2"/>
      <c r="O850" s="2"/>
      <c r="P850" s="2"/>
      <c r="Q850" s="2"/>
      <c r="R850" s="2"/>
      <c r="S850" s="2"/>
      <c r="T850" s="2"/>
      <c r="U850" s="2"/>
      <c r="V850" s="2"/>
      <c r="W850" s="2"/>
      <c r="X850" s="2"/>
      <c r="Y850" s="2"/>
      <c r="Z850" s="2"/>
      <c r="AA850" s="2"/>
      <c r="AB850" s="2"/>
      <c r="AC850" s="2"/>
      <c r="AD850" s="2"/>
      <c r="AE850" s="2"/>
      <c r="AF850" s="2"/>
      <c r="AG850" s="2"/>
    </row>
    <row r="851" ht="14.25" customHeight="1">
      <c r="A851" s="2"/>
      <c r="B851" s="2"/>
      <c r="C851" s="2"/>
      <c r="D851" s="2"/>
      <c r="E851" s="2"/>
      <c r="F851" s="2"/>
      <c r="G851" s="2"/>
      <c r="H851" s="146"/>
      <c r="I851" s="146"/>
      <c r="J851" s="146"/>
      <c r="K851" s="146"/>
      <c r="L851" s="2"/>
      <c r="M851" s="2"/>
      <c r="N851" s="2"/>
      <c r="O851" s="2"/>
      <c r="P851" s="2"/>
      <c r="Q851" s="2"/>
      <c r="R851" s="2"/>
      <c r="S851" s="2"/>
      <c r="T851" s="2"/>
      <c r="U851" s="2"/>
      <c r="V851" s="2"/>
      <c r="W851" s="2"/>
      <c r="X851" s="2"/>
      <c r="Y851" s="2"/>
      <c r="Z851" s="2"/>
      <c r="AA851" s="2"/>
      <c r="AB851" s="2"/>
      <c r="AC851" s="2"/>
      <c r="AD851" s="2"/>
      <c r="AE851" s="2"/>
      <c r="AF851" s="2"/>
      <c r="AG851" s="2"/>
    </row>
    <row r="852" ht="14.25" customHeight="1">
      <c r="A852" s="2"/>
      <c r="B852" s="2"/>
      <c r="C852" s="2"/>
      <c r="D852" s="2"/>
      <c r="E852" s="2"/>
      <c r="F852" s="2"/>
      <c r="G852" s="2"/>
      <c r="H852" s="146"/>
      <c r="I852" s="146"/>
      <c r="J852" s="146"/>
      <c r="K852" s="146"/>
      <c r="L852" s="2"/>
      <c r="M852" s="2"/>
      <c r="N852" s="2"/>
      <c r="O852" s="2"/>
      <c r="P852" s="2"/>
      <c r="Q852" s="2"/>
      <c r="R852" s="2"/>
      <c r="S852" s="2"/>
      <c r="T852" s="2"/>
      <c r="U852" s="2"/>
      <c r="V852" s="2"/>
      <c r="W852" s="2"/>
      <c r="X852" s="2"/>
      <c r="Y852" s="2"/>
      <c r="Z852" s="2"/>
      <c r="AA852" s="2"/>
      <c r="AB852" s="2"/>
      <c r="AC852" s="2"/>
      <c r="AD852" s="2"/>
      <c r="AE852" s="2"/>
      <c r="AF852" s="2"/>
      <c r="AG852" s="2"/>
    </row>
    <row r="853" ht="14.25" customHeight="1">
      <c r="A853" s="2"/>
      <c r="B853" s="2"/>
      <c r="C853" s="2"/>
      <c r="D853" s="2"/>
      <c r="E853" s="2"/>
      <c r="F853" s="2"/>
      <c r="G853" s="2"/>
      <c r="H853" s="146"/>
      <c r="I853" s="146"/>
      <c r="J853" s="146"/>
      <c r="K853" s="146"/>
      <c r="L853" s="2"/>
      <c r="M853" s="2"/>
      <c r="N853" s="2"/>
      <c r="O853" s="2"/>
      <c r="P853" s="2"/>
      <c r="Q853" s="2"/>
      <c r="R853" s="2"/>
      <c r="S853" s="2"/>
      <c r="T853" s="2"/>
      <c r="U853" s="2"/>
      <c r="V853" s="2"/>
      <c r="W853" s="2"/>
      <c r="X853" s="2"/>
      <c r="Y853" s="2"/>
      <c r="Z853" s="2"/>
      <c r="AA853" s="2"/>
      <c r="AB853" s="2"/>
      <c r="AC853" s="2"/>
      <c r="AD853" s="2"/>
      <c r="AE853" s="2"/>
      <c r="AF853" s="2"/>
      <c r="AG853" s="2"/>
    </row>
    <row r="854" ht="14.25" customHeight="1">
      <c r="A854" s="2"/>
      <c r="B854" s="2"/>
      <c r="C854" s="2"/>
      <c r="D854" s="2"/>
      <c r="E854" s="2"/>
      <c r="F854" s="2"/>
      <c r="G854" s="2"/>
      <c r="H854" s="146"/>
      <c r="I854" s="146"/>
      <c r="J854" s="146"/>
      <c r="K854" s="146"/>
      <c r="L854" s="2"/>
      <c r="M854" s="2"/>
      <c r="N854" s="2"/>
      <c r="O854" s="2"/>
      <c r="P854" s="2"/>
      <c r="Q854" s="2"/>
      <c r="R854" s="2"/>
      <c r="S854" s="2"/>
      <c r="T854" s="2"/>
      <c r="U854" s="2"/>
      <c r="V854" s="2"/>
      <c r="W854" s="2"/>
      <c r="X854" s="2"/>
      <c r="Y854" s="2"/>
      <c r="Z854" s="2"/>
      <c r="AA854" s="2"/>
      <c r="AB854" s="2"/>
      <c r="AC854" s="2"/>
      <c r="AD854" s="2"/>
      <c r="AE854" s="2"/>
      <c r="AF854" s="2"/>
      <c r="AG854" s="2"/>
    </row>
    <row r="855" ht="14.25" customHeight="1">
      <c r="A855" s="2"/>
      <c r="B855" s="2"/>
      <c r="C855" s="2"/>
      <c r="D855" s="2"/>
      <c r="E855" s="2"/>
      <c r="F855" s="2"/>
      <c r="G855" s="2"/>
      <c r="H855" s="146"/>
      <c r="I855" s="146"/>
      <c r="J855" s="146"/>
      <c r="K855" s="146"/>
      <c r="L855" s="2"/>
      <c r="M855" s="2"/>
      <c r="N855" s="2"/>
      <c r="O855" s="2"/>
      <c r="P855" s="2"/>
      <c r="Q855" s="2"/>
      <c r="R855" s="2"/>
      <c r="S855" s="2"/>
      <c r="T855" s="2"/>
      <c r="U855" s="2"/>
      <c r="V855" s="2"/>
      <c r="W855" s="2"/>
      <c r="X855" s="2"/>
      <c r="Y855" s="2"/>
      <c r="Z855" s="2"/>
      <c r="AA855" s="2"/>
      <c r="AB855" s="2"/>
      <c r="AC855" s="2"/>
      <c r="AD855" s="2"/>
      <c r="AE855" s="2"/>
      <c r="AF855" s="2"/>
      <c r="AG855" s="2"/>
    </row>
    <row r="856" ht="14.25" customHeight="1">
      <c r="A856" s="2"/>
      <c r="B856" s="2"/>
      <c r="C856" s="2"/>
      <c r="D856" s="2"/>
      <c r="E856" s="2"/>
      <c r="F856" s="2"/>
      <c r="G856" s="2"/>
      <c r="H856" s="146"/>
      <c r="I856" s="146"/>
      <c r="J856" s="146"/>
      <c r="K856" s="146"/>
      <c r="L856" s="2"/>
      <c r="M856" s="2"/>
      <c r="N856" s="2"/>
      <c r="O856" s="2"/>
      <c r="P856" s="2"/>
      <c r="Q856" s="2"/>
      <c r="R856" s="2"/>
      <c r="S856" s="2"/>
      <c r="T856" s="2"/>
      <c r="U856" s="2"/>
      <c r="V856" s="2"/>
      <c r="W856" s="2"/>
      <c r="X856" s="2"/>
      <c r="Y856" s="2"/>
      <c r="Z856" s="2"/>
      <c r="AA856" s="2"/>
      <c r="AB856" s="2"/>
      <c r="AC856" s="2"/>
      <c r="AD856" s="2"/>
      <c r="AE856" s="2"/>
      <c r="AF856" s="2"/>
      <c r="AG856" s="2"/>
    </row>
    <row r="857" ht="14.25" customHeight="1">
      <c r="A857" s="2"/>
      <c r="B857" s="2"/>
      <c r="C857" s="2"/>
      <c r="D857" s="2"/>
      <c r="E857" s="2"/>
      <c r="F857" s="2"/>
      <c r="G857" s="2"/>
      <c r="H857" s="146"/>
      <c r="I857" s="146"/>
      <c r="J857" s="146"/>
      <c r="K857" s="146"/>
      <c r="L857" s="2"/>
      <c r="M857" s="2"/>
      <c r="N857" s="2"/>
      <c r="O857" s="2"/>
      <c r="P857" s="2"/>
      <c r="Q857" s="2"/>
      <c r="R857" s="2"/>
      <c r="S857" s="2"/>
      <c r="T857" s="2"/>
      <c r="U857" s="2"/>
      <c r="V857" s="2"/>
      <c r="W857" s="2"/>
      <c r="X857" s="2"/>
      <c r="Y857" s="2"/>
      <c r="Z857" s="2"/>
      <c r="AA857" s="2"/>
      <c r="AB857" s="2"/>
      <c r="AC857" s="2"/>
      <c r="AD857" s="2"/>
      <c r="AE857" s="2"/>
      <c r="AF857" s="2"/>
      <c r="AG857" s="2"/>
    </row>
    <row r="858" ht="14.25" customHeight="1">
      <c r="A858" s="2"/>
      <c r="B858" s="2"/>
      <c r="C858" s="2"/>
      <c r="D858" s="2"/>
      <c r="E858" s="2"/>
      <c r="F858" s="2"/>
      <c r="G858" s="2"/>
      <c r="H858" s="146"/>
      <c r="I858" s="146"/>
      <c r="J858" s="146"/>
      <c r="K858" s="146"/>
      <c r="L858" s="2"/>
      <c r="M858" s="2"/>
      <c r="N858" s="2"/>
      <c r="O858" s="2"/>
      <c r="P858" s="2"/>
      <c r="Q858" s="2"/>
      <c r="R858" s="2"/>
      <c r="S858" s="2"/>
      <c r="T858" s="2"/>
      <c r="U858" s="2"/>
      <c r="V858" s="2"/>
      <c r="W858" s="2"/>
      <c r="X858" s="2"/>
      <c r="Y858" s="2"/>
      <c r="Z858" s="2"/>
      <c r="AA858" s="2"/>
      <c r="AB858" s="2"/>
      <c r="AC858" s="2"/>
      <c r="AD858" s="2"/>
      <c r="AE858" s="2"/>
      <c r="AF858" s="2"/>
      <c r="AG858" s="2"/>
    </row>
    <row r="859" ht="14.25" customHeight="1">
      <c r="A859" s="2"/>
      <c r="B859" s="2"/>
      <c r="C859" s="2"/>
      <c r="D859" s="2"/>
      <c r="E859" s="2"/>
      <c r="F859" s="2"/>
      <c r="G859" s="2"/>
      <c r="H859" s="146"/>
      <c r="I859" s="146"/>
      <c r="J859" s="146"/>
      <c r="K859" s="146"/>
      <c r="L859" s="2"/>
      <c r="M859" s="2"/>
      <c r="N859" s="2"/>
      <c r="O859" s="2"/>
      <c r="P859" s="2"/>
      <c r="Q859" s="2"/>
      <c r="R859" s="2"/>
      <c r="S859" s="2"/>
      <c r="T859" s="2"/>
      <c r="U859" s="2"/>
      <c r="V859" s="2"/>
      <c r="W859" s="2"/>
      <c r="X859" s="2"/>
      <c r="Y859" s="2"/>
      <c r="Z859" s="2"/>
      <c r="AA859" s="2"/>
      <c r="AB859" s="2"/>
      <c r="AC859" s="2"/>
      <c r="AD859" s="2"/>
      <c r="AE859" s="2"/>
      <c r="AF859" s="2"/>
      <c r="AG859" s="2"/>
    </row>
    <row r="860" ht="14.25" customHeight="1">
      <c r="A860" s="2"/>
      <c r="B860" s="2"/>
      <c r="C860" s="2"/>
      <c r="D860" s="2"/>
      <c r="E860" s="2"/>
      <c r="F860" s="2"/>
      <c r="G860" s="2"/>
      <c r="H860" s="146"/>
      <c r="I860" s="146"/>
      <c r="J860" s="146"/>
      <c r="K860" s="146"/>
      <c r="L860" s="2"/>
      <c r="M860" s="2"/>
      <c r="N860" s="2"/>
      <c r="O860" s="2"/>
      <c r="P860" s="2"/>
      <c r="Q860" s="2"/>
      <c r="R860" s="2"/>
      <c r="S860" s="2"/>
      <c r="T860" s="2"/>
      <c r="U860" s="2"/>
      <c r="V860" s="2"/>
      <c r="W860" s="2"/>
      <c r="X860" s="2"/>
      <c r="Y860" s="2"/>
      <c r="Z860" s="2"/>
      <c r="AA860" s="2"/>
      <c r="AB860" s="2"/>
      <c r="AC860" s="2"/>
      <c r="AD860" s="2"/>
      <c r="AE860" s="2"/>
      <c r="AF860" s="2"/>
      <c r="AG860" s="2"/>
    </row>
    <row r="861" ht="14.25" customHeight="1">
      <c r="A861" s="2"/>
      <c r="B861" s="2"/>
      <c r="C861" s="2"/>
      <c r="D861" s="2"/>
      <c r="E861" s="2"/>
      <c r="F861" s="2"/>
      <c r="G861" s="2"/>
      <c r="H861" s="146"/>
      <c r="I861" s="146"/>
      <c r="J861" s="146"/>
      <c r="K861" s="146"/>
      <c r="L861" s="2"/>
      <c r="M861" s="2"/>
      <c r="N861" s="2"/>
      <c r="O861" s="2"/>
      <c r="P861" s="2"/>
      <c r="Q861" s="2"/>
      <c r="R861" s="2"/>
      <c r="S861" s="2"/>
      <c r="T861" s="2"/>
      <c r="U861" s="2"/>
      <c r="V861" s="2"/>
      <c r="W861" s="2"/>
      <c r="X861" s="2"/>
      <c r="Y861" s="2"/>
      <c r="Z861" s="2"/>
      <c r="AA861" s="2"/>
      <c r="AB861" s="2"/>
      <c r="AC861" s="2"/>
      <c r="AD861" s="2"/>
      <c r="AE861" s="2"/>
      <c r="AF861" s="2"/>
      <c r="AG861" s="2"/>
    </row>
    <row r="862" ht="14.25" customHeight="1">
      <c r="A862" s="2"/>
      <c r="B862" s="2"/>
      <c r="C862" s="2"/>
      <c r="D862" s="2"/>
      <c r="E862" s="2"/>
      <c r="F862" s="2"/>
      <c r="G862" s="2"/>
      <c r="H862" s="146"/>
      <c r="I862" s="146"/>
      <c r="J862" s="146"/>
      <c r="K862" s="146"/>
      <c r="L862" s="2"/>
      <c r="M862" s="2"/>
      <c r="N862" s="2"/>
      <c r="O862" s="2"/>
      <c r="P862" s="2"/>
      <c r="Q862" s="2"/>
      <c r="R862" s="2"/>
      <c r="S862" s="2"/>
      <c r="T862" s="2"/>
      <c r="U862" s="2"/>
      <c r="V862" s="2"/>
      <c r="W862" s="2"/>
      <c r="X862" s="2"/>
      <c r="Y862" s="2"/>
      <c r="Z862" s="2"/>
      <c r="AA862" s="2"/>
      <c r="AB862" s="2"/>
      <c r="AC862" s="2"/>
      <c r="AD862" s="2"/>
      <c r="AE862" s="2"/>
      <c r="AF862" s="2"/>
      <c r="AG862" s="2"/>
    </row>
    <row r="863" ht="14.25" customHeight="1">
      <c r="A863" s="2"/>
      <c r="B863" s="2"/>
      <c r="C863" s="2"/>
      <c r="D863" s="2"/>
      <c r="E863" s="2"/>
      <c r="F863" s="2"/>
      <c r="G863" s="2"/>
      <c r="H863" s="146"/>
      <c r="I863" s="146"/>
      <c r="J863" s="146"/>
      <c r="K863" s="146"/>
      <c r="L863" s="2"/>
      <c r="M863" s="2"/>
      <c r="N863" s="2"/>
      <c r="O863" s="2"/>
      <c r="P863" s="2"/>
      <c r="Q863" s="2"/>
      <c r="R863" s="2"/>
      <c r="S863" s="2"/>
      <c r="T863" s="2"/>
      <c r="U863" s="2"/>
      <c r="V863" s="2"/>
      <c r="W863" s="2"/>
      <c r="X863" s="2"/>
      <c r="Y863" s="2"/>
      <c r="Z863" s="2"/>
      <c r="AA863" s="2"/>
      <c r="AB863" s="2"/>
      <c r="AC863" s="2"/>
      <c r="AD863" s="2"/>
      <c r="AE863" s="2"/>
      <c r="AF863" s="2"/>
      <c r="AG863" s="2"/>
    </row>
    <row r="864" ht="14.25" customHeight="1">
      <c r="A864" s="2"/>
      <c r="B864" s="2"/>
      <c r="C864" s="2"/>
      <c r="D864" s="2"/>
      <c r="E864" s="2"/>
      <c r="F864" s="2"/>
      <c r="G864" s="2"/>
      <c r="H864" s="146"/>
      <c r="I864" s="146"/>
      <c r="J864" s="146"/>
      <c r="K864" s="146"/>
      <c r="L864" s="2"/>
      <c r="M864" s="2"/>
      <c r="N864" s="2"/>
      <c r="O864" s="2"/>
      <c r="P864" s="2"/>
      <c r="Q864" s="2"/>
      <c r="R864" s="2"/>
      <c r="S864" s="2"/>
      <c r="T864" s="2"/>
      <c r="U864" s="2"/>
      <c r="V864" s="2"/>
      <c r="W864" s="2"/>
      <c r="X864" s="2"/>
      <c r="Y864" s="2"/>
      <c r="Z864" s="2"/>
      <c r="AA864" s="2"/>
      <c r="AB864" s="2"/>
      <c r="AC864" s="2"/>
      <c r="AD864" s="2"/>
      <c r="AE864" s="2"/>
      <c r="AF864" s="2"/>
      <c r="AG864" s="2"/>
    </row>
    <row r="865" ht="14.25" customHeight="1">
      <c r="A865" s="2"/>
      <c r="B865" s="2"/>
      <c r="C865" s="2"/>
      <c r="D865" s="2"/>
      <c r="E865" s="2"/>
      <c r="F865" s="2"/>
      <c r="G865" s="2"/>
      <c r="H865" s="146"/>
      <c r="I865" s="146"/>
      <c r="J865" s="146"/>
      <c r="K865" s="146"/>
      <c r="L865" s="2"/>
      <c r="M865" s="2"/>
      <c r="N865" s="2"/>
      <c r="O865" s="2"/>
      <c r="P865" s="2"/>
      <c r="Q865" s="2"/>
      <c r="R865" s="2"/>
      <c r="S865" s="2"/>
      <c r="T865" s="2"/>
      <c r="U865" s="2"/>
      <c r="V865" s="2"/>
      <c r="W865" s="2"/>
      <c r="X865" s="2"/>
      <c r="Y865" s="2"/>
      <c r="Z865" s="2"/>
      <c r="AA865" s="2"/>
      <c r="AB865" s="2"/>
      <c r="AC865" s="2"/>
      <c r="AD865" s="2"/>
      <c r="AE865" s="2"/>
      <c r="AF865" s="2"/>
      <c r="AG865" s="2"/>
    </row>
    <row r="866" ht="14.25" customHeight="1">
      <c r="A866" s="2"/>
      <c r="B866" s="2"/>
      <c r="C866" s="2"/>
      <c r="D866" s="2"/>
      <c r="E866" s="2"/>
      <c r="F866" s="2"/>
      <c r="G866" s="2"/>
      <c r="H866" s="146"/>
      <c r="I866" s="146"/>
      <c r="J866" s="146"/>
      <c r="K866" s="146"/>
      <c r="L866" s="2"/>
      <c r="M866" s="2"/>
      <c r="N866" s="2"/>
      <c r="O866" s="2"/>
      <c r="P866" s="2"/>
      <c r="Q866" s="2"/>
      <c r="R866" s="2"/>
      <c r="S866" s="2"/>
      <c r="T866" s="2"/>
      <c r="U866" s="2"/>
      <c r="V866" s="2"/>
      <c r="W866" s="2"/>
      <c r="X866" s="2"/>
      <c r="Y866" s="2"/>
      <c r="Z866" s="2"/>
      <c r="AA866" s="2"/>
      <c r="AB866" s="2"/>
      <c r="AC866" s="2"/>
      <c r="AD866" s="2"/>
      <c r="AE866" s="2"/>
      <c r="AF866" s="2"/>
      <c r="AG866" s="2"/>
    </row>
    <row r="867" ht="14.25" customHeight="1">
      <c r="A867" s="2"/>
      <c r="B867" s="2"/>
      <c r="C867" s="2"/>
      <c r="D867" s="2"/>
      <c r="E867" s="2"/>
      <c r="F867" s="2"/>
      <c r="G867" s="2"/>
      <c r="H867" s="146"/>
      <c r="I867" s="146"/>
      <c r="J867" s="146"/>
      <c r="K867" s="146"/>
      <c r="L867" s="2"/>
      <c r="M867" s="2"/>
      <c r="N867" s="2"/>
      <c r="O867" s="2"/>
      <c r="P867" s="2"/>
      <c r="Q867" s="2"/>
      <c r="R867" s="2"/>
      <c r="S867" s="2"/>
      <c r="T867" s="2"/>
      <c r="U867" s="2"/>
      <c r="V867" s="2"/>
      <c r="W867" s="2"/>
      <c r="X867" s="2"/>
      <c r="Y867" s="2"/>
      <c r="Z867" s="2"/>
      <c r="AA867" s="2"/>
      <c r="AB867" s="2"/>
      <c r="AC867" s="2"/>
      <c r="AD867" s="2"/>
      <c r="AE867" s="2"/>
      <c r="AF867" s="2"/>
      <c r="AG867" s="2"/>
    </row>
    <row r="868" ht="14.25" customHeight="1">
      <c r="A868" s="2"/>
      <c r="B868" s="2"/>
      <c r="C868" s="2"/>
      <c r="D868" s="2"/>
      <c r="E868" s="2"/>
      <c r="F868" s="2"/>
      <c r="G868" s="2"/>
      <c r="H868" s="146"/>
      <c r="I868" s="146"/>
      <c r="J868" s="146"/>
      <c r="K868" s="146"/>
      <c r="L868" s="2"/>
      <c r="M868" s="2"/>
      <c r="N868" s="2"/>
      <c r="O868" s="2"/>
      <c r="P868" s="2"/>
      <c r="Q868" s="2"/>
      <c r="R868" s="2"/>
      <c r="S868" s="2"/>
      <c r="T868" s="2"/>
      <c r="U868" s="2"/>
      <c r="V868" s="2"/>
      <c r="W868" s="2"/>
      <c r="X868" s="2"/>
      <c r="Y868" s="2"/>
      <c r="Z868" s="2"/>
      <c r="AA868" s="2"/>
      <c r="AB868" s="2"/>
      <c r="AC868" s="2"/>
      <c r="AD868" s="2"/>
      <c r="AE868" s="2"/>
      <c r="AF868" s="2"/>
      <c r="AG868" s="2"/>
    </row>
    <row r="869" ht="14.25" customHeight="1">
      <c r="A869" s="2"/>
      <c r="B869" s="2"/>
      <c r="C869" s="2"/>
      <c r="D869" s="2"/>
      <c r="E869" s="2"/>
      <c r="F869" s="2"/>
      <c r="G869" s="2"/>
      <c r="H869" s="146"/>
      <c r="I869" s="146"/>
      <c r="J869" s="146"/>
      <c r="K869" s="146"/>
      <c r="L869" s="2"/>
      <c r="M869" s="2"/>
      <c r="N869" s="2"/>
      <c r="O869" s="2"/>
      <c r="P869" s="2"/>
      <c r="Q869" s="2"/>
      <c r="R869" s="2"/>
      <c r="S869" s="2"/>
      <c r="T869" s="2"/>
      <c r="U869" s="2"/>
      <c r="V869" s="2"/>
      <c r="W869" s="2"/>
      <c r="X869" s="2"/>
      <c r="Y869" s="2"/>
      <c r="Z869" s="2"/>
      <c r="AA869" s="2"/>
      <c r="AB869" s="2"/>
      <c r="AC869" s="2"/>
      <c r="AD869" s="2"/>
      <c r="AE869" s="2"/>
      <c r="AF869" s="2"/>
      <c r="AG869" s="2"/>
    </row>
    <row r="870" ht="14.25" customHeight="1">
      <c r="A870" s="2"/>
      <c r="B870" s="2"/>
      <c r="C870" s="2"/>
      <c r="D870" s="2"/>
      <c r="E870" s="2"/>
      <c r="F870" s="2"/>
      <c r="G870" s="2"/>
      <c r="H870" s="146"/>
      <c r="I870" s="146"/>
      <c r="J870" s="146"/>
      <c r="K870" s="146"/>
      <c r="L870" s="2"/>
      <c r="M870" s="2"/>
      <c r="N870" s="2"/>
      <c r="O870" s="2"/>
      <c r="P870" s="2"/>
      <c r="Q870" s="2"/>
      <c r="R870" s="2"/>
      <c r="S870" s="2"/>
      <c r="T870" s="2"/>
      <c r="U870" s="2"/>
      <c r="V870" s="2"/>
      <c r="W870" s="2"/>
      <c r="X870" s="2"/>
      <c r="Y870" s="2"/>
      <c r="Z870" s="2"/>
      <c r="AA870" s="2"/>
      <c r="AB870" s="2"/>
      <c r="AC870" s="2"/>
      <c r="AD870" s="2"/>
      <c r="AE870" s="2"/>
      <c r="AF870" s="2"/>
      <c r="AG870" s="2"/>
    </row>
    <row r="871" ht="14.25" customHeight="1">
      <c r="A871" s="2"/>
      <c r="B871" s="2"/>
      <c r="C871" s="2"/>
      <c r="D871" s="2"/>
      <c r="E871" s="2"/>
      <c r="F871" s="2"/>
      <c r="G871" s="2"/>
      <c r="H871" s="146"/>
      <c r="I871" s="146"/>
      <c r="J871" s="146"/>
      <c r="K871" s="146"/>
      <c r="L871" s="2"/>
      <c r="M871" s="2"/>
      <c r="N871" s="2"/>
      <c r="O871" s="2"/>
      <c r="P871" s="2"/>
      <c r="Q871" s="2"/>
      <c r="R871" s="2"/>
      <c r="S871" s="2"/>
      <c r="T871" s="2"/>
      <c r="U871" s="2"/>
      <c r="V871" s="2"/>
      <c r="W871" s="2"/>
      <c r="X871" s="2"/>
      <c r="Y871" s="2"/>
      <c r="Z871" s="2"/>
      <c r="AA871" s="2"/>
      <c r="AB871" s="2"/>
      <c r="AC871" s="2"/>
      <c r="AD871" s="2"/>
      <c r="AE871" s="2"/>
      <c r="AF871" s="2"/>
      <c r="AG871" s="2"/>
    </row>
    <row r="872" ht="14.25" customHeight="1">
      <c r="A872" s="2"/>
      <c r="B872" s="2"/>
      <c r="C872" s="2"/>
      <c r="D872" s="2"/>
      <c r="E872" s="2"/>
      <c r="F872" s="2"/>
      <c r="G872" s="2"/>
      <c r="H872" s="146"/>
      <c r="I872" s="146"/>
      <c r="J872" s="146"/>
      <c r="K872" s="146"/>
      <c r="L872" s="2"/>
      <c r="M872" s="2"/>
      <c r="N872" s="2"/>
      <c r="O872" s="2"/>
      <c r="P872" s="2"/>
      <c r="Q872" s="2"/>
      <c r="R872" s="2"/>
      <c r="S872" s="2"/>
      <c r="T872" s="2"/>
      <c r="U872" s="2"/>
      <c r="V872" s="2"/>
      <c r="W872" s="2"/>
      <c r="X872" s="2"/>
      <c r="Y872" s="2"/>
      <c r="Z872" s="2"/>
      <c r="AA872" s="2"/>
      <c r="AB872" s="2"/>
      <c r="AC872" s="2"/>
      <c r="AD872" s="2"/>
      <c r="AE872" s="2"/>
      <c r="AF872" s="2"/>
      <c r="AG872" s="2"/>
    </row>
    <row r="873" ht="14.25" customHeight="1">
      <c r="A873" s="2"/>
      <c r="B873" s="2"/>
      <c r="C873" s="2"/>
      <c r="D873" s="2"/>
      <c r="E873" s="2"/>
      <c r="F873" s="2"/>
      <c r="G873" s="2"/>
      <c r="H873" s="146"/>
      <c r="I873" s="146"/>
      <c r="J873" s="146"/>
      <c r="K873" s="146"/>
      <c r="L873" s="2"/>
      <c r="M873" s="2"/>
      <c r="N873" s="2"/>
      <c r="O873" s="2"/>
      <c r="P873" s="2"/>
      <c r="Q873" s="2"/>
      <c r="R873" s="2"/>
      <c r="S873" s="2"/>
      <c r="T873" s="2"/>
      <c r="U873" s="2"/>
      <c r="V873" s="2"/>
      <c r="W873" s="2"/>
      <c r="X873" s="2"/>
      <c r="Y873" s="2"/>
      <c r="Z873" s="2"/>
      <c r="AA873" s="2"/>
      <c r="AB873" s="2"/>
      <c r="AC873" s="2"/>
      <c r="AD873" s="2"/>
      <c r="AE873" s="2"/>
      <c r="AF873" s="2"/>
      <c r="AG873" s="2"/>
    </row>
    <row r="874" ht="14.25" customHeight="1">
      <c r="A874" s="2"/>
      <c r="B874" s="2"/>
      <c r="C874" s="2"/>
      <c r="D874" s="2"/>
      <c r="E874" s="2"/>
      <c r="F874" s="2"/>
      <c r="G874" s="2"/>
      <c r="H874" s="146"/>
      <c r="I874" s="146"/>
      <c r="J874" s="146"/>
      <c r="K874" s="146"/>
      <c r="L874" s="2"/>
      <c r="M874" s="2"/>
      <c r="N874" s="2"/>
      <c r="O874" s="2"/>
      <c r="P874" s="2"/>
      <c r="Q874" s="2"/>
      <c r="R874" s="2"/>
      <c r="S874" s="2"/>
      <c r="T874" s="2"/>
      <c r="U874" s="2"/>
      <c r="V874" s="2"/>
      <c r="W874" s="2"/>
      <c r="X874" s="2"/>
      <c r="Y874" s="2"/>
      <c r="Z874" s="2"/>
      <c r="AA874" s="2"/>
      <c r="AB874" s="2"/>
      <c r="AC874" s="2"/>
      <c r="AD874" s="2"/>
      <c r="AE874" s="2"/>
      <c r="AF874" s="2"/>
      <c r="AG874" s="2"/>
    </row>
    <row r="875" ht="14.25" customHeight="1">
      <c r="A875" s="2"/>
      <c r="B875" s="2"/>
      <c r="C875" s="2"/>
      <c r="D875" s="2"/>
      <c r="E875" s="2"/>
      <c r="F875" s="2"/>
      <c r="G875" s="2"/>
      <c r="H875" s="146"/>
      <c r="I875" s="146"/>
      <c r="J875" s="146"/>
      <c r="K875" s="146"/>
      <c r="L875" s="2"/>
      <c r="M875" s="2"/>
      <c r="N875" s="2"/>
      <c r="O875" s="2"/>
      <c r="P875" s="2"/>
      <c r="Q875" s="2"/>
      <c r="R875" s="2"/>
      <c r="S875" s="2"/>
      <c r="T875" s="2"/>
      <c r="U875" s="2"/>
      <c r="V875" s="2"/>
      <c r="W875" s="2"/>
      <c r="X875" s="2"/>
      <c r="Y875" s="2"/>
      <c r="Z875" s="2"/>
      <c r="AA875" s="2"/>
      <c r="AB875" s="2"/>
      <c r="AC875" s="2"/>
      <c r="AD875" s="2"/>
      <c r="AE875" s="2"/>
      <c r="AF875" s="2"/>
      <c r="AG875" s="2"/>
    </row>
    <row r="876" ht="14.25" customHeight="1">
      <c r="A876" s="2"/>
      <c r="B876" s="2"/>
      <c r="C876" s="2"/>
      <c r="D876" s="2"/>
      <c r="E876" s="2"/>
      <c r="F876" s="2"/>
      <c r="G876" s="2"/>
      <c r="H876" s="146"/>
      <c r="I876" s="146"/>
      <c r="J876" s="146"/>
      <c r="K876" s="146"/>
      <c r="L876" s="2"/>
      <c r="M876" s="2"/>
      <c r="N876" s="2"/>
      <c r="O876" s="2"/>
      <c r="P876" s="2"/>
      <c r="Q876" s="2"/>
      <c r="R876" s="2"/>
      <c r="S876" s="2"/>
      <c r="T876" s="2"/>
      <c r="U876" s="2"/>
      <c r="V876" s="2"/>
      <c r="W876" s="2"/>
      <c r="X876" s="2"/>
      <c r="Y876" s="2"/>
      <c r="Z876" s="2"/>
      <c r="AA876" s="2"/>
      <c r="AB876" s="2"/>
      <c r="AC876" s="2"/>
      <c r="AD876" s="2"/>
      <c r="AE876" s="2"/>
      <c r="AF876" s="2"/>
      <c r="AG876" s="2"/>
    </row>
    <row r="877" ht="14.25" customHeight="1">
      <c r="A877" s="2"/>
      <c r="B877" s="2"/>
      <c r="C877" s="2"/>
      <c r="D877" s="2"/>
      <c r="E877" s="2"/>
      <c r="F877" s="2"/>
      <c r="G877" s="2"/>
      <c r="H877" s="146"/>
      <c r="I877" s="146"/>
      <c r="J877" s="146"/>
      <c r="K877" s="146"/>
      <c r="L877" s="2"/>
      <c r="M877" s="2"/>
      <c r="N877" s="2"/>
      <c r="O877" s="2"/>
      <c r="P877" s="2"/>
      <c r="Q877" s="2"/>
      <c r="R877" s="2"/>
      <c r="S877" s="2"/>
      <c r="T877" s="2"/>
      <c r="U877" s="2"/>
      <c r="V877" s="2"/>
      <c r="W877" s="2"/>
      <c r="X877" s="2"/>
      <c r="Y877" s="2"/>
      <c r="Z877" s="2"/>
      <c r="AA877" s="2"/>
      <c r="AB877" s="2"/>
      <c r="AC877" s="2"/>
      <c r="AD877" s="2"/>
      <c r="AE877" s="2"/>
      <c r="AF877" s="2"/>
      <c r="AG877" s="2"/>
    </row>
    <row r="878" ht="14.25" customHeight="1">
      <c r="A878" s="2"/>
      <c r="B878" s="2"/>
      <c r="C878" s="2"/>
      <c r="D878" s="2"/>
      <c r="E878" s="2"/>
      <c r="F878" s="2"/>
      <c r="G878" s="2"/>
      <c r="H878" s="146"/>
      <c r="I878" s="146"/>
      <c r="J878" s="146"/>
      <c r="K878" s="146"/>
      <c r="L878" s="2"/>
      <c r="M878" s="2"/>
      <c r="N878" s="2"/>
      <c r="O878" s="2"/>
      <c r="P878" s="2"/>
      <c r="Q878" s="2"/>
      <c r="R878" s="2"/>
      <c r="S878" s="2"/>
      <c r="T878" s="2"/>
      <c r="U878" s="2"/>
      <c r="V878" s="2"/>
      <c r="W878" s="2"/>
      <c r="X878" s="2"/>
      <c r="Y878" s="2"/>
      <c r="Z878" s="2"/>
      <c r="AA878" s="2"/>
      <c r="AB878" s="2"/>
      <c r="AC878" s="2"/>
      <c r="AD878" s="2"/>
      <c r="AE878" s="2"/>
      <c r="AF878" s="2"/>
      <c r="AG878" s="2"/>
    </row>
    <row r="879" ht="14.25" customHeight="1">
      <c r="A879" s="2"/>
      <c r="B879" s="2"/>
      <c r="C879" s="2"/>
      <c r="D879" s="2"/>
      <c r="E879" s="2"/>
      <c r="F879" s="2"/>
      <c r="G879" s="2"/>
      <c r="H879" s="146"/>
      <c r="I879" s="146"/>
      <c r="J879" s="146"/>
      <c r="K879" s="146"/>
      <c r="L879" s="2"/>
      <c r="M879" s="2"/>
      <c r="N879" s="2"/>
      <c r="O879" s="2"/>
      <c r="P879" s="2"/>
      <c r="Q879" s="2"/>
      <c r="R879" s="2"/>
      <c r="S879" s="2"/>
      <c r="T879" s="2"/>
      <c r="U879" s="2"/>
      <c r="V879" s="2"/>
      <c r="W879" s="2"/>
      <c r="X879" s="2"/>
      <c r="Y879" s="2"/>
      <c r="Z879" s="2"/>
      <c r="AA879" s="2"/>
      <c r="AB879" s="2"/>
      <c r="AC879" s="2"/>
      <c r="AD879" s="2"/>
      <c r="AE879" s="2"/>
      <c r="AF879" s="2"/>
      <c r="AG879" s="2"/>
    </row>
    <row r="880" ht="14.25" customHeight="1">
      <c r="A880" s="2"/>
      <c r="B880" s="2"/>
      <c r="C880" s="2"/>
      <c r="D880" s="2"/>
      <c r="E880" s="2"/>
      <c r="F880" s="2"/>
      <c r="G880" s="2"/>
      <c r="H880" s="146"/>
      <c r="I880" s="146"/>
      <c r="J880" s="146"/>
      <c r="K880" s="146"/>
      <c r="L880" s="2"/>
      <c r="M880" s="2"/>
      <c r="N880" s="2"/>
      <c r="O880" s="2"/>
      <c r="P880" s="2"/>
      <c r="Q880" s="2"/>
      <c r="R880" s="2"/>
      <c r="S880" s="2"/>
      <c r="T880" s="2"/>
      <c r="U880" s="2"/>
      <c r="V880" s="2"/>
      <c r="W880" s="2"/>
      <c r="X880" s="2"/>
      <c r="Y880" s="2"/>
      <c r="Z880" s="2"/>
      <c r="AA880" s="2"/>
      <c r="AB880" s="2"/>
      <c r="AC880" s="2"/>
      <c r="AD880" s="2"/>
      <c r="AE880" s="2"/>
      <c r="AF880" s="2"/>
      <c r="AG880" s="2"/>
    </row>
    <row r="881" ht="14.25" customHeight="1">
      <c r="A881" s="2"/>
      <c r="B881" s="2"/>
      <c r="C881" s="2"/>
      <c r="D881" s="2"/>
      <c r="E881" s="2"/>
      <c r="F881" s="2"/>
      <c r="G881" s="2"/>
      <c r="H881" s="146"/>
      <c r="I881" s="146"/>
      <c r="J881" s="146"/>
      <c r="K881" s="146"/>
      <c r="L881" s="2"/>
      <c r="M881" s="2"/>
      <c r="N881" s="2"/>
      <c r="O881" s="2"/>
      <c r="P881" s="2"/>
      <c r="Q881" s="2"/>
      <c r="R881" s="2"/>
      <c r="S881" s="2"/>
      <c r="T881" s="2"/>
      <c r="U881" s="2"/>
      <c r="V881" s="2"/>
      <c r="W881" s="2"/>
      <c r="X881" s="2"/>
      <c r="Y881" s="2"/>
      <c r="Z881" s="2"/>
      <c r="AA881" s="2"/>
      <c r="AB881" s="2"/>
      <c r="AC881" s="2"/>
      <c r="AD881" s="2"/>
      <c r="AE881" s="2"/>
      <c r="AF881" s="2"/>
      <c r="AG881" s="2"/>
    </row>
    <row r="882" ht="14.25" customHeight="1">
      <c r="A882" s="2"/>
      <c r="B882" s="2"/>
      <c r="C882" s="2"/>
      <c r="D882" s="2"/>
      <c r="E882" s="2"/>
      <c r="F882" s="2"/>
      <c r="G882" s="2"/>
      <c r="H882" s="146"/>
      <c r="I882" s="146"/>
      <c r="J882" s="146"/>
      <c r="K882" s="146"/>
      <c r="L882" s="2"/>
      <c r="M882" s="2"/>
      <c r="N882" s="2"/>
      <c r="O882" s="2"/>
      <c r="P882" s="2"/>
      <c r="Q882" s="2"/>
      <c r="R882" s="2"/>
      <c r="S882" s="2"/>
      <c r="T882" s="2"/>
      <c r="U882" s="2"/>
      <c r="V882" s="2"/>
      <c r="W882" s="2"/>
      <c r="X882" s="2"/>
      <c r="Y882" s="2"/>
      <c r="Z882" s="2"/>
      <c r="AA882" s="2"/>
      <c r="AB882" s="2"/>
      <c r="AC882" s="2"/>
      <c r="AD882" s="2"/>
      <c r="AE882" s="2"/>
      <c r="AF882" s="2"/>
      <c r="AG882" s="2"/>
    </row>
    <row r="883" ht="14.25" customHeight="1">
      <c r="A883" s="2"/>
      <c r="B883" s="2"/>
      <c r="C883" s="2"/>
      <c r="D883" s="2"/>
      <c r="E883" s="2"/>
      <c r="F883" s="2"/>
      <c r="G883" s="2"/>
      <c r="H883" s="146"/>
      <c r="I883" s="146"/>
      <c r="J883" s="146"/>
      <c r="K883" s="146"/>
      <c r="L883" s="2"/>
      <c r="M883" s="2"/>
      <c r="N883" s="2"/>
      <c r="O883" s="2"/>
      <c r="P883" s="2"/>
      <c r="Q883" s="2"/>
      <c r="R883" s="2"/>
      <c r="S883" s="2"/>
      <c r="T883" s="2"/>
      <c r="U883" s="2"/>
      <c r="V883" s="2"/>
      <c r="W883" s="2"/>
      <c r="X883" s="2"/>
      <c r="Y883" s="2"/>
      <c r="Z883" s="2"/>
      <c r="AA883" s="2"/>
      <c r="AB883" s="2"/>
      <c r="AC883" s="2"/>
      <c r="AD883" s="2"/>
      <c r="AE883" s="2"/>
      <c r="AF883" s="2"/>
      <c r="AG883" s="2"/>
    </row>
    <row r="884" ht="14.25" customHeight="1">
      <c r="A884" s="2"/>
      <c r="B884" s="2"/>
      <c r="C884" s="2"/>
      <c r="D884" s="2"/>
      <c r="E884" s="2"/>
      <c r="F884" s="2"/>
      <c r="G884" s="2"/>
      <c r="H884" s="146"/>
      <c r="I884" s="146"/>
      <c r="J884" s="146"/>
      <c r="K884" s="146"/>
      <c r="L884" s="2"/>
      <c r="M884" s="2"/>
      <c r="N884" s="2"/>
      <c r="O884" s="2"/>
      <c r="P884" s="2"/>
      <c r="Q884" s="2"/>
      <c r="R884" s="2"/>
      <c r="S884" s="2"/>
      <c r="T884" s="2"/>
      <c r="U884" s="2"/>
      <c r="V884" s="2"/>
      <c r="W884" s="2"/>
      <c r="X884" s="2"/>
      <c r="Y884" s="2"/>
      <c r="Z884" s="2"/>
      <c r="AA884" s="2"/>
      <c r="AB884" s="2"/>
      <c r="AC884" s="2"/>
      <c r="AD884" s="2"/>
      <c r="AE884" s="2"/>
      <c r="AF884" s="2"/>
      <c r="AG884" s="2"/>
    </row>
    <row r="885" ht="14.25" customHeight="1">
      <c r="A885" s="2"/>
      <c r="B885" s="2"/>
      <c r="C885" s="2"/>
      <c r="D885" s="2"/>
      <c r="E885" s="2"/>
      <c r="F885" s="2"/>
      <c r="G885" s="2"/>
      <c r="H885" s="146"/>
      <c r="I885" s="146"/>
      <c r="J885" s="146"/>
      <c r="K885" s="146"/>
      <c r="L885" s="2"/>
      <c r="M885" s="2"/>
      <c r="N885" s="2"/>
      <c r="O885" s="2"/>
      <c r="P885" s="2"/>
      <c r="Q885" s="2"/>
      <c r="R885" s="2"/>
      <c r="S885" s="2"/>
      <c r="T885" s="2"/>
      <c r="U885" s="2"/>
      <c r="V885" s="2"/>
      <c r="W885" s="2"/>
      <c r="X885" s="2"/>
      <c r="Y885" s="2"/>
      <c r="Z885" s="2"/>
      <c r="AA885" s="2"/>
      <c r="AB885" s="2"/>
      <c r="AC885" s="2"/>
      <c r="AD885" s="2"/>
      <c r="AE885" s="2"/>
      <c r="AF885" s="2"/>
      <c r="AG885" s="2"/>
    </row>
    <row r="886" ht="14.25" customHeight="1">
      <c r="A886" s="2"/>
      <c r="B886" s="2"/>
      <c r="C886" s="2"/>
      <c r="D886" s="2"/>
      <c r="E886" s="2"/>
      <c r="F886" s="2"/>
      <c r="G886" s="2"/>
      <c r="H886" s="146"/>
      <c r="I886" s="146"/>
      <c r="J886" s="146"/>
      <c r="K886" s="146"/>
      <c r="L886" s="2"/>
      <c r="M886" s="2"/>
      <c r="N886" s="2"/>
      <c r="O886" s="2"/>
      <c r="P886" s="2"/>
      <c r="Q886" s="2"/>
      <c r="R886" s="2"/>
      <c r="S886" s="2"/>
      <c r="T886" s="2"/>
      <c r="U886" s="2"/>
      <c r="V886" s="2"/>
      <c r="W886" s="2"/>
      <c r="X886" s="2"/>
      <c r="Y886" s="2"/>
      <c r="Z886" s="2"/>
      <c r="AA886" s="2"/>
      <c r="AB886" s="2"/>
      <c r="AC886" s="2"/>
      <c r="AD886" s="2"/>
      <c r="AE886" s="2"/>
      <c r="AF886" s="2"/>
      <c r="AG886" s="2"/>
    </row>
    <row r="887" ht="14.25" customHeight="1">
      <c r="A887" s="2"/>
      <c r="B887" s="2"/>
      <c r="C887" s="2"/>
      <c r="D887" s="2"/>
      <c r="E887" s="2"/>
      <c r="F887" s="2"/>
      <c r="G887" s="2"/>
      <c r="H887" s="146"/>
      <c r="I887" s="146"/>
      <c r="J887" s="146"/>
      <c r="K887" s="146"/>
      <c r="L887" s="2"/>
      <c r="M887" s="2"/>
      <c r="N887" s="2"/>
      <c r="O887" s="2"/>
      <c r="P887" s="2"/>
      <c r="Q887" s="2"/>
      <c r="R887" s="2"/>
      <c r="S887" s="2"/>
      <c r="T887" s="2"/>
      <c r="U887" s="2"/>
      <c r="V887" s="2"/>
      <c r="W887" s="2"/>
      <c r="X887" s="2"/>
      <c r="Y887" s="2"/>
      <c r="Z887" s="2"/>
      <c r="AA887" s="2"/>
      <c r="AB887" s="2"/>
      <c r="AC887" s="2"/>
      <c r="AD887" s="2"/>
      <c r="AE887" s="2"/>
      <c r="AF887" s="2"/>
      <c r="AG887" s="2"/>
    </row>
    <row r="888" ht="14.25" customHeight="1">
      <c r="A888" s="2"/>
      <c r="B888" s="2"/>
      <c r="C888" s="2"/>
      <c r="D888" s="2"/>
      <c r="E888" s="2"/>
      <c r="F888" s="2"/>
      <c r="G888" s="2"/>
      <c r="H888" s="146"/>
      <c r="I888" s="146"/>
      <c r="J888" s="146"/>
      <c r="K888" s="146"/>
      <c r="L888" s="2"/>
      <c r="M888" s="2"/>
      <c r="N888" s="2"/>
      <c r="O888" s="2"/>
      <c r="P888" s="2"/>
      <c r="Q888" s="2"/>
      <c r="R888" s="2"/>
      <c r="S888" s="2"/>
      <c r="T888" s="2"/>
      <c r="U888" s="2"/>
      <c r="V888" s="2"/>
      <c r="W888" s="2"/>
      <c r="X888" s="2"/>
      <c r="Y888" s="2"/>
      <c r="Z888" s="2"/>
      <c r="AA888" s="2"/>
      <c r="AB888" s="2"/>
      <c r="AC888" s="2"/>
      <c r="AD888" s="2"/>
      <c r="AE888" s="2"/>
      <c r="AF888" s="2"/>
      <c r="AG888" s="2"/>
    </row>
    <row r="889" ht="14.25" customHeight="1">
      <c r="A889" s="2"/>
      <c r="B889" s="2"/>
      <c r="C889" s="2"/>
      <c r="D889" s="2"/>
      <c r="E889" s="2"/>
      <c r="F889" s="2"/>
      <c r="G889" s="2"/>
      <c r="H889" s="146"/>
      <c r="I889" s="146"/>
      <c r="J889" s="146"/>
      <c r="K889" s="146"/>
      <c r="L889" s="2"/>
      <c r="M889" s="2"/>
      <c r="N889" s="2"/>
      <c r="O889" s="2"/>
      <c r="P889" s="2"/>
      <c r="Q889" s="2"/>
      <c r="R889" s="2"/>
      <c r="S889" s="2"/>
      <c r="T889" s="2"/>
      <c r="U889" s="2"/>
      <c r="V889" s="2"/>
      <c r="W889" s="2"/>
      <c r="X889" s="2"/>
      <c r="Y889" s="2"/>
      <c r="Z889" s="2"/>
      <c r="AA889" s="2"/>
      <c r="AB889" s="2"/>
      <c r="AC889" s="2"/>
      <c r="AD889" s="2"/>
      <c r="AE889" s="2"/>
      <c r="AF889" s="2"/>
      <c r="AG889" s="2"/>
    </row>
    <row r="890" ht="14.25" customHeight="1">
      <c r="A890" s="2"/>
      <c r="B890" s="2"/>
      <c r="C890" s="2"/>
      <c r="D890" s="2"/>
      <c r="E890" s="2"/>
      <c r="F890" s="2"/>
      <c r="G890" s="2"/>
      <c r="H890" s="146"/>
      <c r="I890" s="146"/>
      <c r="J890" s="146"/>
      <c r="K890" s="146"/>
      <c r="L890" s="2"/>
      <c r="M890" s="2"/>
      <c r="N890" s="2"/>
      <c r="O890" s="2"/>
      <c r="P890" s="2"/>
      <c r="Q890" s="2"/>
      <c r="R890" s="2"/>
      <c r="S890" s="2"/>
      <c r="T890" s="2"/>
      <c r="U890" s="2"/>
      <c r="V890" s="2"/>
      <c r="W890" s="2"/>
      <c r="X890" s="2"/>
      <c r="Y890" s="2"/>
      <c r="Z890" s="2"/>
      <c r="AA890" s="2"/>
      <c r="AB890" s="2"/>
      <c r="AC890" s="2"/>
      <c r="AD890" s="2"/>
      <c r="AE890" s="2"/>
      <c r="AF890" s="2"/>
      <c r="AG890" s="2"/>
    </row>
    <row r="891" ht="14.25" customHeight="1">
      <c r="A891" s="2"/>
      <c r="B891" s="2"/>
      <c r="C891" s="2"/>
      <c r="D891" s="2"/>
      <c r="E891" s="2"/>
      <c r="F891" s="2"/>
      <c r="G891" s="2"/>
      <c r="H891" s="146"/>
      <c r="I891" s="146"/>
      <c r="J891" s="146"/>
      <c r="K891" s="146"/>
      <c r="L891" s="2"/>
      <c r="M891" s="2"/>
      <c r="N891" s="2"/>
      <c r="O891" s="2"/>
      <c r="P891" s="2"/>
      <c r="Q891" s="2"/>
      <c r="R891" s="2"/>
      <c r="S891" s="2"/>
      <c r="T891" s="2"/>
      <c r="U891" s="2"/>
      <c r="V891" s="2"/>
      <c r="W891" s="2"/>
      <c r="X891" s="2"/>
      <c r="Y891" s="2"/>
      <c r="Z891" s="2"/>
      <c r="AA891" s="2"/>
      <c r="AB891" s="2"/>
      <c r="AC891" s="2"/>
      <c r="AD891" s="2"/>
      <c r="AE891" s="2"/>
      <c r="AF891" s="2"/>
      <c r="AG891" s="2"/>
    </row>
    <row r="892" ht="14.25" customHeight="1">
      <c r="A892" s="2"/>
      <c r="B892" s="2"/>
      <c r="C892" s="2"/>
      <c r="D892" s="2"/>
      <c r="E892" s="2"/>
      <c r="F892" s="2"/>
      <c r="G892" s="2"/>
      <c r="H892" s="146"/>
      <c r="I892" s="146"/>
      <c r="J892" s="146"/>
      <c r="K892" s="146"/>
      <c r="L892" s="2"/>
      <c r="M892" s="2"/>
      <c r="N892" s="2"/>
      <c r="O892" s="2"/>
      <c r="P892" s="2"/>
      <c r="Q892" s="2"/>
      <c r="R892" s="2"/>
      <c r="S892" s="2"/>
      <c r="T892" s="2"/>
      <c r="U892" s="2"/>
      <c r="V892" s="2"/>
      <c r="W892" s="2"/>
      <c r="X892" s="2"/>
      <c r="Y892" s="2"/>
      <c r="Z892" s="2"/>
      <c r="AA892" s="2"/>
      <c r="AB892" s="2"/>
      <c r="AC892" s="2"/>
      <c r="AD892" s="2"/>
      <c r="AE892" s="2"/>
      <c r="AF892" s="2"/>
      <c r="AG892" s="2"/>
    </row>
    <row r="893" ht="14.25" customHeight="1">
      <c r="A893" s="2"/>
      <c r="B893" s="2"/>
      <c r="C893" s="2"/>
      <c r="D893" s="2"/>
      <c r="E893" s="2"/>
      <c r="F893" s="2"/>
      <c r="G893" s="2"/>
      <c r="H893" s="146"/>
      <c r="I893" s="146"/>
      <c r="J893" s="146"/>
      <c r="K893" s="146"/>
      <c r="L893" s="2"/>
      <c r="M893" s="2"/>
      <c r="N893" s="2"/>
      <c r="O893" s="2"/>
      <c r="P893" s="2"/>
      <c r="Q893" s="2"/>
      <c r="R893" s="2"/>
      <c r="S893" s="2"/>
      <c r="T893" s="2"/>
      <c r="U893" s="2"/>
      <c r="V893" s="2"/>
      <c r="W893" s="2"/>
      <c r="X893" s="2"/>
      <c r="Y893" s="2"/>
      <c r="Z893" s="2"/>
      <c r="AA893" s="2"/>
      <c r="AB893" s="2"/>
      <c r="AC893" s="2"/>
      <c r="AD893" s="2"/>
      <c r="AE893" s="2"/>
      <c r="AF893" s="2"/>
      <c r="AG893" s="2"/>
    </row>
    <row r="894" ht="14.25" customHeight="1">
      <c r="A894" s="2"/>
      <c r="B894" s="2"/>
      <c r="C894" s="2"/>
      <c r="D894" s="2"/>
      <c r="E894" s="2"/>
      <c r="F894" s="2"/>
      <c r="G894" s="2"/>
      <c r="H894" s="146"/>
      <c r="I894" s="146"/>
      <c r="J894" s="146"/>
      <c r="K894" s="146"/>
      <c r="L894" s="2"/>
      <c r="M894" s="2"/>
      <c r="N894" s="2"/>
      <c r="O894" s="2"/>
      <c r="P894" s="2"/>
      <c r="Q894" s="2"/>
      <c r="R894" s="2"/>
      <c r="S894" s="2"/>
      <c r="T894" s="2"/>
      <c r="U894" s="2"/>
      <c r="V894" s="2"/>
      <c r="W894" s="2"/>
      <c r="X894" s="2"/>
      <c r="Y894" s="2"/>
      <c r="Z894" s="2"/>
      <c r="AA894" s="2"/>
      <c r="AB894" s="2"/>
      <c r="AC894" s="2"/>
      <c r="AD894" s="2"/>
      <c r="AE894" s="2"/>
      <c r="AF894" s="2"/>
      <c r="AG894" s="2"/>
    </row>
    <row r="895" ht="14.25" customHeight="1">
      <c r="A895" s="2"/>
      <c r="B895" s="2"/>
      <c r="C895" s="2"/>
      <c r="D895" s="2"/>
      <c r="E895" s="2"/>
      <c r="F895" s="2"/>
      <c r="G895" s="2"/>
      <c r="H895" s="146"/>
      <c r="I895" s="146"/>
      <c r="J895" s="146"/>
      <c r="K895" s="146"/>
      <c r="L895" s="2"/>
      <c r="M895" s="2"/>
      <c r="N895" s="2"/>
      <c r="O895" s="2"/>
      <c r="P895" s="2"/>
      <c r="Q895" s="2"/>
      <c r="R895" s="2"/>
      <c r="S895" s="2"/>
      <c r="T895" s="2"/>
      <c r="U895" s="2"/>
      <c r="V895" s="2"/>
      <c r="W895" s="2"/>
      <c r="X895" s="2"/>
      <c r="Y895" s="2"/>
      <c r="Z895" s="2"/>
      <c r="AA895" s="2"/>
      <c r="AB895" s="2"/>
      <c r="AC895" s="2"/>
      <c r="AD895" s="2"/>
      <c r="AE895" s="2"/>
      <c r="AF895" s="2"/>
      <c r="AG895" s="2"/>
    </row>
    <row r="896" ht="14.25" customHeight="1">
      <c r="A896" s="2"/>
      <c r="B896" s="2"/>
      <c r="C896" s="2"/>
      <c r="D896" s="2"/>
      <c r="E896" s="2"/>
      <c r="F896" s="2"/>
      <c r="G896" s="2"/>
      <c r="H896" s="146"/>
      <c r="I896" s="146"/>
      <c r="J896" s="146"/>
      <c r="K896" s="146"/>
      <c r="L896" s="2"/>
      <c r="M896" s="2"/>
      <c r="N896" s="2"/>
      <c r="O896" s="2"/>
      <c r="P896" s="2"/>
      <c r="Q896" s="2"/>
      <c r="R896" s="2"/>
      <c r="S896" s="2"/>
      <c r="T896" s="2"/>
      <c r="U896" s="2"/>
      <c r="V896" s="2"/>
      <c r="W896" s="2"/>
      <c r="X896" s="2"/>
      <c r="Y896" s="2"/>
      <c r="Z896" s="2"/>
      <c r="AA896" s="2"/>
      <c r="AB896" s="2"/>
      <c r="AC896" s="2"/>
      <c r="AD896" s="2"/>
      <c r="AE896" s="2"/>
      <c r="AF896" s="2"/>
      <c r="AG896" s="2"/>
    </row>
    <row r="897" ht="14.25" customHeight="1">
      <c r="A897" s="2"/>
      <c r="B897" s="2"/>
      <c r="C897" s="2"/>
      <c r="D897" s="2"/>
      <c r="E897" s="2"/>
      <c r="F897" s="2"/>
      <c r="G897" s="2"/>
      <c r="H897" s="146"/>
      <c r="I897" s="146"/>
      <c r="J897" s="146"/>
      <c r="K897" s="146"/>
      <c r="L897" s="2"/>
      <c r="M897" s="2"/>
      <c r="N897" s="2"/>
      <c r="O897" s="2"/>
      <c r="P897" s="2"/>
      <c r="Q897" s="2"/>
      <c r="R897" s="2"/>
      <c r="S897" s="2"/>
      <c r="T897" s="2"/>
      <c r="U897" s="2"/>
      <c r="V897" s="2"/>
      <c r="W897" s="2"/>
      <c r="X897" s="2"/>
      <c r="Y897" s="2"/>
      <c r="Z897" s="2"/>
      <c r="AA897" s="2"/>
      <c r="AB897" s="2"/>
      <c r="AC897" s="2"/>
      <c r="AD897" s="2"/>
      <c r="AE897" s="2"/>
      <c r="AF897" s="2"/>
      <c r="AG897" s="2"/>
    </row>
    <row r="898" ht="14.25" customHeight="1">
      <c r="A898" s="2"/>
      <c r="B898" s="2"/>
      <c r="C898" s="2"/>
      <c r="D898" s="2"/>
      <c r="E898" s="2"/>
      <c r="F898" s="2"/>
      <c r="G898" s="2"/>
      <c r="H898" s="146"/>
      <c r="I898" s="146"/>
      <c r="J898" s="146"/>
      <c r="K898" s="146"/>
      <c r="L898" s="2"/>
      <c r="M898" s="2"/>
      <c r="N898" s="2"/>
      <c r="O898" s="2"/>
      <c r="P898" s="2"/>
      <c r="Q898" s="2"/>
      <c r="R898" s="2"/>
      <c r="S898" s="2"/>
      <c r="T898" s="2"/>
      <c r="U898" s="2"/>
      <c r="V898" s="2"/>
      <c r="W898" s="2"/>
      <c r="X898" s="2"/>
      <c r="Y898" s="2"/>
      <c r="Z898" s="2"/>
      <c r="AA898" s="2"/>
      <c r="AB898" s="2"/>
      <c r="AC898" s="2"/>
      <c r="AD898" s="2"/>
      <c r="AE898" s="2"/>
      <c r="AF898" s="2"/>
      <c r="AG898" s="2"/>
    </row>
    <row r="899" ht="14.25" customHeight="1">
      <c r="A899" s="2"/>
      <c r="B899" s="2"/>
      <c r="C899" s="2"/>
      <c r="D899" s="2"/>
      <c r="E899" s="2"/>
      <c r="F899" s="2"/>
      <c r="G899" s="2"/>
      <c r="H899" s="146"/>
      <c r="I899" s="146"/>
      <c r="J899" s="146"/>
      <c r="K899" s="146"/>
      <c r="L899" s="2"/>
      <c r="M899" s="2"/>
      <c r="N899" s="2"/>
      <c r="O899" s="2"/>
      <c r="P899" s="2"/>
      <c r="Q899" s="2"/>
      <c r="R899" s="2"/>
      <c r="S899" s="2"/>
      <c r="T899" s="2"/>
      <c r="U899" s="2"/>
      <c r="V899" s="2"/>
      <c r="W899" s="2"/>
      <c r="X899" s="2"/>
      <c r="Y899" s="2"/>
      <c r="Z899" s="2"/>
      <c r="AA899" s="2"/>
      <c r="AB899" s="2"/>
      <c r="AC899" s="2"/>
      <c r="AD899" s="2"/>
      <c r="AE899" s="2"/>
      <c r="AF899" s="2"/>
      <c r="AG899" s="2"/>
    </row>
    <row r="900" ht="14.25" customHeight="1">
      <c r="A900" s="2"/>
      <c r="B900" s="2"/>
      <c r="C900" s="2"/>
      <c r="D900" s="2"/>
      <c r="E900" s="2"/>
      <c r="F900" s="2"/>
      <c r="G900" s="2"/>
      <c r="H900" s="146"/>
      <c r="I900" s="146"/>
      <c r="J900" s="146"/>
      <c r="K900" s="146"/>
      <c r="L900" s="2"/>
      <c r="M900" s="2"/>
      <c r="N900" s="2"/>
      <c r="O900" s="2"/>
      <c r="P900" s="2"/>
      <c r="Q900" s="2"/>
      <c r="R900" s="2"/>
      <c r="S900" s="2"/>
      <c r="T900" s="2"/>
      <c r="U900" s="2"/>
      <c r="V900" s="2"/>
      <c r="W900" s="2"/>
      <c r="X900" s="2"/>
      <c r="Y900" s="2"/>
      <c r="Z900" s="2"/>
      <c r="AA900" s="2"/>
      <c r="AB900" s="2"/>
      <c r="AC900" s="2"/>
      <c r="AD900" s="2"/>
      <c r="AE900" s="2"/>
      <c r="AF900" s="2"/>
      <c r="AG900" s="2"/>
    </row>
    <row r="901" ht="14.25" customHeight="1">
      <c r="A901" s="2"/>
      <c r="B901" s="2"/>
      <c r="C901" s="2"/>
      <c r="D901" s="2"/>
      <c r="E901" s="2"/>
      <c r="F901" s="2"/>
      <c r="G901" s="2"/>
      <c r="H901" s="146"/>
      <c r="I901" s="146"/>
      <c r="J901" s="146"/>
      <c r="K901" s="146"/>
      <c r="L901" s="2"/>
      <c r="M901" s="2"/>
      <c r="N901" s="2"/>
      <c r="O901" s="2"/>
      <c r="P901" s="2"/>
      <c r="Q901" s="2"/>
      <c r="R901" s="2"/>
      <c r="S901" s="2"/>
      <c r="T901" s="2"/>
      <c r="U901" s="2"/>
      <c r="V901" s="2"/>
      <c r="W901" s="2"/>
      <c r="X901" s="2"/>
      <c r="Y901" s="2"/>
      <c r="Z901" s="2"/>
      <c r="AA901" s="2"/>
      <c r="AB901" s="2"/>
      <c r="AC901" s="2"/>
      <c r="AD901" s="2"/>
      <c r="AE901" s="2"/>
      <c r="AF901" s="2"/>
      <c r="AG901" s="2"/>
    </row>
    <row r="902" ht="14.25" customHeight="1">
      <c r="A902" s="2"/>
      <c r="B902" s="2"/>
      <c r="C902" s="2"/>
      <c r="D902" s="2"/>
      <c r="E902" s="2"/>
      <c r="F902" s="2"/>
      <c r="G902" s="2"/>
      <c r="H902" s="146"/>
      <c r="I902" s="146"/>
      <c r="J902" s="146"/>
      <c r="K902" s="146"/>
      <c r="L902" s="2"/>
      <c r="M902" s="2"/>
      <c r="N902" s="2"/>
      <c r="O902" s="2"/>
      <c r="P902" s="2"/>
      <c r="Q902" s="2"/>
      <c r="R902" s="2"/>
      <c r="S902" s="2"/>
      <c r="T902" s="2"/>
      <c r="U902" s="2"/>
      <c r="V902" s="2"/>
      <c r="W902" s="2"/>
      <c r="X902" s="2"/>
      <c r="Y902" s="2"/>
      <c r="Z902" s="2"/>
      <c r="AA902" s="2"/>
      <c r="AB902" s="2"/>
      <c r="AC902" s="2"/>
      <c r="AD902" s="2"/>
      <c r="AE902" s="2"/>
      <c r="AF902" s="2"/>
      <c r="AG902" s="2"/>
    </row>
    <row r="903" ht="14.25" customHeight="1">
      <c r="A903" s="2"/>
      <c r="B903" s="2"/>
      <c r="C903" s="2"/>
      <c r="D903" s="2"/>
      <c r="E903" s="2"/>
      <c r="F903" s="2"/>
      <c r="G903" s="2"/>
      <c r="H903" s="146"/>
      <c r="I903" s="146"/>
      <c r="J903" s="146"/>
      <c r="K903" s="146"/>
      <c r="L903" s="2"/>
      <c r="M903" s="2"/>
      <c r="N903" s="2"/>
      <c r="O903" s="2"/>
      <c r="P903" s="2"/>
      <c r="Q903" s="2"/>
      <c r="R903" s="2"/>
      <c r="S903" s="2"/>
      <c r="T903" s="2"/>
      <c r="U903" s="2"/>
      <c r="V903" s="2"/>
      <c r="W903" s="2"/>
      <c r="X903" s="2"/>
      <c r="Y903" s="2"/>
      <c r="Z903" s="2"/>
      <c r="AA903" s="2"/>
      <c r="AB903" s="2"/>
      <c r="AC903" s="2"/>
      <c r="AD903" s="2"/>
      <c r="AE903" s="2"/>
      <c r="AF903" s="2"/>
      <c r="AG903" s="2"/>
    </row>
    <row r="904" ht="14.25" customHeight="1">
      <c r="A904" s="2"/>
      <c r="B904" s="2"/>
      <c r="C904" s="2"/>
      <c r="D904" s="2"/>
      <c r="E904" s="2"/>
      <c r="F904" s="2"/>
      <c r="G904" s="2"/>
      <c r="H904" s="146"/>
      <c r="I904" s="146"/>
      <c r="J904" s="146"/>
      <c r="K904" s="146"/>
      <c r="L904" s="2"/>
      <c r="M904" s="2"/>
      <c r="N904" s="2"/>
      <c r="O904" s="2"/>
      <c r="P904" s="2"/>
      <c r="Q904" s="2"/>
      <c r="R904" s="2"/>
      <c r="S904" s="2"/>
      <c r="T904" s="2"/>
      <c r="U904" s="2"/>
      <c r="V904" s="2"/>
      <c r="W904" s="2"/>
      <c r="X904" s="2"/>
      <c r="Y904" s="2"/>
      <c r="Z904" s="2"/>
      <c r="AA904" s="2"/>
      <c r="AB904" s="2"/>
      <c r="AC904" s="2"/>
      <c r="AD904" s="2"/>
      <c r="AE904" s="2"/>
      <c r="AF904" s="2"/>
      <c r="AG904" s="2"/>
    </row>
    <row r="905" ht="14.25" customHeight="1">
      <c r="A905" s="2"/>
      <c r="B905" s="2"/>
      <c r="C905" s="2"/>
      <c r="D905" s="2"/>
      <c r="E905" s="2"/>
      <c r="F905" s="2"/>
      <c r="G905" s="2"/>
      <c r="H905" s="146"/>
      <c r="I905" s="146"/>
      <c r="J905" s="146"/>
      <c r="K905" s="146"/>
      <c r="L905" s="2"/>
      <c r="M905" s="2"/>
      <c r="N905" s="2"/>
      <c r="O905" s="2"/>
      <c r="P905" s="2"/>
      <c r="Q905" s="2"/>
      <c r="R905" s="2"/>
      <c r="S905" s="2"/>
      <c r="T905" s="2"/>
      <c r="U905" s="2"/>
      <c r="V905" s="2"/>
      <c r="W905" s="2"/>
      <c r="X905" s="2"/>
      <c r="Y905" s="2"/>
      <c r="Z905" s="2"/>
      <c r="AA905" s="2"/>
      <c r="AB905" s="2"/>
      <c r="AC905" s="2"/>
      <c r="AD905" s="2"/>
      <c r="AE905" s="2"/>
      <c r="AF905" s="2"/>
      <c r="AG905" s="2"/>
    </row>
    <row r="906" ht="14.25" customHeight="1">
      <c r="A906" s="2"/>
      <c r="B906" s="2"/>
      <c r="C906" s="2"/>
      <c r="D906" s="2"/>
      <c r="E906" s="2"/>
      <c r="F906" s="2"/>
      <c r="G906" s="2"/>
      <c r="H906" s="146"/>
      <c r="I906" s="146"/>
      <c r="J906" s="146"/>
      <c r="K906" s="146"/>
      <c r="L906" s="2"/>
      <c r="M906" s="2"/>
      <c r="N906" s="2"/>
      <c r="O906" s="2"/>
      <c r="P906" s="2"/>
      <c r="Q906" s="2"/>
      <c r="R906" s="2"/>
      <c r="S906" s="2"/>
      <c r="T906" s="2"/>
      <c r="U906" s="2"/>
      <c r="V906" s="2"/>
      <c r="W906" s="2"/>
      <c r="X906" s="2"/>
      <c r="Y906" s="2"/>
      <c r="Z906" s="2"/>
      <c r="AA906" s="2"/>
      <c r="AB906" s="2"/>
      <c r="AC906" s="2"/>
      <c r="AD906" s="2"/>
      <c r="AE906" s="2"/>
      <c r="AF906" s="2"/>
      <c r="AG906" s="2"/>
    </row>
    <row r="907" ht="14.25" customHeight="1">
      <c r="A907" s="2"/>
      <c r="B907" s="2"/>
      <c r="C907" s="2"/>
      <c r="D907" s="2"/>
      <c r="E907" s="2"/>
      <c r="F907" s="2"/>
      <c r="G907" s="2"/>
      <c r="H907" s="146"/>
      <c r="I907" s="146"/>
      <c r="J907" s="146"/>
      <c r="K907" s="146"/>
      <c r="L907" s="2"/>
      <c r="M907" s="2"/>
      <c r="N907" s="2"/>
      <c r="O907" s="2"/>
      <c r="P907" s="2"/>
      <c r="Q907" s="2"/>
      <c r="R907" s="2"/>
      <c r="S907" s="2"/>
      <c r="T907" s="2"/>
      <c r="U907" s="2"/>
      <c r="V907" s="2"/>
      <c r="W907" s="2"/>
      <c r="X907" s="2"/>
      <c r="Y907" s="2"/>
      <c r="Z907" s="2"/>
      <c r="AA907" s="2"/>
      <c r="AB907" s="2"/>
      <c r="AC907" s="2"/>
      <c r="AD907" s="2"/>
      <c r="AE907" s="2"/>
      <c r="AF907" s="2"/>
      <c r="AG907" s="2"/>
    </row>
    <row r="908" ht="14.25" customHeight="1">
      <c r="A908" s="2"/>
      <c r="B908" s="2"/>
      <c r="C908" s="2"/>
      <c r="D908" s="2"/>
      <c r="E908" s="2"/>
      <c r="F908" s="2"/>
      <c r="G908" s="2"/>
      <c r="H908" s="146"/>
      <c r="I908" s="146"/>
      <c r="J908" s="146"/>
      <c r="K908" s="146"/>
      <c r="L908" s="2"/>
      <c r="M908" s="2"/>
      <c r="N908" s="2"/>
      <c r="O908" s="2"/>
      <c r="P908" s="2"/>
      <c r="Q908" s="2"/>
      <c r="R908" s="2"/>
      <c r="S908" s="2"/>
      <c r="T908" s="2"/>
      <c r="U908" s="2"/>
      <c r="V908" s="2"/>
      <c r="W908" s="2"/>
      <c r="X908" s="2"/>
      <c r="Y908" s="2"/>
      <c r="Z908" s="2"/>
      <c r="AA908" s="2"/>
      <c r="AB908" s="2"/>
      <c r="AC908" s="2"/>
      <c r="AD908" s="2"/>
      <c r="AE908" s="2"/>
      <c r="AF908" s="2"/>
      <c r="AG908" s="2"/>
    </row>
    <row r="909" ht="14.25" customHeight="1">
      <c r="A909" s="2"/>
      <c r="B909" s="2"/>
      <c r="C909" s="2"/>
      <c r="D909" s="2"/>
      <c r="E909" s="2"/>
      <c r="F909" s="2"/>
      <c r="G909" s="2"/>
      <c r="H909" s="146"/>
      <c r="I909" s="146"/>
      <c r="J909" s="146"/>
      <c r="K909" s="146"/>
      <c r="L909" s="2"/>
      <c r="M909" s="2"/>
      <c r="N909" s="2"/>
      <c r="O909" s="2"/>
      <c r="P909" s="2"/>
      <c r="Q909" s="2"/>
      <c r="R909" s="2"/>
      <c r="S909" s="2"/>
      <c r="T909" s="2"/>
      <c r="U909" s="2"/>
      <c r="V909" s="2"/>
      <c r="W909" s="2"/>
      <c r="X909" s="2"/>
      <c r="Y909" s="2"/>
      <c r="Z909" s="2"/>
      <c r="AA909" s="2"/>
      <c r="AB909" s="2"/>
      <c r="AC909" s="2"/>
      <c r="AD909" s="2"/>
      <c r="AE909" s="2"/>
      <c r="AF909" s="2"/>
      <c r="AG909" s="2"/>
    </row>
    <row r="910" ht="14.25" customHeight="1">
      <c r="A910" s="2"/>
      <c r="B910" s="2"/>
      <c r="C910" s="2"/>
      <c r="D910" s="2"/>
      <c r="E910" s="2"/>
      <c r="F910" s="2"/>
      <c r="G910" s="2"/>
      <c r="H910" s="146"/>
      <c r="I910" s="146"/>
      <c r="J910" s="146"/>
      <c r="K910" s="146"/>
      <c r="L910" s="2"/>
      <c r="M910" s="2"/>
      <c r="N910" s="2"/>
      <c r="O910" s="2"/>
      <c r="P910" s="2"/>
      <c r="Q910" s="2"/>
      <c r="R910" s="2"/>
      <c r="S910" s="2"/>
      <c r="T910" s="2"/>
      <c r="U910" s="2"/>
      <c r="V910" s="2"/>
      <c r="W910" s="2"/>
      <c r="X910" s="2"/>
      <c r="Y910" s="2"/>
      <c r="Z910" s="2"/>
      <c r="AA910" s="2"/>
      <c r="AB910" s="2"/>
      <c r="AC910" s="2"/>
      <c r="AD910" s="2"/>
      <c r="AE910" s="2"/>
      <c r="AF910" s="2"/>
      <c r="AG910" s="2"/>
    </row>
    <row r="911" ht="14.25" customHeight="1">
      <c r="A911" s="2"/>
      <c r="B911" s="2"/>
      <c r="C911" s="2"/>
      <c r="D911" s="2"/>
      <c r="E911" s="2"/>
      <c r="F911" s="2"/>
      <c r="G911" s="2"/>
      <c r="H911" s="146"/>
      <c r="I911" s="146"/>
      <c r="J911" s="146"/>
      <c r="K911" s="146"/>
      <c r="L911" s="2"/>
      <c r="M911" s="2"/>
      <c r="N911" s="2"/>
      <c r="O911" s="2"/>
      <c r="P911" s="2"/>
      <c r="Q911" s="2"/>
      <c r="R911" s="2"/>
      <c r="S911" s="2"/>
      <c r="T911" s="2"/>
      <c r="U911" s="2"/>
      <c r="V911" s="2"/>
      <c r="W911" s="2"/>
      <c r="X911" s="2"/>
      <c r="Y911" s="2"/>
      <c r="Z911" s="2"/>
      <c r="AA911" s="2"/>
      <c r="AB911" s="2"/>
      <c r="AC911" s="2"/>
      <c r="AD911" s="2"/>
      <c r="AE911" s="2"/>
      <c r="AF911" s="2"/>
      <c r="AG911" s="2"/>
    </row>
    <row r="912" ht="14.25" customHeight="1">
      <c r="A912" s="2"/>
      <c r="B912" s="2"/>
      <c r="C912" s="2"/>
      <c r="D912" s="2"/>
      <c r="E912" s="2"/>
      <c r="F912" s="2"/>
      <c r="G912" s="2"/>
      <c r="H912" s="146"/>
      <c r="I912" s="146"/>
      <c r="J912" s="146"/>
      <c r="K912" s="146"/>
      <c r="L912" s="2"/>
      <c r="M912" s="2"/>
      <c r="N912" s="2"/>
      <c r="O912" s="2"/>
      <c r="P912" s="2"/>
      <c r="Q912" s="2"/>
      <c r="R912" s="2"/>
      <c r="S912" s="2"/>
      <c r="T912" s="2"/>
      <c r="U912" s="2"/>
      <c r="V912" s="2"/>
      <c r="W912" s="2"/>
      <c r="X912" s="2"/>
      <c r="Y912" s="2"/>
      <c r="Z912" s="2"/>
      <c r="AA912" s="2"/>
      <c r="AB912" s="2"/>
      <c r="AC912" s="2"/>
      <c r="AD912" s="2"/>
      <c r="AE912" s="2"/>
      <c r="AF912" s="2"/>
      <c r="AG912" s="2"/>
    </row>
    <row r="913" ht="14.25" customHeight="1">
      <c r="A913" s="2"/>
      <c r="B913" s="2"/>
      <c r="C913" s="2"/>
      <c r="D913" s="2"/>
      <c r="E913" s="2"/>
      <c r="F913" s="2"/>
      <c r="G913" s="2"/>
      <c r="H913" s="146"/>
      <c r="I913" s="146"/>
      <c r="J913" s="146"/>
      <c r="K913" s="146"/>
      <c r="L913" s="2"/>
      <c r="M913" s="2"/>
      <c r="N913" s="2"/>
      <c r="O913" s="2"/>
      <c r="P913" s="2"/>
      <c r="Q913" s="2"/>
      <c r="R913" s="2"/>
      <c r="S913" s="2"/>
      <c r="T913" s="2"/>
      <c r="U913" s="2"/>
      <c r="V913" s="2"/>
      <c r="W913" s="2"/>
      <c r="X913" s="2"/>
      <c r="Y913" s="2"/>
      <c r="Z913" s="2"/>
      <c r="AA913" s="2"/>
      <c r="AB913" s="2"/>
      <c r="AC913" s="2"/>
      <c r="AD913" s="2"/>
      <c r="AE913" s="2"/>
      <c r="AF913" s="2"/>
      <c r="AG913" s="2"/>
    </row>
    <row r="914" ht="14.25" customHeight="1">
      <c r="A914" s="2"/>
      <c r="B914" s="2"/>
      <c r="C914" s="2"/>
      <c r="D914" s="2"/>
      <c r="E914" s="2"/>
      <c r="F914" s="2"/>
      <c r="G914" s="2"/>
      <c r="H914" s="146"/>
      <c r="I914" s="146"/>
      <c r="J914" s="146"/>
      <c r="K914" s="146"/>
      <c r="L914" s="2"/>
      <c r="M914" s="2"/>
      <c r="N914" s="2"/>
      <c r="O914" s="2"/>
      <c r="P914" s="2"/>
      <c r="Q914" s="2"/>
      <c r="R914" s="2"/>
      <c r="S914" s="2"/>
      <c r="T914" s="2"/>
      <c r="U914" s="2"/>
      <c r="V914" s="2"/>
      <c r="W914" s="2"/>
      <c r="X914" s="2"/>
      <c r="Y914" s="2"/>
      <c r="Z914" s="2"/>
      <c r="AA914" s="2"/>
      <c r="AB914" s="2"/>
      <c r="AC914" s="2"/>
      <c r="AD914" s="2"/>
      <c r="AE914" s="2"/>
      <c r="AF914" s="2"/>
      <c r="AG914" s="2"/>
    </row>
    <row r="915" ht="14.25" customHeight="1">
      <c r="A915" s="2"/>
      <c r="B915" s="2"/>
      <c r="C915" s="2"/>
      <c r="D915" s="2"/>
      <c r="E915" s="2"/>
      <c r="F915" s="2"/>
      <c r="G915" s="2"/>
      <c r="H915" s="146"/>
      <c r="I915" s="146"/>
      <c r="J915" s="146"/>
      <c r="K915" s="146"/>
      <c r="L915" s="2"/>
      <c r="M915" s="2"/>
      <c r="N915" s="2"/>
      <c r="O915" s="2"/>
      <c r="P915" s="2"/>
      <c r="Q915" s="2"/>
      <c r="R915" s="2"/>
      <c r="S915" s="2"/>
      <c r="T915" s="2"/>
      <c r="U915" s="2"/>
      <c r="V915" s="2"/>
      <c r="W915" s="2"/>
      <c r="X915" s="2"/>
      <c r="Y915" s="2"/>
      <c r="Z915" s="2"/>
      <c r="AA915" s="2"/>
      <c r="AB915" s="2"/>
      <c r="AC915" s="2"/>
      <c r="AD915" s="2"/>
      <c r="AE915" s="2"/>
      <c r="AF915" s="2"/>
      <c r="AG915" s="2"/>
    </row>
    <row r="916" ht="14.25" customHeight="1">
      <c r="A916" s="2"/>
      <c r="B916" s="2"/>
      <c r="C916" s="2"/>
      <c r="D916" s="2"/>
      <c r="E916" s="2"/>
      <c r="F916" s="2"/>
      <c r="G916" s="2"/>
      <c r="H916" s="146"/>
      <c r="I916" s="146"/>
      <c r="J916" s="146"/>
      <c r="K916" s="146"/>
      <c r="L916" s="2"/>
      <c r="M916" s="2"/>
      <c r="N916" s="2"/>
      <c r="O916" s="2"/>
      <c r="P916" s="2"/>
      <c r="Q916" s="2"/>
      <c r="R916" s="2"/>
      <c r="S916" s="2"/>
      <c r="T916" s="2"/>
      <c r="U916" s="2"/>
      <c r="V916" s="2"/>
      <c r="W916" s="2"/>
      <c r="X916" s="2"/>
      <c r="Y916" s="2"/>
      <c r="Z916" s="2"/>
      <c r="AA916" s="2"/>
      <c r="AB916" s="2"/>
      <c r="AC916" s="2"/>
      <c r="AD916" s="2"/>
      <c r="AE916" s="2"/>
      <c r="AF916" s="2"/>
      <c r="AG916" s="2"/>
    </row>
    <row r="917" ht="14.25" customHeight="1">
      <c r="A917" s="2"/>
      <c r="B917" s="2"/>
      <c r="C917" s="2"/>
      <c r="D917" s="2"/>
      <c r="E917" s="2"/>
      <c r="F917" s="2"/>
      <c r="G917" s="2"/>
      <c r="H917" s="146"/>
      <c r="I917" s="146"/>
      <c r="J917" s="146"/>
      <c r="K917" s="146"/>
      <c r="L917" s="2"/>
      <c r="M917" s="2"/>
      <c r="N917" s="2"/>
      <c r="O917" s="2"/>
      <c r="P917" s="2"/>
      <c r="Q917" s="2"/>
      <c r="R917" s="2"/>
      <c r="S917" s="2"/>
      <c r="T917" s="2"/>
      <c r="U917" s="2"/>
      <c r="V917" s="2"/>
      <c r="W917" s="2"/>
      <c r="X917" s="2"/>
      <c r="Y917" s="2"/>
      <c r="Z917" s="2"/>
      <c r="AA917" s="2"/>
      <c r="AB917" s="2"/>
      <c r="AC917" s="2"/>
      <c r="AD917" s="2"/>
      <c r="AE917" s="2"/>
      <c r="AF917" s="2"/>
      <c r="AG917" s="2"/>
    </row>
    <row r="918" ht="14.25" customHeight="1">
      <c r="A918" s="2"/>
      <c r="B918" s="2"/>
      <c r="C918" s="2"/>
      <c r="D918" s="2"/>
      <c r="E918" s="2"/>
      <c r="F918" s="2"/>
      <c r="G918" s="2"/>
      <c r="H918" s="146"/>
      <c r="I918" s="146"/>
      <c r="J918" s="146"/>
      <c r="K918" s="146"/>
      <c r="L918" s="2"/>
      <c r="M918" s="2"/>
      <c r="N918" s="2"/>
      <c r="O918" s="2"/>
      <c r="P918" s="2"/>
      <c r="Q918" s="2"/>
      <c r="R918" s="2"/>
      <c r="S918" s="2"/>
      <c r="T918" s="2"/>
      <c r="U918" s="2"/>
      <c r="V918" s="2"/>
      <c r="W918" s="2"/>
      <c r="X918" s="2"/>
      <c r="Y918" s="2"/>
      <c r="Z918" s="2"/>
      <c r="AA918" s="2"/>
      <c r="AB918" s="2"/>
      <c r="AC918" s="2"/>
      <c r="AD918" s="2"/>
      <c r="AE918" s="2"/>
      <c r="AF918" s="2"/>
      <c r="AG918" s="2"/>
    </row>
    <row r="919" ht="14.25" customHeight="1">
      <c r="A919" s="2"/>
      <c r="B919" s="2"/>
      <c r="C919" s="2"/>
      <c r="D919" s="2"/>
      <c r="E919" s="2"/>
      <c r="F919" s="2"/>
      <c r="G919" s="2"/>
      <c r="H919" s="146"/>
      <c r="I919" s="146"/>
      <c r="J919" s="146"/>
      <c r="K919" s="146"/>
      <c r="L919" s="2"/>
      <c r="M919" s="2"/>
      <c r="N919" s="2"/>
      <c r="O919" s="2"/>
      <c r="P919" s="2"/>
      <c r="Q919" s="2"/>
      <c r="R919" s="2"/>
      <c r="S919" s="2"/>
      <c r="T919" s="2"/>
      <c r="U919" s="2"/>
      <c r="V919" s="2"/>
      <c r="W919" s="2"/>
      <c r="X919" s="2"/>
      <c r="Y919" s="2"/>
      <c r="Z919" s="2"/>
      <c r="AA919" s="2"/>
      <c r="AB919" s="2"/>
      <c r="AC919" s="2"/>
      <c r="AD919" s="2"/>
      <c r="AE919" s="2"/>
      <c r="AF919" s="2"/>
      <c r="AG919" s="2"/>
    </row>
    <row r="920" ht="14.25" customHeight="1">
      <c r="A920" s="2"/>
      <c r="B920" s="2"/>
      <c r="C920" s="2"/>
      <c r="D920" s="2"/>
      <c r="E920" s="2"/>
      <c r="F920" s="2"/>
      <c r="G920" s="2"/>
      <c r="H920" s="146"/>
      <c r="I920" s="146"/>
      <c r="J920" s="146"/>
      <c r="K920" s="146"/>
      <c r="L920" s="2"/>
      <c r="M920" s="2"/>
      <c r="N920" s="2"/>
      <c r="O920" s="2"/>
      <c r="P920" s="2"/>
      <c r="Q920" s="2"/>
      <c r="R920" s="2"/>
      <c r="S920" s="2"/>
      <c r="T920" s="2"/>
      <c r="U920" s="2"/>
      <c r="V920" s="2"/>
      <c r="W920" s="2"/>
      <c r="X920" s="2"/>
      <c r="Y920" s="2"/>
      <c r="Z920" s="2"/>
      <c r="AA920" s="2"/>
      <c r="AB920" s="2"/>
      <c r="AC920" s="2"/>
      <c r="AD920" s="2"/>
      <c r="AE920" s="2"/>
      <c r="AF920" s="2"/>
      <c r="AG920" s="2"/>
    </row>
    <row r="921" ht="14.25" customHeight="1">
      <c r="A921" s="2"/>
      <c r="B921" s="2"/>
      <c r="C921" s="2"/>
      <c r="D921" s="2"/>
      <c r="E921" s="2"/>
      <c r="F921" s="2"/>
      <c r="G921" s="2"/>
      <c r="H921" s="146"/>
      <c r="I921" s="146"/>
      <c r="J921" s="146"/>
      <c r="K921" s="146"/>
      <c r="L921" s="2"/>
      <c r="M921" s="2"/>
      <c r="N921" s="2"/>
      <c r="O921" s="2"/>
      <c r="P921" s="2"/>
      <c r="Q921" s="2"/>
      <c r="R921" s="2"/>
      <c r="S921" s="2"/>
      <c r="T921" s="2"/>
      <c r="U921" s="2"/>
      <c r="V921" s="2"/>
      <c r="W921" s="2"/>
      <c r="X921" s="2"/>
      <c r="Y921" s="2"/>
      <c r="Z921" s="2"/>
      <c r="AA921" s="2"/>
      <c r="AB921" s="2"/>
      <c r="AC921" s="2"/>
      <c r="AD921" s="2"/>
      <c r="AE921" s="2"/>
      <c r="AF921" s="2"/>
      <c r="AG921" s="2"/>
    </row>
    <row r="922" ht="14.25" customHeight="1">
      <c r="A922" s="2"/>
      <c r="B922" s="2"/>
      <c r="C922" s="2"/>
      <c r="D922" s="2"/>
      <c r="E922" s="2"/>
      <c r="F922" s="2"/>
      <c r="G922" s="2"/>
      <c r="H922" s="146"/>
      <c r="I922" s="146"/>
      <c r="J922" s="146"/>
      <c r="K922" s="146"/>
      <c r="L922" s="2"/>
      <c r="M922" s="2"/>
      <c r="N922" s="2"/>
      <c r="O922" s="2"/>
      <c r="P922" s="2"/>
      <c r="Q922" s="2"/>
      <c r="R922" s="2"/>
      <c r="S922" s="2"/>
      <c r="T922" s="2"/>
      <c r="U922" s="2"/>
      <c r="V922" s="2"/>
      <c r="W922" s="2"/>
      <c r="X922" s="2"/>
      <c r="Y922" s="2"/>
      <c r="Z922" s="2"/>
      <c r="AA922" s="2"/>
      <c r="AB922" s="2"/>
      <c r="AC922" s="2"/>
      <c r="AD922" s="2"/>
      <c r="AE922" s="2"/>
      <c r="AF922" s="2"/>
      <c r="AG922" s="2"/>
    </row>
    <row r="923" ht="14.25" customHeight="1">
      <c r="A923" s="2"/>
      <c r="B923" s="2"/>
      <c r="C923" s="2"/>
      <c r="D923" s="2"/>
      <c r="E923" s="2"/>
      <c r="F923" s="2"/>
      <c r="G923" s="2"/>
      <c r="H923" s="146"/>
      <c r="I923" s="146"/>
      <c r="J923" s="146"/>
      <c r="K923" s="146"/>
      <c r="L923" s="2"/>
      <c r="M923" s="2"/>
      <c r="N923" s="2"/>
      <c r="O923" s="2"/>
      <c r="P923" s="2"/>
      <c r="Q923" s="2"/>
      <c r="R923" s="2"/>
      <c r="S923" s="2"/>
      <c r="T923" s="2"/>
      <c r="U923" s="2"/>
      <c r="V923" s="2"/>
      <c r="W923" s="2"/>
      <c r="X923" s="2"/>
      <c r="Y923" s="2"/>
      <c r="Z923" s="2"/>
      <c r="AA923" s="2"/>
      <c r="AB923" s="2"/>
      <c r="AC923" s="2"/>
      <c r="AD923" s="2"/>
      <c r="AE923" s="2"/>
      <c r="AF923" s="2"/>
      <c r="AG923" s="2"/>
    </row>
    <row r="924" ht="14.25" customHeight="1">
      <c r="A924" s="2"/>
      <c r="B924" s="2"/>
      <c r="C924" s="2"/>
      <c r="D924" s="2"/>
      <c r="E924" s="2"/>
      <c r="F924" s="2"/>
      <c r="G924" s="2"/>
      <c r="H924" s="146"/>
      <c r="I924" s="146"/>
      <c r="J924" s="146"/>
      <c r="K924" s="146"/>
      <c r="L924" s="2"/>
      <c r="M924" s="2"/>
      <c r="N924" s="2"/>
      <c r="O924" s="2"/>
      <c r="P924" s="2"/>
      <c r="Q924" s="2"/>
      <c r="R924" s="2"/>
      <c r="S924" s="2"/>
      <c r="T924" s="2"/>
      <c r="U924" s="2"/>
      <c r="V924" s="2"/>
      <c r="W924" s="2"/>
      <c r="X924" s="2"/>
      <c r="Y924" s="2"/>
      <c r="Z924" s="2"/>
      <c r="AA924" s="2"/>
      <c r="AB924" s="2"/>
      <c r="AC924" s="2"/>
      <c r="AD924" s="2"/>
      <c r="AE924" s="2"/>
      <c r="AF924" s="2"/>
      <c r="AG924" s="2"/>
    </row>
    <row r="925" ht="14.25" customHeight="1">
      <c r="A925" s="2"/>
      <c r="B925" s="2"/>
      <c r="C925" s="2"/>
      <c r="D925" s="2"/>
      <c r="E925" s="2"/>
      <c r="F925" s="2"/>
      <c r="G925" s="2"/>
      <c r="H925" s="146"/>
      <c r="I925" s="146"/>
      <c r="J925" s="146"/>
      <c r="K925" s="146"/>
      <c r="L925" s="2"/>
      <c r="M925" s="2"/>
      <c r="N925" s="2"/>
      <c r="O925" s="2"/>
      <c r="P925" s="2"/>
      <c r="Q925" s="2"/>
      <c r="R925" s="2"/>
      <c r="S925" s="2"/>
      <c r="T925" s="2"/>
      <c r="U925" s="2"/>
      <c r="V925" s="2"/>
      <c r="W925" s="2"/>
      <c r="X925" s="2"/>
      <c r="Y925" s="2"/>
      <c r="Z925" s="2"/>
      <c r="AA925" s="2"/>
      <c r="AB925" s="2"/>
      <c r="AC925" s="2"/>
      <c r="AD925" s="2"/>
      <c r="AE925" s="2"/>
      <c r="AF925" s="2"/>
      <c r="AG925" s="2"/>
    </row>
    <row r="926" ht="14.25" customHeight="1">
      <c r="A926" s="2"/>
      <c r="B926" s="2"/>
      <c r="C926" s="2"/>
      <c r="D926" s="2"/>
      <c r="E926" s="2"/>
      <c r="F926" s="2"/>
      <c r="G926" s="2"/>
      <c r="H926" s="146"/>
      <c r="I926" s="146"/>
      <c r="J926" s="146"/>
      <c r="K926" s="146"/>
      <c r="L926" s="2"/>
      <c r="M926" s="2"/>
      <c r="N926" s="2"/>
      <c r="O926" s="2"/>
      <c r="P926" s="2"/>
      <c r="Q926" s="2"/>
      <c r="R926" s="2"/>
      <c r="S926" s="2"/>
      <c r="T926" s="2"/>
      <c r="U926" s="2"/>
      <c r="V926" s="2"/>
      <c r="W926" s="2"/>
      <c r="X926" s="2"/>
      <c r="Y926" s="2"/>
      <c r="Z926" s="2"/>
      <c r="AA926" s="2"/>
      <c r="AB926" s="2"/>
      <c r="AC926" s="2"/>
      <c r="AD926" s="2"/>
      <c r="AE926" s="2"/>
      <c r="AF926" s="2"/>
      <c r="AG926" s="2"/>
    </row>
    <row r="927" ht="14.25" customHeight="1">
      <c r="A927" s="2"/>
      <c r="B927" s="2"/>
      <c r="C927" s="2"/>
      <c r="D927" s="2"/>
      <c r="E927" s="2"/>
      <c r="F927" s="2"/>
      <c r="G927" s="2"/>
      <c r="H927" s="146"/>
      <c r="I927" s="146"/>
      <c r="J927" s="146"/>
      <c r="K927" s="146"/>
      <c r="L927" s="2"/>
      <c r="M927" s="2"/>
      <c r="N927" s="2"/>
      <c r="O927" s="2"/>
      <c r="P927" s="2"/>
      <c r="Q927" s="2"/>
      <c r="R927" s="2"/>
      <c r="S927" s="2"/>
      <c r="T927" s="2"/>
      <c r="U927" s="2"/>
      <c r="V927" s="2"/>
      <c r="W927" s="2"/>
      <c r="X927" s="2"/>
      <c r="Y927" s="2"/>
      <c r="Z927" s="2"/>
      <c r="AA927" s="2"/>
      <c r="AB927" s="2"/>
      <c r="AC927" s="2"/>
      <c r="AD927" s="2"/>
      <c r="AE927" s="2"/>
      <c r="AF927" s="2"/>
      <c r="AG927" s="2"/>
    </row>
    <row r="928" ht="14.25" customHeight="1">
      <c r="A928" s="2"/>
      <c r="B928" s="2"/>
      <c r="C928" s="2"/>
      <c r="D928" s="2"/>
      <c r="E928" s="2"/>
      <c r="F928" s="2"/>
      <c r="G928" s="2"/>
      <c r="H928" s="146"/>
      <c r="I928" s="146"/>
      <c r="J928" s="146"/>
      <c r="K928" s="146"/>
      <c r="L928" s="2"/>
      <c r="M928" s="2"/>
      <c r="N928" s="2"/>
      <c r="O928" s="2"/>
      <c r="P928" s="2"/>
      <c r="Q928" s="2"/>
      <c r="R928" s="2"/>
      <c r="S928" s="2"/>
      <c r="T928" s="2"/>
      <c r="U928" s="2"/>
      <c r="V928" s="2"/>
      <c r="W928" s="2"/>
      <c r="X928" s="2"/>
      <c r="Y928" s="2"/>
      <c r="Z928" s="2"/>
      <c r="AA928" s="2"/>
      <c r="AB928" s="2"/>
      <c r="AC928" s="2"/>
      <c r="AD928" s="2"/>
      <c r="AE928" s="2"/>
      <c r="AF928" s="2"/>
      <c r="AG928" s="2"/>
    </row>
    <row r="929" ht="14.25" customHeight="1">
      <c r="A929" s="2"/>
      <c r="B929" s="2"/>
      <c r="C929" s="2"/>
      <c r="D929" s="2"/>
      <c r="E929" s="2"/>
      <c r="F929" s="2"/>
      <c r="G929" s="2"/>
      <c r="H929" s="146"/>
      <c r="I929" s="146"/>
      <c r="J929" s="146"/>
      <c r="K929" s="146"/>
      <c r="L929" s="2"/>
      <c r="M929" s="2"/>
      <c r="N929" s="2"/>
      <c r="O929" s="2"/>
      <c r="P929" s="2"/>
      <c r="Q929" s="2"/>
      <c r="R929" s="2"/>
      <c r="S929" s="2"/>
      <c r="T929" s="2"/>
      <c r="U929" s="2"/>
      <c r="V929" s="2"/>
      <c r="W929" s="2"/>
      <c r="X929" s="2"/>
      <c r="Y929" s="2"/>
      <c r="Z929" s="2"/>
      <c r="AA929" s="2"/>
      <c r="AB929" s="2"/>
      <c r="AC929" s="2"/>
      <c r="AD929" s="2"/>
      <c r="AE929" s="2"/>
      <c r="AF929" s="2"/>
      <c r="AG929" s="2"/>
    </row>
    <row r="930" ht="14.25" customHeight="1">
      <c r="A930" s="2"/>
      <c r="B930" s="2"/>
      <c r="C930" s="2"/>
      <c r="D930" s="2"/>
      <c r="E930" s="2"/>
      <c r="F930" s="2"/>
      <c r="G930" s="2"/>
      <c r="H930" s="146"/>
      <c r="I930" s="146"/>
      <c r="J930" s="146"/>
      <c r="K930" s="146"/>
      <c r="L930" s="2"/>
      <c r="M930" s="2"/>
      <c r="N930" s="2"/>
      <c r="O930" s="2"/>
      <c r="P930" s="2"/>
      <c r="Q930" s="2"/>
      <c r="R930" s="2"/>
      <c r="S930" s="2"/>
      <c r="T930" s="2"/>
      <c r="U930" s="2"/>
      <c r="V930" s="2"/>
      <c r="W930" s="2"/>
      <c r="X930" s="2"/>
      <c r="Y930" s="2"/>
      <c r="Z930" s="2"/>
      <c r="AA930" s="2"/>
      <c r="AB930" s="2"/>
      <c r="AC930" s="2"/>
      <c r="AD930" s="2"/>
      <c r="AE930" s="2"/>
      <c r="AF930" s="2"/>
      <c r="AG930" s="2"/>
    </row>
    <row r="931" ht="14.25" customHeight="1">
      <c r="A931" s="2"/>
      <c r="B931" s="2"/>
      <c r="C931" s="2"/>
      <c r="D931" s="2"/>
      <c r="E931" s="2"/>
      <c r="F931" s="2"/>
      <c r="G931" s="2"/>
      <c r="H931" s="146"/>
      <c r="I931" s="146"/>
      <c r="J931" s="146"/>
      <c r="K931" s="146"/>
      <c r="L931" s="2"/>
      <c r="M931" s="2"/>
      <c r="N931" s="2"/>
      <c r="O931" s="2"/>
      <c r="P931" s="2"/>
      <c r="Q931" s="2"/>
      <c r="R931" s="2"/>
      <c r="S931" s="2"/>
      <c r="T931" s="2"/>
      <c r="U931" s="2"/>
      <c r="V931" s="2"/>
      <c r="W931" s="2"/>
      <c r="X931" s="2"/>
      <c r="Y931" s="2"/>
      <c r="Z931" s="2"/>
      <c r="AA931" s="2"/>
      <c r="AB931" s="2"/>
      <c r="AC931" s="2"/>
      <c r="AD931" s="2"/>
      <c r="AE931" s="2"/>
      <c r="AF931" s="2"/>
      <c r="AG931" s="2"/>
    </row>
    <row r="932" ht="14.25" customHeight="1">
      <c r="A932" s="2"/>
      <c r="B932" s="2"/>
      <c r="C932" s="2"/>
      <c r="D932" s="2"/>
      <c r="E932" s="2"/>
      <c r="F932" s="2"/>
      <c r="G932" s="2"/>
      <c r="H932" s="146"/>
      <c r="I932" s="146"/>
      <c r="J932" s="146"/>
      <c r="K932" s="146"/>
      <c r="L932" s="2"/>
      <c r="M932" s="2"/>
      <c r="N932" s="2"/>
      <c r="O932" s="2"/>
      <c r="P932" s="2"/>
      <c r="Q932" s="2"/>
      <c r="R932" s="2"/>
      <c r="S932" s="2"/>
      <c r="T932" s="2"/>
      <c r="U932" s="2"/>
      <c r="V932" s="2"/>
      <c r="W932" s="2"/>
      <c r="X932" s="2"/>
      <c r="Y932" s="2"/>
      <c r="Z932" s="2"/>
      <c r="AA932" s="2"/>
      <c r="AB932" s="2"/>
      <c r="AC932" s="2"/>
      <c r="AD932" s="2"/>
      <c r="AE932" s="2"/>
      <c r="AF932" s="2"/>
      <c r="AG932" s="2"/>
    </row>
    <row r="933" ht="14.25" customHeight="1">
      <c r="A933" s="2"/>
      <c r="B933" s="2"/>
      <c r="C933" s="2"/>
      <c r="D933" s="2"/>
      <c r="E933" s="2"/>
      <c r="F933" s="2"/>
      <c r="G933" s="2"/>
      <c r="H933" s="146"/>
      <c r="I933" s="146"/>
      <c r="J933" s="146"/>
      <c r="K933" s="146"/>
      <c r="L933" s="2"/>
      <c r="M933" s="2"/>
      <c r="N933" s="2"/>
      <c r="O933" s="2"/>
      <c r="P933" s="2"/>
      <c r="Q933" s="2"/>
      <c r="R933" s="2"/>
      <c r="S933" s="2"/>
      <c r="T933" s="2"/>
      <c r="U933" s="2"/>
      <c r="V933" s="2"/>
      <c r="W933" s="2"/>
      <c r="X933" s="2"/>
      <c r="Y933" s="2"/>
      <c r="Z933" s="2"/>
      <c r="AA933" s="2"/>
      <c r="AB933" s="2"/>
      <c r="AC933" s="2"/>
      <c r="AD933" s="2"/>
      <c r="AE933" s="2"/>
      <c r="AF933" s="2"/>
      <c r="AG933" s="2"/>
    </row>
    <row r="934" ht="14.25" customHeight="1">
      <c r="A934" s="2"/>
      <c r="B934" s="2"/>
      <c r="C934" s="2"/>
      <c r="D934" s="2"/>
      <c r="E934" s="2"/>
      <c r="F934" s="2"/>
      <c r="G934" s="2"/>
      <c r="H934" s="146"/>
      <c r="I934" s="146"/>
      <c r="J934" s="146"/>
      <c r="K934" s="146"/>
      <c r="L934" s="2"/>
      <c r="M934" s="2"/>
      <c r="N934" s="2"/>
      <c r="O934" s="2"/>
      <c r="P934" s="2"/>
      <c r="Q934" s="2"/>
      <c r="R934" s="2"/>
      <c r="S934" s="2"/>
      <c r="T934" s="2"/>
      <c r="U934" s="2"/>
      <c r="V934" s="2"/>
      <c r="W934" s="2"/>
      <c r="X934" s="2"/>
      <c r="Y934" s="2"/>
      <c r="Z934" s="2"/>
      <c r="AA934" s="2"/>
      <c r="AB934" s="2"/>
      <c r="AC934" s="2"/>
      <c r="AD934" s="2"/>
      <c r="AE934" s="2"/>
      <c r="AF934" s="2"/>
      <c r="AG934" s="2"/>
    </row>
    <row r="935" ht="14.25" customHeight="1">
      <c r="A935" s="2"/>
      <c r="B935" s="2"/>
      <c r="C935" s="2"/>
      <c r="D935" s="2"/>
      <c r="E935" s="2"/>
      <c r="F935" s="2"/>
      <c r="G935" s="2"/>
      <c r="H935" s="146"/>
      <c r="I935" s="146"/>
      <c r="J935" s="146"/>
      <c r="K935" s="146"/>
      <c r="L935" s="2"/>
      <c r="M935" s="2"/>
      <c r="N935" s="2"/>
      <c r="O935" s="2"/>
      <c r="P935" s="2"/>
      <c r="Q935" s="2"/>
      <c r="R935" s="2"/>
      <c r="S935" s="2"/>
      <c r="T935" s="2"/>
      <c r="U935" s="2"/>
      <c r="V935" s="2"/>
      <c r="W935" s="2"/>
      <c r="X935" s="2"/>
      <c r="Y935" s="2"/>
      <c r="Z935" s="2"/>
      <c r="AA935" s="2"/>
      <c r="AB935" s="2"/>
      <c r="AC935" s="2"/>
      <c r="AD935" s="2"/>
      <c r="AE935" s="2"/>
      <c r="AF935" s="2"/>
      <c r="AG935" s="2"/>
    </row>
    <row r="936" ht="14.25" customHeight="1">
      <c r="A936" s="2"/>
      <c r="B936" s="2"/>
      <c r="C936" s="2"/>
      <c r="D936" s="2"/>
      <c r="E936" s="2"/>
      <c r="F936" s="2"/>
      <c r="G936" s="2"/>
      <c r="H936" s="146"/>
      <c r="I936" s="146"/>
      <c r="J936" s="146"/>
      <c r="K936" s="146"/>
      <c r="L936" s="2"/>
      <c r="M936" s="2"/>
      <c r="N936" s="2"/>
      <c r="O936" s="2"/>
      <c r="P936" s="2"/>
      <c r="Q936" s="2"/>
      <c r="R936" s="2"/>
      <c r="S936" s="2"/>
      <c r="T936" s="2"/>
      <c r="U936" s="2"/>
      <c r="V936" s="2"/>
      <c r="W936" s="2"/>
      <c r="X936" s="2"/>
      <c r="Y936" s="2"/>
      <c r="Z936" s="2"/>
      <c r="AA936" s="2"/>
      <c r="AB936" s="2"/>
      <c r="AC936" s="2"/>
      <c r="AD936" s="2"/>
      <c r="AE936" s="2"/>
      <c r="AF936" s="2"/>
      <c r="AG936" s="2"/>
    </row>
    <row r="937" ht="14.25" customHeight="1">
      <c r="A937" s="2"/>
      <c r="B937" s="2"/>
      <c r="C937" s="2"/>
      <c r="D937" s="2"/>
      <c r="E937" s="2"/>
      <c r="F937" s="2"/>
      <c r="G937" s="2"/>
      <c r="H937" s="146"/>
      <c r="I937" s="146"/>
      <c r="J937" s="146"/>
      <c r="K937" s="146"/>
      <c r="L937" s="2"/>
      <c r="M937" s="2"/>
      <c r="N937" s="2"/>
      <c r="O937" s="2"/>
      <c r="P937" s="2"/>
      <c r="Q937" s="2"/>
      <c r="R937" s="2"/>
      <c r="S937" s="2"/>
      <c r="T937" s="2"/>
      <c r="U937" s="2"/>
      <c r="V937" s="2"/>
      <c r="W937" s="2"/>
      <c r="X937" s="2"/>
      <c r="Y937" s="2"/>
      <c r="Z937" s="2"/>
      <c r="AA937" s="2"/>
      <c r="AB937" s="2"/>
      <c r="AC937" s="2"/>
      <c r="AD937" s="2"/>
      <c r="AE937" s="2"/>
      <c r="AF937" s="2"/>
      <c r="AG937" s="2"/>
    </row>
    <row r="938" ht="14.25" customHeight="1">
      <c r="A938" s="2"/>
      <c r="B938" s="2"/>
      <c r="C938" s="2"/>
      <c r="D938" s="2"/>
      <c r="E938" s="2"/>
      <c r="F938" s="2"/>
      <c r="G938" s="2"/>
      <c r="H938" s="146"/>
      <c r="I938" s="146"/>
      <c r="J938" s="146"/>
      <c r="K938" s="146"/>
      <c r="L938" s="2"/>
      <c r="M938" s="2"/>
      <c r="N938" s="2"/>
      <c r="O938" s="2"/>
      <c r="P938" s="2"/>
      <c r="Q938" s="2"/>
      <c r="R938" s="2"/>
      <c r="S938" s="2"/>
      <c r="T938" s="2"/>
      <c r="U938" s="2"/>
      <c r="V938" s="2"/>
      <c r="W938" s="2"/>
      <c r="X938" s="2"/>
      <c r="Y938" s="2"/>
      <c r="Z938" s="2"/>
      <c r="AA938" s="2"/>
      <c r="AB938" s="2"/>
      <c r="AC938" s="2"/>
      <c r="AD938" s="2"/>
      <c r="AE938" s="2"/>
      <c r="AF938" s="2"/>
      <c r="AG938" s="2"/>
    </row>
    <row r="939" ht="14.25" customHeight="1">
      <c r="A939" s="2"/>
      <c r="B939" s="2"/>
      <c r="C939" s="2"/>
      <c r="D939" s="2"/>
      <c r="E939" s="2"/>
      <c r="F939" s="2"/>
      <c r="G939" s="2"/>
      <c r="H939" s="146"/>
      <c r="I939" s="146"/>
      <c r="J939" s="146"/>
      <c r="K939" s="146"/>
      <c r="L939" s="2"/>
      <c r="M939" s="2"/>
      <c r="N939" s="2"/>
      <c r="O939" s="2"/>
      <c r="P939" s="2"/>
      <c r="Q939" s="2"/>
      <c r="R939" s="2"/>
      <c r="S939" s="2"/>
      <c r="T939" s="2"/>
      <c r="U939" s="2"/>
      <c r="V939" s="2"/>
      <c r="W939" s="2"/>
      <c r="X939" s="2"/>
      <c r="Y939" s="2"/>
      <c r="Z939" s="2"/>
      <c r="AA939" s="2"/>
      <c r="AB939" s="2"/>
      <c r="AC939" s="2"/>
      <c r="AD939" s="2"/>
      <c r="AE939" s="2"/>
      <c r="AF939" s="2"/>
      <c r="AG939" s="2"/>
    </row>
    <row r="940" ht="14.25" customHeight="1">
      <c r="A940" s="2"/>
      <c r="B940" s="2"/>
      <c r="C940" s="2"/>
      <c r="D940" s="2"/>
      <c r="E940" s="2"/>
      <c r="F940" s="2"/>
      <c r="G940" s="2"/>
      <c r="H940" s="146"/>
      <c r="I940" s="146"/>
      <c r="J940" s="146"/>
      <c r="K940" s="146"/>
      <c r="L940" s="2"/>
      <c r="M940" s="2"/>
      <c r="N940" s="2"/>
      <c r="O940" s="2"/>
      <c r="P940" s="2"/>
      <c r="Q940" s="2"/>
      <c r="R940" s="2"/>
      <c r="S940" s="2"/>
      <c r="T940" s="2"/>
      <c r="U940" s="2"/>
      <c r="V940" s="2"/>
      <c r="W940" s="2"/>
      <c r="X940" s="2"/>
      <c r="Y940" s="2"/>
      <c r="Z940" s="2"/>
      <c r="AA940" s="2"/>
      <c r="AB940" s="2"/>
      <c r="AC940" s="2"/>
      <c r="AD940" s="2"/>
      <c r="AE940" s="2"/>
      <c r="AF940" s="2"/>
      <c r="AG940" s="2"/>
    </row>
    <row r="941" ht="14.25" customHeight="1">
      <c r="A941" s="2"/>
      <c r="B941" s="2"/>
      <c r="C941" s="2"/>
      <c r="D941" s="2"/>
      <c r="E941" s="2"/>
      <c r="F941" s="2"/>
      <c r="G941" s="2"/>
      <c r="H941" s="146"/>
      <c r="I941" s="146"/>
      <c r="J941" s="146"/>
      <c r="K941" s="146"/>
      <c r="L941" s="2"/>
      <c r="M941" s="2"/>
      <c r="N941" s="2"/>
      <c r="O941" s="2"/>
      <c r="P941" s="2"/>
      <c r="Q941" s="2"/>
      <c r="R941" s="2"/>
      <c r="S941" s="2"/>
      <c r="T941" s="2"/>
      <c r="U941" s="2"/>
      <c r="V941" s="2"/>
      <c r="W941" s="2"/>
      <c r="X941" s="2"/>
      <c r="Y941" s="2"/>
      <c r="Z941" s="2"/>
      <c r="AA941" s="2"/>
      <c r="AB941" s="2"/>
      <c r="AC941" s="2"/>
      <c r="AD941" s="2"/>
      <c r="AE941" s="2"/>
      <c r="AF941" s="2"/>
      <c r="AG941" s="2"/>
    </row>
    <row r="942" ht="14.25" customHeight="1">
      <c r="A942" s="2"/>
      <c r="B942" s="2"/>
      <c r="C942" s="2"/>
      <c r="D942" s="2"/>
      <c r="E942" s="2"/>
      <c r="F942" s="2"/>
      <c r="G942" s="2"/>
      <c r="H942" s="146"/>
      <c r="I942" s="146"/>
      <c r="J942" s="146"/>
      <c r="K942" s="146"/>
      <c r="L942" s="2"/>
      <c r="M942" s="2"/>
      <c r="N942" s="2"/>
      <c r="O942" s="2"/>
      <c r="P942" s="2"/>
      <c r="Q942" s="2"/>
      <c r="R942" s="2"/>
      <c r="S942" s="2"/>
      <c r="T942" s="2"/>
      <c r="U942" s="2"/>
      <c r="V942" s="2"/>
      <c r="W942" s="2"/>
      <c r="X942" s="2"/>
      <c r="Y942" s="2"/>
      <c r="Z942" s="2"/>
      <c r="AA942" s="2"/>
      <c r="AB942" s="2"/>
      <c r="AC942" s="2"/>
      <c r="AD942" s="2"/>
      <c r="AE942" s="2"/>
      <c r="AF942" s="2"/>
      <c r="AG942" s="2"/>
    </row>
    <row r="943" ht="14.25" customHeight="1">
      <c r="A943" s="2"/>
      <c r="B943" s="2"/>
      <c r="C943" s="2"/>
      <c r="D943" s="2"/>
      <c r="E943" s="2"/>
      <c r="F943" s="2"/>
      <c r="G943" s="2"/>
      <c r="H943" s="146"/>
      <c r="I943" s="146"/>
      <c r="J943" s="146"/>
      <c r="K943" s="146"/>
      <c r="L943" s="2"/>
      <c r="M943" s="2"/>
      <c r="N943" s="2"/>
      <c r="O943" s="2"/>
      <c r="P943" s="2"/>
      <c r="Q943" s="2"/>
      <c r="R943" s="2"/>
      <c r="S943" s="2"/>
      <c r="T943" s="2"/>
      <c r="U943" s="2"/>
      <c r="V943" s="2"/>
      <c r="W943" s="2"/>
      <c r="X943" s="2"/>
      <c r="Y943" s="2"/>
      <c r="Z943" s="2"/>
      <c r="AA943" s="2"/>
      <c r="AB943" s="2"/>
      <c r="AC943" s="2"/>
      <c r="AD943" s="2"/>
      <c r="AE943" s="2"/>
      <c r="AF943" s="2"/>
      <c r="AG943" s="2"/>
    </row>
    <row r="944" ht="14.25" customHeight="1">
      <c r="A944" s="2"/>
      <c r="B944" s="2"/>
      <c r="C944" s="2"/>
      <c r="D944" s="2"/>
      <c r="E944" s="2"/>
      <c r="F944" s="2"/>
      <c r="G944" s="2"/>
      <c r="H944" s="146"/>
      <c r="I944" s="146"/>
      <c r="J944" s="146"/>
      <c r="K944" s="146"/>
      <c r="L944" s="2"/>
      <c r="M944" s="2"/>
      <c r="N944" s="2"/>
      <c r="O944" s="2"/>
      <c r="P944" s="2"/>
      <c r="Q944" s="2"/>
      <c r="R944" s="2"/>
      <c r="S944" s="2"/>
      <c r="T944" s="2"/>
      <c r="U944" s="2"/>
      <c r="V944" s="2"/>
      <c r="W944" s="2"/>
      <c r="X944" s="2"/>
      <c r="Y944" s="2"/>
      <c r="Z944" s="2"/>
      <c r="AA944" s="2"/>
      <c r="AB944" s="2"/>
      <c r="AC944" s="2"/>
      <c r="AD944" s="2"/>
      <c r="AE944" s="2"/>
      <c r="AF944" s="2"/>
      <c r="AG944" s="2"/>
    </row>
    <row r="945" ht="14.25" customHeight="1">
      <c r="A945" s="2"/>
      <c r="B945" s="2"/>
      <c r="C945" s="2"/>
      <c r="D945" s="2"/>
      <c r="E945" s="2"/>
      <c r="F945" s="2"/>
      <c r="G945" s="2"/>
      <c r="H945" s="146"/>
      <c r="I945" s="146"/>
      <c r="J945" s="146"/>
      <c r="K945" s="146"/>
      <c r="L945" s="2"/>
      <c r="M945" s="2"/>
      <c r="N945" s="2"/>
      <c r="O945" s="2"/>
      <c r="P945" s="2"/>
      <c r="Q945" s="2"/>
      <c r="R945" s="2"/>
      <c r="S945" s="2"/>
      <c r="T945" s="2"/>
      <c r="U945" s="2"/>
      <c r="V945" s="2"/>
      <c r="W945" s="2"/>
      <c r="X945" s="2"/>
      <c r="Y945" s="2"/>
      <c r="Z945" s="2"/>
      <c r="AA945" s="2"/>
      <c r="AB945" s="2"/>
      <c r="AC945" s="2"/>
      <c r="AD945" s="2"/>
      <c r="AE945" s="2"/>
      <c r="AF945" s="2"/>
      <c r="AG945" s="2"/>
    </row>
    <row r="946" ht="14.25" customHeight="1">
      <c r="A946" s="2"/>
      <c r="B946" s="2"/>
      <c r="C946" s="2"/>
      <c r="D946" s="2"/>
      <c r="E946" s="2"/>
      <c r="F946" s="2"/>
      <c r="G946" s="2"/>
      <c r="H946" s="146"/>
      <c r="I946" s="146"/>
      <c r="J946" s="146"/>
      <c r="K946" s="146"/>
      <c r="L946" s="2"/>
      <c r="M946" s="2"/>
      <c r="N946" s="2"/>
      <c r="O946" s="2"/>
      <c r="P946" s="2"/>
      <c r="Q946" s="2"/>
      <c r="R946" s="2"/>
      <c r="S946" s="2"/>
      <c r="T946" s="2"/>
      <c r="U946" s="2"/>
      <c r="V946" s="2"/>
      <c r="W946" s="2"/>
      <c r="X946" s="2"/>
      <c r="Y946" s="2"/>
      <c r="Z946" s="2"/>
      <c r="AA946" s="2"/>
      <c r="AB946" s="2"/>
      <c r="AC946" s="2"/>
      <c r="AD946" s="2"/>
      <c r="AE946" s="2"/>
      <c r="AF946" s="2"/>
      <c r="AG946" s="2"/>
    </row>
    <row r="947" ht="14.25" customHeight="1">
      <c r="A947" s="2"/>
      <c r="B947" s="2"/>
      <c r="C947" s="2"/>
      <c r="D947" s="2"/>
      <c r="E947" s="2"/>
      <c r="F947" s="2"/>
      <c r="G947" s="2"/>
      <c r="H947" s="146"/>
      <c r="I947" s="146"/>
      <c r="J947" s="146"/>
      <c r="K947" s="146"/>
      <c r="L947" s="2"/>
      <c r="M947" s="2"/>
      <c r="N947" s="2"/>
      <c r="O947" s="2"/>
      <c r="P947" s="2"/>
      <c r="Q947" s="2"/>
      <c r="R947" s="2"/>
      <c r="S947" s="2"/>
      <c r="T947" s="2"/>
      <c r="U947" s="2"/>
      <c r="V947" s="2"/>
      <c r="W947" s="2"/>
      <c r="X947" s="2"/>
      <c r="Y947" s="2"/>
      <c r="Z947" s="2"/>
      <c r="AA947" s="2"/>
      <c r="AB947" s="2"/>
      <c r="AC947" s="2"/>
      <c r="AD947" s="2"/>
      <c r="AE947" s="2"/>
      <c r="AF947" s="2"/>
      <c r="AG947" s="2"/>
    </row>
    <row r="948" ht="14.25" customHeight="1">
      <c r="A948" s="2"/>
      <c r="B948" s="2"/>
      <c r="C948" s="2"/>
      <c r="D948" s="2"/>
      <c r="E948" s="2"/>
      <c r="F948" s="2"/>
      <c r="G948" s="2"/>
      <c r="H948" s="146"/>
      <c r="I948" s="146"/>
      <c r="J948" s="146"/>
      <c r="K948" s="146"/>
      <c r="L948" s="2"/>
      <c r="M948" s="2"/>
      <c r="N948" s="2"/>
      <c r="O948" s="2"/>
      <c r="P948" s="2"/>
      <c r="Q948" s="2"/>
      <c r="R948" s="2"/>
      <c r="S948" s="2"/>
      <c r="T948" s="2"/>
      <c r="U948" s="2"/>
      <c r="V948" s="2"/>
      <c r="W948" s="2"/>
      <c r="X948" s="2"/>
      <c r="Y948" s="2"/>
      <c r="Z948" s="2"/>
      <c r="AA948" s="2"/>
      <c r="AB948" s="2"/>
      <c r="AC948" s="2"/>
      <c r="AD948" s="2"/>
      <c r="AE948" s="2"/>
      <c r="AF948" s="2"/>
      <c r="AG948" s="2"/>
    </row>
    <row r="949" ht="14.25" customHeight="1">
      <c r="A949" s="2"/>
      <c r="B949" s="2"/>
      <c r="C949" s="2"/>
      <c r="D949" s="2"/>
      <c r="E949" s="2"/>
      <c r="F949" s="2"/>
      <c r="G949" s="2"/>
      <c r="H949" s="146"/>
      <c r="I949" s="146"/>
      <c r="J949" s="146"/>
      <c r="K949" s="146"/>
      <c r="L949" s="2"/>
      <c r="M949" s="2"/>
      <c r="N949" s="2"/>
      <c r="O949" s="2"/>
      <c r="P949" s="2"/>
      <c r="Q949" s="2"/>
      <c r="R949" s="2"/>
      <c r="S949" s="2"/>
      <c r="T949" s="2"/>
      <c r="U949" s="2"/>
      <c r="V949" s="2"/>
      <c r="W949" s="2"/>
      <c r="X949" s="2"/>
      <c r="Y949" s="2"/>
      <c r="Z949" s="2"/>
      <c r="AA949" s="2"/>
      <c r="AB949" s="2"/>
      <c r="AC949" s="2"/>
      <c r="AD949" s="2"/>
      <c r="AE949" s="2"/>
      <c r="AF949" s="2"/>
      <c r="AG949" s="2"/>
    </row>
    <row r="950" ht="14.25" customHeight="1">
      <c r="A950" s="2"/>
      <c r="B950" s="2"/>
      <c r="C950" s="2"/>
      <c r="D950" s="2"/>
      <c r="E950" s="2"/>
      <c r="F950" s="2"/>
      <c r="G950" s="2"/>
      <c r="H950" s="146"/>
      <c r="I950" s="146"/>
      <c r="J950" s="146"/>
      <c r="K950" s="146"/>
      <c r="L950" s="2"/>
      <c r="M950" s="2"/>
      <c r="N950" s="2"/>
      <c r="O950" s="2"/>
      <c r="P950" s="2"/>
      <c r="Q950" s="2"/>
      <c r="R950" s="2"/>
      <c r="S950" s="2"/>
      <c r="T950" s="2"/>
      <c r="U950" s="2"/>
      <c r="V950" s="2"/>
      <c r="W950" s="2"/>
      <c r="X950" s="2"/>
      <c r="Y950" s="2"/>
      <c r="Z950" s="2"/>
      <c r="AA950" s="2"/>
      <c r="AB950" s="2"/>
      <c r="AC950" s="2"/>
      <c r="AD950" s="2"/>
      <c r="AE950" s="2"/>
      <c r="AF950" s="2"/>
      <c r="AG950" s="2"/>
    </row>
    <row r="951" ht="14.25" customHeight="1">
      <c r="A951" s="2"/>
      <c r="B951" s="2"/>
      <c r="C951" s="2"/>
      <c r="D951" s="2"/>
      <c r="E951" s="2"/>
      <c r="F951" s="2"/>
      <c r="G951" s="2"/>
      <c r="H951" s="146"/>
      <c r="I951" s="146"/>
      <c r="J951" s="146"/>
      <c r="K951" s="146"/>
      <c r="L951" s="2"/>
      <c r="M951" s="2"/>
      <c r="N951" s="2"/>
      <c r="O951" s="2"/>
      <c r="P951" s="2"/>
      <c r="Q951" s="2"/>
      <c r="R951" s="2"/>
      <c r="S951" s="2"/>
      <c r="T951" s="2"/>
      <c r="U951" s="2"/>
      <c r="V951" s="2"/>
      <c r="W951" s="2"/>
      <c r="X951" s="2"/>
      <c r="Y951" s="2"/>
      <c r="Z951" s="2"/>
      <c r="AA951" s="2"/>
      <c r="AB951" s="2"/>
      <c r="AC951" s="2"/>
      <c r="AD951" s="2"/>
      <c r="AE951" s="2"/>
      <c r="AF951" s="2"/>
      <c r="AG951" s="2"/>
    </row>
    <row r="952" ht="14.25" customHeight="1">
      <c r="A952" s="2"/>
      <c r="B952" s="2"/>
      <c r="C952" s="2"/>
      <c r="D952" s="2"/>
      <c r="E952" s="2"/>
      <c r="F952" s="2"/>
      <c r="G952" s="2"/>
      <c r="H952" s="146"/>
      <c r="I952" s="146"/>
      <c r="J952" s="146"/>
      <c r="K952" s="146"/>
      <c r="L952" s="2"/>
      <c r="M952" s="2"/>
      <c r="N952" s="2"/>
      <c r="O952" s="2"/>
      <c r="P952" s="2"/>
      <c r="Q952" s="2"/>
      <c r="R952" s="2"/>
      <c r="S952" s="2"/>
      <c r="T952" s="2"/>
      <c r="U952" s="2"/>
      <c r="V952" s="2"/>
      <c r="W952" s="2"/>
      <c r="X952" s="2"/>
      <c r="Y952" s="2"/>
      <c r="Z952" s="2"/>
      <c r="AA952" s="2"/>
      <c r="AB952" s="2"/>
      <c r="AC952" s="2"/>
      <c r="AD952" s="2"/>
      <c r="AE952" s="2"/>
      <c r="AF952" s="2"/>
      <c r="AG952" s="2"/>
    </row>
    <row r="953" ht="14.25" customHeight="1">
      <c r="A953" s="2"/>
      <c r="B953" s="2"/>
      <c r="C953" s="2"/>
      <c r="D953" s="2"/>
      <c r="E953" s="2"/>
      <c r="F953" s="2"/>
      <c r="G953" s="2"/>
      <c r="H953" s="146"/>
      <c r="I953" s="146"/>
      <c r="J953" s="146"/>
      <c r="K953" s="146"/>
      <c r="L953" s="2"/>
      <c r="M953" s="2"/>
      <c r="N953" s="2"/>
      <c r="O953" s="2"/>
      <c r="P953" s="2"/>
      <c r="Q953" s="2"/>
      <c r="R953" s="2"/>
      <c r="S953" s="2"/>
      <c r="T953" s="2"/>
      <c r="U953" s="2"/>
      <c r="V953" s="2"/>
      <c r="W953" s="2"/>
      <c r="X953" s="2"/>
      <c r="Y953" s="2"/>
      <c r="Z953" s="2"/>
      <c r="AA953" s="2"/>
      <c r="AB953" s="2"/>
      <c r="AC953" s="2"/>
      <c r="AD953" s="2"/>
      <c r="AE953" s="2"/>
      <c r="AF953" s="2"/>
      <c r="AG953" s="2"/>
    </row>
    <row r="954" ht="14.25" customHeight="1">
      <c r="A954" s="2"/>
      <c r="B954" s="2"/>
      <c r="C954" s="2"/>
      <c r="D954" s="2"/>
      <c r="E954" s="2"/>
      <c r="F954" s="2"/>
      <c r="G954" s="2"/>
      <c r="H954" s="146"/>
      <c r="I954" s="146"/>
      <c r="J954" s="146"/>
      <c r="K954" s="146"/>
      <c r="L954" s="2"/>
      <c r="M954" s="2"/>
      <c r="N954" s="2"/>
      <c r="O954" s="2"/>
      <c r="P954" s="2"/>
      <c r="Q954" s="2"/>
      <c r="R954" s="2"/>
      <c r="S954" s="2"/>
      <c r="T954" s="2"/>
      <c r="U954" s="2"/>
      <c r="V954" s="2"/>
      <c r="W954" s="2"/>
      <c r="X954" s="2"/>
      <c r="Y954" s="2"/>
      <c r="Z954" s="2"/>
      <c r="AA954" s="2"/>
      <c r="AB954" s="2"/>
      <c r="AC954" s="2"/>
      <c r="AD954" s="2"/>
      <c r="AE954" s="2"/>
      <c r="AF954" s="2"/>
      <c r="AG954" s="2"/>
    </row>
    <row r="955" ht="14.25" customHeight="1">
      <c r="A955" s="2"/>
      <c r="B955" s="2"/>
      <c r="C955" s="2"/>
      <c r="D955" s="2"/>
      <c r="E955" s="2"/>
      <c r="F955" s="2"/>
      <c r="G955" s="2"/>
      <c r="H955" s="146"/>
      <c r="I955" s="146"/>
      <c r="J955" s="146"/>
      <c r="K955" s="146"/>
      <c r="L955" s="2"/>
      <c r="M955" s="2"/>
      <c r="N955" s="2"/>
      <c r="O955" s="2"/>
      <c r="P955" s="2"/>
      <c r="Q955" s="2"/>
      <c r="R955" s="2"/>
      <c r="S955" s="2"/>
      <c r="T955" s="2"/>
      <c r="U955" s="2"/>
      <c r="V955" s="2"/>
      <c r="W955" s="2"/>
      <c r="X955" s="2"/>
      <c r="Y955" s="2"/>
      <c r="Z955" s="2"/>
      <c r="AA955" s="2"/>
      <c r="AB955" s="2"/>
      <c r="AC955" s="2"/>
      <c r="AD955" s="2"/>
      <c r="AE955" s="2"/>
      <c r="AF955" s="2"/>
      <c r="AG955" s="2"/>
    </row>
    <row r="956" ht="14.25" customHeight="1">
      <c r="A956" s="2"/>
      <c r="B956" s="2"/>
      <c r="C956" s="2"/>
      <c r="D956" s="2"/>
      <c r="E956" s="2"/>
      <c r="F956" s="2"/>
      <c r="G956" s="2"/>
      <c r="H956" s="146"/>
      <c r="I956" s="146"/>
      <c r="J956" s="146"/>
      <c r="K956" s="146"/>
      <c r="L956" s="2"/>
      <c r="M956" s="2"/>
      <c r="N956" s="2"/>
      <c r="O956" s="2"/>
      <c r="P956" s="2"/>
      <c r="Q956" s="2"/>
      <c r="R956" s="2"/>
      <c r="S956" s="2"/>
      <c r="T956" s="2"/>
      <c r="U956" s="2"/>
      <c r="V956" s="2"/>
      <c r="W956" s="2"/>
      <c r="X956" s="2"/>
      <c r="Y956" s="2"/>
      <c r="Z956" s="2"/>
      <c r="AA956" s="2"/>
      <c r="AB956" s="2"/>
      <c r="AC956" s="2"/>
      <c r="AD956" s="2"/>
      <c r="AE956" s="2"/>
      <c r="AF956" s="2"/>
      <c r="AG956" s="2"/>
    </row>
    <row r="957" ht="14.25" customHeight="1">
      <c r="A957" s="2"/>
      <c r="B957" s="2"/>
      <c r="C957" s="2"/>
      <c r="D957" s="2"/>
      <c r="E957" s="2"/>
      <c r="F957" s="2"/>
      <c r="G957" s="2"/>
      <c r="H957" s="146"/>
      <c r="I957" s="146"/>
      <c r="J957" s="146"/>
      <c r="K957" s="146"/>
      <c r="L957" s="2"/>
      <c r="M957" s="2"/>
      <c r="N957" s="2"/>
      <c r="O957" s="2"/>
      <c r="P957" s="2"/>
      <c r="Q957" s="2"/>
      <c r="R957" s="2"/>
      <c r="S957" s="2"/>
      <c r="T957" s="2"/>
      <c r="U957" s="2"/>
      <c r="V957" s="2"/>
      <c r="W957" s="2"/>
      <c r="X957" s="2"/>
      <c r="Y957" s="2"/>
      <c r="Z957" s="2"/>
      <c r="AA957" s="2"/>
      <c r="AB957" s="2"/>
      <c r="AC957" s="2"/>
      <c r="AD957" s="2"/>
      <c r="AE957" s="2"/>
      <c r="AF957" s="2"/>
      <c r="AG957" s="2"/>
    </row>
    <row r="958" ht="14.25" customHeight="1">
      <c r="A958" s="2"/>
      <c r="B958" s="2"/>
      <c r="C958" s="2"/>
      <c r="D958" s="2"/>
      <c r="E958" s="2"/>
      <c r="F958" s="2"/>
      <c r="G958" s="2"/>
      <c r="H958" s="146"/>
      <c r="I958" s="146"/>
      <c r="J958" s="146"/>
      <c r="K958" s="146"/>
      <c r="L958" s="2"/>
      <c r="M958" s="2"/>
      <c r="N958" s="2"/>
      <c r="O958" s="2"/>
      <c r="P958" s="2"/>
      <c r="Q958" s="2"/>
      <c r="R958" s="2"/>
      <c r="S958" s="2"/>
      <c r="T958" s="2"/>
      <c r="U958" s="2"/>
      <c r="V958" s="2"/>
      <c r="W958" s="2"/>
      <c r="X958" s="2"/>
      <c r="Y958" s="2"/>
      <c r="Z958" s="2"/>
      <c r="AA958" s="2"/>
      <c r="AB958" s="2"/>
      <c r="AC958" s="2"/>
      <c r="AD958" s="2"/>
      <c r="AE958" s="2"/>
      <c r="AF958" s="2"/>
      <c r="AG958" s="2"/>
    </row>
    <row r="959" ht="14.25" customHeight="1">
      <c r="A959" s="2"/>
      <c r="B959" s="2"/>
      <c r="C959" s="2"/>
      <c r="D959" s="2"/>
      <c r="E959" s="2"/>
      <c r="F959" s="2"/>
      <c r="G959" s="2"/>
      <c r="H959" s="146"/>
      <c r="I959" s="146"/>
      <c r="J959" s="146"/>
      <c r="K959" s="146"/>
      <c r="L959" s="2"/>
      <c r="M959" s="2"/>
      <c r="N959" s="2"/>
      <c r="O959" s="2"/>
      <c r="P959" s="2"/>
      <c r="Q959" s="2"/>
      <c r="R959" s="2"/>
      <c r="S959" s="2"/>
      <c r="T959" s="2"/>
      <c r="U959" s="2"/>
      <c r="V959" s="2"/>
      <c r="W959" s="2"/>
      <c r="X959" s="2"/>
      <c r="Y959" s="2"/>
      <c r="Z959" s="2"/>
      <c r="AA959" s="2"/>
      <c r="AB959" s="2"/>
      <c r="AC959" s="2"/>
      <c r="AD959" s="2"/>
      <c r="AE959" s="2"/>
      <c r="AF959" s="2"/>
      <c r="AG959" s="2"/>
    </row>
    <row r="960" ht="14.25" customHeight="1">
      <c r="A960" s="2"/>
      <c r="B960" s="2"/>
      <c r="C960" s="2"/>
      <c r="D960" s="2"/>
      <c r="E960" s="2"/>
      <c r="F960" s="2"/>
      <c r="G960" s="2"/>
      <c r="H960" s="146"/>
      <c r="I960" s="146"/>
      <c r="J960" s="146"/>
      <c r="K960" s="146"/>
      <c r="L960" s="2"/>
      <c r="M960" s="2"/>
      <c r="N960" s="2"/>
      <c r="O960" s="2"/>
      <c r="P960" s="2"/>
      <c r="Q960" s="2"/>
      <c r="R960" s="2"/>
      <c r="S960" s="2"/>
      <c r="T960" s="2"/>
      <c r="U960" s="2"/>
      <c r="V960" s="2"/>
      <c r="W960" s="2"/>
      <c r="X960" s="2"/>
      <c r="Y960" s="2"/>
      <c r="Z960" s="2"/>
      <c r="AA960" s="2"/>
      <c r="AB960" s="2"/>
      <c r="AC960" s="2"/>
      <c r="AD960" s="2"/>
      <c r="AE960" s="2"/>
      <c r="AF960" s="2"/>
      <c r="AG960" s="2"/>
    </row>
    <row r="961" ht="14.25" customHeight="1">
      <c r="A961" s="2"/>
      <c r="B961" s="2"/>
      <c r="C961" s="2"/>
      <c r="D961" s="2"/>
      <c r="E961" s="2"/>
      <c r="F961" s="2"/>
      <c r="G961" s="2"/>
      <c r="H961" s="146"/>
      <c r="I961" s="146"/>
      <c r="J961" s="146"/>
      <c r="K961" s="146"/>
      <c r="L961" s="2"/>
      <c r="M961" s="2"/>
      <c r="N961" s="2"/>
      <c r="O961" s="2"/>
      <c r="P961" s="2"/>
      <c r="Q961" s="2"/>
      <c r="R961" s="2"/>
      <c r="S961" s="2"/>
      <c r="T961" s="2"/>
      <c r="U961" s="2"/>
      <c r="V961" s="2"/>
      <c r="W961" s="2"/>
      <c r="X961" s="2"/>
      <c r="Y961" s="2"/>
      <c r="Z961" s="2"/>
      <c r="AA961" s="2"/>
      <c r="AB961" s="2"/>
      <c r="AC961" s="2"/>
      <c r="AD961" s="2"/>
      <c r="AE961" s="2"/>
      <c r="AF961" s="2"/>
      <c r="AG961" s="2"/>
    </row>
    <row r="962" ht="14.25" customHeight="1">
      <c r="A962" s="2"/>
      <c r="B962" s="2"/>
      <c r="C962" s="2"/>
      <c r="D962" s="2"/>
      <c r="E962" s="2"/>
      <c r="F962" s="2"/>
      <c r="G962" s="2"/>
      <c r="H962" s="146"/>
      <c r="I962" s="146"/>
      <c r="J962" s="146"/>
      <c r="K962" s="146"/>
      <c r="L962" s="2"/>
      <c r="M962" s="2"/>
      <c r="N962" s="2"/>
      <c r="O962" s="2"/>
      <c r="P962" s="2"/>
      <c r="Q962" s="2"/>
      <c r="R962" s="2"/>
      <c r="S962" s="2"/>
      <c r="T962" s="2"/>
      <c r="U962" s="2"/>
      <c r="V962" s="2"/>
      <c r="W962" s="2"/>
      <c r="X962" s="2"/>
      <c r="Y962" s="2"/>
      <c r="Z962" s="2"/>
      <c r="AA962" s="2"/>
      <c r="AB962" s="2"/>
      <c r="AC962" s="2"/>
      <c r="AD962" s="2"/>
      <c r="AE962" s="2"/>
      <c r="AF962" s="2"/>
      <c r="AG962" s="2"/>
    </row>
    <row r="963" ht="14.25" customHeight="1">
      <c r="A963" s="2"/>
      <c r="B963" s="2"/>
      <c r="C963" s="2"/>
      <c r="D963" s="2"/>
      <c r="E963" s="2"/>
      <c r="F963" s="2"/>
      <c r="G963" s="2"/>
      <c r="H963" s="146"/>
      <c r="I963" s="146"/>
      <c r="J963" s="146"/>
      <c r="K963" s="146"/>
      <c r="L963" s="2"/>
      <c r="M963" s="2"/>
      <c r="N963" s="2"/>
      <c r="O963" s="2"/>
      <c r="P963" s="2"/>
      <c r="Q963" s="2"/>
      <c r="R963" s="2"/>
      <c r="S963" s="2"/>
      <c r="T963" s="2"/>
      <c r="U963" s="2"/>
      <c r="V963" s="2"/>
      <c r="W963" s="2"/>
      <c r="X963" s="2"/>
      <c r="Y963" s="2"/>
      <c r="Z963" s="2"/>
      <c r="AA963" s="2"/>
      <c r="AB963" s="2"/>
      <c r="AC963" s="2"/>
      <c r="AD963" s="2"/>
      <c r="AE963" s="2"/>
      <c r="AF963" s="2"/>
      <c r="AG963" s="2"/>
    </row>
    <row r="964" ht="14.25" customHeight="1">
      <c r="A964" s="2"/>
      <c r="B964" s="2"/>
      <c r="C964" s="2"/>
      <c r="D964" s="2"/>
      <c r="E964" s="2"/>
      <c r="F964" s="2"/>
      <c r="G964" s="2"/>
      <c r="H964" s="146"/>
      <c r="I964" s="146"/>
      <c r="J964" s="146"/>
      <c r="K964" s="146"/>
      <c r="L964" s="2"/>
      <c r="M964" s="2"/>
      <c r="N964" s="2"/>
      <c r="O964" s="2"/>
      <c r="P964" s="2"/>
      <c r="Q964" s="2"/>
      <c r="R964" s="2"/>
      <c r="S964" s="2"/>
      <c r="T964" s="2"/>
      <c r="U964" s="2"/>
      <c r="V964" s="2"/>
      <c r="W964" s="2"/>
      <c r="X964" s="2"/>
      <c r="Y964" s="2"/>
      <c r="Z964" s="2"/>
      <c r="AA964" s="2"/>
      <c r="AB964" s="2"/>
      <c r="AC964" s="2"/>
      <c r="AD964" s="2"/>
      <c r="AE964" s="2"/>
      <c r="AF964" s="2"/>
      <c r="AG964" s="2"/>
    </row>
    <row r="965" ht="14.25" customHeight="1">
      <c r="A965" s="2"/>
      <c r="B965" s="2"/>
      <c r="C965" s="2"/>
      <c r="D965" s="2"/>
      <c r="E965" s="2"/>
      <c r="F965" s="2"/>
      <c r="G965" s="2"/>
      <c r="H965" s="146"/>
      <c r="I965" s="146"/>
      <c r="J965" s="146"/>
      <c r="K965" s="146"/>
      <c r="L965" s="2"/>
      <c r="M965" s="2"/>
      <c r="N965" s="2"/>
      <c r="O965" s="2"/>
      <c r="P965" s="2"/>
      <c r="Q965" s="2"/>
      <c r="R965" s="2"/>
      <c r="S965" s="2"/>
      <c r="T965" s="2"/>
      <c r="U965" s="2"/>
      <c r="V965" s="2"/>
      <c r="W965" s="2"/>
      <c r="X965" s="2"/>
      <c r="Y965" s="2"/>
      <c r="Z965" s="2"/>
      <c r="AA965" s="2"/>
      <c r="AB965" s="2"/>
      <c r="AC965" s="2"/>
      <c r="AD965" s="2"/>
      <c r="AE965" s="2"/>
      <c r="AF965" s="2"/>
      <c r="AG965" s="2"/>
    </row>
    <row r="966" ht="14.25" customHeight="1">
      <c r="A966" s="2"/>
      <c r="B966" s="2"/>
      <c r="C966" s="2"/>
      <c r="D966" s="2"/>
      <c r="E966" s="2"/>
      <c r="F966" s="2"/>
      <c r="G966" s="2"/>
      <c r="H966" s="146"/>
      <c r="I966" s="146"/>
      <c r="J966" s="146"/>
      <c r="K966" s="146"/>
      <c r="L966" s="2"/>
      <c r="M966" s="2"/>
      <c r="N966" s="2"/>
      <c r="O966" s="2"/>
      <c r="P966" s="2"/>
      <c r="Q966" s="2"/>
      <c r="R966" s="2"/>
      <c r="S966" s="2"/>
      <c r="T966" s="2"/>
      <c r="U966" s="2"/>
      <c r="V966" s="2"/>
      <c r="W966" s="2"/>
      <c r="X966" s="2"/>
      <c r="Y966" s="2"/>
      <c r="Z966" s="2"/>
      <c r="AA966" s="2"/>
      <c r="AB966" s="2"/>
      <c r="AC966" s="2"/>
      <c r="AD966" s="2"/>
      <c r="AE966" s="2"/>
      <c r="AF966" s="2"/>
      <c r="AG966" s="2"/>
    </row>
    <row r="967" ht="14.25" customHeight="1">
      <c r="A967" s="2"/>
      <c r="B967" s="2"/>
      <c r="C967" s="2"/>
      <c r="D967" s="2"/>
      <c r="E967" s="2"/>
      <c r="F967" s="2"/>
      <c r="G967" s="2"/>
      <c r="H967" s="146"/>
      <c r="I967" s="146"/>
      <c r="J967" s="146"/>
      <c r="K967" s="146"/>
      <c r="L967" s="2"/>
      <c r="M967" s="2"/>
      <c r="N967" s="2"/>
      <c r="O967" s="2"/>
      <c r="P967" s="2"/>
      <c r="Q967" s="2"/>
      <c r="R967" s="2"/>
      <c r="S967" s="2"/>
      <c r="T967" s="2"/>
      <c r="U967" s="2"/>
      <c r="V967" s="2"/>
      <c r="W967" s="2"/>
      <c r="X967" s="2"/>
      <c r="Y967" s="2"/>
      <c r="Z967" s="2"/>
      <c r="AA967" s="2"/>
      <c r="AB967" s="2"/>
      <c r="AC967" s="2"/>
      <c r="AD967" s="2"/>
      <c r="AE967" s="2"/>
      <c r="AF967" s="2"/>
      <c r="AG967" s="2"/>
    </row>
    <row r="968" ht="14.25" customHeight="1">
      <c r="A968" s="2"/>
      <c r="B968" s="2"/>
      <c r="C968" s="2"/>
      <c r="D968" s="2"/>
      <c r="E968" s="2"/>
      <c r="F968" s="2"/>
      <c r="G968" s="2"/>
      <c r="H968" s="146"/>
      <c r="I968" s="146"/>
      <c r="J968" s="146"/>
      <c r="K968" s="146"/>
      <c r="L968" s="2"/>
      <c r="M968" s="2"/>
      <c r="N968" s="2"/>
      <c r="O968" s="2"/>
      <c r="P968" s="2"/>
      <c r="Q968" s="2"/>
      <c r="R968" s="2"/>
      <c r="S968" s="2"/>
      <c r="T968" s="2"/>
      <c r="U968" s="2"/>
      <c r="V968" s="2"/>
      <c r="W968" s="2"/>
      <c r="X968" s="2"/>
      <c r="Y968" s="2"/>
      <c r="Z968" s="2"/>
      <c r="AA968" s="2"/>
      <c r="AB968" s="2"/>
      <c r="AC968" s="2"/>
      <c r="AD968" s="2"/>
      <c r="AE968" s="2"/>
      <c r="AF968" s="2"/>
      <c r="AG968" s="2"/>
    </row>
    <row r="969" ht="14.25" customHeight="1">
      <c r="A969" s="2"/>
      <c r="B969" s="2"/>
      <c r="C969" s="2"/>
      <c r="D969" s="2"/>
      <c r="E969" s="2"/>
      <c r="F969" s="2"/>
      <c r="G969" s="2"/>
      <c r="H969" s="146"/>
      <c r="I969" s="146"/>
      <c r="J969" s="146"/>
      <c r="K969" s="146"/>
      <c r="L969" s="2"/>
      <c r="M969" s="2"/>
      <c r="N969" s="2"/>
      <c r="O969" s="2"/>
      <c r="P969" s="2"/>
      <c r="Q969" s="2"/>
      <c r="R969" s="2"/>
      <c r="S969" s="2"/>
      <c r="T969" s="2"/>
      <c r="U969" s="2"/>
      <c r="V969" s="2"/>
      <c r="W969" s="2"/>
      <c r="X969" s="2"/>
      <c r="Y969" s="2"/>
      <c r="Z969" s="2"/>
      <c r="AA969" s="2"/>
      <c r="AB969" s="2"/>
      <c r="AC969" s="2"/>
      <c r="AD969" s="2"/>
      <c r="AE969" s="2"/>
      <c r="AF969" s="2"/>
      <c r="AG969" s="2"/>
    </row>
    <row r="970" ht="14.25" customHeight="1">
      <c r="A970" s="2"/>
      <c r="B970" s="2"/>
      <c r="C970" s="2"/>
      <c r="D970" s="2"/>
      <c r="E970" s="2"/>
      <c r="F970" s="2"/>
      <c r="G970" s="2"/>
      <c r="H970" s="146"/>
      <c r="I970" s="146"/>
      <c r="J970" s="146"/>
      <c r="K970" s="146"/>
      <c r="L970" s="2"/>
      <c r="M970" s="2"/>
      <c r="N970" s="2"/>
      <c r="O970" s="2"/>
      <c r="P970" s="2"/>
      <c r="Q970" s="2"/>
      <c r="R970" s="2"/>
      <c r="S970" s="2"/>
      <c r="T970" s="2"/>
      <c r="U970" s="2"/>
      <c r="V970" s="2"/>
      <c r="W970" s="2"/>
      <c r="X970" s="2"/>
      <c r="Y970" s="2"/>
      <c r="Z970" s="2"/>
      <c r="AA970" s="2"/>
      <c r="AB970" s="2"/>
      <c r="AC970" s="2"/>
      <c r="AD970" s="2"/>
      <c r="AE970" s="2"/>
      <c r="AF970" s="2"/>
      <c r="AG970" s="2"/>
    </row>
    <row r="971" ht="14.25" customHeight="1">
      <c r="A971" s="2"/>
      <c r="B971" s="2"/>
      <c r="C971" s="2"/>
      <c r="D971" s="2"/>
      <c r="E971" s="2"/>
      <c r="F971" s="2"/>
      <c r="G971" s="2"/>
      <c r="H971" s="146"/>
      <c r="I971" s="146"/>
      <c r="J971" s="146"/>
      <c r="K971" s="146"/>
      <c r="L971" s="2"/>
      <c r="M971" s="2"/>
      <c r="N971" s="2"/>
      <c r="O971" s="2"/>
      <c r="P971" s="2"/>
      <c r="Q971" s="2"/>
      <c r="R971" s="2"/>
      <c r="S971" s="2"/>
      <c r="T971" s="2"/>
      <c r="U971" s="2"/>
      <c r="V971" s="2"/>
      <c r="W971" s="2"/>
      <c r="X971" s="2"/>
      <c r="Y971" s="2"/>
      <c r="Z971" s="2"/>
      <c r="AA971" s="2"/>
      <c r="AB971" s="2"/>
      <c r="AC971" s="2"/>
      <c r="AD971" s="2"/>
      <c r="AE971" s="2"/>
      <c r="AF971" s="2"/>
      <c r="AG971" s="2"/>
    </row>
    <row r="972" ht="14.25" customHeight="1">
      <c r="A972" s="2"/>
      <c r="B972" s="2"/>
      <c r="C972" s="2"/>
      <c r="D972" s="2"/>
      <c r="E972" s="2"/>
      <c r="F972" s="2"/>
      <c r="G972" s="2"/>
      <c r="H972" s="146"/>
      <c r="I972" s="146"/>
      <c r="J972" s="146"/>
      <c r="K972" s="146"/>
      <c r="L972" s="2"/>
      <c r="M972" s="2"/>
      <c r="N972" s="2"/>
      <c r="O972" s="2"/>
      <c r="P972" s="2"/>
      <c r="Q972" s="2"/>
      <c r="R972" s="2"/>
      <c r="S972" s="2"/>
      <c r="T972" s="2"/>
      <c r="U972" s="2"/>
      <c r="V972" s="2"/>
      <c r="W972" s="2"/>
      <c r="X972" s="2"/>
      <c r="Y972" s="2"/>
      <c r="Z972" s="2"/>
      <c r="AA972" s="2"/>
      <c r="AB972" s="2"/>
      <c r="AC972" s="2"/>
      <c r="AD972" s="2"/>
      <c r="AE972" s="2"/>
      <c r="AF972" s="2"/>
      <c r="AG972" s="2"/>
    </row>
    <row r="973" ht="14.25" customHeight="1">
      <c r="A973" s="2"/>
      <c r="B973" s="2"/>
      <c r="C973" s="2"/>
      <c r="D973" s="2"/>
      <c r="E973" s="2"/>
      <c r="F973" s="2"/>
      <c r="G973" s="2"/>
      <c r="H973" s="146"/>
      <c r="I973" s="146"/>
      <c r="J973" s="146"/>
      <c r="K973" s="146"/>
      <c r="L973" s="2"/>
      <c r="M973" s="2"/>
      <c r="N973" s="2"/>
      <c r="O973" s="2"/>
      <c r="P973" s="2"/>
      <c r="Q973" s="2"/>
      <c r="R973" s="2"/>
      <c r="S973" s="2"/>
      <c r="T973" s="2"/>
      <c r="U973" s="2"/>
      <c r="V973" s="2"/>
      <c r="W973" s="2"/>
      <c r="X973" s="2"/>
      <c r="Y973" s="2"/>
      <c r="Z973" s="2"/>
      <c r="AA973" s="2"/>
      <c r="AB973" s="2"/>
      <c r="AC973" s="2"/>
      <c r="AD973" s="2"/>
      <c r="AE973" s="2"/>
      <c r="AF973" s="2"/>
      <c r="AG973" s="2"/>
    </row>
    <row r="974" ht="14.25" customHeight="1">
      <c r="A974" s="2"/>
      <c r="B974" s="2"/>
      <c r="C974" s="2"/>
      <c r="D974" s="2"/>
      <c r="E974" s="2"/>
      <c r="F974" s="2"/>
      <c r="G974" s="2"/>
      <c r="H974" s="146"/>
      <c r="I974" s="146"/>
      <c r="J974" s="146"/>
      <c r="K974" s="146"/>
      <c r="L974" s="2"/>
      <c r="M974" s="2"/>
      <c r="N974" s="2"/>
      <c r="O974" s="2"/>
      <c r="P974" s="2"/>
      <c r="Q974" s="2"/>
      <c r="R974" s="2"/>
      <c r="S974" s="2"/>
      <c r="T974" s="2"/>
      <c r="U974" s="2"/>
      <c r="V974" s="2"/>
      <c r="W974" s="2"/>
      <c r="X974" s="2"/>
      <c r="Y974" s="2"/>
      <c r="Z974" s="2"/>
      <c r="AA974" s="2"/>
      <c r="AB974" s="2"/>
      <c r="AC974" s="2"/>
      <c r="AD974" s="2"/>
      <c r="AE974" s="2"/>
      <c r="AF974" s="2"/>
      <c r="AG974" s="2"/>
    </row>
    <row r="975" ht="14.25" customHeight="1">
      <c r="A975" s="2"/>
      <c r="B975" s="2"/>
      <c r="C975" s="2"/>
      <c r="D975" s="2"/>
      <c r="E975" s="2"/>
      <c r="F975" s="2"/>
      <c r="G975" s="2"/>
      <c r="H975" s="146"/>
      <c r="I975" s="146"/>
      <c r="J975" s="146"/>
      <c r="K975" s="146"/>
      <c r="L975" s="2"/>
      <c r="M975" s="2"/>
      <c r="N975" s="2"/>
      <c r="O975" s="2"/>
      <c r="P975" s="2"/>
      <c r="Q975" s="2"/>
      <c r="R975" s="2"/>
      <c r="S975" s="2"/>
      <c r="T975" s="2"/>
      <c r="U975" s="2"/>
      <c r="V975" s="2"/>
      <c r="W975" s="2"/>
      <c r="X975" s="2"/>
      <c r="Y975" s="2"/>
      <c r="Z975" s="2"/>
      <c r="AA975" s="2"/>
      <c r="AB975" s="2"/>
      <c r="AC975" s="2"/>
      <c r="AD975" s="2"/>
      <c r="AE975" s="2"/>
      <c r="AF975" s="2"/>
      <c r="AG975" s="2"/>
    </row>
    <row r="976" ht="14.25" customHeight="1">
      <c r="A976" s="2"/>
      <c r="B976" s="2"/>
      <c r="C976" s="2"/>
      <c r="D976" s="2"/>
      <c r="E976" s="2"/>
      <c r="F976" s="2"/>
      <c r="G976" s="2"/>
      <c r="H976" s="146"/>
      <c r="I976" s="146"/>
      <c r="J976" s="146"/>
      <c r="K976" s="146"/>
      <c r="L976" s="2"/>
      <c r="M976" s="2"/>
      <c r="N976" s="2"/>
      <c r="O976" s="2"/>
      <c r="P976" s="2"/>
      <c r="Q976" s="2"/>
      <c r="R976" s="2"/>
      <c r="S976" s="2"/>
      <c r="T976" s="2"/>
      <c r="U976" s="2"/>
      <c r="V976" s="2"/>
      <c r="W976" s="2"/>
      <c r="X976" s="2"/>
      <c r="Y976" s="2"/>
      <c r="Z976" s="2"/>
      <c r="AA976" s="2"/>
      <c r="AB976" s="2"/>
      <c r="AC976" s="2"/>
      <c r="AD976" s="2"/>
      <c r="AE976" s="2"/>
      <c r="AF976" s="2"/>
      <c r="AG976" s="2"/>
    </row>
    <row r="977" ht="14.25" customHeight="1">
      <c r="A977" s="2"/>
      <c r="B977" s="2"/>
      <c r="C977" s="2"/>
      <c r="D977" s="2"/>
      <c r="E977" s="2"/>
      <c r="F977" s="2"/>
      <c r="G977" s="2"/>
      <c r="H977" s="146"/>
      <c r="I977" s="146"/>
      <c r="J977" s="146"/>
      <c r="K977" s="146"/>
      <c r="L977" s="2"/>
      <c r="M977" s="2"/>
      <c r="N977" s="2"/>
      <c r="O977" s="2"/>
      <c r="P977" s="2"/>
      <c r="Q977" s="2"/>
      <c r="R977" s="2"/>
      <c r="S977" s="2"/>
      <c r="T977" s="2"/>
      <c r="U977" s="2"/>
      <c r="V977" s="2"/>
      <c r="W977" s="2"/>
      <c r="X977" s="2"/>
      <c r="Y977" s="2"/>
      <c r="Z977" s="2"/>
      <c r="AA977" s="2"/>
      <c r="AB977" s="2"/>
      <c r="AC977" s="2"/>
      <c r="AD977" s="2"/>
      <c r="AE977" s="2"/>
      <c r="AF977" s="2"/>
      <c r="AG977" s="2"/>
    </row>
    <row r="978" ht="14.25" customHeight="1">
      <c r="A978" s="2"/>
      <c r="B978" s="2"/>
      <c r="C978" s="2"/>
      <c r="D978" s="2"/>
      <c r="E978" s="2"/>
      <c r="F978" s="2"/>
      <c r="G978" s="2"/>
      <c r="H978" s="146"/>
      <c r="I978" s="146"/>
      <c r="J978" s="146"/>
      <c r="K978" s="146"/>
      <c r="L978" s="2"/>
      <c r="M978" s="2"/>
      <c r="N978" s="2"/>
      <c r="O978" s="2"/>
      <c r="P978" s="2"/>
      <c r="Q978" s="2"/>
      <c r="R978" s="2"/>
      <c r="S978" s="2"/>
      <c r="T978" s="2"/>
      <c r="U978" s="2"/>
      <c r="V978" s="2"/>
      <c r="W978" s="2"/>
      <c r="X978" s="2"/>
      <c r="Y978" s="2"/>
      <c r="Z978" s="2"/>
      <c r="AA978" s="2"/>
      <c r="AB978" s="2"/>
      <c r="AC978" s="2"/>
      <c r="AD978" s="2"/>
      <c r="AE978" s="2"/>
      <c r="AF978" s="2"/>
      <c r="AG978" s="2"/>
    </row>
    <row r="979" ht="14.25" customHeight="1">
      <c r="A979" s="2"/>
      <c r="B979" s="2"/>
      <c r="C979" s="2"/>
      <c r="D979" s="2"/>
      <c r="E979" s="2"/>
      <c r="F979" s="2"/>
      <c r="G979" s="2"/>
      <c r="H979" s="146"/>
      <c r="I979" s="146"/>
      <c r="J979" s="146"/>
      <c r="K979" s="146"/>
      <c r="L979" s="2"/>
      <c r="M979" s="2"/>
      <c r="N979" s="2"/>
      <c r="O979" s="2"/>
      <c r="P979" s="2"/>
      <c r="Q979" s="2"/>
      <c r="R979" s="2"/>
      <c r="S979" s="2"/>
      <c r="T979" s="2"/>
      <c r="U979" s="2"/>
      <c r="V979" s="2"/>
      <c r="W979" s="2"/>
      <c r="X979" s="2"/>
      <c r="Y979" s="2"/>
      <c r="Z979" s="2"/>
      <c r="AA979" s="2"/>
      <c r="AB979" s="2"/>
      <c r="AC979" s="2"/>
      <c r="AD979" s="2"/>
      <c r="AE979" s="2"/>
      <c r="AF979" s="2"/>
      <c r="AG979" s="2"/>
    </row>
    <row r="980" ht="14.25" customHeight="1">
      <c r="A980" s="2"/>
      <c r="B980" s="2"/>
      <c r="C980" s="2"/>
      <c r="D980" s="2"/>
      <c r="E980" s="2"/>
      <c r="F980" s="2"/>
      <c r="G980" s="2"/>
      <c r="H980" s="146"/>
      <c r="I980" s="146"/>
      <c r="J980" s="146"/>
      <c r="K980" s="146"/>
      <c r="L980" s="2"/>
      <c r="M980" s="2"/>
      <c r="N980" s="2"/>
      <c r="O980" s="2"/>
      <c r="P980" s="2"/>
      <c r="Q980" s="2"/>
      <c r="R980" s="2"/>
      <c r="S980" s="2"/>
      <c r="T980" s="2"/>
      <c r="U980" s="2"/>
      <c r="V980" s="2"/>
      <c r="W980" s="2"/>
      <c r="X980" s="2"/>
      <c r="Y980" s="2"/>
      <c r="Z980" s="2"/>
      <c r="AA980" s="2"/>
      <c r="AB980" s="2"/>
      <c r="AC980" s="2"/>
      <c r="AD980" s="2"/>
      <c r="AE980" s="2"/>
      <c r="AF980" s="2"/>
      <c r="AG980" s="2"/>
    </row>
    <row r="981" ht="14.25" customHeight="1">
      <c r="A981" s="2"/>
      <c r="B981" s="2"/>
      <c r="C981" s="2"/>
      <c r="D981" s="2"/>
      <c r="E981" s="2"/>
      <c r="F981" s="2"/>
      <c r="G981" s="2"/>
      <c r="H981" s="146"/>
      <c r="I981" s="146"/>
      <c r="J981" s="146"/>
      <c r="K981" s="146"/>
      <c r="L981" s="2"/>
      <c r="M981" s="2"/>
      <c r="N981" s="2"/>
      <c r="O981" s="2"/>
      <c r="P981" s="2"/>
      <c r="Q981" s="2"/>
      <c r="R981" s="2"/>
      <c r="S981" s="2"/>
      <c r="T981" s="2"/>
      <c r="U981" s="2"/>
      <c r="V981" s="2"/>
      <c r="W981" s="2"/>
      <c r="X981" s="2"/>
      <c r="Y981" s="2"/>
      <c r="Z981" s="2"/>
      <c r="AA981" s="2"/>
      <c r="AB981" s="2"/>
      <c r="AC981" s="2"/>
      <c r="AD981" s="2"/>
      <c r="AE981" s="2"/>
      <c r="AF981" s="2"/>
      <c r="AG981" s="2"/>
    </row>
    <row r="982" ht="14.25" customHeight="1">
      <c r="A982" s="2"/>
      <c r="B982" s="2"/>
      <c r="C982" s="2"/>
      <c r="D982" s="2"/>
      <c r="E982" s="2"/>
      <c r="F982" s="2"/>
      <c r="G982" s="2"/>
      <c r="H982" s="146"/>
      <c r="I982" s="146"/>
      <c r="J982" s="146"/>
      <c r="K982" s="146"/>
      <c r="L982" s="2"/>
      <c r="M982" s="2"/>
      <c r="N982" s="2"/>
      <c r="O982" s="2"/>
      <c r="P982" s="2"/>
      <c r="Q982" s="2"/>
      <c r="R982" s="2"/>
      <c r="S982" s="2"/>
      <c r="T982" s="2"/>
      <c r="U982" s="2"/>
      <c r="V982" s="2"/>
      <c r="W982" s="2"/>
      <c r="X982" s="2"/>
      <c r="Y982" s="2"/>
      <c r="Z982" s="2"/>
      <c r="AA982" s="2"/>
      <c r="AB982" s="2"/>
      <c r="AC982" s="2"/>
      <c r="AD982" s="2"/>
      <c r="AE982" s="2"/>
      <c r="AF982" s="2"/>
      <c r="AG982" s="2"/>
    </row>
    <row r="983" ht="14.25" customHeight="1">
      <c r="A983" s="2"/>
      <c r="B983" s="2"/>
      <c r="C983" s="2"/>
      <c r="D983" s="2"/>
      <c r="E983" s="2"/>
      <c r="F983" s="2"/>
      <c r="G983" s="2"/>
      <c r="H983" s="146"/>
      <c r="I983" s="146"/>
      <c r="J983" s="146"/>
      <c r="K983" s="146"/>
      <c r="L983" s="2"/>
      <c r="M983" s="2"/>
      <c r="N983" s="2"/>
      <c r="O983" s="2"/>
      <c r="P983" s="2"/>
      <c r="Q983" s="2"/>
      <c r="R983" s="2"/>
      <c r="S983" s="2"/>
      <c r="T983" s="2"/>
      <c r="U983" s="2"/>
      <c r="V983" s="2"/>
      <c r="W983" s="2"/>
      <c r="X983" s="2"/>
      <c r="Y983" s="2"/>
      <c r="Z983" s="2"/>
      <c r="AA983" s="2"/>
      <c r="AB983" s="2"/>
      <c r="AC983" s="2"/>
      <c r="AD983" s="2"/>
      <c r="AE983" s="2"/>
      <c r="AF983" s="2"/>
      <c r="AG983" s="2"/>
    </row>
    <row r="984" ht="14.25" customHeight="1">
      <c r="A984" s="2"/>
      <c r="B984" s="2"/>
      <c r="C984" s="2"/>
      <c r="D984" s="2"/>
      <c r="E984" s="2"/>
      <c r="F984" s="2"/>
      <c r="G984" s="2"/>
      <c r="H984" s="146"/>
      <c r="I984" s="146"/>
      <c r="J984" s="146"/>
      <c r="K984" s="146"/>
      <c r="L984" s="2"/>
      <c r="M984" s="2"/>
      <c r="N984" s="2"/>
      <c r="O984" s="2"/>
      <c r="P984" s="2"/>
      <c r="Q984" s="2"/>
      <c r="R984" s="2"/>
      <c r="S984" s="2"/>
      <c r="T984" s="2"/>
      <c r="U984" s="2"/>
      <c r="V984" s="2"/>
      <c r="W984" s="2"/>
      <c r="X984" s="2"/>
      <c r="Y984" s="2"/>
      <c r="Z984" s="2"/>
      <c r="AA984" s="2"/>
      <c r="AB984" s="2"/>
      <c r="AC984" s="2"/>
      <c r="AD984" s="2"/>
      <c r="AE984" s="2"/>
      <c r="AF984" s="2"/>
      <c r="AG984" s="2"/>
    </row>
    <row r="985" ht="14.25" customHeight="1">
      <c r="A985" s="2"/>
      <c r="B985" s="2"/>
      <c r="C985" s="2"/>
      <c r="D985" s="2"/>
      <c r="E985" s="2"/>
      <c r="F985" s="2"/>
      <c r="G985" s="2"/>
      <c r="H985" s="146"/>
      <c r="I985" s="146"/>
      <c r="J985" s="146"/>
      <c r="K985" s="146"/>
      <c r="L985" s="2"/>
      <c r="M985" s="2"/>
      <c r="N985" s="2"/>
      <c r="O985" s="2"/>
      <c r="P985" s="2"/>
      <c r="Q985" s="2"/>
      <c r="R985" s="2"/>
      <c r="S985" s="2"/>
      <c r="T985" s="2"/>
      <c r="U985" s="2"/>
      <c r="V985" s="2"/>
      <c r="W985" s="2"/>
      <c r="X985" s="2"/>
      <c r="Y985" s="2"/>
      <c r="Z985" s="2"/>
      <c r="AA985" s="2"/>
      <c r="AB985" s="2"/>
      <c r="AC985" s="2"/>
      <c r="AD985" s="2"/>
      <c r="AE985" s="2"/>
      <c r="AF985" s="2"/>
      <c r="AG985" s="2"/>
    </row>
    <row r="986" ht="14.25" customHeight="1">
      <c r="A986" s="2"/>
      <c r="B986" s="2"/>
      <c r="C986" s="2"/>
      <c r="D986" s="2"/>
      <c r="E986" s="2"/>
      <c r="F986" s="2"/>
      <c r="G986" s="2"/>
      <c r="H986" s="146"/>
      <c r="I986" s="146"/>
      <c r="J986" s="146"/>
      <c r="K986" s="146"/>
      <c r="L986" s="2"/>
      <c r="M986" s="2"/>
      <c r="N986" s="2"/>
      <c r="O986" s="2"/>
      <c r="P986" s="2"/>
      <c r="Q986" s="2"/>
      <c r="R986" s="2"/>
      <c r="S986" s="2"/>
      <c r="T986" s="2"/>
      <c r="U986" s="2"/>
      <c r="V986" s="2"/>
      <c r="W986" s="2"/>
      <c r="X986" s="2"/>
      <c r="Y986" s="2"/>
      <c r="Z986" s="2"/>
      <c r="AA986" s="2"/>
      <c r="AB986" s="2"/>
      <c r="AC986" s="2"/>
      <c r="AD986" s="2"/>
      <c r="AE986" s="2"/>
      <c r="AF986" s="2"/>
      <c r="AG986" s="2"/>
    </row>
    <row r="987" ht="14.25" customHeight="1">
      <c r="A987" s="2"/>
      <c r="B987" s="2"/>
      <c r="C987" s="2"/>
      <c r="D987" s="2"/>
      <c r="E987" s="2"/>
      <c r="F987" s="2"/>
      <c r="G987" s="2"/>
      <c r="H987" s="146"/>
      <c r="I987" s="146"/>
      <c r="J987" s="146"/>
      <c r="K987" s="146"/>
      <c r="L987" s="2"/>
      <c r="M987" s="2"/>
      <c r="N987" s="2"/>
      <c r="O987" s="2"/>
      <c r="P987" s="2"/>
      <c r="Q987" s="2"/>
      <c r="R987" s="2"/>
      <c r="S987" s="2"/>
      <c r="T987" s="2"/>
      <c r="U987" s="2"/>
      <c r="V987" s="2"/>
      <c r="W987" s="2"/>
      <c r="X987" s="2"/>
      <c r="Y987" s="2"/>
      <c r="Z987" s="2"/>
      <c r="AA987" s="2"/>
      <c r="AB987" s="2"/>
      <c r="AC987" s="2"/>
      <c r="AD987" s="2"/>
      <c r="AE987" s="2"/>
      <c r="AF987" s="2"/>
      <c r="AG987" s="2"/>
    </row>
    <row r="988" ht="14.25" customHeight="1">
      <c r="A988" s="2"/>
      <c r="B988" s="2"/>
      <c r="C988" s="2"/>
      <c r="D988" s="2"/>
      <c r="E988" s="2"/>
      <c r="F988" s="2"/>
      <c r="G988" s="2"/>
      <c r="H988" s="146"/>
      <c r="I988" s="146"/>
      <c r="J988" s="146"/>
      <c r="K988" s="146"/>
      <c r="L988" s="2"/>
      <c r="M988" s="2"/>
      <c r="N988" s="2"/>
      <c r="O988" s="2"/>
      <c r="P988" s="2"/>
      <c r="Q988" s="2"/>
      <c r="R988" s="2"/>
      <c r="S988" s="2"/>
      <c r="T988" s="2"/>
      <c r="U988" s="2"/>
      <c r="V988" s="2"/>
      <c r="W988" s="2"/>
      <c r="X988" s="2"/>
      <c r="Y988" s="2"/>
      <c r="Z988" s="2"/>
      <c r="AA988" s="2"/>
      <c r="AB988" s="2"/>
      <c r="AC988" s="2"/>
      <c r="AD988" s="2"/>
      <c r="AE988" s="2"/>
      <c r="AF988" s="2"/>
      <c r="AG988" s="2"/>
    </row>
    <row r="989" ht="14.25" customHeight="1">
      <c r="A989" s="2"/>
      <c r="B989" s="2"/>
      <c r="C989" s="2"/>
      <c r="D989" s="2"/>
      <c r="E989" s="2"/>
      <c r="F989" s="2"/>
      <c r="G989" s="2"/>
      <c r="H989" s="146"/>
      <c r="I989" s="146"/>
      <c r="J989" s="146"/>
      <c r="K989" s="146"/>
      <c r="L989" s="2"/>
      <c r="M989" s="2"/>
      <c r="N989" s="2"/>
      <c r="O989" s="2"/>
      <c r="P989" s="2"/>
      <c r="Q989" s="2"/>
      <c r="R989" s="2"/>
      <c r="S989" s="2"/>
      <c r="T989" s="2"/>
      <c r="U989" s="2"/>
      <c r="V989" s="2"/>
      <c r="W989" s="2"/>
      <c r="X989" s="2"/>
      <c r="Y989" s="2"/>
      <c r="Z989" s="2"/>
      <c r="AA989" s="2"/>
      <c r="AB989" s="2"/>
      <c r="AC989" s="2"/>
      <c r="AD989" s="2"/>
      <c r="AE989" s="2"/>
      <c r="AF989" s="2"/>
      <c r="AG989" s="2"/>
    </row>
    <row r="990" ht="14.25" customHeight="1">
      <c r="A990" s="2"/>
      <c r="B990" s="2"/>
      <c r="C990" s="2"/>
      <c r="D990" s="2"/>
      <c r="E990" s="2"/>
      <c r="F990" s="2"/>
      <c r="G990" s="2"/>
      <c r="H990" s="146"/>
      <c r="I990" s="146"/>
      <c r="J990" s="146"/>
      <c r="K990" s="146"/>
      <c r="L990" s="2"/>
      <c r="M990" s="2"/>
      <c r="N990" s="2"/>
      <c r="O990" s="2"/>
      <c r="P990" s="2"/>
      <c r="Q990" s="2"/>
      <c r="R990" s="2"/>
      <c r="S990" s="2"/>
      <c r="T990" s="2"/>
      <c r="U990" s="2"/>
      <c r="V990" s="2"/>
      <c r="W990" s="2"/>
      <c r="X990" s="2"/>
      <c r="Y990" s="2"/>
      <c r="Z990" s="2"/>
      <c r="AA990" s="2"/>
      <c r="AB990" s="2"/>
      <c r="AC990" s="2"/>
      <c r="AD990" s="2"/>
      <c r="AE990" s="2"/>
      <c r="AF990" s="2"/>
      <c r="AG990" s="2"/>
    </row>
    <row r="991" ht="14.25" customHeight="1">
      <c r="A991" s="2"/>
      <c r="B991" s="2"/>
      <c r="C991" s="2"/>
      <c r="D991" s="2"/>
      <c r="E991" s="2"/>
      <c r="F991" s="2"/>
      <c r="G991" s="2"/>
      <c r="H991" s="146"/>
      <c r="I991" s="146"/>
      <c r="J991" s="146"/>
      <c r="K991" s="146"/>
      <c r="L991" s="2"/>
      <c r="M991" s="2"/>
      <c r="N991" s="2"/>
      <c r="O991" s="2"/>
      <c r="P991" s="2"/>
      <c r="Q991" s="2"/>
      <c r="R991" s="2"/>
      <c r="S991" s="2"/>
      <c r="T991" s="2"/>
      <c r="U991" s="2"/>
      <c r="V991" s="2"/>
      <c r="W991" s="2"/>
      <c r="X991" s="2"/>
      <c r="Y991" s="2"/>
      <c r="Z991" s="2"/>
      <c r="AA991" s="2"/>
      <c r="AB991" s="2"/>
      <c r="AC991" s="2"/>
      <c r="AD991" s="2"/>
      <c r="AE991" s="2"/>
      <c r="AF991" s="2"/>
      <c r="AG991" s="2"/>
    </row>
    <row r="992" ht="14.25" customHeight="1">
      <c r="A992" s="2"/>
      <c r="B992" s="2"/>
      <c r="C992" s="2"/>
      <c r="D992" s="2"/>
      <c r="E992" s="2"/>
      <c r="F992" s="2"/>
      <c r="G992" s="2"/>
      <c r="H992" s="146"/>
      <c r="I992" s="146"/>
      <c r="J992" s="146"/>
      <c r="K992" s="146"/>
      <c r="L992" s="2"/>
      <c r="M992" s="2"/>
      <c r="N992" s="2"/>
      <c r="O992" s="2"/>
      <c r="P992" s="2"/>
      <c r="Q992" s="2"/>
      <c r="R992" s="2"/>
      <c r="S992" s="2"/>
      <c r="T992" s="2"/>
      <c r="U992" s="2"/>
      <c r="V992" s="2"/>
      <c r="W992" s="2"/>
      <c r="X992" s="2"/>
      <c r="Y992" s="2"/>
      <c r="Z992" s="2"/>
      <c r="AA992" s="2"/>
      <c r="AB992" s="2"/>
      <c r="AC992" s="2"/>
      <c r="AD992" s="2"/>
      <c r="AE992" s="2"/>
      <c r="AF992" s="2"/>
      <c r="AG992" s="2"/>
    </row>
    <row r="993" ht="14.25" customHeight="1">
      <c r="A993" s="2"/>
      <c r="B993" s="2"/>
      <c r="C993" s="2"/>
      <c r="D993" s="2"/>
      <c r="E993" s="2"/>
      <c r="F993" s="2"/>
      <c r="G993" s="2"/>
      <c r="H993" s="146"/>
      <c r="I993" s="146"/>
      <c r="J993" s="146"/>
      <c r="K993" s="146"/>
      <c r="L993" s="2"/>
      <c r="M993" s="2"/>
      <c r="N993" s="2"/>
      <c r="O993" s="2"/>
      <c r="P993" s="2"/>
      <c r="Q993" s="2"/>
      <c r="R993" s="2"/>
      <c r="S993" s="2"/>
      <c r="T993" s="2"/>
      <c r="U993" s="2"/>
      <c r="V993" s="2"/>
      <c r="W993" s="2"/>
      <c r="X993" s="2"/>
      <c r="Y993" s="2"/>
      <c r="Z993" s="2"/>
      <c r="AA993" s="2"/>
      <c r="AB993" s="2"/>
      <c r="AC993" s="2"/>
      <c r="AD993" s="2"/>
      <c r="AE993" s="2"/>
      <c r="AF993" s="2"/>
      <c r="AG993" s="2"/>
    </row>
    <row r="994" ht="14.25" customHeight="1">
      <c r="A994" s="2"/>
      <c r="B994" s="2"/>
      <c r="C994" s="2"/>
      <c r="D994" s="2"/>
      <c r="E994" s="2"/>
      <c r="F994" s="2"/>
      <c r="G994" s="2"/>
      <c r="H994" s="146"/>
      <c r="I994" s="146"/>
      <c r="J994" s="146"/>
      <c r="K994" s="146"/>
      <c r="L994" s="2"/>
      <c r="M994" s="2"/>
      <c r="N994" s="2"/>
      <c r="O994" s="2"/>
      <c r="P994" s="2"/>
      <c r="Q994" s="2"/>
      <c r="R994" s="2"/>
      <c r="S994" s="2"/>
      <c r="T994" s="2"/>
      <c r="U994" s="2"/>
      <c r="V994" s="2"/>
      <c r="W994" s="2"/>
      <c r="X994" s="2"/>
      <c r="Y994" s="2"/>
      <c r="Z994" s="2"/>
      <c r="AA994" s="2"/>
      <c r="AB994" s="2"/>
      <c r="AC994" s="2"/>
      <c r="AD994" s="2"/>
      <c r="AE994" s="2"/>
      <c r="AF994" s="2"/>
      <c r="AG994" s="2"/>
    </row>
    <row r="995" ht="14.25" customHeight="1">
      <c r="A995" s="2"/>
      <c r="B995" s="2"/>
      <c r="C995" s="2"/>
      <c r="D995" s="2"/>
      <c r="E995" s="2"/>
      <c r="F995" s="2"/>
      <c r="G995" s="2"/>
      <c r="H995" s="146"/>
      <c r="I995" s="146"/>
      <c r="J995" s="146"/>
      <c r="K995" s="146"/>
      <c r="L995" s="2"/>
      <c r="M995" s="2"/>
      <c r="N995" s="2"/>
      <c r="O995" s="2"/>
      <c r="P995" s="2"/>
      <c r="Q995" s="2"/>
      <c r="R995" s="2"/>
      <c r="S995" s="2"/>
      <c r="T995" s="2"/>
      <c r="U995" s="2"/>
      <c r="V995" s="2"/>
      <c r="W995" s="2"/>
      <c r="X995" s="2"/>
      <c r="Y995" s="2"/>
      <c r="Z995" s="2"/>
      <c r="AA995" s="2"/>
      <c r="AB995" s="2"/>
      <c r="AC995" s="2"/>
      <c r="AD995" s="2"/>
      <c r="AE995" s="2"/>
      <c r="AF995" s="2"/>
      <c r="AG995" s="2"/>
    </row>
    <row r="996" ht="14.25" customHeight="1">
      <c r="A996" s="2"/>
      <c r="B996" s="2"/>
      <c r="C996" s="2"/>
      <c r="D996" s="2"/>
      <c r="E996" s="2"/>
      <c r="F996" s="2"/>
      <c r="G996" s="2"/>
      <c r="H996" s="146"/>
      <c r="I996" s="146"/>
      <c r="J996" s="146"/>
      <c r="K996" s="146"/>
      <c r="L996" s="2"/>
      <c r="M996" s="2"/>
      <c r="N996" s="2"/>
      <c r="O996" s="2"/>
      <c r="P996" s="2"/>
      <c r="Q996" s="2"/>
      <c r="R996" s="2"/>
      <c r="S996" s="2"/>
      <c r="T996" s="2"/>
      <c r="U996" s="2"/>
      <c r="V996" s="2"/>
      <c r="W996" s="2"/>
      <c r="X996" s="2"/>
      <c r="Y996" s="2"/>
      <c r="Z996" s="2"/>
      <c r="AA996" s="2"/>
      <c r="AB996" s="2"/>
      <c r="AC996" s="2"/>
      <c r="AD996" s="2"/>
      <c r="AE996" s="2"/>
      <c r="AF996" s="2"/>
      <c r="AG996" s="2"/>
    </row>
    <row r="997" ht="14.25" customHeight="1">
      <c r="A997" s="2"/>
      <c r="B997" s="2"/>
      <c r="C997" s="2"/>
      <c r="D997" s="2"/>
      <c r="E997" s="2"/>
      <c r="F997" s="2"/>
      <c r="G997" s="2"/>
      <c r="H997" s="146"/>
      <c r="I997" s="146"/>
      <c r="J997" s="146"/>
      <c r="K997" s="146"/>
      <c r="L997" s="2"/>
      <c r="M997" s="2"/>
      <c r="N997" s="2"/>
      <c r="O997" s="2"/>
      <c r="P997" s="2"/>
      <c r="Q997" s="2"/>
      <c r="R997" s="2"/>
      <c r="S997" s="2"/>
      <c r="T997" s="2"/>
      <c r="U997" s="2"/>
      <c r="V997" s="2"/>
      <c r="W997" s="2"/>
      <c r="X997" s="2"/>
      <c r="Y997" s="2"/>
      <c r="Z997" s="2"/>
      <c r="AA997" s="2"/>
      <c r="AB997" s="2"/>
      <c r="AC997" s="2"/>
      <c r="AD997" s="2"/>
      <c r="AE997" s="2"/>
      <c r="AF997" s="2"/>
      <c r="AG997" s="2"/>
    </row>
    <row r="998" ht="14.25" customHeight="1">
      <c r="A998" s="2"/>
      <c r="B998" s="2"/>
      <c r="C998" s="2"/>
      <c r="D998" s="2"/>
      <c r="E998" s="2"/>
      <c r="F998" s="2"/>
      <c r="G998" s="2"/>
      <c r="H998" s="146"/>
      <c r="I998" s="146"/>
      <c r="J998" s="146"/>
      <c r="K998" s="146"/>
      <c r="L998" s="2"/>
      <c r="M998" s="2"/>
      <c r="N998" s="2"/>
      <c r="O998" s="2"/>
      <c r="P998" s="2"/>
      <c r="Q998" s="2"/>
      <c r="R998" s="2"/>
      <c r="S998" s="2"/>
      <c r="T998" s="2"/>
      <c r="U998" s="2"/>
      <c r="V998" s="2"/>
      <c r="W998" s="2"/>
      <c r="X998" s="2"/>
      <c r="Y998" s="2"/>
      <c r="Z998" s="2"/>
      <c r="AA998" s="2"/>
      <c r="AB998" s="2"/>
      <c r="AC998" s="2"/>
      <c r="AD998" s="2"/>
      <c r="AE998" s="2"/>
      <c r="AF998" s="2"/>
      <c r="AG998" s="2"/>
    </row>
    <row r="999" ht="14.25" customHeight="1">
      <c r="A999" s="2"/>
      <c r="B999" s="2"/>
      <c r="C999" s="2"/>
      <c r="D999" s="2"/>
      <c r="E999" s="2"/>
      <c r="F999" s="2"/>
      <c r="G999" s="2"/>
      <c r="H999" s="146"/>
      <c r="I999" s="146"/>
      <c r="J999" s="146"/>
      <c r="K999" s="146"/>
      <c r="L999" s="2"/>
      <c r="M999" s="2"/>
      <c r="N999" s="2"/>
      <c r="O999" s="2"/>
      <c r="P999" s="2"/>
      <c r="Q999" s="2"/>
      <c r="R999" s="2"/>
      <c r="S999" s="2"/>
      <c r="T999" s="2"/>
      <c r="U999" s="2"/>
      <c r="V999" s="2"/>
      <c r="W999" s="2"/>
      <c r="X999" s="2"/>
      <c r="Y999" s="2"/>
      <c r="Z999" s="2"/>
      <c r="AA999" s="2"/>
      <c r="AB999" s="2"/>
      <c r="AC999" s="2"/>
      <c r="AD999" s="2"/>
      <c r="AE999" s="2"/>
      <c r="AF999" s="2"/>
      <c r="AG999" s="2"/>
    </row>
    <row r="1000" ht="14.25" customHeight="1">
      <c r="A1000" s="2"/>
      <c r="B1000" s="2"/>
      <c r="C1000" s="2"/>
      <c r="D1000" s="2"/>
      <c r="E1000" s="2"/>
      <c r="F1000" s="2"/>
      <c r="G1000" s="2"/>
      <c r="H1000" s="146"/>
      <c r="I1000" s="146"/>
      <c r="J1000" s="146"/>
      <c r="K1000" s="146"/>
      <c r="L1000" s="2"/>
      <c r="M1000" s="2"/>
      <c r="N1000" s="2"/>
      <c r="O1000" s="2"/>
      <c r="P1000" s="2"/>
      <c r="Q1000" s="2"/>
      <c r="R1000" s="2"/>
      <c r="S1000" s="2"/>
      <c r="T1000" s="2"/>
      <c r="U1000" s="2"/>
      <c r="V1000" s="2"/>
      <c r="W1000" s="2"/>
      <c r="X1000" s="2"/>
      <c r="Y1000" s="2"/>
      <c r="Z1000" s="2"/>
      <c r="AA1000" s="2"/>
      <c r="AB1000" s="2"/>
      <c r="AC1000" s="2"/>
      <c r="AD1000" s="2"/>
      <c r="AE1000" s="2"/>
      <c r="AF1000" s="2"/>
      <c r="AG1000" s="2"/>
    </row>
  </sheetData>
  <mergeCells count="1">
    <mergeCell ref="A1:E1"/>
  </mergeCells>
  <conditionalFormatting sqref="H60">
    <cfRule type="colorScale" priority="1">
      <colorScale>
        <cfvo type="formula" val="0"/>
        <cfvo type="formula" val="0.5"/>
        <cfvo type="formula" val="1"/>
        <color rgb="FFFF9999"/>
        <color rgb="FFFFF2CC"/>
        <color rgb="FF91EF98"/>
      </colorScale>
    </cfRule>
  </conditionalFormatting>
  <dataValidations>
    <dataValidation type="list" allowBlank="1" showErrorMessage="1" sqref="H3">
      <formula1>$L$29:$L$30</formula1>
    </dataValidation>
    <dataValidation type="list" allowBlank="1" showErrorMessage="1" sqref="H11:H28">
      <formula1>List_Technologies</formula1>
    </dataValidation>
  </dataValidations>
  <hyperlinks>
    <hyperlink r:id="rId1" ref="L6"/>
    <hyperlink r:id="rId2" ref="L7"/>
  </hyperlinks>
  <printOptions/>
  <pageMargins bottom="0.75" footer="0.0" header="0.0" left="0.7" right="0.7" top="0.75"/>
  <pageSetup paperSize="9" orientation="portrait"/>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pane ySplit="1.0" topLeftCell="A2" activePane="bottomLeft" state="frozen"/>
      <selection activeCell="B3" sqref="B3" pane="bottomLeft"/>
    </sheetView>
  </sheetViews>
  <sheetFormatPr customHeight="1" defaultColWidth="14.43" defaultRowHeight="15.0" outlineLevelCol="1" outlineLevelRow="3"/>
  <cols>
    <col customWidth="1" min="1" max="4" width="2.43"/>
    <col customWidth="1" min="5" max="5" width="78.43"/>
    <col customWidth="1" min="6" max="6" width="17.43"/>
    <col customWidth="1" min="7" max="7" width="14.57"/>
    <col customWidth="1" hidden="1" min="8" max="22" width="10.57" outlineLevel="1"/>
    <col customWidth="1" min="23" max="23" width="10.57"/>
    <col customWidth="1" hidden="1" min="24" max="27" width="10.57" outlineLevel="1"/>
    <col customWidth="1" min="28" max="36" width="10.57"/>
    <col customWidth="1" min="37" max="37" width="12.43"/>
    <col customWidth="1" min="38" max="38" width="55.43"/>
    <col customWidth="1" min="39" max="39" width="101.0"/>
    <col customWidth="1" hidden="1" min="40" max="40" width="9.14"/>
    <col customWidth="1" min="41" max="41" width="6.43"/>
  </cols>
  <sheetData>
    <row r="1" ht="14.25" customHeight="1">
      <c r="A1" s="147" t="s">
        <v>49</v>
      </c>
      <c r="B1" s="148"/>
      <c r="C1" s="148"/>
      <c r="D1" s="148"/>
      <c r="E1" s="149"/>
      <c r="F1" s="114" t="s">
        <v>50</v>
      </c>
      <c r="G1" s="114" t="s">
        <v>51</v>
      </c>
      <c r="H1" s="114">
        <v>2000.0</v>
      </c>
      <c r="I1" s="114">
        <v>2001.0</v>
      </c>
      <c r="J1" s="114">
        <v>2002.0</v>
      </c>
      <c r="K1" s="114">
        <v>2003.0</v>
      </c>
      <c r="L1" s="114">
        <v>2004.0</v>
      </c>
      <c r="M1" s="114">
        <v>2005.0</v>
      </c>
      <c r="N1" s="114">
        <v>2006.0</v>
      </c>
      <c r="O1" s="114">
        <v>2007.0</v>
      </c>
      <c r="P1" s="114">
        <v>2008.0</v>
      </c>
      <c r="Q1" s="114">
        <v>2009.0</v>
      </c>
      <c r="R1" s="114">
        <v>2010.0</v>
      </c>
      <c r="S1" s="114">
        <v>2011.0</v>
      </c>
      <c r="T1" s="114">
        <v>2012.0</v>
      </c>
      <c r="U1" s="114">
        <v>2013.0</v>
      </c>
      <c r="V1" s="114">
        <v>2014.0</v>
      </c>
      <c r="W1" s="114">
        <f>ReferenceYear</f>
        <v>2015</v>
      </c>
      <c r="X1" s="114">
        <v>2016.0</v>
      </c>
      <c r="Y1" s="114">
        <v>2017.0</v>
      </c>
      <c r="Z1" s="114">
        <v>2018.0</v>
      </c>
      <c r="AA1" s="114">
        <v>2019.0</v>
      </c>
      <c r="AB1" s="114">
        <f>IFERROR(IF(W1+5&lt;=TargetYear,W1+5,""),"")</f>
        <v>2020</v>
      </c>
      <c r="AC1" s="114">
        <f>IFERROR(IF(AB1+5&lt;=TargetYear,AB1+5,""),"")</f>
        <v>2025</v>
      </c>
      <c r="AD1" s="114">
        <f>IFERROR(IF(AC1+5&lt;=TargetYear,AC1+5,""),"")</f>
        <v>2030</v>
      </c>
      <c r="AE1" s="114">
        <f>IFERROR(IF(AD1+5&lt;=TargetYear,AD1+5,""),"")</f>
        <v>2035</v>
      </c>
      <c r="AF1" s="114">
        <f>IFERROR(IF(AE1+5&lt;=TargetYear,AE1+5,""),"")</f>
        <v>2040</v>
      </c>
      <c r="AG1" s="114">
        <f>IFERROR(IF(AF1+5&lt;=TargetYear,AF1+5,""),"")</f>
        <v>2045</v>
      </c>
      <c r="AH1" s="114">
        <f>IFERROR(IF(AG1+5&lt;=TargetYear,AG1+5,""),"")</f>
        <v>2050</v>
      </c>
      <c r="AI1" s="114" t="s">
        <v>52</v>
      </c>
      <c r="AJ1" s="114" t="s">
        <v>53</v>
      </c>
      <c r="AK1" s="114" t="s">
        <v>54</v>
      </c>
      <c r="AL1" s="114" t="s">
        <v>55</v>
      </c>
      <c r="AM1" s="114" t="s">
        <v>56</v>
      </c>
      <c r="AN1" s="115" t="s">
        <v>127</v>
      </c>
      <c r="AO1" s="150"/>
    </row>
    <row r="2" ht="14.25" customHeight="1">
      <c r="A2" s="151" t="s">
        <v>203</v>
      </c>
      <c r="B2" s="152"/>
      <c r="C2" s="152"/>
      <c r="D2" s="152"/>
      <c r="E2" s="152"/>
      <c r="F2" s="152"/>
      <c r="G2" s="152"/>
      <c r="H2" s="153"/>
      <c r="I2" s="153"/>
      <c r="J2" s="153"/>
      <c r="K2" s="153"/>
      <c r="L2" s="153"/>
      <c r="M2" s="153"/>
      <c r="N2" s="153"/>
      <c r="O2" s="153"/>
      <c r="P2" s="153"/>
      <c r="Q2" s="153"/>
      <c r="R2" s="153"/>
      <c r="S2" s="153"/>
      <c r="T2" s="153"/>
      <c r="U2" s="153"/>
      <c r="V2" s="153"/>
      <c r="W2" s="153"/>
      <c r="X2" s="153"/>
      <c r="Y2" s="153"/>
      <c r="Z2" s="153"/>
      <c r="AA2" s="153"/>
      <c r="AB2" s="153"/>
      <c r="AC2" s="153"/>
      <c r="AD2" s="153"/>
      <c r="AE2" s="153"/>
      <c r="AF2" s="153"/>
      <c r="AG2" s="153"/>
      <c r="AH2" s="153"/>
      <c r="AI2" s="152"/>
      <c r="AJ2" s="152"/>
      <c r="AK2" s="152"/>
      <c r="AL2" s="152"/>
      <c r="AM2" s="154"/>
      <c r="AN2" s="100" t="b">
        <f t="shared" ref="AN2:AN13" si="1">_xlfn.ISFORMULA(H2)</f>
        <v>0</v>
      </c>
      <c r="AO2" s="102"/>
    </row>
    <row r="3" ht="14.25" customHeight="1" outlineLevel="1">
      <c r="A3" s="155" t="s">
        <v>204</v>
      </c>
      <c r="B3" s="156"/>
      <c r="C3" s="156"/>
      <c r="D3" s="156"/>
      <c r="E3" s="156"/>
      <c r="F3" s="156"/>
      <c r="G3" s="156"/>
      <c r="H3" s="157"/>
      <c r="I3" s="157"/>
      <c r="J3" s="157"/>
      <c r="K3" s="157"/>
      <c r="L3" s="157"/>
      <c r="M3" s="157"/>
      <c r="N3" s="157"/>
      <c r="O3" s="157"/>
      <c r="P3" s="157"/>
      <c r="Q3" s="157"/>
      <c r="R3" s="157"/>
      <c r="S3" s="157"/>
      <c r="T3" s="157"/>
      <c r="U3" s="157"/>
      <c r="V3" s="157"/>
      <c r="W3" s="158"/>
      <c r="X3" s="158"/>
      <c r="Y3" s="158"/>
      <c r="Z3" s="158"/>
      <c r="AA3" s="158"/>
      <c r="AB3" s="158"/>
      <c r="AC3" s="158"/>
      <c r="AD3" s="158"/>
      <c r="AE3" s="158"/>
      <c r="AF3" s="158"/>
      <c r="AG3" s="158"/>
      <c r="AH3" s="158"/>
      <c r="AI3" s="159"/>
      <c r="AJ3" s="159"/>
      <c r="AK3" s="159"/>
      <c r="AL3" s="159"/>
      <c r="AM3" s="160"/>
      <c r="AN3" s="100" t="b">
        <f t="shared" si="1"/>
        <v>0</v>
      </c>
      <c r="AO3" s="102"/>
    </row>
    <row r="4" ht="14.25" customHeight="1" outlineLevel="3">
      <c r="A4" s="161"/>
      <c r="B4" s="162"/>
      <c r="C4" s="100"/>
      <c r="D4" s="100"/>
      <c r="E4" s="122" t="s">
        <v>205</v>
      </c>
      <c r="F4" s="123" t="s">
        <v>206</v>
      </c>
      <c r="G4" s="123" t="s">
        <v>207</v>
      </c>
      <c r="H4" s="163">
        <v>10239.085</v>
      </c>
      <c r="I4" s="163">
        <v>10263.414</v>
      </c>
      <c r="J4" s="163">
        <v>10309.725</v>
      </c>
      <c r="K4" s="163">
        <v>10355.844</v>
      </c>
      <c r="L4" s="163">
        <v>10396.421</v>
      </c>
      <c r="M4" s="163">
        <v>10445.852</v>
      </c>
      <c r="N4" s="163">
        <v>10511.382</v>
      </c>
      <c r="O4" s="163">
        <v>10584.534</v>
      </c>
      <c r="P4" s="163">
        <v>10666.866</v>
      </c>
      <c r="Q4" s="163">
        <v>10753.08</v>
      </c>
      <c r="R4" s="163">
        <v>10839.905</v>
      </c>
      <c r="S4" s="163">
        <v>10951.266</v>
      </c>
      <c r="T4" s="163">
        <v>11035.948</v>
      </c>
      <c r="U4" s="163">
        <v>11099.554</v>
      </c>
      <c r="V4" s="163">
        <v>11150.516</v>
      </c>
      <c r="W4" s="129">
        <v>11209.044</v>
      </c>
      <c r="X4" s="164">
        <v>11267.91</v>
      </c>
      <c r="Y4" s="164">
        <v>11322.088</v>
      </c>
      <c r="Z4" s="164">
        <v>11376.07</v>
      </c>
      <c r="AA4" s="164">
        <v>11431.406</v>
      </c>
      <c r="AB4" s="129">
        <v>11507.338</v>
      </c>
      <c r="AC4" s="129">
        <v>12033.452</v>
      </c>
      <c r="AD4" s="129">
        <v>11757.99</v>
      </c>
      <c r="AE4" s="129">
        <v>12033.452</v>
      </c>
      <c r="AF4" s="129">
        <v>11894.881</v>
      </c>
      <c r="AG4" s="129">
        <v>11910.934</v>
      </c>
      <c r="AH4" s="129">
        <v>11926.987</v>
      </c>
      <c r="AI4" s="125"/>
      <c r="AJ4" s="125"/>
      <c r="AK4" s="125"/>
      <c r="AL4" s="125"/>
      <c r="AM4" s="165"/>
      <c r="AN4" s="100" t="b">
        <f t="shared" si="1"/>
        <v>0</v>
      </c>
      <c r="AO4" s="102"/>
    </row>
    <row r="5" ht="9.75" customHeight="1">
      <c r="A5" s="166"/>
      <c r="B5" s="167"/>
      <c r="C5" s="167"/>
      <c r="D5" s="167"/>
      <c r="E5" s="167"/>
      <c r="F5" s="168"/>
      <c r="G5" s="168"/>
      <c r="H5" s="169"/>
      <c r="I5" s="169"/>
      <c r="J5" s="169"/>
      <c r="K5" s="169"/>
      <c r="L5" s="169"/>
      <c r="M5" s="169"/>
      <c r="N5" s="169"/>
      <c r="O5" s="169"/>
      <c r="P5" s="169"/>
      <c r="Q5" s="169"/>
      <c r="R5" s="169"/>
      <c r="S5" s="169"/>
      <c r="T5" s="169"/>
      <c r="U5" s="169"/>
      <c r="V5" s="169"/>
      <c r="W5" s="169"/>
      <c r="X5" s="169"/>
      <c r="Y5" s="169"/>
      <c r="Z5" s="169"/>
      <c r="AA5" s="169"/>
      <c r="AB5" s="169"/>
      <c r="AC5" s="169"/>
      <c r="AD5" s="169"/>
      <c r="AE5" s="169"/>
      <c r="AF5" s="169"/>
      <c r="AG5" s="169"/>
      <c r="AH5" s="169"/>
      <c r="AI5" s="167"/>
      <c r="AJ5" s="167"/>
      <c r="AK5" s="167"/>
      <c r="AL5" s="167"/>
      <c r="AM5" s="167"/>
      <c r="AN5" s="100" t="b">
        <f t="shared" si="1"/>
        <v>0</v>
      </c>
      <c r="AO5" s="102"/>
    </row>
    <row r="6" ht="14.25" customHeight="1">
      <c r="A6" s="170" t="s">
        <v>208</v>
      </c>
      <c r="B6" s="171"/>
      <c r="C6" s="171"/>
      <c r="D6" s="171"/>
      <c r="E6" s="171"/>
      <c r="F6" s="171"/>
      <c r="G6" s="171"/>
      <c r="H6" s="172"/>
      <c r="I6" s="172"/>
      <c r="J6" s="172"/>
      <c r="K6" s="172"/>
      <c r="L6" s="172"/>
      <c r="M6" s="172"/>
      <c r="N6" s="172"/>
      <c r="O6" s="172"/>
      <c r="P6" s="172"/>
      <c r="Q6" s="172"/>
      <c r="R6" s="172"/>
      <c r="S6" s="172"/>
      <c r="T6" s="172"/>
      <c r="U6" s="172"/>
      <c r="V6" s="172"/>
      <c r="W6" s="173"/>
      <c r="X6" s="173"/>
      <c r="Y6" s="173"/>
      <c r="Z6" s="173"/>
      <c r="AA6" s="173"/>
      <c r="AB6" s="173"/>
      <c r="AC6" s="173"/>
      <c r="AD6" s="173"/>
      <c r="AE6" s="173"/>
      <c r="AF6" s="173"/>
      <c r="AG6" s="173"/>
      <c r="AH6" s="173"/>
      <c r="AI6" s="174"/>
      <c r="AJ6" s="174"/>
      <c r="AK6" s="174"/>
      <c r="AL6" s="174"/>
      <c r="AM6" s="175"/>
      <c r="AN6" s="100" t="b">
        <f t="shared" si="1"/>
        <v>0</v>
      </c>
      <c r="AO6" s="176"/>
    </row>
    <row r="7" ht="14.25" customHeight="1">
      <c r="A7" s="177" t="s">
        <v>209</v>
      </c>
      <c r="B7" s="162"/>
      <c r="C7" s="162"/>
      <c r="D7" s="100"/>
      <c r="E7" s="162"/>
      <c r="F7" s="162"/>
      <c r="G7" s="162"/>
      <c r="H7" s="100"/>
      <c r="I7" s="178"/>
      <c r="J7" s="178"/>
      <c r="K7" s="178"/>
      <c r="L7" s="178"/>
      <c r="M7" s="178"/>
      <c r="N7" s="178"/>
      <c r="O7" s="178"/>
      <c r="P7" s="178"/>
      <c r="Q7" s="178"/>
      <c r="R7" s="178"/>
      <c r="S7" s="178"/>
      <c r="T7" s="178"/>
      <c r="U7" s="178"/>
      <c r="V7" s="178"/>
      <c r="W7" s="178"/>
      <c r="X7" s="178"/>
      <c r="Y7" s="178"/>
      <c r="Z7" s="178"/>
      <c r="AA7" s="178"/>
      <c r="AB7" s="178"/>
      <c r="AC7" s="178"/>
      <c r="AD7" s="178"/>
      <c r="AE7" s="178"/>
      <c r="AF7" s="178"/>
      <c r="AG7" s="178"/>
      <c r="AH7" s="178"/>
      <c r="AI7" s="162"/>
      <c r="AJ7" s="162"/>
      <c r="AK7" s="162"/>
      <c r="AL7" s="162"/>
      <c r="AM7" s="162"/>
      <c r="AN7" s="100" t="b">
        <f t="shared" si="1"/>
        <v>0</v>
      </c>
      <c r="AO7" s="102"/>
    </row>
    <row r="8" ht="14.25" customHeight="1" outlineLevel="1">
      <c r="A8" s="179"/>
      <c r="B8" s="179"/>
      <c r="C8" s="179"/>
      <c r="D8" s="179"/>
      <c r="E8" s="180" t="s">
        <v>210</v>
      </c>
      <c r="F8" s="123" t="s">
        <v>211</v>
      </c>
      <c r="G8" s="123" t="s">
        <v>212</v>
      </c>
      <c r="H8" s="181">
        <v>18.6849129690124</v>
      </c>
      <c r="I8" s="181">
        <v>12.8686613606257</v>
      </c>
      <c r="J8" s="181">
        <v>12.6679605878286</v>
      </c>
      <c r="K8" s="181">
        <v>13.1844009444075</v>
      </c>
      <c r="L8" s="181">
        <v>13.6942576439958</v>
      </c>
      <c r="M8" s="181">
        <v>13.7236063645606</v>
      </c>
      <c r="N8" s="181">
        <v>13.5260786824444</v>
      </c>
      <c r="O8" s="181">
        <v>13.1111294287331</v>
      </c>
      <c r="P8" s="181">
        <v>13.0353414346818</v>
      </c>
      <c r="Q8" s="181">
        <v>10.7943710532861</v>
      </c>
      <c r="R8" s="181">
        <v>11.5797223400759</v>
      </c>
      <c r="S8" s="181">
        <v>12.0206957114555</v>
      </c>
      <c r="T8" s="181">
        <v>11.2194031199101</v>
      </c>
      <c r="U8" s="181">
        <v>11.7938044026634</v>
      </c>
      <c r="V8" s="181">
        <v>11.8869928888742</v>
      </c>
      <c r="W8" s="182"/>
      <c r="X8" s="183"/>
      <c r="Y8" s="183"/>
      <c r="Z8" s="183"/>
      <c r="AA8" s="183"/>
      <c r="AB8" s="182"/>
      <c r="AC8" s="182"/>
      <c r="AD8" s="182"/>
      <c r="AE8" s="182"/>
      <c r="AF8" s="182"/>
      <c r="AG8" s="182"/>
      <c r="AH8" s="184"/>
      <c r="AI8" s="185"/>
      <c r="AJ8" s="185"/>
      <c r="AK8" s="185"/>
      <c r="AL8" s="185"/>
      <c r="AM8" s="186"/>
      <c r="AN8" s="100" t="b">
        <f t="shared" si="1"/>
        <v>0</v>
      </c>
      <c r="AO8" s="176"/>
    </row>
    <row r="9" ht="14.25" customHeight="1" outlineLevel="1">
      <c r="A9" s="179"/>
      <c r="B9" s="179"/>
      <c r="C9" s="179"/>
      <c r="D9" s="179"/>
      <c r="E9" s="187" t="s">
        <v>213</v>
      </c>
      <c r="F9" s="123" t="s">
        <v>211</v>
      </c>
      <c r="G9" s="123" t="s">
        <v>214</v>
      </c>
      <c r="H9" s="188">
        <f>soltneghgagrnes</f>
        <v>0</v>
      </c>
      <c r="I9" s="188">
        <f>soltneghgagrnes</f>
        <v>0</v>
      </c>
      <c r="J9" s="188">
        <f>soltneghgagrnes</f>
        <v>0</v>
      </c>
      <c r="K9" s="188">
        <f>soltneghgagrnes</f>
        <v>0</v>
      </c>
      <c r="L9" s="188">
        <f>soltneghgagrnes</f>
        <v>0</v>
      </c>
      <c r="M9" s="188">
        <f>soltneghgagrnes</f>
        <v>0</v>
      </c>
      <c r="N9" s="188">
        <f>soltneghgagrnes</f>
        <v>0</v>
      </c>
      <c r="O9" s="188">
        <f>soltneghgagrnes</f>
        <v>0</v>
      </c>
      <c r="P9" s="188">
        <f>soltneghgagrnes</f>
        <v>0</v>
      </c>
      <c r="Q9" s="188">
        <f>soltneghgagrnes</f>
        <v>0</v>
      </c>
      <c r="R9" s="188">
        <f>soltneghgagrnes</f>
        <v>0</v>
      </c>
      <c r="S9" s="188">
        <f>soltneghgagrnes</f>
        <v>0</v>
      </c>
      <c r="T9" s="188">
        <f>soltneghgagrnes</f>
        <v>0</v>
      </c>
      <c r="U9" s="188">
        <f>soltneghgagrnes</f>
        <v>0</v>
      </c>
      <c r="V9" s="188">
        <f>soltneghgagrnes</f>
        <v>0</v>
      </c>
      <c r="W9" s="188">
        <f>soltneghgagrnes</f>
        <v>8.75026939</v>
      </c>
      <c r="X9" s="188">
        <f>soltneghgagrnes</f>
        <v>8.741004474</v>
      </c>
      <c r="Y9" s="188">
        <f>soltneghgagrnes</f>
        <v>8.713284321</v>
      </c>
      <c r="Z9" s="188">
        <f>soltneghgagrnes</f>
        <v>8.667332117</v>
      </c>
      <c r="AA9" s="188">
        <f>soltneghgagrnes</f>
        <v>8.603517843</v>
      </c>
      <c r="AB9" s="188">
        <f>soltneghgagrnes</f>
        <v>8.522355294</v>
      </c>
      <c r="AC9" s="188">
        <f>soltneghgagrnes</f>
        <v>7.883754187</v>
      </c>
      <c r="AD9" s="188">
        <f>soltneghgagrnes</f>
        <v>6.960948852</v>
      </c>
      <c r="AE9" s="188">
        <f>soltneghgagrnes</f>
        <v>5.936712201</v>
      </c>
      <c r="AF9" s="188">
        <f>soltneghgagrnes</f>
        <v>5.013906865</v>
      </c>
      <c r="AG9" s="188">
        <f>soltneghgagrnes</f>
        <v>4.375305759</v>
      </c>
      <c r="AH9" s="188">
        <f>soltneghgagrnes</f>
        <v>4.147391663</v>
      </c>
      <c r="AI9" s="189"/>
      <c r="AJ9" s="189"/>
      <c r="AK9" s="185"/>
      <c r="AL9" s="185"/>
      <c r="AM9" s="190"/>
      <c r="AN9" s="100" t="b">
        <f t="shared" si="1"/>
        <v>1</v>
      </c>
      <c r="AO9" s="176"/>
    </row>
    <row r="10" ht="14.25" customHeight="1" outlineLevel="1">
      <c r="A10" s="161"/>
      <c r="B10" s="162"/>
      <c r="C10" s="100"/>
      <c r="D10" s="100"/>
      <c r="E10" s="122" t="s">
        <v>215</v>
      </c>
      <c r="F10" s="123" t="s">
        <v>211</v>
      </c>
      <c r="G10" s="123" t="s">
        <v>216</v>
      </c>
      <c r="H10" s="181" t="str">
        <f>Industry!H89</f>
        <v/>
      </c>
      <c r="I10" s="181" t="str">
        <f>Industry!I89</f>
        <v/>
      </c>
      <c r="J10" s="181" t="str">
        <f>Industry!J89</f>
        <v/>
      </c>
      <c r="K10" s="181" t="str">
        <f>Industry!K89</f>
        <v/>
      </c>
      <c r="L10" s="181" t="str">
        <f>Industry!L89</f>
        <v/>
      </c>
      <c r="M10" s="181" t="str">
        <f>Industry!M89</f>
        <v/>
      </c>
      <c r="N10" s="181" t="str">
        <f>Industry!N89</f>
        <v/>
      </c>
      <c r="O10" s="181" t="str">
        <f>Industry!O89</f>
        <v/>
      </c>
      <c r="P10" s="181" t="str">
        <f>Industry!P89</f>
        <v/>
      </c>
      <c r="Q10" s="181" t="str">
        <f>Industry!Q89</f>
        <v/>
      </c>
      <c r="R10" s="181" t="str">
        <f>Industry!R89</f>
        <v/>
      </c>
      <c r="S10" s="181" t="str">
        <f>Industry!S89</f>
        <v/>
      </c>
      <c r="T10" s="181" t="str">
        <f>Industry!T89</f>
        <v/>
      </c>
      <c r="U10" s="181" t="str">
        <f>Industry!U89</f>
        <v/>
      </c>
      <c r="V10" s="181" t="str">
        <f>Industry!V89</f>
        <v/>
      </c>
      <c r="W10" s="182">
        <f>Industry!W89</f>
        <v>11.90930575</v>
      </c>
      <c r="X10" s="182" t="str">
        <f>Industry!X89</f>
        <v/>
      </c>
      <c r="Y10" s="182" t="str">
        <f>Industry!Y89</f>
        <v/>
      </c>
      <c r="Z10" s="182" t="str">
        <f>Industry!Z89</f>
        <v/>
      </c>
      <c r="AA10" s="182">
        <f>Industry!AA89</f>
        <v>11.83261978</v>
      </c>
      <c r="AB10" s="182">
        <f>Industry!AB89</f>
        <v>11.83261978</v>
      </c>
      <c r="AC10" s="182">
        <f>Industry!AC89</f>
        <v>9.919166802</v>
      </c>
      <c r="AD10" s="182">
        <f>Industry!AD89</f>
        <v>8.005713829</v>
      </c>
      <c r="AE10" s="182">
        <f>Industry!AE89</f>
        <v>6.065223755</v>
      </c>
      <c r="AF10" s="182">
        <f>Industry!AF89</f>
        <v>4.12473368</v>
      </c>
      <c r="AG10" s="182">
        <f>Industry!AG89</f>
        <v>3.629919971</v>
      </c>
      <c r="AH10" s="182">
        <f>Industry!AH89</f>
        <v>3.135106262</v>
      </c>
      <c r="AI10" s="185"/>
      <c r="AJ10" s="185"/>
      <c r="AK10" s="185"/>
      <c r="AL10" s="185"/>
      <c r="AM10" s="186"/>
      <c r="AN10" s="100" t="b">
        <f t="shared" si="1"/>
        <v>1</v>
      </c>
      <c r="AO10" s="176"/>
    </row>
    <row r="11" ht="14.25" customHeight="1" outlineLevel="1">
      <c r="A11" s="161"/>
      <c r="B11" s="162"/>
      <c r="C11" s="100"/>
      <c r="D11" s="100"/>
      <c r="E11" s="122" t="s">
        <v>217</v>
      </c>
      <c r="F11" s="123" t="s">
        <v>211</v>
      </c>
      <c r="G11" s="123" t="s">
        <v>218</v>
      </c>
      <c r="H11" s="181">
        <v>5.0</v>
      </c>
      <c r="I11" s="181"/>
      <c r="J11" s="181"/>
      <c r="K11" s="181"/>
      <c r="L11" s="181"/>
      <c r="M11" s="181"/>
      <c r="N11" s="181"/>
      <c r="O11" s="181"/>
      <c r="P11" s="181"/>
      <c r="Q11" s="181"/>
      <c r="R11" s="181"/>
      <c r="S11" s="181"/>
      <c r="T11" s="181"/>
      <c r="U11" s="181"/>
      <c r="V11" s="181"/>
      <c r="W11" s="182">
        <v>1.6</v>
      </c>
      <c r="X11" s="183"/>
      <c r="Y11" s="183"/>
      <c r="Z11" s="183"/>
      <c r="AA11" s="183"/>
      <c r="AB11" s="182">
        <v>1.3</v>
      </c>
      <c r="AC11" s="182">
        <v>1.0</v>
      </c>
      <c r="AD11" s="182">
        <v>0.8</v>
      </c>
      <c r="AE11" s="182">
        <v>0.8</v>
      </c>
      <c r="AF11" s="182">
        <v>0.8</v>
      </c>
      <c r="AG11" s="182">
        <v>0.8</v>
      </c>
      <c r="AH11" s="184">
        <v>0.8</v>
      </c>
      <c r="AI11" s="185"/>
      <c r="AJ11" s="185"/>
      <c r="AK11" s="185"/>
      <c r="AL11" s="185"/>
      <c r="AM11" s="186"/>
      <c r="AN11" s="100" t="b">
        <f t="shared" si="1"/>
        <v>0</v>
      </c>
      <c r="AO11" s="176"/>
    </row>
    <row r="12" ht="14.25" customHeight="1" outlineLevel="1">
      <c r="A12" s="161"/>
      <c r="B12" s="162"/>
      <c r="C12" s="100"/>
      <c r="D12" s="100"/>
      <c r="E12" s="122" t="s">
        <v>219</v>
      </c>
      <c r="F12" s="123" t="s">
        <v>211</v>
      </c>
      <c r="G12" s="123" t="s">
        <v>220</v>
      </c>
      <c r="H12" s="181"/>
      <c r="I12" s="181"/>
      <c r="J12" s="181"/>
      <c r="K12" s="181"/>
      <c r="L12" s="181"/>
      <c r="M12" s="181"/>
      <c r="N12" s="181"/>
      <c r="O12" s="181"/>
      <c r="P12" s="181"/>
      <c r="Q12" s="181"/>
      <c r="R12" s="181"/>
      <c r="S12" s="181"/>
      <c r="T12" s="181"/>
      <c r="U12" s="181"/>
      <c r="V12" s="181"/>
      <c r="W12" s="182">
        <v>2.92075</v>
      </c>
      <c r="X12" s="183"/>
      <c r="Y12" s="183"/>
      <c r="Z12" s="183"/>
      <c r="AA12" s="183"/>
      <c r="AB12" s="182">
        <v>2.56788890972176</v>
      </c>
      <c r="AC12" s="182">
        <v>2.21502781944353</v>
      </c>
      <c r="AD12" s="182">
        <v>1.67140187962902</v>
      </c>
      <c r="AE12" s="182">
        <v>1.12777593981451</v>
      </c>
      <c r="AF12" s="182">
        <v>0.58415</v>
      </c>
      <c r="AG12" s="182">
        <v>0.292075</v>
      </c>
      <c r="AH12" s="182">
        <v>0.0</v>
      </c>
      <c r="AI12" s="185"/>
      <c r="AJ12" s="185"/>
      <c r="AK12" s="185"/>
      <c r="AL12" s="185"/>
      <c r="AM12" s="186"/>
      <c r="AN12" s="100" t="b">
        <f t="shared" si="1"/>
        <v>0</v>
      </c>
      <c r="AO12" s="176"/>
    </row>
    <row r="13" ht="9.75" customHeight="1">
      <c r="A13" s="166"/>
      <c r="B13" s="167"/>
      <c r="C13" s="167"/>
      <c r="D13" s="167"/>
      <c r="E13" s="167"/>
      <c r="F13" s="168"/>
      <c r="G13" s="168"/>
      <c r="H13" s="169"/>
      <c r="I13" s="169"/>
      <c r="J13" s="169"/>
      <c r="K13" s="169"/>
      <c r="L13" s="169"/>
      <c r="M13" s="169"/>
      <c r="N13" s="169"/>
      <c r="O13" s="169"/>
      <c r="P13" s="169"/>
      <c r="Q13" s="169"/>
      <c r="R13" s="169"/>
      <c r="S13" s="169"/>
      <c r="T13" s="169"/>
      <c r="U13" s="169"/>
      <c r="V13" s="169"/>
      <c r="W13" s="169"/>
      <c r="X13" s="169"/>
      <c r="Y13" s="169"/>
      <c r="Z13" s="169"/>
      <c r="AA13" s="169"/>
      <c r="AB13" s="169"/>
      <c r="AC13" s="169"/>
      <c r="AD13" s="169"/>
      <c r="AE13" s="169"/>
      <c r="AF13" s="169"/>
      <c r="AG13" s="169"/>
      <c r="AH13" s="169"/>
      <c r="AI13" s="167"/>
      <c r="AJ13" s="167"/>
      <c r="AK13" s="167"/>
      <c r="AL13" s="167"/>
      <c r="AM13" s="167"/>
      <c r="AN13" s="100" t="b">
        <f t="shared" si="1"/>
        <v>0</v>
      </c>
      <c r="AO13" s="102"/>
    </row>
    <row r="14" ht="14.25" customHeight="1">
      <c r="A14" s="191" t="s">
        <v>221</v>
      </c>
      <c r="B14" s="192"/>
      <c r="C14" s="192"/>
      <c r="D14" s="192"/>
      <c r="E14" s="192"/>
      <c r="F14" s="192"/>
      <c r="G14" s="192"/>
      <c r="H14" s="193"/>
      <c r="I14" s="193"/>
      <c r="J14" s="193"/>
      <c r="K14" s="193"/>
      <c r="L14" s="193"/>
      <c r="M14" s="193"/>
      <c r="N14" s="193"/>
      <c r="O14" s="193"/>
      <c r="P14" s="193"/>
      <c r="Q14" s="193"/>
      <c r="R14" s="193"/>
      <c r="S14" s="193"/>
      <c r="T14" s="193"/>
      <c r="U14" s="193"/>
      <c r="V14" s="193"/>
      <c r="W14" s="193"/>
      <c r="X14" s="193"/>
      <c r="Y14" s="193"/>
      <c r="Z14" s="193"/>
      <c r="AA14" s="193"/>
      <c r="AB14" s="193"/>
      <c r="AC14" s="193"/>
      <c r="AD14" s="193"/>
      <c r="AE14" s="193"/>
      <c r="AF14" s="193"/>
      <c r="AG14" s="193"/>
      <c r="AH14" s="193"/>
      <c r="AI14" s="194"/>
      <c r="AJ14" s="194"/>
      <c r="AK14" s="194"/>
      <c r="AL14" s="194"/>
      <c r="AM14" s="194"/>
      <c r="AN14" s="195"/>
      <c r="AO14" s="176"/>
    </row>
    <row r="15" ht="14.25" customHeight="1">
      <c r="A15" s="196" t="s">
        <v>222</v>
      </c>
      <c r="B15" s="197"/>
      <c r="C15" s="197"/>
      <c r="D15" s="197"/>
      <c r="E15" s="197"/>
      <c r="F15" s="197"/>
      <c r="G15" s="197"/>
      <c r="H15" s="198"/>
      <c r="I15" s="198"/>
      <c r="J15" s="198"/>
      <c r="K15" s="198"/>
      <c r="L15" s="198"/>
      <c r="M15" s="198"/>
      <c r="N15" s="198"/>
      <c r="O15" s="198"/>
      <c r="P15" s="198"/>
      <c r="Q15" s="198"/>
      <c r="R15" s="198"/>
      <c r="S15" s="198"/>
      <c r="T15" s="198"/>
      <c r="U15" s="198"/>
      <c r="V15" s="198"/>
      <c r="W15" s="198"/>
      <c r="X15" s="198"/>
      <c r="Y15" s="198"/>
      <c r="Z15" s="198"/>
      <c r="AA15" s="198"/>
      <c r="AB15" s="198"/>
      <c r="AC15" s="198"/>
      <c r="AD15" s="198"/>
      <c r="AE15" s="198"/>
      <c r="AF15" s="198"/>
      <c r="AG15" s="198"/>
      <c r="AH15" s="198"/>
      <c r="AI15" s="199"/>
      <c r="AJ15" s="199"/>
      <c r="AK15" s="199"/>
      <c r="AL15" s="199"/>
      <c r="AM15" s="199"/>
      <c r="AN15" s="195"/>
      <c r="AO15" s="176"/>
    </row>
    <row r="16" ht="14.25" customHeight="1" outlineLevel="3">
      <c r="A16" s="200"/>
      <c r="B16" s="100"/>
      <c r="C16" s="201"/>
      <c r="D16" s="201"/>
      <c r="E16" s="180" t="s">
        <v>223</v>
      </c>
      <c r="F16" s="123" t="s">
        <v>135</v>
      </c>
      <c r="G16" s="123" t="s">
        <v>224</v>
      </c>
      <c r="H16" s="181"/>
      <c r="I16" s="181"/>
      <c r="J16" s="181"/>
      <c r="K16" s="181"/>
      <c r="L16" s="181"/>
      <c r="M16" s="181"/>
      <c r="N16" s="181"/>
      <c r="O16" s="181"/>
      <c r="P16" s="181"/>
      <c r="Q16" s="181"/>
      <c r="R16" s="181"/>
      <c r="S16" s="181"/>
      <c r="T16" s="181"/>
      <c r="U16" s="181"/>
      <c r="V16" s="181"/>
      <c r="W16" s="202"/>
      <c r="X16" s="181"/>
      <c r="Y16" s="181"/>
      <c r="Z16" s="181"/>
      <c r="AA16" s="181"/>
      <c r="AB16" s="202"/>
      <c r="AC16" s="202"/>
      <c r="AD16" s="202"/>
      <c r="AE16" s="202"/>
      <c r="AF16" s="202"/>
      <c r="AG16" s="202"/>
      <c r="AH16" s="203"/>
      <c r="AI16" s="204"/>
      <c r="AJ16" s="204"/>
      <c r="AK16" s="204"/>
      <c r="AL16" s="204"/>
      <c r="AM16" s="205"/>
      <c r="AN16" s="100"/>
      <c r="AO16" s="102"/>
    </row>
    <row r="17" ht="14.25" customHeight="1" outlineLevel="3">
      <c r="A17" s="200"/>
      <c r="B17" s="201"/>
      <c r="C17" s="201"/>
      <c r="D17" s="201"/>
      <c r="E17" s="122" t="s">
        <v>225</v>
      </c>
      <c r="F17" s="123" t="s">
        <v>135</v>
      </c>
      <c r="G17" s="123" t="s">
        <v>226</v>
      </c>
      <c r="H17" s="181"/>
      <c r="I17" s="181"/>
      <c r="J17" s="181"/>
      <c r="K17" s="181"/>
      <c r="L17" s="181"/>
      <c r="M17" s="181"/>
      <c r="N17" s="181"/>
      <c r="O17" s="181"/>
      <c r="P17" s="181"/>
      <c r="Q17" s="181"/>
      <c r="R17" s="181"/>
      <c r="S17" s="181"/>
      <c r="T17" s="181"/>
      <c r="U17" s="181"/>
      <c r="V17" s="181"/>
      <c r="W17" s="202"/>
      <c r="X17" s="181"/>
      <c r="Y17" s="181"/>
      <c r="Z17" s="181"/>
      <c r="AA17" s="181"/>
      <c r="AB17" s="202"/>
      <c r="AC17" s="202"/>
      <c r="AD17" s="202"/>
      <c r="AE17" s="202"/>
      <c r="AF17" s="202"/>
      <c r="AG17" s="202"/>
      <c r="AH17" s="203"/>
      <c r="AI17" s="204"/>
      <c r="AJ17" s="204"/>
      <c r="AK17" s="204"/>
      <c r="AL17" s="204"/>
      <c r="AM17" s="205"/>
      <c r="AN17" s="100"/>
      <c r="AO17" s="102"/>
    </row>
    <row r="18" ht="14.25" customHeight="1" outlineLevel="3">
      <c r="A18" s="200"/>
      <c r="B18" s="201"/>
      <c r="C18" s="201"/>
      <c r="D18" s="201"/>
      <c r="E18" s="122" t="s">
        <v>227</v>
      </c>
      <c r="F18" s="123" t="s">
        <v>135</v>
      </c>
      <c r="G18" s="123" t="s">
        <v>228</v>
      </c>
      <c r="H18" s="181"/>
      <c r="I18" s="181"/>
      <c r="J18" s="181"/>
      <c r="K18" s="181"/>
      <c r="L18" s="181"/>
      <c r="M18" s="181"/>
      <c r="N18" s="181"/>
      <c r="O18" s="181"/>
      <c r="P18" s="181"/>
      <c r="Q18" s="181"/>
      <c r="R18" s="181"/>
      <c r="S18" s="181"/>
      <c r="T18" s="181"/>
      <c r="U18" s="181"/>
      <c r="V18" s="181"/>
      <c r="W18" s="202"/>
      <c r="X18" s="181"/>
      <c r="Y18" s="181"/>
      <c r="Z18" s="181"/>
      <c r="AA18" s="181"/>
      <c r="AB18" s="202"/>
      <c r="AC18" s="202"/>
      <c r="AD18" s="202"/>
      <c r="AE18" s="202"/>
      <c r="AF18" s="202"/>
      <c r="AG18" s="202"/>
      <c r="AH18" s="203"/>
      <c r="AI18" s="204"/>
      <c r="AJ18" s="204"/>
      <c r="AK18" s="204"/>
      <c r="AL18" s="204"/>
      <c r="AM18" s="205"/>
      <c r="AN18" s="100"/>
      <c r="AO18" s="102"/>
    </row>
    <row r="19" ht="14.25" customHeight="1" outlineLevel="3">
      <c r="A19" s="200"/>
      <c r="B19" s="201"/>
      <c r="C19" s="201"/>
      <c r="D19" s="201"/>
      <c r="E19" s="122" t="s">
        <v>229</v>
      </c>
      <c r="F19" s="123" t="s">
        <v>135</v>
      </c>
      <c r="G19" s="123" t="s">
        <v>230</v>
      </c>
      <c r="H19" s="181"/>
      <c r="I19" s="181"/>
      <c r="J19" s="181"/>
      <c r="K19" s="181"/>
      <c r="L19" s="181"/>
      <c r="M19" s="181"/>
      <c r="N19" s="181"/>
      <c r="O19" s="181"/>
      <c r="P19" s="181"/>
      <c r="Q19" s="181"/>
      <c r="R19" s="181"/>
      <c r="S19" s="181"/>
      <c r="T19" s="181"/>
      <c r="U19" s="181"/>
      <c r="V19" s="181"/>
      <c r="W19" s="202"/>
      <c r="X19" s="181"/>
      <c r="Y19" s="181"/>
      <c r="Z19" s="181"/>
      <c r="AA19" s="181"/>
      <c r="AB19" s="202"/>
      <c r="AC19" s="202"/>
      <c r="AD19" s="202"/>
      <c r="AE19" s="202"/>
      <c r="AF19" s="202"/>
      <c r="AG19" s="202"/>
      <c r="AH19" s="203"/>
      <c r="AI19" s="204"/>
      <c r="AJ19" s="204"/>
      <c r="AK19" s="204"/>
      <c r="AL19" s="204"/>
      <c r="AM19" s="205"/>
      <c r="AN19" s="100"/>
      <c r="AO19" s="102"/>
    </row>
    <row r="20" ht="14.25" customHeight="1" outlineLevel="3">
      <c r="A20" s="200"/>
      <c r="B20" s="201"/>
      <c r="C20" s="201"/>
      <c r="D20" s="201"/>
      <c r="E20" s="122" t="s">
        <v>231</v>
      </c>
      <c r="F20" s="123" t="s">
        <v>135</v>
      </c>
      <c r="G20" s="123" t="s">
        <v>232</v>
      </c>
      <c r="H20" s="181"/>
      <c r="I20" s="181"/>
      <c r="J20" s="181"/>
      <c r="K20" s="181"/>
      <c r="L20" s="181"/>
      <c r="M20" s="181"/>
      <c r="N20" s="181"/>
      <c r="O20" s="181"/>
      <c r="P20" s="181"/>
      <c r="Q20" s="181"/>
      <c r="R20" s="181"/>
      <c r="S20" s="181"/>
      <c r="T20" s="181"/>
      <c r="U20" s="181"/>
      <c r="V20" s="181"/>
      <c r="W20" s="202"/>
      <c r="X20" s="181"/>
      <c r="Y20" s="181"/>
      <c r="Z20" s="181"/>
      <c r="AA20" s="181"/>
      <c r="AB20" s="202"/>
      <c r="AC20" s="202"/>
      <c r="AD20" s="202"/>
      <c r="AE20" s="202"/>
      <c r="AF20" s="202"/>
      <c r="AG20" s="202"/>
      <c r="AH20" s="203"/>
      <c r="AI20" s="204"/>
      <c r="AJ20" s="204"/>
      <c r="AK20" s="204"/>
      <c r="AL20" s="204"/>
      <c r="AM20" s="205"/>
      <c r="AN20" s="100"/>
      <c r="AO20" s="102"/>
    </row>
    <row r="21" ht="14.25" customHeight="1" outlineLevel="3">
      <c r="A21" s="200"/>
      <c r="B21" s="201"/>
      <c r="C21" s="201"/>
      <c r="D21" s="201"/>
      <c r="E21" s="122" t="s">
        <v>233</v>
      </c>
      <c r="F21" s="123" t="s">
        <v>135</v>
      </c>
      <c r="G21" s="123" t="s">
        <v>234</v>
      </c>
      <c r="H21" s="181"/>
      <c r="I21" s="181"/>
      <c r="J21" s="181"/>
      <c r="K21" s="181"/>
      <c r="L21" s="181"/>
      <c r="M21" s="181"/>
      <c r="N21" s="181"/>
      <c r="O21" s="181"/>
      <c r="P21" s="181"/>
      <c r="Q21" s="181"/>
      <c r="R21" s="181"/>
      <c r="S21" s="181"/>
      <c r="T21" s="181"/>
      <c r="U21" s="181"/>
      <c r="V21" s="181"/>
      <c r="W21" s="202"/>
      <c r="X21" s="181"/>
      <c r="Y21" s="181"/>
      <c r="Z21" s="181"/>
      <c r="AA21" s="181"/>
      <c r="AB21" s="202"/>
      <c r="AC21" s="202"/>
      <c r="AD21" s="202"/>
      <c r="AE21" s="202"/>
      <c r="AF21" s="202"/>
      <c r="AG21" s="202"/>
      <c r="AH21" s="203"/>
      <c r="AI21" s="204"/>
      <c r="AJ21" s="204"/>
      <c r="AK21" s="204"/>
      <c r="AL21" s="204"/>
      <c r="AM21" s="205"/>
      <c r="AN21" s="100"/>
      <c r="AO21" s="102"/>
    </row>
    <row r="22" ht="14.25" customHeight="1" outlineLevel="3">
      <c r="A22" s="200"/>
      <c r="B22" s="201"/>
      <c r="C22" s="201"/>
      <c r="D22" s="201"/>
      <c r="E22" s="122" t="s">
        <v>235</v>
      </c>
      <c r="F22" s="123" t="s">
        <v>135</v>
      </c>
      <c r="G22" s="123" t="s">
        <v>236</v>
      </c>
      <c r="H22" s="181"/>
      <c r="I22" s="181"/>
      <c r="J22" s="181"/>
      <c r="K22" s="181"/>
      <c r="L22" s="181"/>
      <c r="M22" s="181"/>
      <c r="N22" s="181"/>
      <c r="O22" s="181"/>
      <c r="P22" s="181"/>
      <c r="Q22" s="181"/>
      <c r="R22" s="181"/>
      <c r="S22" s="181"/>
      <c r="T22" s="181"/>
      <c r="U22" s="181"/>
      <c r="V22" s="181"/>
      <c r="W22" s="202"/>
      <c r="X22" s="181"/>
      <c r="Y22" s="181"/>
      <c r="Z22" s="181"/>
      <c r="AA22" s="181"/>
      <c r="AB22" s="202"/>
      <c r="AC22" s="202"/>
      <c r="AD22" s="202"/>
      <c r="AE22" s="202"/>
      <c r="AF22" s="202"/>
      <c r="AG22" s="202"/>
      <c r="AH22" s="203"/>
      <c r="AI22" s="204"/>
      <c r="AJ22" s="204"/>
      <c r="AK22" s="204"/>
      <c r="AL22" s="204"/>
      <c r="AM22" s="205"/>
      <c r="AN22" s="100"/>
      <c r="AO22" s="102"/>
    </row>
    <row r="23" ht="14.25" customHeight="1" outlineLevel="3">
      <c r="A23" s="200"/>
      <c r="B23" s="201"/>
      <c r="C23" s="201"/>
      <c r="D23" s="201"/>
      <c r="E23" s="122" t="s">
        <v>237</v>
      </c>
      <c r="F23" s="123" t="s">
        <v>135</v>
      </c>
      <c r="G23" s="123" t="s">
        <v>238</v>
      </c>
      <c r="H23" s="181"/>
      <c r="I23" s="181"/>
      <c r="J23" s="181"/>
      <c r="K23" s="181"/>
      <c r="L23" s="181"/>
      <c r="M23" s="181"/>
      <c r="N23" s="181"/>
      <c r="O23" s="181"/>
      <c r="P23" s="181"/>
      <c r="Q23" s="181"/>
      <c r="R23" s="181"/>
      <c r="S23" s="181"/>
      <c r="T23" s="181"/>
      <c r="U23" s="181"/>
      <c r="V23" s="181"/>
      <c r="W23" s="202"/>
      <c r="X23" s="181"/>
      <c r="Y23" s="181"/>
      <c r="Z23" s="181"/>
      <c r="AA23" s="181"/>
      <c r="AB23" s="202"/>
      <c r="AC23" s="202"/>
      <c r="AD23" s="202"/>
      <c r="AE23" s="202"/>
      <c r="AF23" s="202"/>
      <c r="AG23" s="202"/>
      <c r="AH23" s="202"/>
      <c r="AI23" s="204"/>
      <c r="AJ23" s="204"/>
      <c r="AK23" s="204"/>
      <c r="AL23" s="204"/>
      <c r="AM23" s="205"/>
      <c r="AN23" s="100"/>
      <c r="AO23" s="102"/>
    </row>
    <row r="24" ht="14.25" customHeight="1" outlineLevel="3">
      <c r="A24" s="200"/>
      <c r="B24" s="201"/>
      <c r="C24" s="201"/>
      <c r="D24" s="201"/>
      <c r="E24" s="122" t="s">
        <v>239</v>
      </c>
      <c r="F24" s="123" t="s">
        <v>135</v>
      </c>
      <c r="G24" s="123" t="s">
        <v>240</v>
      </c>
      <c r="H24" s="181"/>
      <c r="I24" s="181"/>
      <c r="J24" s="181"/>
      <c r="K24" s="181"/>
      <c r="L24" s="181"/>
      <c r="M24" s="181"/>
      <c r="N24" s="181"/>
      <c r="O24" s="181"/>
      <c r="P24" s="181"/>
      <c r="Q24" s="181"/>
      <c r="R24" s="181"/>
      <c r="S24" s="181"/>
      <c r="T24" s="181"/>
      <c r="U24" s="181"/>
      <c r="V24" s="181"/>
      <c r="W24" s="202"/>
      <c r="X24" s="181"/>
      <c r="Y24" s="181"/>
      <c r="Z24" s="181"/>
      <c r="AA24" s="181"/>
      <c r="AB24" s="202"/>
      <c r="AC24" s="202"/>
      <c r="AD24" s="202"/>
      <c r="AE24" s="202"/>
      <c r="AF24" s="202"/>
      <c r="AG24" s="202"/>
      <c r="AH24" s="203"/>
      <c r="AI24" s="204"/>
      <c r="AJ24" s="204"/>
      <c r="AK24" s="204"/>
      <c r="AL24" s="204"/>
      <c r="AM24" s="205"/>
      <c r="AN24" s="100"/>
      <c r="AO24" s="102"/>
    </row>
    <row r="25" ht="14.25" customHeight="1">
      <c r="A25" s="99"/>
      <c r="B25" s="100"/>
      <c r="C25" s="100"/>
      <c r="D25" s="100"/>
      <c r="E25" s="100"/>
      <c r="F25" s="206"/>
      <c r="G25" s="206"/>
      <c r="H25" s="207"/>
      <c r="I25" s="207"/>
      <c r="J25" s="207"/>
      <c r="K25" s="207"/>
      <c r="L25" s="207"/>
      <c r="M25" s="207"/>
      <c r="N25" s="207"/>
      <c r="O25" s="207"/>
      <c r="P25" s="207"/>
      <c r="Q25" s="207"/>
      <c r="R25" s="207"/>
      <c r="S25" s="207"/>
      <c r="T25" s="207"/>
      <c r="U25" s="207"/>
      <c r="V25" s="207"/>
      <c r="W25" s="208"/>
      <c r="X25" s="208"/>
      <c r="Y25" s="208"/>
      <c r="Z25" s="208"/>
      <c r="AA25" s="208"/>
      <c r="AB25" s="208"/>
      <c r="AC25" s="208"/>
      <c r="AD25" s="208"/>
      <c r="AE25" s="208"/>
      <c r="AF25" s="208"/>
      <c r="AG25" s="208"/>
      <c r="AH25" s="208"/>
      <c r="AI25" s="100"/>
      <c r="AJ25" s="100"/>
      <c r="AK25" s="100"/>
      <c r="AL25" s="100"/>
      <c r="AM25" s="100"/>
      <c r="AN25" s="100"/>
      <c r="AO25" s="102"/>
    </row>
    <row r="26" ht="14.25" customHeight="1">
      <c r="A26" s="99"/>
      <c r="B26" s="100"/>
      <c r="C26" s="100"/>
      <c r="D26" s="100"/>
      <c r="E26" s="100"/>
      <c r="F26" s="206"/>
      <c r="G26" s="206"/>
      <c r="H26" s="207"/>
      <c r="I26" s="207"/>
      <c r="J26" s="207"/>
      <c r="K26" s="207"/>
      <c r="L26" s="207"/>
      <c r="M26" s="207"/>
      <c r="N26" s="207"/>
      <c r="O26" s="207"/>
      <c r="P26" s="207"/>
      <c r="Q26" s="207"/>
      <c r="R26" s="207"/>
      <c r="S26" s="207"/>
      <c r="T26" s="207"/>
      <c r="U26" s="207"/>
      <c r="V26" s="207"/>
      <c r="W26" s="208"/>
      <c r="X26" s="208"/>
      <c r="Y26" s="208"/>
      <c r="Z26" s="208"/>
      <c r="AA26" s="208"/>
      <c r="AB26" s="208"/>
      <c r="AC26" s="208"/>
      <c r="AD26" s="208"/>
      <c r="AE26" s="208"/>
      <c r="AF26" s="208"/>
      <c r="AG26" s="208"/>
      <c r="AH26" s="208"/>
      <c r="AI26" s="100"/>
      <c r="AJ26" s="100"/>
      <c r="AK26" s="100"/>
      <c r="AL26" s="100"/>
      <c r="AM26" s="100"/>
      <c r="AN26" s="100"/>
      <c r="AO26" s="102"/>
    </row>
    <row r="27" ht="14.25" customHeight="1">
      <c r="A27" s="99"/>
      <c r="B27" s="100"/>
      <c r="C27" s="100"/>
      <c r="D27" s="100"/>
      <c r="E27" s="100"/>
      <c r="F27" s="206"/>
      <c r="G27" s="206"/>
      <c r="H27" s="207"/>
      <c r="I27" s="207"/>
      <c r="J27" s="207"/>
      <c r="K27" s="207"/>
      <c r="L27" s="207"/>
      <c r="M27" s="207"/>
      <c r="N27" s="207"/>
      <c r="O27" s="207"/>
      <c r="P27" s="207"/>
      <c r="Q27" s="207"/>
      <c r="R27" s="207"/>
      <c r="S27" s="207"/>
      <c r="T27" s="207"/>
      <c r="U27" s="207"/>
      <c r="V27" s="207"/>
      <c r="W27" s="208"/>
      <c r="X27" s="208"/>
      <c r="Y27" s="208"/>
      <c r="Z27" s="208"/>
      <c r="AA27" s="208"/>
      <c r="AB27" s="208"/>
      <c r="AC27" s="208"/>
      <c r="AD27" s="208"/>
      <c r="AE27" s="208"/>
      <c r="AF27" s="208"/>
      <c r="AG27" s="208"/>
      <c r="AH27" s="208"/>
      <c r="AI27" s="100"/>
      <c r="AJ27" s="100"/>
      <c r="AK27" s="100"/>
      <c r="AL27" s="100"/>
      <c r="AM27" s="100"/>
      <c r="AN27" s="100"/>
      <c r="AO27" s="102"/>
    </row>
    <row r="28" ht="14.25" customHeight="1">
      <c r="A28" s="99"/>
      <c r="B28" s="100"/>
      <c r="C28" s="100"/>
      <c r="D28" s="100"/>
      <c r="E28" s="209" t="s">
        <v>241</v>
      </c>
      <c r="F28" s="206"/>
      <c r="G28" s="206"/>
      <c r="H28" s="207"/>
      <c r="I28" s="207"/>
      <c r="J28" s="207"/>
      <c r="K28" s="207"/>
      <c r="L28" s="207"/>
      <c r="M28" s="207"/>
      <c r="N28" s="207"/>
      <c r="O28" s="207"/>
      <c r="P28" s="207"/>
      <c r="Q28" s="207"/>
      <c r="R28" s="207"/>
      <c r="S28" s="207"/>
      <c r="T28" s="207"/>
      <c r="U28" s="207"/>
      <c r="V28" s="207"/>
      <c r="W28" s="208"/>
      <c r="X28" s="208"/>
      <c r="Y28" s="208"/>
      <c r="Z28" s="208"/>
      <c r="AA28" s="208"/>
      <c r="AB28" s="208"/>
      <c r="AC28" s="208"/>
      <c r="AD28" s="208"/>
      <c r="AE28" s="208"/>
      <c r="AF28" s="208"/>
      <c r="AG28" s="208"/>
      <c r="AH28" s="208"/>
      <c r="AI28" s="100"/>
      <c r="AJ28" s="100"/>
      <c r="AK28" s="100"/>
      <c r="AL28" s="100"/>
      <c r="AM28" s="100"/>
      <c r="AN28" s="100"/>
      <c r="AO28" s="102"/>
    </row>
    <row r="29" ht="60.0" customHeight="1">
      <c r="A29" s="99"/>
      <c r="B29" s="100"/>
      <c r="C29" s="100"/>
      <c r="D29" s="100"/>
      <c r="E29" s="210"/>
      <c r="F29" s="206"/>
      <c r="G29" s="206"/>
      <c r="H29" s="207"/>
      <c r="I29" s="207"/>
      <c r="J29" s="207"/>
      <c r="K29" s="207"/>
      <c r="L29" s="207"/>
      <c r="M29" s="207"/>
      <c r="N29" s="207"/>
      <c r="O29" s="207"/>
      <c r="P29" s="207"/>
      <c r="Q29" s="207"/>
      <c r="R29" s="207"/>
      <c r="S29" s="207"/>
      <c r="T29" s="207"/>
      <c r="U29" s="207"/>
      <c r="V29" s="207"/>
      <c r="W29" s="208"/>
      <c r="X29" s="208"/>
      <c r="Y29" s="208"/>
      <c r="Z29" s="208"/>
      <c r="AA29" s="208"/>
      <c r="AB29" s="208"/>
      <c r="AC29" s="208"/>
      <c r="AD29" s="208"/>
      <c r="AE29" s="208"/>
      <c r="AF29" s="208"/>
      <c r="AG29" s="208"/>
      <c r="AH29" s="208"/>
      <c r="AI29" s="100"/>
      <c r="AJ29" s="100"/>
      <c r="AK29" s="100"/>
      <c r="AL29" s="100"/>
      <c r="AM29" s="100"/>
      <c r="AN29" s="100"/>
      <c r="AO29" s="102"/>
    </row>
    <row r="30" ht="14.25" customHeight="1">
      <c r="A30" s="99"/>
      <c r="B30" s="100"/>
      <c r="C30" s="100"/>
      <c r="D30" s="100"/>
      <c r="E30" s="127"/>
      <c r="F30" s="206"/>
      <c r="G30" s="206"/>
      <c r="H30" s="207"/>
      <c r="I30" s="207"/>
      <c r="J30" s="207"/>
      <c r="K30" s="207"/>
      <c r="L30" s="207"/>
      <c r="M30" s="207"/>
      <c r="N30" s="207"/>
      <c r="O30" s="207"/>
      <c r="P30" s="207"/>
      <c r="Q30" s="207"/>
      <c r="R30" s="207"/>
      <c r="S30" s="207"/>
      <c r="T30" s="207"/>
      <c r="U30" s="207"/>
      <c r="V30" s="207"/>
      <c r="W30" s="208"/>
      <c r="X30" s="208"/>
      <c r="Y30" s="208"/>
      <c r="Z30" s="208"/>
      <c r="AA30" s="208"/>
      <c r="AB30" s="208"/>
      <c r="AC30" s="208"/>
      <c r="AD30" s="208"/>
      <c r="AE30" s="208"/>
      <c r="AF30" s="208"/>
      <c r="AG30" s="208"/>
      <c r="AH30" s="208"/>
      <c r="AI30" s="100"/>
      <c r="AJ30" s="100"/>
      <c r="AK30" s="100"/>
      <c r="AL30" s="100"/>
      <c r="AM30" s="100"/>
      <c r="AN30" s="100"/>
      <c r="AO30" s="102"/>
    </row>
    <row r="31" ht="14.25" customHeight="1">
      <c r="A31" s="99"/>
      <c r="B31" s="100"/>
      <c r="C31" s="100"/>
      <c r="D31" s="100"/>
      <c r="E31" s="211" t="s">
        <v>242</v>
      </c>
      <c r="F31" s="206"/>
      <c r="G31" s="206"/>
      <c r="H31" s="207"/>
      <c r="I31" s="207"/>
      <c r="J31" s="207"/>
      <c r="K31" s="207"/>
      <c r="L31" s="207"/>
      <c r="M31" s="207"/>
      <c r="N31" s="207"/>
      <c r="O31" s="207"/>
      <c r="P31" s="207"/>
      <c r="Q31" s="207"/>
      <c r="R31" s="207"/>
      <c r="S31" s="207"/>
      <c r="T31" s="207"/>
      <c r="U31" s="207"/>
      <c r="V31" s="207"/>
      <c r="W31" s="208"/>
      <c r="X31" s="208"/>
      <c r="Y31" s="208"/>
      <c r="Z31" s="208"/>
      <c r="AA31" s="208"/>
      <c r="AB31" s="208"/>
      <c r="AC31" s="208"/>
      <c r="AD31" s="208"/>
      <c r="AE31" s="208"/>
      <c r="AF31" s="208"/>
      <c r="AG31" s="208"/>
      <c r="AH31" s="208"/>
      <c r="AI31" s="100"/>
      <c r="AJ31" s="100"/>
      <c r="AK31" s="100"/>
      <c r="AL31" s="100"/>
      <c r="AM31" s="100"/>
      <c r="AN31" s="100"/>
      <c r="AO31" s="102"/>
    </row>
    <row r="32" ht="60.0" customHeight="1">
      <c r="A32" s="99"/>
      <c r="B32" s="100"/>
      <c r="C32" s="100"/>
      <c r="D32" s="100"/>
      <c r="E32" s="210"/>
      <c r="F32" s="206"/>
      <c r="G32" s="206"/>
      <c r="H32" s="207"/>
      <c r="I32" s="207"/>
      <c r="J32" s="207"/>
      <c r="K32" s="207"/>
      <c r="L32" s="207"/>
      <c r="M32" s="207"/>
      <c r="N32" s="207"/>
      <c r="O32" s="207"/>
      <c r="P32" s="207"/>
      <c r="Q32" s="207"/>
      <c r="R32" s="207"/>
      <c r="S32" s="207"/>
      <c r="T32" s="207"/>
      <c r="U32" s="207"/>
      <c r="V32" s="207"/>
      <c r="W32" s="208"/>
      <c r="X32" s="208"/>
      <c r="Y32" s="208"/>
      <c r="Z32" s="208"/>
      <c r="AA32" s="208"/>
      <c r="AB32" s="208"/>
      <c r="AC32" s="208"/>
      <c r="AD32" s="208"/>
      <c r="AE32" s="208"/>
      <c r="AF32" s="208"/>
      <c r="AG32" s="208"/>
      <c r="AH32" s="208"/>
      <c r="AI32" s="100"/>
      <c r="AJ32" s="100"/>
      <c r="AK32" s="100"/>
      <c r="AL32" s="100"/>
      <c r="AM32" s="100"/>
      <c r="AN32" s="100"/>
      <c r="AO32" s="102"/>
    </row>
    <row r="33" ht="14.25" customHeight="1">
      <c r="A33" s="99"/>
      <c r="B33" s="100"/>
      <c r="C33" s="100"/>
      <c r="D33" s="100"/>
      <c r="E33" s="100"/>
      <c r="F33" s="100"/>
      <c r="G33" s="100"/>
      <c r="H33" s="100"/>
      <c r="I33" s="207"/>
      <c r="J33" s="207"/>
      <c r="K33" s="207"/>
      <c r="L33" s="207"/>
      <c r="M33" s="207"/>
      <c r="N33" s="207"/>
      <c r="O33" s="207"/>
      <c r="P33" s="207"/>
      <c r="Q33" s="207"/>
      <c r="R33" s="207"/>
      <c r="S33" s="207"/>
      <c r="T33" s="207"/>
      <c r="U33" s="207"/>
      <c r="V33" s="207"/>
      <c r="W33" s="208"/>
      <c r="X33" s="208"/>
      <c r="Y33" s="208"/>
      <c r="Z33" s="208"/>
      <c r="AA33" s="208"/>
      <c r="AB33" s="208"/>
      <c r="AC33" s="208"/>
      <c r="AD33" s="208"/>
      <c r="AE33" s="208"/>
      <c r="AF33" s="208"/>
      <c r="AG33" s="208"/>
      <c r="AH33" s="208"/>
      <c r="AI33" s="100"/>
      <c r="AJ33" s="100"/>
      <c r="AK33" s="100"/>
      <c r="AL33" s="100"/>
      <c r="AM33" s="100"/>
      <c r="AN33" s="100"/>
      <c r="AO33" s="102"/>
    </row>
    <row r="34" ht="14.25" customHeight="1">
      <c r="A34" s="99"/>
      <c r="B34" s="100"/>
      <c r="C34" s="100"/>
      <c r="D34" s="100"/>
      <c r="E34" s="100"/>
      <c r="F34" s="100"/>
      <c r="G34" s="100"/>
      <c r="H34" s="100"/>
      <c r="I34" s="207"/>
      <c r="J34" s="207"/>
      <c r="K34" s="207"/>
      <c r="L34" s="207"/>
      <c r="M34" s="207"/>
      <c r="N34" s="207"/>
      <c r="O34" s="207"/>
      <c r="P34" s="207"/>
      <c r="Q34" s="207"/>
      <c r="R34" s="207"/>
      <c r="S34" s="207"/>
      <c r="T34" s="207"/>
      <c r="U34" s="207"/>
      <c r="V34" s="207"/>
      <c r="W34" s="208"/>
      <c r="X34" s="208"/>
      <c r="Y34" s="208"/>
      <c r="Z34" s="208"/>
      <c r="AA34" s="208"/>
      <c r="AB34" s="208"/>
      <c r="AC34" s="208"/>
      <c r="AD34" s="208"/>
      <c r="AE34" s="208"/>
      <c r="AF34" s="208"/>
      <c r="AG34" s="208"/>
      <c r="AH34" s="208"/>
      <c r="AI34" s="100"/>
      <c r="AJ34" s="100"/>
      <c r="AK34" s="100"/>
      <c r="AL34" s="100"/>
      <c r="AM34" s="100"/>
      <c r="AN34" s="100"/>
      <c r="AO34" s="102"/>
    </row>
    <row r="35" ht="14.25" customHeight="1">
      <c r="A35" s="99"/>
      <c r="B35" s="100"/>
      <c r="C35" s="100"/>
      <c r="D35" s="100"/>
      <c r="E35" s="100"/>
      <c r="F35" s="206"/>
      <c r="G35" s="206"/>
      <c r="H35" s="207"/>
      <c r="I35" s="207"/>
      <c r="J35" s="207"/>
      <c r="K35" s="207"/>
      <c r="L35" s="207"/>
      <c r="M35" s="207"/>
      <c r="N35" s="207"/>
      <c r="O35" s="207"/>
      <c r="P35" s="207"/>
      <c r="Q35" s="207"/>
      <c r="R35" s="207"/>
      <c r="S35" s="207"/>
      <c r="T35" s="207"/>
      <c r="U35" s="207"/>
      <c r="V35" s="207"/>
      <c r="W35" s="208"/>
      <c r="X35" s="208"/>
      <c r="Y35" s="208"/>
      <c r="Z35" s="208"/>
      <c r="AA35" s="208"/>
      <c r="AB35" s="208"/>
      <c r="AC35" s="208"/>
      <c r="AD35" s="208"/>
      <c r="AE35" s="208"/>
      <c r="AF35" s="208"/>
      <c r="AG35" s="208"/>
      <c r="AH35" s="208"/>
      <c r="AI35" s="100"/>
      <c r="AJ35" s="100"/>
      <c r="AK35" s="100"/>
      <c r="AL35" s="100"/>
      <c r="AM35" s="100"/>
      <c r="AN35" s="100"/>
      <c r="AO35" s="102"/>
    </row>
    <row r="36" ht="14.25" customHeight="1">
      <c r="A36" s="136" t="s">
        <v>201</v>
      </c>
      <c r="B36" s="137"/>
      <c r="C36" s="137"/>
      <c r="D36" s="138"/>
      <c r="E36" s="137"/>
      <c r="F36" s="137"/>
      <c r="G36" s="137"/>
      <c r="H36" s="62">
        <v>2000.0</v>
      </c>
      <c r="I36" s="62">
        <v>2001.0</v>
      </c>
      <c r="J36" s="62">
        <v>2002.0</v>
      </c>
      <c r="K36" s="62">
        <v>2003.0</v>
      </c>
      <c r="L36" s="62">
        <v>2004.0</v>
      </c>
      <c r="M36" s="62">
        <v>2005.0</v>
      </c>
      <c r="N36" s="62">
        <v>2006.0</v>
      </c>
      <c r="O36" s="62">
        <v>2007.0</v>
      </c>
      <c r="P36" s="62">
        <v>2008.0</v>
      </c>
      <c r="Q36" s="62">
        <v>2009.0</v>
      </c>
      <c r="R36" s="62">
        <v>2010.0</v>
      </c>
      <c r="S36" s="62">
        <v>2011.0</v>
      </c>
      <c r="T36" s="62">
        <v>2012.0</v>
      </c>
      <c r="U36" s="62">
        <v>2013.0</v>
      </c>
      <c r="V36" s="62">
        <v>2014.0</v>
      </c>
      <c r="W36" s="62">
        <v>2015.0</v>
      </c>
      <c r="X36" s="62">
        <v>2016.0</v>
      </c>
      <c r="Y36" s="62">
        <v>2017.0</v>
      </c>
      <c r="Z36" s="62">
        <v>2018.0</v>
      </c>
      <c r="AA36" s="62">
        <v>2019.0</v>
      </c>
      <c r="AB36" s="62">
        <v>2020.0</v>
      </c>
      <c r="AC36" s="62">
        <v>2025.0</v>
      </c>
      <c r="AD36" s="62">
        <v>2030.0</v>
      </c>
      <c r="AE36" s="62">
        <v>2035.0</v>
      </c>
      <c r="AF36" s="62">
        <v>2040.0</v>
      </c>
      <c r="AG36" s="62">
        <v>2045.0</v>
      </c>
      <c r="AH36" s="62">
        <v>2050.0</v>
      </c>
      <c r="AI36" s="212" t="s">
        <v>243</v>
      </c>
      <c r="AJ36" s="212" t="s">
        <v>244</v>
      </c>
      <c r="AK36" s="212" t="s">
        <v>245</v>
      </c>
      <c r="AL36" s="212" t="s">
        <v>246</v>
      </c>
      <c r="AM36" s="212" t="s">
        <v>247</v>
      </c>
      <c r="AN36" s="100"/>
      <c r="AO36" s="102"/>
    </row>
    <row r="37" ht="14.25" customHeight="1">
      <c r="A37" s="213" t="s">
        <v>248</v>
      </c>
      <c r="B37" s="214"/>
      <c r="C37" s="214"/>
      <c r="D37" s="214"/>
      <c r="E37" s="214"/>
      <c r="F37" s="214"/>
      <c r="G37" s="214"/>
      <c r="H37" s="141" t="str">
        <f t="shared" ref="H37:AH37" si="2">AVERAGE(H38,H39,H40,H41,H42,MAX(H43,H44),H45)</f>
        <v>#REF!</v>
      </c>
      <c r="I37" s="141" t="str">
        <f t="shared" si="2"/>
        <v>#REF!</v>
      </c>
      <c r="J37" s="141" t="str">
        <f t="shared" si="2"/>
        <v>#REF!</v>
      </c>
      <c r="K37" s="141" t="str">
        <f t="shared" si="2"/>
        <v>#REF!</v>
      </c>
      <c r="L37" s="141" t="str">
        <f t="shared" si="2"/>
        <v>#REF!</v>
      </c>
      <c r="M37" s="141" t="str">
        <f t="shared" si="2"/>
        <v>#REF!</v>
      </c>
      <c r="N37" s="141" t="str">
        <f t="shared" si="2"/>
        <v>#REF!</v>
      </c>
      <c r="O37" s="141" t="str">
        <f t="shared" si="2"/>
        <v>#REF!</v>
      </c>
      <c r="P37" s="141" t="str">
        <f t="shared" si="2"/>
        <v>#REF!</v>
      </c>
      <c r="Q37" s="141" t="str">
        <f t="shared" si="2"/>
        <v>#REF!</v>
      </c>
      <c r="R37" s="141" t="str">
        <f t="shared" si="2"/>
        <v>#REF!</v>
      </c>
      <c r="S37" s="141" t="str">
        <f t="shared" si="2"/>
        <v>#REF!</v>
      </c>
      <c r="T37" s="141" t="str">
        <f t="shared" si="2"/>
        <v>#REF!</v>
      </c>
      <c r="U37" s="141" t="str">
        <f t="shared" si="2"/>
        <v>#REF!</v>
      </c>
      <c r="V37" s="141" t="str">
        <f t="shared" si="2"/>
        <v>#REF!</v>
      </c>
      <c r="W37" s="141" t="str">
        <f t="shared" si="2"/>
        <v>#REF!</v>
      </c>
      <c r="X37" s="141" t="str">
        <f t="shared" si="2"/>
        <v>#REF!</v>
      </c>
      <c r="Y37" s="141" t="str">
        <f t="shared" si="2"/>
        <v>#REF!</v>
      </c>
      <c r="Z37" s="141" t="str">
        <f t="shared" si="2"/>
        <v>#REF!</v>
      </c>
      <c r="AA37" s="141" t="str">
        <f t="shared" si="2"/>
        <v>#REF!</v>
      </c>
      <c r="AB37" s="141" t="str">
        <f t="shared" si="2"/>
        <v>#REF!</v>
      </c>
      <c r="AC37" s="141" t="str">
        <f t="shared" si="2"/>
        <v>#REF!</v>
      </c>
      <c r="AD37" s="141" t="str">
        <f t="shared" si="2"/>
        <v>#REF!</v>
      </c>
      <c r="AE37" s="141" t="str">
        <f t="shared" si="2"/>
        <v>#REF!</v>
      </c>
      <c r="AF37" s="141" t="str">
        <f t="shared" si="2"/>
        <v>#REF!</v>
      </c>
      <c r="AG37" s="141" t="str">
        <f t="shared" si="2"/>
        <v>#REF!</v>
      </c>
      <c r="AH37" s="141" t="str">
        <f t="shared" si="2"/>
        <v>#REF!</v>
      </c>
      <c r="AI37" s="141" t="str">
        <f t="shared" ref="AI37:AI45" si="4">AVERAGE(H37:AA37)</f>
        <v>#REF!</v>
      </c>
      <c r="AJ37" s="141" t="str">
        <f t="shared" ref="AJ37:AJ45" si="5">W37</f>
        <v>#REF!</v>
      </c>
      <c r="AK37" s="141" t="str">
        <f t="shared" ref="AK37:AK45" si="6">AVERAGE(AB37:AH37)</f>
        <v>#REF!</v>
      </c>
      <c r="AL37" s="141" t="str">
        <f t="shared" ref="AL37:AL45" si="7">AVERAGE(W37,AB37,AC37,AD37,AE37,AF37,AG37,AH37)</f>
        <v>#REF!</v>
      </c>
      <c r="AM37" s="215" t="str">
        <f t="shared" ref="AM37:AM45" si="8">AVERAGE(H37:AH37)</f>
        <v>#REF!</v>
      </c>
      <c r="AN37" s="100"/>
      <c r="AO37" s="102"/>
    </row>
    <row r="38" ht="14.25" customHeight="1">
      <c r="A38" s="151" t="s">
        <v>249</v>
      </c>
      <c r="B38" s="152"/>
      <c r="C38" s="152"/>
      <c r="D38" s="152"/>
      <c r="E38" s="152"/>
      <c r="F38" s="152"/>
      <c r="G38" s="152"/>
      <c r="H38" s="141">
        <f t="shared" ref="H38:AH38" si="3">(COUNTA(H2:H25)-COUNTIF($AN$2:$AN$25,1))/(COUNTA($G$2:$G$25)-COUNTIF($AN$2:$AN$25,1))</f>
        <v>0.3333333333</v>
      </c>
      <c r="I38" s="141">
        <f t="shared" si="3"/>
        <v>0.2666666667</v>
      </c>
      <c r="J38" s="141">
        <f t="shared" si="3"/>
        <v>0.2666666667</v>
      </c>
      <c r="K38" s="141">
        <f t="shared" si="3"/>
        <v>0.2666666667</v>
      </c>
      <c r="L38" s="141">
        <f t="shared" si="3"/>
        <v>0.2666666667</v>
      </c>
      <c r="M38" s="141">
        <f t="shared" si="3"/>
        <v>0.2666666667</v>
      </c>
      <c r="N38" s="141">
        <f t="shared" si="3"/>
        <v>0.2666666667</v>
      </c>
      <c r="O38" s="141">
        <f t="shared" si="3"/>
        <v>0.2666666667</v>
      </c>
      <c r="P38" s="141">
        <f t="shared" si="3"/>
        <v>0.2666666667</v>
      </c>
      <c r="Q38" s="141">
        <f t="shared" si="3"/>
        <v>0.2666666667</v>
      </c>
      <c r="R38" s="141">
        <f t="shared" si="3"/>
        <v>0.2666666667</v>
      </c>
      <c r="S38" s="141">
        <f t="shared" si="3"/>
        <v>0.2666666667</v>
      </c>
      <c r="T38" s="141">
        <f t="shared" si="3"/>
        <v>0.2666666667</v>
      </c>
      <c r="U38" s="141">
        <f t="shared" si="3"/>
        <v>0.2666666667</v>
      </c>
      <c r="V38" s="141">
        <f t="shared" si="3"/>
        <v>0.2666666667</v>
      </c>
      <c r="W38" s="141">
        <f t="shared" si="3"/>
        <v>0.3333333333</v>
      </c>
      <c r="X38" s="141">
        <f t="shared" si="3"/>
        <v>0.1333333333</v>
      </c>
      <c r="Y38" s="141">
        <f t="shared" si="3"/>
        <v>0.1333333333</v>
      </c>
      <c r="Z38" s="141">
        <f t="shared" si="3"/>
        <v>0.1333333333</v>
      </c>
      <c r="AA38" s="141">
        <f t="shared" si="3"/>
        <v>0.2</v>
      </c>
      <c r="AB38" s="141">
        <f t="shared" si="3"/>
        <v>0.3333333333</v>
      </c>
      <c r="AC38" s="141">
        <f t="shared" si="3"/>
        <v>0.3333333333</v>
      </c>
      <c r="AD38" s="141">
        <f t="shared" si="3"/>
        <v>0.3333333333</v>
      </c>
      <c r="AE38" s="141">
        <f t="shared" si="3"/>
        <v>0.3333333333</v>
      </c>
      <c r="AF38" s="141">
        <f t="shared" si="3"/>
        <v>0.3333333333</v>
      </c>
      <c r="AG38" s="141">
        <f t="shared" si="3"/>
        <v>0.3333333333</v>
      </c>
      <c r="AH38" s="141">
        <f t="shared" si="3"/>
        <v>0.3333333333</v>
      </c>
      <c r="AI38" s="141">
        <f t="shared" si="4"/>
        <v>0.25</v>
      </c>
      <c r="AJ38" s="141">
        <f t="shared" si="5"/>
        <v>0.3333333333</v>
      </c>
      <c r="AK38" s="141">
        <f t="shared" si="6"/>
        <v>0.3333333333</v>
      </c>
      <c r="AL38" s="141">
        <f t="shared" si="7"/>
        <v>0.3333333333</v>
      </c>
      <c r="AM38" s="215">
        <f t="shared" si="8"/>
        <v>0.2716049383</v>
      </c>
      <c r="AN38" s="100"/>
      <c r="AO38" s="102"/>
    </row>
    <row r="39" ht="14.25" customHeight="1">
      <c r="A39" s="216" t="s">
        <v>250</v>
      </c>
      <c r="B39" s="217"/>
      <c r="C39" s="217"/>
      <c r="D39" s="217"/>
      <c r="E39" s="217"/>
      <c r="F39" s="217"/>
      <c r="G39" s="217"/>
      <c r="H39" s="141">
        <f>Residential!H230</f>
        <v>0.4443055556</v>
      </c>
      <c r="I39" s="141">
        <f>Residential!I230</f>
        <v>0.4554166667</v>
      </c>
      <c r="J39" s="141">
        <f>Residential!J230</f>
        <v>0.4304166667</v>
      </c>
      <c r="K39" s="141">
        <f>Residential!K230</f>
        <v>0.4304166667</v>
      </c>
      <c r="L39" s="141">
        <f>Residential!L230</f>
        <v>0.4304166667</v>
      </c>
      <c r="M39" s="141">
        <f>Residential!M230</f>
        <v>0.4304166667</v>
      </c>
      <c r="N39" s="141">
        <f>Residential!N230</f>
        <v>0.4304166667</v>
      </c>
      <c r="O39" s="141">
        <f>Residential!O230</f>
        <v>0.4304166667</v>
      </c>
      <c r="P39" s="141">
        <f>Residential!P230</f>
        <v>0.4304166667</v>
      </c>
      <c r="Q39" s="141">
        <f>Residential!Q230</f>
        <v>0.4304166667</v>
      </c>
      <c r="R39" s="141">
        <f>Residential!R230</f>
        <v>0.5781944444</v>
      </c>
      <c r="S39" s="141">
        <f>Residential!S230</f>
        <v>0.5781944444</v>
      </c>
      <c r="T39" s="141">
        <f>Residential!T230</f>
        <v>0.5781944444</v>
      </c>
      <c r="U39" s="141">
        <f>Residential!U230</f>
        <v>0.5781944444</v>
      </c>
      <c r="V39" s="141">
        <f>Residential!V230</f>
        <v>0.5781944444</v>
      </c>
      <c r="W39" s="141">
        <f>Residential!W230</f>
        <v>0.8769444444</v>
      </c>
      <c r="X39" s="141">
        <f>Residential!X230</f>
        <v>0.4809722222</v>
      </c>
      <c r="Y39" s="141">
        <f>Residential!Y230</f>
        <v>0.4643055556</v>
      </c>
      <c r="Z39" s="141">
        <f>Residential!Z230</f>
        <v>0.2059259259</v>
      </c>
      <c r="AA39" s="141">
        <f>Residential!AA230</f>
        <v>0.1777777778</v>
      </c>
      <c r="AB39" s="141">
        <f>Residential!AB230</f>
        <v>0.6652777778</v>
      </c>
      <c r="AC39" s="141">
        <f>Residential!AC230</f>
        <v>0.6652777778</v>
      </c>
      <c r="AD39" s="141">
        <f>Residential!AD230</f>
        <v>0.6652777778</v>
      </c>
      <c r="AE39" s="141">
        <f>Residential!AE230</f>
        <v>0.6652777778</v>
      </c>
      <c r="AF39" s="141">
        <f>Residential!AF230</f>
        <v>0.6652777778</v>
      </c>
      <c r="AG39" s="141">
        <f>Residential!AG230</f>
        <v>0.6652777778</v>
      </c>
      <c r="AH39" s="141">
        <f>Residential!AH230</f>
        <v>0.6652777778</v>
      </c>
      <c r="AI39" s="141">
        <f t="shared" si="4"/>
        <v>0.4719976852</v>
      </c>
      <c r="AJ39" s="141">
        <f t="shared" si="5"/>
        <v>0.8769444444</v>
      </c>
      <c r="AK39" s="141">
        <f t="shared" si="6"/>
        <v>0.6652777778</v>
      </c>
      <c r="AL39" s="141">
        <f t="shared" si="7"/>
        <v>0.6917361111</v>
      </c>
      <c r="AM39" s="215">
        <f t="shared" si="8"/>
        <v>0.5221073388</v>
      </c>
      <c r="AN39" s="100"/>
      <c r="AO39" s="102"/>
    </row>
    <row r="40" ht="14.25" customHeight="1">
      <c r="A40" s="218" t="s">
        <v>251</v>
      </c>
      <c r="B40" s="219"/>
      <c r="C40" s="219"/>
      <c r="D40" s="219"/>
      <c r="E40" s="219"/>
      <c r="F40" s="219"/>
      <c r="G40" s="219"/>
      <c r="H40" s="141">
        <f>Tertiary!H213</f>
        <v>0.6</v>
      </c>
      <c r="I40" s="141">
        <f>Tertiary!I213</f>
        <v>0.65</v>
      </c>
      <c r="J40" s="141">
        <f>Tertiary!J213</f>
        <v>0.65</v>
      </c>
      <c r="K40" s="141">
        <f>Tertiary!K213</f>
        <v>0.65</v>
      </c>
      <c r="L40" s="141">
        <f>Tertiary!L213</f>
        <v>0.6555555556</v>
      </c>
      <c r="M40" s="141">
        <f>Tertiary!M213</f>
        <v>0.6555555556</v>
      </c>
      <c r="N40" s="141">
        <f>Tertiary!N213</f>
        <v>0.6555555556</v>
      </c>
      <c r="O40" s="141">
        <f>Tertiary!O213</f>
        <v>0.6555555556</v>
      </c>
      <c r="P40" s="141">
        <f>Tertiary!P213</f>
        <v>0.6555555556</v>
      </c>
      <c r="Q40" s="141">
        <f>Tertiary!Q213</f>
        <v>0.6555555556</v>
      </c>
      <c r="R40" s="141">
        <f>Tertiary!R213</f>
        <v>0.6555555556</v>
      </c>
      <c r="S40" s="141">
        <f>Tertiary!S213</f>
        <v>0.6555555556</v>
      </c>
      <c r="T40" s="141">
        <f>Tertiary!T213</f>
        <v>0.6555555556</v>
      </c>
      <c r="U40" s="141">
        <f>Tertiary!U213</f>
        <v>0.6555555556</v>
      </c>
      <c r="V40" s="141">
        <f>Tertiary!V213</f>
        <v>0.6555555556</v>
      </c>
      <c r="W40" s="141">
        <f>Tertiary!W213</f>
        <v>0.8611111111</v>
      </c>
      <c r="X40" s="141">
        <f>Tertiary!X213</f>
        <v>0.1333333333</v>
      </c>
      <c r="Y40" s="141">
        <f>Tertiary!Y213</f>
        <v>0.1333333333</v>
      </c>
      <c r="Z40" s="141">
        <f>Tertiary!Z213</f>
        <v>0.1333333333</v>
      </c>
      <c r="AA40" s="141">
        <f>Tertiary!AA213</f>
        <v>0.1333333333</v>
      </c>
      <c r="AB40" s="141">
        <f>Tertiary!AB213</f>
        <v>0.3722222222</v>
      </c>
      <c r="AC40" s="141">
        <f>Tertiary!AC213</f>
        <v>0.3722222222</v>
      </c>
      <c r="AD40" s="141">
        <f>Tertiary!AD213</f>
        <v>0.3722222222</v>
      </c>
      <c r="AE40" s="141">
        <f>Tertiary!AE213</f>
        <v>0.3722222222</v>
      </c>
      <c r="AF40" s="141">
        <f>Tertiary!AF213</f>
        <v>0.3722222222</v>
      </c>
      <c r="AG40" s="141">
        <f>Tertiary!AG213</f>
        <v>0.3722222222</v>
      </c>
      <c r="AH40" s="141">
        <f>Tertiary!AH213</f>
        <v>0.3722222222</v>
      </c>
      <c r="AI40" s="141">
        <f t="shared" si="4"/>
        <v>0.5577777778</v>
      </c>
      <c r="AJ40" s="141">
        <f t="shared" si="5"/>
        <v>0.8611111111</v>
      </c>
      <c r="AK40" s="141">
        <f t="shared" si="6"/>
        <v>0.3722222222</v>
      </c>
      <c r="AL40" s="141">
        <f t="shared" si="7"/>
        <v>0.4333333333</v>
      </c>
      <c r="AM40" s="215">
        <f t="shared" si="8"/>
        <v>0.5096707819</v>
      </c>
      <c r="AN40" s="100"/>
      <c r="AO40" s="102"/>
    </row>
    <row r="41" ht="14.25" customHeight="1">
      <c r="A41" s="220" t="s">
        <v>252</v>
      </c>
      <c r="B41" s="221"/>
      <c r="C41" s="221"/>
      <c r="D41" s="221"/>
      <c r="E41" s="221"/>
      <c r="F41" s="221"/>
      <c r="G41" s="221"/>
      <c r="H41" s="141">
        <f>Transport!H330</f>
        <v>0.5067926672</v>
      </c>
      <c r="I41" s="141">
        <f>Transport!I330</f>
        <v>0.5051212522</v>
      </c>
      <c r="J41" s="141">
        <f>Transport!J330</f>
        <v>0.5036967508</v>
      </c>
      <c r="K41" s="141">
        <f>Transport!K330</f>
        <v>0.5036967508</v>
      </c>
      <c r="L41" s="141">
        <f>Transport!L330</f>
        <v>0.5051212522</v>
      </c>
      <c r="M41" s="141">
        <f>Transport!M330</f>
        <v>0.5067926672</v>
      </c>
      <c r="N41" s="141">
        <f>Transport!N330</f>
        <v>0.5071894926</v>
      </c>
      <c r="O41" s="141">
        <f>Transport!O330</f>
        <v>0.5067926672</v>
      </c>
      <c r="P41" s="141">
        <f>Transport!P330</f>
        <v>0.5069469882</v>
      </c>
      <c r="Q41" s="141">
        <f>Transport!Q330</f>
        <v>0.5073438136</v>
      </c>
      <c r="R41" s="141">
        <f>Transport!R330</f>
        <v>0.5069469882</v>
      </c>
      <c r="S41" s="141">
        <f>Transport!S330</f>
        <v>0.5069469882</v>
      </c>
      <c r="T41" s="141">
        <f>Transport!T330</f>
        <v>0.5071013092</v>
      </c>
      <c r="U41" s="141">
        <f>Transport!U330</f>
        <v>0.5226521164</v>
      </c>
      <c r="V41" s="141">
        <f>Transport!V330</f>
        <v>0.5226521164</v>
      </c>
      <c r="W41" s="141">
        <f>Transport!W330</f>
        <v>0.8991656492</v>
      </c>
      <c r="X41" s="141">
        <f>Transport!X330</f>
        <v>0.7145171958</v>
      </c>
      <c r="Y41" s="141">
        <f>Transport!Y330</f>
        <v>0.7131283069</v>
      </c>
      <c r="Z41" s="141">
        <f>Transport!Z330</f>
        <v>0.5752781169</v>
      </c>
      <c r="AA41" s="141">
        <f>Transport!AA330</f>
        <v>0.5698768824</v>
      </c>
      <c r="AB41" s="141">
        <f>Transport!AB330</f>
        <v>0.9040001357</v>
      </c>
      <c r="AC41" s="141">
        <f>Transport!AC330</f>
        <v>0.2927180844</v>
      </c>
      <c r="AD41" s="141">
        <f>Transport!AD330</f>
        <v>0.2927180844</v>
      </c>
      <c r="AE41" s="141">
        <f>Transport!AE330</f>
        <v>0.2927180844</v>
      </c>
      <c r="AF41" s="141">
        <f>Transport!AF330</f>
        <v>0.297347714</v>
      </c>
      <c r="AG41" s="141">
        <f>Transport!AG330</f>
        <v>0.297347714</v>
      </c>
      <c r="AH41" s="141">
        <f>Transport!AH330</f>
        <v>0.297347714</v>
      </c>
      <c r="AI41" s="141">
        <f t="shared" si="4"/>
        <v>0.5548879986</v>
      </c>
      <c r="AJ41" s="141">
        <f t="shared" si="5"/>
        <v>0.8991656492</v>
      </c>
      <c r="AK41" s="141">
        <f t="shared" si="6"/>
        <v>0.3820282187</v>
      </c>
      <c r="AL41" s="141">
        <f t="shared" si="7"/>
        <v>0.4466703975</v>
      </c>
      <c r="AM41" s="215">
        <f t="shared" si="8"/>
        <v>0.5100725001</v>
      </c>
      <c r="AN41" s="100"/>
      <c r="AO41" s="102"/>
    </row>
    <row r="42" ht="14.25" customHeight="1">
      <c r="A42" s="222" t="s">
        <v>253</v>
      </c>
      <c r="B42" s="223"/>
      <c r="C42" s="223"/>
      <c r="D42" s="223"/>
      <c r="E42" s="223"/>
      <c r="F42" s="223"/>
      <c r="G42" s="223"/>
      <c r="H42" s="141" t="str">
        <f t="shared" ref="H42:AH42" si="9">#REF!</f>
        <v>#REF!</v>
      </c>
      <c r="I42" s="141" t="str">
        <f t="shared" si="9"/>
        <v>#REF!</v>
      </c>
      <c r="J42" s="141" t="str">
        <f t="shared" si="9"/>
        <v>#REF!</v>
      </c>
      <c r="K42" s="141" t="str">
        <f t="shared" si="9"/>
        <v>#REF!</v>
      </c>
      <c r="L42" s="141" t="str">
        <f t="shared" si="9"/>
        <v>#REF!</v>
      </c>
      <c r="M42" s="141" t="str">
        <f t="shared" si="9"/>
        <v>#REF!</v>
      </c>
      <c r="N42" s="141" t="str">
        <f t="shared" si="9"/>
        <v>#REF!</v>
      </c>
      <c r="O42" s="141" t="str">
        <f t="shared" si="9"/>
        <v>#REF!</v>
      </c>
      <c r="P42" s="141" t="str">
        <f t="shared" si="9"/>
        <v>#REF!</v>
      </c>
      <c r="Q42" s="141" t="str">
        <f t="shared" si="9"/>
        <v>#REF!</v>
      </c>
      <c r="R42" s="141" t="str">
        <f t="shared" si="9"/>
        <v>#REF!</v>
      </c>
      <c r="S42" s="141" t="str">
        <f t="shared" si="9"/>
        <v>#REF!</v>
      </c>
      <c r="T42" s="141" t="str">
        <f t="shared" si="9"/>
        <v>#REF!</v>
      </c>
      <c r="U42" s="141" t="str">
        <f t="shared" si="9"/>
        <v>#REF!</v>
      </c>
      <c r="V42" s="141" t="str">
        <f t="shared" si="9"/>
        <v>#REF!</v>
      </c>
      <c r="W42" s="141" t="str">
        <f t="shared" si="9"/>
        <v>#REF!</v>
      </c>
      <c r="X42" s="141" t="str">
        <f t="shared" si="9"/>
        <v>#REF!</v>
      </c>
      <c r="Y42" s="141" t="str">
        <f t="shared" si="9"/>
        <v>#REF!</v>
      </c>
      <c r="Z42" s="141" t="str">
        <f t="shared" si="9"/>
        <v>#REF!</v>
      </c>
      <c r="AA42" s="141" t="str">
        <f t="shared" si="9"/>
        <v>#REF!</v>
      </c>
      <c r="AB42" s="141" t="str">
        <f t="shared" si="9"/>
        <v>#REF!</v>
      </c>
      <c r="AC42" s="141" t="str">
        <f t="shared" si="9"/>
        <v>#REF!</v>
      </c>
      <c r="AD42" s="141" t="str">
        <f t="shared" si="9"/>
        <v>#REF!</v>
      </c>
      <c r="AE42" s="141" t="str">
        <f t="shared" si="9"/>
        <v>#REF!</v>
      </c>
      <c r="AF42" s="141" t="str">
        <f t="shared" si="9"/>
        <v>#REF!</v>
      </c>
      <c r="AG42" s="141" t="str">
        <f t="shared" si="9"/>
        <v>#REF!</v>
      </c>
      <c r="AH42" s="141" t="str">
        <f t="shared" si="9"/>
        <v>#REF!</v>
      </c>
      <c r="AI42" s="141" t="str">
        <f t="shared" si="4"/>
        <v>#REF!</v>
      </c>
      <c r="AJ42" s="141" t="str">
        <f t="shared" si="5"/>
        <v>#REF!</v>
      </c>
      <c r="AK42" s="141" t="str">
        <f t="shared" si="6"/>
        <v>#REF!</v>
      </c>
      <c r="AL42" s="141" t="str">
        <f t="shared" si="7"/>
        <v>#REF!</v>
      </c>
      <c r="AM42" s="215" t="str">
        <f t="shared" si="8"/>
        <v>#REF!</v>
      </c>
      <c r="AN42" s="195"/>
      <c r="AO42" s="176"/>
    </row>
    <row r="43" ht="14.25" customHeight="1">
      <c r="A43" s="224" t="s">
        <v>254</v>
      </c>
      <c r="B43" s="225"/>
      <c r="C43" s="225"/>
      <c r="D43" s="225"/>
      <c r="E43" s="225"/>
      <c r="F43" s="225"/>
      <c r="G43" s="225"/>
      <c r="H43" s="141">
        <f>Agriculture!H174</f>
        <v>0.04375</v>
      </c>
      <c r="I43" s="141">
        <f>Agriculture!I174</f>
        <v>0.04375</v>
      </c>
      <c r="J43" s="141">
        <f>Agriculture!J174</f>
        <v>0.04375</v>
      </c>
      <c r="K43" s="141">
        <f>Agriculture!K174</f>
        <v>0.04375</v>
      </c>
      <c r="L43" s="141">
        <f>Agriculture!L174</f>
        <v>0.04375</v>
      </c>
      <c r="M43" s="141">
        <f>Agriculture!M174</f>
        <v>0.04375</v>
      </c>
      <c r="N43" s="141">
        <f>Agriculture!N174</f>
        <v>0.04375</v>
      </c>
      <c r="O43" s="141">
        <f>Agriculture!O174</f>
        <v>0.04375</v>
      </c>
      <c r="P43" s="141">
        <f>Agriculture!P174</f>
        <v>0.04375</v>
      </c>
      <c r="Q43" s="141">
        <f>Agriculture!Q174</f>
        <v>0.04375</v>
      </c>
      <c r="R43" s="141">
        <f>Agriculture!R174</f>
        <v>0.04375</v>
      </c>
      <c r="S43" s="141">
        <f>Agriculture!S174</f>
        <v>0.04375</v>
      </c>
      <c r="T43" s="141">
        <f>Agriculture!T174</f>
        <v>0.04375</v>
      </c>
      <c r="U43" s="141">
        <f>Agriculture!U174</f>
        <v>0.04375</v>
      </c>
      <c r="V43" s="141">
        <f>Agriculture!V174</f>
        <v>0.04375</v>
      </c>
      <c r="W43" s="141">
        <f>Agriculture!W174</f>
        <v>0.04375</v>
      </c>
      <c r="X43" s="141">
        <f>Agriculture!X174</f>
        <v>0.04375</v>
      </c>
      <c r="Y43" s="141">
        <f>Agriculture!Y174</f>
        <v>0.04375</v>
      </c>
      <c r="Z43" s="141">
        <f>Agriculture!Z174</f>
        <v>0</v>
      </c>
      <c r="AA43" s="141">
        <f>Agriculture!AA174</f>
        <v>0</v>
      </c>
      <c r="AB43" s="141">
        <f>Agriculture!AB174</f>
        <v>0</v>
      </c>
      <c r="AC43" s="141">
        <f>Agriculture!AC174</f>
        <v>0</v>
      </c>
      <c r="AD43" s="141">
        <f>Agriculture!AD174</f>
        <v>0</v>
      </c>
      <c r="AE43" s="141">
        <f>Agriculture!AE174</f>
        <v>0</v>
      </c>
      <c r="AF43" s="141">
        <f>Agriculture!AF174</f>
        <v>0</v>
      </c>
      <c r="AG43" s="141">
        <f>Agriculture!AG174</f>
        <v>0</v>
      </c>
      <c r="AH43" s="141">
        <f>Agriculture!AH174</f>
        <v>0</v>
      </c>
      <c r="AI43" s="141">
        <f t="shared" si="4"/>
        <v>0.039375</v>
      </c>
      <c r="AJ43" s="141">
        <f t="shared" si="5"/>
        <v>0.04375</v>
      </c>
      <c r="AK43" s="141">
        <f t="shared" si="6"/>
        <v>0</v>
      </c>
      <c r="AL43" s="141">
        <f t="shared" si="7"/>
        <v>0.00546875</v>
      </c>
      <c r="AM43" s="215">
        <f t="shared" si="8"/>
        <v>0.02916666667</v>
      </c>
      <c r="AN43" s="195"/>
      <c r="AO43" s="176"/>
    </row>
    <row r="44" ht="14.25" customHeight="1">
      <c r="A44" s="226" t="s">
        <v>255</v>
      </c>
      <c r="B44" s="227"/>
      <c r="C44" s="227"/>
      <c r="D44" s="227"/>
      <c r="E44" s="227"/>
      <c r="F44" s="227"/>
      <c r="G44" s="227"/>
      <c r="H44" s="141">
        <f>'AFOLUB (Solagro figures)'!H78</f>
        <v>0.06976744186</v>
      </c>
      <c r="I44" s="141">
        <f>'AFOLUB (Solagro figures)'!I78</f>
        <v>0.06976744186</v>
      </c>
      <c r="J44" s="141">
        <f>'AFOLUB (Solagro figures)'!J78</f>
        <v>0.06976744186</v>
      </c>
      <c r="K44" s="141">
        <f>'AFOLUB (Solagro figures)'!K78</f>
        <v>0.06976744186</v>
      </c>
      <c r="L44" s="141">
        <f>'AFOLUB (Solagro figures)'!L78</f>
        <v>0.06976744186</v>
      </c>
      <c r="M44" s="141">
        <f>'AFOLUB (Solagro figures)'!M78</f>
        <v>0.06976744186</v>
      </c>
      <c r="N44" s="141">
        <f>'AFOLUB (Solagro figures)'!N78</f>
        <v>0.06976744186</v>
      </c>
      <c r="O44" s="141">
        <f>'AFOLUB (Solagro figures)'!O78</f>
        <v>0.06976744186</v>
      </c>
      <c r="P44" s="141">
        <f>'AFOLUB (Solagro figures)'!P78</f>
        <v>0.06976744186</v>
      </c>
      <c r="Q44" s="141">
        <f>'AFOLUB (Solagro figures)'!Q78</f>
        <v>0.06976744186</v>
      </c>
      <c r="R44" s="141">
        <f>'AFOLUB (Solagro figures)'!R78</f>
        <v>0.06976744186</v>
      </c>
      <c r="S44" s="141">
        <f>'AFOLUB (Solagro figures)'!S78</f>
        <v>0.06976744186</v>
      </c>
      <c r="T44" s="141">
        <f>'AFOLUB (Solagro figures)'!T78</f>
        <v>0.06976744186</v>
      </c>
      <c r="U44" s="141">
        <f>'AFOLUB (Solagro figures)'!U78</f>
        <v>0.06976744186</v>
      </c>
      <c r="V44" s="141">
        <f>'AFOLUB (Solagro figures)'!V78</f>
        <v>0.06976744186</v>
      </c>
      <c r="W44" s="141">
        <f>'AFOLUB (Solagro figures)'!W78</f>
        <v>1</v>
      </c>
      <c r="X44" s="141">
        <f>'AFOLUB (Solagro figures)'!X78</f>
        <v>0.8837209302</v>
      </c>
      <c r="Y44" s="141">
        <f>'AFOLUB (Solagro figures)'!Y78</f>
        <v>0.8837209302</v>
      </c>
      <c r="Z44" s="141">
        <f>'AFOLUB (Solagro figures)'!Z78</f>
        <v>0.8837209302</v>
      </c>
      <c r="AA44" s="141">
        <f>'AFOLUB (Solagro figures)'!AA78</f>
        <v>0.8837209302</v>
      </c>
      <c r="AB44" s="141">
        <f>'AFOLUB (Solagro figures)'!AB78</f>
        <v>1</v>
      </c>
      <c r="AC44" s="141">
        <f>'AFOLUB (Solagro figures)'!AC78</f>
        <v>1</v>
      </c>
      <c r="AD44" s="141">
        <f>'AFOLUB (Solagro figures)'!AD78</f>
        <v>1</v>
      </c>
      <c r="AE44" s="141">
        <f>'AFOLUB (Solagro figures)'!AE78</f>
        <v>1</v>
      </c>
      <c r="AF44" s="141">
        <f>'AFOLUB (Solagro figures)'!AF78</f>
        <v>1</v>
      </c>
      <c r="AG44" s="141">
        <f>'AFOLUB (Solagro figures)'!AG78</f>
        <v>1</v>
      </c>
      <c r="AH44" s="141">
        <f>'AFOLUB (Solagro figures)'!AH78</f>
        <v>1</v>
      </c>
      <c r="AI44" s="141">
        <f t="shared" si="4"/>
        <v>0.2790697674</v>
      </c>
      <c r="AJ44" s="141">
        <f t="shared" si="5"/>
        <v>1</v>
      </c>
      <c r="AK44" s="141">
        <f t="shared" si="6"/>
        <v>1</v>
      </c>
      <c r="AL44" s="141">
        <f t="shared" si="7"/>
        <v>1</v>
      </c>
      <c r="AM44" s="215">
        <f t="shared" si="8"/>
        <v>0.4659776055</v>
      </c>
      <c r="AN44" s="195"/>
      <c r="AO44" s="176"/>
    </row>
    <row r="45" ht="14.25" customHeight="1">
      <c r="A45" s="191" t="s">
        <v>221</v>
      </c>
      <c r="B45" s="192"/>
      <c r="C45" s="192"/>
      <c r="D45" s="192"/>
      <c r="E45" s="192"/>
      <c r="F45" s="192"/>
      <c r="G45" s="192"/>
      <c r="H45" s="141" t="str">
        <f t="shared" ref="H45:AH45" si="10">#REF!</f>
        <v>#REF!</v>
      </c>
      <c r="I45" s="141" t="str">
        <f t="shared" si="10"/>
        <v>#REF!</v>
      </c>
      <c r="J45" s="141" t="str">
        <f t="shared" si="10"/>
        <v>#REF!</v>
      </c>
      <c r="K45" s="141" t="str">
        <f t="shared" si="10"/>
        <v>#REF!</v>
      </c>
      <c r="L45" s="141" t="str">
        <f t="shared" si="10"/>
        <v>#REF!</v>
      </c>
      <c r="M45" s="141" t="str">
        <f t="shared" si="10"/>
        <v>#REF!</v>
      </c>
      <c r="N45" s="141" t="str">
        <f t="shared" si="10"/>
        <v>#REF!</v>
      </c>
      <c r="O45" s="141" t="str">
        <f t="shared" si="10"/>
        <v>#REF!</v>
      </c>
      <c r="P45" s="141" t="str">
        <f t="shared" si="10"/>
        <v>#REF!</v>
      </c>
      <c r="Q45" s="141" t="str">
        <f t="shared" si="10"/>
        <v>#REF!</v>
      </c>
      <c r="R45" s="141" t="str">
        <f t="shared" si="10"/>
        <v>#REF!</v>
      </c>
      <c r="S45" s="141" t="str">
        <f t="shared" si="10"/>
        <v>#REF!</v>
      </c>
      <c r="T45" s="141" t="str">
        <f t="shared" si="10"/>
        <v>#REF!</v>
      </c>
      <c r="U45" s="141" t="str">
        <f t="shared" si="10"/>
        <v>#REF!</v>
      </c>
      <c r="V45" s="141" t="str">
        <f t="shared" si="10"/>
        <v>#REF!</v>
      </c>
      <c r="W45" s="141" t="str">
        <f t="shared" si="10"/>
        <v>#REF!</v>
      </c>
      <c r="X45" s="141" t="str">
        <f t="shared" si="10"/>
        <v>#REF!</v>
      </c>
      <c r="Y45" s="141" t="str">
        <f t="shared" si="10"/>
        <v>#REF!</v>
      </c>
      <c r="Z45" s="141" t="str">
        <f t="shared" si="10"/>
        <v>#REF!</v>
      </c>
      <c r="AA45" s="141" t="str">
        <f t="shared" si="10"/>
        <v>#REF!</v>
      </c>
      <c r="AB45" s="141" t="str">
        <f t="shared" si="10"/>
        <v>#REF!</v>
      </c>
      <c r="AC45" s="141" t="str">
        <f t="shared" si="10"/>
        <v>#REF!</v>
      </c>
      <c r="AD45" s="141" t="str">
        <f t="shared" si="10"/>
        <v>#REF!</v>
      </c>
      <c r="AE45" s="141" t="str">
        <f t="shared" si="10"/>
        <v>#REF!</v>
      </c>
      <c r="AF45" s="141" t="str">
        <f t="shared" si="10"/>
        <v>#REF!</v>
      </c>
      <c r="AG45" s="141" t="str">
        <f t="shared" si="10"/>
        <v>#REF!</v>
      </c>
      <c r="AH45" s="141" t="str">
        <f t="shared" si="10"/>
        <v>#REF!</v>
      </c>
      <c r="AI45" s="141" t="str">
        <f t="shared" si="4"/>
        <v>#REF!</v>
      </c>
      <c r="AJ45" s="141" t="str">
        <f t="shared" si="5"/>
        <v>#REF!</v>
      </c>
      <c r="AK45" s="141" t="str">
        <f t="shared" si="6"/>
        <v>#REF!</v>
      </c>
      <c r="AL45" s="141" t="str">
        <f t="shared" si="7"/>
        <v>#REF!</v>
      </c>
      <c r="AM45" s="215" t="str">
        <f t="shared" si="8"/>
        <v>#REF!</v>
      </c>
      <c r="AN45" s="195"/>
      <c r="AO45" s="176"/>
    </row>
    <row r="46" ht="14.25" customHeight="1">
      <c r="A46" s="99"/>
      <c r="B46" s="100"/>
      <c r="C46" s="100"/>
      <c r="D46" s="100"/>
      <c r="E46" s="100"/>
      <c r="F46" s="206"/>
      <c r="G46" s="206"/>
      <c r="H46" s="228"/>
      <c r="I46" s="207"/>
      <c r="J46" s="207"/>
      <c r="K46" s="207"/>
      <c r="L46" s="207"/>
      <c r="M46" s="207"/>
      <c r="N46" s="207"/>
      <c r="O46" s="207"/>
      <c r="P46" s="207"/>
      <c r="Q46" s="207"/>
      <c r="R46" s="207"/>
      <c r="S46" s="207"/>
      <c r="T46" s="207"/>
      <c r="U46" s="207"/>
      <c r="V46" s="207"/>
      <c r="W46" s="208"/>
      <c r="X46" s="208"/>
      <c r="Y46" s="208"/>
      <c r="Z46" s="208"/>
      <c r="AA46" s="208"/>
      <c r="AB46" s="208"/>
      <c r="AC46" s="208"/>
      <c r="AD46" s="208"/>
      <c r="AE46" s="208"/>
      <c r="AF46" s="208"/>
      <c r="AG46" s="208"/>
      <c r="AH46" s="208"/>
      <c r="AI46" s="100"/>
      <c r="AJ46" s="100"/>
      <c r="AK46" s="100"/>
      <c r="AL46" s="100"/>
      <c r="AM46" s="100"/>
      <c r="AN46" s="100"/>
      <c r="AO46" s="102"/>
    </row>
    <row r="47" ht="14.25" customHeight="1">
      <c r="A47" s="229"/>
      <c r="B47" s="230"/>
      <c r="C47" s="230"/>
      <c r="D47" s="230"/>
      <c r="E47" s="230"/>
      <c r="F47" s="231"/>
      <c r="G47" s="231"/>
      <c r="H47" s="232"/>
      <c r="I47" s="232"/>
      <c r="J47" s="232"/>
      <c r="K47" s="232"/>
      <c r="L47" s="232"/>
      <c r="M47" s="232"/>
      <c r="N47" s="232"/>
      <c r="O47" s="232"/>
      <c r="P47" s="232"/>
      <c r="Q47" s="232"/>
      <c r="R47" s="232"/>
      <c r="S47" s="232"/>
      <c r="T47" s="232"/>
      <c r="U47" s="232"/>
      <c r="V47" s="232"/>
      <c r="W47" s="233"/>
      <c r="X47" s="233"/>
      <c r="Y47" s="233"/>
      <c r="Z47" s="233"/>
      <c r="AA47" s="233"/>
      <c r="AB47" s="233"/>
      <c r="AC47" s="233"/>
      <c r="AD47" s="233"/>
      <c r="AE47" s="233"/>
      <c r="AF47" s="233"/>
      <c r="AG47" s="233"/>
      <c r="AH47" s="233"/>
      <c r="AI47" s="230"/>
      <c r="AJ47" s="230"/>
      <c r="AK47" s="230"/>
      <c r="AL47" s="230"/>
      <c r="AM47" s="230"/>
      <c r="AN47" s="230"/>
      <c r="AO47" s="234"/>
    </row>
    <row r="48" ht="14.25" customHeight="1">
      <c r="A48" s="98"/>
      <c r="B48" s="98"/>
      <c r="C48" s="98"/>
      <c r="D48" s="98"/>
      <c r="E48" s="98"/>
      <c r="F48" s="235"/>
      <c r="G48" s="235"/>
      <c r="H48" s="236"/>
      <c r="I48" s="236"/>
      <c r="J48" s="236"/>
      <c r="K48" s="236"/>
      <c r="L48" s="236"/>
      <c r="M48" s="236"/>
      <c r="N48" s="236"/>
      <c r="O48" s="236"/>
      <c r="P48" s="236"/>
      <c r="Q48" s="236"/>
      <c r="R48" s="236"/>
      <c r="S48" s="236"/>
      <c r="T48" s="236"/>
      <c r="U48" s="236"/>
      <c r="V48" s="236"/>
      <c r="W48" s="237"/>
      <c r="X48" s="237"/>
      <c r="Y48" s="237"/>
      <c r="Z48" s="237"/>
      <c r="AA48" s="237"/>
      <c r="AB48" s="237"/>
      <c r="AC48" s="237"/>
      <c r="AD48" s="237"/>
      <c r="AE48" s="237"/>
      <c r="AF48" s="237"/>
      <c r="AG48" s="237"/>
      <c r="AH48" s="237"/>
      <c r="AI48" s="98"/>
      <c r="AJ48" s="98"/>
      <c r="AK48" s="98"/>
      <c r="AL48" s="98"/>
      <c r="AM48" s="98"/>
      <c r="AN48" s="98"/>
      <c r="AO48" s="98"/>
    </row>
    <row r="49" ht="14.25" customHeight="1">
      <c r="A49" s="98"/>
      <c r="B49" s="98"/>
      <c r="C49" s="98"/>
      <c r="D49" s="98"/>
      <c r="E49" s="98"/>
      <c r="F49" s="235"/>
      <c r="G49" s="235"/>
      <c r="H49" s="236"/>
      <c r="I49" s="236"/>
      <c r="J49" s="236"/>
      <c r="K49" s="236"/>
      <c r="L49" s="236"/>
      <c r="M49" s="236"/>
      <c r="N49" s="236"/>
      <c r="O49" s="236"/>
      <c r="P49" s="236"/>
      <c r="Q49" s="236"/>
      <c r="R49" s="236"/>
      <c r="S49" s="236"/>
      <c r="T49" s="236"/>
      <c r="U49" s="236"/>
      <c r="V49" s="236"/>
      <c r="W49" s="237"/>
      <c r="X49" s="237"/>
      <c r="Y49" s="237"/>
      <c r="Z49" s="237"/>
      <c r="AA49" s="237"/>
      <c r="AB49" s="237"/>
      <c r="AC49" s="237"/>
      <c r="AD49" s="237"/>
      <c r="AE49" s="237"/>
      <c r="AF49" s="237"/>
      <c r="AG49" s="237"/>
      <c r="AH49" s="237"/>
      <c r="AI49" s="98"/>
      <c r="AJ49" s="98"/>
      <c r="AK49" s="98"/>
      <c r="AL49" s="98"/>
      <c r="AM49" s="98"/>
      <c r="AN49" s="98"/>
      <c r="AO49" s="98"/>
    </row>
    <row r="50" ht="14.25" customHeight="1">
      <c r="A50" s="98"/>
      <c r="B50" s="98"/>
      <c r="C50" s="98"/>
      <c r="D50" s="98"/>
      <c r="E50" s="98"/>
      <c r="F50" s="235"/>
      <c r="G50" s="235"/>
      <c r="H50" s="236"/>
      <c r="I50" s="236"/>
      <c r="J50" s="236"/>
      <c r="K50" s="236"/>
      <c r="L50" s="236"/>
      <c r="M50" s="236"/>
      <c r="N50" s="236"/>
      <c r="O50" s="236"/>
      <c r="P50" s="236"/>
      <c r="Q50" s="236"/>
      <c r="R50" s="236"/>
      <c r="S50" s="236"/>
      <c r="T50" s="236"/>
      <c r="U50" s="236"/>
      <c r="V50" s="236"/>
      <c r="W50" s="237"/>
      <c r="X50" s="237"/>
      <c r="Y50" s="237"/>
      <c r="Z50" s="237"/>
      <c r="AA50" s="237"/>
      <c r="AB50" s="237"/>
      <c r="AC50" s="237"/>
      <c r="AD50" s="237"/>
      <c r="AE50" s="237"/>
      <c r="AF50" s="237"/>
      <c r="AG50" s="237"/>
      <c r="AH50" s="237"/>
      <c r="AI50" s="98"/>
      <c r="AJ50" s="98"/>
      <c r="AK50" s="98"/>
      <c r="AL50" s="98"/>
      <c r="AM50" s="98"/>
      <c r="AN50" s="98"/>
      <c r="AO50" s="98"/>
    </row>
    <row r="51" ht="14.25" customHeight="1">
      <c r="A51" s="98"/>
      <c r="B51" s="98"/>
      <c r="C51" s="98"/>
      <c r="D51" s="98"/>
      <c r="E51" s="98"/>
      <c r="F51" s="235"/>
      <c r="G51" s="235"/>
      <c r="H51" s="236"/>
      <c r="I51" s="236"/>
      <c r="J51" s="236"/>
      <c r="K51" s="236"/>
      <c r="L51" s="236"/>
      <c r="M51" s="236"/>
      <c r="N51" s="236"/>
      <c r="O51" s="236"/>
      <c r="P51" s="236"/>
      <c r="Q51" s="236"/>
      <c r="R51" s="236"/>
      <c r="S51" s="236"/>
      <c r="T51" s="236"/>
      <c r="U51" s="236"/>
      <c r="V51" s="236"/>
      <c r="W51" s="237"/>
      <c r="X51" s="237"/>
      <c r="Y51" s="237"/>
      <c r="Z51" s="237"/>
      <c r="AA51" s="237"/>
      <c r="AB51" s="237"/>
      <c r="AC51" s="237"/>
      <c r="AD51" s="237"/>
      <c r="AE51" s="237"/>
      <c r="AF51" s="237"/>
      <c r="AG51" s="237"/>
      <c r="AH51" s="237"/>
      <c r="AI51" s="98"/>
      <c r="AJ51" s="98"/>
      <c r="AK51" s="98"/>
      <c r="AL51" s="98"/>
      <c r="AM51" s="98"/>
      <c r="AN51" s="98"/>
      <c r="AO51" s="98"/>
    </row>
    <row r="52" ht="14.25" customHeight="1">
      <c r="A52" s="98"/>
      <c r="B52" s="98"/>
      <c r="C52" s="98"/>
      <c r="D52" s="98"/>
      <c r="E52" s="98"/>
      <c r="F52" s="235"/>
      <c r="G52" s="235"/>
      <c r="H52" s="236"/>
      <c r="I52" s="236"/>
      <c r="J52" s="236"/>
      <c r="K52" s="236"/>
      <c r="L52" s="236"/>
      <c r="M52" s="236"/>
      <c r="N52" s="236"/>
      <c r="O52" s="236"/>
      <c r="P52" s="236"/>
      <c r="Q52" s="236"/>
      <c r="R52" s="236"/>
      <c r="S52" s="236"/>
      <c r="T52" s="236"/>
      <c r="U52" s="236"/>
      <c r="V52" s="236"/>
      <c r="W52" s="237"/>
      <c r="X52" s="237"/>
      <c r="Y52" s="237"/>
      <c r="Z52" s="237"/>
      <c r="AA52" s="237"/>
      <c r="AB52" s="237"/>
      <c r="AC52" s="237"/>
      <c r="AD52" s="237"/>
      <c r="AE52" s="237"/>
      <c r="AF52" s="237"/>
      <c r="AG52" s="237"/>
      <c r="AH52" s="237"/>
      <c r="AI52" s="98"/>
      <c r="AJ52" s="98"/>
      <c r="AK52" s="98"/>
      <c r="AL52" s="98"/>
      <c r="AM52" s="98"/>
      <c r="AN52" s="98"/>
      <c r="AO52" s="98"/>
    </row>
    <row r="53" ht="14.25" customHeight="1">
      <c r="A53" s="98"/>
      <c r="B53" s="98"/>
      <c r="C53" s="98"/>
      <c r="D53" s="98"/>
      <c r="E53" s="98"/>
      <c r="F53" s="235"/>
      <c r="G53" s="235"/>
      <c r="H53" s="236"/>
      <c r="I53" s="236"/>
      <c r="J53" s="236"/>
      <c r="K53" s="236"/>
      <c r="L53" s="236"/>
      <c r="M53" s="236"/>
      <c r="N53" s="236"/>
      <c r="O53" s="236"/>
      <c r="P53" s="236"/>
      <c r="Q53" s="236"/>
      <c r="R53" s="236"/>
      <c r="S53" s="236"/>
      <c r="T53" s="236"/>
      <c r="U53" s="236"/>
      <c r="V53" s="236"/>
      <c r="W53" s="237"/>
      <c r="X53" s="237"/>
      <c r="Y53" s="237"/>
      <c r="Z53" s="237"/>
      <c r="AA53" s="237"/>
      <c r="AB53" s="237"/>
      <c r="AC53" s="237"/>
      <c r="AD53" s="237"/>
      <c r="AE53" s="237"/>
      <c r="AF53" s="237"/>
      <c r="AG53" s="237"/>
      <c r="AH53" s="237"/>
      <c r="AI53" s="98"/>
      <c r="AJ53" s="98"/>
      <c r="AK53" s="98"/>
      <c r="AL53" s="98"/>
      <c r="AM53" s="98"/>
      <c r="AN53" s="98"/>
      <c r="AO53" s="98"/>
    </row>
    <row r="54" ht="14.25" customHeight="1">
      <c r="A54" s="98"/>
      <c r="B54" s="98"/>
      <c r="C54" s="98"/>
      <c r="D54" s="98"/>
      <c r="E54" s="98"/>
      <c r="F54" s="235"/>
      <c r="G54" s="235"/>
      <c r="H54" s="236"/>
      <c r="I54" s="236"/>
      <c r="J54" s="236"/>
      <c r="K54" s="236"/>
      <c r="L54" s="236"/>
      <c r="M54" s="236"/>
      <c r="N54" s="236"/>
      <c r="O54" s="236"/>
      <c r="P54" s="236"/>
      <c r="Q54" s="236"/>
      <c r="R54" s="236"/>
      <c r="S54" s="236"/>
      <c r="T54" s="236"/>
      <c r="U54" s="236"/>
      <c r="V54" s="236"/>
      <c r="W54" s="237"/>
      <c r="X54" s="237"/>
      <c r="Y54" s="237"/>
      <c r="Z54" s="237"/>
      <c r="AA54" s="237"/>
      <c r="AB54" s="237"/>
      <c r="AC54" s="237"/>
      <c r="AD54" s="237"/>
      <c r="AE54" s="237"/>
      <c r="AF54" s="237"/>
      <c r="AG54" s="237"/>
      <c r="AH54" s="237"/>
      <c r="AI54" s="98"/>
      <c r="AJ54" s="98"/>
      <c r="AK54" s="98"/>
      <c r="AL54" s="98"/>
      <c r="AM54" s="98"/>
      <c r="AN54" s="98"/>
      <c r="AO54" s="98"/>
    </row>
    <row r="55" ht="14.25" customHeight="1">
      <c r="A55" s="98"/>
      <c r="B55" s="98"/>
      <c r="C55" s="98"/>
      <c r="D55" s="98"/>
      <c r="E55" s="98"/>
      <c r="F55" s="235"/>
      <c r="G55" s="235"/>
      <c r="H55" s="236"/>
      <c r="I55" s="236"/>
      <c r="J55" s="236"/>
      <c r="K55" s="236"/>
      <c r="L55" s="236"/>
      <c r="M55" s="236"/>
      <c r="N55" s="236"/>
      <c r="O55" s="236"/>
      <c r="P55" s="236"/>
      <c r="Q55" s="236"/>
      <c r="R55" s="236"/>
      <c r="S55" s="236"/>
      <c r="T55" s="236"/>
      <c r="U55" s="236"/>
      <c r="V55" s="236"/>
      <c r="W55" s="237"/>
      <c r="X55" s="237"/>
      <c r="Y55" s="237"/>
      <c r="Z55" s="237"/>
      <c r="AA55" s="237"/>
      <c r="AB55" s="237"/>
      <c r="AC55" s="237"/>
      <c r="AD55" s="237"/>
      <c r="AE55" s="237"/>
      <c r="AF55" s="237"/>
      <c r="AG55" s="237"/>
      <c r="AH55" s="237"/>
      <c r="AI55" s="98"/>
      <c r="AJ55" s="98"/>
      <c r="AK55" s="98"/>
      <c r="AL55" s="98"/>
      <c r="AM55" s="98"/>
      <c r="AN55" s="98"/>
      <c r="AO55" s="98"/>
    </row>
    <row r="56" ht="14.25" customHeight="1">
      <c r="A56" s="98"/>
      <c r="B56" s="98"/>
      <c r="C56" s="98"/>
      <c r="D56" s="98"/>
      <c r="E56" s="98"/>
      <c r="F56" s="235"/>
      <c r="G56" s="235"/>
      <c r="H56" s="236"/>
      <c r="I56" s="236"/>
      <c r="J56" s="236"/>
      <c r="K56" s="236"/>
      <c r="L56" s="236"/>
      <c r="M56" s="236"/>
      <c r="N56" s="236"/>
      <c r="O56" s="236"/>
      <c r="P56" s="236"/>
      <c r="Q56" s="236"/>
      <c r="R56" s="236"/>
      <c r="S56" s="236"/>
      <c r="T56" s="236"/>
      <c r="U56" s="236"/>
      <c r="V56" s="236"/>
      <c r="W56" s="237"/>
      <c r="X56" s="237"/>
      <c r="Y56" s="237"/>
      <c r="Z56" s="237"/>
      <c r="AA56" s="237"/>
      <c r="AB56" s="237"/>
      <c r="AC56" s="237"/>
      <c r="AD56" s="237"/>
      <c r="AE56" s="237"/>
      <c r="AF56" s="237"/>
      <c r="AG56" s="237"/>
      <c r="AH56" s="237"/>
      <c r="AI56" s="98"/>
      <c r="AJ56" s="98"/>
      <c r="AK56" s="98"/>
      <c r="AL56" s="98"/>
      <c r="AM56" s="98"/>
      <c r="AN56" s="98"/>
      <c r="AO56" s="98"/>
    </row>
    <row r="57" ht="14.25" customHeight="1">
      <c r="A57" s="98"/>
      <c r="B57" s="98"/>
      <c r="C57" s="98"/>
      <c r="D57" s="98"/>
      <c r="E57" s="98"/>
      <c r="F57" s="235"/>
      <c r="G57" s="235"/>
      <c r="H57" s="236"/>
      <c r="I57" s="236"/>
      <c r="J57" s="236"/>
      <c r="K57" s="236"/>
      <c r="L57" s="236"/>
      <c r="M57" s="236"/>
      <c r="N57" s="236"/>
      <c r="O57" s="236"/>
      <c r="P57" s="236"/>
      <c r="Q57" s="236"/>
      <c r="R57" s="236"/>
      <c r="S57" s="236"/>
      <c r="T57" s="236"/>
      <c r="U57" s="236"/>
      <c r="V57" s="236"/>
      <c r="W57" s="237"/>
      <c r="X57" s="237"/>
      <c r="Y57" s="237"/>
      <c r="Z57" s="237"/>
      <c r="AA57" s="237"/>
      <c r="AB57" s="237"/>
      <c r="AC57" s="237"/>
      <c r="AD57" s="237"/>
      <c r="AE57" s="237"/>
      <c r="AF57" s="237"/>
      <c r="AG57" s="237"/>
      <c r="AH57" s="237"/>
      <c r="AI57" s="98"/>
      <c r="AJ57" s="98"/>
      <c r="AK57" s="238"/>
      <c r="AL57" s="238"/>
      <c r="AM57" s="98"/>
      <c r="AN57" s="98"/>
      <c r="AO57" s="98"/>
    </row>
    <row r="58" ht="14.25" customHeight="1">
      <c r="A58" s="98"/>
      <c r="B58" s="98"/>
      <c r="C58" s="98"/>
      <c r="D58" s="98"/>
      <c r="E58" s="98"/>
      <c r="F58" s="235"/>
      <c r="G58" s="235"/>
      <c r="H58" s="236"/>
      <c r="I58" s="236"/>
      <c r="J58" s="236"/>
      <c r="K58" s="236"/>
      <c r="L58" s="236"/>
      <c r="M58" s="236"/>
      <c r="N58" s="236"/>
      <c r="O58" s="236"/>
      <c r="P58" s="236"/>
      <c r="Q58" s="236"/>
      <c r="R58" s="236"/>
      <c r="S58" s="236"/>
      <c r="T58" s="236"/>
      <c r="U58" s="236"/>
      <c r="V58" s="236"/>
      <c r="W58" s="237"/>
      <c r="X58" s="237"/>
      <c r="Y58" s="237"/>
      <c r="Z58" s="237"/>
      <c r="AA58" s="237"/>
      <c r="AB58" s="237"/>
      <c r="AC58" s="237"/>
      <c r="AD58" s="237"/>
      <c r="AE58" s="237"/>
      <c r="AF58" s="237"/>
      <c r="AG58" s="237"/>
      <c r="AH58" s="237"/>
      <c r="AI58" s="98"/>
      <c r="AJ58" s="98"/>
      <c r="AK58" s="98"/>
      <c r="AL58" s="98"/>
      <c r="AM58" s="98"/>
      <c r="AN58" s="98"/>
      <c r="AO58" s="98"/>
    </row>
    <row r="59" ht="14.25" customHeight="1">
      <c r="A59" s="98"/>
      <c r="B59" s="98"/>
      <c r="C59" s="98"/>
      <c r="D59" s="98"/>
      <c r="E59" s="98"/>
      <c r="F59" s="235"/>
      <c r="G59" s="235"/>
      <c r="H59" s="236"/>
      <c r="I59" s="236"/>
      <c r="J59" s="236"/>
      <c r="K59" s="236"/>
      <c r="L59" s="236"/>
      <c r="M59" s="236"/>
      <c r="N59" s="236"/>
      <c r="O59" s="236"/>
      <c r="P59" s="236"/>
      <c r="Q59" s="236"/>
      <c r="R59" s="236"/>
      <c r="S59" s="236"/>
      <c r="T59" s="236"/>
      <c r="U59" s="236"/>
      <c r="V59" s="236"/>
      <c r="W59" s="237"/>
      <c r="X59" s="237"/>
      <c r="Y59" s="237"/>
      <c r="Z59" s="237"/>
      <c r="AA59" s="237"/>
      <c r="AB59" s="237"/>
      <c r="AC59" s="237"/>
      <c r="AD59" s="237"/>
      <c r="AE59" s="237"/>
      <c r="AF59" s="237"/>
      <c r="AG59" s="237"/>
      <c r="AH59" s="237"/>
      <c r="AI59" s="98"/>
      <c r="AJ59" s="98"/>
      <c r="AK59" s="98"/>
      <c r="AL59" s="98"/>
      <c r="AM59" s="98"/>
      <c r="AN59" s="98"/>
      <c r="AO59" s="98"/>
    </row>
    <row r="60" ht="14.25" customHeight="1">
      <c r="A60" s="98"/>
      <c r="B60" s="98"/>
      <c r="C60" s="98"/>
      <c r="D60" s="98"/>
      <c r="E60" s="98"/>
      <c r="F60" s="235"/>
      <c r="G60" s="235"/>
      <c r="H60" s="236"/>
      <c r="I60" s="236"/>
      <c r="J60" s="236"/>
      <c r="K60" s="236"/>
      <c r="L60" s="236"/>
      <c r="M60" s="236"/>
      <c r="N60" s="236"/>
      <c r="O60" s="236"/>
      <c r="P60" s="236"/>
      <c r="Q60" s="236"/>
      <c r="R60" s="236"/>
      <c r="S60" s="236"/>
      <c r="T60" s="236"/>
      <c r="U60" s="236"/>
      <c r="V60" s="236"/>
      <c r="W60" s="237"/>
      <c r="X60" s="237"/>
      <c r="Y60" s="237"/>
      <c r="Z60" s="237"/>
      <c r="AA60" s="237"/>
      <c r="AB60" s="237"/>
      <c r="AC60" s="237"/>
      <c r="AD60" s="237"/>
      <c r="AE60" s="237"/>
      <c r="AF60" s="237"/>
      <c r="AG60" s="237"/>
      <c r="AH60" s="237"/>
      <c r="AI60" s="98"/>
      <c r="AJ60" s="98"/>
      <c r="AK60" s="98"/>
      <c r="AL60" s="98"/>
      <c r="AM60" s="98"/>
      <c r="AN60" s="98"/>
      <c r="AO60" s="98"/>
    </row>
    <row r="61" ht="14.25" customHeight="1">
      <c r="A61" s="98"/>
      <c r="B61" s="98"/>
      <c r="C61" s="98"/>
      <c r="D61" s="98"/>
      <c r="E61" s="98"/>
      <c r="F61" s="235"/>
      <c r="G61" s="235"/>
      <c r="H61" s="236"/>
      <c r="I61" s="236"/>
      <c r="J61" s="236"/>
      <c r="K61" s="236"/>
      <c r="L61" s="236"/>
      <c r="M61" s="236"/>
      <c r="N61" s="236"/>
      <c r="O61" s="236"/>
      <c r="P61" s="236"/>
      <c r="Q61" s="236"/>
      <c r="R61" s="236"/>
      <c r="S61" s="236"/>
      <c r="T61" s="236"/>
      <c r="U61" s="236"/>
      <c r="V61" s="236"/>
      <c r="W61" s="237"/>
      <c r="X61" s="237"/>
      <c r="Y61" s="237"/>
      <c r="Z61" s="237"/>
      <c r="AA61" s="237"/>
      <c r="AB61" s="237"/>
      <c r="AC61" s="237"/>
      <c r="AD61" s="237"/>
      <c r="AE61" s="237"/>
      <c r="AF61" s="237"/>
      <c r="AG61" s="237"/>
      <c r="AH61" s="237"/>
      <c r="AI61" s="98"/>
      <c r="AJ61" s="98"/>
      <c r="AK61" s="98"/>
      <c r="AL61" s="98"/>
      <c r="AM61" s="98"/>
      <c r="AN61" s="98"/>
      <c r="AO61" s="98"/>
    </row>
    <row r="62" ht="14.25" customHeight="1">
      <c r="A62" s="98"/>
      <c r="B62" s="98"/>
      <c r="C62" s="98"/>
      <c r="D62" s="98"/>
      <c r="E62" s="98"/>
      <c r="F62" s="235"/>
      <c r="G62" s="235"/>
      <c r="H62" s="236"/>
      <c r="I62" s="236"/>
      <c r="J62" s="236"/>
      <c r="K62" s="236"/>
      <c r="L62" s="236"/>
      <c r="M62" s="236"/>
      <c r="N62" s="236"/>
      <c r="O62" s="236"/>
      <c r="P62" s="236"/>
      <c r="Q62" s="236"/>
      <c r="R62" s="236"/>
      <c r="S62" s="236"/>
      <c r="T62" s="236"/>
      <c r="U62" s="236"/>
      <c r="V62" s="236"/>
      <c r="W62" s="237"/>
      <c r="X62" s="237"/>
      <c r="Y62" s="237"/>
      <c r="Z62" s="237"/>
      <c r="AA62" s="237"/>
      <c r="AB62" s="237"/>
      <c r="AC62" s="237"/>
      <c r="AD62" s="237"/>
      <c r="AE62" s="237"/>
      <c r="AF62" s="237"/>
      <c r="AG62" s="237"/>
      <c r="AH62" s="237"/>
      <c r="AI62" s="98"/>
      <c r="AJ62" s="98"/>
      <c r="AK62" s="98"/>
      <c r="AL62" s="98"/>
      <c r="AM62" s="98"/>
      <c r="AN62" s="98"/>
      <c r="AO62" s="98"/>
    </row>
    <row r="63" ht="14.25" customHeight="1">
      <c r="A63" s="98"/>
      <c r="B63" s="98"/>
      <c r="C63" s="98"/>
      <c r="D63" s="98"/>
      <c r="E63" s="98"/>
      <c r="F63" s="235"/>
      <c r="G63" s="235"/>
      <c r="H63" s="236"/>
      <c r="I63" s="236"/>
      <c r="J63" s="236"/>
      <c r="K63" s="236"/>
      <c r="L63" s="236"/>
      <c r="M63" s="236"/>
      <c r="N63" s="236"/>
      <c r="O63" s="236"/>
      <c r="P63" s="236"/>
      <c r="Q63" s="236"/>
      <c r="R63" s="236"/>
      <c r="S63" s="236"/>
      <c r="T63" s="236"/>
      <c r="U63" s="236"/>
      <c r="V63" s="236"/>
      <c r="W63" s="237"/>
      <c r="X63" s="237"/>
      <c r="Y63" s="237"/>
      <c r="Z63" s="237"/>
      <c r="AA63" s="237"/>
      <c r="AB63" s="237"/>
      <c r="AC63" s="237"/>
      <c r="AD63" s="237"/>
      <c r="AE63" s="237"/>
      <c r="AF63" s="237"/>
      <c r="AG63" s="237"/>
      <c r="AH63" s="237"/>
      <c r="AI63" s="98"/>
      <c r="AJ63" s="98"/>
      <c r="AK63" s="98"/>
      <c r="AL63" s="98"/>
      <c r="AM63" s="98"/>
      <c r="AN63" s="98"/>
      <c r="AO63" s="98"/>
    </row>
    <row r="64" ht="14.25" customHeight="1">
      <c r="A64" s="98"/>
      <c r="B64" s="98"/>
      <c r="C64" s="98"/>
      <c r="D64" s="98"/>
      <c r="E64" s="98"/>
      <c r="F64" s="235"/>
      <c r="G64" s="235"/>
      <c r="H64" s="236"/>
      <c r="I64" s="236"/>
      <c r="J64" s="236"/>
      <c r="K64" s="236"/>
      <c r="L64" s="236"/>
      <c r="M64" s="236"/>
      <c r="N64" s="236"/>
      <c r="O64" s="236"/>
      <c r="P64" s="236"/>
      <c r="Q64" s="236"/>
      <c r="R64" s="236"/>
      <c r="S64" s="236"/>
      <c r="T64" s="236"/>
      <c r="U64" s="236"/>
      <c r="V64" s="236"/>
      <c r="W64" s="237"/>
      <c r="X64" s="237"/>
      <c r="Y64" s="237"/>
      <c r="Z64" s="237"/>
      <c r="AA64" s="237"/>
      <c r="AB64" s="237"/>
      <c r="AC64" s="237"/>
      <c r="AD64" s="237"/>
      <c r="AE64" s="237"/>
      <c r="AF64" s="237"/>
      <c r="AG64" s="237"/>
      <c r="AH64" s="237"/>
      <c r="AI64" s="98"/>
      <c r="AJ64" s="98"/>
      <c r="AK64" s="98"/>
      <c r="AL64" s="98"/>
      <c r="AM64" s="98"/>
      <c r="AN64" s="98"/>
      <c r="AO64" s="98"/>
    </row>
    <row r="65" ht="14.25" customHeight="1">
      <c r="A65" s="98"/>
      <c r="B65" s="98"/>
      <c r="C65" s="98"/>
      <c r="D65" s="98"/>
      <c r="E65" s="98"/>
      <c r="F65" s="235"/>
      <c r="G65" s="235"/>
      <c r="H65" s="236"/>
      <c r="I65" s="236"/>
      <c r="J65" s="236"/>
      <c r="K65" s="236"/>
      <c r="L65" s="236"/>
      <c r="M65" s="236"/>
      <c r="N65" s="236"/>
      <c r="O65" s="236"/>
      <c r="P65" s="236"/>
      <c r="Q65" s="236"/>
      <c r="R65" s="236"/>
      <c r="S65" s="236"/>
      <c r="T65" s="236"/>
      <c r="U65" s="236"/>
      <c r="V65" s="236"/>
      <c r="W65" s="237"/>
      <c r="X65" s="237"/>
      <c r="Y65" s="237"/>
      <c r="Z65" s="237"/>
      <c r="AA65" s="237"/>
      <c r="AB65" s="237"/>
      <c r="AC65" s="237"/>
      <c r="AD65" s="237"/>
      <c r="AE65" s="237"/>
      <c r="AF65" s="237"/>
      <c r="AG65" s="237"/>
      <c r="AH65" s="237"/>
      <c r="AI65" s="98"/>
      <c r="AJ65" s="98"/>
      <c r="AK65" s="98"/>
      <c r="AL65" s="98"/>
      <c r="AM65" s="98"/>
      <c r="AN65" s="98"/>
      <c r="AO65" s="98"/>
    </row>
    <row r="66" ht="14.25" customHeight="1">
      <c r="A66" s="98"/>
      <c r="B66" s="98"/>
      <c r="C66" s="98"/>
      <c r="D66" s="98"/>
      <c r="E66" s="98"/>
      <c r="F66" s="235"/>
      <c r="G66" s="235"/>
      <c r="H66" s="236"/>
      <c r="I66" s="236"/>
      <c r="J66" s="236"/>
      <c r="K66" s="236"/>
      <c r="L66" s="236"/>
      <c r="M66" s="236"/>
      <c r="N66" s="236"/>
      <c r="O66" s="236"/>
      <c r="P66" s="236"/>
      <c r="Q66" s="236"/>
      <c r="R66" s="236"/>
      <c r="S66" s="236"/>
      <c r="T66" s="236"/>
      <c r="U66" s="236"/>
      <c r="V66" s="236"/>
      <c r="W66" s="237"/>
      <c r="X66" s="237"/>
      <c r="Y66" s="237"/>
      <c r="Z66" s="237"/>
      <c r="AA66" s="237"/>
      <c r="AB66" s="237"/>
      <c r="AC66" s="237"/>
      <c r="AD66" s="237"/>
      <c r="AE66" s="237"/>
      <c r="AF66" s="237"/>
      <c r="AG66" s="237"/>
      <c r="AH66" s="237"/>
      <c r="AI66" s="98"/>
      <c r="AJ66" s="98"/>
      <c r="AK66" s="98"/>
      <c r="AL66" s="98"/>
      <c r="AM66" s="98"/>
      <c r="AN66" s="98"/>
      <c r="AO66" s="98"/>
    </row>
    <row r="67" ht="14.25" customHeight="1">
      <c r="A67" s="98"/>
      <c r="B67" s="98"/>
      <c r="C67" s="98"/>
      <c r="D67" s="98"/>
      <c r="E67" s="98"/>
      <c r="F67" s="235"/>
      <c r="G67" s="235"/>
      <c r="H67" s="236"/>
      <c r="I67" s="236"/>
      <c r="J67" s="236"/>
      <c r="K67" s="236"/>
      <c r="L67" s="236"/>
      <c r="M67" s="236"/>
      <c r="N67" s="236"/>
      <c r="O67" s="236"/>
      <c r="P67" s="236"/>
      <c r="Q67" s="236"/>
      <c r="R67" s="236"/>
      <c r="S67" s="236"/>
      <c r="T67" s="236"/>
      <c r="U67" s="236"/>
      <c r="V67" s="236"/>
      <c r="W67" s="237"/>
      <c r="X67" s="237"/>
      <c r="Y67" s="237"/>
      <c r="Z67" s="237"/>
      <c r="AA67" s="237"/>
      <c r="AB67" s="237"/>
      <c r="AC67" s="237"/>
      <c r="AD67" s="237"/>
      <c r="AE67" s="237"/>
      <c r="AF67" s="237"/>
      <c r="AG67" s="237"/>
      <c r="AH67" s="237"/>
      <c r="AI67" s="98"/>
      <c r="AJ67" s="98"/>
      <c r="AK67" s="98"/>
      <c r="AL67" s="98"/>
      <c r="AM67" s="98"/>
      <c r="AN67" s="98"/>
      <c r="AO67" s="98"/>
    </row>
    <row r="68" ht="14.25" customHeight="1">
      <c r="A68" s="98"/>
      <c r="B68" s="98"/>
      <c r="C68" s="98"/>
      <c r="D68" s="98"/>
      <c r="E68" s="98"/>
      <c r="F68" s="235"/>
      <c r="G68" s="235"/>
      <c r="H68" s="236"/>
      <c r="I68" s="236"/>
      <c r="J68" s="236"/>
      <c r="K68" s="236"/>
      <c r="L68" s="236"/>
      <c r="M68" s="236"/>
      <c r="N68" s="236"/>
      <c r="O68" s="236"/>
      <c r="P68" s="236"/>
      <c r="Q68" s="236"/>
      <c r="R68" s="236"/>
      <c r="S68" s="236"/>
      <c r="T68" s="236"/>
      <c r="U68" s="236"/>
      <c r="V68" s="236"/>
      <c r="W68" s="237"/>
      <c r="X68" s="237"/>
      <c r="Y68" s="237"/>
      <c r="Z68" s="237"/>
      <c r="AA68" s="237"/>
      <c r="AB68" s="237"/>
      <c r="AC68" s="237"/>
      <c r="AD68" s="237"/>
      <c r="AE68" s="237"/>
      <c r="AF68" s="237"/>
      <c r="AG68" s="237"/>
      <c r="AH68" s="237"/>
      <c r="AI68" s="98"/>
      <c r="AJ68" s="98"/>
      <c r="AK68" s="98"/>
      <c r="AL68" s="98"/>
      <c r="AM68" s="98"/>
      <c r="AN68" s="98"/>
      <c r="AO68" s="98"/>
    </row>
    <row r="69" ht="14.25" customHeight="1">
      <c r="A69" s="98"/>
      <c r="B69" s="98"/>
      <c r="C69" s="98"/>
      <c r="D69" s="98"/>
      <c r="E69" s="98"/>
      <c r="F69" s="235"/>
      <c r="G69" s="235"/>
      <c r="H69" s="236"/>
      <c r="I69" s="236"/>
      <c r="J69" s="236"/>
      <c r="K69" s="236"/>
      <c r="L69" s="236"/>
      <c r="M69" s="236"/>
      <c r="N69" s="236"/>
      <c r="O69" s="236"/>
      <c r="P69" s="236"/>
      <c r="Q69" s="236"/>
      <c r="R69" s="236"/>
      <c r="S69" s="236"/>
      <c r="T69" s="236"/>
      <c r="U69" s="236"/>
      <c r="V69" s="236"/>
      <c r="W69" s="237"/>
      <c r="X69" s="237"/>
      <c r="Y69" s="237"/>
      <c r="Z69" s="237"/>
      <c r="AA69" s="237"/>
      <c r="AB69" s="237"/>
      <c r="AC69" s="237"/>
      <c r="AD69" s="237"/>
      <c r="AE69" s="237"/>
      <c r="AF69" s="237"/>
      <c r="AG69" s="237"/>
      <c r="AH69" s="237"/>
      <c r="AI69" s="98"/>
      <c r="AJ69" s="98"/>
      <c r="AK69" s="98"/>
      <c r="AL69" s="98"/>
      <c r="AM69" s="98"/>
      <c r="AN69" s="98"/>
      <c r="AO69" s="98"/>
    </row>
    <row r="70" ht="14.25" customHeight="1">
      <c r="A70" s="98"/>
      <c r="B70" s="98"/>
      <c r="C70" s="98"/>
      <c r="D70" s="98"/>
      <c r="E70" s="98"/>
      <c r="F70" s="235"/>
      <c r="G70" s="235"/>
      <c r="H70" s="236"/>
      <c r="I70" s="236"/>
      <c r="J70" s="236"/>
      <c r="K70" s="236"/>
      <c r="L70" s="236"/>
      <c r="M70" s="236"/>
      <c r="N70" s="236"/>
      <c r="O70" s="236"/>
      <c r="P70" s="236"/>
      <c r="Q70" s="236"/>
      <c r="R70" s="236"/>
      <c r="S70" s="236"/>
      <c r="T70" s="236"/>
      <c r="U70" s="236"/>
      <c r="V70" s="236"/>
      <c r="W70" s="237"/>
      <c r="X70" s="237"/>
      <c r="Y70" s="237"/>
      <c r="Z70" s="237"/>
      <c r="AA70" s="237"/>
      <c r="AB70" s="237"/>
      <c r="AC70" s="237"/>
      <c r="AD70" s="237"/>
      <c r="AE70" s="237"/>
      <c r="AF70" s="237"/>
      <c r="AG70" s="237"/>
      <c r="AH70" s="237"/>
      <c r="AI70" s="98"/>
      <c r="AJ70" s="98"/>
      <c r="AK70" s="98"/>
      <c r="AL70" s="98"/>
      <c r="AM70" s="98"/>
      <c r="AN70" s="98"/>
      <c r="AO70" s="98"/>
    </row>
    <row r="71" ht="14.25" customHeight="1">
      <c r="A71" s="98"/>
      <c r="B71" s="98"/>
      <c r="C71" s="98"/>
      <c r="D71" s="98"/>
      <c r="E71" s="98"/>
      <c r="F71" s="235"/>
      <c r="G71" s="235"/>
      <c r="H71" s="236"/>
      <c r="I71" s="236"/>
      <c r="J71" s="236"/>
      <c r="K71" s="236"/>
      <c r="L71" s="236"/>
      <c r="M71" s="236"/>
      <c r="N71" s="236"/>
      <c r="O71" s="236"/>
      <c r="P71" s="236"/>
      <c r="Q71" s="236"/>
      <c r="R71" s="236"/>
      <c r="S71" s="236"/>
      <c r="T71" s="236"/>
      <c r="U71" s="236"/>
      <c r="V71" s="236"/>
      <c r="W71" s="237"/>
      <c r="X71" s="237"/>
      <c r="Y71" s="237"/>
      <c r="Z71" s="237"/>
      <c r="AA71" s="237"/>
      <c r="AB71" s="237"/>
      <c r="AC71" s="237"/>
      <c r="AD71" s="237"/>
      <c r="AE71" s="237"/>
      <c r="AF71" s="237"/>
      <c r="AG71" s="237"/>
      <c r="AH71" s="237"/>
      <c r="AI71" s="98"/>
      <c r="AJ71" s="98"/>
      <c r="AK71" s="98"/>
      <c r="AL71" s="98"/>
      <c r="AM71" s="98"/>
      <c r="AN71" s="98"/>
      <c r="AO71" s="98"/>
    </row>
    <row r="72" ht="14.25" customHeight="1">
      <c r="A72" s="98"/>
      <c r="B72" s="98"/>
      <c r="C72" s="98"/>
      <c r="D72" s="98"/>
      <c r="E72" s="98"/>
      <c r="F72" s="235"/>
      <c r="G72" s="235"/>
      <c r="H72" s="236"/>
      <c r="I72" s="236"/>
      <c r="J72" s="236"/>
      <c r="K72" s="236"/>
      <c r="L72" s="236"/>
      <c r="M72" s="236"/>
      <c r="N72" s="236"/>
      <c r="O72" s="236"/>
      <c r="P72" s="236"/>
      <c r="Q72" s="236"/>
      <c r="R72" s="236"/>
      <c r="S72" s="236"/>
      <c r="T72" s="236"/>
      <c r="U72" s="236"/>
      <c r="V72" s="236"/>
      <c r="W72" s="237"/>
      <c r="X72" s="237"/>
      <c r="Y72" s="237"/>
      <c r="Z72" s="237"/>
      <c r="AA72" s="237"/>
      <c r="AB72" s="237"/>
      <c r="AC72" s="237"/>
      <c r="AD72" s="237"/>
      <c r="AE72" s="237"/>
      <c r="AF72" s="237"/>
      <c r="AG72" s="237"/>
      <c r="AH72" s="237"/>
      <c r="AI72" s="98"/>
      <c r="AJ72" s="98"/>
      <c r="AK72" s="98"/>
      <c r="AL72" s="98"/>
      <c r="AM72" s="98"/>
      <c r="AN72" s="98"/>
      <c r="AO72" s="98"/>
    </row>
    <row r="73" ht="14.25" customHeight="1">
      <c r="A73" s="98"/>
      <c r="B73" s="98"/>
      <c r="C73" s="98"/>
      <c r="D73" s="98"/>
      <c r="E73" s="98"/>
      <c r="F73" s="235"/>
      <c r="G73" s="235"/>
      <c r="H73" s="236"/>
      <c r="I73" s="236"/>
      <c r="J73" s="236"/>
      <c r="K73" s="236"/>
      <c r="L73" s="236"/>
      <c r="M73" s="236"/>
      <c r="N73" s="236"/>
      <c r="O73" s="236"/>
      <c r="P73" s="236"/>
      <c r="Q73" s="236"/>
      <c r="R73" s="236"/>
      <c r="S73" s="236"/>
      <c r="T73" s="236"/>
      <c r="U73" s="236"/>
      <c r="V73" s="236"/>
      <c r="W73" s="237"/>
      <c r="X73" s="237"/>
      <c r="Y73" s="237"/>
      <c r="Z73" s="237"/>
      <c r="AA73" s="237"/>
      <c r="AB73" s="237"/>
      <c r="AC73" s="237"/>
      <c r="AD73" s="237"/>
      <c r="AE73" s="237"/>
      <c r="AF73" s="237"/>
      <c r="AG73" s="237"/>
      <c r="AH73" s="237"/>
      <c r="AI73" s="98"/>
      <c r="AJ73" s="98"/>
      <c r="AK73" s="98"/>
      <c r="AL73" s="98"/>
      <c r="AM73" s="98"/>
      <c r="AN73" s="98"/>
      <c r="AO73" s="98"/>
    </row>
    <row r="74" ht="14.25" customHeight="1">
      <c r="A74" s="98"/>
      <c r="B74" s="98"/>
      <c r="C74" s="98"/>
      <c r="D74" s="98"/>
      <c r="E74" s="98"/>
      <c r="F74" s="235"/>
      <c r="G74" s="235"/>
      <c r="H74" s="236"/>
      <c r="I74" s="236"/>
      <c r="J74" s="236"/>
      <c r="K74" s="236"/>
      <c r="L74" s="236"/>
      <c r="M74" s="236"/>
      <c r="N74" s="236"/>
      <c r="O74" s="236"/>
      <c r="P74" s="236"/>
      <c r="Q74" s="236"/>
      <c r="R74" s="236"/>
      <c r="S74" s="236"/>
      <c r="T74" s="236"/>
      <c r="U74" s="236"/>
      <c r="V74" s="236"/>
      <c r="W74" s="237"/>
      <c r="X74" s="237"/>
      <c r="Y74" s="237"/>
      <c r="Z74" s="237"/>
      <c r="AA74" s="237"/>
      <c r="AB74" s="237"/>
      <c r="AC74" s="237"/>
      <c r="AD74" s="237"/>
      <c r="AE74" s="237"/>
      <c r="AF74" s="237"/>
      <c r="AG74" s="237"/>
      <c r="AH74" s="237"/>
      <c r="AI74" s="98"/>
      <c r="AJ74" s="98"/>
      <c r="AK74" s="98"/>
      <c r="AL74" s="98"/>
      <c r="AM74" s="98"/>
      <c r="AN74" s="98"/>
      <c r="AO74" s="98"/>
    </row>
    <row r="75" ht="14.25" customHeight="1">
      <c r="A75" s="98"/>
      <c r="B75" s="98"/>
      <c r="C75" s="98"/>
      <c r="D75" s="98"/>
      <c r="E75" s="98"/>
      <c r="F75" s="235"/>
      <c r="G75" s="235"/>
      <c r="H75" s="236"/>
      <c r="I75" s="236"/>
      <c r="J75" s="236"/>
      <c r="K75" s="236"/>
      <c r="L75" s="236"/>
      <c r="M75" s="236"/>
      <c r="N75" s="236"/>
      <c r="O75" s="236"/>
      <c r="P75" s="236"/>
      <c r="Q75" s="236"/>
      <c r="R75" s="236"/>
      <c r="S75" s="236"/>
      <c r="T75" s="236"/>
      <c r="U75" s="236"/>
      <c r="V75" s="236"/>
      <c r="W75" s="237"/>
      <c r="X75" s="237"/>
      <c r="Y75" s="237"/>
      <c r="Z75" s="237"/>
      <c r="AA75" s="237"/>
      <c r="AB75" s="237"/>
      <c r="AC75" s="237"/>
      <c r="AD75" s="237"/>
      <c r="AE75" s="237"/>
      <c r="AF75" s="237"/>
      <c r="AG75" s="237"/>
      <c r="AH75" s="237"/>
      <c r="AI75" s="98"/>
      <c r="AJ75" s="98"/>
      <c r="AK75" s="98"/>
      <c r="AL75" s="98"/>
      <c r="AM75" s="98"/>
      <c r="AN75" s="98"/>
      <c r="AO75" s="98"/>
    </row>
    <row r="76" ht="14.25" customHeight="1">
      <c r="A76" s="98"/>
      <c r="B76" s="98"/>
      <c r="C76" s="98"/>
      <c r="D76" s="98"/>
      <c r="E76" s="98"/>
      <c r="F76" s="235"/>
      <c r="G76" s="235"/>
      <c r="H76" s="236"/>
      <c r="I76" s="236"/>
      <c r="J76" s="236"/>
      <c r="K76" s="236"/>
      <c r="L76" s="236"/>
      <c r="M76" s="236"/>
      <c r="N76" s="236"/>
      <c r="O76" s="236"/>
      <c r="P76" s="236"/>
      <c r="Q76" s="236"/>
      <c r="R76" s="236"/>
      <c r="S76" s="236"/>
      <c r="T76" s="236"/>
      <c r="U76" s="236"/>
      <c r="V76" s="236"/>
      <c r="W76" s="237"/>
      <c r="X76" s="237"/>
      <c r="Y76" s="237"/>
      <c r="Z76" s="237"/>
      <c r="AA76" s="237"/>
      <c r="AB76" s="237"/>
      <c r="AC76" s="237"/>
      <c r="AD76" s="237"/>
      <c r="AE76" s="237"/>
      <c r="AF76" s="237"/>
      <c r="AG76" s="237"/>
      <c r="AH76" s="237"/>
      <c r="AI76" s="98"/>
      <c r="AJ76" s="98"/>
      <c r="AK76" s="98"/>
      <c r="AL76" s="98"/>
      <c r="AM76" s="98"/>
      <c r="AN76" s="98"/>
      <c r="AO76" s="98"/>
    </row>
    <row r="77" ht="14.25" customHeight="1">
      <c r="A77" s="98"/>
      <c r="B77" s="98"/>
      <c r="C77" s="98"/>
      <c r="D77" s="98"/>
      <c r="E77" s="98"/>
      <c r="F77" s="235"/>
      <c r="G77" s="235"/>
      <c r="H77" s="236"/>
      <c r="I77" s="236"/>
      <c r="J77" s="236"/>
      <c r="K77" s="236"/>
      <c r="L77" s="236"/>
      <c r="M77" s="236"/>
      <c r="N77" s="236"/>
      <c r="O77" s="236"/>
      <c r="P77" s="236"/>
      <c r="Q77" s="236"/>
      <c r="R77" s="236"/>
      <c r="S77" s="236"/>
      <c r="T77" s="236"/>
      <c r="U77" s="236"/>
      <c r="V77" s="236"/>
      <c r="W77" s="237"/>
      <c r="X77" s="237"/>
      <c r="Y77" s="237"/>
      <c r="Z77" s="237"/>
      <c r="AA77" s="237"/>
      <c r="AB77" s="237"/>
      <c r="AC77" s="237"/>
      <c r="AD77" s="237"/>
      <c r="AE77" s="237"/>
      <c r="AF77" s="237"/>
      <c r="AG77" s="237"/>
      <c r="AH77" s="237"/>
      <c r="AI77" s="98"/>
      <c r="AJ77" s="98"/>
      <c r="AK77" s="98"/>
      <c r="AL77" s="98"/>
      <c r="AM77" s="98"/>
      <c r="AN77" s="98"/>
      <c r="AO77" s="98"/>
    </row>
    <row r="78" ht="14.25" customHeight="1">
      <c r="A78" s="98"/>
      <c r="B78" s="98"/>
      <c r="C78" s="98"/>
      <c r="D78" s="98"/>
      <c r="E78" s="98"/>
      <c r="F78" s="235"/>
      <c r="G78" s="235"/>
      <c r="H78" s="236"/>
      <c r="I78" s="236"/>
      <c r="J78" s="236"/>
      <c r="K78" s="236"/>
      <c r="L78" s="236"/>
      <c r="M78" s="236"/>
      <c r="N78" s="236"/>
      <c r="O78" s="236"/>
      <c r="P78" s="236"/>
      <c r="Q78" s="236"/>
      <c r="R78" s="236"/>
      <c r="S78" s="236"/>
      <c r="T78" s="236"/>
      <c r="U78" s="236"/>
      <c r="V78" s="236"/>
      <c r="W78" s="237"/>
      <c r="X78" s="237"/>
      <c r="Y78" s="237"/>
      <c r="Z78" s="237"/>
      <c r="AA78" s="237"/>
      <c r="AB78" s="237"/>
      <c r="AC78" s="237"/>
      <c r="AD78" s="237"/>
      <c r="AE78" s="237"/>
      <c r="AF78" s="237"/>
      <c r="AG78" s="237"/>
      <c r="AH78" s="237"/>
      <c r="AI78" s="98"/>
      <c r="AJ78" s="98"/>
      <c r="AK78" s="98"/>
      <c r="AL78" s="98"/>
      <c r="AM78" s="98"/>
      <c r="AN78" s="98"/>
      <c r="AO78" s="98"/>
    </row>
    <row r="79" ht="14.25" customHeight="1">
      <c r="A79" s="98"/>
      <c r="B79" s="98"/>
      <c r="C79" s="98"/>
      <c r="D79" s="98"/>
      <c r="E79" s="98"/>
      <c r="F79" s="235"/>
      <c r="G79" s="235"/>
      <c r="H79" s="236"/>
      <c r="I79" s="236"/>
      <c r="J79" s="236"/>
      <c r="K79" s="236"/>
      <c r="L79" s="236"/>
      <c r="M79" s="236"/>
      <c r="N79" s="236"/>
      <c r="O79" s="236"/>
      <c r="P79" s="236"/>
      <c r="Q79" s="236"/>
      <c r="R79" s="236"/>
      <c r="S79" s="236"/>
      <c r="T79" s="236"/>
      <c r="U79" s="236"/>
      <c r="V79" s="236"/>
      <c r="W79" s="237"/>
      <c r="X79" s="237"/>
      <c r="Y79" s="237"/>
      <c r="Z79" s="237"/>
      <c r="AA79" s="237"/>
      <c r="AB79" s="237"/>
      <c r="AC79" s="237"/>
      <c r="AD79" s="237"/>
      <c r="AE79" s="237"/>
      <c r="AF79" s="237"/>
      <c r="AG79" s="237"/>
      <c r="AH79" s="237"/>
      <c r="AI79" s="98"/>
      <c r="AJ79" s="98"/>
      <c r="AK79" s="98"/>
      <c r="AL79" s="98"/>
      <c r="AM79" s="98"/>
      <c r="AN79" s="98"/>
      <c r="AO79" s="98"/>
    </row>
    <row r="80" ht="14.25" customHeight="1">
      <c r="A80" s="98"/>
      <c r="B80" s="98"/>
      <c r="C80" s="98"/>
      <c r="D80" s="98"/>
      <c r="E80" s="98"/>
      <c r="F80" s="235"/>
      <c r="G80" s="235"/>
      <c r="H80" s="236"/>
      <c r="I80" s="236"/>
      <c r="J80" s="236"/>
      <c r="K80" s="236"/>
      <c r="L80" s="236"/>
      <c r="M80" s="236"/>
      <c r="N80" s="236"/>
      <c r="O80" s="236"/>
      <c r="P80" s="236"/>
      <c r="Q80" s="236"/>
      <c r="R80" s="236"/>
      <c r="S80" s="236"/>
      <c r="T80" s="236"/>
      <c r="U80" s="236"/>
      <c r="V80" s="236"/>
      <c r="W80" s="237"/>
      <c r="X80" s="237"/>
      <c r="Y80" s="237"/>
      <c r="Z80" s="237"/>
      <c r="AA80" s="237"/>
      <c r="AB80" s="237"/>
      <c r="AC80" s="237"/>
      <c r="AD80" s="237"/>
      <c r="AE80" s="237"/>
      <c r="AF80" s="237"/>
      <c r="AG80" s="237"/>
      <c r="AH80" s="237"/>
      <c r="AI80" s="98"/>
      <c r="AJ80" s="98"/>
      <c r="AK80" s="98"/>
      <c r="AL80" s="98"/>
      <c r="AM80" s="98"/>
      <c r="AN80" s="98"/>
      <c r="AO80" s="98"/>
    </row>
    <row r="81" ht="14.25" customHeight="1">
      <c r="A81" s="98"/>
      <c r="B81" s="98"/>
      <c r="C81" s="98"/>
      <c r="D81" s="98"/>
      <c r="E81" s="98"/>
      <c r="F81" s="235"/>
      <c r="G81" s="235"/>
      <c r="H81" s="236"/>
      <c r="I81" s="236"/>
      <c r="J81" s="236"/>
      <c r="K81" s="236"/>
      <c r="L81" s="236"/>
      <c r="M81" s="236"/>
      <c r="N81" s="236"/>
      <c r="O81" s="236"/>
      <c r="P81" s="236"/>
      <c r="Q81" s="236"/>
      <c r="R81" s="236"/>
      <c r="S81" s="236"/>
      <c r="T81" s="236"/>
      <c r="U81" s="236"/>
      <c r="V81" s="236"/>
      <c r="W81" s="237"/>
      <c r="X81" s="237"/>
      <c r="Y81" s="237"/>
      <c r="Z81" s="237"/>
      <c r="AA81" s="237"/>
      <c r="AB81" s="237"/>
      <c r="AC81" s="237"/>
      <c r="AD81" s="237"/>
      <c r="AE81" s="237"/>
      <c r="AF81" s="237"/>
      <c r="AG81" s="237"/>
      <c r="AH81" s="237"/>
      <c r="AI81" s="98"/>
      <c r="AJ81" s="98"/>
      <c r="AK81" s="98"/>
      <c r="AL81" s="98"/>
      <c r="AM81" s="98"/>
      <c r="AN81" s="98"/>
      <c r="AO81" s="98"/>
    </row>
    <row r="82" ht="14.25" customHeight="1">
      <c r="A82" s="98"/>
      <c r="B82" s="98"/>
      <c r="C82" s="98"/>
      <c r="D82" s="98"/>
      <c r="E82" s="98"/>
      <c r="F82" s="235"/>
      <c r="G82" s="235"/>
      <c r="H82" s="236"/>
      <c r="I82" s="236"/>
      <c r="J82" s="236"/>
      <c r="K82" s="236"/>
      <c r="L82" s="236"/>
      <c r="M82" s="236"/>
      <c r="N82" s="236"/>
      <c r="O82" s="236"/>
      <c r="P82" s="236"/>
      <c r="Q82" s="236"/>
      <c r="R82" s="236"/>
      <c r="S82" s="236"/>
      <c r="T82" s="236"/>
      <c r="U82" s="236"/>
      <c r="V82" s="236"/>
      <c r="W82" s="237"/>
      <c r="X82" s="237"/>
      <c r="Y82" s="237"/>
      <c r="Z82" s="237"/>
      <c r="AA82" s="237"/>
      <c r="AB82" s="237"/>
      <c r="AC82" s="237"/>
      <c r="AD82" s="237"/>
      <c r="AE82" s="237"/>
      <c r="AF82" s="237"/>
      <c r="AG82" s="237"/>
      <c r="AH82" s="237"/>
      <c r="AI82" s="98"/>
      <c r="AJ82" s="98"/>
      <c r="AK82" s="98"/>
      <c r="AL82" s="98"/>
      <c r="AM82" s="98"/>
      <c r="AN82" s="98"/>
      <c r="AO82" s="98"/>
    </row>
    <row r="83" ht="14.25" customHeight="1">
      <c r="A83" s="98"/>
      <c r="B83" s="98"/>
      <c r="C83" s="98"/>
      <c r="D83" s="98"/>
      <c r="E83" s="98"/>
      <c r="F83" s="235"/>
      <c r="G83" s="235"/>
      <c r="H83" s="236"/>
      <c r="I83" s="236"/>
      <c r="J83" s="236"/>
      <c r="K83" s="236"/>
      <c r="L83" s="236"/>
      <c r="M83" s="236"/>
      <c r="N83" s="236"/>
      <c r="O83" s="236"/>
      <c r="P83" s="236"/>
      <c r="Q83" s="236"/>
      <c r="R83" s="236"/>
      <c r="S83" s="236"/>
      <c r="T83" s="236"/>
      <c r="U83" s="236"/>
      <c r="V83" s="236"/>
      <c r="W83" s="237"/>
      <c r="X83" s="237"/>
      <c r="Y83" s="237"/>
      <c r="Z83" s="237"/>
      <c r="AA83" s="237"/>
      <c r="AB83" s="237"/>
      <c r="AC83" s="237"/>
      <c r="AD83" s="237"/>
      <c r="AE83" s="237"/>
      <c r="AF83" s="237"/>
      <c r="AG83" s="237"/>
      <c r="AH83" s="237"/>
      <c r="AI83" s="98"/>
      <c r="AJ83" s="98"/>
      <c r="AK83" s="98"/>
      <c r="AL83" s="98"/>
      <c r="AM83" s="98"/>
      <c r="AN83" s="98"/>
      <c r="AO83" s="98"/>
    </row>
    <row r="84" ht="14.25" customHeight="1">
      <c r="A84" s="98"/>
      <c r="B84" s="98"/>
      <c r="C84" s="98"/>
      <c r="D84" s="98"/>
      <c r="E84" s="98"/>
      <c r="F84" s="235"/>
      <c r="G84" s="235"/>
      <c r="H84" s="236"/>
      <c r="I84" s="236"/>
      <c r="J84" s="236"/>
      <c r="K84" s="236"/>
      <c r="L84" s="236"/>
      <c r="M84" s="236"/>
      <c r="N84" s="236"/>
      <c r="O84" s="236"/>
      <c r="P84" s="236"/>
      <c r="Q84" s="236"/>
      <c r="R84" s="236"/>
      <c r="S84" s="236"/>
      <c r="T84" s="236"/>
      <c r="U84" s="236"/>
      <c r="V84" s="236"/>
      <c r="W84" s="237"/>
      <c r="X84" s="237"/>
      <c r="Y84" s="237"/>
      <c r="Z84" s="237"/>
      <c r="AA84" s="237"/>
      <c r="AB84" s="237"/>
      <c r="AC84" s="237"/>
      <c r="AD84" s="237"/>
      <c r="AE84" s="237"/>
      <c r="AF84" s="237"/>
      <c r="AG84" s="237"/>
      <c r="AH84" s="237"/>
      <c r="AI84" s="98"/>
      <c r="AJ84" s="98"/>
      <c r="AK84" s="98"/>
      <c r="AL84" s="98"/>
      <c r="AM84" s="98"/>
      <c r="AN84" s="98"/>
      <c r="AO84" s="98"/>
    </row>
    <row r="85" ht="14.25" customHeight="1">
      <c r="A85" s="98"/>
      <c r="B85" s="98"/>
      <c r="C85" s="98"/>
      <c r="D85" s="98"/>
      <c r="E85" s="98"/>
      <c r="F85" s="235"/>
      <c r="G85" s="235"/>
      <c r="H85" s="236"/>
      <c r="I85" s="236"/>
      <c r="J85" s="236"/>
      <c r="K85" s="236"/>
      <c r="L85" s="236"/>
      <c r="M85" s="236"/>
      <c r="N85" s="236"/>
      <c r="O85" s="236"/>
      <c r="P85" s="236"/>
      <c r="Q85" s="236"/>
      <c r="R85" s="236"/>
      <c r="S85" s="236"/>
      <c r="T85" s="236"/>
      <c r="U85" s="236"/>
      <c r="V85" s="236"/>
      <c r="W85" s="237"/>
      <c r="X85" s="237"/>
      <c r="Y85" s="237"/>
      <c r="Z85" s="237"/>
      <c r="AA85" s="237"/>
      <c r="AB85" s="237"/>
      <c r="AC85" s="237"/>
      <c r="AD85" s="237"/>
      <c r="AE85" s="237"/>
      <c r="AF85" s="237"/>
      <c r="AG85" s="237"/>
      <c r="AH85" s="237"/>
      <c r="AI85" s="98"/>
      <c r="AJ85" s="98"/>
      <c r="AK85" s="98"/>
      <c r="AL85" s="98"/>
      <c r="AM85" s="98"/>
      <c r="AN85" s="98"/>
      <c r="AO85" s="98"/>
    </row>
    <row r="86" ht="14.25" customHeight="1">
      <c r="A86" s="98"/>
      <c r="B86" s="98"/>
      <c r="C86" s="98"/>
      <c r="D86" s="98"/>
      <c r="E86" s="98"/>
      <c r="F86" s="235"/>
      <c r="G86" s="235"/>
      <c r="H86" s="236"/>
      <c r="I86" s="236"/>
      <c r="J86" s="236"/>
      <c r="K86" s="236"/>
      <c r="L86" s="236"/>
      <c r="M86" s="236"/>
      <c r="N86" s="236"/>
      <c r="O86" s="236"/>
      <c r="P86" s="236"/>
      <c r="Q86" s="236"/>
      <c r="R86" s="236"/>
      <c r="S86" s="236"/>
      <c r="T86" s="236"/>
      <c r="U86" s="236"/>
      <c r="V86" s="236"/>
      <c r="W86" s="237"/>
      <c r="X86" s="237"/>
      <c r="Y86" s="237"/>
      <c r="Z86" s="237"/>
      <c r="AA86" s="237"/>
      <c r="AB86" s="237"/>
      <c r="AC86" s="237"/>
      <c r="AD86" s="237"/>
      <c r="AE86" s="237"/>
      <c r="AF86" s="237"/>
      <c r="AG86" s="237"/>
      <c r="AH86" s="237"/>
      <c r="AI86" s="98"/>
      <c r="AJ86" s="98"/>
      <c r="AK86" s="98"/>
      <c r="AL86" s="98"/>
      <c r="AM86" s="98"/>
      <c r="AN86" s="98"/>
      <c r="AO86" s="98"/>
    </row>
    <row r="87" ht="14.25" customHeight="1">
      <c r="A87" s="98"/>
      <c r="B87" s="98"/>
      <c r="C87" s="98"/>
      <c r="D87" s="98"/>
      <c r="E87" s="98"/>
      <c r="F87" s="235"/>
      <c r="G87" s="235"/>
      <c r="H87" s="236"/>
      <c r="I87" s="236"/>
      <c r="J87" s="236"/>
      <c r="K87" s="236"/>
      <c r="L87" s="236"/>
      <c r="M87" s="236"/>
      <c r="N87" s="236"/>
      <c r="O87" s="236"/>
      <c r="P87" s="236"/>
      <c r="Q87" s="236"/>
      <c r="R87" s="236"/>
      <c r="S87" s="236"/>
      <c r="T87" s="236"/>
      <c r="U87" s="236"/>
      <c r="V87" s="236"/>
      <c r="W87" s="237"/>
      <c r="X87" s="237"/>
      <c r="Y87" s="237"/>
      <c r="Z87" s="237"/>
      <c r="AA87" s="237"/>
      <c r="AB87" s="237"/>
      <c r="AC87" s="237"/>
      <c r="AD87" s="237"/>
      <c r="AE87" s="237"/>
      <c r="AF87" s="237"/>
      <c r="AG87" s="237"/>
      <c r="AH87" s="237"/>
      <c r="AI87" s="98"/>
      <c r="AJ87" s="98"/>
      <c r="AK87" s="98"/>
      <c r="AL87" s="98"/>
      <c r="AM87" s="98"/>
      <c r="AN87" s="98"/>
      <c r="AO87" s="98"/>
    </row>
    <row r="88" ht="14.25" customHeight="1">
      <c r="A88" s="98"/>
      <c r="B88" s="98"/>
      <c r="C88" s="98"/>
      <c r="D88" s="98"/>
      <c r="E88" s="98"/>
      <c r="F88" s="235"/>
      <c r="G88" s="235"/>
      <c r="H88" s="236"/>
      <c r="I88" s="236"/>
      <c r="J88" s="236"/>
      <c r="K88" s="236"/>
      <c r="L88" s="236"/>
      <c r="M88" s="236"/>
      <c r="N88" s="236"/>
      <c r="O88" s="236"/>
      <c r="P88" s="236"/>
      <c r="Q88" s="236"/>
      <c r="R88" s="236"/>
      <c r="S88" s="236"/>
      <c r="T88" s="236"/>
      <c r="U88" s="236"/>
      <c r="V88" s="236"/>
      <c r="W88" s="237"/>
      <c r="X88" s="237"/>
      <c r="Y88" s="237"/>
      <c r="Z88" s="237"/>
      <c r="AA88" s="237"/>
      <c r="AB88" s="237"/>
      <c r="AC88" s="237"/>
      <c r="AD88" s="237"/>
      <c r="AE88" s="237"/>
      <c r="AF88" s="237"/>
      <c r="AG88" s="237"/>
      <c r="AH88" s="237"/>
      <c r="AI88" s="98"/>
      <c r="AJ88" s="98"/>
      <c r="AK88" s="98"/>
      <c r="AL88" s="98"/>
      <c r="AM88" s="98"/>
      <c r="AN88" s="98"/>
      <c r="AO88" s="98"/>
    </row>
    <row r="89" ht="14.25" customHeight="1">
      <c r="A89" s="98"/>
      <c r="B89" s="98"/>
      <c r="C89" s="98"/>
      <c r="D89" s="98"/>
      <c r="E89" s="98"/>
      <c r="F89" s="235"/>
      <c r="G89" s="235"/>
      <c r="H89" s="236"/>
      <c r="I89" s="236"/>
      <c r="J89" s="236"/>
      <c r="K89" s="236"/>
      <c r="L89" s="236"/>
      <c r="M89" s="236"/>
      <c r="N89" s="236"/>
      <c r="O89" s="236"/>
      <c r="P89" s="236"/>
      <c r="Q89" s="236"/>
      <c r="R89" s="236"/>
      <c r="S89" s="236"/>
      <c r="T89" s="236"/>
      <c r="U89" s="236"/>
      <c r="V89" s="236"/>
      <c r="W89" s="237"/>
      <c r="X89" s="237"/>
      <c r="Y89" s="237"/>
      <c r="Z89" s="237"/>
      <c r="AA89" s="237"/>
      <c r="AB89" s="237"/>
      <c r="AC89" s="237"/>
      <c r="AD89" s="237"/>
      <c r="AE89" s="237"/>
      <c r="AF89" s="237"/>
      <c r="AG89" s="237"/>
      <c r="AH89" s="237"/>
      <c r="AI89" s="98"/>
      <c r="AJ89" s="98"/>
      <c r="AK89" s="98"/>
      <c r="AL89" s="98"/>
      <c r="AM89" s="98"/>
      <c r="AN89" s="98"/>
      <c r="AO89" s="98"/>
    </row>
    <row r="90" ht="14.25" customHeight="1">
      <c r="A90" s="98"/>
      <c r="B90" s="98"/>
      <c r="C90" s="98"/>
      <c r="D90" s="98"/>
      <c r="E90" s="98"/>
      <c r="F90" s="235"/>
      <c r="G90" s="235"/>
      <c r="H90" s="236"/>
      <c r="I90" s="236"/>
      <c r="J90" s="236"/>
      <c r="K90" s="236"/>
      <c r="L90" s="236"/>
      <c r="M90" s="236"/>
      <c r="N90" s="236"/>
      <c r="O90" s="236"/>
      <c r="P90" s="236"/>
      <c r="Q90" s="236"/>
      <c r="R90" s="236"/>
      <c r="S90" s="236"/>
      <c r="T90" s="236"/>
      <c r="U90" s="236"/>
      <c r="V90" s="236"/>
      <c r="W90" s="237"/>
      <c r="X90" s="237"/>
      <c r="Y90" s="237"/>
      <c r="Z90" s="237"/>
      <c r="AA90" s="237"/>
      <c r="AB90" s="237"/>
      <c r="AC90" s="237"/>
      <c r="AD90" s="237"/>
      <c r="AE90" s="237"/>
      <c r="AF90" s="237"/>
      <c r="AG90" s="237"/>
      <c r="AH90" s="237"/>
      <c r="AI90" s="98"/>
      <c r="AJ90" s="98"/>
      <c r="AK90" s="98"/>
      <c r="AL90" s="98"/>
      <c r="AM90" s="98"/>
      <c r="AN90" s="98"/>
      <c r="AO90" s="98"/>
    </row>
    <row r="91" ht="14.25" customHeight="1">
      <c r="A91" s="98"/>
      <c r="B91" s="98"/>
      <c r="C91" s="98"/>
      <c r="D91" s="98"/>
      <c r="E91" s="98"/>
      <c r="F91" s="235"/>
      <c r="G91" s="235"/>
      <c r="H91" s="236"/>
      <c r="I91" s="236"/>
      <c r="J91" s="236"/>
      <c r="K91" s="236"/>
      <c r="L91" s="236"/>
      <c r="M91" s="236"/>
      <c r="N91" s="236"/>
      <c r="O91" s="236"/>
      <c r="P91" s="236"/>
      <c r="Q91" s="236"/>
      <c r="R91" s="236"/>
      <c r="S91" s="236"/>
      <c r="T91" s="236"/>
      <c r="U91" s="236"/>
      <c r="V91" s="236"/>
      <c r="W91" s="237"/>
      <c r="X91" s="237"/>
      <c r="Y91" s="237"/>
      <c r="Z91" s="237"/>
      <c r="AA91" s="237"/>
      <c r="AB91" s="237"/>
      <c r="AC91" s="237"/>
      <c r="AD91" s="237"/>
      <c r="AE91" s="237"/>
      <c r="AF91" s="237"/>
      <c r="AG91" s="237"/>
      <c r="AH91" s="237"/>
      <c r="AI91" s="98"/>
      <c r="AJ91" s="98"/>
      <c r="AK91" s="98"/>
      <c r="AL91" s="98"/>
      <c r="AM91" s="98"/>
      <c r="AN91" s="98"/>
      <c r="AO91" s="98"/>
    </row>
    <row r="92" ht="14.25" customHeight="1">
      <c r="A92" s="98"/>
      <c r="B92" s="98"/>
      <c r="C92" s="98"/>
      <c r="D92" s="98"/>
      <c r="E92" s="98"/>
      <c r="F92" s="235"/>
      <c r="G92" s="235"/>
      <c r="H92" s="236"/>
      <c r="I92" s="236"/>
      <c r="J92" s="236"/>
      <c r="K92" s="236"/>
      <c r="L92" s="236"/>
      <c r="M92" s="236"/>
      <c r="N92" s="236"/>
      <c r="O92" s="236"/>
      <c r="P92" s="236"/>
      <c r="Q92" s="236"/>
      <c r="R92" s="236"/>
      <c r="S92" s="236"/>
      <c r="T92" s="236"/>
      <c r="U92" s="236"/>
      <c r="V92" s="236"/>
      <c r="W92" s="237"/>
      <c r="X92" s="237"/>
      <c r="Y92" s="237"/>
      <c r="Z92" s="237"/>
      <c r="AA92" s="237"/>
      <c r="AB92" s="237"/>
      <c r="AC92" s="237"/>
      <c r="AD92" s="237"/>
      <c r="AE92" s="237"/>
      <c r="AF92" s="237"/>
      <c r="AG92" s="237"/>
      <c r="AH92" s="237"/>
      <c r="AI92" s="98"/>
      <c r="AJ92" s="98"/>
      <c r="AK92" s="98"/>
      <c r="AL92" s="98"/>
      <c r="AM92" s="98"/>
      <c r="AN92" s="98"/>
      <c r="AO92" s="98"/>
    </row>
    <row r="93" ht="14.25" customHeight="1">
      <c r="A93" s="98"/>
      <c r="B93" s="98"/>
      <c r="C93" s="98"/>
      <c r="D93" s="98"/>
      <c r="E93" s="98"/>
      <c r="F93" s="235"/>
      <c r="G93" s="235"/>
      <c r="H93" s="236"/>
      <c r="I93" s="236"/>
      <c r="J93" s="236"/>
      <c r="K93" s="236"/>
      <c r="L93" s="236"/>
      <c r="M93" s="236"/>
      <c r="N93" s="236"/>
      <c r="O93" s="236"/>
      <c r="P93" s="236"/>
      <c r="Q93" s="236"/>
      <c r="R93" s="236"/>
      <c r="S93" s="236"/>
      <c r="T93" s="236"/>
      <c r="U93" s="236"/>
      <c r="V93" s="236"/>
      <c r="W93" s="237"/>
      <c r="X93" s="237"/>
      <c r="Y93" s="237"/>
      <c r="Z93" s="237"/>
      <c r="AA93" s="237"/>
      <c r="AB93" s="237"/>
      <c r="AC93" s="237"/>
      <c r="AD93" s="237"/>
      <c r="AE93" s="237"/>
      <c r="AF93" s="237"/>
      <c r="AG93" s="237"/>
      <c r="AH93" s="237"/>
      <c r="AI93" s="98"/>
      <c r="AJ93" s="98"/>
      <c r="AK93" s="98"/>
      <c r="AL93" s="98"/>
      <c r="AM93" s="98"/>
      <c r="AN93" s="98"/>
      <c r="AO93" s="98"/>
    </row>
    <row r="94" ht="14.25" customHeight="1">
      <c r="A94" s="98"/>
      <c r="B94" s="98"/>
      <c r="C94" s="98"/>
      <c r="D94" s="98"/>
      <c r="E94" s="98"/>
      <c r="F94" s="235"/>
      <c r="G94" s="235"/>
      <c r="H94" s="236"/>
      <c r="I94" s="236"/>
      <c r="J94" s="236"/>
      <c r="K94" s="236"/>
      <c r="L94" s="236"/>
      <c r="M94" s="236"/>
      <c r="N94" s="236"/>
      <c r="O94" s="236"/>
      <c r="P94" s="236"/>
      <c r="Q94" s="236"/>
      <c r="R94" s="236"/>
      <c r="S94" s="236"/>
      <c r="T94" s="236"/>
      <c r="U94" s="236"/>
      <c r="V94" s="236"/>
      <c r="W94" s="237"/>
      <c r="X94" s="237"/>
      <c r="Y94" s="237"/>
      <c r="Z94" s="237"/>
      <c r="AA94" s="237"/>
      <c r="AB94" s="237"/>
      <c r="AC94" s="237"/>
      <c r="AD94" s="237"/>
      <c r="AE94" s="237"/>
      <c r="AF94" s="237"/>
      <c r="AG94" s="237"/>
      <c r="AH94" s="237"/>
      <c r="AI94" s="98"/>
      <c r="AJ94" s="98"/>
      <c r="AK94" s="98"/>
      <c r="AL94" s="98"/>
      <c r="AM94" s="98"/>
      <c r="AN94" s="98"/>
      <c r="AO94" s="98"/>
    </row>
    <row r="95" ht="14.25" customHeight="1">
      <c r="A95" s="98"/>
      <c r="B95" s="98"/>
      <c r="C95" s="98"/>
      <c r="D95" s="98"/>
      <c r="E95" s="98"/>
      <c r="F95" s="235"/>
      <c r="G95" s="235"/>
      <c r="H95" s="236"/>
      <c r="I95" s="236"/>
      <c r="J95" s="236"/>
      <c r="K95" s="236"/>
      <c r="L95" s="236"/>
      <c r="M95" s="236"/>
      <c r="N95" s="236"/>
      <c r="O95" s="236"/>
      <c r="P95" s="236"/>
      <c r="Q95" s="236"/>
      <c r="R95" s="236"/>
      <c r="S95" s="236"/>
      <c r="T95" s="236"/>
      <c r="U95" s="236"/>
      <c r="V95" s="236"/>
      <c r="W95" s="237"/>
      <c r="X95" s="237"/>
      <c r="Y95" s="237"/>
      <c r="Z95" s="237"/>
      <c r="AA95" s="237"/>
      <c r="AB95" s="237"/>
      <c r="AC95" s="237"/>
      <c r="AD95" s="237"/>
      <c r="AE95" s="237"/>
      <c r="AF95" s="237"/>
      <c r="AG95" s="237"/>
      <c r="AH95" s="237"/>
      <c r="AI95" s="98"/>
      <c r="AJ95" s="98"/>
      <c r="AK95" s="98"/>
      <c r="AL95" s="98"/>
      <c r="AM95" s="98"/>
      <c r="AN95" s="98"/>
      <c r="AO95" s="98"/>
    </row>
    <row r="96" ht="14.25" customHeight="1">
      <c r="A96" s="98"/>
      <c r="B96" s="98"/>
      <c r="C96" s="98"/>
      <c r="D96" s="98"/>
      <c r="E96" s="98"/>
      <c r="F96" s="235"/>
      <c r="G96" s="235"/>
      <c r="H96" s="236"/>
      <c r="I96" s="236"/>
      <c r="J96" s="236"/>
      <c r="K96" s="236"/>
      <c r="L96" s="236"/>
      <c r="M96" s="236"/>
      <c r="N96" s="236"/>
      <c r="O96" s="236"/>
      <c r="P96" s="236"/>
      <c r="Q96" s="236"/>
      <c r="R96" s="236"/>
      <c r="S96" s="236"/>
      <c r="T96" s="236"/>
      <c r="U96" s="236"/>
      <c r="V96" s="236"/>
      <c r="W96" s="237"/>
      <c r="X96" s="237"/>
      <c r="Y96" s="237"/>
      <c r="Z96" s="237"/>
      <c r="AA96" s="237"/>
      <c r="AB96" s="237"/>
      <c r="AC96" s="237"/>
      <c r="AD96" s="237"/>
      <c r="AE96" s="237"/>
      <c r="AF96" s="237"/>
      <c r="AG96" s="237"/>
      <c r="AH96" s="237"/>
      <c r="AI96" s="98"/>
      <c r="AJ96" s="98"/>
      <c r="AK96" s="98"/>
      <c r="AL96" s="98"/>
      <c r="AM96" s="98"/>
      <c r="AN96" s="98"/>
      <c r="AO96" s="98"/>
    </row>
    <row r="97" ht="14.25" customHeight="1">
      <c r="A97" s="98"/>
      <c r="B97" s="98"/>
      <c r="C97" s="98"/>
      <c r="D97" s="98"/>
      <c r="E97" s="98"/>
      <c r="F97" s="235"/>
      <c r="G97" s="235"/>
      <c r="H97" s="236"/>
      <c r="I97" s="236"/>
      <c r="J97" s="236"/>
      <c r="K97" s="236"/>
      <c r="L97" s="236"/>
      <c r="M97" s="236"/>
      <c r="N97" s="236"/>
      <c r="O97" s="236"/>
      <c r="P97" s="236"/>
      <c r="Q97" s="236"/>
      <c r="R97" s="236"/>
      <c r="S97" s="236"/>
      <c r="T97" s="236"/>
      <c r="U97" s="236"/>
      <c r="V97" s="236"/>
      <c r="W97" s="237"/>
      <c r="X97" s="237"/>
      <c r="Y97" s="237"/>
      <c r="Z97" s="237"/>
      <c r="AA97" s="237"/>
      <c r="AB97" s="237"/>
      <c r="AC97" s="237"/>
      <c r="AD97" s="237"/>
      <c r="AE97" s="237"/>
      <c r="AF97" s="237"/>
      <c r="AG97" s="237"/>
      <c r="AH97" s="237"/>
      <c r="AI97" s="98"/>
      <c r="AJ97" s="98"/>
      <c r="AK97" s="98"/>
      <c r="AL97" s="98"/>
      <c r="AM97" s="98"/>
      <c r="AN97" s="98"/>
      <c r="AO97" s="98"/>
    </row>
    <row r="98" ht="14.25" customHeight="1">
      <c r="A98" s="98"/>
      <c r="B98" s="98"/>
      <c r="C98" s="98"/>
      <c r="D98" s="98"/>
      <c r="E98" s="98"/>
      <c r="F98" s="235"/>
      <c r="G98" s="235"/>
      <c r="H98" s="236"/>
      <c r="I98" s="236"/>
      <c r="J98" s="236"/>
      <c r="K98" s="236"/>
      <c r="L98" s="236"/>
      <c r="M98" s="236"/>
      <c r="N98" s="236"/>
      <c r="O98" s="236"/>
      <c r="P98" s="236"/>
      <c r="Q98" s="236"/>
      <c r="R98" s="236"/>
      <c r="S98" s="236"/>
      <c r="T98" s="236"/>
      <c r="U98" s="236"/>
      <c r="V98" s="236"/>
      <c r="W98" s="237"/>
      <c r="X98" s="237"/>
      <c r="Y98" s="237"/>
      <c r="Z98" s="237"/>
      <c r="AA98" s="237"/>
      <c r="AB98" s="237"/>
      <c r="AC98" s="237"/>
      <c r="AD98" s="237"/>
      <c r="AE98" s="237"/>
      <c r="AF98" s="237"/>
      <c r="AG98" s="237"/>
      <c r="AH98" s="237"/>
      <c r="AI98" s="98"/>
      <c r="AJ98" s="98"/>
      <c r="AK98" s="98"/>
      <c r="AL98" s="98"/>
      <c r="AM98" s="98"/>
      <c r="AN98" s="98"/>
      <c r="AO98" s="98"/>
    </row>
    <row r="99" ht="14.25" customHeight="1">
      <c r="A99" s="98"/>
      <c r="B99" s="98"/>
      <c r="C99" s="98"/>
      <c r="D99" s="98"/>
      <c r="E99" s="98"/>
      <c r="F99" s="235"/>
      <c r="G99" s="235"/>
      <c r="H99" s="236"/>
      <c r="I99" s="236"/>
      <c r="J99" s="236"/>
      <c r="K99" s="236"/>
      <c r="L99" s="236"/>
      <c r="M99" s="236"/>
      <c r="N99" s="236"/>
      <c r="O99" s="236"/>
      <c r="P99" s="236"/>
      <c r="Q99" s="236"/>
      <c r="R99" s="236"/>
      <c r="S99" s="236"/>
      <c r="T99" s="236"/>
      <c r="U99" s="236"/>
      <c r="V99" s="236"/>
      <c r="W99" s="237"/>
      <c r="X99" s="237"/>
      <c r="Y99" s="237"/>
      <c r="Z99" s="237"/>
      <c r="AA99" s="237"/>
      <c r="AB99" s="237"/>
      <c r="AC99" s="237"/>
      <c r="AD99" s="237"/>
      <c r="AE99" s="237"/>
      <c r="AF99" s="237"/>
      <c r="AG99" s="237"/>
      <c r="AH99" s="237"/>
      <c r="AI99" s="98"/>
      <c r="AJ99" s="98"/>
      <c r="AK99" s="98"/>
      <c r="AL99" s="98"/>
      <c r="AM99" s="98"/>
      <c r="AN99" s="98"/>
      <c r="AO99" s="98"/>
    </row>
    <row r="100" ht="14.25" customHeight="1">
      <c r="A100" s="98"/>
      <c r="B100" s="98"/>
      <c r="C100" s="98"/>
      <c r="D100" s="98"/>
      <c r="E100" s="98"/>
      <c r="F100" s="235"/>
      <c r="G100" s="235"/>
      <c r="H100" s="236"/>
      <c r="I100" s="236"/>
      <c r="J100" s="236"/>
      <c r="K100" s="236"/>
      <c r="L100" s="236"/>
      <c r="M100" s="236"/>
      <c r="N100" s="236"/>
      <c r="O100" s="236"/>
      <c r="P100" s="236"/>
      <c r="Q100" s="236"/>
      <c r="R100" s="236"/>
      <c r="S100" s="236"/>
      <c r="T100" s="236"/>
      <c r="U100" s="236"/>
      <c r="V100" s="236"/>
      <c r="W100" s="237"/>
      <c r="X100" s="237"/>
      <c r="Y100" s="237"/>
      <c r="Z100" s="237"/>
      <c r="AA100" s="237"/>
      <c r="AB100" s="237"/>
      <c r="AC100" s="237"/>
      <c r="AD100" s="237"/>
      <c r="AE100" s="237"/>
      <c r="AF100" s="237"/>
      <c r="AG100" s="237"/>
      <c r="AH100" s="237"/>
      <c r="AI100" s="98"/>
      <c r="AJ100" s="98"/>
      <c r="AK100" s="98"/>
      <c r="AL100" s="98"/>
      <c r="AM100" s="98"/>
      <c r="AN100" s="98"/>
      <c r="AO100" s="98"/>
    </row>
    <row r="101" ht="14.25" customHeight="1">
      <c r="A101" s="98"/>
      <c r="B101" s="98"/>
      <c r="C101" s="98"/>
      <c r="D101" s="98"/>
      <c r="E101" s="98"/>
      <c r="F101" s="235"/>
      <c r="G101" s="235"/>
      <c r="H101" s="236"/>
      <c r="I101" s="236"/>
      <c r="J101" s="236"/>
      <c r="K101" s="236"/>
      <c r="L101" s="236"/>
      <c r="M101" s="236"/>
      <c r="N101" s="236"/>
      <c r="O101" s="236"/>
      <c r="P101" s="236"/>
      <c r="Q101" s="236"/>
      <c r="R101" s="236"/>
      <c r="S101" s="236"/>
      <c r="T101" s="236"/>
      <c r="U101" s="236"/>
      <c r="V101" s="236"/>
      <c r="W101" s="237"/>
      <c r="X101" s="237"/>
      <c r="Y101" s="237"/>
      <c r="Z101" s="237"/>
      <c r="AA101" s="237"/>
      <c r="AB101" s="237"/>
      <c r="AC101" s="237"/>
      <c r="AD101" s="237"/>
      <c r="AE101" s="237"/>
      <c r="AF101" s="237"/>
      <c r="AG101" s="237"/>
      <c r="AH101" s="237"/>
      <c r="AI101" s="98"/>
      <c r="AJ101" s="98"/>
      <c r="AK101" s="98"/>
      <c r="AL101" s="98"/>
      <c r="AM101" s="98"/>
      <c r="AN101" s="98"/>
      <c r="AO101" s="98"/>
    </row>
    <row r="102" ht="14.25" customHeight="1">
      <c r="A102" s="98"/>
      <c r="B102" s="98"/>
      <c r="C102" s="98"/>
      <c r="D102" s="98"/>
      <c r="E102" s="98"/>
      <c r="F102" s="235"/>
      <c r="G102" s="235"/>
      <c r="H102" s="236"/>
      <c r="I102" s="236"/>
      <c r="J102" s="236"/>
      <c r="K102" s="236"/>
      <c r="L102" s="236"/>
      <c r="M102" s="236"/>
      <c r="N102" s="236"/>
      <c r="O102" s="236"/>
      <c r="P102" s="236"/>
      <c r="Q102" s="236"/>
      <c r="R102" s="236"/>
      <c r="S102" s="236"/>
      <c r="T102" s="236"/>
      <c r="U102" s="236"/>
      <c r="V102" s="236"/>
      <c r="W102" s="237"/>
      <c r="X102" s="237"/>
      <c r="Y102" s="237"/>
      <c r="Z102" s="237"/>
      <c r="AA102" s="237"/>
      <c r="AB102" s="237"/>
      <c r="AC102" s="237"/>
      <c r="AD102" s="237"/>
      <c r="AE102" s="237"/>
      <c r="AF102" s="237"/>
      <c r="AG102" s="237"/>
      <c r="AH102" s="237"/>
      <c r="AI102" s="98"/>
      <c r="AJ102" s="98"/>
      <c r="AK102" s="98"/>
      <c r="AL102" s="98"/>
      <c r="AM102" s="98"/>
      <c r="AN102" s="98"/>
      <c r="AO102" s="98"/>
    </row>
    <row r="103" ht="14.25" customHeight="1">
      <c r="A103" s="98"/>
      <c r="B103" s="98"/>
      <c r="C103" s="98"/>
      <c r="D103" s="98"/>
      <c r="E103" s="98"/>
      <c r="F103" s="235"/>
      <c r="G103" s="235"/>
      <c r="H103" s="236"/>
      <c r="I103" s="236"/>
      <c r="J103" s="236"/>
      <c r="K103" s="236"/>
      <c r="L103" s="236"/>
      <c r="M103" s="236"/>
      <c r="N103" s="236"/>
      <c r="O103" s="236"/>
      <c r="P103" s="236"/>
      <c r="Q103" s="236"/>
      <c r="R103" s="236"/>
      <c r="S103" s="236"/>
      <c r="T103" s="236"/>
      <c r="U103" s="236"/>
      <c r="V103" s="236"/>
      <c r="W103" s="237"/>
      <c r="X103" s="237"/>
      <c r="Y103" s="237"/>
      <c r="Z103" s="237"/>
      <c r="AA103" s="237"/>
      <c r="AB103" s="237"/>
      <c r="AC103" s="237"/>
      <c r="AD103" s="237"/>
      <c r="AE103" s="237"/>
      <c r="AF103" s="237"/>
      <c r="AG103" s="237"/>
      <c r="AH103" s="237"/>
      <c r="AI103" s="98"/>
      <c r="AJ103" s="98"/>
      <c r="AK103" s="98"/>
      <c r="AL103" s="98"/>
      <c r="AM103" s="98"/>
      <c r="AN103" s="98"/>
      <c r="AO103" s="98"/>
    </row>
    <row r="104" ht="14.25" customHeight="1">
      <c r="A104" s="98"/>
      <c r="B104" s="98"/>
      <c r="C104" s="98"/>
      <c r="D104" s="98"/>
      <c r="E104" s="98"/>
      <c r="F104" s="235"/>
      <c r="G104" s="235"/>
      <c r="H104" s="236"/>
      <c r="I104" s="236"/>
      <c r="J104" s="236"/>
      <c r="K104" s="236"/>
      <c r="L104" s="236"/>
      <c r="M104" s="236"/>
      <c r="N104" s="236"/>
      <c r="O104" s="236"/>
      <c r="P104" s="236"/>
      <c r="Q104" s="236"/>
      <c r="R104" s="236"/>
      <c r="S104" s="236"/>
      <c r="T104" s="236"/>
      <c r="U104" s="236"/>
      <c r="V104" s="236"/>
      <c r="W104" s="237"/>
      <c r="X104" s="237"/>
      <c r="Y104" s="237"/>
      <c r="Z104" s="237"/>
      <c r="AA104" s="237"/>
      <c r="AB104" s="237"/>
      <c r="AC104" s="237"/>
      <c r="AD104" s="237"/>
      <c r="AE104" s="237"/>
      <c r="AF104" s="237"/>
      <c r="AG104" s="237"/>
      <c r="AH104" s="237"/>
      <c r="AI104" s="98"/>
      <c r="AJ104" s="98"/>
      <c r="AK104" s="98"/>
      <c r="AL104" s="98"/>
      <c r="AM104" s="98"/>
      <c r="AN104" s="98"/>
      <c r="AO104" s="98"/>
    </row>
    <row r="105" ht="14.25" customHeight="1">
      <c r="A105" s="98"/>
      <c r="B105" s="98"/>
      <c r="C105" s="98"/>
      <c r="D105" s="98"/>
      <c r="E105" s="98"/>
      <c r="F105" s="235"/>
      <c r="G105" s="235"/>
      <c r="H105" s="236"/>
      <c r="I105" s="236"/>
      <c r="J105" s="236"/>
      <c r="K105" s="236"/>
      <c r="L105" s="236"/>
      <c r="M105" s="236"/>
      <c r="N105" s="236"/>
      <c r="O105" s="236"/>
      <c r="P105" s="236"/>
      <c r="Q105" s="236"/>
      <c r="R105" s="236"/>
      <c r="S105" s="236"/>
      <c r="T105" s="236"/>
      <c r="U105" s="236"/>
      <c r="V105" s="236"/>
      <c r="W105" s="237"/>
      <c r="X105" s="237"/>
      <c r="Y105" s="237"/>
      <c r="Z105" s="237"/>
      <c r="AA105" s="237"/>
      <c r="AB105" s="237"/>
      <c r="AC105" s="237"/>
      <c r="AD105" s="237"/>
      <c r="AE105" s="237"/>
      <c r="AF105" s="237"/>
      <c r="AG105" s="237"/>
      <c r="AH105" s="237"/>
      <c r="AI105" s="98"/>
      <c r="AJ105" s="98"/>
      <c r="AK105" s="98"/>
      <c r="AL105" s="98"/>
      <c r="AM105" s="98"/>
      <c r="AN105" s="98"/>
      <c r="AO105" s="98"/>
    </row>
    <row r="106" ht="14.25" customHeight="1">
      <c r="A106" s="98"/>
      <c r="B106" s="98"/>
      <c r="C106" s="98"/>
      <c r="D106" s="98"/>
      <c r="E106" s="98"/>
      <c r="F106" s="235"/>
      <c r="G106" s="235"/>
      <c r="H106" s="236"/>
      <c r="I106" s="236"/>
      <c r="J106" s="236"/>
      <c r="K106" s="236"/>
      <c r="L106" s="236"/>
      <c r="M106" s="236"/>
      <c r="N106" s="236"/>
      <c r="O106" s="236"/>
      <c r="P106" s="236"/>
      <c r="Q106" s="236"/>
      <c r="R106" s="236"/>
      <c r="S106" s="236"/>
      <c r="T106" s="236"/>
      <c r="U106" s="236"/>
      <c r="V106" s="236"/>
      <c r="W106" s="237"/>
      <c r="X106" s="237"/>
      <c r="Y106" s="237"/>
      <c r="Z106" s="237"/>
      <c r="AA106" s="237"/>
      <c r="AB106" s="237"/>
      <c r="AC106" s="237"/>
      <c r="AD106" s="237"/>
      <c r="AE106" s="237"/>
      <c r="AF106" s="237"/>
      <c r="AG106" s="237"/>
      <c r="AH106" s="237"/>
      <c r="AI106" s="98"/>
      <c r="AJ106" s="98"/>
      <c r="AK106" s="98"/>
      <c r="AL106" s="98"/>
      <c r="AM106" s="98"/>
      <c r="AN106" s="98"/>
      <c r="AO106" s="98"/>
    </row>
    <row r="107" ht="14.25" customHeight="1">
      <c r="A107" s="98"/>
      <c r="B107" s="98"/>
      <c r="C107" s="98"/>
      <c r="D107" s="98"/>
      <c r="E107" s="98"/>
      <c r="F107" s="235"/>
      <c r="G107" s="235"/>
      <c r="H107" s="236"/>
      <c r="I107" s="236"/>
      <c r="J107" s="236"/>
      <c r="K107" s="236"/>
      <c r="L107" s="236"/>
      <c r="M107" s="236"/>
      <c r="N107" s="236"/>
      <c r="O107" s="236"/>
      <c r="P107" s="236"/>
      <c r="Q107" s="236"/>
      <c r="R107" s="236"/>
      <c r="S107" s="236"/>
      <c r="T107" s="236"/>
      <c r="U107" s="236"/>
      <c r="V107" s="236"/>
      <c r="W107" s="237"/>
      <c r="X107" s="237"/>
      <c r="Y107" s="237"/>
      <c r="Z107" s="237"/>
      <c r="AA107" s="237"/>
      <c r="AB107" s="237"/>
      <c r="AC107" s="237"/>
      <c r="AD107" s="237"/>
      <c r="AE107" s="237"/>
      <c r="AF107" s="237"/>
      <c r="AG107" s="237"/>
      <c r="AH107" s="237"/>
      <c r="AI107" s="98"/>
      <c r="AJ107" s="98"/>
      <c r="AK107" s="98"/>
      <c r="AL107" s="98"/>
      <c r="AM107" s="98"/>
      <c r="AN107" s="98"/>
      <c r="AO107" s="98"/>
    </row>
    <row r="108" ht="14.25" customHeight="1">
      <c r="A108" s="98"/>
      <c r="B108" s="98"/>
      <c r="C108" s="98"/>
      <c r="D108" s="98"/>
      <c r="E108" s="98"/>
      <c r="F108" s="235"/>
      <c r="G108" s="235"/>
      <c r="H108" s="236"/>
      <c r="I108" s="236"/>
      <c r="J108" s="236"/>
      <c r="K108" s="236"/>
      <c r="L108" s="236"/>
      <c r="M108" s="236"/>
      <c r="N108" s="236"/>
      <c r="O108" s="236"/>
      <c r="P108" s="236"/>
      <c r="Q108" s="236"/>
      <c r="R108" s="236"/>
      <c r="S108" s="236"/>
      <c r="T108" s="236"/>
      <c r="U108" s="236"/>
      <c r="V108" s="236"/>
      <c r="W108" s="237"/>
      <c r="X108" s="237"/>
      <c r="Y108" s="237"/>
      <c r="Z108" s="237"/>
      <c r="AA108" s="237"/>
      <c r="AB108" s="237"/>
      <c r="AC108" s="237"/>
      <c r="AD108" s="237"/>
      <c r="AE108" s="237"/>
      <c r="AF108" s="237"/>
      <c r="AG108" s="237"/>
      <c r="AH108" s="237"/>
      <c r="AI108" s="98"/>
      <c r="AJ108" s="98"/>
      <c r="AK108" s="98"/>
      <c r="AL108" s="98"/>
      <c r="AM108" s="98"/>
      <c r="AN108" s="98"/>
      <c r="AO108" s="98"/>
    </row>
    <row r="109" ht="14.25" customHeight="1">
      <c r="A109" s="98"/>
      <c r="B109" s="98"/>
      <c r="C109" s="98"/>
      <c r="D109" s="98"/>
      <c r="E109" s="98"/>
      <c r="F109" s="235"/>
      <c r="G109" s="235"/>
      <c r="H109" s="236"/>
      <c r="I109" s="236"/>
      <c r="J109" s="236"/>
      <c r="K109" s="236"/>
      <c r="L109" s="236"/>
      <c r="M109" s="236"/>
      <c r="N109" s="236"/>
      <c r="O109" s="236"/>
      <c r="P109" s="236"/>
      <c r="Q109" s="236"/>
      <c r="R109" s="236"/>
      <c r="S109" s="236"/>
      <c r="T109" s="236"/>
      <c r="U109" s="236"/>
      <c r="V109" s="236"/>
      <c r="W109" s="237"/>
      <c r="X109" s="237"/>
      <c r="Y109" s="237"/>
      <c r="Z109" s="237"/>
      <c r="AA109" s="237"/>
      <c r="AB109" s="237"/>
      <c r="AC109" s="237"/>
      <c r="AD109" s="237"/>
      <c r="AE109" s="237"/>
      <c r="AF109" s="237"/>
      <c r="AG109" s="237"/>
      <c r="AH109" s="237"/>
      <c r="AI109" s="98"/>
      <c r="AJ109" s="98"/>
      <c r="AK109" s="98"/>
      <c r="AL109" s="98"/>
      <c r="AM109" s="98"/>
      <c r="AN109" s="98"/>
      <c r="AO109" s="98"/>
    </row>
    <row r="110" ht="14.25" customHeight="1">
      <c r="A110" s="98"/>
      <c r="B110" s="98"/>
      <c r="C110" s="98"/>
      <c r="D110" s="98"/>
      <c r="E110" s="98"/>
      <c r="F110" s="235"/>
      <c r="G110" s="235"/>
      <c r="H110" s="236"/>
      <c r="I110" s="236"/>
      <c r="J110" s="236"/>
      <c r="K110" s="236"/>
      <c r="L110" s="236"/>
      <c r="M110" s="236"/>
      <c r="N110" s="236"/>
      <c r="O110" s="236"/>
      <c r="P110" s="236"/>
      <c r="Q110" s="236"/>
      <c r="R110" s="236"/>
      <c r="S110" s="236"/>
      <c r="T110" s="236"/>
      <c r="U110" s="236"/>
      <c r="V110" s="236"/>
      <c r="W110" s="237"/>
      <c r="X110" s="237"/>
      <c r="Y110" s="237"/>
      <c r="Z110" s="237"/>
      <c r="AA110" s="237"/>
      <c r="AB110" s="237"/>
      <c r="AC110" s="237"/>
      <c r="AD110" s="237"/>
      <c r="AE110" s="237"/>
      <c r="AF110" s="237"/>
      <c r="AG110" s="237"/>
      <c r="AH110" s="237"/>
      <c r="AI110" s="98"/>
      <c r="AJ110" s="98"/>
      <c r="AK110" s="98"/>
      <c r="AL110" s="98"/>
      <c r="AM110" s="98"/>
      <c r="AN110" s="98"/>
      <c r="AO110" s="98"/>
    </row>
    <row r="111" ht="14.25" customHeight="1">
      <c r="A111" s="98"/>
      <c r="B111" s="98"/>
      <c r="C111" s="98"/>
      <c r="D111" s="98"/>
      <c r="E111" s="98"/>
      <c r="F111" s="235"/>
      <c r="G111" s="235"/>
      <c r="H111" s="236"/>
      <c r="I111" s="236"/>
      <c r="J111" s="236"/>
      <c r="K111" s="236"/>
      <c r="L111" s="236"/>
      <c r="M111" s="236"/>
      <c r="N111" s="236"/>
      <c r="O111" s="236"/>
      <c r="P111" s="236"/>
      <c r="Q111" s="236"/>
      <c r="R111" s="236"/>
      <c r="S111" s="236"/>
      <c r="T111" s="236"/>
      <c r="U111" s="236"/>
      <c r="V111" s="236"/>
      <c r="W111" s="237"/>
      <c r="X111" s="237"/>
      <c r="Y111" s="237"/>
      <c r="Z111" s="237"/>
      <c r="AA111" s="237"/>
      <c r="AB111" s="237"/>
      <c r="AC111" s="237"/>
      <c r="AD111" s="237"/>
      <c r="AE111" s="237"/>
      <c r="AF111" s="237"/>
      <c r="AG111" s="237"/>
      <c r="AH111" s="237"/>
      <c r="AI111" s="98"/>
      <c r="AJ111" s="98"/>
      <c r="AK111" s="98"/>
      <c r="AL111" s="98"/>
      <c r="AM111" s="98"/>
      <c r="AN111" s="98"/>
      <c r="AO111" s="98"/>
    </row>
    <row r="112" ht="14.25" customHeight="1">
      <c r="A112" s="98"/>
      <c r="B112" s="98"/>
      <c r="C112" s="98"/>
      <c r="D112" s="98"/>
      <c r="E112" s="98"/>
      <c r="F112" s="235"/>
      <c r="G112" s="235"/>
      <c r="H112" s="236"/>
      <c r="I112" s="236"/>
      <c r="J112" s="236"/>
      <c r="K112" s="236"/>
      <c r="L112" s="236"/>
      <c r="M112" s="236"/>
      <c r="N112" s="236"/>
      <c r="O112" s="236"/>
      <c r="P112" s="236"/>
      <c r="Q112" s="236"/>
      <c r="R112" s="236"/>
      <c r="S112" s="236"/>
      <c r="T112" s="236"/>
      <c r="U112" s="236"/>
      <c r="V112" s="236"/>
      <c r="W112" s="237"/>
      <c r="X112" s="237"/>
      <c r="Y112" s="237"/>
      <c r="Z112" s="237"/>
      <c r="AA112" s="237"/>
      <c r="AB112" s="237"/>
      <c r="AC112" s="237"/>
      <c r="AD112" s="237"/>
      <c r="AE112" s="237"/>
      <c r="AF112" s="237"/>
      <c r="AG112" s="237"/>
      <c r="AH112" s="237"/>
      <c r="AI112" s="98"/>
      <c r="AJ112" s="98"/>
      <c r="AK112" s="98"/>
      <c r="AL112" s="98"/>
      <c r="AM112" s="98"/>
      <c r="AN112" s="98"/>
      <c r="AO112" s="98"/>
    </row>
    <row r="113" ht="14.25" customHeight="1">
      <c r="A113" s="98"/>
      <c r="B113" s="98"/>
      <c r="C113" s="98"/>
      <c r="D113" s="98"/>
      <c r="E113" s="98"/>
      <c r="F113" s="235"/>
      <c r="G113" s="235"/>
      <c r="H113" s="236"/>
      <c r="I113" s="236"/>
      <c r="J113" s="236"/>
      <c r="K113" s="236"/>
      <c r="L113" s="236"/>
      <c r="M113" s="236"/>
      <c r="N113" s="236"/>
      <c r="O113" s="236"/>
      <c r="P113" s="236"/>
      <c r="Q113" s="236"/>
      <c r="R113" s="236"/>
      <c r="S113" s="236"/>
      <c r="T113" s="236"/>
      <c r="U113" s="236"/>
      <c r="V113" s="236"/>
      <c r="W113" s="237"/>
      <c r="X113" s="237"/>
      <c r="Y113" s="237"/>
      <c r="Z113" s="237"/>
      <c r="AA113" s="237"/>
      <c r="AB113" s="237"/>
      <c r="AC113" s="237"/>
      <c r="AD113" s="237"/>
      <c r="AE113" s="237"/>
      <c r="AF113" s="237"/>
      <c r="AG113" s="237"/>
      <c r="AH113" s="237"/>
      <c r="AI113" s="98"/>
      <c r="AJ113" s="98"/>
      <c r="AK113" s="98"/>
      <c r="AL113" s="98"/>
      <c r="AM113" s="98"/>
      <c r="AN113" s="98"/>
      <c r="AO113" s="98"/>
    </row>
    <row r="114" ht="14.25" customHeight="1">
      <c r="A114" s="98"/>
      <c r="B114" s="98"/>
      <c r="C114" s="98"/>
      <c r="D114" s="98"/>
      <c r="E114" s="98"/>
      <c r="F114" s="235"/>
      <c r="G114" s="235"/>
      <c r="H114" s="236"/>
      <c r="I114" s="236"/>
      <c r="J114" s="236"/>
      <c r="K114" s="236"/>
      <c r="L114" s="236"/>
      <c r="M114" s="236"/>
      <c r="N114" s="236"/>
      <c r="O114" s="236"/>
      <c r="P114" s="236"/>
      <c r="Q114" s="236"/>
      <c r="R114" s="236"/>
      <c r="S114" s="236"/>
      <c r="T114" s="236"/>
      <c r="U114" s="236"/>
      <c r="V114" s="236"/>
      <c r="W114" s="237"/>
      <c r="X114" s="237"/>
      <c r="Y114" s="237"/>
      <c r="Z114" s="237"/>
      <c r="AA114" s="237"/>
      <c r="AB114" s="237"/>
      <c r="AC114" s="237"/>
      <c r="AD114" s="237"/>
      <c r="AE114" s="237"/>
      <c r="AF114" s="237"/>
      <c r="AG114" s="237"/>
      <c r="AH114" s="237"/>
      <c r="AI114" s="98"/>
      <c r="AJ114" s="98"/>
      <c r="AK114" s="98"/>
      <c r="AL114" s="98"/>
      <c r="AM114" s="98"/>
      <c r="AN114" s="98"/>
      <c r="AO114" s="98"/>
    </row>
    <row r="115" ht="14.25" customHeight="1">
      <c r="A115" s="98"/>
      <c r="B115" s="98"/>
      <c r="C115" s="98"/>
      <c r="D115" s="98"/>
      <c r="E115" s="98"/>
      <c r="F115" s="235"/>
      <c r="G115" s="235"/>
      <c r="H115" s="236"/>
      <c r="I115" s="236"/>
      <c r="J115" s="236"/>
      <c r="K115" s="236"/>
      <c r="L115" s="236"/>
      <c r="M115" s="236"/>
      <c r="N115" s="236"/>
      <c r="O115" s="236"/>
      <c r="P115" s="236"/>
      <c r="Q115" s="236"/>
      <c r="R115" s="236"/>
      <c r="S115" s="236"/>
      <c r="T115" s="236"/>
      <c r="U115" s="236"/>
      <c r="V115" s="236"/>
      <c r="W115" s="237"/>
      <c r="X115" s="237"/>
      <c r="Y115" s="237"/>
      <c r="Z115" s="237"/>
      <c r="AA115" s="237"/>
      <c r="AB115" s="237"/>
      <c r="AC115" s="237"/>
      <c r="AD115" s="237"/>
      <c r="AE115" s="237"/>
      <c r="AF115" s="237"/>
      <c r="AG115" s="237"/>
      <c r="AH115" s="237"/>
      <c r="AI115" s="98"/>
      <c r="AJ115" s="98"/>
      <c r="AK115" s="98"/>
      <c r="AL115" s="98"/>
      <c r="AM115" s="98"/>
      <c r="AN115" s="98"/>
      <c r="AO115" s="98"/>
    </row>
    <row r="116" ht="14.25" customHeight="1">
      <c r="A116" s="98"/>
      <c r="B116" s="98"/>
      <c r="C116" s="98"/>
      <c r="D116" s="98"/>
      <c r="E116" s="98"/>
      <c r="F116" s="235"/>
      <c r="G116" s="235"/>
      <c r="H116" s="236"/>
      <c r="I116" s="236"/>
      <c r="J116" s="236"/>
      <c r="K116" s="236"/>
      <c r="L116" s="236"/>
      <c r="M116" s="236"/>
      <c r="N116" s="236"/>
      <c r="O116" s="236"/>
      <c r="P116" s="236"/>
      <c r="Q116" s="236"/>
      <c r="R116" s="236"/>
      <c r="S116" s="236"/>
      <c r="T116" s="236"/>
      <c r="U116" s="236"/>
      <c r="V116" s="236"/>
      <c r="W116" s="237"/>
      <c r="X116" s="237"/>
      <c r="Y116" s="237"/>
      <c r="Z116" s="237"/>
      <c r="AA116" s="237"/>
      <c r="AB116" s="237"/>
      <c r="AC116" s="237"/>
      <c r="AD116" s="237"/>
      <c r="AE116" s="237"/>
      <c r="AF116" s="237"/>
      <c r="AG116" s="237"/>
      <c r="AH116" s="237"/>
      <c r="AI116" s="98"/>
      <c r="AJ116" s="98"/>
      <c r="AK116" s="98"/>
      <c r="AL116" s="98"/>
      <c r="AM116" s="98"/>
      <c r="AN116" s="98"/>
      <c r="AO116" s="98"/>
    </row>
    <row r="117" ht="14.25" customHeight="1">
      <c r="A117" s="98"/>
      <c r="B117" s="98"/>
      <c r="C117" s="98"/>
      <c r="D117" s="98"/>
      <c r="E117" s="98"/>
      <c r="F117" s="235"/>
      <c r="G117" s="235"/>
      <c r="H117" s="236"/>
      <c r="I117" s="236"/>
      <c r="J117" s="236"/>
      <c r="K117" s="236"/>
      <c r="L117" s="236"/>
      <c r="M117" s="236"/>
      <c r="N117" s="236"/>
      <c r="O117" s="236"/>
      <c r="P117" s="236"/>
      <c r="Q117" s="236"/>
      <c r="R117" s="236"/>
      <c r="S117" s="236"/>
      <c r="T117" s="236"/>
      <c r="U117" s="236"/>
      <c r="V117" s="236"/>
      <c r="W117" s="237"/>
      <c r="X117" s="237"/>
      <c r="Y117" s="237"/>
      <c r="Z117" s="237"/>
      <c r="AA117" s="237"/>
      <c r="AB117" s="237"/>
      <c r="AC117" s="237"/>
      <c r="AD117" s="237"/>
      <c r="AE117" s="237"/>
      <c r="AF117" s="237"/>
      <c r="AG117" s="237"/>
      <c r="AH117" s="237"/>
      <c r="AI117" s="98"/>
      <c r="AJ117" s="98"/>
      <c r="AK117" s="98"/>
      <c r="AL117" s="98"/>
      <c r="AM117" s="98"/>
      <c r="AN117" s="98"/>
      <c r="AO117" s="98"/>
    </row>
    <row r="118" ht="14.25" customHeight="1">
      <c r="A118" s="98"/>
      <c r="B118" s="98"/>
      <c r="C118" s="98"/>
      <c r="D118" s="98"/>
      <c r="E118" s="98"/>
      <c r="F118" s="235"/>
      <c r="G118" s="235"/>
      <c r="H118" s="236"/>
      <c r="I118" s="236"/>
      <c r="J118" s="236"/>
      <c r="K118" s="236"/>
      <c r="L118" s="236"/>
      <c r="M118" s="236"/>
      <c r="N118" s="236"/>
      <c r="O118" s="236"/>
      <c r="P118" s="236"/>
      <c r="Q118" s="236"/>
      <c r="R118" s="236"/>
      <c r="S118" s="236"/>
      <c r="T118" s="236"/>
      <c r="U118" s="236"/>
      <c r="V118" s="236"/>
      <c r="W118" s="237"/>
      <c r="X118" s="237"/>
      <c r="Y118" s="237"/>
      <c r="Z118" s="237"/>
      <c r="AA118" s="237"/>
      <c r="AB118" s="237"/>
      <c r="AC118" s="237"/>
      <c r="AD118" s="237"/>
      <c r="AE118" s="237"/>
      <c r="AF118" s="237"/>
      <c r="AG118" s="237"/>
      <c r="AH118" s="237"/>
      <c r="AI118" s="98"/>
      <c r="AJ118" s="98"/>
      <c r="AK118" s="98"/>
      <c r="AL118" s="98"/>
      <c r="AM118" s="98"/>
      <c r="AN118" s="98"/>
      <c r="AO118" s="98"/>
    </row>
    <row r="119" ht="14.25" customHeight="1">
      <c r="A119" s="98"/>
      <c r="B119" s="98"/>
      <c r="C119" s="98"/>
      <c r="D119" s="98"/>
      <c r="E119" s="98"/>
      <c r="F119" s="235"/>
      <c r="G119" s="235"/>
      <c r="H119" s="236"/>
      <c r="I119" s="236"/>
      <c r="J119" s="236"/>
      <c r="K119" s="236"/>
      <c r="L119" s="236"/>
      <c r="M119" s="236"/>
      <c r="N119" s="236"/>
      <c r="O119" s="236"/>
      <c r="P119" s="236"/>
      <c r="Q119" s="236"/>
      <c r="R119" s="236"/>
      <c r="S119" s="236"/>
      <c r="T119" s="236"/>
      <c r="U119" s="236"/>
      <c r="V119" s="236"/>
      <c r="W119" s="237"/>
      <c r="X119" s="237"/>
      <c r="Y119" s="237"/>
      <c r="Z119" s="237"/>
      <c r="AA119" s="237"/>
      <c r="AB119" s="237"/>
      <c r="AC119" s="237"/>
      <c r="AD119" s="237"/>
      <c r="AE119" s="237"/>
      <c r="AF119" s="237"/>
      <c r="AG119" s="237"/>
      <c r="AH119" s="237"/>
      <c r="AI119" s="98"/>
      <c r="AJ119" s="98"/>
      <c r="AK119" s="98"/>
      <c r="AL119" s="98"/>
      <c r="AM119" s="98"/>
      <c r="AN119" s="98"/>
      <c r="AO119" s="98"/>
    </row>
    <row r="120" ht="14.25" customHeight="1">
      <c r="A120" s="98"/>
      <c r="B120" s="98"/>
      <c r="C120" s="98"/>
      <c r="D120" s="98"/>
      <c r="E120" s="98"/>
      <c r="F120" s="235"/>
      <c r="G120" s="235"/>
      <c r="H120" s="236"/>
      <c r="I120" s="236"/>
      <c r="J120" s="236"/>
      <c r="K120" s="236"/>
      <c r="L120" s="236"/>
      <c r="M120" s="236"/>
      <c r="N120" s="236"/>
      <c r="O120" s="236"/>
      <c r="P120" s="236"/>
      <c r="Q120" s="236"/>
      <c r="R120" s="236"/>
      <c r="S120" s="236"/>
      <c r="T120" s="236"/>
      <c r="U120" s="236"/>
      <c r="V120" s="236"/>
      <c r="W120" s="237"/>
      <c r="X120" s="237"/>
      <c r="Y120" s="237"/>
      <c r="Z120" s="237"/>
      <c r="AA120" s="237"/>
      <c r="AB120" s="237"/>
      <c r="AC120" s="237"/>
      <c r="AD120" s="237"/>
      <c r="AE120" s="237"/>
      <c r="AF120" s="237"/>
      <c r="AG120" s="237"/>
      <c r="AH120" s="237"/>
      <c r="AI120" s="98"/>
      <c r="AJ120" s="98"/>
      <c r="AK120" s="98"/>
      <c r="AL120" s="98"/>
      <c r="AM120" s="98"/>
      <c r="AN120" s="98"/>
      <c r="AO120" s="98"/>
    </row>
    <row r="121" ht="14.25" customHeight="1">
      <c r="A121" s="98"/>
      <c r="B121" s="98"/>
      <c r="C121" s="98"/>
      <c r="D121" s="98"/>
      <c r="E121" s="98"/>
      <c r="F121" s="235"/>
      <c r="G121" s="235"/>
      <c r="H121" s="236"/>
      <c r="I121" s="236"/>
      <c r="J121" s="236"/>
      <c r="K121" s="236"/>
      <c r="L121" s="236"/>
      <c r="M121" s="236"/>
      <c r="N121" s="236"/>
      <c r="O121" s="236"/>
      <c r="P121" s="236"/>
      <c r="Q121" s="236"/>
      <c r="R121" s="236"/>
      <c r="S121" s="236"/>
      <c r="T121" s="236"/>
      <c r="U121" s="236"/>
      <c r="V121" s="236"/>
      <c r="W121" s="237"/>
      <c r="X121" s="237"/>
      <c r="Y121" s="237"/>
      <c r="Z121" s="237"/>
      <c r="AA121" s="237"/>
      <c r="AB121" s="237"/>
      <c r="AC121" s="237"/>
      <c r="AD121" s="237"/>
      <c r="AE121" s="237"/>
      <c r="AF121" s="237"/>
      <c r="AG121" s="237"/>
      <c r="AH121" s="237"/>
      <c r="AI121" s="98"/>
      <c r="AJ121" s="98"/>
      <c r="AK121" s="98"/>
      <c r="AL121" s="98"/>
      <c r="AM121" s="98"/>
      <c r="AN121" s="98"/>
      <c r="AO121" s="98"/>
    </row>
    <row r="122" ht="14.25" customHeight="1">
      <c r="A122" s="98"/>
      <c r="B122" s="98"/>
      <c r="C122" s="98"/>
      <c r="D122" s="98"/>
      <c r="E122" s="98"/>
      <c r="F122" s="235"/>
      <c r="G122" s="235"/>
      <c r="H122" s="236"/>
      <c r="I122" s="236"/>
      <c r="J122" s="236"/>
      <c r="K122" s="236"/>
      <c r="L122" s="236"/>
      <c r="M122" s="236"/>
      <c r="N122" s="236"/>
      <c r="O122" s="236"/>
      <c r="P122" s="236"/>
      <c r="Q122" s="236"/>
      <c r="R122" s="236"/>
      <c r="S122" s="236"/>
      <c r="T122" s="236"/>
      <c r="U122" s="236"/>
      <c r="V122" s="236"/>
      <c r="W122" s="237"/>
      <c r="X122" s="237"/>
      <c r="Y122" s="237"/>
      <c r="Z122" s="237"/>
      <c r="AA122" s="237"/>
      <c r="AB122" s="237"/>
      <c r="AC122" s="237"/>
      <c r="AD122" s="237"/>
      <c r="AE122" s="237"/>
      <c r="AF122" s="237"/>
      <c r="AG122" s="237"/>
      <c r="AH122" s="237"/>
      <c r="AI122" s="98"/>
      <c r="AJ122" s="98"/>
      <c r="AK122" s="98"/>
      <c r="AL122" s="98"/>
      <c r="AM122" s="98"/>
      <c r="AN122" s="98"/>
      <c r="AO122" s="98"/>
    </row>
    <row r="123" ht="14.25" customHeight="1">
      <c r="A123" s="98"/>
      <c r="B123" s="98"/>
      <c r="C123" s="98"/>
      <c r="D123" s="98"/>
      <c r="E123" s="98"/>
      <c r="F123" s="235"/>
      <c r="G123" s="235"/>
      <c r="H123" s="236"/>
      <c r="I123" s="236"/>
      <c r="J123" s="236"/>
      <c r="K123" s="236"/>
      <c r="L123" s="236"/>
      <c r="M123" s="236"/>
      <c r="N123" s="236"/>
      <c r="O123" s="236"/>
      <c r="P123" s="236"/>
      <c r="Q123" s="236"/>
      <c r="R123" s="236"/>
      <c r="S123" s="236"/>
      <c r="T123" s="236"/>
      <c r="U123" s="236"/>
      <c r="V123" s="236"/>
      <c r="W123" s="237"/>
      <c r="X123" s="237"/>
      <c r="Y123" s="237"/>
      <c r="Z123" s="237"/>
      <c r="AA123" s="237"/>
      <c r="AB123" s="237"/>
      <c r="AC123" s="237"/>
      <c r="AD123" s="237"/>
      <c r="AE123" s="237"/>
      <c r="AF123" s="237"/>
      <c r="AG123" s="237"/>
      <c r="AH123" s="237"/>
      <c r="AI123" s="98"/>
      <c r="AJ123" s="98"/>
      <c r="AK123" s="98"/>
      <c r="AL123" s="98"/>
      <c r="AM123" s="98"/>
      <c r="AN123" s="98"/>
      <c r="AO123" s="98"/>
    </row>
    <row r="124" ht="14.25" customHeight="1">
      <c r="A124" s="98"/>
      <c r="B124" s="98"/>
      <c r="C124" s="98"/>
      <c r="D124" s="98"/>
      <c r="E124" s="98"/>
      <c r="F124" s="235"/>
      <c r="G124" s="235"/>
      <c r="H124" s="236"/>
      <c r="I124" s="236"/>
      <c r="J124" s="236"/>
      <c r="K124" s="236"/>
      <c r="L124" s="236"/>
      <c r="M124" s="236"/>
      <c r="N124" s="236"/>
      <c r="O124" s="236"/>
      <c r="P124" s="236"/>
      <c r="Q124" s="236"/>
      <c r="R124" s="236"/>
      <c r="S124" s="236"/>
      <c r="T124" s="236"/>
      <c r="U124" s="236"/>
      <c r="V124" s="236"/>
      <c r="W124" s="237"/>
      <c r="X124" s="237"/>
      <c r="Y124" s="237"/>
      <c r="Z124" s="237"/>
      <c r="AA124" s="237"/>
      <c r="AB124" s="237"/>
      <c r="AC124" s="237"/>
      <c r="AD124" s="237"/>
      <c r="AE124" s="237"/>
      <c r="AF124" s="237"/>
      <c r="AG124" s="237"/>
      <c r="AH124" s="237"/>
      <c r="AI124" s="98"/>
      <c r="AJ124" s="98"/>
      <c r="AK124" s="98"/>
      <c r="AL124" s="98"/>
      <c r="AM124" s="98"/>
      <c r="AN124" s="98"/>
      <c r="AO124" s="98"/>
    </row>
    <row r="125" ht="14.25" customHeight="1">
      <c r="A125" s="98"/>
      <c r="B125" s="98"/>
      <c r="C125" s="98"/>
      <c r="D125" s="98"/>
      <c r="E125" s="98"/>
      <c r="F125" s="235"/>
      <c r="G125" s="235"/>
      <c r="H125" s="236"/>
      <c r="I125" s="236"/>
      <c r="J125" s="236"/>
      <c r="K125" s="236"/>
      <c r="L125" s="236"/>
      <c r="M125" s="236"/>
      <c r="N125" s="236"/>
      <c r="O125" s="236"/>
      <c r="P125" s="236"/>
      <c r="Q125" s="236"/>
      <c r="R125" s="236"/>
      <c r="S125" s="236"/>
      <c r="T125" s="236"/>
      <c r="U125" s="236"/>
      <c r="V125" s="236"/>
      <c r="W125" s="237"/>
      <c r="X125" s="237"/>
      <c r="Y125" s="237"/>
      <c r="Z125" s="237"/>
      <c r="AA125" s="237"/>
      <c r="AB125" s="237"/>
      <c r="AC125" s="237"/>
      <c r="AD125" s="237"/>
      <c r="AE125" s="237"/>
      <c r="AF125" s="237"/>
      <c r="AG125" s="237"/>
      <c r="AH125" s="237"/>
      <c r="AI125" s="98"/>
      <c r="AJ125" s="98"/>
      <c r="AK125" s="98"/>
      <c r="AL125" s="98"/>
      <c r="AM125" s="98"/>
      <c r="AN125" s="98"/>
      <c r="AO125" s="98"/>
    </row>
    <row r="126" ht="14.25" customHeight="1">
      <c r="A126" s="98"/>
      <c r="B126" s="98"/>
      <c r="C126" s="98"/>
      <c r="D126" s="98"/>
      <c r="E126" s="98"/>
      <c r="F126" s="235"/>
      <c r="G126" s="235"/>
      <c r="H126" s="236"/>
      <c r="I126" s="236"/>
      <c r="J126" s="236"/>
      <c r="K126" s="236"/>
      <c r="L126" s="236"/>
      <c r="M126" s="236"/>
      <c r="N126" s="236"/>
      <c r="O126" s="236"/>
      <c r="P126" s="236"/>
      <c r="Q126" s="236"/>
      <c r="R126" s="236"/>
      <c r="S126" s="236"/>
      <c r="T126" s="236"/>
      <c r="U126" s="236"/>
      <c r="V126" s="236"/>
      <c r="W126" s="237"/>
      <c r="X126" s="237"/>
      <c r="Y126" s="237"/>
      <c r="Z126" s="237"/>
      <c r="AA126" s="237"/>
      <c r="AB126" s="237"/>
      <c r="AC126" s="237"/>
      <c r="AD126" s="237"/>
      <c r="AE126" s="237"/>
      <c r="AF126" s="237"/>
      <c r="AG126" s="237"/>
      <c r="AH126" s="237"/>
      <c r="AI126" s="98"/>
      <c r="AJ126" s="98"/>
      <c r="AK126" s="98"/>
      <c r="AL126" s="98"/>
      <c r="AM126" s="98"/>
      <c r="AN126" s="98"/>
      <c r="AO126" s="98"/>
    </row>
    <row r="127" ht="14.25" customHeight="1">
      <c r="A127" s="98"/>
      <c r="B127" s="98"/>
      <c r="C127" s="98"/>
      <c r="D127" s="98"/>
      <c r="E127" s="98"/>
      <c r="F127" s="235"/>
      <c r="G127" s="235"/>
      <c r="H127" s="236"/>
      <c r="I127" s="236"/>
      <c r="J127" s="236"/>
      <c r="K127" s="236"/>
      <c r="L127" s="236"/>
      <c r="M127" s="236"/>
      <c r="N127" s="236"/>
      <c r="O127" s="236"/>
      <c r="P127" s="236"/>
      <c r="Q127" s="236"/>
      <c r="R127" s="236"/>
      <c r="S127" s="236"/>
      <c r="T127" s="236"/>
      <c r="U127" s="236"/>
      <c r="V127" s="236"/>
      <c r="W127" s="237"/>
      <c r="X127" s="237"/>
      <c r="Y127" s="237"/>
      <c r="Z127" s="237"/>
      <c r="AA127" s="237"/>
      <c r="AB127" s="237"/>
      <c r="AC127" s="237"/>
      <c r="AD127" s="237"/>
      <c r="AE127" s="237"/>
      <c r="AF127" s="237"/>
      <c r="AG127" s="237"/>
      <c r="AH127" s="237"/>
      <c r="AI127" s="98"/>
      <c r="AJ127" s="98"/>
      <c r="AK127" s="98"/>
      <c r="AL127" s="98"/>
      <c r="AM127" s="98"/>
      <c r="AN127" s="98"/>
      <c r="AO127" s="98"/>
    </row>
    <row r="128" ht="14.25" customHeight="1">
      <c r="A128" s="98"/>
      <c r="B128" s="98"/>
      <c r="C128" s="98"/>
      <c r="D128" s="98"/>
      <c r="E128" s="98"/>
      <c r="F128" s="235"/>
      <c r="G128" s="235"/>
      <c r="H128" s="236"/>
      <c r="I128" s="236"/>
      <c r="J128" s="236"/>
      <c r="K128" s="236"/>
      <c r="L128" s="236"/>
      <c r="M128" s="236"/>
      <c r="N128" s="236"/>
      <c r="O128" s="236"/>
      <c r="P128" s="236"/>
      <c r="Q128" s="236"/>
      <c r="R128" s="236"/>
      <c r="S128" s="236"/>
      <c r="T128" s="236"/>
      <c r="U128" s="236"/>
      <c r="V128" s="236"/>
      <c r="W128" s="237"/>
      <c r="X128" s="237"/>
      <c r="Y128" s="237"/>
      <c r="Z128" s="237"/>
      <c r="AA128" s="237"/>
      <c r="AB128" s="237"/>
      <c r="AC128" s="237"/>
      <c r="AD128" s="237"/>
      <c r="AE128" s="237"/>
      <c r="AF128" s="237"/>
      <c r="AG128" s="237"/>
      <c r="AH128" s="237"/>
      <c r="AI128" s="98"/>
      <c r="AJ128" s="98"/>
      <c r="AK128" s="98"/>
      <c r="AL128" s="98"/>
      <c r="AM128" s="98"/>
      <c r="AN128" s="98"/>
      <c r="AO128" s="98"/>
    </row>
    <row r="129" ht="14.25" customHeight="1">
      <c r="A129" s="98"/>
      <c r="B129" s="98"/>
      <c r="C129" s="98"/>
      <c r="D129" s="98"/>
      <c r="E129" s="98"/>
      <c r="F129" s="235"/>
      <c r="G129" s="235"/>
      <c r="H129" s="236"/>
      <c r="I129" s="236"/>
      <c r="J129" s="236"/>
      <c r="K129" s="236"/>
      <c r="L129" s="236"/>
      <c r="M129" s="236"/>
      <c r="N129" s="236"/>
      <c r="O129" s="236"/>
      <c r="P129" s="236"/>
      <c r="Q129" s="236"/>
      <c r="R129" s="236"/>
      <c r="S129" s="236"/>
      <c r="T129" s="236"/>
      <c r="U129" s="236"/>
      <c r="V129" s="236"/>
      <c r="W129" s="237"/>
      <c r="X129" s="237"/>
      <c r="Y129" s="237"/>
      <c r="Z129" s="237"/>
      <c r="AA129" s="237"/>
      <c r="AB129" s="237"/>
      <c r="AC129" s="237"/>
      <c r="AD129" s="237"/>
      <c r="AE129" s="237"/>
      <c r="AF129" s="237"/>
      <c r="AG129" s="237"/>
      <c r="AH129" s="237"/>
      <c r="AI129" s="98"/>
      <c r="AJ129" s="98"/>
      <c r="AK129" s="98"/>
      <c r="AL129" s="98"/>
      <c r="AM129" s="98"/>
      <c r="AN129" s="98"/>
      <c r="AO129" s="98"/>
    </row>
    <row r="130" ht="14.25" customHeight="1">
      <c r="A130" s="98"/>
      <c r="B130" s="98"/>
      <c r="C130" s="98"/>
      <c r="D130" s="98"/>
      <c r="E130" s="98"/>
      <c r="F130" s="235"/>
      <c r="G130" s="235"/>
      <c r="H130" s="236"/>
      <c r="I130" s="236"/>
      <c r="J130" s="236"/>
      <c r="K130" s="236"/>
      <c r="L130" s="236"/>
      <c r="M130" s="236"/>
      <c r="N130" s="236"/>
      <c r="O130" s="236"/>
      <c r="P130" s="236"/>
      <c r="Q130" s="236"/>
      <c r="R130" s="236"/>
      <c r="S130" s="236"/>
      <c r="T130" s="236"/>
      <c r="U130" s="236"/>
      <c r="V130" s="236"/>
      <c r="W130" s="237"/>
      <c r="X130" s="237"/>
      <c r="Y130" s="237"/>
      <c r="Z130" s="237"/>
      <c r="AA130" s="237"/>
      <c r="AB130" s="237"/>
      <c r="AC130" s="237"/>
      <c r="AD130" s="237"/>
      <c r="AE130" s="237"/>
      <c r="AF130" s="237"/>
      <c r="AG130" s="237"/>
      <c r="AH130" s="237"/>
      <c r="AI130" s="98"/>
      <c r="AJ130" s="98"/>
      <c r="AK130" s="98"/>
      <c r="AL130" s="98"/>
      <c r="AM130" s="98"/>
      <c r="AN130" s="98"/>
      <c r="AO130" s="98"/>
    </row>
    <row r="131" ht="14.25" customHeight="1">
      <c r="A131" s="98"/>
      <c r="B131" s="98"/>
      <c r="C131" s="98"/>
      <c r="D131" s="98"/>
      <c r="E131" s="98"/>
      <c r="F131" s="235"/>
      <c r="G131" s="235"/>
      <c r="H131" s="236"/>
      <c r="I131" s="236"/>
      <c r="J131" s="236"/>
      <c r="K131" s="236"/>
      <c r="L131" s="236"/>
      <c r="M131" s="236"/>
      <c r="N131" s="236"/>
      <c r="O131" s="236"/>
      <c r="P131" s="236"/>
      <c r="Q131" s="236"/>
      <c r="R131" s="236"/>
      <c r="S131" s="236"/>
      <c r="T131" s="236"/>
      <c r="U131" s="236"/>
      <c r="V131" s="236"/>
      <c r="W131" s="237"/>
      <c r="X131" s="237"/>
      <c r="Y131" s="237"/>
      <c r="Z131" s="237"/>
      <c r="AA131" s="237"/>
      <c r="AB131" s="237"/>
      <c r="AC131" s="237"/>
      <c r="AD131" s="237"/>
      <c r="AE131" s="237"/>
      <c r="AF131" s="237"/>
      <c r="AG131" s="237"/>
      <c r="AH131" s="237"/>
      <c r="AI131" s="98"/>
      <c r="AJ131" s="98"/>
      <c r="AK131" s="98"/>
      <c r="AL131" s="98"/>
      <c r="AM131" s="98"/>
      <c r="AN131" s="98"/>
      <c r="AO131" s="98"/>
    </row>
    <row r="132" ht="14.25" customHeight="1">
      <c r="A132" s="98"/>
      <c r="B132" s="98"/>
      <c r="C132" s="98"/>
      <c r="D132" s="98"/>
      <c r="E132" s="98"/>
      <c r="F132" s="235"/>
      <c r="G132" s="235"/>
      <c r="H132" s="236"/>
      <c r="I132" s="236"/>
      <c r="J132" s="236"/>
      <c r="K132" s="236"/>
      <c r="L132" s="236"/>
      <c r="M132" s="236"/>
      <c r="N132" s="236"/>
      <c r="O132" s="236"/>
      <c r="P132" s="236"/>
      <c r="Q132" s="236"/>
      <c r="R132" s="236"/>
      <c r="S132" s="236"/>
      <c r="T132" s="236"/>
      <c r="U132" s="236"/>
      <c r="V132" s="236"/>
      <c r="W132" s="237"/>
      <c r="X132" s="237"/>
      <c r="Y132" s="237"/>
      <c r="Z132" s="237"/>
      <c r="AA132" s="237"/>
      <c r="AB132" s="237"/>
      <c r="AC132" s="237"/>
      <c r="AD132" s="237"/>
      <c r="AE132" s="237"/>
      <c r="AF132" s="237"/>
      <c r="AG132" s="237"/>
      <c r="AH132" s="237"/>
      <c r="AI132" s="98"/>
      <c r="AJ132" s="98"/>
      <c r="AK132" s="98"/>
      <c r="AL132" s="98"/>
      <c r="AM132" s="98"/>
      <c r="AN132" s="98"/>
      <c r="AO132" s="98"/>
    </row>
    <row r="133" ht="14.25" customHeight="1">
      <c r="A133" s="98"/>
      <c r="B133" s="98"/>
      <c r="C133" s="98"/>
      <c r="D133" s="98"/>
      <c r="E133" s="98"/>
      <c r="F133" s="235"/>
      <c r="G133" s="235"/>
      <c r="H133" s="236"/>
      <c r="I133" s="236"/>
      <c r="J133" s="236"/>
      <c r="K133" s="236"/>
      <c r="L133" s="236"/>
      <c r="M133" s="236"/>
      <c r="N133" s="236"/>
      <c r="O133" s="236"/>
      <c r="P133" s="236"/>
      <c r="Q133" s="236"/>
      <c r="R133" s="236"/>
      <c r="S133" s="236"/>
      <c r="T133" s="236"/>
      <c r="U133" s="236"/>
      <c r="V133" s="236"/>
      <c r="W133" s="237"/>
      <c r="X133" s="237"/>
      <c r="Y133" s="237"/>
      <c r="Z133" s="237"/>
      <c r="AA133" s="237"/>
      <c r="AB133" s="237"/>
      <c r="AC133" s="237"/>
      <c r="AD133" s="237"/>
      <c r="AE133" s="237"/>
      <c r="AF133" s="237"/>
      <c r="AG133" s="237"/>
      <c r="AH133" s="237"/>
      <c r="AI133" s="98"/>
      <c r="AJ133" s="98"/>
      <c r="AK133" s="98"/>
      <c r="AL133" s="98"/>
      <c r="AM133" s="98"/>
      <c r="AN133" s="98"/>
      <c r="AO133" s="98"/>
    </row>
    <row r="134" ht="14.25" customHeight="1">
      <c r="A134" s="98"/>
      <c r="B134" s="98"/>
      <c r="C134" s="98"/>
      <c r="D134" s="98"/>
      <c r="E134" s="98"/>
      <c r="F134" s="235"/>
      <c r="G134" s="235"/>
      <c r="H134" s="236"/>
      <c r="I134" s="236"/>
      <c r="J134" s="236"/>
      <c r="K134" s="236"/>
      <c r="L134" s="236"/>
      <c r="M134" s="236"/>
      <c r="N134" s="236"/>
      <c r="O134" s="236"/>
      <c r="P134" s="236"/>
      <c r="Q134" s="236"/>
      <c r="R134" s="236"/>
      <c r="S134" s="236"/>
      <c r="T134" s="236"/>
      <c r="U134" s="236"/>
      <c r="V134" s="236"/>
      <c r="W134" s="237"/>
      <c r="X134" s="237"/>
      <c r="Y134" s="237"/>
      <c r="Z134" s="237"/>
      <c r="AA134" s="237"/>
      <c r="AB134" s="237"/>
      <c r="AC134" s="237"/>
      <c r="AD134" s="237"/>
      <c r="AE134" s="237"/>
      <c r="AF134" s="237"/>
      <c r="AG134" s="237"/>
      <c r="AH134" s="237"/>
      <c r="AI134" s="98"/>
      <c r="AJ134" s="98"/>
      <c r="AK134" s="98"/>
      <c r="AL134" s="98"/>
      <c r="AM134" s="98"/>
      <c r="AN134" s="98"/>
      <c r="AO134" s="98"/>
    </row>
    <row r="135" ht="14.25" customHeight="1">
      <c r="A135" s="98"/>
      <c r="B135" s="98"/>
      <c r="C135" s="98"/>
      <c r="D135" s="98"/>
      <c r="E135" s="98"/>
      <c r="F135" s="235"/>
      <c r="G135" s="235"/>
      <c r="H135" s="236"/>
      <c r="I135" s="236"/>
      <c r="J135" s="236"/>
      <c r="K135" s="236"/>
      <c r="L135" s="236"/>
      <c r="M135" s="236"/>
      <c r="N135" s="236"/>
      <c r="O135" s="236"/>
      <c r="P135" s="236"/>
      <c r="Q135" s="236"/>
      <c r="R135" s="236"/>
      <c r="S135" s="236"/>
      <c r="T135" s="236"/>
      <c r="U135" s="236"/>
      <c r="V135" s="236"/>
      <c r="W135" s="237"/>
      <c r="X135" s="237"/>
      <c r="Y135" s="237"/>
      <c r="Z135" s="237"/>
      <c r="AA135" s="237"/>
      <c r="AB135" s="237"/>
      <c r="AC135" s="237"/>
      <c r="AD135" s="237"/>
      <c r="AE135" s="237"/>
      <c r="AF135" s="237"/>
      <c r="AG135" s="237"/>
      <c r="AH135" s="237"/>
      <c r="AI135" s="98"/>
      <c r="AJ135" s="98"/>
      <c r="AK135" s="98"/>
      <c r="AL135" s="98"/>
      <c r="AM135" s="98"/>
      <c r="AN135" s="98"/>
      <c r="AO135" s="98"/>
    </row>
    <row r="136" ht="14.25" customHeight="1">
      <c r="A136" s="98"/>
      <c r="B136" s="98"/>
      <c r="C136" s="98"/>
      <c r="D136" s="98"/>
      <c r="E136" s="98"/>
      <c r="F136" s="235"/>
      <c r="G136" s="235"/>
      <c r="H136" s="236"/>
      <c r="I136" s="236"/>
      <c r="J136" s="236"/>
      <c r="K136" s="236"/>
      <c r="L136" s="236"/>
      <c r="M136" s="236"/>
      <c r="N136" s="236"/>
      <c r="O136" s="236"/>
      <c r="P136" s="236"/>
      <c r="Q136" s="236"/>
      <c r="R136" s="236"/>
      <c r="S136" s="236"/>
      <c r="T136" s="236"/>
      <c r="U136" s="236"/>
      <c r="V136" s="236"/>
      <c r="W136" s="237"/>
      <c r="X136" s="237"/>
      <c r="Y136" s="237"/>
      <c r="Z136" s="237"/>
      <c r="AA136" s="237"/>
      <c r="AB136" s="237"/>
      <c r="AC136" s="237"/>
      <c r="AD136" s="237"/>
      <c r="AE136" s="237"/>
      <c r="AF136" s="237"/>
      <c r="AG136" s="237"/>
      <c r="AH136" s="237"/>
      <c r="AI136" s="98"/>
      <c r="AJ136" s="98"/>
      <c r="AK136" s="98"/>
      <c r="AL136" s="98"/>
      <c r="AM136" s="98"/>
      <c r="AN136" s="98"/>
      <c r="AO136" s="98"/>
    </row>
    <row r="137" ht="14.25" customHeight="1">
      <c r="A137" s="98"/>
      <c r="B137" s="98"/>
      <c r="C137" s="98"/>
      <c r="D137" s="98"/>
      <c r="E137" s="98"/>
      <c r="F137" s="235"/>
      <c r="G137" s="235"/>
      <c r="H137" s="236"/>
      <c r="I137" s="236"/>
      <c r="J137" s="236"/>
      <c r="K137" s="236"/>
      <c r="L137" s="236"/>
      <c r="M137" s="236"/>
      <c r="N137" s="236"/>
      <c r="O137" s="236"/>
      <c r="P137" s="236"/>
      <c r="Q137" s="236"/>
      <c r="R137" s="236"/>
      <c r="S137" s="236"/>
      <c r="T137" s="236"/>
      <c r="U137" s="236"/>
      <c r="V137" s="236"/>
      <c r="W137" s="237"/>
      <c r="X137" s="237"/>
      <c r="Y137" s="237"/>
      <c r="Z137" s="237"/>
      <c r="AA137" s="237"/>
      <c r="AB137" s="237"/>
      <c r="AC137" s="237"/>
      <c r="AD137" s="237"/>
      <c r="AE137" s="237"/>
      <c r="AF137" s="237"/>
      <c r="AG137" s="237"/>
      <c r="AH137" s="237"/>
      <c r="AI137" s="98"/>
      <c r="AJ137" s="98"/>
      <c r="AK137" s="98"/>
      <c r="AL137" s="98"/>
      <c r="AM137" s="98"/>
      <c r="AN137" s="98"/>
      <c r="AO137" s="98"/>
    </row>
    <row r="138" ht="14.25" customHeight="1">
      <c r="A138" s="98"/>
      <c r="B138" s="98"/>
      <c r="C138" s="98"/>
      <c r="D138" s="98"/>
      <c r="E138" s="98"/>
      <c r="F138" s="235"/>
      <c r="G138" s="235"/>
      <c r="H138" s="236"/>
      <c r="I138" s="236"/>
      <c r="J138" s="236"/>
      <c r="K138" s="236"/>
      <c r="L138" s="236"/>
      <c r="M138" s="236"/>
      <c r="N138" s="236"/>
      <c r="O138" s="236"/>
      <c r="P138" s="236"/>
      <c r="Q138" s="236"/>
      <c r="R138" s="236"/>
      <c r="S138" s="236"/>
      <c r="T138" s="236"/>
      <c r="U138" s="236"/>
      <c r="V138" s="236"/>
      <c r="W138" s="237"/>
      <c r="X138" s="237"/>
      <c r="Y138" s="237"/>
      <c r="Z138" s="237"/>
      <c r="AA138" s="237"/>
      <c r="AB138" s="237"/>
      <c r="AC138" s="237"/>
      <c r="AD138" s="237"/>
      <c r="AE138" s="237"/>
      <c r="AF138" s="237"/>
      <c r="AG138" s="237"/>
      <c r="AH138" s="237"/>
      <c r="AI138" s="98"/>
      <c r="AJ138" s="98"/>
      <c r="AK138" s="98"/>
      <c r="AL138" s="98"/>
      <c r="AM138" s="98"/>
      <c r="AN138" s="98"/>
      <c r="AO138" s="98"/>
    </row>
    <row r="139" ht="14.25" customHeight="1">
      <c r="A139" s="98"/>
      <c r="B139" s="98"/>
      <c r="C139" s="98"/>
      <c r="D139" s="98"/>
      <c r="E139" s="98"/>
      <c r="F139" s="235"/>
      <c r="G139" s="235"/>
      <c r="H139" s="236"/>
      <c r="I139" s="236"/>
      <c r="J139" s="236"/>
      <c r="K139" s="236"/>
      <c r="L139" s="236"/>
      <c r="M139" s="236"/>
      <c r="N139" s="236"/>
      <c r="O139" s="236"/>
      <c r="P139" s="236"/>
      <c r="Q139" s="236"/>
      <c r="R139" s="236"/>
      <c r="S139" s="236"/>
      <c r="T139" s="236"/>
      <c r="U139" s="236"/>
      <c r="V139" s="236"/>
      <c r="W139" s="237"/>
      <c r="X139" s="237"/>
      <c r="Y139" s="237"/>
      <c r="Z139" s="237"/>
      <c r="AA139" s="237"/>
      <c r="AB139" s="237"/>
      <c r="AC139" s="237"/>
      <c r="AD139" s="237"/>
      <c r="AE139" s="237"/>
      <c r="AF139" s="237"/>
      <c r="AG139" s="237"/>
      <c r="AH139" s="237"/>
      <c r="AI139" s="98"/>
      <c r="AJ139" s="98"/>
      <c r="AK139" s="98"/>
      <c r="AL139" s="98"/>
      <c r="AM139" s="98"/>
      <c r="AN139" s="98"/>
      <c r="AO139" s="98"/>
    </row>
    <row r="140" ht="14.25" customHeight="1">
      <c r="A140" s="98"/>
      <c r="B140" s="98"/>
      <c r="C140" s="98"/>
      <c r="D140" s="98"/>
      <c r="E140" s="98"/>
      <c r="F140" s="235"/>
      <c r="G140" s="235"/>
      <c r="H140" s="236"/>
      <c r="I140" s="236"/>
      <c r="J140" s="236"/>
      <c r="K140" s="236"/>
      <c r="L140" s="236"/>
      <c r="M140" s="236"/>
      <c r="N140" s="236"/>
      <c r="O140" s="236"/>
      <c r="P140" s="236"/>
      <c r="Q140" s="236"/>
      <c r="R140" s="236"/>
      <c r="S140" s="236"/>
      <c r="T140" s="236"/>
      <c r="U140" s="236"/>
      <c r="V140" s="236"/>
      <c r="W140" s="237"/>
      <c r="X140" s="237"/>
      <c r="Y140" s="237"/>
      <c r="Z140" s="237"/>
      <c r="AA140" s="237"/>
      <c r="AB140" s="237"/>
      <c r="AC140" s="237"/>
      <c r="AD140" s="237"/>
      <c r="AE140" s="237"/>
      <c r="AF140" s="237"/>
      <c r="AG140" s="237"/>
      <c r="AH140" s="237"/>
      <c r="AI140" s="98"/>
      <c r="AJ140" s="98"/>
      <c r="AK140" s="98"/>
      <c r="AL140" s="98"/>
      <c r="AM140" s="98"/>
      <c r="AN140" s="98"/>
      <c r="AO140" s="98"/>
    </row>
    <row r="141" ht="14.25" customHeight="1">
      <c r="A141" s="98"/>
      <c r="B141" s="98"/>
      <c r="C141" s="98"/>
      <c r="D141" s="98"/>
      <c r="E141" s="98"/>
      <c r="F141" s="235"/>
      <c r="G141" s="235"/>
      <c r="H141" s="236"/>
      <c r="I141" s="236"/>
      <c r="J141" s="236"/>
      <c r="K141" s="236"/>
      <c r="L141" s="236"/>
      <c r="M141" s="236"/>
      <c r="N141" s="236"/>
      <c r="O141" s="236"/>
      <c r="P141" s="236"/>
      <c r="Q141" s="236"/>
      <c r="R141" s="236"/>
      <c r="S141" s="236"/>
      <c r="T141" s="236"/>
      <c r="U141" s="236"/>
      <c r="V141" s="236"/>
      <c r="W141" s="237"/>
      <c r="X141" s="237"/>
      <c r="Y141" s="237"/>
      <c r="Z141" s="237"/>
      <c r="AA141" s="237"/>
      <c r="AB141" s="237"/>
      <c r="AC141" s="237"/>
      <c r="AD141" s="237"/>
      <c r="AE141" s="237"/>
      <c r="AF141" s="237"/>
      <c r="AG141" s="237"/>
      <c r="AH141" s="237"/>
      <c r="AI141" s="98"/>
      <c r="AJ141" s="98"/>
      <c r="AK141" s="98"/>
      <c r="AL141" s="98"/>
      <c r="AM141" s="98"/>
      <c r="AN141" s="98"/>
      <c r="AO141" s="98"/>
    </row>
    <row r="142" ht="14.25" customHeight="1">
      <c r="A142" s="98"/>
      <c r="B142" s="98"/>
      <c r="C142" s="98"/>
      <c r="D142" s="98"/>
      <c r="E142" s="98"/>
      <c r="F142" s="235"/>
      <c r="G142" s="235"/>
      <c r="H142" s="236"/>
      <c r="I142" s="236"/>
      <c r="J142" s="236"/>
      <c r="K142" s="236"/>
      <c r="L142" s="236"/>
      <c r="M142" s="236"/>
      <c r="N142" s="236"/>
      <c r="O142" s="236"/>
      <c r="P142" s="236"/>
      <c r="Q142" s="236"/>
      <c r="R142" s="236"/>
      <c r="S142" s="236"/>
      <c r="T142" s="236"/>
      <c r="U142" s="236"/>
      <c r="V142" s="236"/>
      <c r="W142" s="237"/>
      <c r="X142" s="237"/>
      <c r="Y142" s="237"/>
      <c r="Z142" s="237"/>
      <c r="AA142" s="237"/>
      <c r="AB142" s="237"/>
      <c r="AC142" s="237"/>
      <c r="AD142" s="237"/>
      <c r="AE142" s="237"/>
      <c r="AF142" s="237"/>
      <c r="AG142" s="237"/>
      <c r="AH142" s="237"/>
      <c r="AI142" s="98"/>
      <c r="AJ142" s="98"/>
      <c r="AK142" s="98"/>
      <c r="AL142" s="98"/>
      <c r="AM142" s="98"/>
      <c r="AN142" s="98"/>
      <c r="AO142" s="98"/>
    </row>
    <row r="143" ht="14.25" customHeight="1">
      <c r="A143" s="98"/>
      <c r="B143" s="98"/>
      <c r="C143" s="98"/>
      <c r="D143" s="98"/>
      <c r="E143" s="98"/>
      <c r="F143" s="235"/>
      <c r="G143" s="235"/>
      <c r="H143" s="236"/>
      <c r="I143" s="236"/>
      <c r="J143" s="236"/>
      <c r="K143" s="236"/>
      <c r="L143" s="236"/>
      <c r="M143" s="236"/>
      <c r="N143" s="236"/>
      <c r="O143" s="236"/>
      <c r="P143" s="236"/>
      <c r="Q143" s="236"/>
      <c r="R143" s="236"/>
      <c r="S143" s="236"/>
      <c r="T143" s="236"/>
      <c r="U143" s="236"/>
      <c r="V143" s="236"/>
      <c r="W143" s="237"/>
      <c r="X143" s="237"/>
      <c r="Y143" s="237"/>
      <c r="Z143" s="237"/>
      <c r="AA143" s="237"/>
      <c r="AB143" s="237"/>
      <c r="AC143" s="237"/>
      <c r="AD143" s="237"/>
      <c r="AE143" s="237"/>
      <c r="AF143" s="237"/>
      <c r="AG143" s="237"/>
      <c r="AH143" s="237"/>
      <c r="AI143" s="98"/>
      <c r="AJ143" s="98"/>
      <c r="AK143" s="98"/>
      <c r="AL143" s="98"/>
      <c r="AM143" s="98"/>
      <c r="AN143" s="98"/>
      <c r="AO143" s="98"/>
    </row>
    <row r="144" ht="14.25" customHeight="1">
      <c r="A144" s="98"/>
      <c r="B144" s="98"/>
      <c r="C144" s="98"/>
      <c r="D144" s="98"/>
      <c r="E144" s="98"/>
      <c r="F144" s="235"/>
      <c r="G144" s="235"/>
      <c r="H144" s="236"/>
      <c r="I144" s="236"/>
      <c r="J144" s="236"/>
      <c r="K144" s="236"/>
      <c r="L144" s="236"/>
      <c r="M144" s="236"/>
      <c r="N144" s="236"/>
      <c r="O144" s="236"/>
      <c r="P144" s="236"/>
      <c r="Q144" s="236"/>
      <c r="R144" s="236"/>
      <c r="S144" s="236"/>
      <c r="T144" s="236"/>
      <c r="U144" s="236"/>
      <c r="V144" s="236"/>
      <c r="W144" s="237"/>
      <c r="X144" s="237"/>
      <c r="Y144" s="237"/>
      <c r="Z144" s="237"/>
      <c r="AA144" s="237"/>
      <c r="AB144" s="237"/>
      <c r="AC144" s="237"/>
      <c r="AD144" s="237"/>
      <c r="AE144" s="237"/>
      <c r="AF144" s="237"/>
      <c r="AG144" s="237"/>
      <c r="AH144" s="237"/>
      <c r="AI144" s="98"/>
      <c r="AJ144" s="98"/>
      <c r="AK144" s="98"/>
      <c r="AL144" s="98"/>
      <c r="AM144" s="98"/>
      <c r="AN144" s="98"/>
      <c r="AO144" s="98"/>
    </row>
    <row r="145" ht="14.25" customHeight="1">
      <c r="A145" s="98"/>
      <c r="B145" s="98"/>
      <c r="C145" s="98"/>
      <c r="D145" s="98"/>
      <c r="E145" s="98"/>
      <c r="F145" s="235"/>
      <c r="G145" s="235"/>
      <c r="H145" s="236"/>
      <c r="I145" s="236"/>
      <c r="J145" s="236"/>
      <c r="K145" s="236"/>
      <c r="L145" s="236"/>
      <c r="M145" s="236"/>
      <c r="N145" s="236"/>
      <c r="O145" s="236"/>
      <c r="P145" s="236"/>
      <c r="Q145" s="236"/>
      <c r="R145" s="236"/>
      <c r="S145" s="236"/>
      <c r="T145" s="236"/>
      <c r="U145" s="236"/>
      <c r="V145" s="236"/>
      <c r="W145" s="237"/>
      <c r="X145" s="237"/>
      <c r="Y145" s="237"/>
      <c r="Z145" s="237"/>
      <c r="AA145" s="237"/>
      <c r="AB145" s="237"/>
      <c r="AC145" s="237"/>
      <c r="AD145" s="237"/>
      <c r="AE145" s="237"/>
      <c r="AF145" s="237"/>
      <c r="AG145" s="237"/>
      <c r="AH145" s="237"/>
      <c r="AI145" s="98"/>
      <c r="AJ145" s="98"/>
      <c r="AK145" s="98"/>
      <c r="AL145" s="98"/>
      <c r="AM145" s="98"/>
      <c r="AN145" s="98"/>
      <c r="AO145" s="98"/>
    </row>
    <row r="146" ht="14.25" customHeight="1">
      <c r="A146" s="98"/>
      <c r="B146" s="98"/>
      <c r="C146" s="98"/>
      <c r="D146" s="98"/>
      <c r="E146" s="98"/>
      <c r="F146" s="235"/>
      <c r="G146" s="235"/>
      <c r="H146" s="236"/>
      <c r="I146" s="236"/>
      <c r="J146" s="236"/>
      <c r="K146" s="236"/>
      <c r="L146" s="236"/>
      <c r="M146" s="236"/>
      <c r="N146" s="236"/>
      <c r="O146" s="236"/>
      <c r="P146" s="236"/>
      <c r="Q146" s="236"/>
      <c r="R146" s="236"/>
      <c r="S146" s="236"/>
      <c r="T146" s="236"/>
      <c r="U146" s="236"/>
      <c r="V146" s="236"/>
      <c r="W146" s="237"/>
      <c r="X146" s="237"/>
      <c r="Y146" s="237"/>
      <c r="Z146" s="237"/>
      <c r="AA146" s="237"/>
      <c r="AB146" s="237"/>
      <c r="AC146" s="237"/>
      <c r="AD146" s="237"/>
      <c r="AE146" s="237"/>
      <c r="AF146" s="237"/>
      <c r="AG146" s="237"/>
      <c r="AH146" s="237"/>
      <c r="AI146" s="98"/>
      <c r="AJ146" s="98"/>
      <c r="AK146" s="98"/>
      <c r="AL146" s="98"/>
      <c r="AM146" s="98"/>
      <c r="AN146" s="98"/>
      <c r="AO146" s="98"/>
    </row>
    <row r="147" ht="14.25" customHeight="1">
      <c r="A147" s="98"/>
      <c r="B147" s="98"/>
      <c r="C147" s="98"/>
      <c r="D147" s="98"/>
      <c r="E147" s="98"/>
      <c r="F147" s="235"/>
      <c r="G147" s="235"/>
      <c r="H147" s="236"/>
      <c r="I147" s="236"/>
      <c r="J147" s="236"/>
      <c r="K147" s="236"/>
      <c r="L147" s="236"/>
      <c r="M147" s="236"/>
      <c r="N147" s="236"/>
      <c r="O147" s="236"/>
      <c r="P147" s="236"/>
      <c r="Q147" s="236"/>
      <c r="R147" s="236"/>
      <c r="S147" s="236"/>
      <c r="T147" s="236"/>
      <c r="U147" s="236"/>
      <c r="V147" s="236"/>
      <c r="W147" s="237"/>
      <c r="X147" s="237"/>
      <c r="Y147" s="237"/>
      <c r="Z147" s="237"/>
      <c r="AA147" s="237"/>
      <c r="AB147" s="237"/>
      <c r="AC147" s="237"/>
      <c r="AD147" s="237"/>
      <c r="AE147" s="237"/>
      <c r="AF147" s="237"/>
      <c r="AG147" s="237"/>
      <c r="AH147" s="237"/>
      <c r="AI147" s="98"/>
      <c r="AJ147" s="98"/>
      <c r="AK147" s="98"/>
      <c r="AL147" s="98"/>
      <c r="AM147" s="98"/>
      <c r="AN147" s="98"/>
      <c r="AO147" s="98"/>
    </row>
    <row r="148" ht="14.25" customHeight="1">
      <c r="A148" s="98"/>
      <c r="B148" s="98"/>
      <c r="C148" s="98"/>
      <c r="D148" s="98"/>
      <c r="E148" s="98"/>
      <c r="F148" s="235"/>
      <c r="G148" s="235"/>
      <c r="H148" s="236"/>
      <c r="I148" s="236"/>
      <c r="J148" s="236"/>
      <c r="K148" s="236"/>
      <c r="L148" s="236"/>
      <c r="M148" s="236"/>
      <c r="N148" s="236"/>
      <c r="O148" s="236"/>
      <c r="P148" s="236"/>
      <c r="Q148" s="236"/>
      <c r="R148" s="236"/>
      <c r="S148" s="236"/>
      <c r="T148" s="236"/>
      <c r="U148" s="236"/>
      <c r="V148" s="236"/>
      <c r="W148" s="237"/>
      <c r="X148" s="237"/>
      <c r="Y148" s="237"/>
      <c r="Z148" s="237"/>
      <c r="AA148" s="237"/>
      <c r="AB148" s="237"/>
      <c r="AC148" s="237"/>
      <c r="AD148" s="237"/>
      <c r="AE148" s="237"/>
      <c r="AF148" s="237"/>
      <c r="AG148" s="237"/>
      <c r="AH148" s="237"/>
      <c r="AI148" s="98"/>
      <c r="AJ148" s="98"/>
      <c r="AK148" s="98"/>
      <c r="AL148" s="98"/>
      <c r="AM148" s="98"/>
      <c r="AN148" s="98"/>
      <c r="AO148" s="98"/>
    </row>
    <row r="149" ht="14.25" customHeight="1">
      <c r="A149" s="98"/>
      <c r="B149" s="98"/>
      <c r="C149" s="98"/>
      <c r="D149" s="98"/>
      <c r="E149" s="98"/>
      <c r="F149" s="235"/>
      <c r="G149" s="235"/>
      <c r="H149" s="236"/>
      <c r="I149" s="236"/>
      <c r="J149" s="236"/>
      <c r="K149" s="236"/>
      <c r="L149" s="236"/>
      <c r="M149" s="236"/>
      <c r="N149" s="236"/>
      <c r="O149" s="236"/>
      <c r="P149" s="236"/>
      <c r="Q149" s="236"/>
      <c r="R149" s="236"/>
      <c r="S149" s="236"/>
      <c r="T149" s="236"/>
      <c r="U149" s="236"/>
      <c r="V149" s="236"/>
      <c r="W149" s="237"/>
      <c r="X149" s="237"/>
      <c r="Y149" s="237"/>
      <c r="Z149" s="237"/>
      <c r="AA149" s="237"/>
      <c r="AB149" s="237"/>
      <c r="AC149" s="237"/>
      <c r="AD149" s="237"/>
      <c r="AE149" s="237"/>
      <c r="AF149" s="237"/>
      <c r="AG149" s="237"/>
      <c r="AH149" s="237"/>
      <c r="AI149" s="98"/>
      <c r="AJ149" s="98"/>
      <c r="AK149" s="98"/>
      <c r="AL149" s="98"/>
      <c r="AM149" s="98"/>
      <c r="AN149" s="98"/>
      <c r="AO149" s="98"/>
    </row>
    <row r="150" ht="14.25" customHeight="1">
      <c r="A150" s="98"/>
      <c r="B150" s="98"/>
      <c r="C150" s="98"/>
      <c r="D150" s="98"/>
      <c r="E150" s="98"/>
      <c r="F150" s="235"/>
      <c r="G150" s="235"/>
      <c r="H150" s="236"/>
      <c r="I150" s="236"/>
      <c r="J150" s="236"/>
      <c r="K150" s="236"/>
      <c r="L150" s="236"/>
      <c r="M150" s="236"/>
      <c r="N150" s="236"/>
      <c r="O150" s="236"/>
      <c r="P150" s="236"/>
      <c r="Q150" s="236"/>
      <c r="R150" s="236"/>
      <c r="S150" s="236"/>
      <c r="T150" s="236"/>
      <c r="U150" s="236"/>
      <c r="V150" s="236"/>
      <c r="W150" s="237"/>
      <c r="X150" s="237"/>
      <c r="Y150" s="237"/>
      <c r="Z150" s="237"/>
      <c r="AA150" s="237"/>
      <c r="AB150" s="237"/>
      <c r="AC150" s="237"/>
      <c r="AD150" s="237"/>
      <c r="AE150" s="237"/>
      <c r="AF150" s="237"/>
      <c r="AG150" s="237"/>
      <c r="AH150" s="237"/>
      <c r="AI150" s="98"/>
      <c r="AJ150" s="98"/>
      <c r="AK150" s="98"/>
      <c r="AL150" s="98"/>
      <c r="AM150" s="98"/>
      <c r="AN150" s="98"/>
      <c r="AO150" s="98"/>
    </row>
    <row r="151" ht="14.25" customHeight="1">
      <c r="A151" s="98"/>
      <c r="B151" s="98"/>
      <c r="C151" s="98"/>
      <c r="D151" s="98"/>
      <c r="E151" s="98"/>
      <c r="F151" s="235"/>
      <c r="G151" s="235"/>
      <c r="H151" s="236"/>
      <c r="I151" s="236"/>
      <c r="J151" s="236"/>
      <c r="K151" s="236"/>
      <c r="L151" s="236"/>
      <c r="M151" s="236"/>
      <c r="N151" s="236"/>
      <c r="O151" s="236"/>
      <c r="P151" s="236"/>
      <c r="Q151" s="236"/>
      <c r="R151" s="236"/>
      <c r="S151" s="236"/>
      <c r="T151" s="236"/>
      <c r="U151" s="236"/>
      <c r="V151" s="236"/>
      <c r="W151" s="237"/>
      <c r="X151" s="237"/>
      <c r="Y151" s="237"/>
      <c r="Z151" s="237"/>
      <c r="AA151" s="237"/>
      <c r="AB151" s="237"/>
      <c r="AC151" s="237"/>
      <c r="AD151" s="237"/>
      <c r="AE151" s="237"/>
      <c r="AF151" s="237"/>
      <c r="AG151" s="237"/>
      <c r="AH151" s="237"/>
      <c r="AI151" s="98"/>
      <c r="AJ151" s="98"/>
      <c r="AK151" s="98"/>
      <c r="AL151" s="98"/>
      <c r="AM151" s="98"/>
      <c r="AN151" s="98"/>
      <c r="AO151" s="98"/>
    </row>
    <row r="152" ht="14.25" customHeight="1">
      <c r="A152" s="98"/>
      <c r="B152" s="98"/>
      <c r="C152" s="98"/>
      <c r="D152" s="98"/>
      <c r="E152" s="98"/>
      <c r="F152" s="235"/>
      <c r="G152" s="235"/>
      <c r="H152" s="236"/>
      <c r="I152" s="236"/>
      <c r="J152" s="236"/>
      <c r="K152" s="236"/>
      <c r="L152" s="236"/>
      <c r="M152" s="236"/>
      <c r="N152" s="236"/>
      <c r="O152" s="236"/>
      <c r="P152" s="236"/>
      <c r="Q152" s="236"/>
      <c r="R152" s="236"/>
      <c r="S152" s="236"/>
      <c r="T152" s="236"/>
      <c r="U152" s="236"/>
      <c r="V152" s="236"/>
      <c r="W152" s="237"/>
      <c r="X152" s="237"/>
      <c r="Y152" s="237"/>
      <c r="Z152" s="237"/>
      <c r="AA152" s="237"/>
      <c r="AB152" s="237"/>
      <c r="AC152" s="237"/>
      <c r="AD152" s="237"/>
      <c r="AE152" s="237"/>
      <c r="AF152" s="237"/>
      <c r="AG152" s="237"/>
      <c r="AH152" s="237"/>
      <c r="AI152" s="98"/>
      <c r="AJ152" s="98"/>
      <c r="AK152" s="98"/>
      <c r="AL152" s="98"/>
      <c r="AM152" s="98"/>
      <c r="AN152" s="98"/>
      <c r="AO152" s="98"/>
    </row>
    <row r="153" ht="14.25" customHeight="1">
      <c r="A153" s="98"/>
      <c r="B153" s="98"/>
      <c r="C153" s="98"/>
      <c r="D153" s="98"/>
      <c r="E153" s="98"/>
      <c r="F153" s="235"/>
      <c r="G153" s="235"/>
      <c r="H153" s="236"/>
      <c r="I153" s="236"/>
      <c r="J153" s="236"/>
      <c r="K153" s="236"/>
      <c r="L153" s="236"/>
      <c r="M153" s="236"/>
      <c r="N153" s="236"/>
      <c r="O153" s="236"/>
      <c r="P153" s="236"/>
      <c r="Q153" s="236"/>
      <c r="R153" s="236"/>
      <c r="S153" s="236"/>
      <c r="T153" s="236"/>
      <c r="U153" s="236"/>
      <c r="V153" s="236"/>
      <c r="W153" s="237"/>
      <c r="X153" s="237"/>
      <c r="Y153" s="237"/>
      <c r="Z153" s="237"/>
      <c r="AA153" s="237"/>
      <c r="AB153" s="237"/>
      <c r="AC153" s="237"/>
      <c r="AD153" s="237"/>
      <c r="AE153" s="237"/>
      <c r="AF153" s="237"/>
      <c r="AG153" s="237"/>
      <c r="AH153" s="237"/>
      <c r="AI153" s="98"/>
      <c r="AJ153" s="98"/>
      <c r="AK153" s="98"/>
      <c r="AL153" s="98"/>
      <c r="AM153" s="98"/>
      <c r="AN153" s="98"/>
      <c r="AO153" s="98"/>
    </row>
    <row r="154" ht="14.25" customHeight="1">
      <c r="A154" s="98"/>
      <c r="B154" s="98"/>
      <c r="C154" s="98"/>
      <c r="D154" s="98"/>
      <c r="E154" s="98"/>
      <c r="F154" s="235"/>
      <c r="G154" s="235"/>
      <c r="H154" s="236"/>
      <c r="I154" s="236"/>
      <c r="J154" s="236"/>
      <c r="K154" s="236"/>
      <c r="L154" s="236"/>
      <c r="M154" s="236"/>
      <c r="N154" s="236"/>
      <c r="O154" s="236"/>
      <c r="P154" s="236"/>
      <c r="Q154" s="236"/>
      <c r="R154" s="236"/>
      <c r="S154" s="236"/>
      <c r="T154" s="236"/>
      <c r="U154" s="236"/>
      <c r="V154" s="236"/>
      <c r="W154" s="237"/>
      <c r="X154" s="237"/>
      <c r="Y154" s="237"/>
      <c r="Z154" s="237"/>
      <c r="AA154" s="237"/>
      <c r="AB154" s="237"/>
      <c r="AC154" s="237"/>
      <c r="AD154" s="237"/>
      <c r="AE154" s="237"/>
      <c r="AF154" s="237"/>
      <c r="AG154" s="237"/>
      <c r="AH154" s="237"/>
      <c r="AI154" s="98"/>
      <c r="AJ154" s="98"/>
      <c r="AK154" s="98"/>
      <c r="AL154" s="98"/>
      <c r="AM154" s="98"/>
      <c r="AN154" s="98"/>
      <c r="AO154" s="98"/>
    </row>
    <row r="155" ht="14.25" customHeight="1">
      <c r="A155" s="98"/>
      <c r="B155" s="98"/>
      <c r="C155" s="98"/>
      <c r="D155" s="98"/>
      <c r="E155" s="98"/>
      <c r="F155" s="235"/>
      <c r="G155" s="235"/>
      <c r="H155" s="236"/>
      <c r="I155" s="236"/>
      <c r="J155" s="236"/>
      <c r="K155" s="236"/>
      <c r="L155" s="236"/>
      <c r="M155" s="236"/>
      <c r="N155" s="236"/>
      <c r="O155" s="236"/>
      <c r="P155" s="236"/>
      <c r="Q155" s="236"/>
      <c r="R155" s="236"/>
      <c r="S155" s="236"/>
      <c r="T155" s="236"/>
      <c r="U155" s="236"/>
      <c r="V155" s="236"/>
      <c r="W155" s="237"/>
      <c r="X155" s="237"/>
      <c r="Y155" s="237"/>
      <c r="Z155" s="237"/>
      <c r="AA155" s="237"/>
      <c r="AB155" s="237"/>
      <c r="AC155" s="237"/>
      <c r="AD155" s="237"/>
      <c r="AE155" s="237"/>
      <c r="AF155" s="237"/>
      <c r="AG155" s="237"/>
      <c r="AH155" s="237"/>
      <c r="AI155" s="98"/>
      <c r="AJ155" s="98"/>
      <c r="AK155" s="98"/>
      <c r="AL155" s="98"/>
      <c r="AM155" s="98"/>
      <c r="AN155" s="98"/>
      <c r="AO155" s="98"/>
    </row>
    <row r="156" ht="14.25" customHeight="1">
      <c r="A156" s="98"/>
      <c r="B156" s="98"/>
      <c r="C156" s="98"/>
      <c r="D156" s="98"/>
      <c r="E156" s="98"/>
      <c r="F156" s="235"/>
      <c r="G156" s="235"/>
      <c r="H156" s="236"/>
      <c r="I156" s="236"/>
      <c r="J156" s="236"/>
      <c r="K156" s="236"/>
      <c r="L156" s="236"/>
      <c r="M156" s="236"/>
      <c r="N156" s="236"/>
      <c r="O156" s="236"/>
      <c r="P156" s="236"/>
      <c r="Q156" s="236"/>
      <c r="R156" s="236"/>
      <c r="S156" s="236"/>
      <c r="T156" s="236"/>
      <c r="U156" s="236"/>
      <c r="V156" s="236"/>
      <c r="W156" s="237"/>
      <c r="X156" s="237"/>
      <c r="Y156" s="237"/>
      <c r="Z156" s="237"/>
      <c r="AA156" s="237"/>
      <c r="AB156" s="237"/>
      <c r="AC156" s="237"/>
      <c r="AD156" s="237"/>
      <c r="AE156" s="237"/>
      <c r="AF156" s="237"/>
      <c r="AG156" s="237"/>
      <c r="AH156" s="237"/>
      <c r="AI156" s="98"/>
      <c r="AJ156" s="98"/>
      <c r="AK156" s="98"/>
      <c r="AL156" s="98"/>
      <c r="AM156" s="98"/>
      <c r="AN156" s="98"/>
      <c r="AO156" s="98"/>
    </row>
    <row r="157" ht="14.25" customHeight="1">
      <c r="A157" s="98"/>
      <c r="B157" s="98"/>
      <c r="C157" s="98"/>
      <c r="D157" s="98"/>
      <c r="E157" s="98"/>
      <c r="F157" s="235"/>
      <c r="G157" s="235"/>
      <c r="H157" s="236"/>
      <c r="I157" s="236"/>
      <c r="J157" s="236"/>
      <c r="K157" s="236"/>
      <c r="L157" s="236"/>
      <c r="M157" s="236"/>
      <c r="N157" s="236"/>
      <c r="O157" s="236"/>
      <c r="P157" s="236"/>
      <c r="Q157" s="236"/>
      <c r="R157" s="236"/>
      <c r="S157" s="236"/>
      <c r="T157" s="236"/>
      <c r="U157" s="236"/>
      <c r="V157" s="236"/>
      <c r="W157" s="237"/>
      <c r="X157" s="237"/>
      <c r="Y157" s="237"/>
      <c r="Z157" s="237"/>
      <c r="AA157" s="237"/>
      <c r="AB157" s="237"/>
      <c r="AC157" s="237"/>
      <c r="AD157" s="237"/>
      <c r="AE157" s="237"/>
      <c r="AF157" s="237"/>
      <c r="AG157" s="237"/>
      <c r="AH157" s="237"/>
      <c r="AI157" s="98"/>
      <c r="AJ157" s="98"/>
      <c r="AK157" s="98"/>
      <c r="AL157" s="98"/>
      <c r="AM157" s="98"/>
      <c r="AN157" s="98"/>
      <c r="AO157" s="98"/>
    </row>
    <row r="158" ht="14.25" customHeight="1">
      <c r="A158" s="98"/>
      <c r="B158" s="98"/>
      <c r="C158" s="98"/>
      <c r="D158" s="98"/>
      <c r="E158" s="98"/>
      <c r="F158" s="235"/>
      <c r="G158" s="235"/>
      <c r="H158" s="236"/>
      <c r="I158" s="236"/>
      <c r="J158" s="236"/>
      <c r="K158" s="236"/>
      <c r="L158" s="236"/>
      <c r="M158" s="236"/>
      <c r="N158" s="236"/>
      <c r="O158" s="236"/>
      <c r="P158" s="236"/>
      <c r="Q158" s="236"/>
      <c r="R158" s="236"/>
      <c r="S158" s="236"/>
      <c r="T158" s="236"/>
      <c r="U158" s="236"/>
      <c r="V158" s="236"/>
      <c r="W158" s="237"/>
      <c r="X158" s="237"/>
      <c r="Y158" s="237"/>
      <c r="Z158" s="237"/>
      <c r="AA158" s="237"/>
      <c r="AB158" s="237"/>
      <c r="AC158" s="237"/>
      <c r="AD158" s="237"/>
      <c r="AE158" s="237"/>
      <c r="AF158" s="237"/>
      <c r="AG158" s="237"/>
      <c r="AH158" s="237"/>
      <c r="AI158" s="98"/>
      <c r="AJ158" s="98"/>
      <c r="AK158" s="98"/>
      <c r="AL158" s="98"/>
      <c r="AM158" s="98"/>
      <c r="AN158" s="98"/>
      <c r="AO158" s="98"/>
    </row>
    <row r="159" ht="14.25" customHeight="1">
      <c r="A159" s="98"/>
      <c r="B159" s="98"/>
      <c r="C159" s="98"/>
      <c r="D159" s="98"/>
      <c r="E159" s="98"/>
      <c r="F159" s="235"/>
      <c r="G159" s="235"/>
      <c r="H159" s="236"/>
      <c r="I159" s="236"/>
      <c r="J159" s="236"/>
      <c r="K159" s="236"/>
      <c r="L159" s="236"/>
      <c r="M159" s="236"/>
      <c r="N159" s="236"/>
      <c r="O159" s="236"/>
      <c r="P159" s="236"/>
      <c r="Q159" s="236"/>
      <c r="R159" s="236"/>
      <c r="S159" s="236"/>
      <c r="T159" s="236"/>
      <c r="U159" s="236"/>
      <c r="V159" s="236"/>
      <c r="W159" s="237"/>
      <c r="X159" s="237"/>
      <c r="Y159" s="237"/>
      <c r="Z159" s="237"/>
      <c r="AA159" s="237"/>
      <c r="AB159" s="237"/>
      <c r="AC159" s="237"/>
      <c r="AD159" s="237"/>
      <c r="AE159" s="237"/>
      <c r="AF159" s="237"/>
      <c r="AG159" s="237"/>
      <c r="AH159" s="237"/>
      <c r="AI159" s="98"/>
      <c r="AJ159" s="98"/>
      <c r="AK159" s="98"/>
      <c r="AL159" s="98"/>
      <c r="AM159" s="98"/>
      <c r="AN159" s="98"/>
      <c r="AO159" s="98"/>
    </row>
    <row r="160" ht="14.25" customHeight="1">
      <c r="A160" s="98"/>
      <c r="B160" s="98"/>
      <c r="C160" s="98"/>
      <c r="D160" s="98"/>
      <c r="E160" s="98"/>
      <c r="F160" s="235"/>
      <c r="G160" s="235"/>
      <c r="H160" s="236"/>
      <c r="I160" s="236"/>
      <c r="J160" s="236"/>
      <c r="K160" s="236"/>
      <c r="L160" s="236"/>
      <c r="M160" s="236"/>
      <c r="N160" s="236"/>
      <c r="O160" s="236"/>
      <c r="P160" s="236"/>
      <c r="Q160" s="236"/>
      <c r="R160" s="236"/>
      <c r="S160" s="236"/>
      <c r="T160" s="236"/>
      <c r="U160" s="236"/>
      <c r="V160" s="236"/>
      <c r="W160" s="237"/>
      <c r="X160" s="237"/>
      <c r="Y160" s="237"/>
      <c r="Z160" s="237"/>
      <c r="AA160" s="237"/>
      <c r="AB160" s="237"/>
      <c r="AC160" s="237"/>
      <c r="AD160" s="237"/>
      <c r="AE160" s="237"/>
      <c r="AF160" s="237"/>
      <c r="AG160" s="237"/>
      <c r="AH160" s="237"/>
      <c r="AI160" s="98"/>
      <c r="AJ160" s="98"/>
      <c r="AK160" s="98"/>
      <c r="AL160" s="98"/>
      <c r="AM160" s="98"/>
      <c r="AN160" s="98"/>
      <c r="AO160" s="98"/>
    </row>
    <row r="161" ht="14.25" customHeight="1">
      <c r="A161" s="98"/>
      <c r="B161" s="98"/>
      <c r="C161" s="98"/>
      <c r="D161" s="98"/>
      <c r="E161" s="98"/>
      <c r="F161" s="235"/>
      <c r="G161" s="235"/>
      <c r="H161" s="236"/>
      <c r="I161" s="236"/>
      <c r="J161" s="236"/>
      <c r="K161" s="236"/>
      <c r="L161" s="236"/>
      <c r="M161" s="236"/>
      <c r="N161" s="236"/>
      <c r="O161" s="236"/>
      <c r="P161" s="236"/>
      <c r="Q161" s="236"/>
      <c r="R161" s="236"/>
      <c r="S161" s="236"/>
      <c r="T161" s="236"/>
      <c r="U161" s="236"/>
      <c r="V161" s="236"/>
      <c r="W161" s="237"/>
      <c r="X161" s="237"/>
      <c r="Y161" s="237"/>
      <c r="Z161" s="237"/>
      <c r="AA161" s="237"/>
      <c r="AB161" s="237"/>
      <c r="AC161" s="237"/>
      <c r="AD161" s="237"/>
      <c r="AE161" s="237"/>
      <c r="AF161" s="237"/>
      <c r="AG161" s="237"/>
      <c r="AH161" s="237"/>
      <c r="AI161" s="98"/>
      <c r="AJ161" s="98"/>
      <c r="AK161" s="98"/>
      <c r="AL161" s="98"/>
      <c r="AM161" s="98"/>
      <c r="AN161" s="98"/>
      <c r="AO161" s="98"/>
    </row>
    <row r="162" ht="14.25" customHeight="1">
      <c r="A162" s="98"/>
      <c r="B162" s="98"/>
      <c r="C162" s="98"/>
      <c r="D162" s="98"/>
      <c r="E162" s="98"/>
      <c r="F162" s="235"/>
      <c r="G162" s="235"/>
      <c r="H162" s="236"/>
      <c r="I162" s="236"/>
      <c r="J162" s="236"/>
      <c r="K162" s="236"/>
      <c r="L162" s="236"/>
      <c r="M162" s="236"/>
      <c r="N162" s="236"/>
      <c r="O162" s="236"/>
      <c r="P162" s="236"/>
      <c r="Q162" s="236"/>
      <c r="R162" s="236"/>
      <c r="S162" s="236"/>
      <c r="T162" s="236"/>
      <c r="U162" s="236"/>
      <c r="V162" s="236"/>
      <c r="W162" s="237"/>
      <c r="X162" s="237"/>
      <c r="Y162" s="237"/>
      <c r="Z162" s="237"/>
      <c r="AA162" s="237"/>
      <c r="AB162" s="237"/>
      <c r="AC162" s="237"/>
      <c r="AD162" s="237"/>
      <c r="AE162" s="237"/>
      <c r="AF162" s="237"/>
      <c r="AG162" s="237"/>
      <c r="AH162" s="237"/>
      <c r="AI162" s="98"/>
      <c r="AJ162" s="98"/>
      <c r="AK162" s="98"/>
      <c r="AL162" s="98"/>
      <c r="AM162" s="98"/>
      <c r="AN162" s="98"/>
      <c r="AO162" s="98"/>
    </row>
    <row r="163" ht="14.25" customHeight="1">
      <c r="A163" s="98"/>
      <c r="B163" s="98"/>
      <c r="C163" s="98"/>
      <c r="D163" s="98"/>
      <c r="E163" s="98"/>
      <c r="F163" s="235"/>
      <c r="G163" s="235"/>
      <c r="H163" s="236"/>
      <c r="I163" s="236"/>
      <c r="J163" s="236"/>
      <c r="K163" s="236"/>
      <c r="L163" s="236"/>
      <c r="M163" s="236"/>
      <c r="N163" s="236"/>
      <c r="O163" s="236"/>
      <c r="P163" s="236"/>
      <c r="Q163" s="236"/>
      <c r="R163" s="236"/>
      <c r="S163" s="236"/>
      <c r="T163" s="236"/>
      <c r="U163" s="236"/>
      <c r="V163" s="236"/>
      <c r="W163" s="237"/>
      <c r="X163" s="237"/>
      <c r="Y163" s="237"/>
      <c r="Z163" s="237"/>
      <c r="AA163" s="237"/>
      <c r="AB163" s="237"/>
      <c r="AC163" s="237"/>
      <c r="AD163" s="237"/>
      <c r="AE163" s="237"/>
      <c r="AF163" s="237"/>
      <c r="AG163" s="237"/>
      <c r="AH163" s="237"/>
      <c r="AI163" s="98"/>
      <c r="AJ163" s="98"/>
      <c r="AK163" s="98"/>
      <c r="AL163" s="98"/>
      <c r="AM163" s="98"/>
      <c r="AN163" s="98"/>
      <c r="AO163" s="98"/>
    </row>
    <row r="164" ht="14.25" customHeight="1">
      <c r="A164" s="98"/>
      <c r="B164" s="98"/>
      <c r="C164" s="98"/>
      <c r="D164" s="98"/>
      <c r="E164" s="98"/>
      <c r="F164" s="235"/>
      <c r="G164" s="235"/>
      <c r="H164" s="236"/>
      <c r="I164" s="236"/>
      <c r="J164" s="236"/>
      <c r="K164" s="236"/>
      <c r="L164" s="236"/>
      <c r="M164" s="236"/>
      <c r="N164" s="236"/>
      <c r="O164" s="236"/>
      <c r="P164" s="236"/>
      <c r="Q164" s="236"/>
      <c r="R164" s="236"/>
      <c r="S164" s="236"/>
      <c r="T164" s="236"/>
      <c r="U164" s="236"/>
      <c r="V164" s="236"/>
      <c r="W164" s="237"/>
      <c r="X164" s="237"/>
      <c r="Y164" s="237"/>
      <c r="Z164" s="237"/>
      <c r="AA164" s="237"/>
      <c r="AB164" s="237"/>
      <c r="AC164" s="237"/>
      <c r="AD164" s="237"/>
      <c r="AE164" s="237"/>
      <c r="AF164" s="237"/>
      <c r="AG164" s="237"/>
      <c r="AH164" s="237"/>
      <c r="AI164" s="98"/>
      <c r="AJ164" s="98"/>
      <c r="AK164" s="98"/>
      <c r="AL164" s="98"/>
      <c r="AM164" s="98"/>
      <c r="AN164" s="98"/>
      <c r="AO164" s="98"/>
    </row>
    <row r="165" ht="14.25" customHeight="1">
      <c r="A165" s="98"/>
      <c r="B165" s="98"/>
      <c r="C165" s="98"/>
      <c r="D165" s="98"/>
      <c r="E165" s="98"/>
      <c r="F165" s="235"/>
      <c r="G165" s="235"/>
      <c r="H165" s="236"/>
      <c r="I165" s="236"/>
      <c r="J165" s="236"/>
      <c r="K165" s="236"/>
      <c r="L165" s="236"/>
      <c r="M165" s="236"/>
      <c r="N165" s="236"/>
      <c r="O165" s="236"/>
      <c r="P165" s="236"/>
      <c r="Q165" s="236"/>
      <c r="R165" s="236"/>
      <c r="S165" s="236"/>
      <c r="T165" s="236"/>
      <c r="U165" s="236"/>
      <c r="V165" s="236"/>
      <c r="W165" s="237"/>
      <c r="X165" s="237"/>
      <c r="Y165" s="237"/>
      <c r="Z165" s="237"/>
      <c r="AA165" s="237"/>
      <c r="AB165" s="237"/>
      <c r="AC165" s="237"/>
      <c r="AD165" s="237"/>
      <c r="AE165" s="237"/>
      <c r="AF165" s="237"/>
      <c r="AG165" s="237"/>
      <c r="AH165" s="237"/>
      <c r="AI165" s="98"/>
      <c r="AJ165" s="98"/>
      <c r="AK165" s="98"/>
      <c r="AL165" s="98"/>
      <c r="AM165" s="98"/>
      <c r="AN165" s="98"/>
      <c r="AO165" s="98"/>
    </row>
    <row r="166" ht="14.25" customHeight="1">
      <c r="A166" s="98"/>
      <c r="B166" s="98"/>
      <c r="C166" s="98"/>
      <c r="D166" s="98"/>
      <c r="E166" s="98"/>
      <c r="F166" s="235"/>
      <c r="G166" s="235"/>
      <c r="H166" s="236"/>
      <c r="I166" s="236"/>
      <c r="J166" s="236"/>
      <c r="K166" s="236"/>
      <c r="L166" s="236"/>
      <c r="M166" s="236"/>
      <c r="N166" s="236"/>
      <c r="O166" s="236"/>
      <c r="P166" s="236"/>
      <c r="Q166" s="236"/>
      <c r="R166" s="236"/>
      <c r="S166" s="236"/>
      <c r="T166" s="236"/>
      <c r="U166" s="236"/>
      <c r="V166" s="236"/>
      <c r="W166" s="237"/>
      <c r="X166" s="237"/>
      <c r="Y166" s="237"/>
      <c r="Z166" s="237"/>
      <c r="AA166" s="237"/>
      <c r="AB166" s="237"/>
      <c r="AC166" s="237"/>
      <c r="AD166" s="237"/>
      <c r="AE166" s="237"/>
      <c r="AF166" s="237"/>
      <c r="AG166" s="237"/>
      <c r="AH166" s="237"/>
      <c r="AI166" s="98"/>
      <c r="AJ166" s="98"/>
      <c r="AK166" s="98"/>
      <c r="AL166" s="98"/>
      <c r="AM166" s="98"/>
      <c r="AN166" s="98"/>
      <c r="AO166" s="98"/>
    </row>
    <row r="167" ht="14.25" customHeight="1">
      <c r="A167" s="98"/>
      <c r="B167" s="98"/>
      <c r="C167" s="98"/>
      <c r="D167" s="98"/>
      <c r="E167" s="98"/>
      <c r="F167" s="235"/>
      <c r="G167" s="235"/>
      <c r="H167" s="236"/>
      <c r="I167" s="236"/>
      <c r="J167" s="236"/>
      <c r="K167" s="236"/>
      <c r="L167" s="236"/>
      <c r="M167" s="236"/>
      <c r="N167" s="236"/>
      <c r="O167" s="236"/>
      <c r="P167" s="236"/>
      <c r="Q167" s="236"/>
      <c r="R167" s="236"/>
      <c r="S167" s="236"/>
      <c r="T167" s="236"/>
      <c r="U167" s="236"/>
      <c r="V167" s="236"/>
      <c r="W167" s="237"/>
      <c r="X167" s="237"/>
      <c r="Y167" s="237"/>
      <c r="Z167" s="237"/>
      <c r="AA167" s="237"/>
      <c r="AB167" s="237"/>
      <c r="AC167" s="237"/>
      <c r="AD167" s="237"/>
      <c r="AE167" s="237"/>
      <c r="AF167" s="237"/>
      <c r="AG167" s="237"/>
      <c r="AH167" s="237"/>
      <c r="AI167" s="98"/>
      <c r="AJ167" s="98"/>
      <c r="AK167" s="98"/>
      <c r="AL167" s="98"/>
      <c r="AM167" s="98"/>
      <c r="AN167" s="98"/>
      <c r="AO167" s="98"/>
    </row>
    <row r="168" ht="14.25" customHeight="1">
      <c r="A168" s="98"/>
      <c r="B168" s="98"/>
      <c r="C168" s="98"/>
      <c r="D168" s="98"/>
      <c r="E168" s="98"/>
      <c r="F168" s="235"/>
      <c r="G168" s="235"/>
      <c r="H168" s="236"/>
      <c r="I168" s="236"/>
      <c r="J168" s="236"/>
      <c r="K168" s="236"/>
      <c r="L168" s="236"/>
      <c r="M168" s="236"/>
      <c r="N168" s="236"/>
      <c r="O168" s="236"/>
      <c r="P168" s="236"/>
      <c r="Q168" s="236"/>
      <c r="R168" s="236"/>
      <c r="S168" s="236"/>
      <c r="T168" s="236"/>
      <c r="U168" s="236"/>
      <c r="V168" s="236"/>
      <c r="W168" s="237"/>
      <c r="X168" s="237"/>
      <c r="Y168" s="237"/>
      <c r="Z168" s="237"/>
      <c r="AA168" s="237"/>
      <c r="AB168" s="237"/>
      <c r="AC168" s="237"/>
      <c r="AD168" s="237"/>
      <c r="AE168" s="237"/>
      <c r="AF168" s="237"/>
      <c r="AG168" s="237"/>
      <c r="AH168" s="237"/>
      <c r="AI168" s="98"/>
      <c r="AJ168" s="98"/>
      <c r="AK168" s="98"/>
      <c r="AL168" s="98"/>
      <c r="AM168" s="98"/>
      <c r="AN168" s="98"/>
      <c r="AO168" s="98"/>
    </row>
    <row r="169" ht="14.25" customHeight="1">
      <c r="A169" s="98"/>
      <c r="B169" s="98"/>
      <c r="C169" s="98"/>
      <c r="D169" s="98"/>
      <c r="E169" s="98"/>
      <c r="F169" s="235"/>
      <c r="G169" s="235"/>
      <c r="H169" s="236"/>
      <c r="I169" s="236"/>
      <c r="J169" s="236"/>
      <c r="K169" s="236"/>
      <c r="L169" s="236"/>
      <c r="M169" s="236"/>
      <c r="N169" s="236"/>
      <c r="O169" s="236"/>
      <c r="P169" s="236"/>
      <c r="Q169" s="236"/>
      <c r="R169" s="236"/>
      <c r="S169" s="236"/>
      <c r="T169" s="236"/>
      <c r="U169" s="236"/>
      <c r="V169" s="236"/>
      <c r="W169" s="237"/>
      <c r="X169" s="237"/>
      <c r="Y169" s="237"/>
      <c r="Z169" s="237"/>
      <c r="AA169" s="237"/>
      <c r="AB169" s="237"/>
      <c r="AC169" s="237"/>
      <c r="AD169" s="237"/>
      <c r="AE169" s="237"/>
      <c r="AF169" s="237"/>
      <c r="AG169" s="237"/>
      <c r="AH169" s="237"/>
      <c r="AI169" s="98"/>
      <c r="AJ169" s="98"/>
      <c r="AK169" s="98"/>
      <c r="AL169" s="98"/>
      <c r="AM169" s="98"/>
      <c r="AN169" s="98"/>
      <c r="AO169" s="98"/>
    </row>
    <row r="170" ht="14.25" customHeight="1">
      <c r="A170" s="98"/>
      <c r="B170" s="98"/>
      <c r="C170" s="98"/>
      <c r="D170" s="98"/>
      <c r="E170" s="98"/>
      <c r="F170" s="235"/>
      <c r="G170" s="235"/>
      <c r="H170" s="236"/>
      <c r="I170" s="236"/>
      <c r="J170" s="236"/>
      <c r="K170" s="236"/>
      <c r="L170" s="236"/>
      <c r="M170" s="236"/>
      <c r="N170" s="236"/>
      <c r="O170" s="236"/>
      <c r="P170" s="236"/>
      <c r="Q170" s="236"/>
      <c r="R170" s="236"/>
      <c r="S170" s="236"/>
      <c r="T170" s="236"/>
      <c r="U170" s="236"/>
      <c r="V170" s="236"/>
      <c r="W170" s="237"/>
      <c r="X170" s="237"/>
      <c r="Y170" s="237"/>
      <c r="Z170" s="237"/>
      <c r="AA170" s="237"/>
      <c r="AB170" s="237"/>
      <c r="AC170" s="237"/>
      <c r="AD170" s="237"/>
      <c r="AE170" s="237"/>
      <c r="AF170" s="237"/>
      <c r="AG170" s="237"/>
      <c r="AH170" s="237"/>
      <c r="AI170" s="98"/>
      <c r="AJ170" s="98"/>
      <c r="AK170" s="98"/>
      <c r="AL170" s="98"/>
      <c r="AM170" s="98"/>
      <c r="AN170" s="98"/>
      <c r="AO170" s="98"/>
    </row>
    <row r="171" ht="14.25" customHeight="1">
      <c r="A171" s="98"/>
      <c r="B171" s="98"/>
      <c r="C171" s="98"/>
      <c r="D171" s="98"/>
      <c r="E171" s="98"/>
      <c r="F171" s="235"/>
      <c r="G171" s="235"/>
      <c r="H171" s="236"/>
      <c r="I171" s="236"/>
      <c r="J171" s="236"/>
      <c r="K171" s="236"/>
      <c r="L171" s="236"/>
      <c r="M171" s="236"/>
      <c r="N171" s="236"/>
      <c r="O171" s="236"/>
      <c r="P171" s="236"/>
      <c r="Q171" s="236"/>
      <c r="R171" s="236"/>
      <c r="S171" s="236"/>
      <c r="T171" s="236"/>
      <c r="U171" s="236"/>
      <c r="V171" s="236"/>
      <c r="W171" s="237"/>
      <c r="X171" s="237"/>
      <c r="Y171" s="237"/>
      <c r="Z171" s="237"/>
      <c r="AA171" s="237"/>
      <c r="AB171" s="237"/>
      <c r="AC171" s="237"/>
      <c r="AD171" s="237"/>
      <c r="AE171" s="237"/>
      <c r="AF171" s="237"/>
      <c r="AG171" s="237"/>
      <c r="AH171" s="237"/>
      <c r="AI171" s="98"/>
      <c r="AJ171" s="98"/>
      <c r="AK171" s="98"/>
      <c r="AL171" s="98"/>
      <c r="AM171" s="98"/>
      <c r="AN171" s="98"/>
      <c r="AO171" s="98"/>
    </row>
    <row r="172" ht="14.25" customHeight="1">
      <c r="A172" s="98"/>
      <c r="B172" s="98"/>
      <c r="C172" s="98"/>
      <c r="D172" s="98"/>
      <c r="E172" s="98"/>
      <c r="F172" s="235"/>
      <c r="G172" s="235"/>
      <c r="H172" s="236"/>
      <c r="I172" s="236"/>
      <c r="J172" s="236"/>
      <c r="K172" s="236"/>
      <c r="L172" s="236"/>
      <c r="M172" s="236"/>
      <c r="N172" s="236"/>
      <c r="O172" s="236"/>
      <c r="P172" s="236"/>
      <c r="Q172" s="236"/>
      <c r="R172" s="236"/>
      <c r="S172" s="236"/>
      <c r="T172" s="236"/>
      <c r="U172" s="236"/>
      <c r="V172" s="236"/>
      <c r="W172" s="237"/>
      <c r="X172" s="237"/>
      <c r="Y172" s="237"/>
      <c r="Z172" s="237"/>
      <c r="AA172" s="237"/>
      <c r="AB172" s="237"/>
      <c r="AC172" s="237"/>
      <c r="AD172" s="237"/>
      <c r="AE172" s="237"/>
      <c r="AF172" s="237"/>
      <c r="AG172" s="237"/>
      <c r="AH172" s="237"/>
      <c r="AI172" s="98"/>
      <c r="AJ172" s="98"/>
      <c r="AK172" s="98"/>
      <c r="AL172" s="98"/>
      <c r="AM172" s="98"/>
      <c r="AN172" s="98"/>
      <c r="AO172" s="98"/>
    </row>
    <row r="173" ht="14.25" customHeight="1">
      <c r="A173" s="98"/>
      <c r="B173" s="98"/>
      <c r="C173" s="98"/>
      <c r="D173" s="98"/>
      <c r="E173" s="98"/>
      <c r="F173" s="235"/>
      <c r="G173" s="235"/>
      <c r="H173" s="236"/>
      <c r="I173" s="236"/>
      <c r="J173" s="236"/>
      <c r="K173" s="236"/>
      <c r="L173" s="236"/>
      <c r="M173" s="236"/>
      <c r="N173" s="236"/>
      <c r="O173" s="236"/>
      <c r="P173" s="236"/>
      <c r="Q173" s="236"/>
      <c r="R173" s="236"/>
      <c r="S173" s="236"/>
      <c r="T173" s="236"/>
      <c r="U173" s="236"/>
      <c r="V173" s="236"/>
      <c r="W173" s="237"/>
      <c r="X173" s="237"/>
      <c r="Y173" s="237"/>
      <c r="Z173" s="237"/>
      <c r="AA173" s="237"/>
      <c r="AB173" s="237"/>
      <c r="AC173" s="237"/>
      <c r="AD173" s="237"/>
      <c r="AE173" s="237"/>
      <c r="AF173" s="237"/>
      <c r="AG173" s="237"/>
      <c r="AH173" s="237"/>
      <c r="AI173" s="98"/>
      <c r="AJ173" s="98"/>
      <c r="AK173" s="98"/>
      <c r="AL173" s="98"/>
      <c r="AM173" s="98"/>
      <c r="AN173" s="98"/>
      <c r="AO173" s="98"/>
    </row>
    <row r="174" ht="14.25" customHeight="1">
      <c r="A174" s="98"/>
      <c r="B174" s="98"/>
      <c r="C174" s="98"/>
      <c r="D174" s="98"/>
      <c r="E174" s="98"/>
      <c r="F174" s="235"/>
      <c r="G174" s="235"/>
      <c r="H174" s="236"/>
      <c r="I174" s="236"/>
      <c r="J174" s="236"/>
      <c r="K174" s="236"/>
      <c r="L174" s="236"/>
      <c r="M174" s="236"/>
      <c r="N174" s="236"/>
      <c r="O174" s="236"/>
      <c r="P174" s="236"/>
      <c r="Q174" s="236"/>
      <c r="R174" s="236"/>
      <c r="S174" s="236"/>
      <c r="T174" s="236"/>
      <c r="U174" s="236"/>
      <c r="V174" s="236"/>
      <c r="W174" s="237"/>
      <c r="X174" s="237"/>
      <c r="Y174" s="237"/>
      <c r="Z174" s="237"/>
      <c r="AA174" s="237"/>
      <c r="AB174" s="237"/>
      <c r="AC174" s="237"/>
      <c r="AD174" s="237"/>
      <c r="AE174" s="237"/>
      <c r="AF174" s="237"/>
      <c r="AG174" s="237"/>
      <c r="AH174" s="237"/>
      <c r="AI174" s="98"/>
      <c r="AJ174" s="98"/>
      <c r="AK174" s="98"/>
      <c r="AL174" s="98"/>
      <c r="AM174" s="98"/>
      <c r="AN174" s="98"/>
      <c r="AO174" s="98"/>
    </row>
    <row r="175" ht="14.25" customHeight="1">
      <c r="A175" s="98"/>
      <c r="B175" s="98"/>
      <c r="C175" s="98"/>
      <c r="D175" s="98"/>
      <c r="E175" s="98"/>
      <c r="F175" s="235"/>
      <c r="G175" s="235"/>
      <c r="H175" s="236"/>
      <c r="I175" s="236"/>
      <c r="J175" s="236"/>
      <c r="K175" s="236"/>
      <c r="L175" s="236"/>
      <c r="M175" s="236"/>
      <c r="N175" s="236"/>
      <c r="O175" s="236"/>
      <c r="P175" s="236"/>
      <c r="Q175" s="236"/>
      <c r="R175" s="236"/>
      <c r="S175" s="236"/>
      <c r="T175" s="236"/>
      <c r="U175" s="236"/>
      <c r="V175" s="236"/>
      <c r="W175" s="237"/>
      <c r="X175" s="237"/>
      <c r="Y175" s="237"/>
      <c r="Z175" s="237"/>
      <c r="AA175" s="237"/>
      <c r="AB175" s="237"/>
      <c r="AC175" s="237"/>
      <c r="AD175" s="237"/>
      <c r="AE175" s="237"/>
      <c r="AF175" s="237"/>
      <c r="AG175" s="237"/>
      <c r="AH175" s="237"/>
      <c r="AI175" s="98"/>
      <c r="AJ175" s="98"/>
      <c r="AK175" s="98"/>
      <c r="AL175" s="98"/>
      <c r="AM175" s="98"/>
      <c r="AN175" s="98"/>
      <c r="AO175" s="98"/>
    </row>
    <row r="176" ht="14.25" customHeight="1">
      <c r="A176" s="98"/>
      <c r="B176" s="98"/>
      <c r="C176" s="98"/>
      <c r="D176" s="98"/>
      <c r="E176" s="98"/>
      <c r="F176" s="235"/>
      <c r="G176" s="235"/>
      <c r="H176" s="236"/>
      <c r="I176" s="236"/>
      <c r="J176" s="236"/>
      <c r="K176" s="236"/>
      <c r="L176" s="236"/>
      <c r="M176" s="236"/>
      <c r="N176" s="236"/>
      <c r="O176" s="236"/>
      <c r="P176" s="236"/>
      <c r="Q176" s="236"/>
      <c r="R176" s="236"/>
      <c r="S176" s="236"/>
      <c r="T176" s="236"/>
      <c r="U176" s="236"/>
      <c r="V176" s="236"/>
      <c r="W176" s="237"/>
      <c r="X176" s="237"/>
      <c r="Y176" s="237"/>
      <c r="Z176" s="237"/>
      <c r="AA176" s="237"/>
      <c r="AB176" s="237"/>
      <c r="AC176" s="237"/>
      <c r="AD176" s="237"/>
      <c r="AE176" s="237"/>
      <c r="AF176" s="237"/>
      <c r="AG176" s="237"/>
      <c r="AH176" s="237"/>
      <c r="AI176" s="98"/>
      <c r="AJ176" s="98"/>
      <c r="AK176" s="98"/>
      <c r="AL176" s="98"/>
      <c r="AM176" s="98"/>
      <c r="AN176" s="98"/>
      <c r="AO176" s="98"/>
    </row>
    <row r="177" ht="14.25" customHeight="1">
      <c r="A177" s="98"/>
      <c r="B177" s="98"/>
      <c r="C177" s="98"/>
      <c r="D177" s="98"/>
      <c r="E177" s="98"/>
      <c r="F177" s="235"/>
      <c r="G177" s="235"/>
      <c r="H177" s="236"/>
      <c r="I177" s="236"/>
      <c r="J177" s="236"/>
      <c r="K177" s="236"/>
      <c r="L177" s="236"/>
      <c r="M177" s="236"/>
      <c r="N177" s="236"/>
      <c r="O177" s="236"/>
      <c r="P177" s="236"/>
      <c r="Q177" s="236"/>
      <c r="R177" s="236"/>
      <c r="S177" s="236"/>
      <c r="T177" s="236"/>
      <c r="U177" s="236"/>
      <c r="V177" s="236"/>
      <c r="W177" s="237"/>
      <c r="X177" s="237"/>
      <c r="Y177" s="237"/>
      <c r="Z177" s="237"/>
      <c r="AA177" s="237"/>
      <c r="AB177" s="237"/>
      <c r="AC177" s="237"/>
      <c r="AD177" s="237"/>
      <c r="AE177" s="237"/>
      <c r="AF177" s="237"/>
      <c r="AG177" s="237"/>
      <c r="AH177" s="237"/>
      <c r="AI177" s="98"/>
      <c r="AJ177" s="98"/>
      <c r="AK177" s="98"/>
      <c r="AL177" s="98"/>
      <c r="AM177" s="98"/>
      <c r="AN177" s="98"/>
      <c r="AO177" s="98"/>
    </row>
    <row r="178" ht="14.25" customHeight="1">
      <c r="A178" s="98"/>
      <c r="B178" s="98"/>
      <c r="C178" s="98"/>
      <c r="D178" s="98"/>
      <c r="E178" s="98"/>
      <c r="F178" s="235"/>
      <c r="G178" s="235"/>
      <c r="H178" s="236"/>
      <c r="I178" s="236"/>
      <c r="J178" s="236"/>
      <c r="K178" s="236"/>
      <c r="L178" s="236"/>
      <c r="M178" s="236"/>
      <c r="N178" s="236"/>
      <c r="O178" s="236"/>
      <c r="P178" s="236"/>
      <c r="Q178" s="236"/>
      <c r="R178" s="236"/>
      <c r="S178" s="236"/>
      <c r="T178" s="236"/>
      <c r="U178" s="236"/>
      <c r="V178" s="236"/>
      <c r="W178" s="237"/>
      <c r="X178" s="237"/>
      <c r="Y178" s="237"/>
      <c r="Z178" s="237"/>
      <c r="AA178" s="237"/>
      <c r="AB178" s="237"/>
      <c r="AC178" s="237"/>
      <c r="AD178" s="237"/>
      <c r="AE178" s="237"/>
      <c r="AF178" s="237"/>
      <c r="AG178" s="237"/>
      <c r="AH178" s="237"/>
      <c r="AI178" s="98"/>
      <c r="AJ178" s="98"/>
      <c r="AK178" s="98"/>
      <c r="AL178" s="98"/>
      <c r="AM178" s="98"/>
      <c r="AN178" s="98"/>
      <c r="AO178" s="98"/>
    </row>
    <row r="179" ht="14.25" customHeight="1">
      <c r="A179" s="98"/>
      <c r="B179" s="98"/>
      <c r="C179" s="98"/>
      <c r="D179" s="98"/>
      <c r="E179" s="98"/>
      <c r="F179" s="235"/>
      <c r="G179" s="235"/>
      <c r="H179" s="236"/>
      <c r="I179" s="236"/>
      <c r="J179" s="236"/>
      <c r="K179" s="236"/>
      <c r="L179" s="236"/>
      <c r="M179" s="236"/>
      <c r="N179" s="236"/>
      <c r="O179" s="236"/>
      <c r="P179" s="236"/>
      <c r="Q179" s="236"/>
      <c r="R179" s="236"/>
      <c r="S179" s="236"/>
      <c r="T179" s="236"/>
      <c r="U179" s="236"/>
      <c r="V179" s="236"/>
      <c r="W179" s="237"/>
      <c r="X179" s="237"/>
      <c r="Y179" s="237"/>
      <c r="Z179" s="237"/>
      <c r="AA179" s="237"/>
      <c r="AB179" s="237"/>
      <c r="AC179" s="237"/>
      <c r="AD179" s="237"/>
      <c r="AE179" s="237"/>
      <c r="AF179" s="237"/>
      <c r="AG179" s="237"/>
      <c r="AH179" s="237"/>
      <c r="AI179" s="98"/>
      <c r="AJ179" s="98"/>
      <c r="AK179" s="98"/>
      <c r="AL179" s="98"/>
      <c r="AM179" s="98"/>
      <c r="AN179" s="98"/>
      <c r="AO179" s="98"/>
    </row>
    <row r="180" ht="14.25" customHeight="1">
      <c r="A180" s="98"/>
      <c r="B180" s="98"/>
      <c r="C180" s="98"/>
      <c r="D180" s="98"/>
      <c r="E180" s="98"/>
      <c r="F180" s="235"/>
      <c r="G180" s="235"/>
      <c r="H180" s="236"/>
      <c r="I180" s="236"/>
      <c r="J180" s="236"/>
      <c r="K180" s="236"/>
      <c r="L180" s="236"/>
      <c r="M180" s="236"/>
      <c r="N180" s="236"/>
      <c r="O180" s="236"/>
      <c r="P180" s="236"/>
      <c r="Q180" s="236"/>
      <c r="R180" s="236"/>
      <c r="S180" s="236"/>
      <c r="T180" s="236"/>
      <c r="U180" s="236"/>
      <c r="V180" s="236"/>
      <c r="W180" s="237"/>
      <c r="X180" s="237"/>
      <c r="Y180" s="237"/>
      <c r="Z180" s="237"/>
      <c r="AA180" s="237"/>
      <c r="AB180" s="237"/>
      <c r="AC180" s="237"/>
      <c r="AD180" s="237"/>
      <c r="AE180" s="237"/>
      <c r="AF180" s="237"/>
      <c r="AG180" s="237"/>
      <c r="AH180" s="237"/>
      <c r="AI180" s="98"/>
      <c r="AJ180" s="98"/>
      <c r="AK180" s="98"/>
      <c r="AL180" s="98"/>
      <c r="AM180" s="98"/>
      <c r="AN180" s="98"/>
      <c r="AO180" s="98"/>
    </row>
    <row r="181" ht="14.25" customHeight="1">
      <c r="A181" s="98"/>
      <c r="B181" s="98"/>
      <c r="C181" s="98"/>
      <c r="D181" s="98"/>
      <c r="E181" s="98"/>
      <c r="F181" s="235"/>
      <c r="G181" s="235"/>
      <c r="H181" s="236"/>
      <c r="I181" s="236"/>
      <c r="J181" s="236"/>
      <c r="K181" s="236"/>
      <c r="L181" s="236"/>
      <c r="M181" s="236"/>
      <c r="N181" s="236"/>
      <c r="O181" s="236"/>
      <c r="P181" s="236"/>
      <c r="Q181" s="236"/>
      <c r="R181" s="236"/>
      <c r="S181" s="236"/>
      <c r="T181" s="236"/>
      <c r="U181" s="236"/>
      <c r="V181" s="236"/>
      <c r="W181" s="237"/>
      <c r="X181" s="237"/>
      <c r="Y181" s="237"/>
      <c r="Z181" s="237"/>
      <c r="AA181" s="237"/>
      <c r="AB181" s="237"/>
      <c r="AC181" s="237"/>
      <c r="AD181" s="237"/>
      <c r="AE181" s="237"/>
      <c r="AF181" s="237"/>
      <c r="AG181" s="237"/>
      <c r="AH181" s="237"/>
      <c r="AI181" s="98"/>
      <c r="AJ181" s="98"/>
      <c r="AK181" s="98"/>
      <c r="AL181" s="98"/>
      <c r="AM181" s="98"/>
      <c r="AN181" s="98"/>
      <c r="AO181" s="98"/>
    </row>
    <row r="182" ht="14.25" customHeight="1">
      <c r="A182" s="98"/>
      <c r="B182" s="98"/>
      <c r="C182" s="98"/>
      <c r="D182" s="98"/>
      <c r="E182" s="98"/>
      <c r="F182" s="235"/>
      <c r="G182" s="235"/>
      <c r="H182" s="236"/>
      <c r="I182" s="236"/>
      <c r="J182" s="236"/>
      <c r="K182" s="236"/>
      <c r="L182" s="236"/>
      <c r="M182" s="236"/>
      <c r="N182" s="236"/>
      <c r="O182" s="236"/>
      <c r="P182" s="236"/>
      <c r="Q182" s="236"/>
      <c r="R182" s="236"/>
      <c r="S182" s="236"/>
      <c r="T182" s="236"/>
      <c r="U182" s="236"/>
      <c r="V182" s="236"/>
      <c r="W182" s="237"/>
      <c r="X182" s="237"/>
      <c r="Y182" s="237"/>
      <c r="Z182" s="237"/>
      <c r="AA182" s="237"/>
      <c r="AB182" s="237"/>
      <c r="AC182" s="237"/>
      <c r="AD182" s="237"/>
      <c r="AE182" s="237"/>
      <c r="AF182" s="237"/>
      <c r="AG182" s="237"/>
      <c r="AH182" s="237"/>
      <c r="AI182" s="98"/>
      <c r="AJ182" s="98"/>
      <c r="AK182" s="98"/>
      <c r="AL182" s="98"/>
      <c r="AM182" s="98"/>
      <c r="AN182" s="98"/>
      <c r="AO182" s="98"/>
    </row>
    <row r="183" ht="14.25" customHeight="1">
      <c r="A183" s="98"/>
      <c r="B183" s="98"/>
      <c r="C183" s="98"/>
      <c r="D183" s="98"/>
      <c r="E183" s="98"/>
      <c r="F183" s="235"/>
      <c r="G183" s="235"/>
      <c r="H183" s="236"/>
      <c r="I183" s="236"/>
      <c r="J183" s="236"/>
      <c r="K183" s="236"/>
      <c r="L183" s="236"/>
      <c r="M183" s="236"/>
      <c r="N183" s="236"/>
      <c r="O183" s="236"/>
      <c r="P183" s="236"/>
      <c r="Q183" s="236"/>
      <c r="R183" s="236"/>
      <c r="S183" s="236"/>
      <c r="T183" s="236"/>
      <c r="U183" s="236"/>
      <c r="V183" s="236"/>
      <c r="W183" s="237"/>
      <c r="X183" s="237"/>
      <c r="Y183" s="237"/>
      <c r="Z183" s="237"/>
      <c r="AA183" s="237"/>
      <c r="AB183" s="237"/>
      <c r="AC183" s="237"/>
      <c r="AD183" s="237"/>
      <c r="AE183" s="237"/>
      <c r="AF183" s="237"/>
      <c r="AG183" s="237"/>
      <c r="AH183" s="237"/>
      <c r="AI183" s="98"/>
      <c r="AJ183" s="98"/>
      <c r="AK183" s="98"/>
      <c r="AL183" s="98"/>
      <c r="AM183" s="98"/>
      <c r="AN183" s="98"/>
      <c r="AO183" s="98"/>
    </row>
    <row r="184" ht="14.25" customHeight="1">
      <c r="A184" s="98"/>
      <c r="B184" s="98"/>
      <c r="C184" s="98"/>
      <c r="D184" s="98"/>
      <c r="E184" s="98"/>
      <c r="F184" s="235"/>
      <c r="G184" s="235"/>
      <c r="H184" s="236"/>
      <c r="I184" s="236"/>
      <c r="J184" s="236"/>
      <c r="K184" s="236"/>
      <c r="L184" s="236"/>
      <c r="M184" s="236"/>
      <c r="N184" s="236"/>
      <c r="O184" s="236"/>
      <c r="P184" s="236"/>
      <c r="Q184" s="236"/>
      <c r="R184" s="236"/>
      <c r="S184" s="236"/>
      <c r="T184" s="236"/>
      <c r="U184" s="236"/>
      <c r="V184" s="236"/>
      <c r="W184" s="237"/>
      <c r="X184" s="237"/>
      <c r="Y184" s="237"/>
      <c r="Z184" s="237"/>
      <c r="AA184" s="237"/>
      <c r="AB184" s="237"/>
      <c r="AC184" s="237"/>
      <c r="AD184" s="237"/>
      <c r="AE184" s="237"/>
      <c r="AF184" s="237"/>
      <c r="AG184" s="237"/>
      <c r="AH184" s="237"/>
      <c r="AI184" s="98"/>
      <c r="AJ184" s="98"/>
      <c r="AK184" s="98"/>
      <c r="AL184" s="98"/>
      <c r="AM184" s="98"/>
      <c r="AN184" s="98"/>
      <c r="AO184" s="98"/>
    </row>
    <row r="185" ht="14.25" customHeight="1">
      <c r="A185" s="98"/>
      <c r="B185" s="98"/>
      <c r="C185" s="98"/>
      <c r="D185" s="98"/>
      <c r="E185" s="98"/>
      <c r="F185" s="235"/>
      <c r="G185" s="235"/>
      <c r="H185" s="236"/>
      <c r="I185" s="236"/>
      <c r="J185" s="236"/>
      <c r="K185" s="236"/>
      <c r="L185" s="236"/>
      <c r="M185" s="236"/>
      <c r="N185" s="236"/>
      <c r="O185" s="236"/>
      <c r="P185" s="236"/>
      <c r="Q185" s="236"/>
      <c r="R185" s="236"/>
      <c r="S185" s="236"/>
      <c r="T185" s="236"/>
      <c r="U185" s="236"/>
      <c r="V185" s="236"/>
      <c r="W185" s="237"/>
      <c r="X185" s="237"/>
      <c r="Y185" s="237"/>
      <c r="Z185" s="237"/>
      <c r="AA185" s="237"/>
      <c r="AB185" s="237"/>
      <c r="AC185" s="237"/>
      <c r="AD185" s="237"/>
      <c r="AE185" s="237"/>
      <c r="AF185" s="237"/>
      <c r="AG185" s="237"/>
      <c r="AH185" s="237"/>
      <c r="AI185" s="98"/>
      <c r="AJ185" s="98"/>
      <c r="AK185" s="98"/>
      <c r="AL185" s="98"/>
      <c r="AM185" s="98"/>
      <c r="AN185" s="98"/>
      <c r="AO185" s="98"/>
    </row>
    <row r="186" ht="14.25" customHeight="1">
      <c r="A186" s="98"/>
      <c r="B186" s="98"/>
      <c r="C186" s="98"/>
      <c r="D186" s="98"/>
      <c r="E186" s="98"/>
      <c r="F186" s="235"/>
      <c r="G186" s="235"/>
      <c r="H186" s="236"/>
      <c r="I186" s="236"/>
      <c r="J186" s="236"/>
      <c r="K186" s="236"/>
      <c r="L186" s="236"/>
      <c r="M186" s="236"/>
      <c r="N186" s="236"/>
      <c r="O186" s="236"/>
      <c r="P186" s="236"/>
      <c r="Q186" s="236"/>
      <c r="R186" s="236"/>
      <c r="S186" s="236"/>
      <c r="T186" s="236"/>
      <c r="U186" s="236"/>
      <c r="V186" s="236"/>
      <c r="W186" s="237"/>
      <c r="X186" s="237"/>
      <c r="Y186" s="237"/>
      <c r="Z186" s="237"/>
      <c r="AA186" s="237"/>
      <c r="AB186" s="237"/>
      <c r="AC186" s="237"/>
      <c r="AD186" s="237"/>
      <c r="AE186" s="237"/>
      <c r="AF186" s="237"/>
      <c r="AG186" s="237"/>
      <c r="AH186" s="237"/>
      <c r="AI186" s="98"/>
      <c r="AJ186" s="98"/>
      <c r="AK186" s="98"/>
      <c r="AL186" s="98"/>
      <c r="AM186" s="98"/>
      <c r="AN186" s="98"/>
      <c r="AO186" s="98"/>
    </row>
    <row r="187" ht="14.25" customHeight="1">
      <c r="A187" s="98"/>
      <c r="B187" s="98"/>
      <c r="C187" s="98"/>
      <c r="D187" s="98"/>
      <c r="E187" s="98"/>
      <c r="F187" s="235"/>
      <c r="G187" s="235"/>
      <c r="H187" s="236"/>
      <c r="I187" s="236"/>
      <c r="J187" s="236"/>
      <c r="K187" s="236"/>
      <c r="L187" s="236"/>
      <c r="M187" s="236"/>
      <c r="N187" s="236"/>
      <c r="O187" s="236"/>
      <c r="P187" s="236"/>
      <c r="Q187" s="236"/>
      <c r="R187" s="236"/>
      <c r="S187" s="236"/>
      <c r="T187" s="236"/>
      <c r="U187" s="236"/>
      <c r="V187" s="236"/>
      <c r="W187" s="237"/>
      <c r="X187" s="237"/>
      <c r="Y187" s="237"/>
      <c r="Z187" s="237"/>
      <c r="AA187" s="237"/>
      <c r="AB187" s="237"/>
      <c r="AC187" s="237"/>
      <c r="AD187" s="237"/>
      <c r="AE187" s="237"/>
      <c r="AF187" s="237"/>
      <c r="AG187" s="237"/>
      <c r="AH187" s="237"/>
      <c r="AI187" s="98"/>
      <c r="AJ187" s="98"/>
      <c r="AK187" s="98"/>
      <c r="AL187" s="98"/>
      <c r="AM187" s="98"/>
      <c r="AN187" s="98"/>
      <c r="AO187" s="98"/>
    </row>
    <row r="188" ht="14.25" customHeight="1">
      <c r="A188" s="98"/>
      <c r="B188" s="98"/>
      <c r="C188" s="98"/>
      <c r="D188" s="98"/>
      <c r="E188" s="98"/>
      <c r="F188" s="235"/>
      <c r="G188" s="235"/>
      <c r="H188" s="236"/>
      <c r="I188" s="236"/>
      <c r="J188" s="236"/>
      <c r="K188" s="236"/>
      <c r="L188" s="236"/>
      <c r="M188" s="236"/>
      <c r="N188" s="236"/>
      <c r="O188" s="236"/>
      <c r="P188" s="236"/>
      <c r="Q188" s="236"/>
      <c r="R188" s="236"/>
      <c r="S188" s="236"/>
      <c r="T188" s="236"/>
      <c r="U188" s="236"/>
      <c r="V188" s="236"/>
      <c r="W188" s="237"/>
      <c r="X188" s="237"/>
      <c r="Y188" s="237"/>
      <c r="Z188" s="237"/>
      <c r="AA188" s="237"/>
      <c r="AB188" s="237"/>
      <c r="AC188" s="237"/>
      <c r="AD188" s="237"/>
      <c r="AE188" s="237"/>
      <c r="AF188" s="237"/>
      <c r="AG188" s="237"/>
      <c r="AH188" s="237"/>
      <c r="AI188" s="98"/>
      <c r="AJ188" s="98"/>
      <c r="AK188" s="98"/>
      <c r="AL188" s="98"/>
      <c r="AM188" s="98"/>
      <c r="AN188" s="98"/>
      <c r="AO188" s="98"/>
    </row>
    <row r="189" ht="14.25" customHeight="1">
      <c r="A189" s="98"/>
      <c r="B189" s="98"/>
      <c r="C189" s="98"/>
      <c r="D189" s="98"/>
      <c r="E189" s="98"/>
      <c r="F189" s="235"/>
      <c r="G189" s="235"/>
      <c r="H189" s="236"/>
      <c r="I189" s="236"/>
      <c r="J189" s="236"/>
      <c r="K189" s="236"/>
      <c r="L189" s="236"/>
      <c r="M189" s="236"/>
      <c r="N189" s="236"/>
      <c r="O189" s="236"/>
      <c r="P189" s="236"/>
      <c r="Q189" s="236"/>
      <c r="R189" s="236"/>
      <c r="S189" s="236"/>
      <c r="T189" s="236"/>
      <c r="U189" s="236"/>
      <c r="V189" s="236"/>
      <c r="W189" s="237"/>
      <c r="X189" s="237"/>
      <c r="Y189" s="237"/>
      <c r="Z189" s="237"/>
      <c r="AA189" s="237"/>
      <c r="AB189" s="237"/>
      <c r="AC189" s="237"/>
      <c r="AD189" s="237"/>
      <c r="AE189" s="237"/>
      <c r="AF189" s="237"/>
      <c r="AG189" s="237"/>
      <c r="AH189" s="237"/>
      <c r="AI189" s="98"/>
      <c r="AJ189" s="98"/>
      <c r="AK189" s="98"/>
      <c r="AL189" s="98"/>
      <c r="AM189" s="98"/>
      <c r="AN189" s="98"/>
      <c r="AO189" s="98"/>
    </row>
    <row r="190" ht="14.25" customHeight="1">
      <c r="A190" s="98"/>
      <c r="B190" s="98"/>
      <c r="C190" s="98"/>
      <c r="D190" s="98"/>
      <c r="E190" s="98"/>
      <c r="F190" s="235"/>
      <c r="G190" s="235"/>
      <c r="H190" s="236"/>
      <c r="I190" s="236"/>
      <c r="J190" s="236"/>
      <c r="K190" s="236"/>
      <c r="L190" s="236"/>
      <c r="M190" s="236"/>
      <c r="N190" s="236"/>
      <c r="O190" s="236"/>
      <c r="P190" s="236"/>
      <c r="Q190" s="236"/>
      <c r="R190" s="236"/>
      <c r="S190" s="236"/>
      <c r="T190" s="236"/>
      <c r="U190" s="236"/>
      <c r="V190" s="236"/>
      <c r="W190" s="237"/>
      <c r="X190" s="237"/>
      <c r="Y190" s="237"/>
      <c r="Z190" s="237"/>
      <c r="AA190" s="237"/>
      <c r="AB190" s="237"/>
      <c r="AC190" s="237"/>
      <c r="AD190" s="237"/>
      <c r="AE190" s="237"/>
      <c r="AF190" s="237"/>
      <c r="AG190" s="237"/>
      <c r="AH190" s="237"/>
      <c r="AI190" s="98"/>
      <c r="AJ190" s="98"/>
      <c r="AK190" s="98"/>
      <c r="AL190" s="98"/>
      <c r="AM190" s="98"/>
      <c r="AN190" s="98"/>
      <c r="AO190" s="98"/>
    </row>
    <row r="191" ht="14.25" customHeight="1">
      <c r="A191" s="98"/>
      <c r="B191" s="98"/>
      <c r="C191" s="98"/>
      <c r="D191" s="98"/>
      <c r="E191" s="98"/>
      <c r="F191" s="235"/>
      <c r="G191" s="235"/>
      <c r="H191" s="236"/>
      <c r="I191" s="236"/>
      <c r="J191" s="236"/>
      <c r="K191" s="236"/>
      <c r="L191" s="236"/>
      <c r="M191" s="236"/>
      <c r="N191" s="236"/>
      <c r="O191" s="236"/>
      <c r="P191" s="236"/>
      <c r="Q191" s="236"/>
      <c r="R191" s="236"/>
      <c r="S191" s="236"/>
      <c r="T191" s="236"/>
      <c r="U191" s="236"/>
      <c r="V191" s="236"/>
      <c r="W191" s="237"/>
      <c r="X191" s="237"/>
      <c r="Y191" s="237"/>
      <c r="Z191" s="237"/>
      <c r="AA191" s="237"/>
      <c r="AB191" s="237"/>
      <c r="AC191" s="237"/>
      <c r="AD191" s="237"/>
      <c r="AE191" s="237"/>
      <c r="AF191" s="237"/>
      <c r="AG191" s="237"/>
      <c r="AH191" s="237"/>
      <c r="AI191" s="98"/>
      <c r="AJ191" s="98"/>
      <c r="AK191" s="98"/>
      <c r="AL191" s="98"/>
      <c r="AM191" s="98"/>
      <c r="AN191" s="98"/>
      <c r="AO191" s="98"/>
    </row>
    <row r="192" ht="14.25" customHeight="1">
      <c r="A192" s="98"/>
      <c r="B192" s="98"/>
      <c r="C192" s="98"/>
      <c r="D192" s="98"/>
      <c r="E192" s="98"/>
      <c r="F192" s="235"/>
      <c r="G192" s="235"/>
      <c r="H192" s="236"/>
      <c r="I192" s="236"/>
      <c r="J192" s="236"/>
      <c r="K192" s="236"/>
      <c r="L192" s="236"/>
      <c r="M192" s="236"/>
      <c r="N192" s="236"/>
      <c r="O192" s="236"/>
      <c r="P192" s="236"/>
      <c r="Q192" s="236"/>
      <c r="R192" s="236"/>
      <c r="S192" s="236"/>
      <c r="T192" s="236"/>
      <c r="U192" s="236"/>
      <c r="V192" s="236"/>
      <c r="W192" s="237"/>
      <c r="X192" s="237"/>
      <c r="Y192" s="237"/>
      <c r="Z192" s="237"/>
      <c r="AA192" s="237"/>
      <c r="AB192" s="237"/>
      <c r="AC192" s="237"/>
      <c r="AD192" s="237"/>
      <c r="AE192" s="237"/>
      <c r="AF192" s="237"/>
      <c r="AG192" s="237"/>
      <c r="AH192" s="237"/>
      <c r="AI192" s="98"/>
      <c r="AJ192" s="98"/>
      <c r="AK192" s="98"/>
      <c r="AL192" s="98"/>
      <c r="AM192" s="98"/>
      <c r="AN192" s="98"/>
      <c r="AO192" s="98"/>
    </row>
    <row r="193" ht="14.25" customHeight="1">
      <c r="A193" s="98"/>
      <c r="B193" s="98"/>
      <c r="C193" s="98"/>
      <c r="D193" s="98"/>
      <c r="E193" s="98"/>
      <c r="F193" s="235"/>
      <c r="G193" s="235"/>
      <c r="H193" s="236"/>
      <c r="I193" s="236"/>
      <c r="J193" s="236"/>
      <c r="K193" s="236"/>
      <c r="L193" s="236"/>
      <c r="M193" s="236"/>
      <c r="N193" s="236"/>
      <c r="O193" s="236"/>
      <c r="P193" s="236"/>
      <c r="Q193" s="236"/>
      <c r="R193" s="236"/>
      <c r="S193" s="236"/>
      <c r="T193" s="236"/>
      <c r="U193" s="236"/>
      <c r="V193" s="236"/>
      <c r="W193" s="237"/>
      <c r="X193" s="237"/>
      <c r="Y193" s="237"/>
      <c r="Z193" s="237"/>
      <c r="AA193" s="237"/>
      <c r="AB193" s="237"/>
      <c r="AC193" s="237"/>
      <c r="AD193" s="237"/>
      <c r="AE193" s="237"/>
      <c r="AF193" s="237"/>
      <c r="AG193" s="237"/>
      <c r="AH193" s="237"/>
      <c r="AI193" s="98"/>
      <c r="AJ193" s="98"/>
      <c r="AK193" s="98"/>
      <c r="AL193" s="98"/>
      <c r="AM193" s="98"/>
      <c r="AN193" s="98"/>
      <c r="AO193" s="98"/>
    </row>
    <row r="194" ht="14.25" customHeight="1">
      <c r="A194" s="98"/>
      <c r="B194" s="98"/>
      <c r="C194" s="98"/>
      <c r="D194" s="98"/>
      <c r="E194" s="98"/>
      <c r="F194" s="235"/>
      <c r="G194" s="235"/>
      <c r="H194" s="236"/>
      <c r="I194" s="236"/>
      <c r="J194" s="236"/>
      <c r="K194" s="236"/>
      <c r="L194" s="236"/>
      <c r="M194" s="236"/>
      <c r="N194" s="236"/>
      <c r="O194" s="236"/>
      <c r="P194" s="236"/>
      <c r="Q194" s="236"/>
      <c r="R194" s="236"/>
      <c r="S194" s="236"/>
      <c r="T194" s="236"/>
      <c r="U194" s="236"/>
      <c r="V194" s="236"/>
      <c r="W194" s="237"/>
      <c r="X194" s="237"/>
      <c r="Y194" s="237"/>
      <c r="Z194" s="237"/>
      <c r="AA194" s="237"/>
      <c r="AB194" s="237"/>
      <c r="AC194" s="237"/>
      <c r="AD194" s="237"/>
      <c r="AE194" s="237"/>
      <c r="AF194" s="237"/>
      <c r="AG194" s="237"/>
      <c r="AH194" s="237"/>
      <c r="AI194" s="98"/>
      <c r="AJ194" s="98"/>
      <c r="AK194" s="98"/>
      <c r="AL194" s="98"/>
      <c r="AM194" s="98"/>
      <c r="AN194" s="98"/>
      <c r="AO194" s="98"/>
    </row>
    <row r="195" ht="14.25" customHeight="1">
      <c r="A195" s="98"/>
      <c r="B195" s="98"/>
      <c r="C195" s="98"/>
      <c r="D195" s="98"/>
      <c r="E195" s="98"/>
      <c r="F195" s="235"/>
      <c r="G195" s="235"/>
      <c r="H195" s="236"/>
      <c r="I195" s="236"/>
      <c r="J195" s="236"/>
      <c r="K195" s="236"/>
      <c r="L195" s="236"/>
      <c r="M195" s="236"/>
      <c r="N195" s="236"/>
      <c r="O195" s="236"/>
      <c r="P195" s="236"/>
      <c r="Q195" s="236"/>
      <c r="R195" s="236"/>
      <c r="S195" s="236"/>
      <c r="T195" s="236"/>
      <c r="U195" s="236"/>
      <c r="V195" s="236"/>
      <c r="W195" s="237"/>
      <c r="X195" s="237"/>
      <c r="Y195" s="237"/>
      <c r="Z195" s="237"/>
      <c r="AA195" s="237"/>
      <c r="AB195" s="237"/>
      <c r="AC195" s="237"/>
      <c r="AD195" s="237"/>
      <c r="AE195" s="237"/>
      <c r="AF195" s="237"/>
      <c r="AG195" s="237"/>
      <c r="AH195" s="237"/>
      <c r="AI195" s="98"/>
      <c r="AJ195" s="98"/>
      <c r="AK195" s="98"/>
      <c r="AL195" s="98"/>
      <c r="AM195" s="98"/>
      <c r="AN195" s="98"/>
      <c r="AO195" s="98"/>
    </row>
    <row r="196" ht="14.25" customHeight="1">
      <c r="A196" s="98"/>
      <c r="B196" s="98"/>
      <c r="C196" s="98"/>
      <c r="D196" s="98"/>
      <c r="E196" s="98"/>
      <c r="F196" s="235"/>
      <c r="G196" s="235"/>
      <c r="H196" s="236"/>
      <c r="I196" s="236"/>
      <c r="J196" s="236"/>
      <c r="K196" s="236"/>
      <c r="L196" s="236"/>
      <c r="M196" s="236"/>
      <c r="N196" s="236"/>
      <c r="O196" s="236"/>
      <c r="P196" s="236"/>
      <c r="Q196" s="236"/>
      <c r="R196" s="236"/>
      <c r="S196" s="236"/>
      <c r="T196" s="236"/>
      <c r="U196" s="236"/>
      <c r="V196" s="236"/>
      <c r="W196" s="237"/>
      <c r="X196" s="237"/>
      <c r="Y196" s="237"/>
      <c r="Z196" s="237"/>
      <c r="AA196" s="237"/>
      <c r="AB196" s="237"/>
      <c r="AC196" s="237"/>
      <c r="AD196" s="237"/>
      <c r="AE196" s="237"/>
      <c r="AF196" s="237"/>
      <c r="AG196" s="237"/>
      <c r="AH196" s="237"/>
      <c r="AI196" s="98"/>
      <c r="AJ196" s="98"/>
      <c r="AK196" s="98"/>
      <c r="AL196" s="98"/>
      <c r="AM196" s="98"/>
      <c r="AN196" s="98"/>
      <c r="AO196" s="98"/>
    </row>
    <row r="197" ht="14.25" customHeight="1">
      <c r="A197" s="98"/>
      <c r="B197" s="98"/>
      <c r="C197" s="98"/>
      <c r="D197" s="98"/>
      <c r="E197" s="98"/>
      <c r="F197" s="235"/>
      <c r="G197" s="235"/>
      <c r="H197" s="236"/>
      <c r="I197" s="236"/>
      <c r="J197" s="236"/>
      <c r="K197" s="236"/>
      <c r="L197" s="236"/>
      <c r="M197" s="236"/>
      <c r="N197" s="236"/>
      <c r="O197" s="236"/>
      <c r="P197" s="236"/>
      <c r="Q197" s="236"/>
      <c r="R197" s="236"/>
      <c r="S197" s="236"/>
      <c r="T197" s="236"/>
      <c r="U197" s="236"/>
      <c r="V197" s="236"/>
      <c r="W197" s="237"/>
      <c r="X197" s="237"/>
      <c r="Y197" s="237"/>
      <c r="Z197" s="237"/>
      <c r="AA197" s="237"/>
      <c r="AB197" s="237"/>
      <c r="AC197" s="237"/>
      <c r="AD197" s="237"/>
      <c r="AE197" s="237"/>
      <c r="AF197" s="237"/>
      <c r="AG197" s="237"/>
      <c r="AH197" s="237"/>
      <c r="AI197" s="98"/>
      <c r="AJ197" s="98"/>
      <c r="AK197" s="98"/>
      <c r="AL197" s="98"/>
      <c r="AM197" s="98"/>
      <c r="AN197" s="98"/>
      <c r="AO197" s="98"/>
    </row>
    <row r="198" ht="14.25" customHeight="1">
      <c r="A198" s="98"/>
      <c r="B198" s="98"/>
      <c r="C198" s="98"/>
      <c r="D198" s="98"/>
      <c r="E198" s="98"/>
      <c r="F198" s="235"/>
      <c r="G198" s="235"/>
      <c r="H198" s="236"/>
      <c r="I198" s="236"/>
      <c r="J198" s="236"/>
      <c r="K198" s="236"/>
      <c r="L198" s="236"/>
      <c r="M198" s="236"/>
      <c r="N198" s="236"/>
      <c r="O198" s="236"/>
      <c r="P198" s="236"/>
      <c r="Q198" s="236"/>
      <c r="R198" s="236"/>
      <c r="S198" s="236"/>
      <c r="T198" s="236"/>
      <c r="U198" s="236"/>
      <c r="V198" s="236"/>
      <c r="W198" s="237"/>
      <c r="X198" s="237"/>
      <c r="Y198" s="237"/>
      <c r="Z198" s="237"/>
      <c r="AA198" s="237"/>
      <c r="AB198" s="237"/>
      <c r="AC198" s="237"/>
      <c r="AD198" s="237"/>
      <c r="AE198" s="237"/>
      <c r="AF198" s="237"/>
      <c r="AG198" s="237"/>
      <c r="AH198" s="237"/>
      <c r="AI198" s="98"/>
      <c r="AJ198" s="98"/>
      <c r="AK198" s="98"/>
      <c r="AL198" s="98"/>
      <c r="AM198" s="98"/>
      <c r="AN198" s="98"/>
      <c r="AO198" s="98"/>
    </row>
    <row r="199" ht="14.25" customHeight="1">
      <c r="A199" s="98"/>
      <c r="B199" s="98"/>
      <c r="C199" s="98"/>
      <c r="D199" s="98"/>
      <c r="E199" s="98"/>
      <c r="F199" s="235"/>
      <c r="G199" s="235"/>
      <c r="H199" s="236"/>
      <c r="I199" s="236"/>
      <c r="J199" s="236"/>
      <c r="K199" s="236"/>
      <c r="L199" s="236"/>
      <c r="M199" s="236"/>
      <c r="N199" s="236"/>
      <c r="O199" s="236"/>
      <c r="P199" s="236"/>
      <c r="Q199" s="236"/>
      <c r="R199" s="236"/>
      <c r="S199" s="236"/>
      <c r="T199" s="236"/>
      <c r="U199" s="236"/>
      <c r="V199" s="236"/>
      <c r="W199" s="237"/>
      <c r="X199" s="237"/>
      <c r="Y199" s="237"/>
      <c r="Z199" s="237"/>
      <c r="AA199" s="237"/>
      <c r="AB199" s="237"/>
      <c r="AC199" s="237"/>
      <c r="AD199" s="237"/>
      <c r="AE199" s="237"/>
      <c r="AF199" s="237"/>
      <c r="AG199" s="237"/>
      <c r="AH199" s="237"/>
      <c r="AI199" s="98"/>
      <c r="AJ199" s="98"/>
      <c r="AK199" s="98"/>
      <c r="AL199" s="98"/>
      <c r="AM199" s="98"/>
      <c r="AN199" s="98"/>
      <c r="AO199" s="98"/>
    </row>
    <row r="200" ht="14.25" customHeight="1">
      <c r="A200" s="98"/>
      <c r="B200" s="98"/>
      <c r="C200" s="98"/>
      <c r="D200" s="98"/>
      <c r="E200" s="98"/>
      <c r="F200" s="235"/>
      <c r="G200" s="235"/>
      <c r="H200" s="236"/>
      <c r="I200" s="236"/>
      <c r="J200" s="236"/>
      <c r="K200" s="236"/>
      <c r="L200" s="236"/>
      <c r="M200" s="236"/>
      <c r="N200" s="236"/>
      <c r="O200" s="236"/>
      <c r="P200" s="236"/>
      <c r="Q200" s="236"/>
      <c r="R200" s="236"/>
      <c r="S200" s="236"/>
      <c r="T200" s="236"/>
      <c r="U200" s="236"/>
      <c r="V200" s="236"/>
      <c r="W200" s="237"/>
      <c r="X200" s="237"/>
      <c r="Y200" s="237"/>
      <c r="Z200" s="237"/>
      <c r="AA200" s="237"/>
      <c r="AB200" s="237"/>
      <c r="AC200" s="237"/>
      <c r="AD200" s="237"/>
      <c r="AE200" s="237"/>
      <c r="AF200" s="237"/>
      <c r="AG200" s="237"/>
      <c r="AH200" s="237"/>
      <c r="AI200" s="98"/>
      <c r="AJ200" s="98"/>
      <c r="AK200" s="98"/>
      <c r="AL200" s="98"/>
      <c r="AM200" s="98"/>
      <c r="AN200" s="98"/>
      <c r="AO200" s="98"/>
    </row>
    <row r="201" ht="14.25" customHeight="1">
      <c r="A201" s="98"/>
      <c r="B201" s="98"/>
      <c r="C201" s="98"/>
      <c r="D201" s="98"/>
      <c r="E201" s="98"/>
      <c r="F201" s="235"/>
      <c r="G201" s="235"/>
      <c r="H201" s="236"/>
      <c r="I201" s="236"/>
      <c r="J201" s="236"/>
      <c r="K201" s="236"/>
      <c r="L201" s="236"/>
      <c r="M201" s="236"/>
      <c r="N201" s="236"/>
      <c r="O201" s="236"/>
      <c r="P201" s="236"/>
      <c r="Q201" s="236"/>
      <c r="R201" s="236"/>
      <c r="S201" s="236"/>
      <c r="T201" s="236"/>
      <c r="U201" s="236"/>
      <c r="V201" s="236"/>
      <c r="W201" s="237"/>
      <c r="X201" s="237"/>
      <c r="Y201" s="237"/>
      <c r="Z201" s="237"/>
      <c r="AA201" s="237"/>
      <c r="AB201" s="237"/>
      <c r="AC201" s="237"/>
      <c r="AD201" s="237"/>
      <c r="AE201" s="237"/>
      <c r="AF201" s="237"/>
      <c r="AG201" s="237"/>
      <c r="AH201" s="237"/>
      <c r="AI201" s="98"/>
      <c r="AJ201" s="98"/>
      <c r="AK201" s="98"/>
      <c r="AL201" s="98"/>
      <c r="AM201" s="98"/>
      <c r="AN201" s="98"/>
      <c r="AO201" s="98"/>
    </row>
    <row r="202" ht="14.25" customHeight="1">
      <c r="A202" s="98"/>
      <c r="B202" s="98"/>
      <c r="C202" s="98"/>
      <c r="D202" s="98"/>
      <c r="E202" s="98"/>
      <c r="F202" s="235"/>
      <c r="G202" s="235"/>
      <c r="H202" s="236"/>
      <c r="I202" s="236"/>
      <c r="J202" s="236"/>
      <c r="K202" s="236"/>
      <c r="L202" s="236"/>
      <c r="M202" s="236"/>
      <c r="N202" s="236"/>
      <c r="O202" s="236"/>
      <c r="P202" s="236"/>
      <c r="Q202" s="236"/>
      <c r="R202" s="236"/>
      <c r="S202" s="236"/>
      <c r="T202" s="236"/>
      <c r="U202" s="236"/>
      <c r="V202" s="236"/>
      <c r="W202" s="237"/>
      <c r="X202" s="237"/>
      <c r="Y202" s="237"/>
      <c r="Z202" s="237"/>
      <c r="AA202" s="237"/>
      <c r="AB202" s="237"/>
      <c r="AC202" s="237"/>
      <c r="AD202" s="237"/>
      <c r="AE202" s="237"/>
      <c r="AF202" s="237"/>
      <c r="AG202" s="237"/>
      <c r="AH202" s="237"/>
      <c r="AI202" s="98"/>
      <c r="AJ202" s="98"/>
      <c r="AK202" s="98"/>
      <c r="AL202" s="98"/>
      <c r="AM202" s="98"/>
      <c r="AN202" s="98"/>
      <c r="AO202" s="98"/>
    </row>
    <row r="203" ht="14.25" customHeight="1">
      <c r="A203" s="98"/>
      <c r="B203" s="98"/>
      <c r="C203" s="98"/>
      <c r="D203" s="98"/>
      <c r="E203" s="98"/>
      <c r="F203" s="235"/>
      <c r="G203" s="235"/>
      <c r="H203" s="236"/>
      <c r="I203" s="236"/>
      <c r="J203" s="236"/>
      <c r="K203" s="236"/>
      <c r="L203" s="236"/>
      <c r="M203" s="236"/>
      <c r="N203" s="236"/>
      <c r="O203" s="236"/>
      <c r="P203" s="236"/>
      <c r="Q203" s="236"/>
      <c r="R203" s="236"/>
      <c r="S203" s="236"/>
      <c r="T203" s="236"/>
      <c r="U203" s="236"/>
      <c r="V203" s="236"/>
      <c r="W203" s="237"/>
      <c r="X203" s="237"/>
      <c r="Y203" s="237"/>
      <c r="Z203" s="237"/>
      <c r="AA203" s="237"/>
      <c r="AB203" s="237"/>
      <c r="AC203" s="237"/>
      <c r="AD203" s="237"/>
      <c r="AE203" s="237"/>
      <c r="AF203" s="237"/>
      <c r="AG203" s="237"/>
      <c r="AH203" s="237"/>
      <c r="AI203" s="98"/>
      <c r="AJ203" s="98"/>
      <c r="AK203" s="98"/>
      <c r="AL203" s="98"/>
      <c r="AM203" s="98"/>
      <c r="AN203" s="98"/>
      <c r="AO203" s="98"/>
    </row>
    <row r="204" ht="14.25" customHeight="1">
      <c r="A204" s="98"/>
      <c r="B204" s="98"/>
      <c r="C204" s="98"/>
      <c r="D204" s="98"/>
      <c r="E204" s="98"/>
      <c r="F204" s="235"/>
      <c r="G204" s="235"/>
      <c r="H204" s="236"/>
      <c r="I204" s="236"/>
      <c r="J204" s="236"/>
      <c r="K204" s="236"/>
      <c r="L204" s="236"/>
      <c r="M204" s="236"/>
      <c r="N204" s="236"/>
      <c r="O204" s="236"/>
      <c r="P204" s="236"/>
      <c r="Q204" s="236"/>
      <c r="R204" s="236"/>
      <c r="S204" s="236"/>
      <c r="T204" s="236"/>
      <c r="U204" s="236"/>
      <c r="V204" s="236"/>
      <c r="W204" s="237"/>
      <c r="X204" s="237"/>
      <c r="Y204" s="237"/>
      <c r="Z204" s="237"/>
      <c r="AA204" s="237"/>
      <c r="AB204" s="237"/>
      <c r="AC204" s="237"/>
      <c r="AD204" s="237"/>
      <c r="AE204" s="237"/>
      <c r="AF204" s="237"/>
      <c r="AG204" s="237"/>
      <c r="AH204" s="237"/>
      <c r="AI204" s="98"/>
      <c r="AJ204" s="98"/>
      <c r="AK204" s="98"/>
      <c r="AL204" s="98"/>
      <c r="AM204" s="98"/>
      <c r="AN204" s="98"/>
      <c r="AO204" s="98"/>
    </row>
    <row r="205" ht="14.25" customHeight="1">
      <c r="A205" s="98"/>
      <c r="B205" s="98"/>
      <c r="C205" s="98"/>
      <c r="D205" s="98"/>
      <c r="E205" s="98"/>
      <c r="F205" s="235"/>
      <c r="G205" s="235"/>
      <c r="H205" s="236"/>
      <c r="I205" s="236"/>
      <c r="J205" s="236"/>
      <c r="K205" s="236"/>
      <c r="L205" s="236"/>
      <c r="M205" s="236"/>
      <c r="N205" s="236"/>
      <c r="O205" s="236"/>
      <c r="P205" s="236"/>
      <c r="Q205" s="236"/>
      <c r="R205" s="236"/>
      <c r="S205" s="236"/>
      <c r="T205" s="236"/>
      <c r="U205" s="236"/>
      <c r="V205" s="236"/>
      <c r="W205" s="237"/>
      <c r="X205" s="237"/>
      <c r="Y205" s="237"/>
      <c r="Z205" s="237"/>
      <c r="AA205" s="237"/>
      <c r="AB205" s="237"/>
      <c r="AC205" s="237"/>
      <c r="AD205" s="237"/>
      <c r="AE205" s="237"/>
      <c r="AF205" s="237"/>
      <c r="AG205" s="237"/>
      <c r="AH205" s="237"/>
      <c r="AI205" s="98"/>
      <c r="AJ205" s="98"/>
      <c r="AK205" s="98"/>
      <c r="AL205" s="98"/>
      <c r="AM205" s="98"/>
      <c r="AN205" s="98"/>
      <c r="AO205" s="98"/>
    </row>
    <row r="206" ht="14.25" customHeight="1">
      <c r="A206" s="98"/>
      <c r="B206" s="98"/>
      <c r="C206" s="98"/>
      <c r="D206" s="98"/>
      <c r="E206" s="98"/>
      <c r="F206" s="235"/>
      <c r="G206" s="235"/>
      <c r="H206" s="236"/>
      <c r="I206" s="236"/>
      <c r="J206" s="236"/>
      <c r="K206" s="236"/>
      <c r="L206" s="236"/>
      <c r="M206" s="236"/>
      <c r="N206" s="236"/>
      <c r="O206" s="236"/>
      <c r="P206" s="236"/>
      <c r="Q206" s="236"/>
      <c r="R206" s="236"/>
      <c r="S206" s="236"/>
      <c r="T206" s="236"/>
      <c r="U206" s="236"/>
      <c r="V206" s="236"/>
      <c r="W206" s="237"/>
      <c r="X206" s="237"/>
      <c r="Y206" s="237"/>
      <c r="Z206" s="237"/>
      <c r="AA206" s="237"/>
      <c r="AB206" s="237"/>
      <c r="AC206" s="237"/>
      <c r="AD206" s="237"/>
      <c r="AE206" s="237"/>
      <c r="AF206" s="237"/>
      <c r="AG206" s="237"/>
      <c r="AH206" s="237"/>
      <c r="AI206" s="98"/>
      <c r="AJ206" s="98"/>
      <c r="AK206" s="98"/>
      <c r="AL206" s="98"/>
      <c r="AM206" s="98"/>
      <c r="AN206" s="98"/>
      <c r="AO206" s="98"/>
    </row>
    <row r="207" ht="14.25" customHeight="1">
      <c r="A207" s="98"/>
      <c r="B207" s="98"/>
      <c r="C207" s="98"/>
      <c r="D207" s="98"/>
      <c r="E207" s="98"/>
      <c r="F207" s="235"/>
      <c r="G207" s="235"/>
      <c r="H207" s="236"/>
      <c r="I207" s="236"/>
      <c r="J207" s="236"/>
      <c r="K207" s="236"/>
      <c r="L207" s="236"/>
      <c r="M207" s="236"/>
      <c r="N207" s="236"/>
      <c r="O207" s="236"/>
      <c r="P207" s="236"/>
      <c r="Q207" s="236"/>
      <c r="R207" s="236"/>
      <c r="S207" s="236"/>
      <c r="T207" s="236"/>
      <c r="U207" s="236"/>
      <c r="V207" s="236"/>
      <c r="W207" s="237"/>
      <c r="X207" s="237"/>
      <c r="Y207" s="237"/>
      <c r="Z207" s="237"/>
      <c r="AA207" s="237"/>
      <c r="AB207" s="237"/>
      <c r="AC207" s="237"/>
      <c r="AD207" s="237"/>
      <c r="AE207" s="237"/>
      <c r="AF207" s="237"/>
      <c r="AG207" s="237"/>
      <c r="AH207" s="237"/>
      <c r="AI207" s="98"/>
      <c r="AJ207" s="98"/>
      <c r="AK207" s="98"/>
      <c r="AL207" s="98"/>
      <c r="AM207" s="98"/>
      <c r="AN207" s="98"/>
      <c r="AO207" s="98"/>
    </row>
    <row r="208" ht="14.25" customHeight="1">
      <c r="A208" s="98"/>
      <c r="B208" s="98"/>
      <c r="C208" s="98"/>
      <c r="D208" s="98"/>
      <c r="E208" s="98"/>
      <c r="F208" s="235"/>
      <c r="G208" s="235"/>
      <c r="H208" s="236"/>
      <c r="I208" s="236"/>
      <c r="J208" s="236"/>
      <c r="K208" s="236"/>
      <c r="L208" s="236"/>
      <c r="M208" s="236"/>
      <c r="N208" s="236"/>
      <c r="O208" s="236"/>
      <c r="P208" s="236"/>
      <c r="Q208" s="236"/>
      <c r="R208" s="236"/>
      <c r="S208" s="236"/>
      <c r="T208" s="236"/>
      <c r="U208" s="236"/>
      <c r="V208" s="236"/>
      <c r="W208" s="237"/>
      <c r="X208" s="237"/>
      <c r="Y208" s="237"/>
      <c r="Z208" s="237"/>
      <c r="AA208" s="237"/>
      <c r="AB208" s="237"/>
      <c r="AC208" s="237"/>
      <c r="AD208" s="237"/>
      <c r="AE208" s="237"/>
      <c r="AF208" s="237"/>
      <c r="AG208" s="237"/>
      <c r="AH208" s="237"/>
      <c r="AI208" s="98"/>
      <c r="AJ208" s="98"/>
      <c r="AK208" s="98"/>
      <c r="AL208" s="98"/>
      <c r="AM208" s="98"/>
      <c r="AN208" s="98"/>
      <c r="AO208" s="98"/>
    </row>
    <row r="209" ht="14.25" customHeight="1">
      <c r="A209" s="98"/>
      <c r="B209" s="98"/>
      <c r="C209" s="98"/>
      <c r="D209" s="98"/>
      <c r="E209" s="98"/>
      <c r="F209" s="235"/>
      <c r="G209" s="235"/>
      <c r="H209" s="236"/>
      <c r="I209" s="236"/>
      <c r="J209" s="236"/>
      <c r="K209" s="236"/>
      <c r="L209" s="236"/>
      <c r="M209" s="236"/>
      <c r="N209" s="236"/>
      <c r="O209" s="236"/>
      <c r="P209" s="236"/>
      <c r="Q209" s="236"/>
      <c r="R209" s="236"/>
      <c r="S209" s="236"/>
      <c r="T209" s="236"/>
      <c r="U209" s="236"/>
      <c r="V209" s="236"/>
      <c r="W209" s="237"/>
      <c r="X209" s="237"/>
      <c r="Y209" s="237"/>
      <c r="Z209" s="237"/>
      <c r="AA209" s="237"/>
      <c r="AB209" s="237"/>
      <c r="AC209" s="237"/>
      <c r="AD209" s="237"/>
      <c r="AE209" s="237"/>
      <c r="AF209" s="237"/>
      <c r="AG209" s="237"/>
      <c r="AH209" s="237"/>
      <c r="AI209" s="98"/>
      <c r="AJ209" s="98"/>
      <c r="AK209" s="98"/>
      <c r="AL209" s="98"/>
      <c r="AM209" s="98"/>
      <c r="AN209" s="98"/>
      <c r="AO209" s="98"/>
    </row>
    <row r="210" ht="14.25" customHeight="1">
      <c r="A210" s="98"/>
      <c r="B210" s="98"/>
      <c r="C210" s="98"/>
      <c r="D210" s="98"/>
      <c r="E210" s="98"/>
      <c r="F210" s="235"/>
      <c r="G210" s="235"/>
      <c r="H210" s="236"/>
      <c r="I210" s="236"/>
      <c r="J210" s="236"/>
      <c r="K210" s="236"/>
      <c r="L210" s="236"/>
      <c r="M210" s="236"/>
      <c r="N210" s="236"/>
      <c r="O210" s="236"/>
      <c r="P210" s="236"/>
      <c r="Q210" s="236"/>
      <c r="R210" s="236"/>
      <c r="S210" s="236"/>
      <c r="T210" s="236"/>
      <c r="U210" s="236"/>
      <c r="V210" s="236"/>
      <c r="W210" s="237"/>
      <c r="X210" s="237"/>
      <c r="Y210" s="237"/>
      <c r="Z210" s="237"/>
      <c r="AA210" s="237"/>
      <c r="AB210" s="237"/>
      <c r="AC210" s="237"/>
      <c r="AD210" s="237"/>
      <c r="AE210" s="237"/>
      <c r="AF210" s="237"/>
      <c r="AG210" s="237"/>
      <c r="AH210" s="237"/>
      <c r="AI210" s="98"/>
      <c r="AJ210" s="98"/>
      <c r="AK210" s="98"/>
      <c r="AL210" s="98"/>
      <c r="AM210" s="98"/>
      <c r="AN210" s="98"/>
      <c r="AO210" s="98"/>
    </row>
    <row r="211" ht="14.25" customHeight="1">
      <c r="A211" s="98"/>
      <c r="B211" s="98"/>
      <c r="C211" s="98"/>
      <c r="D211" s="98"/>
      <c r="E211" s="98"/>
      <c r="F211" s="235"/>
      <c r="G211" s="235"/>
      <c r="H211" s="236"/>
      <c r="I211" s="236"/>
      <c r="J211" s="236"/>
      <c r="K211" s="236"/>
      <c r="L211" s="236"/>
      <c r="M211" s="236"/>
      <c r="N211" s="236"/>
      <c r="O211" s="236"/>
      <c r="P211" s="236"/>
      <c r="Q211" s="236"/>
      <c r="R211" s="236"/>
      <c r="S211" s="236"/>
      <c r="T211" s="236"/>
      <c r="U211" s="236"/>
      <c r="V211" s="236"/>
      <c r="W211" s="237"/>
      <c r="X211" s="237"/>
      <c r="Y211" s="237"/>
      <c r="Z211" s="237"/>
      <c r="AA211" s="237"/>
      <c r="AB211" s="237"/>
      <c r="AC211" s="237"/>
      <c r="AD211" s="237"/>
      <c r="AE211" s="237"/>
      <c r="AF211" s="237"/>
      <c r="AG211" s="237"/>
      <c r="AH211" s="237"/>
      <c r="AI211" s="98"/>
      <c r="AJ211" s="98"/>
      <c r="AK211" s="98"/>
      <c r="AL211" s="98"/>
      <c r="AM211" s="98"/>
      <c r="AN211" s="98"/>
      <c r="AO211" s="98"/>
    </row>
    <row r="212" ht="14.25" customHeight="1">
      <c r="A212" s="98"/>
      <c r="B212" s="98"/>
      <c r="C212" s="98"/>
      <c r="D212" s="98"/>
      <c r="E212" s="98"/>
      <c r="F212" s="235"/>
      <c r="G212" s="235"/>
      <c r="H212" s="236"/>
      <c r="I212" s="236"/>
      <c r="J212" s="236"/>
      <c r="K212" s="236"/>
      <c r="L212" s="236"/>
      <c r="M212" s="236"/>
      <c r="N212" s="236"/>
      <c r="O212" s="236"/>
      <c r="P212" s="236"/>
      <c r="Q212" s="236"/>
      <c r="R212" s="236"/>
      <c r="S212" s="236"/>
      <c r="T212" s="236"/>
      <c r="U212" s="236"/>
      <c r="V212" s="236"/>
      <c r="W212" s="237"/>
      <c r="X212" s="237"/>
      <c r="Y212" s="237"/>
      <c r="Z212" s="237"/>
      <c r="AA212" s="237"/>
      <c r="AB212" s="237"/>
      <c r="AC212" s="237"/>
      <c r="AD212" s="237"/>
      <c r="AE212" s="237"/>
      <c r="AF212" s="237"/>
      <c r="AG212" s="237"/>
      <c r="AH212" s="237"/>
      <c r="AI212" s="98"/>
      <c r="AJ212" s="98"/>
      <c r="AK212" s="98"/>
      <c r="AL212" s="98"/>
      <c r="AM212" s="98"/>
      <c r="AN212" s="98"/>
      <c r="AO212" s="98"/>
    </row>
    <row r="213" ht="14.25" customHeight="1">
      <c r="A213" s="98"/>
      <c r="B213" s="98"/>
      <c r="C213" s="98"/>
      <c r="D213" s="98"/>
      <c r="E213" s="98"/>
      <c r="F213" s="235"/>
      <c r="G213" s="235"/>
      <c r="H213" s="236"/>
      <c r="I213" s="236"/>
      <c r="J213" s="236"/>
      <c r="K213" s="236"/>
      <c r="L213" s="236"/>
      <c r="M213" s="236"/>
      <c r="N213" s="236"/>
      <c r="O213" s="236"/>
      <c r="P213" s="236"/>
      <c r="Q213" s="236"/>
      <c r="R213" s="236"/>
      <c r="S213" s="236"/>
      <c r="T213" s="236"/>
      <c r="U213" s="236"/>
      <c r="V213" s="236"/>
      <c r="W213" s="237"/>
      <c r="X213" s="237"/>
      <c r="Y213" s="237"/>
      <c r="Z213" s="237"/>
      <c r="AA213" s="237"/>
      <c r="AB213" s="237"/>
      <c r="AC213" s="237"/>
      <c r="AD213" s="237"/>
      <c r="AE213" s="237"/>
      <c r="AF213" s="237"/>
      <c r="AG213" s="237"/>
      <c r="AH213" s="237"/>
      <c r="AI213" s="98"/>
      <c r="AJ213" s="98"/>
      <c r="AK213" s="98"/>
      <c r="AL213" s="98"/>
      <c r="AM213" s="98"/>
      <c r="AN213" s="98"/>
      <c r="AO213" s="98"/>
    </row>
    <row r="214" ht="14.25" customHeight="1">
      <c r="A214" s="98"/>
      <c r="B214" s="98"/>
      <c r="C214" s="98"/>
      <c r="D214" s="98"/>
      <c r="E214" s="98"/>
      <c r="F214" s="235"/>
      <c r="G214" s="235"/>
      <c r="H214" s="236"/>
      <c r="I214" s="236"/>
      <c r="J214" s="236"/>
      <c r="K214" s="236"/>
      <c r="L214" s="236"/>
      <c r="M214" s="236"/>
      <c r="N214" s="236"/>
      <c r="O214" s="236"/>
      <c r="P214" s="236"/>
      <c r="Q214" s="236"/>
      <c r="R214" s="236"/>
      <c r="S214" s="236"/>
      <c r="T214" s="236"/>
      <c r="U214" s="236"/>
      <c r="V214" s="236"/>
      <c r="W214" s="237"/>
      <c r="X214" s="237"/>
      <c r="Y214" s="237"/>
      <c r="Z214" s="237"/>
      <c r="AA214" s="237"/>
      <c r="AB214" s="237"/>
      <c r="AC214" s="237"/>
      <c r="AD214" s="237"/>
      <c r="AE214" s="237"/>
      <c r="AF214" s="237"/>
      <c r="AG214" s="237"/>
      <c r="AH214" s="237"/>
      <c r="AI214" s="98"/>
      <c r="AJ214" s="98"/>
      <c r="AK214" s="98"/>
      <c r="AL214" s="98"/>
      <c r="AM214" s="98"/>
      <c r="AN214" s="98"/>
      <c r="AO214" s="98"/>
    </row>
    <row r="215" ht="14.25" customHeight="1">
      <c r="A215" s="98"/>
      <c r="B215" s="98"/>
      <c r="C215" s="98"/>
      <c r="D215" s="98"/>
      <c r="E215" s="98"/>
      <c r="F215" s="235"/>
      <c r="G215" s="235"/>
      <c r="H215" s="236"/>
      <c r="I215" s="236"/>
      <c r="J215" s="236"/>
      <c r="K215" s="236"/>
      <c r="L215" s="236"/>
      <c r="M215" s="236"/>
      <c r="N215" s="236"/>
      <c r="O215" s="236"/>
      <c r="P215" s="236"/>
      <c r="Q215" s="236"/>
      <c r="R215" s="236"/>
      <c r="S215" s="236"/>
      <c r="T215" s="236"/>
      <c r="U215" s="236"/>
      <c r="V215" s="236"/>
      <c r="W215" s="237"/>
      <c r="X215" s="237"/>
      <c r="Y215" s="237"/>
      <c r="Z215" s="237"/>
      <c r="AA215" s="237"/>
      <c r="AB215" s="237"/>
      <c r="AC215" s="237"/>
      <c r="AD215" s="237"/>
      <c r="AE215" s="237"/>
      <c r="AF215" s="237"/>
      <c r="AG215" s="237"/>
      <c r="AH215" s="237"/>
      <c r="AI215" s="98"/>
      <c r="AJ215" s="98"/>
      <c r="AK215" s="98"/>
      <c r="AL215" s="98"/>
      <c r="AM215" s="98"/>
      <c r="AN215" s="98"/>
      <c r="AO215" s="98"/>
    </row>
    <row r="216" ht="14.25" customHeight="1">
      <c r="A216" s="98"/>
      <c r="B216" s="98"/>
      <c r="C216" s="98"/>
      <c r="D216" s="98"/>
      <c r="E216" s="98"/>
      <c r="F216" s="235"/>
      <c r="G216" s="235"/>
      <c r="H216" s="236"/>
      <c r="I216" s="236"/>
      <c r="J216" s="236"/>
      <c r="K216" s="236"/>
      <c r="L216" s="236"/>
      <c r="M216" s="236"/>
      <c r="N216" s="236"/>
      <c r="O216" s="236"/>
      <c r="P216" s="236"/>
      <c r="Q216" s="236"/>
      <c r="R216" s="236"/>
      <c r="S216" s="236"/>
      <c r="T216" s="236"/>
      <c r="U216" s="236"/>
      <c r="V216" s="236"/>
      <c r="W216" s="237"/>
      <c r="X216" s="237"/>
      <c r="Y216" s="237"/>
      <c r="Z216" s="237"/>
      <c r="AA216" s="237"/>
      <c r="AB216" s="237"/>
      <c r="AC216" s="237"/>
      <c r="AD216" s="237"/>
      <c r="AE216" s="237"/>
      <c r="AF216" s="237"/>
      <c r="AG216" s="237"/>
      <c r="AH216" s="237"/>
      <c r="AI216" s="98"/>
      <c r="AJ216" s="98"/>
      <c r="AK216" s="98"/>
      <c r="AL216" s="98"/>
      <c r="AM216" s="98"/>
      <c r="AN216" s="98"/>
      <c r="AO216" s="98"/>
    </row>
    <row r="217" ht="14.25" customHeight="1">
      <c r="A217" s="98"/>
      <c r="B217" s="98"/>
      <c r="C217" s="98"/>
      <c r="D217" s="98"/>
      <c r="E217" s="98"/>
      <c r="F217" s="235"/>
      <c r="G217" s="235"/>
      <c r="H217" s="236"/>
      <c r="I217" s="236"/>
      <c r="J217" s="236"/>
      <c r="K217" s="236"/>
      <c r="L217" s="236"/>
      <c r="M217" s="236"/>
      <c r="N217" s="236"/>
      <c r="O217" s="236"/>
      <c r="P217" s="236"/>
      <c r="Q217" s="236"/>
      <c r="R217" s="236"/>
      <c r="S217" s="236"/>
      <c r="T217" s="236"/>
      <c r="U217" s="236"/>
      <c r="V217" s="236"/>
      <c r="W217" s="237"/>
      <c r="X217" s="237"/>
      <c r="Y217" s="237"/>
      <c r="Z217" s="237"/>
      <c r="AA217" s="237"/>
      <c r="AB217" s="237"/>
      <c r="AC217" s="237"/>
      <c r="AD217" s="237"/>
      <c r="AE217" s="237"/>
      <c r="AF217" s="237"/>
      <c r="AG217" s="237"/>
      <c r="AH217" s="237"/>
      <c r="AI217" s="98"/>
      <c r="AJ217" s="98"/>
      <c r="AK217" s="98"/>
      <c r="AL217" s="98"/>
      <c r="AM217" s="98"/>
      <c r="AN217" s="98"/>
      <c r="AO217" s="98"/>
    </row>
    <row r="218" ht="14.25" customHeight="1">
      <c r="A218" s="98"/>
      <c r="B218" s="98"/>
      <c r="C218" s="98"/>
      <c r="D218" s="98"/>
      <c r="E218" s="98"/>
      <c r="F218" s="235"/>
      <c r="G218" s="235"/>
      <c r="H218" s="236"/>
      <c r="I218" s="236"/>
      <c r="J218" s="236"/>
      <c r="K218" s="236"/>
      <c r="L218" s="236"/>
      <c r="M218" s="236"/>
      <c r="N218" s="236"/>
      <c r="O218" s="236"/>
      <c r="P218" s="236"/>
      <c r="Q218" s="236"/>
      <c r="R218" s="236"/>
      <c r="S218" s="236"/>
      <c r="T218" s="236"/>
      <c r="U218" s="236"/>
      <c r="V218" s="236"/>
      <c r="W218" s="237"/>
      <c r="X218" s="237"/>
      <c r="Y218" s="237"/>
      <c r="Z218" s="237"/>
      <c r="AA218" s="237"/>
      <c r="AB218" s="237"/>
      <c r="AC218" s="237"/>
      <c r="AD218" s="237"/>
      <c r="AE218" s="237"/>
      <c r="AF218" s="237"/>
      <c r="AG218" s="237"/>
      <c r="AH218" s="237"/>
      <c r="AI218" s="98"/>
      <c r="AJ218" s="98"/>
      <c r="AK218" s="98"/>
      <c r="AL218" s="98"/>
      <c r="AM218" s="98"/>
      <c r="AN218" s="98"/>
      <c r="AO218" s="98"/>
    </row>
    <row r="219" ht="14.25" customHeight="1">
      <c r="A219" s="98"/>
      <c r="B219" s="98"/>
      <c r="C219" s="98"/>
      <c r="D219" s="98"/>
      <c r="E219" s="98"/>
      <c r="F219" s="235"/>
      <c r="G219" s="235"/>
      <c r="H219" s="236"/>
      <c r="I219" s="236"/>
      <c r="J219" s="236"/>
      <c r="K219" s="236"/>
      <c r="L219" s="236"/>
      <c r="M219" s="236"/>
      <c r="N219" s="236"/>
      <c r="O219" s="236"/>
      <c r="P219" s="236"/>
      <c r="Q219" s="236"/>
      <c r="R219" s="236"/>
      <c r="S219" s="236"/>
      <c r="T219" s="236"/>
      <c r="U219" s="236"/>
      <c r="V219" s="236"/>
      <c r="W219" s="237"/>
      <c r="X219" s="237"/>
      <c r="Y219" s="237"/>
      <c r="Z219" s="237"/>
      <c r="AA219" s="237"/>
      <c r="AB219" s="237"/>
      <c r="AC219" s="237"/>
      <c r="AD219" s="237"/>
      <c r="AE219" s="237"/>
      <c r="AF219" s="237"/>
      <c r="AG219" s="237"/>
      <c r="AH219" s="237"/>
      <c r="AI219" s="98"/>
      <c r="AJ219" s="98"/>
      <c r="AK219" s="98"/>
      <c r="AL219" s="98"/>
      <c r="AM219" s="98"/>
      <c r="AN219" s="98"/>
      <c r="AO219" s="98"/>
    </row>
    <row r="220" ht="14.25" customHeight="1">
      <c r="A220" s="98"/>
      <c r="B220" s="98"/>
      <c r="C220" s="98"/>
      <c r="D220" s="98"/>
      <c r="E220" s="98"/>
      <c r="F220" s="235"/>
      <c r="G220" s="235"/>
      <c r="H220" s="236"/>
      <c r="I220" s="236"/>
      <c r="J220" s="236"/>
      <c r="K220" s="236"/>
      <c r="L220" s="236"/>
      <c r="M220" s="236"/>
      <c r="N220" s="236"/>
      <c r="O220" s="236"/>
      <c r="P220" s="236"/>
      <c r="Q220" s="236"/>
      <c r="R220" s="236"/>
      <c r="S220" s="236"/>
      <c r="T220" s="236"/>
      <c r="U220" s="236"/>
      <c r="V220" s="236"/>
      <c r="W220" s="237"/>
      <c r="X220" s="237"/>
      <c r="Y220" s="237"/>
      <c r="Z220" s="237"/>
      <c r="AA220" s="237"/>
      <c r="AB220" s="237"/>
      <c r="AC220" s="237"/>
      <c r="AD220" s="237"/>
      <c r="AE220" s="237"/>
      <c r="AF220" s="237"/>
      <c r="AG220" s="237"/>
      <c r="AH220" s="237"/>
      <c r="AI220" s="98"/>
      <c r="AJ220" s="98"/>
      <c r="AK220" s="98"/>
      <c r="AL220" s="98"/>
      <c r="AM220" s="98"/>
      <c r="AN220" s="98"/>
      <c r="AO220" s="98"/>
    </row>
    <row r="221" ht="14.25" customHeight="1">
      <c r="A221" s="98"/>
      <c r="B221" s="98"/>
      <c r="C221" s="98"/>
      <c r="D221" s="98"/>
      <c r="E221" s="98"/>
      <c r="F221" s="235"/>
      <c r="G221" s="235"/>
      <c r="H221" s="236"/>
      <c r="I221" s="236"/>
      <c r="J221" s="236"/>
      <c r="K221" s="236"/>
      <c r="L221" s="236"/>
      <c r="M221" s="236"/>
      <c r="N221" s="236"/>
      <c r="O221" s="236"/>
      <c r="P221" s="236"/>
      <c r="Q221" s="236"/>
      <c r="R221" s="236"/>
      <c r="S221" s="236"/>
      <c r="T221" s="236"/>
      <c r="U221" s="236"/>
      <c r="V221" s="236"/>
      <c r="W221" s="237"/>
      <c r="X221" s="237"/>
      <c r="Y221" s="237"/>
      <c r="Z221" s="237"/>
      <c r="AA221" s="237"/>
      <c r="AB221" s="237"/>
      <c r="AC221" s="237"/>
      <c r="AD221" s="237"/>
      <c r="AE221" s="237"/>
      <c r="AF221" s="237"/>
      <c r="AG221" s="237"/>
      <c r="AH221" s="237"/>
      <c r="AI221" s="98"/>
      <c r="AJ221" s="98"/>
      <c r="AK221" s="98"/>
      <c r="AL221" s="98"/>
      <c r="AM221" s="98"/>
      <c r="AN221" s="98"/>
      <c r="AO221" s="98"/>
    </row>
    <row r="222" ht="14.25" customHeight="1">
      <c r="A222" s="98"/>
      <c r="B222" s="98"/>
      <c r="C222" s="98"/>
      <c r="D222" s="98"/>
      <c r="E222" s="98"/>
      <c r="F222" s="235"/>
      <c r="G222" s="235"/>
      <c r="H222" s="236"/>
      <c r="I222" s="236"/>
      <c r="J222" s="236"/>
      <c r="K222" s="236"/>
      <c r="L222" s="236"/>
      <c r="M222" s="236"/>
      <c r="N222" s="236"/>
      <c r="O222" s="236"/>
      <c r="P222" s="236"/>
      <c r="Q222" s="236"/>
      <c r="R222" s="236"/>
      <c r="S222" s="236"/>
      <c r="T222" s="236"/>
      <c r="U222" s="236"/>
      <c r="V222" s="236"/>
      <c r="W222" s="237"/>
      <c r="X222" s="237"/>
      <c r="Y222" s="237"/>
      <c r="Z222" s="237"/>
      <c r="AA222" s="237"/>
      <c r="AB222" s="237"/>
      <c r="AC222" s="237"/>
      <c r="AD222" s="237"/>
      <c r="AE222" s="237"/>
      <c r="AF222" s="237"/>
      <c r="AG222" s="237"/>
      <c r="AH222" s="237"/>
      <c r="AI222" s="98"/>
      <c r="AJ222" s="98"/>
      <c r="AK222" s="98"/>
      <c r="AL222" s="98"/>
      <c r="AM222" s="98"/>
      <c r="AN222" s="98"/>
      <c r="AO222" s="98"/>
    </row>
    <row r="223" ht="14.25" customHeight="1">
      <c r="A223" s="98"/>
      <c r="B223" s="98"/>
      <c r="C223" s="98"/>
      <c r="D223" s="98"/>
      <c r="E223" s="98"/>
      <c r="F223" s="235"/>
      <c r="G223" s="235"/>
      <c r="H223" s="236"/>
      <c r="I223" s="236"/>
      <c r="J223" s="236"/>
      <c r="K223" s="236"/>
      <c r="L223" s="236"/>
      <c r="M223" s="236"/>
      <c r="N223" s="236"/>
      <c r="O223" s="236"/>
      <c r="P223" s="236"/>
      <c r="Q223" s="236"/>
      <c r="R223" s="236"/>
      <c r="S223" s="236"/>
      <c r="T223" s="236"/>
      <c r="U223" s="236"/>
      <c r="V223" s="236"/>
      <c r="W223" s="237"/>
      <c r="X223" s="237"/>
      <c r="Y223" s="237"/>
      <c r="Z223" s="237"/>
      <c r="AA223" s="237"/>
      <c r="AB223" s="237"/>
      <c r="AC223" s="237"/>
      <c r="AD223" s="237"/>
      <c r="AE223" s="237"/>
      <c r="AF223" s="237"/>
      <c r="AG223" s="237"/>
      <c r="AH223" s="237"/>
      <c r="AI223" s="98"/>
      <c r="AJ223" s="98"/>
      <c r="AK223" s="98"/>
      <c r="AL223" s="98"/>
      <c r="AM223" s="98"/>
      <c r="AN223" s="98"/>
      <c r="AO223" s="98"/>
    </row>
    <row r="224" ht="14.25" customHeight="1">
      <c r="A224" s="98"/>
      <c r="B224" s="98"/>
      <c r="C224" s="98"/>
      <c r="D224" s="98"/>
      <c r="E224" s="98"/>
      <c r="F224" s="235"/>
      <c r="G224" s="235"/>
      <c r="H224" s="236"/>
      <c r="I224" s="236"/>
      <c r="J224" s="236"/>
      <c r="K224" s="236"/>
      <c r="L224" s="236"/>
      <c r="M224" s="236"/>
      <c r="N224" s="236"/>
      <c r="O224" s="236"/>
      <c r="P224" s="236"/>
      <c r="Q224" s="236"/>
      <c r="R224" s="236"/>
      <c r="S224" s="236"/>
      <c r="T224" s="236"/>
      <c r="U224" s="236"/>
      <c r="V224" s="236"/>
      <c r="W224" s="237"/>
      <c r="X224" s="237"/>
      <c r="Y224" s="237"/>
      <c r="Z224" s="237"/>
      <c r="AA224" s="237"/>
      <c r="AB224" s="237"/>
      <c r="AC224" s="237"/>
      <c r="AD224" s="237"/>
      <c r="AE224" s="237"/>
      <c r="AF224" s="237"/>
      <c r="AG224" s="237"/>
      <c r="AH224" s="237"/>
      <c r="AI224" s="98"/>
      <c r="AJ224" s="98"/>
      <c r="AK224" s="98"/>
      <c r="AL224" s="98"/>
      <c r="AM224" s="98"/>
      <c r="AN224" s="98"/>
      <c r="AO224" s="98"/>
    </row>
    <row r="225" ht="14.25" customHeight="1">
      <c r="A225" s="98"/>
      <c r="B225" s="98"/>
      <c r="C225" s="98"/>
      <c r="D225" s="98"/>
      <c r="E225" s="98"/>
      <c r="F225" s="235"/>
      <c r="G225" s="235"/>
      <c r="H225" s="236"/>
      <c r="I225" s="236"/>
      <c r="J225" s="236"/>
      <c r="K225" s="236"/>
      <c r="L225" s="236"/>
      <c r="M225" s="236"/>
      <c r="N225" s="236"/>
      <c r="O225" s="236"/>
      <c r="P225" s="236"/>
      <c r="Q225" s="236"/>
      <c r="R225" s="236"/>
      <c r="S225" s="236"/>
      <c r="T225" s="236"/>
      <c r="U225" s="236"/>
      <c r="V225" s="236"/>
      <c r="W225" s="237"/>
      <c r="X225" s="237"/>
      <c r="Y225" s="237"/>
      <c r="Z225" s="237"/>
      <c r="AA225" s="237"/>
      <c r="AB225" s="237"/>
      <c r="AC225" s="237"/>
      <c r="AD225" s="237"/>
      <c r="AE225" s="237"/>
      <c r="AF225" s="237"/>
      <c r="AG225" s="237"/>
      <c r="AH225" s="237"/>
      <c r="AI225" s="98"/>
      <c r="AJ225" s="98"/>
      <c r="AK225" s="98"/>
      <c r="AL225" s="98"/>
      <c r="AM225" s="98"/>
      <c r="AN225" s="98"/>
      <c r="AO225" s="98"/>
    </row>
    <row r="226" ht="14.25" customHeight="1">
      <c r="A226" s="98"/>
      <c r="B226" s="98"/>
      <c r="C226" s="98"/>
      <c r="D226" s="98"/>
      <c r="E226" s="98"/>
      <c r="F226" s="235"/>
      <c r="G226" s="235"/>
      <c r="H226" s="236"/>
      <c r="I226" s="236"/>
      <c r="J226" s="236"/>
      <c r="K226" s="236"/>
      <c r="L226" s="236"/>
      <c r="M226" s="236"/>
      <c r="N226" s="236"/>
      <c r="O226" s="236"/>
      <c r="P226" s="236"/>
      <c r="Q226" s="236"/>
      <c r="R226" s="236"/>
      <c r="S226" s="236"/>
      <c r="T226" s="236"/>
      <c r="U226" s="236"/>
      <c r="V226" s="236"/>
      <c r="W226" s="237"/>
      <c r="X226" s="237"/>
      <c r="Y226" s="237"/>
      <c r="Z226" s="237"/>
      <c r="AA226" s="237"/>
      <c r="AB226" s="237"/>
      <c r="AC226" s="237"/>
      <c r="AD226" s="237"/>
      <c r="AE226" s="237"/>
      <c r="AF226" s="237"/>
      <c r="AG226" s="237"/>
      <c r="AH226" s="237"/>
      <c r="AI226" s="98"/>
      <c r="AJ226" s="98"/>
      <c r="AK226" s="98"/>
      <c r="AL226" s="98"/>
      <c r="AM226" s="98"/>
      <c r="AN226" s="98"/>
      <c r="AO226" s="98"/>
    </row>
    <row r="227" ht="14.25" customHeight="1">
      <c r="A227" s="98"/>
      <c r="B227" s="98"/>
      <c r="C227" s="98"/>
      <c r="D227" s="98"/>
      <c r="E227" s="98"/>
      <c r="F227" s="235"/>
      <c r="G227" s="235"/>
      <c r="H227" s="236"/>
      <c r="I227" s="236"/>
      <c r="J227" s="236"/>
      <c r="K227" s="236"/>
      <c r="L227" s="236"/>
      <c r="M227" s="236"/>
      <c r="N227" s="236"/>
      <c r="O227" s="236"/>
      <c r="P227" s="236"/>
      <c r="Q227" s="236"/>
      <c r="R227" s="236"/>
      <c r="S227" s="236"/>
      <c r="T227" s="236"/>
      <c r="U227" s="236"/>
      <c r="V227" s="236"/>
      <c r="W227" s="237"/>
      <c r="X227" s="237"/>
      <c r="Y227" s="237"/>
      <c r="Z227" s="237"/>
      <c r="AA227" s="237"/>
      <c r="AB227" s="237"/>
      <c r="AC227" s="237"/>
      <c r="AD227" s="237"/>
      <c r="AE227" s="237"/>
      <c r="AF227" s="237"/>
      <c r="AG227" s="237"/>
      <c r="AH227" s="237"/>
      <c r="AI227" s="98"/>
      <c r="AJ227" s="98"/>
      <c r="AK227" s="98"/>
      <c r="AL227" s="98"/>
      <c r="AM227" s="98"/>
      <c r="AN227" s="98"/>
      <c r="AO227" s="98"/>
    </row>
    <row r="228" ht="14.25" customHeight="1">
      <c r="A228" s="98"/>
      <c r="B228" s="98"/>
      <c r="C228" s="98"/>
      <c r="D228" s="98"/>
      <c r="E228" s="98"/>
      <c r="F228" s="235"/>
      <c r="G228" s="235"/>
      <c r="H228" s="236"/>
      <c r="I228" s="236"/>
      <c r="J228" s="236"/>
      <c r="K228" s="236"/>
      <c r="L228" s="236"/>
      <c r="M228" s="236"/>
      <c r="N228" s="236"/>
      <c r="O228" s="236"/>
      <c r="P228" s="236"/>
      <c r="Q228" s="236"/>
      <c r="R228" s="236"/>
      <c r="S228" s="236"/>
      <c r="T228" s="236"/>
      <c r="U228" s="236"/>
      <c r="V228" s="236"/>
      <c r="W228" s="237"/>
      <c r="X228" s="237"/>
      <c r="Y228" s="237"/>
      <c r="Z228" s="237"/>
      <c r="AA228" s="237"/>
      <c r="AB228" s="237"/>
      <c r="AC228" s="237"/>
      <c r="AD228" s="237"/>
      <c r="AE228" s="237"/>
      <c r="AF228" s="237"/>
      <c r="AG228" s="237"/>
      <c r="AH228" s="237"/>
      <c r="AI228" s="98"/>
      <c r="AJ228" s="98"/>
      <c r="AK228" s="98"/>
      <c r="AL228" s="98"/>
      <c r="AM228" s="98"/>
      <c r="AN228" s="98"/>
      <c r="AO228" s="98"/>
    </row>
    <row r="229" ht="14.25" customHeight="1">
      <c r="A229" s="98"/>
      <c r="B229" s="98"/>
      <c r="C229" s="98"/>
      <c r="D229" s="98"/>
      <c r="E229" s="98"/>
      <c r="F229" s="235"/>
      <c r="G229" s="235"/>
      <c r="H229" s="236"/>
      <c r="I229" s="236"/>
      <c r="J229" s="236"/>
      <c r="K229" s="236"/>
      <c r="L229" s="236"/>
      <c r="M229" s="236"/>
      <c r="N229" s="236"/>
      <c r="O229" s="236"/>
      <c r="P229" s="236"/>
      <c r="Q229" s="236"/>
      <c r="R229" s="236"/>
      <c r="S229" s="236"/>
      <c r="T229" s="236"/>
      <c r="U229" s="236"/>
      <c r="V229" s="236"/>
      <c r="W229" s="237"/>
      <c r="X229" s="237"/>
      <c r="Y229" s="237"/>
      <c r="Z229" s="237"/>
      <c r="AA229" s="237"/>
      <c r="AB229" s="237"/>
      <c r="AC229" s="237"/>
      <c r="AD229" s="237"/>
      <c r="AE229" s="237"/>
      <c r="AF229" s="237"/>
      <c r="AG229" s="237"/>
      <c r="AH229" s="237"/>
      <c r="AI229" s="98"/>
      <c r="AJ229" s="98"/>
      <c r="AK229" s="98"/>
      <c r="AL229" s="98"/>
      <c r="AM229" s="98"/>
      <c r="AN229" s="98"/>
      <c r="AO229" s="98"/>
    </row>
    <row r="230" ht="14.25" customHeight="1">
      <c r="A230" s="98"/>
      <c r="B230" s="98"/>
      <c r="C230" s="98"/>
      <c r="D230" s="98"/>
      <c r="E230" s="98"/>
      <c r="F230" s="235"/>
      <c r="G230" s="235"/>
      <c r="H230" s="236"/>
      <c r="I230" s="236"/>
      <c r="J230" s="236"/>
      <c r="K230" s="236"/>
      <c r="L230" s="236"/>
      <c r="M230" s="236"/>
      <c r="N230" s="236"/>
      <c r="O230" s="236"/>
      <c r="P230" s="236"/>
      <c r="Q230" s="236"/>
      <c r="R230" s="236"/>
      <c r="S230" s="236"/>
      <c r="T230" s="236"/>
      <c r="U230" s="236"/>
      <c r="V230" s="236"/>
      <c r="W230" s="237"/>
      <c r="X230" s="237"/>
      <c r="Y230" s="237"/>
      <c r="Z230" s="237"/>
      <c r="AA230" s="237"/>
      <c r="AB230" s="237"/>
      <c r="AC230" s="237"/>
      <c r="AD230" s="237"/>
      <c r="AE230" s="237"/>
      <c r="AF230" s="237"/>
      <c r="AG230" s="237"/>
      <c r="AH230" s="237"/>
      <c r="AI230" s="98"/>
      <c r="AJ230" s="98"/>
      <c r="AK230" s="98"/>
      <c r="AL230" s="98"/>
      <c r="AM230" s="98"/>
      <c r="AN230" s="98"/>
      <c r="AO230" s="98"/>
    </row>
    <row r="231" ht="14.25" customHeight="1">
      <c r="A231" s="98"/>
      <c r="B231" s="98"/>
      <c r="C231" s="98"/>
      <c r="D231" s="98"/>
      <c r="E231" s="98"/>
      <c r="F231" s="235"/>
      <c r="G231" s="235"/>
      <c r="H231" s="236"/>
      <c r="I231" s="236"/>
      <c r="J231" s="236"/>
      <c r="K231" s="236"/>
      <c r="L231" s="236"/>
      <c r="M231" s="236"/>
      <c r="N231" s="236"/>
      <c r="O231" s="236"/>
      <c r="P231" s="236"/>
      <c r="Q231" s="236"/>
      <c r="R231" s="236"/>
      <c r="S231" s="236"/>
      <c r="T231" s="236"/>
      <c r="U231" s="236"/>
      <c r="V231" s="236"/>
      <c r="W231" s="237"/>
      <c r="X231" s="237"/>
      <c r="Y231" s="237"/>
      <c r="Z231" s="237"/>
      <c r="AA231" s="237"/>
      <c r="AB231" s="237"/>
      <c r="AC231" s="237"/>
      <c r="AD231" s="237"/>
      <c r="AE231" s="237"/>
      <c r="AF231" s="237"/>
      <c r="AG231" s="237"/>
      <c r="AH231" s="237"/>
      <c r="AI231" s="98"/>
      <c r="AJ231" s="98"/>
      <c r="AK231" s="98"/>
      <c r="AL231" s="98"/>
      <c r="AM231" s="98"/>
      <c r="AN231" s="98"/>
      <c r="AO231" s="98"/>
    </row>
    <row r="232" ht="14.25" customHeight="1">
      <c r="A232" s="98"/>
      <c r="B232" s="98"/>
      <c r="C232" s="98"/>
      <c r="D232" s="98"/>
      <c r="E232" s="98"/>
      <c r="F232" s="235"/>
      <c r="G232" s="235"/>
      <c r="H232" s="236"/>
      <c r="I232" s="236"/>
      <c r="J232" s="236"/>
      <c r="K232" s="236"/>
      <c r="L232" s="236"/>
      <c r="M232" s="236"/>
      <c r="N232" s="236"/>
      <c r="O232" s="236"/>
      <c r="P232" s="236"/>
      <c r="Q232" s="236"/>
      <c r="R232" s="236"/>
      <c r="S232" s="236"/>
      <c r="T232" s="236"/>
      <c r="U232" s="236"/>
      <c r="V232" s="236"/>
      <c r="W232" s="237"/>
      <c r="X232" s="237"/>
      <c r="Y232" s="237"/>
      <c r="Z232" s="237"/>
      <c r="AA232" s="237"/>
      <c r="AB232" s="237"/>
      <c r="AC232" s="237"/>
      <c r="AD232" s="237"/>
      <c r="AE232" s="237"/>
      <c r="AF232" s="237"/>
      <c r="AG232" s="237"/>
      <c r="AH232" s="237"/>
      <c r="AI232" s="98"/>
      <c r="AJ232" s="98"/>
      <c r="AK232" s="98"/>
      <c r="AL232" s="98"/>
      <c r="AM232" s="98"/>
      <c r="AN232" s="98"/>
      <c r="AO232" s="98"/>
    </row>
    <row r="233" ht="14.25" customHeight="1">
      <c r="A233" s="98"/>
      <c r="B233" s="98"/>
      <c r="C233" s="98"/>
      <c r="D233" s="98"/>
      <c r="E233" s="98"/>
      <c r="F233" s="235"/>
      <c r="G233" s="235"/>
      <c r="H233" s="236"/>
      <c r="I233" s="236"/>
      <c r="J233" s="236"/>
      <c r="K233" s="236"/>
      <c r="L233" s="236"/>
      <c r="M233" s="236"/>
      <c r="N233" s="236"/>
      <c r="O233" s="236"/>
      <c r="P233" s="236"/>
      <c r="Q233" s="236"/>
      <c r="R233" s="236"/>
      <c r="S233" s="236"/>
      <c r="T233" s="236"/>
      <c r="U233" s="236"/>
      <c r="V233" s="236"/>
      <c r="W233" s="237"/>
      <c r="X233" s="237"/>
      <c r="Y233" s="237"/>
      <c r="Z233" s="237"/>
      <c r="AA233" s="237"/>
      <c r="AB233" s="237"/>
      <c r="AC233" s="237"/>
      <c r="AD233" s="237"/>
      <c r="AE233" s="237"/>
      <c r="AF233" s="237"/>
      <c r="AG233" s="237"/>
      <c r="AH233" s="237"/>
      <c r="AI233" s="98"/>
      <c r="AJ233" s="98"/>
      <c r="AK233" s="98"/>
      <c r="AL233" s="98"/>
      <c r="AM233" s="98"/>
      <c r="AN233" s="98"/>
      <c r="AO233" s="98"/>
    </row>
    <row r="234" ht="14.25" customHeight="1">
      <c r="A234" s="98"/>
      <c r="B234" s="98"/>
      <c r="C234" s="98"/>
      <c r="D234" s="98"/>
      <c r="E234" s="98"/>
      <c r="F234" s="235"/>
      <c r="G234" s="235"/>
      <c r="H234" s="236"/>
      <c r="I234" s="236"/>
      <c r="J234" s="236"/>
      <c r="K234" s="236"/>
      <c r="L234" s="236"/>
      <c r="M234" s="236"/>
      <c r="N234" s="236"/>
      <c r="O234" s="236"/>
      <c r="P234" s="236"/>
      <c r="Q234" s="236"/>
      <c r="R234" s="236"/>
      <c r="S234" s="236"/>
      <c r="T234" s="236"/>
      <c r="U234" s="236"/>
      <c r="V234" s="236"/>
      <c r="W234" s="237"/>
      <c r="X234" s="237"/>
      <c r="Y234" s="237"/>
      <c r="Z234" s="237"/>
      <c r="AA234" s="237"/>
      <c r="AB234" s="237"/>
      <c r="AC234" s="237"/>
      <c r="AD234" s="237"/>
      <c r="AE234" s="237"/>
      <c r="AF234" s="237"/>
      <c r="AG234" s="237"/>
      <c r="AH234" s="237"/>
      <c r="AI234" s="98"/>
      <c r="AJ234" s="98"/>
      <c r="AK234" s="98"/>
      <c r="AL234" s="98"/>
      <c r="AM234" s="98"/>
      <c r="AN234" s="98"/>
      <c r="AO234" s="98"/>
    </row>
    <row r="235" ht="14.25" customHeight="1">
      <c r="A235" s="98"/>
      <c r="B235" s="98"/>
      <c r="C235" s="98"/>
      <c r="D235" s="98"/>
      <c r="E235" s="98"/>
      <c r="F235" s="235"/>
      <c r="G235" s="235"/>
      <c r="H235" s="236"/>
      <c r="I235" s="236"/>
      <c r="J235" s="236"/>
      <c r="K235" s="236"/>
      <c r="L235" s="236"/>
      <c r="M235" s="236"/>
      <c r="N235" s="236"/>
      <c r="O235" s="236"/>
      <c r="P235" s="236"/>
      <c r="Q235" s="236"/>
      <c r="R235" s="236"/>
      <c r="S235" s="236"/>
      <c r="T235" s="236"/>
      <c r="U235" s="236"/>
      <c r="V235" s="236"/>
      <c r="W235" s="237"/>
      <c r="X235" s="237"/>
      <c r="Y235" s="237"/>
      <c r="Z235" s="237"/>
      <c r="AA235" s="237"/>
      <c r="AB235" s="237"/>
      <c r="AC235" s="237"/>
      <c r="AD235" s="237"/>
      <c r="AE235" s="237"/>
      <c r="AF235" s="237"/>
      <c r="AG235" s="237"/>
      <c r="AH235" s="237"/>
      <c r="AI235" s="98"/>
      <c r="AJ235" s="98"/>
      <c r="AK235" s="98"/>
      <c r="AL235" s="98"/>
      <c r="AM235" s="98"/>
      <c r="AN235" s="98"/>
      <c r="AO235" s="98"/>
    </row>
    <row r="236" ht="14.25" customHeight="1">
      <c r="A236" s="98"/>
      <c r="B236" s="98"/>
      <c r="C236" s="98"/>
      <c r="D236" s="98"/>
      <c r="E236" s="98"/>
      <c r="F236" s="235"/>
      <c r="G236" s="235"/>
      <c r="H236" s="236"/>
      <c r="I236" s="236"/>
      <c r="J236" s="236"/>
      <c r="K236" s="236"/>
      <c r="L236" s="236"/>
      <c r="M236" s="236"/>
      <c r="N236" s="236"/>
      <c r="O236" s="236"/>
      <c r="P236" s="236"/>
      <c r="Q236" s="236"/>
      <c r="R236" s="236"/>
      <c r="S236" s="236"/>
      <c r="T236" s="236"/>
      <c r="U236" s="236"/>
      <c r="V236" s="236"/>
      <c r="W236" s="237"/>
      <c r="X236" s="237"/>
      <c r="Y236" s="237"/>
      <c r="Z236" s="237"/>
      <c r="AA236" s="237"/>
      <c r="AB236" s="237"/>
      <c r="AC236" s="237"/>
      <c r="AD236" s="237"/>
      <c r="AE236" s="237"/>
      <c r="AF236" s="237"/>
      <c r="AG236" s="237"/>
      <c r="AH236" s="237"/>
      <c r="AI236" s="98"/>
      <c r="AJ236" s="98"/>
      <c r="AK236" s="98"/>
      <c r="AL236" s="98"/>
      <c r="AM236" s="98"/>
      <c r="AN236" s="98"/>
      <c r="AO236" s="98"/>
    </row>
    <row r="237" ht="14.25" customHeight="1">
      <c r="A237" s="98"/>
      <c r="B237" s="98"/>
      <c r="C237" s="98"/>
      <c r="D237" s="98"/>
      <c r="E237" s="98"/>
      <c r="F237" s="235"/>
      <c r="G237" s="235"/>
      <c r="H237" s="236"/>
      <c r="I237" s="236"/>
      <c r="J237" s="236"/>
      <c r="K237" s="236"/>
      <c r="L237" s="236"/>
      <c r="M237" s="236"/>
      <c r="N237" s="236"/>
      <c r="O237" s="236"/>
      <c r="P237" s="236"/>
      <c r="Q237" s="236"/>
      <c r="R237" s="236"/>
      <c r="S237" s="236"/>
      <c r="T237" s="236"/>
      <c r="U237" s="236"/>
      <c r="V237" s="236"/>
      <c r="W237" s="237"/>
      <c r="X237" s="237"/>
      <c r="Y237" s="237"/>
      <c r="Z237" s="237"/>
      <c r="AA237" s="237"/>
      <c r="AB237" s="237"/>
      <c r="AC237" s="237"/>
      <c r="AD237" s="237"/>
      <c r="AE237" s="237"/>
      <c r="AF237" s="237"/>
      <c r="AG237" s="237"/>
      <c r="AH237" s="237"/>
      <c r="AI237" s="98"/>
      <c r="AJ237" s="98"/>
      <c r="AK237" s="98"/>
      <c r="AL237" s="98"/>
      <c r="AM237" s="98"/>
      <c r="AN237" s="98"/>
      <c r="AO237" s="98"/>
    </row>
    <row r="238" ht="14.25" customHeight="1">
      <c r="A238" s="98"/>
      <c r="B238" s="98"/>
      <c r="C238" s="98"/>
      <c r="D238" s="98"/>
      <c r="E238" s="98"/>
      <c r="F238" s="235"/>
      <c r="G238" s="235"/>
      <c r="H238" s="236"/>
      <c r="I238" s="236"/>
      <c r="J238" s="236"/>
      <c r="K238" s="236"/>
      <c r="L238" s="236"/>
      <c r="M238" s="236"/>
      <c r="N238" s="236"/>
      <c r="O238" s="236"/>
      <c r="P238" s="236"/>
      <c r="Q238" s="236"/>
      <c r="R238" s="236"/>
      <c r="S238" s="236"/>
      <c r="T238" s="236"/>
      <c r="U238" s="236"/>
      <c r="V238" s="236"/>
      <c r="W238" s="237"/>
      <c r="X238" s="237"/>
      <c r="Y238" s="237"/>
      <c r="Z238" s="237"/>
      <c r="AA238" s="237"/>
      <c r="AB238" s="237"/>
      <c r="AC238" s="237"/>
      <c r="AD238" s="237"/>
      <c r="AE238" s="237"/>
      <c r="AF238" s="237"/>
      <c r="AG238" s="237"/>
      <c r="AH238" s="237"/>
      <c r="AI238" s="98"/>
      <c r="AJ238" s="98"/>
      <c r="AK238" s="98"/>
      <c r="AL238" s="98"/>
      <c r="AM238" s="98"/>
      <c r="AN238" s="98"/>
      <c r="AO238" s="98"/>
    </row>
    <row r="239" ht="14.25" customHeight="1">
      <c r="A239" s="98"/>
      <c r="B239" s="98"/>
      <c r="C239" s="98"/>
      <c r="D239" s="98"/>
      <c r="E239" s="98"/>
      <c r="F239" s="235"/>
      <c r="G239" s="235"/>
      <c r="H239" s="236"/>
      <c r="I239" s="236"/>
      <c r="J239" s="236"/>
      <c r="K239" s="236"/>
      <c r="L239" s="236"/>
      <c r="M239" s="236"/>
      <c r="N239" s="236"/>
      <c r="O239" s="236"/>
      <c r="P239" s="236"/>
      <c r="Q239" s="236"/>
      <c r="R239" s="236"/>
      <c r="S239" s="236"/>
      <c r="T239" s="236"/>
      <c r="U239" s="236"/>
      <c r="V239" s="236"/>
      <c r="W239" s="237"/>
      <c r="X239" s="237"/>
      <c r="Y239" s="237"/>
      <c r="Z239" s="237"/>
      <c r="AA239" s="237"/>
      <c r="AB239" s="237"/>
      <c r="AC239" s="237"/>
      <c r="AD239" s="237"/>
      <c r="AE239" s="237"/>
      <c r="AF239" s="237"/>
      <c r="AG239" s="237"/>
      <c r="AH239" s="237"/>
      <c r="AI239" s="98"/>
      <c r="AJ239" s="98"/>
      <c r="AK239" s="98"/>
      <c r="AL239" s="98"/>
      <c r="AM239" s="98"/>
      <c r="AN239" s="98"/>
      <c r="AO239" s="98"/>
    </row>
    <row r="240" ht="14.25" customHeight="1">
      <c r="A240" s="98"/>
      <c r="B240" s="98"/>
      <c r="C240" s="98"/>
      <c r="D240" s="98"/>
      <c r="E240" s="98"/>
      <c r="F240" s="235"/>
      <c r="G240" s="235"/>
      <c r="H240" s="236"/>
      <c r="I240" s="236"/>
      <c r="J240" s="236"/>
      <c r="K240" s="236"/>
      <c r="L240" s="236"/>
      <c r="M240" s="236"/>
      <c r="N240" s="236"/>
      <c r="O240" s="236"/>
      <c r="P240" s="236"/>
      <c r="Q240" s="236"/>
      <c r="R240" s="236"/>
      <c r="S240" s="236"/>
      <c r="T240" s="236"/>
      <c r="U240" s="236"/>
      <c r="V240" s="236"/>
      <c r="W240" s="237"/>
      <c r="X240" s="237"/>
      <c r="Y240" s="237"/>
      <c r="Z240" s="237"/>
      <c r="AA240" s="237"/>
      <c r="AB240" s="237"/>
      <c r="AC240" s="237"/>
      <c r="AD240" s="237"/>
      <c r="AE240" s="237"/>
      <c r="AF240" s="237"/>
      <c r="AG240" s="237"/>
      <c r="AH240" s="237"/>
      <c r="AI240" s="98"/>
      <c r="AJ240" s="98"/>
      <c r="AK240" s="98"/>
      <c r="AL240" s="98"/>
      <c r="AM240" s="98"/>
      <c r="AN240" s="98"/>
      <c r="AO240" s="98"/>
    </row>
    <row r="241" ht="14.25" customHeight="1">
      <c r="A241" s="98"/>
      <c r="B241" s="98"/>
      <c r="C241" s="98"/>
      <c r="D241" s="98"/>
      <c r="E241" s="98"/>
      <c r="F241" s="235"/>
      <c r="G241" s="235"/>
      <c r="H241" s="236"/>
      <c r="I241" s="236"/>
      <c r="J241" s="236"/>
      <c r="K241" s="236"/>
      <c r="L241" s="236"/>
      <c r="M241" s="236"/>
      <c r="N241" s="236"/>
      <c r="O241" s="236"/>
      <c r="P241" s="236"/>
      <c r="Q241" s="236"/>
      <c r="R241" s="236"/>
      <c r="S241" s="236"/>
      <c r="T241" s="236"/>
      <c r="U241" s="236"/>
      <c r="V241" s="236"/>
      <c r="W241" s="237"/>
      <c r="X241" s="237"/>
      <c r="Y241" s="237"/>
      <c r="Z241" s="237"/>
      <c r="AA241" s="237"/>
      <c r="AB241" s="237"/>
      <c r="AC241" s="237"/>
      <c r="AD241" s="237"/>
      <c r="AE241" s="237"/>
      <c r="AF241" s="237"/>
      <c r="AG241" s="237"/>
      <c r="AH241" s="237"/>
      <c r="AI241" s="98"/>
      <c r="AJ241" s="98"/>
      <c r="AK241" s="98"/>
      <c r="AL241" s="98"/>
      <c r="AM241" s="98"/>
      <c r="AN241" s="98"/>
      <c r="AO241" s="98"/>
    </row>
    <row r="242" ht="14.25" customHeight="1">
      <c r="A242" s="98"/>
      <c r="B242" s="98"/>
      <c r="C242" s="98"/>
      <c r="D242" s="98"/>
      <c r="E242" s="98"/>
      <c r="F242" s="235"/>
      <c r="G242" s="235"/>
      <c r="H242" s="236"/>
      <c r="I242" s="236"/>
      <c r="J242" s="236"/>
      <c r="K242" s="236"/>
      <c r="L242" s="236"/>
      <c r="M242" s="236"/>
      <c r="N242" s="236"/>
      <c r="O242" s="236"/>
      <c r="P242" s="236"/>
      <c r="Q242" s="236"/>
      <c r="R242" s="236"/>
      <c r="S242" s="236"/>
      <c r="T242" s="236"/>
      <c r="U242" s="236"/>
      <c r="V242" s="236"/>
      <c r="W242" s="237"/>
      <c r="X242" s="237"/>
      <c r="Y242" s="237"/>
      <c r="Z242" s="237"/>
      <c r="AA242" s="237"/>
      <c r="AB242" s="237"/>
      <c r="AC242" s="237"/>
      <c r="AD242" s="237"/>
      <c r="AE242" s="237"/>
      <c r="AF242" s="237"/>
      <c r="AG242" s="237"/>
      <c r="AH242" s="237"/>
      <c r="AI242" s="98"/>
      <c r="AJ242" s="98"/>
      <c r="AK242" s="98"/>
      <c r="AL242" s="98"/>
      <c r="AM242" s="98"/>
      <c r="AN242" s="98"/>
      <c r="AO242" s="98"/>
    </row>
    <row r="243" ht="14.25" customHeight="1">
      <c r="A243" s="98"/>
      <c r="B243" s="98"/>
      <c r="C243" s="98"/>
      <c r="D243" s="98"/>
      <c r="E243" s="98"/>
      <c r="F243" s="235"/>
      <c r="G243" s="235"/>
      <c r="H243" s="236"/>
      <c r="I243" s="236"/>
      <c r="J243" s="236"/>
      <c r="K243" s="236"/>
      <c r="L243" s="236"/>
      <c r="M243" s="236"/>
      <c r="N243" s="236"/>
      <c r="O243" s="236"/>
      <c r="P243" s="236"/>
      <c r="Q243" s="236"/>
      <c r="R243" s="236"/>
      <c r="S243" s="236"/>
      <c r="T243" s="236"/>
      <c r="U243" s="236"/>
      <c r="V243" s="236"/>
      <c r="W243" s="237"/>
      <c r="X243" s="237"/>
      <c r="Y243" s="237"/>
      <c r="Z243" s="237"/>
      <c r="AA243" s="237"/>
      <c r="AB243" s="237"/>
      <c r="AC243" s="237"/>
      <c r="AD243" s="237"/>
      <c r="AE243" s="237"/>
      <c r="AF243" s="237"/>
      <c r="AG243" s="237"/>
      <c r="AH243" s="237"/>
      <c r="AI243" s="98"/>
      <c r="AJ243" s="98"/>
      <c r="AK243" s="98"/>
      <c r="AL243" s="98"/>
      <c r="AM243" s="98"/>
      <c r="AN243" s="98"/>
      <c r="AO243" s="98"/>
    </row>
    <row r="244" ht="14.25" customHeight="1">
      <c r="A244" s="98"/>
      <c r="B244" s="98"/>
      <c r="C244" s="98"/>
      <c r="D244" s="98"/>
      <c r="E244" s="98"/>
      <c r="F244" s="235"/>
      <c r="G244" s="235"/>
      <c r="H244" s="236"/>
      <c r="I244" s="236"/>
      <c r="J244" s="236"/>
      <c r="K244" s="236"/>
      <c r="L244" s="236"/>
      <c r="M244" s="236"/>
      <c r="N244" s="236"/>
      <c r="O244" s="236"/>
      <c r="P244" s="236"/>
      <c r="Q244" s="236"/>
      <c r="R244" s="236"/>
      <c r="S244" s="236"/>
      <c r="T244" s="236"/>
      <c r="U244" s="236"/>
      <c r="V244" s="236"/>
      <c r="W244" s="237"/>
      <c r="X244" s="237"/>
      <c r="Y244" s="237"/>
      <c r="Z244" s="237"/>
      <c r="AA244" s="237"/>
      <c r="AB244" s="237"/>
      <c r="AC244" s="237"/>
      <c r="AD244" s="237"/>
      <c r="AE244" s="237"/>
      <c r="AF244" s="237"/>
      <c r="AG244" s="237"/>
      <c r="AH244" s="237"/>
      <c r="AI244" s="98"/>
      <c r="AJ244" s="98"/>
      <c r="AK244" s="98"/>
      <c r="AL244" s="98"/>
      <c r="AM244" s="98"/>
      <c r="AN244" s="98"/>
      <c r="AO244" s="98"/>
    </row>
    <row r="245" ht="14.25" customHeight="1">
      <c r="A245" s="98"/>
      <c r="B245" s="98"/>
      <c r="C245" s="98"/>
      <c r="D245" s="98"/>
      <c r="E245" s="98"/>
      <c r="F245" s="235"/>
      <c r="G245" s="235"/>
      <c r="H245" s="236"/>
      <c r="I245" s="236"/>
      <c r="J245" s="236"/>
      <c r="K245" s="236"/>
      <c r="L245" s="236"/>
      <c r="M245" s="236"/>
      <c r="N245" s="236"/>
      <c r="O245" s="236"/>
      <c r="P245" s="236"/>
      <c r="Q245" s="236"/>
      <c r="R245" s="236"/>
      <c r="S245" s="236"/>
      <c r="T245" s="236"/>
      <c r="U245" s="236"/>
      <c r="V245" s="236"/>
      <c r="W245" s="237"/>
      <c r="X245" s="237"/>
      <c r="Y245" s="237"/>
      <c r="Z245" s="237"/>
      <c r="AA245" s="237"/>
      <c r="AB245" s="237"/>
      <c r="AC245" s="237"/>
      <c r="AD245" s="237"/>
      <c r="AE245" s="237"/>
      <c r="AF245" s="237"/>
      <c r="AG245" s="237"/>
      <c r="AH245" s="237"/>
      <c r="AI245" s="98"/>
      <c r="AJ245" s="98"/>
      <c r="AK245" s="98"/>
      <c r="AL245" s="98"/>
      <c r="AM245" s="98"/>
      <c r="AN245" s="98"/>
      <c r="AO245" s="98"/>
    </row>
    <row r="246" ht="14.25" customHeight="1">
      <c r="A246" s="98"/>
      <c r="B246" s="98"/>
      <c r="C246" s="98"/>
      <c r="D246" s="98"/>
      <c r="E246" s="98"/>
      <c r="F246" s="235"/>
      <c r="G246" s="235"/>
      <c r="H246" s="236"/>
      <c r="I246" s="236"/>
      <c r="J246" s="236"/>
      <c r="K246" s="236"/>
      <c r="L246" s="236"/>
      <c r="M246" s="236"/>
      <c r="N246" s="236"/>
      <c r="O246" s="236"/>
      <c r="P246" s="236"/>
      <c r="Q246" s="236"/>
      <c r="R246" s="236"/>
      <c r="S246" s="236"/>
      <c r="T246" s="236"/>
      <c r="U246" s="236"/>
      <c r="V246" s="236"/>
      <c r="W246" s="237"/>
      <c r="X246" s="237"/>
      <c r="Y246" s="237"/>
      <c r="Z246" s="237"/>
      <c r="AA246" s="237"/>
      <c r="AB246" s="237"/>
      <c r="AC246" s="237"/>
      <c r="AD246" s="237"/>
      <c r="AE246" s="237"/>
      <c r="AF246" s="237"/>
      <c r="AG246" s="237"/>
      <c r="AH246" s="237"/>
      <c r="AI246" s="98"/>
      <c r="AJ246" s="98"/>
      <c r="AK246" s="98"/>
      <c r="AL246" s="98"/>
      <c r="AM246" s="98"/>
      <c r="AN246" s="98"/>
      <c r="AO246" s="98"/>
    </row>
    <row r="247" ht="14.25" customHeight="1">
      <c r="A247" s="98"/>
      <c r="B247" s="98"/>
      <c r="C247" s="98"/>
      <c r="D247" s="98"/>
      <c r="E247" s="98"/>
      <c r="F247" s="235"/>
      <c r="G247" s="235"/>
      <c r="H247" s="236"/>
      <c r="I247" s="236"/>
      <c r="J247" s="236"/>
      <c r="K247" s="236"/>
      <c r="L247" s="236"/>
      <c r="M247" s="236"/>
      <c r="N247" s="236"/>
      <c r="O247" s="236"/>
      <c r="P247" s="236"/>
      <c r="Q247" s="236"/>
      <c r="R247" s="236"/>
      <c r="S247" s="236"/>
      <c r="T247" s="236"/>
      <c r="U247" s="236"/>
      <c r="V247" s="236"/>
      <c r="W247" s="237"/>
      <c r="X247" s="237"/>
      <c r="Y247" s="237"/>
      <c r="Z247" s="237"/>
      <c r="AA247" s="237"/>
      <c r="AB247" s="237"/>
      <c r="AC247" s="237"/>
      <c r="AD247" s="237"/>
      <c r="AE247" s="237"/>
      <c r="AF247" s="237"/>
      <c r="AG247" s="237"/>
      <c r="AH247" s="237"/>
      <c r="AI247" s="98"/>
      <c r="AJ247" s="98"/>
      <c r="AK247" s="98"/>
      <c r="AL247" s="98"/>
      <c r="AM247" s="98"/>
      <c r="AN247" s="98"/>
      <c r="AO247" s="98"/>
    </row>
    <row r="248" ht="14.25" customHeight="1">
      <c r="A248" s="98"/>
      <c r="B248" s="98"/>
      <c r="C248" s="98"/>
      <c r="D248" s="98"/>
      <c r="E248" s="98"/>
      <c r="F248" s="235"/>
      <c r="G248" s="235"/>
      <c r="H248" s="236"/>
      <c r="I248" s="236"/>
      <c r="J248" s="236"/>
      <c r="K248" s="236"/>
      <c r="L248" s="236"/>
      <c r="M248" s="236"/>
      <c r="N248" s="236"/>
      <c r="O248" s="236"/>
      <c r="P248" s="236"/>
      <c r="Q248" s="236"/>
      <c r="R248" s="236"/>
      <c r="S248" s="236"/>
      <c r="T248" s="236"/>
      <c r="U248" s="236"/>
      <c r="V248" s="236"/>
      <c r="W248" s="237"/>
      <c r="X248" s="237"/>
      <c r="Y248" s="237"/>
      <c r="Z248" s="237"/>
      <c r="AA248" s="237"/>
      <c r="AB248" s="237"/>
      <c r="AC248" s="237"/>
      <c r="AD248" s="237"/>
      <c r="AE248" s="237"/>
      <c r="AF248" s="237"/>
      <c r="AG248" s="237"/>
      <c r="AH248" s="237"/>
      <c r="AI248" s="98"/>
      <c r="AJ248" s="98"/>
      <c r="AK248" s="98"/>
      <c r="AL248" s="98"/>
      <c r="AM248" s="98"/>
      <c r="AN248" s="98"/>
      <c r="AO248" s="98"/>
    </row>
    <row r="249" ht="14.25" customHeight="1">
      <c r="A249" s="98"/>
      <c r="B249" s="98"/>
      <c r="C249" s="98"/>
      <c r="D249" s="98"/>
      <c r="E249" s="98"/>
      <c r="F249" s="235"/>
      <c r="G249" s="235"/>
      <c r="H249" s="236"/>
      <c r="I249" s="236"/>
      <c r="J249" s="236"/>
      <c r="K249" s="236"/>
      <c r="L249" s="236"/>
      <c r="M249" s="236"/>
      <c r="N249" s="236"/>
      <c r="O249" s="236"/>
      <c r="P249" s="236"/>
      <c r="Q249" s="236"/>
      <c r="R249" s="236"/>
      <c r="S249" s="236"/>
      <c r="T249" s="236"/>
      <c r="U249" s="236"/>
      <c r="V249" s="236"/>
      <c r="W249" s="237"/>
      <c r="X249" s="237"/>
      <c r="Y249" s="237"/>
      <c r="Z249" s="237"/>
      <c r="AA249" s="237"/>
      <c r="AB249" s="237"/>
      <c r="AC249" s="237"/>
      <c r="AD249" s="237"/>
      <c r="AE249" s="237"/>
      <c r="AF249" s="237"/>
      <c r="AG249" s="237"/>
      <c r="AH249" s="237"/>
      <c r="AI249" s="98"/>
      <c r="AJ249" s="98"/>
      <c r="AK249" s="98"/>
      <c r="AL249" s="98"/>
      <c r="AM249" s="98"/>
      <c r="AN249" s="98"/>
      <c r="AO249" s="98"/>
    </row>
    <row r="250" ht="14.25" customHeight="1">
      <c r="A250" s="98"/>
      <c r="B250" s="98"/>
      <c r="C250" s="98"/>
      <c r="D250" s="98"/>
      <c r="E250" s="98"/>
      <c r="F250" s="235"/>
      <c r="G250" s="235"/>
      <c r="H250" s="236"/>
      <c r="I250" s="236"/>
      <c r="J250" s="236"/>
      <c r="K250" s="236"/>
      <c r="L250" s="236"/>
      <c r="M250" s="236"/>
      <c r="N250" s="236"/>
      <c r="O250" s="236"/>
      <c r="P250" s="236"/>
      <c r="Q250" s="236"/>
      <c r="R250" s="236"/>
      <c r="S250" s="236"/>
      <c r="T250" s="236"/>
      <c r="U250" s="236"/>
      <c r="V250" s="236"/>
      <c r="W250" s="237"/>
      <c r="X250" s="237"/>
      <c r="Y250" s="237"/>
      <c r="Z250" s="237"/>
      <c r="AA250" s="237"/>
      <c r="AB250" s="237"/>
      <c r="AC250" s="237"/>
      <c r="AD250" s="237"/>
      <c r="AE250" s="237"/>
      <c r="AF250" s="237"/>
      <c r="AG250" s="237"/>
      <c r="AH250" s="237"/>
      <c r="AI250" s="98"/>
      <c r="AJ250" s="98"/>
      <c r="AK250" s="98"/>
      <c r="AL250" s="98"/>
      <c r="AM250" s="98"/>
      <c r="AN250" s="98"/>
      <c r="AO250" s="98"/>
    </row>
    <row r="251" ht="14.25" customHeight="1">
      <c r="A251" s="98"/>
      <c r="B251" s="98"/>
      <c r="C251" s="98"/>
      <c r="D251" s="98"/>
      <c r="E251" s="98"/>
      <c r="F251" s="235"/>
      <c r="G251" s="235"/>
      <c r="H251" s="236"/>
      <c r="I251" s="236"/>
      <c r="J251" s="236"/>
      <c r="K251" s="236"/>
      <c r="L251" s="236"/>
      <c r="M251" s="236"/>
      <c r="N251" s="236"/>
      <c r="O251" s="236"/>
      <c r="P251" s="236"/>
      <c r="Q251" s="236"/>
      <c r="R251" s="236"/>
      <c r="S251" s="236"/>
      <c r="T251" s="236"/>
      <c r="U251" s="236"/>
      <c r="V251" s="236"/>
      <c r="W251" s="237"/>
      <c r="X251" s="237"/>
      <c r="Y251" s="237"/>
      <c r="Z251" s="237"/>
      <c r="AA251" s="237"/>
      <c r="AB251" s="237"/>
      <c r="AC251" s="237"/>
      <c r="AD251" s="237"/>
      <c r="AE251" s="237"/>
      <c r="AF251" s="237"/>
      <c r="AG251" s="237"/>
      <c r="AH251" s="237"/>
      <c r="AI251" s="98"/>
      <c r="AJ251" s="98"/>
      <c r="AK251" s="98"/>
      <c r="AL251" s="98"/>
      <c r="AM251" s="98"/>
      <c r="AN251" s="98"/>
      <c r="AO251" s="98"/>
    </row>
    <row r="252" ht="14.25" customHeight="1">
      <c r="A252" s="98"/>
      <c r="B252" s="98"/>
      <c r="C252" s="98"/>
      <c r="D252" s="98"/>
      <c r="E252" s="98"/>
      <c r="F252" s="235"/>
      <c r="G252" s="235"/>
      <c r="H252" s="236"/>
      <c r="I252" s="236"/>
      <c r="J252" s="236"/>
      <c r="K252" s="236"/>
      <c r="L252" s="236"/>
      <c r="M252" s="236"/>
      <c r="N252" s="236"/>
      <c r="O252" s="236"/>
      <c r="P252" s="236"/>
      <c r="Q252" s="236"/>
      <c r="R252" s="236"/>
      <c r="S252" s="236"/>
      <c r="T252" s="236"/>
      <c r="U252" s="236"/>
      <c r="V252" s="236"/>
      <c r="W252" s="237"/>
      <c r="X252" s="237"/>
      <c r="Y252" s="237"/>
      <c r="Z252" s="237"/>
      <c r="AA252" s="237"/>
      <c r="AB252" s="237"/>
      <c r="AC252" s="237"/>
      <c r="AD252" s="237"/>
      <c r="AE252" s="237"/>
      <c r="AF252" s="237"/>
      <c r="AG252" s="237"/>
      <c r="AH252" s="237"/>
      <c r="AI252" s="98"/>
      <c r="AJ252" s="98"/>
      <c r="AK252" s="98"/>
      <c r="AL252" s="98"/>
      <c r="AM252" s="98"/>
      <c r="AN252" s="98"/>
      <c r="AO252" s="98"/>
    </row>
    <row r="253" ht="14.25" customHeight="1">
      <c r="A253" s="98"/>
      <c r="B253" s="98"/>
      <c r="C253" s="98"/>
      <c r="D253" s="98"/>
      <c r="E253" s="98"/>
      <c r="F253" s="235"/>
      <c r="G253" s="235"/>
      <c r="H253" s="236"/>
      <c r="I253" s="236"/>
      <c r="J253" s="236"/>
      <c r="K253" s="236"/>
      <c r="L253" s="236"/>
      <c r="M253" s="236"/>
      <c r="N253" s="236"/>
      <c r="O253" s="236"/>
      <c r="P253" s="236"/>
      <c r="Q253" s="236"/>
      <c r="R253" s="236"/>
      <c r="S253" s="236"/>
      <c r="T253" s="236"/>
      <c r="U253" s="236"/>
      <c r="V253" s="236"/>
      <c r="W253" s="237"/>
      <c r="X253" s="237"/>
      <c r="Y253" s="237"/>
      <c r="Z253" s="237"/>
      <c r="AA253" s="237"/>
      <c r="AB253" s="237"/>
      <c r="AC253" s="237"/>
      <c r="AD253" s="237"/>
      <c r="AE253" s="237"/>
      <c r="AF253" s="237"/>
      <c r="AG253" s="237"/>
      <c r="AH253" s="237"/>
      <c r="AI253" s="98"/>
      <c r="AJ253" s="98"/>
      <c r="AK253" s="98"/>
      <c r="AL253" s="98"/>
      <c r="AM253" s="98"/>
      <c r="AN253" s="98"/>
      <c r="AO253" s="98"/>
    </row>
    <row r="254" ht="14.25" customHeight="1">
      <c r="A254" s="98"/>
      <c r="B254" s="98"/>
      <c r="C254" s="98"/>
      <c r="D254" s="98"/>
      <c r="E254" s="98"/>
      <c r="F254" s="235"/>
      <c r="G254" s="235"/>
      <c r="H254" s="236"/>
      <c r="I254" s="236"/>
      <c r="J254" s="236"/>
      <c r="K254" s="236"/>
      <c r="L254" s="236"/>
      <c r="M254" s="236"/>
      <c r="N254" s="236"/>
      <c r="O254" s="236"/>
      <c r="P254" s="236"/>
      <c r="Q254" s="236"/>
      <c r="R254" s="236"/>
      <c r="S254" s="236"/>
      <c r="T254" s="236"/>
      <c r="U254" s="236"/>
      <c r="V254" s="236"/>
      <c r="W254" s="237"/>
      <c r="X254" s="237"/>
      <c r="Y254" s="237"/>
      <c r="Z254" s="237"/>
      <c r="AA254" s="237"/>
      <c r="AB254" s="237"/>
      <c r="AC254" s="237"/>
      <c r="AD254" s="237"/>
      <c r="AE254" s="237"/>
      <c r="AF254" s="237"/>
      <c r="AG254" s="237"/>
      <c r="AH254" s="237"/>
      <c r="AI254" s="98"/>
      <c r="AJ254" s="98"/>
      <c r="AK254" s="98"/>
      <c r="AL254" s="98"/>
      <c r="AM254" s="98"/>
      <c r="AN254" s="98"/>
      <c r="AO254" s="98"/>
    </row>
    <row r="255" ht="14.25" customHeight="1">
      <c r="A255" s="98"/>
      <c r="B255" s="98"/>
      <c r="C255" s="98"/>
      <c r="D255" s="98"/>
      <c r="E255" s="98"/>
      <c r="F255" s="235"/>
      <c r="G255" s="235"/>
      <c r="H255" s="236"/>
      <c r="I255" s="236"/>
      <c r="J255" s="236"/>
      <c r="K255" s="236"/>
      <c r="L255" s="236"/>
      <c r="M255" s="236"/>
      <c r="N255" s="236"/>
      <c r="O255" s="236"/>
      <c r="P255" s="236"/>
      <c r="Q255" s="236"/>
      <c r="R255" s="236"/>
      <c r="S255" s="236"/>
      <c r="T255" s="236"/>
      <c r="U255" s="236"/>
      <c r="V255" s="236"/>
      <c r="W255" s="237"/>
      <c r="X255" s="237"/>
      <c r="Y255" s="237"/>
      <c r="Z255" s="237"/>
      <c r="AA255" s="237"/>
      <c r="AB255" s="237"/>
      <c r="AC255" s="237"/>
      <c r="AD255" s="237"/>
      <c r="AE255" s="237"/>
      <c r="AF255" s="237"/>
      <c r="AG255" s="237"/>
      <c r="AH255" s="237"/>
      <c r="AI255" s="98"/>
      <c r="AJ255" s="98"/>
      <c r="AK255" s="98"/>
      <c r="AL255" s="98"/>
      <c r="AM255" s="98"/>
      <c r="AN255" s="98"/>
      <c r="AO255" s="98"/>
    </row>
    <row r="256" ht="14.25" customHeight="1">
      <c r="A256" s="98"/>
      <c r="B256" s="98"/>
      <c r="C256" s="98"/>
      <c r="D256" s="98"/>
      <c r="E256" s="98"/>
      <c r="F256" s="235"/>
      <c r="G256" s="235"/>
      <c r="H256" s="236"/>
      <c r="I256" s="236"/>
      <c r="J256" s="236"/>
      <c r="K256" s="236"/>
      <c r="L256" s="236"/>
      <c r="M256" s="236"/>
      <c r="N256" s="236"/>
      <c r="O256" s="236"/>
      <c r="P256" s="236"/>
      <c r="Q256" s="236"/>
      <c r="R256" s="236"/>
      <c r="S256" s="236"/>
      <c r="T256" s="236"/>
      <c r="U256" s="236"/>
      <c r="V256" s="236"/>
      <c r="W256" s="237"/>
      <c r="X256" s="237"/>
      <c r="Y256" s="237"/>
      <c r="Z256" s="237"/>
      <c r="AA256" s="237"/>
      <c r="AB256" s="237"/>
      <c r="AC256" s="237"/>
      <c r="AD256" s="237"/>
      <c r="AE256" s="237"/>
      <c r="AF256" s="237"/>
      <c r="AG256" s="237"/>
      <c r="AH256" s="237"/>
      <c r="AI256" s="98"/>
      <c r="AJ256" s="98"/>
      <c r="AK256" s="98"/>
      <c r="AL256" s="98"/>
      <c r="AM256" s="98"/>
      <c r="AN256" s="98"/>
      <c r="AO256" s="98"/>
    </row>
    <row r="257" ht="14.25" customHeight="1">
      <c r="A257" s="98"/>
      <c r="B257" s="98"/>
      <c r="C257" s="98"/>
      <c r="D257" s="98"/>
      <c r="E257" s="98"/>
      <c r="F257" s="235"/>
      <c r="G257" s="235"/>
      <c r="H257" s="236"/>
      <c r="I257" s="236"/>
      <c r="J257" s="236"/>
      <c r="K257" s="236"/>
      <c r="L257" s="236"/>
      <c r="M257" s="236"/>
      <c r="N257" s="236"/>
      <c r="O257" s="236"/>
      <c r="P257" s="236"/>
      <c r="Q257" s="236"/>
      <c r="R257" s="236"/>
      <c r="S257" s="236"/>
      <c r="T257" s="236"/>
      <c r="U257" s="236"/>
      <c r="V257" s="236"/>
      <c r="W257" s="237"/>
      <c r="X257" s="237"/>
      <c r="Y257" s="237"/>
      <c r="Z257" s="237"/>
      <c r="AA257" s="237"/>
      <c r="AB257" s="237"/>
      <c r="AC257" s="237"/>
      <c r="AD257" s="237"/>
      <c r="AE257" s="237"/>
      <c r="AF257" s="237"/>
      <c r="AG257" s="237"/>
      <c r="AH257" s="237"/>
      <c r="AI257" s="98"/>
      <c r="AJ257" s="98"/>
      <c r="AK257" s="98"/>
      <c r="AL257" s="98"/>
      <c r="AM257" s="98"/>
      <c r="AN257" s="98"/>
      <c r="AO257" s="98"/>
    </row>
    <row r="258" ht="14.25" customHeight="1">
      <c r="A258" s="98"/>
      <c r="B258" s="98"/>
      <c r="C258" s="98"/>
      <c r="D258" s="98"/>
      <c r="E258" s="98"/>
      <c r="F258" s="235"/>
      <c r="G258" s="235"/>
      <c r="H258" s="236"/>
      <c r="I258" s="236"/>
      <c r="J258" s="236"/>
      <c r="K258" s="236"/>
      <c r="L258" s="236"/>
      <c r="M258" s="236"/>
      <c r="N258" s="236"/>
      <c r="O258" s="236"/>
      <c r="P258" s="236"/>
      <c r="Q258" s="236"/>
      <c r="R258" s="236"/>
      <c r="S258" s="236"/>
      <c r="T258" s="236"/>
      <c r="U258" s="236"/>
      <c r="V258" s="236"/>
      <c r="W258" s="237"/>
      <c r="X258" s="237"/>
      <c r="Y258" s="237"/>
      <c r="Z258" s="237"/>
      <c r="AA258" s="237"/>
      <c r="AB258" s="237"/>
      <c r="AC258" s="237"/>
      <c r="AD258" s="237"/>
      <c r="AE258" s="237"/>
      <c r="AF258" s="237"/>
      <c r="AG258" s="237"/>
      <c r="AH258" s="237"/>
      <c r="AI258" s="98"/>
      <c r="AJ258" s="98"/>
      <c r="AK258" s="98"/>
      <c r="AL258" s="98"/>
      <c r="AM258" s="98"/>
      <c r="AN258" s="98"/>
      <c r="AO258" s="98"/>
    </row>
    <row r="259" ht="14.25" customHeight="1">
      <c r="A259" s="98"/>
      <c r="B259" s="98"/>
      <c r="C259" s="98"/>
      <c r="D259" s="98"/>
      <c r="E259" s="98"/>
      <c r="F259" s="235"/>
      <c r="G259" s="235"/>
      <c r="H259" s="236"/>
      <c r="I259" s="236"/>
      <c r="J259" s="236"/>
      <c r="K259" s="236"/>
      <c r="L259" s="236"/>
      <c r="M259" s="236"/>
      <c r="N259" s="236"/>
      <c r="O259" s="236"/>
      <c r="P259" s="236"/>
      <c r="Q259" s="236"/>
      <c r="R259" s="236"/>
      <c r="S259" s="236"/>
      <c r="T259" s="236"/>
      <c r="U259" s="236"/>
      <c r="V259" s="236"/>
      <c r="W259" s="237"/>
      <c r="X259" s="237"/>
      <c r="Y259" s="237"/>
      <c r="Z259" s="237"/>
      <c r="AA259" s="237"/>
      <c r="AB259" s="237"/>
      <c r="AC259" s="237"/>
      <c r="AD259" s="237"/>
      <c r="AE259" s="237"/>
      <c r="AF259" s="237"/>
      <c r="AG259" s="237"/>
      <c r="AH259" s="237"/>
      <c r="AI259" s="98"/>
      <c r="AJ259" s="98"/>
      <c r="AK259" s="98"/>
      <c r="AL259" s="98"/>
      <c r="AM259" s="98"/>
      <c r="AN259" s="98"/>
      <c r="AO259" s="98"/>
    </row>
    <row r="260" ht="14.25" customHeight="1">
      <c r="A260" s="98"/>
      <c r="B260" s="98"/>
      <c r="C260" s="98"/>
      <c r="D260" s="98"/>
      <c r="E260" s="98"/>
      <c r="F260" s="235"/>
      <c r="G260" s="235"/>
      <c r="H260" s="236"/>
      <c r="I260" s="236"/>
      <c r="J260" s="236"/>
      <c r="K260" s="236"/>
      <c r="L260" s="236"/>
      <c r="M260" s="236"/>
      <c r="N260" s="236"/>
      <c r="O260" s="236"/>
      <c r="P260" s="236"/>
      <c r="Q260" s="236"/>
      <c r="R260" s="236"/>
      <c r="S260" s="236"/>
      <c r="T260" s="236"/>
      <c r="U260" s="236"/>
      <c r="V260" s="236"/>
      <c r="W260" s="237"/>
      <c r="X260" s="237"/>
      <c r="Y260" s="237"/>
      <c r="Z260" s="237"/>
      <c r="AA260" s="237"/>
      <c r="AB260" s="237"/>
      <c r="AC260" s="237"/>
      <c r="AD260" s="237"/>
      <c r="AE260" s="237"/>
      <c r="AF260" s="237"/>
      <c r="AG260" s="237"/>
      <c r="AH260" s="237"/>
      <c r="AI260" s="98"/>
      <c r="AJ260" s="98"/>
      <c r="AK260" s="98"/>
      <c r="AL260" s="98"/>
      <c r="AM260" s="98"/>
      <c r="AN260" s="98"/>
      <c r="AO260" s="98"/>
    </row>
    <row r="261" ht="14.25" customHeight="1">
      <c r="A261" s="98"/>
      <c r="B261" s="98"/>
      <c r="C261" s="98"/>
      <c r="D261" s="98"/>
      <c r="E261" s="98"/>
      <c r="F261" s="235"/>
      <c r="G261" s="235"/>
      <c r="H261" s="236"/>
      <c r="I261" s="236"/>
      <c r="J261" s="236"/>
      <c r="K261" s="236"/>
      <c r="L261" s="236"/>
      <c r="M261" s="236"/>
      <c r="N261" s="236"/>
      <c r="O261" s="236"/>
      <c r="P261" s="236"/>
      <c r="Q261" s="236"/>
      <c r="R261" s="236"/>
      <c r="S261" s="236"/>
      <c r="T261" s="236"/>
      <c r="U261" s="236"/>
      <c r="V261" s="236"/>
      <c r="W261" s="237"/>
      <c r="X261" s="237"/>
      <c r="Y261" s="237"/>
      <c r="Z261" s="237"/>
      <c r="AA261" s="237"/>
      <c r="AB261" s="237"/>
      <c r="AC261" s="237"/>
      <c r="AD261" s="237"/>
      <c r="AE261" s="237"/>
      <c r="AF261" s="237"/>
      <c r="AG261" s="237"/>
      <c r="AH261" s="237"/>
      <c r="AI261" s="98"/>
      <c r="AJ261" s="98"/>
      <c r="AK261" s="98"/>
      <c r="AL261" s="98"/>
      <c r="AM261" s="98"/>
      <c r="AN261" s="98"/>
      <c r="AO261" s="98"/>
    </row>
    <row r="262" ht="14.25" customHeight="1">
      <c r="A262" s="98"/>
      <c r="B262" s="98"/>
      <c r="C262" s="98"/>
      <c r="D262" s="98"/>
      <c r="E262" s="98"/>
      <c r="F262" s="235"/>
      <c r="G262" s="235"/>
      <c r="H262" s="236"/>
      <c r="I262" s="236"/>
      <c r="J262" s="236"/>
      <c r="K262" s="236"/>
      <c r="L262" s="236"/>
      <c r="M262" s="236"/>
      <c r="N262" s="236"/>
      <c r="O262" s="236"/>
      <c r="P262" s="236"/>
      <c r="Q262" s="236"/>
      <c r="R262" s="236"/>
      <c r="S262" s="236"/>
      <c r="T262" s="236"/>
      <c r="U262" s="236"/>
      <c r="V262" s="236"/>
      <c r="W262" s="237"/>
      <c r="X262" s="237"/>
      <c r="Y262" s="237"/>
      <c r="Z262" s="237"/>
      <c r="AA262" s="237"/>
      <c r="AB262" s="237"/>
      <c r="AC262" s="237"/>
      <c r="AD262" s="237"/>
      <c r="AE262" s="237"/>
      <c r="AF262" s="237"/>
      <c r="AG262" s="237"/>
      <c r="AH262" s="237"/>
      <c r="AI262" s="98"/>
      <c r="AJ262" s="98"/>
      <c r="AK262" s="98"/>
      <c r="AL262" s="98"/>
      <c r="AM262" s="98"/>
      <c r="AN262" s="98"/>
      <c r="AO262" s="98"/>
    </row>
    <row r="263" ht="14.25" customHeight="1">
      <c r="A263" s="98"/>
      <c r="B263" s="98"/>
      <c r="C263" s="98"/>
      <c r="D263" s="98"/>
      <c r="E263" s="98"/>
      <c r="F263" s="235"/>
      <c r="G263" s="235"/>
      <c r="H263" s="236"/>
      <c r="I263" s="236"/>
      <c r="J263" s="236"/>
      <c r="K263" s="236"/>
      <c r="L263" s="236"/>
      <c r="M263" s="236"/>
      <c r="N263" s="236"/>
      <c r="O263" s="236"/>
      <c r="P263" s="236"/>
      <c r="Q263" s="236"/>
      <c r="R263" s="236"/>
      <c r="S263" s="236"/>
      <c r="T263" s="236"/>
      <c r="U263" s="236"/>
      <c r="V263" s="236"/>
      <c r="W263" s="237"/>
      <c r="X263" s="237"/>
      <c r="Y263" s="237"/>
      <c r="Z263" s="237"/>
      <c r="AA263" s="237"/>
      <c r="AB263" s="237"/>
      <c r="AC263" s="237"/>
      <c r="AD263" s="237"/>
      <c r="AE263" s="237"/>
      <c r="AF263" s="237"/>
      <c r="AG263" s="237"/>
      <c r="AH263" s="237"/>
      <c r="AI263" s="98"/>
      <c r="AJ263" s="98"/>
      <c r="AK263" s="98"/>
      <c r="AL263" s="98"/>
      <c r="AM263" s="98"/>
      <c r="AN263" s="98"/>
      <c r="AO263" s="98"/>
    </row>
    <row r="264" ht="14.25" customHeight="1">
      <c r="A264" s="98"/>
      <c r="B264" s="98"/>
      <c r="C264" s="98"/>
      <c r="D264" s="98"/>
      <c r="E264" s="98"/>
      <c r="F264" s="235"/>
      <c r="G264" s="235"/>
      <c r="H264" s="236"/>
      <c r="I264" s="236"/>
      <c r="J264" s="236"/>
      <c r="K264" s="236"/>
      <c r="L264" s="236"/>
      <c r="M264" s="236"/>
      <c r="N264" s="236"/>
      <c r="O264" s="236"/>
      <c r="P264" s="236"/>
      <c r="Q264" s="236"/>
      <c r="R264" s="236"/>
      <c r="S264" s="236"/>
      <c r="T264" s="236"/>
      <c r="U264" s="236"/>
      <c r="V264" s="236"/>
      <c r="W264" s="237"/>
      <c r="X264" s="237"/>
      <c r="Y264" s="237"/>
      <c r="Z264" s="237"/>
      <c r="AA264" s="237"/>
      <c r="AB264" s="237"/>
      <c r="AC264" s="237"/>
      <c r="AD264" s="237"/>
      <c r="AE264" s="237"/>
      <c r="AF264" s="237"/>
      <c r="AG264" s="237"/>
      <c r="AH264" s="237"/>
      <c r="AI264" s="98"/>
      <c r="AJ264" s="98"/>
      <c r="AK264" s="98"/>
      <c r="AL264" s="98"/>
      <c r="AM264" s="98"/>
      <c r="AN264" s="98"/>
      <c r="AO264" s="98"/>
    </row>
    <row r="265" ht="14.25" customHeight="1">
      <c r="A265" s="98"/>
      <c r="B265" s="98"/>
      <c r="C265" s="98"/>
      <c r="D265" s="98"/>
      <c r="E265" s="98"/>
      <c r="F265" s="235"/>
      <c r="G265" s="235"/>
      <c r="H265" s="236"/>
      <c r="I265" s="236"/>
      <c r="J265" s="236"/>
      <c r="K265" s="236"/>
      <c r="L265" s="236"/>
      <c r="M265" s="236"/>
      <c r="N265" s="236"/>
      <c r="O265" s="236"/>
      <c r="P265" s="236"/>
      <c r="Q265" s="236"/>
      <c r="R265" s="236"/>
      <c r="S265" s="236"/>
      <c r="T265" s="236"/>
      <c r="U265" s="236"/>
      <c r="V265" s="236"/>
      <c r="W265" s="237"/>
      <c r="X265" s="237"/>
      <c r="Y265" s="237"/>
      <c r="Z265" s="237"/>
      <c r="AA265" s="237"/>
      <c r="AB265" s="237"/>
      <c r="AC265" s="237"/>
      <c r="AD265" s="237"/>
      <c r="AE265" s="237"/>
      <c r="AF265" s="237"/>
      <c r="AG265" s="237"/>
      <c r="AH265" s="237"/>
      <c r="AI265" s="98"/>
      <c r="AJ265" s="98"/>
      <c r="AK265" s="98"/>
      <c r="AL265" s="98"/>
      <c r="AM265" s="98"/>
      <c r="AN265" s="98"/>
      <c r="AO265" s="98"/>
    </row>
    <row r="266" ht="14.25" customHeight="1">
      <c r="A266" s="98"/>
      <c r="B266" s="98"/>
      <c r="C266" s="98"/>
      <c r="D266" s="98"/>
      <c r="E266" s="98"/>
      <c r="F266" s="235"/>
      <c r="G266" s="235"/>
      <c r="H266" s="236"/>
      <c r="I266" s="236"/>
      <c r="J266" s="236"/>
      <c r="K266" s="236"/>
      <c r="L266" s="236"/>
      <c r="M266" s="236"/>
      <c r="N266" s="236"/>
      <c r="O266" s="236"/>
      <c r="P266" s="236"/>
      <c r="Q266" s="236"/>
      <c r="R266" s="236"/>
      <c r="S266" s="236"/>
      <c r="T266" s="236"/>
      <c r="U266" s="236"/>
      <c r="V266" s="236"/>
      <c r="W266" s="237"/>
      <c r="X266" s="237"/>
      <c r="Y266" s="237"/>
      <c r="Z266" s="237"/>
      <c r="AA266" s="237"/>
      <c r="AB266" s="237"/>
      <c r="AC266" s="237"/>
      <c r="AD266" s="237"/>
      <c r="AE266" s="237"/>
      <c r="AF266" s="237"/>
      <c r="AG266" s="237"/>
      <c r="AH266" s="237"/>
      <c r="AI266" s="98"/>
      <c r="AJ266" s="98"/>
      <c r="AK266" s="98"/>
      <c r="AL266" s="98"/>
      <c r="AM266" s="98"/>
      <c r="AN266" s="98"/>
      <c r="AO266" s="98"/>
    </row>
    <row r="267" ht="14.25" customHeight="1">
      <c r="A267" s="98"/>
      <c r="B267" s="98"/>
      <c r="C267" s="98"/>
      <c r="D267" s="98"/>
      <c r="E267" s="98"/>
      <c r="F267" s="235"/>
      <c r="G267" s="235"/>
      <c r="H267" s="236"/>
      <c r="I267" s="236"/>
      <c r="J267" s="236"/>
      <c r="K267" s="236"/>
      <c r="L267" s="236"/>
      <c r="M267" s="236"/>
      <c r="N267" s="236"/>
      <c r="O267" s="236"/>
      <c r="P267" s="236"/>
      <c r="Q267" s="236"/>
      <c r="R267" s="236"/>
      <c r="S267" s="236"/>
      <c r="T267" s="236"/>
      <c r="U267" s="236"/>
      <c r="V267" s="236"/>
      <c r="W267" s="237"/>
      <c r="X267" s="237"/>
      <c r="Y267" s="237"/>
      <c r="Z267" s="237"/>
      <c r="AA267" s="237"/>
      <c r="AB267" s="237"/>
      <c r="AC267" s="237"/>
      <c r="AD267" s="237"/>
      <c r="AE267" s="237"/>
      <c r="AF267" s="237"/>
      <c r="AG267" s="237"/>
      <c r="AH267" s="237"/>
      <c r="AI267" s="98"/>
      <c r="AJ267" s="98"/>
      <c r="AK267" s="98"/>
      <c r="AL267" s="98"/>
      <c r="AM267" s="98"/>
      <c r="AN267" s="98"/>
      <c r="AO267" s="98"/>
    </row>
    <row r="268" ht="14.25" customHeight="1">
      <c r="A268" s="98"/>
      <c r="B268" s="98"/>
      <c r="C268" s="98"/>
      <c r="D268" s="98"/>
      <c r="E268" s="98"/>
      <c r="F268" s="235"/>
      <c r="G268" s="235"/>
      <c r="H268" s="236"/>
      <c r="I268" s="236"/>
      <c r="J268" s="236"/>
      <c r="K268" s="236"/>
      <c r="L268" s="236"/>
      <c r="M268" s="236"/>
      <c r="N268" s="236"/>
      <c r="O268" s="236"/>
      <c r="P268" s="236"/>
      <c r="Q268" s="236"/>
      <c r="R268" s="236"/>
      <c r="S268" s="236"/>
      <c r="T268" s="236"/>
      <c r="U268" s="236"/>
      <c r="V268" s="236"/>
      <c r="W268" s="237"/>
      <c r="X268" s="237"/>
      <c r="Y268" s="237"/>
      <c r="Z268" s="237"/>
      <c r="AA268" s="237"/>
      <c r="AB268" s="237"/>
      <c r="AC268" s="237"/>
      <c r="AD268" s="237"/>
      <c r="AE268" s="237"/>
      <c r="AF268" s="237"/>
      <c r="AG268" s="237"/>
      <c r="AH268" s="237"/>
      <c r="AI268" s="98"/>
      <c r="AJ268" s="98"/>
      <c r="AK268" s="98"/>
      <c r="AL268" s="98"/>
      <c r="AM268" s="98"/>
      <c r="AN268" s="98"/>
      <c r="AO268" s="98"/>
    </row>
    <row r="269" ht="14.25" customHeight="1">
      <c r="A269" s="98"/>
      <c r="B269" s="98"/>
      <c r="C269" s="98"/>
      <c r="D269" s="98"/>
      <c r="E269" s="98"/>
      <c r="F269" s="235"/>
      <c r="G269" s="235"/>
      <c r="H269" s="236"/>
      <c r="I269" s="236"/>
      <c r="J269" s="236"/>
      <c r="K269" s="236"/>
      <c r="L269" s="236"/>
      <c r="M269" s="236"/>
      <c r="N269" s="236"/>
      <c r="O269" s="236"/>
      <c r="P269" s="236"/>
      <c r="Q269" s="236"/>
      <c r="R269" s="236"/>
      <c r="S269" s="236"/>
      <c r="T269" s="236"/>
      <c r="U269" s="236"/>
      <c r="V269" s="236"/>
      <c r="W269" s="237"/>
      <c r="X269" s="237"/>
      <c r="Y269" s="237"/>
      <c r="Z269" s="237"/>
      <c r="AA269" s="237"/>
      <c r="AB269" s="237"/>
      <c r="AC269" s="237"/>
      <c r="AD269" s="237"/>
      <c r="AE269" s="237"/>
      <c r="AF269" s="237"/>
      <c r="AG269" s="237"/>
      <c r="AH269" s="237"/>
      <c r="AI269" s="98"/>
      <c r="AJ269" s="98"/>
      <c r="AK269" s="98"/>
      <c r="AL269" s="98"/>
      <c r="AM269" s="98"/>
      <c r="AN269" s="98"/>
      <c r="AO269" s="98"/>
    </row>
    <row r="270" ht="14.25" customHeight="1">
      <c r="A270" s="98"/>
      <c r="B270" s="98"/>
      <c r="C270" s="98"/>
      <c r="D270" s="98"/>
      <c r="E270" s="98"/>
      <c r="F270" s="235"/>
      <c r="G270" s="235"/>
      <c r="H270" s="236"/>
      <c r="I270" s="236"/>
      <c r="J270" s="236"/>
      <c r="K270" s="236"/>
      <c r="L270" s="236"/>
      <c r="M270" s="236"/>
      <c r="N270" s="236"/>
      <c r="O270" s="236"/>
      <c r="P270" s="236"/>
      <c r="Q270" s="236"/>
      <c r="R270" s="236"/>
      <c r="S270" s="236"/>
      <c r="T270" s="236"/>
      <c r="U270" s="236"/>
      <c r="V270" s="236"/>
      <c r="W270" s="237"/>
      <c r="X270" s="237"/>
      <c r="Y270" s="237"/>
      <c r="Z270" s="237"/>
      <c r="AA270" s="237"/>
      <c r="AB270" s="237"/>
      <c r="AC270" s="237"/>
      <c r="AD270" s="237"/>
      <c r="AE270" s="237"/>
      <c r="AF270" s="237"/>
      <c r="AG270" s="237"/>
      <c r="AH270" s="237"/>
      <c r="AI270" s="98"/>
      <c r="AJ270" s="98"/>
      <c r="AK270" s="98"/>
      <c r="AL270" s="98"/>
      <c r="AM270" s="98"/>
      <c r="AN270" s="98"/>
      <c r="AO270" s="98"/>
    </row>
    <row r="271" ht="14.25" customHeight="1">
      <c r="A271" s="98"/>
      <c r="B271" s="98"/>
      <c r="C271" s="98"/>
      <c r="D271" s="98"/>
      <c r="E271" s="98"/>
      <c r="F271" s="235"/>
      <c r="G271" s="235"/>
      <c r="H271" s="236"/>
      <c r="I271" s="236"/>
      <c r="J271" s="236"/>
      <c r="K271" s="236"/>
      <c r="L271" s="236"/>
      <c r="M271" s="236"/>
      <c r="N271" s="236"/>
      <c r="O271" s="236"/>
      <c r="P271" s="236"/>
      <c r="Q271" s="236"/>
      <c r="R271" s="236"/>
      <c r="S271" s="236"/>
      <c r="T271" s="236"/>
      <c r="U271" s="236"/>
      <c r="V271" s="236"/>
      <c r="W271" s="237"/>
      <c r="X271" s="237"/>
      <c r="Y271" s="237"/>
      <c r="Z271" s="237"/>
      <c r="AA271" s="237"/>
      <c r="AB271" s="237"/>
      <c r="AC271" s="237"/>
      <c r="AD271" s="237"/>
      <c r="AE271" s="237"/>
      <c r="AF271" s="237"/>
      <c r="AG271" s="237"/>
      <c r="AH271" s="237"/>
      <c r="AI271" s="98"/>
      <c r="AJ271" s="98"/>
      <c r="AK271" s="98"/>
      <c r="AL271" s="98"/>
      <c r="AM271" s="98"/>
      <c r="AN271" s="98"/>
      <c r="AO271" s="98"/>
    </row>
    <row r="272" ht="14.25" customHeight="1">
      <c r="A272" s="98"/>
      <c r="B272" s="98"/>
      <c r="C272" s="98"/>
      <c r="D272" s="98"/>
      <c r="E272" s="98"/>
      <c r="F272" s="235"/>
      <c r="G272" s="235"/>
      <c r="H272" s="236"/>
      <c r="I272" s="236"/>
      <c r="J272" s="236"/>
      <c r="K272" s="236"/>
      <c r="L272" s="236"/>
      <c r="M272" s="236"/>
      <c r="N272" s="236"/>
      <c r="O272" s="236"/>
      <c r="P272" s="236"/>
      <c r="Q272" s="236"/>
      <c r="R272" s="236"/>
      <c r="S272" s="236"/>
      <c r="T272" s="236"/>
      <c r="U272" s="236"/>
      <c r="V272" s="236"/>
      <c r="W272" s="237"/>
      <c r="X272" s="237"/>
      <c r="Y272" s="237"/>
      <c r="Z272" s="237"/>
      <c r="AA272" s="237"/>
      <c r="AB272" s="237"/>
      <c r="AC272" s="237"/>
      <c r="AD272" s="237"/>
      <c r="AE272" s="237"/>
      <c r="AF272" s="237"/>
      <c r="AG272" s="237"/>
      <c r="AH272" s="237"/>
      <c r="AI272" s="98"/>
      <c r="AJ272" s="98"/>
      <c r="AK272" s="98"/>
      <c r="AL272" s="98"/>
      <c r="AM272" s="98"/>
      <c r="AN272" s="98"/>
      <c r="AO272" s="98"/>
    </row>
    <row r="273" ht="14.25" customHeight="1">
      <c r="A273" s="98"/>
      <c r="B273" s="98"/>
      <c r="C273" s="98"/>
      <c r="D273" s="98"/>
      <c r="E273" s="98"/>
      <c r="F273" s="235"/>
      <c r="G273" s="235"/>
      <c r="H273" s="236"/>
      <c r="I273" s="236"/>
      <c r="J273" s="236"/>
      <c r="K273" s="236"/>
      <c r="L273" s="236"/>
      <c r="M273" s="236"/>
      <c r="N273" s="236"/>
      <c r="O273" s="236"/>
      <c r="P273" s="236"/>
      <c r="Q273" s="236"/>
      <c r="R273" s="236"/>
      <c r="S273" s="236"/>
      <c r="T273" s="236"/>
      <c r="U273" s="236"/>
      <c r="V273" s="236"/>
      <c r="W273" s="237"/>
      <c r="X273" s="237"/>
      <c r="Y273" s="237"/>
      <c r="Z273" s="237"/>
      <c r="AA273" s="237"/>
      <c r="AB273" s="237"/>
      <c r="AC273" s="237"/>
      <c r="AD273" s="237"/>
      <c r="AE273" s="237"/>
      <c r="AF273" s="237"/>
      <c r="AG273" s="237"/>
      <c r="AH273" s="237"/>
      <c r="AI273" s="98"/>
      <c r="AJ273" s="98"/>
      <c r="AK273" s="98"/>
      <c r="AL273" s="98"/>
      <c r="AM273" s="98"/>
      <c r="AN273" s="98"/>
      <c r="AO273" s="98"/>
    </row>
    <row r="274" ht="14.25" customHeight="1">
      <c r="A274" s="98"/>
      <c r="B274" s="98"/>
      <c r="C274" s="98"/>
      <c r="D274" s="98"/>
      <c r="E274" s="98"/>
      <c r="F274" s="235"/>
      <c r="G274" s="235"/>
      <c r="H274" s="236"/>
      <c r="I274" s="236"/>
      <c r="J274" s="236"/>
      <c r="K274" s="236"/>
      <c r="L274" s="236"/>
      <c r="M274" s="236"/>
      <c r="N274" s="236"/>
      <c r="O274" s="236"/>
      <c r="P274" s="236"/>
      <c r="Q274" s="236"/>
      <c r="R274" s="236"/>
      <c r="S274" s="236"/>
      <c r="T274" s="236"/>
      <c r="U274" s="236"/>
      <c r="V274" s="236"/>
      <c r="W274" s="237"/>
      <c r="X274" s="237"/>
      <c r="Y274" s="237"/>
      <c r="Z274" s="237"/>
      <c r="AA274" s="237"/>
      <c r="AB274" s="237"/>
      <c r="AC274" s="237"/>
      <c r="AD274" s="237"/>
      <c r="AE274" s="237"/>
      <c r="AF274" s="237"/>
      <c r="AG274" s="237"/>
      <c r="AH274" s="237"/>
      <c r="AI274" s="98"/>
      <c r="AJ274" s="98"/>
      <c r="AK274" s="98"/>
      <c r="AL274" s="98"/>
      <c r="AM274" s="98"/>
      <c r="AN274" s="98"/>
      <c r="AO274" s="98"/>
    </row>
    <row r="275" ht="14.25" customHeight="1">
      <c r="A275" s="98"/>
      <c r="B275" s="98"/>
      <c r="C275" s="98"/>
      <c r="D275" s="98"/>
      <c r="E275" s="98"/>
      <c r="F275" s="235"/>
      <c r="G275" s="235"/>
      <c r="H275" s="236"/>
      <c r="I275" s="236"/>
      <c r="J275" s="236"/>
      <c r="K275" s="236"/>
      <c r="L275" s="236"/>
      <c r="M275" s="236"/>
      <c r="N275" s="236"/>
      <c r="O275" s="236"/>
      <c r="P275" s="236"/>
      <c r="Q275" s="236"/>
      <c r="R275" s="236"/>
      <c r="S275" s="236"/>
      <c r="T275" s="236"/>
      <c r="U275" s="236"/>
      <c r="V275" s="236"/>
      <c r="W275" s="237"/>
      <c r="X275" s="237"/>
      <c r="Y275" s="237"/>
      <c r="Z275" s="237"/>
      <c r="AA275" s="237"/>
      <c r="AB275" s="237"/>
      <c r="AC275" s="237"/>
      <c r="AD275" s="237"/>
      <c r="AE275" s="237"/>
      <c r="AF275" s="237"/>
      <c r="AG275" s="237"/>
      <c r="AH275" s="237"/>
      <c r="AI275" s="98"/>
      <c r="AJ275" s="98"/>
      <c r="AK275" s="98"/>
      <c r="AL275" s="98"/>
      <c r="AM275" s="98"/>
      <c r="AN275" s="98"/>
      <c r="AO275" s="98"/>
    </row>
    <row r="276" ht="14.25" customHeight="1">
      <c r="A276" s="98"/>
      <c r="B276" s="98"/>
      <c r="C276" s="98"/>
      <c r="D276" s="98"/>
      <c r="E276" s="98"/>
      <c r="F276" s="235"/>
      <c r="G276" s="235"/>
      <c r="H276" s="236"/>
      <c r="I276" s="236"/>
      <c r="J276" s="236"/>
      <c r="K276" s="236"/>
      <c r="L276" s="236"/>
      <c r="M276" s="236"/>
      <c r="N276" s="236"/>
      <c r="O276" s="236"/>
      <c r="P276" s="236"/>
      <c r="Q276" s="236"/>
      <c r="R276" s="236"/>
      <c r="S276" s="236"/>
      <c r="T276" s="236"/>
      <c r="U276" s="236"/>
      <c r="V276" s="236"/>
      <c r="W276" s="237"/>
      <c r="X276" s="237"/>
      <c r="Y276" s="237"/>
      <c r="Z276" s="237"/>
      <c r="AA276" s="237"/>
      <c r="AB276" s="237"/>
      <c r="AC276" s="237"/>
      <c r="AD276" s="237"/>
      <c r="AE276" s="237"/>
      <c r="AF276" s="237"/>
      <c r="AG276" s="237"/>
      <c r="AH276" s="237"/>
      <c r="AI276" s="98"/>
      <c r="AJ276" s="98"/>
      <c r="AK276" s="98"/>
      <c r="AL276" s="98"/>
      <c r="AM276" s="98"/>
      <c r="AN276" s="98"/>
      <c r="AO276" s="98"/>
    </row>
    <row r="277" ht="14.25" customHeight="1">
      <c r="A277" s="98"/>
      <c r="B277" s="98"/>
      <c r="C277" s="98"/>
      <c r="D277" s="98"/>
      <c r="E277" s="98"/>
      <c r="F277" s="235"/>
      <c r="G277" s="235"/>
      <c r="H277" s="236"/>
      <c r="I277" s="236"/>
      <c r="J277" s="236"/>
      <c r="K277" s="236"/>
      <c r="L277" s="236"/>
      <c r="M277" s="236"/>
      <c r="N277" s="236"/>
      <c r="O277" s="236"/>
      <c r="P277" s="236"/>
      <c r="Q277" s="236"/>
      <c r="R277" s="236"/>
      <c r="S277" s="236"/>
      <c r="T277" s="236"/>
      <c r="U277" s="236"/>
      <c r="V277" s="236"/>
      <c r="W277" s="237"/>
      <c r="X277" s="237"/>
      <c r="Y277" s="237"/>
      <c r="Z277" s="237"/>
      <c r="AA277" s="237"/>
      <c r="AB277" s="237"/>
      <c r="AC277" s="237"/>
      <c r="AD277" s="237"/>
      <c r="AE277" s="237"/>
      <c r="AF277" s="237"/>
      <c r="AG277" s="237"/>
      <c r="AH277" s="237"/>
      <c r="AI277" s="98"/>
      <c r="AJ277" s="98"/>
      <c r="AK277" s="98"/>
      <c r="AL277" s="98"/>
      <c r="AM277" s="98"/>
      <c r="AN277" s="98"/>
      <c r="AO277" s="98"/>
    </row>
    <row r="278" ht="14.25" customHeight="1">
      <c r="A278" s="98"/>
      <c r="B278" s="98"/>
      <c r="C278" s="98"/>
      <c r="D278" s="98"/>
      <c r="E278" s="98"/>
      <c r="F278" s="235"/>
      <c r="G278" s="235"/>
      <c r="H278" s="236"/>
      <c r="I278" s="236"/>
      <c r="J278" s="236"/>
      <c r="K278" s="236"/>
      <c r="L278" s="236"/>
      <c r="M278" s="236"/>
      <c r="N278" s="236"/>
      <c r="O278" s="236"/>
      <c r="P278" s="236"/>
      <c r="Q278" s="236"/>
      <c r="R278" s="236"/>
      <c r="S278" s="236"/>
      <c r="T278" s="236"/>
      <c r="U278" s="236"/>
      <c r="V278" s="236"/>
      <c r="W278" s="237"/>
      <c r="X278" s="237"/>
      <c r="Y278" s="237"/>
      <c r="Z278" s="237"/>
      <c r="AA278" s="237"/>
      <c r="AB278" s="237"/>
      <c r="AC278" s="237"/>
      <c r="AD278" s="237"/>
      <c r="AE278" s="237"/>
      <c r="AF278" s="237"/>
      <c r="AG278" s="237"/>
      <c r="AH278" s="237"/>
      <c r="AI278" s="98"/>
      <c r="AJ278" s="98"/>
      <c r="AK278" s="98"/>
      <c r="AL278" s="98"/>
      <c r="AM278" s="98"/>
      <c r="AN278" s="98"/>
      <c r="AO278" s="98"/>
    </row>
    <row r="279" ht="14.25" customHeight="1">
      <c r="A279" s="98"/>
      <c r="B279" s="98"/>
      <c r="C279" s="98"/>
      <c r="D279" s="98"/>
      <c r="E279" s="98"/>
      <c r="F279" s="235"/>
      <c r="G279" s="235"/>
      <c r="H279" s="236"/>
      <c r="I279" s="236"/>
      <c r="J279" s="236"/>
      <c r="K279" s="236"/>
      <c r="L279" s="236"/>
      <c r="M279" s="236"/>
      <c r="N279" s="236"/>
      <c r="O279" s="236"/>
      <c r="P279" s="236"/>
      <c r="Q279" s="236"/>
      <c r="R279" s="236"/>
      <c r="S279" s="236"/>
      <c r="T279" s="236"/>
      <c r="U279" s="236"/>
      <c r="V279" s="236"/>
      <c r="W279" s="237"/>
      <c r="X279" s="237"/>
      <c r="Y279" s="237"/>
      <c r="Z279" s="237"/>
      <c r="AA279" s="237"/>
      <c r="AB279" s="237"/>
      <c r="AC279" s="237"/>
      <c r="AD279" s="237"/>
      <c r="AE279" s="237"/>
      <c r="AF279" s="237"/>
      <c r="AG279" s="237"/>
      <c r="AH279" s="237"/>
      <c r="AI279" s="98"/>
      <c r="AJ279" s="98"/>
      <c r="AK279" s="98"/>
      <c r="AL279" s="98"/>
      <c r="AM279" s="98"/>
      <c r="AN279" s="98"/>
      <c r="AO279" s="98"/>
    </row>
    <row r="280" ht="14.25" customHeight="1">
      <c r="A280" s="98"/>
      <c r="B280" s="98"/>
      <c r="C280" s="98"/>
      <c r="D280" s="98"/>
      <c r="E280" s="98"/>
      <c r="F280" s="235"/>
      <c r="G280" s="235"/>
      <c r="H280" s="236"/>
      <c r="I280" s="236"/>
      <c r="J280" s="236"/>
      <c r="K280" s="236"/>
      <c r="L280" s="236"/>
      <c r="M280" s="236"/>
      <c r="N280" s="236"/>
      <c r="O280" s="236"/>
      <c r="P280" s="236"/>
      <c r="Q280" s="236"/>
      <c r="R280" s="236"/>
      <c r="S280" s="236"/>
      <c r="T280" s="236"/>
      <c r="U280" s="236"/>
      <c r="V280" s="236"/>
      <c r="W280" s="237"/>
      <c r="X280" s="237"/>
      <c r="Y280" s="237"/>
      <c r="Z280" s="237"/>
      <c r="AA280" s="237"/>
      <c r="AB280" s="237"/>
      <c r="AC280" s="237"/>
      <c r="AD280" s="237"/>
      <c r="AE280" s="237"/>
      <c r="AF280" s="237"/>
      <c r="AG280" s="237"/>
      <c r="AH280" s="237"/>
      <c r="AI280" s="98"/>
      <c r="AJ280" s="98"/>
      <c r="AK280" s="98"/>
      <c r="AL280" s="98"/>
      <c r="AM280" s="98"/>
      <c r="AN280" s="98"/>
      <c r="AO280" s="98"/>
    </row>
    <row r="281" ht="14.25" customHeight="1">
      <c r="A281" s="98"/>
      <c r="B281" s="98"/>
      <c r="C281" s="98"/>
      <c r="D281" s="98"/>
      <c r="E281" s="98"/>
      <c r="F281" s="235"/>
      <c r="G281" s="235"/>
      <c r="H281" s="236"/>
      <c r="I281" s="236"/>
      <c r="J281" s="236"/>
      <c r="K281" s="236"/>
      <c r="L281" s="236"/>
      <c r="M281" s="236"/>
      <c r="N281" s="236"/>
      <c r="O281" s="236"/>
      <c r="P281" s="236"/>
      <c r="Q281" s="236"/>
      <c r="R281" s="236"/>
      <c r="S281" s="236"/>
      <c r="T281" s="236"/>
      <c r="U281" s="236"/>
      <c r="V281" s="236"/>
      <c r="W281" s="237"/>
      <c r="X281" s="237"/>
      <c r="Y281" s="237"/>
      <c r="Z281" s="237"/>
      <c r="AA281" s="237"/>
      <c r="AB281" s="237"/>
      <c r="AC281" s="237"/>
      <c r="AD281" s="237"/>
      <c r="AE281" s="237"/>
      <c r="AF281" s="237"/>
      <c r="AG281" s="237"/>
      <c r="AH281" s="237"/>
      <c r="AI281" s="98"/>
      <c r="AJ281" s="98"/>
      <c r="AK281" s="98"/>
      <c r="AL281" s="98"/>
      <c r="AM281" s="98"/>
      <c r="AN281" s="98"/>
      <c r="AO281" s="98"/>
    </row>
    <row r="282" ht="14.25" customHeight="1">
      <c r="A282" s="98"/>
      <c r="B282" s="98"/>
      <c r="C282" s="98"/>
      <c r="D282" s="98"/>
      <c r="E282" s="98"/>
      <c r="F282" s="235"/>
      <c r="G282" s="235"/>
      <c r="H282" s="236"/>
      <c r="I282" s="236"/>
      <c r="J282" s="236"/>
      <c r="K282" s="236"/>
      <c r="L282" s="236"/>
      <c r="M282" s="236"/>
      <c r="N282" s="236"/>
      <c r="O282" s="236"/>
      <c r="P282" s="236"/>
      <c r="Q282" s="236"/>
      <c r="R282" s="236"/>
      <c r="S282" s="236"/>
      <c r="T282" s="236"/>
      <c r="U282" s="236"/>
      <c r="V282" s="236"/>
      <c r="W282" s="237"/>
      <c r="X282" s="237"/>
      <c r="Y282" s="237"/>
      <c r="Z282" s="237"/>
      <c r="AA282" s="237"/>
      <c r="AB282" s="237"/>
      <c r="AC282" s="237"/>
      <c r="AD282" s="237"/>
      <c r="AE282" s="237"/>
      <c r="AF282" s="237"/>
      <c r="AG282" s="237"/>
      <c r="AH282" s="237"/>
      <c r="AI282" s="98"/>
      <c r="AJ282" s="98"/>
      <c r="AK282" s="98"/>
      <c r="AL282" s="98"/>
      <c r="AM282" s="98"/>
      <c r="AN282" s="98"/>
      <c r="AO282" s="98"/>
    </row>
    <row r="283" ht="14.25" customHeight="1">
      <c r="A283" s="98"/>
      <c r="B283" s="98"/>
      <c r="C283" s="98"/>
      <c r="D283" s="98"/>
      <c r="E283" s="98"/>
      <c r="F283" s="235"/>
      <c r="G283" s="235"/>
      <c r="H283" s="236"/>
      <c r="I283" s="236"/>
      <c r="J283" s="236"/>
      <c r="K283" s="236"/>
      <c r="L283" s="236"/>
      <c r="M283" s="236"/>
      <c r="N283" s="236"/>
      <c r="O283" s="236"/>
      <c r="P283" s="236"/>
      <c r="Q283" s="236"/>
      <c r="R283" s="236"/>
      <c r="S283" s="236"/>
      <c r="T283" s="236"/>
      <c r="U283" s="236"/>
      <c r="V283" s="236"/>
      <c r="W283" s="237"/>
      <c r="X283" s="237"/>
      <c r="Y283" s="237"/>
      <c r="Z283" s="237"/>
      <c r="AA283" s="237"/>
      <c r="AB283" s="237"/>
      <c r="AC283" s="237"/>
      <c r="AD283" s="237"/>
      <c r="AE283" s="237"/>
      <c r="AF283" s="237"/>
      <c r="AG283" s="237"/>
      <c r="AH283" s="237"/>
      <c r="AI283" s="98"/>
      <c r="AJ283" s="98"/>
      <c r="AK283" s="98"/>
      <c r="AL283" s="98"/>
      <c r="AM283" s="98"/>
      <c r="AN283" s="98"/>
      <c r="AO283" s="98"/>
    </row>
    <row r="284" ht="14.25" customHeight="1">
      <c r="A284" s="98"/>
      <c r="B284" s="98"/>
      <c r="C284" s="98"/>
      <c r="D284" s="98"/>
      <c r="E284" s="98"/>
      <c r="F284" s="235"/>
      <c r="G284" s="235"/>
      <c r="H284" s="236"/>
      <c r="I284" s="236"/>
      <c r="J284" s="236"/>
      <c r="K284" s="236"/>
      <c r="L284" s="236"/>
      <c r="M284" s="236"/>
      <c r="N284" s="236"/>
      <c r="O284" s="236"/>
      <c r="P284" s="236"/>
      <c r="Q284" s="236"/>
      <c r="R284" s="236"/>
      <c r="S284" s="236"/>
      <c r="T284" s="236"/>
      <c r="U284" s="236"/>
      <c r="V284" s="236"/>
      <c r="W284" s="237"/>
      <c r="X284" s="237"/>
      <c r="Y284" s="237"/>
      <c r="Z284" s="237"/>
      <c r="AA284" s="237"/>
      <c r="AB284" s="237"/>
      <c r="AC284" s="237"/>
      <c r="AD284" s="237"/>
      <c r="AE284" s="237"/>
      <c r="AF284" s="237"/>
      <c r="AG284" s="237"/>
      <c r="AH284" s="237"/>
      <c r="AI284" s="98"/>
      <c r="AJ284" s="98"/>
      <c r="AK284" s="98"/>
      <c r="AL284" s="98"/>
      <c r="AM284" s="98"/>
      <c r="AN284" s="98"/>
      <c r="AO284" s="98"/>
    </row>
    <row r="285" ht="14.25" customHeight="1">
      <c r="A285" s="98"/>
      <c r="B285" s="98"/>
      <c r="C285" s="98"/>
      <c r="D285" s="98"/>
      <c r="E285" s="98"/>
      <c r="F285" s="235"/>
      <c r="G285" s="235"/>
      <c r="H285" s="236"/>
      <c r="I285" s="236"/>
      <c r="J285" s="236"/>
      <c r="K285" s="236"/>
      <c r="L285" s="236"/>
      <c r="M285" s="236"/>
      <c r="N285" s="236"/>
      <c r="O285" s="236"/>
      <c r="P285" s="236"/>
      <c r="Q285" s="236"/>
      <c r="R285" s="236"/>
      <c r="S285" s="236"/>
      <c r="T285" s="236"/>
      <c r="U285" s="236"/>
      <c r="V285" s="236"/>
      <c r="W285" s="237"/>
      <c r="X285" s="237"/>
      <c r="Y285" s="237"/>
      <c r="Z285" s="237"/>
      <c r="AA285" s="237"/>
      <c r="AB285" s="237"/>
      <c r="AC285" s="237"/>
      <c r="AD285" s="237"/>
      <c r="AE285" s="237"/>
      <c r="AF285" s="237"/>
      <c r="AG285" s="237"/>
      <c r="AH285" s="237"/>
      <c r="AI285" s="98"/>
      <c r="AJ285" s="98"/>
      <c r="AK285" s="98"/>
      <c r="AL285" s="98"/>
      <c r="AM285" s="98"/>
      <c r="AN285" s="98"/>
      <c r="AO285" s="98"/>
    </row>
    <row r="286" ht="14.25" customHeight="1">
      <c r="A286" s="98"/>
      <c r="B286" s="98"/>
      <c r="C286" s="98"/>
      <c r="D286" s="98"/>
      <c r="E286" s="98"/>
      <c r="F286" s="235"/>
      <c r="G286" s="235"/>
      <c r="H286" s="236"/>
      <c r="I286" s="236"/>
      <c r="J286" s="236"/>
      <c r="K286" s="236"/>
      <c r="L286" s="236"/>
      <c r="M286" s="236"/>
      <c r="N286" s="236"/>
      <c r="O286" s="236"/>
      <c r="P286" s="236"/>
      <c r="Q286" s="236"/>
      <c r="R286" s="236"/>
      <c r="S286" s="236"/>
      <c r="T286" s="236"/>
      <c r="U286" s="236"/>
      <c r="V286" s="236"/>
      <c r="W286" s="237"/>
      <c r="X286" s="237"/>
      <c r="Y286" s="237"/>
      <c r="Z286" s="237"/>
      <c r="AA286" s="237"/>
      <c r="AB286" s="237"/>
      <c r="AC286" s="237"/>
      <c r="AD286" s="237"/>
      <c r="AE286" s="237"/>
      <c r="AF286" s="237"/>
      <c r="AG286" s="237"/>
      <c r="AH286" s="237"/>
      <c r="AI286" s="98"/>
      <c r="AJ286" s="98"/>
      <c r="AK286" s="98"/>
      <c r="AL286" s="98"/>
      <c r="AM286" s="98"/>
      <c r="AN286" s="98"/>
      <c r="AO286" s="98"/>
    </row>
    <row r="287" ht="14.25" customHeight="1">
      <c r="A287" s="98"/>
      <c r="B287" s="98"/>
      <c r="C287" s="98"/>
      <c r="D287" s="98"/>
      <c r="E287" s="98"/>
      <c r="F287" s="235"/>
      <c r="G287" s="235"/>
      <c r="H287" s="236"/>
      <c r="I287" s="236"/>
      <c r="J287" s="236"/>
      <c r="K287" s="236"/>
      <c r="L287" s="236"/>
      <c r="M287" s="236"/>
      <c r="N287" s="236"/>
      <c r="O287" s="236"/>
      <c r="P287" s="236"/>
      <c r="Q287" s="236"/>
      <c r="R287" s="236"/>
      <c r="S287" s="236"/>
      <c r="T287" s="236"/>
      <c r="U287" s="236"/>
      <c r="V287" s="236"/>
      <c r="W287" s="237"/>
      <c r="X287" s="237"/>
      <c r="Y287" s="237"/>
      <c r="Z287" s="237"/>
      <c r="AA287" s="237"/>
      <c r="AB287" s="237"/>
      <c r="AC287" s="237"/>
      <c r="AD287" s="237"/>
      <c r="AE287" s="237"/>
      <c r="AF287" s="237"/>
      <c r="AG287" s="237"/>
      <c r="AH287" s="237"/>
      <c r="AI287" s="98"/>
      <c r="AJ287" s="98"/>
      <c r="AK287" s="98"/>
      <c r="AL287" s="98"/>
      <c r="AM287" s="98"/>
      <c r="AN287" s="98"/>
      <c r="AO287" s="98"/>
    </row>
    <row r="288" ht="14.25" customHeight="1">
      <c r="A288" s="98"/>
      <c r="B288" s="98"/>
      <c r="C288" s="98"/>
      <c r="D288" s="98"/>
      <c r="E288" s="98"/>
      <c r="F288" s="235"/>
      <c r="G288" s="235"/>
      <c r="H288" s="236"/>
      <c r="I288" s="236"/>
      <c r="J288" s="236"/>
      <c r="K288" s="236"/>
      <c r="L288" s="236"/>
      <c r="M288" s="236"/>
      <c r="N288" s="236"/>
      <c r="O288" s="236"/>
      <c r="P288" s="236"/>
      <c r="Q288" s="236"/>
      <c r="R288" s="236"/>
      <c r="S288" s="236"/>
      <c r="T288" s="236"/>
      <c r="U288" s="236"/>
      <c r="V288" s="236"/>
      <c r="W288" s="237"/>
      <c r="X288" s="237"/>
      <c r="Y288" s="237"/>
      <c r="Z288" s="237"/>
      <c r="AA288" s="237"/>
      <c r="AB288" s="237"/>
      <c r="AC288" s="237"/>
      <c r="AD288" s="237"/>
      <c r="AE288" s="237"/>
      <c r="AF288" s="237"/>
      <c r="AG288" s="237"/>
      <c r="AH288" s="237"/>
      <c r="AI288" s="98"/>
      <c r="AJ288" s="98"/>
      <c r="AK288" s="98"/>
      <c r="AL288" s="98"/>
      <c r="AM288" s="98"/>
      <c r="AN288" s="98"/>
      <c r="AO288" s="98"/>
    </row>
    <row r="289" ht="14.25" customHeight="1">
      <c r="A289" s="98"/>
      <c r="B289" s="98"/>
      <c r="C289" s="98"/>
      <c r="D289" s="98"/>
      <c r="E289" s="98"/>
      <c r="F289" s="235"/>
      <c r="G289" s="235"/>
      <c r="H289" s="236"/>
      <c r="I289" s="236"/>
      <c r="J289" s="236"/>
      <c r="K289" s="236"/>
      <c r="L289" s="236"/>
      <c r="M289" s="236"/>
      <c r="N289" s="236"/>
      <c r="O289" s="236"/>
      <c r="P289" s="236"/>
      <c r="Q289" s="236"/>
      <c r="R289" s="236"/>
      <c r="S289" s="236"/>
      <c r="T289" s="236"/>
      <c r="U289" s="236"/>
      <c r="V289" s="236"/>
      <c r="W289" s="237"/>
      <c r="X289" s="237"/>
      <c r="Y289" s="237"/>
      <c r="Z289" s="237"/>
      <c r="AA289" s="237"/>
      <c r="AB289" s="237"/>
      <c r="AC289" s="237"/>
      <c r="AD289" s="237"/>
      <c r="AE289" s="237"/>
      <c r="AF289" s="237"/>
      <c r="AG289" s="237"/>
      <c r="AH289" s="237"/>
      <c r="AI289" s="98"/>
      <c r="AJ289" s="98"/>
      <c r="AK289" s="98"/>
      <c r="AL289" s="98"/>
      <c r="AM289" s="98"/>
      <c r="AN289" s="98"/>
      <c r="AO289" s="98"/>
    </row>
    <row r="290" ht="14.25" customHeight="1">
      <c r="A290" s="98"/>
      <c r="B290" s="98"/>
      <c r="C290" s="98"/>
      <c r="D290" s="98"/>
      <c r="E290" s="98"/>
      <c r="F290" s="235"/>
      <c r="G290" s="235"/>
      <c r="H290" s="236"/>
      <c r="I290" s="236"/>
      <c r="J290" s="236"/>
      <c r="K290" s="236"/>
      <c r="L290" s="236"/>
      <c r="M290" s="236"/>
      <c r="N290" s="236"/>
      <c r="O290" s="236"/>
      <c r="P290" s="236"/>
      <c r="Q290" s="236"/>
      <c r="R290" s="236"/>
      <c r="S290" s="236"/>
      <c r="T290" s="236"/>
      <c r="U290" s="236"/>
      <c r="V290" s="236"/>
      <c r="W290" s="237"/>
      <c r="X290" s="237"/>
      <c r="Y290" s="237"/>
      <c r="Z290" s="237"/>
      <c r="AA290" s="237"/>
      <c r="AB290" s="237"/>
      <c r="AC290" s="237"/>
      <c r="AD290" s="237"/>
      <c r="AE290" s="237"/>
      <c r="AF290" s="237"/>
      <c r="AG290" s="237"/>
      <c r="AH290" s="237"/>
      <c r="AI290" s="98"/>
      <c r="AJ290" s="98"/>
      <c r="AK290" s="98"/>
      <c r="AL290" s="98"/>
      <c r="AM290" s="98"/>
      <c r="AN290" s="98"/>
      <c r="AO290" s="98"/>
    </row>
    <row r="291" ht="14.25" customHeight="1">
      <c r="A291" s="98"/>
      <c r="B291" s="98"/>
      <c r="C291" s="98"/>
      <c r="D291" s="98"/>
      <c r="E291" s="98"/>
      <c r="F291" s="235"/>
      <c r="G291" s="235"/>
      <c r="H291" s="236"/>
      <c r="I291" s="236"/>
      <c r="J291" s="236"/>
      <c r="K291" s="236"/>
      <c r="L291" s="236"/>
      <c r="M291" s="236"/>
      <c r="N291" s="236"/>
      <c r="O291" s="236"/>
      <c r="P291" s="236"/>
      <c r="Q291" s="236"/>
      <c r="R291" s="236"/>
      <c r="S291" s="236"/>
      <c r="T291" s="236"/>
      <c r="U291" s="236"/>
      <c r="V291" s="236"/>
      <c r="W291" s="237"/>
      <c r="X291" s="237"/>
      <c r="Y291" s="237"/>
      <c r="Z291" s="237"/>
      <c r="AA291" s="237"/>
      <c r="AB291" s="237"/>
      <c r="AC291" s="237"/>
      <c r="AD291" s="237"/>
      <c r="AE291" s="237"/>
      <c r="AF291" s="237"/>
      <c r="AG291" s="237"/>
      <c r="AH291" s="237"/>
      <c r="AI291" s="98"/>
      <c r="AJ291" s="98"/>
      <c r="AK291" s="98"/>
      <c r="AL291" s="98"/>
      <c r="AM291" s="98"/>
      <c r="AN291" s="98"/>
      <c r="AO291" s="98"/>
    </row>
    <row r="292" ht="14.25" customHeight="1">
      <c r="A292" s="98"/>
      <c r="B292" s="98"/>
      <c r="C292" s="98"/>
      <c r="D292" s="98"/>
      <c r="E292" s="98"/>
      <c r="F292" s="235"/>
      <c r="G292" s="235"/>
      <c r="H292" s="236"/>
      <c r="I292" s="236"/>
      <c r="J292" s="236"/>
      <c r="K292" s="236"/>
      <c r="L292" s="236"/>
      <c r="M292" s="236"/>
      <c r="N292" s="236"/>
      <c r="O292" s="236"/>
      <c r="P292" s="236"/>
      <c r="Q292" s="236"/>
      <c r="R292" s="236"/>
      <c r="S292" s="236"/>
      <c r="T292" s="236"/>
      <c r="U292" s="236"/>
      <c r="V292" s="236"/>
      <c r="W292" s="237"/>
      <c r="X292" s="237"/>
      <c r="Y292" s="237"/>
      <c r="Z292" s="237"/>
      <c r="AA292" s="237"/>
      <c r="AB292" s="237"/>
      <c r="AC292" s="237"/>
      <c r="AD292" s="237"/>
      <c r="AE292" s="237"/>
      <c r="AF292" s="237"/>
      <c r="AG292" s="237"/>
      <c r="AH292" s="237"/>
      <c r="AI292" s="98"/>
      <c r="AJ292" s="98"/>
      <c r="AK292" s="98"/>
      <c r="AL292" s="98"/>
      <c r="AM292" s="98"/>
      <c r="AN292" s="98"/>
      <c r="AO292" s="98"/>
    </row>
    <row r="293" ht="14.25" customHeight="1">
      <c r="A293" s="98"/>
      <c r="B293" s="98"/>
      <c r="C293" s="98"/>
      <c r="D293" s="98"/>
      <c r="E293" s="98"/>
      <c r="F293" s="235"/>
      <c r="G293" s="235"/>
      <c r="H293" s="236"/>
      <c r="I293" s="236"/>
      <c r="J293" s="236"/>
      <c r="K293" s="236"/>
      <c r="L293" s="236"/>
      <c r="M293" s="236"/>
      <c r="N293" s="236"/>
      <c r="O293" s="236"/>
      <c r="P293" s="236"/>
      <c r="Q293" s="236"/>
      <c r="R293" s="236"/>
      <c r="S293" s="236"/>
      <c r="T293" s="236"/>
      <c r="U293" s="236"/>
      <c r="V293" s="236"/>
      <c r="W293" s="237"/>
      <c r="X293" s="237"/>
      <c r="Y293" s="237"/>
      <c r="Z293" s="237"/>
      <c r="AA293" s="237"/>
      <c r="AB293" s="237"/>
      <c r="AC293" s="237"/>
      <c r="AD293" s="237"/>
      <c r="AE293" s="237"/>
      <c r="AF293" s="237"/>
      <c r="AG293" s="237"/>
      <c r="AH293" s="237"/>
      <c r="AI293" s="98"/>
      <c r="AJ293" s="98"/>
      <c r="AK293" s="98"/>
      <c r="AL293" s="98"/>
      <c r="AM293" s="98"/>
      <c r="AN293" s="98"/>
      <c r="AO293" s="98"/>
    </row>
    <row r="294" ht="14.25" customHeight="1">
      <c r="A294" s="98"/>
      <c r="B294" s="98"/>
      <c r="C294" s="98"/>
      <c r="D294" s="98"/>
      <c r="E294" s="98"/>
      <c r="F294" s="235"/>
      <c r="G294" s="235"/>
      <c r="H294" s="236"/>
      <c r="I294" s="236"/>
      <c r="J294" s="236"/>
      <c r="K294" s="236"/>
      <c r="L294" s="236"/>
      <c r="M294" s="236"/>
      <c r="N294" s="236"/>
      <c r="O294" s="236"/>
      <c r="P294" s="236"/>
      <c r="Q294" s="236"/>
      <c r="R294" s="236"/>
      <c r="S294" s="236"/>
      <c r="T294" s="236"/>
      <c r="U294" s="236"/>
      <c r="V294" s="236"/>
      <c r="W294" s="237"/>
      <c r="X294" s="237"/>
      <c r="Y294" s="237"/>
      <c r="Z294" s="237"/>
      <c r="AA294" s="237"/>
      <c r="AB294" s="237"/>
      <c r="AC294" s="237"/>
      <c r="AD294" s="237"/>
      <c r="AE294" s="237"/>
      <c r="AF294" s="237"/>
      <c r="AG294" s="237"/>
      <c r="AH294" s="237"/>
      <c r="AI294" s="98"/>
      <c r="AJ294" s="98"/>
      <c r="AK294" s="98"/>
      <c r="AL294" s="98"/>
      <c r="AM294" s="98"/>
      <c r="AN294" s="98"/>
      <c r="AO294" s="98"/>
    </row>
    <row r="295" ht="14.25" customHeight="1">
      <c r="A295" s="98"/>
      <c r="B295" s="98"/>
      <c r="C295" s="98"/>
      <c r="D295" s="98"/>
      <c r="E295" s="98"/>
      <c r="F295" s="235"/>
      <c r="G295" s="235"/>
      <c r="H295" s="236"/>
      <c r="I295" s="236"/>
      <c r="J295" s="236"/>
      <c r="K295" s="236"/>
      <c r="L295" s="236"/>
      <c r="M295" s="236"/>
      <c r="N295" s="236"/>
      <c r="O295" s="236"/>
      <c r="P295" s="236"/>
      <c r="Q295" s="236"/>
      <c r="R295" s="236"/>
      <c r="S295" s="236"/>
      <c r="T295" s="236"/>
      <c r="U295" s="236"/>
      <c r="V295" s="236"/>
      <c r="W295" s="237"/>
      <c r="X295" s="237"/>
      <c r="Y295" s="237"/>
      <c r="Z295" s="237"/>
      <c r="AA295" s="237"/>
      <c r="AB295" s="237"/>
      <c r="AC295" s="237"/>
      <c r="AD295" s="237"/>
      <c r="AE295" s="237"/>
      <c r="AF295" s="237"/>
      <c r="AG295" s="237"/>
      <c r="AH295" s="237"/>
      <c r="AI295" s="98"/>
      <c r="AJ295" s="98"/>
      <c r="AK295" s="98"/>
      <c r="AL295" s="98"/>
      <c r="AM295" s="98"/>
      <c r="AN295" s="98"/>
      <c r="AO295" s="98"/>
    </row>
    <row r="296" ht="14.25" customHeight="1">
      <c r="A296" s="98"/>
      <c r="B296" s="98"/>
      <c r="C296" s="98"/>
      <c r="D296" s="98"/>
      <c r="E296" s="98"/>
      <c r="F296" s="235"/>
      <c r="G296" s="235"/>
      <c r="H296" s="236"/>
      <c r="I296" s="236"/>
      <c r="J296" s="236"/>
      <c r="K296" s="236"/>
      <c r="L296" s="236"/>
      <c r="M296" s="236"/>
      <c r="N296" s="236"/>
      <c r="O296" s="236"/>
      <c r="P296" s="236"/>
      <c r="Q296" s="236"/>
      <c r="R296" s="236"/>
      <c r="S296" s="236"/>
      <c r="T296" s="236"/>
      <c r="U296" s="236"/>
      <c r="V296" s="236"/>
      <c r="W296" s="237"/>
      <c r="X296" s="237"/>
      <c r="Y296" s="237"/>
      <c r="Z296" s="237"/>
      <c r="AA296" s="237"/>
      <c r="AB296" s="237"/>
      <c r="AC296" s="237"/>
      <c r="AD296" s="237"/>
      <c r="AE296" s="237"/>
      <c r="AF296" s="237"/>
      <c r="AG296" s="237"/>
      <c r="AH296" s="237"/>
      <c r="AI296" s="98"/>
      <c r="AJ296" s="98"/>
      <c r="AK296" s="98"/>
      <c r="AL296" s="98"/>
      <c r="AM296" s="98"/>
      <c r="AN296" s="98"/>
      <c r="AO296" s="98"/>
    </row>
    <row r="297" ht="14.25" customHeight="1">
      <c r="A297" s="98"/>
      <c r="B297" s="98"/>
      <c r="C297" s="98"/>
      <c r="D297" s="98"/>
      <c r="E297" s="98"/>
      <c r="F297" s="235"/>
      <c r="G297" s="235"/>
      <c r="H297" s="236"/>
      <c r="I297" s="236"/>
      <c r="J297" s="236"/>
      <c r="K297" s="236"/>
      <c r="L297" s="236"/>
      <c r="M297" s="236"/>
      <c r="N297" s="236"/>
      <c r="O297" s="236"/>
      <c r="P297" s="236"/>
      <c r="Q297" s="236"/>
      <c r="R297" s="236"/>
      <c r="S297" s="236"/>
      <c r="T297" s="236"/>
      <c r="U297" s="236"/>
      <c r="V297" s="236"/>
      <c r="W297" s="237"/>
      <c r="X297" s="237"/>
      <c r="Y297" s="237"/>
      <c r="Z297" s="237"/>
      <c r="AA297" s="237"/>
      <c r="AB297" s="237"/>
      <c r="AC297" s="237"/>
      <c r="AD297" s="237"/>
      <c r="AE297" s="237"/>
      <c r="AF297" s="237"/>
      <c r="AG297" s="237"/>
      <c r="AH297" s="237"/>
      <c r="AI297" s="98"/>
      <c r="AJ297" s="98"/>
      <c r="AK297" s="98"/>
      <c r="AL297" s="98"/>
      <c r="AM297" s="98"/>
      <c r="AN297" s="98"/>
      <c r="AO297" s="98"/>
    </row>
    <row r="298" ht="14.25" customHeight="1">
      <c r="A298" s="98"/>
      <c r="B298" s="98"/>
      <c r="C298" s="98"/>
      <c r="D298" s="98"/>
      <c r="E298" s="98"/>
      <c r="F298" s="235"/>
      <c r="G298" s="235"/>
      <c r="H298" s="236"/>
      <c r="I298" s="236"/>
      <c r="J298" s="236"/>
      <c r="K298" s="236"/>
      <c r="L298" s="236"/>
      <c r="M298" s="236"/>
      <c r="N298" s="236"/>
      <c r="O298" s="236"/>
      <c r="P298" s="236"/>
      <c r="Q298" s="236"/>
      <c r="R298" s="236"/>
      <c r="S298" s="236"/>
      <c r="T298" s="236"/>
      <c r="U298" s="236"/>
      <c r="V298" s="236"/>
      <c r="W298" s="237"/>
      <c r="X298" s="237"/>
      <c r="Y298" s="237"/>
      <c r="Z298" s="237"/>
      <c r="AA298" s="237"/>
      <c r="AB298" s="237"/>
      <c r="AC298" s="237"/>
      <c r="AD298" s="237"/>
      <c r="AE298" s="237"/>
      <c r="AF298" s="237"/>
      <c r="AG298" s="237"/>
      <c r="AH298" s="237"/>
      <c r="AI298" s="98"/>
      <c r="AJ298" s="98"/>
      <c r="AK298" s="98"/>
      <c r="AL298" s="98"/>
      <c r="AM298" s="98"/>
      <c r="AN298" s="98"/>
      <c r="AO298" s="98"/>
    </row>
    <row r="299" ht="14.25" customHeight="1">
      <c r="A299" s="98"/>
      <c r="B299" s="98"/>
      <c r="C299" s="98"/>
      <c r="D299" s="98"/>
      <c r="E299" s="98"/>
      <c r="F299" s="235"/>
      <c r="G299" s="235"/>
      <c r="H299" s="236"/>
      <c r="I299" s="236"/>
      <c r="J299" s="236"/>
      <c r="K299" s="236"/>
      <c r="L299" s="236"/>
      <c r="M299" s="236"/>
      <c r="N299" s="236"/>
      <c r="O299" s="236"/>
      <c r="P299" s="236"/>
      <c r="Q299" s="236"/>
      <c r="R299" s="236"/>
      <c r="S299" s="236"/>
      <c r="T299" s="236"/>
      <c r="U299" s="236"/>
      <c r="V299" s="236"/>
      <c r="W299" s="237"/>
      <c r="X299" s="237"/>
      <c r="Y299" s="237"/>
      <c r="Z299" s="237"/>
      <c r="AA299" s="237"/>
      <c r="AB299" s="237"/>
      <c r="AC299" s="237"/>
      <c r="AD299" s="237"/>
      <c r="AE299" s="237"/>
      <c r="AF299" s="237"/>
      <c r="AG299" s="237"/>
      <c r="AH299" s="237"/>
      <c r="AI299" s="98"/>
      <c r="AJ299" s="98"/>
      <c r="AK299" s="98"/>
      <c r="AL299" s="98"/>
      <c r="AM299" s="98"/>
      <c r="AN299" s="98"/>
      <c r="AO299" s="98"/>
    </row>
    <row r="300" ht="14.25" customHeight="1">
      <c r="A300" s="98"/>
      <c r="B300" s="98"/>
      <c r="C300" s="98"/>
      <c r="D300" s="98"/>
      <c r="E300" s="98"/>
      <c r="F300" s="235"/>
      <c r="G300" s="235"/>
      <c r="H300" s="236"/>
      <c r="I300" s="236"/>
      <c r="J300" s="236"/>
      <c r="K300" s="236"/>
      <c r="L300" s="236"/>
      <c r="M300" s="236"/>
      <c r="N300" s="236"/>
      <c r="O300" s="236"/>
      <c r="P300" s="236"/>
      <c r="Q300" s="236"/>
      <c r="R300" s="236"/>
      <c r="S300" s="236"/>
      <c r="T300" s="236"/>
      <c r="U300" s="236"/>
      <c r="V300" s="236"/>
      <c r="W300" s="237"/>
      <c r="X300" s="237"/>
      <c r="Y300" s="237"/>
      <c r="Z300" s="237"/>
      <c r="AA300" s="237"/>
      <c r="AB300" s="237"/>
      <c r="AC300" s="237"/>
      <c r="AD300" s="237"/>
      <c r="AE300" s="237"/>
      <c r="AF300" s="237"/>
      <c r="AG300" s="237"/>
      <c r="AH300" s="237"/>
      <c r="AI300" s="98"/>
      <c r="AJ300" s="98"/>
      <c r="AK300" s="98"/>
      <c r="AL300" s="98"/>
      <c r="AM300" s="98"/>
      <c r="AN300" s="98"/>
      <c r="AO300" s="98"/>
    </row>
    <row r="301" ht="14.25" customHeight="1">
      <c r="A301" s="98"/>
      <c r="B301" s="98"/>
      <c r="C301" s="98"/>
      <c r="D301" s="98"/>
      <c r="E301" s="98"/>
      <c r="F301" s="235"/>
      <c r="G301" s="235"/>
      <c r="H301" s="236"/>
      <c r="I301" s="236"/>
      <c r="J301" s="236"/>
      <c r="K301" s="236"/>
      <c r="L301" s="236"/>
      <c r="M301" s="236"/>
      <c r="N301" s="236"/>
      <c r="O301" s="236"/>
      <c r="P301" s="236"/>
      <c r="Q301" s="236"/>
      <c r="R301" s="236"/>
      <c r="S301" s="236"/>
      <c r="T301" s="236"/>
      <c r="U301" s="236"/>
      <c r="V301" s="236"/>
      <c r="W301" s="237"/>
      <c r="X301" s="237"/>
      <c r="Y301" s="237"/>
      <c r="Z301" s="237"/>
      <c r="AA301" s="237"/>
      <c r="AB301" s="237"/>
      <c r="AC301" s="237"/>
      <c r="AD301" s="237"/>
      <c r="AE301" s="237"/>
      <c r="AF301" s="237"/>
      <c r="AG301" s="237"/>
      <c r="AH301" s="237"/>
      <c r="AI301" s="98"/>
      <c r="AJ301" s="98"/>
      <c r="AK301" s="98"/>
      <c r="AL301" s="98"/>
      <c r="AM301" s="98"/>
      <c r="AN301" s="98"/>
      <c r="AO301" s="98"/>
    </row>
    <row r="302" ht="14.25" customHeight="1">
      <c r="A302" s="98"/>
      <c r="B302" s="98"/>
      <c r="C302" s="98"/>
      <c r="D302" s="98"/>
      <c r="E302" s="98"/>
      <c r="F302" s="235"/>
      <c r="G302" s="235"/>
      <c r="H302" s="236"/>
      <c r="I302" s="236"/>
      <c r="J302" s="236"/>
      <c r="K302" s="236"/>
      <c r="L302" s="236"/>
      <c r="M302" s="236"/>
      <c r="N302" s="236"/>
      <c r="O302" s="236"/>
      <c r="P302" s="236"/>
      <c r="Q302" s="236"/>
      <c r="R302" s="236"/>
      <c r="S302" s="236"/>
      <c r="T302" s="236"/>
      <c r="U302" s="236"/>
      <c r="V302" s="236"/>
      <c r="W302" s="237"/>
      <c r="X302" s="237"/>
      <c r="Y302" s="237"/>
      <c r="Z302" s="237"/>
      <c r="AA302" s="237"/>
      <c r="AB302" s="237"/>
      <c r="AC302" s="237"/>
      <c r="AD302" s="237"/>
      <c r="AE302" s="237"/>
      <c r="AF302" s="237"/>
      <c r="AG302" s="237"/>
      <c r="AH302" s="237"/>
      <c r="AI302" s="98"/>
      <c r="AJ302" s="98"/>
      <c r="AK302" s="98"/>
      <c r="AL302" s="98"/>
      <c r="AM302" s="98"/>
      <c r="AN302" s="98"/>
      <c r="AO302" s="98"/>
    </row>
    <row r="303" ht="14.25" customHeight="1">
      <c r="A303" s="98"/>
      <c r="B303" s="98"/>
      <c r="C303" s="98"/>
      <c r="D303" s="98"/>
      <c r="E303" s="98"/>
      <c r="F303" s="235"/>
      <c r="G303" s="235"/>
      <c r="H303" s="236"/>
      <c r="I303" s="236"/>
      <c r="J303" s="236"/>
      <c r="K303" s="236"/>
      <c r="L303" s="236"/>
      <c r="M303" s="236"/>
      <c r="N303" s="236"/>
      <c r="O303" s="236"/>
      <c r="P303" s="236"/>
      <c r="Q303" s="236"/>
      <c r="R303" s="236"/>
      <c r="S303" s="236"/>
      <c r="T303" s="236"/>
      <c r="U303" s="236"/>
      <c r="V303" s="236"/>
      <c r="W303" s="237"/>
      <c r="X303" s="237"/>
      <c r="Y303" s="237"/>
      <c r="Z303" s="237"/>
      <c r="AA303" s="237"/>
      <c r="AB303" s="237"/>
      <c r="AC303" s="237"/>
      <c r="AD303" s="237"/>
      <c r="AE303" s="237"/>
      <c r="AF303" s="237"/>
      <c r="AG303" s="237"/>
      <c r="AH303" s="237"/>
      <c r="AI303" s="98"/>
      <c r="AJ303" s="98"/>
      <c r="AK303" s="98"/>
      <c r="AL303" s="98"/>
      <c r="AM303" s="98"/>
      <c r="AN303" s="98"/>
      <c r="AO303" s="98"/>
    </row>
    <row r="304" ht="14.25" customHeight="1">
      <c r="A304" s="98"/>
      <c r="B304" s="98"/>
      <c r="C304" s="98"/>
      <c r="D304" s="98"/>
      <c r="E304" s="98"/>
      <c r="F304" s="235"/>
      <c r="G304" s="235"/>
      <c r="H304" s="236"/>
      <c r="I304" s="236"/>
      <c r="J304" s="236"/>
      <c r="K304" s="236"/>
      <c r="L304" s="236"/>
      <c r="M304" s="236"/>
      <c r="N304" s="236"/>
      <c r="O304" s="236"/>
      <c r="P304" s="236"/>
      <c r="Q304" s="236"/>
      <c r="R304" s="236"/>
      <c r="S304" s="236"/>
      <c r="T304" s="236"/>
      <c r="U304" s="236"/>
      <c r="V304" s="236"/>
      <c r="W304" s="237"/>
      <c r="X304" s="237"/>
      <c r="Y304" s="237"/>
      <c r="Z304" s="237"/>
      <c r="AA304" s="237"/>
      <c r="AB304" s="237"/>
      <c r="AC304" s="237"/>
      <c r="AD304" s="237"/>
      <c r="AE304" s="237"/>
      <c r="AF304" s="237"/>
      <c r="AG304" s="237"/>
      <c r="AH304" s="237"/>
      <c r="AI304" s="98"/>
      <c r="AJ304" s="98"/>
      <c r="AK304" s="98"/>
      <c r="AL304" s="98"/>
      <c r="AM304" s="98"/>
      <c r="AN304" s="98"/>
      <c r="AO304" s="98"/>
    </row>
    <row r="305" ht="14.25" customHeight="1">
      <c r="A305" s="98"/>
      <c r="B305" s="98"/>
      <c r="C305" s="98"/>
      <c r="D305" s="98"/>
      <c r="E305" s="98"/>
      <c r="F305" s="235"/>
      <c r="G305" s="235"/>
      <c r="H305" s="236"/>
      <c r="I305" s="236"/>
      <c r="J305" s="236"/>
      <c r="K305" s="236"/>
      <c r="L305" s="236"/>
      <c r="M305" s="236"/>
      <c r="N305" s="236"/>
      <c r="O305" s="236"/>
      <c r="P305" s="236"/>
      <c r="Q305" s="236"/>
      <c r="R305" s="236"/>
      <c r="S305" s="236"/>
      <c r="T305" s="236"/>
      <c r="U305" s="236"/>
      <c r="V305" s="236"/>
      <c r="W305" s="237"/>
      <c r="X305" s="237"/>
      <c r="Y305" s="237"/>
      <c r="Z305" s="237"/>
      <c r="AA305" s="237"/>
      <c r="AB305" s="237"/>
      <c r="AC305" s="237"/>
      <c r="AD305" s="237"/>
      <c r="AE305" s="237"/>
      <c r="AF305" s="237"/>
      <c r="AG305" s="237"/>
      <c r="AH305" s="237"/>
      <c r="AI305" s="98"/>
      <c r="AJ305" s="98"/>
      <c r="AK305" s="98"/>
      <c r="AL305" s="98"/>
      <c r="AM305" s="98"/>
      <c r="AN305" s="98"/>
      <c r="AO305" s="98"/>
    </row>
    <row r="306" ht="14.25" customHeight="1">
      <c r="A306" s="98"/>
      <c r="B306" s="98"/>
      <c r="C306" s="98"/>
      <c r="D306" s="98"/>
      <c r="E306" s="98"/>
      <c r="F306" s="235"/>
      <c r="G306" s="235"/>
      <c r="H306" s="236"/>
      <c r="I306" s="236"/>
      <c r="J306" s="236"/>
      <c r="K306" s="236"/>
      <c r="L306" s="236"/>
      <c r="M306" s="236"/>
      <c r="N306" s="236"/>
      <c r="O306" s="236"/>
      <c r="P306" s="236"/>
      <c r="Q306" s="236"/>
      <c r="R306" s="236"/>
      <c r="S306" s="236"/>
      <c r="T306" s="236"/>
      <c r="U306" s="236"/>
      <c r="V306" s="236"/>
      <c r="W306" s="237"/>
      <c r="X306" s="237"/>
      <c r="Y306" s="237"/>
      <c r="Z306" s="237"/>
      <c r="AA306" s="237"/>
      <c r="AB306" s="237"/>
      <c r="AC306" s="237"/>
      <c r="AD306" s="237"/>
      <c r="AE306" s="237"/>
      <c r="AF306" s="237"/>
      <c r="AG306" s="237"/>
      <c r="AH306" s="237"/>
      <c r="AI306" s="98"/>
      <c r="AJ306" s="98"/>
      <c r="AK306" s="98"/>
      <c r="AL306" s="98"/>
      <c r="AM306" s="98"/>
      <c r="AN306" s="98"/>
      <c r="AO306" s="98"/>
    </row>
    <row r="307" ht="14.25" customHeight="1">
      <c r="A307" s="98"/>
      <c r="B307" s="98"/>
      <c r="C307" s="98"/>
      <c r="D307" s="98"/>
      <c r="E307" s="98"/>
      <c r="F307" s="235"/>
      <c r="G307" s="235"/>
      <c r="H307" s="236"/>
      <c r="I307" s="236"/>
      <c r="J307" s="236"/>
      <c r="K307" s="236"/>
      <c r="L307" s="236"/>
      <c r="M307" s="236"/>
      <c r="N307" s="236"/>
      <c r="O307" s="236"/>
      <c r="P307" s="236"/>
      <c r="Q307" s="236"/>
      <c r="R307" s="236"/>
      <c r="S307" s="236"/>
      <c r="T307" s="236"/>
      <c r="U307" s="236"/>
      <c r="V307" s="236"/>
      <c r="W307" s="237"/>
      <c r="X307" s="237"/>
      <c r="Y307" s="237"/>
      <c r="Z307" s="237"/>
      <c r="AA307" s="237"/>
      <c r="AB307" s="237"/>
      <c r="AC307" s="237"/>
      <c r="AD307" s="237"/>
      <c r="AE307" s="237"/>
      <c r="AF307" s="237"/>
      <c r="AG307" s="237"/>
      <c r="AH307" s="237"/>
      <c r="AI307" s="98"/>
      <c r="AJ307" s="98"/>
      <c r="AK307" s="98"/>
      <c r="AL307" s="98"/>
      <c r="AM307" s="98"/>
      <c r="AN307" s="98"/>
      <c r="AO307" s="98"/>
    </row>
    <row r="308" ht="14.25" customHeight="1">
      <c r="A308" s="98"/>
      <c r="B308" s="98"/>
      <c r="C308" s="98"/>
      <c r="D308" s="98"/>
      <c r="E308" s="98"/>
      <c r="F308" s="235"/>
      <c r="G308" s="235"/>
      <c r="H308" s="236"/>
      <c r="I308" s="236"/>
      <c r="J308" s="236"/>
      <c r="K308" s="236"/>
      <c r="L308" s="236"/>
      <c r="M308" s="236"/>
      <c r="N308" s="236"/>
      <c r="O308" s="236"/>
      <c r="P308" s="236"/>
      <c r="Q308" s="236"/>
      <c r="R308" s="236"/>
      <c r="S308" s="236"/>
      <c r="T308" s="236"/>
      <c r="U308" s="236"/>
      <c r="V308" s="236"/>
      <c r="W308" s="237"/>
      <c r="X308" s="237"/>
      <c r="Y308" s="237"/>
      <c r="Z308" s="237"/>
      <c r="AA308" s="237"/>
      <c r="AB308" s="237"/>
      <c r="AC308" s="237"/>
      <c r="AD308" s="237"/>
      <c r="AE308" s="237"/>
      <c r="AF308" s="237"/>
      <c r="AG308" s="237"/>
      <c r="AH308" s="237"/>
      <c r="AI308" s="98"/>
      <c r="AJ308" s="98"/>
      <c r="AK308" s="98"/>
      <c r="AL308" s="98"/>
      <c r="AM308" s="98"/>
      <c r="AN308" s="98"/>
      <c r="AO308" s="98"/>
    </row>
    <row r="309" ht="14.25" customHeight="1">
      <c r="A309" s="98"/>
      <c r="B309" s="98"/>
      <c r="C309" s="98"/>
      <c r="D309" s="98"/>
      <c r="E309" s="98"/>
      <c r="F309" s="235"/>
      <c r="G309" s="235"/>
      <c r="H309" s="236"/>
      <c r="I309" s="236"/>
      <c r="J309" s="236"/>
      <c r="K309" s="236"/>
      <c r="L309" s="236"/>
      <c r="M309" s="236"/>
      <c r="N309" s="236"/>
      <c r="O309" s="236"/>
      <c r="P309" s="236"/>
      <c r="Q309" s="236"/>
      <c r="R309" s="236"/>
      <c r="S309" s="236"/>
      <c r="T309" s="236"/>
      <c r="U309" s="236"/>
      <c r="V309" s="236"/>
      <c r="W309" s="237"/>
      <c r="X309" s="237"/>
      <c r="Y309" s="237"/>
      <c r="Z309" s="237"/>
      <c r="AA309" s="237"/>
      <c r="AB309" s="237"/>
      <c r="AC309" s="237"/>
      <c r="AD309" s="237"/>
      <c r="AE309" s="237"/>
      <c r="AF309" s="237"/>
      <c r="AG309" s="237"/>
      <c r="AH309" s="237"/>
      <c r="AI309" s="98"/>
      <c r="AJ309" s="98"/>
      <c r="AK309" s="98"/>
      <c r="AL309" s="98"/>
      <c r="AM309" s="98"/>
      <c r="AN309" s="98"/>
      <c r="AO309" s="98"/>
    </row>
    <row r="310" ht="14.25" customHeight="1">
      <c r="A310" s="98"/>
      <c r="B310" s="98"/>
      <c r="C310" s="98"/>
      <c r="D310" s="98"/>
      <c r="E310" s="98"/>
      <c r="F310" s="235"/>
      <c r="G310" s="235"/>
      <c r="H310" s="236"/>
      <c r="I310" s="236"/>
      <c r="J310" s="236"/>
      <c r="K310" s="236"/>
      <c r="L310" s="236"/>
      <c r="M310" s="236"/>
      <c r="N310" s="236"/>
      <c r="O310" s="236"/>
      <c r="P310" s="236"/>
      <c r="Q310" s="236"/>
      <c r="R310" s="236"/>
      <c r="S310" s="236"/>
      <c r="T310" s="236"/>
      <c r="U310" s="236"/>
      <c r="V310" s="236"/>
      <c r="W310" s="237"/>
      <c r="X310" s="237"/>
      <c r="Y310" s="237"/>
      <c r="Z310" s="237"/>
      <c r="AA310" s="237"/>
      <c r="AB310" s="237"/>
      <c r="AC310" s="237"/>
      <c r="AD310" s="237"/>
      <c r="AE310" s="237"/>
      <c r="AF310" s="237"/>
      <c r="AG310" s="237"/>
      <c r="AH310" s="237"/>
      <c r="AI310" s="98"/>
      <c r="AJ310" s="98"/>
      <c r="AK310" s="98"/>
      <c r="AL310" s="98"/>
      <c r="AM310" s="98"/>
      <c r="AN310" s="98"/>
      <c r="AO310" s="98"/>
    </row>
    <row r="311" ht="14.25" customHeight="1">
      <c r="A311" s="98"/>
      <c r="B311" s="98"/>
      <c r="C311" s="98"/>
      <c r="D311" s="98"/>
      <c r="E311" s="98"/>
      <c r="F311" s="235"/>
      <c r="G311" s="235"/>
      <c r="H311" s="236"/>
      <c r="I311" s="236"/>
      <c r="J311" s="236"/>
      <c r="K311" s="236"/>
      <c r="L311" s="236"/>
      <c r="M311" s="236"/>
      <c r="N311" s="236"/>
      <c r="O311" s="236"/>
      <c r="P311" s="236"/>
      <c r="Q311" s="236"/>
      <c r="R311" s="236"/>
      <c r="S311" s="236"/>
      <c r="T311" s="236"/>
      <c r="U311" s="236"/>
      <c r="V311" s="236"/>
      <c r="W311" s="237"/>
      <c r="X311" s="237"/>
      <c r="Y311" s="237"/>
      <c r="Z311" s="237"/>
      <c r="AA311" s="237"/>
      <c r="AB311" s="237"/>
      <c r="AC311" s="237"/>
      <c r="AD311" s="237"/>
      <c r="AE311" s="237"/>
      <c r="AF311" s="237"/>
      <c r="AG311" s="237"/>
      <c r="AH311" s="237"/>
      <c r="AI311" s="98"/>
      <c r="AJ311" s="98"/>
      <c r="AK311" s="98"/>
      <c r="AL311" s="98"/>
      <c r="AM311" s="98"/>
      <c r="AN311" s="98"/>
      <c r="AO311" s="98"/>
    </row>
    <row r="312" ht="14.25" customHeight="1">
      <c r="A312" s="98"/>
      <c r="B312" s="98"/>
      <c r="C312" s="98"/>
      <c r="D312" s="98"/>
      <c r="E312" s="98"/>
      <c r="F312" s="235"/>
      <c r="G312" s="235"/>
      <c r="H312" s="236"/>
      <c r="I312" s="236"/>
      <c r="J312" s="236"/>
      <c r="K312" s="236"/>
      <c r="L312" s="236"/>
      <c r="M312" s="236"/>
      <c r="N312" s="236"/>
      <c r="O312" s="236"/>
      <c r="P312" s="236"/>
      <c r="Q312" s="236"/>
      <c r="R312" s="236"/>
      <c r="S312" s="236"/>
      <c r="T312" s="236"/>
      <c r="U312" s="236"/>
      <c r="V312" s="236"/>
      <c r="W312" s="237"/>
      <c r="X312" s="237"/>
      <c r="Y312" s="237"/>
      <c r="Z312" s="237"/>
      <c r="AA312" s="237"/>
      <c r="AB312" s="237"/>
      <c r="AC312" s="237"/>
      <c r="AD312" s="237"/>
      <c r="AE312" s="237"/>
      <c r="AF312" s="237"/>
      <c r="AG312" s="237"/>
      <c r="AH312" s="237"/>
      <c r="AI312" s="98"/>
      <c r="AJ312" s="98"/>
      <c r="AK312" s="98"/>
      <c r="AL312" s="98"/>
      <c r="AM312" s="98"/>
      <c r="AN312" s="98"/>
      <c r="AO312" s="98"/>
    </row>
    <row r="313" ht="14.25" customHeight="1">
      <c r="A313" s="98"/>
      <c r="B313" s="98"/>
      <c r="C313" s="98"/>
      <c r="D313" s="98"/>
      <c r="E313" s="98"/>
      <c r="F313" s="235"/>
      <c r="G313" s="235"/>
      <c r="H313" s="236"/>
      <c r="I313" s="236"/>
      <c r="J313" s="236"/>
      <c r="K313" s="236"/>
      <c r="L313" s="236"/>
      <c r="M313" s="236"/>
      <c r="N313" s="236"/>
      <c r="O313" s="236"/>
      <c r="P313" s="236"/>
      <c r="Q313" s="236"/>
      <c r="R313" s="236"/>
      <c r="S313" s="236"/>
      <c r="T313" s="236"/>
      <c r="U313" s="236"/>
      <c r="V313" s="236"/>
      <c r="W313" s="237"/>
      <c r="X313" s="237"/>
      <c r="Y313" s="237"/>
      <c r="Z313" s="237"/>
      <c r="AA313" s="237"/>
      <c r="AB313" s="237"/>
      <c r="AC313" s="237"/>
      <c r="AD313" s="237"/>
      <c r="AE313" s="237"/>
      <c r="AF313" s="237"/>
      <c r="AG313" s="237"/>
      <c r="AH313" s="237"/>
      <c r="AI313" s="98"/>
      <c r="AJ313" s="98"/>
      <c r="AK313" s="98"/>
      <c r="AL313" s="98"/>
      <c r="AM313" s="98"/>
      <c r="AN313" s="98"/>
      <c r="AO313" s="98"/>
    </row>
    <row r="314" ht="14.25" customHeight="1">
      <c r="A314" s="98"/>
      <c r="B314" s="98"/>
      <c r="C314" s="98"/>
      <c r="D314" s="98"/>
      <c r="E314" s="98"/>
      <c r="F314" s="235"/>
      <c r="G314" s="235"/>
      <c r="H314" s="236"/>
      <c r="I314" s="236"/>
      <c r="J314" s="236"/>
      <c r="K314" s="236"/>
      <c r="L314" s="236"/>
      <c r="M314" s="236"/>
      <c r="N314" s="236"/>
      <c r="O314" s="236"/>
      <c r="P314" s="236"/>
      <c r="Q314" s="236"/>
      <c r="R314" s="236"/>
      <c r="S314" s="236"/>
      <c r="T314" s="236"/>
      <c r="U314" s="236"/>
      <c r="V314" s="236"/>
      <c r="W314" s="237"/>
      <c r="X314" s="237"/>
      <c r="Y314" s="237"/>
      <c r="Z314" s="237"/>
      <c r="AA314" s="237"/>
      <c r="AB314" s="237"/>
      <c r="AC314" s="237"/>
      <c r="AD314" s="237"/>
      <c r="AE314" s="237"/>
      <c r="AF314" s="237"/>
      <c r="AG314" s="237"/>
      <c r="AH314" s="237"/>
      <c r="AI314" s="98"/>
      <c r="AJ314" s="98"/>
      <c r="AK314" s="98"/>
      <c r="AL314" s="98"/>
      <c r="AM314" s="98"/>
      <c r="AN314" s="98"/>
      <c r="AO314" s="98"/>
    </row>
    <row r="315" ht="14.25" customHeight="1">
      <c r="A315" s="98"/>
      <c r="B315" s="98"/>
      <c r="C315" s="98"/>
      <c r="D315" s="98"/>
      <c r="E315" s="98"/>
      <c r="F315" s="235"/>
      <c r="G315" s="235"/>
      <c r="H315" s="236"/>
      <c r="I315" s="236"/>
      <c r="J315" s="236"/>
      <c r="K315" s="236"/>
      <c r="L315" s="236"/>
      <c r="M315" s="236"/>
      <c r="N315" s="236"/>
      <c r="O315" s="236"/>
      <c r="P315" s="236"/>
      <c r="Q315" s="236"/>
      <c r="R315" s="236"/>
      <c r="S315" s="236"/>
      <c r="T315" s="236"/>
      <c r="U315" s="236"/>
      <c r="V315" s="236"/>
      <c r="W315" s="237"/>
      <c r="X315" s="237"/>
      <c r="Y315" s="237"/>
      <c r="Z315" s="237"/>
      <c r="AA315" s="237"/>
      <c r="AB315" s="237"/>
      <c r="AC315" s="237"/>
      <c r="AD315" s="237"/>
      <c r="AE315" s="237"/>
      <c r="AF315" s="237"/>
      <c r="AG315" s="237"/>
      <c r="AH315" s="237"/>
      <c r="AI315" s="98"/>
      <c r="AJ315" s="98"/>
      <c r="AK315" s="98"/>
      <c r="AL315" s="98"/>
      <c r="AM315" s="98"/>
      <c r="AN315" s="98"/>
      <c r="AO315" s="98"/>
    </row>
    <row r="316" ht="14.25" customHeight="1">
      <c r="A316" s="98"/>
      <c r="B316" s="98"/>
      <c r="C316" s="98"/>
      <c r="D316" s="98"/>
      <c r="E316" s="98"/>
      <c r="F316" s="235"/>
      <c r="G316" s="235"/>
      <c r="H316" s="236"/>
      <c r="I316" s="236"/>
      <c r="J316" s="236"/>
      <c r="K316" s="236"/>
      <c r="L316" s="236"/>
      <c r="M316" s="236"/>
      <c r="N316" s="236"/>
      <c r="O316" s="236"/>
      <c r="P316" s="236"/>
      <c r="Q316" s="236"/>
      <c r="R316" s="236"/>
      <c r="S316" s="236"/>
      <c r="T316" s="236"/>
      <c r="U316" s="236"/>
      <c r="V316" s="236"/>
      <c r="W316" s="237"/>
      <c r="X316" s="237"/>
      <c r="Y316" s="237"/>
      <c r="Z316" s="237"/>
      <c r="AA316" s="237"/>
      <c r="AB316" s="237"/>
      <c r="AC316" s="237"/>
      <c r="AD316" s="237"/>
      <c r="AE316" s="237"/>
      <c r="AF316" s="237"/>
      <c r="AG316" s="237"/>
      <c r="AH316" s="237"/>
      <c r="AI316" s="98"/>
      <c r="AJ316" s="98"/>
      <c r="AK316" s="98"/>
      <c r="AL316" s="98"/>
      <c r="AM316" s="98"/>
      <c r="AN316" s="98"/>
      <c r="AO316" s="98"/>
    </row>
    <row r="317" ht="14.25" customHeight="1">
      <c r="A317" s="98"/>
      <c r="B317" s="98"/>
      <c r="C317" s="98"/>
      <c r="D317" s="98"/>
      <c r="E317" s="98"/>
      <c r="F317" s="235"/>
      <c r="G317" s="235"/>
      <c r="H317" s="236"/>
      <c r="I317" s="236"/>
      <c r="J317" s="236"/>
      <c r="K317" s="236"/>
      <c r="L317" s="236"/>
      <c r="M317" s="236"/>
      <c r="N317" s="236"/>
      <c r="O317" s="236"/>
      <c r="P317" s="236"/>
      <c r="Q317" s="236"/>
      <c r="R317" s="236"/>
      <c r="S317" s="236"/>
      <c r="T317" s="236"/>
      <c r="U317" s="236"/>
      <c r="V317" s="236"/>
      <c r="W317" s="237"/>
      <c r="X317" s="237"/>
      <c r="Y317" s="237"/>
      <c r="Z317" s="237"/>
      <c r="AA317" s="237"/>
      <c r="AB317" s="237"/>
      <c r="AC317" s="237"/>
      <c r="AD317" s="237"/>
      <c r="AE317" s="237"/>
      <c r="AF317" s="237"/>
      <c r="AG317" s="237"/>
      <c r="AH317" s="237"/>
      <c r="AI317" s="98"/>
      <c r="AJ317" s="98"/>
      <c r="AK317" s="98"/>
      <c r="AL317" s="98"/>
      <c r="AM317" s="98"/>
      <c r="AN317" s="98"/>
      <c r="AO317" s="98"/>
    </row>
    <row r="318" ht="14.25" customHeight="1">
      <c r="A318" s="98"/>
      <c r="B318" s="98"/>
      <c r="C318" s="98"/>
      <c r="D318" s="98"/>
      <c r="E318" s="98"/>
      <c r="F318" s="235"/>
      <c r="G318" s="235"/>
      <c r="H318" s="236"/>
      <c r="I318" s="236"/>
      <c r="J318" s="236"/>
      <c r="K318" s="236"/>
      <c r="L318" s="236"/>
      <c r="M318" s="236"/>
      <c r="N318" s="236"/>
      <c r="O318" s="236"/>
      <c r="P318" s="236"/>
      <c r="Q318" s="236"/>
      <c r="R318" s="236"/>
      <c r="S318" s="236"/>
      <c r="T318" s="236"/>
      <c r="U318" s="236"/>
      <c r="V318" s="236"/>
      <c r="W318" s="237"/>
      <c r="X318" s="237"/>
      <c r="Y318" s="237"/>
      <c r="Z318" s="237"/>
      <c r="AA318" s="237"/>
      <c r="AB318" s="237"/>
      <c r="AC318" s="237"/>
      <c r="AD318" s="237"/>
      <c r="AE318" s="237"/>
      <c r="AF318" s="237"/>
      <c r="AG318" s="237"/>
      <c r="AH318" s="237"/>
      <c r="AI318" s="98"/>
      <c r="AJ318" s="98"/>
      <c r="AK318" s="98"/>
      <c r="AL318" s="98"/>
      <c r="AM318" s="98"/>
      <c r="AN318" s="98"/>
      <c r="AO318" s="98"/>
    </row>
    <row r="319" ht="14.25" customHeight="1">
      <c r="A319" s="98"/>
      <c r="B319" s="98"/>
      <c r="C319" s="98"/>
      <c r="D319" s="98"/>
      <c r="E319" s="98"/>
      <c r="F319" s="235"/>
      <c r="G319" s="235"/>
      <c r="H319" s="236"/>
      <c r="I319" s="236"/>
      <c r="J319" s="236"/>
      <c r="K319" s="236"/>
      <c r="L319" s="236"/>
      <c r="M319" s="236"/>
      <c r="N319" s="236"/>
      <c r="O319" s="236"/>
      <c r="P319" s="236"/>
      <c r="Q319" s="236"/>
      <c r="R319" s="236"/>
      <c r="S319" s="236"/>
      <c r="T319" s="236"/>
      <c r="U319" s="236"/>
      <c r="V319" s="236"/>
      <c r="W319" s="237"/>
      <c r="X319" s="237"/>
      <c r="Y319" s="237"/>
      <c r="Z319" s="237"/>
      <c r="AA319" s="237"/>
      <c r="AB319" s="237"/>
      <c r="AC319" s="237"/>
      <c r="AD319" s="237"/>
      <c r="AE319" s="237"/>
      <c r="AF319" s="237"/>
      <c r="AG319" s="237"/>
      <c r="AH319" s="237"/>
      <c r="AI319" s="98"/>
      <c r="AJ319" s="98"/>
      <c r="AK319" s="98"/>
      <c r="AL319" s="98"/>
      <c r="AM319" s="98"/>
      <c r="AN319" s="98"/>
      <c r="AO319" s="98"/>
    </row>
    <row r="320" ht="14.25" customHeight="1">
      <c r="A320" s="98"/>
      <c r="B320" s="98"/>
      <c r="C320" s="98"/>
      <c r="D320" s="98"/>
      <c r="E320" s="98"/>
      <c r="F320" s="235"/>
      <c r="G320" s="235"/>
      <c r="H320" s="236"/>
      <c r="I320" s="236"/>
      <c r="J320" s="236"/>
      <c r="K320" s="236"/>
      <c r="L320" s="236"/>
      <c r="M320" s="236"/>
      <c r="N320" s="236"/>
      <c r="O320" s="236"/>
      <c r="P320" s="236"/>
      <c r="Q320" s="236"/>
      <c r="R320" s="236"/>
      <c r="S320" s="236"/>
      <c r="T320" s="236"/>
      <c r="U320" s="236"/>
      <c r="V320" s="236"/>
      <c r="W320" s="237"/>
      <c r="X320" s="237"/>
      <c r="Y320" s="237"/>
      <c r="Z320" s="237"/>
      <c r="AA320" s="237"/>
      <c r="AB320" s="237"/>
      <c r="AC320" s="237"/>
      <c r="AD320" s="237"/>
      <c r="AE320" s="237"/>
      <c r="AF320" s="237"/>
      <c r="AG320" s="237"/>
      <c r="AH320" s="237"/>
      <c r="AI320" s="98"/>
      <c r="AJ320" s="98"/>
      <c r="AK320" s="98"/>
      <c r="AL320" s="98"/>
      <c r="AM320" s="98"/>
      <c r="AN320" s="98"/>
      <c r="AO320" s="98"/>
    </row>
    <row r="321" ht="14.25" customHeight="1">
      <c r="A321" s="98"/>
      <c r="B321" s="98"/>
      <c r="C321" s="98"/>
      <c r="D321" s="98"/>
      <c r="E321" s="98"/>
      <c r="F321" s="235"/>
      <c r="G321" s="235"/>
      <c r="H321" s="236"/>
      <c r="I321" s="236"/>
      <c r="J321" s="236"/>
      <c r="K321" s="236"/>
      <c r="L321" s="236"/>
      <c r="M321" s="236"/>
      <c r="N321" s="236"/>
      <c r="O321" s="236"/>
      <c r="P321" s="236"/>
      <c r="Q321" s="236"/>
      <c r="R321" s="236"/>
      <c r="S321" s="236"/>
      <c r="T321" s="236"/>
      <c r="U321" s="236"/>
      <c r="V321" s="236"/>
      <c r="W321" s="237"/>
      <c r="X321" s="237"/>
      <c r="Y321" s="237"/>
      <c r="Z321" s="237"/>
      <c r="AA321" s="237"/>
      <c r="AB321" s="237"/>
      <c r="AC321" s="237"/>
      <c r="AD321" s="237"/>
      <c r="AE321" s="237"/>
      <c r="AF321" s="237"/>
      <c r="AG321" s="237"/>
      <c r="AH321" s="237"/>
      <c r="AI321" s="98"/>
      <c r="AJ321" s="98"/>
      <c r="AK321" s="98"/>
      <c r="AL321" s="98"/>
      <c r="AM321" s="98"/>
      <c r="AN321" s="98"/>
      <c r="AO321" s="98"/>
    </row>
    <row r="322" ht="14.25" customHeight="1">
      <c r="A322" s="98"/>
      <c r="B322" s="98"/>
      <c r="C322" s="98"/>
      <c r="D322" s="98"/>
      <c r="E322" s="98"/>
      <c r="F322" s="235"/>
      <c r="G322" s="235"/>
      <c r="H322" s="236"/>
      <c r="I322" s="236"/>
      <c r="J322" s="236"/>
      <c r="K322" s="236"/>
      <c r="L322" s="236"/>
      <c r="M322" s="236"/>
      <c r="N322" s="236"/>
      <c r="O322" s="236"/>
      <c r="P322" s="236"/>
      <c r="Q322" s="236"/>
      <c r="R322" s="236"/>
      <c r="S322" s="236"/>
      <c r="T322" s="236"/>
      <c r="U322" s="236"/>
      <c r="V322" s="236"/>
      <c r="W322" s="237"/>
      <c r="X322" s="237"/>
      <c r="Y322" s="237"/>
      <c r="Z322" s="237"/>
      <c r="AA322" s="237"/>
      <c r="AB322" s="237"/>
      <c r="AC322" s="237"/>
      <c r="AD322" s="237"/>
      <c r="AE322" s="237"/>
      <c r="AF322" s="237"/>
      <c r="AG322" s="237"/>
      <c r="AH322" s="237"/>
      <c r="AI322" s="98"/>
      <c r="AJ322" s="98"/>
      <c r="AK322" s="98"/>
      <c r="AL322" s="98"/>
      <c r="AM322" s="98"/>
      <c r="AN322" s="98"/>
      <c r="AO322" s="98"/>
    </row>
    <row r="323" ht="14.25" customHeight="1">
      <c r="A323" s="98"/>
      <c r="B323" s="98"/>
      <c r="C323" s="98"/>
      <c r="D323" s="98"/>
      <c r="E323" s="98"/>
      <c r="F323" s="235"/>
      <c r="G323" s="235"/>
      <c r="H323" s="236"/>
      <c r="I323" s="236"/>
      <c r="J323" s="236"/>
      <c r="K323" s="236"/>
      <c r="L323" s="236"/>
      <c r="M323" s="236"/>
      <c r="N323" s="236"/>
      <c r="O323" s="236"/>
      <c r="P323" s="236"/>
      <c r="Q323" s="236"/>
      <c r="R323" s="236"/>
      <c r="S323" s="236"/>
      <c r="T323" s="236"/>
      <c r="U323" s="236"/>
      <c r="V323" s="236"/>
      <c r="W323" s="237"/>
      <c r="X323" s="237"/>
      <c r="Y323" s="237"/>
      <c r="Z323" s="237"/>
      <c r="AA323" s="237"/>
      <c r="AB323" s="237"/>
      <c r="AC323" s="237"/>
      <c r="AD323" s="237"/>
      <c r="AE323" s="237"/>
      <c r="AF323" s="237"/>
      <c r="AG323" s="237"/>
      <c r="AH323" s="237"/>
      <c r="AI323" s="98"/>
      <c r="AJ323" s="98"/>
      <c r="AK323" s="98"/>
      <c r="AL323" s="98"/>
      <c r="AM323" s="98"/>
      <c r="AN323" s="98"/>
      <c r="AO323" s="98"/>
    </row>
    <row r="324" ht="14.25" customHeight="1">
      <c r="A324" s="98"/>
      <c r="B324" s="98"/>
      <c r="C324" s="98"/>
      <c r="D324" s="98"/>
      <c r="E324" s="98"/>
      <c r="F324" s="235"/>
      <c r="G324" s="235"/>
      <c r="H324" s="236"/>
      <c r="I324" s="236"/>
      <c r="J324" s="236"/>
      <c r="K324" s="236"/>
      <c r="L324" s="236"/>
      <c r="M324" s="236"/>
      <c r="N324" s="236"/>
      <c r="O324" s="236"/>
      <c r="P324" s="236"/>
      <c r="Q324" s="236"/>
      <c r="R324" s="236"/>
      <c r="S324" s="236"/>
      <c r="T324" s="236"/>
      <c r="U324" s="236"/>
      <c r="V324" s="236"/>
      <c r="W324" s="237"/>
      <c r="X324" s="237"/>
      <c r="Y324" s="237"/>
      <c r="Z324" s="237"/>
      <c r="AA324" s="237"/>
      <c r="AB324" s="237"/>
      <c r="AC324" s="237"/>
      <c r="AD324" s="237"/>
      <c r="AE324" s="237"/>
      <c r="AF324" s="237"/>
      <c r="AG324" s="237"/>
      <c r="AH324" s="237"/>
      <c r="AI324" s="98"/>
      <c r="AJ324" s="98"/>
      <c r="AK324" s="98"/>
      <c r="AL324" s="98"/>
      <c r="AM324" s="98"/>
      <c r="AN324" s="98"/>
      <c r="AO324" s="98"/>
    </row>
    <row r="325" ht="14.25" customHeight="1">
      <c r="A325" s="98"/>
      <c r="B325" s="98"/>
      <c r="C325" s="98"/>
      <c r="D325" s="98"/>
      <c r="E325" s="98"/>
      <c r="F325" s="235"/>
      <c r="G325" s="235"/>
      <c r="H325" s="236"/>
      <c r="I325" s="236"/>
      <c r="J325" s="236"/>
      <c r="K325" s="236"/>
      <c r="L325" s="236"/>
      <c r="M325" s="236"/>
      <c r="N325" s="236"/>
      <c r="O325" s="236"/>
      <c r="P325" s="236"/>
      <c r="Q325" s="236"/>
      <c r="R325" s="236"/>
      <c r="S325" s="236"/>
      <c r="T325" s="236"/>
      <c r="U325" s="236"/>
      <c r="V325" s="236"/>
      <c r="W325" s="237"/>
      <c r="X325" s="237"/>
      <c r="Y325" s="237"/>
      <c r="Z325" s="237"/>
      <c r="AA325" s="237"/>
      <c r="AB325" s="237"/>
      <c r="AC325" s="237"/>
      <c r="AD325" s="237"/>
      <c r="AE325" s="237"/>
      <c r="AF325" s="237"/>
      <c r="AG325" s="237"/>
      <c r="AH325" s="237"/>
      <c r="AI325" s="98"/>
      <c r="AJ325" s="98"/>
      <c r="AK325" s="98"/>
      <c r="AL325" s="98"/>
      <c r="AM325" s="98"/>
      <c r="AN325" s="98"/>
      <c r="AO325" s="98"/>
    </row>
    <row r="326" ht="14.25" customHeight="1">
      <c r="A326" s="98"/>
      <c r="B326" s="98"/>
      <c r="C326" s="98"/>
      <c r="D326" s="98"/>
      <c r="E326" s="98"/>
      <c r="F326" s="235"/>
      <c r="G326" s="235"/>
      <c r="H326" s="236"/>
      <c r="I326" s="236"/>
      <c r="J326" s="236"/>
      <c r="K326" s="236"/>
      <c r="L326" s="236"/>
      <c r="M326" s="236"/>
      <c r="N326" s="236"/>
      <c r="O326" s="236"/>
      <c r="P326" s="236"/>
      <c r="Q326" s="236"/>
      <c r="R326" s="236"/>
      <c r="S326" s="236"/>
      <c r="T326" s="236"/>
      <c r="U326" s="236"/>
      <c r="V326" s="236"/>
      <c r="W326" s="237"/>
      <c r="X326" s="237"/>
      <c r="Y326" s="237"/>
      <c r="Z326" s="237"/>
      <c r="AA326" s="237"/>
      <c r="AB326" s="237"/>
      <c r="AC326" s="237"/>
      <c r="AD326" s="237"/>
      <c r="AE326" s="237"/>
      <c r="AF326" s="237"/>
      <c r="AG326" s="237"/>
      <c r="AH326" s="237"/>
      <c r="AI326" s="98"/>
      <c r="AJ326" s="98"/>
      <c r="AK326" s="98"/>
      <c r="AL326" s="98"/>
      <c r="AM326" s="98"/>
      <c r="AN326" s="98"/>
      <c r="AO326" s="98"/>
    </row>
    <row r="327" ht="14.25" customHeight="1">
      <c r="A327" s="98"/>
      <c r="B327" s="98"/>
      <c r="C327" s="98"/>
      <c r="D327" s="98"/>
      <c r="E327" s="98"/>
      <c r="F327" s="235"/>
      <c r="G327" s="235"/>
      <c r="H327" s="236"/>
      <c r="I327" s="236"/>
      <c r="J327" s="236"/>
      <c r="K327" s="236"/>
      <c r="L327" s="236"/>
      <c r="M327" s="236"/>
      <c r="N327" s="236"/>
      <c r="O327" s="236"/>
      <c r="P327" s="236"/>
      <c r="Q327" s="236"/>
      <c r="R327" s="236"/>
      <c r="S327" s="236"/>
      <c r="T327" s="236"/>
      <c r="U327" s="236"/>
      <c r="V327" s="236"/>
      <c r="W327" s="237"/>
      <c r="X327" s="237"/>
      <c r="Y327" s="237"/>
      <c r="Z327" s="237"/>
      <c r="AA327" s="237"/>
      <c r="AB327" s="237"/>
      <c r="AC327" s="237"/>
      <c r="AD327" s="237"/>
      <c r="AE327" s="237"/>
      <c r="AF327" s="237"/>
      <c r="AG327" s="237"/>
      <c r="AH327" s="237"/>
      <c r="AI327" s="98"/>
      <c r="AJ327" s="98"/>
      <c r="AK327" s="98"/>
      <c r="AL327" s="98"/>
      <c r="AM327" s="98"/>
      <c r="AN327" s="98"/>
      <c r="AO327" s="98"/>
    </row>
    <row r="328" ht="14.25" customHeight="1">
      <c r="A328" s="98"/>
      <c r="B328" s="98"/>
      <c r="C328" s="98"/>
      <c r="D328" s="98"/>
      <c r="E328" s="98"/>
      <c r="F328" s="235"/>
      <c r="G328" s="235"/>
      <c r="H328" s="236"/>
      <c r="I328" s="236"/>
      <c r="J328" s="236"/>
      <c r="K328" s="236"/>
      <c r="L328" s="236"/>
      <c r="M328" s="236"/>
      <c r="N328" s="236"/>
      <c r="O328" s="236"/>
      <c r="P328" s="236"/>
      <c r="Q328" s="236"/>
      <c r="R328" s="236"/>
      <c r="S328" s="236"/>
      <c r="T328" s="236"/>
      <c r="U328" s="236"/>
      <c r="V328" s="236"/>
      <c r="W328" s="237"/>
      <c r="X328" s="237"/>
      <c r="Y328" s="237"/>
      <c r="Z328" s="237"/>
      <c r="AA328" s="237"/>
      <c r="AB328" s="237"/>
      <c r="AC328" s="237"/>
      <c r="AD328" s="237"/>
      <c r="AE328" s="237"/>
      <c r="AF328" s="237"/>
      <c r="AG328" s="237"/>
      <c r="AH328" s="237"/>
      <c r="AI328" s="98"/>
      <c r="AJ328" s="98"/>
      <c r="AK328" s="98"/>
      <c r="AL328" s="98"/>
      <c r="AM328" s="98"/>
      <c r="AN328" s="98"/>
      <c r="AO328" s="98"/>
    </row>
    <row r="329" ht="14.25" customHeight="1">
      <c r="A329" s="98"/>
      <c r="B329" s="98"/>
      <c r="C329" s="98"/>
      <c r="D329" s="98"/>
      <c r="E329" s="98"/>
      <c r="F329" s="235"/>
      <c r="G329" s="235"/>
      <c r="H329" s="236"/>
      <c r="I329" s="236"/>
      <c r="J329" s="236"/>
      <c r="K329" s="236"/>
      <c r="L329" s="236"/>
      <c r="M329" s="236"/>
      <c r="N329" s="236"/>
      <c r="O329" s="236"/>
      <c r="P329" s="236"/>
      <c r="Q329" s="236"/>
      <c r="R329" s="236"/>
      <c r="S329" s="236"/>
      <c r="T329" s="236"/>
      <c r="U329" s="236"/>
      <c r="V329" s="236"/>
      <c r="W329" s="237"/>
      <c r="X329" s="237"/>
      <c r="Y329" s="237"/>
      <c r="Z329" s="237"/>
      <c r="AA329" s="237"/>
      <c r="AB329" s="237"/>
      <c r="AC329" s="237"/>
      <c r="AD329" s="237"/>
      <c r="AE329" s="237"/>
      <c r="AF329" s="237"/>
      <c r="AG329" s="237"/>
      <c r="AH329" s="237"/>
      <c r="AI329" s="98"/>
      <c r="AJ329" s="98"/>
      <c r="AK329" s="98"/>
      <c r="AL329" s="98"/>
      <c r="AM329" s="98"/>
      <c r="AN329" s="98"/>
      <c r="AO329" s="98"/>
    </row>
    <row r="330" ht="14.25" customHeight="1">
      <c r="A330" s="98"/>
      <c r="B330" s="98"/>
      <c r="C330" s="98"/>
      <c r="D330" s="98"/>
      <c r="E330" s="98"/>
      <c r="F330" s="235"/>
      <c r="G330" s="235"/>
      <c r="H330" s="236"/>
      <c r="I330" s="236"/>
      <c r="J330" s="236"/>
      <c r="K330" s="236"/>
      <c r="L330" s="236"/>
      <c r="M330" s="236"/>
      <c r="N330" s="236"/>
      <c r="O330" s="236"/>
      <c r="P330" s="236"/>
      <c r="Q330" s="236"/>
      <c r="R330" s="236"/>
      <c r="S330" s="236"/>
      <c r="T330" s="236"/>
      <c r="U330" s="236"/>
      <c r="V330" s="236"/>
      <c r="W330" s="237"/>
      <c r="X330" s="237"/>
      <c r="Y330" s="237"/>
      <c r="Z330" s="237"/>
      <c r="AA330" s="237"/>
      <c r="AB330" s="237"/>
      <c r="AC330" s="237"/>
      <c r="AD330" s="237"/>
      <c r="AE330" s="237"/>
      <c r="AF330" s="237"/>
      <c r="AG330" s="237"/>
      <c r="AH330" s="237"/>
      <c r="AI330" s="98"/>
      <c r="AJ330" s="98"/>
      <c r="AK330" s="98"/>
      <c r="AL330" s="98"/>
      <c r="AM330" s="98"/>
      <c r="AN330" s="98"/>
      <c r="AO330" s="98"/>
    </row>
    <row r="331" ht="14.25" customHeight="1">
      <c r="A331" s="98"/>
      <c r="B331" s="98"/>
      <c r="C331" s="98"/>
      <c r="D331" s="98"/>
      <c r="E331" s="98"/>
      <c r="F331" s="235"/>
      <c r="G331" s="235"/>
      <c r="H331" s="236"/>
      <c r="I331" s="236"/>
      <c r="J331" s="236"/>
      <c r="K331" s="236"/>
      <c r="L331" s="236"/>
      <c r="M331" s="236"/>
      <c r="N331" s="236"/>
      <c r="O331" s="236"/>
      <c r="P331" s="236"/>
      <c r="Q331" s="236"/>
      <c r="R331" s="236"/>
      <c r="S331" s="236"/>
      <c r="T331" s="236"/>
      <c r="U331" s="236"/>
      <c r="V331" s="236"/>
      <c r="W331" s="237"/>
      <c r="X331" s="237"/>
      <c r="Y331" s="237"/>
      <c r="Z331" s="237"/>
      <c r="AA331" s="237"/>
      <c r="AB331" s="237"/>
      <c r="AC331" s="237"/>
      <c r="AD331" s="237"/>
      <c r="AE331" s="237"/>
      <c r="AF331" s="237"/>
      <c r="AG331" s="237"/>
      <c r="AH331" s="237"/>
      <c r="AI331" s="98"/>
      <c r="AJ331" s="98"/>
      <c r="AK331" s="98"/>
      <c r="AL331" s="98"/>
      <c r="AM331" s="98"/>
      <c r="AN331" s="98"/>
      <c r="AO331" s="98"/>
    </row>
    <row r="332" ht="14.25" customHeight="1">
      <c r="A332" s="98"/>
      <c r="B332" s="98"/>
      <c r="C332" s="98"/>
      <c r="D332" s="98"/>
      <c r="E332" s="98"/>
      <c r="F332" s="235"/>
      <c r="G332" s="235"/>
      <c r="H332" s="236"/>
      <c r="I332" s="236"/>
      <c r="J332" s="236"/>
      <c r="K332" s="236"/>
      <c r="L332" s="236"/>
      <c r="M332" s="236"/>
      <c r="N332" s="236"/>
      <c r="O332" s="236"/>
      <c r="P332" s="236"/>
      <c r="Q332" s="236"/>
      <c r="R332" s="236"/>
      <c r="S332" s="236"/>
      <c r="T332" s="236"/>
      <c r="U332" s="236"/>
      <c r="V332" s="236"/>
      <c r="W332" s="237"/>
      <c r="X332" s="237"/>
      <c r="Y332" s="237"/>
      <c r="Z332" s="237"/>
      <c r="AA332" s="237"/>
      <c r="AB332" s="237"/>
      <c r="AC332" s="237"/>
      <c r="AD332" s="237"/>
      <c r="AE332" s="237"/>
      <c r="AF332" s="237"/>
      <c r="AG332" s="237"/>
      <c r="AH332" s="237"/>
      <c r="AI332" s="98"/>
      <c r="AJ332" s="98"/>
      <c r="AK332" s="98"/>
      <c r="AL332" s="98"/>
      <c r="AM332" s="98"/>
      <c r="AN332" s="98"/>
      <c r="AO332" s="98"/>
    </row>
    <row r="333" ht="14.25" customHeight="1">
      <c r="A333" s="98"/>
      <c r="B333" s="98"/>
      <c r="C333" s="98"/>
      <c r="D333" s="98"/>
      <c r="E333" s="98"/>
      <c r="F333" s="235"/>
      <c r="G333" s="235"/>
      <c r="H333" s="236"/>
      <c r="I333" s="236"/>
      <c r="J333" s="236"/>
      <c r="K333" s="236"/>
      <c r="L333" s="236"/>
      <c r="M333" s="236"/>
      <c r="N333" s="236"/>
      <c r="O333" s="236"/>
      <c r="P333" s="236"/>
      <c r="Q333" s="236"/>
      <c r="R333" s="236"/>
      <c r="S333" s="236"/>
      <c r="T333" s="236"/>
      <c r="U333" s="236"/>
      <c r="V333" s="236"/>
      <c r="W333" s="237"/>
      <c r="X333" s="237"/>
      <c r="Y333" s="237"/>
      <c r="Z333" s="237"/>
      <c r="AA333" s="237"/>
      <c r="AB333" s="237"/>
      <c r="AC333" s="237"/>
      <c r="AD333" s="237"/>
      <c r="AE333" s="237"/>
      <c r="AF333" s="237"/>
      <c r="AG333" s="237"/>
      <c r="AH333" s="237"/>
      <c r="AI333" s="98"/>
      <c r="AJ333" s="98"/>
      <c r="AK333" s="98"/>
      <c r="AL333" s="98"/>
      <c r="AM333" s="98"/>
      <c r="AN333" s="98"/>
      <c r="AO333" s="98"/>
    </row>
    <row r="334" ht="14.25" customHeight="1">
      <c r="A334" s="98"/>
      <c r="B334" s="98"/>
      <c r="C334" s="98"/>
      <c r="D334" s="98"/>
      <c r="E334" s="98"/>
      <c r="F334" s="235"/>
      <c r="G334" s="235"/>
      <c r="H334" s="236"/>
      <c r="I334" s="236"/>
      <c r="J334" s="236"/>
      <c r="K334" s="236"/>
      <c r="L334" s="236"/>
      <c r="M334" s="236"/>
      <c r="N334" s="236"/>
      <c r="O334" s="236"/>
      <c r="P334" s="236"/>
      <c r="Q334" s="236"/>
      <c r="R334" s="236"/>
      <c r="S334" s="236"/>
      <c r="T334" s="236"/>
      <c r="U334" s="236"/>
      <c r="V334" s="236"/>
      <c r="W334" s="237"/>
      <c r="X334" s="237"/>
      <c r="Y334" s="237"/>
      <c r="Z334" s="237"/>
      <c r="AA334" s="237"/>
      <c r="AB334" s="237"/>
      <c r="AC334" s="237"/>
      <c r="AD334" s="237"/>
      <c r="AE334" s="237"/>
      <c r="AF334" s="237"/>
      <c r="AG334" s="237"/>
      <c r="AH334" s="237"/>
      <c r="AI334" s="98"/>
      <c r="AJ334" s="98"/>
      <c r="AK334" s="98"/>
      <c r="AL334" s="98"/>
      <c r="AM334" s="98"/>
      <c r="AN334" s="98"/>
      <c r="AO334" s="98"/>
    </row>
    <row r="335" ht="14.25" customHeight="1">
      <c r="A335" s="98"/>
      <c r="B335" s="98"/>
      <c r="C335" s="98"/>
      <c r="D335" s="98"/>
      <c r="E335" s="98"/>
      <c r="F335" s="235"/>
      <c r="G335" s="235"/>
      <c r="H335" s="236"/>
      <c r="I335" s="236"/>
      <c r="J335" s="236"/>
      <c r="K335" s="236"/>
      <c r="L335" s="236"/>
      <c r="M335" s="236"/>
      <c r="N335" s="236"/>
      <c r="O335" s="236"/>
      <c r="P335" s="236"/>
      <c r="Q335" s="236"/>
      <c r="R335" s="236"/>
      <c r="S335" s="236"/>
      <c r="T335" s="236"/>
      <c r="U335" s="236"/>
      <c r="V335" s="236"/>
      <c r="W335" s="237"/>
      <c r="X335" s="237"/>
      <c r="Y335" s="237"/>
      <c r="Z335" s="237"/>
      <c r="AA335" s="237"/>
      <c r="AB335" s="237"/>
      <c r="AC335" s="237"/>
      <c r="AD335" s="237"/>
      <c r="AE335" s="237"/>
      <c r="AF335" s="237"/>
      <c r="AG335" s="237"/>
      <c r="AH335" s="237"/>
      <c r="AI335" s="98"/>
      <c r="AJ335" s="98"/>
      <c r="AK335" s="98"/>
      <c r="AL335" s="98"/>
      <c r="AM335" s="98"/>
      <c r="AN335" s="98"/>
      <c r="AO335" s="98"/>
    </row>
    <row r="336" ht="14.25" customHeight="1">
      <c r="A336" s="98"/>
      <c r="B336" s="98"/>
      <c r="C336" s="98"/>
      <c r="D336" s="98"/>
      <c r="E336" s="98"/>
      <c r="F336" s="235"/>
      <c r="G336" s="235"/>
      <c r="H336" s="236"/>
      <c r="I336" s="236"/>
      <c r="J336" s="236"/>
      <c r="K336" s="236"/>
      <c r="L336" s="236"/>
      <c r="M336" s="236"/>
      <c r="N336" s="236"/>
      <c r="O336" s="236"/>
      <c r="P336" s="236"/>
      <c r="Q336" s="236"/>
      <c r="R336" s="236"/>
      <c r="S336" s="236"/>
      <c r="T336" s="236"/>
      <c r="U336" s="236"/>
      <c r="V336" s="236"/>
      <c r="W336" s="237"/>
      <c r="X336" s="237"/>
      <c r="Y336" s="237"/>
      <c r="Z336" s="237"/>
      <c r="AA336" s="237"/>
      <c r="AB336" s="237"/>
      <c r="AC336" s="237"/>
      <c r="AD336" s="237"/>
      <c r="AE336" s="237"/>
      <c r="AF336" s="237"/>
      <c r="AG336" s="237"/>
      <c r="AH336" s="237"/>
      <c r="AI336" s="98"/>
      <c r="AJ336" s="98"/>
      <c r="AK336" s="98"/>
      <c r="AL336" s="98"/>
      <c r="AM336" s="98"/>
      <c r="AN336" s="98"/>
      <c r="AO336" s="98"/>
    </row>
    <row r="337" ht="14.25" customHeight="1">
      <c r="A337" s="98"/>
      <c r="B337" s="98"/>
      <c r="C337" s="98"/>
      <c r="D337" s="98"/>
      <c r="E337" s="98"/>
      <c r="F337" s="235"/>
      <c r="G337" s="235"/>
      <c r="H337" s="236"/>
      <c r="I337" s="236"/>
      <c r="J337" s="236"/>
      <c r="K337" s="236"/>
      <c r="L337" s="236"/>
      <c r="M337" s="236"/>
      <c r="N337" s="236"/>
      <c r="O337" s="236"/>
      <c r="P337" s="236"/>
      <c r="Q337" s="236"/>
      <c r="R337" s="236"/>
      <c r="S337" s="236"/>
      <c r="T337" s="236"/>
      <c r="U337" s="236"/>
      <c r="V337" s="236"/>
      <c r="W337" s="237"/>
      <c r="X337" s="237"/>
      <c r="Y337" s="237"/>
      <c r="Z337" s="237"/>
      <c r="AA337" s="237"/>
      <c r="AB337" s="237"/>
      <c r="AC337" s="237"/>
      <c r="AD337" s="237"/>
      <c r="AE337" s="237"/>
      <c r="AF337" s="237"/>
      <c r="AG337" s="237"/>
      <c r="AH337" s="237"/>
      <c r="AI337" s="98"/>
      <c r="AJ337" s="98"/>
      <c r="AK337" s="98"/>
      <c r="AL337" s="98"/>
      <c r="AM337" s="98"/>
      <c r="AN337" s="98"/>
      <c r="AO337" s="98"/>
    </row>
    <row r="338" ht="14.25" customHeight="1">
      <c r="A338" s="98"/>
      <c r="B338" s="98"/>
      <c r="C338" s="98"/>
      <c r="D338" s="98"/>
      <c r="E338" s="98"/>
      <c r="F338" s="235"/>
      <c r="G338" s="235"/>
      <c r="H338" s="236"/>
      <c r="I338" s="236"/>
      <c r="J338" s="236"/>
      <c r="K338" s="236"/>
      <c r="L338" s="236"/>
      <c r="M338" s="236"/>
      <c r="N338" s="236"/>
      <c r="O338" s="236"/>
      <c r="P338" s="236"/>
      <c r="Q338" s="236"/>
      <c r="R338" s="236"/>
      <c r="S338" s="236"/>
      <c r="T338" s="236"/>
      <c r="U338" s="236"/>
      <c r="V338" s="236"/>
      <c r="W338" s="237"/>
      <c r="X338" s="237"/>
      <c r="Y338" s="237"/>
      <c r="Z338" s="237"/>
      <c r="AA338" s="237"/>
      <c r="AB338" s="237"/>
      <c r="AC338" s="237"/>
      <c r="AD338" s="237"/>
      <c r="AE338" s="237"/>
      <c r="AF338" s="237"/>
      <c r="AG338" s="237"/>
      <c r="AH338" s="237"/>
      <c r="AI338" s="98"/>
      <c r="AJ338" s="98"/>
      <c r="AK338" s="98"/>
      <c r="AL338" s="98"/>
      <c r="AM338" s="98"/>
      <c r="AN338" s="98"/>
      <c r="AO338" s="98"/>
    </row>
    <row r="339" ht="14.25" customHeight="1">
      <c r="A339" s="98"/>
      <c r="B339" s="98"/>
      <c r="C339" s="98"/>
      <c r="D339" s="98"/>
      <c r="E339" s="98"/>
      <c r="F339" s="235"/>
      <c r="G339" s="235"/>
      <c r="H339" s="236"/>
      <c r="I339" s="236"/>
      <c r="J339" s="236"/>
      <c r="K339" s="236"/>
      <c r="L339" s="236"/>
      <c r="M339" s="236"/>
      <c r="N339" s="236"/>
      <c r="O339" s="236"/>
      <c r="P339" s="236"/>
      <c r="Q339" s="236"/>
      <c r="R339" s="236"/>
      <c r="S339" s="236"/>
      <c r="T339" s="236"/>
      <c r="U339" s="236"/>
      <c r="V339" s="236"/>
      <c r="W339" s="237"/>
      <c r="X339" s="237"/>
      <c r="Y339" s="237"/>
      <c r="Z339" s="237"/>
      <c r="AA339" s="237"/>
      <c r="AB339" s="237"/>
      <c r="AC339" s="237"/>
      <c r="AD339" s="237"/>
      <c r="AE339" s="237"/>
      <c r="AF339" s="237"/>
      <c r="AG339" s="237"/>
      <c r="AH339" s="237"/>
      <c r="AI339" s="98"/>
      <c r="AJ339" s="98"/>
      <c r="AK339" s="98"/>
      <c r="AL339" s="98"/>
      <c r="AM339" s="98"/>
      <c r="AN339" s="98"/>
      <c r="AO339" s="98"/>
    </row>
    <row r="340" ht="14.25" customHeight="1">
      <c r="A340" s="98"/>
      <c r="B340" s="98"/>
      <c r="C340" s="98"/>
      <c r="D340" s="98"/>
      <c r="E340" s="98"/>
      <c r="F340" s="235"/>
      <c r="G340" s="235"/>
      <c r="H340" s="236"/>
      <c r="I340" s="236"/>
      <c r="J340" s="236"/>
      <c r="K340" s="236"/>
      <c r="L340" s="236"/>
      <c r="M340" s="236"/>
      <c r="N340" s="236"/>
      <c r="O340" s="236"/>
      <c r="P340" s="236"/>
      <c r="Q340" s="236"/>
      <c r="R340" s="236"/>
      <c r="S340" s="236"/>
      <c r="T340" s="236"/>
      <c r="U340" s="236"/>
      <c r="V340" s="236"/>
      <c r="W340" s="237"/>
      <c r="X340" s="237"/>
      <c r="Y340" s="237"/>
      <c r="Z340" s="237"/>
      <c r="AA340" s="237"/>
      <c r="AB340" s="237"/>
      <c r="AC340" s="237"/>
      <c r="AD340" s="237"/>
      <c r="AE340" s="237"/>
      <c r="AF340" s="237"/>
      <c r="AG340" s="237"/>
      <c r="AH340" s="237"/>
      <c r="AI340" s="98"/>
      <c r="AJ340" s="98"/>
      <c r="AK340" s="98"/>
      <c r="AL340" s="98"/>
      <c r="AM340" s="98"/>
      <c r="AN340" s="98"/>
      <c r="AO340" s="98"/>
    </row>
    <row r="341" ht="14.25" customHeight="1">
      <c r="A341" s="98"/>
      <c r="B341" s="98"/>
      <c r="C341" s="98"/>
      <c r="D341" s="98"/>
      <c r="E341" s="98"/>
      <c r="F341" s="235"/>
      <c r="G341" s="235"/>
      <c r="H341" s="236"/>
      <c r="I341" s="236"/>
      <c r="J341" s="236"/>
      <c r="K341" s="236"/>
      <c r="L341" s="236"/>
      <c r="M341" s="236"/>
      <c r="N341" s="236"/>
      <c r="O341" s="236"/>
      <c r="P341" s="236"/>
      <c r="Q341" s="236"/>
      <c r="R341" s="236"/>
      <c r="S341" s="236"/>
      <c r="T341" s="236"/>
      <c r="U341" s="236"/>
      <c r="V341" s="236"/>
      <c r="W341" s="237"/>
      <c r="X341" s="237"/>
      <c r="Y341" s="237"/>
      <c r="Z341" s="237"/>
      <c r="AA341" s="237"/>
      <c r="AB341" s="237"/>
      <c r="AC341" s="237"/>
      <c r="AD341" s="237"/>
      <c r="AE341" s="237"/>
      <c r="AF341" s="237"/>
      <c r="AG341" s="237"/>
      <c r="AH341" s="237"/>
      <c r="AI341" s="98"/>
      <c r="AJ341" s="98"/>
      <c r="AK341" s="98"/>
      <c r="AL341" s="98"/>
      <c r="AM341" s="98"/>
      <c r="AN341" s="98"/>
      <c r="AO341" s="98"/>
    </row>
    <row r="342" ht="14.25" customHeight="1">
      <c r="A342" s="98"/>
      <c r="B342" s="98"/>
      <c r="C342" s="98"/>
      <c r="D342" s="98"/>
      <c r="E342" s="98"/>
      <c r="F342" s="235"/>
      <c r="G342" s="235"/>
      <c r="H342" s="236"/>
      <c r="I342" s="236"/>
      <c r="J342" s="236"/>
      <c r="K342" s="236"/>
      <c r="L342" s="236"/>
      <c r="M342" s="236"/>
      <c r="N342" s="236"/>
      <c r="O342" s="236"/>
      <c r="P342" s="236"/>
      <c r="Q342" s="236"/>
      <c r="R342" s="236"/>
      <c r="S342" s="236"/>
      <c r="T342" s="236"/>
      <c r="U342" s="236"/>
      <c r="V342" s="236"/>
      <c r="W342" s="237"/>
      <c r="X342" s="237"/>
      <c r="Y342" s="237"/>
      <c r="Z342" s="237"/>
      <c r="AA342" s="237"/>
      <c r="AB342" s="237"/>
      <c r="AC342" s="237"/>
      <c r="AD342" s="237"/>
      <c r="AE342" s="237"/>
      <c r="AF342" s="237"/>
      <c r="AG342" s="237"/>
      <c r="AH342" s="237"/>
      <c r="AI342" s="98"/>
      <c r="AJ342" s="98"/>
      <c r="AK342" s="98"/>
      <c r="AL342" s="98"/>
      <c r="AM342" s="98"/>
      <c r="AN342" s="98"/>
      <c r="AO342" s="98"/>
    </row>
    <row r="343" ht="14.25" customHeight="1">
      <c r="A343" s="98"/>
      <c r="B343" s="98"/>
      <c r="C343" s="98"/>
      <c r="D343" s="98"/>
      <c r="E343" s="98"/>
      <c r="F343" s="235"/>
      <c r="G343" s="235"/>
      <c r="H343" s="236"/>
      <c r="I343" s="236"/>
      <c r="J343" s="236"/>
      <c r="K343" s="236"/>
      <c r="L343" s="236"/>
      <c r="M343" s="236"/>
      <c r="N343" s="236"/>
      <c r="O343" s="236"/>
      <c r="P343" s="236"/>
      <c r="Q343" s="236"/>
      <c r="R343" s="236"/>
      <c r="S343" s="236"/>
      <c r="T343" s="236"/>
      <c r="U343" s="236"/>
      <c r="V343" s="236"/>
      <c r="W343" s="237"/>
      <c r="X343" s="237"/>
      <c r="Y343" s="237"/>
      <c r="Z343" s="237"/>
      <c r="AA343" s="237"/>
      <c r="AB343" s="237"/>
      <c r="AC343" s="237"/>
      <c r="AD343" s="237"/>
      <c r="AE343" s="237"/>
      <c r="AF343" s="237"/>
      <c r="AG343" s="237"/>
      <c r="AH343" s="237"/>
      <c r="AI343" s="98"/>
      <c r="AJ343" s="98"/>
      <c r="AK343" s="98"/>
      <c r="AL343" s="98"/>
      <c r="AM343" s="98"/>
      <c r="AN343" s="98"/>
      <c r="AO343" s="98"/>
    </row>
    <row r="344" ht="14.25" customHeight="1">
      <c r="A344" s="98"/>
      <c r="B344" s="98"/>
      <c r="C344" s="98"/>
      <c r="D344" s="98"/>
      <c r="E344" s="98"/>
      <c r="F344" s="235"/>
      <c r="G344" s="235"/>
      <c r="H344" s="236"/>
      <c r="I344" s="236"/>
      <c r="J344" s="236"/>
      <c r="K344" s="236"/>
      <c r="L344" s="236"/>
      <c r="M344" s="236"/>
      <c r="N344" s="236"/>
      <c r="O344" s="236"/>
      <c r="P344" s="236"/>
      <c r="Q344" s="236"/>
      <c r="R344" s="236"/>
      <c r="S344" s="236"/>
      <c r="T344" s="236"/>
      <c r="U344" s="236"/>
      <c r="V344" s="236"/>
      <c r="W344" s="237"/>
      <c r="X344" s="237"/>
      <c r="Y344" s="237"/>
      <c r="Z344" s="237"/>
      <c r="AA344" s="237"/>
      <c r="AB344" s="237"/>
      <c r="AC344" s="237"/>
      <c r="AD344" s="237"/>
      <c r="AE344" s="237"/>
      <c r="AF344" s="237"/>
      <c r="AG344" s="237"/>
      <c r="AH344" s="237"/>
      <c r="AI344" s="98"/>
      <c r="AJ344" s="98"/>
      <c r="AK344" s="98"/>
      <c r="AL344" s="98"/>
      <c r="AM344" s="98"/>
      <c r="AN344" s="98"/>
      <c r="AO344" s="98"/>
    </row>
    <row r="345" ht="14.25" customHeight="1">
      <c r="A345" s="98"/>
      <c r="B345" s="98"/>
      <c r="C345" s="98"/>
      <c r="D345" s="98"/>
      <c r="E345" s="98"/>
      <c r="F345" s="235"/>
      <c r="G345" s="235"/>
      <c r="H345" s="236"/>
      <c r="I345" s="236"/>
      <c r="J345" s="236"/>
      <c r="K345" s="236"/>
      <c r="L345" s="236"/>
      <c r="M345" s="236"/>
      <c r="N345" s="236"/>
      <c r="O345" s="236"/>
      <c r="P345" s="236"/>
      <c r="Q345" s="236"/>
      <c r="R345" s="236"/>
      <c r="S345" s="236"/>
      <c r="T345" s="236"/>
      <c r="U345" s="236"/>
      <c r="V345" s="236"/>
      <c r="W345" s="237"/>
      <c r="X345" s="237"/>
      <c r="Y345" s="237"/>
      <c r="Z345" s="237"/>
      <c r="AA345" s="237"/>
      <c r="AB345" s="237"/>
      <c r="AC345" s="237"/>
      <c r="AD345" s="237"/>
      <c r="AE345" s="237"/>
      <c r="AF345" s="237"/>
      <c r="AG345" s="237"/>
      <c r="AH345" s="237"/>
      <c r="AI345" s="98"/>
      <c r="AJ345" s="98"/>
      <c r="AK345" s="98"/>
      <c r="AL345" s="98"/>
      <c r="AM345" s="98"/>
      <c r="AN345" s="98"/>
      <c r="AO345" s="98"/>
    </row>
    <row r="346" ht="14.25" customHeight="1">
      <c r="A346" s="98"/>
      <c r="B346" s="98"/>
      <c r="C346" s="98"/>
      <c r="D346" s="98"/>
      <c r="E346" s="98"/>
      <c r="F346" s="235"/>
      <c r="G346" s="235"/>
      <c r="H346" s="236"/>
      <c r="I346" s="236"/>
      <c r="J346" s="236"/>
      <c r="K346" s="236"/>
      <c r="L346" s="236"/>
      <c r="M346" s="236"/>
      <c r="N346" s="236"/>
      <c r="O346" s="236"/>
      <c r="P346" s="236"/>
      <c r="Q346" s="236"/>
      <c r="R346" s="236"/>
      <c r="S346" s="236"/>
      <c r="T346" s="236"/>
      <c r="U346" s="236"/>
      <c r="V346" s="236"/>
      <c r="W346" s="237"/>
      <c r="X346" s="237"/>
      <c r="Y346" s="237"/>
      <c r="Z346" s="237"/>
      <c r="AA346" s="237"/>
      <c r="AB346" s="237"/>
      <c r="AC346" s="237"/>
      <c r="AD346" s="237"/>
      <c r="AE346" s="237"/>
      <c r="AF346" s="237"/>
      <c r="AG346" s="237"/>
      <c r="AH346" s="237"/>
      <c r="AI346" s="98"/>
      <c r="AJ346" s="98"/>
      <c r="AK346" s="98"/>
      <c r="AL346" s="98"/>
      <c r="AM346" s="98"/>
      <c r="AN346" s="98"/>
      <c r="AO346" s="98"/>
    </row>
    <row r="347" ht="14.25" customHeight="1">
      <c r="A347" s="98"/>
      <c r="B347" s="98"/>
      <c r="C347" s="98"/>
      <c r="D347" s="98"/>
      <c r="E347" s="98"/>
      <c r="F347" s="235"/>
      <c r="G347" s="235"/>
      <c r="H347" s="236"/>
      <c r="I347" s="236"/>
      <c r="J347" s="236"/>
      <c r="K347" s="236"/>
      <c r="L347" s="236"/>
      <c r="M347" s="236"/>
      <c r="N347" s="236"/>
      <c r="O347" s="236"/>
      <c r="P347" s="236"/>
      <c r="Q347" s="236"/>
      <c r="R347" s="236"/>
      <c r="S347" s="236"/>
      <c r="T347" s="236"/>
      <c r="U347" s="236"/>
      <c r="V347" s="236"/>
      <c r="W347" s="237"/>
      <c r="X347" s="237"/>
      <c r="Y347" s="237"/>
      <c r="Z347" s="237"/>
      <c r="AA347" s="237"/>
      <c r="AB347" s="237"/>
      <c r="AC347" s="237"/>
      <c r="AD347" s="237"/>
      <c r="AE347" s="237"/>
      <c r="AF347" s="237"/>
      <c r="AG347" s="237"/>
      <c r="AH347" s="237"/>
      <c r="AI347" s="98"/>
      <c r="AJ347" s="98"/>
      <c r="AK347" s="98"/>
      <c r="AL347" s="98"/>
      <c r="AM347" s="98"/>
      <c r="AN347" s="98"/>
      <c r="AO347" s="98"/>
    </row>
    <row r="348" ht="14.25" customHeight="1">
      <c r="A348" s="98"/>
      <c r="B348" s="98"/>
      <c r="C348" s="98"/>
      <c r="D348" s="98"/>
      <c r="E348" s="98"/>
      <c r="F348" s="235"/>
      <c r="G348" s="235"/>
      <c r="H348" s="236"/>
      <c r="I348" s="236"/>
      <c r="J348" s="236"/>
      <c r="K348" s="236"/>
      <c r="L348" s="236"/>
      <c r="M348" s="236"/>
      <c r="N348" s="236"/>
      <c r="O348" s="236"/>
      <c r="P348" s="236"/>
      <c r="Q348" s="236"/>
      <c r="R348" s="236"/>
      <c r="S348" s="236"/>
      <c r="T348" s="236"/>
      <c r="U348" s="236"/>
      <c r="V348" s="236"/>
      <c r="W348" s="237"/>
      <c r="X348" s="237"/>
      <c r="Y348" s="237"/>
      <c r="Z348" s="237"/>
      <c r="AA348" s="237"/>
      <c r="AB348" s="237"/>
      <c r="AC348" s="237"/>
      <c r="AD348" s="237"/>
      <c r="AE348" s="237"/>
      <c r="AF348" s="237"/>
      <c r="AG348" s="237"/>
      <c r="AH348" s="237"/>
      <c r="AI348" s="98"/>
      <c r="AJ348" s="98"/>
      <c r="AK348" s="98"/>
      <c r="AL348" s="98"/>
      <c r="AM348" s="98"/>
      <c r="AN348" s="98"/>
      <c r="AO348" s="98"/>
    </row>
    <row r="349" ht="14.25" customHeight="1">
      <c r="A349" s="98"/>
      <c r="B349" s="98"/>
      <c r="C349" s="98"/>
      <c r="D349" s="98"/>
      <c r="E349" s="98"/>
      <c r="F349" s="235"/>
      <c r="G349" s="235"/>
      <c r="H349" s="236"/>
      <c r="I349" s="236"/>
      <c r="J349" s="236"/>
      <c r="K349" s="236"/>
      <c r="L349" s="236"/>
      <c r="M349" s="236"/>
      <c r="N349" s="236"/>
      <c r="O349" s="236"/>
      <c r="P349" s="236"/>
      <c r="Q349" s="236"/>
      <c r="R349" s="236"/>
      <c r="S349" s="236"/>
      <c r="T349" s="236"/>
      <c r="U349" s="236"/>
      <c r="V349" s="236"/>
      <c r="W349" s="237"/>
      <c r="X349" s="237"/>
      <c r="Y349" s="237"/>
      <c r="Z349" s="237"/>
      <c r="AA349" s="237"/>
      <c r="AB349" s="237"/>
      <c r="AC349" s="237"/>
      <c r="AD349" s="237"/>
      <c r="AE349" s="237"/>
      <c r="AF349" s="237"/>
      <c r="AG349" s="237"/>
      <c r="AH349" s="237"/>
      <c r="AI349" s="98"/>
      <c r="AJ349" s="98"/>
      <c r="AK349" s="98"/>
      <c r="AL349" s="98"/>
      <c r="AM349" s="98"/>
      <c r="AN349" s="98"/>
      <c r="AO349" s="98"/>
    </row>
    <row r="350" ht="14.25" customHeight="1">
      <c r="A350" s="98"/>
      <c r="B350" s="98"/>
      <c r="C350" s="98"/>
      <c r="D350" s="98"/>
      <c r="E350" s="98"/>
      <c r="F350" s="235"/>
      <c r="G350" s="235"/>
      <c r="H350" s="236"/>
      <c r="I350" s="236"/>
      <c r="J350" s="236"/>
      <c r="K350" s="236"/>
      <c r="L350" s="236"/>
      <c r="M350" s="236"/>
      <c r="N350" s="236"/>
      <c r="O350" s="236"/>
      <c r="P350" s="236"/>
      <c r="Q350" s="236"/>
      <c r="R350" s="236"/>
      <c r="S350" s="236"/>
      <c r="T350" s="236"/>
      <c r="U350" s="236"/>
      <c r="V350" s="236"/>
      <c r="W350" s="237"/>
      <c r="X350" s="237"/>
      <c r="Y350" s="237"/>
      <c r="Z350" s="237"/>
      <c r="AA350" s="237"/>
      <c r="AB350" s="237"/>
      <c r="AC350" s="237"/>
      <c r="AD350" s="237"/>
      <c r="AE350" s="237"/>
      <c r="AF350" s="237"/>
      <c r="AG350" s="237"/>
      <c r="AH350" s="237"/>
      <c r="AI350" s="98"/>
      <c r="AJ350" s="98"/>
      <c r="AK350" s="98"/>
      <c r="AL350" s="98"/>
      <c r="AM350" s="98"/>
      <c r="AN350" s="98"/>
      <c r="AO350" s="98"/>
    </row>
    <row r="351" ht="14.25" customHeight="1">
      <c r="A351" s="98"/>
      <c r="B351" s="98"/>
      <c r="C351" s="98"/>
      <c r="D351" s="98"/>
      <c r="E351" s="98"/>
      <c r="F351" s="235"/>
      <c r="G351" s="235"/>
      <c r="H351" s="236"/>
      <c r="I351" s="236"/>
      <c r="J351" s="236"/>
      <c r="K351" s="236"/>
      <c r="L351" s="236"/>
      <c r="M351" s="236"/>
      <c r="N351" s="236"/>
      <c r="O351" s="236"/>
      <c r="P351" s="236"/>
      <c r="Q351" s="236"/>
      <c r="R351" s="236"/>
      <c r="S351" s="236"/>
      <c r="T351" s="236"/>
      <c r="U351" s="236"/>
      <c r="V351" s="236"/>
      <c r="W351" s="237"/>
      <c r="X351" s="237"/>
      <c r="Y351" s="237"/>
      <c r="Z351" s="237"/>
      <c r="AA351" s="237"/>
      <c r="AB351" s="237"/>
      <c r="AC351" s="237"/>
      <c r="AD351" s="237"/>
      <c r="AE351" s="237"/>
      <c r="AF351" s="237"/>
      <c r="AG351" s="237"/>
      <c r="AH351" s="237"/>
      <c r="AI351" s="98"/>
      <c r="AJ351" s="98"/>
      <c r="AK351" s="98"/>
      <c r="AL351" s="98"/>
      <c r="AM351" s="98"/>
      <c r="AN351" s="98"/>
      <c r="AO351" s="98"/>
    </row>
    <row r="352" ht="14.25" customHeight="1">
      <c r="A352" s="98"/>
      <c r="B352" s="98"/>
      <c r="C352" s="98"/>
      <c r="D352" s="98"/>
      <c r="E352" s="98"/>
      <c r="F352" s="235"/>
      <c r="G352" s="235"/>
      <c r="H352" s="236"/>
      <c r="I352" s="236"/>
      <c r="J352" s="236"/>
      <c r="K352" s="236"/>
      <c r="L352" s="236"/>
      <c r="M352" s="236"/>
      <c r="N352" s="236"/>
      <c r="O352" s="236"/>
      <c r="P352" s="236"/>
      <c r="Q352" s="236"/>
      <c r="R352" s="236"/>
      <c r="S352" s="236"/>
      <c r="T352" s="236"/>
      <c r="U352" s="236"/>
      <c r="V352" s="236"/>
      <c r="W352" s="237"/>
      <c r="X352" s="237"/>
      <c r="Y352" s="237"/>
      <c r="Z352" s="237"/>
      <c r="AA352" s="237"/>
      <c r="AB352" s="237"/>
      <c r="AC352" s="237"/>
      <c r="AD352" s="237"/>
      <c r="AE352" s="237"/>
      <c r="AF352" s="237"/>
      <c r="AG352" s="237"/>
      <c r="AH352" s="237"/>
      <c r="AI352" s="98"/>
      <c r="AJ352" s="98"/>
      <c r="AK352" s="98"/>
      <c r="AL352" s="98"/>
      <c r="AM352" s="98"/>
      <c r="AN352" s="98"/>
      <c r="AO352" s="98"/>
    </row>
    <row r="353" ht="14.25" customHeight="1">
      <c r="A353" s="98"/>
      <c r="B353" s="98"/>
      <c r="C353" s="98"/>
      <c r="D353" s="98"/>
      <c r="E353" s="98"/>
      <c r="F353" s="235"/>
      <c r="G353" s="235"/>
      <c r="H353" s="236"/>
      <c r="I353" s="236"/>
      <c r="J353" s="236"/>
      <c r="K353" s="236"/>
      <c r="L353" s="236"/>
      <c r="M353" s="236"/>
      <c r="N353" s="236"/>
      <c r="O353" s="236"/>
      <c r="P353" s="236"/>
      <c r="Q353" s="236"/>
      <c r="R353" s="236"/>
      <c r="S353" s="236"/>
      <c r="T353" s="236"/>
      <c r="U353" s="236"/>
      <c r="V353" s="236"/>
      <c r="W353" s="237"/>
      <c r="X353" s="237"/>
      <c r="Y353" s="237"/>
      <c r="Z353" s="237"/>
      <c r="AA353" s="237"/>
      <c r="AB353" s="237"/>
      <c r="AC353" s="237"/>
      <c r="AD353" s="237"/>
      <c r="AE353" s="237"/>
      <c r="AF353" s="237"/>
      <c r="AG353" s="237"/>
      <c r="AH353" s="237"/>
      <c r="AI353" s="98"/>
      <c r="AJ353" s="98"/>
      <c r="AK353" s="98"/>
      <c r="AL353" s="98"/>
      <c r="AM353" s="98"/>
      <c r="AN353" s="98"/>
      <c r="AO353" s="98"/>
    </row>
    <row r="354" ht="14.25" customHeight="1">
      <c r="A354" s="98"/>
      <c r="B354" s="98"/>
      <c r="C354" s="98"/>
      <c r="D354" s="98"/>
      <c r="E354" s="98"/>
      <c r="F354" s="235"/>
      <c r="G354" s="235"/>
      <c r="H354" s="236"/>
      <c r="I354" s="236"/>
      <c r="J354" s="236"/>
      <c r="K354" s="236"/>
      <c r="L354" s="236"/>
      <c r="M354" s="236"/>
      <c r="N354" s="236"/>
      <c r="O354" s="236"/>
      <c r="P354" s="236"/>
      <c r="Q354" s="236"/>
      <c r="R354" s="236"/>
      <c r="S354" s="236"/>
      <c r="T354" s="236"/>
      <c r="U354" s="236"/>
      <c r="V354" s="236"/>
      <c r="W354" s="237"/>
      <c r="X354" s="237"/>
      <c r="Y354" s="237"/>
      <c r="Z354" s="237"/>
      <c r="AA354" s="237"/>
      <c r="AB354" s="237"/>
      <c r="AC354" s="237"/>
      <c r="AD354" s="237"/>
      <c r="AE354" s="237"/>
      <c r="AF354" s="237"/>
      <c r="AG354" s="237"/>
      <c r="AH354" s="237"/>
      <c r="AI354" s="98"/>
      <c r="AJ354" s="98"/>
      <c r="AK354" s="98"/>
      <c r="AL354" s="98"/>
      <c r="AM354" s="98"/>
      <c r="AN354" s="98"/>
      <c r="AO354" s="98"/>
    </row>
    <row r="355" ht="14.25" customHeight="1">
      <c r="A355" s="98"/>
      <c r="B355" s="98"/>
      <c r="C355" s="98"/>
      <c r="D355" s="98"/>
      <c r="E355" s="98"/>
      <c r="F355" s="235"/>
      <c r="G355" s="235"/>
      <c r="H355" s="236"/>
      <c r="I355" s="236"/>
      <c r="J355" s="236"/>
      <c r="K355" s="236"/>
      <c r="L355" s="236"/>
      <c r="M355" s="236"/>
      <c r="N355" s="236"/>
      <c r="O355" s="236"/>
      <c r="P355" s="236"/>
      <c r="Q355" s="236"/>
      <c r="R355" s="236"/>
      <c r="S355" s="236"/>
      <c r="T355" s="236"/>
      <c r="U355" s="236"/>
      <c r="V355" s="236"/>
      <c r="W355" s="237"/>
      <c r="X355" s="237"/>
      <c r="Y355" s="237"/>
      <c r="Z355" s="237"/>
      <c r="AA355" s="237"/>
      <c r="AB355" s="237"/>
      <c r="AC355" s="237"/>
      <c r="AD355" s="237"/>
      <c r="AE355" s="237"/>
      <c r="AF355" s="237"/>
      <c r="AG355" s="237"/>
      <c r="AH355" s="237"/>
      <c r="AI355" s="98"/>
      <c r="AJ355" s="98"/>
      <c r="AK355" s="98"/>
      <c r="AL355" s="98"/>
      <c r="AM355" s="98"/>
      <c r="AN355" s="98"/>
      <c r="AO355" s="98"/>
    </row>
    <row r="356" ht="14.25" customHeight="1">
      <c r="A356" s="98"/>
      <c r="B356" s="98"/>
      <c r="C356" s="98"/>
      <c r="D356" s="98"/>
      <c r="E356" s="98"/>
      <c r="F356" s="235"/>
      <c r="G356" s="235"/>
      <c r="H356" s="236"/>
      <c r="I356" s="236"/>
      <c r="J356" s="236"/>
      <c r="K356" s="236"/>
      <c r="L356" s="236"/>
      <c r="M356" s="236"/>
      <c r="N356" s="236"/>
      <c r="O356" s="236"/>
      <c r="P356" s="236"/>
      <c r="Q356" s="236"/>
      <c r="R356" s="236"/>
      <c r="S356" s="236"/>
      <c r="T356" s="236"/>
      <c r="U356" s="236"/>
      <c r="V356" s="236"/>
      <c r="W356" s="237"/>
      <c r="X356" s="237"/>
      <c r="Y356" s="237"/>
      <c r="Z356" s="237"/>
      <c r="AA356" s="237"/>
      <c r="AB356" s="237"/>
      <c r="AC356" s="237"/>
      <c r="AD356" s="237"/>
      <c r="AE356" s="237"/>
      <c r="AF356" s="237"/>
      <c r="AG356" s="237"/>
      <c r="AH356" s="237"/>
      <c r="AI356" s="98"/>
      <c r="AJ356" s="98"/>
      <c r="AK356" s="98"/>
      <c r="AL356" s="98"/>
      <c r="AM356" s="98"/>
      <c r="AN356" s="98"/>
      <c r="AO356" s="98"/>
    </row>
    <row r="357" ht="14.25" customHeight="1">
      <c r="A357" s="98"/>
      <c r="B357" s="98"/>
      <c r="C357" s="98"/>
      <c r="D357" s="98"/>
      <c r="E357" s="98"/>
      <c r="F357" s="235"/>
      <c r="G357" s="235"/>
      <c r="H357" s="236"/>
      <c r="I357" s="236"/>
      <c r="J357" s="236"/>
      <c r="K357" s="236"/>
      <c r="L357" s="236"/>
      <c r="M357" s="236"/>
      <c r="N357" s="236"/>
      <c r="O357" s="236"/>
      <c r="P357" s="236"/>
      <c r="Q357" s="236"/>
      <c r="R357" s="236"/>
      <c r="S357" s="236"/>
      <c r="T357" s="236"/>
      <c r="U357" s="236"/>
      <c r="V357" s="236"/>
      <c r="W357" s="237"/>
      <c r="X357" s="237"/>
      <c r="Y357" s="237"/>
      <c r="Z357" s="237"/>
      <c r="AA357" s="237"/>
      <c r="AB357" s="237"/>
      <c r="AC357" s="237"/>
      <c r="AD357" s="237"/>
      <c r="AE357" s="237"/>
      <c r="AF357" s="237"/>
      <c r="AG357" s="237"/>
      <c r="AH357" s="237"/>
      <c r="AI357" s="98"/>
      <c r="AJ357" s="98"/>
      <c r="AK357" s="98"/>
      <c r="AL357" s="98"/>
      <c r="AM357" s="98"/>
      <c r="AN357" s="98"/>
      <c r="AO357" s="98"/>
    </row>
    <row r="358" ht="14.25" customHeight="1">
      <c r="A358" s="98"/>
      <c r="B358" s="98"/>
      <c r="C358" s="98"/>
      <c r="D358" s="98"/>
      <c r="E358" s="98"/>
      <c r="F358" s="235"/>
      <c r="G358" s="235"/>
      <c r="H358" s="236"/>
      <c r="I358" s="236"/>
      <c r="J358" s="236"/>
      <c r="K358" s="236"/>
      <c r="L358" s="236"/>
      <c r="M358" s="236"/>
      <c r="N358" s="236"/>
      <c r="O358" s="236"/>
      <c r="P358" s="236"/>
      <c r="Q358" s="236"/>
      <c r="R358" s="236"/>
      <c r="S358" s="236"/>
      <c r="T358" s="236"/>
      <c r="U358" s="236"/>
      <c r="V358" s="236"/>
      <c r="W358" s="237"/>
      <c r="X358" s="237"/>
      <c r="Y358" s="237"/>
      <c r="Z358" s="237"/>
      <c r="AA358" s="237"/>
      <c r="AB358" s="237"/>
      <c r="AC358" s="237"/>
      <c r="AD358" s="237"/>
      <c r="AE358" s="237"/>
      <c r="AF358" s="237"/>
      <c r="AG358" s="237"/>
      <c r="AH358" s="237"/>
      <c r="AI358" s="98"/>
      <c r="AJ358" s="98"/>
      <c r="AK358" s="98"/>
      <c r="AL358" s="98"/>
      <c r="AM358" s="98"/>
      <c r="AN358" s="98"/>
      <c r="AO358" s="98"/>
    </row>
    <row r="359" ht="14.25" customHeight="1">
      <c r="A359" s="98"/>
      <c r="B359" s="98"/>
      <c r="C359" s="98"/>
      <c r="D359" s="98"/>
      <c r="E359" s="98"/>
      <c r="F359" s="235"/>
      <c r="G359" s="235"/>
      <c r="H359" s="236"/>
      <c r="I359" s="236"/>
      <c r="J359" s="236"/>
      <c r="K359" s="236"/>
      <c r="L359" s="236"/>
      <c r="M359" s="236"/>
      <c r="N359" s="236"/>
      <c r="O359" s="236"/>
      <c r="P359" s="236"/>
      <c r="Q359" s="236"/>
      <c r="R359" s="236"/>
      <c r="S359" s="236"/>
      <c r="T359" s="236"/>
      <c r="U359" s="236"/>
      <c r="V359" s="236"/>
      <c r="W359" s="237"/>
      <c r="X359" s="237"/>
      <c r="Y359" s="237"/>
      <c r="Z359" s="237"/>
      <c r="AA359" s="237"/>
      <c r="AB359" s="237"/>
      <c r="AC359" s="237"/>
      <c r="AD359" s="237"/>
      <c r="AE359" s="237"/>
      <c r="AF359" s="237"/>
      <c r="AG359" s="237"/>
      <c r="AH359" s="237"/>
      <c r="AI359" s="98"/>
      <c r="AJ359" s="98"/>
      <c r="AK359" s="98"/>
      <c r="AL359" s="98"/>
      <c r="AM359" s="98"/>
      <c r="AN359" s="98"/>
      <c r="AO359" s="98"/>
    </row>
    <row r="360" ht="14.25" customHeight="1">
      <c r="A360" s="98"/>
      <c r="B360" s="98"/>
      <c r="C360" s="98"/>
      <c r="D360" s="98"/>
      <c r="E360" s="98"/>
      <c r="F360" s="235"/>
      <c r="G360" s="235"/>
      <c r="H360" s="236"/>
      <c r="I360" s="236"/>
      <c r="J360" s="236"/>
      <c r="K360" s="236"/>
      <c r="L360" s="236"/>
      <c r="M360" s="236"/>
      <c r="N360" s="236"/>
      <c r="O360" s="236"/>
      <c r="P360" s="236"/>
      <c r="Q360" s="236"/>
      <c r="R360" s="236"/>
      <c r="S360" s="236"/>
      <c r="T360" s="236"/>
      <c r="U360" s="236"/>
      <c r="V360" s="236"/>
      <c r="W360" s="237"/>
      <c r="X360" s="237"/>
      <c r="Y360" s="237"/>
      <c r="Z360" s="237"/>
      <c r="AA360" s="237"/>
      <c r="AB360" s="237"/>
      <c r="AC360" s="237"/>
      <c r="AD360" s="237"/>
      <c r="AE360" s="237"/>
      <c r="AF360" s="237"/>
      <c r="AG360" s="237"/>
      <c r="AH360" s="237"/>
      <c r="AI360" s="98"/>
      <c r="AJ360" s="98"/>
      <c r="AK360" s="98"/>
      <c r="AL360" s="98"/>
      <c r="AM360" s="98"/>
      <c r="AN360" s="98"/>
      <c r="AO360" s="98"/>
    </row>
    <row r="361" ht="14.25" customHeight="1">
      <c r="A361" s="98"/>
      <c r="B361" s="98"/>
      <c r="C361" s="98"/>
      <c r="D361" s="98"/>
      <c r="E361" s="98"/>
      <c r="F361" s="235"/>
      <c r="G361" s="235"/>
      <c r="H361" s="236"/>
      <c r="I361" s="236"/>
      <c r="J361" s="236"/>
      <c r="K361" s="236"/>
      <c r="L361" s="236"/>
      <c r="M361" s="236"/>
      <c r="N361" s="236"/>
      <c r="O361" s="236"/>
      <c r="P361" s="236"/>
      <c r="Q361" s="236"/>
      <c r="R361" s="236"/>
      <c r="S361" s="236"/>
      <c r="T361" s="236"/>
      <c r="U361" s="236"/>
      <c r="V361" s="236"/>
      <c r="W361" s="237"/>
      <c r="X361" s="237"/>
      <c r="Y361" s="237"/>
      <c r="Z361" s="237"/>
      <c r="AA361" s="237"/>
      <c r="AB361" s="237"/>
      <c r="AC361" s="237"/>
      <c r="AD361" s="237"/>
      <c r="AE361" s="237"/>
      <c r="AF361" s="237"/>
      <c r="AG361" s="237"/>
      <c r="AH361" s="237"/>
      <c r="AI361" s="98"/>
      <c r="AJ361" s="98"/>
      <c r="AK361" s="98"/>
      <c r="AL361" s="98"/>
      <c r="AM361" s="98"/>
      <c r="AN361" s="98"/>
      <c r="AO361" s="98"/>
    </row>
    <row r="362" ht="14.25" customHeight="1">
      <c r="A362" s="98"/>
      <c r="B362" s="98"/>
      <c r="C362" s="98"/>
      <c r="D362" s="98"/>
      <c r="E362" s="98"/>
      <c r="F362" s="235"/>
      <c r="G362" s="235"/>
      <c r="H362" s="236"/>
      <c r="I362" s="236"/>
      <c r="J362" s="236"/>
      <c r="K362" s="236"/>
      <c r="L362" s="236"/>
      <c r="M362" s="236"/>
      <c r="N362" s="236"/>
      <c r="O362" s="236"/>
      <c r="P362" s="236"/>
      <c r="Q362" s="236"/>
      <c r="R362" s="236"/>
      <c r="S362" s="236"/>
      <c r="T362" s="236"/>
      <c r="U362" s="236"/>
      <c r="V362" s="236"/>
      <c r="W362" s="237"/>
      <c r="X362" s="237"/>
      <c r="Y362" s="237"/>
      <c r="Z362" s="237"/>
      <c r="AA362" s="237"/>
      <c r="AB362" s="237"/>
      <c r="AC362" s="237"/>
      <c r="AD362" s="237"/>
      <c r="AE362" s="237"/>
      <c r="AF362" s="237"/>
      <c r="AG362" s="237"/>
      <c r="AH362" s="237"/>
      <c r="AI362" s="98"/>
      <c r="AJ362" s="98"/>
      <c r="AK362" s="98"/>
      <c r="AL362" s="98"/>
      <c r="AM362" s="98"/>
      <c r="AN362" s="98"/>
      <c r="AO362" s="98"/>
    </row>
    <row r="363" ht="14.25" customHeight="1">
      <c r="A363" s="98"/>
      <c r="B363" s="98"/>
      <c r="C363" s="98"/>
      <c r="D363" s="98"/>
      <c r="E363" s="98"/>
      <c r="F363" s="235"/>
      <c r="G363" s="235"/>
      <c r="H363" s="236"/>
      <c r="I363" s="236"/>
      <c r="J363" s="236"/>
      <c r="K363" s="236"/>
      <c r="L363" s="236"/>
      <c r="M363" s="236"/>
      <c r="N363" s="236"/>
      <c r="O363" s="236"/>
      <c r="P363" s="236"/>
      <c r="Q363" s="236"/>
      <c r="R363" s="236"/>
      <c r="S363" s="236"/>
      <c r="T363" s="236"/>
      <c r="U363" s="236"/>
      <c r="V363" s="236"/>
      <c r="W363" s="237"/>
      <c r="X363" s="237"/>
      <c r="Y363" s="237"/>
      <c r="Z363" s="237"/>
      <c r="AA363" s="237"/>
      <c r="AB363" s="237"/>
      <c r="AC363" s="237"/>
      <c r="AD363" s="237"/>
      <c r="AE363" s="237"/>
      <c r="AF363" s="237"/>
      <c r="AG363" s="237"/>
      <c r="AH363" s="237"/>
      <c r="AI363" s="98"/>
      <c r="AJ363" s="98"/>
      <c r="AK363" s="98"/>
      <c r="AL363" s="98"/>
      <c r="AM363" s="98"/>
      <c r="AN363" s="98"/>
      <c r="AO363" s="98"/>
    </row>
    <row r="364" ht="14.25" customHeight="1">
      <c r="A364" s="98"/>
      <c r="B364" s="98"/>
      <c r="C364" s="98"/>
      <c r="D364" s="98"/>
      <c r="E364" s="98"/>
      <c r="F364" s="235"/>
      <c r="G364" s="235"/>
      <c r="H364" s="236"/>
      <c r="I364" s="236"/>
      <c r="J364" s="236"/>
      <c r="K364" s="236"/>
      <c r="L364" s="236"/>
      <c r="M364" s="236"/>
      <c r="N364" s="236"/>
      <c r="O364" s="236"/>
      <c r="P364" s="236"/>
      <c r="Q364" s="236"/>
      <c r="R364" s="236"/>
      <c r="S364" s="236"/>
      <c r="T364" s="236"/>
      <c r="U364" s="236"/>
      <c r="V364" s="236"/>
      <c r="W364" s="237"/>
      <c r="X364" s="237"/>
      <c r="Y364" s="237"/>
      <c r="Z364" s="237"/>
      <c r="AA364" s="237"/>
      <c r="AB364" s="237"/>
      <c r="AC364" s="237"/>
      <c r="AD364" s="237"/>
      <c r="AE364" s="237"/>
      <c r="AF364" s="237"/>
      <c r="AG364" s="237"/>
      <c r="AH364" s="237"/>
      <c r="AI364" s="98"/>
      <c r="AJ364" s="98"/>
      <c r="AK364" s="98"/>
      <c r="AL364" s="98"/>
      <c r="AM364" s="98"/>
      <c r="AN364" s="98"/>
      <c r="AO364" s="98"/>
    </row>
    <row r="365" ht="14.25" customHeight="1">
      <c r="A365" s="98"/>
      <c r="B365" s="98"/>
      <c r="C365" s="98"/>
      <c r="D365" s="98"/>
      <c r="E365" s="98"/>
      <c r="F365" s="235"/>
      <c r="G365" s="235"/>
      <c r="H365" s="236"/>
      <c r="I365" s="236"/>
      <c r="J365" s="236"/>
      <c r="K365" s="236"/>
      <c r="L365" s="236"/>
      <c r="M365" s="236"/>
      <c r="N365" s="236"/>
      <c r="O365" s="236"/>
      <c r="P365" s="236"/>
      <c r="Q365" s="236"/>
      <c r="R365" s="236"/>
      <c r="S365" s="236"/>
      <c r="T365" s="236"/>
      <c r="U365" s="236"/>
      <c r="V365" s="236"/>
      <c r="W365" s="237"/>
      <c r="X365" s="237"/>
      <c r="Y365" s="237"/>
      <c r="Z365" s="237"/>
      <c r="AA365" s="237"/>
      <c r="AB365" s="237"/>
      <c r="AC365" s="237"/>
      <c r="AD365" s="237"/>
      <c r="AE365" s="237"/>
      <c r="AF365" s="237"/>
      <c r="AG365" s="237"/>
      <c r="AH365" s="237"/>
      <c r="AI365" s="98"/>
      <c r="AJ365" s="98"/>
      <c r="AK365" s="98"/>
      <c r="AL365" s="98"/>
      <c r="AM365" s="98"/>
      <c r="AN365" s="98"/>
      <c r="AO365" s="98"/>
    </row>
    <row r="366" ht="14.25" customHeight="1">
      <c r="A366" s="98"/>
      <c r="B366" s="98"/>
      <c r="C366" s="98"/>
      <c r="D366" s="98"/>
      <c r="E366" s="98"/>
      <c r="F366" s="235"/>
      <c r="G366" s="235"/>
      <c r="H366" s="236"/>
      <c r="I366" s="236"/>
      <c r="J366" s="236"/>
      <c r="K366" s="236"/>
      <c r="L366" s="236"/>
      <c r="M366" s="236"/>
      <c r="N366" s="236"/>
      <c r="O366" s="236"/>
      <c r="P366" s="236"/>
      <c r="Q366" s="236"/>
      <c r="R366" s="236"/>
      <c r="S366" s="236"/>
      <c r="T366" s="236"/>
      <c r="U366" s="236"/>
      <c r="V366" s="236"/>
      <c r="W366" s="237"/>
      <c r="X366" s="237"/>
      <c r="Y366" s="237"/>
      <c r="Z366" s="237"/>
      <c r="AA366" s="237"/>
      <c r="AB366" s="237"/>
      <c r="AC366" s="237"/>
      <c r="AD366" s="237"/>
      <c r="AE366" s="237"/>
      <c r="AF366" s="237"/>
      <c r="AG366" s="237"/>
      <c r="AH366" s="237"/>
      <c r="AI366" s="98"/>
      <c r="AJ366" s="98"/>
      <c r="AK366" s="98"/>
      <c r="AL366" s="98"/>
      <c r="AM366" s="98"/>
      <c r="AN366" s="98"/>
      <c r="AO366" s="98"/>
    </row>
    <row r="367" ht="14.25" customHeight="1">
      <c r="A367" s="98"/>
      <c r="B367" s="98"/>
      <c r="C367" s="98"/>
      <c r="D367" s="98"/>
      <c r="E367" s="98"/>
      <c r="F367" s="235"/>
      <c r="G367" s="235"/>
      <c r="H367" s="236"/>
      <c r="I367" s="236"/>
      <c r="J367" s="236"/>
      <c r="K367" s="236"/>
      <c r="L367" s="236"/>
      <c r="M367" s="236"/>
      <c r="N367" s="236"/>
      <c r="O367" s="236"/>
      <c r="P367" s="236"/>
      <c r="Q367" s="236"/>
      <c r="R367" s="236"/>
      <c r="S367" s="236"/>
      <c r="T367" s="236"/>
      <c r="U367" s="236"/>
      <c r="V367" s="236"/>
      <c r="W367" s="237"/>
      <c r="X367" s="237"/>
      <c r="Y367" s="237"/>
      <c r="Z367" s="237"/>
      <c r="AA367" s="237"/>
      <c r="AB367" s="237"/>
      <c r="AC367" s="237"/>
      <c r="AD367" s="237"/>
      <c r="AE367" s="237"/>
      <c r="AF367" s="237"/>
      <c r="AG367" s="237"/>
      <c r="AH367" s="237"/>
      <c r="AI367" s="98"/>
      <c r="AJ367" s="98"/>
      <c r="AK367" s="98"/>
      <c r="AL367" s="98"/>
      <c r="AM367" s="98"/>
      <c r="AN367" s="98"/>
      <c r="AO367" s="98"/>
    </row>
    <row r="368" ht="14.25" customHeight="1">
      <c r="A368" s="98"/>
      <c r="B368" s="98"/>
      <c r="C368" s="98"/>
      <c r="D368" s="98"/>
      <c r="E368" s="98"/>
      <c r="F368" s="235"/>
      <c r="G368" s="235"/>
      <c r="H368" s="236"/>
      <c r="I368" s="236"/>
      <c r="J368" s="236"/>
      <c r="K368" s="236"/>
      <c r="L368" s="236"/>
      <c r="M368" s="236"/>
      <c r="N368" s="236"/>
      <c r="O368" s="236"/>
      <c r="P368" s="236"/>
      <c r="Q368" s="236"/>
      <c r="R368" s="236"/>
      <c r="S368" s="236"/>
      <c r="T368" s="236"/>
      <c r="U368" s="236"/>
      <c r="V368" s="236"/>
      <c r="W368" s="237"/>
      <c r="X368" s="237"/>
      <c r="Y368" s="237"/>
      <c r="Z368" s="237"/>
      <c r="AA368" s="237"/>
      <c r="AB368" s="237"/>
      <c r="AC368" s="237"/>
      <c r="AD368" s="237"/>
      <c r="AE368" s="237"/>
      <c r="AF368" s="237"/>
      <c r="AG368" s="237"/>
      <c r="AH368" s="237"/>
      <c r="AI368" s="98"/>
      <c r="AJ368" s="98"/>
      <c r="AK368" s="98"/>
      <c r="AL368" s="98"/>
      <c r="AM368" s="98"/>
      <c r="AN368" s="98"/>
      <c r="AO368" s="98"/>
    </row>
    <row r="369" ht="14.25" customHeight="1">
      <c r="A369" s="98"/>
      <c r="B369" s="98"/>
      <c r="C369" s="98"/>
      <c r="D369" s="98"/>
      <c r="E369" s="98"/>
      <c r="F369" s="235"/>
      <c r="G369" s="235"/>
      <c r="H369" s="236"/>
      <c r="I369" s="236"/>
      <c r="J369" s="236"/>
      <c r="K369" s="236"/>
      <c r="L369" s="236"/>
      <c r="M369" s="236"/>
      <c r="N369" s="236"/>
      <c r="O369" s="236"/>
      <c r="P369" s="236"/>
      <c r="Q369" s="236"/>
      <c r="R369" s="236"/>
      <c r="S369" s="236"/>
      <c r="T369" s="236"/>
      <c r="U369" s="236"/>
      <c r="V369" s="236"/>
      <c r="W369" s="237"/>
      <c r="X369" s="237"/>
      <c r="Y369" s="237"/>
      <c r="Z369" s="237"/>
      <c r="AA369" s="237"/>
      <c r="AB369" s="237"/>
      <c r="AC369" s="237"/>
      <c r="AD369" s="237"/>
      <c r="AE369" s="237"/>
      <c r="AF369" s="237"/>
      <c r="AG369" s="237"/>
      <c r="AH369" s="237"/>
      <c r="AI369" s="98"/>
      <c r="AJ369" s="98"/>
      <c r="AK369" s="98"/>
      <c r="AL369" s="98"/>
      <c r="AM369" s="98"/>
      <c r="AN369" s="98"/>
      <c r="AO369" s="98"/>
    </row>
    <row r="370" ht="14.25" customHeight="1">
      <c r="A370" s="98"/>
      <c r="B370" s="98"/>
      <c r="C370" s="98"/>
      <c r="D370" s="98"/>
      <c r="E370" s="98"/>
      <c r="F370" s="235"/>
      <c r="G370" s="235"/>
      <c r="H370" s="236"/>
      <c r="I370" s="236"/>
      <c r="J370" s="236"/>
      <c r="K370" s="236"/>
      <c r="L370" s="236"/>
      <c r="M370" s="236"/>
      <c r="N370" s="236"/>
      <c r="O370" s="236"/>
      <c r="P370" s="236"/>
      <c r="Q370" s="236"/>
      <c r="R370" s="236"/>
      <c r="S370" s="236"/>
      <c r="T370" s="236"/>
      <c r="U370" s="236"/>
      <c r="V370" s="236"/>
      <c r="W370" s="237"/>
      <c r="X370" s="237"/>
      <c r="Y370" s="237"/>
      <c r="Z370" s="237"/>
      <c r="AA370" s="237"/>
      <c r="AB370" s="237"/>
      <c r="AC370" s="237"/>
      <c r="AD370" s="237"/>
      <c r="AE370" s="237"/>
      <c r="AF370" s="237"/>
      <c r="AG370" s="237"/>
      <c r="AH370" s="237"/>
      <c r="AI370" s="98"/>
      <c r="AJ370" s="98"/>
      <c r="AK370" s="98"/>
      <c r="AL370" s="98"/>
      <c r="AM370" s="98"/>
      <c r="AN370" s="98"/>
      <c r="AO370" s="98"/>
    </row>
    <row r="371" ht="14.25" customHeight="1">
      <c r="A371" s="98"/>
      <c r="B371" s="98"/>
      <c r="C371" s="98"/>
      <c r="D371" s="98"/>
      <c r="E371" s="98"/>
      <c r="F371" s="235"/>
      <c r="G371" s="235"/>
      <c r="H371" s="236"/>
      <c r="I371" s="236"/>
      <c r="J371" s="236"/>
      <c r="K371" s="236"/>
      <c r="L371" s="236"/>
      <c r="M371" s="236"/>
      <c r="N371" s="236"/>
      <c r="O371" s="236"/>
      <c r="P371" s="236"/>
      <c r="Q371" s="236"/>
      <c r="R371" s="236"/>
      <c r="S371" s="236"/>
      <c r="T371" s="236"/>
      <c r="U371" s="236"/>
      <c r="V371" s="236"/>
      <c r="W371" s="237"/>
      <c r="X371" s="237"/>
      <c r="Y371" s="237"/>
      <c r="Z371" s="237"/>
      <c r="AA371" s="237"/>
      <c r="AB371" s="237"/>
      <c r="AC371" s="237"/>
      <c r="AD371" s="237"/>
      <c r="AE371" s="237"/>
      <c r="AF371" s="237"/>
      <c r="AG371" s="237"/>
      <c r="AH371" s="237"/>
      <c r="AI371" s="98"/>
      <c r="AJ371" s="98"/>
      <c r="AK371" s="98"/>
      <c r="AL371" s="98"/>
      <c r="AM371" s="98"/>
      <c r="AN371" s="98"/>
      <c r="AO371" s="98"/>
    </row>
    <row r="372" ht="14.25" customHeight="1">
      <c r="A372" s="98"/>
      <c r="B372" s="98"/>
      <c r="C372" s="98"/>
      <c r="D372" s="98"/>
      <c r="E372" s="98"/>
      <c r="F372" s="235"/>
      <c r="G372" s="235"/>
      <c r="H372" s="236"/>
      <c r="I372" s="236"/>
      <c r="J372" s="236"/>
      <c r="K372" s="236"/>
      <c r="L372" s="236"/>
      <c r="M372" s="236"/>
      <c r="N372" s="236"/>
      <c r="O372" s="236"/>
      <c r="P372" s="236"/>
      <c r="Q372" s="236"/>
      <c r="R372" s="236"/>
      <c r="S372" s="236"/>
      <c r="T372" s="236"/>
      <c r="U372" s="236"/>
      <c r="V372" s="236"/>
      <c r="W372" s="237"/>
      <c r="X372" s="237"/>
      <c r="Y372" s="237"/>
      <c r="Z372" s="237"/>
      <c r="AA372" s="237"/>
      <c r="AB372" s="237"/>
      <c r="AC372" s="237"/>
      <c r="AD372" s="237"/>
      <c r="AE372" s="237"/>
      <c r="AF372" s="237"/>
      <c r="AG372" s="237"/>
      <c r="AH372" s="237"/>
      <c r="AI372" s="98"/>
      <c r="AJ372" s="98"/>
      <c r="AK372" s="98"/>
      <c r="AL372" s="98"/>
      <c r="AM372" s="98"/>
      <c r="AN372" s="98"/>
      <c r="AO372" s="98"/>
    </row>
    <row r="373" ht="14.25" customHeight="1">
      <c r="A373" s="98"/>
      <c r="B373" s="98"/>
      <c r="C373" s="98"/>
      <c r="D373" s="98"/>
      <c r="E373" s="98"/>
      <c r="F373" s="235"/>
      <c r="G373" s="235"/>
      <c r="H373" s="236"/>
      <c r="I373" s="236"/>
      <c r="J373" s="236"/>
      <c r="K373" s="236"/>
      <c r="L373" s="236"/>
      <c r="M373" s="236"/>
      <c r="N373" s="236"/>
      <c r="O373" s="236"/>
      <c r="P373" s="236"/>
      <c r="Q373" s="236"/>
      <c r="R373" s="236"/>
      <c r="S373" s="236"/>
      <c r="T373" s="236"/>
      <c r="U373" s="236"/>
      <c r="V373" s="236"/>
      <c r="W373" s="237"/>
      <c r="X373" s="237"/>
      <c r="Y373" s="237"/>
      <c r="Z373" s="237"/>
      <c r="AA373" s="237"/>
      <c r="AB373" s="237"/>
      <c r="AC373" s="237"/>
      <c r="AD373" s="237"/>
      <c r="AE373" s="237"/>
      <c r="AF373" s="237"/>
      <c r="AG373" s="237"/>
      <c r="AH373" s="237"/>
      <c r="AI373" s="98"/>
      <c r="AJ373" s="98"/>
      <c r="AK373" s="98"/>
      <c r="AL373" s="98"/>
      <c r="AM373" s="98"/>
      <c r="AN373" s="98"/>
      <c r="AO373" s="98"/>
    </row>
    <row r="374" ht="14.25" customHeight="1">
      <c r="A374" s="98"/>
      <c r="B374" s="98"/>
      <c r="C374" s="98"/>
      <c r="D374" s="98"/>
      <c r="E374" s="98"/>
      <c r="F374" s="235"/>
      <c r="G374" s="235"/>
      <c r="H374" s="236"/>
      <c r="I374" s="236"/>
      <c r="J374" s="236"/>
      <c r="K374" s="236"/>
      <c r="L374" s="236"/>
      <c r="M374" s="236"/>
      <c r="N374" s="236"/>
      <c r="O374" s="236"/>
      <c r="P374" s="236"/>
      <c r="Q374" s="236"/>
      <c r="R374" s="236"/>
      <c r="S374" s="236"/>
      <c r="T374" s="236"/>
      <c r="U374" s="236"/>
      <c r="V374" s="236"/>
      <c r="W374" s="237"/>
      <c r="X374" s="237"/>
      <c r="Y374" s="237"/>
      <c r="Z374" s="237"/>
      <c r="AA374" s="237"/>
      <c r="AB374" s="237"/>
      <c r="AC374" s="237"/>
      <c r="AD374" s="237"/>
      <c r="AE374" s="237"/>
      <c r="AF374" s="237"/>
      <c r="AG374" s="237"/>
      <c r="AH374" s="237"/>
      <c r="AI374" s="98"/>
      <c r="AJ374" s="98"/>
      <c r="AK374" s="98"/>
      <c r="AL374" s="98"/>
      <c r="AM374" s="98"/>
      <c r="AN374" s="98"/>
      <c r="AO374" s="98"/>
    </row>
    <row r="375" ht="14.25" customHeight="1">
      <c r="A375" s="98"/>
      <c r="B375" s="98"/>
      <c r="C375" s="98"/>
      <c r="D375" s="98"/>
      <c r="E375" s="98"/>
      <c r="F375" s="235"/>
      <c r="G375" s="235"/>
      <c r="H375" s="236"/>
      <c r="I375" s="236"/>
      <c r="J375" s="236"/>
      <c r="K375" s="236"/>
      <c r="L375" s="236"/>
      <c r="M375" s="236"/>
      <c r="N375" s="236"/>
      <c r="O375" s="236"/>
      <c r="P375" s="236"/>
      <c r="Q375" s="236"/>
      <c r="R375" s="236"/>
      <c r="S375" s="236"/>
      <c r="T375" s="236"/>
      <c r="U375" s="236"/>
      <c r="V375" s="236"/>
      <c r="W375" s="237"/>
      <c r="X375" s="237"/>
      <c r="Y375" s="237"/>
      <c r="Z375" s="237"/>
      <c r="AA375" s="237"/>
      <c r="AB375" s="237"/>
      <c r="AC375" s="237"/>
      <c r="AD375" s="237"/>
      <c r="AE375" s="237"/>
      <c r="AF375" s="237"/>
      <c r="AG375" s="237"/>
      <c r="AH375" s="237"/>
      <c r="AI375" s="98"/>
      <c r="AJ375" s="98"/>
      <c r="AK375" s="98"/>
      <c r="AL375" s="98"/>
      <c r="AM375" s="98"/>
      <c r="AN375" s="98"/>
      <c r="AO375" s="98"/>
    </row>
    <row r="376" ht="14.25" customHeight="1">
      <c r="A376" s="98"/>
      <c r="B376" s="98"/>
      <c r="C376" s="98"/>
      <c r="D376" s="98"/>
      <c r="E376" s="98"/>
      <c r="F376" s="235"/>
      <c r="G376" s="235"/>
      <c r="H376" s="236"/>
      <c r="I376" s="236"/>
      <c r="J376" s="236"/>
      <c r="K376" s="236"/>
      <c r="L376" s="236"/>
      <c r="M376" s="236"/>
      <c r="N376" s="236"/>
      <c r="O376" s="236"/>
      <c r="P376" s="236"/>
      <c r="Q376" s="236"/>
      <c r="R376" s="236"/>
      <c r="S376" s="236"/>
      <c r="T376" s="236"/>
      <c r="U376" s="236"/>
      <c r="V376" s="236"/>
      <c r="W376" s="237"/>
      <c r="X376" s="237"/>
      <c r="Y376" s="237"/>
      <c r="Z376" s="237"/>
      <c r="AA376" s="237"/>
      <c r="AB376" s="237"/>
      <c r="AC376" s="237"/>
      <c r="AD376" s="237"/>
      <c r="AE376" s="237"/>
      <c r="AF376" s="237"/>
      <c r="AG376" s="237"/>
      <c r="AH376" s="237"/>
      <c r="AI376" s="98"/>
      <c r="AJ376" s="98"/>
      <c r="AK376" s="98"/>
      <c r="AL376" s="98"/>
      <c r="AM376" s="98"/>
      <c r="AN376" s="98"/>
      <c r="AO376" s="98"/>
    </row>
    <row r="377" ht="14.25" customHeight="1">
      <c r="A377" s="98"/>
      <c r="B377" s="98"/>
      <c r="C377" s="98"/>
      <c r="D377" s="98"/>
      <c r="E377" s="98"/>
      <c r="F377" s="235"/>
      <c r="G377" s="235"/>
      <c r="H377" s="236"/>
      <c r="I377" s="236"/>
      <c r="J377" s="236"/>
      <c r="K377" s="236"/>
      <c r="L377" s="236"/>
      <c r="M377" s="236"/>
      <c r="N377" s="236"/>
      <c r="O377" s="236"/>
      <c r="P377" s="236"/>
      <c r="Q377" s="236"/>
      <c r="R377" s="236"/>
      <c r="S377" s="236"/>
      <c r="T377" s="236"/>
      <c r="U377" s="236"/>
      <c r="V377" s="236"/>
      <c r="W377" s="237"/>
      <c r="X377" s="237"/>
      <c r="Y377" s="237"/>
      <c r="Z377" s="237"/>
      <c r="AA377" s="237"/>
      <c r="AB377" s="237"/>
      <c r="AC377" s="237"/>
      <c r="AD377" s="237"/>
      <c r="AE377" s="237"/>
      <c r="AF377" s="237"/>
      <c r="AG377" s="237"/>
      <c r="AH377" s="237"/>
      <c r="AI377" s="98"/>
      <c r="AJ377" s="98"/>
      <c r="AK377" s="98"/>
      <c r="AL377" s="98"/>
      <c r="AM377" s="98"/>
      <c r="AN377" s="98"/>
      <c r="AO377" s="98"/>
    </row>
    <row r="378" ht="14.25" customHeight="1">
      <c r="A378" s="98"/>
      <c r="B378" s="98"/>
      <c r="C378" s="98"/>
      <c r="D378" s="98"/>
      <c r="E378" s="98"/>
      <c r="F378" s="235"/>
      <c r="G378" s="235"/>
      <c r="H378" s="236"/>
      <c r="I378" s="236"/>
      <c r="J378" s="236"/>
      <c r="K378" s="236"/>
      <c r="L378" s="236"/>
      <c r="M378" s="236"/>
      <c r="N378" s="236"/>
      <c r="O378" s="236"/>
      <c r="P378" s="236"/>
      <c r="Q378" s="236"/>
      <c r="R378" s="236"/>
      <c r="S378" s="236"/>
      <c r="T378" s="236"/>
      <c r="U378" s="236"/>
      <c r="V378" s="236"/>
      <c r="W378" s="237"/>
      <c r="X378" s="237"/>
      <c r="Y378" s="237"/>
      <c r="Z378" s="237"/>
      <c r="AA378" s="237"/>
      <c r="AB378" s="237"/>
      <c r="AC378" s="237"/>
      <c r="AD378" s="237"/>
      <c r="AE378" s="237"/>
      <c r="AF378" s="237"/>
      <c r="AG378" s="237"/>
      <c r="AH378" s="237"/>
      <c r="AI378" s="98"/>
      <c r="AJ378" s="98"/>
      <c r="AK378" s="98"/>
      <c r="AL378" s="98"/>
      <c r="AM378" s="98"/>
      <c r="AN378" s="98"/>
      <c r="AO378" s="98"/>
    </row>
    <row r="379" ht="14.25" customHeight="1">
      <c r="A379" s="98"/>
      <c r="B379" s="98"/>
      <c r="C379" s="98"/>
      <c r="D379" s="98"/>
      <c r="E379" s="98"/>
      <c r="F379" s="235"/>
      <c r="G379" s="235"/>
      <c r="H379" s="236"/>
      <c r="I379" s="236"/>
      <c r="J379" s="236"/>
      <c r="K379" s="236"/>
      <c r="L379" s="236"/>
      <c r="M379" s="236"/>
      <c r="N379" s="236"/>
      <c r="O379" s="236"/>
      <c r="P379" s="236"/>
      <c r="Q379" s="236"/>
      <c r="R379" s="236"/>
      <c r="S379" s="236"/>
      <c r="T379" s="236"/>
      <c r="U379" s="236"/>
      <c r="V379" s="236"/>
      <c r="W379" s="237"/>
      <c r="X379" s="237"/>
      <c r="Y379" s="237"/>
      <c r="Z379" s="237"/>
      <c r="AA379" s="237"/>
      <c r="AB379" s="237"/>
      <c r="AC379" s="237"/>
      <c r="AD379" s="237"/>
      <c r="AE379" s="237"/>
      <c r="AF379" s="237"/>
      <c r="AG379" s="237"/>
      <c r="AH379" s="237"/>
      <c r="AI379" s="98"/>
      <c r="AJ379" s="98"/>
      <c r="AK379" s="98"/>
      <c r="AL379" s="98"/>
      <c r="AM379" s="98"/>
      <c r="AN379" s="98"/>
      <c r="AO379" s="98"/>
    </row>
    <row r="380" ht="14.25" customHeight="1">
      <c r="A380" s="98"/>
      <c r="B380" s="98"/>
      <c r="C380" s="98"/>
      <c r="D380" s="98"/>
      <c r="E380" s="98"/>
      <c r="F380" s="235"/>
      <c r="G380" s="235"/>
      <c r="H380" s="236"/>
      <c r="I380" s="236"/>
      <c r="J380" s="236"/>
      <c r="K380" s="236"/>
      <c r="L380" s="236"/>
      <c r="M380" s="236"/>
      <c r="N380" s="236"/>
      <c r="O380" s="236"/>
      <c r="P380" s="236"/>
      <c r="Q380" s="236"/>
      <c r="R380" s="236"/>
      <c r="S380" s="236"/>
      <c r="T380" s="236"/>
      <c r="U380" s="236"/>
      <c r="V380" s="236"/>
      <c r="W380" s="237"/>
      <c r="X380" s="237"/>
      <c r="Y380" s="237"/>
      <c r="Z380" s="237"/>
      <c r="AA380" s="237"/>
      <c r="AB380" s="237"/>
      <c r="AC380" s="237"/>
      <c r="AD380" s="237"/>
      <c r="AE380" s="237"/>
      <c r="AF380" s="237"/>
      <c r="AG380" s="237"/>
      <c r="AH380" s="237"/>
      <c r="AI380" s="98"/>
      <c r="AJ380" s="98"/>
      <c r="AK380" s="98"/>
      <c r="AL380" s="98"/>
      <c r="AM380" s="98"/>
      <c r="AN380" s="98"/>
      <c r="AO380" s="98"/>
    </row>
    <row r="381" ht="14.25" customHeight="1">
      <c r="A381" s="98"/>
      <c r="B381" s="98"/>
      <c r="C381" s="98"/>
      <c r="D381" s="98"/>
      <c r="E381" s="98"/>
      <c r="F381" s="235"/>
      <c r="G381" s="235"/>
      <c r="H381" s="236"/>
      <c r="I381" s="236"/>
      <c r="J381" s="236"/>
      <c r="K381" s="236"/>
      <c r="L381" s="236"/>
      <c r="M381" s="236"/>
      <c r="N381" s="236"/>
      <c r="O381" s="236"/>
      <c r="P381" s="236"/>
      <c r="Q381" s="236"/>
      <c r="R381" s="236"/>
      <c r="S381" s="236"/>
      <c r="T381" s="236"/>
      <c r="U381" s="236"/>
      <c r="V381" s="236"/>
      <c r="W381" s="237"/>
      <c r="X381" s="237"/>
      <c r="Y381" s="237"/>
      <c r="Z381" s="237"/>
      <c r="AA381" s="237"/>
      <c r="AB381" s="237"/>
      <c r="AC381" s="237"/>
      <c r="AD381" s="237"/>
      <c r="AE381" s="237"/>
      <c r="AF381" s="237"/>
      <c r="AG381" s="237"/>
      <c r="AH381" s="237"/>
      <c r="AI381" s="98"/>
      <c r="AJ381" s="98"/>
      <c r="AK381" s="98"/>
      <c r="AL381" s="98"/>
      <c r="AM381" s="98"/>
      <c r="AN381" s="98"/>
      <c r="AO381" s="98"/>
    </row>
    <row r="382" ht="14.25" customHeight="1">
      <c r="A382" s="98"/>
      <c r="B382" s="98"/>
      <c r="C382" s="98"/>
      <c r="D382" s="98"/>
      <c r="E382" s="98"/>
      <c r="F382" s="235"/>
      <c r="G382" s="235"/>
      <c r="H382" s="236"/>
      <c r="I382" s="236"/>
      <c r="J382" s="236"/>
      <c r="K382" s="236"/>
      <c r="L382" s="236"/>
      <c r="M382" s="236"/>
      <c r="N382" s="236"/>
      <c r="O382" s="236"/>
      <c r="P382" s="236"/>
      <c r="Q382" s="236"/>
      <c r="R382" s="236"/>
      <c r="S382" s="236"/>
      <c r="T382" s="236"/>
      <c r="U382" s="236"/>
      <c r="V382" s="236"/>
      <c r="W382" s="237"/>
      <c r="X382" s="237"/>
      <c r="Y382" s="237"/>
      <c r="Z382" s="237"/>
      <c r="AA382" s="237"/>
      <c r="AB382" s="237"/>
      <c r="AC382" s="237"/>
      <c r="AD382" s="237"/>
      <c r="AE382" s="237"/>
      <c r="AF382" s="237"/>
      <c r="AG382" s="237"/>
      <c r="AH382" s="237"/>
      <c r="AI382" s="98"/>
      <c r="AJ382" s="98"/>
      <c r="AK382" s="98"/>
      <c r="AL382" s="98"/>
      <c r="AM382" s="98"/>
      <c r="AN382" s="98"/>
      <c r="AO382" s="98"/>
    </row>
    <row r="383" ht="14.25" customHeight="1">
      <c r="A383" s="98"/>
      <c r="B383" s="98"/>
      <c r="C383" s="98"/>
      <c r="D383" s="98"/>
      <c r="E383" s="98"/>
      <c r="F383" s="235"/>
      <c r="G383" s="235"/>
      <c r="H383" s="236"/>
      <c r="I383" s="236"/>
      <c r="J383" s="236"/>
      <c r="K383" s="236"/>
      <c r="L383" s="236"/>
      <c r="M383" s="236"/>
      <c r="N383" s="236"/>
      <c r="O383" s="236"/>
      <c r="P383" s="236"/>
      <c r="Q383" s="236"/>
      <c r="R383" s="236"/>
      <c r="S383" s="236"/>
      <c r="T383" s="236"/>
      <c r="U383" s="236"/>
      <c r="V383" s="236"/>
      <c r="W383" s="237"/>
      <c r="X383" s="237"/>
      <c r="Y383" s="237"/>
      <c r="Z383" s="237"/>
      <c r="AA383" s="237"/>
      <c r="AB383" s="237"/>
      <c r="AC383" s="237"/>
      <c r="AD383" s="237"/>
      <c r="AE383" s="237"/>
      <c r="AF383" s="237"/>
      <c r="AG383" s="237"/>
      <c r="AH383" s="237"/>
      <c r="AI383" s="98"/>
      <c r="AJ383" s="98"/>
      <c r="AK383" s="98"/>
      <c r="AL383" s="98"/>
      <c r="AM383" s="98"/>
      <c r="AN383" s="98"/>
      <c r="AO383" s="98"/>
    </row>
    <row r="384" ht="14.25" customHeight="1">
      <c r="A384" s="98"/>
      <c r="B384" s="98"/>
      <c r="C384" s="98"/>
      <c r="D384" s="98"/>
      <c r="E384" s="98"/>
      <c r="F384" s="235"/>
      <c r="G384" s="235"/>
      <c r="H384" s="236"/>
      <c r="I384" s="236"/>
      <c r="J384" s="236"/>
      <c r="K384" s="236"/>
      <c r="L384" s="236"/>
      <c r="M384" s="236"/>
      <c r="N384" s="236"/>
      <c r="O384" s="236"/>
      <c r="P384" s="236"/>
      <c r="Q384" s="236"/>
      <c r="R384" s="236"/>
      <c r="S384" s="236"/>
      <c r="T384" s="236"/>
      <c r="U384" s="236"/>
      <c r="V384" s="236"/>
      <c r="W384" s="237"/>
      <c r="X384" s="237"/>
      <c r="Y384" s="237"/>
      <c r="Z384" s="237"/>
      <c r="AA384" s="237"/>
      <c r="AB384" s="237"/>
      <c r="AC384" s="237"/>
      <c r="AD384" s="237"/>
      <c r="AE384" s="237"/>
      <c r="AF384" s="237"/>
      <c r="AG384" s="237"/>
      <c r="AH384" s="237"/>
      <c r="AI384" s="98"/>
      <c r="AJ384" s="98"/>
      <c r="AK384" s="98"/>
      <c r="AL384" s="98"/>
      <c r="AM384" s="98"/>
      <c r="AN384" s="98"/>
      <c r="AO384" s="98"/>
    </row>
    <row r="385" ht="14.25" customHeight="1">
      <c r="A385" s="98"/>
      <c r="B385" s="98"/>
      <c r="C385" s="98"/>
      <c r="D385" s="98"/>
      <c r="E385" s="98"/>
      <c r="F385" s="235"/>
      <c r="G385" s="235"/>
      <c r="H385" s="236"/>
      <c r="I385" s="236"/>
      <c r="J385" s="236"/>
      <c r="K385" s="236"/>
      <c r="L385" s="236"/>
      <c r="M385" s="236"/>
      <c r="N385" s="236"/>
      <c r="O385" s="236"/>
      <c r="P385" s="236"/>
      <c r="Q385" s="236"/>
      <c r="R385" s="236"/>
      <c r="S385" s="236"/>
      <c r="T385" s="236"/>
      <c r="U385" s="236"/>
      <c r="V385" s="236"/>
      <c r="W385" s="237"/>
      <c r="X385" s="237"/>
      <c r="Y385" s="237"/>
      <c r="Z385" s="237"/>
      <c r="AA385" s="237"/>
      <c r="AB385" s="237"/>
      <c r="AC385" s="237"/>
      <c r="AD385" s="237"/>
      <c r="AE385" s="237"/>
      <c r="AF385" s="237"/>
      <c r="AG385" s="237"/>
      <c r="AH385" s="237"/>
      <c r="AI385" s="98"/>
      <c r="AJ385" s="98"/>
      <c r="AK385" s="98"/>
      <c r="AL385" s="98"/>
      <c r="AM385" s="98"/>
      <c r="AN385" s="98"/>
      <c r="AO385" s="98"/>
    </row>
    <row r="386" ht="14.25" customHeight="1">
      <c r="A386" s="98"/>
      <c r="B386" s="98"/>
      <c r="C386" s="98"/>
      <c r="D386" s="98"/>
      <c r="E386" s="98"/>
      <c r="F386" s="235"/>
      <c r="G386" s="235"/>
      <c r="H386" s="236"/>
      <c r="I386" s="236"/>
      <c r="J386" s="236"/>
      <c r="K386" s="236"/>
      <c r="L386" s="236"/>
      <c r="M386" s="236"/>
      <c r="N386" s="236"/>
      <c r="O386" s="236"/>
      <c r="P386" s="236"/>
      <c r="Q386" s="236"/>
      <c r="R386" s="236"/>
      <c r="S386" s="236"/>
      <c r="T386" s="236"/>
      <c r="U386" s="236"/>
      <c r="V386" s="236"/>
      <c r="W386" s="237"/>
      <c r="X386" s="237"/>
      <c r="Y386" s="237"/>
      <c r="Z386" s="237"/>
      <c r="AA386" s="237"/>
      <c r="AB386" s="237"/>
      <c r="AC386" s="237"/>
      <c r="AD386" s="237"/>
      <c r="AE386" s="237"/>
      <c r="AF386" s="237"/>
      <c r="AG386" s="237"/>
      <c r="AH386" s="237"/>
      <c r="AI386" s="98"/>
      <c r="AJ386" s="98"/>
      <c r="AK386" s="98"/>
      <c r="AL386" s="98"/>
      <c r="AM386" s="98"/>
      <c r="AN386" s="98"/>
      <c r="AO386" s="98"/>
    </row>
    <row r="387" ht="14.25" customHeight="1">
      <c r="A387" s="98"/>
      <c r="B387" s="98"/>
      <c r="C387" s="98"/>
      <c r="D387" s="98"/>
      <c r="E387" s="98"/>
      <c r="F387" s="235"/>
      <c r="G387" s="235"/>
      <c r="H387" s="236"/>
      <c r="I387" s="236"/>
      <c r="J387" s="236"/>
      <c r="K387" s="236"/>
      <c r="L387" s="236"/>
      <c r="M387" s="236"/>
      <c r="N387" s="236"/>
      <c r="O387" s="236"/>
      <c r="P387" s="236"/>
      <c r="Q387" s="236"/>
      <c r="R387" s="236"/>
      <c r="S387" s="236"/>
      <c r="T387" s="236"/>
      <c r="U387" s="236"/>
      <c r="V387" s="236"/>
      <c r="W387" s="237"/>
      <c r="X387" s="237"/>
      <c r="Y387" s="237"/>
      <c r="Z387" s="237"/>
      <c r="AA387" s="237"/>
      <c r="AB387" s="237"/>
      <c r="AC387" s="237"/>
      <c r="AD387" s="237"/>
      <c r="AE387" s="237"/>
      <c r="AF387" s="237"/>
      <c r="AG387" s="237"/>
      <c r="AH387" s="237"/>
      <c r="AI387" s="98"/>
      <c r="AJ387" s="98"/>
      <c r="AK387" s="98"/>
      <c r="AL387" s="98"/>
      <c r="AM387" s="98"/>
      <c r="AN387" s="98"/>
      <c r="AO387" s="98"/>
    </row>
    <row r="388" ht="14.25" customHeight="1">
      <c r="A388" s="98"/>
      <c r="B388" s="98"/>
      <c r="C388" s="98"/>
      <c r="D388" s="98"/>
      <c r="E388" s="98"/>
      <c r="F388" s="235"/>
      <c r="G388" s="235"/>
      <c r="H388" s="236"/>
      <c r="I388" s="236"/>
      <c r="J388" s="236"/>
      <c r="K388" s="236"/>
      <c r="L388" s="236"/>
      <c r="M388" s="236"/>
      <c r="N388" s="236"/>
      <c r="O388" s="236"/>
      <c r="P388" s="236"/>
      <c r="Q388" s="236"/>
      <c r="R388" s="236"/>
      <c r="S388" s="236"/>
      <c r="T388" s="236"/>
      <c r="U388" s="236"/>
      <c r="V388" s="236"/>
      <c r="W388" s="237"/>
      <c r="X388" s="237"/>
      <c r="Y388" s="237"/>
      <c r="Z388" s="237"/>
      <c r="AA388" s="237"/>
      <c r="AB388" s="237"/>
      <c r="AC388" s="237"/>
      <c r="AD388" s="237"/>
      <c r="AE388" s="237"/>
      <c r="AF388" s="237"/>
      <c r="AG388" s="237"/>
      <c r="AH388" s="237"/>
      <c r="AI388" s="98"/>
      <c r="AJ388" s="98"/>
      <c r="AK388" s="98"/>
      <c r="AL388" s="98"/>
      <c r="AM388" s="98"/>
      <c r="AN388" s="98"/>
      <c r="AO388" s="98"/>
    </row>
    <row r="389" ht="14.25" customHeight="1">
      <c r="A389" s="98"/>
      <c r="B389" s="98"/>
      <c r="C389" s="98"/>
      <c r="D389" s="98"/>
      <c r="E389" s="98"/>
      <c r="F389" s="235"/>
      <c r="G389" s="235"/>
      <c r="H389" s="236"/>
      <c r="I389" s="236"/>
      <c r="J389" s="236"/>
      <c r="K389" s="236"/>
      <c r="L389" s="236"/>
      <c r="M389" s="236"/>
      <c r="N389" s="236"/>
      <c r="O389" s="236"/>
      <c r="P389" s="236"/>
      <c r="Q389" s="236"/>
      <c r="R389" s="236"/>
      <c r="S389" s="236"/>
      <c r="T389" s="236"/>
      <c r="U389" s="236"/>
      <c r="V389" s="236"/>
      <c r="W389" s="237"/>
      <c r="X389" s="237"/>
      <c r="Y389" s="237"/>
      <c r="Z389" s="237"/>
      <c r="AA389" s="237"/>
      <c r="AB389" s="237"/>
      <c r="AC389" s="237"/>
      <c r="AD389" s="237"/>
      <c r="AE389" s="237"/>
      <c r="AF389" s="237"/>
      <c r="AG389" s="237"/>
      <c r="AH389" s="237"/>
      <c r="AI389" s="98"/>
      <c r="AJ389" s="98"/>
      <c r="AK389" s="98"/>
      <c r="AL389" s="98"/>
      <c r="AM389" s="98"/>
      <c r="AN389" s="98"/>
      <c r="AO389" s="98"/>
    </row>
    <row r="390" ht="14.25" customHeight="1">
      <c r="A390" s="98"/>
      <c r="B390" s="98"/>
      <c r="C390" s="98"/>
      <c r="D390" s="98"/>
      <c r="E390" s="98"/>
      <c r="F390" s="235"/>
      <c r="G390" s="235"/>
      <c r="H390" s="236"/>
      <c r="I390" s="236"/>
      <c r="J390" s="236"/>
      <c r="K390" s="236"/>
      <c r="L390" s="236"/>
      <c r="M390" s="236"/>
      <c r="N390" s="236"/>
      <c r="O390" s="236"/>
      <c r="P390" s="236"/>
      <c r="Q390" s="236"/>
      <c r="R390" s="236"/>
      <c r="S390" s="236"/>
      <c r="T390" s="236"/>
      <c r="U390" s="236"/>
      <c r="V390" s="236"/>
      <c r="W390" s="237"/>
      <c r="X390" s="237"/>
      <c r="Y390" s="237"/>
      <c r="Z390" s="237"/>
      <c r="AA390" s="237"/>
      <c r="AB390" s="237"/>
      <c r="AC390" s="237"/>
      <c r="AD390" s="237"/>
      <c r="AE390" s="237"/>
      <c r="AF390" s="237"/>
      <c r="AG390" s="237"/>
      <c r="AH390" s="237"/>
      <c r="AI390" s="98"/>
      <c r="AJ390" s="98"/>
      <c r="AK390" s="98"/>
      <c r="AL390" s="98"/>
      <c r="AM390" s="98"/>
      <c r="AN390" s="98"/>
      <c r="AO390" s="98"/>
    </row>
    <row r="391" ht="14.25" customHeight="1">
      <c r="A391" s="98"/>
      <c r="B391" s="98"/>
      <c r="C391" s="98"/>
      <c r="D391" s="98"/>
      <c r="E391" s="98"/>
      <c r="F391" s="235"/>
      <c r="G391" s="235"/>
      <c r="H391" s="236"/>
      <c r="I391" s="236"/>
      <c r="J391" s="236"/>
      <c r="K391" s="236"/>
      <c r="L391" s="236"/>
      <c r="M391" s="236"/>
      <c r="N391" s="236"/>
      <c r="O391" s="236"/>
      <c r="P391" s="236"/>
      <c r="Q391" s="236"/>
      <c r="R391" s="236"/>
      <c r="S391" s="236"/>
      <c r="T391" s="236"/>
      <c r="U391" s="236"/>
      <c r="V391" s="236"/>
      <c r="W391" s="237"/>
      <c r="X391" s="237"/>
      <c r="Y391" s="237"/>
      <c r="Z391" s="237"/>
      <c r="AA391" s="237"/>
      <c r="AB391" s="237"/>
      <c r="AC391" s="237"/>
      <c r="AD391" s="237"/>
      <c r="AE391" s="237"/>
      <c r="AF391" s="237"/>
      <c r="AG391" s="237"/>
      <c r="AH391" s="237"/>
      <c r="AI391" s="98"/>
      <c r="AJ391" s="98"/>
      <c r="AK391" s="98"/>
      <c r="AL391" s="98"/>
      <c r="AM391" s="98"/>
      <c r="AN391" s="98"/>
      <c r="AO391" s="98"/>
    </row>
    <row r="392" ht="14.25" customHeight="1">
      <c r="A392" s="98"/>
      <c r="B392" s="98"/>
      <c r="C392" s="98"/>
      <c r="D392" s="98"/>
      <c r="E392" s="98"/>
      <c r="F392" s="235"/>
      <c r="G392" s="235"/>
      <c r="H392" s="236"/>
      <c r="I392" s="236"/>
      <c r="J392" s="236"/>
      <c r="K392" s="236"/>
      <c r="L392" s="236"/>
      <c r="M392" s="236"/>
      <c r="N392" s="236"/>
      <c r="O392" s="236"/>
      <c r="P392" s="236"/>
      <c r="Q392" s="236"/>
      <c r="R392" s="236"/>
      <c r="S392" s="236"/>
      <c r="T392" s="236"/>
      <c r="U392" s="236"/>
      <c r="V392" s="236"/>
      <c r="W392" s="237"/>
      <c r="X392" s="237"/>
      <c r="Y392" s="237"/>
      <c r="Z392" s="237"/>
      <c r="AA392" s="237"/>
      <c r="AB392" s="237"/>
      <c r="AC392" s="237"/>
      <c r="AD392" s="237"/>
      <c r="AE392" s="237"/>
      <c r="AF392" s="237"/>
      <c r="AG392" s="237"/>
      <c r="AH392" s="237"/>
      <c r="AI392" s="98"/>
      <c r="AJ392" s="98"/>
      <c r="AK392" s="98"/>
      <c r="AL392" s="98"/>
      <c r="AM392" s="98"/>
      <c r="AN392" s="98"/>
      <c r="AO392" s="98"/>
    </row>
    <row r="393" ht="14.25" customHeight="1">
      <c r="A393" s="98"/>
      <c r="B393" s="98"/>
      <c r="C393" s="98"/>
      <c r="D393" s="98"/>
      <c r="E393" s="98"/>
      <c r="F393" s="235"/>
      <c r="G393" s="235"/>
      <c r="H393" s="236"/>
      <c r="I393" s="236"/>
      <c r="J393" s="236"/>
      <c r="K393" s="236"/>
      <c r="L393" s="236"/>
      <c r="M393" s="236"/>
      <c r="N393" s="236"/>
      <c r="O393" s="236"/>
      <c r="P393" s="236"/>
      <c r="Q393" s="236"/>
      <c r="R393" s="236"/>
      <c r="S393" s="236"/>
      <c r="T393" s="236"/>
      <c r="U393" s="236"/>
      <c r="V393" s="236"/>
      <c r="W393" s="237"/>
      <c r="X393" s="237"/>
      <c r="Y393" s="237"/>
      <c r="Z393" s="237"/>
      <c r="AA393" s="237"/>
      <c r="AB393" s="237"/>
      <c r="AC393" s="237"/>
      <c r="AD393" s="237"/>
      <c r="AE393" s="237"/>
      <c r="AF393" s="237"/>
      <c r="AG393" s="237"/>
      <c r="AH393" s="237"/>
      <c r="AI393" s="98"/>
      <c r="AJ393" s="98"/>
      <c r="AK393" s="98"/>
      <c r="AL393" s="98"/>
      <c r="AM393" s="98"/>
      <c r="AN393" s="98"/>
      <c r="AO393" s="98"/>
    </row>
    <row r="394" ht="14.25" customHeight="1">
      <c r="A394" s="98"/>
      <c r="B394" s="98"/>
      <c r="C394" s="98"/>
      <c r="D394" s="98"/>
      <c r="E394" s="98"/>
      <c r="F394" s="235"/>
      <c r="G394" s="235"/>
      <c r="H394" s="236"/>
      <c r="I394" s="236"/>
      <c r="J394" s="236"/>
      <c r="K394" s="236"/>
      <c r="L394" s="236"/>
      <c r="M394" s="236"/>
      <c r="N394" s="236"/>
      <c r="O394" s="236"/>
      <c r="P394" s="236"/>
      <c r="Q394" s="236"/>
      <c r="R394" s="236"/>
      <c r="S394" s="236"/>
      <c r="T394" s="236"/>
      <c r="U394" s="236"/>
      <c r="V394" s="236"/>
      <c r="W394" s="237"/>
      <c r="X394" s="237"/>
      <c r="Y394" s="237"/>
      <c r="Z394" s="237"/>
      <c r="AA394" s="237"/>
      <c r="AB394" s="237"/>
      <c r="AC394" s="237"/>
      <c r="AD394" s="237"/>
      <c r="AE394" s="237"/>
      <c r="AF394" s="237"/>
      <c r="AG394" s="237"/>
      <c r="AH394" s="237"/>
      <c r="AI394" s="98"/>
      <c r="AJ394" s="98"/>
      <c r="AK394" s="98"/>
      <c r="AL394" s="98"/>
      <c r="AM394" s="98"/>
      <c r="AN394" s="98"/>
      <c r="AO394" s="98"/>
    </row>
    <row r="395" ht="14.25" customHeight="1">
      <c r="A395" s="98"/>
      <c r="B395" s="98"/>
      <c r="C395" s="98"/>
      <c r="D395" s="98"/>
      <c r="E395" s="98"/>
      <c r="F395" s="235"/>
      <c r="G395" s="235"/>
      <c r="H395" s="236"/>
      <c r="I395" s="236"/>
      <c r="J395" s="236"/>
      <c r="K395" s="236"/>
      <c r="L395" s="236"/>
      <c r="M395" s="236"/>
      <c r="N395" s="236"/>
      <c r="O395" s="236"/>
      <c r="P395" s="236"/>
      <c r="Q395" s="236"/>
      <c r="R395" s="236"/>
      <c r="S395" s="236"/>
      <c r="T395" s="236"/>
      <c r="U395" s="236"/>
      <c r="V395" s="236"/>
      <c r="W395" s="237"/>
      <c r="X395" s="237"/>
      <c r="Y395" s="237"/>
      <c r="Z395" s="237"/>
      <c r="AA395" s="237"/>
      <c r="AB395" s="237"/>
      <c r="AC395" s="237"/>
      <c r="AD395" s="237"/>
      <c r="AE395" s="237"/>
      <c r="AF395" s="237"/>
      <c r="AG395" s="237"/>
      <c r="AH395" s="237"/>
      <c r="AI395" s="98"/>
      <c r="AJ395" s="98"/>
      <c r="AK395" s="98"/>
      <c r="AL395" s="98"/>
      <c r="AM395" s="98"/>
      <c r="AN395" s="98"/>
      <c r="AO395" s="98"/>
    </row>
    <row r="396" ht="14.25" customHeight="1">
      <c r="A396" s="98"/>
      <c r="B396" s="98"/>
      <c r="C396" s="98"/>
      <c r="D396" s="98"/>
      <c r="E396" s="98"/>
      <c r="F396" s="235"/>
      <c r="G396" s="235"/>
      <c r="H396" s="236"/>
      <c r="I396" s="236"/>
      <c r="J396" s="236"/>
      <c r="K396" s="236"/>
      <c r="L396" s="236"/>
      <c r="M396" s="236"/>
      <c r="N396" s="236"/>
      <c r="O396" s="236"/>
      <c r="P396" s="236"/>
      <c r="Q396" s="236"/>
      <c r="R396" s="236"/>
      <c r="S396" s="236"/>
      <c r="T396" s="236"/>
      <c r="U396" s="236"/>
      <c r="V396" s="236"/>
      <c r="W396" s="237"/>
      <c r="X396" s="237"/>
      <c r="Y396" s="237"/>
      <c r="Z396" s="237"/>
      <c r="AA396" s="237"/>
      <c r="AB396" s="237"/>
      <c r="AC396" s="237"/>
      <c r="AD396" s="237"/>
      <c r="AE396" s="237"/>
      <c r="AF396" s="237"/>
      <c r="AG396" s="237"/>
      <c r="AH396" s="237"/>
      <c r="AI396" s="98"/>
      <c r="AJ396" s="98"/>
      <c r="AK396" s="98"/>
      <c r="AL396" s="98"/>
      <c r="AM396" s="98"/>
      <c r="AN396" s="98"/>
      <c r="AO396" s="98"/>
    </row>
    <row r="397" ht="14.25" customHeight="1">
      <c r="A397" s="98"/>
      <c r="B397" s="98"/>
      <c r="C397" s="98"/>
      <c r="D397" s="98"/>
      <c r="E397" s="98"/>
      <c r="F397" s="235"/>
      <c r="G397" s="235"/>
      <c r="H397" s="236"/>
      <c r="I397" s="236"/>
      <c r="J397" s="236"/>
      <c r="K397" s="236"/>
      <c r="L397" s="236"/>
      <c r="M397" s="236"/>
      <c r="N397" s="236"/>
      <c r="O397" s="236"/>
      <c r="P397" s="236"/>
      <c r="Q397" s="236"/>
      <c r="R397" s="236"/>
      <c r="S397" s="236"/>
      <c r="T397" s="236"/>
      <c r="U397" s="236"/>
      <c r="V397" s="236"/>
      <c r="W397" s="237"/>
      <c r="X397" s="237"/>
      <c r="Y397" s="237"/>
      <c r="Z397" s="237"/>
      <c r="AA397" s="237"/>
      <c r="AB397" s="237"/>
      <c r="AC397" s="237"/>
      <c r="AD397" s="237"/>
      <c r="AE397" s="237"/>
      <c r="AF397" s="237"/>
      <c r="AG397" s="237"/>
      <c r="AH397" s="237"/>
      <c r="AI397" s="98"/>
      <c r="AJ397" s="98"/>
      <c r="AK397" s="98"/>
      <c r="AL397" s="98"/>
      <c r="AM397" s="98"/>
      <c r="AN397" s="98"/>
      <c r="AO397" s="98"/>
    </row>
    <row r="398" ht="14.25" customHeight="1">
      <c r="A398" s="98"/>
      <c r="B398" s="98"/>
      <c r="C398" s="98"/>
      <c r="D398" s="98"/>
      <c r="E398" s="98"/>
      <c r="F398" s="235"/>
      <c r="G398" s="235"/>
      <c r="H398" s="236"/>
      <c r="I398" s="236"/>
      <c r="J398" s="236"/>
      <c r="K398" s="236"/>
      <c r="L398" s="236"/>
      <c r="M398" s="236"/>
      <c r="N398" s="236"/>
      <c r="O398" s="236"/>
      <c r="P398" s="236"/>
      <c r="Q398" s="236"/>
      <c r="R398" s="236"/>
      <c r="S398" s="236"/>
      <c r="T398" s="236"/>
      <c r="U398" s="236"/>
      <c r="V398" s="236"/>
      <c r="W398" s="237"/>
      <c r="X398" s="237"/>
      <c r="Y398" s="237"/>
      <c r="Z398" s="237"/>
      <c r="AA398" s="237"/>
      <c r="AB398" s="237"/>
      <c r="AC398" s="237"/>
      <c r="AD398" s="237"/>
      <c r="AE398" s="237"/>
      <c r="AF398" s="237"/>
      <c r="AG398" s="237"/>
      <c r="AH398" s="237"/>
      <c r="AI398" s="98"/>
      <c r="AJ398" s="98"/>
      <c r="AK398" s="98"/>
      <c r="AL398" s="98"/>
      <c r="AM398" s="98"/>
      <c r="AN398" s="98"/>
      <c r="AO398" s="98"/>
    </row>
    <row r="399" ht="14.25" customHeight="1">
      <c r="A399" s="98"/>
      <c r="B399" s="98"/>
      <c r="C399" s="98"/>
      <c r="D399" s="98"/>
      <c r="E399" s="98"/>
      <c r="F399" s="235"/>
      <c r="G399" s="235"/>
      <c r="H399" s="236"/>
      <c r="I399" s="236"/>
      <c r="J399" s="236"/>
      <c r="K399" s="236"/>
      <c r="L399" s="236"/>
      <c r="M399" s="236"/>
      <c r="N399" s="236"/>
      <c r="O399" s="236"/>
      <c r="P399" s="236"/>
      <c r="Q399" s="236"/>
      <c r="R399" s="236"/>
      <c r="S399" s="236"/>
      <c r="T399" s="236"/>
      <c r="U399" s="236"/>
      <c r="V399" s="236"/>
      <c r="W399" s="237"/>
      <c r="X399" s="237"/>
      <c r="Y399" s="237"/>
      <c r="Z399" s="237"/>
      <c r="AA399" s="237"/>
      <c r="AB399" s="237"/>
      <c r="AC399" s="237"/>
      <c r="AD399" s="237"/>
      <c r="AE399" s="237"/>
      <c r="AF399" s="237"/>
      <c r="AG399" s="237"/>
      <c r="AH399" s="237"/>
      <c r="AI399" s="98"/>
      <c r="AJ399" s="98"/>
      <c r="AK399" s="98"/>
      <c r="AL399" s="98"/>
      <c r="AM399" s="98"/>
      <c r="AN399" s="98"/>
      <c r="AO399" s="98"/>
    </row>
    <row r="400" ht="14.25" customHeight="1">
      <c r="A400" s="98"/>
      <c r="B400" s="98"/>
      <c r="C400" s="98"/>
      <c r="D400" s="98"/>
      <c r="E400" s="98"/>
      <c r="F400" s="235"/>
      <c r="G400" s="235"/>
      <c r="H400" s="236"/>
      <c r="I400" s="236"/>
      <c r="J400" s="236"/>
      <c r="K400" s="236"/>
      <c r="L400" s="236"/>
      <c r="M400" s="236"/>
      <c r="N400" s="236"/>
      <c r="O400" s="236"/>
      <c r="P400" s="236"/>
      <c r="Q400" s="236"/>
      <c r="R400" s="236"/>
      <c r="S400" s="236"/>
      <c r="T400" s="236"/>
      <c r="U400" s="236"/>
      <c r="V400" s="236"/>
      <c r="W400" s="237"/>
      <c r="X400" s="237"/>
      <c r="Y400" s="237"/>
      <c r="Z400" s="237"/>
      <c r="AA400" s="237"/>
      <c r="AB400" s="237"/>
      <c r="AC400" s="237"/>
      <c r="AD400" s="237"/>
      <c r="AE400" s="237"/>
      <c r="AF400" s="237"/>
      <c r="AG400" s="237"/>
      <c r="AH400" s="237"/>
      <c r="AI400" s="98"/>
      <c r="AJ400" s="98"/>
      <c r="AK400" s="98"/>
      <c r="AL400" s="98"/>
      <c r="AM400" s="98"/>
      <c r="AN400" s="98"/>
      <c r="AO400" s="98"/>
    </row>
    <row r="401" ht="14.25" customHeight="1">
      <c r="A401" s="98"/>
      <c r="B401" s="98"/>
      <c r="C401" s="98"/>
      <c r="D401" s="98"/>
      <c r="E401" s="98"/>
      <c r="F401" s="235"/>
      <c r="G401" s="235"/>
      <c r="H401" s="236"/>
      <c r="I401" s="236"/>
      <c r="J401" s="236"/>
      <c r="K401" s="236"/>
      <c r="L401" s="236"/>
      <c r="M401" s="236"/>
      <c r="N401" s="236"/>
      <c r="O401" s="236"/>
      <c r="P401" s="236"/>
      <c r="Q401" s="236"/>
      <c r="R401" s="236"/>
      <c r="S401" s="236"/>
      <c r="T401" s="236"/>
      <c r="U401" s="236"/>
      <c r="V401" s="236"/>
      <c r="W401" s="237"/>
      <c r="X401" s="237"/>
      <c r="Y401" s="237"/>
      <c r="Z401" s="237"/>
      <c r="AA401" s="237"/>
      <c r="AB401" s="237"/>
      <c r="AC401" s="237"/>
      <c r="AD401" s="237"/>
      <c r="AE401" s="237"/>
      <c r="AF401" s="237"/>
      <c r="AG401" s="237"/>
      <c r="AH401" s="237"/>
      <c r="AI401" s="98"/>
      <c r="AJ401" s="98"/>
      <c r="AK401" s="98"/>
      <c r="AL401" s="98"/>
      <c r="AM401" s="98"/>
      <c r="AN401" s="98"/>
      <c r="AO401" s="98"/>
    </row>
    <row r="402" ht="14.25" customHeight="1">
      <c r="A402" s="98"/>
      <c r="B402" s="98"/>
      <c r="C402" s="98"/>
      <c r="D402" s="98"/>
      <c r="E402" s="98"/>
      <c r="F402" s="235"/>
      <c r="G402" s="235"/>
      <c r="H402" s="236"/>
      <c r="I402" s="236"/>
      <c r="J402" s="236"/>
      <c r="K402" s="236"/>
      <c r="L402" s="236"/>
      <c r="M402" s="236"/>
      <c r="N402" s="236"/>
      <c r="O402" s="236"/>
      <c r="P402" s="236"/>
      <c r="Q402" s="236"/>
      <c r="R402" s="236"/>
      <c r="S402" s="236"/>
      <c r="T402" s="236"/>
      <c r="U402" s="236"/>
      <c r="V402" s="236"/>
      <c r="W402" s="237"/>
      <c r="X402" s="237"/>
      <c r="Y402" s="237"/>
      <c r="Z402" s="237"/>
      <c r="AA402" s="237"/>
      <c r="AB402" s="237"/>
      <c r="AC402" s="237"/>
      <c r="AD402" s="237"/>
      <c r="AE402" s="237"/>
      <c r="AF402" s="237"/>
      <c r="AG402" s="237"/>
      <c r="AH402" s="237"/>
      <c r="AI402" s="98"/>
      <c r="AJ402" s="98"/>
      <c r="AK402" s="98"/>
      <c r="AL402" s="98"/>
      <c r="AM402" s="98"/>
      <c r="AN402" s="98"/>
      <c r="AO402" s="98"/>
    </row>
    <row r="403" ht="14.25" customHeight="1">
      <c r="A403" s="98"/>
      <c r="B403" s="98"/>
      <c r="C403" s="98"/>
      <c r="D403" s="98"/>
      <c r="E403" s="98"/>
      <c r="F403" s="235"/>
      <c r="G403" s="235"/>
      <c r="H403" s="236"/>
      <c r="I403" s="236"/>
      <c r="J403" s="236"/>
      <c r="K403" s="236"/>
      <c r="L403" s="236"/>
      <c r="M403" s="236"/>
      <c r="N403" s="236"/>
      <c r="O403" s="236"/>
      <c r="P403" s="236"/>
      <c r="Q403" s="236"/>
      <c r="R403" s="236"/>
      <c r="S403" s="236"/>
      <c r="T403" s="236"/>
      <c r="U403" s="236"/>
      <c r="V403" s="236"/>
      <c r="W403" s="237"/>
      <c r="X403" s="237"/>
      <c r="Y403" s="237"/>
      <c r="Z403" s="237"/>
      <c r="AA403" s="237"/>
      <c r="AB403" s="237"/>
      <c r="AC403" s="237"/>
      <c r="AD403" s="237"/>
      <c r="AE403" s="237"/>
      <c r="AF403" s="237"/>
      <c r="AG403" s="237"/>
      <c r="AH403" s="237"/>
      <c r="AI403" s="98"/>
      <c r="AJ403" s="98"/>
      <c r="AK403" s="98"/>
      <c r="AL403" s="98"/>
      <c r="AM403" s="98"/>
      <c r="AN403" s="98"/>
      <c r="AO403" s="98"/>
    </row>
    <row r="404" ht="14.25" customHeight="1">
      <c r="A404" s="98"/>
      <c r="B404" s="98"/>
      <c r="C404" s="98"/>
      <c r="D404" s="98"/>
      <c r="E404" s="98"/>
      <c r="F404" s="235"/>
      <c r="G404" s="235"/>
      <c r="H404" s="236"/>
      <c r="I404" s="236"/>
      <c r="J404" s="236"/>
      <c r="K404" s="236"/>
      <c r="L404" s="236"/>
      <c r="M404" s="236"/>
      <c r="N404" s="236"/>
      <c r="O404" s="236"/>
      <c r="P404" s="236"/>
      <c r="Q404" s="236"/>
      <c r="R404" s="236"/>
      <c r="S404" s="236"/>
      <c r="T404" s="236"/>
      <c r="U404" s="236"/>
      <c r="V404" s="236"/>
      <c r="W404" s="237"/>
      <c r="X404" s="237"/>
      <c r="Y404" s="237"/>
      <c r="Z404" s="237"/>
      <c r="AA404" s="237"/>
      <c r="AB404" s="237"/>
      <c r="AC404" s="237"/>
      <c r="AD404" s="237"/>
      <c r="AE404" s="237"/>
      <c r="AF404" s="237"/>
      <c r="AG404" s="237"/>
      <c r="AH404" s="237"/>
      <c r="AI404" s="98"/>
      <c r="AJ404" s="98"/>
      <c r="AK404" s="98"/>
      <c r="AL404" s="98"/>
      <c r="AM404" s="98"/>
      <c r="AN404" s="98"/>
      <c r="AO404" s="98"/>
    </row>
    <row r="405" ht="14.25" customHeight="1">
      <c r="A405" s="98"/>
      <c r="B405" s="98"/>
      <c r="C405" s="98"/>
      <c r="D405" s="98"/>
      <c r="E405" s="98"/>
      <c r="F405" s="235"/>
      <c r="G405" s="235"/>
      <c r="H405" s="236"/>
      <c r="I405" s="236"/>
      <c r="J405" s="236"/>
      <c r="K405" s="236"/>
      <c r="L405" s="236"/>
      <c r="M405" s="236"/>
      <c r="N405" s="236"/>
      <c r="O405" s="236"/>
      <c r="P405" s="236"/>
      <c r="Q405" s="236"/>
      <c r="R405" s="236"/>
      <c r="S405" s="236"/>
      <c r="T405" s="236"/>
      <c r="U405" s="236"/>
      <c r="V405" s="236"/>
      <c r="W405" s="237"/>
      <c r="X405" s="237"/>
      <c r="Y405" s="237"/>
      <c r="Z405" s="237"/>
      <c r="AA405" s="237"/>
      <c r="AB405" s="237"/>
      <c r="AC405" s="237"/>
      <c r="AD405" s="237"/>
      <c r="AE405" s="237"/>
      <c r="AF405" s="237"/>
      <c r="AG405" s="237"/>
      <c r="AH405" s="237"/>
      <c r="AI405" s="98"/>
      <c r="AJ405" s="98"/>
      <c r="AK405" s="98"/>
      <c r="AL405" s="98"/>
      <c r="AM405" s="98"/>
      <c r="AN405" s="98"/>
      <c r="AO405" s="98"/>
    </row>
    <row r="406" ht="14.25" customHeight="1">
      <c r="A406" s="98"/>
      <c r="B406" s="98"/>
      <c r="C406" s="98"/>
      <c r="D406" s="98"/>
      <c r="E406" s="98"/>
      <c r="F406" s="235"/>
      <c r="G406" s="235"/>
      <c r="H406" s="236"/>
      <c r="I406" s="236"/>
      <c r="J406" s="236"/>
      <c r="K406" s="236"/>
      <c r="L406" s="236"/>
      <c r="M406" s="236"/>
      <c r="N406" s="236"/>
      <c r="O406" s="236"/>
      <c r="P406" s="236"/>
      <c r="Q406" s="236"/>
      <c r="R406" s="236"/>
      <c r="S406" s="236"/>
      <c r="T406" s="236"/>
      <c r="U406" s="236"/>
      <c r="V406" s="236"/>
      <c r="W406" s="237"/>
      <c r="X406" s="237"/>
      <c r="Y406" s="237"/>
      <c r="Z406" s="237"/>
      <c r="AA406" s="237"/>
      <c r="AB406" s="237"/>
      <c r="AC406" s="237"/>
      <c r="AD406" s="237"/>
      <c r="AE406" s="237"/>
      <c r="AF406" s="237"/>
      <c r="AG406" s="237"/>
      <c r="AH406" s="237"/>
      <c r="AI406" s="98"/>
      <c r="AJ406" s="98"/>
      <c r="AK406" s="98"/>
      <c r="AL406" s="98"/>
      <c r="AM406" s="98"/>
      <c r="AN406" s="98"/>
      <c r="AO406" s="98"/>
    </row>
    <row r="407" ht="14.25" customHeight="1">
      <c r="A407" s="98"/>
      <c r="B407" s="98"/>
      <c r="C407" s="98"/>
      <c r="D407" s="98"/>
      <c r="E407" s="98"/>
      <c r="F407" s="235"/>
      <c r="G407" s="235"/>
      <c r="H407" s="236"/>
      <c r="I407" s="236"/>
      <c r="J407" s="236"/>
      <c r="K407" s="236"/>
      <c r="L407" s="236"/>
      <c r="M407" s="236"/>
      <c r="N407" s="236"/>
      <c r="O407" s="236"/>
      <c r="P407" s="236"/>
      <c r="Q407" s="236"/>
      <c r="R407" s="236"/>
      <c r="S407" s="236"/>
      <c r="T407" s="236"/>
      <c r="U407" s="236"/>
      <c r="V407" s="236"/>
      <c r="W407" s="237"/>
      <c r="X407" s="237"/>
      <c r="Y407" s="237"/>
      <c r="Z407" s="237"/>
      <c r="AA407" s="237"/>
      <c r="AB407" s="237"/>
      <c r="AC407" s="237"/>
      <c r="AD407" s="237"/>
      <c r="AE407" s="237"/>
      <c r="AF407" s="237"/>
      <c r="AG407" s="237"/>
      <c r="AH407" s="237"/>
      <c r="AI407" s="98"/>
      <c r="AJ407" s="98"/>
      <c r="AK407" s="98"/>
      <c r="AL407" s="98"/>
      <c r="AM407" s="98"/>
      <c r="AN407" s="98"/>
      <c r="AO407" s="98"/>
    </row>
    <row r="408" ht="14.25" customHeight="1">
      <c r="A408" s="98"/>
      <c r="B408" s="98"/>
      <c r="C408" s="98"/>
      <c r="D408" s="98"/>
      <c r="E408" s="98"/>
      <c r="F408" s="235"/>
      <c r="G408" s="235"/>
      <c r="H408" s="236"/>
      <c r="I408" s="236"/>
      <c r="J408" s="236"/>
      <c r="K408" s="236"/>
      <c r="L408" s="236"/>
      <c r="M408" s="236"/>
      <c r="N408" s="236"/>
      <c r="O408" s="236"/>
      <c r="P408" s="236"/>
      <c r="Q408" s="236"/>
      <c r="R408" s="236"/>
      <c r="S408" s="236"/>
      <c r="T408" s="236"/>
      <c r="U408" s="236"/>
      <c r="V408" s="236"/>
      <c r="W408" s="237"/>
      <c r="X408" s="237"/>
      <c r="Y408" s="237"/>
      <c r="Z408" s="237"/>
      <c r="AA408" s="237"/>
      <c r="AB408" s="237"/>
      <c r="AC408" s="237"/>
      <c r="AD408" s="237"/>
      <c r="AE408" s="237"/>
      <c r="AF408" s="237"/>
      <c r="AG408" s="237"/>
      <c r="AH408" s="237"/>
      <c r="AI408" s="98"/>
      <c r="AJ408" s="98"/>
      <c r="AK408" s="98"/>
      <c r="AL408" s="98"/>
      <c r="AM408" s="98"/>
      <c r="AN408" s="98"/>
      <c r="AO408" s="98"/>
    </row>
    <row r="409" ht="14.25" customHeight="1">
      <c r="A409" s="98"/>
      <c r="B409" s="98"/>
      <c r="C409" s="98"/>
      <c r="D409" s="98"/>
      <c r="E409" s="98"/>
      <c r="F409" s="235"/>
      <c r="G409" s="235"/>
      <c r="H409" s="236"/>
      <c r="I409" s="236"/>
      <c r="J409" s="236"/>
      <c r="K409" s="236"/>
      <c r="L409" s="236"/>
      <c r="M409" s="236"/>
      <c r="N409" s="236"/>
      <c r="O409" s="236"/>
      <c r="P409" s="236"/>
      <c r="Q409" s="236"/>
      <c r="R409" s="236"/>
      <c r="S409" s="236"/>
      <c r="T409" s="236"/>
      <c r="U409" s="236"/>
      <c r="V409" s="236"/>
      <c r="W409" s="237"/>
      <c r="X409" s="237"/>
      <c r="Y409" s="237"/>
      <c r="Z409" s="237"/>
      <c r="AA409" s="237"/>
      <c r="AB409" s="237"/>
      <c r="AC409" s="237"/>
      <c r="AD409" s="237"/>
      <c r="AE409" s="237"/>
      <c r="AF409" s="237"/>
      <c r="AG409" s="237"/>
      <c r="AH409" s="237"/>
      <c r="AI409" s="98"/>
      <c r="AJ409" s="98"/>
      <c r="AK409" s="98"/>
      <c r="AL409" s="98"/>
      <c r="AM409" s="98"/>
      <c r="AN409" s="98"/>
      <c r="AO409" s="98"/>
    </row>
    <row r="410" ht="14.25" customHeight="1">
      <c r="A410" s="98"/>
      <c r="B410" s="98"/>
      <c r="C410" s="98"/>
      <c r="D410" s="98"/>
      <c r="E410" s="98"/>
      <c r="F410" s="235"/>
      <c r="G410" s="235"/>
      <c r="H410" s="236"/>
      <c r="I410" s="236"/>
      <c r="J410" s="236"/>
      <c r="K410" s="236"/>
      <c r="L410" s="236"/>
      <c r="M410" s="236"/>
      <c r="N410" s="236"/>
      <c r="O410" s="236"/>
      <c r="P410" s="236"/>
      <c r="Q410" s="236"/>
      <c r="R410" s="236"/>
      <c r="S410" s="236"/>
      <c r="T410" s="236"/>
      <c r="U410" s="236"/>
      <c r="V410" s="236"/>
      <c r="W410" s="237"/>
      <c r="X410" s="237"/>
      <c r="Y410" s="237"/>
      <c r="Z410" s="237"/>
      <c r="AA410" s="237"/>
      <c r="AB410" s="237"/>
      <c r="AC410" s="237"/>
      <c r="AD410" s="237"/>
      <c r="AE410" s="237"/>
      <c r="AF410" s="237"/>
      <c r="AG410" s="237"/>
      <c r="AH410" s="237"/>
      <c r="AI410" s="98"/>
      <c r="AJ410" s="98"/>
      <c r="AK410" s="98"/>
      <c r="AL410" s="98"/>
      <c r="AM410" s="98"/>
      <c r="AN410" s="98"/>
      <c r="AO410" s="98"/>
    </row>
    <row r="411" ht="14.25" customHeight="1">
      <c r="A411" s="98"/>
      <c r="B411" s="98"/>
      <c r="C411" s="98"/>
      <c r="D411" s="98"/>
      <c r="E411" s="98"/>
      <c r="F411" s="235"/>
      <c r="G411" s="235"/>
      <c r="H411" s="236"/>
      <c r="I411" s="236"/>
      <c r="J411" s="236"/>
      <c r="K411" s="236"/>
      <c r="L411" s="236"/>
      <c r="M411" s="236"/>
      <c r="N411" s="236"/>
      <c r="O411" s="236"/>
      <c r="P411" s="236"/>
      <c r="Q411" s="236"/>
      <c r="R411" s="236"/>
      <c r="S411" s="236"/>
      <c r="T411" s="236"/>
      <c r="U411" s="236"/>
      <c r="V411" s="236"/>
      <c r="W411" s="237"/>
      <c r="X411" s="237"/>
      <c r="Y411" s="237"/>
      <c r="Z411" s="237"/>
      <c r="AA411" s="237"/>
      <c r="AB411" s="237"/>
      <c r="AC411" s="237"/>
      <c r="AD411" s="237"/>
      <c r="AE411" s="237"/>
      <c r="AF411" s="237"/>
      <c r="AG411" s="237"/>
      <c r="AH411" s="237"/>
      <c r="AI411" s="98"/>
      <c r="AJ411" s="98"/>
      <c r="AK411" s="98"/>
      <c r="AL411" s="98"/>
      <c r="AM411" s="98"/>
      <c r="AN411" s="98"/>
      <c r="AO411" s="98"/>
    </row>
    <row r="412" ht="14.25" customHeight="1">
      <c r="A412" s="98"/>
      <c r="B412" s="98"/>
      <c r="C412" s="98"/>
      <c r="D412" s="98"/>
      <c r="E412" s="98"/>
      <c r="F412" s="235"/>
      <c r="G412" s="235"/>
      <c r="H412" s="236"/>
      <c r="I412" s="236"/>
      <c r="J412" s="236"/>
      <c r="K412" s="236"/>
      <c r="L412" s="236"/>
      <c r="M412" s="236"/>
      <c r="N412" s="236"/>
      <c r="O412" s="236"/>
      <c r="P412" s="236"/>
      <c r="Q412" s="236"/>
      <c r="R412" s="236"/>
      <c r="S412" s="236"/>
      <c r="T412" s="236"/>
      <c r="U412" s="236"/>
      <c r="V412" s="236"/>
      <c r="W412" s="237"/>
      <c r="X412" s="237"/>
      <c r="Y412" s="237"/>
      <c r="Z412" s="237"/>
      <c r="AA412" s="237"/>
      <c r="AB412" s="237"/>
      <c r="AC412" s="237"/>
      <c r="AD412" s="237"/>
      <c r="AE412" s="237"/>
      <c r="AF412" s="237"/>
      <c r="AG412" s="237"/>
      <c r="AH412" s="237"/>
      <c r="AI412" s="98"/>
      <c r="AJ412" s="98"/>
      <c r="AK412" s="98"/>
      <c r="AL412" s="98"/>
      <c r="AM412" s="98"/>
      <c r="AN412" s="98"/>
      <c r="AO412" s="98"/>
    </row>
    <row r="413" ht="14.25" customHeight="1">
      <c r="A413" s="98"/>
      <c r="B413" s="98"/>
      <c r="C413" s="98"/>
      <c r="D413" s="98"/>
      <c r="E413" s="98"/>
      <c r="F413" s="235"/>
      <c r="G413" s="235"/>
      <c r="H413" s="236"/>
      <c r="I413" s="236"/>
      <c r="J413" s="236"/>
      <c r="K413" s="236"/>
      <c r="L413" s="236"/>
      <c r="M413" s="236"/>
      <c r="N413" s="236"/>
      <c r="O413" s="236"/>
      <c r="P413" s="236"/>
      <c r="Q413" s="236"/>
      <c r="R413" s="236"/>
      <c r="S413" s="236"/>
      <c r="T413" s="236"/>
      <c r="U413" s="236"/>
      <c r="V413" s="236"/>
      <c r="W413" s="237"/>
      <c r="X413" s="237"/>
      <c r="Y413" s="237"/>
      <c r="Z413" s="237"/>
      <c r="AA413" s="237"/>
      <c r="AB413" s="237"/>
      <c r="AC413" s="237"/>
      <c r="AD413" s="237"/>
      <c r="AE413" s="237"/>
      <c r="AF413" s="237"/>
      <c r="AG413" s="237"/>
      <c r="AH413" s="237"/>
      <c r="AI413" s="98"/>
      <c r="AJ413" s="98"/>
      <c r="AK413" s="98"/>
      <c r="AL413" s="98"/>
      <c r="AM413" s="98"/>
      <c r="AN413" s="98"/>
      <c r="AO413" s="98"/>
    </row>
    <row r="414" ht="14.25" customHeight="1">
      <c r="A414" s="98"/>
      <c r="B414" s="98"/>
      <c r="C414" s="98"/>
      <c r="D414" s="98"/>
      <c r="E414" s="98"/>
      <c r="F414" s="235"/>
      <c r="G414" s="235"/>
      <c r="H414" s="236"/>
      <c r="I414" s="236"/>
      <c r="J414" s="236"/>
      <c r="K414" s="236"/>
      <c r="L414" s="236"/>
      <c r="M414" s="236"/>
      <c r="N414" s="236"/>
      <c r="O414" s="236"/>
      <c r="P414" s="236"/>
      <c r="Q414" s="236"/>
      <c r="R414" s="236"/>
      <c r="S414" s="236"/>
      <c r="T414" s="236"/>
      <c r="U414" s="236"/>
      <c r="V414" s="236"/>
      <c r="W414" s="237"/>
      <c r="X414" s="237"/>
      <c r="Y414" s="237"/>
      <c r="Z414" s="237"/>
      <c r="AA414" s="237"/>
      <c r="AB414" s="237"/>
      <c r="AC414" s="237"/>
      <c r="AD414" s="237"/>
      <c r="AE414" s="237"/>
      <c r="AF414" s="237"/>
      <c r="AG414" s="237"/>
      <c r="AH414" s="237"/>
      <c r="AI414" s="98"/>
      <c r="AJ414" s="98"/>
      <c r="AK414" s="98"/>
      <c r="AL414" s="98"/>
      <c r="AM414" s="98"/>
      <c r="AN414" s="98"/>
      <c r="AO414" s="98"/>
    </row>
    <row r="415" ht="14.25" customHeight="1">
      <c r="A415" s="98"/>
      <c r="B415" s="98"/>
      <c r="C415" s="98"/>
      <c r="D415" s="98"/>
      <c r="E415" s="98"/>
      <c r="F415" s="235"/>
      <c r="G415" s="235"/>
      <c r="H415" s="236"/>
      <c r="I415" s="236"/>
      <c r="J415" s="236"/>
      <c r="K415" s="236"/>
      <c r="L415" s="236"/>
      <c r="M415" s="236"/>
      <c r="N415" s="236"/>
      <c r="O415" s="236"/>
      <c r="P415" s="236"/>
      <c r="Q415" s="236"/>
      <c r="R415" s="236"/>
      <c r="S415" s="236"/>
      <c r="T415" s="236"/>
      <c r="U415" s="236"/>
      <c r="V415" s="236"/>
      <c r="W415" s="237"/>
      <c r="X415" s="237"/>
      <c r="Y415" s="237"/>
      <c r="Z415" s="237"/>
      <c r="AA415" s="237"/>
      <c r="AB415" s="237"/>
      <c r="AC415" s="237"/>
      <c r="AD415" s="237"/>
      <c r="AE415" s="237"/>
      <c r="AF415" s="237"/>
      <c r="AG415" s="237"/>
      <c r="AH415" s="237"/>
      <c r="AI415" s="98"/>
      <c r="AJ415" s="98"/>
      <c r="AK415" s="98"/>
      <c r="AL415" s="98"/>
      <c r="AM415" s="98"/>
      <c r="AN415" s="98"/>
      <c r="AO415" s="98"/>
    </row>
    <row r="416" ht="14.25" customHeight="1">
      <c r="A416" s="98"/>
      <c r="B416" s="98"/>
      <c r="C416" s="98"/>
      <c r="D416" s="98"/>
      <c r="E416" s="98"/>
      <c r="F416" s="235"/>
      <c r="G416" s="235"/>
      <c r="H416" s="236"/>
      <c r="I416" s="236"/>
      <c r="J416" s="236"/>
      <c r="K416" s="236"/>
      <c r="L416" s="236"/>
      <c r="M416" s="236"/>
      <c r="N416" s="236"/>
      <c r="O416" s="236"/>
      <c r="P416" s="236"/>
      <c r="Q416" s="236"/>
      <c r="R416" s="236"/>
      <c r="S416" s="236"/>
      <c r="T416" s="236"/>
      <c r="U416" s="236"/>
      <c r="V416" s="236"/>
      <c r="W416" s="237"/>
      <c r="X416" s="237"/>
      <c r="Y416" s="237"/>
      <c r="Z416" s="237"/>
      <c r="AA416" s="237"/>
      <c r="AB416" s="237"/>
      <c r="AC416" s="237"/>
      <c r="AD416" s="237"/>
      <c r="AE416" s="237"/>
      <c r="AF416" s="237"/>
      <c r="AG416" s="237"/>
      <c r="AH416" s="237"/>
      <c r="AI416" s="98"/>
      <c r="AJ416" s="98"/>
      <c r="AK416" s="98"/>
      <c r="AL416" s="98"/>
      <c r="AM416" s="98"/>
      <c r="AN416" s="98"/>
      <c r="AO416" s="98"/>
    </row>
    <row r="417" ht="14.25" customHeight="1">
      <c r="A417" s="98"/>
      <c r="B417" s="98"/>
      <c r="C417" s="98"/>
      <c r="D417" s="98"/>
      <c r="E417" s="98"/>
      <c r="F417" s="235"/>
      <c r="G417" s="235"/>
      <c r="H417" s="236"/>
      <c r="I417" s="236"/>
      <c r="J417" s="236"/>
      <c r="K417" s="236"/>
      <c r="L417" s="236"/>
      <c r="M417" s="236"/>
      <c r="N417" s="236"/>
      <c r="O417" s="236"/>
      <c r="P417" s="236"/>
      <c r="Q417" s="236"/>
      <c r="R417" s="236"/>
      <c r="S417" s="236"/>
      <c r="T417" s="236"/>
      <c r="U417" s="236"/>
      <c r="V417" s="236"/>
      <c r="W417" s="237"/>
      <c r="X417" s="237"/>
      <c r="Y417" s="237"/>
      <c r="Z417" s="237"/>
      <c r="AA417" s="237"/>
      <c r="AB417" s="237"/>
      <c r="AC417" s="237"/>
      <c r="AD417" s="237"/>
      <c r="AE417" s="237"/>
      <c r="AF417" s="237"/>
      <c r="AG417" s="237"/>
      <c r="AH417" s="237"/>
      <c r="AI417" s="98"/>
      <c r="AJ417" s="98"/>
      <c r="AK417" s="98"/>
      <c r="AL417" s="98"/>
      <c r="AM417" s="98"/>
      <c r="AN417" s="98"/>
      <c r="AO417" s="98"/>
    </row>
    <row r="418" ht="14.25" customHeight="1">
      <c r="A418" s="98"/>
      <c r="B418" s="98"/>
      <c r="C418" s="98"/>
      <c r="D418" s="98"/>
      <c r="E418" s="98"/>
      <c r="F418" s="235"/>
      <c r="G418" s="235"/>
      <c r="H418" s="236"/>
      <c r="I418" s="236"/>
      <c r="J418" s="236"/>
      <c r="K418" s="236"/>
      <c r="L418" s="236"/>
      <c r="M418" s="236"/>
      <c r="N418" s="236"/>
      <c r="O418" s="236"/>
      <c r="P418" s="236"/>
      <c r="Q418" s="236"/>
      <c r="R418" s="236"/>
      <c r="S418" s="236"/>
      <c r="T418" s="236"/>
      <c r="U418" s="236"/>
      <c r="V418" s="236"/>
      <c r="W418" s="237"/>
      <c r="X418" s="237"/>
      <c r="Y418" s="237"/>
      <c r="Z418" s="237"/>
      <c r="AA418" s="237"/>
      <c r="AB418" s="237"/>
      <c r="AC418" s="237"/>
      <c r="AD418" s="237"/>
      <c r="AE418" s="237"/>
      <c r="AF418" s="237"/>
      <c r="AG418" s="237"/>
      <c r="AH418" s="237"/>
      <c r="AI418" s="98"/>
      <c r="AJ418" s="98"/>
      <c r="AK418" s="98"/>
      <c r="AL418" s="98"/>
      <c r="AM418" s="98"/>
      <c r="AN418" s="98"/>
      <c r="AO418" s="98"/>
    </row>
    <row r="419" ht="14.25" customHeight="1">
      <c r="A419" s="98"/>
      <c r="B419" s="98"/>
      <c r="C419" s="98"/>
      <c r="D419" s="98"/>
      <c r="E419" s="98"/>
      <c r="F419" s="235"/>
      <c r="G419" s="235"/>
      <c r="H419" s="236"/>
      <c r="I419" s="236"/>
      <c r="J419" s="236"/>
      <c r="K419" s="236"/>
      <c r="L419" s="236"/>
      <c r="M419" s="236"/>
      <c r="N419" s="236"/>
      <c r="O419" s="236"/>
      <c r="P419" s="236"/>
      <c r="Q419" s="236"/>
      <c r="R419" s="236"/>
      <c r="S419" s="236"/>
      <c r="T419" s="236"/>
      <c r="U419" s="236"/>
      <c r="V419" s="236"/>
      <c r="W419" s="237"/>
      <c r="X419" s="237"/>
      <c r="Y419" s="237"/>
      <c r="Z419" s="237"/>
      <c r="AA419" s="237"/>
      <c r="AB419" s="237"/>
      <c r="AC419" s="237"/>
      <c r="AD419" s="237"/>
      <c r="AE419" s="237"/>
      <c r="AF419" s="237"/>
      <c r="AG419" s="237"/>
      <c r="AH419" s="237"/>
      <c r="AI419" s="98"/>
      <c r="AJ419" s="98"/>
      <c r="AK419" s="98"/>
      <c r="AL419" s="98"/>
      <c r="AM419" s="98"/>
      <c r="AN419" s="98"/>
      <c r="AO419" s="98"/>
    </row>
    <row r="420" ht="14.25" customHeight="1">
      <c r="A420" s="98"/>
      <c r="B420" s="98"/>
      <c r="C420" s="98"/>
      <c r="D420" s="98"/>
      <c r="E420" s="98"/>
      <c r="F420" s="235"/>
      <c r="G420" s="235"/>
      <c r="H420" s="236"/>
      <c r="I420" s="236"/>
      <c r="J420" s="236"/>
      <c r="K420" s="236"/>
      <c r="L420" s="236"/>
      <c r="M420" s="236"/>
      <c r="N420" s="236"/>
      <c r="O420" s="236"/>
      <c r="P420" s="236"/>
      <c r="Q420" s="236"/>
      <c r="R420" s="236"/>
      <c r="S420" s="236"/>
      <c r="T420" s="236"/>
      <c r="U420" s="236"/>
      <c r="V420" s="236"/>
      <c r="W420" s="237"/>
      <c r="X420" s="237"/>
      <c r="Y420" s="237"/>
      <c r="Z420" s="237"/>
      <c r="AA420" s="237"/>
      <c r="AB420" s="237"/>
      <c r="AC420" s="237"/>
      <c r="AD420" s="237"/>
      <c r="AE420" s="237"/>
      <c r="AF420" s="237"/>
      <c r="AG420" s="237"/>
      <c r="AH420" s="237"/>
      <c r="AI420" s="98"/>
      <c r="AJ420" s="98"/>
      <c r="AK420" s="98"/>
      <c r="AL420" s="98"/>
      <c r="AM420" s="98"/>
      <c r="AN420" s="98"/>
      <c r="AO420" s="98"/>
    </row>
    <row r="421" ht="14.25" customHeight="1">
      <c r="A421" s="98"/>
      <c r="B421" s="98"/>
      <c r="C421" s="98"/>
      <c r="D421" s="98"/>
      <c r="E421" s="98"/>
      <c r="F421" s="235"/>
      <c r="G421" s="235"/>
      <c r="H421" s="236"/>
      <c r="I421" s="236"/>
      <c r="J421" s="236"/>
      <c r="K421" s="236"/>
      <c r="L421" s="236"/>
      <c r="M421" s="236"/>
      <c r="N421" s="236"/>
      <c r="O421" s="236"/>
      <c r="P421" s="236"/>
      <c r="Q421" s="236"/>
      <c r="R421" s="236"/>
      <c r="S421" s="236"/>
      <c r="T421" s="236"/>
      <c r="U421" s="236"/>
      <c r="V421" s="236"/>
      <c r="W421" s="237"/>
      <c r="X421" s="237"/>
      <c r="Y421" s="237"/>
      <c r="Z421" s="237"/>
      <c r="AA421" s="237"/>
      <c r="AB421" s="237"/>
      <c r="AC421" s="237"/>
      <c r="AD421" s="237"/>
      <c r="AE421" s="237"/>
      <c r="AF421" s="237"/>
      <c r="AG421" s="237"/>
      <c r="AH421" s="237"/>
      <c r="AI421" s="98"/>
      <c r="AJ421" s="98"/>
      <c r="AK421" s="98"/>
      <c r="AL421" s="98"/>
      <c r="AM421" s="98"/>
      <c r="AN421" s="98"/>
      <c r="AO421" s="98"/>
    </row>
    <row r="422" ht="14.25" customHeight="1">
      <c r="A422" s="98"/>
      <c r="B422" s="98"/>
      <c r="C422" s="98"/>
      <c r="D422" s="98"/>
      <c r="E422" s="98"/>
      <c r="F422" s="235"/>
      <c r="G422" s="235"/>
      <c r="H422" s="236"/>
      <c r="I422" s="236"/>
      <c r="J422" s="236"/>
      <c r="K422" s="236"/>
      <c r="L422" s="236"/>
      <c r="M422" s="236"/>
      <c r="N422" s="236"/>
      <c r="O422" s="236"/>
      <c r="P422" s="236"/>
      <c r="Q422" s="236"/>
      <c r="R422" s="236"/>
      <c r="S422" s="236"/>
      <c r="T422" s="236"/>
      <c r="U422" s="236"/>
      <c r="V422" s="236"/>
      <c r="W422" s="237"/>
      <c r="X422" s="237"/>
      <c r="Y422" s="237"/>
      <c r="Z422" s="237"/>
      <c r="AA422" s="237"/>
      <c r="AB422" s="237"/>
      <c r="AC422" s="237"/>
      <c r="AD422" s="237"/>
      <c r="AE422" s="237"/>
      <c r="AF422" s="237"/>
      <c r="AG422" s="237"/>
      <c r="AH422" s="237"/>
      <c r="AI422" s="98"/>
      <c r="AJ422" s="98"/>
      <c r="AK422" s="98"/>
      <c r="AL422" s="98"/>
      <c r="AM422" s="98"/>
      <c r="AN422" s="98"/>
      <c r="AO422" s="98"/>
    </row>
    <row r="423" ht="14.25" customHeight="1">
      <c r="A423" s="98"/>
      <c r="B423" s="98"/>
      <c r="C423" s="98"/>
      <c r="D423" s="98"/>
      <c r="E423" s="98"/>
      <c r="F423" s="235"/>
      <c r="G423" s="235"/>
      <c r="H423" s="236"/>
      <c r="I423" s="236"/>
      <c r="J423" s="236"/>
      <c r="K423" s="236"/>
      <c r="L423" s="236"/>
      <c r="M423" s="236"/>
      <c r="N423" s="236"/>
      <c r="O423" s="236"/>
      <c r="P423" s="236"/>
      <c r="Q423" s="236"/>
      <c r="R423" s="236"/>
      <c r="S423" s="236"/>
      <c r="T423" s="236"/>
      <c r="U423" s="236"/>
      <c r="V423" s="236"/>
      <c r="W423" s="237"/>
      <c r="X423" s="237"/>
      <c r="Y423" s="237"/>
      <c r="Z423" s="237"/>
      <c r="AA423" s="237"/>
      <c r="AB423" s="237"/>
      <c r="AC423" s="237"/>
      <c r="AD423" s="237"/>
      <c r="AE423" s="237"/>
      <c r="AF423" s="237"/>
      <c r="AG423" s="237"/>
      <c r="AH423" s="237"/>
      <c r="AI423" s="98"/>
      <c r="AJ423" s="98"/>
      <c r="AK423" s="98"/>
      <c r="AL423" s="98"/>
      <c r="AM423" s="98"/>
      <c r="AN423" s="98"/>
      <c r="AO423" s="98"/>
    </row>
    <row r="424" ht="14.25" customHeight="1">
      <c r="A424" s="98"/>
      <c r="B424" s="98"/>
      <c r="C424" s="98"/>
      <c r="D424" s="98"/>
      <c r="E424" s="98"/>
      <c r="F424" s="235"/>
      <c r="G424" s="235"/>
      <c r="H424" s="236"/>
      <c r="I424" s="236"/>
      <c r="J424" s="236"/>
      <c r="K424" s="236"/>
      <c r="L424" s="236"/>
      <c r="M424" s="236"/>
      <c r="N424" s="236"/>
      <c r="O424" s="236"/>
      <c r="P424" s="236"/>
      <c r="Q424" s="236"/>
      <c r="R424" s="236"/>
      <c r="S424" s="236"/>
      <c r="T424" s="236"/>
      <c r="U424" s="236"/>
      <c r="V424" s="236"/>
      <c r="W424" s="237"/>
      <c r="X424" s="237"/>
      <c r="Y424" s="237"/>
      <c r="Z424" s="237"/>
      <c r="AA424" s="237"/>
      <c r="AB424" s="237"/>
      <c r="AC424" s="237"/>
      <c r="AD424" s="237"/>
      <c r="AE424" s="237"/>
      <c r="AF424" s="237"/>
      <c r="AG424" s="237"/>
      <c r="AH424" s="237"/>
      <c r="AI424" s="98"/>
      <c r="AJ424" s="98"/>
      <c r="AK424" s="98"/>
      <c r="AL424" s="98"/>
      <c r="AM424" s="98"/>
      <c r="AN424" s="98"/>
      <c r="AO424" s="98"/>
    </row>
    <row r="425" ht="14.25" customHeight="1">
      <c r="A425" s="98"/>
      <c r="B425" s="98"/>
      <c r="C425" s="98"/>
      <c r="D425" s="98"/>
      <c r="E425" s="98"/>
      <c r="F425" s="235"/>
      <c r="G425" s="235"/>
      <c r="H425" s="236"/>
      <c r="I425" s="236"/>
      <c r="J425" s="236"/>
      <c r="K425" s="236"/>
      <c r="L425" s="236"/>
      <c r="M425" s="236"/>
      <c r="N425" s="236"/>
      <c r="O425" s="236"/>
      <c r="P425" s="236"/>
      <c r="Q425" s="236"/>
      <c r="R425" s="236"/>
      <c r="S425" s="236"/>
      <c r="T425" s="236"/>
      <c r="U425" s="236"/>
      <c r="V425" s="236"/>
      <c r="W425" s="237"/>
      <c r="X425" s="237"/>
      <c r="Y425" s="237"/>
      <c r="Z425" s="237"/>
      <c r="AA425" s="237"/>
      <c r="AB425" s="237"/>
      <c r="AC425" s="237"/>
      <c r="AD425" s="237"/>
      <c r="AE425" s="237"/>
      <c r="AF425" s="237"/>
      <c r="AG425" s="237"/>
      <c r="AH425" s="237"/>
      <c r="AI425" s="98"/>
      <c r="AJ425" s="98"/>
      <c r="AK425" s="98"/>
      <c r="AL425" s="98"/>
      <c r="AM425" s="98"/>
      <c r="AN425" s="98"/>
      <c r="AO425" s="98"/>
    </row>
    <row r="426" ht="14.25" customHeight="1">
      <c r="A426" s="98"/>
      <c r="B426" s="98"/>
      <c r="C426" s="98"/>
      <c r="D426" s="98"/>
      <c r="E426" s="98"/>
      <c r="F426" s="235"/>
      <c r="G426" s="235"/>
      <c r="H426" s="236"/>
      <c r="I426" s="236"/>
      <c r="J426" s="236"/>
      <c r="K426" s="236"/>
      <c r="L426" s="236"/>
      <c r="M426" s="236"/>
      <c r="N426" s="236"/>
      <c r="O426" s="236"/>
      <c r="P426" s="236"/>
      <c r="Q426" s="236"/>
      <c r="R426" s="236"/>
      <c r="S426" s="236"/>
      <c r="T426" s="236"/>
      <c r="U426" s="236"/>
      <c r="V426" s="236"/>
      <c r="W426" s="237"/>
      <c r="X426" s="237"/>
      <c r="Y426" s="237"/>
      <c r="Z426" s="237"/>
      <c r="AA426" s="237"/>
      <c r="AB426" s="237"/>
      <c r="AC426" s="237"/>
      <c r="AD426" s="237"/>
      <c r="AE426" s="237"/>
      <c r="AF426" s="237"/>
      <c r="AG426" s="237"/>
      <c r="AH426" s="237"/>
      <c r="AI426" s="98"/>
      <c r="AJ426" s="98"/>
      <c r="AK426" s="98"/>
      <c r="AL426" s="98"/>
      <c r="AM426" s="98"/>
      <c r="AN426" s="98"/>
      <c r="AO426" s="98"/>
    </row>
    <row r="427" ht="14.25" customHeight="1">
      <c r="A427" s="98"/>
      <c r="B427" s="98"/>
      <c r="C427" s="98"/>
      <c r="D427" s="98"/>
      <c r="E427" s="98"/>
      <c r="F427" s="235"/>
      <c r="G427" s="235"/>
      <c r="H427" s="236"/>
      <c r="I427" s="236"/>
      <c r="J427" s="236"/>
      <c r="K427" s="236"/>
      <c r="L427" s="236"/>
      <c r="M427" s="236"/>
      <c r="N427" s="236"/>
      <c r="O427" s="236"/>
      <c r="P427" s="236"/>
      <c r="Q427" s="236"/>
      <c r="R427" s="236"/>
      <c r="S427" s="236"/>
      <c r="T427" s="236"/>
      <c r="U427" s="236"/>
      <c r="V427" s="236"/>
      <c r="W427" s="237"/>
      <c r="X427" s="237"/>
      <c r="Y427" s="237"/>
      <c r="Z427" s="237"/>
      <c r="AA427" s="237"/>
      <c r="AB427" s="237"/>
      <c r="AC427" s="237"/>
      <c r="AD427" s="237"/>
      <c r="AE427" s="237"/>
      <c r="AF427" s="237"/>
      <c r="AG427" s="237"/>
      <c r="AH427" s="237"/>
      <c r="AI427" s="98"/>
      <c r="AJ427" s="98"/>
      <c r="AK427" s="98"/>
      <c r="AL427" s="98"/>
      <c r="AM427" s="98"/>
      <c r="AN427" s="98"/>
      <c r="AO427" s="98"/>
    </row>
    <row r="428" ht="14.25" customHeight="1">
      <c r="A428" s="98"/>
      <c r="B428" s="98"/>
      <c r="C428" s="98"/>
      <c r="D428" s="98"/>
      <c r="E428" s="98"/>
      <c r="F428" s="235"/>
      <c r="G428" s="235"/>
      <c r="H428" s="236"/>
      <c r="I428" s="236"/>
      <c r="J428" s="236"/>
      <c r="K428" s="236"/>
      <c r="L428" s="236"/>
      <c r="M428" s="236"/>
      <c r="N428" s="236"/>
      <c r="O428" s="236"/>
      <c r="P428" s="236"/>
      <c r="Q428" s="236"/>
      <c r="R428" s="236"/>
      <c r="S428" s="236"/>
      <c r="T428" s="236"/>
      <c r="U428" s="236"/>
      <c r="V428" s="236"/>
      <c r="W428" s="237"/>
      <c r="X428" s="237"/>
      <c r="Y428" s="237"/>
      <c r="Z428" s="237"/>
      <c r="AA428" s="237"/>
      <c r="AB428" s="237"/>
      <c r="AC428" s="237"/>
      <c r="AD428" s="237"/>
      <c r="AE428" s="237"/>
      <c r="AF428" s="237"/>
      <c r="AG428" s="237"/>
      <c r="AH428" s="237"/>
      <c r="AI428" s="98"/>
      <c r="AJ428" s="98"/>
      <c r="AK428" s="98"/>
      <c r="AL428" s="98"/>
      <c r="AM428" s="98"/>
      <c r="AN428" s="98"/>
      <c r="AO428" s="98"/>
    </row>
    <row r="429" ht="14.25" customHeight="1">
      <c r="A429" s="98"/>
      <c r="B429" s="98"/>
      <c r="C429" s="98"/>
      <c r="D429" s="98"/>
      <c r="E429" s="98"/>
      <c r="F429" s="235"/>
      <c r="G429" s="235"/>
      <c r="H429" s="236"/>
      <c r="I429" s="236"/>
      <c r="J429" s="236"/>
      <c r="K429" s="236"/>
      <c r="L429" s="236"/>
      <c r="M429" s="236"/>
      <c r="N429" s="236"/>
      <c r="O429" s="236"/>
      <c r="P429" s="236"/>
      <c r="Q429" s="236"/>
      <c r="R429" s="236"/>
      <c r="S429" s="236"/>
      <c r="T429" s="236"/>
      <c r="U429" s="236"/>
      <c r="V429" s="236"/>
      <c r="W429" s="237"/>
      <c r="X429" s="237"/>
      <c r="Y429" s="237"/>
      <c r="Z429" s="237"/>
      <c r="AA429" s="237"/>
      <c r="AB429" s="237"/>
      <c r="AC429" s="237"/>
      <c r="AD429" s="237"/>
      <c r="AE429" s="237"/>
      <c r="AF429" s="237"/>
      <c r="AG429" s="237"/>
      <c r="AH429" s="237"/>
      <c r="AI429" s="98"/>
      <c r="AJ429" s="98"/>
      <c r="AK429" s="98"/>
      <c r="AL429" s="98"/>
      <c r="AM429" s="98"/>
      <c r="AN429" s="98"/>
      <c r="AO429" s="98"/>
    </row>
    <row r="430" ht="14.25" customHeight="1">
      <c r="A430" s="98"/>
      <c r="B430" s="98"/>
      <c r="C430" s="98"/>
      <c r="D430" s="98"/>
      <c r="E430" s="98"/>
      <c r="F430" s="235"/>
      <c r="G430" s="235"/>
      <c r="H430" s="236"/>
      <c r="I430" s="236"/>
      <c r="J430" s="236"/>
      <c r="K430" s="236"/>
      <c r="L430" s="236"/>
      <c r="M430" s="236"/>
      <c r="N430" s="236"/>
      <c r="O430" s="236"/>
      <c r="P430" s="236"/>
      <c r="Q430" s="236"/>
      <c r="R430" s="236"/>
      <c r="S430" s="236"/>
      <c r="T430" s="236"/>
      <c r="U430" s="236"/>
      <c r="V430" s="236"/>
      <c r="W430" s="237"/>
      <c r="X430" s="237"/>
      <c r="Y430" s="237"/>
      <c r="Z430" s="237"/>
      <c r="AA430" s="237"/>
      <c r="AB430" s="237"/>
      <c r="AC430" s="237"/>
      <c r="AD430" s="237"/>
      <c r="AE430" s="237"/>
      <c r="AF430" s="237"/>
      <c r="AG430" s="237"/>
      <c r="AH430" s="237"/>
      <c r="AI430" s="98"/>
      <c r="AJ430" s="98"/>
      <c r="AK430" s="98"/>
      <c r="AL430" s="98"/>
      <c r="AM430" s="98"/>
      <c r="AN430" s="98"/>
      <c r="AO430" s="98"/>
    </row>
    <row r="431" ht="14.25" customHeight="1">
      <c r="A431" s="98"/>
      <c r="B431" s="98"/>
      <c r="C431" s="98"/>
      <c r="D431" s="98"/>
      <c r="E431" s="98"/>
      <c r="F431" s="235"/>
      <c r="G431" s="235"/>
      <c r="H431" s="236"/>
      <c r="I431" s="236"/>
      <c r="J431" s="236"/>
      <c r="K431" s="236"/>
      <c r="L431" s="236"/>
      <c r="M431" s="236"/>
      <c r="N431" s="236"/>
      <c r="O431" s="236"/>
      <c r="P431" s="236"/>
      <c r="Q431" s="236"/>
      <c r="R431" s="236"/>
      <c r="S431" s="236"/>
      <c r="T431" s="236"/>
      <c r="U431" s="236"/>
      <c r="V431" s="236"/>
      <c r="W431" s="237"/>
      <c r="X431" s="237"/>
      <c r="Y431" s="237"/>
      <c r="Z431" s="237"/>
      <c r="AA431" s="237"/>
      <c r="AB431" s="237"/>
      <c r="AC431" s="237"/>
      <c r="AD431" s="237"/>
      <c r="AE431" s="237"/>
      <c r="AF431" s="237"/>
      <c r="AG431" s="237"/>
      <c r="AH431" s="237"/>
      <c r="AI431" s="98"/>
      <c r="AJ431" s="98"/>
      <c r="AK431" s="98"/>
      <c r="AL431" s="98"/>
      <c r="AM431" s="98"/>
      <c r="AN431" s="98"/>
      <c r="AO431" s="98"/>
    </row>
    <row r="432" ht="14.25" customHeight="1">
      <c r="A432" s="98"/>
      <c r="B432" s="98"/>
      <c r="C432" s="98"/>
      <c r="D432" s="98"/>
      <c r="E432" s="98"/>
      <c r="F432" s="235"/>
      <c r="G432" s="235"/>
      <c r="H432" s="236"/>
      <c r="I432" s="236"/>
      <c r="J432" s="236"/>
      <c r="K432" s="236"/>
      <c r="L432" s="236"/>
      <c r="M432" s="236"/>
      <c r="N432" s="236"/>
      <c r="O432" s="236"/>
      <c r="P432" s="236"/>
      <c r="Q432" s="236"/>
      <c r="R432" s="236"/>
      <c r="S432" s="236"/>
      <c r="T432" s="236"/>
      <c r="U432" s="236"/>
      <c r="V432" s="236"/>
      <c r="W432" s="237"/>
      <c r="X432" s="237"/>
      <c r="Y432" s="237"/>
      <c r="Z432" s="237"/>
      <c r="AA432" s="237"/>
      <c r="AB432" s="237"/>
      <c r="AC432" s="237"/>
      <c r="AD432" s="237"/>
      <c r="AE432" s="237"/>
      <c r="AF432" s="237"/>
      <c r="AG432" s="237"/>
      <c r="AH432" s="237"/>
      <c r="AI432" s="98"/>
      <c r="AJ432" s="98"/>
      <c r="AK432" s="98"/>
      <c r="AL432" s="98"/>
      <c r="AM432" s="98"/>
      <c r="AN432" s="98"/>
      <c r="AO432" s="98"/>
    </row>
    <row r="433" ht="14.25" customHeight="1">
      <c r="A433" s="98"/>
      <c r="B433" s="98"/>
      <c r="C433" s="98"/>
      <c r="D433" s="98"/>
      <c r="E433" s="98"/>
      <c r="F433" s="235"/>
      <c r="G433" s="235"/>
      <c r="H433" s="236"/>
      <c r="I433" s="236"/>
      <c r="J433" s="236"/>
      <c r="K433" s="236"/>
      <c r="L433" s="236"/>
      <c r="M433" s="236"/>
      <c r="N433" s="236"/>
      <c r="O433" s="236"/>
      <c r="P433" s="236"/>
      <c r="Q433" s="236"/>
      <c r="R433" s="236"/>
      <c r="S433" s="236"/>
      <c r="T433" s="236"/>
      <c r="U433" s="236"/>
      <c r="V433" s="236"/>
      <c r="W433" s="237"/>
      <c r="X433" s="237"/>
      <c r="Y433" s="237"/>
      <c r="Z433" s="237"/>
      <c r="AA433" s="237"/>
      <c r="AB433" s="237"/>
      <c r="AC433" s="237"/>
      <c r="AD433" s="237"/>
      <c r="AE433" s="237"/>
      <c r="AF433" s="237"/>
      <c r="AG433" s="237"/>
      <c r="AH433" s="237"/>
      <c r="AI433" s="98"/>
      <c r="AJ433" s="98"/>
      <c r="AK433" s="98"/>
      <c r="AL433" s="98"/>
      <c r="AM433" s="98"/>
      <c r="AN433" s="98"/>
      <c r="AO433" s="98"/>
    </row>
    <row r="434" ht="14.25" customHeight="1">
      <c r="A434" s="98"/>
      <c r="B434" s="98"/>
      <c r="C434" s="98"/>
      <c r="D434" s="98"/>
      <c r="E434" s="98"/>
      <c r="F434" s="235"/>
      <c r="G434" s="235"/>
      <c r="H434" s="236"/>
      <c r="I434" s="236"/>
      <c r="J434" s="236"/>
      <c r="K434" s="236"/>
      <c r="L434" s="236"/>
      <c r="M434" s="236"/>
      <c r="N434" s="236"/>
      <c r="O434" s="236"/>
      <c r="P434" s="236"/>
      <c r="Q434" s="236"/>
      <c r="R434" s="236"/>
      <c r="S434" s="236"/>
      <c r="T434" s="236"/>
      <c r="U434" s="236"/>
      <c r="V434" s="236"/>
      <c r="W434" s="237"/>
      <c r="X434" s="237"/>
      <c r="Y434" s="237"/>
      <c r="Z434" s="237"/>
      <c r="AA434" s="237"/>
      <c r="AB434" s="237"/>
      <c r="AC434" s="237"/>
      <c r="AD434" s="237"/>
      <c r="AE434" s="237"/>
      <c r="AF434" s="237"/>
      <c r="AG434" s="237"/>
      <c r="AH434" s="237"/>
      <c r="AI434" s="98"/>
      <c r="AJ434" s="98"/>
      <c r="AK434" s="98"/>
      <c r="AL434" s="98"/>
      <c r="AM434" s="98"/>
      <c r="AN434" s="98"/>
      <c r="AO434" s="98"/>
    </row>
    <row r="435" ht="14.25" customHeight="1">
      <c r="A435" s="98"/>
      <c r="B435" s="98"/>
      <c r="C435" s="98"/>
      <c r="D435" s="98"/>
      <c r="E435" s="98"/>
      <c r="F435" s="235"/>
      <c r="G435" s="235"/>
      <c r="H435" s="236"/>
      <c r="I435" s="236"/>
      <c r="J435" s="236"/>
      <c r="K435" s="236"/>
      <c r="L435" s="236"/>
      <c r="M435" s="236"/>
      <c r="N435" s="236"/>
      <c r="O435" s="236"/>
      <c r="P435" s="236"/>
      <c r="Q435" s="236"/>
      <c r="R435" s="236"/>
      <c r="S435" s="236"/>
      <c r="T435" s="236"/>
      <c r="U435" s="236"/>
      <c r="V435" s="236"/>
      <c r="W435" s="237"/>
      <c r="X435" s="237"/>
      <c r="Y435" s="237"/>
      <c r="Z435" s="237"/>
      <c r="AA435" s="237"/>
      <c r="AB435" s="237"/>
      <c r="AC435" s="237"/>
      <c r="AD435" s="237"/>
      <c r="AE435" s="237"/>
      <c r="AF435" s="237"/>
      <c r="AG435" s="237"/>
      <c r="AH435" s="237"/>
      <c r="AI435" s="98"/>
      <c r="AJ435" s="98"/>
      <c r="AK435" s="98"/>
      <c r="AL435" s="98"/>
      <c r="AM435" s="98"/>
      <c r="AN435" s="98"/>
      <c r="AO435" s="98"/>
    </row>
    <row r="436" ht="14.25" customHeight="1">
      <c r="A436" s="98"/>
      <c r="B436" s="98"/>
      <c r="C436" s="98"/>
      <c r="D436" s="98"/>
      <c r="E436" s="98"/>
      <c r="F436" s="235"/>
      <c r="G436" s="235"/>
      <c r="H436" s="236"/>
      <c r="I436" s="236"/>
      <c r="J436" s="236"/>
      <c r="K436" s="236"/>
      <c r="L436" s="236"/>
      <c r="M436" s="236"/>
      <c r="N436" s="236"/>
      <c r="O436" s="236"/>
      <c r="P436" s="236"/>
      <c r="Q436" s="236"/>
      <c r="R436" s="236"/>
      <c r="S436" s="236"/>
      <c r="T436" s="236"/>
      <c r="U436" s="236"/>
      <c r="V436" s="236"/>
      <c r="W436" s="237"/>
      <c r="X436" s="237"/>
      <c r="Y436" s="237"/>
      <c r="Z436" s="237"/>
      <c r="AA436" s="237"/>
      <c r="AB436" s="237"/>
      <c r="AC436" s="237"/>
      <c r="AD436" s="237"/>
      <c r="AE436" s="237"/>
      <c r="AF436" s="237"/>
      <c r="AG436" s="237"/>
      <c r="AH436" s="237"/>
      <c r="AI436" s="98"/>
      <c r="AJ436" s="98"/>
      <c r="AK436" s="98"/>
      <c r="AL436" s="98"/>
      <c r="AM436" s="98"/>
      <c r="AN436" s="98"/>
      <c r="AO436" s="98"/>
    </row>
    <row r="437" ht="14.25" customHeight="1">
      <c r="A437" s="98"/>
      <c r="B437" s="98"/>
      <c r="C437" s="98"/>
      <c r="D437" s="98"/>
      <c r="E437" s="98"/>
      <c r="F437" s="235"/>
      <c r="G437" s="235"/>
      <c r="H437" s="236"/>
      <c r="I437" s="236"/>
      <c r="J437" s="236"/>
      <c r="K437" s="236"/>
      <c r="L437" s="236"/>
      <c r="M437" s="236"/>
      <c r="N437" s="236"/>
      <c r="O437" s="236"/>
      <c r="P437" s="236"/>
      <c r="Q437" s="236"/>
      <c r="R437" s="236"/>
      <c r="S437" s="236"/>
      <c r="T437" s="236"/>
      <c r="U437" s="236"/>
      <c r="V437" s="236"/>
      <c r="W437" s="237"/>
      <c r="X437" s="237"/>
      <c r="Y437" s="237"/>
      <c r="Z437" s="237"/>
      <c r="AA437" s="237"/>
      <c r="AB437" s="237"/>
      <c r="AC437" s="237"/>
      <c r="AD437" s="237"/>
      <c r="AE437" s="237"/>
      <c r="AF437" s="237"/>
      <c r="AG437" s="237"/>
      <c r="AH437" s="237"/>
      <c r="AI437" s="98"/>
      <c r="AJ437" s="98"/>
      <c r="AK437" s="98"/>
      <c r="AL437" s="98"/>
      <c r="AM437" s="98"/>
      <c r="AN437" s="98"/>
      <c r="AO437" s="98"/>
    </row>
    <row r="438" ht="14.25" customHeight="1">
      <c r="A438" s="98"/>
      <c r="B438" s="98"/>
      <c r="C438" s="98"/>
      <c r="D438" s="98"/>
      <c r="E438" s="98"/>
      <c r="F438" s="235"/>
      <c r="G438" s="235"/>
      <c r="H438" s="236"/>
      <c r="I438" s="236"/>
      <c r="J438" s="236"/>
      <c r="K438" s="236"/>
      <c r="L438" s="236"/>
      <c r="M438" s="236"/>
      <c r="N438" s="236"/>
      <c r="O438" s="236"/>
      <c r="P438" s="236"/>
      <c r="Q438" s="236"/>
      <c r="R438" s="236"/>
      <c r="S438" s="236"/>
      <c r="T438" s="236"/>
      <c r="U438" s="236"/>
      <c r="V438" s="236"/>
      <c r="W438" s="237"/>
      <c r="X438" s="237"/>
      <c r="Y438" s="237"/>
      <c r="Z438" s="237"/>
      <c r="AA438" s="237"/>
      <c r="AB438" s="237"/>
      <c r="AC438" s="237"/>
      <c r="AD438" s="237"/>
      <c r="AE438" s="237"/>
      <c r="AF438" s="237"/>
      <c r="AG438" s="237"/>
      <c r="AH438" s="237"/>
      <c r="AI438" s="98"/>
      <c r="AJ438" s="98"/>
      <c r="AK438" s="98"/>
      <c r="AL438" s="98"/>
      <c r="AM438" s="98"/>
      <c r="AN438" s="98"/>
      <c r="AO438" s="98"/>
    </row>
    <row r="439" ht="14.25" customHeight="1">
      <c r="A439" s="98"/>
      <c r="B439" s="98"/>
      <c r="C439" s="98"/>
      <c r="D439" s="98"/>
      <c r="E439" s="98"/>
      <c r="F439" s="235"/>
      <c r="G439" s="235"/>
      <c r="H439" s="236"/>
      <c r="I439" s="236"/>
      <c r="J439" s="236"/>
      <c r="K439" s="236"/>
      <c r="L439" s="236"/>
      <c r="M439" s="236"/>
      <c r="N439" s="236"/>
      <c r="O439" s="236"/>
      <c r="P439" s="236"/>
      <c r="Q439" s="236"/>
      <c r="R439" s="236"/>
      <c r="S439" s="236"/>
      <c r="T439" s="236"/>
      <c r="U439" s="236"/>
      <c r="V439" s="236"/>
      <c r="W439" s="237"/>
      <c r="X439" s="237"/>
      <c r="Y439" s="237"/>
      <c r="Z439" s="237"/>
      <c r="AA439" s="237"/>
      <c r="AB439" s="237"/>
      <c r="AC439" s="237"/>
      <c r="AD439" s="237"/>
      <c r="AE439" s="237"/>
      <c r="AF439" s="237"/>
      <c r="AG439" s="237"/>
      <c r="AH439" s="237"/>
      <c r="AI439" s="98"/>
      <c r="AJ439" s="98"/>
      <c r="AK439" s="98"/>
      <c r="AL439" s="98"/>
      <c r="AM439" s="98"/>
      <c r="AN439" s="98"/>
      <c r="AO439" s="98"/>
    </row>
    <row r="440" ht="14.25" customHeight="1">
      <c r="A440" s="98"/>
      <c r="B440" s="98"/>
      <c r="C440" s="98"/>
      <c r="D440" s="98"/>
      <c r="E440" s="98"/>
      <c r="F440" s="235"/>
      <c r="G440" s="235"/>
      <c r="H440" s="236"/>
      <c r="I440" s="236"/>
      <c r="J440" s="236"/>
      <c r="K440" s="236"/>
      <c r="L440" s="236"/>
      <c r="M440" s="236"/>
      <c r="N440" s="236"/>
      <c r="O440" s="236"/>
      <c r="P440" s="236"/>
      <c r="Q440" s="236"/>
      <c r="R440" s="236"/>
      <c r="S440" s="236"/>
      <c r="T440" s="236"/>
      <c r="U440" s="236"/>
      <c r="V440" s="236"/>
      <c r="W440" s="237"/>
      <c r="X440" s="237"/>
      <c r="Y440" s="237"/>
      <c r="Z440" s="237"/>
      <c r="AA440" s="237"/>
      <c r="AB440" s="237"/>
      <c r="AC440" s="237"/>
      <c r="AD440" s="237"/>
      <c r="AE440" s="237"/>
      <c r="AF440" s="237"/>
      <c r="AG440" s="237"/>
      <c r="AH440" s="237"/>
      <c r="AI440" s="98"/>
      <c r="AJ440" s="98"/>
      <c r="AK440" s="98"/>
      <c r="AL440" s="98"/>
      <c r="AM440" s="98"/>
      <c r="AN440" s="98"/>
      <c r="AO440" s="98"/>
    </row>
    <row r="441" ht="14.25" customHeight="1">
      <c r="A441" s="98"/>
      <c r="B441" s="98"/>
      <c r="C441" s="98"/>
      <c r="D441" s="98"/>
      <c r="E441" s="98"/>
      <c r="F441" s="235"/>
      <c r="G441" s="235"/>
      <c r="H441" s="236"/>
      <c r="I441" s="236"/>
      <c r="J441" s="236"/>
      <c r="K441" s="236"/>
      <c r="L441" s="236"/>
      <c r="M441" s="236"/>
      <c r="N441" s="236"/>
      <c r="O441" s="236"/>
      <c r="P441" s="236"/>
      <c r="Q441" s="236"/>
      <c r="R441" s="236"/>
      <c r="S441" s="236"/>
      <c r="T441" s="236"/>
      <c r="U441" s="236"/>
      <c r="V441" s="236"/>
      <c r="W441" s="237"/>
      <c r="X441" s="237"/>
      <c r="Y441" s="237"/>
      <c r="Z441" s="237"/>
      <c r="AA441" s="237"/>
      <c r="AB441" s="237"/>
      <c r="AC441" s="237"/>
      <c r="AD441" s="237"/>
      <c r="AE441" s="237"/>
      <c r="AF441" s="237"/>
      <c r="AG441" s="237"/>
      <c r="AH441" s="237"/>
      <c r="AI441" s="98"/>
      <c r="AJ441" s="98"/>
      <c r="AK441" s="98"/>
      <c r="AL441" s="98"/>
      <c r="AM441" s="98"/>
      <c r="AN441" s="98"/>
      <c r="AO441" s="98"/>
    </row>
    <row r="442" ht="14.25" customHeight="1">
      <c r="A442" s="98"/>
      <c r="B442" s="98"/>
      <c r="C442" s="98"/>
      <c r="D442" s="98"/>
      <c r="E442" s="98"/>
      <c r="F442" s="235"/>
      <c r="G442" s="235"/>
      <c r="H442" s="236"/>
      <c r="I442" s="236"/>
      <c r="J442" s="236"/>
      <c r="K442" s="236"/>
      <c r="L442" s="236"/>
      <c r="M442" s="236"/>
      <c r="N442" s="236"/>
      <c r="O442" s="236"/>
      <c r="P442" s="236"/>
      <c r="Q442" s="236"/>
      <c r="R442" s="236"/>
      <c r="S442" s="236"/>
      <c r="T442" s="236"/>
      <c r="U442" s="236"/>
      <c r="V442" s="236"/>
      <c r="W442" s="237"/>
      <c r="X442" s="237"/>
      <c r="Y442" s="237"/>
      <c r="Z442" s="237"/>
      <c r="AA442" s="237"/>
      <c r="AB442" s="237"/>
      <c r="AC442" s="237"/>
      <c r="AD442" s="237"/>
      <c r="AE442" s="237"/>
      <c r="AF442" s="237"/>
      <c r="AG442" s="237"/>
      <c r="AH442" s="237"/>
      <c r="AI442" s="98"/>
      <c r="AJ442" s="98"/>
      <c r="AK442" s="98"/>
      <c r="AL442" s="98"/>
      <c r="AM442" s="98"/>
      <c r="AN442" s="98"/>
      <c r="AO442" s="98"/>
    </row>
    <row r="443" ht="14.25" customHeight="1">
      <c r="A443" s="98"/>
      <c r="B443" s="98"/>
      <c r="C443" s="98"/>
      <c r="D443" s="98"/>
      <c r="E443" s="98"/>
      <c r="F443" s="235"/>
      <c r="G443" s="235"/>
      <c r="H443" s="236"/>
      <c r="I443" s="236"/>
      <c r="J443" s="236"/>
      <c r="K443" s="236"/>
      <c r="L443" s="236"/>
      <c r="M443" s="236"/>
      <c r="N443" s="236"/>
      <c r="O443" s="236"/>
      <c r="P443" s="236"/>
      <c r="Q443" s="236"/>
      <c r="R443" s="236"/>
      <c r="S443" s="236"/>
      <c r="T443" s="236"/>
      <c r="U443" s="236"/>
      <c r="V443" s="236"/>
      <c r="W443" s="237"/>
      <c r="X443" s="237"/>
      <c r="Y443" s="237"/>
      <c r="Z443" s="237"/>
      <c r="AA443" s="237"/>
      <c r="AB443" s="237"/>
      <c r="AC443" s="237"/>
      <c r="AD443" s="237"/>
      <c r="AE443" s="237"/>
      <c r="AF443" s="237"/>
      <c r="AG443" s="237"/>
      <c r="AH443" s="237"/>
      <c r="AI443" s="98"/>
      <c r="AJ443" s="98"/>
      <c r="AK443" s="98"/>
      <c r="AL443" s="98"/>
      <c r="AM443" s="98"/>
      <c r="AN443" s="98"/>
      <c r="AO443" s="98"/>
    </row>
    <row r="444" ht="14.25" customHeight="1">
      <c r="A444" s="98"/>
      <c r="B444" s="98"/>
      <c r="C444" s="98"/>
      <c r="D444" s="98"/>
      <c r="E444" s="98"/>
      <c r="F444" s="235"/>
      <c r="G444" s="235"/>
      <c r="H444" s="236"/>
      <c r="I444" s="236"/>
      <c r="J444" s="236"/>
      <c r="K444" s="236"/>
      <c r="L444" s="236"/>
      <c r="M444" s="236"/>
      <c r="N444" s="236"/>
      <c r="O444" s="236"/>
      <c r="P444" s="236"/>
      <c r="Q444" s="236"/>
      <c r="R444" s="236"/>
      <c r="S444" s="236"/>
      <c r="T444" s="236"/>
      <c r="U444" s="236"/>
      <c r="V444" s="236"/>
      <c r="W444" s="237"/>
      <c r="X444" s="237"/>
      <c r="Y444" s="237"/>
      <c r="Z444" s="237"/>
      <c r="AA444" s="237"/>
      <c r="AB444" s="237"/>
      <c r="AC444" s="237"/>
      <c r="AD444" s="237"/>
      <c r="AE444" s="237"/>
      <c r="AF444" s="237"/>
      <c r="AG444" s="237"/>
      <c r="AH444" s="237"/>
      <c r="AI444" s="98"/>
      <c r="AJ444" s="98"/>
      <c r="AK444" s="98"/>
      <c r="AL444" s="98"/>
      <c r="AM444" s="98"/>
      <c r="AN444" s="98"/>
      <c r="AO444" s="98"/>
    </row>
    <row r="445" ht="14.25" customHeight="1">
      <c r="A445" s="98"/>
      <c r="B445" s="98"/>
      <c r="C445" s="98"/>
      <c r="D445" s="98"/>
      <c r="E445" s="98"/>
      <c r="F445" s="235"/>
      <c r="G445" s="235"/>
      <c r="H445" s="236"/>
      <c r="I445" s="236"/>
      <c r="J445" s="236"/>
      <c r="K445" s="236"/>
      <c r="L445" s="236"/>
      <c r="M445" s="236"/>
      <c r="N445" s="236"/>
      <c r="O445" s="236"/>
      <c r="P445" s="236"/>
      <c r="Q445" s="236"/>
      <c r="R445" s="236"/>
      <c r="S445" s="236"/>
      <c r="T445" s="236"/>
      <c r="U445" s="236"/>
      <c r="V445" s="236"/>
      <c r="W445" s="237"/>
      <c r="X445" s="237"/>
      <c r="Y445" s="237"/>
      <c r="Z445" s="237"/>
      <c r="AA445" s="237"/>
      <c r="AB445" s="237"/>
      <c r="AC445" s="237"/>
      <c r="AD445" s="237"/>
      <c r="AE445" s="237"/>
      <c r="AF445" s="237"/>
      <c r="AG445" s="237"/>
      <c r="AH445" s="237"/>
      <c r="AI445" s="98"/>
      <c r="AJ445" s="98"/>
      <c r="AK445" s="98"/>
      <c r="AL445" s="98"/>
      <c r="AM445" s="98"/>
      <c r="AN445" s="98"/>
      <c r="AO445" s="98"/>
    </row>
    <row r="446" ht="14.25" customHeight="1">
      <c r="A446" s="98"/>
      <c r="B446" s="98"/>
      <c r="C446" s="98"/>
      <c r="D446" s="98"/>
      <c r="E446" s="98"/>
      <c r="F446" s="235"/>
      <c r="G446" s="235"/>
      <c r="H446" s="236"/>
      <c r="I446" s="236"/>
      <c r="J446" s="236"/>
      <c r="K446" s="236"/>
      <c r="L446" s="236"/>
      <c r="M446" s="236"/>
      <c r="N446" s="236"/>
      <c r="O446" s="236"/>
      <c r="P446" s="236"/>
      <c r="Q446" s="236"/>
      <c r="R446" s="236"/>
      <c r="S446" s="236"/>
      <c r="T446" s="236"/>
      <c r="U446" s="236"/>
      <c r="V446" s="236"/>
      <c r="W446" s="237"/>
      <c r="X446" s="237"/>
      <c r="Y446" s="237"/>
      <c r="Z446" s="237"/>
      <c r="AA446" s="237"/>
      <c r="AB446" s="237"/>
      <c r="AC446" s="237"/>
      <c r="AD446" s="237"/>
      <c r="AE446" s="237"/>
      <c r="AF446" s="237"/>
      <c r="AG446" s="237"/>
      <c r="AH446" s="237"/>
      <c r="AI446" s="98"/>
      <c r="AJ446" s="98"/>
      <c r="AK446" s="98"/>
      <c r="AL446" s="98"/>
      <c r="AM446" s="98"/>
      <c r="AN446" s="98"/>
      <c r="AO446" s="98"/>
    </row>
    <row r="447" ht="14.25" customHeight="1">
      <c r="A447" s="98"/>
      <c r="B447" s="98"/>
      <c r="C447" s="98"/>
      <c r="D447" s="98"/>
      <c r="E447" s="98"/>
      <c r="F447" s="235"/>
      <c r="G447" s="235"/>
      <c r="H447" s="236"/>
      <c r="I447" s="236"/>
      <c r="J447" s="236"/>
      <c r="K447" s="236"/>
      <c r="L447" s="236"/>
      <c r="M447" s="236"/>
      <c r="N447" s="236"/>
      <c r="O447" s="236"/>
      <c r="P447" s="236"/>
      <c r="Q447" s="236"/>
      <c r="R447" s="236"/>
      <c r="S447" s="236"/>
      <c r="T447" s="236"/>
      <c r="U447" s="236"/>
      <c r="V447" s="236"/>
      <c r="W447" s="237"/>
      <c r="X447" s="237"/>
      <c r="Y447" s="237"/>
      <c r="Z447" s="237"/>
      <c r="AA447" s="237"/>
      <c r="AB447" s="237"/>
      <c r="AC447" s="237"/>
      <c r="AD447" s="237"/>
      <c r="AE447" s="237"/>
      <c r="AF447" s="237"/>
      <c r="AG447" s="237"/>
      <c r="AH447" s="237"/>
      <c r="AI447" s="98"/>
      <c r="AJ447" s="98"/>
      <c r="AK447" s="98"/>
      <c r="AL447" s="98"/>
      <c r="AM447" s="98"/>
      <c r="AN447" s="98"/>
      <c r="AO447" s="98"/>
    </row>
    <row r="448" ht="14.25" customHeight="1">
      <c r="A448" s="98"/>
      <c r="B448" s="98"/>
      <c r="C448" s="98"/>
      <c r="D448" s="98"/>
      <c r="E448" s="98"/>
      <c r="F448" s="235"/>
      <c r="G448" s="235"/>
      <c r="H448" s="236"/>
      <c r="I448" s="236"/>
      <c r="J448" s="236"/>
      <c r="K448" s="236"/>
      <c r="L448" s="236"/>
      <c r="M448" s="236"/>
      <c r="N448" s="236"/>
      <c r="O448" s="236"/>
      <c r="P448" s="236"/>
      <c r="Q448" s="236"/>
      <c r="R448" s="236"/>
      <c r="S448" s="236"/>
      <c r="T448" s="236"/>
      <c r="U448" s="236"/>
      <c r="V448" s="236"/>
      <c r="W448" s="237"/>
      <c r="X448" s="237"/>
      <c r="Y448" s="237"/>
      <c r="Z448" s="237"/>
      <c r="AA448" s="237"/>
      <c r="AB448" s="237"/>
      <c r="AC448" s="237"/>
      <c r="AD448" s="237"/>
      <c r="AE448" s="237"/>
      <c r="AF448" s="237"/>
      <c r="AG448" s="237"/>
      <c r="AH448" s="237"/>
      <c r="AI448" s="98"/>
      <c r="AJ448" s="98"/>
      <c r="AK448" s="98"/>
      <c r="AL448" s="98"/>
      <c r="AM448" s="98"/>
      <c r="AN448" s="98"/>
      <c r="AO448" s="98"/>
    </row>
    <row r="449" ht="14.25" customHeight="1">
      <c r="A449" s="98"/>
      <c r="B449" s="98"/>
      <c r="C449" s="98"/>
      <c r="D449" s="98"/>
      <c r="E449" s="98"/>
      <c r="F449" s="235"/>
      <c r="G449" s="235"/>
      <c r="H449" s="236"/>
      <c r="I449" s="236"/>
      <c r="J449" s="236"/>
      <c r="K449" s="236"/>
      <c r="L449" s="236"/>
      <c r="M449" s="236"/>
      <c r="N449" s="236"/>
      <c r="O449" s="236"/>
      <c r="P449" s="236"/>
      <c r="Q449" s="236"/>
      <c r="R449" s="236"/>
      <c r="S449" s="236"/>
      <c r="T449" s="236"/>
      <c r="U449" s="236"/>
      <c r="V449" s="236"/>
      <c r="W449" s="237"/>
      <c r="X449" s="237"/>
      <c r="Y449" s="237"/>
      <c r="Z449" s="237"/>
      <c r="AA449" s="237"/>
      <c r="AB449" s="237"/>
      <c r="AC449" s="237"/>
      <c r="AD449" s="237"/>
      <c r="AE449" s="237"/>
      <c r="AF449" s="237"/>
      <c r="AG449" s="237"/>
      <c r="AH449" s="237"/>
      <c r="AI449" s="98"/>
      <c r="AJ449" s="98"/>
      <c r="AK449" s="98"/>
      <c r="AL449" s="98"/>
      <c r="AM449" s="98"/>
      <c r="AN449" s="98"/>
      <c r="AO449" s="98"/>
    </row>
    <row r="450" ht="14.25" customHeight="1">
      <c r="A450" s="98"/>
      <c r="B450" s="98"/>
      <c r="C450" s="98"/>
      <c r="D450" s="98"/>
      <c r="E450" s="98"/>
      <c r="F450" s="235"/>
      <c r="G450" s="235"/>
      <c r="H450" s="236"/>
      <c r="I450" s="236"/>
      <c r="J450" s="236"/>
      <c r="K450" s="236"/>
      <c r="L450" s="236"/>
      <c r="M450" s="236"/>
      <c r="N450" s="236"/>
      <c r="O450" s="236"/>
      <c r="P450" s="236"/>
      <c r="Q450" s="236"/>
      <c r="R450" s="236"/>
      <c r="S450" s="236"/>
      <c r="T450" s="236"/>
      <c r="U450" s="236"/>
      <c r="V450" s="236"/>
      <c r="W450" s="237"/>
      <c r="X450" s="237"/>
      <c r="Y450" s="237"/>
      <c r="Z450" s="237"/>
      <c r="AA450" s="237"/>
      <c r="AB450" s="237"/>
      <c r="AC450" s="237"/>
      <c r="AD450" s="237"/>
      <c r="AE450" s="237"/>
      <c r="AF450" s="237"/>
      <c r="AG450" s="237"/>
      <c r="AH450" s="237"/>
      <c r="AI450" s="98"/>
      <c r="AJ450" s="98"/>
      <c r="AK450" s="98"/>
      <c r="AL450" s="98"/>
      <c r="AM450" s="98"/>
      <c r="AN450" s="98"/>
      <c r="AO450" s="98"/>
    </row>
    <row r="451" ht="14.25" customHeight="1">
      <c r="A451" s="98"/>
      <c r="B451" s="98"/>
      <c r="C451" s="98"/>
      <c r="D451" s="98"/>
      <c r="E451" s="98"/>
      <c r="F451" s="235"/>
      <c r="G451" s="235"/>
      <c r="H451" s="236"/>
      <c r="I451" s="236"/>
      <c r="J451" s="236"/>
      <c r="K451" s="236"/>
      <c r="L451" s="236"/>
      <c r="M451" s="236"/>
      <c r="N451" s="236"/>
      <c r="O451" s="236"/>
      <c r="P451" s="236"/>
      <c r="Q451" s="236"/>
      <c r="R451" s="236"/>
      <c r="S451" s="236"/>
      <c r="T451" s="236"/>
      <c r="U451" s="236"/>
      <c r="V451" s="236"/>
      <c r="W451" s="237"/>
      <c r="X451" s="237"/>
      <c r="Y451" s="237"/>
      <c r="Z451" s="237"/>
      <c r="AA451" s="237"/>
      <c r="AB451" s="237"/>
      <c r="AC451" s="237"/>
      <c r="AD451" s="237"/>
      <c r="AE451" s="237"/>
      <c r="AF451" s="237"/>
      <c r="AG451" s="237"/>
      <c r="AH451" s="237"/>
      <c r="AI451" s="98"/>
      <c r="AJ451" s="98"/>
      <c r="AK451" s="98"/>
      <c r="AL451" s="98"/>
      <c r="AM451" s="98"/>
      <c r="AN451" s="98"/>
      <c r="AO451" s="98"/>
    </row>
    <row r="452" ht="14.25" customHeight="1">
      <c r="A452" s="98"/>
      <c r="B452" s="98"/>
      <c r="C452" s="98"/>
      <c r="D452" s="98"/>
      <c r="E452" s="98"/>
      <c r="F452" s="235"/>
      <c r="G452" s="235"/>
      <c r="H452" s="236"/>
      <c r="I452" s="236"/>
      <c r="J452" s="236"/>
      <c r="K452" s="236"/>
      <c r="L452" s="236"/>
      <c r="M452" s="236"/>
      <c r="N452" s="236"/>
      <c r="O452" s="236"/>
      <c r="P452" s="236"/>
      <c r="Q452" s="236"/>
      <c r="R452" s="236"/>
      <c r="S452" s="236"/>
      <c r="T452" s="236"/>
      <c r="U452" s="236"/>
      <c r="V452" s="236"/>
      <c r="W452" s="237"/>
      <c r="X452" s="237"/>
      <c r="Y452" s="237"/>
      <c r="Z452" s="237"/>
      <c r="AA452" s="237"/>
      <c r="AB452" s="237"/>
      <c r="AC452" s="237"/>
      <c r="AD452" s="237"/>
      <c r="AE452" s="237"/>
      <c r="AF452" s="237"/>
      <c r="AG452" s="237"/>
      <c r="AH452" s="237"/>
      <c r="AI452" s="98"/>
      <c r="AJ452" s="98"/>
      <c r="AK452" s="98"/>
      <c r="AL452" s="98"/>
      <c r="AM452" s="98"/>
      <c r="AN452" s="98"/>
      <c r="AO452" s="98"/>
    </row>
    <row r="453" ht="14.25" customHeight="1">
      <c r="A453" s="98"/>
      <c r="B453" s="98"/>
      <c r="C453" s="98"/>
      <c r="D453" s="98"/>
      <c r="E453" s="98"/>
      <c r="F453" s="235"/>
      <c r="G453" s="235"/>
      <c r="H453" s="236"/>
      <c r="I453" s="236"/>
      <c r="J453" s="236"/>
      <c r="K453" s="236"/>
      <c r="L453" s="236"/>
      <c r="M453" s="236"/>
      <c r="N453" s="236"/>
      <c r="O453" s="236"/>
      <c r="P453" s="236"/>
      <c r="Q453" s="236"/>
      <c r="R453" s="236"/>
      <c r="S453" s="236"/>
      <c r="T453" s="236"/>
      <c r="U453" s="236"/>
      <c r="V453" s="236"/>
      <c r="W453" s="237"/>
      <c r="X453" s="237"/>
      <c r="Y453" s="237"/>
      <c r="Z453" s="237"/>
      <c r="AA453" s="237"/>
      <c r="AB453" s="237"/>
      <c r="AC453" s="237"/>
      <c r="AD453" s="237"/>
      <c r="AE453" s="237"/>
      <c r="AF453" s="237"/>
      <c r="AG453" s="237"/>
      <c r="AH453" s="237"/>
      <c r="AI453" s="98"/>
      <c r="AJ453" s="98"/>
      <c r="AK453" s="98"/>
      <c r="AL453" s="98"/>
      <c r="AM453" s="98"/>
      <c r="AN453" s="98"/>
      <c r="AO453" s="98"/>
    </row>
    <row r="454" ht="14.25" customHeight="1">
      <c r="A454" s="98"/>
      <c r="B454" s="98"/>
      <c r="C454" s="98"/>
      <c r="D454" s="98"/>
      <c r="E454" s="98"/>
      <c r="F454" s="235"/>
      <c r="G454" s="235"/>
      <c r="H454" s="236"/>
      <c r="I454" s="236"/>
      <c r="J454" s="236"/>
      <c r="K454" s="236"/>
      <c r="L454" s="236"/>
      <c r="M454" s="236"/>
      <c r="N454" s="236"/>
      <c r="O454" s="236"/>
      <c r="P454" s="236"/>
      <c r="Q454" s="236"/>
      <c r="R454" s="236"/>
      <c r="S454" s="236"/>
      <c r="T454" s="236"/>
      <c r="U454" s="236"/>
      <c r="V454" s="236"/>
      <c r="W454" s="237"/>
      <c r="X454" s="237"/>
      <c r="Y454" s="237"/>
      <c r="Z454" s="237"/>
      <c r="AA454" s="237"/>
      <c r="AB454" s="237"/>
      <c r="AC454" s="237"/>
      <c r="AD454" s="237"/>
      <c r="AE454" s="237"/>
      <c r="AF454" s="237"/>
      <c r="AG454" s="237"/>
      <c r="AH454" s="237"/>
      <c r="AI454" s="98"/>
      <c r="AJ454" s="98"/>
      <c r="AK454" s="98"/>
      <c r="AL454" s="98"/>
      <c r="AM454" s="98"/>
      <c r="AN454" s="98"/>
      <c r="AO454" s="98"/>
    </row>
    <row r="455" ht="14.25" customHeight="1">
      <c r="A455" s="98"/>
      <c r="B455" s="98"/>
      <c r="C455" s="98"/>
      <c r="D455" s="98"/>
      <c r="E455" s="98"/>
      <c r="F455" s="235"/>
      <c r="G455" s="235"/>
      <c r="H455" s="236"/>
      <c r="I455" s="236"/>
      <c r="J455" s="236"/>
      <c r="K455" s="236"/>
      <c r="L455" s="236"/>
      <c r="M455" s="236"/>
      <c r="N455" s="236"/>
      <c r="O455" s="236"/>
      <c r="P455" s="236"/>
      <c r="Q455" s="236"/>
      <c r="R455" s="236"/>
      <c r="S455" s="236"/>
      <c r="T455" s="236"/>
      <c r="U455" s="236"/>
      <c r="V455" s="236"/>
      <c r="W455" s="237"/>
      <c r="X455" s="237"/>
      <c r="Y455" s="237"/>
      <c r="Z455" s="237"/>
      <c r="AA455" s="237"/>
      <c r="AB455" s="237"/>
      <c r="AC455" s="237"/>
      <c r="AD455" s="237"/>
      <c r="AE455" s="237"/>
      <c r="AF455" s="237"/>
      <c r="AG455" s="237"/>
      <c r="AH455" s="237"/>
      <c r="AI455" s="98"/>
      <c r="AJ455" s="98"/>
      <c r="AK455" s="98"/>
      <c r="AL455" s="98"/>
      <c r="AM455" s="98"/>
      <c r="AN455" s="98"/>
      <c r="AO455" s="98"/>
    </row>
    <row r="456" ht="14.25" customHeight="1">
      <c r="A456" s="98"/>
      <c r="B456" s="98"/>
      <c r="C456" s="98"/>
      <c r="D456" s="98"/>
      <c r="E456" s="98"/>
      <c r="F456" s="235"/>
      <c r="G456" s="235"/>
      <c r="H456" s="236"/>
      <c r="I456" s="236"/>
      <c r="J456" s="236"/>
      <c r="K456" s="236"/>
      <c r="L456" s="236"/>
      <c r="M456" s="236"/>
      <c r="N456" s="236"/>
      <c r="O456" s="236"/>
      <c r="P456" s="236"/>
      <c r="Q456" s="236"/>
      <c r="R456" s="236"/>
      <c r="S456" s="236"/>
      <c r="T456" s="236"/>
      <c r="U456" s="236"/>
      <c r="V456" s="236"/>
      <c r="W456" s="237"/>
      <c r="X456" s="237"/>
      <c r="Y456" s="237"/>
      <c r="Z456" s="237"/>
      <c r="AA456" s="237"/>
      <c r="AB456" s="237"/>
      <c r="AC456" s="237"/>
      <c r="AD456" s="237"/>
      <c r="AE456" s="237"/>
      <c r="AF456" s="237"/>
      <c r="AG456" s="237"/>
      <c r="AH456" s="237"/>
      <c r="AI456" s="98"/>
      <c r="AJ456" s="98"/>
      <c r="AK456" s="98"/>
      <c r="AL456" s="98"/>
      <c r="AM456" s="98"/>
      <c r="AN456" s="98"/>
      <c r="AO456" s="98"/>
    </row>
    <row r="457" ht="14.25" customHeight="1">
      <c r="A457" s="98"/>
      <c r="B457" s="98"/>
      <c r="C457" s="98"/>
      <c r="D457" s="98"/>
      <c r="E457" s="98"/>
      <c r="F457" s="235"/>
      <c r="G457" s="235"/>
      <c r="H457" s="236"/>
      <c r="I457" s="236"/>
      <c r="J457" s="236"/>
      <c r="K457" s="236"/>
      <c r="L457" s="236"/>
      <c r="M457" s="236"/>
      <c r="N457" s="236"/>
      <c r="O457" s="236"/>
      <c r="P457" s="236"/>
      <c r="Q457" s="236"/>
      <c r="R457" s="236"/>
      <c r="S457" s="236"/>
      <c r="T457" s="236"/>
      <c r="U457" s="236"/>
      <c r="V457" s="236"/>
      <c r="W457" s="237"/>
      <c r="X457" s="237"/>
      <c r="Y457" s="237"/>
      <c r="Z457" s="237"/>
      <c r="AA457" s="237"/>
      <c r="AB457" s="237"/>
      <c r="AC457" s="237"/>
      <c r="AD457" s="237"/>
      <c r="AE457" s="237"/>
      <c r="AF457" s="237"/>
      <c r="AG457" s="237"/>
      <c r="AH457" s="237"/>
      <c r="AI457" s="98"/>
      <c r="AJ457" s="98"/>
      <c r="AK457" s="98"/>
      <c r="AL457" s="98"/>
      <c r="AM457" s="98"/>
      <c r="AN457" s="98"/>
      <c r="AO457" s="98"/>
    </row>
    <row r="458" ht="14.25" customHeight="1">
      <c r="A458" s="98"/>
      <c r="B458" s="98"/>
      <c r="C458" s="98"/>
      <c r="D458" s="98"/>
      <c r="E458" s="98"/>
      <c r="F458" s="235"/>
      <c r="G458" s="235"/>
      <c r="H458" s="236"/>
      <c r="I458" s="236"/>
      <c r="J458" s="236"/>
      <c r="K458" s="236"/>
      <c r="L458" s="236"/>
      <c r="M458" s="236"/>
      <c r="N458" s="236"/>
      <c r="O458" s="236"/>
      <c r="P458" s="236"/>
      <c r="Q458" s="236"/>
      <c r="R458" s="236"/>
      <c r="S458" s="236"/>
      <c r="T458" s="236"/>
      <c r="U458" s="236"/>
      <c r="V458" s="236"/>
      <c r="W458" s="237"/>
      <c r="X458" s="237"/>
      <c r="Y458" s="237"/>
      <c r="Z458" s="237"/>
      <c r="AA458" s="237"/>
      <c r="AB458" s="237"/>
      <c r="AC458" s="237"/>
      <c r="AD458" s="237"/>
      <c r="AE458" s="237"/>
      <c r="AF458" s="237"/>
      <c r="AG458" s="237"/>
      <c r="AH458" s="237"/>
      <c r="AI458" s="98"/>
      <c r="AJ458" s="98"/>
      <c r="AK458" s="98"/>
      <c r="AL458" s="98"/>
      <c r="AM458" s="98"/>
      <c r="AN458" s="98"/>
      <c r="AO458" s="98"/>
    </row>
    <row r="459" ht="14.25" customHeight="1">
      <c r="A459" s="98"/>
      <c r="B459" s="98"/>
      <c r="C459" s="98"/>
      <c r="D459" s="98"/>
      <c r="E459" s="98"/>
      <c r="F459" s="235"/>
      <c r="G459" s="235"/>
      <c r="H459" s="236"/>
      <c r="I459" s="236"/>
      <c r="J459" s="236"/>
      <c r="K459" s="236"/>
      <c r="L459" s="236"/>
      <c r="M459" s="236"/>
      <c r="N459" s="236"/>
      <c r="O459" s="236"/>
      <c r="P459" s="236"/>
      <c r="Q459" s="236"/>
      <c r="R459" s="236"/>
      <c r="S459" s="236"/>
      <c r="T459" s="236"/>
      <c r="U459" s="236"/>
      <c r="V459" s="236"/>
      <c r="W459" s="237"/>
      <c r="X459" s="237"/>
      <c r="Y459" s="237"/>
      <c r="Z459" s="237"/>
      <c r="AA459" s="237"/>
      <c r="AB459" s="237"/>
      <c r="AC459" s="237"/>
      <c r="AD459" s="237"/>
      <c r="AE459" s="237"/>
      <c r="AF459" s="237"/>
      <c r="AG459" s="237"/>
      <c r="AH459" s="237"/>
      <c r="AI459" s="98"/>
      <c r="AJ459" s="98"/>
      <c r="AK459" s="98"/>
      <c r="AL459" s="98"/>
      <c r="AM459" s="98"/>
      <c r="AN459" s="98"/>
      <c r="AO459" s="98"/>
    </row>
    <row r="460" ht="14.25" customHeight="1">
      <c r="A460" s="98"/>
      <c r="B460" s="98"/>
      <c r="C460" s="98"/>
      <c r="D460" s="98"/>
      <c r="E460" s="98"/>
      <c r="F460" s="235"/>
      <c r="G460" s="235"/>
      <c r="H460" s="236"/>
      <c r="I460" s="236"/>
      <c r="J460" s="236"/>
      <c r="K460" s="236"/>
      <c r="L460" s="236"/>
      <c r="M460" s="236"/>
      <c r="N460" s="236"/>
      <c r="O460" s="236"/>
      <c r="P460" s="236"/>
      <c r="Q460" s="236"/>
      <c r="R460" s="236"/>
      <c r="S460" s="236"/>
      <c r="T460" s="236"/>
      <c r="U460" s="236"/>
      <c r="V460" s="236"/>
      <c r="W460" s="237"/>
      <c r="X460" s="237"/>
      <c r="Y460" s="237"/>
      <c r="Z460" s="237"/>
      <c r="AA460" s="237"/>
      <c r="AB460" s="237"/>
      <c r="AC460" s="237"/>
      <c r="AD460" s="237"/>
      <c r="AE460" s="237"/>
      <c r="AF460" s="237"/>
      <c r="AG460" s="237"/>
      <c r="AH460" s="237"/>
      <c r="AI460" s="98"/>
      <c r="AJ460" s="98"/>
      <c r="AK460" s="98"/>
      <c r="AL460" s="98"/>
      <c r="AM460" s="98"/>
      <c r="AN460" s="98"/>
      <c r="AO460" s="98"/>
    </row>
    <row r="461" ht="14.25" customHeight="1">
      <c r="A461" s="98"/>
      <c r="B461" s="98"/>
      <c r="C461" s="98"/>
      <c r="D461" s="98"/>
      <c r="E461" s="98"/>
      <c r="F461" s="235"/>
      <c r="G461" s="235"/>
      <c r="H461" s="236"/>
      <c r="I461" s="236"/>
      <c r="J461" s="236"/>
      <c r="K461" s="236"/>
      <c r="L461" s="236"/>
      <c r="M461" s="236"/>
      <c r="N461" s="236"/>
      <c r="O461" s="236"/>
      <c r="P461" s="236"/>
      <c r="Q461" s="236"/>
      <c r="R461" s="236"/>
      <c r="S461" s="236"/>
      <c r="T461" s="236"/>
      <c r="U461" s="236"/>
      <c r="V461" s="236"/>
      <c r="W461" s="237"/>
      <c r="X461" s="237"/>
      <c r="Y461" s="237"/>
      <c r="Z461" s="237"/>
      <c r="AA461" s="237"/>
      <c r="AB461" s="237"/>
      <c r="AC461" s="237"/>
      <c r="AD461" s="237"/>
      <c r="AE461" s="237"/>
      <c r="AF461" s="237"/>
      <c r="AG461" s="237"/>
      <c r="AH461" s="237"/>
      <c r="AI461" s="98"/>
      <c r="AJ461" s="98"/>
      <c r="AK461" s="98"/>
      <c r="AL461" s="98"/>
      <c r="AM461" s="98"/>
      <c r="AN461" s="98"/>
      <c r="AO461" s="98"/>
    </row>
    <row r="462" ht="14.25" customHeight="1">
      <c r="A462" s="98"/>
      <c r="B462" s="98"/>
      <c r="C462" s="98"/>
      <c r="D462" s="98"/>
      <c r="E462" s="98"/>
      <c r="F462" s="235"/>
      <c r="G462" s="235"/>
      <c r="H462" s="236"/>
      <c r="I462" s="236"/>
      <c r="J462" s="236"/>
      <c r="K462" s="236"/>
      <c r="L462" s="236"/>
      <c r="M462" s="236"/>
      <c r="N462" s="236"/>
      <c r="O462" s="236"/>
      <c r="P462" s="236"/>
      <c r="Q462" s="236"/>
      <c r="R462" s="236"/>
      <c r="S462" s="236"/>
      <c r="T462" s="236"/>
      <c r="U462" s="236"/>
      <c r="V462" s="236"/>
      <c r="W462" s="237"/>
      <c r="X462" s="237"/>
      <c r="Y462" s="237"/>
      <c r="Z462" s="237"/>
      <c r="AA462" s="237"/>
      <c r="AB462" s="237"/>
      <c r="AC462" s="237"/>
      <c r="AD462" s="237"/>
      <c r="AE462" s="237"/>
      <c r="AF462" s="237"/>
      <c r="AG462" s="237"/>
      <c r="AH462" s="237"/>
      <c r="AI462" s="98"/>
      <c r="AJ462" s="98"/>
      <c r="AK462" s="98"/>
      <c r="AL462" s="98"/>
      <c r="AM462" s="98"/>
      <c r="AN462" s="98"/>
      <c r="AO462" s="98"/>
    </row>
    <row r="463" ht="14.25" customHeight="1">
      <c r="A463" s="98"/>
      <c r="B463" s="98"/>
      <c r="C463" s="98"/>
      <c r="D463" s="98"/>
      <c r="E463" s="98"/>
      <c r="F463" s="235"/>
      <c r="G463" s="235"/>
      <c r="H463" s="236"/>
      <c r="I463" s="236"/>
      <c r="J463" s="236"/>
      <c r="K463" s="236"/>
      <c r="L463" s="236"/>
      <c r="M463" s="236"/>
      <c r="N463" s="236"/>
      <c r="O463" s="236"/>
      <c r="P463" s="236"/>
      <c r="Q463" s="236"/>
      <c r="R463" s="236"/>
      <c r="S463" s="236"/>
      <c r="T463" s="236"/>
      <c r="U463" s="236"/>
      <c r="V463" s="236"/>
      <c r="W463" s="237"/>
      <c r="X463" s="237"/>
      <c r="Y463" s="237"/>
      <c r="Z463" s="237"/>
      <c r="AA463" s="237"/>
      <c r="AB463" s="237"/>
      <c r="AC463" s="237"/>
      <c r="AD463" s="237"/>
      <c r="AE463" s="237"/>
      <c r="AF463" s="237"/>
      <c r="AG463" s="237"/>
      <c r="AH463" s="237"/>
      <c r="AI463" s="98"/>
      <c r="AJ463" s="98"/>
      <c r="AK463" s="98"/>
      <c r="AL463" s="98"/>
      <c r="AM463" s="98"/>
      <c r="AN463" s="98"/>
      <c r="AO463" s="98"/>
    </row>
    <row r="464" ht="14.25" customHeight="1">
      <c r="A464" s="98"/>
      <c r="B464" s="98"/>
      <c r="C464" s="98"/>
      <c r="D464" s="98"/>
      <c r="E464" s="98"/>
      <c r="F464" s="235"/>
      <c r="G464" s="235"/>
      <c r="H464" s="236"/>
      <c r="I464" s="236"/>
      <c r="J464" s="236"/>
      <c r="K464" s="236"/>
      <c r="L464" s="236"/>
      <c r="M464" s="236"/>
      <c r="N464" s="236"/>
      <c r="O464" s="236"/>
      <c r="P464" s="236"/>
      <c r="Q464" s="236"/>
      <c r="R464" s="236"/>
      <c r="S464" s="236"/>
      <c r="T464" s="236"/>
      <c r="U464" s="236"/>
      <c r="V464" s="236"/>
      <c r="W464" s="237"/>
      <c r="X464" s="237"/>
      <c r="Y464" s="237"/>
      <c r="Z464" s="237"/>
      <c r="AA464" s="237"/>
      <c r="AB464" s="237"/>
      <c r="AC464" s="237"/>
      <c r="AD464" s="237"/>
      <c r="AE464" s="237"/>
      <c r="AF464" s="237"/>
      <c r="AG464" s="237"/>
      <c r="AH464" s="237"/>
      <c r="AI464" s="98"/>
      <c r="AJ464" s="98"/>
      <c r="AK464" s="98"/>
      <c r="AL464" s="98"/>
      <c r="AM464" s="98"/>
      <c r="AN464" s="98"/>
      <c r="AO464" s="98"/>
    </row>
    <row r="465" ht="14.25" customHeight="1">
      <c r="A465" s="98"/>
      <c r="B465" s="98"/>
      <c r="C465" s="98"/>
      <c r="D465" s="98"/>
      <c r="E465" s="98"/>
      <c r="F465" s="235"/>
      <c r="G465" s="235"/>
      <c r="H465" s="236"/>
      <c r="I465" s="236"/>
      <c r="J465" s="236"/>
      <c r="K465" s="236"/>
      <c r="L465" s="236"/>
      <c r="M465" s="236"/>
      <c r="N465" s="236"/>
      <c r="O465" s="236"/>
      <c r="P465" s="236"/>
      <c r="Q465" s="236"/>
      <c r="R465" s="236"/>
      <c r="S465" s="236"/>
      <c r="T465" s="236"/>
      <c r="U465" s="236"/>
      <c r="V465" s="236"/>
      <c r="W465" s="237"/>
      <c r="X465" s="237"/>
      <c r="Y465" s="237"/>
      <c r="Z465" s="237"/>
      <c r="AA465" s="237"/>
      <c r="AB465" s="237"/>
      <c r="AC465" s="237"/>
      <c r="AD465" s="237"/>
      <c r="AE465" s="237"/>
      <c r="AF465" s="237"/>
      <c r="AG465" s="237"/>
      <c r="AH465" s="237"/>
      <c r="AI465" s="98"/>
      <c r="AJ465" s="98"/>
      <c r="AK465" s="98"/>
      <c r="AL465" s="98"/>
      <c r="AM465" s="98"/>
      <c r="AN465" s="98"/>
      <c r="AO465" s="98"/>
    </row>
    <row r="466" ht="14.25" customHeight="1">
      <c r="A466" s="98"/>
      <c r="B466" s="98"/>
      <c r="C466" s="98"/>
      <c r="D466" s="98"/>
      <c r="E466" s="98"/>
      <c r="F466" s="235"/>
      <c r="G466" s="235"/>
      <c r="H466" s="236"/>
      <c r="I466" s="236"/>
      <c r="J466" s="236"/>
      <c r="K466" s="236"/>
      <c r="L466" s="236"/>
      <c r="M466" s="236"/>
      <c r="N466" s="236"/>
      <c r="O466" s="236"/>
      <c r="P466" s="236"/>
      <c r="Q466" s="236"/>
      <c r="R466" s="236"/>
      <c r="S466" s="236"/>
      <c r="T466" s="236"/>
      <c r="U466" s="236"/>
      <c r="V466" s="236"/>
      <c r="W466" s="237"/>
      <c r="X466" s="237"/>
      <c r="Y466" s="237"/>
      <c r="Z466" s="237"/>
      <c r="AA466" s="237"/>
      <c r="AB466" s="237"/>
      <c r="AC466" s="237"/>
      <c r="AD466" s="237"/>
      <c r="AE466" s="237"/>
      <c r="AF466" s="237"/>
      <c r="AG466" s="237"/>
      <c r="AH466" s="237"/>
      <c r="AI466" s="98"/>
      <c r="AJ466" s="98"/>
      <c r="AK466" s="98"/>
      <c r="AL466" s="98"/>
      <c r="AM466" s="98"/>
      <c r="AN466" s="98"/>
      <c r="AO466" s="98"/>
    </row>
    <row r="467" ht="14.25" customHeight="1">
      <c r="A467" s="98"/>
      <c r="B467" s="98"/>
      <c r="C467" s="98"/>
      <c r="D467" s="98"/>
      <c r="E467" s="98"/>
      <c r="F467" s="235"/>
      <c r="G467" s="235"/>
      <c r="H467" s="236"/>
      <c r="I467" s="236"/>
      <c r="J467" s="236"/>
      <c r="K467" s="236"/>
      <c r="L467" s="236"/>
      <c r="M467" s="236"/>
      <c r="N467" s="236"/>
      <c r="O467" s="236"/>
      <c r="P467" s="236"/>
      <c r="Q467" s="236"/>
      <c r="R467" s="236"/>
      <c r="S467" s="236"/>
      <c r="T467" s="236"/>
      <c r="U467" s="236"/>
      <c r="V467" s="236"/>
      <c r="W467" s="237"/>
      <c r="X467" s="237"/>
      <c r="Y467" s="237"/>
      <c r="Z467" s="237"/>
      <c r="AA467" s="237"/>
      <c r="AB467" s="237"/>
      <c r="AC467" s="237"/>
      <c r="AD467" s="237"/>
      <c r="AE467" s="237"/>
      <c r="AF467" s="237"/>
      <c r="AG467" s="237"/>
      <c r="AH467" s="237"/>
      <c r="AI467" s="98"/>
      <c r="AJ467" s="98"/>
      <c r="AK467" s="98"/>
      <c r="AL467" s="98"/>
      <c r="AM467" s="98"/>
      <c r="AN467" s="98"/>
      <c r="AO467" s="98"/>
    </row>
    <row r="468" ht="14.25" customHeight="1">
      <c r="A468" s="98"/>
      <c r="B468" s="98"/>
      <c r="C468" s="98"/>
      <c r="D468" s="98"/>
      <c r="E468" s="98"/>
      <c r="F468" s="235"/>
      <c r="G468" s="235"/>
      <c r="H468" s="236"/>
      <c r="I468" s="236"/>
      <c r="J468" s="236"/>
      <c r="K468" s="236"/>
      <c r="L468" s="236"/>
      <c r="M468" s="236"/>
      <c r="N468" s="236"/>
      <c r="O468" s="236"/>
      <c r="P468" s="236"/>
      <c r="Q468" s="236"/>
      <c r="R468" s="236"/>
      <c r="S468" s="236"/>
      <c r="T468" s="236"/>
      <c r="U468" s="236"/>
      <c r="V468" s="236"/>
      <c r="W468" s="237"/>
      <c r="X468" s="237"/>
      <c r="Y468" s="237"/>
      <c r="Z468" s="237"/>
      <c r="AA468" s="237"/>
      <c r="AB468" s="237"/>
      <c r="AC468" s="237"/>
      <c r="AD468" s="237"/>
      <c r="AE468" s="237"/>
      <c r="AF468" s="237"/>
      <c r="AG468" s="237"/>
      <c r="AH468" s="237"/>
      <c r="AI468" s="98"/>
      <c r="AJ468" s="98"/>
      <c r="AK468" s="98"/>
      <c r="AL468" s="98"/>
      <c r="AM468" s="98"/>
      <c r="AN468" s="98"/>
      <c r="AO468" s="98"/>
    </row>
    <row r="469" ht="14.25" customHeight="1">
      <c r="A469" s="98"/>
      <c r="B469" s="98"/>
      <c r="C469" s="98"/>
      <c r="D469" s="98"/>
      <c r="E469" s="98"/>
      <c r="F469" s="235"/>
      <c r="G469" s="235"/>
      <c r="H469" s="236"/>
      <c r="I469" s="236"/>
      <c r="J469" s="236"/>
      <c r="K469" s="236"/>
      <c r="L469" s="236"/>
      <c r="M469" s="236"/>
      <c r="N469" s="236"/>
      <c r="O469" s="236"/>
      <c r="P469" s="236"/>
      <c r="Q469" s="236"/>
      <c r="R469" s="236"/>
      <c r="S469" s="236"/>
      <c r="T469" s="236"/>
      <c r="U469" s="236"/>
      <c r="V469" s="236"/>
      <c r="W469" s="237"/>
      <c r="X469" s="237"/>
      <c r="Y469" s="237"/>
      <c r="Z469" s="237"/>
      <c r="AA469" s="237"/>
      <c r="AB469" s="237"/>
      <c r="AC469" s="237"/>
      <c r="AD469" s="237"/>
      <c r="AE469" s="237"/>
      <c r="AF469" s="237"/>
      <c r="AG469" s="237"/>
      <c r="AH469" s="237"/>
      <c r="AI469" s="98"/>
      <c r="AJ469" s="98"/>
      <c r="AK469" s="98"/>
      <c r="AL469" s="98"/>
      <c r="AM469" s="98"/>
      <c r="AN469" s="98"/>
      <c r="AO469" s="98"/>
    </row>
    <row r="470" ht="14.25" customHeight="1">
      <c r="A470" s="98"/>
      <c r="B470" s="98"/>
      <c r="C470" s="98"/>
      <c r="D470" s="98"/>
      <c r="E470" s="98"/>
      <c r="F470" s="235"/>
      <c r="G470" s="235"/>
      <c r="H470" s="236"/>
      <c r="I470" s="236"/>
      <c r="J470" s="236"/>
      <c r="K470" s="236"/>
      <c r="L470" s="236"/>
      <c r="M470" s="236"/>
      <c r="N470" s="236"/>
      <c r="O470" s="236"/>
      <c r="P470" s="236"/>
      <c r="Q470" s="236"/>
      <c r="R470" s="236"/>
      <c r="S470" s="236"/>
      <c r="T470" s="236"/>
      <c r="U470" s="236"/>
      <c r="V470" s="236"/>
      <c r="W470" s="237"/>
      <c r="X470" s="237"/>
      <c r="Y470" s="237"/>
      <c r="Z470" s="237"/>
      <c r="AA470" s="237"/>
      <c r="AB470" s="237"/>
      <c r="AC470" s="237"/>
      <c r="AD470" s="237"/>
      <c r="AE470" s="237"/>
      <c r="AF470" s="237"/>
      <c r="AG470" s="237"/>
      <c r="AH470" s="237"/>
      <c r="AI470" s="98"/>
      <c r="AJ470" s="98"/>
      <c r="AK470" s="98"/>
      <c r="AL470" s="98"/>
      <c r="AM470" s="98"/>
      <c r="AN470" s="98"/>
      <c r="AO470" s="98"/>
    </row>
    <row r="471" ht="14.25" customHeight="1">
      <c r="A471" s="98"/>
      <c r="B471" s="98"/>
      <c r="C471" s="98"/>
      <c r="D471" s="98"/>
      <c r="E471" s="98"/>
      <c r="F471" s="235"/>
      <c r="G471" s="235"/>
      <c r="H471" s="236"/>
      <c r="I471" s="236"/>
      <c r="J471" s="236"/>
      <c r="K471" s="236"/>
      <c r="L471" s="236"/>
      <c r="M471" s="236"/>
      <c r="N471" s="236"/>
      <c r="O471" s="236"/>
      <c r="P471" s="236"/>
      <c r="Q471" s="236"/>
      <c r="R471" s="236"/>
      <c r="S471" s="236"/>
      <c r="T471" s="236"/>
      <c r="U471" s="236"/>
      <c r="V471" s="236"/>
      <c r="W471" s="237"/>
      <c r="X471" s="237"/>
      <c r="Y471" s="237"/>
      <c r="Z471" s="237"/>
      <c r="AA471" s="237"/>
      <c r="AB471" s="237"/>
      <c r="AC471" s="237"/>
      <c r="AD471" s="237"/>
      <c r="AE471" s="237"/>
      <c r="AF471" s="237"/>
      <c r="AG471" s="237"/>
      <c r="AH471" s="237"/>
      <c r="AI471" s="98"/>
      <c r="AJ471" s="98"/>
      <c r="AK471" s="98"/>
      <c r="AL471" s="98"/>
      <c r="AM471" s="98"/>
      <c r="AN471" s="98"/>
      <c r="AO471" s="98"/>
    </row>
    <row r="472" ht="14.25" customHeight="1">
      <c r="A472" s="98"/>
      <c r="B472" s="98"/>
      <c r="C472" s="98"/>
      <c r="D472" s="98"/>
      <c r="E472" s="98"/>
      <c r="F472" s="235"/>
      <c r="G472" s="235"/>
      <c r="H472" s="236"/>
      <c r="I472" s="236"/>
      <c r="J472" s="236"/>
      <c r="K472" s="236"/>
      <c r="L472" s="236"/>
      <c r="M472" s="236"/>
      <c r="N472" s="236"/>
      <c r="O472" s="236"/>
      <c r="P472" s="236"/>
      <c r="Q472" s="236"/>
      <c r="R472" s="236"/>
      <c r="S472" s="236"/>
      <c r="T472" s="236"/>
      <c r="U472" s="236"/>
      <c r="V472" s="236"/>
      <c r="W472" s="237"/>
      <c r="X472" s="237"/>
      <c r="Y472" s="237"/>
      <c r="Z472" s="237"/>
      <c r="AA472" s="237"/>
      <c r="AB472" s="237"/>
      <c r="AC472" s="237"/>
      <c r="AD472" s="237"/>
      <c r="AE472" s="237"/>
      <c r="AF472" s="237"/>
      <c r="AG472" s="237"/>
      <c r="AH472" s="237"/>
      <c r="AI472" s="98"/>
      <c r="AJ472" s="98"/>
      <c r="AK472" s="98"/>
      <c r="AL472" s="98"/>
      <c r="AM472" s="98"/>
      <c r="AN472" s="98"/>
      <c r="AO472" s="98"/>
    </row>
    <row r="473" ht="14.25" customHeight="1">
      <c r="A473" s="98"/>
      <c r="B473" s="98"/>
      <c r="C473" s="98"/>
      <c r="D473" s="98"/>
      <c r="E473" s="98"/>
      <c r="F473" s="235"/>
      <c r="G473" s="235"/>
      <c r="H473" s="236"/>
      <c r="I473" s="236"/>
      <c r="J473" s="236"/>
      <c r="K473" s="236"/>
      <c r="L473" s="236"/>
      <c r="M473" s="236"/>
      <c r="N473" s="236"/>
      <c r="O473" s="236"/>
      <c r="P473" s="236"/>
      <c r="Q473" s="236"/>
      <c r="R473" s="236"/>
      <c r="S473" s="236"/>
      <c r="T473" s="236"/>
      <c r="U473" s="236"/>
      <c r="V473" s="236"/>
      <c r="W473" s="237"/>
      <c r="X473" s="237"/>
      <c r="Y473" s="237"/>
      <c r="Z473" s="237"/>
      <c r="AA473" s="237"/>
      <c r="AB473" s="237"/>
      <c r="AC473" s="237"/>
      <c r="AD473" s="237"/>
      <c r="AE473" s="237"/>
      <c r="AF473" s="237"/>
      <c r="AG473" s="237"/>
      <c r="AH473" s="237"/>
      <c r="AI473" s="98"/>
      <c r="AJ473" s="98"/>
      <c r="AK473" s="98"/>
      <c r="AL473" s="98"/>
      <c r="AM473" s="98"/>
      <c r="AN473" s="98"/>
      <c r="AO473" s="98"/>
    </row>
    <row r="474" ht="14.25" customHeight="1">
      <c r="A474" s="98"/>
      <c r="B474" s="98"/>
      <c r="C474" s="98"/>
      <c r="D474" s="98"/>
      <c r="E474" s="98"/>
      <c r="F474" s="235"/>
      <c r="G474" s="235"/>
      <c r="H474" s="236"/>
      <c r="I474" s="236"/>
      <c r="J474" s="236"/>
      <c r="K474" s="236"/>
      <c r="L474" s="236"/>
      <c r="M474" s="236"/>
      <c r="N474" s="236"/>
      <c r="O474" s="236"/>
      <c r="P474" s="236"/>
      <c r="Q474" s="236"/>
      <c r="R474" s="236"/>
      <c r="S474" s="236"/>
      <c r="T474" s="236"/>
      <c r="U474" s="236"/>
      <c r="V474" s="236"/>
      <c r="W474" s="237"/>
      <c r="X474" s="237"/>
      <c r="Y474" s="237"/>
      <c r="Z474" s="237"/>
      <c r="AA474" s="237"/>
      <c r="AB474" s="237"/>
      <c r="AC474" s="237"/>
      <c r="AD474" s="237"/>
      <c r="AE474" s="237"/>
      <c r="AF474" s="237"/>
      <c r="AG474" s="237"/>
      <c r="AH474" s="237"/>
      <c r="AI474" s="98"/>
      <c r="AJ474" s="98"/>
      <c r="AK474" s="98"/>
      <c r="AL474" s="98"/>
      <c r="AM474" s="98"/>
      <c r="AN474" s="98"/>
      <c r="AO474" s="98"/>
    </row>
    <row r="475" ht="14.25" customHeight="1">
      <c r="A475" s="98"/>
      <c r="B475" s="98"/>
      <c r="C475" s="98"/>
      <c r="D475" s="98"/>
      <c r="E475" s="98"/>
      <c r="F475" s="235"/>
      <c r="G475" s="235"/>
      <c r="H475" s="236"/>
      <c r="I475" s="236"/>
      <c r="J475" s="236"/>
      <c r="K475" s="236"/>
      <c r="L475" s="236"/>
      <c r="M475" s="236"/>
      <c r="N475" s="236"/>
      <c r="O475" s="236"/>
      <c r="P475" s="236"/>
      <c r="Q475" s="236"/>
      <c r="R475" s="236"/>
      <c r="S475" s="236"/>
      <c r="T475" s="236"/>
      <c r="U475" s="236"/>
      <c r="V475" s="236"/>
      <c r="W475" s="237"/>
      <c r="X475" s="237"/>
      <c r="Y475" s="237"/>
      <c r="Z475" s="237"/>
      <c r="AA475" s="237"/>
      <c r="AB475" s="237"/>
      <c r="AC475" s="237"/>
      <c r="AD475" s="237"/>
      <c r="AE475" s="237"/>
      <c r="AF475" s="237"/>
      <c r="AG475" s="237"/>
      <c r="AH475" s="237"/>
      <c r="AI475" s="98"/>
      <c r="AJ475" s="98"/>
      <c r="AK475" s="98"/>
      <c r="AL475" s="98"/>
      <c r="AM475" s="98"/>
      <c r="AN475" s="98"/>
      <c r="AO475" s="98"/>
    </row>
    <row r="476" ht="14.25" customHeight="1">
      <c r="A476" s="98"/>
      <c r="B476" s="98"/>
      <c r="C476" s="98"/>
      <c r="D476" s="98"/>
      <c r="E476" s="98"/>
      <c r="F476" s="235"/>
      <c r="G476" s="235"/>
      <c r="H476" s="236"/>
      <c r="I476" s="236"/>
      <c r="J476" s="236"/>
      <c r="K476" s="236"/>
      <c r="L476" s="236"/>
      <c r="M476" s="236"/>
      <c r="N476" s="236"/>
      <c r="O476" s="236"/>
      <c r="P476" s="236"/>
      <c r="Q476" s="236"/>
      <c r="R476" s="236"/>
      <c r="S476" s="236"/>
      <c r="T476" s="236"/>
      <c r="U476" s="236"/>
      <c r="V476" s="236"/>
      <c r="W476" s="237"/>
      <c r="X476" s="237"/>
      <c r="Y476" s="237"/>
      <c r="Z476" s="237"/>
      <c r="AA476" s="237"/>
      <c r="AB476" s="237"/>
      <c r="AC476" s="237"/>
      <c r="AD476" s="237"/>
      <c r="AE476" s="237"/>
      <c r="AF476" s="237"/>
      <c r="AG476" s="237"/>
      <c r="AH476" s="237"/>
      <c r="AI476" s="98"/>
      <c r="AJ476" s="98"/>
      <c r="AK476" s="98"/>
      <c r="AL476" s="98"/>
      <c r="AM476" s="98"/>
      <c r="AN476" s="98"/>
      <c r="AO476" s="98"/>
    </row>
    <row r="477" ht="14.25" customHeight="1">
      <c r="A477" s="98"/>
      <c r="B477" s="98"/>
      <c r="C477" s="98"/>
      <c r="D477" s="98"/>
      <c r="E477" s="98"/>
      <c r="F477" s="235"/>
      <c r="G477" s="235"/>
      <c r="H477" s="236"/>
      <c r="I477" s="236"/>
      <c r="J477" s="236"/>
      <c r="K477" s="236"/>
      <c r="L477" s="236"/>
      <c r="M477" s="236"/>
      <c r="N477" s="236"/>
      <c r="O477" s="236"/>
      <c r="P477" s="236"/>
      <c r="Q477" s="236"/>
      <c r="R477" s="236"/>
      <c r="S477" s="236"/>
      <c r="T477" s="236"/>
      <c r="U477" s="236"/>
      <c r="V477" s="236"/>
      <c r="W477" s="237"/>
      <c r="X477" s="237"/>
      <c r="Y477" s="237"/>
      <c r="Z477" s="237"/>
      <c r="AA477" s="237"/>
      <c r="AB477" s="237"/>
      <c r="AC477" s="237"/>
      <c r="AD477" s="237"/>
      <c r="AE477" s="237"/>
      <c r="AF477" s="237"/>
      <c r="AG477" s="237"/>
      <c r="AH477" s="237"/>
      <c r="AI477" s="98"/>
      <c r="AJ477" s="98"/>
      <c r="AK477" s="98"/>
      <c r="AL477" s="98"/>
      <c r="AM477" s="98"/>
      <c r="AN477" s="98"/>
      <c r="AO477" s="98"/>
    </row>
    <row r="478" ht="14.25" customHeight="1">
      <c r="A478" s="98"/>
      <c r="B478" s="98"/>
      <c r="C478" s="98"/>
      <c r="D478" s="98"/>
      <c r="E478" s="98"/>
      <c r="F478" s="235"/>
      <c r="G478" s="235"/>
      <c r="H478" s="236"/>
      <c r="I478" s="236"/>
      <c r="J478" s="236"/>
      <c r="K478" s="236"/>
      <c r="L478" s="236"/>
      <c r="M478" s="236"/>
      <c r="N478" s="236"/>
      <c r="O478" s="236"/>
      <c r="P478" s="236"/>
      <c r="Q478" s="236"/>
      <c r="R478" s="236"/>
      <c r="S478" s="236"/>
      <c r="T478" s="236"/>
      <c r="U478" s="236"/>
      <c r="V478" s="236"/>
      <c r="W478" s="237"/>
      <c r="X478" s="237"/>
      <c r="Y478" s="237"/>
      <c r="Z478" s="237"/>
      <c r="AA478" s="237"/>
      <c r="AB478" s="237"/>
      <c r="AC478" s="237"/>
      <c r="AD478" s="237"/>
      <c r="AE478" s="237"/>
      <c r="AF478" s="237"/>
      <c r="AG478" s="237"/>
      <c r="AH478" s="237"/>
      <c r="AI478" s="98"/>
      <c r="AJ478" s="98"/>
      <c r="AK478" s="98"/>
      <c r="AL478" s="98"/>
      <c r="AM478" s="98"/>
      <c r="AN478" s="98"/>
      <c r="AO478" s="98"/>
    </row>
    <row r="479" ht="14.25" customHeight="1">
      <c r="A479" s="98"/>
      <c r="B479" s="98"/>
      <c r="C479" s="98"/>
      <c r="D479" s="98"/>
      <c r="E479" s="98"/>
      <c r="F479" s="235"/>
      <c r="G479" s="235"/>
      <c r="H479" s="236"/>
      <c r="I479" s="236"/>
      <c r="J479" s="236"/>
      <c r="K479" s="236"/>
      <c r="L479" s="236"/>
      <c r="M479" s="236"/>
      <c r="N479" s="236"/>
      <c r="O479" s="236"/>
      <c r="P479" s="236"/>
      <c r="Q479" s="236"/>
      <c r="R479" s="236"/>
      <c r="S479" s="236"/>
      <c r="T479" s="236"/>
      <c r="U479" s="236"/>
      <c r="V479" s="236"/>
      <c r="W479" s="237"/>
      <c r="X479" s="237"/>
      <c r="Y479" s="237"/>
      <c r="Z479" s="237"/>
      <c r="AA479" s="237"/>
      <c r="AB479" s="237"/>
      <c r="AC479" s="237"/>
      <c r="AD479" s="237"/>
      <c r="AE479" s="237"/>
      <c r="AF479" s="237"/>
      <c r="AG479" s="237"/>
      <c r="AH479" s="237"/>
      <c r="AI479" s="98"/>
      <c r="AJ479" s="98"/>
      <c r="AK479" s="98"/>
      <c r="AL479" s="98"/>
      <c r="AM479" s="98"/>
      <c r="AN479" s="98"/>
      <c r="AO479" s="98"/>
    </row>
    <row r="480" ht="14.25" customHeight="1">
      <c r="A480" s="98"/>
      <c r="B480" s="98"/>
      <c r="C480" s="98"/>
      <c r="D480" s="98"/>
      <c r="E480" s="98"/>
      <c r="F480" s="235"/>
      <c r="G480" s="235"/>
      <c r="H480" s="236"/>
      <c r="I480" s="236"/>
      <c r="J480" s="236"/>
      <c r="K480" s="236"/>
      <c r="L480" s="236"/>
      <c r="M480" s="236"/>
      <c r="N480" s="236"/>
      <c r="O480" s="236"/>
      <c r="P480" s="236"/>
      <c r="Q480" s="236"/>
      <c r="R480" s="236"/>
      <c r="S480" s="236"/>
      <c r="T480" s="236"/>
      <c r="U480" s="236"/>
      <c r="V480" s="236"/>
      <c r="W480" s="237"/>
      <c r="X480" s="237"/>
      <c r="Y480" s="237"/>
      <c r="Z480" s="237"/>
      <c r="AA480" s="237"/>
      <c r="AB480" s="237"/>
      <c r="AC480" s="237"/>
      <c r="AD480" s="237"/>
      <c r="AE480" s="237"/>
      <c r="AF480" s="237"/>
      <c r="AG480" s="237"/>
      <c r="AH480" s="237"/>
      <c r="AI480" s="98"/>
      <c r="AJ480" s="98"/>
      <c r="AK480" s="98"/>
      <c r="AL480" s="98"/>
      <c r="AM480" s="98"/>
      <c r="AN480" s="98"/>
      <c r="AO480" s="98"/>
    </row>
    <row r="481" ht="14.25" customHeight="1">
      <c r="A481" s="98"/>
      <c r="B481" s="98"/>
      <c r="C481" s="98"/>
      <c r="D481" s="98"/>
      <c r="E481" s="98"/>
      <c r="F481" s="235"/>
      <c r="G481" s="235"/>
      <c r="H481" s="236"/>
      <c r="I481" s="236"/>
      <c r="J481" s="236"/>
      <c r="K481" s="236"/>
      <c r="L481" s="236"/>
      <c r="M481" s="236"/>
      <c r="N481" s="236"/>
      <c r="O481" s="236"/>
      <c r="P481" s="236"/>
      <c r="Q481" s="236"/>
      <c r="R481" s="236"/>
      <c r="S481" s="236"/>
      <c r="T481" s="236"/>
      <c r="U481" s="236"/>
      <c r="V481" s="236"/>
      <c r="W481" s="237"/>
      <c r="X481" s="237"/>
      <c r="Y481" s="237"/>
      <c r="Z481" s="237"/>
      <c r="AA481" s="237"/>
      <c r="AB481" s="237"/>
      <c r="AC481" s="237"/>
      <c r="AD481" s="237"/>
      <c r="AE481" s="237"/>
      <c r="AF481" s="237"/>
      <c r="AG481" s="237"/>
      <c r="AH481" s="237"/>
      <c r="AI481" s="98"/>
      <c r="AJ481" s="98"/>
      <c r="AK481" s="98"/>
      <c r="AL481" s="98"/>
      <c r="AM481" s="98"/>
      <c r="AN481" s="98"/>
      <c r="AO481" s="98"/>
    </row>
    <row r="482" ht="14.25" customHeight="1">
      <c r="A482" s="98"/>
      <c r="B482" s="98"/>
      <c r="C482" s="98"/>
      <c r="D482" s="98"/>
      <c r="E482" s="98"/>
      <c r="F482" s="235"/>
      <c r="G482" s="235"/>
      <c r="H482" s="236"/>
      <c r="I482" s="236"/>
      <c r="J482" s="236"/>
      <c r="K482" s="236"/>
      <c r="L482" s="236"/>
      <c r="M482" s="236"/>
      <c r="N482" s="236"/>
      <c r="O482" s="236"/>
      <c r="P482" s="236"/>
      <c r="Q482" s="236"/>
      <c r="R482" s="236"/>
      <c r="S482" s="236"/>
      <c r="T482" s="236"/>
      <c r="U482" s="236"/>
      <c r="V482" s="236"/>
      <c r="W482" s="237"/>
      <c r="X482" s="237"/>
      <c r="Y482" s="237"/>
      <c r="Z482" s="237"/>
      <c r="AA482" s="237"/>
      <c r="AB482" s="237"/>
      <c r="AC482" s="237"/>
      <c r="AD482" s="237"/>
      <c r="AE482" s="237"/>
      <c r="AF482" s="237"/>
      <c r="AG482" s="237"/>
      <c r="AH482" s="237"/>
      <c r="AI482" s="98"/>
      <c r="AJ482" s="98"/>
      <c r="AK482" s="98"/>
      <c r="AL482" s="98"/>
      <c r="AM482" s="98"/>
      <c r="AN482" s="98"/>
      <c r="AO482" s="98"/>
    </row>
    <row r="483" ht="14.25" customHeight="1">
      <c r="A483" s="98"/>
      <c r="B483" s="98"/>
      <c r="C483" s="98"/>
      <c r="D483" s="98"/>
      <c r="E483" s="98"/>
      <c r="F483" s="235"/>
      <c r="G483" s="235"/>
      <c r="H483" s="236"/>
      <c r="I483" s="236"/>
      <c r="J483" s="236"/>
      <c r="K483" s="236"/>
      <c r="L483" s="236"/>
      <c r="M483" s="236"/>
      <c r="N483" s="236"/>
      <c r="O483" s="236"/>
      <c r="P483" s="236"/>
      <c r="Q483" s="236"/>
      <c r="R483" s="236"/>
      <c r="S483" s="236"/>
      <c r="T483" s="236"/>
      <c r="U483" s="236"/>
      <c r="V483" s="236"/>
      <c r="W483" s="237"/>
      <c r="X483" s="237"/>
      <c r="Y483" s="237"/>
      <c r="Z483" s="237"/>
      <c r="AA483" s="237"/>
      <c r="AB483" s="237"/>
      <c r="AC483" s="237"/>
      <c r="AD483" s="237"/>
      <c r="AE483" s="237"/>
      <c r="AF483" s="237"/>
      <c r="AG483" s="237"/>
      <c r="AH483" s="237"/>
      <c r="AI483" s="98"/>
      <c r="AJ483" s="98"/>
      <c r="AK483" s="98"/>
      <c r="AL483" s="98"/>
      <c r="AM483" s="98"/>
      <c r="AN483" s="98"/>
      <c r="AO483" s="98"/>
    </row>
    <row r="484" ht="14.25" customHeight="1">
      <c r="A484" s="98"/>
      <c r="B484" s="98"/>
      <c r="C484" s="98"/>
      <c r="D484" s="98"/>
      <c r="E484" s="98"/>
      <c r="F484" s="235"/>
      <c r="G484" s="235"/>
      <c r="H484" s="236"/>
      <c r="I484" s="236"/>
      <c r="J484" s="236"/>
      <c r="K484" s="236"/>
      <c r="L484" s="236"/>
      <c r="M484" s="236"/>
      <c r="N484" s="236"/>
      <c r="O484" s="236"/>
      <c r="P484" s="236"/>
      <c r="Q484" s="236"/>
      <c r="R484" s="236"/>
      <c r="S484" s="236"/>
      <c r="T484" s="236"/>
      <c r="U484" s="236"/>
      <c r="V484" s="236"/>
      <c r="W484" s="237"/>
      <c r="X484" s="237"/>
      <c r="Y484" s="237"/>
      <c r="Z484" s="237"/>
      <c r="AA484" s="237"/>
      <c r="AB484" s="237"/>
      <c r="AC484" s="237"/>
      <c r="AD484" s="237"/>
      <c r="AE484" s="237"/>
      <c r="AF484" s="237"/>
      <c r="AG484" s="237"/>
      <c r="AH484" s="237"/>
      <c r="AI484" s="98"/>
      <c r="AJ484" s="98"/>
      <c r="AK484" s="98"/>
      <c r="AL484" s="98"/>
      <c r="AM484" s="98"/>
      <c r="AN484" s="98"/>
      <c r="AO484" s="98"/>
    </row>
    <row r="485" ht="14.25" customHeight="1">
      <c r="A485" s="98"/>
      <c r="B485" s="98"/>
      <c r="C485" s="98"/>
      <c r="D485" s="98"/>
      <c r="E485" s="98"/>
      <c r="F485" s="235"/>
      <c r="G485" s="235"/>
      <c r="H485" s="236"/>
      <c r="I485" s="236"/>
      <c r="J485" s="236"/>
      <c r="K485" s="236"/>
      <c r="L485" s="236"/>
      <c r="M485" s="236"/>
      <c r="N485" s="236"/>
      <c r="O485" s="236"/>
      <c r="P485" s="236"/>
      <c r="Q485" s="236"/>
      <c r="R485" s="236"/>
      <c r="S485" s="236"/>
      <c r="T485" s="236"/>
      <c r="U485" s="236"/>
      <c r="V485" s="236"/>
      <c r="W485" s="237"/>
      <c r="X485" s="237"/>
      <c r="Y485" s="237"/>
      <c r="Z485" s="237"/>
      <c r="AA485" s="237"/>
      <c r="AB485" s="237"/>
      <c r="AC485" s="237"/>
      <c r="AD485" s="237"/>
      <c r="AE485" s="237"/>
      <c r="AF485" s="237"/>
      <c r="AG485" s="237"/>
      <c r="AH485" s="237"/>
      <c r="AI485" s="98"/>
      <c r="AJ485" s="98"/>
      <c r="AK485" s="98"/>
      <c r="AL485" s="98"/>
      <c r="AM485" s="98"/>
      <c r="AN485" s="98"/>
      <c r="AO485" s="98"/>
    </row>
    <row r="486" ht="14.25" customHeight="1">
      <c r="A486" s="98"/>
      <c r="B486" s="98"/>
      <c r="C486" s="98"/>
      <c r="D486" s="98"/>
      <c r="E486" s="98"/>
      <c r="F486" s="235"/>
      <c r="G486" s="235"/>
      <c r="H486" s="236"/>
      <c r="I486" s="236"/>
      <c r="J486" s="236"/>
      <c r="K486" s="236"/>
      <c r="L486" s="236"/>
      <c r="M486" s="236"/>
      <c r="N486" s="236"/>
      <c r="O486" s="236"/>
      <c r="P486" s="236"/>
      <c r="Q486" s="236"/>
      <c r="R486" s="236"/>
      <c r="S486" s="236"/>
      <c r="T486" s="236"/>
      <c r="U486" s="236"/>
      <c r="V486" s="236"/>
      <c r="W486" s="237"/>
      <c r="X486" s="237"/>
      <c r="Y486" s="237"/>
      <c r="Z486" s="237"/>
      <c r="AA486" s="237"/>
      <c r="AB486" s="237"/>
      <c r="AC486" s="237"/>
      <c r="AD486" s="237"/>
      <c r="AE486" s="237"/>
      <c r="AF486" s="237"/>
      <c r="AG486" s="237"/>
      <c r="AH486" s="237"/>
      <c r="AI486" s="98"/>
      <c r="AJ486" s="98"/>
      <c r="AK486" s="98"/>
      <c r="AL486" s="98"/>
      <c r="AM486" s="98"/>
      <c r="AN486" s="98"/>
      <c r="AO486" s="98"/>
    </row>
    <row r="487" ht="14.25" customHeight="1">
      <c r="A487" s="98"/>
      <c r="B487" s="98"/>
      <c r="C487" s="98"/>
      <c r="D487" s="98"/>
      <c r="E487" s="98"/>
      <c r="F487" s="235"/>
      <c r="G487" s="235"/>
      <c r="H487" s="236"/>
      <c r="I487" s="236"/>
      <c r="J487" s="236"/>
      <c r="K487" s="236"/>
      <c r="L487" s="236"/>
      <c r="M487" s="236"/>
      <c r="N487" s="236"/>
      <c r="O487" s="236"/>
      <c r="P487" s="236"/>
      <c r="Q487" s="236"/>
      <c r="R487" s="236"/>
      <c r="S487" s="236"/>
      <c r="T487" s="236"/>
      <c r="U487" s="236"/>
      <c r="V487" s="236"/>
      <c r="W487" s="237"/>
      <c r="X487" s="237"/>
      <c r="Y487" s="237"/>
      <c r="Z487" s="237"/>
      <c r="AA487" s="237"/>
      <c r="AB487" s="237"/>
      <c r="AC487" s="237"/>
      <c r="AD487" s="237"/>
      <c r="AE487" s="237"/>
      <c r="AF487" s="237"/>
      <c r="AG487" s="237"/>
      <c r="AH487" s="237"/>
      <c r="AI487" s="98"/>
      <c r="AJ487" s="98"/>
      <c r="AK487" s="98"/>
      <c r="AL487" s="98"/>
      <c r="AM487" s="98"/>
      <c r="AN487" s="98"/>
      <c r="AO487" s="98"/>
    </row>
    <row r="488" ht="14.25" customHeight="1">
      <c r="A488" s="98"/>
      <c r="B488" s="98"/>
      <c r="C488" s="98"/>
      <c r="D488" s="98"/>
      <c r="E488" s="98"/>
      <c r="F488" s="235"/>
      <c r="G488" s="235"/>
      <c r="H488" s="236"/>
      <c r="I488" s="236"/>
      <c r="J488" s="236"/>
      <c r="K488" s="236"/>
      <c r="L488" s="236"/>
      <c r="M488" s="236"/>
      <c r="N488" s="236"/>
      <c r="O488" s="236"/>
      <c r="P488" s="236"/>
      <c r="Q488" s="236"/>
      <c r="R488" s="236"/>
      <c r="S488" s="236"/>
      <c r="T488" s="236"/>
      <c r="U488" s="236"/>
      <c r="V488" s="236"/>
      <c r="W488" s="237"/>
      <c r="X488" s="237"/>
      <c r="Y488" s="237"/>
      <c r="Z488" s="237"/>
      <c r="AA488" s="237"/>
      <c r="AB488" s="237"/>
      <c r="AC488" s="237"/>
      <c r="AD488" s="237"/>
      <c r="AE488" s="237"/>
      <c r="AF488" s="237"/>
      <c r="AG488" s="237"/>
      <c r="AH488" s="237"/>
      <c r="AI488" s="98"/>
      <c r="AJ488" s="98"/>
      <c r="AK488" s="98"/>
      <c r="AL488" s="98"/>
      <c r="AM488" s="98"/>
      <c r="AN488" s="98"/>
      <c r="AO488" s="98"/>
    </row>
    <row r="489" ht="14.25" customHeight="1">
      <c r="A489" s="98"/>
      <c r="B489" s="98"/>
      <c r="C489" s="98"/>
      <c r="D489" s="98"/>
      <c r="E489" s="98"/>
      <c r="F489" s="235"/>
      <c r="G489" s="235"/>
      <c r="H489" s="236"/>
      <c r="I489" s="236"/>
      <c r="J489" s="236"/>
      <c r="K489" s="236"/>
      <c r="L489" s="236"/>
      <c r="M489" s="236"/>
      <c r="N489" s="236"/>
      <c r="O489" s="236"/>
      <c r="P489" s="236"/>
      <c r="Q489" s="236"/>
      <c r="R489" s="236"/>
      <c r="S489" s="236"/>
      <c r="T489" s="236"/>
      <c r="U489" s="236"/>
      <c r="V489" s="236"/>
      <c r="W489" s="237"/>
      <c r="X489" s="237"/>
      <c r="Y489" s="237"/>
      <c r="Z489" s="237"/>
      <c r="AA489" s="237"/>
      <c r="AB489" s="237"/>
      <c r="AC489" s="237"/>
      <c r="AD489" s="237"/>
      <c r="AE489" s="237"/>
      <c r="AF489" s="237"/>
      <c r="AG489" s="237"/>
      <c r="AH489" s="237"/>
      <c r="AI489" s="98"/>
      <c r="AJ489" s="98"/>
      <c r="AK489" s="98"/>
      <c r="AL489" s="98"/>
      <c r="AM489" s="98"/>
      <c r="AN489" s="98"/>
      <c r="AO489" s="98"/>
    </row>
    <row r="490" ht="14.25" customHeight="1">
      <c r="A490" s="98"/>
      <c r="B490" s="98"/>
      <c r="C490" s="98"/>
      <c r="D490" s="98"/>
      <c r="E490" s="98"/>
      <c r="F490" s="235"/>
      <c r="G490" s="235"/>
      <c r="H490" s="236"/>
      <c r="I490" s="236"/>
      <c r="J490" s="236"/>
      <c r="K490" s="236"/>
      <c r="L490" s="236"/>
      <c r="M490" s="236"/>
      <c r="N490" s="236"/>
      <c r="O490" s="236"/>
      <c r="P490" s="236"/>
      <c r="Q490" s="236"/>
      <c r="R490" s="236"/>
      <c r="S490" s="236"/>
      <c r="T490" s="236"/>
      <c r="U490" s="236"/>
      <c r="V490" s="236"/>
      <c r="W490" s="237"/>
      <c r="X490" s="237"/>
      <c r="Y490" s="237"/>
      <c r="Z490" s="237"/>
      <c r="AA490" s="237"/>
      <c r="AB490" s="237"/>
      <c r="AC490" s="237"/>
      <c r="AD490" s="237"/>
      <c r="AE490" s="237"/>
      <c r="AF490" s="237"/>
      <c r="AG490" s="237"/>
      <c r="AH490" s="237"/>
      <c r="AI490" s="98"/>
      <c r="AJ490" s="98"/>
      <c r="AK490" s="98"/>
      <c r="AL490" s="98"/>
      <c r="AM490" s="98"/>
      <c r="AN490" s="98"/>
      <c r="AO490" s="98"/>
    </row>
    <row r="491" ht="14.25" customHeight="1">
      <c r="A491" s="98"/>
      <c r="B491" s="98"/>
      <c r="C491" s="98"/>
      <c r="D491" s="98"/>
      <c r="E491" s="98"/>
      <c r="F491" s="235"/>
      <c r="G491" s="235"/>
      <c r="H491" s="236"/>
      <c r="I491" s="236"/>
      <c r="J491" s="236"/>
      <c r="K491" s="236"/>
      <c r="L491" s="236"/>
      <c r="M491" s="236"/>
      <c r="N491" s="236"/>
      <c r="O491" s="236"/>
      <c r="P491" s="236"/>
      <c r="Q491" s="236"/>
      <c r="R491" s="236"/>
      <c r="S491" s="236"/>
      <c r="T491" s="236"/>
      <c r="U491" s="236"/>
      <c r="V491" s="236"/>
      <c r="W491" s="237"/>
      <c r="X491" s="237"/>
      <c r="Y491" s="237"/>
      <c r="Z491" s="237"/>
      <c r="AA491" s="237"/>
      <c r="AB491" s="237"/>
      <c r="AC491" s="237"/>
      <c r="AD491" s="237"/>
      <c r="AE491" s="237"/>
      <c r="AF491" s="237"/>
      <c r="AG491" s="237"/>
      <c r="AH491" s="237"/>
      <c r="AI491" s="98"/>
      <c r="AJ491" s="98"/>
      <c r="AK491" s="98"/>
      <c r="AL491" s="98"/>
      <c r="AM491" s="98"/>
      <c r="AN491" s="98"/>
      <c r="AO491" s="98"/>
    </row>
    <row r="492" ht="14.25" customHeight="1">
      <c r="A492" s="98"/>
      <c r="B492" s="98"/>
      <c r="C492" s="98"/>
      <c r="D492" s="98"/>
      <c r="E492" s="98"/>
      <c r="F492" s="235"/>
      <c r="G492" s="235"/>
      <c r="H492" s="236"/>
      <c r="I492" s="236"/>
      <c r="J492" s="236"/>
      <c r="K492" s="236"/>
      <c r="L492" s="236"/>
      <c r="M492" s="236"/>
      <c r="N492" s="236"/>
      <c r="O492" s="236"/>
      <c r="P492" s="236"/>
      <c r="Q492" s="236"/>
      <c r="R492" s="236"/>
      <c r="S492" s="236"/>
      <c r="T492" s="236"/>
      <c r="U492" s="236"/>
      <c r="V492" s="236"/>
      <c r="W492" s="237"/>
      <c r="X492" s="237"/>
      <c r="Y492" s="237"/>
      <c r="Z492" s="237"/>
      <c r="AA492" s="237"/>
      <c r="AB492" s="237"/>
      <c r="AC492" s="237"/>
      <c r="AD492" s="237"/>
      <c r="AE492" s="237"/>
      <c r="AF492" s="237"/>
      <c r="AG492" s="237"/>
      <c r="AH492" s="237"/>
      <c r="AI492" s="98"/>
      <c r="AJ492" s="98"/>
      <c r="AK492" s="98"/>
      <c r="AL492" s="98"/>
      <c r="AM492" s="98"/>
      <c r="AN492" s="98"/>
      <c r="AO492" s="98"/>
    </row>
    <row r="493" ht="14.25" customHeight="1">
      <c r="A493" s="98"/>
      <c r="B493" s="98"/>
      <c r="C493" s="98"/>
      <c r="D493" s="98"/>
      <c r="E493" s="98"/>
      <c r="F493" s="235"/>
      <c r="G493" s="235"/>
      <c r="H493" s="236"/>
      <c r="I493" s="236"/>
      <c r="J493" s="236"/>
      <c r="K493" s="236"/>
      <c r="L493" s="236"/>
      <c r="M493" s="236"/>
      <c r="N493" s="236"/>
      <c r="O493" s="236"/>
      <c r="P493" s="236"/>
      <c r="Q493" s="236"/>
      <c r="R493" s="236"/>
      <c r="S493" s="236"/>
      <c r="T493" s="236"/>
      <c r="U493" s="236"/>
      <c r="V493" s="236"/>
      <c r="W493" s="237"/>
      <c r="X493" s="237"/>
      <c r="Y493" s="237"/>
      <c r="Z493" s="237"/>
      <c r="AA493" s="237"/>
      <c r="AB493" s="237"/>
      <c r="AC493" s="237"/>
      <c r="AD493" s="237"/>
      <c r="AE493" s="237"/>
      <c r="AF493" s="237"/>
      <c r="AG493" s="237"/>
      <c r="AH493" s="237"/>
      <c r="AI493" s="98"/>
      <c r="AJ493" s="98"/>
      <c r="AK493" s="98"/>
      <c r="AL493" s="98"/>
      <c r="AM493" s="98"/>
      <c r="AN493" s="98"/>
      <c r="AO493" s="98"/>
    </row>
    <row r="494" ht="14.25" customHeight="1">
      <c r="A494" s="98"/>
      <c r="B494" s="98"/>
      <c r="C494" s="98"/>
      <c r="D494" s="98"/>
      <c r="E494" s="98"/>
      <c r="F494" s="235"/>
      <c r="G494" s="235"/>
      <c r="H494" s="236"/>
      <c r="I494" s="236"/>
      <c r="J494" s="236"/>
      <c r="K494" s="236"/>
      <c r="L494" s="236"/>
      <c r="M494" s="236"/>
      <c r="N494" s="236"/>
      <c r="O494" s="236"/>
      <c r="P494" s="236"/>
      <c r="Q494" s="236"/>
      <c r="R494" s="236"/>
      <c r="S494" s="236"/>
      <c r="T494" s="236"/>
      <c r="U494" s="236"/>
      <c r="V494" s="236"/>
      <c r="W494" s="237"/>
      <c r="X494" s="237"/>
      <c r="Y494" s="237"/>
      <c r="Z494" s="237"/>
      <c r="AA494" s="237"/>
      <c r="AB494" s="237"/>
      <c r="AC494" s="237"/>
      <c r="AD494" s="237"/>
      <c r="AE494" s="237"/>
      <c r="AF494" s="237"/>
      <c r="AG494" s="237"/>
      <c r="AH494" s="237"/>
      <c r="AI494" s="98"/>
      <c r="AJ494" s="98"/>
      <c r="AK494" s="98"/>
      <c r="AL494" s="98"/>
      <c r="AM494" s="98"/>
      <c r="AN494" s="98"/>
      <c r="AO494" s="98"/>
    </row>
    <row r="495" ht="14.25" customHeight="1">
      <c r="A495" s="98"/>
      <c r="B495" s="98"/>
      <c r="C495" s="98"/>
      <c r="D495" s="98"/>
      <c r="E495" s="98"/>
      <c r="F495" s="235"/>
      <c r="G495" s="235"/>
      <c r="H495" s="236"/>
      <c r="I495" s="236"/>
      <c r="J495" s="236"/>
      <c r="K495" s="236"/>
      <c r="L495" s="236"/>
      <c r="M495" s="236"/>
      <c r="N495" s="236"/>
      <c r="O495" s="236"/>
      <c r="P495" s="236"/>
      <c r="Q495" s="236"/>
      <c r="R495" s="236"/>
      <c r="S495" s="236"/>
      <c r="T495" s="236"/>
      <c r="U495" s="236"/>
      <c r="V495" s="236"/>
      <c r="W495" s="237"/>
      <c r="X495" s="237"/>
      <c r="Y495" s="237"/>
      <c r="Z495" s="237"/>
      <c r="AA495" s="237"/>
      <c r="AB495" s="237"/>
      <c r="AC495" s="237"/>
      <c r="AD495" s="237"/>
      <c r="AE495" s="237"/>
      <c r="AF495" s="237"/>
      <c r="AG495" s="237"/>
      <c r="AH495" s="237"/>
      <c r="AI495" s="98"/>
      <c r="AJ495" s="98"/>
      <c r="AK495" s="98"/>
      <c r="AL495" s="98"/>
      <c r="AM495" s="98"/>
      <c r="AN495" s="98"/>
      <c r="AO495" s="98"/>
    </row>
    <row r="496" ht="14.25" customHeight="1">
      <c r="A496" s="98"/>
      <c r="B496" s="98"/>
      <c r="C496" s="98"/>
      <c r="D496" s="98"/>
      <c r="E496" s="98"/>
      <c r="F496" s="235"/>
      <c r="G496" s="235"/>
      <c r="H496" s="236"/>
      <c r="I496" s="236"/>
      <c r="J496" s="236"/>
      <c r="K496" s="236"/>
      <c r="L496" s="236"/>
      <c r="M496" s="236"/>
      <c r="N496" s="236"/>
      <c r="O496" s="236"/>
      <c r="P496" s="236"/>
      <c r="Q496" s="236"/>
      <c r="R496" s="236"/>
      <c r="S496" s="236"/>
      <c r="T496" s="236"/>
      <c r="U496" s="236"/>
      <c r="V496" s="236"/>
      <c r="W496" s="237"/>
      <c r="X496" s="237"/>
      <c r="Y496" s="237"/>
      <c r="Z496" s="237"/>
      <c r="AA496" s="237"/>
      <c r="AB496" s="237"/>
      <c r="AC496" s="237"/>
      <c r="AD496" s="237"/>
      <c r="AE496" s="237"/>
      <c r="AF496" s="237"/>
      <c r="AG496" s="237"/>
      <c r="AH496" s="237"/>
      <c r="AI496" s="98"/>
      <c r="AJ496" s="98"/>
      <c r="AK496" s="98"/>
      <c r="AL496" s="98"/>
      <c r="AM496" s="98"/>
      <c r="AN496" s="98"/>
      <c r="AO496" s="98"/>
    </row>
    <row r="497" ht="14.25" customHeight="1">
      <c r="A497" s="98"/>
      <c r="B497" s="98"/>
      <c r="C497" s="98"/>
      <c r="D497" s="98"/>
      <c r="E497" s="98"/>
      <c r="F497" s="235"/>
      <c r="G497" s="235"/>
      <c r="H497" s="236"/>
      <c r="I497" s="236"/>
      <c r="J497" s="236"/>
      <c r="K497" s="236"/>
      <c r="L497" s="236"/>
      <c r="M497" s="236"/>
      <c r="N497" s="236"/>
      <c r="O497" s="236"/>
      <c r="P497" s="236"/>
      <c r="Q497" s="236"/>
      <c r="R497" s="236"/>
      <c r="S497" s="236"/>
      <c r="T497" s="236"/>
      <c r="U497" s="236"/>
      <c r="V497" s="236"/>
      <c r="W497" s="237"/>
      <c r="X497" s="237"/>
      <c r="Y497" s="237"/>
      <c r="Z497" s="237"/>
      <c r="AA497" s="237"/>
      <c r="AB497" s="237"/>
      <c r="AC497" s="237"/>
      <c r="AD497" s="237"/>
      <c r="AE497" s="237"/>
      <c r="AF497" s="237"/>
      <c r="AG497" s="237"/>
      <c r="AH497" s="237"/>
      <c r="AI497" s="98"/>
      <c r="AJ497" s="98"/>
      <c r="AK497" s="98"/>
      <c r="AL497" s="98"/>
      <c r="AM497" s="98"/>
      <c r="AN497" s="98"/>
      <c r="AO497" s="98"/>
    </row>
    <row r="498" ht="14.25" customHeight="1">
      <c r="A498" s="98"/>
      <c r="B498" s="98"/>
      <c r="C498" s="98"/>
      <c r="D498" s="98"/>
      <c r="E498" s="98"/>
      <c r="F498" s="235"/>
      <c r="G498" s="235"/>
      <c r="H498" s="236"/>
      <c r="I498" s="236"/>
      <c r="J498" s="236"/>
      <c r="K498" s="236"/>
      <c r="L498" s="236"/>
      <c r="M498" s="236"/>
      <c r="N498" s="236"/>
      <c r="O498" s="236"/>
      <c r="P498" s="236"/>
      <c r="Q498" s="236"/>
      <c r="R498" s="236"/>
      <c r="S498" s="236"/>
      <c r="T498" s="236"/>
      <c r="U498" s="236"/>
      <c r="V498" s="236"/>
      <c r="W498" s="237"/>
      <c r="X498" s="237"/>
      <c r="Y498" s="237"/>
      <c r="Z498" s="237"/>
      <c r="AA498" s="237"/>
      <c r="AB498" s="237"/>
      <c r="AC498" s="237"/>
      <c r="AD498" s="237"/>
      <c r="AE498" s="237"/>
      <c r="AF498" s="237"/>
      <c r="AG498" s="237"/>
      <c r="AH498" s="237"/>
      <c r="AI498" s="98"/>
      <c r="AJ498" s="98"/>
      <c r="AK498" s="98"/>
      <c r="AL498" s="98"/>
      <c r="AM498" s="98"/>
      <c r="AN498" s="98"/>
      <c r="AO498" s="98"/>
    </row>
    <row r="499" ht="14.25" customHeight="1">
      <c r="A499" s="98"/>
      <c r="B499" s="98"/>
      <c r="C499" s="98"/>
      <c r="D499" s="98"/>
      <c r="E499" s="98"/>
      <c r="F499" s="235"/>
      <c r="G499" s="235"/>
      <c r="H499" s="236"/>
      <c r="I499" s="236"/>
      <c r="J499" s="236"/>
      <c r="K499" s="236"/>
      <c r="L499" s="236"/>
      <c r="M499" s="236"/>
      <c r="N499" s="236"/>
      <c r="O499" s="236"/>
      <c r="P499" s="236"/>
      <c r="Q499" s="236"/>
      <c r="R499" s="236"/>
      <c r="S499" s="236"/>
      <c r="T499" s="236"/>
      <c r="U499" s="236"/>
      <c r="V499" s="236"/>
      <c r="W499" s="237"/>
      <c r="X499" s="237"/>
      <c r="Y499" s="237"/>
      <c r="Z499" s="237"/>
      <c r="AA499" s="237"/>
      <c r="AB499" s="237"/>
      <c r="AC499" s="237"/>
      <c r="AD499" s="237"/>
      <c r="AE499" s="237"/>
      <c r="AF499" s="237"/>
      <c r="AG499" s="237"/>
      <c r="AH499" s="237"/>
      <c r="AI499" s="98"/>
      <c r="AJ499" s="98"/>
      <c r="AK499" s="98"/>
      <c r="AL499" s="98"/>
      <c r="AM499" s="98"/>
      <c r="AN499" s="98"/>
      <c r="AO499" s="98"/>
    </row>
    <row r="500" ht="14.25" customHeight="1">
      <c r="A500" s="98"/>
      <c r="B500" s="98"/>
      <c r="C500" s="98"/>
      <c r="D500" s="98"/>
      <c r="E500" s="98"/>
      <c r="F500" s="235"/>
      <c r="G500" s="235"/>
      <c r="H500" s="236"/>
      <c r="I500" s="236"/>
      <c r="J500" s="236"/>
      <c r="K500" s="236"/>
      <c r="L500" s="236"/>
      <c r="M500" s="236"/>
      <c r="N500" s="236"/>
      <c r="O500" s="236"/>
      <c r="P500" s="236"/>
      <c r="Q500" s="236"/>
      <c r="R500" s="236"/>
      <c r="S500" s="236"/>
      <c r="T500" s="236"/>
      <c r="U500" s="236"/>
      <c r="V500" s="236"/>
      <c r="W500" s="237"/>
      <c r="X500" s="237"/>
      <c r="Y500" s="237"/>
      <c r="Z500" s="237"/>
      <c r="AA500" s="237"/>
      <c r="AB500" s="237"/>
      <c r="AC500" s="237"/>
      <c r="AD500" s="237"/>
      <c r="AE500" s="237"/>
      <c r="AF500" s="237"/>
      <c r="AG500" s="237"/>
      <c r="AH500" s="237"/>
      <c r="AI500" s="98"/>
      <c r="AJ500" s="98"/>
      <c r="AK500" s="98"/>
      <c r="AL500" s="98"/>
      <c r="AM500" s="98"/>
      <c r="AN500" s="98"/>
      <c r="AO500" s="98"/>
    </row>
    <row r="501" ht="14.25" customHeight="1">
      <c r="A501" s="98"/>
      <c r="B501" s="98"/>
      <c r="C501" s="98"/>
      <c r="D501" s="98"/>
      <c r="E501" s="98"/>
      <c r="F501" s="235"/>
      <c r="G501" s="235"/>
      <c r="H501" s="236"/>
      <c r="I501" s="236"/>
      <c r="J501" s="236"/>
      <c r="K501" s="236"/>
      <c r="L501" s="236"/>
      <c r="M501" s="236"/>
      <c r="N501" s="236"/>
      <c r="O501" s="236"/>
      <c r="P501" s="236"/>
      <c r="Q501" s="236"/>
      <c r="R501" s="236"/>
      <c r="S501" s="236"/>
      <c r="T501" s="236"/>
      <c r="U501" s="236"/>
      <c r="V501" s="236"/>
      <c r="W501" s="237"/>
      <c r="X501" s="237"/>
      <c r="Y501" s="237"/>
      <c r="Z501" s="237"/>
      <c r="AA501" s="237"/>
      <c r="AB501" s="237"/>
      <c r="AC501" s="237"/>
      <c r="AD501" s="237"/>
      <c r="AE501" s="237"/>
      <c r="AF501" s="237"/>
      <c r="AG501" s="237"/>
      <c r="AH501" s="237"/>
      <c r="AI501" s="98"/>
      <c r="AJ501" s="98"/>
      <c r="AK501" s="98"/>
      <c r="AL501" s="98"/>
      <c r="AM501" s="98"/>
      <c r="AN501" s="98"/>
      <c r="AO501" s="98"/>
    </row>
    <row r="502" ht="14.25" customHeight="1">
      <c r="A502" s="98"/>
      <c r="B502" s="98"/>
      <c r="C502" s="98"/>
      <c r="D502" s="98"/>
      <c r="E502" s="98"/>
      <c r="F502" s="235"/>
      <c r="G502" s="235"/>
      <c r="H502" s="236"/>
      <c r="I502" s="236"/>
      <c r="J502" s="236"/>
      <c r="K502" s="236"/>
      <c r="L502" s="236"/>
      <c r="M502" s="236"/>
      <c r="N502" s="236"/>
      <c r="O502" s="236"/>
      <c r="P502" s="236"/>
      <c r="Q502" s="236"/>
      <c r="R502" s="236"/>
      <c r="S502" s="236"/>
      <c r="T502" s="236"/>
      <c r="U502" s="236"/>
      <c r="V502" s="236"/>
      <c r="W502" s="237"/>
      <c r="X502" s="237"/>
      <c r="Y502" s="237"/>
      <c r="Z502" s="237"/>
      <c r="AA502" s="237"/>
      <c r="AB502" s="237"/>
      <c r="AC502" s="237"/>
      <c r="AD502" s="237"/>
      <c r="AE502" s="237"/>
      <c r="AF502" s="237"/>
      <c r="AG502" s="237"/>
      <c r="AH502" s="237"/>
      <c r="AI502" s="98"/>
      <c r="AJ502" s="98"/>
      <c r="AK502" s="98"/>
      <c r="AL502" s="98"/>
      <c r="AM502" s="98"/>
      <c r="AN502" s="98"/>
      <c r="AO502" s="98"/>
    </row>
    <row r="503" ht="14.25" customHeight="1">
      <c r="A503" s="98"/>
      <c r="B503" s="98"/>
      <c r="C503" s="98"/>
      <c r="D503" s="98"/>
      <c r="E503" s="98"/>
      <c r="F503" s="235"/>
      <c r="G503" s="235"/>
      <c r="H503" s="236"/>
      <c r="I503" s="236"/>
      <c r="J503" s="236"/>
      <c r="K503" s="236"/>
      <c r="L503" s="236"/>
      <c r="M503" s="236"/>
      <c r="N503" s="236"/>
      <c r="O503" s="236"/>
      <c r="P503" s="236"/>
      <c r="Q503" s="236"/>
      <c r="R503" s="236"/>
      <c r="S503" s="236"/>
      <c r="T503" s="236"/>
      <c r="U503" s="236"/>
      <c r="V503" s="236"/>
      <c r="W503" s="237"/>
      <c r="X503" s="237"/>
      <c r="Y503" s="237"/>
      <c r="Z503" s="237"/>
      <c r="AA503" s="237"/>
      <c r="AB503" s="237"/>
      <c r="AC503" s="237"/>
      <c r="AD503" s="237"/>
      <c r="AE503" s="237"/>
      <c r="AF503" s="237"/>
      <c r="AG503" s="237"/>
      <c r="AH503" s="237"/>
      <c r="AI503" s="98"/>
      <c r="AJ503" s="98"/>
      <c r="AK503" s="98"/>
      <c r="AL503" s="98"/>
      <c r="AM503" s="98"/>
      <c r="AN503" s="98"/>
      <c r="AO503" s="98"/>
    </row>
    <row r="504" ht="14.25" customHeight="1">
      <c r="A504" s="98"/>
      <c r="B504" s="98"/>
      <c r="C504" s="98"/>
      <c r="D504" s="98"/>
      <c r="E504" s="98"/>
      <c r="F504" s="235"/>
      <c r="G504" s="235"/>
      <c r="H504" s="236"/>
      <c r="I504" s="236"/>
      <c r="J504" s="236"/>
      <c r="K504" s="236"/>
      <c r="L504" s="236"/>
      <c r="M504" s="236"/>
      <c r="N504" s="236"/>
      <c r="O504" s="236"/>
      <c r="P504" s="236"/>
      <c r="Q504" s="236"/>
      <c r="R504" s="236"/>
      <c r="S504" s="236"/>
      <c r="T504" s="236"/>
      <c r="U504" s="236"/>
      <c r="V504" s="236"/>
      <c r="W504" s="237"/>
      <c r="X504" s="237"/>
      <c r="Y504" s="237"/>
      <c r="Z504" s="237"/>
      <c r="AA504" s="237"/>
      <c r="AB504" s="237"/>
      <c r="AC504" s="237"/>
      <c r="AD504" s="237"/>
      <c r="AE504" s="237"/>
      <c r="AF504" s="237"/>
      <c r="AG504" s="237"/>
      <c r="AH504" s="237"/>
      <c r="AI504" s="98"/>
      <c r="AJ504" s="98"/>
      <c r="AK504" s="98"/>
      <c r="AL504" s="98"/>
      <c r="AM504" s="98"/>
      <c r="AN504" s="98"/>
      <c r="AO504" s="98"/>
    </row>
    <row r="505" ht="14.25" customHeight="1">
      <c r="A505" s="98"/>
      <c r="B505" s="98"/>
      <c r="C505" s="98"/>
      <c r="D505" s="98"/>
      <c r="E505" s="98"/>
      <c r="F505" s="235"/>
      <c r="G505" s="235"/>
      <c r="H505" s="236"/>
      <c r="I505" s="236"/>
      <c r="J505" s="236"/>
      <c r="K505" s="236"/>
      <c r="L505" s="236"/>
      <c r="M505" s="236"/>
      <c r="N505" s="236"/>
      <c r="O505" s="236"/>
      <c r="P505" s="236"/>
      <c r="Q505" s="236"/>
      <c r="R505" s="236"/>
      <c r="S505" s="236"/>
      <c r="T505" s="236"/>
      <c r="U505" s="236"/>
      <c r="V505" s="236"/>
      <c r="W505" s="237"/>
      <c r="X505" s="237"/>
      <c r="Y505" s="237"/>
      <c r="Z505" s="237"/>
      <c r="AA505" s="237"/>
      <c r="AB505" s="237"/>
      <c r="AC505" s="237"/>
      <c r="AD505" s="237"/>
      <c r="AE505" s="237"/>
      <c r="AF505" s="237"/>
      <c r="AG505" s="237"/>
      <c r="AH505" s="237"/>
      <c r="AI505" s="98"/>
      <c r="AJ505" s="98"/>
      <c r="AK505" s="98"/>
      <c r="AL505" s="98"/>
      <c r="AM505" s="98"/>
      <c r="AN505" s="98"/>
      <c r="AO505" s="98"/>
    </row>
    <row r="506" ht="14.25" customHeight="1">
      <c r="A506" s="98"/>
      <c r="B506" s="98"/>
      <c r="C506" s="98"/>
      <c r="D506" s="98"/>
      <c r="E506" s="98"/>
      <c r="F506" s="235"/>
      <c r="G506" s="235"/>
      <c r="H506" s="236"/>
      <c r="I506" s="236"/>
      <c r="J506" s="236"/>
      <c r="K506" s="236"/>
      <c r="L506" s="236"/>
      <c r="M506" s="236"/>
      <c r="N506" s="236"/>
      <c r="O506" s="236"/>
      <c r="P506" s="236"/>
      <c r="Q506" s="236"/>
      <c r="R506" s="236"/>
      <c r="S506" s="236"/>
      <c r="T506" s="236"/>
      <c r="U506" s="236"/>
      <c r="V506" s="236"/>
      <c r="W506" s="237"/>
      <c r="X506" s="237"/>
      <c r="Y506" s="237"/>
      <c r="Z506" s="237"/>
      <c r="AA506" s="237"/>
      <c r="AB506" s="237"/>
      <c r="AC506" s="237"/>
      <c r="AD506" s="237"/>
      <c r="AE506" s="237"/>
      <c r="AF506" s="237"/>
      <c r="AG506" s="237"/>
      <c r="AH506" s="237"/>
      <c r="AI506" s="98"/>
      <c r="AJ506" s="98"/>
      <c r="AK506" s="98"/>
      <c r="AL506" s="98"/>
      <c r="AM506" s="98"/>
      <c r="AN506" s="98"/>
      <c r="AO506" s="98"/>
    </row>
    <row r="507" ht="14.25" customHeight="1">
      <c r="A507" s="98"/>
      <c r="B507" s="98"/>
      <c r="C507" s="98"/>
      <c r="D507" s="98"/>
      <c r="E507" s="98"/>
      <c r="F507" s="235"/>
      <c r="G507" s="235"/>
      <c r="H507" s="236"/>
      <c r="I507" s="236"/>
      <c r="J507" s="236"/>
      <c r="K507" s="236"/>
      <c r="L507" s="236"/>
      <c r="M507" s="236"/>
      <c r="N507" s="236"/>
      <c r="O507" s="236"/>
      <c r="P507" s="236"/>
      <c r="Q507" s="236"/>
      <c r="R507" s="236"/>
      <c r="S507" s="236"/>
      <c r="T507" s="236"/>
      <c r="U507" s="236"/>
      <c r="V507" s="236"/>
      <c r="W507" s="237"/>
      <c r="X507" s="237"/>
      <c r="Y507" s="237"/>
      <c r="Z507" s="237"/>
      <c r="AA507" s="237"/>
      <c r="AB507" s="237"/>
      <c r="AC507" s="237"/>
      <c r="AD507" s="237"/>
      <c r="AE507" s="237"/>
      <c r="AF507" s="237"/>
      <c r="AG507" s="237"/>
      <c r="AH507" s="237"/>
      <c r="AI507" s="98"/>
      <c r="AJ507" s="98"/>
      <c r="AK507" s="98"/>
      <c r="AL507" s="98"/>
      <c r="AM507" s="98"/>
      <c r="AN507" s="98"/>
      <c r="AO507" s="98"/>
    </row>
    <row r="508" ht="14.25" customHeight="1">
      <c r="A508" s="98"/>
      <c r="B508" s="98"/>
      <c r="C508" s="98"/>
      <c r="D508" s="98"/>
      <c r="E508" s="98"/>
      <c r="F508" s="235"/>
      <c r="G508" s="235"/>
      <c r="H508" s="236"/>
      <c r="I508" s="236"/>
      <c r="J508" s="236"/>
      <c r="K508" s="236"/>
      <c r="L508" s="236"/>
      <c r="M508" s="236"/>
      <c r="N508" s="236"/>
      <c r="O508" s="236"/>
      <c r="P508" s="236"/>
      <c r="Q508" s="236"/>
      <c r="R508" s="236"/>
      <c r="S508" s="236"/>
      <c r="T508" s="236"/>
      <c r="U508" s="236"/>
      <c r="V508" s="236"/>
      <c r="W508" s="237"/>
      <c r="X508" s="237"/>
      <c r="Y508" s="237"/>
      <c r="Z508" s="237"/>
      <c r="AA508" s="237"/>
      <c r="AB508" s="237"/>
      <c r="AC508" s="237"/>
      <c r="AD508" s="237"/>
      <c r="AE508" s="237"/>
      <c r="AF508" s="237"/>
      <c r="AG508" s="237"/>
      <c r="AH508" s="237"/>
      <c r="AI508" s="98"/>
      <c r="AJ508" s="98"/>
      <c r="AK508" s="98"/>
      <c r="AL508" s="98"/>
      <c r="AM508" s="98"/>
      <c r="AN508" s="98"/>
      <c r="AO508" s="98"/>
    </row>
    <row r="509" ht="14.25" customHeight="1">
      <c r="A509" s="98"/>
      <c r="B509" s="98"/>
      <c r="C509" s="98"/>
      <c r="D509" s="98"/>
      <c r="E509" s="98"/>
      <c r="F509" s="235"/>
      <c r="G509" s="235"/>
      <c r="H509" s="236"/>
      <c r="I509" s="236"/>
      <c r="J509" s="236"/>
      <c r="K509" s="236"/>
      <c r="L509" s="236"/>
      <c r="M509" s="236"/>
      <c r="N509" s="236"/>
      <c r="O509" s="236"/>
      <c r="P509" s="236"/>
      <c r="Q509" s="236"/>
      <c r="R509" s="236"/>
      <c r="S509" s="236"/>
      <c r="T509" s="236"/>
      <c r="U509" s="236"/>
      <c r="V509" s="236"/>
      <c r="W509" s="237"/>
      <c r="X509" s="237"/>
      <c r="Y509" s="237"/>
      <c r="Z509" s="237"/>
      <c r="AA509" s="237"/>
      <c r="AB509" s="237"/>
      <c r="AC509" s="237"/>
      <c r="AD509" s="237"/>
      <c r="AE509" s="237"/>
      <c r="AF509" s="237"/>
      <c r="AG509" s="237"/>
      <c r="AH509" s="237"/>
      <c r="AI509" s="98"/>
      <c r="AJ509" s="98"/>
      <c r="AK509" s="98"/>
      <c r="AL509" s="98"/>
      <c r="AM509" s="98"/>
      <c r="AN509" s="98"/>
      <c r="AO509" s="98"/>
    </row>
    <row r="510" ht="14.25" customHeight="1">
      <c r="A510" s="98"/>
      <c r="B510" s="98"/>
      <c r="C510" s="98"/>
      <c r="D510" s="98"/>
      <c r="E510" s="98"/>
      <c r="F510" s="235"/>
      <c r="G510" s="235"/>
      <c r="H510" s="236"/>
      <c r="I510" s="236"/>
      <c r="J510" s="236"/>
      <c r="K510" s="236"/>
      <c r="L510" s="236"/>
      <c r="M510" s="236"/>
      <c r="N510" s="236"/>
      <c r="O510" s="236"/>
      <c r="P510" s="236"/>
      <c r="Q510" s="236"/>
      <c r="R510" s="236"/>
      <c r="S510" s="236"/>
      <c r="T510" s="236"/>
      <c r="U510" s="236"/>
      <c r="V510" s="236"/>
      <c r="W510" s="237"/>
      <c r="X510" s="237"/>
      <c r="Y510" s="237"/>
      <c r="Z510" s="237"/>
      <c r="AA510" s="237"/>
      <c r="AB510" s="237"/>
      <c r="AC510" s="237"/>
      <c r="AD510" s="237"/>
      <c r="AE510" s="237"/>
      <c r="AF510" s="237"/>
      <c r="AG510" s="237"/>
      <c r="AH510" s="237"/>
      <c r="AI510" s="98"/>
      <c r="AJ510" s="98"/>
      <c r="AK510" s="98"/>
      <c r="AL510" s="98"/>
      <c r="AM510" s="98"/>
      <c r="AN510" s="98"/>
      <c r="AO510" s="98"/>
    </row>
    <row r="511" ht="14.25" customHeight="1">
      <c r="A511" s="98"/>
      <c r="B511" s="98"/>
      <c r="C511" s="98"/>
      <c r="D511" s="98"/>
      <c r="E511" s="98"/>
      <c r="F511" s="235"/>
      <c r="G511" s="235"/>
      <c r="H511" s="236"/>
      <c r="I511" s="236"/>
      <c r="J511" s="236"/>
      <c r="K511" s="236"/>
      <c r="L511" s="236"/>
      <c r="M511" s="236"/>
      <c r="N511" s="236"/>
      <c r="O511" s="236"/>
      <c r="P511" s="236"/>
      <c r="Q511" s="236"/>
      <c r="R511" s="236"/>
      <c r="S511" s="236"/>
      <c r="T511" s="236"/>
      <c r="U511" s="236"/>
      <c r="V511" s="236"/>
      <c r="W511" s="237"/>
      <c r="X511" s="237"/>
      <c r="Y511" s="237"/>
      <c r="Z511" s="237"/>
      <c r="AA511" s="237"/>
      <c r="AB511" s="237"/>
      <c r="AC511" s="237"/>
      <c r="AD511" s="237"/>
      <c r="AE511" s="237"/>
      <c r="AF511" s="237"/>
      <c r="AG511" s="237"/>
      <c r="AH511" s="237"/>
      <c r="AI511" s="98"/>
      <c r="AJ511" s="98"/>
      <c r="AK511" s="98"/>
      <c r="AL511" s="98"/>
      <c r="AM511" s="98"/>
      <c r="AN511" s="98"/>
      <c r="AO511" s="98"/>
    </row>
    <row r="512" ht="14.25" customHeight="1">
      <c r="A512" s="98"/>
      <c r="B512" s="98"/>
      <c r="C512" s="98"/>
      <c r="D512" s="98"/>
      <c r="E512" s="98"/>
      <c r="F512" s="235"/>
      <c r="G512" s="235"/>
      <c r="H512" s="236"/>
      <c r="I512" s="236"/>
      <c r="J512" s="236"/>
      <c r="K512" s="236"/>
      <c r="L512" s="236"/>
      <c r="M512" s="236"/>
      <c r="N512" s="236"/>
      <c r="O512" s="236"/>
      <c r="P512" s="236"/>
      <c r="Q512" s="236"/>
      <c r="R512" s="236"/>
      <c r="S512" s="236"/>
      <c r="T512" s="236"/>
      <c r="U512" s="236"/>
      <c r="V512" s="236"/>
      <c r="W512" s="237"/>
      <c r="X512" s="237"/>
      <c r="Y512" s="237"/>
      <c r="Z512" s="237"/>
      <c r="AA512" s="237"/>
      <c r="AB512" s="237"/>
      <c r="AC512" s="237"/>
      <c r="AD512" s="237"/>
      <c r="AE512" s="237"/>
      <c r="AF512" s="237"/>
      <c r="AG512" s="237"/>
      <c r="AH512" s="237"/>
      <c r="AI512" s="98"/>
      <c r="AJ512" s="98"/>
      <c r="AK512" s="98"/>
      <c r="AL512" s="98"/>
      <c r="AM512" s="98"/>
      <c r="AN512" s="98"/>
      <c r="AO512" s="98"/>
    </row>
    <row r="513" ht="14.25" customHeight="1">
      <c r="A513" s="98"/>
      <c r="B513" s="98"/>
      <c r="C513" s="98"/>
      <c r="D513" s="98"/>
      <c r="E513" s="98"/>
      <c r="F513" s="235"/>
      <c r="G513" s="235"/>
      <c r="H513" s="236"/>
      <c r="I513" s="236"/>
      <c r="J513" s="236"/>
      <c r="K513" s="236"/>
      <c r="L513" s="236"/>
      <c r="M513" s="236"/>
      <c r="N513" s="236"/>
      <c r="O513" s="236"/>
      <c r="P513" s="236"/>
      <c r="Q513" s="236"/>
      <c r="R513" s="236"/>
      <c r="S513" s="236"/>
      <c r="T513" s="236"/>
      <c r="U513" s="236"/>
      <c r="V513" s="236"/>
      <c r="W513" s="237"/>
      <c r="X513" s="237"/>
      <c r="Y513" s="237"/>
      <c r="Z513" s="237"/>
      <c r="AA513" s="237"/>
      <c r="AB513" s="237"/>
      <c r="AC513" s="237"/>
      <c r="AD513" s="237"/>
      <c r="AE513" s="237"/>
      <c r="AF513" s="237"/>
      <c r="AG513" s="237"/>
      <c r="AH513" s="237"/>
      <c r="AI513" s="98"/>
      <c r="AJ513" s="98"/>
      <c r="AK513" s="98"/>
      <c r="AL513" s="98"/>
      <c r="AM513" s="98"/>
      <c r="AN513" s="98"/>
      <c r="AO513" s="98"/>
    </row>
    <row r="514" ht="14.25" customHeight="1">
      <c r="A514" s="98"/>
      <c r="B514" s="98"/>
      <c r="C514" s="98"/>
      <c r="D514" s="98"/>
      <c r="E514" s="98"/>
      <c r="F514" s="235"/>
      <c r="G514" s="235"/>
      <c r="H514" s="236"/>
      <c r="I514" s="236"/>
      <c r="J514" s="236"/>
      <c r="K514" s="236"/>
      <c r="L514" s="236"/>
      <c r="M514" s="236"/>
      <c r="N514" s="236"/>
      <c r="O514" s="236"/>
      <c r="P514" s="236"/>
      <c r="Q514" s="236"/>
      <c r="R514" s="236"/>
      <c r="S514" s="236"/>
      <c r="T514" s="236"/>
      <c r="U514" s="236"/>
      <c r="V514" s="236"/>
      <c r="W514" s="237"/>
      <c r="X514" s="237"/>
      <c r="Y514" s="237"/>
      <c r="Z514" s="237"/>
      <c r="AA514" s="237"/>
      <c r="AB514" s="237"/>
      <c r="AC514" s="237"/>
      <c r="AD514" s="237"/>
      <c r="AE514" s="237"/>
      <c r="AF514" s="237"/>
      <c r="AG514" s="237"/>
      <c r="AH514" s="237"/>
      <c r="AI514" s="98"/>
      <c r="AJ514" s="98"/>
      <c r="AK514" s="98"/>
      <c r="AL514" s="98"/>
      <c r="AM514" s="98"/>
      <c r="AN514" s="98"/>
      <c r="AO514" s="98"/>
    </row>
    <row r="515" ht="14.25" customHeight="1">
      <c r="A515" s="98"/>
      <c r="B515" s="98"/>
      <c r="C515" s="98"/>
      <c r="D515" s="98"/>
      <c r="E515" s="98"/>
      <c r="F515" s="235"/>
      <c r="G515" s="235"/>
      <c r="H515" s="236"/>
      <c r="I515" s="236"/>
      <c r="J515" s="236"/>
      <c r="K515" s="236"/>
      <c r="L515" s="236"/>
      <c r="M515" s="236"/>
      <c r="N515" s="236"/>
      <c r="O515" s="236"/>
      <c r="P515" s="236"/>
      <c r="Q515" s="236"/>
      <c r="R515" s="236"/>
      <c r="S515" s="236"/>
      <c r="T515" s="236"/>
      <c r="U515" s="236"/>
      <c r="V515" s="236"/>
      <c r="W515" s="237"/>
      <c r="X515" s="237"/>
      <c r="Y515" s="237"/>
      <c r="Z515" s="237"/>
      <c r="AA515" s="237"/>
      <c r="AB515" s="237"/>
      <c r="AC515" s="237"/>
      <c r="AD515" s="237"/>
      <c r="AE515" s="237"/>
      <c r="AF515" s="237"/>
      <c r="AG515" s="237"/>
      <c r="AH515" s="237"/>
      <c r="AI515" s="98"/>
      <c r="AJ515" s="98"/>
      <c r="AK515" s="98"/>
      <c r="AL515" s="98"/>
      <c r="AM515" s="98"/>
      <c r="AN515" s="98"/>
      <c r="AO515" s="98"/>
    </row>
    <row r="516" ht="14.25" customHeight="1">
      <c r="A516" s="98"/>
      <c r="B516" s="98"/>
      <c r="C516" s="98"/>
      <c r="D516" s="98"/>
      <c r="E516" s="98"/>
      <c r="F516" s="235"/>
      <c r="G516" s="235"/>
      <c r="H516" s="236"/>
      <c r="I516" s="236"/>
      <c r="J516" s="236"/>
      <c r="K516" s="236"/>
      <c r="L516" s="236"/>
      <c r="M516" s="236"/>
      <c r="N516" s="236"/>
      <c r="O516" s="236"/>
      <c r="P516" s="236"/>
      <c r="Q516" s="236"/>
      <c r="R516" s="236"/>
      <c r="S516" s="236"/>
      <c r="T516" s="236"/>
      <c r="U516" s="236"/>
      <c r="V516" s="236"/>
      <c r="W516" s="237"/>
      <c r="X516" s="237"/>
      <c r="Y516" s="237"/>
      <c r="Z516" s="237"/>
      <c r="AA516" s="237"/>
      <c r="AB516" s="237"/>
      <c r="AC516" s="237"/>
      <c r="AD516" s="237"/>
      <c r="AE516" s="237"/>
      <c r="AF516" s="237"/>
      <c r="AG516" s="237"/>
      <c r="AH516" s="237"/>
      <c r="AI516" s="98"/>
      <c r="AJ516" s="98"/>
      <c r="AK516" s="98"/>
      <c r="AL516" s="98"/>
      <c r="AM516" s="98"/>
      <c r="AN516" s="98"/>
      <c r="AO516" s="98"/>
    </row>
    <row r="517" ht="14.25" customHeight="1">
      <c r="A517" s="98"/>
      <c r="B517" s="98"/>
      <c r="C517" s="98"/>
      <c r="D517" s="98"/>
      <c r="E517" s="98"/>
      <c r="F517" s="235"/>
      <c r="G517" s="235"/>
      <c r="H517" s="236"/>
      <c r="I517" s="236"/>
      <c r="J517" s="236"/>
      <c r="K517" s="236"/>
      <c r="L517" s="236"/>
      <c r="M517" s="236"/>
      <c r="N517" s="236"/>
      <c r="O517" s="236"/>
      <c r="P517" s="236"/>
      <c r="Q517" s="236"/>
      <c r="R517" s="236"/>
      <c r="S517" s="236"/>
      <c r="T517" s="236"/>
      <c r="U517" s="236"/>
      <c r="V517" s="236"/>
      <c r="W517" s="237"/>
      <c r="X517" s="237"/>
      <c r="Y517" s="237"/>
      <c r="Z517" s="237"/>
      <c r="AA517" s="237"/>
      <c r="AB517" s="237"/>
      <c r="AC517" s="237"/>
      <c r="AD517" s="237"/>
      <c r="AE517" s="237"/>
      <c r="AF517" s="237"/>
      <c r="AG517" s="237"/>
      <c r="AH517" s="237"/>
      <c r="AI517" s="98"/>
      <c r="AJ517" s="98"/>
      <c r="AK517" s="98"/>
      <c r="AL517" s="98"/>
      <c r="AM517" s="98"/>
      <c r="AN517" s="98"/>
      <c r="AO517" s="98"/>
    </row>
    <row r="518" ht="14.25" customHeight="1">
      <c r="A518" s="98"/>
      <c r="B518" s="98"/>
      <c r="C518" s="98"/>
      <c r="D518" s="98"/>
      <c r="E518" s="98"/>
      <c r="F518" s="235"/>
      <c r="G518" s="235"/>
      <c r="H518" s="236"/>
      <c r="I518" s="236"/>
      <c r="J518" s="236"/>
      <c r="K518" s="236"/>
      <c r="L518" s="236"/>
      <c r="M518" s="236"/>
      <c r="N518" s="236"/>
      <c r="O518" s="236"/>
      <c r="P518" s="236"/>
      <c r="Q518" s="236"/>
      <c r="R518" s="236"/>
      <c r="S518" s="236"/>
      <c r="T518" s="236"/>
      <c r="U518" s="236"/>
      <c r="V518" s="236"/>
      <c r="W518" s="237"/>
      <c r="X518" s="237"/>
      <c r="Y518" s="237"/>
      <c r="Z518" s="237"/>
      <c r="AA518" s="237"/>
      <c r="AB518" s="237"/>
      <c r="AC518" s="237"/>
      <c r="AD518" s="237"/>
      <c r="AE518" s="237"/>
      <c r="AF518" s="237"/>
      <c r="AG518" s="237"/>
      <c r="AH518" s="237"/>
      <c r="AI518" s="98"/>
      <c r="AJ518" s="98"/>
      <c r="AK518" s="98"/>
      <c r="AL518" s="98"/>
      <c r="AM518" s="98"/>
      <c r="AN518" s="98"/>
      <c r="AO518" s="98"/>
    </row>
    <row r="519" ht="14.25" customHeight="1">
      <c r="A519" s="98"/>
      <c r="B519" s="98"/>
      <c r="C519" s="98"/>
      <c r="D519" s="98"/>
      <c r="E519" s="98"/>
      <c r="F519" s="235"/>
      <c r="G519" s="235"/>
      <c r="H519" s="236"/>
      <c r="I519" s="236"/>
      <c r="J519" s="236"/>
      <c r="K519" s="236"/>
      <c r="L519" s="236"/>
      <c r="M519" s="236"/>
      <c r="N519" s="236"/>
      <c r="O519" s="236"/>
      <c r="P519" s="236"/>
      <c r="Q519" s="236"/>
      <c r="R519" s="236"/>
      <c r="S519" s="236"/>
      <c r="T519" s="236"/>
      <c r="U519" s="236"/>
      <c r="V519" s="236"/>
      <c r="W519" s="237"/>
      <c r="X519" s="237"/>
      <c r="Y519" s="237"/>
      <c r="Z519" s="237"/>
      <c r="AA519" s="237"/>
      <c r="AB519" s="237"/>
      <c r="AC519" s="237"/>
      <c r="AD519" s="237"/>
      <c r="AE519" s="237"/>
      <c r="AF519" s="237"/>
      <c r="AG519" s="237"/>
      <c r="AH519" s="237"/>
      <c r="AI519" s="98"/>
      <c r="AJ519" s="98"/>
      <c r="AK519" s="98"/>
      <c r="AL519" s="98"/>
      <c r="AM519" s="98"/>
      <c r="AN519" s="98"/>
      <c r="AO519" s="98"/>
    </row>
    <row r="520" ht="14.25" customHeight="1">
      <c r="A520" s="98"/>
      <c r="B520" s="98"/>
      <c r="C520" s="98"/>
      <c r="D520" s="98"/>
      <c r="E520" s="98"/>
      <c r="F520" s="235"/>
      <c r="G520" s="235"/>
      <c r="H520" s="236"/>
      <c r="I520" s="236"/>
      <c r="J520" s="236"/>
      <c r="K520" s="236"/>
      <c r="L520" s="236"/>
      <c r="M520" s="236"/>
      <c r="N520" s="236"/>
      <c r="O520" s="236"/>
      <c r="P520" s="236"/>
      <c r="Q520" s="236"/>
      <c r="R520" s="236"/>
      <c r="S520" s="236"/>
      <c r="T520" s="236"/>
      <c r="U520" s="236"/>
      <c r="V520" s="236"/>
      <c r="W520" s="237"/>
      <c r="X520" s="237"/>
      <c r="Y520" s="237"/>
      <c r="Z520" s="237"/>
      <c r="AA520" s="237"/>
      <c r="AB520" s="237"/>
      <c r="AC520" s="237"/>
      <c r="AD520" s="237"/>
      <c r="AE520" s="237"/>
      <c r="AF520" s="237"/>
      <c r="AG520" s="237"/>
      <c r="AH520" s="237"/>
      <c r="AI520" s="98"/>
      <c r="AJ520" s="98"/>
      <c r="AK520" s="98"/>
      <c r="AL520" s="98"/>
      <c r="AM520" s="98"/>
      <c r="AN520" s="98"/>
      <c r="AO520" s="98"/>
    </row>
    <row r="521" ht="14.25" customHeight="1">
      <c r="A521" s="98"/>
      <c r="B521" s="98"/>
      <c r="C521" s="98"/>
      <c r="D521" s="98"/>
      <c r="E521" s="98"/>
      <c r="F521" s="235"/>
      <c r="G521" s="235"/>
      <c r="H521" s="236"/>
      <c r="I521" s="236"/>
      <c r="J521" s="236"/>
      <c r="K521" s="236"/>
      <c r="L521" s="236"/>
      <c r="M521" s="236"/>
      <c r="N521" s="236"/>
      <c r="O521" s="236"/>
      <c r="P521" s="236"/>
      <c r="Q521" s="236"/>
      <c r="R521" s="236"/>
      <c r="S521" s="236"/>
      <c r="T521" s="236"/>
      <c r="U521" s="236"/>
      <c r="V521" s="236"/>
      <c r="W521" s="237"/>
      <c r="X521" s="237"/>
      <c r="Y521" s="237"/>
      <c r="Z521" s="237"/>
      <c r="AA521" s="237"/>
      <c r="AB521" s="237"/>
      <c r="AC521" s="237"/>
      <c r="AD521" s="237"/>
      <c r="AE521" s="237"/>
      <c r="AF521" s="237"/>
      <c r="AG521" s="237"/>
      <c r="AH521" s="237"/>
      <c r="AI521" s="98"/>
      <c r="AJ521" s="98"/>
      <c r="AK521" s="98"/>
      <c r="AL521" s="98"/>
      <c r="AM521" s="98"/>
      <c r="AN521" s="98"/>
      <c r="AO521" s="98"/>
    </row>
    <row r="522" ht="14.25" customHeight="1">
      <c r="A522" s="98"/>
      <c r="B522" s="98"/>
      <c r="C522" s="98"/>
      <c r="D522" s="98"/>
      <c r="E522" s="98"/>
      <c r="F522" s="235"/>
      <c r="G522" s="235"/>
      <c r="H522" s="236"/>
      <c r="I522" s="236"/>
      <c r="J522" s="236"/>
      <c r="K522" s="236"/>
      <c r="L522" s="236"/>
      <c r="M522" s="236"/>
      <c r="N522" s="236"/>
      <c r="O522" s="236"/>
      <c r="P522" s="236"/>
      <c r="Q522" s="236"/>
      <c r="R522" s="236"/>
      <c r="S522" s="236"/>
      <c r="T522" s="236"/>
      <c r="U522" s="236"/>
      <c r="V522" s="236"/>
      <c r="W522" s="237"/>
      <c r="X522" s="237"/>
      <c r="Y522" s="237"/>
      <c r="Z522" s="237"/>
      <c r="AA522" s="237"/>
      <c r="AB522" s="237"/>
      <c r="AC522" s="237"/>
      <c r="AD522" s="237"/>
      <c r="AE522" s="237"/>
      <c r="AF522" s="237"/>
      <c r="AG522" s="237"/>
      <c r="AH522" s="237"/>
      <c r="AI522" s="98"/>
      <c r="AJ522" s="98"/>
      <c r="AK522" s="98"/>
      <c r="AL522" s="98"/>
      <c r="AM522" s="98"/>
      <c r="AN522" s="98"/>
      <c r="AO522" s="98"/>
    </row>
    <row r="523" ht="14.25" customHeight="1">
      <c r="A523" s="98"/>
      <c r="B523" s="98"/>
      <c r="C523" s="98"/>
      <c r="D523" s="98"/>
      <c r="E523" s="98"/>
      <c r="F523" s="235"/>
      <c r="G523" s="235"/>
      <c r="H523" s="236"/>
      <c r="I523" s="236"/>
      <c r="J523" s="236"/>
      <c r="K523" s="236"/>
      <c r="L523" s="236"/>
      <c r="M523" s="236"/>
      <c r="N523" s="236"/>
      <c r="O523" s="236"/>
      <c r="P523" s="236"/>
      <c r="Q523" s="236"/>
      <c r="R523" s="236"/>
      <c r="S523" s="236"/>
      <c r="T523" s="236"/>
      <c r="U523" s="236"/>
      <c r="V523" s="236"/>
      <c r="W523" s="237"/>
      <c r="X523" s="237"/>
      <c r="Y523" s="237"/>
      <c r="Z523" s="237"/>
      <c r="AA523" s="237"/>
      <c r="AB523" s="237"/>
      <c r="AC523" s="237"/>
      <c r="AD523" s="237"/>
      <c r="AE523" s="237"/>
      <c r="AF523" s="237"/>
      <c r="AG523" s="237"/>
      <c r="AH523" s="237"/>
      <c r="AI523" s="98"/>
      <c r="AJ523" s="98"/>
      <c r="AK523" s="98"/>
      <c r="AL523" s="98"/>
      <c r="AM523" s="98"/>
      <c r="AN523" s="98"/>
      <c r="AO523" s="98"/>
    </row>
    <row r="524" ht="14.25" customHeight="1">
      <c r="A524" s="98"/>
      <c r="B524" s="98"/>
      <c r="C524" s="98"/>
      <c r="D524" s="98"/>
      <c r="E524" s="98"/>
      <c r="F524" s="235"/>
      <c r="G524" s="235"/>
      <c r="H524" s="236"/>
      <c r="I524" s="236"/>
      <c r="J524" s="236"/>
      <c r="K524" s="236"/>
      <c r="L524" s="236"/>
      <c r="M524" s="236"/>
      <c r="N524" s="236"/>
      <c r="O524" s="236"/>
      <c r="P524" s="236"/>
      <c r="Q524" s="236"/>
      <c r="R524" s="236"/>
      <c r="S524" s="236"/>
      <c r="T524" s="236"/>
      <c r="U524" s="236"/>
      <c r="V524" s="236"/>
      <c r="W524" s="237"/>
      <c r="X524" s="237"/>
      <c r="Y524" s="237"/>
      <c r="Z524" s="237"/>
      <c r="AA524" s="237"/>
      <c r="AB524" s="237"/>
      <c r="AC524" s="237"/>
      <c r="AD524" s="237"/>
      <c r="AE524" s="237"/>
      <c r="AF524" s="237"/>
      <c r="AG524" s="237"/>
      <c r="AH524" s="237"/>
      <c r="AI524" s="98"/>
      <c r="AJ524" s="98"/>
      <c r="AK524" s="98"/>
      <c r="AL524" s="98"/>
      <c r="AM524" s="98"/>
      <c r="AN524" s="98"/>
      <c r="AO524" s="98"/>
    </row>
    <row r="525" ht="14.25" customHeight="1">
      <c r="A525" s="98"/>
      <c r="B525" s="98"/>
      <c r="C525" s="98"/>
      <c r="D525" s="98"/>
      <c r="E525" s="98"/>
      <c r="F525" s="235"/>
      <c r="G525" s="235"/>
      <c r="H525" s="236"/>
      <c r="I525" s="236"/>
      <c r="J525" s="236"/>
      <c r="K525" s="236"/>
      <c r="L525" s="236"/>
      <c r="M525" s="236"/>
      <c r="N525" s="236"/>
      <c r="O525" s="236"/>
      <c r="P525" s="236"/>
      <c r="Q525" s="236"/>
      <c r="R525" s="236"/>
      <c r="S525" s="236"/>
      <c r="T525" s="236"/>
      <c r="U525" s="236"/>
      <c r="V525" s="236"/>
      <c r="W525" s="237"/>
      <c r="X525" s="237"/>
      <c r="Y525" s="237"/>
      <c r="Z525" s="237"/>
      <c r="AA525" s="237"/>
      <c r="AB525" s="237"/>
      <c r="AC525" s="237"/>
      <c r="AD525" s="237"/>
      <c r="AE525" s="237"/>
      <c r="AF525" s="237"/>
      <c r="AG525" s="237"/>
      <c r="AH525" s="237"/>
      <c r="AI525" s="98"/>
      <c r="AJ525" s="98"/>
      <c r="AK525" s="98"/>
      <c r="AL525" s="98"/>
      <c r="AM525" s="98"/>
      <c r="AN525" s="98"/>
      <c r="AO525" s="98"/>
    </row>
    <row r="526" ht="14.25" customHeight="1">
      <c r="A526" s="98"/>
      <c r="B526" s="98"/>
      <c r="C526" s="98"/>
      <c r="D526" s="98"/>
      <c r="E526" s="98"/>
      <c r="F526" s="235"/>
      <c r="G526" s="235"/>
      <c r="H526" s="236"/>
      <c r="I526" s="236"/>
      <c r="J526" s="236"/>
      <c r="K526" s="236"/>
      <c r="L526" s="236"/>
      <c r="M526" s="236"/>
      <c r="N526" s="236"/>
      <c r="O526" s="236"/>
      <c r="P526" s="236"/>
      <c r="Q526" s="236"/>
      <c r="R526" s="236"/>
      <c r="S526" s="236"/>
      <c r="T526" s="236"/>
      <c r="U526" s="236"/>
      <c r="V526" s="236"/>
      <c r="W526" s="237"/>
      <c r="X526" s="237"/>
      <c r="Y526" s="237"/>
      <c r="Z526" s="237"/>
      <c r="AA526" s="237"/>
      <c r="AB526" s="237"/>
      <c r="AC526" s="237"/>
      <c r="AD526" s="237"/>
      <c r="AE526" s="237"/>
      <c r="AF526" s="237"/>
      <c r="AG526" s="237"/>
      <c r="AH526" s="237"/>
      <c r="AI526" s="98"/>
      <c r="AJ526" s="98"/>
      <c r="AK526" s="98"/>
      <c r="AL526" s="98"/>
      <c r="AM526" s="98"/>
      <c r="AN526" s="98"/>
      <c r="AO526" s="98"/>
    </row>
    <row r="527" ht="14.25" customHeight="1">
      <c r="A527" s="98"/>
      <c r="B527" s="98"/>
      <c r="C527" s="98"/>
      <c r="D527" s="98"/>
      <c r="E527" s="98"/>
      <c r="F527" s="235"/>
      <c r="G527" s="235"/>
      <c r="H527" s="236"/>
      <c r="I527" s="236"/>
      <c r="J527" s="236"/>
      <c r="K527" s="236"/>
      <c r="L527" s="236"/>
      <c r="M527" s="236"/>
      <c r="N527" s="236"/>
      <c r="O527" s="236"/>
      <c r="P527" s="236"/>
      <c r="Q527" s="236"/>
      <c r="R527" s="236"/>
      <c r="S527" s="236"/>
      <c r="T527" s="236"/>
      <c r="U527" s="236"/>
      <c r="V527" s="236"/>
      <c r="W527" s="237"/>
      <c r="X527" s="237"/>
      <c r="Y527" s="237"/>
      <c r="Z527" s="237"/>
      <c r="AA527" s="237"/>
      <c r="AB527" s="237"/>
      <c r="AC527" s="237"/>
      <c r="AD527" s="237"/>
      <c r="AE527" s="237"/>
      <c r="AF527" s="237"/>
      <c r="AG527" s="237"/>
      <c r="AH527" s="237"/>
      <c r="AI527" s="98"/>
      <c r="AJ527" s="98"/>
      <c r="AK527" s="98"/>
      <c r="AL527" s="98"/>
      <c r="AM527" s="98"/>
      <c r="AN527" s="98"/>
      <c r="AO527" s="98"/>
    </row>
    <row r="528" ht="14.25" customHeight="1">
      <c r="A528" s="98"/>
      <c r="B528" s="98"/>
      <c r="C528" s="98"/>
      <c r="D528" s="98"/>
      <c r="E528" s="98"/>
      <c r="F528" s="235"/>
      <c r="G528" s="235"/>
      <c r="H528" s="236"/>
      <c r="I528" s="236"/>
      <c r="J528" s="236"/>
      <c r="K528" s="236"/>
      <c r="L528" s="236"/>
      <c r="M528" s="236"/>
      <c r="N528" s="236"/>
      <c r="O528" s="236"/>
      <c r="P528" s="236"/>
      <c r="Q528" s="236"/>
      <c r="R528" s="236"/>
      <c r="S528" s="236"/>
      <c r="T528" s="236"/>
      <c r="U528" s="236"/>
      <c r="V528" s="236"/>
      <c r="W528" s="237"/>
      <c r="X528" s="237"/>
      <c r="Y528" s="237"/>
      <c r="Z528" s="237"/>
      <c r="AA528" s="237"/>
      <c r="AB528" s="237"/>
      <c r="AC528" s="237"/>
      <c r="AD528" s="237"/>
      <c r="AE528" s="237"/>
      <c r="AF528" s="237"/>
      <c r="AG528" s="237"/>
      <c r="AH528" s="237"/>
      <c r="AI528" s="98"/>
      <c r="AJ528" s="98"/>
      <c r="AK528" s="98"/>
      <c r="AL528" s="98"/>
      <c r="AM528" s="98"/>
      <c r="AN528" s="98"/>
      <c r="AO528" s="98"/>
    </row>
    <row r="529" ht="14.25" customHeight="1">
      <c r="A529" s="98"/>
      <c r="B529" s="98"/>
      <c r="C529" s="98"/>
      <c r="D529" s="98"/>
      <c r="E529" s="98"/>
      <c r="F529" s="235"/>
      <c r="G529" s="235"/>
      <c r="H529" s="236"/>
      <c r="I529" s="236"/>
      <c r="J529" s="236"/>
      <c r="K529" s="236"/>
      <c r="L529" s="236"/>
      <c r="M529" s="236"/>
      <c r="N529" s="236"/>
      <c r="O529" s="236"/>
      <c r="P529" s="236"/>
      <c r="Q529" s="236"/>
      <c r="R529" s="236"/>
      <c r="S529" s="236"/>
      <c r="T529" s="236"/>
      <c r="U529" s="236"/>
      <c r="V529" s="236"/>
      <c r="W529" s="237"/>
      <c r="X529" s="237"/>
      <c r="Y529" s="237"/>
      <c r="Z529" s="237"/>
      <c r="AA529" s="237"/>
      <c r="AB529" s="237"/>
      <c r="AC529" s="237"/>
      <c r="AD529" s="237"/>
      <c r="AE529" s="237"/>
      <c r="AF529" s="237"/>
      <c r="AG529" s="237"/>
      <c r="AH529" s="237"/>
      <c r="AI529" s="98"/>
      <c r="AJ529" s="98"/>
      <c r="AK529" s="98"/>
      <c r="AL529" s="98"/>
      <c r="AM529" s="98"/>
      <c r="AN529" s="98"/>
      <c r="AO529" s="98"/>
    </row>
    <row r="530" ht="14.25" customHeight="1">
      <c r="A530" s="98"/>
      <c r="B530" s="98"/>
      <c r="C530" s="98"/>
      <c r="D530" s="98"/>
      <c r="E530" s="98"/>
      <c r="F530" s="235"/>
      <c r="G530" s="235"/>
      <c r="H530" s="236"/>
      <c r="I530" s="236"/>
      <c r="J530" s="236"/>
      <c r="K530" s="236"/>
      <c r="L530" s="236"/>
      <c r="M530" s="236"/>
      <c r="N530" s="236"/>
      <c r="O530" s="236"/>
      <c r="P530" s="236"/>
      <c r="Q530" s="236"/>
      <c r="R530" s="236"/>
      <c r="S530" s="236"/>
      <c r="T530" s="236"/>
      <c r="U530" s="236"/>
      <c r="V530" s="236"/>
      <c r="W530" s="237"/>
      <c r="X530" s="237"/>
      <c r="Y530" s="237"/>
      <c r="Z530" s="237"/>
      <c r="AA530" s="237"/>
      <c r="AB530" s="237"/>
      <c r="AC530" s="237"/>
      <c r="AD530" s="237"/>
      <c r="AE530" s="237"/>
      <c r="AF530" s="237"/>
      <c r="AG530" s="237"/>
      <c r="AH530" s="237"/>
      <c r="AI530" s="98"/>
      <c r="AJ530" s="98"/>
      <c r="AK530" s="98"/>
      <c r="AL530" s="98"/>
      <c r="AM530" s="98"/>
      <c r="AN530" s="98"/>
      <c r="AO530" s="98"/>
    </row>
    <row r="531" ht="14.25" customHeight="1">
      <c r="A531" s="98"/>
      <c r="B531" s="98"/>
      <c r="C531" s="98"/>
      <c r="D531" s="98"/>
      <c r="E531" s="98"/>
      <c r="F531" s="235"/>
      <c r="G531" s="235"/>
      <c r="H531" s="236"/>
      <c r="I531" s="236"/>
      <c r="J531" s="236"/>
      <c r="K531" s="236"/>
      <c r="L531" s="236"/>
      <c r="M531" s="236"/>
      <c r="N531" s="236"/>
      <c r="O531" s="236"/>
      <c r="P531" s="236"/>
      <c r="Q531" s="236"/>
      <c r="R531" s="236"/>
      <c r="S531" s="236"/>
      <c r="T531" s="236"/>
      <c r="U531" s="236"/>
      <c r="V531" s="236"/>
      <c r="W531" s="237"/>
      <c r="X531" s="237"/>
      <c r="Y531" s="237"/>
      <c r="Z531" s="237"/>
      <c r="AA531" s="237"/>
      <c r="AB531" s="237"/>
      <c r="AC531" s="237"/>
      <c r="AD531" s="237"/>
      <c r="AE531" s="237"/>
      <c r="AF531" s="237"/>
      <c r="AG531" s="237"/>
      <c r="AH531" s="237"/>
      <c r="AI531" s="98"/>
      <c r="AJ531" s="98"/>
      <c r="AK531" s="98"/>
      <c r="AL531" s="98"/>
      <c r="AM531" s="98"/>
      <c r="AN531" s="98"/>
      <c r="AO531" s="98"/>
    </row>
    <row r="532" ht="14.25" customHeight="1">
      <c r="A532" s="98"/>
      <c r="B532" s="98"/>
      <c r="C532" s="98"/>
      <c r="D532" s="98"/>
      <c r="E532" s="98"/>
      <c r="F532" s="235"/>
      <c r="G532" s="235"/>
      <c r="H532" s="236"/>
      <c r="I532" s="236"/>
      <c r="J532" s="236"/>
      <c r="K532" s="236"/>
      <c r="L532" s="236"/>
      <c r="M532" s="236"/>
      <c r="N532" s="236"/>
      <c r="O532" s="236"/>
      <c r="P532" s="236"/>
      <c r="Q532" s="236"/>
      <c r="R532" s="236"/>
      <c r="S532" s="236"/>
      <c r="T532" s="236"/>
      <c r="U532" s="236"/>
      <c r="V532" s="236"/>
      <c r="W532" s="237"/>
      <c r="X532" s="237"/>
      <c r="Y532" s="237"/>
      <c r="Z532" s="237"/>
      <c r="AA532" s="237"/>
      <c r="AB532" s="237"/>
      <c r="AC532" s="237"/>
      <c r="AD532" s="237"/>
      <c r="AE532" s="237"/>
      <c r="AF532" s="237"/>
      <c r="AG532" s="237"/>
      <c r="AH532" s="237"/>
      <c r="AI532" s="98"/>
      <c r="AJ532" s="98"/>
      <c r="AK532" s="98"/>
      <c r="AL532" s="98"/>
      <c r="AM532" s="98"/>
      <c r="AN532" s="98"/>
      <c r="AO532" s="98"/>
    </row>
    <row r="533" ht="14.25" customHeight="1">
      <c r="A533" s="98"/>
      <c r="B533" s="98"/>
      <c r="C533" s="98"/>
      <c r="D533" s="98"/>
      <c r="E533" s="98"/>
      <c r="F533" s="235"/>
      <c r="G533" s="235"/>
      <c r="H533" s="236"/>
      <c r="I533" s="236"/>
      <c r="J533" s="236"/>
      <c r="K533" s="236"/>
      <c r="L533" s="236"/>
      <c r="M533" s="236"/>
      <c r="N533" s="236"/>
      <c r="O533" s="236"/>
      <c r="P533" s="236"/>
      <c r="Q533" s="236"/>
      <c r="R533" s="236"/>
      <c r="S533" s="236"/>
      <c r="T533" s="236"/>
      <c r="U533" s="236"/>
      <c r="V533" s="236"/>
      <c r="W533" s="237"/>
      <c r="X533" s="237"/>
      <c r="Y533" s="237"/>
      <c r="Z533" s="237"/>
      <c r="AA533" s="237"/>
      <c r="AB533" s="237"/>
      <c r="AC533" s="237"/>
      <c r="AD533" s="237"/>
      <c r="AE533" s="237"/>
      <c r="AF533" s="237"/>
      <c r="AG533" s="237"/>
      <c r="AH533" s="237"/>
      <c r="AI533" s="98"/>
      <c r="AJ533" s="98"/>
      <c r="AK533" s="98"/>
      <c r="AL533" s="98"/>
      <c r="AM533" s="98"/>
      <c r="AN533" s="98"/>
      <c r="AO533" s="98"/>
    </row>
    <row r="534" ht="14.25" customHeight="1">
      <c r="A534" s="98"/>
      <c r="B534" s="98"/>
      <c r="C534" s="98"/>
      <c r="D534" s="98"/>
      <c r="E534" s="98"/>
      <c r="F534" s="235"/>
      <c r="G534" s="235"/>
      <c r="H534" s="236"/>
      <c r="I534" s="236"/>
      <c r="J534" s="236"/>
      <c r="K534" s="236"/>
      <c r="L534" s="236"/>
      <c r="M534" s="236"/>
      <c r="N534" s="236"/>
      <c r="O534" s="236"/>
      <c r="P534" s="236"/>
      <c r="Q534" s="236"/>
      <c r="R534" s="236"/>
      <c r="S534" s="236"/>
      <c r="T534" s="236"/>
      <c r="U534" s="236"/>
      <c r="V534" s="236"/>
      <c r="W534" s="237"/>
      <c r="X534" s="237"/>
      <c r="Y534" s="237"/>
      <c r="Z534" s="237"/>
      <c r="AA534" s="237"/>
      <c r="AB534" s="237"/>
      <c r="AC534" s="237"/>
      <c r="AD534" s="237"/>
      <c r="AE534" s="237"/>
      <c r="AF534" s="237"/>
      <c r="AG534" s="237"/>
      <c r="AH534" s="237"/>
      <c r="AI534" s="98"/>
      <c r="AJ534" s="98"/>
      <c r="AK534" s="98"/>
      <c r="AL534" s="98"/>
      <c r="AM534" s="98"/>
      <c r="AN534" s="98"/>
      <c r="AO534" s="98"/>
    </row>
    <row r="535" ht="14.25" customHeight="1">
      <c r="A535" s="98"/>
      <c r="B535" s="98"/>
      <c r="C535" s="98"/>
      <c r="D535" s="98"/>
      <c r="E535" s="98"/>
      <c r="F535" s="235"/>
      <c r="G535" s="235"/>
      <c r="H535" s="236"/>
      <c r="I535" s="236"/>
      <c r="J535" s="236"/>
      <c r="K535" s="236"/>
      <c r="L535" s="236"/>
      <c r="M535" s="236"/>
      <c r="N535" s="236"/>
      <c r="O535" s="236"/>
      <c r="P535" s="236"/>
      <c r="Q535" s="236"/>
      <c r="R535" s="236"/>
      <c r="S535" s="236"/>
      <c r="T535" s="236"/>
      <c r="U535" s="236"/>
      <c r="V535" s="236"/>
      <c r="W535" s="237"/>
      <c r="X535" s="237"/>
      <c r="Y535" s="237"/>
      <c r="Z535" s="237"/>
      <c r="AA535" s="237"/>
      <c r="AB535" s="237"/>
      <c r="AC535" s="237"/>
      <c r="AD535" s="237"/>
      <c r="AE535" s="237"/>
      <c r="AF535" s="237"/>
      <c r="AG535" s="237"/>
      <c r="AH535" s="237"/>
      <c r="AI535" s="98"/>
      <c r="AJ535" s="98"/>
      <c r="AK535" s="98"/>
      <c r="AL535" s="98"/>
      <c r="AM535" s="98"/>
      <c r="AN535" s="98"/>
      <c r="AO535" s="98"/>
    </row>
    <row r="536" ht="14.25" customHeight="1">
      <c r="A536" s="98"/>
      <c r="B536" s="98"/>
      <c r="C536" s="98"/>
      <c r="D536" s="98"/>
      <c r="E536" s="98"/>
      <c r="F536" s="235"/>
      <c r="G536" s="235"/>
      <c r="H536" s="236"/>
      <c r="I536" s="236"/>
      <c r="J536" s="236"/>
      <c r="K536" s="236"/>
      <c r="L536" s="236"/>
      <c r="M536" s="236"/>
      <c r="N536" s="236"/>
      <c r="O536" s="236"/>
      <c r="P536" s="236"/>
      <c r="Q536" s="236"/>
      <c r="R536" s="236"/>
      <c r="S536" s="236"/>
      <c r="T536" s="236"/>
      <c r="U536" s="236"/>
      <c r="V536" s="236"/>
      <c r="W536" s="237"/>
      <c r="X536" s="237"/>
      <c r="Y536" s="237"/>
      <c r="Z536" s="237"/>
      <c r="AA536" s="237"/>
      <c r="AB536" s="237"/>
      <c r="AC536" s="237"/>
      <c r="AD536" s="237"/>
      <c r="AE536" s="237"/>
      <c r="AF536" s="237"/>
      <c r="AG536" s="237"/>
      <c r="AH536" s="237"/>
      <c r="AI536" s="98"/>
      <c r="AJ536" s="98"/>
      <c r="AK536" s="98"/>
      <c r="AL536" s="98"/>
      <c r="AM536" s="98"/>
      <c r="AN536" s="98"/>
      <c r="AO536" s="98"/>
    </row>
    <row r="537" ht="14.25" customHeight="1">
      <c r="A537" s="98"/>
      <c r="B537" s="98"/>
      <c r="C537" s="98"/>
      <c r="D537" s="98"/>
      <c r="E537" s="98"/>
      <c r="F537" s="235"/>
      <c r="G537" s="235"/>
      <c r="H537" s="236"/>
      <c r="I537" s="236"/>
      <c r="J537" s="236"/>
      <c r="K537" s="236"/>
      <c r="L537" s="236"/>
      <c r="M537" s="236"/>
      <c r="N537" s="236"/>
      <c r="O537" s="236"/>
      <c r="P537" s="236"/>
      <c r="Q537" s="236"/>
      <c r="R537" s="236"/>
      <c r="S537" s="236"/>
      <c r="T537" s="236"/>
      <c r="U537" s="236"/>
      <c r="V537" s="236"/>
      <c r="W537" s="237"/>
      <c r="X537" s="237"/>
      <c r="Y537" s="237"/>
      <c r="Z537" s="237"/>
      <c r="AA537" s="237"/>
      <c r="AB537" s="237"/>
      <c r="AC537" s="237"/>
      <c r="AD537" s="237"/>
      <c r="AE537" s="237"/>
      <c r="AF537" s="237"/>
      <c r="AG537" s="237"/>
      <c r="AH537" s="237"/>
      <c r="AI537" s="98"/>
      <c r="AJ537" s="98"/>
      <c r="AK537" s="98"/>
      <c r="AL537" s="98"/>
      <c r="AM537" s="98"/>
      <c r="AN537" s="98"/>
      <c r="AO537" s="98"/>
    </row>
    <row r="538" ht="14.25" customHeight="1">
      <c r="A538" s="98"/>
      <c r="B538" s="98"/>
      <c r="C538" s="98"/>
      <c r="D538" s="98"/>
      <c r="E538" s="98"/>
      <c r="F538" s="235"/>
      <c r="G538" s="235"/>
      <c r="H538" s="236"/>
      <c r="I538" s="236"/>
      <c r="J538" s="236"/>
      <c r="K538" s="236"/>
      <c r="L538" s="236"/>
      <c r="M538" s="236"/>
      <c r="N538" s="236"/>
      <c r="O538" s="236"/>
      <c r="P538" s="236"/>
      <c r="Q538" s="236"/>
      <c r="R538" s="236"/>
      <c r="S538" s="236"/>
      <c r="T538" s="236"/>
      <c r="U538" s="236"/>
      <c r="V538" s="236"/>
      <c r="W538" s="237"/>
      <c r="X538" s="237"/>
      <c r="Y538" s="237"/>
      <c r="Z538" s="237"/>
      <c r="AA538" s="237"/>
      <c r="AB538" s="237"/>
      <c r="AC538" s="237"/>
      <c r="AD538" s="237"/>
      <c r="AE538" s="237"/>
      <c r="AF538" s="237"/>
      <c r="AG538" s="237"/>
      <c r="AH538" s="237"/>
      <c r="AI538" s="98"/>
      <c r="AJ538" s="98"/>
      <c r="AK538" s="98"/>
      <c r="AL538" s="98"/>
      <c r="AM538" s="98"/>
      <c r="AN538" s="98"/>
      <c r="AO538" s="98"/>
    </row>
    <row r="539" ht="14.25" customHeight="1">
      <c r="A539" s="98"/>
      <c r="B539" s="98"/>
      <c r="C539" s="98"/>
      <c r="D539" s="98"/>
      <c r="E539" s="98"/>
      <c r="F539" s="235"/>
      <c r="G539" s="235"/>
      <c r="H539" s="236"/>
      <c r="I539" s="236"/>
      <c r="J539" s="236"/>
      <c r="K539" s="236"/>
      <c r="L539" s="236"/>
      <c r="M539" s="236"/>
      <c r="N539" s="236"/>
      <c r="O539" s="236"/>
      <c r="P539" s="236"/>
      <c r="Q539" s="236"/>
      <c r="R539" s="236"/>
      <c r="S539" s="236"/>
      <c r="T539" s="236"/>
      <c r="U539" s="236"/>
      <c r="V539" s="236"/>
      <c r="W539" s="237"/>
      <c r="X539" s="237"/>
      <c r="Y539" s="237"/>
      <c r="Z539" s="237"/>
      <c r="AA539" s="237"/>
      <c r="AB539" s="237"/>
      <c r="AC539" s="237"/>
      <c r="AD539" s="237"/>
      <c r="AE539" s="237"/>
      <c r="AF539" s="237"/>
      <c r="AG539" s="237"/>
      <c r="AH539" s="237"/>
      <c r="AI539" s="98"/>
      <c r="AJ539" s="98"/>
      <c r="AK539" s="98"/>
      <c r="AL539" s="98"/>
      <c r="AM539" s="98"/>
      <c r="AN539" s="98"/>
      <c r="AO539" s="98"/>
    </row>
    <row r="540" ht="14.25" customHeight="1">
      <c r="A540" s="98"/>
      <c r="B540" s="98"/>
      <c r="C540" s="98"/>
      <c r="D540" s="98"/>
      <c r="E540" s="98"/>
      <c r="F540" s="235"/>
      <c r="G540" s="235"/>
      <c r="H540" s="236"/>
      <c r="I540" s="236"/>
      <c r="J540" s="236"/>
      <c r="K540" s="236"/>
      <c r="L540" s="236"/>
      <c r="M540" s="236"/>
      <c r="N540" s="236"/>
      <c r="O540" s="236"/>
      <c r="P540" s="236"/>
      <c r="Q540" s="236"/>
      <c r="R540" s="236"/>
      <c r="S540" s="236"/>
      <c r="T540" s="236"/>
      <c r="U540" s="236"/>
      <c r="V540" s="236"/>
      <c r="W540" s="237"/>
      <c r="X540" s="237"/>
      <c r="Y540" s="237"/>
      <c r="Z540" s="237"/>
      <c r="AA540" s="237"/>
      <c r="AB540" s="237"/>
      <c r="AC540" s="237"/>
      <c r="AD540" s="237"/>
      <c r="AE540" s="237"/>
      <c r="AF540" s="237"/>
      <c r="AG540" s="237"/>
      <c r="AH540" s="237"/>
      <c r="AI540" s="98"/>
      <c r="AJ540" s="98"/>
      <c r="AK540" s="98"/>
      <c r="AL540" s="98"/>
      <c r="AM540" s="98"/>
      <c r="AN540" s="98"/>
      <c r="AO540" s="98"/>
    </row>
    <row r="541" ht="14.25" customHeight="1">
      <c r="A541" s="98"/>
      <c r="B541" s="98"/>
      <c r="C541" s="98"/>
      <c r="D541" s="98"/>
      <c r="E541" s="98"/>
      <c r="F541" s="235"/>
      <c r="G541" s="235"/>
      <c r="H541" s="236"/>
      <c r="I541" s="236"/>
      <c r="J541" s="236"/>
      <c r="K541" s="236"/>
      <c r="L541" s="236"/>
      <c r="M541" s="236"/>
      <c r="N541" s="236"/>
      <c r="O541" s="236"/>
      <c r="P541" s="236"/>
      <c r="Q541" s="236"/>
      <c r="R541" s="236"/>
      <c r="S541" s="236"/>
      <c r="T541" s="236"/>
      <c r="U541" s="236"/>
      <c r="V541" s="236"/>
      <c r="W541" s="237"/>
      <c r="X541" s="237"/>
      <c r="Y541" s="237"/>
      <c r="Z541" s="237"/>
      <c r="AA541" s="237"/>
      <c r="AB541" s="237"/>
      <c r="AC541" s="237"/>
      <c r="AD541" s="237"/>
      <c r="AE541" s="237"/>
      <c r="AF541" s="237"/>
      <c r="AG541" s="237"/>
      <c r="AH541" s="237"/>
      <c r="AI541" s="98"/>
      <c r="AJ541" s="98"/>
      <c r="AK541" s="98"/>
      <c r="AL541" s="98"/>
      <c r="AM541" s="98"/>
      <c r="AN541" s="98"/>
      <c r="AO541" s="98"/>
    </row>
    <row r="542" ht="14.25" customHeight="1">
      <c r="A542" s="98"/>
      <c r="B542" s="98"/>
      <c r="C542" s="98"/>
      <c r="D542" s="98"/>
      <c r="E542" s="98"/>
      <c r="F542" s="235"/>
      <c r="G542" s="235"/>
      <c r="H542" s="236"/>
      <c r="I542" s="236"/>
      <c r="J542" s="236"/>
      <c r="K542" s="236"/>
      <c r="L542" s="236"/>
      <c r="M542" s="236"/>
      <c r="N542" s="236"/>
      <c r="O542" s="236"/>
      <c r="P542" s="236"/>
      <c r="Q542" s="236"/>
      <c r="R542" s="236"/>
      <c r="S542" s="236"/>
      <c r="T542" s="236"/>
      <c r="U542" s="236"/>
      <c r="V542" s="236"/>
      <c r="W542" s="237"/>
      <c r="X542" s="237"/>
      <c r="Y542" s="237"/>
      <c r="Z542" s="237"/>
      <c r="AA542" s="237"/>
      <c r="AB542" s="237"/>
      <c r="AC542" s="237"/>
      <c r="AD542" s="237"/>
      <c r="AE542" s="237"/>
      <c r="AF542" s="237"/>
      <c r="AG542" s="237"/>
      <c r="AH542" s="237"/>
      <c r="AI542" s="98"/>
      <c r="AJ542" s="98"/>
      <c r="AK542" s="98"/>
      <c r="AL542" s="98"/>
      <c r="AM542" s="98"/>
      <c r="AN542" s="98"/>
      <c r="AO542" s="98"/>
    </row>
    <row r="543" ht="14.25" customHeight="1">
      <c r="A543" s="98"/>
      <c r="B543" s="98"/>
      <c r="C543" s="98"/>
      <c r="D543" s="98"/>
      <c r="E543" s="98"/>
      <c r="F543" s="235"/>
      <c r="G543" s="235"/>
      <c r="H543" s="236"/>
      <c r="I543" s="236"/>
      <c r="J543" s="236"/>
      <c r="K543" s="236"/>
      <c r="L543" s="236"/>
      <c r="M543" s="236"/>
      <c r="N543" s="236"/>
      <c r="O543" s="236"/>
      <c r="P543" s="236"/>
      <c r="Q543" s="236"/>
      <c r="R543" s="236"/>
      <c r="S543" s="236"/>
      <c r="T543" s="236"/>
      <c r="U543" s="236"/>
      <c r="V543" s="236"/>
      <c r="W543" s="237"/>
      <c r="X543" s="237"/>
      <c r="Y543" s="237"/>
      <c r="Z543" s="237"/>
      <c r="AA543" s="237"/>
      <c r="AB543" s="237"/>
      <c r="AC543" s="237"/>
      <c r="AD543" s="237"/>
      <c r="AE543" s="237"/>
      <c r="AF543" s="237"/>
      <c r="AG543" s="237"/>
      <c r="AH543" s="237"/>
      <c r="AI543" s="98"/>
      <c r="AJ543" s="98"/>
      <c r="AK543" s="98"/>
      <c r="AL543" s="98"/>
      <c r="AM543" s="98"/>
      <c r="AN543" s="98"/>
      <c r="AO543" s="98"/>
    </row>
    <row r="544" ht="14.25" customHeight="1">
      <c r="A544" s="98"/>
      <c r="B544" s="98"/>
      <c r="C544" s="98"/>
      <c r="D544" s="98"/>
      <c r="E544" s="98"/>
      <c r="F544" s="235"/>
      <c r="G544" s="235"/>
      <c r="H544" s="236"/>
      <c r="I544" s="236"/>
      <c r="J544" s="236"/>
      <c r="K544" s="236"/>
      <c r="L544" s="236"/>
      <c r="M544" s="236"/>
      <c r="N544" s="236"/>
      <c r="O544" s="236"/>
      <c r="P544" s="236"/>
      <c r="Q544" s="236"/>
      <c r="R544" s="236"/>
      <c r="S544" s="236"/>
      <c r="T544" s="236"/>
      <c r="U544" s="236"/>
      <c r="V544" s="236"/>
      <c r="W544" s="237"/>
      <c r="X544" s="237"/>
      <c r="Y544" s="237"/>
      <c r="Z544" s="237"/>
      <c r="AA544" s="237"/>
      <c r="AB544" s="237"/>
      <c r="AC544" s="237"/>
      <c r="AD544" s="237"/>
      <c r="AE544" s="237"/>
      <c r="AF544" s="237"/>
      <c r="AG544" s="237"/>
      <c r="AH544" s="237"/>
      <c r="AI544" s="98"/>
      <c r="AJ544" s="98"/>
      <c r="AK544" s="98"/>
      <c r="AL544" s="98"/>
      <c r="AM544" s="98"/>
      <c r="AN544" s="98"/>
      <c r="AO544" s="98"/>
    </row>
    <row r="545" ht="14.25" customHeight="1">
      <c r="A545" s="98"/>
      <c r="B545" s="98"/>
      <c r="C545" s="98"/>
      <c r="D545" s="98"/>
      <c r="E545" s="98"/>
      <c r="F545" s="235"/>
      <c r="G545" s="235"/>
      <c r="H545" s="236"/>
      <c r="I545" s="236"/>
      <c r="J545" s="236"/>
      <c r="K545" s="236"/>
      <c r="L545" s="236"/>
      <c r="M545" s="236"/>
      <c r="N545" s="236"/>
      <c r="O545" s="236"/>
      <c r="P545" s="236"/>
      <c r="Q545" s="236"/>
      <c r="R545" s="236"/>
      <c r="S545" s="236"/>
      <c r="T545" s="236"/>
      <c r="U545" s="236"/>
      <c r="V545" s="236"/>
      <c r="W545" s="237"/>
      <c r="X545" s="237"/>
      <c r="Y545" s="237"/>
      <c r="Z545" s="237"/>
      <c r="AA545" s="237"/>
      <c r="AB545" s="237"/>
      <c r="AC545" s="237"/>
      <c r="AD545" s="237"/>
      <c r="AE545" s="237"/>
      <c r="AF545" s="237"/>
      <c r="AG545" s="237"/>
      <c r="AH545" s="237"/>
      <c r="AI545" s="98"/>
      <c r="AJ545" s="98"/>
      <c r="AK545" s="98"/>
      <c r="AL545" s="98"/>
      <c r="AM545" s="98"/>
      <c r="AN545" s="98"/>
      <c r="AO545" s="98"/>
    </row>
    <row r="546" ht="14.25" customHeight="1">
      <c r="A546" s="98"/>
      <c r="B546" s="98"/>
      <c r="C546" s="98"/>
      <c r="D546" s="98"/>
      <c r="E546" s="98"/>
      <c r="F546" s="235"/>
      <c r="G546" s="235"/>
      <c r="H546" s="236"/>
      <c r="I546" s="236"/>
      <c r="J546" s="236"/>
      <c r="K546" s="236"/>
      <c r="L546" s="236"/>
      <c r="M546" s="236"/>
      <c r="N546" s="236"/>
      <c r="O546" s="236"/>
      <c r="P546" s="236"/>
      <c r="Q546" s="236"/>
      <c r="R546" s="236"/>
      <c r="S546" s="236"/>
      <c r="T546" s="236"/>
      <c r="U546" s="236"/>
      <c r="V546" s="236"/>
      <c r="W546" s="237"/>
      <c r="X546" s="237"/>
      <c r="Y546" s="237"/>
      <c r="Z546" s="237"/>
      <c r="AA546" s="237"/>
      <c r="AB546" s="237"/>
      <c r="AC546" s="237"/>
      <c r="AD546" s="237"/>
      <c r="AE546" s="237"/>
      <c r="AF546" s="237"/>
      <c r="AG546" s="237"/>
      <c r="AH546" s="237"/>
      <c r="AI546" s="98"/>
      <c r="AJ546" s="98"/>
      <c r="AK546" s="98"/>
      <c r="AL546" s="98"/>
      <c r="AM546" s="98"/>
      <c r="AN546" s="98"/>
      <c r="AO546" s="98"/>
    </row>
    <row r="547" ht="14.25" customHeight="1">
      <c r="A547" s="98"/>
      <c r="B547" s="98"/>
      <c r="C547" s="98"/>
      <c r="D547" s="98"/>
      <c r="E547" s="98"/>
      <c r="F547" s="235"/>
      <c r="G547" s="235"/>
      <c r="H547" s="236"/>
      <c r="I547" s="236"/>
      <c r="J547" s="236"/>
      <c r="K547" s="236"/>
      <c r="L547" s="236"/>
      <c r="M547" s="236"/>
      <c r="N547" s="236"/>
      <c r="O547" s="236"/>
      <c r="P547" s="236"/>
      <c r="Q547" s="236"/>
      <c r="R547" s="236"/>
      <c r="S547" s="236"/>
      <c r="T547" s="236"/>
      <c r="U547" s="236"/>
      <c r="V547" s="236"/>
      <c r="W547" s="237"/>
      <c r="X547" s="237"/>
      <c r="Y547" s="237"/>
      <c r="Z547" s="237"/>
      <c r="AA547" s="237"/>
      <c r="AB547" s="237"/>
      <c r="AC547" s="237"/>
      <c r="AD547" s="237"/>
      <c r="AE547" s="237"/>
      <c r="AF547" s="237"/>
      <c r="AG547" s="237"/>
      <c r="AH547" s="237"/>
      <c r="AI547" s="98"/>
      <c r="AJ547" s="98"/>
      <c r="AK547" s="98"/>
      <c r="AL547" s="98"/>
      <c r="AM547" s="98"/>
      <c r="AN547" s="98"/>
      <c r="AO547" s="98"/>
    </row>
    <row r="548" ht="14.25" customHeight="1">
      <c r="A548" s="98"/>
      <c r="B548" s="98"/>
      <c r="C548" s="98"/>
      <c r="D548" s="98"/>
      <c r="E548" s="98"/>
      <c r="F548" s="235"/>
      <c r="G548" s="235"/>
      <c r="H548" s="236"/>
      <c r="I548" s="236"/>
      <c r="J548" s="236"/>
      <c r="K548" s="236"/>
      <c r="L548" s="236"/>
      <c r="M548" s="236"/>
      <c r="N548" s="236"/>
      <c r="O548" s="236"/>
      <c r="P548" s="236"/>
      <c r="Q548" s="236"/>
      <c r="R548" s="236"/>
      <c r="S548" s="236"/>
      <c r="T548" s="236"/>
      <c r="U548" s="236"/>
      <c r="V548" s="236"/>
      <c r="W548" s="237"/>
      <c r="X548" s="237"/>
      <c r="Y548" s="237"/>
      <c r="Z548" s="237"/>
      <c r="AA548" s="237"/>
      <c r="AB548" s="237"/>
      <c r="AC548" s="237"/>
      <c r="AD548" s="237"/>
      <c r="AE548" s="237"/>
      <c r="AF548" s="237"/>
      <c r="AG548" s="237"/>
      <c r="AH548" s="237"/>
      <c r="AI548" s="98"/>
      <c r="AJ548" s="98"/>
      <c r="AK548" s="98"/>
      <c r="AL548" s="98"/>
      <c r="AM548" s="98"/>
      <c r="AN548" s="98"/>
      <c r="AO548" s="98"/>
    </row>
    <row r="549" ht="14.25" customHeight="1">
      <c r="A549" s="98"/>
      <c r="B549" s="98"/>
      <c r="C549" s="98"/>
      <c r="D549" s="98"/>
      <c r="E549" s="98"/>
      <c r="F549" s="235"/>
      <c r="G549" s="235"/>
      <c r="H549" s="236"/>
      <c r="I549" s="236"/>
      <c r="J549" s="236"/>
      <c r="K549" s="236"/>
      <c r="L549" s="236"/>
      <c r="M549" s="236"/>
      <c r="N549" s="236"/>
      <c r="O549" s="236"/>
      <c r="P549" s="236"/>
      <c r="Q549" s="236"/>
      <c r="R549" s="236"/>
      <c r="S549" s="236"/>
      <c r="T549" s="236"/>
      <c r="U549" s="236"/>
      <c r="V549" s="236"/>
      <c r="W549" s="237"/>
      <c r="X549" s="237"/>
      <c r="Y549" s="237"/>
      <c r="Z549" s="237"/>
      <c r="AA549" s="237"/>
      <c r="AB549" s="237"/>
      <c r="AC549" s="237"/>
      <c r="AD549" s="237"/>
      <c r="AE549" s="237"/>
      <c r="AF549" s="237"/>
      <c r="AG549" s="237"/>
      <c r="AH549" s="237"/>
      <c r="AI549" s="98"/>
      <c r="AJ549" s="98"/>
      <c r="AK549" s="98"/>
      <c r="AL549" s="98"/>
      <c r="AM549" s="98"/>
      <c r="AN549" s="98"/>
      <c r="AO549" s="98"/>
    </row>
    <row r="550" ht="14.25" customHeight="1">
      <c r="A550" s="98"/>
      <c r="B550" s="98"/>
      <c r="C550" s="98"/>
      <c r="D550" s="98"/>
      <c r="E550" s="98"/>
      <c r="F550" s="235"/>
      <c r="G550" s="235"/>
      <c r="H550" s="236"/>
      <c r="I550" s="236"/>
      <c r="J550" s="236"/>
      <c r="K550" s="236"/>
      <c r="L550" s="236"/>
      <c r="M550" s="236"/>
      <c r="N550" s="236"/>
      <c r="O550" s="236"/>
      <c r="P550" s="236"/>
      <c r="Q550" s="236"/>
      <c r="R550" s="236"/>
      <c r="S550" s="236"/>
      <c r="T550" s="236"/>
      <c r="U550" s="236"/>
      <c r="V550" s="236"/>
      <c r="W550" s="237"/>
      <c r="X550" s="237"/>
      <c r="Y550" s="237"/>
      <c r="Z550" s="237"/>
      <c r="AA550" s="237"/>
      <c r="AB550" s="237"/>
      <c r="AC550" s="237"/>
      <c r="AD550" s="237"/>
      <c r="AE550" s="237"/>
      <c r="AF550" s="237"/>
      <c r="AG550" s="237"/>
      <c r="AH550" s="237"/>
      <c r="AI550" s="98"/>
      <c r="AJ550" s="98"/>
      <c r="AK550" s="98"/>
      <c r="AL550" s="98"/>
      <c r="AM550" s="98"/>
      <c r="AN550" s="98"/>
      <c r="AO550" s="98"/>
    </row>
    <row r="551" ht="14.25" customHeight="1">
      <c r="A551" s="98"/>
      <c r="B551" s="98"/>
      <c r="C551" s="98"/>
      <c r="D551" s="98"/>
      <c r="E551" s="98"/>
      <c r="F551" s="235"/>
      <c r="G551" s="235"/>
      <c r="H551" s="236"/>
      <c r="I551" s="236"/>
      <c r="J551" s="236"/>
      <c r="K551" s="236"/>
      <c r="L551" s="236"/>
      <c r="M551" s="236"/>
      <c r="N551" s="236"/>
      <c r="O551" s="236"/>
      <c r="P551" s="236"/>
      <c r="Q551" s="236"/>
      <c r="R551" s="236"/>
      <c r="S551" s="236"/>
      <c r="T551" s="236"/>
      <c r="U551" s="236"/>
      <c r="V551" s="236"/>
      <c r="W551" s="237"/>
      <c r="X551" s="237"/>
      <c r="Y551" s="237"/>
      <c r="Z551" s="237"/>
      <c r="AA551" s="237"/>
      <c r="AB551" s="237"/>
      <c r="AC551" s="237"/>
      <c r="AD551" s="237"/>
      <c r="AE551" s="237"/>
      <c r="AF551" s="237"/>
      <c r="AG551" s="237"/>
      <c r="AH551" s="237"/>
      <c r="AI551" s="98"/>
      <c r="AJ551" s="98"/>
      <c r="AK551" s="98"/>
      <c r="AL551" s="98"/>
      <c r="AM551" s="98"/>
      <c r="AN551" s="98"/>
      <c r="AO551" s="98"/>
    </row>
    <row r="552" ht="14.25" customHeight="1">
      <c r="A552" s="98"/>
      <c r="B552" s="98"/>
      <c r="C552" s="98"/>
      <c r="D552" s="98"/>
      <c r="E552" s="98"/>
      <c r="F552" s="235"/>
      <c r="G552" s="235"/>
      <c r="H552" s="236"/>
      <c r="I552" s="236"/>
      <c r="J552" s="236"/>
      <c r="K552" s="236"/>
      <c r="L552" s="236"/>
      <c r="M552" s="236"/>
      <c r="N552" s="236"/>
      <c r="O552" s="236"/>
      <c r="P552" s="236"/>
      <c r="Q552" s="236"/>
      <c r="R552" s="236"/>
      <c r="S552" s="236"/>
      <c r="T552" s="236"/>
      <c r="U552" s="236"/>
      <c r="V552" s="236"/>
      <c r="W552" s="237"/>
      <c r="X552" s="237"/>
      <c r="Y552" s="237"/>
      <c r="Z552" s="237"/>
      <c r="AA552" s="237"/>
      <c r="AB552" s="237"/>
      <c r="AC552" s="237"/>
      <c r="AD552" s="237"/>
      <c r="AE552" s="237"/>
      <c r="AF552" s="237"/>
      <c r="AG552" s="237"/>
      <c r="AH552" s="237"/>
      <c r="AI552" s="98"/>
      <c r="AJ552" s="98"/>
      <c r="AK552" s="98"/>
      <c r="AL552" s="98"/>
      <c r="AM552" s="98"/>
      <c r="AN552" s="98"/>
      <c r="AO552" s="98"/>
    </row>
    <row r="553" ht="14.25" customHeight="1">
      <c r="A553" s="98"/>
      <c r="B553" s="98"/>
      <c r="C553" s="98"/>
      <c r="D553" s="98"/>
      <c r="E553" s="98"/>
      <c r="F553" s="235"/>
      <c r="G553" s="235"/>
      <c r="H553" s="236"/>
      <c r="I553" s="236"/>
      <c r="J553" s="236"/>
      <c r="K553" s="236"/>
      <c r="L553" s="236"/>
      <c r="M553" s="236"/>
      <c r="N553" s="236"/>
      <c r="O553" s="236"/>
      <c r="P553" s="236"/>
      <c r="Q553" s="236"/>
      <c r="R553" s="236"/>
      <c r="S553" s="236"/>
      <c r="T553" s="236"/>
      <c r="U553" s="236"/>
      <c r="V553" s="236"/>
      <c r="W553" s="237"/>
      <c r="X553" s="237"/>
      <c r="Y553" s="237"/>
      <c r="Z553" s="237"/>
      <c r="AA553" s="237"/>
      <c r="AB553" s="237"/>
      <c r="AC553" s="237"/>
      <c r="AD553" s="237"/>
      <c r="AE553" s="237"/>
      <c r="AF553" s="237"/>
      <c r="AG553" s="237"/>
      <c r="AH553" s="237"/>
      <c r="AI553" s="98"/>
      <c r="AJ553" s="98"/>
      <c r="AK553" s="98"/>
      <c r="AL553" s="98"/>
      <c r="AM553" s="98"/>
      <c r="AN553" s="98"/>
      <c r="AO553" s="98"/>
    </row>
    <row r="554" ht="14.25" customHeight="1">
      <c r="A554" s="98"/>
      <c r="B554" s="98"/>
      <c r="C554" s="98"/>
      <c r="D554" s="98"/>
      <c r="E554" s="98"/>
      <c r="F554" s="235"/>
      <c r="G554" s="235"/>
      <c r="H554" s="236"/>
      <c r="I554" s="236"/>
      <c r="J554" s="236"/>
      <c r="K554" s="236"/>
      <c r="L554" s="236"/>
      <c r="M554" s="236"/>
      <c r="N554" s="236"/>
      <c r="O554" s="236"/>
      <c r="P554" s="236"/>
      <c r="Q554" s="236"/>
      <c r="R554" s="236"/>
      <c r="S554" s="236"/>
      <c r="T554" s="236"/>
      <c r="U554" s="236"/>
      <c r="V554" s="236"/>
      <c r="W554" s="237"/>
      <c r="X554" s="237"/>
      <c r="Y554" s="237"/>
      <c r="Z554" s="237"/>
      <c r="AA554" s="237"/>
      <c r="AB554" s="237"/>
      <c r="AC554" s="237"/>
      <c r="AD554" s="237"/>
      <c r="AE554" s="237"/>
      <c r="AF554" s="237"/>
      <c r="AG554" s="237"/>
      <c r="AH554" s="237"/>
      <c r="AI554" s="98"/>
      <c r="AJ554" s="98"/>
      <c r="AK554" s="98"/>
      <c r="AL554" s="98"/>
      <c r="AM554" s="98"/>
      <c r="AN554" s="98"/>
      <c r="AO554" s="98"/>
    </row>
    <row r="555" ht="14.25" customHeight="1">
      <c r="A555" s="98"/>
      <c r="B555" s="98"/>
      <c r="C555" s="98"/>
      <c r="D555" s="98"/>
      <c r="E555" s="98"/>
      <c r="F555" s="235"/>
      <c r="G555" s="235"/>
      <c r="H555" s="236"/>
      <c r="I555" s="236"/>
      <c r="J555" s="236"/>
      <c r="K555" s="236"/>
      <c r="L555" s="236"/>
      <c r="M555" s="236"/>
      <c r="N555" s="236"/>
      <c r="O555" s="236"/>
      <c r="P555" s="236"/>
      <c r="Q555" s="236"/>
      <c r="R555" s="236"/>
      <c r="S555" s="236"/>
      <c r="T555" s="236"/>
      <c r="U555" s="236"/>
      <c r="V555" s="236"/>
      <c r="W555" s="237"/>
      <c r="X555" s="237"/>
      <c r="Y555" s="237"/>
      <c r="Z555" s="237"/>
      <c r="AA555" s="237"/>
      <c r="AB555" s="237"/>
      <c r="AC555" s="237"/>
      <c r="AD555" s="237"/>
      <c r="AE555" s="237"/>
      <c r="AF555" s="237"/>
      <c r="AG555" s="237"/>
      <c r="AH555" s="237"/>
      <c r="AI555" s="98"/>
      <c r="AJ555" s="98"/>
      <c r="AK555" s="98"/>
      <c r="AL555" s="98"/>
      <c r="AM555" s="98"/>
      <c r="AN555" s="98"/>
      <c r="AO555" s="98"/>
    </row>
    <row r="556" ht="14.25" customHeight="1">
      <c r="A556" s="98"/>
      <c r="B556" s="98"/>
      <c r="C556" s="98"/>
      <c r="D556" s="98"/>
      <c r="E556" s="98"/>
      <c r="F556" s="235"/>
      <c r="G556" s="235"/>
      <c r="H556" s="236"/>
      <c r="I556" s="236"/>
      <c r="J556" s="236"/>
      <c r="K556" s="236"/>
      <c r="L556" s="236"/>
      <c r="M556" s="236"/>
      <c r="N556" s="236"/>
      <c r="O556" s="236"/>
      <c r="P556" s="236"/>
      <c r="Q556" s="236"/>
      <c r="R556" s="236"/>
      <c r="S556" s="236"/>
      <c r="T556" s="236"/>
      <c r="U556" s="236"/>
      <c r="V556" s="236"/>
      <c r="W556" s="237"/>
      <c r="X556" s="237"/>
      <c r="Y556" s="237"/>
      <c r="Z556" s="237"/>
      <c r="AA556" s="237"/>
      <c r="AB556" s="237"/>
      <c r="AC556" s="237"/>
      <c r="AD556" s="237"/>
      <c r="AE556" s="237"/>
      <c r="AF556" s="237"/>
      <c r="AG556" s="237"/>
      <c r="AH556" s="237"/>
      <c r="AI556" s="98"/>
      <c r="AJ556" s="98"/>
      <c r="AK556" s="98"/>
      <c r="AL556" s="98"/>
      <c r="AM556" s="98"/>
      <c r="AN556" s="98"/>
      <c r="AO556" s="98"/>
    </row>
    <row r="557" ht="14.25" customHeight="1">
      <c r="A557" s="98"/>
      <c r="B557" s="98"/>
      <c r="C557" s="98"/>
      <c r="D557" s="98"/>
      <c r="E557" s="98"/>
      <c r="F557" s="235"/>
      <c r="G557" s="235"/>
      <c r="H557" s="236"/>
      <c r="I557" s="236"/>
      <c r="J557" s="236"/>
      <c r="K557" s="236"/>
      <c r="L557" s="236"/>
      <c r="M557" s="236"/>
      <c r="N557" s="236"/>
      <c r="O557" s="236"/>
      <c r="P557" s="236"/>
      <c r="Q557" s="236"/>
      <c r="R557" s="236"/>
      <c r="S557" s="236"/>
      <c r="T557" s="236"/>
      <c r="U557" s="236"/>
      <c r="V557" s="236"/>
      <c r="W557" s="237"/>
      <c r="X557" s="237"/>
      <c r="Y557" s="237"/>
      <c r="Z557" s="237"/>
      <c r="AA557" s="237"/>
      <c r="AB557" s="237"/>
      <c r="AC557" s="237"/>
      <c r="AD557" s="237"/>
      <c r="AE557" s="237"/>
      <c r="AF557" s="237"/>
      <c r="AG557" s="237"/>
      <c r="AH557" s="237"/>
      <c r="AI557" s="98"/>
      <c r="AJ557" s="98"/>
      <c r="AK557" s="98"/>
      <c r="AL557" s="98"/>
      <c r="AM557" s="98"/>
      <c r="AN557" s="98"/>
      <c r="AO557" s="98"/>
    </row>
    <row r="558" ht="14.25" customHeight="1">
      <c r="A558" s="98"/>
      <c r="B558" s="98"/>
      <c r="C558" s="98"/>
      <c r="D558" s="98"/>
      <c r="E558" s="98"/>
      <c r="F558" s="235"/>
      <c r="G558" s="235"/>
      <c r="H558" s="236"/>
      <c r="I558" s="236"/>
      <c r="J558" s="236"/>
      <c r="K558" s="236"/>
      <c r="L558" s="236"/>
      <c r="M558" s="236"/>
      <c r="N558" s="236"/>
      <c r="O558" s="236"/>
      <c r="P558" s="236"/>
      <c r="Q558" s="236"/>
      <c r="R558" s="236"/>
      <c r="S558" s="236"/>
      <c r="T558" s="236"/>
      <c r="U558" s="236"/>
      <c r="V558" s="236"/>
      <c r="W558" s="237"/>
      <c r="X558" s="237"/>
      <c r="Y558" s="237"/>
      <c r="Z558" s="237"/>
      <c r="AA558" s="237"/>
      <c r="AB558" s="237"/>
      <c r="AC558" s="237"/>
      <c r="AD558" s="237"/>
      <c r="AE558" s="237"/>
      <c r="AF558" s="237"/>
      <c r="AG558" s="237"/>
      <c r="AH558" s="237"/>
      <c r="AI558" s="98"/>
      <c r="AJ558" s="98"/>
      <c r="AK558" s="98"/>
      <c r="AL558" s="98"/>
      <c r="AM558" s="98"/>
      <c r="AN558" s="98"/>
      <c r="AO558" s="98"/>
    </row>
    <row r="559" ht="14.25" customHeight="1">
      <c r="A559" s="98"/>
      <c r="B559" s="98"/>
      <c r="C559" s="98"/>
      <c r="D559" s="98"/>
      <c r="E559" s="98"/>
      <c r="F559" s="235"/>
      <c r="G559" s="235"/>
      <c r="H559" s="236"/>
      <c r="I559" s="236"/>
      <c r="J559" s="236"/>
      <c r="K559" s="236"/>
      <c r="L559" s="236"/>
      <c r="M559" s="236"/>
      <c r="N559" s="236"/>
      <c r="O559" s="236"/>
      <c r="P559" s="236"/>
      <c r="Q559" s="236"/>
      <c r="R559" s="236"/>
      <c r="S559" s="236"/>
      <c r="T559" s="236"/>
      <c r="U559" s="236"/>
      <c r="V559" s="236"/>
      <c r="W559" s="237"/>
      <c r="X559" s="237"/>
      <c r="Y559" s="237"/>
      <c r="Z559" s="237"/>
      <c r="AA559" s="237"/>
      <c r="AB559" s="237"/>
      <c r="AC559" s="237"/>
      <c r="AD559" s="237"/>
      <c r="AE559" s="237"/>
      <c r="AF559" s="237"/>
      <c r="AG559" s="237"/>
      <c r="AH559" s="237"/>
      <c r="AI559" s="98"/>
      <c r="AJ559" s="98"/>
      <c r="AK559" s="98"/>
      <c r="AL559" s="98"/>
      <c r="AM559" s="98"/>
      <c r="AN559" s="98"/>
      <c r="AO559" s="98"/>
    </row>
    <row r="560" ht="14.25" customHeight="1">
      <c r="A560" s="98"/>
      <c r="B560" s="98"/>
      <c r="C560" s="98"/>
      <c r="D560" s="98"/>
      <c r="E560" s="98"/>
      <c r="F560" s="235"/>
      <c r="G560" s="235"/>
      <c r="H560" s="236"/>
      <c r="I560" s="236"/>
      <c r="J560" s="236"/>
      <c r="K560" s="236"/>
      <c r="L560" s="236"/>
      <c r="M560" s="236"/>
      <c r="N560" s="236"/>
      <c r="O560" s="236"/>
      <c r="P560" s="236"/>
      <c r="Q560" s="236"/>
      <c r="R560" s="236"/>
      <c r="S560" s="236"/>
      <c r="T560" s="236"/>
      <c r="U560" s="236"/>
      <c r="V560" s="236"/>
      <c r="W560" s="237"/>
      <c r="X560" s="237"/>
      <c r="Y560" s="237"/>
      <c r="Z560" s="237"/>
      <c r="AA560" s="237"/>
      <c r="AB560" s="237"/>
      <c r="AC560" s="237"/>
      <c r="AD560" s="237"/>
      <c r="AE560" s="237"/>
      <c r="AF560" s="237"/>
      <c r="AG560" s="237"/>
      <c r="AH560" s="237"/>
      <c r="AI560" s="98"/>
      <c r="AJ560" s="98"/>
      <c r="AK560" s="98"/>
      <c r="AL560" s="98"/>
      <c r="AM560" s="98"/>
      <c r="AN560" s="98"/>
      <c r="AO560" s="98"/>
    </row>
    <row r="561" ht="14.25" customHeight="1">
      <c r="A561" s="98"/>
      <c r="B561" s="98"/>
      <c r="C561" s="98"/>
      <c r="D561" s="98"/>
      <c r="E561" s="98"/>
      <c r="F561" s="235"/>
      <c r="G561" s="235"/>
      <c r="H561" s="236"/>
      <c r="I561" s="236"/>
      <c r="J561" s="236"/>
      <c r="K561" s="236"/>
      <c r="L561" s="236"/>
      <c r="M561" s="236"/>
      <c r="N561" s="236"/>
      <c r="O561" s="236"/>
      <c r="P561" s="236"/>
      <c r="Q561" s="236"/>
      <c r="R561" s="236"/>
      <c r="S561" s="236"/>
      <c r="T561" s="236"/>
      <c r="U561" s="236"/>
      <c r="V561" s="236"/>
      <c r="W561" s="237"/>
      <c r="X561" s="237"/>
      <c r="Y561" s="237"/>
      <c r="Z561" s="237"/>
      <c r="AA561" s="237"/>
      <c r="AB561" s="237"/>
      <c r="AC561" s="237"/>
      <c r="AD561" s="237"/>
      <c r="AE561" s="237"/>
      <c r="AF561" s="237"/>
      <c r="AG561" s="237"/>
      <c r="AH561" s="237"/>
      <c r="AI561" s="98"/>
      <c r="AJ561" s="98"/>
      <c r="AK561" s="98"/>
      <c r="AL561" s="98"/>
      <c r="AM561" s="98"/>
      <c r="AN561" s="98"/>
      <c r="AO561" s="98"/>
    </row>
    <row r="562" ht="14.25" customHeight="1">
      <c r="A562" s="98"/>
      <c r="B562" s="98"/>
      <c r="C562" s="98"/>
      <c r="D562" s="98"/>
      <c r="E562" s="98"/>
      <c r="F562" s="235"/>
      <c r="G562" s="235"/>
      <c r="H562" s="236"/>
      <c r="I562" s="236"/>
      <c r="J562" s="236"/>
      <c r="K562" s="236"/>
      <c r="L562" s="236"/>
      <c r="M562" s="236"/>
      <c r="N562" s="236"/>
      <c r="O562" s="236"/>
      <c r="P562" s="236"/>
      <c r="Q562" s="236"/>
      <c r="R562" s="236"/>
      <c r="S562" s="236"/>
      <c r="T562" s="236"/>
      <c r="U562" s="236"/>
      <c r="V562" s="236"/>
      <c r="W562" s="237"/>
      <c r="X562" s="237"/>
      <c r="Y562" s="237"/>
      <c r="Z562" s="237"/>
      <c r="AA562" s="237"/>
      <c r="AB562" s="237"/>
      <c r="AC562" s="237"/>
      <c r="AD562" s="237"/>
      <c r="AE562" s="237"/>
      <c r="AF562" s="237"/>
      <c r="AG562" s="237"/>
      <c r="AH562" s="237"/>
      <c r="AI562" s="98"/>
      <c r="AJ562" s="98"/>
      <c r="AK562" s="98"/>
      <c r="AL562" s="98"/>
      <c r="AM562" s="98"/>
      <c r="AN562" s="98"/>
      <c r="AO562" s="98"/>
    </row>
    <row r="563" ht="14.25" customHeight="1">
      <c r="A563" s="98"/>
      <c r="B563" s="98"/>
      <c r="C563" s="98"/>
      <c r="D563" s="98"/>
      <c r="E563" s="98"/>
      <c r="F563" s="235"/>
      <c r="G563" s="235"/>
      <c r="H563" s="236"/>
      <c r="I563" s="236"/>
      <c r="J563" s="236"/>
      <c r="K563" s="236"/>
      <c r="L563" s="236"/>
      <c r="M563" s="236"/>
      <c r="N563" s="236"/>
      <c r="O563" s="236"/>
      <c r="P563" s="236"/>
      <c r="Q563" s="236"/>
      <c r="R563" s="236"/>
      <c r="S563" s="236"/>
      <c r="T563" s="236"/>
      <c r="U563" s="236"/>
      <c r="V563" s="236"/>
      <c r="W563" s="237"/>
      <c r="X563" s="237"/>
      <c r="Y563" s="237"/>
      <c r="Z563" s="237"/>
      <c r="AA563" s="237"/>
      <c r="AB563" s="237"/>
      <c r="AC563" s="237"/>
      <c r="AD563" s="237"/>
      <c r="AE563" s="237"/>
      <c r="AF563" s="237"/>
      <c r="AG563" s="237"/>
      <c r="AH563" s="237"/>
      <c r="AI563" s="98"/>
      <c r="AJ563" s="98"/>
      <c r="AK563" s="98"/>
      <c r="AL563" s="98"/>
      <c r="AM563" s="98"/>
      <c r="AN563" s="98"/>
      <c r="AO563" s="98"/>
    </row>
    <row r="564" ht="14.25" customHeight="1">
      <c r="A564" s="98"/>
      <c r="B564" s="98"/>
      <c r="C564" s="98"/>
      <c r="D564" s="98"/>
      <c r="E564" s="98"/>
      <c r="F564" s="235"/>
      <c r="G564" s="235"/>
      <c r="H564" s="236"/>
      <c r="I564" s="236"/>
      <c r="J564" s="236"/>
      <c r="K564" s="236"/>
      <c r="L564" s="236"/>
      <c r="M564" s="236"/>
      <c r="N564" s="236"/>
      <c r="O564" s="236"/>
      <c r="P564" s="236"/>
      <c r="Q564" s="236"/>
      <c r="R564" s="236"/>
      <c r="S564" s="236"/>
      <c r="T564" s="236"/>
      <c r="U564" s="236"/>
      <c r="V564" s="236"/>
      <c r="W564" s="237"/>
      <c r="X564" s="237"/>
      <c r="Y564" s="237"/>
      <c r="Z564" s="237"/>
      <c r="AA564" s="237"/>
      <c r="AB564" s="237"/>
      <c r="AC564" s="237"/>
      <c r="AD564" s="237"/>
      <c r="AE564" s="237"/>
      <c r="AF564" s="237"/>
      <c r="AG564" s="237"/>
      <c r="AH564" s="237"/>
      <c r="AI564" s="98"/>
      <c r="AJ564" s="98"/>
      <c r="AK564" s="98"/>
      <c r="AL564" s="98"/>
      <c r="AM564" s="98"/>
      <c r="AN564" s="98"/>
      <c r="AO564" s="98"/>
    </row>
    <row r="565" ht="14.25" customHeight="1">
      <c r="A565" s="98"/>
      <c r="B565" s="98"/>
      <c r="C565" s="98"/>
      <c r="D565" s="98"/>
      <c r="E565" s="98"/>
      <c r="F565" s="235"/>
      <c r="G565" s="235"/>
      <c r="H565" s="236"/>
      <c r="I565" s="236"/>
      <c r="J565" s="236"/>
      <c r="K565" s="236"/>
      <c r="L565" s="236"/>
      <c r="M565" s="236"/>
      <c r="N565" s="236"/>
      <c r="O565" s="236"/>
      <c r="P565" s="236"/>
      <c r="Q565" s="236"/>
      <c r="R565" s="236"/>
      <c r="S565" s="236"/>
      <c r="T565" s="236"/>
      <c r="U565" s="236"/>
      <c r="V565" s="236"/>
      <c r="W565" s="237"/>
      <c r="X565" s="237"/>
      <c r="Y565" s="237"/>
      <c r="Z565" s="237"/>
      <c r="AA565" s="237"/>
      <c r="AB565" s="237"/>
      <c r="AC565" s="237"/>
      <c r="AD565" s="237"/>
      <c r="AE565" s="237"/>
      <c r="AF565" s="237"/>
      <c r="AG565" s="237"/>
      <c r="AH565" s="237"/>
      <c r="AI565" s="98"/>
      <c r="AJ565" s="98"/>
      <c r="AK565" s="98"/>
      <c r="AL565" s="98"/>
      <c r="AM565" s="98"/>
      <c r="AN565" s="98"/>
      <c r="AO565" s="98"/>
    </row>
    <row r="566" ht="14.25" customHeight="1">
      <c r="A566" s="98"/>
      <c r="B566" s="98"/>
      <c r="C566" s="98"/>
      <c r="D566" s="98"/>
      <c r="E566" s="98"/>
      <c r="F566" s="235"/>
      <c r="G566" s="235"/>
      <c r="H566" s="236"/>
      <c r="I566" s="236"/>
      <c r="J566" s="236"/>
      <c r="K566" s="236"/>
      <c r="L566" s="236"/>
      <c r="M566" s="236"/>
      <c r="N566" s="236"/>
      <c r="O566" s="236"/>
      <c r="P566" s="236"/>
      <c r="Q566" s="236"/>
      <c r="R566" s="236"/>
      <c r="S566" s="236"/>
      <c r="T566" s="236"/>
      <c r="U566" s="236"/>
      <c r="V566" s="236"/>
      <c r="W566" s="237"/>
      <c r="X566" s="237"/>
      <c r="Y566" s="237"/>
      <c r="Z566" s="237"/>
      <c r="AA566" s="237"/>
      <c r="AB566" s="237"/>
      <c r="AC566" s="237"/>
      <c r="AD566" s="237"/>
      <c r="AE566" s="237"/>
      <c r="AF566" s="237"/>
      <c r="AG566" s="237"/>
      <c r="AH566" s="237"/>
      <c r="AI566" s="98"/>
      <c r="AJ566" s="98"/>
      <c r="AK566" s="98"/>
      <c r="AL566" s="98"/>
      <c r="AM566" s="98"/>
      <c r="AN566" s="98"/>
      <c r="AO566" s="98"/>
    </row>
    <row r="567" ht="14.25" customHeight="1">
      <c r="A567" s="98"/>
      <c r="B567" s="98"/>
      <c r="C567" s="98"/>
      <c r="D567" s="98"/>
      <c r="E567" s="98"/>
      <c r="F567" s="235"/>
      <c r="G567" s="235"/>
      <c r="H567" s="236"/>
      <c r="I567" s="236"/>
      <c r="J567" s="236"/>
      <c r="K567" s="236"/>
      <c r="L567" s="236"/>
      <c r="M567" s="236"/>
      <c r="N567" s="236"/>
      <c r="O567" s="236"/>
      <c r="P567" s="236"/>
      <c r="Q567" s="236"/>
      <c r="R567" s="236"/>
      <c r="S567" s="236"/>
      <c r="T567" s="236"/>
      <c r="U567" s="236"/>
      <c r="V567" s="236"/>
      <c r="W567" s="237"/>
      <c r="X567" s="237"/>
      <c r="Y567" s="237"/>
      <c r="Z567" s="237"/>
      <c r="AA567" s="237"/>
      <c r="AB567" s="237"/>
      <c r="AC567" s="237"/>
      <c r="AD567" s="237"/>
      <c r="AE567" s="237"/>
      <c r="AF567" s="237"/>
      <c r="AG567" s="237"/>
      <c r="AH567" s="237"/>
      <c r="AI567" s="98"/>
      <c r="AJ567" s="98"/>
      <c r="AK567" s="98"/>
      <c r="AL567" s="98"/>
      <c r="AM567" s="98"/>
      <c r="AN567" s="98"/>
      <c r="AO567" s="98"/>
    </row>
    <row r="568" ht="14.25" customHeight="1">
      <c r="A568" s="98"/>
      <c r="B568" s="98"/>
      <c r="C568" s="98"/>
      <c r="D568" s="98"/>
      <c r="E568" s="98"/>
      <c r="F568" s="235"/>
      <c r="G568" s="235"/>
      <c r="H568" s="236"/>
      <c r="I568" s="236"/>
      <c r="J568" s="236"/>
      <c r="K568" s="236"/>
      <c r="L568" s="236"/>
      <c r="M568" s="236"/>
      <c r="N568" s="236"/>
      <c r="O568" s="236"/>
      <c r="P568" s="236"/>
      <c r="Q568" s="236"/>
      <c r="R568" s="236"/>
      <c r="S568" s="236"/>
      <c r="T568" s="236"/>
      <c r="U568" s="236"/>
      <c r="V568" s="236"/>
      <c r="W568" s="237"/>
      <c r="X568" s="237"/>
      <c r="Y568" s="237"/>
      <c r="Z568" s="237"/>
      <c r="AA568" s="237"/>
      <c r="AB568" s="237"/>
      <c r="AC568" s="237"/>
      <c r="AD568" s="237"/>
      <c r="AE568" s="237"/>
      <c r="AF568" s="237"/>
      <c r="AG568" s="237"/>
      <c r="AH568" s="237"/>
      <c r="AI568" s="98"/>
      <c r="AJ568" s="98"/>
      <c r="AK568" s="98"/>
      <c r="AL568" s="98"/>
      <c r="AM568" s="98"/>
      <c r="AN568" s="98"/>
      <c r="AO568" s="98"/>
    </row>
    <row r="569" ht="14.25" customHeight="1">
      <c r="A569" s="98"/>
      <c r="B569" s="98"/>
      <c r="C569" s="98"/>
      <c r="D569" s="98"/>
      <c r="E569" s="98"/>
      <c r="F569" s="235"/>
      <c r="G569" s="235"/>
      <c r="H569" s="236"/>
      <c r="I569" s="236"/>
      <c r="J569" s="236"/>
      <c r="K569" s="236"/>
      <c r="L569" s="236"/>
      <c r="M569" s="236"/>
      <c r="N569" s="236"/>
      <c r="O569" s="236"/>
      <c r="P569" s="236"/>
      <c r="Q569" s="236"/>
      <c r="R569" s="236"/>
      <c r="S569" s="236"/>
      <c r="T569" s="236"/>
      <c r="U569" s="236"/>
      <c r="V569" s="236"/>
      <c r="W569" s="237"/>
      <c r="X569" s="237"/>
      <c r="Y569" s="237"/>
      <c r="Z569" s="237"/>
      <c r="AA569" s="237"/>
      <c r="AB569" s="237"/>
      <c r="AC569" s="237"/>
      <c r="AD569" s="237"/>
      <c r="AE569" s="237"/>
      <c r="AF569" s="237"/>
      <c r="AG569" s="237"/>
      <c r="AH569" s="237"/>
      <c r="AI569" s="98"/>
      <c r="AJ569" s="98"/>
      <c r="AK569" s="98"/>
      <c r="AL569" s="98"/>
      <c r="AM569" s="98"/>
      <c r="AN569" s="98"/>
      <c r="AO569" s="98"/>
    </row>
    <row r="570" ht="14.25" customHeight="1">
      <c r="A570" s="98"/>
      <c r="B570" s="98"/>
      <c r="C570" s="98"/>
      <c r="D570" s="98"/>
      <c r="E570" s="98"/>
      <c r="F570" s="235"/>
      <c r="G570" s="235"/>
      <c r="H570" s="236"/>
      <c r="I570" s="236"/>
      <c r="J570" s="236"/>
      <c r="K570" s="236"/>
      <c r="L570" s="236"/>
      <c r="M570" s="236"/>
      <c r="N570" s="236"/>
      <c r="O570" s="236"/>
      <c r="P570" s="236"/>
      <c r="Q570" s="236"/>
      <c r="R570" s="236"/>
      <c r="S570" s="236"/>
      <c r="T570" s="236"/>
      <c r="U570" s="236"/>
      <c r="V570" s="236"/>
      <c r="W570" s="237"/>
      <c r="X570" s="237"/>
      <c r="Y570" s="237"/>
      <c r="Z570" s="237"/>
      <c r="AA570" s="237"/>
      <c r="AB570" s="237"/>
      <c r="AC570" s="237"/>
      <c r="AD570" s="237"/>
      <c r="AE570" s="237"/>
      <c r="AF570" s="237"/>
      <c r="AG570" s="237"/>
      <c r="AH570" s="237"/>
      <c r="AI570" s="98"/>
      <c r="AJ570" s="98"/>
      <c r="AK570" s="98"/>
      <c r="AL570" s="98"/>
      <c r="AM570" s="98"/>
      <c r="AN570" s="98"/>
      <c r="AO570" s="98"/>
    </row>
    <row r="571" ht="14.25" customHeight="1">
      <c r="A571" s="98"/>
      <c r="B571" s="98"/>
      <c r="C571" s="98"/>
      <c r="D571" s="98"/>
      <c r="E571" s="98"/>
      <c r="F571" s="235"/>
      <c r="G571" s="235"/>
      <c r="H571" s="236"/>
      <c r="I571" s="236"/>
      <c r="J571" s="236"/>
      <c r="K571" s="236"/>
      <c r="L571" s="236"/>
      <c r="M571" s="236"/>
      <c r="N571" s="236"/>
      <c r="O571" s="236"/>
      <c r="P571" s="236"/>
      <c r="Q571" s="236"/>
      <c r="R571" s="236"/>
      <c r="S571" s="236"/>
      <c r="T571" s="236"/>
      <c r="U571" s="236"/>
      <c r="V571" s="236"/>
      <c r="W571" s="237"/>
      <c r="X571" s="237"/>
      <c r="Y571" s="237"/>
      <c r="Z571" s="237"/>
      <c r="AA571" s="237"/>
      <c r="AB571" s="237"/>
      <c r="AC571" s="237"/>
      <c r="AD571" s="237"/>
      <c r="AE571" s="237"/>
      <c r="AF571" s="237"/>
      <c r="AG571" s="237"/>
      <c r="AH571" s="237"/>
      <c r="AI571" s="98"/>
      <c r="AJ571" s="98"/>
      <c r="AK571" s="98"/>
      <c r="AL571" s="98"/>
      <c r="AM571" s="98"/>
      <c r="AN571" s="98"/>
      <c r="AO571" s="98"/>
    </row>
    <row r="572" ht="14.25" customHeight="1">
      <c r="A572" s="98"/>
      <c r="B572" s="98"/>
      <c r="C572" s="98"/>
      <c r="D572" s="98"/>
      <c r="E572" s="98"/>
      <c r="F572" s="235"/>
      <c r="G572" s="235"/>
      <c r="H572" s="236"/>
      <c r="I572" s="236"/>
      <c r="J572" s="236"/>
      <c r="K572" s="236"/>
      <c r="L572" s="236"/>
      <c r="M572" s="236"/>
      <c r="N572" s="236"/>
      <c r="O572" s="236"/>
      <c r="P572" s="236"/>
      <c r="Q572" s="236"/>
      <c r="R572" s="236"/>
      <c r="S572" s="236"/>
      <c r="T572" s="236"/>
      <c r="U572" s="236"/>
      <c r="V572" s="236"/>
      <c r="W572" s="237"/>
      <c r="X572" s="237"/>
      <c r="Y572" s="237"/>
      <c r="Z572" s="237"/>
      <c r="AA572" s="237"/>
      <c r="AB572" s="237"/>
      <c r="AC572" s="237"/>
      <c r="AD572" s="237"/>
      <c r="AE572" s="237"/>
      <c r="AF572" s="237"/>
      <c r="AG572" s="237"/>
      <c r="AH572" s="237"/>
      <c r="AI572" s="98"/>
      <c r="AJ572" s="98"/>
      <c r="AK572" s="98"/>
      <c r="AL572" s="98"/>
      <c r="AM572" s="98"/>
      <c r="AN572" s="98"/>
      <c r="AO572" s="98"/>
    </row>
    <row r="573" ht="14.25" customHeight="1">
      <c r="A573" s="98"/>
      <c r="B573" s="98"/>
      <c r="C573" s="98"/>
      <c r="D573" s="98"/>
      <c r="E573" s="98"/>
      <c r="F573" s="235"/>
      <c r="G573" s="235"/>
      <c r="H573" s="236"/>
      <c r="I573" s="236"/>
      <c r="J573" s="236"/>
      <c r="K573" s="236"/>
      <c r="L573" s="236"/>
      <c r="M573" s="236"/>
      <c r="N573" s="236"/>
      <c r="O573" s="236"/>
      <c r="P573" s="236"/>
      <c r="Q573" s="236"/>
      <c r="R573" s="236"/>
      <c r="S573" s="236"/>
      <c r="T573" s="236"/>
      <c r="U573" s="236"/>
      <c r="V573" s="236"/>
      <c r="W573" s="237"/>
      <c r="X573" s="237"/>
      <c r="Y573" s="237"/>
      <c r="Z573" s="237"/>
      <c r="AA573" s="237"/>
      <c r="AB573" s="237"/>
      <c r="AC573" s="237"/>
      <c r="AD573" s="237"/>
      <c r="AE573" s="237"/>
      <c r="AF573" s="237"/>
      <c r="AG573" s="237"/>
      <c r="AH573" s="237"/>
      <c r="AI573" s="98"/>
      <c r="AJ573" s="98"/>
      <c r="AK573" s="98"/>
      <c r="AL573" s="98"/>
      <c r="AM573" s="98"/>
      <c r="AN573" s="98"/>
      <c r="AO573" s="98"/>
    </row>
    <row r="574" ht="14.25" customHeight="1">
      <c r="A574" s="98"/>
      <c r="B574" s="98"/>
      <c r="C574" s="98"/>
      <c r="D574" s="98"/>
      <c r="E574" s="98"/>
      <c r="F574" s="235"/>
      <c r="G574" s="235"/>
      <c r="H574" s="236"/>
      <c r="I574" s="236"/>
      <c r="J574" s="236"/>
      <c r="K574" s="236"/>
      <c r="L574" s="236"/>
      <c r="M574" s="236"/>
      <c r="N574" s="236"/>
      <c r="O574" s="236"/>
      <c r="P574" s="236"/>
      <c r="Q574" s="236"/>
      <c r="R574" s="236"/>
      <c r="S574" s="236"/>
      <c r="T574" s="236"/>
      <c r="U574" s="236"/>
      <c r="V574" s="236"/>
      <c r="W574" s="237"/>
      <c r="X574" s="237"/>
      <c r="Y574" s="237"/>
      <c r="Z574" s="237"/>
      <c r="AA574" s="237"/>
      <c r="AB574" s="237"/>
      <c r="AC574" s="237"/>
      <c r="AD574" s="237"/>
      <c r="AE574" s="237"/>
      <c r="AF574" s="237"/>
      <c r="AG574" s="237"/>
      <c r="AH574" s="237"/>
      <c r="AI574" s="98"/>
      <c r="AJ574" s="98"/>
      <c r="AK574" s="98"/>
      <c r="AL574" s="98"/>
      <c r="AM574" s="98"/>
      <c r="AN574" s="98"/>
      <c r="AO574" s="98"/>
    </row>
    <row r="575" ht="14.25" customHeight="1">
      <c r="A575" s="98"/>
      <c r="B575" s="98"/>
      <c r="C575" s="98"/>
      <c r="D575" s="98"/>
      <c r="E575" s="98"/>
      <c r="F575" s="235"/>
      <c r="G575" s="235"/>
      <c r="H575" s="236"/>
      <c r="I575" s="236"/>
      <c r="J575" s="236"/>
      <c r="K575" s="236"/>
      <c r="L575" s="236"/>
      <c r="M575" s="236"/>
      <c r="N575" s="236"/>
      <c r="O575" s="236"/>
      <c r="P575" s="236"/>
      <c r="Q575" s="236"/>
      <c r="R575" s="236"/>
      <c r="S575" s="236"/>
      <c r="T575" s="236"/>
      <c r="U575" s="236"/>
      <c r="V575" s="236"/>
      <c r="W575" s="237"/>
      <c r="X575" s="237"/>
      <c r="Y575" s="237"/>
      <c r="Z575" s="237"/>
      <c r="AA575" s="237"/>
      <c r="AB575" s="237"/>
      <c r="AC575" s="237"/>
      <c r="AD575" s="237"/>
      <c r="AE575" s="237"/>
      <c r="AF575" s="237"/>
      <c r="AG575" s="237"/>
      <c r="AH575" s="237"/>
      <c r="AI575" s="98"/>
      <c r="AJ575" s="98"/>
      <c r="AK575" s="98"/>
      <c r="AL575" s="98"/>
      <c r="AM575" s="98"/>
      <c r="AN575" s="98"/>
      <c r="AO575" s="98"/>
    </row>
    <row r="576" ht="14.25" customHeight="1">
      <c r="A576" s="98"/>
      <c r="B576" s="98"/>
      <c r="C576" s="98"/>
      <c r="D576" s="98"/>
      <c r="E576" s="98"/>
      <c r="F576" s="235"/>
      <c r="G576" s="235"/>
      <c r="H576" s="236"/>
      <c r="I576" s="236"/>
      <c r="J576" s="236"/>
      <c r="K576" s="236"/>
      <c r="L576" s="236"/>
      <c r="M576" s="236"/>
      <c r="N576" s="236"/>
      <c r="O576" s="236"/>
      <c r="P576" s="236"/>
      <c r="Q576" s="236"/>
      <c r="R576" s="236"/>
      <c r="S576" s="236"/>
      <c r="T576" s="236"/>
      <c r="U576" s="236"/>
      <c r="V576" s="236"/>
      <c r="W576" s="237"/>
      <c r="X576" s="237"/>
      <c r="Y576" s="237"/>
      <c r="Z576" s="237"/>
      <c r="AA576" s="237"/>
      <c r="AB576" s="237"/>
      <c r="AC576" s="237"/>
      <c r="AD576" s="237"/>
      <c r="AE576" s="237"/>
      <c r="AF576" s="237"/>
      <c r="AG576" s="237"/>
      <c r="AH576" s="237"/>
      <c r="AI576" s="98"/>
      <c r="AJ576" s="98"/>
      <c r="AK576" s="98"/>
      <c r="AL576" s="98"/>
      <c r="AM576" s="98"/>
      <c r="AN576" s="98"/>
      <c r="AO576" s="98"/>
    </row>
    <row r="577" ht="14.25" customHeight="1">
      <c r="A577" s="98"/>
      <c r="B577" s="98"/>
      <c r="C577" s="98"/>
      <c r="D577" s="98"/>
      <c r="E577" s="98"/>
      <c r="F577" s="235"/>
      <c r="G577" s="235"/>
      <c r="H577" s="236"/>
      <c r="I577" s="236"/>
      <c r="J577" s="236"/>
      <c r="K577" s="236"/>
      <c r="L577" s="236"/>
      <c r="M577" s="236"/>
      <c r="N577" s="236"/>
      <c r="O577" s="236"/>
      <c r="P577" s="236"/>
      <c r="Q577" s="236"/>
      <c r="R577" s="236"/>
      <c r="S577" s="236"/>
      <c r="T577" s="236"/>
      <c r="U577" s="236"/>
      <c r="V577" s="236"/>
      <c r="W577" s="237"/>
      <c r="X577" s="237"/>
      <c r="Y577" s="237"/>
      <c r="Z577" s="237"/>
      <c r="AA577" s="237"/>
      <c r="AB577" s="237"/>
      <c r="AC577" s="237"/>
      <c r="AD577" s="237"/>
      <c r="AE577" s="237"/>
      <c r="AF577" s="237"/>
      <c r="AG577" s="237"/>
      <c r="AH577" s="237"/>
      <c r="AI577" s="98"/>
      <c r="AJ577" s="98"/>
      <c r="AK577" s="98"/>
      <c r="AL577" s="98"/>
      <c r="AM577" s="98"/>
      <c r="AN577" s="98"/>
      <c r="AO577" s="98"/>
    </row>
    <row r="578" ht="14.25" customHeight="1">
      <c r="A578" s="98"/>
      <c r="B578" s="98"/>
      <c r="C578" s="98"/>
      <c r="D578" s="98"/>
      <c r="E578" s="98"/>
      <c r="F578" s="235"/>
      <c r="G578" s="235"/>
      <c r="H578" s="236"/>
      <c r="I578" s="236"/>
      <c r="J578" s="236"/>
      <c r="K578" s="236"/>
      <c r="L578" s="236"/>
      <c r="M578" s="236"/>
      <c r="N578" s="236"/>
      <c r="O578" s="236"/>
      <c r="P578" s="236"/>
      <c r="Q578" s="236"/>
      <c r="R578" s="236"/>
      <c r="S578" s="236"/>
      <c r="T578" s="236"/>
      <c r="U578" s="236"/>
      <c r="V578" s="236"/>
      <c r="W578" s="237"/>
      <c r="X578" s="237"/>
      <c r="Y578" s="237"/>
      <c r="Z578" s="237"/>
      <c r="AA578" s="237"/>
      <c r="AB578" s="237"/>
      <c r="AC578" s="237"/>
      <c r="AD578" s="237"/>
      <c r="AE578" s="237"/>
      <c r="AF578" s="237"/>
      <c r="AG578" s="237"/>
      <c r="AH578" s="237"/>
      <c r="AI578" s="98"/>
      <c r="AJ578" s="98"/>
      <c r="AK578" s="98"/>
      <c r="AL578" s="98"/>
      <c r="AM578" s="98"/>
      <c r="AN578" s="98"/>
      <c r="AO578" s="98"/>
    </row>
    <row r="579" ht="14.25" customHeight="1">
      <c r="A579" s="98"/>
      <c r="B579" s="98"/>
      <c r="C579" s="98"/>
      <c r="D579" s="98"/>
      <c r="E579" s="98"/>
      <c r="F579" s="235"/>
      <c r="G579" s="235"/>
      <c r="H579" s="236"/>
      <c r="I579" s="236"/>
      <c r="J579" s="236"/>
      <c r="K579" s="236"/>
      <c r="L579" s="236"/>
      <c r="M579" s="236"/>
      <c r="N579" s="236"/>
      <c r="O579" s="236"/>
      <c r="P579" s="236"/>
      <c r="Q579" s="236"/>
      <c r="R579" s="236"/>
      <c r="S579" s="236"/>
      <c r="T579" s="236"/>
      <c r="U579" s="236"/>
      <c r="V579" s="236"/>
      <c r="W579" s="237"/>
      <c r="X579" s="237"/>
      <c r="Y579" s="237"/>
      <c r="Z579" s="237"/>
      <c r="AA579" s="237"/>
      <c r="AB579" s="237"/>
      <c r="AC579" s="237"/>
      <c r="AD579" s="237"/>
      <c r="AE579" s="237"/>
      <c r="AF579" s="237"/>
      <c r="AG579" s="237"/>
      <c r="AH579" s="237"/>
      <c r="AI579" s="98"/>
      <c r="AJ579" s="98"/>
      <c r="AK579" s="98"/>
      <c r="AL579" s="98"/>
      <c r="AM579" s="98"/>
      <c r="AN579" s="98"/>
      <c r="AO579" s="98"/>
    </row>
    <row r="580" ht="14.25" customHeight="1">
      <c r="A580" s="98"/>
      <c r="B580" s="98"/>
      <c r="C580" s="98"/>
      <c r="D580" s="98"/>
      <c r="E580" s="98"/>
      <c r="F580" s="235"/>
      <c r="G580" s="235"/>
      <c r="H580" s="236"/>
      <c r="I580" s="236"/>
      <c r="J580" s="236"/>
      <c r="K580" s="236"/>
      <c r="L580" s="236"/>
      <c r="M580" s="236"/>
      <c r="N580" s="236"/>
      <c r="O580" s="236"/>
      <c r="P580" s="236"/>
      <c r="Q580" s="236"/>
      <c r="R580" s="236"/>
      <c r="S580" s="236"/>
      <c r="T580" s="236"/>
      <c r="U580" s="236"/>
      <c r="V580" s="236"/>
      <c r="W580" s="237"/>
      <c r="X580" s="237"/>
      <c r="Y580" s="237"/>
      <c r="Z580" s="237"/>
      <c r="AA580" s="237"/>
      <c r="AB580" s="237"/>
      <c r="AC580" s="237"/>
      <c r="AD580" s="237"/>
      <c r="AE580" s="237"/>
      <c r="AF580" s="237"/>
      <c r="AG580" s="237"/>
      <c r="AH580" s="237"/>
      <c r="AI580" s="98"/>
      <c r="AJ580" s="98"/>
      <c r="AK580" s="98"/>
      <c r="AL580" s="98"/>
      <c r="AM580" s="98"/>
      <c r="AN580" s="98"/>
      <c r="AO580" s="98"/>
    </row>
    <row r="581" ht="14.25" customHeight="1">
      <c r="A581" s="98"/>
      <c r="B581" s="98"/>
      <c r="C581" s="98"/>
      <c r="D581" s="98"/>
      <c r="E581" s="98"/>
      <c r="F581" s="235"/>
      <c r="G581" s="235"/>
      <c r="H581" s="236"/>
      <c r="I581" s="236"/>
      <c r="J581" s="236"/>
      <c r="K581" s="236"/>
      <c r="L581" s="236"/>
      <c r="M581" s="236"/>
      <c r="N581" s="236"/>
      <c r="O581" s="236"/>
      <c r="P581" s="236"/>
      <c r="Q581" s="236"/>
      <c r="R581" s="236"/>
      <c r="S581" s="236"/>
      <c r="T581" s="236"/>
      <c r="U581" s="236"/>
      <c r="V581" s="236"/>
      <c r="W581" s="237"/>
      <c r="X581" s="237"/>
      <c r="Y581" s="237"/>
      <c r="Z581" s="237"/>
      <c r="AA581" s="237"/>
      <c r="AB581" s="237"/>
      <c r="AC581" s="237"/>
      <c r="AD581" s="237"/>
      <c r="AE581" s="237"/>
      <c r="AF581" s="237"/>
      <c r="AG581" s="237"/>
      <c r="AH581" s="237"/>
      <c r="AI581" s="98"/>
      <c r="AJ581" s="98"/>
      <c r="AK581" s="98"/>
      <c r="AL581" s="98"/>
      <c r="AM581" s="98"/>
      <c r="AN581" s="98"/>
      <c r="AO581" s="98"/>
    </row>
    <row r="582" ht="14.25" customHeight="1">
      <c r="A582" s="98"/>
      <c r="B582" s="98"/>
      <c r="C582" s="98"/>
      <c r="D582" s="98"/>
      <c r="E582" s="98"/>
      <c r="F582" s="235"/>
      <c r="G582" s="235"/>
      <c r="H582" s="236"/>
      <c r="I582" s="236"/>
      <c r="J582" s="236"/>
      <c r="K582" s="236"/>
      <c r="L582" s="236"/>
      <c r="M582" s="236"/>
      <c r="N582" s="236"/>
      <c r="O582" s="236"/>
      <c r="P582" s="236"/>
      <c r="Q582" s="236"/>
      <c r="R582" s="236"/>
      <c r="S582" s="236"/>
      <c r="T582" s="236"/>
      <c r="U582" s="236"/>
      <c r="V582" s="236"/>
      <c r="W582" s="237"/>
      <c r="X582" s="237"/>
      <c r="Y582" s="237"/>
      <c r="Z582" s="237"/>
      <c r="AA582" s="237"/>
      <c r="AB582" s="237"/>
      <c r="AC582" s="237"/>
      <c r="AD582" s="237"/>
      <c r="AE582" s="237"/>
      <c r="AF582" s="237"/>
      <c r="AG582" s="237"/>
      <c r="AH582" s="237"/>
      <c r="AI582" s="98"/>
      <c r="AJ582" s="98"/>
      <c r="AK582" s="98"/>
      <c r="AL582" s="98"/>
      <c r="AM582" s="98"/>
      <c r="AN582" s="98"/>
      <c r="AO582" s="98"/>
    </row>
    <row r="583" ht="14.25" customHeight="1">
      <c r="A583" s="98"/>
      <c r="B583" s="98"/>
      <c r="C583" s="98"/>
      <c r="D583" s="98"/>
      <c r="E583" s="98"/>
      <c r="F583" s="235"/>
      <c r="G583" s="235"/>
      <c r="H583" s="236"/>
      <c r="I583" s="236"/>
      <c r="J583" s="236"/>
      <c r="K583" s="236"/>
      <c r="L583" s="236"/>
      <c r="M583" s="236"/>
      <c r="N583" s="236"/>
      <c r="O583" s="236"/>
      <c r="P583" s="236"/>
      <c r="Q583" s="236"/>
      <c r="R583" s="236"/>
      <c r="S583" s="236"/>
      <c r="T583" s="236"/>
      <c r="U583" s="236"/>
      <c r="V583" s="236"/>
      <c r="W583" s="237"/>
      <c r="X583" s="237"/>
      <c r="Y583" s="237"/>
      <c r="Z583" s="237"/>
      <c r="AA583" s="237"/>
      <c r="AB583" s="237"/>
      <c r="AC583" s="237"/>
      <c r="AD583" s="237"/>
      <c r="AE583" s="237"/>
      <c r="AF583" s="237"/>
      <c r="AG583" s="237"/>
      <c r="AH583" s="237"/>
      <c r="AI583" s="98"/>
      <c r="AJ583" s="98"/>
      <c r="AK583" s="98"/>
      <c r="AL583" s="98"/>
      <c r="AM583" s="98"/>
      <c r="AN583" s="98"/>
      <c r="AO583" s="98"/>
    </row>
    <row r="584" ht="14.25" customHeight="1">
      <c r="A584" s="98"/>
      <c r="B584" s="98"/>
      <c r="C584" s="98"/>
      <c r="D584" s="98"/>
      <c r="E584" s="98"/>
      <c r="F584" s="235"/>
      <c r="G584" s="235"/>
      <c r="H584" s="236"/>
      <c r="I584" s="236"/>
      <c r="J584" s="236"/>
      <c r="K584" s="236"/>
      <c r="L584" s="236"/>
      <c r="M584" s="236"/>
      <c r="N584" s="236"/>
      <c r="O584" s="236"/>
      <c r="P584" s="236"/>
      <c r="Q584" s="236"/>
      <c r="R584" s="236"/>
      <c r="S584" s="236"/>
      <c r="T584" s="236"/>
      <c r="U584" s="236"/>
      <c r="V584" s="236"/>
      <c r="W584" s="237"/>
      <c r="X584" s="237"/>
      <c r="Y584" s="237"/>
      <c r="Z584" s="237"/>
      <c r="AA584" s="237"/>
      <c r="AB584" s="237"/>
      <c r="AC584" s="237"/>
      <c r="AD584" s="237"/>
      <c r="AE584" s="237"/>
      <c r="AF584" s="237"/>
      <c r="AG584" s="237"/>
      <c r="AH584" s="237"/>
      <c r="AI584" s="98"/>
      <c r="AJ584" s="98"/>
      <c r="AK584" s="98"/>
      <c r="AL584" s="98"/>
      <c r="AM584" s="98"/>
      <c r="AN584" s="98"/>
      <c r="AO584" s="98"/>
    </row>
    <row r="585" ht="14.25" customHeight="1">
      <c r="A585" s="98"/>
      <c r="B585" s="98"/>
      <c r="C585" s="98"/>
      <c r="D585" s="98"/>
      <c r="E585" s="98"/>
      <c r="F585" s="235"/>
      <c r="G585" s="235"/>
      <c r="H585" s="236"/>
      <c r="I585" s="236"/>
      <c r="J585" s="236"/>
      <c r="K585" s="236"/>
      <c r="L585" s="236"/>
      <c r="M585" s="236"/>
      <c r="N585" s="236"/>
      <c r="O585" s="236"/>
      <c r="P585" s="236"/>
      <c r="Q585" s="236"/>
      <c r="R585" s="236"/>
      <c r="S585" s="236"/>
      <c r="T585" s="236"/>
      <c r="U585" s="236"/>
      <c r="V585" s="236"/>
      <c r="W585" s="237"/>
      <c r="X585" s="237"/>
      <c r="Y585" s="237"/>
      <c r="Z585" s="237"/>
      <c r="AA585" s="237"/>
      <c r="AB585" s="237"/>
      <c r="AC585" s="237"/>
      <c r="AD585" s="237"/>
      <c r="AE585" s="237"/>
      <c r="AF585" s="237"/>
      <c r="AG585" s="237"/>
      <c r="AH585" s="237"/>
      <c r="AI585" s="98"/>
      <c r="AJ585" s="98"/>
      <c r="AK585" s="98"/>
      <c r="AL585" s="98"/>
      <c r="AM585" s="98"/>
      <c r="AN585" s="98"/>
      <c r="AO585" s="98"/>
    </row>
    <row r="586" ht="14.25" customHeight="1">
      <c r="A586" s="98"/>
      <c r="B586" s="98"/>
      <c r="C586" s="98"/>
      <c r="D586" s="98"/>
      <c r="E586" s="98"/>
      <c r="F586" s="235"/>
      <c r="G586" s="235"/>
      <c r="H586" s="236"/>
      <c r="I586" s="236"/>
      <c r="J586" s="236"/>
      <c r="K586" s="236"/>
      <c r="L586" s="236"/>
      <c r="M586" s="236"/>
      <c r="N586" s="236"/>
      <c r="O586" s="236"/>
      <c r="P586" s="236"/>
      <c r="Q586" s="236"/>
      <c r="R586" s="236"/>
      <c r="S586" s="236"/>
      <c r="T586" s="236"/>
      <c r="U586" s="236"/>
      <c r="V586" s="236"/>
      <c r="W586" s="237"/>
      <c r="X586" s="237"/>
      <c r="Y586" s="237"/>
      <c r="Z586" s="237"/>
      <c r="AA586" s="237"/>
      <c r="AB586" s="237"/>
      <c r="AC586" s="237"/>
      <c r="AD586" s="237"/>
      <c r="AE586" s="237"/>
      <c r="AF586" s="237"/>
      <c r="AG586" s="237"/>
      <c r="AH586" s="237"/>
      <c r="AI586" s="98"/>
      <c r="AJ586" s="98"/>
      <c r="AK586" s="98"/>
      <c r="AL586" s="98"/>
      <c r="AM586" s="98"/>
      <c r="AN586" s="98"/>
      <c r="AO586" s="98"/>
    </row>
    <row r="587" ht="14.25" customHeight="1">
      <c r="A587" s="98"/>
      <c r="B587" s="98"/>
      <c r="C587" s="98"/>
      <c r="D587" s="98"/>
      <c r="E587" s="98"/>
      <c r="F587" s="235"/>
      <c r="G587" s="235"/>
      <c r="H587" s="236"/>
      <c r="I587" s="236"/>
      <c r="J587" s="236"/>
      <c r="K587" s="236"/>
      <c r="L587" s="236"/>
      <c r="M587" s="236"/>
      <c r="N587" s="236"/>
      <c r="O587" s="236"/>
      <c r="P587" s="236"/>
      <c r="Q587" s="236"/>
      <c r="R587" s="236"/>
      <c r="S587" s="236"/>
      <c r="T587" s="236"/>
      <c r="U587" s="236"/>
      <c r="V587" s="236"/>
      <c r="W587" s="237"/>
      <c r="X587" s="237"/>
      <c r="Y587" s="237"/>
      <c r="Z587" s="237"/>
      <c r="AA587" s="237"/>
      <c r="AB587" s="237"/>
      <c r="AC587" s="237"/>
      <c r="AD587" s="237"/>
      <c r="AE587" s="237"/>
      <c r="AF587" s="237"/>
      <c r="AG587" s="237"/>
      <c r="AH587" s="237"/>
      <c r="AI587" s="98"/>
      <c r="AJ587" s="98"/>
      <c r="AK587" s="98"/>
      <c r="AL587" s="98"/>
      <c r="AM587" s="98"/>
      <c r="AN587" s="98"/>
      <c r="AO587" s="98"/>
    </row>
    <row r="588" ht="14.25" customHeight="1">
      <c r="A588" s="98"/>
      <c r="B588" s="98"/>
      <c r="C588" s="98"/>
      <c r="D588" s="98"/>
      <c r="E588" s="98"/>
      <c r="F588" s="235"/>
      <c r="G588" s="235"/>
      <c r="H588" s="236"/>
      <c r="I588" s="236"/>
      <c r="J588" s="236"/>
      <c r="K588" s="236"/>
      <c r="L588" s="236"/>
      <c r="M588" s="236"/>
      <c r="N588" s="236"/>
      <c r="O588" s="236"/>
      <c r="P588" s="236"/>
      <c r="Q588" s="236"/>
      <c r="R588" s="236"/>
      <c r="S588" s="236"/>
      <c r="T588" s="236"/>
      <c r="U588" s="236"/>
      <c r="V588" s="236"/>
      <c r="W588" s="237"/>
      <c r="X588" s="237"/>
      <c r="Y588" s="237"/>
      <c r="Z588" s="237"/>
      <c r="AA588" s="237"/>
      <c r="AB588" s="237"/>
      <c r="AC588" s="237"/>
      <c r="AD588" s="237"/>
      <c r="AE588" s="237"/>
      <c r="AF588" s="237"/>
      <c r="AG588" s="237"/>
      <c r="AH588" s="237"/>
      <c r="AI588" s="98"/>
      <c r="AJ588" s="98"/>
      <c r="AK588" s="98"/>
      <c r="AL588" s="98"/>
      <c r="AM588" s="98"/>
      <c r="AN588" s="98"/>
      <c r="AO588" s="98"/>
    </row>
    <row r="589" ht="14.25" customHeight="1">
      <c r="A589" s="98"/>
      <c r="B589" s="98"/>
      <c r="C589" s="98"/>
      <c r="D589" s="98"/>
      <c r="E589" s="98"/>
      <c r="F589" s="235"/>
      <c r="G589" s="235"/>
      <c r="H589" s="236"/>
      <c r="I589" s="236"/>
      <c r="J589" s="236"/>
      <c r="K589" s="236"/>
      <c r="L589" s="236"/>
      <c r="M589" s="236"/>
      <c r="N589" s="236"/>
      <c r="O589" s="236"/>
      <c r="P589" s="236"/>
      <c r="Q589" s="236"/>
      <c r="R589" s="236"/>
      <c r="S589" s="236"/>
      <c r="T589" s="236"/>
      <c r="U589" s="236"/>
      <c r="V589" s="236"/>
      <c r="W589" s="237"/>
      <c r="X589" s="237"/>
      <c r="Y589" s="237"/>
      <c r="Z589" s="237"/>
      <c r="AA589" s="237"/>
      <c r="AB589" s="237"/>
      <c r="AC589" s="237"/>
      <c r="AD589" s="237"/>
      <c r="AE589" s="237"/>
      <c r="AF589" s="237"/>
      <c r="AG589" s="237"/>
      <c r="AH589" s="237"/>
      <c r="AI589" s="98"/>
      <c r="AJ589" s="98"/>
      <c r="AK589" s="98"/>
      <c r="AL589" s="98"/>
      <c r="AM589" s="98"/>
      <c r="AN589" s="98"/>
      <c r="AO589" s="98"/>
    </row>
    <row r="590" ht="14.25" customHeight="1">
      <c r="A590" s="98"/>
      <c r="B590" s="98"/>
      <c r="C590" s="98"/>
      <c r="D590" s="98"/>
      <c r="E590" s="98"/>
      <c r="F590" s="235"/>
      <c r="G590" s="235"/>
      <c r="H590" s="236"/>
      <c r="I590" s="236"/>
      <c r="J590" s="236"/>
      <c r="K590" s="236"/>
      <c r="L590" s="236"/>
      <c r="M590" s="236"/>
      <c r="N590" s="236"/>
      <c r="O590" s="236"/>
      <c r="P590" s="236"/>
      <c r="Q590" s="236"/>
      <c r="R590" s="236"/>
      <c r="S590" s="236"/>
      <c r="T590" s="236"/>
      <c r="U590" s="236"/>
      <c r="V590" s="236"/>
      <c r="W590" s="237"/>
      <c r="X590" s="237"/>
      <c r="Y590" s="237"/>
      <c r="Z590" s="237"/>
      <c r="AA590" s="237"/>
      <c r="AB590" s="237"/>
      <c r="AC590" s="237"/>
      <c r="AD590" s="237"/>
      <c r="AE590" s="237"/>
      <c r="AF590" s="237"/>
      <c r="AG590" s="237"/>
      <c r="AH590" s="237"/>
      <c r="AI590" s="98"/>
      <c r="AJ590" s="98"/>
      <c r="AK590" s="98"/>
      <c r="AL590" s="98"/>
      <c r="AM590" s="98"/>
      <c r="AN590" s="98"/>
      <c r="AO590" s="98"/>
    </row>
    <row r="591" ht="14.25" customHeight="1">
      <c r="A591" s="98"/>
      <c r="B591" s="98"/>
      <c r="C591" s="98"/>
      <c r="D591" s="98"/>
      <c r="E591" s="98"/>
      <c r="F591" s="235"/>
      <c r="G591" s="235"/>
      <c r="H591" s="236"/>
      <c r="I591" s="236"/>
      <c r="J591" s="236"/>
      <c r="K591" s="236"/>
      <c r="L591" s="236"/>
      <c r="M591" s="236"/>
      <c r="N591" s="236"/>
      <c r="O591" s="236"/>
      <c r="P591" s="236"/>
      <c r="Q591" s="236"/>
      <c r="R591" s="236"/>
      <c r="S591" s="236"/>
      <c r="T591" s="236"/>
      <c r="U591" s="236"/>
      <c r="V591" s="236"/>
      <c r="W591" s="237"/>
      <c r="X591" s="237"/>
      <c r="Y591" s="237"/>
      <c r="Z591" s="237"/>
      <c r="AA591" s="237"/>
      <c r="AB591" s="237"/>
      <c r="AC591" s="237"/>
      <c r="AD591" s="237"/>
      <c r="AE591" s="237"/>
      <c r="AF591" s="237"/>
      <c r="AG591" s="237"/>
      <c r="AH591" s="237"/>
      <c r="AI591" s="98"/>
      <c r="AJ591" s="98"/>
      <c r="AK591" s="98"/>
      <c r="AL591" s="98"/>
      <c r="AM591" s="98"/>
      <c r="AN591" s="98"/>
      <c r="AO591" s="98"/>
    </row>
    <row r="592" ht="14.25" customHeight="1">
      <c r="A592" s="98"/>
      <c r="B592" s="98"/>
      <c r="C592" s="98"/>
      <c r="D592" s="98"/>
      <c r="E592" s="98"/>
      <c r="F592" s="235"/>
      <c r="G592" s="235"/>
      <c r="H592" s="236"/>
      <c r="I592" s="236"/>
      <c r="J592" s="236"/>
      <c r="K592" s="236"/>
      <c r="L592" s="236"/>
      <c r="M592" s="236"/>
      <c r="N592" s="236"/>
      <c r="O592" s="236"/>
      <c r="P592" s="236"/>
      <c r="Q592" s="236"/>
      <c r="R592" s="236"/>
      <c r="S592" s="236"/>
      <c r="T592" s="236"/>
      <c r="U592" s="236"/>
      <c r="V592" s="236"/>
      <c r="W592" s="237"/>
      <c r="X592" s="237"/>
      <c r="Y592" s="237"/>
      <c r="Z592" s="237"/>
      <c r="AA592" s="237"/>
      <c r="AB592" s="237"/>
      <c r="AC592" s="237"/>
      <c r="AD592" s="237"/>
      <c r="AE592" s="237"/>
      <c r="AF592" s="237"/>
      <c r="AG592" s="237"/>
      <c r="AH592" s="237"/>
      <c r="AI592" s="98"/>
      <c r="AJ592" s="98"/>
      <c r="AK592" s="98"/>
      <c r="AL592" s="98"/>
      <c r="AM592" s="98"/>
      <c r="AN592" s="98"/>
      <c r="AO592" s="98"/>
    </row>
    <row r="593" ht="14.25" customHeight="1">
      <c r="A593" s="98"/>
      <c r="B593" s="98"/>
      <c r="C593" s="98"/>
      <c r="D593" s="98"/>
      <c r="E593" s="98"/>
      <c r="F593" s="235"/>
      <c r="G593" s="235"/>
      <c r="H593" s="236"/>
      <c r="I593" s="236"/>
      <c r="J593" s="236"/>
      <c r="K593" s="236"/>
      <c r="L593" s="236"/>
      <c r="M593" s="236"/>
      <c r="N593" s="236"/>
      <c r="O593" s="236"/>
      <c r="P593" s="236"/>
      <c r="Q593" s="236"/>
      <c r="R593" s="236"/>
      <c r="S593" s="236"/>
      <c r="T593" s="236"/>
      <c r="U593" s="236"/>
      <c r="V593" s="236"/>
      <c r="W593" s="237"/>
      <c r="X593" s="237"/>
      <c r="Y593" s="237"/>
      <c r="Z593" s="237"/>
      <c r="AA593" s="237"/>
      <c r="AB593" s="237"/>
      <c r="AC593" s="237"/>
      <c r="AD593" s="237"/>
      <c r="AE593" s="237"/>
      <c r="AF593" s="237"/>
      <c r="AG593" s="237"/>
      <c r="AH593" s="237"/>
      <c r="AI593" s="98"/>
      <c r="AJ593" s="98"/>
      <c r="AK593" s="98"/>
      <c r="AL593" s="98"/>
      <c r="AM593" s="98"/>
      <c r="AN593" s="98"/>
      <c r="AO593" s="98"/>
    </row>
    <row r="594" ht="14.25" customHeight="1">
      <c r="A594" s="98"/>
      <c r="B594" s="98"/>
      <c r="C594" s="98"/>
      <c r="D594" s="98"/>
      <c r="E594" s="98"/>
      <c r="F594" s="235"/>
      <c r="G594" s="235"/>
      <c r="H594" s="236"/>
      <c r="I594" s="236"/>
      <c r="J594" s="236"/>
      <c r="K594" s="236"/>
      <c r="L594" s="236"/>
      <c r="M594" s="236"/>
      <c r="N594" s="236"/>
      <c r="O594" s="236"/>
      <c r="P594" s="236"/>
      <c r="Q594" s="236"/>
      <c r="R594" s="236"/>
      <c r="S594" s="236"/>
      <c r="T594" s="236"/>
      <c r="U594" s="236"/>
      <c r="V594" s="236"/>
      <c r="W594" s="237"/>
      <c r="X594" s="237"/>
      <c r="Y594" s="237"/>
      <c r="Z594" s="237"/>
      <c r="AA594" s="237"/>
      <c r="AB594" s="237"/>
      <c r="AC594" s="237"/>
      <c r="AD594" s="237"/>
      <c r="AE594" s="237"/>
      <c r="AF594" s="237"/>
      <c r="AG594" s="237"/>
      <c r="AH594" s="237"/>
      <c r="AI594" s="98"/>
      <c r="AJ594" s="98"/>
      <c r="AK594" s="98"/>
      <c r="AL594" s="98"/>
      <c r="AM594" s="98"/>
      <c r="AN594" s="98"/>
      <c r="AO594" s="98"/>
    </row>
    <row r="595" ht="14.25" customHeight="1">
      <c r="A595" s="98"/>
      <c r="B595" s="98"/>
      <c r="C595" s="98"/>
      <c r="D595" s="98"/>
      <c r="E595" s="98"/>
      <c r="F595" s="235"/>
      <c r="G595" s="235"/>
      <c r="H595" s="236"/>
      <c r="I595" s="236"/>
      <c r="J595" s="236"/>
      <c r="K595" s="236"/>
      <c r="L595" s="236"/>
      <c r="M595" s="236"/>
      <c r="N595" s="236"/>
      <c r="O595" s="236"/>
      <c r="P595" s="236"/>
      <c r="Q595" s="236"/>
      <c r="R595" s="236"/>
      <c r="S595" s="236"/>
      <c r="T595" s="236"/>
      <c r="U595" s="236"/>
      <c r="V595" s="236"/>
      <c r="W595" s="237"/>
      <c r="X595" s="237"/>
      <c r="Y595" s="237"/>
      <c r="Z595" s="237"/>
      <c r="AA595" s="237"/>
      <c r="AB595" s="237"/>
      <c r="AC595" s="237"/>
      <c r="AD595" s="237"/>
      <c r="AE595" s="237"/>
      <c r="AF595" s="237"/>
      <c r="AG595" s="237"/>
      <c r="AH595" s="237"/>
      <c r="AI595" s="98"/>
      <c r="AJ595" s="98"/>
      <c r="AK595" s="98"/>
      <c r="AL595" s="98"/>
      <c r="AM595" s="98"/>
      <c r="AN595" s="98"/>
      <c r="AO595" s="98"/>
    </row>
    <row r="596" ht="14.25" customHeight="1">
      <c r="A596" s="98"/>
      <c r="B596" s="98"/>
      <c r="C596" s="98"/>
      <c r="D596" s="98"/>
      <c r="E596" s="98"/>
      <c r="F596" s="235"/>
      <c r="G596" s="235"/>
      <c r="H596" s="236"/>
      <c r="I596" s="236"/>
      <c r="J596" s="236"/>
      <c r="K596" s="236"/>
      <c r="L596" s="236"/>
      <c r="M596" s="236"/>
      <c r="N596" s="236"/>
      <c r="O596" s="236"/>
      <c r="P596" s="236"/>
      <c r="Q596" s="236"/>
      <c r="R596" s="236"/>
      <c r="S596" s="236"/>
      <c r="T596" s="236"/>
      <c r="U596" s="236"/>
      <c r="V596" s="236"/>
      <c r="W596" s="237"/>
      <c r="X596" s="237"/>
      <c r="Y596" s="237"/>
      <c r="Z596" s="237"/>
      <c r="AA596" s="237"/>
      <c r="AB596" s="237"/>
      <c r="AC596" s="237"/>
      <c r="AD596" s="237"/>
      <c r="AE596" s="237"/>
      <c r="AF596" s="237"/>
      <c r="AG596" s="237"/>
      <c r="AH596" s="237"/>
      <c r="AI596" s="98"/>
      <c r="AJ596" s="98"/>
      <c r="AK596" s="98"/>
      <c r="AL596" s="98"/>
      <c r="AM596" s="98"/>
      <c r="AN596" s="98"/>
      <c r="AO596" s="98"/>
    </row>
    <row r="597" ht="14.25" customHeight="1">
      <c r="A597" s="98"/>
      <c r="B597" s="98"/>
      <c r="C597" s="98"/>
      <c r="D597" s="98"/>
      <c r="E597" s="98"/>
      <c r="F597" s="235"/>
      <c r="G597" s="235"/>
      <c r="H597" s="236"/>
      <c r="I597" s="236"/>
      <c r="J597" s="236"/>
      <c r="K597" s="236"/>
      <c r="L597" s="236"/>
      <c r="M597" s="236"/>
      <c r="N597" s="236"/>
      <c r="O597" s="236"/>
      <c r="P597" s="236"/>
      <c r="Q597" s="236"/>
      <c r="R597" s="236"/>
      <c r="S597" s="236"/>
      <c r="T597" s="236"/>
      <c r="U597" s="236"/>
      <c r="V597" s="236"/>
      <c r="W597" s="237"/>
      <c r="X597" s="237"/>
      <c r="Y597" s="237"/>
      <c r="Z597" s="237"/>
      <c r="AA597" s="237"/>
      <c r="AB597" s="237"/>
      <c r="AC597" s="237"/>
      <c r="AD597" s="237"/>
      <c r="AE597" s="237"/>
      <c r="AF597" s="237"/>
      <c r="AG597" s="237"/>
      <c r="AH597" s="237"/>
      <c r="AI597" s="98"/>
      <c r="AJ597" s="98"/>
      <c r="AK597" s="98"/>
      <c r="AL597" s="98"/>
      <c r="AM597" s="98"/>
      <c r="AN597" s="98"/>
      <c r="AO597" s="98"/>
    </row>
    <row r="598" ht="14.25" customHeight="1">
      <c r="A598" s="98"/>
      <c r="B598" s="98"/>
      <c r="C598" s="98"/>
      <c r="D598" s="98"/>
      <c r="E598" s="98"/>
      <c r="F598" s="235"/>
      <c r="G598" s="235"/>
      <c r="H598" s="236"/>
      <c r="I598" s="236"/>
      <c r="J598" s="236"/>
      <c r="K598" s="236"/>
      <c r="L598" s="236"/>
      <c r="M598" s="236"/>
      <c r="N598" s="236"/>
      <c r="O598" s="236"/>
      <c r="P598" s="236"/>
      <c r="Q598" s="236"/>
      <c r="R598" s="236"/>
      <c r="S598" s="236"/>
      <c r="T598" s="236"/>
      <c r="U598" s="236"/>
      <c r="V598" s="236"/>
      <c r="W598" s="237"/>
      <c r="X598" s="237"/>
      <c r="Y598" s="237"/>
      <c r="Z598" s="237"/>
      <c r="AA598" s="237"/>
      <c r="AB598" s="237"/>
      <c r="AC598" s="237"/>
      <c r="AD598" s="237"/>
      <c r="AE598" s="237"/>
      <c r="AF598" s="237"/>
      <c r="AG598" s="237"/>
      <c r="AH598" s="237"/>
      <c r="AI598" s="98"/>
      <c r="AJ598" s="98"/>
      <c r="AK598" s="98"/>
      <c r="AL598" s="98"/>
      <c r="AM598" s="98"/>
      <c r="AN598" s="98"/>
      <c r="AO598" s="98"/>
    </row>
    <row r="599" ht="14.25" customHeight="1">
      <c r="A599" s="98"/>
      <c r="B599" s="98"/>
      <c r="C599" s="98"/>
      <c r="D599" s="98"/>
      <c r="E599" s="98"/>
      <c r="F599" s="235"/>
      <c r="G599" s="235"/>
      <c r="H599" s="236"/>
      <c r="I599" s="236"/>
      <c r="J599" s="236"/>
      <c r="K599" s="236"/>
      <c r="L599" s="236"/>
      <c r="M599" s="236"/>
      <c r="N599" s="236"/>
      <c r="O599" s="236"/>
      <c r="P599" s="236"/>
      <c r="Q599" s="236"/>
      <c r="R599" s="236"/>
      <c r="S599" s="236"/>
      <c r="T599" s="236"/>
      <c r="U599" s="236"/>
      <c r="V599" s="236"/>
      <c r="W599" s="237"/>
      <c r="X599" s="237"/>
      <c r="Y599" s="237"/>
      <c r="Z599" s="237"/>
      <c r="AA599" s="237"/>
      <c r="AB599" s="237"/>
      <c r="AC599" s="237"/>
      <c r="AD599" s="237"/>
      <c r="AE599" s="237"/>
      <c r="AF599" s="237"/>
      <c r="AG599" s="237"/>
      <c r="AH599" s="237"/>
      <c r="AI599" s="98"/>
      <c r="AJ599" s="98"/>
      <c r="AK599" s="98"/>
      <c r="AL599" s="98"/>
      <c r="AM599" s="98"/>
      <c r="AN599" s="98"/>
      <c r="AO599" s="98"/>
    </row>
    <row r="600" ht="14.25" customHeight="1">
      <c r="A600" s="98"/>
      <c r="B600" s="98"/>
      <c r="C600" s="98"/>
      <c r="D600" s="98"/>
      <c r="E600" s="98"/>
      <c r="F600" s="235"/>
      <c r="G600" s="235"/>
      <c r="H600" s="236"/>
      <c r="I600" s="236"/>
      <c r="J600" s="236"/>
      <c r="K600" s="236"/>
      <c r="L600" s="236"/>
      <c r="M600" s="236"/>
      <c r="N600" s="236"/>
      <c r="O600" s="236"/>
      <c r="P600" s="236"/>
      <c r="Q600" s="236"/>
      <c r="R600" s="236"/>
      <c r="S600" s="236"/>
      <c r="T600" s="236"/>
      <c r="U600" s="236"/>
      <c r="V600" s="236"/>
      <c r="W600" s="237"/>
      <c r="X600" s="237"/>
      <c r="Y600" s="237"/>
      <c r="Z600" s="237"/>
      <c r="AA600" s="237"/>
      <c r="AB600" s="237"/>
      <c r="AC600" s="237"/>
      <c r="AD600" s="237"/>
      <c r="AE600" s="237"/>
      <c r="AF600" s="237"/>
      <c r="AG600" s="237"/>
      <c r="AH600" s="237"/>
      <c r="AI600" s="98"/>
      <c r="AJ600" s="98"/>
      <c r="AK600" s="98"/>
      <c r="AL600" s="98"/>
      <c r="AM600" s="98"/>
      <c r="AN600" s="98"/>
      <c r="AO600" s="98"/>
    </row>
    <row r="601" ht="14.25" customHeight="1">
      <c r="A601" s="98"/>
      <c r="B601" s="98"/>
      <c r="C601" s="98"/>
      <c r="D601" s="98"/>
      <c r="E601" s="98"/>
      <c r="F601" s="235"/>
      <c r="G601" s="235"/>
      <c r="H601" s="236"/>
      <c r="I601" s="236"/>
      <c r="J601" s="236"/>
      <c r="K601" s="236"/>
      <c r="L601" s="236"/>
      <c r="M601" s="236"/>
      <c r="N601" s="236"/>
      <c r="O601" s="236"/>
      <c r="P601" s="236"/>
      <c r="Q601" s="236"/>
      <c r="R601" s="236"/>
      <c r="S601" s="236"/>
      <c r="T601" s="236"/>
      <c r="U601" s="236"/>
      <c r="V601" s="236"/>
      <c r="W601" s="237"/>
      <c r="X601" s="237"/>
      <c r="Y601" s="237"/>
      <c r="Z601" s="237"/>
      <c r="AA601" s="237"/>
      <c r="AB601" s="237"/>
      <c r="AC601" s="237"/>
      <c r="AD601" s="237"/>
      <c r="AE601" s="237"/>
      <c r="AF601" s="237"/>
      <c r="AG601" s="237"/>
      <c r="AH601" s="237"/>
      <c r="AI601" s="98"/>
      <c r="AJ601" s="98"/>
      <c r="AK601" s="98"/>
      <c r="AL601" s="98"/>
      <c r="AM601" s="98"/>
      <c r="AN601" s="98"/>
      <c r="AO601" s="98"/>
    </row>
    <row r="602" ht="14.25" customHeight="1">
      <c r="A602" s="98"/>
      <c r="B602" s="98"/>
      <c r="C602" s="98"/>
      <c r="D602" s="98"/>
      <c r="E602" s="98"/>
      <c r="F602" s="235"/>
      <c r="G602" s="235"/>
      <c r="H602" s="236"/>
      <c r="I602" s="236"/>
      <c r="J602" s="236"/>
      <c r="K602" s="236"/>
      <c r="L602" s="236"/>
      <c r="M602" s="236"/>
      <c r="N602" s="236"/>
      <c r="O602" s="236"/>
      <c r="P602" s="236"/>
      <c r="Q602" s="236"/>
      <c r="R602" s="236"/>
      <c r="S602" s="236"/>
      <c r="T602" s="236"/>
      <c r="U602" s="236"/>
      <c r="V602" s="236"/>
      <c r="W602" s="237"/>
      <c r="X602" s="237"/>
      <c r="Y602" s="237"/>
      <c r="Z602" s="237"/>
      <c r="AA602" s="237"/>
      <c r="AB602" s="237"/>
      <c r="AC602" s="237"/>
      <c r="AD602" s="237"/>
      <c r="AE602" s="237"/>
      <c r="AF602" s="237"/>
      <c r="AG602" s="237"/>
      <c r="AH602" s="237"/>
      <c r="AI602" s="98"/>
      <c r="AJ602" s="98"/>
      <c r="AK602" s="98"/>
      <c r="AL602" s="98"/>
      <c r="AM602" s="98"/>
      <c r="AN602" s="98"/>
      <c r="AO602" s="98"/>
    </row>
    <row r="603" ht="14.25" customHeight="1">
      <c r="A603" s="98"/>
      <c r="B603" s="98"/>
      <c r="C603" s="98"/>
      <c r="D603" s="98"/>
      <c r="E603" s="98"/>
      <c r="F603" s="235"/>
      <c r="G603" s="235"/>
      <c r="H603" s="236"/>
      <c r="I603" s="236"/>
      <c r="J603" s="236"/>
      <c r="K603" s="236"/>
      <c r="L603" s="236"/>
      <c r="M603" s="236"/>
      <c r="N603" s="236"/>
      <c r="O603" s="236"/>
      <c r="P603" s="236"/>
      <c r="Q603" s="236"/>
      <c r="R603" s="236"/>
      <c r="S603" s="236"/>
      <c r="T603" s="236"/>
      <c r="U603" s="236"/>
      <c r="V603" s="236"/>
      <c r="W603" s="237"/>
      <c r="X603" s="237"/>
      <c r="Y603" s="237"/>
      <c r="Z603" s="237"/>
      <c r="AA603" s="237"/>
      <c r="AB603" s="237"/>
      <c r="AC603" s="237"/>
      <c r="AD603" s="237"/>
      <c r="AE603" s="237"/>
      <c r="AF603" s="237"/>
      <c r="AG603" s="237"/>
      <c r="AH603" s="237"/>
      <c r="AI603" s="98"/>
      <c r="AJ603" s="98"/>
      <c r="AK603" s="98"/>
      <c r="AL603" s="98"/>
      <c r="AM603" s="98"/>
      <c r="AN603" s="98"/>
      <c r="AO603" s="98"/>
    </row>
    <row r="604" ht="14.25" customHeight="1">
      <c r="A604" s="98"/>
      <c r="B604" s="98"/>
      <c r="C604" s="98"/>
      <c r="D604" s="98"/>
      <c r="E604" s="98"/>
      <c r="F604" s="235"/>
      <c r="G604" s="235"/>
      <c r="H604" s="236"/>
      <c r="I604" s="236"/>
      <c r="J604" s="236"/>
      <c r="K604" s="236"/>
      <c r="L604" s="236"/>
      <c r="M604" s="236"/>
      <c r="N604" s="236"/>
      <c r="O604" s="236"/>
      <c r="P604" s="236"/>
      <c r="Q604" s="236"/>
      <c r="R604" s="236"/>
      <c r="S604" s="236"/>
      <c r="T604" s="236"/>
      <c r="U604" s="236"/>
      <c r="V604" s="236"/>
      <c r="W604" s="237"/>
      <c r="X604" s="237"/>
      <c r="Y604" s="237"/>
      <c r="Z604" s="237"/>
      <c r="AA604" s="237"/>
      <c r="AB604" s="237"/>
      <c r="AC604" s="237"/>
      <c r="AD604" s="237"/>
      <c r="AE604" s="237"/>
      <c r="AF604" s="237"/>
      <c r="AG604" s="237"/>
      <c r="AH604" s="237"/>
      <c r="AI604" s="98"/>
      <c r="AJ604" s="98"/>
      <c r="AK604" s="98"/>
      <c r="AL604" s="98"/>
      <c r="AM604" s="98"/>
      <c r="AN604" s="98"/>
      <c r="AO604" s="98"/>
    </row>
    <row r="605" ht="14.25" customHeight="1">
      <c r="A605" s="98"/>
      <c r="B605" s="98"/>
      <c r="C605" s="98"/>
      <c r="D605" s="98"/>
      <c r="E605" s="98"/>
      <c r="F605" s="235"/>
      <c r="G605" s="235"/>
      <c r="H605" s="236"/>
      <c r="I605" s="236"/>
      <c r="J605" s="236"/>
      <c r="K605" s="236"/>
      <c r="L605" s="236"/>
      <c r="M605" s="236"/>
      <c r="N605" s="236"/>
      <c r="O605" s="236"/>
      <c r="P605" s="236"/>
      <c r="Q605" s="236"/>
      <c r="R605" s="236"/>
      <c r="S605" s="236"/>
      <c r="T605" s="236"/>
      <c r="U605" s="236"/>
      <c r="V605" s="236"/>
      <c r="W605" s="237"/>
      <c r="X605" s="237"/>
      <c r="Y605" s="237"/>
      <c r="Z605" s="237"/>
      <c r="AA605" s="237"/>
      <c r="AB605" s="237"/>
      <c r="AC605" s="237"/>
      <c r="AD605" s="237"/>
      <c r="AE605" s="237"/>
      <c r="AF605" s="237"/>
      <c r="AG605" s="237"/>
      <c r="AH605" s="237"/>
      <c r="AI605" s="98"/>
      <c r="AJ605" s="98"/>
      <c r="AK605" s="98"/>
      <c r="AL605" s="98"/>
      <c r="AM605" s="98"/>
      <c r="AN605" s="98"/>
      <c r="AO605" s="98"/>
    </row>
    <row r="606" ht="14.25" customHeight="1">
      <c r="A606" s="98"/>
      <c r="B606" s="98"/>
      <c r="C606" s="98"/>
      <c r="D606" s="98"/>
      <c r="E606" s="98"/>
      <c r="F606" s="235"/>
      <c r="G606" s="235"/>
      <c r="H606" s="236"/>
      <c r="I606" s="236"/>
      <c r="J606" s="236"/>
      <c r="K606" s="236"/>
      <c r="L606" s="236"/>
      <c r="M606" s="236"/>
      <c r="N606" s="236"/>
      <c r="O606" s="236"/>
      <c r="P606" s="236"/>
      <c r="Q606" s="236"/>
      <c r="R606" s="236"/>
      <c r="S606" s="236"/>
      <c r="T606" s="236"/>
      <c r="U606" s="236"/>
      <c r="V606" s="236"/>
      <c r="W606" s="237"/>
      <c r="X606" s="237"/>
      <c r="Y606" s="237"/>
      <c r="Z606" s="237"/>
      <c r="AA606" s="237"/>
      <c r="AB606" s="237"/>
      <c r="AC606" s="237"/>
      <c r="AD606" s="237"/>
      <c r="AE606" s="237"/>
      <c r="AF606" s="237"/>
      <c r="AG606" s="237"/>
      <c r="AH606" s="237"/>
      <c r="AI606" s="98"/>
      <c r="AJ606" s="98"/>
      <c r="AK606" s="98"/>
      <c r="AL606" s="98"/>
      <c r="AM606" s="98"/>
      <c r="AN606" s="98"/>
      <c r="AO606" s="98"/>
    </row>
    <row r="607" ht="14.25" customHeight="1">
      <c r="A607" s="98"/>
      <c r="B607" s="98"/>
      <c r="C607" s="98"/>
      <c r="D607" s="98"/>
      <c r="E607" s="98"/>
      <c r="F607" s="235"/>
      <c r="G607" s="235"/>
      <c r="H607" s="236"/>
      <c r="I607" s="236"/>
      <c r="J607" s="236"/>
      <c r="K607" s="236"/>
      <c r="L607" s="236"/>
      <c r="M607" s="236"/>
      <c r="N607" s="236"/>
      <c r="O607" s="236"/>
      <c r="P607" s="236"/>
      <c r="Q607" s="236"/>
      <c r="R607" s="236"/>
      <c r="S607" s="236"/>
      <c r="T607" s="236"/>
      <c r="U607" s="236"/>
      <c r="V607" s="236"/>
      <c r="W607" s="237"/>
      <c r="X607" s="237"/>
      <c r="Y607" s="237"/>
      <c r="Z607" s="237"/>
      <c r="AA607" s="237"/>
      <c r="AB607" s="237"/>
      <c r="AC607" s="237"/>
      <c r="AD607" s="237"/>
      <c r="AE607" s="237"/>
      <c r="AF607" s="237"/>
      <c r="AG607" s="237"/>
      <c r="AH607" s="237"/>
      <c r="AI607" s="98"/>
      <c r="AJ607" s="98"/>
      <c r="AK607" s="98"/>
      <c r="AL607" s="98"/>
      <c r="AM607" s="98"/>
      <c r="AN607" s="98"/>
      <c r="AO607" s="98"/>
    </row>
    <row r="608" ht="14.25" customHeight="1">
      <c r="A608" s="98"/>
      <c r="B608" s="98"/>
      <c r="C608" s="98"/>
      <c r="D608" s="98"/>
      <c r="E608" s="98"/>
      <c r="F608" s="235"/>
      <c r="G608" s="235"/>
      <c r="H608" s="236"/>
      <c r="I608" s="236"/>
      <c r="J608" s="236"/>
      <c r="K608" s="236"/>
      <c r="L608" s="236"/>
      <c r="M608" s="236"/>
      <c r="N608" s="236"/>
      <c r="O608" s="236"/>
      <c r="P608" s="236"/>
      <c r="Q608" s="236"/>
      <c r="R608" s="236"/>
      <c r="S608" s="236"/>
      <c r="T608" s="236"/>
      <c r="U608" s="236"/>
      <c r="V608" s="236"/>
      <c r="W608" s="237"/>
      <c r="X608" s="237"/>
      <c r="Y608" s="237"/>
      <c r="Z608" s="237"/>
      <c r="AA608" s="237"/>
      <c r="AB608" s="237"/>
      <c r="AC608" s="237"/>
      <c r="AD608" s="237"/>
      <c r="AE608" s="237"/>
      <c r="AF608" s="237"/>
      <c r="AG608" s="237"/>
      <c r="AH608" s="237"/>
      <c r="AI608" s="98"/>
      <c r="AJ608" s="98"/>
      <c r="AK608" s="98"/>
      <c r="AL608" s="98"/>
      <c r="AM608" s="98"/>
      <c r="AN608" s="98"/>
      <c r="AO608" s="98"/>
    </row>
    <row r="609" ht="14.25" customHeight="1">
      <c r="A609" s="98"/>
      <c r="B609" s="98"/>
      <c r="C609" s="98"/>
      <c r="D609" s="98"/>
      <c r="E609" s="98"/>
      <c r="F609" s="235"/>
      <c r="G609" s="235"/>
      <c r="H609" s="236"/>
      <c r="I609" s="236"/>
      <c r="J609" s="236"/>
      <c r="K609" s="236"/>
      <c r="L609" s="236"/>
      <c r="M609" s="236"/>
      <c r="N609" s="236"/>
      <c r="O609" s="236"/>
      <c r="P609" s="236"/>
      <c r="Q609" s="236"/>
      <c r="R609" s="236"/>
      <c r="S609" s="236"/>
      <c r="T609" s="236"/>
      <c r="U609" s="236"/>
      <c r="V609" s="236"/>
      <c r="W609" s="237"/>
      <c r="X609" s="237"/>
      <c r="Y609" s="237"/>
      <c r="Z609" s="237"/>
      <c r="AA609" s="237"/>
      <c r="AB609" s="237"/>
      <c r="AC609" s="237"/>
      <c r="AD609" s="237"/>
      <c r="AE609" s="237"/>
      <c r="AF609" s="237"/>
      <c r="AG609" s="237"/>
      <c r="AH609" s="237"/>
      <c r="AI609" s="98"/>
      <c r="AJ609" s="98"/>
      <c r="AK609" s="98"/>
      <c r="AL609" s="98"/>
      <c r="AM609" s="98"/>
      <c r="AN609" s="98"/>
      <c r="AO609" s="98"/>
    </row>
    <row r="610" ht="14.25" customHeight="1">
      <c r="A610" s="98"/>
      <c r="B610" s="98"/>
      <c r="C610" s="98"/>
      <c r="D610" s="98"/>
      <c r="E610" s="98"/>
      <c r="F610" s="235"/>
      <c r="G610" s="235"/>
      <c r="H610" s="236"/>
      <c r="I610" s="236"/>
      <c r="J610" s="236"/>
      <c r="K610" s="236"/>
      <c r="L610" s="236"/>
      <c r="M610" s="236"/>
      <c r="N610" s="236"/>
      <c r="O610" s="236"/>
      <c r="P610" s="236"/>
      <c r="Q610" s="236"/>
      <c r="R610" s="236"/>
      <c r="S610" s="236"/>
      <c r="T610" s="236"/>
      <c r="U610" s="236"/>
      <c r="V610" s="236"/>
      <c r="W610" s="237"/>
      <c r="X610" s="237"/>
      <c r="Y610" s="237"/>
      <c r="Z610" s="237"/>
      <c r="AA610" s="237"/>
      <c r="AB610" s="237"/>
      <c r="AC610" s="237"/>
      <c r="AD610" s="237"/>
      <c r="AE610" s="237"/>
      <c r="AF610" s="237"/>
      <c r="AG610" s="237"/>
      <c r="AH610" s="237"/>
      <c r="AI610" s="98"/>
      <c r="AJ610" s="98"/>
      <c r="AK610" s="98"/>
      <c r="AL610" s="98"/>
      <c r="AM610" s="98"/>
      <c r="AN610" s="98"/>
      <c r="AO610" s="98"/>
    </row>
    <row r="611" ht="14.25" customHeight="1">
      <c r="A611" s="98"/>
      <c r="B611" s="98"/>
      <c r="C611" s="98"/>
      <c r="D611" s="98"/>
      <c r="E611" s="98"/>
      <c r="F611" s="235"/>
      <c r="G611" s="235"/>
      <c r="H611" s="236"/>
      <c r="I611" s="236"/>
      <c r="J611" s="236"/>
      <c r="K611" s="236"/>
      <c r="L611" s="236"/>
      <c r="M611" s="236"/>
      <c r="N611" s="236"/>
      <c r="O611" s="236"/>
      <c r="P611" s="236"/>
      <c r="Q611" s="236"/>
      <c r="R611" s="236"/>
      <c r="S611" s="236"/>
      <c r="T611" s="236"/>
      <c r="U611" s="236"/>
      <c r="V611" s="236"/>
      <c r="W611" s="237"/>
      <c r="X611" s="237"/>
      <c r="Y611" s="237"/>
      <c r="Z611" s="237"/>
      <c r="AA611" s="237"/>
      <c r="AB611" s="237"/>
      <c r="AC611" s="237"/>
      <c r="AD611" s="237"/>
      <c r="AE611" s="237"/>
      <c r="AF611" s="237"/>
      <c r="AG611" s="237"/>
      <c r="AH611" s="237"/>
      <c r="AI611" s="98"/>
      <c r="AJ611" s="98"/>
      <c r="AK611" s="98"/>
      <c r="AL611" s="98"/>
      <c r="AM611" s="98"/>
      <c r="AN611" s="98"/>
      <c r="AO611" s="98"/>
    </row>
    <row r="612" ht="14.25" customHeight="1">
      <c r="A612" s="98"/>
      <c r="B612" s="98"/>
      <c r="C612" s="98"/>
      <c r="D612" s="98"/>
      <c r="E612" s="98"/>
      <c r="F612" s="235"/>
      <c r="G612" s="235"/>
      <c r="H612" s="236"/>
      <c r="I612" s="236"/>
      <c r="J612" s="236"/>
      <c r="K612" s="236"/>
      <c r="L612" s="236"/>
      <c r="M612" s="236"/>
      <c r="N612" s="236"/>
      <c r="O612" s="236"/>
      <c r="P612" s="236"/>
      <c r="Q612" s="236"/>
      <c r="R612" s="236"/>
      <c r="S612" s="236"/>
      <c r="T612" s="236"/>
      <c r="U612" s="236"/>
      <c r="V612" s="236"/>
      <c r="W612" s="237"/>
      <c r="X612" s="237"/>
      <c r="Y612" s="237"/>
      <c r="Z612" s="237"/>
      <c r="AA612" s="237"/>
      <c r="AB612" s="237"/>
      <c r="AC612" s="237"/>
      <c r="AD612" s="237"/>
      <c r="AE612" s="237"/>
      <c r="AF612" s="237"/>
      <c r="AG612" s="237"/>
      <c r="AH612" s="237"/>
      <c r="AI612" s="98"/>
      <c r="AJ612" s="98"/>
      <c r="AK612" s="98"/>
      <c r="AL612" s="98"/>
      <c r="AM612" s="98"/>
      <c r="AN612" s="98"/>
      <c r="AO612" s="98"/>
    </row>
    <row r="613" ht="14.25" customHeight="1">
      <c r="A613" s="98"/>
      <c r="B613" s="98"/>
      <c r="C613" s="98"/>
      <c r="D613" s="98"/>
      <c r="E613" s="98"/>
      <c r="F613" s="235"/>
      <c r="G613" s="235"/>
      <c r="H613" s="236"/>
      <c r="I613" s="236"/>
      <c r="J613" s="236"/>
      <c r="K613" s="236"/>
      <c r="L613" s="236"/>
      <c r="M613" s="236"/>
      <c r="N613" s="236"/>
      <c r="O613" s="236"/>
      <c r="P613" s="236"/>
      <c r="Q613" s="236"/>
      <c r="R613" s="236"/>
      <c r="S613" s="236"/>
      <c r="T613" s="236"/>
      <c r="U613" s="236"/>
      <c r="V613" s="236"/>
      <c r="W613" s="237"/>
      <c r="X613" s="237"/>
      <c r="Y613" s="237"/>
      <c r="Z613" s="237"/>
      <c r="AA613" s="237"/>
      <c r="AB613" s="237"/>
      <c r="AC613" s="237"/>
      <c r="AD613" s="237"/>
      <c r="AE613" s="237"/>
      <c r="AF613" s="237"/>
      <c r="AG613" s="237"/>
      <c r="AH613" s="237"/>
      <c r="AI613" s="98"/>
      <c r="AJ613" s="98"/>
      <c r="AK613" s="98"/>
      <c r="AL613" s="98"/>
      <c r="AM613" s="98"/>
      <c r="AN613" s="98"/>
      <c r="AO613" s="98"/>
    </row>
    <row r="614" ht="14.25" customHeight="1">
      <c r="A614" s="98"/>
      <c r="B614" s="98"/>
      <c r="C614" s="98"/>
      <c r="D614" s="98"/>
      <c r="E614" s="98"/>
      <c r="F614" s="235"/>
      <c r="G614" s="235"/>
      <c r="H614" s="236"/>
      <c r="I614" s="236"/>
      <c r="J614" s="236"/>
      <c r="K614" s="236"/>
      <c r="L614" s="236"/>
      <c r="M614" s="236"/>
      <c r="N614" s="236"/>
      <c r="O614" s="236"/>
      <c r="P614" s="236"/>
      <c r="Q614" s="236"/>
      <c r="R614" s="236"/>
      <c r="S614" s="236"/>
      <c r="T614" s="236"/>
      <c r="U614" s="236"/>
      <c r="V614" s="236"/>
      <c r="W614" s="237"/>
      <c r="X614" s="237"/>
      <c r="Y614" s="237"/>
      <c r="Z614" s="237"/>
      <c r="AA614" s="237"/>
      <c r="AB614" s="237"/>
      <c r="AC614" s="237"/>
      <c r="AD614" s="237"/>
      <c r="AE614" s="237"/>
      <c r="AF614" s="237"/>
      <c r="AG614" s="237"/>
      <c r="AH614" s="237"/>
      <c r="AI614" s="98"/>
      <c r="AJ614" s="98"/>
      <c r="AK614" s="98"/>
      <c r="AL614" s="98"/>
      <c r="AM614" s="98"/>
      <c r="AN614" s="98"/>
      <c r="AO614" s="98"/>
    </row>
    <row r="615" ht="14.25" customHeight="1">
      <c r="A615" s="98"/>
      <c r="B615" s="98"/>
      <c r="C615" s="98"/>
      <c r="D615" s="98"/>
      <c r="E615" s="98"/>
      <c r="F615" s="235"/>
      <c r="G615" s="235"/>
      <c r="H615" s="236"/>
      <c r="I615" s="236"/>
      <c r="J615" s="236"/>
      <c r="K615" s="236"/>
      <c r="L615" s="236"/>
      <c r="M615" s="236"/>
      <c r="N615" s="236"/>
      <c r="O615" s="236"/>
      <c r="P615" s="236"/>
      <c r="Q615" s="236"/>
      <c r="R615" s="236"/>
      <c r="S615" s="236"/>
      <c r="T615" s="236"/>
      <c r="U615" s="236"/>
      <c r="V615" s="236"/>
      <c r="W615" s="237"/>
      <c r="X615" s="237"/>
      <c r="Y615" s="237"/>
      <c r="Z615" s="237"/>
      <c r="AA615" s="237"/>
      <c r="AB615" s="237"/>
      <c r="AC615" s="237"/>
      <c r="AD615" s="237"/>
      <c r="AE615" s="237"/>
      <c r="AF615" s="237"/>
      <c r="AG615" s="237"/>
      <c r="AH615" s="237"/>
      <c r="AI615" s="98"/>
      <c r="AJ615" s="98"/>
      <c r="AK615" s="98"/>
      <c r="AL615" s="98"/>
      <c r="AM615" s="98"/>
      <c r="AN615" s="98"/>
      <c r="AO615" s="98"/>
    </row>
    <row r="616" ht="14.25" customHeight="1">
      <c r="A616" s="98"/>
      <c r="B616" s="98"/>
      <c r="C616" s="98"/>
      <c r="D616" s="98"/>
      <c r="E616" s="98"/>
      <c r="F616" s="235"/>
      <c r="G616" s="235"/>
      <c r="H616" s="236"/>
      <c r="I616" s="236"/>
      <c r="J616" s="236"/>
      <c r="K616" s="236"/>
      <c r="L616" s="236"/>
      <c r="M616" s="236"/>
      <c r="N616" s="236"/>
      <c r="O616" s="236"/>
      <c r="P616" s="236"/>
      <c r="Q616" s="236"/>
      <c r="R616" s="236"/>
      <c r="S616" s="236"/>
      <c r="T616" s="236"/>
      <c r="U616" s="236"/>
      <c r="V616" s="236"/>
      <c r="W616" s="237"/>
      <c r="X616" s="237"/>
      <c r="Y616" s="237"/>
      <c r="Z616" s="237"/>
      <c r="AA616" s="237"/>
      <c r="AB616" s="237"/>
      <c r="AC616" s="237"/>
      <c r="AD616" s="237"/>
      <c r="AE616" s="237"/>
      <c r="AF616" s="237"/>
      <c r="AG616" s="237"/>
      <c r="AH616" s="237"/>
      <c r="AI616" s="98"/>
      <c r="AJ616" s="98"/>
      <c r="AK616" s="98"/>
      <c r="AL616" s="98"/>
      <c r="AM616" s="98"/>
      <c r="AN616" s="98"/>
      <c r="AO616" s="98"/>
    </row>
    <row r="617" ht="14.25" customHeight="1">
      <c r="A617" s="98"/>
      <c r="B617" s="98"/>
      <c r="C617" s="98"/>
      <c r="D617" s="98"/>
      <c r="E617" s="98"/>
      <c r="F617" s="235"/>
      <c r="G617" s="235"/>
      <c r="H617" s="236"/>
      <c r="I617" s="236"/>
      <c r="J617" s="236"/>
      <c r="K617" s="236"/>
      <c r="L617" s="236"/>
      <c r="M617" s="236"/>
      <c r="N617" s="236"/>
      <c r="O617" s="236"/>
      <c r="P617" s="236"/>
      <c r="Q617" s="236"/>
      <c r="R617" s="236"/>
      <c r="S617" s="236"/>
      <c r="T617" s="236"/>
      <c r="U617" s="236"/>
      <c r="V617" s="236"/>
      <c r="W617" s="237"/>
      <c r="X617" s="237"/>
      <c r="Y617" s="237"/>
      <c r="Z617" s="237"/>
      <c r="AA617" s="237"/>
      <c r="AB617" s="237"/>
      <c r="AC617" s="237"/>
      <c r="AD617" s="237"/>
      <c r="AE617" s="237"/>
      <c r="AF617" s="237"/>
      <c r="AG617" s="237"/>
      <c r="AH617" s="237"/>
      <c r="AI617" s="98"/>
      <c r="AJ617" s="98"/>
      <c r="AK617" s="98"/>
      <c r="AL617" s="98"/>
      <c r="AM617" s="98"/>
      <c r="AN617" s="98"/>
      <c r="AO617" s="98"/>
    </row>
    <row r="618" ht="14.25" customHeight="1">
      <c r="A618" s="98"/>
      <c r="B618" s="98"/>
      <c r="C618" s="98"/>
      <c r="D618" s="98"/>
      <c r="E618" s="98"/>
      <c r="F618" s="235"/>
      <c r="G618" s="235"/>
      <c r="H618" s="236"/>
      <c r="I618" s="236"/>
      <c r="J618" s="236"/>
      <c r="K618" s="236"/>
      <c r="L618" s="236"/>
      <c r="M618" s="236"/>
      <c r="N618" s="236"/>
      <c r="O618" s="236"/>
      <c r="P618" s="236"/>
      <c r="Q618" s="236"/>
      <c r="R618" s="236"/>
      <c r="S618" s="236"/>
      <c r="T618" s="236"/>
      <c r="U618" s="236"/>
      <c r="V618" s="236"/>
      <c r="W618" s="237"/>
      <c r="X618" s="237"/>
      <c r="Y618" s="237"/>
      <c r="Z618" s="237"/>
      <c r="AA618" s="237"/>
      <c r="AB618" s="237"/>
      <c r="AC618" s="237"/>
      <c r="AD618" s="237"/>
      <c r="AE618" s="237"/>
      <c r="AF618" s="237"/>
      <c r="AG618" s="237"/>
      <c r="AH618" s="237"/>
      <c r="AI618" s="98"/>
      <c r="AJ618" s="98"/>
      <c r="AK618" s="98"/>
      <c r="AL618" s="98"/>
      <c r="AM618" s="98"/>
      <c r="AN618" s="98"/>
      <c r="AO618" s="98"/>
    </row>
    <row r="619" ht="14.25" customHeight="1">
      <c r="A619" s="98"/>
      <c r="B619" s="98"/>
      <c r="C619" s="98"/>
      <c r="D619" s="98"/>
      <c r="E619" s="98"/>
      <c r="F619" s="235"/>
      <c r="G619" s="235"/>
      <c r="H619" s="236"/>
      <c r="I619" s="236"/>
      <c r="J619" s="236"/>
      <c r="K619" s="236"/>
      <c r="L619" s="236"/>
      <c r="M619" s="236"/>
      <c r="N619" s="236"/>
      <c r="O619" s="236"/>
      <c r="P619" s="236"/>
      <c r="Q619" s="236"/>
      <c r="R619" s="236"/>
      <c r="S619" s="236"/>
      <c r="T619" s="236"/>
      <c r="U619" s="236"/>
      <c r="V619" s="236"/>
      <c r="W619" s="237"/>
      <c r="X619" s="237"/>
      <c r="Y619" s="237"/>
      <c r="Z619" s="237"/>
      <c r="AA619" s="237"/>
      <c r="AB619" s="237"/>
      <c r="AC619" s="237"/>
      <c r="AD619" s="237"/>
      <c r="AE619" s="237"/>
      <c r="AF619" s="237"/>
      <c r="AG619" s="237"/>
      <c r="AH619" s="237"/>
      <c r="AI619" s="98"/>
      <c r="AJ619" s="98"/>
      <c r="AK619" s="98"/>
      <c r="AL619" s="98"/>
      <c r="AM619" s="98"/>
      <c r="AN619" s="98"/>
      <c r="AO619" s="98"/>
    </row>
    <row r="620" ht="14.25" customHeight="1">
      <c r="A620" s="98"/>
      <c r="B620" s="98"/>
      <c r="C620" s="98"/>
      <c r="D620" s="98"/>
      <c r="E620" s="98"/>
      <c r="F620" s="235"/>
      <c r="G620" s="235"/>
      <c r="H620" s="236"/>
      <c r="I620" s="236"/>
      <c r="J620" s="236"/>
      <c r="K620" s="236"/>
      <c r="L620" s="236"/>
      <c r="M620" s="236"/>
      <c r="N620" s="236"/>
      <c r="O620" s="236"/>
      <c r="P620" s="236"/>
      <c r="Q620" s="236"/>
      <c r="R620" s="236"/>
      <c r="S620" s="236"/>
      <c r="T620" s="236"/>
      <c r="U620" s="236"/>
      <c r="V620" s="236"/>
      <c r="W620" s="237"/>
      <c r="X620" s="237"/>
      <c r="Y620" s="237"/>
      <c r="Z620" s="237"/>
      <c r="AA620" s="237"/>
      <c r="AB620" s="237"/>
      <c r="AC620" s="237"/>
      <c r="AD620" s="237"/>
      <c r="AE620" s="237"/>
      <c r="AF620" s="237"/>
      <c r="AG620" s="237"/>
      <c r="AH620" s="237"/>
      <c r="AI620" s="98"/>
      <c r="AJ620" s="98"/>
      <c r="AK620" s="98"/>
      <c r="AL620" s="98"/>
      <c r="AM620" s="98"/>
      <c r="AN620" s="98"/>
      <c r="AO620" s="98"/>
    </row>
    <row r="621" ht="14.25" customHeight="1">
      <c r="A621" s="98"/>
      <c r="B621" s="98"/>
      <c r="C621" s="98"/>
      <c r="D621" s="98"/>
      <c r="E621" s="98"/>
      <c r="F621" s="235"/>
      <c r="G621" s="235"/>
      <c r="H621" s="236"/>
      <c r="I621" s="236"/>
      <c r="J621" s="236"/>
      <c r="K621" s="236"/>
      <c r="L621" s="236"/>
      <c r="M621" s="236"/>
      <c r="N621" s="236"/>
      <c r="O621" s="236"/>
      <c r="P621" s="236"/>
      <c r="Q621" s="236"/>
      <c r="R621" s="236"/>
      <c r="S621" s="236"/>
      <c r="T621" s="236"/>
      <c r="U621" s="236"/>
      <c r="V621" s="236"/>
      <c r="W621" s="237"/>
      <c r="X621" s="237"/>
      <c r="Y621" s="237"/>
      <c r="Z621" s="237"/>
      <c r="AA621" s="237"/>
      <c r="AB621" s="237"/>
      <c r="AC621" s="237"/>
      <c r="AD621" s="237"/>
      <c r="AE621" s="237"/>
      <c r="AF621" s="237"/>
      <c r="AG621" s="237"/>
      <c r="AH621" s="237"/>
      <c r="AI621" s="98"/>
      <c r="AJ621" s="98"/>
      <c r="AK621" s="98"/>
      <c r="AL621" s="98"/>
      <c r="AM621" s="98"/>
      <c r="AN621" s="98"/>
      <c r="AO621" s="98"/>
    </row>
    <row r="622" ht="14.25" customHeight="1">
      <c r="A622" s="98"/>
      <c r="B622" s="98"/>
      <c r="C622" s="98"/>
      <c r="D622" s="98"/>
      <c r="E622" s="98"/>
      <c r="F622" s="235"/>
      <c r="G622" s="235"/>
      <c r="H622" s="236"/>
      <c r="I622" s="236"/>
      <c r="J622" s="236"/>
      <c r="K622" s="236"/>
      <c r="L622" s="236"/>
      <c r="M622" s="236"/>
      <c r="N622" s="236"/>
      <c r="O622" s="236"/>
      <c r="P622" s="236"/>
      <c r="Q622" s="236"/>
      <c r="R622" s="236"/>
      <c r="S622" s="236"/>
      <c r="T622" s="236"/>
      <c r="U622" s="236"/>
      <c r="V622" s="236"/>
      <c r="W622" s="237"/>
      <c r="X622" s="237"/>
      <c r="Y622" s="237"/>
      <c r="Z622" s="237"/>
      <c r="AA622" s="237"/>
      <c r="AB622" s="237"/>
      <c r="AC622" s="237"/>
      <c r="AD622" s="237"/>
      <c r="AE622" s="237"/>
      <c r="AF622" s="237"/>
      <c r="AG622" s="237"/>
      <c r="AH622" s="237"/>
      <c r="AI622" s="98"/>
      <c r="AJ622" s="98"/>
      <c r="AK622" s="98"/>
      <c r="AL622" s="98"/>
      <c r="AM622" s="98"/>
      <c r="AN622" s="98"/>
      <c r="AO622" s="98"/>
    </row>
    <row r="623" ht="14.25" customHeight="1">
      <c r="A623" s="98"/>
      <c r="B623" s="98"/>
      <c r="C623" s="98"/>
      <c r="D623" s="98"/>
      <c r="E623" s="98"/>
      <c r="F623" s="235"/>
      <c r="G623" s="235"/>
      <c r="H623" s="236"/>
      <c r="I623" s="236"/>
      <c r="J623" s="236"/>
      <c r="K623" s="236"/>
      <c r="L623" s="236"/>
      <c r="M623" s="236"/>
      <c r="N623" s="236"/>
      <c r="O623" s="236"/>
      <c r="P623" s="236"/>
      <c r="Q623" s="236"/>
      <c r="R623" s="236"/>
      <c r="S623" s="236"/>
      <c r="T623" s="236"/>
      <c r="U623" s="236"/>
      <c r="V623" s="236"/>
      <c r="W623" s="237"/>
      <c r="X623" s="237"/>
      <c r="Y623" s="237"/>
      <c r="Z623" s="237"/>
      <c r="AA623" s="237"/>
      <c r="AB623" s="237"/>
      <c r="AC623" s="237"/>
      <c r="AD623" s="237"/>
      <c r="AE623" s="237"/>
      <c r="AF623" s="237"/>
      <c r="AG623" s="237"/>
      <c r="AH623" s="237"/>
      <c r="AI623" s="98"/>
      <c r="AJ623" s="98"/>
      <c r="AK623" s="98"/>
      <c r="AL623" s="98"/>
      <c r="AM623" s="98"/>
      <c r="AN623" s="98"/>
      <c r="AO623" s="98"/>
    </row>
    <row r="624" ht="14.25" customHeight="1">
      <c r="A624" s="98"/>
      <c r="B624" s="98"/>
      <c r="C624" s="98"/>
      <c r="D624" s="98"/>
      <c r="E624" s="98"/>
      <c r="F624" s="235"/>
      <c r="G624" s="235"/>
      <c r="H624" s="236"/>
      <c r="I624" s="236"/>
      <c r="J624" s="236"/>
      <c r="K624" s="236"/>
      <c r="L624" s="236"/>
      <c r="M624" s="236"/>
      <c r="N624" s="236"/>
      <c r="O624" s="236"/>
      <c r="P624" s="236"/>
      <c r="Q624" s="236"/>
      <c r="R624" s="236"/>
      <c r="S624" s="236"/>
      <c r="T624" s="236"/>
      <c r="U624" s="236"/>
      <c r="V624" s="236"/>
      <c r="W624" s="237"/>
      <c r="X624" s="237"/>
      <c r="Y624" s="237"/>
      <c r="Z624" s="237"/>
      <c r="AA624" s="237"/>
      <c r="AB624" s="237"/>
      <c r="AC624" s="237"/>
      <c r="AD624" s="237"/>
      <c r="AE624" s="237"/>
      <c r="AF624" s="237"/>
      <c r="AG624" s="237"/>
      <c r="AH624" s="237"/>
      <c r="AI624" s="98"/>
      <c r="AJ624" s="98"/>
      <c r="AK624" s="98"/>
      <c r="AL624" s="98"/>
      <c r="AM624" s="98"/>
      <c r="AN624" s="98"/>
      <c r="AO624" s="98"/>
    </row>
    <row r="625" ht="14.25" customHeight="1">
      <c r="A625" s="98"/>
      <c r="B625" s="98"/>
      <c r="C625" s="98"/>
      <c r="D625" s="98"/>
      <c r="E625" s="98"/>
      <c r="F625" s="235"/>
      <c r="G625" s="235"/>
      <c r="H625" s="236"/>
      <c r="I625" s="236"/>
      <c r="J625" s="236"/>
      <c r="K625" s="236"/>
      <c r="L625" s="236"/>
      <c r="M625" s="236"/>
      <c r="N625" s="236"/>
      <c r="O625" s="236"/>
      <c r="P625" s="236"/>
      <c r="Q625" s="236"/>
      <c r="R625" s="236"/>
      <c r="S625" s="236"/>
      <c r="T625" s="236"/>
      <c r="U625" s="236"/>
      <c r="V625" s="236"/>
      <c r="W625" s="237"/>
      <c r="X625" s="237"/>
      <c r="Y625" s="237"/>
      <c r="Z625" s="237"/>
      <c r="AA625" s="237"/>
      <c r="AB625" s="237"/>
      <c r="AC625" s="237"/>
      <c r="AD625" s="237"/>
      <c r="AE625" s="237"/>
      <c r="AF625" s="237"/>
      <c r="AG625" s="237"/>
      <c r="AH625" s="237"/>
      <c r="AI625" s="98"/>
      <c r="AJ625" s="98"/>
      <c r="AK625" s="98"/>
      <c r="AL625" s="98"/>
      <c r="AM625" s="98"/>
      <c r="AN625" s="98"/>
      <c r="AO625" s="98"/>
    </row>
    <row r="626" ht="14.25" customHeight="1">
      <c r="A626" s="98"/>
      <c r="B626" s="98"/>
      <c r="C626" s="98"/>
      <c r="D626" s="98"/>
      <c r="E626" s="98"/>
      <c r="F626" s="235"/>
      <c r="G626" s="235"/>
      <c r="H626" s="236"/>
      <c r="I626" s="236"/>
      <c r="J626" s="236"/>
      <c r="K626" s="236"/>
      <c r="L626" s="236"/>
      <c r="M626" s="236"/>
      <c r="N626" s="236"/>
      <c r="O626" s="236"/>
      <c r="P626" s="236"/>
      <c r="Q626" s="236"/>
      <c r="R626" s="236"/>
      <c r="S626" s="236"/>
      <c r="T626" s="236"/>
      <c r="U626" s="236"/>
      <c r="V626" s="236"/>
      <c r="W626" s="237"/>
      <c r="X626" s="237"/>
      <c r="Y626" s="237"/>
      <c r="Z626" s="237"/>
      <c r="AA626" s="237"/>
      <c r="AB626" s="237"/>
      <c r="AC626" s="237"/>
      <c r="AD626" s="237"/>
      <c r="AE626" s="237"/>
      <c r="AF626" s="237"/>
      <c r="AG626" s="237"/>
      <c r="AH626" s="237"/>
      <c r="AI626" s="98"/>
      <c r="AJ626" s="98"/>
      <c r="AK626" s="98"/>
      <c r="AL626" s="98"/>
      <c r="AM626" s="98"/>
      <c r="AN626" s="98"/>
      <c r="AO626" s="98"/>
    </row>
    <row r="627" ht="14.25" customHeight="1">
      <c r="A627" s="98"/>
      <c r="B627" s="98"/>
      <c r="C627" s="98"/>
      <c r="D627" s="98"/>
      <c r="E627" s="98"/>
      <c r="F627" s="235"/>
      <c r="G627" s="235"/>
      <c r="H627" s="236"/>
      <c r="I627" s="236"/>
      <c r="J627" s="236"/>
      <c r="K627" s="236"/>
      <c r="L627" s="236"/>
      <c r="M627" s="236"/>
      <c r="N627" s="236"/>
      <c r="O627" s="236"/>
      <c r="P627" s="236"/>
      <c r="Q627" s="236"/>
      <c r="R627" s="236"/>
      <c r="S627" s="236"/>
      <c r="T627" s="236"/>
      <c r="U627" s="236"/>
      <c r="V627" s="236"/>
      <c r="W627" s="237"/>
      <c r="X627" s="237"/>
      <c r="Y627" s="237"/>
      <c r="Z627" s="237"/>
      <c r="AA627" s="237"/>
      <c r="AB627" s="237"/>
      <c r="AC627" s="237"/>
      <c r="AD627" s="237"/>
      <c r="AE627" s="237"/>
      <c r="AF627" s="237"/>
      <c r="AG627" s="237"/>
      <c r="AH627" s="237"/>
      <c r="AI627" s="98"/>
      <c r="AJ627" s="98"/>
      <c r="AK627" s="98"/>
      <c r="AL627" s="98"/>
      <c r="AM627" s="98"/>
      <c r="AN627" s="98"/>
      <c r="AO627" s="98"/>
    </row>
    <row r="628" ht="14.25" customHeight="1">
      <c r="A628" s="98"/>
      <c r="B628" s="98"/>
      <c r="C628" s="98"/>
      <c r="D628" s="98"/>
      <c r="E628" s="98"/>
      <c r="F628" s="235"/>
      <c r="G628" s="235"/>
      <c r="H628" s="236"/>
      <c r="I628" s="236"/>
      <c r="J628" s="236"/>
      <c r="K628" s="236"/>
      <c r="L628" s="236"/>
      <c r="M628" s="236"/>
      <c r="N628" s="236"/>
      <c r="O628" s="236"/>
      <c r="P628" s="236"/>
      <c r="Q628" s="236"/>
      <c r="R628" s="236"/>
      <c r="S628" s="236"/>
      <c r="T628" s="236"/>
      <c r="U628" s="236"/>
      <c r="V628" s="236"/>
      <c r="W628" s="237"/>
      <c r="X628" s="237"/>
      <c r="Y628" s="237"/>
      <c r="Z628" s="237"/>
      <c r="AA628" s="237"/>
      <c r="AB628" s="237"/>
      <c r="AC628" s="237"/>
      <c r="AD628" s="237"/>
      <c r="AE628" s="237"/>
      <c r="AF628" s="237"/>
      <c r="AG628" s="237"/>
      <c r="AH628" s="237"/>
      <c r="AI628" s="98"/>
      <c r="AJ628" s="98"/>
      <c r="AK628" s="98"/>
      <c r="AL628" s="98"/>
      <c r="AM628" s="98"/>
      <c r="AN628" s="98"/>
      <c r="AO628" s="98"/>
    </row>
    <row r="629" ht="14.25" customHeight="1">
      <c r="A629" s="98"/>
      <c r="B629" s="98"/>
      <c r="C629" s="98"/>
      <c r="D629" s="98"/>
      <c r="E629" s="98"/>
      <c r="F629" s="235"/>
      <c r="G629" s="235"/>
      <c r="H629" s="236"/>
      <c r="I629" s="236"/>
      <c r="J629" s="236"/>
      <c r="K629" s="236"/>
      <c r="L629" s="236"/>
      <c r="M629" s="236"/>
      <c r="N629" s="236"/>
      <c r="O629" s="236"/>
      <c r="P629" s="236"/>
      <c r="Q629" s="236"/>
      <c r="R629" s="236"/>
      <c r="S629" s="236"/>
      <c r="T629" s="236"/>
      <c r="U629" s="236"/>
      <c r="V629" s="236"/>
      <c r="W629" s="237"/>
      <c r="X629" s="237"/>
      <c r="Y629" s="237"/>
      <c r="Z629" s="237"/>
      <c r="AA629" s="237"/>
      <c r="AB629" s="237"/>
      <c r="AC629" s="237"/>
      <c r="AD629" s="237"/>
      <c r="AE629" s="237"/>
      <c r="AF629" s="237"/>
      <c r="AG629" s="237"/>
      <c r="AH629" s="237"/>
      <c r="AI629" s="98"/>
      <c r="AJ629" s="98"/>
      <c r="AK629" s="98"/>
      <c r="AL629" s="98"/>
      <c r="AM629" s="98"/>
      <c r="AN629" s="98"/>
      <c r="AO629" s="98"/>
    </row>
    <row r="630" ht="14.25" customHeight="1">
      <c r="A630" s="98"/>
      <c r="B630" s="98"/>
      <c r="C630" s="98"/>
      <c r="D630" s="98"/>
      <c r="E630" s="98"/>
      <c r="F630" s="235"/>
      <c r="G630" s="235"/>
      <c r="H630" s="236"/>
      <c r="I630" s="236"/>
      <c r="J630" s="236"/>
      <c r="K630" s="236"/>
      <c r="L630" s="236"/>
      <c r="M630" s="236"/>
      <c r="N630" s="236"/>
      <c r="O630" s="236"/>
      <c r="P630" s="236"/>
      <c r="Q630" s="236"/>
      <c r="R630" s="236"/>
      <c r="S630" s="236"/>
      <c r="T630" s="236"/>
      <c r="U630" s="236"/>
      <c r="V630" s="236"/>
      <c r="W630" s="237"/>
      <c r="X630" s="237"/>
      <c r="Y630" s="237"/>
      <c r="Z630" s="237"/>
      <c r="AA630" s="237"/>
      <c r="AB630" s="237"/>
      <c r="AC630" s="237"/>
      <c r="AD630" s="237"/>
      <c r="AE630" s="237"/>
      <c r="AF630" s="237"/>
      <c r="AG630" s="237"/>
      <c r="AH630" s="237"/>
      <c r="AI630" s="98"/>
      <c r="AJ630" s="98"/>
      <c r="AK630" s="98"/>
      <c r="AL630" s="98"/>
      <c r="AM630" s="98"/>
      <c r="AN630" s="98"/>
      <c r="AO630" s="98"/>
    </row>
    <row r="631" ht="14.25" customHeight="1">
      <c r="A631" s="98"/>
      <c r="B631" s="98"/>
      <c r="C631" s="98"/>
      <c r="D631" s="98"/>
      <c r="E631" s="98"/>
      <c r="F631" s="235"/>
      <c r="G631" s="235"/>
      <c r="H631" s="236"/>
      <c r="I631" s="236"/>
      <c r="J631" s="236"/>
      <c r="K631" s="236"/>
      <c r="L631" s="236"/>
      <c r="M631" s="236"/>
      <c r="N631" s="236"/>
      <c r="O631" s="236"/>
      <c r="P631" s="236"/>
      <c r="Q631" s="236"/>
      <c r="R631" s="236"/>
      <c r="S631" s="236"/>
      <c r="T631" s="236"/>
      <c r="U631" s="236"/>
      <c r="V631" s="236"/>
      <c r="W631" s="237"/>
      <c r="X631" s="237"/>
      <c r="Y631" s="237"/>
      <c r="Z631" s="237"/>
      <c r="AA631" s="237"/>
      <c r="AB631" s="237"/>
      <c r="AC631" s="237"/>
      <c r="AD631" s="237"/>
      <c r="AE631" s="237"/>
      <c r="AF631" s="237"/>
      <c r="AG631" s="237"/>
      <c r="AH631" s="237"/>
      <c r="AI631" s="98"/>
      <c r="AJ631" s="98"/>
      <c r="AK631" s="98"/>
      <c r="AL631" s="98"/>
      <c r="AM631" s="98"/>
      <c r="AN631" s="98"/>
      <c r="AO631" s="98"/>
    </row>
    <row r="632" ht="14.25" customHeight="1">
      <c r="A632" s="98"/>
      <c r="B632" s="98"/>
      <c r="C632" s="98"/>
      <c r="D632" s="98"/>
      <c r="E632" s="98"/>
      <c r="F632" s="235"/>
      <c r="G632" s="235"/>
      <c r="H632" s="236"/>
      <c r="I632" s="236"/>
      <c r="J632" s="236"/>
      <c r="K632" s="236"/>
      <c r="L632" s="236"/>
      <c r="M632" s="236"/>
      <c r="N632" s="236"/>
      <c r="O632" s="236"/>
      <c r="P632" s="236"/>
      <c r="Q632" s="236"/>
      <c r="R632" s="236"/>
      <c r="S632" s="236"/>
      <c r="T632" s="236"/>
      <c r="U632" s="236"/>
      <c r="V632" s="236"/>
      <c r="W632" s="237"/>
      <c r="X632" s="237"/>
      <c r="Y632" s="237"/>
      <c r="Z632" s="237"/>
      <c r="AA632" s="237"/>
      <c r="AB632" s="237"/>
      <c r="AC632" s="237"/>
      <c r="AD632" s="237"/>
      <c r="AE632" s="237"/>
      <c r="AF632" s="237"/>
      <c r="AG632" s="237"/>
      <c r="AH632" s="237"/>
      <c r="AI632" s="98"/>
      <c r="AJ632" s="98"/>
      <c r="AK632" s="98"/>
      <c r="AL632" s="98"/>
      <c r="AM632" s="98"/>
      <c r="AN632" s="98"/>
      <c r="AO632" s="98"/>
    </row>
    <row r="633" ht="14.25" customHeight="1">
      <c r="A633" s="98"/>
      <c r="B633" s="98"/>
      <c r="C633" s="98"/>
      <c r="D633" s="98"/>
      <c r="E633" s="98"/>
      <c r="F633" s="235"/>
      <c r="G633" s="235"/>
      <c r="H633" s="236"/>
      <c r="I633" s="236"/>
      <c r="J633" s="236"/>
      <c r="K633" s="236"/>
      <c r="L633" s="236"/>
      <c r="M633" s="236"/>
      <c r="N633" s="236"/>
      <c r="O633" s="236"/>
      <c r="P633" s="236"/>
      <c r="Q633" s="236"/>
      <c r="R633" s="236"/>
      <c r="S633" s="236"/>
      <c r="T633" s="236"/>
      <c r="U633" s="236"/>
      <c r="V633" s="236"/>
      <c r="W633" s="237"/>
      <c r="X633" s="237"/>
      <c r="Y633" s="237"/>
      <c r="Z633" s="237"/>
      <c r="AA633" s="237"/>
      <c r="AB633" s="237"/>
      <c r="AC633" s="237"/>
      <c r="AD633" s="237"/>
      <c r="AE633" s="237"/>
      <c r="AF633" s="237"/>
      <c r="AG633" s="237"/>
      <c r="AH633" s="237"/>
      <c r="AI633" s="98"/>
      <c r="AJ633" s="98"/>
      <c r="AK633" s="98"/>
      <c r="AL633" s="98"/>
      <c r="AM633" s="98"/>
      <c r="AN633" s="98"/>
      <c r="AO633" s="98"/>
    </row>
    <row r="634" ht="14.25" customHeight="1">
      <c r="A634" s="98"/>
      <c r="B634" s="98"/>
      <c r="C634" s="98"/>
      <c r="D634" s="98"/>
      <c r="E634" s="98"/>
      <c r="F634" s="235"/>
      <c r="G634" s="235"/>
      <c r="H634" s="236"/>
      <c r="I634" s="236"/>
      <c r="J634" s="236"/>
      <c r="K634" s="236"/>
      <c r="L634" s="236"/>
      <c r="M634" s="236"/>
      <c r="N634" s="236"/>
      <c r="O634" s="236"/>
      <c r="P634" s="236"/>
      <c r="Q634" s="236"/>
      <c r="R634" s="236"/>
      <c r="S634" s="236"/>
      <c r="T634" s="236"/>
      <c r="U634" s="236"/>
      <c r="V634" s="236"/>
      <c r="W634" s="237"/>
      <c r="X634" s="237"/>
      <c r="Y634" s="237"/>
      <c r="Z634" s="237"/>
      <c r="AA634" s="237"/>
      <c r="AB634" s="237"/>
      <c r="AC634" s="237"/>
      <c r="AD634" s="237"/>
      <c r="AE634" s="237"/>
      <c r="AF634" s="237"/>
      <c r="AG634" s="237"/>
      <c r="AH634" s="237"/>
      <c r="AI634" s="98"/>
      <c r="AJ634" s="98"/>
      <c r="AK634" s="98"/>
      <c r="AL634" s="98"/>
      <c r="AM634" s="98"/>
      <c r="AN634" s="98"/>
      <c r="AO634" s="98"/>
    </row>
    <row r="635" ht="14.25" customHeight="1">
      <c r="A635" s="98"/>
      <c r="B635" s="98"/>
      <c r="C635" s="98"/>
      <c r="D635" s="98"/>
      <c r="E635" s="98"/>
      <c r="F635" s="235"/>
      <c r="G635" s="235"/>
      <c r="H635" s="236"/>
      <c r="I635" s="236"/>
      <c r="J635" s="236"/>
      <c r="K635" s="236"/>
      <c r="L635" s="236"/>
      <c r="M635" s="236"/>
      <c r="N635" s="236"/>
      <c r="O635" s="236"/>
      <c r="P635" s="236"/>
      <c r="Q635" s="236"/>
      <c r="R635" s="236"/>
      <c r="S635" s="236"/>
      <c r="T635" s="236"/>
      <c r="U635" s="236"/>
      <c r="V635" s="236"/>
      <c r="W635" s="237"/>
      <c r="X635" s="237"/>
      <c r="Y635" s="237"/>
      <c r="Z635" s="237"/>
      <c r="AA635" s="237"/>
      <c r="AB635" s="237"/>
      <c r="AC635" s="237"/>
      <c r="AD635" s="237"/>
      <c r="AE635" s="237"/>
      <c r="AF635" s="237"/>
      <c r="AG635" s="237"/>
      <c r="AH635" s="237"/>
      <c r="AI635" s="98"/>
      <c r="AJ635" s="98"/>
      <c r="AK635" s="98"/>
      <c r="AL635" s="98"/>
      <c r="AM635" s="98"/>
      <c r="AN635" s="98"/>
      <c r="AO635" s="98"/>
    </row>
    <row r="636" ht="14.25" customHeight="1">
      <c r="A636" s="98"/>
      <c r="B636" s="98"/>
      <c r="C636" s="98"/>
      <c r="D636" s="98"/>
      <c r="E636" s="98"/>
      <c r="F636" s="235"/>
      <c r="G636" s="235"/>
      <c r="H636" s="236"/>
      <c r="I636" s="236"/>
      <c r="J636" s="236"/>
      <c r="K636" s="236"/>
      <c r="L636" s="236"/>
      <c r="M636" s="236"/>
      <c r="N636" s="236"/>
      <c r="O636" s="236"/>
      <c r="P636" s="236"/>
      <c r="Q636" s="236"/>
      <c r="R636" s="236"/>
      <c r="S636" s="236"/>
      <c r="T636" s="236"/>
      <c r="U636" s="236"/>
      <c r="V636" s="236"/>
      <c r="W636" s="237"/>
      <c r="X636" s="237"/>
      <c r="Y636" s="237"/>
      <c r="Z636" s="237"/>
      <c r="AA636" s="237"/>
      <c r="AB636" s="237"/>
      <c r="AC636" s="237"/>
      <c r="AD636" s="237"/>
      <c r="AE636" s="237"/>
      <c r="AF636" s="237"/>
      <c r="AG636" s="237"/>
      <c r="AH636" s="237"/>
      <c r="AI636" s="98"/>
      <c r="AJ636" s="98"/>
      <c r="AK636" s="98"/>
      <c r="AL636" s="98"/>
      <c r="AM636" s="98"/>
      <c r="AN636" s="98"/>
      <c r="AO636" s="98"/>
    </row>
    <row r="637" ht="14.25" customHeight="1">
      <c r="A637" s="98"/>
      <c r="B637" s="98"/>
      <c r="C637" s="98"/>
      <c r="D637" s="98"/>
      <c r="E637" s="98"/>
      <c r="F637" s="235"/>
      <c r="G637" s="235"/>
      <c r="H637" s="236"/>
      <c r="I637" s="236"/>
      <c r="J637" s="236"/>
      <c r="K637" s="236"/>
      <c r="L637" s="236"/>
      <c r="M637" s="236"/>
      <c r="N637" s="236"/>
      <c r="O637" s="236"/>
      <c r="P637" s="236"/>
      <c r="Q637" s="236"/>
      <c r="R637" s="236"/>
      <c r="S637" s="236"/>
      <c r="T637" s="236"/>
      <c r="U637" s="236"/>
      <c r="V637" s="236"/>
      <c r="W637" s="237"/>
      <c r="X637" s="237"/>
      <c r="Y637" s="237"/>
      <c r="Z637" s="237"/>
      <c r="AA637" s="237"/>
      <c r="AB637" s="237"/>
      <c r="AC637" s="237"/>
      <c r="AD637" s="237"/>
      <c r="AE637" s="237"/>
      <c r="AF637" s="237"/>
      <c r="AG637" s="237"/>
      <c r="AH637" s="237"/>
      <c r="AI637" s="98"/>
      <c r="AJ637" s="98"/>
      <c r="AK637" s="98"/>
      <c r="AL637" s="98"/>
      <c r="AM637" s="98"/>
      <c r="AN637" s="98"/>
      <c r="AO637" s="98"/>
    </row>
    <row r="638" ht="14.25" customHeight="1">
      <c r="A638" s="98"/>
      <c r="B638" s="98"/>
      <c r="C638" s="98"/>
      <c r="D638" s="98"/>
      <c r="E638" s="98"/>
      <c r="F638" s="235"/>
      <c r="G638" s="235"/>
      <c r="H638" s="236"/>
      <c r="I638" s="236"/>
      <c r="J638" s="236"/>
      <c r="K638" s="236"/>
      <c r="L638" s="236"/>
      <c r="M638" s="236"/>
      <c r="N638" s="236"/>
      <c r="O638" s="236"/>
      <c r="P638" s="236"/>
      <c r="Q638" s="236"/>
      <c r="R638" s="236"/>
      <c r="S638" s="236"/>
      <c r="T638" s="236"/>
      <c r="U638" s="236"/>
      <c r="V638" s="236"/>
      <c r="W638" s="237"/>
      <c r="X638" s="237"/>
      <c r="Y638" s="237"/>
      <c r="Z638" s="237"/>
      <c r="AA638" s="237"/>
      <c r="AB638" s="237"/>
      <c r="AC638" s="237"/>
      <c r="AD638" s="237"/>
      <c r="AE638" s="237"/>
      <c r="AF638" s="237"/>
      <c r="AG638" s="237"/>
      <c r="AH638" s="237"/>
      <c r="AI638" s="98"/>
      <c r="AJ638" s="98"/>
      <c r="AK638" s="98"/>
      <c r="AL638" s="98"/>
      <c r="AM638" s="98"/>
      <c r="AN638" s="98"/>
      <c r="AO638" s="98"/>
    </row>
    <row r="639" ht="14.25" customHeight="1">
      <c r="A639" s="98"/>
      <c r="B639" s="98"/>
      <c r="C639" s="98"/>
      <c r="D639" s="98"/>
      <c r="E639" s="98"/>
      <c r="F639" s="235"/>
      <c r="G639" s="235"/>
      <c r="H639" s="236"/>
      <c r="I639" s="236"/>
      <c r="J639" s="236"/>
      <c r="K639" s="236"/>
      <c r="L639" s="236"/>
      <c r="M639" s="236"/>
      <c r="N639" s="236"/>
      <c r="O639" s="236"/>
      <c r="P639" s="236"/>
      <c r="Q639" s="236"/>
      <c r="R639" s="236"/>
      <c r="S639" s="236"/>
      <c r="T639" s="236"/>
      <c r="U639" s="236"/>
      <c r="V639" s="236"/>
      <c r="W639" s="237"/>
      <c r="X639" s="237"/>
      <c r="Y639" s="237"/>
      <c r="Z639" s="237"/>
      <c r="AA639" s="237"/>
      <c r="AB639" s="237"/>
      <c r="AC639" s="237"/>
      <c r="AD639" s="237"/>
      <c r="AE639" s="237"/>
      <c r="AF639" s="237"/>
      <c r="AG639" s="237"/>
      <c r="AH639" s="237"/>
      <c r="AI639" s="98"/>
      <c r="AJ639" s="98"/>
      <c r="AK639" s="98"/>
      <c r="AL639" s="98"/>
      <c r="AM639" s="98"/>
      <c r="AN639" s="98"/>
      <c r="AO639" s="98"/>
    </row>
    <row r="640" ht="14.25" customHeight="1">
      <c r="A640" s="98"/>
      <c r="B640" s="98"/>
      <c r="C640" s="98"/>
      <c r="D640" s="98"/>
      <c r="E640" s="98"/>
      <c r="F640" s="235"/>
      <c r="G640" s="235"/>
      <c r="H640" s="236"/>
      <c r="I640" s="236"/>
      <c r="J640" s="236"/>
      <c r="K640" s="236"/>
      <c r="L640" s="236"/>
      <c r="M640" s="236"/>
      <c r="N640" s="236"/>
      <c r="O640" s="236"/>
      <c r="P640" s="236"/>
      <c r="Q640" s="236"/>
      <c r="R640" s="236"/>
      <c r="S640" s="236"/>
      <c r="T640" s="236"/>
      <c r="U640" s="236"/>
      <c r="V640" s="236"/>
      <c r="W640" s="237"/>
      <c r="X640" s="237"/>
      <c r="Y640" s="237"/>
      <c r="Z640" s="237"/>
      <c r="AA640" s="237"/>
      <c r="AB640" s="237"/>
      <c r="AC640" s="237"/>
      <c r="AD640" s="237"/>
      <c r="AE640" s="237"/>
      <c r="AF640" s="237"/>
      <c r="AG640" s="237"/>
      <c r="AH640" s="237"/>
      <c r="AI640" s="98"/>
      <c r="AJ640" s="98"/>
      <c r="AK640" s="98"/>
      <c r="AL640" s="98"/>
      <c r="AM640" s="98"/>
      <c r="AN640" s="98"/>
      <c r="AO640" s="98"/>
    </row>
    <row r="641" ht="14.25" customHeight="1">
      <c r="A641" s="98"/>
      <c r="B641" s="98"/>
      <c r="C641" s="98"/>
      <c r="D641" s="98"/>
      <c r="E641" s="98"/>
      <c r="F641" s="235"/>
      <c r="G641" s="235"/>
      <c r="H641" s="236"/>
      <c r="I641" s="236"/>
      <c r="J641" s="236"/>
      <c r="K641" s="236"/>
      <c r="L641" s="236"/>
      <c r="M641" s="236"/>
      <c r="N641" s="236"/>
      <c r="O641" s="236"/>
      <c r="P641" s="236"/>
      <c r="Q641" s="236"/>
      <c r="R641" s="236"/>
      <c r="S641" s="236"/>
      <c r="T641" s="236"/>
      <c r="U641" s="236"/>
      <c r="V641" s="236"/>
      <c r="W641" s="237"/>
      <c r="X641" s="237"/>
      <c r="Y641" s="237"/>
      <c r="Z641" s="237"/>
      <c r="AA641" s="237"/>
      <c r="AB641" s="237"/>
      <c r="AC641" s="237"/>
      <c r="AD641" s="237"/>
      <c r="AE641" s="237"/>
      <c r="AF641" s="237"/>
      <c r="AG641" s="237"/>
      <c r="AH641" s="237"/>
      <c r="AI641" s="98"/>
      <c r="AJ641" s="98"/>
      <c r="AK641" s="98"/>
      <c r="AL641" s="98"/>
      <c r="AM641" s="98"/>
      <c r="AN641" s="98"/>
      <c r="AO641" s="98"/>
    </row>
    <row r="642" ht="14.25" customHeight="1">
      <c r="A642" s="98"/>
      <c r="B642" s="98"/>
      <c r="C642" s="98"/>
      <c r="D642" s="98"/>
      <c r="E642" s="98"/>
      <c r="F642" s="235"/>
      <c r="G642" s="235"/>
      <c r="H642" s="236"/>
      <c r="I642" s="236"/>
      <c r="J642" s="236"/>
      <c r="K642" s="236"/>
      <c r="L642" s="236"/>
      <c r="M642" s="236"/>
      <c r="N642" s="236"/>
      <c r="O642" s="236"/>
      <c r="P642" s="236"/>
      <c r="Q642" s="236"/>
      <c r="R642" s="236"/>
      <c r="S642" s="236"/>
      <c r="T642" s="236"/>
      <c r="U642" s="236"/>
      <c r="V642" s="236"/>
      <c r="W642" s="237"/>
      <c r="X642" s="237"/>
      <c r="Y642" s="237"/>
      <c r="Z642" s="237"/>
      <c r="AA642" s="237"/>
      <c r="AB642" s="237"/>
      <c r="AC642" s="237"/>
      <c r="AD642" s="237"/>
      <c r="AE642" s="237"/>
      <c r="AF642" s="237"/>
      <c r="AG642" s="237"/>
      <c r="AH642" s="237"/>
      <c r="AI642" s="98"/>
      <c r="AJ642" s="98"/>
      <c r="AK642" s="98"/>
      <c r="AL642" s="98"/>
      <c r="AM642" s="98"/>
      <c r="AN642" s="98"/>
      <c r="AO642" s="98"/>
    </row>
    <row r="643" ht="14.25" customHeight="1">
      <c r="A643" s="98"/>
      <c r="B643" s="98"/>
      <c r="C643" s="98"/>
      <c r="D643" s="98"/>
      <c r="E643" s="98"/>
      <c r="F643" s="235"/>
      <c r="G643" s="235"/>
      <c r="H643" s="236"/>
      <c r="I643" s="236"/>
      <c r="J643" s="236"/>
      <c r="K643" s="236"/>
      <c r="L643" s="236"/>
      <c r="M643" s="236"/>
      <c r="N643" s="236"/>
      <c r="O643" s="236"/>
      <c r="P643" s="236"/>
      <c r="Q643" s="236"/>
      <c r="R643" s="236"/>
      <c r="S643" s="236"/>
      <c r="T643" s="236"/>
      <c r="U643" s="236"/>
      <c r="V643" s="236"/>
      <c r="W643" s="237"/>
      <c r="X643" s="237"/>
      <c r="Y643" s="237"/>
      <c r="Z643" s="237"/>
      <c r="AA643" s="237"/>
      <c r="AB643" s="237"/>
      <c r="AC643" s="237"/>
      <c r="AD643" s="237"/>
      <c r="AE643" s="237"/>
      <c r="AF643" s="237"/>
      <c r="AG643" s="237"/>
      <c r="AH643" s="237"/>
      <c r="AI643" s="98"/>
      <c r="AJ643" s="98"/>
      <c r="AK643" s="98"/>
      <c r="AL643" s="98"/>
      <c r="AM643" s="98"/>
      <c r="AN643" s="98"/>
      <c r="AO643" s="98"/>
    </row>
    <row r="644" ht="14.25" customHeight="1">
      <c r="A644" s="98"/>
      <c r="B644" s="98"/>
      <c r="C644" s="98"/>
      <c r="D644" s="98"/>
      <c r="E644" s="98"/>
      <c r="F644" s="235"/>
      <c r="G644" s="235"/>
      <c r="H644" s="236"/>
      <c r="I644" s="236"/>
      <c r="J644" s="236"/>
      <c r="K644" s="236"/>
      <c r="L644" s="236"/>
      <c r="M644" s="236"/>
      <c r="N644" s="236"/>
      <c r="O644" s="236"/>
      <c r="P644" s="236"/>
      <c r="Q644" s="236"/>
      <c r="R644" s="236"/>
      <c r="S644" s="236"/>
      <c r="T644" s="236"/>
      <c r="U644" s="236"/>
      <c r="V644" s="236"/>
      <c r="W644" s="237"/>
      <c r="X644" s="237"/>
      <c r="Y644" s="237"/>
      <c r="Z644" s="237"/>
      <c r="AA644" s="237"/>
      <c r="AB644" s="237"/>
      <c r="AC644" s="237"/>
      <c r="AD644" s="237"/>
      <c r="AE644" s="237"/>
      <c r="AF644" s="237"/>
      <c r="AG644" s="237"/>
      <c r="AH644" s="237"/>
      <c r="AI644" s="98"/>
      <c r="AJ644" s="98"/>
      <c r="AK644" s="98"/>
      <c r="AL644" s="98"/>
      <c r="AM644" s="98"/>
      <c r="AN644" s="98"/>
      <c r="AO644" s="98"/>
    </row>
    <row r="645" ht="14.25" customHeight="1">
      <c r="A645" s="98"/>
      <c r="B645" s="98"/>
      <c r="C645" s="98"/>
      <c r="D645" s="98"/>
      <c r="E645" s="98"/>
      <c r="F645" s="235"/>
      <c r="G645" s="235"/>
      <c r="H645" s="236"/>
      <c r="I645" s="236"/>
      <c r="J645" s="236"/>
      <c r="K645" s="236"/>
      <c r="L645" s="236"/>
      <c r="M645" s="236"/>
      <c r="N645" s="236"/>
      <c r="O645" s="236"/>
      <c r="P645" s="236"/>
      <c r="Q645" s="236"/>
      <c r="R645" s="236"/>
      <c r="S645" s="236"/>
      <c r="T645" s="236"/>
      <c r="U645" s="236"/>
      <c r="V645" s="236"/>
      <c r="W645" s="237"/>
      <c r="X645" s="237"/>
      <c r="Y645" s="237"/>
      <c r="Z645" s="237"/>
      <c r="AA645" s="237"/>
      <c r="AB645" s="237"/>
      <c r="AC645" s="237"/>
      <c r="AD645" s="237"/>
      <c r="AE645" s="237"/>
      <c r="AF645" s="237"/>
      <c r="AG645" s="237"/>
      <c r="AH645" s="237"/>
      <c r="AI645" s="98"/>
      <c r="AJ645" s="98"/>
      <c r="AK645" s="98"/>
      <c r="AL645" s="98"/>
      <c r="AM645" s="98"/>
      <c r="AN645" s="98"/>
      <c r="AO645" s="98"/>
    </row>
    <row r="646" ht="14.25" customHeight="1">
      <c r="A646" s="98"/>
      <c r="B646" s="98"/>
      <c r="C646" s="98"/>
      <c r="D646" s="98"/>
      <c r="E646" s="98"/>
      <c r="F646" s="235"/>
      <c r="G646" s="235"/>
      <c r="H646" s="236"/>
      <c r="I646" s="236"/>
      <c r="J646" s="236"/>
      <c r="K646" s="236"/>
      <c r="L646" s="236"/>
      <c r="M646" s="236"/>
      <c r="N646" s="236"/>
      <c r="O646" s="236"/>
      <c r="P646" s="236"/>
      <c r="Q646" s="236"/>
      <c r="R646" s="236"/>
      <c r="S646" s="236"/>
      <c r="T646" s="236"/>
      <c r="U646" s="236"/>
      <c r="V646" s="236"/>
      <c r="W646" s="237"/>
      <c r="X646" s="237"/>
      <c r="Y646" s="237"/>
      <c r="Z646" s="237"/>
      <c r="AA646" s="237"/>
      <c r="AB646" s="237"/>
      <c r="AC646" s="237"/>
      <c r="AD646" s="237"/>
      <c r="AE646" s="237"/>
      <c r="AF646" s="237"/>
      <c r="AG646" s="237"/>
      <c r="AH646" s="237"/>
      <c r="AI646" s="98"/>
      <c r="AJ646" s="98"/>
      <c r="AK646" s="98"/>
      <c r="AL646" s="98"/>
      <c r="AM646" s="98"/>
      <c r="AN646" s="98"/>
      <c r="AO646" s="98"/>
    </row>
    <row r="647" ht="14.25" customHeight="1">
      <c r="A647" s="98"/>
      <c r="B647" s="98"/>
      <c r="C647" s="98"/>
      <c r="D647" s="98"/>
      <c r="E647" s="98"/>
      <c r="F647" s="235"/>
      <c r="G647" s="235"/>
      <c r="H647" s="236"/>
      <c r="I647" s="236"/>
      <c r="J647" s="236"/>
      <c r="K647" s="236"/>
      <c r="L647" s="236"/>
      <c r="M647" s="236"/>
      <c r="N647" s="236"/>
      <c r="O647" s="236"/>
      <c r="P647" s="236"/>
      <c r="Q647" s="236"/>
      <c r="R647" s="236"/>
      <c r="S647" s="236"/>
      <c r="T647" s="236"/>
      <c r="U647" s="236"/>
      <c r="V647" s="236"/>
      <c r="W647" s="237"/>
      <c r="X647" s="237"/>
      <c r="Y647" s="237"/>
      <c r="Z647" s="237"/>
      <c r="AA647" s="237"/>
      <c r="AB647" s="237"/>
      <c r="AC647" s="237"/>
      <c r="AD647" s="237"/>
      <c r="AE647" s="237"/>
      <c r="AF647" s="237"/>
      <c r="AG647" s="237"/>
      <c r="AH647" s="237"/>
      <c r="AI647" s="98"/>
      <c r="AJ647" s="98"/>
      <c r="AK647" s="98"/>
      <c r="AL647" s="98"/>
      <c r="AM647" s="98"/>
      <c r="AN647" s="98"/>
      <c r="AO647" s="98"/>
    </row>
    <row r="648" ht="14.25" customHeight="1">
      <c r="A648" s="98"/>
      <c r="B648" s="98"/>
      <c r="C648" s="98"/>
      <c r="D648" s="98"/>
      <c r="E648" s="98"/>
      <c r="F648" s="235"/>
      <c r="G648" s="235"/>
      <c r="H648" s="236"/>
      <c r="I648" s="236"/>
      <c r="J648" s="236"/>
      <c r="K648" s="236"/>
      <c r="L648" s="236"/>
      <c r="M648" s="236"/>
      <c r="N648" s="236"/>
      <c r="O648" s="236"/>
      <c r="P648" s="236"/>
      <c r="Q648" s="236"/>
      <c r="R648" s="236"/>
      <c r="S648" s="236"/>
      <c r="T648" s="236"/>
      <c r="U648" s="236"/>
      <c r="V648" s="236"/>
      <c r="W648" s="237"/>
      <c r="X648" s="237"/>
      <c r="Y648" s="237"/>
      <c r="Z648" s="237"/>
      <c r="AA648" s="237"/>
      <c r="AB648" s="237"/>
      <c r="AC648" s="237"/>
      <c r="AD648" s="237"/>
      <c r="AE648" s="237"/>
      <c r="AF648" s="237"/>
      <c r="AG648" s="237"/>
      <c r="AH648" s="237"/>
      <c r="AI648" s="98"/>
      <c r="AJ648" s="98"/>
      <c r="AK648" s="98"/>
      <c r="AL648" s="98"/>
      <c r="AM648" s="98"/>
      <c r="AN648" s="98"/>
      <c r="AO648" s="98"/>
    </row>
    <row r="649" ht="14.25" customHeight="1">
      <c r="A649" s="98"/>
      <c r="B649" s="98"/>
      <c r="C649" s="98"/>
      <c r="D649" s="98"/>
      <c r="E649" s="98"/>
      <c r="F649" s="235"/>
      <c r="G649" s="235"/>
      <c r="H649" s="236"/>
      <c r="I649" s="236"/>
      <c r="J649" s="236"/>
      <c r="K649" s="236"/>
      <c r="L649" s="236"/>
      <c r="M649" s="236"/>
      <c r="N649" s="236"/>
      <c r="O649" s="236"/>
      <c r="P649" s="236"/>
      <c r="Q649" s="236"/>
      <c r="R649" s="236"/>
      <c r="S649" s="236"/>
      <c r="T649" s="236"/>
      <c r="U649" s="236"/>
      <c r="V649" s="236"/>
      <c r="W649" s="237"/>
      <c r="X649" s="237"/>
      <c r="Y649" s="237"/>
      <c r="Z649" s="237"/>
      <c r="AA649" s="237"/>
      <c r="AB649" s="237"/>
      <c r="AC649" s="237"/>
      <c r="AD649" s="237"/>
      <c r="AE649" s="237"/>
      <c r="AF649" s="237"/>
      <c r="AG649" s="237"/>
      <c r="AH649" s="237"/>
      <c r="AI649" s="98"/>
      <c r="AJ649" s="98"/>
      <c r="AK649" s="98"/>
      <c r="AL649" s="98"/>
      <c r="AM649" s="98"/>
      <c r="AN649" s="98"/>
      <c r="AO649" s="98"/>
    </row>
    <row r="650" ht="14.25" customHeight="1">
      <c r="A650" s="98"/>
      <c r="B650" s="98"/>
      <c r="C650" s="98"/>
      <c r="D650" s="98"/>
      <c r="E650" s="98"/>
      <c r="F650" s="235"/>
      <c r="G650" s="235"/>
      <c r="H650" s="236"/>
      <c r="I650" s="236"/>
      <c r="J650" s="236"/>
      <c r="K650" s="236"/>
      <c r="L650" s="236"/>
      <c r="M650" s="236"/>
      <c r="N650" s="236"/>
      <c r="O650" s="236"/>
      <c r="P650" s="236"/>
      <c r="Q650" s="236"/>
      <c r="R650" s="236"/>
      <c r="S650" s="236"/>
      <c r="T650" s="236"/>
      <c r="U650" s="236"/>
      <c r="V650" s="236"/>
      <c r="W650" s="237"/>
      <c r="X650" s="237"/>
      <c r="Y650" s="237"/>
      <c r="Z650" s="237"/>
      <c r="AA650" s="237"/>
      <c r="AB650" s="237"/>
      <c r="AC650" s="237"/>
      <c r="AD650" s="237"/>
      <c r="AE650" s="237"/>
      <c r="AF650" s="237"/>
      <c r="AG650" s="237"/>
      <c r="AH650" s="237"/>
      <c r="AI650" s="98"/>
      <c r="AJ650" s="98"/>
      <c r="AK650" s="98"/>
      <c r="AL650" s="98"/>
      <c r="AM650" s="98"/>
      <c r="AN650" s="98"/>
      <c r="AO650" s="98"/>
    </row>
    <row r="651" ht="14.25" customHeight="1">
      <c r="A651" s="98"/>
      <c r="B651" s="98"/>
      <c r="C651" s="98"/>
      <c r="D651" s="98"/>
      <c r="E651" s="98"/>
      <c r="F651" s="235"/>
      <c r="G651" s="235"/>
      <c r="H651" s="236"/>
      <c r="I651" s="236"/>
      <c r="J651" s="236"/>
      <c r="K651" s="236"/>
      <c r="L651" s="236"/>
      <c r="M651" s="236"/>
      <c r="N651" s="236"/>
      <c r="O651" s="236"/>
      <c r="P651" s="236"/>
      <c r="Q651" s="236"/>
      <c r="R651" s="236"/>
      <c r="S651" s="236"/>
      <c r="T651" s="236"/>
      <c r="U651" s="236"/>
      <c r="V651" s="236"/>
      <c r="W651" s="237"/>
      <c r="X651" s="237"/>
      <c r="Y651" s="237"/>
      <c r="Z651" s="237"/>
      <c r="AA651" s="237"/>
      <c r="AB651" s="237"/>
      <c r="AC651" s="237"/>
      <c r="AD651" s="237"/>
      <c r="AE651" s="237"/>
      <c r="AF651" s="237"/>
      <c r="AG651" s="237"/>
      <c r="AH651" s="237"/>
      <c r="AI651" s="98"/>
      <c r="AJ651" s="98"/>
      <c r="AK651" s="98"/>
      <c r="AL651" s="98"/>
      <c r="AM651" s="98"/>
      <c r="AN651" s="98"/>
      <c r="AO651" s="98"/>
    </row>
    <row r="652" ht="14.25" customHeight="1">
      <c r="A652" s="98"/>
      <c r="B652" s="98"/>
      <c r="C652" s="98"/>
      <c r="D652" s="98"/>
      <c r="E652" s="98"/>
      <c r="F652" s="235"/>
      <c r="G652" s="235"/>
      <c r="H652" s="236"/>
      <c r="I652" s="236"/>
      <c r="J652" s="236"/>
      <c r="K652" s="236"/>
      <c r="L652" s="236"/>
      <c r="M652" s="236"/>
      <c r="N652" s="236"/>
      <c r="O652" s="236"/>
      <c r="P652" s="236"/>
      <c r="Q652" s="236"/>
      <c r="R652" s="236"/>
      <c r="S652" s="236"/>
      <c r="T652" s="236"/>
      <c r="U652" s="236"/>
      <c r="V652" s="236"/>
      <c r="W652" s="237"/>
      <c r="X652" s="237"/>
      <c r="Y652" s="237"/>
      <c r="Z652" s="237"/>
      <c r="AA652" s="237"/>
      <c r="AB652" s="237"/>
      <c r="AC652" s="237"/>
      <c r="AD652" s="237"/>
      <c r="AE652" s="237"/>
      <c r="AF652" s="237"/>
      <c r="AG652" s="237"/>
      <c r="AH652" s="237"/>
      <c r="AI652" s="98"/>
      <c r="AJ652" s="98"/>
      <c r="AK652" s="98"/>
      <c r="AL652" s="98"/>
      <c r="AM652" s="98"/>
      <c r="AN652" s="98"/>
      <c r="AO652" s="98"/>
    </row>
    <row r="653" ht="14.25" customHeight="1">
      <c r="A653" s="98"/>
      <c r="B653" s="98"/>
      <c r="C653" s="98"/>
      <c r="D653" s="98"/>
      <c r="E653" s="98"/>
      <c r="F653" s="235"/>
      <c r="G653" s="235"/>
      <c r="H653" s="236"/>
      <c r="I653" s="236"/>
      <c r="J653" s="236"/>
      <c r="K653" s="236"/>
      <c r="L653" s="236"/>
      <c r="M653" s="236"/>
      <c r="N653" s="236"/>
      <c r="O653" s="236"/>
      <c r="P653" s="236"/>
      <c r="Q653" s="236"/>
      <c r="R653" s="236"/>
      <c r="S653" s="236"/>
      <c r="T653" s="236"/>
      <c r="U653" s="236"/>
      <c r="V653" s="236"/>
      <c r="W653" s="237"/>
      <c r="X653" s="237"/>
      <c r="Y653" s="237"/>
      <c r="Z653" s="237"/>
      <c r="AA653" s="237"/>
      <c r="AB653" s="237"/>
      <c r="AC653" s="237"/>
      <c r="AD653" s="237"/>
      <c r="AE653" s="237"/>
      <c r="AF653" s="237"/>
      <c r="AG653" s="237"/>
      <c r="AH653" s="237"/>
      <c r="AI653" s="98"/>
      <c r="AJ653" s="98"/>
      <c r="AK653" s="98"/>
      <c r="AL653" s="98"/>
      <c r="AM653" s="98"/>
      <c r="AN653" s="98"/>
      <c r="AO653" s="98"/>
    </row>
    <row r="654" ht="14.25" customHeight="1">
      <c r="A654" s="98"/>
      <c r="B654" s="98"/>
      <c r="C654" s="98"/>
      <c r="D654" s="98"/>
      <c r="E654" s="98"/>
      <c r="F654" s="235"/>
      <c r="G654" s="235"/>
      <c r="H654" s="236"/>
      <c r="I654" s="236"/>
      <c r="J654" s="236"/>
      <c r="K654" s="236"/>
      <c r="L654" s="236"/>
      <c r="M654" s="236"/>
      <c r="N654" s="236"/>
      <c r="O654" s="236"/>
      <c r="P654" s="236"/>
      <c r="Q654" s="236"/>
      <c r="R654" s="236"/>
      <c r="S654" s="236"/>
      <c r="T654" s="236"/>
      <c r="U654" s="236"/>
      <c r="V654" s="236"/>
      <c r="W654" s="237"/>
      <c r="X654" s="237"/>
      <c r="Y654" s="237"/>
      <c r="Z654" s="237"/>
      <c r="AA654" s="237"/>
      <c r="AB654" s="237"/>
      <c r="AC654" s="237"/>
      <c r="AD654" s="237"/>
      <c r="AE654" s="237"/>
      <c r="AF654" s="237"/>
      <c r="AG654" s="237"/>
      <c r="AH654" s="237"/>
      <c r="AI654" s="98"/>
      <c r="AJ654" s="98"/>
      <c r="AK654" s="98"/>
      <c r="AL654" s="98"/>
      <c r="AM654" s="98"/>
      <c r="AN654" s="98"/>
      <c r="AO654" s="98"/>
    </row>
    <row r="655" ht="14.25" customHeight="1">
      <c r="A655" s="98"/>
      <c r="B655" s="98"/>
      <c r="C655" s="98"/>
      <c r="D655" s="98"/>
      <c r="E655" s="98"/>
      <c r="F655" s="235"/>
      <c r="G655" s="235"/>
      <c r="H655" s="236"/>
      <c r="I655" s="236"/>
      <c r="J655" s="236"/>
      <c r="K655" s="236"/>
      <c r="L655" s="236"/>
      <c r="M655" s="236"/>
      <c r="N655" s="236"/>
      <c r="O655" s="236"/>
      <c r="P655" s="236"/>
      <c r="Q655" s="236"/>
      <c r="R655" s="236"/>
      <c r="S655" s="236"/>
      <c r="T655" s="236"/>
      <c r="U655" s="236"/>
      <c r="V655" s="236"/>
      <c r="W655" s="237"/>
      <c r="X655" s="237"/>
      <c r="Y655" s="237"/>
      <c r="Z655" s="237"/>
      <c r="AA655" s="237"/>
      <c r="AB655" s="237"/>
      <c r="AC655" s="237"/>
      <c r="AD655" s="237"/>
      <c r="AE655" s="237"/>
      <c r="AF655" s="237"/>
      <c r="AG655" s="237"/>
      <c r="AH655" s="237"/>
      <c r="AI655" s="98"/>
      <c r="AJ655" s="98"/>
      <c r="AK655" s="98"/>
      <c r="AL655" s="98"/>
      <c r="AM655" s="98"/>
      <c r="AN655" s="98"/>
      <c r="AO655" s="98"/>
    </row>
    <row r="656" ht="14.25" customHeight="1">
      <c r="A656" s="98"/>
      <c r="B656" s="98"/>
      <c r="C656" s="98"/>
      <c r="D656" s="98"/>
      <c r="E656" s="98"/>
      <c r="F656" s="235"/>
      <c r="G656" s="235"/>
      <c r="H656" s="236"/>
      <c r="I656" s="236"/>
      <c r="J656" s="236"/>
      <c r="K656" s="236"/>
      <c r="L656" s="236"/>
      <c r="M656" s="236"/>
      <c r="N656" s="236"/>
      <c r="O656" s="236"/>
      <c r="P656" s="236"/>
      <c r="Q656" s="236"/>
      <c r="R656" s="236"/>
      <c r="S656" s="236"/>
      <c r="T656" s="236"/>
      <c r="U656" s="236"/>
      <c r="V656" s="236"/>
      <c r="W656" s="237"/>
      <c r="X656" s="237"/>
      <c r="Y656" s="237"/>
      <c r="Z656" s="237"/>
      <c r="AA656" s="237"/>
      <c r="AB656" s="237"/>
      <c r="AC656" s="237"/>
      <c r="AD656" s="237"/>
      <c r="AE656" s="237"/>
      <c r="AF656" s="237"/>
      <c r="AG656" s="237"/>
      <c r="AH656" s="237"/>
      <c r="AI656" s="98"/>
      <c r="AJ656" s="98"/>
      <c r="AK656" s="98"/>
      <c r="AL656" s="98"/>
      <c r="AM656" s="98"/>
      <c r="AN656" s="98"/>
      <c r="AO656" s="98"/>
    </row>
    <row r="657" ht="14.25" customHeight="1">
      <c r="A657" s="98"/>
      <c r="B657" s="98"/>
      <c r="C657" s="98"/>
      <c r="D657" s="98"/>
      <c r="E657" s="98"/>
      <c r="F657" s="235"/>
      <c r="G657" s="235"/>
      <c r="H657" s="236"/>
      <c r="I657" s="236"/>
      <c r="J657" s="236"/>
      <c r="K657" s="236"/>
      <c r="L657" s="236"/>
      <c r="M657" s="236"/>
      <c r="N657" s="236"/>
      <c r="O657" s="236"/>
      <c r="P657" s="236"/>
      <c r="Q657" s="236"/>
      <c r="R657" s="236"/>
      <c r="S657" s="236"/>
      <c r="T657" s="236"/>
      <c r="U657" s="236"/>
      <c r="V657" s="236"/>
      <c r="W657" s="237"/>
      <c r="X657" s="237"/>
      <c r="Y657" s="237"/>
      <c r="Z657" s="237"/>
      <c r="AA657" s="237"/>
      <c r="AB657" s="237"/>
      <c r="AC657" s="237"/>
      <c r="AD657" s="237"/>
      <c r="AE657" s="237"/>
      <c r="AF657" s="237"/>
      <c r="AG657" s="237"/>
      <c r="AH657" s="237"/>
      <c r="AI657" s="98"/>
      <c r="AJ657" s="98"/>
      <c r="AK657" s="98"/>
      <c r="AL657" s="98"/>
      <c r="AM657" s="98"/>
      <c r="AN657" s="98"/>
      <c r="AO657" s="98"/>
    </row>
    <row r="658" ht="14.25" customHeight="1">
      <c r="A658" s="98"/>
      <c r="B658" s="98"/>
      <c r="C658" s="98"/>
      <c r="D658" s="98"/>
      <c r="E658" s="98"/>
      <c r="F658" s="235"/>
      <c r="G658" s="235"/>
      <c r="H658" s="236"/>
      <c r="I658" s="236"/>
      <c r="J658" s="236"/>
      <c r="K658" s="236"/>
      <c r="L658" s="236"/>
      <c r="M658" s="236"/>
      <c r="N658" s="236"/>
      <c r="O658" s="236"/>
      <c r="P658" s="236"/>
      <c r="Q658" s="236"/>
      <c r="R658" s="236"/>
      <c r="S658" s="236"/>
      <c r="T658" s="236"/>
      <c r="U658" s="236"/>
      <c r="V658" s="236"/>
      <c r="W658" s="237"/>
      <c r="X658" s="237"/>
      <c r="Y658" s="237"/>
      <c r="Z658" s="237"/>
      <c r="AA658" s="237"/>
      <c r="AB658" s="237"/>
      <c r="AC658" s="237"/>
      <c r="AD658" s="237"/>
      <c r="AE658" s="237"/>
      <c r="AF658" s="237"/>
      <c r="AG658" s="237"/>
      <c r="AH658" s="237"/>
      <c r="AI658" s="98"/>
      <c r="AJ658" s="98"/>
      <c r="AK658" s="98"/>
      <c r="AL658" s="98"/>
      <c r="AM658" s="98"/>
      <c r="AN658" s="98"/>
      <c r="AO658" s="98"/>
    </row>
    <row r="659" ht="14.25" customHeight="1">
      <c r="A659" s="98"/>
      <c r="B659" s="98"/>
      <c r="C659" s="98"/>
      <c r="D659" s="98"/>
      <c r="E659" s="98"/>
      <c r="F659" s="235"/>
      <c r="G659" s="235"/>
      <c r="H659" s="236"/>
      <c r="I659" s="236"/>
      <c r="J659" s="236"/>
      <c r="K659" s="236"/>
      <c r="L659" s="236"/>
      <c r="M659" s="236"/>
      <c r="N659" s="236"/>
      <c r="O659" s="236"/>
      <c r="P659" s="236"/>
      <c r="Q659" s="236"/>
      <c r="R659" s="236"/>
      <c r="S659" s="236"/>
      <c r="T659" s="236"/>
      <c r="U659" s="236"/>
      <c r="V659" s="236"/>
      <c r="W659" s="237"/>
      <c r="X659" s="237"/>
      <c r="Y659" s="237"/>
      <c r="Z659" s="237"/>
      <c r="AA659" s="237"/>
      <c r="AB659" s="237"/>
      <c r="AC659" s="237"/>
      <c r="AD659" s="237"/>
      <c r="AE659" s="237"/>
      <c r="AF659" s="237"/>
      <c r="AG659" s="237"/>
      <c r="AH659" s="237"/>
      <c r="AI659" s="98"/>
      <c r="AJ659" s="98"/>
      <c r="AK659" s="98"/>
      <c r="AL659" s="98"/>
      <c r="AM659" s="98"/>
      <c r="AN659" s="98"/>
      <c r="AO659" s="98"/>
    </row>
    <row r="660" ht="14.25" customHeight="1">
      <c r="A660" s="98"/>
      <c r="B660" s="98"/>
      <c r="C660" s="98"/>
      <c r="D660" s="98"/>
      <c r="E660" s="98"/>
      <c r="F660" s="235"/>
      <c r="G660" s="235"/>
      <c r="H660" s="236"/>
      <c r="I660" s="236"/>
      <c r="J660" s="236"/>
      <c r="K660" s="236"/>
      <c r="L660" s="236"/>
      <c r="M660" s="236"/>
      <c r="N660" s="236"/>
      <c r="O660" s="236"/>
      <c r="P660" s="236"/>
      <c r="Q660" s="236"/>
      <c r="R660" s="236"/>
      <c r="S660" s="236"/>
      <c r="T660" s="236"/>
      <c r="U660" s="236"/>
      <c r="V660" s="236"/>
      <c r="W660" s="237"/>
      <c r="X660" s="237"/>
      <c r="Y660" s="237"/>
      <c r="Z660" s="237"/>
      <c r="AA660" s="237"/>
      <c r="AB660" s="237"/>
      <c r="AC660" s="237"/>
      <c r="AD660" s="237"/>
      <c r="AE660" s="237"/>
      <c r="AF660" s="237"/>
      <c r="AG660" s="237"/>
      <c r="AH660" s="237"/>
      <c r="AI660" s="98"/>
      <c r="AJ660" s="98"/>
      <c r="AK660" s="98"/>
      <c r="AL660" s="98"/>
      <c r="AM660" s="98"/>
      <c r="AN660" s="98"/>
      <c r="AO660" s="98"/>
    </row>
    <row r="661" ht="14.25" customHeight="1">
      <c r="A661" s="98"/>
      <c r="B661" s="98"/>
      <c r="C661" s="98"/>
      <c r="D661" s="98"/>
      <c r="E661" s="98"/>
      <c r="F661" s="235"/>
      <c r="G661" s="235"/>
      <c r="H661" s="236"/>
      <c r="I661" s="236"/>
      <c r="J661" s="236"/>
      <c r="K661" s="236"/>
      <c r="L661" s="236"/>
      <c r="M661" s="236"/>
      <c r="N661" s="236"/>
      <c r="O661" s="236"/>
      <c r="P661" s="236"/>
      <c r="Q661" s="236"/>
      <c r="R661" s="236"/>
      <c r="S661" s="236"/>
      <c r="T661" s="236"/>
      <c r="U661" s="236"/>
      <c r="V661" s="236"/>
      <c r="W661" s="237"/>
      <c r="X661" s="237"/>
      <c r="Y661" s="237"/>
      <c r="Z661" s="237"/>
      <c r="AA661" s="237"/>
      <c r="AB661" s="237"/>
      <c r="AC661" s="237"/>
      <c r="AD661" s="237"/>
      <c r="AE661" s="237"/>
      <c r="AF661" s="237"/>
      <c r="AG661" s="237"/>
      <c r="AH661" s="237"/>
      <c r="AI661" s="98"/>
      <c r="AJ661" s="98"/>
      <c r="AK661" s="98"/>
      <c r="AL661" s="98"/>
      <c r="AM661" s="98"/>
      <c r="AN661" s="98"/>
      <c r="AO661" s="98"/>
    </row>
    <row r="662" ht="14.25" customHeight="1">
      <c r="A662" s="98"/>
      <c r="B662" s="98"/>
      <c r="C662" s="98"/>
      <c r="D662" s="98"/>
      <c r="E662" s="98"/>
      <c r="F662" s="235"/>
      <c r="G662" s="235"/>
      <c r="H662" s="236"/>
      <c r="I662" s="236"/>
      <c r="J662" s="236"/>
      <c r="K662" s="236"/>
      <c r="L662" s="236"/>
      <c r="M662" s="236"/>
      <c r="N662" s="236"/>
      <c r="O662" s="236"/>
      <c r="P662" s="236"/>
      <c r="Q662" s="236"/>
      <c r="R662" s="236"/>
      <c r="S662" s="236"/>
      <c r="T662" s="236"/>
      <c r="U662" s="236"/>
      <c r="V662" s="236"/>
      <c r="W662" s="237"/>
      <c r="X662" s="237"/>
      <c r="Y662" s="237"/>
      <c r="Z662" s="237"/>
      <c r="AA662" s="237"/>
      <c r="AB662" s="237"/>
      <c r="AC662" s="237"/>
      <c r="AD662" s="237"/>
      <c r="AE662" s="237"/>
      <c r="AF662" s="237"/>
      <c r="AG662" s="237"/>
      <c r="AH662" s="237"/>
      <c r="AI662" s="98"/>
      <c r="AJ662" s="98"/>
      <c r="AK662" s="98"/>
      <c r="AL662" s="98"/>
      <c r="AM662" s="98"/>
      <c r="AN662" s="98"/>
      <c r="AO662" s="98"/>
    </row>
    <row r="663" ht="14.25" customHeight="1">
      <c r="A663" s="98"/>
      <c r="B663" s="98"/>
      <c r="C663" s="98"/>
      <c r="D663" s="98"/>
      <c r="E663" s="98"/>
      <c r="F663" s="235"/>
      <c r="G663" s="235"/>
      <c r="H663" s="236"/>
      <c r="I663" s="236"/>
      <c r="J663" s="236"/>
      <c r="K663" s="236"/>
      <c r="L663" s="236"/>
      <c r="M663" s="236"/>
      <c r="N663" s="236"/>
      <c r="O663" s="236"/>
      <c r="P663" s="236"/>
      <c r="Q663" s="236"/>
      <c r="R663" s="236"/>
      <c r="S663" s="236"/>
      <c r="T663" s="236"/>
      <c r="U663" s="236"/>
      <c r="V663" s="236"/>
      <c r="W663" s="237"/>
      <c r="X663" s="237"/>
      <c r="Y663" s="237"/>
      <c r="Z663" s="237"/>
      <c r="AA663" s="237"/>
      <c r="AB663" s="237"/>
      <c r="AC663" s="237"/>
      <c r="AD663" s="237"/>
      <c r="AE663" s="237"/>
      <c r="AF663" s="237"/>
      <c r="AG663" s="237"/>
      <c r="AH663" s="237"/>
      <c r="AI663" s="98"/>
      <c r="AJ663" s="98"/>
      <c r="AK663" s="98"/>
      <c r="AL663" s="98"/>
      <c r="AM663" s="98"/>
      <c r="AN663" s="98"/>
      <c r="AO663" s="98"/>
    </row>
    <row r="664" ht="14.25" customHeight="1">
      <c r="A664" s="98"/>
      <c r="B664" s="98"/>
      <c r="C664" s="98"/>
      <c r="D664" s="98"/>
      <c r="E664" s="98"/>
      <c r="F664" s="235"/>
      <c r="G664" s="235"/>
      <c r="H664" s="236"/>
      <c r="I664" s="236"/>
      <c r="J664" s="236"/>
      <c r="K664" s="236"/>
      <c r="L664" s="236"/>
      <c r="M664" s="236"/>
      <c r="N664" s="236"/>
      <c r="O664" s="236"/>
      <c r="P664" s="236"/>
      <c r="Q664" s="236"/>
      <c r="R664" s="236"/>
      <c r="S664" s="236"/>
      <c r="T664" s="236"/>
      <c r="U664" s="236"/>
      <c r="V664" s="236"/>
      <c r="W664" s="237"/>
      <c r="X664" s="237"/>
      <c r="Y664" s="237"/>
      <c r="Z664" s="237"/>
      <c r="AA664" s="237"/>
      <c r="AB664" s="237"/>
      <c r="AC664" s="237"/>
      <c r="AD664" s="237"/>
      <c r="AE664" s="237"/>
      <c r="AF664" s="237"/>
      <c r="AG664" s="237"/>
      <c r="AH664" s="237"/>
      <c r="AI664" s="98"/>
      <c r="AJ664" s="98"/>
      <c r="AK664" s="98"/>
      <c r="AL664" s="98"/>
      <c r="AM664" s="98"/>
      <c r="AN664" s="98"/>
      <c r="AO664" s="98"/>
    </row>
    <row r="665" ht="14.25" customHeight="1">
      <c r="A665" s="98"/>
      <c r="B665" s="98"/>
      <c r="C665" s="98"/>
      <c r="D665" s="98"/>
      <c r="E665" s="98"/>
      <c r="F665" s="235"/>
      <c r="G665" s="235"/>
      <c r="H665" s="236"/>
      <c r="I665" s="236"/>
      <c r="J665" s="236"/>
      <c r="K665" s="236"/>
      <c r="L665" s="236"/>
      <c r="M665" s="236"/>
      <c r="N665" s="236"/>
      <c r="O665" s="236"/>
      <c r="P665" s="236"/>
      <c r="Q665" s="236"/>
      <c r="R665" s="236"/>
      <c r="S665" s="236"/>
      <c r="T665" s="236"/>
      <c r="U665" s="236"/>
      <c r="V665" s="236"/>
      <c r="W665" s="237"/>
      <c r="X665" s="237"/>
      <c r="Y665" s="237"/>
      <c r="Z665" s="237"/>
      <c r="AA665" s="237"/>
      <c r="AB665" s="237"/>
      <c r="AC665" s="237"/>
      <c r="AD665" s="237"/>
      <c r="AE665" s="237"/>
      <c r="AF665" s="237"/>
      <c r="AG665" s="237"/>
      <c r="AH665" s="237"/>
      <c r="AI665" s="98"/>
      <c r="AJ665" s="98"/>
      <c r="AK665" s="98"/>
      <c r="AL665" s="98"/>
      <c r="AM665" s="98"/>
      <c r="AN665" s="98"/>
      <c r="AO665" s="98"/>
    </row>
    <row r="666" ht="14.25" customHeight="1">
      <c r="A666" s="98"/>
      <c r="B666" s="98"/>
      <c r="C666" s="98"/>
      <c r="D666" s="98"/>
      <c r="E666" s="98"/>
      <c r="F666" s="235"/>
      <c r="G666" s="235"/>
      <c r="H666" s="236"/>
      <c r="I666" s="236"/>
      <c r="J666" s="236"/>
      <c r="K666" s="236"/>
      <c r="L666" s="236"/>
      <c r="M666" s="236"/>
      <c r="N666" s="236"/>
      <c r="O666" s="236"/>
      <c r="P666" s="236"/>
      <c r="Q666" s="236"/>
      <c r="R666" s="236"/>
      <c r="S666" s="236"/>
      <c r="T666" s="236"/>
      <c r="U666" s="236"/>
      <c r="V666" s="236"/>
      <c r="W666" s="237"/>
      <c r="X666" s="237"/>
      <c r="Y666" s="237"/>
      <c r="Z666" s="237"/>
      <c r="AA666" s="237"/>
      <c r="AB666" s="237"/>
      <c r="AC666" s="237"/>
      <c r="AD666" s="237"/>
      <c r="AE666" s="237"/>
      <c r="AF666" s="237"/>
      <c r="AG666" s="237"/>
      <c r="AH666" s="237"/>
      <c r="AI666" s="98"/>
      <c r="AJ666" s="98"/>
      <c r="AK666" s="98"/>
      <c r="AL666" s="98"/>
      <c r="AM666" s="98"/>
      <c r="AN666" s="98"/>
      <c r="AO666" s="98"/>
    </row>
    <row r="667" ht="14.25" customHeight="1">
      <c r="A667" s="98"/>
      <c r="B667" s="98"/>
      <c r="C667" s="98"/>
      <c r="D667" s="98"/>
      <c r="E667" s="98"/>
      <c r="F667" s="235"/>
      <c r="G667" s="235"/>
      <c r="H667" s="236"/>
      <c r="I667" s="236"/>
      <c r="J667" s="236"/>
      <c r="K667" s="236"/>
      <c r="L667" s="236"/>
      <c r="M667" s="236"/>
      <c r="N667" s="236"/>
      <c r="O667" s="236"/>
      <c r="P667" s="236"/>
      <c r="Q667" s="236"/>
      <c r="R667" s="236"/>
      <c r="S667" s="236"/>
      <c r="T667" s="236"/>
      <c r="U667" s="236"/>
      <c r="V667" s="236"/>
      <c r="W667" s="237"/>
      <c r="X667" s="237"/>
      <c r="Y667" s="237"/>
      <c r="Z667" s="237"/>
      <c r="AA667" s="237"/>
      <c r="AB667" s="237"/>
      <c r="AC667" s="237"/>
      <c r="AD667" s="237"/>
      <c r="AE667" s="237"/>
      <c r="AF667" s="237"/>
      <c r="AG667" s="237"/>
      <c r="AH667" s="237"/>
      <c r="AI667" s="98"/>
      <c r="AJ667" s="98"/>
      <c r="AK667" s="98"/>
      <c r="AL667" s="98"/>
      <c r="AM667" s="98"/>
      <c r="AN667" s="98"/>
      <c r="AO667" s="98"/>
    </row>
    <row r="668" ht="14.25" customHeight="1">
      <c r="A668" s="98"/>
      <c r="B668" s="98"/>
      <c r="C668" s="98"/>
      <c r="D668" s="98"/>
      <c r="E668" s="98"/>
      <c r="F668" s="235"/>
      <c r="G668" s="235"/>
      <c r="H668" s="236"/>
      <c r="I668" s="236"/>
      <c r="J668" s="236"/>
      <c r="K668" s="236"/>
      <c r="L668" s="236"/>
      <c r="M668" s="236"/>
      <c r="N668" s="236"/>
      <c r="O668" s="236"/>
      <c r="P668" s="236"/>
      <c r="Q668" s="236"/>
      <c r="R668" s="236"/>
      <c r="S668" s="236"/>
      <c r="T668" s="236"/>
      <c r="U668" s="236"/>
      <c r="V668" s="236"/>
      <c r="W668" s="237"/>
      <c r="X668" s="237"/>
      <c r="Y668" s="237"/>
      <c r="Z668" s="237"/>
      <c r="AA668" s="237"/>
      <c r="AB668" s="237"/>
      <c r="AC668" s="237"/>
      <c r="AD668" s="237"/>
      <c r="AE668" s="237"/>
      <c r="AF668" s="237"/>
      <c r="AG668" s="237"/>
      <c r="AH668" s="237"/>
      <c r="AI668" s="98"/>
      <c r="AJ668" s="98"/>
      <c r="AK668" s="98"/>
      <c r="AL668" s="98"/>
      <c r="AM668" s="98"/>
      <c r="AN668" s="98"/>
      <c r="AO668" s="98"/>
    </row>
    <row r="669" ht="14.25" customHeight="1">
      <c r="A669" s="98"/>
      <c r="B669" s="98"/>
      <c r="C669" s="98"/>
      <c r="D669" s="98"/>
      <c r="E669" s="98"/>
      <c r="F669" s="235"/>
      <c r="G669" s="235"/>
      <c r="H669" s="236"/>
      <c r="I669" s="236"/>
      <c r="J669" s="236"/>
      <c r="K669" s="236"/>
      <c r="L669" s="236"/>
      <c r="M669" s="236"/>
      <c r="N669" s="236"/>
      <c r="O669" s="236"/>
      <c r="P669" s="236"/>
      <c r="Q669" s="236"/>
      <c r="R669" s="236"/>
      <c r="S669" s="236"/>
      <c r="T669" s="236"/>
      <c r="U669" s="236"/>
      <c r="V669" s="236"/>
      <c r="W669" s="237"/>
      <c r="X669" s="237"/>
      <c r="Y669" s="237"/>
      <c r="Z669" s="237"/>
      <c r="AA669" s="237"/>
      <c r="AB669" s="237"/>
      <c r="AC669" s="237"/>
      <c r="AD669" s="237"/>
      <c r="AE669" s="237"/>
      <c r="AF669" s="237"/>
      <c r="AG669" s="237"/>
      <c r="AH669" s="237"/>
      <c r="AI669" s="98"/>
      <c r="AJ669" s="98"/>
      <c r="AK669" s="98"/>
      <c r="AL669" s="98"/>
      <c r="AM669" s="98"/>
      <c r="AN669" s="98"/>
      <c r="AO669" s="98"/>
    </row>
    <row r="670" ht="14.25" customHeight="1">
      <c r="A670" s="98"/>
      <c r="B670" s="98"/>
      <c r="C670" s="98"/>
      <c r="D670" s="98"/>
      <c r="E670" s="98"/>
      <c r="F670" s="235"/>
      <c r="G670" s="235"/>
      <c r="H670" s="236"/>
      <c r="I670" s="236"/>
      <c r="J670" s="236"/>
      <c r="K670" s="236"/>
      <c r="L670" s="236"/>
      <c r="M670" s="236"/>
      <c r="N670" s="236"/>
      <c r="O670" s="236"/>
      <c r="P670" s="236"/>
      <c r="Q670" s="236"/>
      <c r="R670" s="236"/>
      <c r="S670" s="236"/>
      <c r="T670" s="236"/>
      <c r="U670" s="236"/>
      <c r="V670" s="236"/>
      <c r="W670" s="237"/>
      <c r="X670" s="237"/>
      <c r="Y670" s="237"/>
      <c r="Z670" s="237"/>
      <c r="AA670" s="237"/>
      <c r="AB670" s="237"/>
      <c r="AC670" s="237"/>
      <c r="AD670" s="237"/>
      <c r="AE670" s="237"/>
      <c r="AF670" s="237"/>
      <c r="AG670" s="237"/>
      <c r="AH670" s="237"/>
      <c r="AI670" s="98"/>
      <c r="AJ670" s="98"/>
      <c r="AK670" s="98"/>
      <c r="AL670" s="98"/>
      <c r="AM670" s="98"/>
      <c r="AN670" s="98"/>
      <c r="AO670" s="98"/>
    </row>
    <row r="671" ht="14.25" customHeight="1">
      <c r="A671" s="98"/>
      <c r="B671" s="98"/>
      <c r="C671" s="98"/>
      <c r="D671" s="98"/>
      <c r="E671" s="98"/>
      <c r="F671" s="235"/>
      <c r="G671" s="235"/>
      <c r="H671" s="236"/>
      <c r="I671" s="236"/>
      <c r="J671" s="236"/>
      <c r="K671" s="236"/>
      <c r="L671" s="236"/>
      <c r="M671" s="236"/>
      <c r="N671" s="236"/>
      <c r="O671" s="236"/>
      <c r="P671" s="236"/>
      <c r="Q671" s="236"/>
      <c r="R671" s="236"/>
      <c r="S671" s="236"/>
      <c r="T671" s="236"/>
      <c r="U671" s="236"/>
      <c r="V671" s="236"/>
      <c r="W671" s="237"/>
      <c r="X671" s="237"/>
      <c r="Y671" s="237"/>
      <c r="Z671" s="237"/>
      <c r="AA671" s="237"/>
      <c r="AB671" s="237"/>
      <c r="AC671" s="237"/>
      <c r="AD671" s="237"/>
      <c r="AE671" s="237"/>
      <c r="AF671" s="237"/>
      <c r="AG671" s="237"/>
      <c r="AH671" s="237"/>
      <c r="AI671" s="98"/>
      <c r="AJ671" s="98"/>
      <c r="AK671" s="98"/>
      <c r="AL671" s="98"/>
      <c r="AM671" s="98"/>
      <c r="AN671" s="98"/>
      <c r="AO671" s="98"/>
    </row>
    <row r="672" ht="14.25" customHeight="1">
      <c r="A672" s="98"/>
      <c r="B672" s="98"/>
      <c r="C672" s="98"/>
      <c r="D672" s="98"/>
      <c r="E672" s="98"/>
      <c r="F672" s="235"/>
      <c r="G672" s="235"/>
      <c r="H672" s="236"/>
      <c r="I672" s="236"/>
      <c r="J672" s="236"/>
      <c r="K672" s="236"/>
      <c r="L672" s="236"/>
      <c r="M672" s="236"/>
      <c r="N672" s="236"/>
      <c r="O672" s="236"/>
      <c r="P672" s="236"/>
      <c r="Q672" s="236"/>
      <c r="R672" s="236"/>
      <c r="S672" s="236"/>
      <c r="T672" s="236"/>
      <c r="U672" s="236"/>
      <c r="V672" s="236"/>
      <c r="W672" s="237"/>
      <c r="X672" s="237"/>
      <c r="Y672" s="237"/>
      <c r="Z672" s="237"/>
      <c r="AA672" s="237"/>
      <c r="AB672" s="237"/>
      <c r="AC672" s="237"/>
      <c r="AD672" s="237"/>
      <c r="AE672" s="237"/>
      <c r="AF672" s="237"/>
      <c r="AG672" s="237"/>
      <c r="AH672" s="237"/>
      <c r="AI672" s="98"/>
      <c r="AJ672" s="98"/>
      <c r="AK672" s="98"/>
      <c r="AL672" s="98"/>
      <c r="AM672" s="98"/>
      <c r="AN672" s="98"/>
      <c r="AO672" s="98"/>
    </row>
    <row r="673" ht="14.25" customHeight="1">
      <c r="A673" s="98"/>
      <c r="B673" s="98"/>
      <c r="C673" s="98"/>
      <c r="D673" s="98"/>
      <c r="E673" s="98"/>
      <c r="F673" s="235"/>
      <c r="G673" s="235"/>
      <c r="H673" s="236"/>
      <c r="I673" s="236"/>
      <c r="J673" s="236"/>
      <c r="K673" s="236"/>
      <c r="L673" s="236"/>
      <c r="M673" s="236"/>
      <c r="N673" s="236"/>
      <c r="O673" s="236"/>
      <c r="P673" s="236"/>
      <c r="Q673" s="236"/>
      <c r="R673" s="236"/>
      <c r="S673" s="236"/>
      <c r="T673" s="236"/>
      <c r="U673" s="236"/>
      <c r="V673" s="236"/>
      <c r="W673" s="237"/>
      <c r="X673" s="237"/>
      <c r="Y673" s="237"/>
      <c r="Z673" s="237"/>
      <c r="AA673" s="237"/>
      <c r="AB673" s="237"/>
      <c r="AC673" s="237"/>
      <c r="AD673" s="237"/>
      <c r="AE673" s="237"/>
      <c r="AF673" s="237"/>
      <c r="AG673" s="237"/>
      <c r="AH673" s="237"/>
      <c r="AI673" s="98"/>
      <c r="AJ673" s="98"/>
      <c r="AK673" s="98"/>
      <c r="AL673" s="98"/>
      <c r="AM673" s="98"/>
      <c r="AN673" s="98"/>
      <c r="AO673" s="98"/>
    </row>
    <row r="674" ht="14.25" customHeight="1">
      <c r="A674" s="98"/>
      <c r="B674" s="98"/>
      <c r="C674" s="98"/>
      <c r="D674" s="98"/>
      <c r="E674" s="98"/>
      <c r="F674" s="235"/>
      <c r="G674" s="235"/>
      <c r="H674" s="236"/>
      <c r="I674" s="236"/>
      <c r="J674" s="236"/>
      <c r="K674" s="236"/>
      <c r="L674" s="236"/>
      <c r="M674" s="236"/>
      <c r="N674" s="236"/>
      <c r="O674" s="236"/>
      <c r="P674" s="236"/>
      <c r="Q674" s="236"/>
      <c r="R674" s="236"/>
      <c r="S674" s="236"/>
      <c r="T674" s="236"/>
      <c r="U674" s="236"/>
      <c r="V674" s="236"/>
      <c r="W674" s="237"/>
      <c r="X674" s="237"/>
      <c r="Y674" s="237"/>
      <c r="Z674" s="237"/>
      <c r="AA674" s="237"/>
      <c r="AB674" s="237"/>
      <c r="AC674" s="237"/>
      <c r="AD674" s="237"/>
      <c r="AE674" s="237"/>
      <c r="AF674" s="237"/>
      <c r="AG674" s="237"/>
      <c r="AH674" s="237"/>
      <c r="AI674" s="98"/>
      <c r="AJ674" s="98"/>
      <c r="AK674" s="98"/>
      <c r="AL674" s="98"/>
      <c r="AM674" s="98"/>
      <c r="AN674" s="98"/>
      <c r="AO674" s="98"/>
    </row>
    <row r="675" ht="14.25" customHeight="1">
      <c r="A675" s="98"/>
      <c r="B675" s="98"/>
      <c r="C675" s="98"/>
      <c r="D675" s="98"/>
      <c r="E675" s="98"/>
      <c r="F675" s="235"/>
      <c r="G675" s="235"/>
      <c r="H675" s="236"/>
      <c r="I675" s="236"/>
      <c r="J675" s="236"/>
      <c r="K675" s="236"/>
      <c r="L675" s="236"/>
      <c r="M675" s="236"/>
      <c r="N675" s="236"/>
      <c r="O675" s="236"/>
      <c r="P675" s="236"/>
      <c r="Q675" s="236"/>
      <c r="R675" s="236"/>
      <c r="S675" s="236"/>
      <c r="T675" s="236"/>
      <c r="U675" s="236"/>
      <c r="V675" s="236"/>
      <c r="W675" s="237"/>
      <c r="X675" s="237"/>
      <c r="Y675" s="237"/>
      <c r="Z675" s="237"/>
      <c r="AA675" s="237"/>
      <c r="AB675" s="237"/>
      <c r="AC675" s="237"/>
      <c r="AD675" s="237"/>
      <c r="AE675" s="237"/>
      <c r="AF675" s="237"/>
      <c r="AG675" s="237"/>
      <c r="AH675" s="237"/>
      <c r="AI675" s="98"/>
      <c r="AJ675" s="98"/>
      <c r="AK675" s="98"/>
      <c r="AL675" s="98"/>
      <c r="AM675" s="98"/>
      <c r="AN675" s="98"/>
      <c r="AO675" s="98"/>
    </row>
    <row r="676" ht="14.25" customHeight="1">
      <c r="A676" s="98"/>
      <c r="B676" s="98"/>
      <c r="C676" s="98"/>
      <c r="D676" s="98"/>
      <c r="E676" s="98"/>
      <c r="F676" s="235"/>
      <c r="G676" s="235"/>
      <c r="H676" s="236"/>
      <c r="I676" s="236"/>
      <c r="J676" s="236"/>
      <c r="K676" s="236"/>
      <c r="L676" s="236"/>
      <c r="M676" s="236"/>
      <c r="N676" s="236"/>
      <c r="O676" s="236"/>
      <c r="P676" s="236"/>
      <c r="Q676" s="236"/>
      <c r="R676" s="236"/>
      <c r="S676" s="236"/>
      <c r="T676" s="236"/>
      <c r="U676" s="236"/>
      <c r="V676" s="236"/>
      <c r="W676" s="237"/>
      <c r="X676" s="237"/>
      <c r="Y676" s="237"/>
      <c r="Z676" s="237"/>
      <c r="AA676" s="237"/>
      <c r="AB676" s="237"/>
      <c r="AC676" s="237"/>
      <c r="AD676" s="237"/>
      <c r="AE676" s="237"/>
      <c r="AF676" s="237"/>
      <c r="AG676" s="237"/>
      <c r="AH676" s="237"/>
      <c r="AI676" s="98"/>
      <c r="AJ676" s="98"/>
      <c r="AK676" s="98"/>
      <c r="AL676" s="98"/>
      <c r="AM676" s="98"/>
      <c r="AN676" s="98"/>
      <c r="AO676" s="98"/>
    </row>
    <row r="677" ht="14.25" customHeight="1">
      <c r="A677" s="98"/>
      <c r="B677" s="98"/>
      <c r="C677" s="98"/>
      <c r="D677" s="98"/>
      <c r="E677" s="98"/>
      <c r="F677" s="235"/>
      <c r="G677" s="235"/>
      <c r="H677" s="236"/>
      <c r="I677" s="236"/>
      <c r="J677" s="236"/>
      <c r="K677" s="236"/>
      <c r="L677" s="236"/>
      <c r="M677" s="236"/>
      <c r="N677" s="236"/>
      <c r="O677" s="236"/>
      <c r="P677" s="236"/>
      <c r="Q677" s="236"/>
      <c r="R677" s="236"/>
      <c r="S677" s="236"/>
      <c r="T677" s="236"/>
      <c r="U677" s="236"/>
      <c r="V677" s="236"/>
      <c r="W677" s="237"/>
      <c r="X677" s="237"/>
      <c r="Y677" s="237"/>
      <c r="Z677" s="237"/>
      <c r="AA677" s="237"/>
      <c r="AB677" s="237"/>
      <c r="AC677" s="237"/>
      <c r="AD677" s="237"/>
      <c r="AE677" s="237"/>
      <c r="AF677" s="237"/>
      <c r="AG677" s="237"/>
      <c r="AH677" s="237"/>
      <c r="AI677" s="98"/>
      <c r="AJ677" s="98"/>
      <c r="AK677" s="98"/>
      <c r="AL677" s="98"/>
      <c r="AM677" s="98"/>
      <c r="AN677" s="98"/>
      <c r="AO677" s="98"/>
    </row>
    <row r="678" ht="14.25" customHeight="1">
      <c r="A678" s="98"/>
      <c r="B678" s="98"/>
      <c r="C678" s="98"/>
      <c r="D678" s="98"/>
      <c r="E678" s="98"/>
      <c r="F678" s="235"/>
      <c r="G678" s="235"/>
      <c r="H678" s="236"/>
      <c r="I678" s="236"/>
      <c r="J678" s="236"/>
      <c r="K678" s="236"/>
      <c r="L678" s="236"/>
      <c r="M678" s="236"/>
      <c r="N678" s="236"/>
      <c r="O678" s="236"/>
      <c r="P678" s="236"/>
      <c r="Q678" s="236"/>
      <c r="R678" s="236"/>
      <c r="S678" s="236"/>
      <c r="T678" s="236"/>
      <c r="U678" s="236"/>
      <c r="V678" s="236"/>
      <c r="W678" s="237"/>
      <c r="X678" s="237"/>
      <c r="Y678" s="237"/>
      <c r="Z678" s="237"/>
      <c r="AA678" s="237"/>
      <c r="AB678" s="237"/>
      <c r="AC678" s="237"/>
      <c r="AD678" s="237"/>
      <c r="AE678" s="237"/>
      <c r="AF678" s="237"/>
      <c r="AG678" s="237"/>
      <c r="AH678" s="237"/>
      <c r="AI678" s="98"/>
      <c r="AJ678" s="98"/>
      <c r="AK678" s="98"/>
      <c r="AL678" s="98"/>
      <c r="AM678" s="98"/>
      <c r="AN678" s="98"/>
      <c r="AO678" s="98"/>
    </row>
    <row r="679" ht="14.25" customHeight="1">
      <c r="A679" s="98"/>
      <c r="B679" s="98"/>
      <c r="C679" s="98"/>
      <c r="D679" s="98"/>
      <c r="E679" s="98"/>
      <c r="F679" s="235"/>
      <c r="G679" s="235"/>
      <c r="H679" s="236"/>
      <c r="I679" s="236"/>
      <c r="J679" s="236"/>
      <c r="K679" s="236"/>
      <c r="L679" s="236"/>
      <c r="M679" s="236"/>
      <c r="N679" s="236"/>
      <c r="O679" s="236"/>
      <c r="P679" s="236"/>
      <c r="Q679" s="236"/>
      <c r="R679" s="236"/>
      <c r="S679" s="236"/>
      <c r="T679" s="236"/>
      <c r="U679" s="236"/>
      <c r="V679" s="236"/>
      <c r="W679" s="237"/>
      <c r="X679" s="237"/>
      <c r="Y679" s="237"/>
      <c r="Z679" s="237"/>
      <c r="AA679" s="237"/>
      <c r="AB679" s="237"/>
      <c r="AC679" s="237"/>
      <c r="AD679" s="237"/>
      <c r="AE679" s="237"/>
      <c r="AF679" s="237"/>
      <c r="AG679" s="237"/>
      <c r="AH679" s="237"/>
      <c r="AI679" s="98"/>
      <c r="AJ679" s="98"/>
      <c r="AK679" s="98"/>
      <c r="AL679" s="98"/>
      <c r="AM679" s="98"/>
      <c r="AN679" s="98"/>
      <c r="AO679" s="98"/>
    </row>
    <row r="680" ht="14.25" customHeight="1">
      <c r="A680" s="98"/>
      <c r="B680" s="98"/>
      <c r="C680" s="98"/>
      <c r="D680" s="98"/>
      <c r="E680" s="98"/>
      <c r="F680" s="235"/>
      <c r="G680" s="235"/>
      <c r="H680" s="236"/>
      <c r="I680" s="236"/>
      <c r="J680" s="236"/>
      <c r="K680" s="236"/>
      <c r="L680" s="236"/>
      <c r="M680" s="236"/>
      <c r="N680" s="236"/>
      <c r="O680" s="236"/>
      <c r="P680" s="236"/>
      <c r="Q680" s="236"/>
      <c r="R680" s="236"/>
      <c r="S680" s="236"/>
      <c r="T680" s="236"/>
      <c r="U680" s="236"/>
      <c r="V680" s="236"/>
      <c r="W680" s="237"/>
      <c r="X680" s="237"/>
      <c r="Y680" s="237"/>
      <c r="Z680" s="237"/>
      <c r="AA680" s="237"/>
      <c r="AB680" s="237"/>
      <c r="AC680" s="237"/>
      <c r="AD680" s="237"/>
      <c r="AE680" s="237"/>
      <c r="AF680" s="237"/>
      <c r="AG680" s="237"/>
      <c r="AH680" s="237"/>
      <c r="AI680" s="98"/>
      <c r="AJ680" s="98"/>
      <c r="AK680" s="98"/>
      <c r="AL680" s="98"/>
      <c r="AM680" s="98"/>
      <c r="AN680" s="98"/>
      <c r="AO680" s="98"/>
    </row>
    <row r="681" ht="14.25" customHeight="1">
      <c r="A681" s="98"/>
      <c r="B681" s="98"/>
      <c r="C681" s="98"/>
      <c r="D681" s="98"/>
      <c r="E681" s="98"/>
      <c r="F681" s="235"/>
      <c r="G681" s="235"/>
      <c r="H681" s="236"/>
      <c r="I681" s="236"/>
      <c r="J681" s="236"/>
      <c r="K681" s="236"/>
      <c r="L681" s="236"/>
      <c r="M681" s="236"/>
      <c r="N681" s="236"/>
      <c r="O681" s="236"/>
      <c r="P681" s="236"/>
      <c r="Q681" s="236"/>
      <c r="R681" s="236"/>
      <c r="S681" s="236"/>
      <c r="T681" s="236"/>
      <c r="U681" s="236"/>
      <c r="V681" s="236"/>
      <c r="W681" s="237"/>
      <c r="X681" s="237"/>
      <c r="Y681" s="237"/>
      <c r="Z681" s="237"/>
      <c r="AA681" s="237"/>
      <c r="AB681" s="237"/>
      <c r="AC681" s="237"/>
      <c r="AD681" s="237"/>
      <c r="AE681" s="237"/>
      <c r="AF681" s="237"/>
      <c r="AG681" s="237"/>
      <c r="AH681" s="237"/>
      <c r="AI681" s="98"/>
      <c r="AJ681" s="98"/>
      <c r="AK681" s="98"/>
      <c r="AL681" s="98"/>
      <c r="AM681" s="98"/>
      <c r="AN681" s="98"/>
      <c r="AO681" s="98"/>
    </row>
    <row r="682" ht="14.25" customHeight="1">
      <c r="A682" s="98"/>
      <c r="B682" s="98"/>
      <c r="C682" s="98"/>
      <c r="D682" s="98"/>
      <c r="E682" s="98"/>
      <c r="F682" s="235"/>
      <c r="G682" s="235"/>
      <c r="H682" s="236"/>
      <c r="I682" s="236"/>
      <c r="J682" s="236"/>
      <c r="K682" s="236"/>
      <c r="L682" s="236"/>
      <c r="M682" s="236"/>
      <c r="N682" s="236"/>
      <c r="O682" s="236"/>
      <c r="P682" s="236"/>
      <c r="Q682" s="236"/>
      <c r="R682" s="236"/>
      <c r="S682" s="236"/>
      <c r="T682" s="236"/>
      <c r="U682" s="236"/>
      <c r="V682" s="236"/>
      <c r="W682" s="237"/>
      <c r="X682" s="237"/>
      <c r="Y682" s="237"/>
      <c r="Z682" s="237"/>
      <c r="AA682" s="237"/>
      <c r="AB682" s="237"/>
      <c r="AC682" s="237"/>
      <c r="AD682" s="237"/>
      <c r="AE682" s="237"/>
      <c r="AF682" s="237"/>
      <c r="AG682" s="237"/>
      <c r="AH682" s="237"/>
      <c r="AI682" s="98"/>
      <c r="AJ682" s="98"/>
      <c r="AK682" s="98"/>
      <c r="AL682" s="98"/>
      <c r="AM682" s="98"/>
      <c r="AN682" s="98"/>
      <c r="AO682" s="98"/>
    </row>
    <row r="683" ht="14.25" customHeight="1">
      <c r="A683" s="98"/>
      <c r="B683" s="98"/>
      <c r="C683" s="98"/>
      <c r="D683" s="98"/>
      <c r="E683" s="98"/>
      <c r="F683" s="235"/>
      <c r="G683" s="235"/>
      <c r="H683" s="236"/>
      <c r="I683" s="236"/>
      <c r="J683" s="236"/>
      <c r="K683" s="236"/>
      <c r="L683" s="236"/>
      <c r="M683" s="236"/>
      <c r="N683" s="236"/>
      <c r="O683" s="236"/>
      <c r="P683" s="236"/>
      <c r="Q683" s="236"/>
      <c r="R683" s="236"/>
      <c r="S683" s="236"/>
      <c r="T683" s="236"/>
      <c r="U683" s="236"/>
      <c r="V683" s="236"/>
      <c r="W683" s="237"/>
      <c r="X683" s="237"/>
      <c r="Y683" s="237"/>
      <c r="Z683" s="237"/>
      <c r="AA683" s="237"/>
      <c r="AB683" s="237"/>
      <c r="AC683" s="237"/>
      <c r="AD683" s="237"/>
      <c r="AE683" s="237"/>
      <c r="AF683" s="237"/>
      <c r="AG683" s="237"/>
      <c r="AH683" s="237"/>
      <c r="AI683" s="98"/>
      <c r="AJ683" s="98"/>
      <c r="AK683" s="98"/>
      <c r="AL683" s="98"/>
      <c r="AM683" s="98"/>
      <c r="AN683" s="98"/>
      <c r="AO683" s="98"/>
    </row>
    <row r="684" ht="14.25" customHeight="1">
      <c r="A684" s="98"/>
      <c r="B684" s="98"/>
      <c r="C684" s="98"/>
      <c r="D684" s="98"/>
      <c r="E684" s="98"/>
      <c r="F684" s="235"/>
      <c r="G684" s="235"/>
      <c r="H684" s="236"/>
      <c r="I684" s="236"/>
      <c r="J684" s="236"/>
      <c r="K684" s="236"/>
      <c r="L684" s="236"/>
      <c r="M684" s="236"/>
      <c r="N684" s="236"/>
      <c r="O684" s="236"/>
      <c r="P684" s="236"/>
      <c r="Q684" s="236"/>
      <c r="R684" s="236"/>
      <c r="S684" s="236"/>
      <c r="T684" s="236"/>
      <c r="U684" s="236"/>
      <c r="V684" s="236"/>
      <c r="W684" s="237"/>
      <c r="X684" s="237"/>
      <c r="Y684" s="237"/>
      <c r="Z684" s="237"/>
      <c r="AA684" s="237"/>
      <c r="AB684" s="237"/>
      <c r="AC684" s="237"/>
      <c r="AD684" s="237"/>
      <c r="AE684" s="237"/>
      <c r="AF684" s="237"/>
      <c r="AG684" s="237"/>
      <c r="AH684" s="237"/>
      <c r="AI684" s="98"/>
      <c r="AJ684" s="98"/>
      <c r="AK684" s="98"/>
      <c r="AL684" s="98"/>
      <c r="AM684" s="98"/>
      <c r="AN684" s="98"/>
      <c r="AO684" s="98"/>
    </row>
    <row r="685" ht="14.25" customHeight="1">
      <c r="A685" s="98"/>
      <c r="B685" s="98"/>
      <c r="C685" s="98"/>
      <c r="D685" s="98"/>
      <c r="E685" s="98"/>
      <c r="F685" s="235"/>
      <c r="G685" s="235"/>
      <c r="H685" s="236"/>
      <c r="I685" s="236"/>
      <c r="J685" s="236"/>
      <c r="K685" s="236"/>
      <c r="L685" s="236"/>
      <c r="M685" s="236"/>
      <c r="N685" s="236"/>
      <c r="O685" s="236"/>
      <c r="P685" s="236"/>
      <c r="Q685" s="236"/>
      <c r="R685" s="236"/>
      <c r="S685" s="236"/>
      <c r="T685" s="236"/>
      <c r="U685" s="236"/>
      <c r="V685" s="236"/>
      <c r="W685" s="237"/>
      <c r="X685" s="237"/>
      <c r="Y685" s="237"/>
      <c r="Z685" s="237"/>
      <c r="AA685" s="237"/>
      <c r="AB685" s="237"/>
      <c r="AC685" s="237"/>
      <c r="AD685" s="237"/>
      <c r="AE685" s="237"/>
      <c r="AF685" s="237"/>
      <c r="AG685" s="237"/>
      <c r="AH685" s="237"/>
      <c r="AI685" s="98"/>
      <c r="AJ685" s="98"/>
      <c r="AK685" s="98"/>
      <c r="AL685" s="98"/>
      <c r="AM685" s="98"/>
      <c r="AN685" s="98"/>
      <c r="AO685" s="98"/>
    </row>
    <row r="686" ht="14.25" customHeight="1">
      <c r="A686" s="98"/>
      <c r="B686" s="98"/>
      <c r="C686" s="98"/>
      <c r="D686" s="98"/>
      <c r="E686" s="98"/>
      <c r="F686" s="235"/>
      <c r="G686" s="235"/>
      <c r="H686" s="236"/>
      <c r="I686" s="236"/>
      <c r="J686" s="236"/>
      <c r="K686" s="236"/>
      <c r="L686" s="236"/>
      <c r="M686" s="236"/>
      <c r="N686" s="236"/>
      <c r="O686" s="236"/>
      <c r="P686" s="236"/>
      <c r="Q686" s="236"/>
      <c r="R686" s="236"/>
      <c r="S686" s="236"/>
      <c r="T686" s="236"/>
      <c r="U686" s="236"/>
      <c r="V686" s="236"/>
      <c r="W686" s="237"/>
      <c r="X686" s="237"/>
      <c r="Y686" s="237"/>
      <c r="Z686" s="237"/>
      <c r="AA686" s="237"/>
      <c r="AB686" s="237"/>
      <c r="AC686" s="237"/>
      <c r="AD686" s="237"/>
      <c r="AE686" s="237"/>
      <c r="AF686" s="237"/>
      <c r="AG686" s="237"/>
      <c r="AH686" s="237"/>
      <c r="AI686" s="98"/>
      <c r="AJ686" s="98"/>
      <c r="AK686" s="98"/>
      <c r="AL686" s="98"/>
      <c r="AM686" s="98"/>
      <c r="AN686" s="98"/>
      <c r="AO686" s="98"/>
    </row>
    <row r="687" ht="14.25" customHeight="1">
      <c r="A687" s="98"/>
      <c r="B687" s="98"/>
      <c r="C687" s="98"/>
      <c r="D687" s="98"/>
      <c r="E687" s="98"/>
      <c r="F687" s="235"/>
      <c r="G687" s="235"/>
      <c r="H687" s="236"/>
      <c r="I687" s="236"/>
      <c r="J687" s="236"/>
      <c r="K687" s="236"/>
      <c r="L687" s="236"/>
      <c r="M687" s="236"/>
      <c r="N687" s="236"/>
      <c r="O687" s="236"/>
      <c r="P687" s="236"/>
      <c r="Q687" s="236"/>
      <c r="R687" s="236"/>
      <c r="S687" s="236"/>
      <c r="T687" s="236"/>
      <c r="U687" s="236"/>
      <c r="V687" s="236"/>
      <c r="W687" s="237"/>
      <c r="X687" s="237"/>
      <c r="Y687" s="237"/>
      <c r="Z687" s="237"/>
      <c r="AA687" s="237"/>
      <c r="AB687" s="237"/>
      <c r="AC687" s="237"/>
      <c r="AD687" s="237"/>
      <c r="AE687" s="237"/>
      <c r="AF687" s="237"/>
      <c r="AG687" s="237"/>
      <c r="AH687" s="237"/>
      <c r="AI687" s="98"/>
      <c r="AJ687" s="98"/>
      <c r="AK687" s="98"/>
      <c r="AL687" s="98"/>
      <c r="AM687" s="98"/>
      <c r="AN687" s="98"/>
      <c r="AO687" s="98"/>
    </row>
    <row r="688" ht="14.25" customHeight="1">
      <c r="A688" s="98"/>
      <c r="B688" s="98"/>
      <c r="C688" s="98"/>
      <c r="D688" s="98"/>
      <c r="E688" s="98"/>
      <c r="F688" s="235"/>
      <c r="G688" s="235"/>
      <c r="H688" s="236"/>
      <c r="I688" s="236"/>
      <c r="J688" s="236"/>
      <c r="K688" s="236"/>
      <c r="L688" s="236"/>
      <c r="M688" s="236"/>
      <c r="N688" s="236"/>
      <c r="O688" s="236"/>
      <c r="P688" s="236"/>
      <c r="Q688" s="236"/>
      <c r="R688" s="236"/>
      <c r="S688" s="236"/>
      <c r="T688" s="236"/>
      <c r="U688" s="236"/>
      <c r="V688" s="236"/>
      <c r="W688" s="237"/>
      <c r="X688" s="237"/>
      <c r="Y688" s="237"/>
      <c r="Z688" s="237"/>
      <c r="AA688" s="237"/>
      <c r="AB688" s="237"/>
      <c r="AC688" s="237"/>
      <c r="AD688" s="237"/>
      <c r="AE688" s="237"/>
      <c r="AF688" s="237"/>
      <c r="AG688" s="237"/>
      <c r="AH688" s="237"/>
      <c r="AI688" s="98"/>
      <c r="AJ688" s="98"/>
      <c r="AK688" s="98"/>
      <c r="AL688" s="98"/>
      <c r="AM688" s="98"/>
      <c r="AN688" s="98"/>
      <c r="AO688" s="98"/>
    </row>
    <row r="689" ht="14.25" customHeight="1">
      <c r="A689" s="98"/>
      <c r="B689" s="98"/>
      <c r="C689" s="98"/>
      <c r="D689" s="98"/>
      <c r="E689" s="98"/>
      <c r="F689" s="235"/>
      <c r="G689" s="235"/>
      <c r="H689" s="236"/>
      <c r="I689" s="236"/>
      <c r="J689" s="236"/>
      <c r="K689" s="236"/>
      <c r="L689" s="236"/>
      <c r="M689" s="236"/>
      <c r="N689" s="236"/>
      <c r="O689" s="236"/>
      <c r="P689" s="236"/>
      <c r="Q689" s="236"/>
      <c r="R689" s="236"/>
      <c r="S689" s="236"/>
      <c r="T689" s="236"/>
      <c r="U689" s="236"/>
      <c r="V689" s="236"/>
      <c r="W689" s="237"/>
      <c r="X689" s="237"/>
      <c r="Y689" s="237"/>
      <c r="Z689" s="237"/>
      <c r="AA689" s="237"/>
      <c r="AB689" s="237"/>
      <c r="AC689" s="237"/>
      <c r="AD689" s="237"/>
      <c r="AE689" s="237"/>
      <c r="AF689" s="237"/>
      <c r="AG689" s="237"/>
      <c r="AH689" s="237"/>
      <c r="AI689" s="98"/>
      <c r="AJ689" s="98"/>
      <c r="AK689" s="98"/>
      <c r="AL689" s="98"/>
      <c r="AM689" s="98"/>
      <c r="AN689" s="98"/>
      <c r="AO689" s="98"/>
    </row>
    <row r="690" ht="14.25" customHeight="1">
      <c r="A690" s="98"/>
      <c r="B690" s="98"/>
      <c r="C690" s="98"/>
      <c r="D690" s="98"/>
      <c r="E690" s="98"/>
      <c r="F690" s="235"/>
      <c r="G690" s="235"/>
      <c r="H690" s="236"/>
      <c r="I690" s="236"/>
      <c r="J690" s="236"/>
      <c r="K690" s="236"/>
      <c r="L690" s="236"/>
      <c r="M690" s="236"/>
      <c r="N690" s="236"/>
      <c r="O690" s="236"/>
      <c r="P690" s="236"/>
      <c r="Q690" s="236"/>
      <c r="R690" s="236"/>
      <c r="S690" s="236"/>
      <c r="T690" s="236"/>
      <c r="U690" s="236"/>
      <c r="V690" s="236"/>
      <c r="W690" s="237"/>
      <c r="X690" s="237"/>
      <c r="Y690" s="237"/>
      <c r="Z690" s="237"/>
      <c r="AA690" s="237"/>
      <c r="AB690" s="237"/>
      <c r="AC690" s="237"/>
      <c r="AD690" s="237"/>
      <c r="AE690" s="237"/>
      <c r="AF690" s="237"/>
      <c r="AG690" s="237"/>
      <c r="AH690" s="237"/>
      <c r="AI690" s="98"/>
      <c r="AJ690" s="98"/>
      <c r="AK690" s="98"/>
      <c r="AL690" s="98"/>
      <c r="AM690" s="98"/>
      <c r="AN690" s="98"/>
      <c r="AO690" s="98"/>
    </row>
    <row r="691" ht="14.25" customHeight="1">
      <c r="A691" s="98"/>
      <c r="B691" s="98"/>
      <c r="C691" s="98"/>
      <c r="D691" s="98"/>
      <c r="E691" s="98"/>
      <c r="F691" s="235"/>
      <c r="G691" s="235"/>
      <c r="H691" s="236"/>
      <c r="I691" s="236"/>
      <c r="J691" s="236"/>
      <c r="K691" s="236"/>
      <c r="L691" s="236"/>
      <c r="M691" s="236"/>
      <c r="N691" s="236"/>
      <c r="O691" s="236"/>
      <c r="P691" s="236"/>
      <c r="Q691" s="236"/>
      <c r="R691" s="236"/>
      <c r="S691" s="236"/>
      <c r="T691" s="236"/>
      <c r="U691" s="236"/>
      <c r="V691" s="236"/>
      <c r="W691" s="237"/>
      <c r="X691" s="237"/>
      <c r="Y691" s="237"/>
      <c r="Z691" s="237"/>
      <c r="AA691" s="237"/>
      <c r="AB691" s="237"/>
      <c r="AC691" s="237"/>
      <c r="AD691" s="237"/>
      <c r="AE691" s="237"/>
      <c r="AF691" s="237"/>
      <c r="AG691" s="237"/>
      <c r="AH691" s="237"/>
      <c r="AI691" s="98"/>
      <c r="AJ691" s="98"/>
      <c r="AK691" s="98"/>
      <c r="AL691" s="98"/>
      <c r="AM691" s="98"/>
      <c r="AN691" s="98"/>
      <c r="AO691" s="98"/>
    </row>
    <row r="692" ht="14.25" customHeight="1">
      <c r="A692" s="98"/>
      <c r="B692" s="98"/>
      <c r="C692" s="98"/>
      <c r="D692" s="98"/>
      <c r="E692" s="98"/>
      <c r="F692" s="235"/>
      <c r="G692" s="235"/>
      <c r="H692" s="236"/>
      <c r="I692" s="236"/>
      <c r="J692" s="236"/>
      <c r="K692" s="236"/>
      <c r="L692" s="236"/>
      <c r="M692" s="236"/>
      <c r="N692" s="236"/>
      <c r="O692" s="236"/>
      <c r="P692" s="236"/>
      <c r="Q692" s="236"/>
      <c r="R692" s="236"/>
      <c r="S692" s="236"/>
      <c r="T692" s="236"/>
      <c r="U692" s="236"/>
      <c r="V692" s="236"/>
      <c r="W692" s="237"/>
      <c r="X692" s="237"/>
      <c r="Y692" s="237"/>
      <c r="Z692" s="237"/>
      <c r="AA692" s="237"/>
      <c r="AB692" s="237"/>
      <c r="AC692" s="237"/>
      <c r="AD692" s="237"/>
      <c r="AE692" s="237"/>
      <c r="AF692" s="237"/>
      <c r="AG692" s="237"/>
      <c r="AH692" s="237"/>
      <c r="AI692" s="98"/>
      <c r="AJ692" s="98"/>
      <c r="AK692" s="98"/>
      <c r="AL692" s="98"/>
      <c r="AM692" s="98"/>
      <c r="AN692" s="98"/>
      <c r="AO692" s="98"/>
    </row>
    <row r="693" ht="14.25" customHeight="1">
      <c r="A693" s="98"/>
      <c r="B693" s="98"/>
      <c r="C693" s="98"/>
      <c r="D693" s="98"/>
      <c r="E693" s="98"/>
      <c r="F693" s="235"/>
      <c r="G693" s="235"/>
      <c r="H693" s="236"/>
      <c r="I693" s="236"/>
      <c r="J693" s="236"/>
      <c r="K693" s="236"/>
      <c r="L693" s="236"/>
      <c r="M693" s="236"/>
      <c r="N693" s="236"/>
      <c r="O693" s="236"/>
      <c r="P693" s="236"/>
      <c r="Q693" s="236"/>
      <c r="R693" s="236"/>
      <c r="S693" s="236"/>
      <c r="T693" s="236"/>
      <c r="U693" s="236"/>
      <c r="V693" s="236"/>
      <c r="W693" s="237"/>
      <c r="X693" s="237"/>
      <c r="Y693" s="237"/>
      <c r="Z693" s="237"/>
      <c r="AA693" s="237"/>
      <c r="AB693" s="237"/>
      <c r="AC693" s="237"/>
      <c r="AD693" s="237"/>
      <c r="AE693" s="237"/>
      <c r="AF693" s="237"/>
      <c r="AG693" s="237"/>
      <c r="AH693" s="237"/>
      <c r="AI693" s="98"/>
      <c r="AJ693" s="98"/>
      <c r="AK693" s="98"/>
      <c r="AL693" s="98"/>
      <c r="AM693" s="98"/>
      <c r="AN693" s="98"/>
      <c r="AO693" s="98"/>
    </row>
    <row r="694" ht="14.25" customHeight="1">
      <c r="A694" s="98"/>
      <c r="B694" s="98"/>
      <c r="C694" s="98"/>
      <c r="D694" s="98"/>
      <c r="E694" s="98"/>
      <c r="F694" s="235"/>
      <c r="G694" s="235"/>
      <c r="H694" s="236"/>
      <c r="I694" s="236"/>
      <c r="J694" s="236"/>
      <c r="K694" s="236"/>
      <c r="L694" s="236"/>
      <c r="M694" s="236"/>
      <c r="N694" s="236"/>
      <c r="O694" s="236"/>
      <c r="P694" s="236"/>
      <c r="Q694" s="236"/>
      <c r="R694" s="236"/>
      <c r="S694" s="236"/>
      <c r="T694" s="236"/>
      <c r="U694" s="236"/>
      <c r="V694" s="236"/>
      <c r="W694" s="237"/>
      <c r="X694" s="237"/>
      <c r="Y694" s="237"/>
      <c r="Z694" s="237"/>
      <c r="AA694" s="237"/>
      <c r="AB694" s="237"/>
      <c r="AC694" s="237"/>
      <c r="AD694" s="237"/>
      <c r="AE694" s="237"/>
      <c r="AF694" s="237"/>
      <c r="AG694" s="237"/>
      <c r="AH694" s="237"/>
      <c r="AI694" s="98"/>
      <c r="AJ694" s="98"/>
      <c r="AK694" s="98"/>
      <c r="AL694" s="98"/>
      <c r="AM694" s="98"/>
      <c r="AN694" s="98"/>
      <c r="AO694" s="98"/>
    </row>
    <row r="695" ht="14.25" customHeight="1">
      <c r="A695" s="98"/>
      <c r="B695" s="98"/>
      <c r="C695" s="98"/>
      <c r="D695" s="98"/>
      <c r="E695" s="98"/>
      <c r="F695" s="235"/>
      <c r="G695" s="235"/>
      <c r="H695" s="236"/>
      <c r="I695" s="236"/>
      <c r="J695" s="236"/>
      <c r="K695" s="236"/>
      <c r="L695" s="236"/>
      <c r="M695" s="236"/>
      <c r="N695" s="236"/>
      <c r="O695" s="236"/>
      <c r="P695" s="236"/>
      <c r="Q695" s="236"/>
      <c r="R695" s="236"/>
      <c r="S695" s="236"/>
      <c r="T695" s="236"/>
      <c r="U695" s="236"/>
      <c r="V695" s="236"/>
      <c r="W695" s="237"/>
      <c r="X695" s="237"/>
      <c r="Y695" s="237"/>
      <c r="Z695" s="237"/>
      <c r="AA695" s="237"/>
      <c r="AB695" s="237"/>
      <c r="AC695" s="237"/>
      <c r="AD695" s="237"/>
      <c r="AE695" s="237"/>
      <c r="AF695" s="237"/>
      <c r="AG695" s="237"/>
      <c r="AH695" s="237"/>
      <c r="AI695" s="98"/>
      <c r="AJ695" s="98"/>
      <c r="AK695" s="98"/>
      <c r="AL695" s="98"/>
      <c r="AM695" s="98"/>
      <c r="AN695" s="98"/>
      <c r="AO695" s="98"/>
    </row>
    <row r="696" ht="14.25" customHeight="1">
      <c r="A696" s="98"/>
      <c r="B696" s="98"/>
      <c r="C696" s="98"/>
      <c r="D696" s="98"/>
      <c r="E696" s="98"/>
      <c r="F696" s="235"/>
      <c r="G696" s="235"/>
      <c r="H696" s="236"/>
      <c r="I696" s="236"/>
      <c r="J696" s="236"/>
      <c r="K696" s="236"/>
      <c r="L696" s="236"/>
      <c r="M696" s="236"/>
      <c r="N696" s="236"/>
      <c r="O696" s="236"/>
      <c r="P696" s="236"/>
      <c r="Q696" s="236"/>
      <c r="R696" s="236"/>
      <c r="S696" s="236"/>
      <c r="T696" s="236"/>
      <c r="U696" s="236"/>
      <c r="V696" s="236"/>
      <c r="W696" s="237"/>
      <c r="X696" s="237"/>
      <c r="Y696" s="237"/>
      <c r="Z696" s="237"/>
      <c r="AA696" s="237"/>
      <c r="AB696" s="237"/>
      <c r="AC696" s="237"/>
      <c r="AD696" s="237"/>
      <c r="AE696" s="237"/>
      <c r="AF696" s="237"/>
      <c r="AG696" s="237"/>
      <c r="AH696" s="237"/>
      <c r="AI696" s="98"/>
      <c r="AJ696" s="98"/>
      <c r="AK696" s="98"/>
      <c r="AL696" s="98"/>
      <c r="AM696" s="98"/>
      <c r="AN696" s="98"/>
      <c r="AO696" s="98"/>
    </row>
    <row r="697" ht="14.25" customHeight="1">
      <c r="A697" s="98"/>
      <c r="B697" s="98"/>
      <c r="C697" s="98"/>
      <c r="D697" s="98"/>
      <c r="E697" s="98"/>
      <c r="F697" s="235"/>
      <c r="G697" s="235"/>
      <c r="H697" s="236"/>
      <c r="I697" s="236"/>
      <c r="J697" s="236"/>
      <c r="K697" s="236"/>
      <c r="L697" s="236"/>
      <c r="M697" s="236"/>
      <c r="N697" s="236"/>
      <c r="O697" s="236"/>
      <c r="P697" s="236"/>
      <c r="Q697" s="236"/>
      <c r="R697" s="236"/>
      <c r="S697" s="236"/>
      <c r="T697" s="236"/>
      <c r="U697" s="236"/>
      <c r="V697" s="236"/>
      <c r="W697" s="237"/>
      <c r="X697" s="237"/>
      <c r="Y697" s="237"/>
      <c r="Z697" s="237"/>
      <c r="AA697" s="237"/>
      <c r="AB697" s="237"/>
      <c r="AC697" s="237"/>
      <c r="AD697" s="237"/>
      <c r="AE697" s="237"/>
      <c r="AF697" s="237"/>
      <c r="AG697" s="237"/>
      <c r="AH697" s="237"/>
      <c r="AI697" s="98"/>
      <c r="AJ697" s="98"/>
      <c r="AK697" s="98"/>
      <c r="AL697" s="98"/>
      <c r="AM697" s="98"/>
      <c r="AN697" s="98"/>
      <c r="AO697" s="98"/>
    </row>
    <row r="698" ht="14.25" customHeight="1">
      <c r="A698" s="98"/>
      <c r="B698" s="98"/>
      <c r="C698" s="98"/>
      <c r="D698" s="98"/>
      <c r="E698" s="98"/>
      <c r="F698" s="235"/>
      <c r="G698" s="235"/>
      <c r="H698" s="236"/>
      <c r="I698" s="236"/>
      <c r="J698" s="236"/>
      <c r="K698" s="236"/>
      <c r="L698" s="236"/>
      <c r="M698" s="236"/>
      <c r="N698" s="236"/>
      <c r="O698" s="236"/>
      <c r="P698" s="236"/>
      <c r="Q698" s="236"/>
      <c r="R698" s="236"/>
      <c r="S698" s="236"/>
      <c r="T698" s="236"/>
      <c r="U698" s="236"/>
      <c r="V698" s="236"/>
      <c r="W698" s="237"/>
      <c r="X698" s="237"/>
      <c r="Y698" s="237"/>
      <c r="Z698" s="237"/>
      <c r="AA698" s="237"/>
      <c r="AB698" s="237"/>
      <c r="AC698" s="237"/>
      <c r="AD698" s="237"/>
      <c r="AE698" s="237"/>
      <c r="AF698" s="237"/>
      <c r="AG698" s="237"/>
      <c r="AH698" s="237"/>
      <c r="AI698" s="98"/>
      <c r="AJ698" s="98"/>
      <c r="AK698" s="98"/>
      <c r="AL698" s="98"/>
      <c r="AM698" s="98"/>
      <c r="AN698" s="98"/>
      <c r="AO698" s="98"/>
    </row>
    <row r="699" ht="14.25" customHeight="1">
      <c r="A699" s="98"/>
      <c r="B699" s="98"/>
      <c r="C699" s="98"/>
      <c r="D699" s="98"/>
      <c r="E699" s="98"/>
      <c r="F699" s="235"/>
      <c r="G699" s="235"/>
      <c r="H699" s="236"/>
      <c r="I699" s="236"/>
      <c r="J699" s="236"/>
      <c r="K699" s="236"/>
      <c r="L699" s="236"/>
      <c r="M699" s="236"/>
      <c r="N699" s="236"/>
      <c r="O699" s="236"/>
      <c r="P699" s="236"/>
      <c r="Q699" s="236"/>
      <c r="R699" s="236"/>
      <c r="S699" s="236"/>
      <c r="T699" s="236"/>
      <c r="U699" s="236"/>
      <c r="V699" s="236"/>
      <c r="W699" s="237"/>
      <c r="X699" s="237"/>
      <c r="Y699" s="237"/>
      <c r="Z699" s="237"/>
      <c r="AA699" s="237"/>
      <c r="AB699" s="237"/>
      <c r="AC699" s="237"/>
      <c r="AD699" s="237"/>
      <c r="AE699" s="237"/>
      <c r="AF699" s="237"/>
      <c r="AG699" s="237"/>
      <c r="AH699" s="237"/>
      <c r="AI699" s="98"/>
      <c r="AJ699" s="98"/>
      <c r="AK699" s="98"/>
      <c r="AL699" s="98"/>
      <c r="AM699" s="98"/>
      <c r="AN699" s="98"/>
      <c r="AO699" s="98"/>
    </row>
    <row r="700" ht="14.25" customHeight="1">
      <c r="A700" s="98"/>
      <c r="B700" s="98"/>
      <c r="C700" s="98"/>
      <c r="D700" s="98"/>
      <c r="E700" s="98"/>
      <c r="F700" s="235"/>
      <c r="G700" s="235"/>
      <c r="H700" s="236"/>
      <c r="I700" s="236"/>
      <c r="J700" s="236"/>
      <c r="K700" s="236"/>
      <c r="L700" s="236"/>
      <c r="M700" s="236"/>
      <c r="N700" s="236"/>
      <c r="O700" s="236"/>
      <c r="P700" s="236"/>
      <c r="Q700" s="236"/>
      <c r="R700" s="236"/>
      <c r="S700" s="236"/>
      <c r="T700" s="236"/>
      <c r="U700" s="236"/>
      <c r="V700" s="236"/>
      <c r="W700" s="237"/>
      <c r="X700" s="237"/>
      <c r="Y700" s="237"/>
      <c r="Z700" s="237"/>
      <c r="AA700" s="237"/>
      <c r="AB700" s="237"/>
      <c r="AC700" s="237"/>
      <c r="AD700" s="237"/>
      <c r="AE700" s="237"/>
      <c r="AF700" s="237"/>
      <c r="AG700" s="237"/>
      <c r="AH700" s="237"/>
      <c r="AI700" s="98"/>
      <c r="AJ700" s="98"/>
      <c r="AK700" s="98"/>
      <c r="AL700" s="98"/>
      <c r="AM700" s="98"/>
      <c r="AN700" s="98"/>
      <c r="AO700" s="98"/>
    </row>
    <row r="701" ht="14.25" customHeight="1">
      <c r="A701" s="98"/>
      <c r="B701" s="98"/>
      <c r="C701" s="98"/>
      <c r="D701" s="98"/>
      <c r="E701" s="98"/>
      <c r="F701" s="235"/>
      <c r="G701" s="235"/>
      <c r="H701" s="236"/>
      <c r="I701" s="236"/>
      <c r="J701" s="236"/>
      <c r="K701" s="236"/>
      <c r="L701" s="236"/>
      <c r="M701" s="236"/>
      <c r="N701" s="236"/>
      <c r="O701" s="236"/>
      <c r="P701" s="236"/>
      <c r="Q701" s="236"/>
      <c r="R701" s="236"/>
      <c r="S701" s="236"/>
      <c r="T701" s="236"/>
      <c r="U701" s="236"/>
      <c r="V701" s="236"/>
      <c r="W701" s="237"/>
      <c r="X701" s="237"/>
      <c r="Y701" s="237"/>
      <c r="Z701" s="237"/>
      <c r="AA701" s="237"/>
      <c r="AB701" s="237"/>
      <c r="AC701" s="237"/>
      <c r="AD701" s="237"/>
      <c r="AE701" s="237"/>
      <c r="AF701" s="237"/>
      <c r="AG701" s="237"/>
      <c r="AH701" s="237"/>
      <c r="AI701" s="98"/>
      <c r="AJ701" s="98"/>
      <c r="AK701" s="98"/>
      <c r="AL701" s="98"/>
      <c r="AM701" s="98"/>
      <c r="AN701" s="98"/>
      <c r="AO701" s="98"/>
    </row>
    <row r="702" ht="14.25" customHeight="1">
      <c r="A702" s="98"/>
      <c r="B702" s="98"/>
      <c r="C702" s="98"/>
      <c r="D702" s="98"/>
      <c r="E702" s="98"/>
      <c r="F702" s="235"/>
      <c r="G702" s="235"/>
      <c r="H702" s="236"/>
      <c r="I702" s="236"/>
      <c r="J702" s="236"/>
      <c r="K702" s="236"/>
      <c r="L702" s="236"/>
      <c r="M702" s="236"/>
      <c r="N702" s="236"/>
      <c r="O702" s="236"/>
      <c r="P702" s="236"/>
      <c r="Q702" s="236"/>
      <c r="R702" s="236"/>
      <c r="S702" s="236"/>
      <c r="T702" s="236"/>
      <c r="U702" s="236"/>
      <c r="V702" s="236"/>
      <c r="W702" s="237"/>
      <c r="X702" s="237"/>
      <c r="Y702" s="237"/>
      <c r="Z702" s="237"/>
      <c r="AA702" s="237"/>
      <c r="AB702" s="237"/>
      <c r="AC702" s="237"/>
      <c r="AD702" s="237"/>
      <c r="AE702" s="237"/>
      <c r="AF702" s="237"/>
      <c r="AG702" s="237"/>
      <c r="AH702" s="237"/>
      <c r="AI702" s="98"/>
      <c r="AJ702" s="98"/>
      <c r="AK702" s="98"/>
      <c r="AL702" s="98"/>
      <c r="AM702" s="98"/>
      <c r="AN702" s="98"/>
      <c r="AO702" s="98"/>
    </row>
    <row r="703" ht="14.25" customHeight="1">
      <c r="A703" s="98"/>
      <c r="B703" s="98"/>
      <c r="C703" s="98"/>
      <c r="D703" s="98"/>
      <c r="E703" s="98"/>
      <c r="F703" s="235"/>
      <c r="G703" s="235"/>
      <c r="H703" s="236"/>
      <c r="I703" s="236"/>
      <c r="J703" s="236"/>
      <c r="K703" s="236"/>
      <c r="L703" s="236"/>
      <c r="M703" s="236"/>
      <c r="N703" s="236"/>
      <c r="O703" s="236"/>
      <c r="P703" s="236"/>
      <c r="Q703" s="236"/>
      <c r="R703" s="236"/>
      <c r="S703" s="236"/>
      <c r="T703" s="236"/>
      <c r="U703" s="236"/>
      <c r="V703" s="236"/>
      <c r="W703" s="237"/>
      <c r="X703" s="237"/>
      <c r="Y703" s="237"/>
      <c r="Z703" s="237"/>
      <c r="AA703" s="237"/>
      <c r="AB703" s="237"/>
      <c r="AC703" s="237"/>
      <c r="AD703" s="237"/>
      <c r="AE703" s="237"/>
      <c r="AF703" s="237"/>
      <c r="AG703" s="237"/>
      <c r="AH703" s="237"/>
      <c r="AI703" s="98"/>
      <c r="AJ703" s="98"/>
      <c r="AK703" s="98"/>
      <c r="AL703" s="98"/>
      <c r="AM703" s="98"/>
      <c r="AN703" s="98"/>
      <c r="AO703" s="98"/>
    </row>
    <row r="704" ht="14.25" customHeight="1">
      <c r="A704" s="98"/>
      <c r="B704" s="98"/>
      <c r="C704" s="98"/>
      <c r="D704" s="98"/>
      <c r="E704" s="98"/>
      <c r="F704" s="235"/>
      <c r="G704" s="235"/>
      <c r="H704" s="236"/>
      <c r="I704" s="236"/>
      <c r="J704" s="236"/>
      <c r="K704" s="236"/>
      <c r="L704" s="236"/>
      <c r="M704" s="236"/>
      <c r="N704" s="236"/>
      <c r="O704" s="236"/>
      <c r="P704" s="236"/>
      <c r="Q704" s="236"/>
      <c r="R704" s="236"/>
      <c r="S704" s="236"/>
      <c r="T704" s="236"/>
      <c r="U704" s="236"/>
      <c r="V704" s="236"/>
      <c r="W704" s="237"/>
      <c r="X704" s="237"/>
      <c r="Y704" s="237"/>
      <c r="Z704" s="237"/>
      <c r="AA704" s="237"/>
      <c r="AB704" s="237"/>
      <c r="AC704" s="237"/>
      <c r="AD704" s="237"/>
      <c r="AE704" s="237"/>
      <c r="AF704" s="237"/>
      <c r="AG704" s="237"/>
      <c r="AH704" s="237"/>
      <c r="AI704" s="98"/>
      <c r="AJ704" s="98"/>
      <c r="AK704" s="98"/>
      <c r="AL704" s="98"/>
      <c r="AM704" s="98"/>
      <c r="AN704" s="98"/>
      <c r="AO704" s="98"/>
    </row>
    <row r="705" ht="14.25" customHeight="1">
      <c r="A705" s="98"/>
      <c r="B705" s="98"/>
      <c r="C705" s="98"/>
      <c r="D705" s="98"/>
      <c r="E705" s="98"/>
      <c r="F705" s="235"/>
      <c r="G705" s="235"/>
      <c r="H705" s="236"/>
      <c r="I705" s="236"/>
      <c r="J705" s="236"/>
      <c r="K705" s="236"/>
      <c r="L705" s="236"/>
      <c r="M705" s="236"/>
      <c r="N705" s="236"/>
      <c r="O705" s="236"/>
      <c r="P705" s="236"/>
      <c r="Q705" s="236"/>
      <c r="R705" s="236"/>
      <c r="S705" s="236"/>
      <c r="T705" s="236"/>
      <c r="U705" s="236"/>
      <c r="V705" s="236"/>
      <c r="W705" s="237"/>
      <c r="X705" s="237"/>
      <c r="Y705" s="237"/>
      <c r="Z705" s="237"/>
      <c r="AA705" s="237"/>
      <c r="AB705" s="237"/>
      <c r="AC705" s="237"/>
      <c r="AD705" s="237"/>
      <c r="AE705" s="237"/>
      <c r="AF705" s="237"/>
      <c r="AG705" s="237"/>
      <c r="AH705" s="237"/>
      <c r="AI705" s="98"/>
      <c r="AJ705" s="98"/>
      <c r="AK705" s="98"/>
      <c r="AL705" s="98"/>
      <c r="AM705" s="98"/>
      <c r="AN705" s="98"/>
      <c r="AO705" s="98"/>
    </row>
    <row r="706" ht="14.25" customHeight="1">
      <c r="A706" s="98"/>
      <c r="B706" s="98"/>
      <c r="C706" s="98"/>
      <c r="D706" s="98"/>
      <c r="E706" s="98"/>
      <c r="F706" s="235"/>
      <c r="G706" s="235"/>
      <c r="H706" s="236"/>
      <c r="I706" s="236"/>
      <c r="J706" s="236"/>
      <c r="K706" s="236"/>
      <c r="L706" s="236"/>
      <c r="M706" s="236"/>
      <c r="N706" s="236"/>
      <c r="O706" s="236"/>
      <c r="P706" s="236"/>
      <c r="Q706" s="236"/>
      <c r="R706" s="236"/>
      <c r="S706" s="236"/>
      <c r="T706" s="236"/>
      <c r="U706" s="236"/>
      <c r="V706" s="236"/>
      <c r="W706" s="237"/>
      <c r="X706" s="237"/>
      <c r="Y706" s="237"/>
      <c r="Z706" s="237"/>
      <c r="AA706" s="237"/>
      <c r="AB706" s="237"/>
      <c r="AC706" s="237"/>
      <c r="AD706" s="237"/>
      <c r="AE706" s="237"/>
      <c r="AF706" s="237"/>
      <c r="AG706" s="237"/>
      <c r="AH706" s="237"/>
      <c r="AI706" s="98"/>
      <c r="AJ706" s="98"/>
      <c r="AK706" s="98"/>
      <c r="AL706" s="98"/>
      <c r="AM706" s="98"/>
      <c r="AN706" s="98"/>
      <c r="AO706" s="98"/>
    </row>
    <row r="707" ht="14.25" customHeight="1">
      <c r="A707" s="98"/>
      <c r="B707" s="98"/>
      <c r="C707" s="98"/>
      <c r="D707" s="98"/>
      <c r="E707" s="98"/>
      <c r="F707" s="235"/>
      <c r="G707" s="235"/>
      <c r="H707" s="236"/>
      <c r="I707" s="236"/>
      <c r="J707" s="236"/>
      <c r="K707" s="236"/>
      <c r="L707" s="236"/>
      <c r="M707" s="236"/>
      <c r="N707" s="236"/>
      <c r="O707" s="236"/>
      <c r="P707" s="236"/>
      <c r="Q707" s="236"/>
      <c r="R707" s="236"/>
      <c r="S707" s="236"/>
      <c r="T707" s="236"/>
      <c r="U707" s="236"/>
      <c r="V707" s="236"/>
      <c r="W707" s="237"/>
      <c r="X707" s="237"/>
      <c r="Y707" s="237"/>
      <c r="Z707" s="237"/>
      <c r="AA707" s="237"/>
      <c r="AB707" s="237"/>
      <c r="AC707" s="237"/>
      <c r="AD707" s="237"/>
      <c r="AE707" s="237"/>
      <c r="AF707" s="237"/>
      <c r="AG707" s="237"/>
      <c r="AH707" s="237"/>
      <c r="AI707" s="98"/>
      <c r="AJ707" s="98"/>
      <c r="AK707" s="98"/>
      <c r="AL707" s="98"/>
      <c r="AM707" s="98"/>
      <c r="AN707" s="98"/>
      <c r="AO707" s="98"/>
    </row>
    <row r="708" ht="14.25" customHeight="1">
      <c r="A708" s="98"/>
      <c r="B708" s="98"/>
      <c r="C708" s="98"/>
      <c r="D708" s="98"/>
      <c r="E708" s="98"/>
      <c r="F708" s="235"/>
      <c r="G708" s="235"/>
      <c r="H708" s="236"/>
      <c r="I708" s="236"/>
      <c r="J708" s="236"/>
      <c r="K708" s="236"/>
      <c r="L708" s="236"/>
      <c r="M708" s="236"/>
      <c r="N708" s="236"/>
      <c r="O708" s="236"/>
      <c r="P708" s="236"/>
      <c r="Q708" s="236"/>
      <c r="R708" s="236"/>
      <c r="S708" s="236"/>
      <c r="T708" s="236"/>
      <c r="U708" s="236"/>
      <c r="V708" s="236"/>
      <c r="W708" s="237"/>
      <c r="X708" s="237"/>
      <c r="Y708" s="237"/>
      <c r="Z708" s="237"/>
      <c r="AA708" s="237"/>
      <c r="AB708" s="237"/>
      <c r="AC708" s="237"/>
      <c r="AD708" s="237"/>
      <c r="AE708" s="237"/>
      <c r="AF708" s="237"/>
      <c r="AG708" s="237"/>
      <c r="AH708" s="237"/>
      <c r="AI708" s="98"/>
      <c r="AJ708" s="98"/>
      <c r="AK708" s="98"/>
      <c r="AL708" s="98"/>
      <c r="AM708" s="98"/>
      <c r="AN708" s="98"/>
      <c r="AO708" s="98"/>
    </row>
    <row r="709" ht="14.25" customHeight="1">
      <c r="A709" s="98"/>
      <c r="B709" s="98"/>
      <c r="C709" s="98"/>
      <c r="D709" s="98"/>
      <c r="E709" s="98"/>
      <c r="F709" s="235"/>
      <c r="G709" s="235"/>
      <c r="H709" s="236"/>
      <c r="I709" s="236"/>
      <c r="J709" s="236"/>
      <c r="K709" s="236"/>
      <c r="L709" s="236"/>
      <c r="M709" s="236"/>
      <c r="N709" s="236"/>
      <c r="O709" s="236"/>
      <c r="P709" s="236"/>
      <c r="Q709" s="236"/>
      <c r="R709" s="236"/>
      <c r="S709" s="236"/>
      <c r="T709" s="236"/>
      <c r="U709" s="236"/>
      <c r="V709" s="236"/>
      <c r="W709" s="237"/>
      <c r="X709" s="237"/>
      <c r="Y709" s="237"/>
      <c r="Z709" s="237"/>
      <c r="AA709" s="237"/>
      <c r="AB709" s="237"/>
      <c r="AC709" s="237"/>
      <c r="AD709" s="237"/>
      <c r="AE709" s="237"/>
      <c r="AF709" s="237"/>
      <c r="AG709" s="237"/>
      <c r="AH709" s="237"/>
      <c r="AI709" s="98"/>
      <c r="AJ709" s="98"/>
      <c r="AK709" s="98"/>
      <c r="AL709" s="98"/>
      <c r="AM709" s="98"/>
      <c r="AN709" s="98"/>
      <c r="AO709" s="98"/>
    </row>
    <row r="710" ht="14.25" customHeight="1">
      <c r="A710" s="98"/>
      <c r="B710" s="98"/>
      <c r="C710" s="98"/>
      <c r="D710" s="98"/>
      <c r="E710" s="98"/>
      <c r="F710" s="235"/>
      <c r="G710" s="235"/>
      <c r="H710" s="236"/>
      <c r="I710" s="236"/>
      <c r="J710" s="236"/>
      <c r="K710" s="236"/>
      <c r="L710" s="236"/>
      <c r="M710" s="236"/>
      <c r="N710" s="236"/>
      <c r="O710" s="236"/>
      <c r="P710" s="236"/>
      <c r="Q710" s="236"/>
      <c r="R710" s="236"/>
      <c r="S710" s="236"/>
      <c r="T710" s="236"/>
      <c r="U710" s="236"/>
      <c r="V710" s="236"/>
      <c r="W710" s="237"/>
      <c r="X710" s="237"/>
      <c r="Y710" s="237"/>
      <c r="Z710" s="237"/>
      <c r="AA710" s="237"/>
      <c r="AB710" s="237"/>
      <c r="AC710" s="237"/>
      <c r="AD710" s="237"/>
      <c r="AE710" s="237"/>
      <c r="AF710" s="237"/>
      <c r="AG710" s="237"/>
      <c r="AH710" s="237"/>
      <c r="AI710" s="98"/>
      <c r="AJ710" s="98"/>
      <c r="AK710" s="98"/>
      <c r="AL710" s="98"/>
      <c r="AM710" s="98"/>
      <c r="AN710" s="98"/>
      <c r="AO710" s="98"/>
    </row>
    <row r="711" ht="14.25" customHeight="1">
      <c r="A711" s="98"/>
      <c r="B711" s="98"/>
      <c r="C711" s="98"/>
      <c r="D711" s="98"/>
      <c r="E711" s="98"/>
      <c r="F711" s="235"/>
      <c r="G711" s="235"/>
      <c r="H711" s="236"/>
      <c r="I711" s="236"/>
      <c r="J711" s="236"/>
      <c r="K711" s="236"/>
      <c r="L711" s="236"/>
      <c r="M711" s="236"/>
      <c r="N711" s="236"/>
      <c r="O711" s="236"/>
      <c r="P711" s="236"/>
      <c r="Q711" s="236"/>
      <c r="R711" s="236"/>
      <c r="S711" s="236"/>
      <c r="T711" s="236"/>
      <c r="U711" s="236"/>
      <c r="V711" s="236"/>
      <c r="W711" s="237"/>
      <c r="X711" s="237"/>
      <c r="Y711" s="237"/>
      <c r="Z711" s="237"/>
      <c r="AA711" s="237"/>
      <c r="AB711" s="237"/>
      <c r="AC711" s="237"/>
      <c r="AD711" s="237"/>
      <c r="AE711" s="237"/>
      <c r="AF711" s="237"/>
      <c r="AG711" s="237"/>
      <c r="AH711" s="237"/>
      <c r="AI711" s="98"/>
      <c r="AJ711" s="98"/>
      <c r="AK711" s="98"/>
      <c r="AL711" s="98"/>
      <c r="AM711" s="98"/>
      <c r="AN711" s="98"/>
      <c r="AO711" s="98"/>
    </row>
    <row r="712" ht="14.25" customHeight="1">
      <c r="A712" s="98"/>
      <c r="B712" s="98"/>
      <c r="C712" s="98"/>
      <c r="D712" s="98"/>
      <c r="E712" s="98"/>
      <c r="F712" s="235"/>
      <c r="G712" s="235"/>
      <c r="H712" s="236"/>
      <c r="I712" s="236"/>
      <c r="J712" s="236"/>
      <c r="K712" s="236"/>
      <c r="L712" s="236"/>
      <c r="M712" s="236"/>
      <c r="N712" s="236"/>
      <c r="O712" s="236"/>
      <c r="P712" s="236"/>
      <c r="Q712" s="236"/>
      <c r="R712" s="236"/>
      <c r="S712" s="236"/>
      <c r="T712" s="236"/>
      <c r="U712" s="236"/>
      <c r="V712" s="236"/>
      <c r="W712" s="237"/>
      <c r="X712" s="237"/>
      <c r="Y712" s="237"/>
      <c r="Z712" s="237"/>
      <c r="AA712" s="237"/>
      <c r="AB712" s="237"/>
      <c r="AC712" s="237"/>
      <c r="AD712" s="237"/>
      <c r="AE712" s="237"/>
      <c r="AF712" s="237"/>
      <c r="AG712" s="237"/>
      <c r="AH712" s="237"/>
      <c r="AI712" s="98"/>
      <c r="AJ712" s="98"/>
      <c r="AK712" s="98"/>
      <c r="AL712" s="98"/>
      <c r="AM712" s="98"/>
      <c r="AN712" s="98"/>
      <c r="AO712" s="98"/>
    </row>
    <row r="713" ht="14.25" customHeight="1">
      <c r="A713" s="98"/>
      <c r="B713" s="98"/>
      <c r="C713" s="98"/>
      <c r="D713" s="98"/>
      <c r="E713" s="98"/>
      <c r="F713" s="235"/>
      <c r="G713" s="235"/>
      <c r="H713" s="236"/>
      <c r="I713" s="236"/>
      <c r="J713" s="236"/>
      <c r="K713" s="236"/>
      <c r="L713" s="236"/>
      <c r="M713" s="236"/>
      <c r="N713" s="236"/>
      <c r="O713" s="236"/>
      <c r="P713" s="236"/>
      <c r="Q713" s="236"/>
      <c r="R713" s="236"/>
      <c r="S713" s="236"/>
      <c r="T713" s="236"/>
      <c r="U713" s="236"/>
      <c r="V713" s="236"/>
      <c r="W713" s="237"/>
      <c r="X713" s="237"/>
      <c r="Y713" s="237"/>
      <c r="Z713" s="237"/>
      <c r="AA713" s="237"/>
      <c r="AB713" s="237"/>
      <c r="AC713" s="237"/>
      <c r="AD713" s="237"/>
      <c r="AE713" s="237"/>
      <c r="AF713" s="237"/>
      <c r="AG713" s="237"/>
      <c r="AH713" s="237"/>
      <c r="AI713" s="98"/>
      <c r="AJ713" s="98"/>
      <c r="AK713" s="98"/>
      <c r="AL713" s="98"/>
      <c r="AM713" s="98"/>
      <c r="AN713" s="98"/>
      <c r="AO713" s="98"/>
    </row>
    <row r="714" ht="14.25" customHeight="1">
      <c r="A714" s="98"/>
      <c r="B714" s="98"/>
      <c r="C714" s="98"/>
      <c r="D714" s="98"/>
      <c r="E714" s="98"/>
      <c r="F714" s="235"/>
      <c r="G714" s="235"/>
      <c r="H714" s="236"/>
      <c r="I714" s="236"/>
      <c r="J714" s="236"/>
      <c r="K714" s="236"/>
      <c r="L714" s="236"/>
      <c r="M714" s="236"/>
      <c r="N714" s="236"/>
      <c r="O714" s="236"/>
      <c r="P714" s="236"/>
      <c r="Q714" s="236"/>
      <c r="R714" s="236"/>
      <c r="S714" s="236"/>
      <c r="T714" s="236"/>
      <c r="U714" s="236"/>
      <c r="V714" s="236"/>
      <c r="W714" s="237"/>
      <c r="X714" s="237"/>
      <c r="Y714" s="237"/>
      <c r="Z714" s="237"/>
      <c r="AA714" s="237"/>
      <c r="AB714" s="237"/>
      <c r="AC714" s="237"/>
      <c r="AD714" s="237"/>
      <c r="AE714" s="237"/>
      <c r="AF714" s="237"/>
      <c r="AG714" s="237"/>
      <c r="AH714" s="237"/>
      <c r="AI714" s="98"/>
      <c r="AJ714" s="98"/>
      <c r="AK714" s="98"/>
      <c r="AL714" s="98"/>
      <c r="AM714" s="98"/>
      <c r="AN714" s="98"/>
      <c r="AO714" s="98"/>
    </row>
    <row r="715" ht="14.25" customHeight="1">
      <c r="A715" s="98"/>
      <c r="B715" s="98"/>
      <c r="C715" s="98"/>
      <c r="D715" s="98"/>
      <c r="E715" s="98"/>
      <c r="F715" s="235"/>
      <c r="G715" s="235"/>
      <c r="H715" s="236"/>
      <c r="I715" s="236"/>
      <c r="J715" s="236"/>
      <c r="K715" s="236"/>
      <c r="L715" s="236"/>
      <c r="M715" s="236"/>
      <c r="N715" s="236"/>
      <c r="O715" s="236"/>
      <c r="P715" s="236"/>
      <c r="Q715" s="236"/>
      <c r="R715" s="236"/>
      <c r="S715" s="236"/>
      <c r="T715" s="236"/>
      <c r="U715" s="236"/>
      <c r="V715" s="236"/>
      <c r="W715" s="237"/>
      <c r="X715" s="237"/>
      <c r="Y715" s="237"/>
      <c r="Z715" s="237"/>
      <c r="AA715" s="237"/>
      <c r="AB715" s="237"/>
      <c r="AC715" s="237"/>
      <c r="AD715" s="237"/>
      <c r="AE715" s="237"/>
      <c r="AF715" s="237"/>
      <c r="AG715" s="237"/>
      <c r="AH715" s="237"/>
      <c r="AI715" s="98"/>
      <c r="AJ715" s="98"/>
      <c r="AK715" s="98"/>
      <c r="AL715" s="98"/>
      <c r="AM715" s="98"/>
      <c r="AN715" s="98"/>
      <c r="AO715" s="98"/>
    </row>
    <row r="716" ht="14.25" customHeight="1">
      <c r="A716" s="98"/>
      <c r="B716" s="98"/>
      <c r="C716" s="98"/>
      <c r="D716" s="98"/>
      <c r="E716" s="98"/>
      <c r="F716" s="235"/>
      <c r="G716" s="235"/>
      <c r="H716" s="236"/>
      <c r="I716" s="236"/>
      <c r="J716" s="236"/>
      <c r="K716" s="236"/>
      <c r="L716" s="236"/>
      <c r="M716" s="236"/>
      <c r="N716" s="236"/>
      <c r="O716" s="236"/>
      <c r="P716" s="236"/>
      <c r="Q716" s="236"/>
      <c r="R716" s="236"/>
      <c r="S716" s="236"/>
      <c r="T716" s="236"/>
      <c r="U716" s="236"/>
      <c r="V716" s="236"/>
      <c r="W716" s="237"/>
      <c r="X716" s="237"/>
      <c r="Y716" s="237"/>
      <c r="Z716" s="237"/>
      <c r="AA716" s="237"/>
      <c r="AB716" s="237"/>
      <c r="AC716" s="237"/>
      <c r="AD716" s="237"/>
      <c r="AE716" s="237"/>
      <c r="AF716" s="237"/>
      <c r="AG716" s="237"/>
      <c r="AH716" s="237"/>
      <c r="AI716" s="98"/>
      <c r="AJ716" s="98"/>
      <c r="AK716" s="98"/>
      <c r="AL716" s="98"/>
      <c r="AM716" s="98"/>
      <c r="AN716" s="98"/>
      <c r="AO716" s="98"/>
    </row>
    <row r="717" ht="14.25" customHeight="1">
      <c r="A717" s="98"/>
      <c r="B717" s="98"/>
      <c r="C717" s="98"/>
      <c r="D717" s="98"/>
      <c r="E717" s="98"/>
      <c r="F717" s="235"/>
      <c r="G717" s="235"/>
      <c r="H717" s="236"/>
      <c r="I717" s="236"/>
      <c r="J717" s="236"/>
      <c r="K717" s="236"/>
      <c r="L717" s="236"/>
      <c r="M717" s="236"/>
      <c r="N717" s="236"/>
      <c r="O717" s="236"/>
      <c r="P717" s="236"/>
      <c r="Q717" s="236"/>
      <c r="R717" s="236"/>
      <c r="S717" s="236"/>
      <c r="T717" s="236"/>
      <c r="U717" s="236"/>
      <c r="V717" s="236"/>
      <c r="W717" s="237"/>
      <c r="X717" s="237"/>
      <c r="Y717" s="237"/>
      <c r="Z717" s="237"/>
      <c r="AA717" s="237"/>
      <c r="AB717" s="237"/>
      <c r="AC717" s="237"/>
      <c r="AD717" s="237"/>
      <c r="AE717" s="237"/>
      <c r="AF717" s="237"/>
      <c r="AG717" s="237"/>
      <c r="AH717" s="237"/>
      <c r="AI717" s="98"/>
      <c r="AJ717" s="98"/>
      <c r="AK717" s="98"/>
      <c r="AL717" s="98"/>
      <c r="AM717" s="98"/>
      <c r="AN717" s="98"/>
      <c r="AO717" s="98"/>
    </row>
    <row r="718" ht="14.25" customHeight="1">
      <c r="A718" s="98"/>
      <c r="B718" s="98"/>
      <c r="C718" s="98"/>
      <c r="D718" s="98"/>
      <c r="E718" s="98"/>
      <c r="F718" s="235"/>
      <c r="G718" s="235"/>
      <c r="H718" s="236"/>
      <c r="I718" s="236"/>
      <c r="J718" s="236"/>
      <c r="K718" s="236"/>
      <c r="L718" s="236"/>
      <c r="M718" s="236"/>
      <c r="N718" s="236"/>
      <c r="O718" s="236"/>
      <c r="P718" s="236"/>
      <c r="Q718" s="236"/>
      <c r="R718" s="236"/>
      <c r="S718" s="236"/>
      <c r="T718" s="236"/>
      <c r="U718" s="236"/>
      <c r="V718" s="236"/>
      <c r="W718" s="237"/>
      <c r="X718" s="237"/>
      <c r="Y718" s="237"/>
      <c r="Z718" s="237"/>
      <c r="AA718" s="237"/>
      <c r="AB718" s="237"/>
      <c r="AC718" s="237"/>
      <c r="AD718" s="237"/>
      <c r="AE718" s="237"/>
      <c r="AF718" s="237"/>
      <c r="AG718" s="237"/>
      <c r="AH718" s="237"/>
      <c r="AI718" s="98"/>
      <c r="AJ718" s="98"/>
      <c r="AK718" s="98"/>
      <c r="AL718" s="98"/>
      <c r="AM718" s="98"/>
      <c r="AN718" s="98"/>
      <c r="AO718" s="98"/>
    </row>
    <row r="719" ht="14.25" customHeight="1">
      <c r="A719" s="98"/>
      <c r="B719" s="98"/>
      <c r="C719" s="98"/>
      <c r="D719" s="98"/>
      <c r="E719" s="98"/>
      <c r="F719" s="235"/>
      <c r="G719" s="235"/>
      <c r="H719" s="236"/>
      <c r="I719" s="236"/>
      <c r="J719" s="236"/>
      <c r="K719" s="236"/>
      <c r="L719" s="236"/>
      <c r="M719" s="236"/>
      <c r="N719" s="236"/>
      <c r="O719" s="236"/>
      <c r="P719" s="236"/>
      <c r="Q719" s="236"/>
      <c r="R719" s="236"/>
      <c r="S719" s="236"/>
      <c r="T719" s="236"/>
      <c r="U719" s="236"/>
      <c r="V719" s="236"/>
      <c r="W719" s="237"/>
      <c r="X719" s="237"/>
      <c r="Y719" s="237"/>
      <c r="Z719" s="237"/>
      <c r="AA719" s="237"/>
      <c r="AB719" s="237"/>
      <c r="AC719" s="237"/>
      <c r="AD719" s="237"/>
      <c r="AE719" s="237"/>
      <c r="AF719" s="237"/>
      <c r="AG719" s="237"/>
      <c r="AH719" s="237"/>
      <c r="AI719" s="98"/>
      <c r="AJ719" s="98"/>
      <c r="AK719" s="98"/>
      <c r="AL719" s="98"/>
      <c r="AM719" s="98"/>
      <c r="AN719" s="98"/>
      <c r="AO719" s="98"/>
    </row>
    <row r="720" ht="14.25" customHeight="1">
      <c r="A720" s="98"/>
      <c r="B720" s="98"/>
      <c r="C720" s="98"/>
      <c r="D720" s="98"/>
      <c r="E720" s="98"/>
      <c r="F720" s="235"/>
      <c r="G720" s="235"/>
      <c r="H720" s="236"/>
      <c r="I720" s="236"/>
      <c r="J720" s="236"/>
      <c r="K720" s="236"/>
      <c r="L720" s="236"/>
      <c r="M720" s="236"/>
      <c r="N720" s="236"/>
      <c r="O720" s="236"/>
      <c r="P720" s="236"/>
      <c r="Q720" s="236"/>
      <c r="R720" s="236"/>
      <c r="S720" s="236"/>
      <c r="T720" s="236"/>
      <c r="U720" s="236"/>
      <c r="V720" s="236"/>
      <c r="W720" s="237"/>
      <c r="X720" s="237"/>
      <c r="Y720" s="237"/>
      <c r="Z720" s="237"/>
      <c r="AA720" s="237"/>
      <c r="AB720" s="237"/>
      <c r="AC720" s="237"/>
      <c r="AD720" s="237"/>
      <c r="AE720" s="237"/>
      <c r="AF720" s="237"/>
      <c r="AG720" s="237"/>
      <c r="AH720" s="237"/>
      <c r="AI720" s="98"/>
      <c r="AJ720" s="98"/>
      <c r="AK720" s="98"/>
      <c r="AL720" s="98"/>
      <c r="AM720" s="98"/>
      <c r="AN720" s="98"/>
      <c r="AO720" s="98"/>
    </row>
    <row r="721" ht="14.25" customHeight="1">
      <c r="A721" s="98"/>
      <c r="B721" s="98"/>
      <c r="C721" s="98"/>
      <c r="D721" s="98"/>
      <c r="E721" s="98"/>
      <c r="F721" s="235"/>
      <c r="G721" s="235"/>
      <c r="H721" s="236"/>
      <c r="I721" s="236"/>
      <c r="J721" s="236"/>
      <c r="K721" s="236"/>
      <c r="L721" s="236"/>
      <c r="M721" s="236"/>
      <c r="N721" s="236"/>
      <c r="O721" s="236"/>
      <c r="P721" s="236"/>
      <c r="Q721" s="236"/>
      <c r="R721" s="236"/>
      <c r="S721" s="236"/>
      <c r="T721" s="236"/>
      <c r="U721" s="236"/>
      <c r="V721" s="236"/>
      <c r="W721" s="237"/>
      <c r="X721" s="237"/>
      <c r="Y721" s="237"/>
      <c r="Z721" s="237"/>
      <c r="AA721" s="237"/>
      <c r="AB721" s="237"/>
      <c r="AC721" s="237"/>
      <c r="AD721" s="237"/>
      <c r="AE721" s="237"/>
      <c r="AF721" s="237"/>
      <c r="AG721" s="237"/>
      <c r="AH721" s="237"/>
      <c r="AI721" s="98"/>
      <c r="AJ721" s="98"/>
      <c r="AK721" s="98"/>
      <c r="AL721" s="98"/>
      <c r="AM721" s="98"/>
      <c r="AN721" s="98"/>
      <c r="AO721" s="98"/>
    </row>
    <row r="722" ht="14.25" customHeight="1">
      <c r="A722" s="98"/>
      <c r="B722" s="98"/>
      <c r="C722" s="98"/>
      <c r="D722" s="98"/>
      <c r="E722" s="98"/>
      <c r="F722" s="235"/>
      <c r="G722" s="235"/>
      <c r="H722" s="236"/>
      <c r="I722" s="236"/>
      <c r="J722" s="236"/>
      <c r="K722" s="236"/>
      <c r="L722" s="236"/>
      <c r="M722" s="236"/>
      <c r="N722" s="236"/>
      <c r="O722" s="236"/>
      <c r="P722" s="236"/>
      <c r="Q722" s="236"/>
      <c r="R722" s="236"/>
      <c r="S722" s="236"/>
      <c r="T722" s="236"/>
      <c r="U722" s="236"/>
      <c r="V722" s="236"/>
      <c r="W722" s="237"/>
      <c r="X722" s="237"/>
      <c r="Y722" s="237"/>
      <c r="Z722" s="237"/>
      <c r="AA722" s="237"/>
      <c r="AB722" s="237"/>
      <c r="AC722" s="237"/>
      <c r="AD722" s="237"/>
      <c r="AE722" s="237"/>
      <c r="AF722" s="237"/>
      <c r="AG722" s="237"/>
      <c r="AH722" s="237"/>
      <c r="AI722" s="98"/>
      <c r="AJ722" s="98"/>
      <c r="AK722" s="98"/>
      <c r="AL722" s="98"/>
      <c r="AM722" s="98"/>
      <c r="AN722" s="98"/>
      <c r="AO722" s="98"/>
    </row>
    <row r="723" ht="14.25" customHeight="1">
      <c r="A723" s="98"/>
      <c r="B723" s="98"/>
      <c r="C723" s="98"/>
      <c r="D723" s="98"/>
      <c r="E723" s="98"/>
      <c r="F723" s="235"/>
      <c r="G723" s="235"/>
      <c r="H723" s="236"/>
      <c r="I723" s="236"/>
      <c r="J723" s="236"/>
      <c r="K723" s="236"/>
      <c r="L723" s="236"/>
      <c r="M723" s="236"/>
      <c r="N723" s="236"/>
      <c r="O723" s="236"/>
      <c r="P723" s="236"/>
      <c r="Q723" s="236"/>
      <c r="R723" s="236"/>
      <c r="S723" s="236"/>
      <c r="T723" s="236"/>
      <c r="U723" s="236"/>
      <c r="V723" s="236"/>
      <c r="W723" s="237"/>
      <c r="X723" s="237"/>
      <c r="Y723" s="237"/>
      <c r="Z723" s="237"/>
      <c r="AA723" s="237"/>
      <c r="AB723" s="237"/>
      <c r="AC723" s="237"/>
      <c r="AD723" s="237"/>
      <c r="AE723" s="237"/>
      <c r="AF723" s="237"/>
      <c r="AG723" s="237"/>
      <c r="AH723" s="237"/>
      <c r="AI723" s="98"/>
      <c r="AJ723" s="98"/>
      <c r="AK723" s="98"/>
      <c r="AL723" s="98"/>
      <c r="AM723" s="98"/>
      <c r="AN723" s="98"/>
      <c r="AO723" s="98"/>
    </row>
    <row r="724" ht="14.25" customHeight="1">
      <c r="A724" s="98"/>
      <c r="B724" s="98"/>
      <c r="C724" s="98"/>
      <c r="D724" s="98"/>
      <c r="E724" s="98"/>
      <c r="F724" s="235"/>
      <c r="G724" s="235"/>
      <c r="H724" s="236"/>
      <c r="I724" s="236"/>
      <c r="J724" s="236"/>
      <c r="K724" s="236"/>
      <c r="L724" s="236"/>
      <c r="M724" s="236"/>
      <c r="N724" s="236"/>
      <c r="O724" s="236"/>
      <c r="P724" s="236"/>
      <c r="Q724" s="236"/>
      <c r="R724" s="236"/>
      <c r="S724" s="236"/>
      <c r="T724" s="236"/>
      <c r="U724" s="236"/>
      <c r="V724" s="236"/>
      <c r="W724" s="237"/>
      <c r="X724" s="237"/>
      <c r="Y724" s="237"/>
      <c r="Z724" s="237"/>
      <c r="AA724" s="237"/>
      <c r="AB724" s="237"/>
      <c r="AC724" s="237"/>
      <c r="AD724" s="237"/>
      <c r="AE724" s="237"/>
      <c r="AF724" s="237"/>
      <c r="AG724" s="237"/>
      <c r="AH724" s="237"/>
      <c r="AI724" s="98"/>
      <c r="AJ724" s="98"/>
      <c r="AK724" s="98"/>
      <c r="AL724" s="98"/>
      <c r="AM724" s="98"/>
      <c r="AN724" s="98"/>
      <c r="AO724" s="98"/>
    </row>
    <row r="725" ht="14.25" customHeight="1">
      <c r="A725" s="98"/>
      <c r="B725" s="98"/>
      <c r="C725" s="98"/>
      <c r="D725" s="98"/>
      <c r="E725" s="98"/>
      <c r="F725" s="235"/>
      <c r="G725" s="235"/>
      <c r="H725" s="236"/>
      <c r="I725" s="236"/>
      <c r="J725" s="236"/>
      <c r="K725" s="236"/>
      <c r="L725" s="236"/>
      <c r="M725" s="236"/>
      <c r="N725" s="236"/>
      <c r="O725" s="236"/>
      <c r="P725" s="236"/>
      <c r="Q725" s="236"/>
      <c r="R725" s="236"/>
      <c r="S725" s="236"/>
      <c r="T725" s="236"/>
      <c r="U725" s="236"/>
      <c r="V725" s="236"/>
      <c r="W725" s="237"/>
      <c r="X725" s="237"/>
      <c r="Y725" s="237"/>
      <c r="Z725" s="237"/>
      <c r="AA725" s="237"/>
      <c r="AB725" s="237"/>
      <c r="AC725" s="237"/>
      <c r="AD725" s="237"/>
      <c r="AE725" s="237"/>
      <c r="AF725" s="237"/>
      <c r="AG725" s="237"/>
      <c r="AH725" s="237"/>
      <c r="AI725" s="98"/>
      <c r="AJ725" s="98"/>
      <c r="AK725" s="98"/>
      <c r="AL725" s="98"/>
      <c r="AM725" s="98"/>
      <c r="AN725" s="98"/>
      <c r="AO725" s="98"/>
    </row>
    <row r="726" ht="14.25" customHeight="1">
      <c r="A726" s="98"/>
      <c r="B726" s="98"/>
      <c r="C726" s="98"/>
      <c r="D726" s="98"/>
      <c r="E726" s="98"/>
      <c r="F726" s="235"/>
      <c r="G726" s="235"/>
      <c r="H726" s="236"/>
      <c r="I726" s="236"/>
      <c r="J726" s="236"/>
      <c r="K726" s="236"/>
      <c r="L726" s="236"/>
      <c r="M726" s="236"/>
      <c r="N726" s="236"/>
      <c r="O726" s="236"/>
      <c r="P726" s="236"/>
      <c r="Q726" s="236"/>
      <c r="R726" s="236"/>
      <c r="S726" s="236"/>
      <c r="T726" s="236"/>
      <c r="U726" s="236"/>
      <c r="V726" s="236"/>
      <c r="W726" s="237"/>
      <c r="X726" s="237"/>
      <c r="Y726" s="237"/>
      <c r="Z726" s="237"/>
      <c r="AA726" s="237"/>
      <c r="AB726" s="237"/>
      <c r="AC726" s="237"/>
      <c r="AD726" s="237"/>
      <c r="AE726" s="237"/>
      <c r="AF726" s="237"/>
      <c r="AG726" s="237"/>
      <c r="AH726" s="237"/>
      <c r="AI726" s="98"/>
      <c r="AJ726" s="98"/>
      <c r="AK726" s="98"/>
      <c r="AL726" s="98"/>
      <c r="AM726" s="98"/>
      <c r="AN726" s="98"/>
      <c r="AO726" s="98"/>
    </row>
    <row r="727" ht="14.25" customHeight="1">
      <c r="A727" s="98"/>
      <c r="B727" s="98"/>
      <c r="C727" s="98"/>
      <c r="D727" s="98"/>
      <c r="E727" s="98"/>
      <c r="F727" s="235"/>
      <c r="G727" s="235"/>
      <c r="H727" s="236"/>
      <c r="I727" s="236"/>
      <c r="J727" s="236"/>
      <c r="K727" s="236"/>
      <c r="L727" s="236"/>
      <c r="M727" s="236"/>
      <c r="N727" s="236"/>
      <c r="O727" s="236"/>
      <c r="P727" s="236"/>
      <c r="Q727" s="236"/>
      <c r="R727" s="236"/>
      <c r="S727" s="236"/>
      <c r="T727" s="236"/>
      <c r="U727" s="236"/>
      <c r="V727" s="236"/>
      <c r="W727" s="237"/>
      <c r="X727" s="237"/>
      <c r="Y727" s="237"/>
      <c r="Z727" s="237"/>
      <c r="AA727" s="237"/>
      <c r="AB727" s="237"/>
      <c r="AC727" s="237"/>
      <c r="AD727" s="237"/>
      <c r="AE727" s="237"/>
      <c r="AF727" s="237"/>
      <c r="AG727" s="237"/>
      <c r="AH727" s="237"/>
      <c r="AI727" s="98"/>
      <c r="AJ727" s="98"/>
      <c r="AK727" s="98"/>
      <c r="AL727" s="98"/>
      <c r="AM727" s="98"/>
      <c r="AN727" s="98"/>
      <c r="AO727" s="98"/>
    </row>
    <row r="728" ht="14.25" customHeight="1">
      <c r="A728" s="98"/>
      <c r="B728" s="98"/>
      <c r="C728" s="98"/>
      <c r="D728" s="98"/>
      <c r="E728" s="98"/>
      <c r="F728" s="235"/>
      <c r="G728" s="235"/>
      <c r="H728" s="236"/>
      <c r="I728" s="236"/>
      <c r="J728" s="236"/>
      <c r="K728" s="236"/>
      <c r="L728" s="236"/>
      <c r="M728" s="236"/>
      <c r="N728" s="236"/>
      <c r="O728" s="236"/>
      <c r="P728" s="236"/>
      <c r="Q728" s="236"/>
      <c r="R728" s="236"/>
      <c r="S728" s="236"/>
      <c r="T728" s="236"/>
      <c r="U728" s="236"/>
      <c r="V728" s="236"/>
      <c r="W728" s="237"/>
      <c r="X728" s="237"/>
      <c r="Y728" s="237"/>
      <c r="Z728" s="237"/>
      <c r="AA728" s="237"/>
      <c r="AB728" s="237"/>
      <c r="AC728" s="237"/>
      <c r="AD728" s="237"/>
      <c r="AE728" s="237"/>
      <c r="AF728" s="237"/>
      <c r="AG728" s="237"/>
      <c r="AH728" s="237"/>
      <c r="AI728" s="98"/>
      <c r="AJ728" s="98"/>
      <c r="AK728" s="98"/>
      <c r="AL728" s="98"/>
      <c r="AM728" s="98"/>
      <c r="AN728" s="98"/>
      <c r="AO728" s="98"/>
    </row>
    <row r="729" ht="14.25" customHeight="1">
      <c r="A729" s="98"/>
      <c r="B729" s="98"/>
      <c r="C729" s="98"/>
      <c r="D729" s="98"/>
      <c r="E729" s="98"/>
      <c r="F729" s="235"/>
      <c r="G729" s="235"/>
      <c r="H729" s="236"/>
      <c r="I729" s="236"/>
      <c r="J729" s="236"/>
      <c r="K729" s="236"/>
      <c r="L729" s="236"/>
      <c r="M729" s="236"/>
      <c r="N729" s="236"/>
      <c r="O729" s="236"/>
      <c r="P729" s="236"/>
      <c r="Q729" s="236"/>
      <c r="R729" s="236"/>
      <c r="S729" s="236"/>
      <c r="T729" s="236"/>
      <c r="U729" s="236"/>
      <c r="V729" s="236"/>
      <c r="W729" s="237"/>
      <c r="X729" s="237"/>
      <c r="Y729" s="237"/>
      <c r="Z729" s="237"/>
      <c r="AA729" s="237"/>
      <c r="AB729" s="237"/>
      <c r="AC729" s="237"/>
      <c r="AD729" s="237"/>
      <c r="AE729" s="237"/>
      <c r="AF729" s="237"/>
      <c r="AG729" s="237"/>
      <c r="AH729" s="237"/>
      <c r="AI729" s="98"/>
      <c r="AJ729" s="98"/>
      <c r="AK729" s="98"/>
      <c r="AL729" s="98"/>
      <c r="AM729" s="98"/>
      <c r="AN729" s="98"/>
      <c r="AO729" s="98"/>
    </row>
    <row r="730" ht="14.25" customHeight="1">
      <c r="A730" s="98"/>
      <c r="B730" s="98"/>
      <c r="C730" s="98"/>
      <c r="D730" s="98"/>
      <c r="E730" s="98"/>
      <c r="F730" s="235"/>
      <c r="G730" s="235"/>
      <c r="H730" s="236"/>
      <c r="I730" s="236"/>
      <c r="J730" s="236"/>
      <c r="K730" s="236"/>
      <c r="L730" s="236"/>
      <c r="M730" s="236"/>
      <c r="N730" s="236"/>
      <c r="O730" s="236"/>
      <c r="P730" s="236"/>
      <c r="Q730" s="236"/>
      <c r="R730" s="236"/>
      <c r="S730" s="236"/>
      <c r="T730" s="236"/>
      <c r="U730" s="236"/>
      <c r="V730" s="236"/>
      <c r="W730" s="237"/>
      <c r="X730" s="237"/>
      <c r="Y730" s="237"/>
      <c r="Z730" s="237"/>
      <c r="AA730" s="237"/>
      <c r="AB730" s="237"/>
      <c r="AC730" s="237"/>
      <c r="AD730" s="237"/>
      <c r="AE730" s="237"/>
      <c r="AF730" s="237"/>
      <c r="AG730" s="237"/>
      <c r="AH730" s="237"/>
      <c r="AI730" s="98"/>
      <c r="AJ730" s="98"/>
      <c r="AK730" s="98"/>
      <c r="AL730" s="98"/>
      <c r="AM730" s="98"/>
      <c r="AN730" s="98"/>
      <c r="AO730" s="98"/>
    </row>
    <row r="731" ht="14.25" customHeight="1">
      <c r="A731" s="98"/>
      <c r="B731" s="98"/>
      <c r="C731" s="98"/>
      <c r="D731" s="98"/>
      <c r="E731" s="98"/>
      <c r="F731" s="235"/>
      <c r="G731" s="235"/>
      <c r="H731" s="236"/>
      <c r="I731" s="236"/>
      <c r="J731" s="236"/>
      <c r="K731" s="236"/>
      <c r="L731" s="236"/>
      <c r="M731" s="236"/>
      <c r="N731" s="236"/>
      <c r="O731" s="236"/>
      <c r="P731" s="236"/>
      <c r="Q731" s="236"/>
      <c r="R731" s="236"/>
      <c r="S731" s="236"/>
      <c r="T731" s="236"/>
      <c r="U731" s="236"/>
      <c r="V731" s="236"/>
      <c r="W731" s="237"/>
      <c r="X731" s="237"/>
      <c r="Y731" s="237"/>
      <c r="Z731" s="237"/>
      <c r="AA731" s="237"/>
      <c r="AB731" s="237"/>
      <c r="AC731" s="237"/>
      <c r="AD731" s="237"/>
      <c r="AE731" s="237"/>
      <c r="AF731" s="237"/>
      <c r="AG731" s="237"/>
      <c r="AH731" s="237"/>
      <c r="AI731" s="98"/>
      <c r="AJ731" s="98"/>
      <c r="AK731" s="98"/>
      <c r="AL731" s="98"/>
      <c r="AM731" s="98"/>
      <c r="AN731" s="98"/>
      <c r="AO731" s="98"/>
    </row>
    <row r="732" ht="14.25" customHeight="1">
      <c r="A732" s="98"/>
      <c r="B732" s="98"/>
      <c r="C732" s="98"/>
      <c r="D732" s="98"/>
      <c r="E732" s="98"/>
      <c r="F732" s="235"/>
      <c r="G732" s="235"/>
      <c r="H732" s="236"/>
      <c r="I732" s="236"/>
      <c r="J732" s="236"/>
      <c r="K732" s="236"/>
      <c r="L732" s="236"/>
      <c r="M732" s="236"/>
      <c r="N732" s="236"/>
      <c r="O732" s="236"/>
      <c r="P732" s="236"/>
      <c r="Q732" s="236"/>
      <c r="R732" s="236"/>
      <c r="S732" s="236"/>
      <c r="T732" s="236"/>
      <c r="U732" s="236"/>
      <c r="V732" s="236"/>
      <c r="W732" s="237"/>
      <c r="X732" s="237"/>
      <c r="Y732" s="237"/>
      <c r="Z732" s="237"/>
      <c r="AA732" s="237"/>
      <c r="AB732" s="237"/>
      <c r="AC732" s="237"/>
      <c r="AD732" s="237"/>
      <c r="AE732" s="237"/>
      <c r="AF732" s="237"/>
      <c r="AG732" s="237"/>
      <c r="AH732" s="237"/>
      <c r="AI732" s="98"/>
      <c r="AJ732" s="98"/>
      <c r="AK732" s="98"/>
      <c r="AL732" s="98"/>
      <c r="AM732" s="98"/>
      <c r="AN732" s="98"/>
      <c r="AO732" s="98"/>
    </row>
    <row r="733" ht="14.25" customHeight="1">
      <c r="A733" s="98"/>
      <c r="B733" s="98"/>
      <c r="C733" s="98"/>
      <c r="D733" s="98"/>
      <c r="E733" s="98"/>
      <c r="F733" s="235"/>
      <c r="G733" s="235"/>
      <c r="H733" s="236"/>
      <c r="I733" s="236"/>
      <c r="J733" s="236"/>
      <c r="K733" s="236"/>
      <c r="L733" s="236"/>
      <c r="M733" s="236"/>
      <c r="N733" s="236"/>
      <c r="O733" s="236"/>
      <c r="P733" s="236"/>
      <c r="Q733" s="236"/>
      <c r="R733" s="236"/>
      <c r="S733" s="236"/>
      <c r="T733" s="236"/>
      <c r="U733" s="236"/>
      <c r="V733" s="236"/>
      <c r="W733" s="237"/>
      <c r="X733" s="237"/>
      <c r="Y733" s="237"/>
      <c r="Z733" s="237"/>
      <c r="AA733" s="237"/>
      <c r="AB733" s="237"/>
      <c r="AC733" s="237"/>
      <c r="AD733" s="237"/>
      <c r="AE733" s="237"/>
      <c r="AF733" s="237"/>
      <c r="AG733" s="237"/>
      <c r="AH733" s="237"/>
      <c r="AI733" s="98"/>
      <c r="AJ733" s="98"/>
      <c r="AK733" s="98"/>
      <c r="AL733" s="98"/>
      <c r="AM733" s="98"/>
      <c r="AN733" s="98"/>
      <c r="AO733" s="98"/>
    </row>
    <row r="734" ht="14.25" customHeight="1">
      <c r="A734" s="98"/>
      <c r="B734" s="98"/>
      <c r="C734" s="98"/>
      <c r="D734" s="98"/>
      <c r="E734" s="98"/>
      <c r="F734" s="235"/>
      <c r="G734" s="235"/>
      <c r="H734" s="236"/>
      <c r="I734" s="236"/>
      <c r="J734" s="236"/>
      <c r="K734" s="236"/>
      <c r="L734" s="236"/>
      <c r="M734" s="236"/>
      <c r="N734" s="236"/>
      <c r="O734" s="236"/>
      <c r="P734" s="236"/>
      <c r="Q734" s="236"/>
      <c r="R734" s="236"/>
      <c r="S734" s="236"/>
      <c r="T734" s="236"/>
      <c r="U734" s="236"/>
      <c r="V734" s="236"/>
      <c r="W734" s="237"/>
      <c r="X734" s="237"/>
      <c r="Y734" s="237"/>
      <c r="Z734" s="237"/>
      <c r="AA734" s="237"/>
      <c r="AB734" s="237"/>
      <c r="AC734" s="237"/>
      <c r="AD734" s="237"/>
      <c r="AE734" s="237"/>
      <c r="AF734" s="237"/>
      <c r="AG734" s="237"/>
      <c r="AH734" s="237"/>
      <c r="AI734" s="98"/>
      <c r="AJ734" s="98"/>
      <c r="AK734" s="98"/>
      <c r="AL734" s="98"/>
      <c r="AM734" s="98"/>
      <c r="AN734" s="98"/>
      <c r="AO734" s="98"/>
    </row>
    <row r="735" ht="14.25" customHeight="1">
      <c r="A735" s="98"/>
      <c r="B735" s="98"/>
      <c r="C735" s="98"/>
      <c r="D735" s="98"/>
      <c r="E735" s="98"/>
      <c r="F735" s="235"/>
      <c r="G735" s="235"/>
      <c r="H735" s="236"/>
      <c r="I735" s="236"/>
      <c r="J735" s="236"/>
      <c r="K735" s="236"/>
      <c r="L735" s="236"/>
      <c r="M735" s="236"/>
      <c r="N735" s="236"/>
      <c r="O735" s="236"/>
      <c r="P735" s="236"/>
      <c r="Q735" s="236"/>
      <c r="R735" s="236"/>
      <c r="S735" s="236"/>
      <c r="T735" s="236"/>
      <c r="U735" s="236"/>
      <c r="V735" s="236"/>
      <c r="W735" s="237"/>
      <c r="X735" s="237"/>
      <c r="Y735" s="237"/>
      <c r="Z735" s="237"/>
      <c r="AA735" s="237"/>
      <c r="AB735" s="237"/>
      <c r="AC735" s="237"/>
      <c r="AD735" s="237"/>
      <c r="AE735" s="237"/>
      <c r="AF735" s="237"/>
      <c r="AG735" s="237"/>
      <c r="AH735" s="237"/>
      <c r="AI735" s="98"/>
      <c r="AJ735" s="98"/>
      <c r="AK735" s="98"/>
      <c r="AL735" s="98"/>
      <c r="AM735" s="98"/>
      <c r="AN735" s="98"/>
      <c r="AO735" s="98"/>
    </row>
    <row r="736" ht="14.25" customHeight="1">
      <c r="A736" s="98"/>
      <c r="B736" s="98"/>
      <c r="C736" s="98"/>
      <c r="D736" s="98"/>
      <c r="E736" s="98"/>
      <c r="F736" s="235"/>
      <c r="G736" s="235"/>
      <c r="H736" s="236"/>
      <c r="I736" s="236"/>
      <c r="J736" s="236"/>
      <c r="K736" s="236"/>
      <c r="L736" s="236"/>
      <c r="M736" s="236"/>
      <c r="N736" s="236"/>
      <c r="O736" s="236"/>
      <c r="P736" s="236"/>
      <c r="Q736" s="236"/>
      <c r="R736" s="236"/>
      <c r="S736" s="236"/>
      <c r="T736" s="236"/>
      <c r="U736" s="236"/>
      <c r="V736" s="236"/>
      <c r="W736" s="237"/>
      <c r="X736" s="237"/>
      <c r="Y736" s="237"/>
      <c r="Z736" s="237"/>
      <c r="AA736" s="237"/>
      <c r="AB736" s="237"/>
      <c r="AC736" s="237"/>
      <c r="AD736" s="237"/>
      <c r="AE736" s="237"/>
      <c r="AF736" s="237"/>
      <c r="AG736" s="237"/>
      <c r="AH736" s="237"/>
      <c r="AI736" s="98"/>
      <c r="AJ736" s="98"/>
      <c r="AK736" s="98"/>
      <c r="AL736" s="98"/>
      <c r="AM736" s="98"/>
      <c r="AN736" s="98"/>
      <c r="AO736" s="98"/>
    </row>
    <row r="737" ht="14.25" customHeight="1">
      <c r="A737" s="98"/>
      <c r="B737" s="98"/>
      <c r="C737" s="98"/>
      <c r="D737" s="98"/>
      <c r="E737" s="98"/>
      <c r="F737" s="235"/>
      <c r="G737" s="235"/>
      <c r="H737" s="236"/>
      <c r="I737" s="236"/>
      <c r="J737" s="236"/>
      <c r="K737" s="236"/>
      <c r="L737" s="236"/>
      <c r="M737" s="236"/>
      <c r="N737" s="236"/>
      <c r="O737" s="236"/>
      <c r="P737" s="236"/>
      <c r="Q737" s="236"/>
      <c r="R737" s="236"/>
      <c r="S737" s="236"/>
      <c r="T737" s="236"/>
      <c r="U737" s="236"/>
      <c r="V737" s="236"/>
      <c r="W737" s="237"/>
      <c r="X737" s="237"/>
      <c r="Y737" s="237"/>
      <c r="Z737" s="237"/>
      <c r="AA737" s="237"/>
      <c r="AB737" s="237"/>
      <c r="AC737" s="237"/>
      <c r="AD737" s="237"/>
      <c r="AE737" s="237"/>
      <c r="AF737" s="237"/>
      <c r="AG737" s="237"/>
      <c r="AH737" s="237"/>
      <c r="AI737" s="98"/>
      <c r="AJ737" s="98"/>
      <c r="AK737" s="98"/>
      <c r="AL737" s="98"/>
      <c r="AM737" s="98"/>
      <c r="AN737" s="98"/>
      <c r="AO737" s="98"/>
    </row>
    <row r="738" ht="14.25" customHeight="1">
      <c r="A738" s="98"/>
      <c r="B738" s="98"/>
      <c r="C738" s="98"/>
      <c r="D738" s="98"/>
      <c r="E738" s="98"/>
      <c r="F738" s="235"/>
      <c r="G738" s="235"/>
      <c r="H738" s="236"/>
      <c r="I738" s="236"/>
      <c r="J738" s="236"/>
      <c r="K738" s="236"/>
      <c r="L738" s="236"/>
      <c r="M738" s="236"/>
      <c r="N738" s="236"/>
      <c r="O738" s="236"/>
      <c r="P738" s="236"/>
      <c r="Q738" s="236"/>
      <c r="R738" s="236"/>
      <c r="S738" s="236"/>
      <c r="T738" s="236"/>
      <c r="U738" s="236"/>
      <c r="V738" s="236"/>
      <c r="W738" s="237"/>
      <c r="X738" s="237"/>
      <c r="Y738" s="237"/>
      <c r="Z738" s="237"/>
      <c r="AA738" s="237"/>
      <c r="AB738" s="237"/>
      <c r="AC738" s="237"/>
      <c r="AD738" s="237"/>
      <c r="AE738" s="237"/>
      <c r="AF738" s="237"/>
      <c r="AG738" s="237"/>
      <c r="AH738" s="237"/>
      <c r="AI738" s="98"/>
      <c r="AJ738" s="98"/>
      <c r="AK738" s="98"/>
      <c r="AL738" s="98"/>
      <c r="AM738" s="98"/>
      <c r="AN738" s="98"/>
      <c r="AO738" s="98"/>
    </row>
    <row r="739" ht="14.25" customHeight="1">
      <c r="A739" s="98"/>
      <c r="B739" s="98"/>
      <c r="C739" s="98"/>
      <c r="D739" s="98"/>
      <c r="E739" s="98"/>
      <c r="F739" s="235"/>
      <c r="G739" s="235"/>
      <c r="H739" s="236"/>
      <c r="I739" s="236"/>
      <c r="J739" s="236"/>
      <c r="K739" s="236"/>
      <c r="L739" s="236"/>
      <c r="M739" s="236"/>
      <c r="N739" s="236"/>
      <c r="O739" s="236"/>
      <c r="P739" s="236"/>
      <c r="Q739" s="236"/>
      <c r="R739" s="236"/>
      <c r="S739" s="236"/>
      <c r="T739" s="236"/>
      <c r="U739" s="236"/>
      <c r="V739" s="236"/>
      <c r="W739" s="237"/>
      <c r="X739" s="237"/>
      <c r="Y739" s="237"/>
      <c r="Z739" s="237"/>
      <c r="AA739" s="237"/>
      <c r="AB739" s="237"/>
      <c r="AC739" s="237"/>
      <c r="AD739" s="237"/>
      <c r="AE739" s="237"/>
      <c r="AF739" s="237"/>
      <c r="AG739" s="237"/>
      <c r="AH739" s="237"/>
      <c r="AI739" s="98"/>
      <c r="AJ739" s="98"/>
      <c r="AK739" s="98"/>
      <c r="AL739" s="98"/>
      <c r="AM739" s="98"/>
      <c r="AN739" s="98"/>
      <c r="AO739" s="98"/>
    </row>
    <row r="740" ht="14.25" customHeight="1">
      <c r="A740" s="98"/>
      <c r="B740" s="98"/>
      <c r="C740" s="98"/>
      <c r="D740" s="98"/>
      <c r="E740" s="98"/>
      <c r="F740" s="235"/>
      <c r="G740" s="235"/>
      <c r="H740" s="236"/>
      <c r="I740" s="236"/>
      <c r="J740" s="236"/>
      <c r="K740" s="236"/>
      <c r="L740" s="236"/>
      <c r="M740" s="236"/>
      <c r="N740" s="236"/>
      <c r="O740" s="236"/>
      <c r="P740" s="236"/>
      <c r="Q740" s="236"/>
      <c r="R740" s="236"/>
      <c r="S740" s="236"/>
      <c r="T740" s="236"/>
      <c r="U740" s="236"/>
      <c r="V740" s="236"/>
      <c r="W740" s="237"/>
      <c r="X740" s="237"/>
      <c r="Y740" s="237"/>
      <c r="Z740" s="237"/>
      <c r="AA740" s="237"/>
      <c r="AB740" s="237"/>
      <c r="AC740" s="237"/>
      <c r="AD740" s="237"/>
      <c r="AE740" s="237"/>
      <c r="AF740" s="237"/>
      <c r="AG740" s="237"/>
      <c r="AH740" s="237"/>
      <c r="AI740" s="98"/>
      <c r="AJ740" s="98"/>
      <c r="AK740" s="98"/>
      <c r="AL740" s="98"/>
      <c r="AM740" s="98"/>
      <c r="AN740" s="98"/>
      <c r="AO740" s="98"/>
    </row>
    <row r="741" ht="14.25" customHeight="1">
      <c r="A741" s="98"/>
      <c r="B741" s="98"/>
      <c r="C741" s="98"/>
      <c r="D741" s="98"/>
      <c r="E741" s="98"/>
      <c r="F741" s="235"/>
      <c r="G741" s="235"/>
      <c r="H741" s="236"/>
      <c r="I741" s="236"/>
      <c r="J741" s="236"/>
      <c r="K741" s="236"/>
      <c r="L741" s="236"/>
      <c r="M741" s="236"/>
      <c r="N741" s="236"/>
      <c r="O741" s="236"/>
      <c r="P741" s="236"/>
      <c r="Q741" s="236"/>
      <c r="R741" s="236"/>
      <c r="S741" s="236"/>
      <c r="T741" s="236"/>
      <c r="U741" s="236"/>
      <c r="V741" s="236"/>
      <c r="W741" s="237"/>
      <c r="X741" s="237"/>
      <c r="Y741" s="237"/>
      <c r="Z741" s="237"/>
      <c r="AA741" s="237"/>
      <c r="AB741" s="237"/>
      <c r="AC741" s="237"/>
      <c r="AD741" s="237"/>
      <c r="AE741" s="237"/>
      <c r="AF741" s="237"/>
      <c r="AG741" s="237"/>
      <c r="AH741" s="237"/>
      <c r="AI741" s="98"/>
      <c r="AJ741" s="98"/>
      <c r="AK741" s="98"/>
      <c r="AL741" s="98"/>
      <c r="AM741" s="98"/>
      <c r="AN741" s="98"/>
      <c r="AO741" s="98"/>
    </row>
    <row r="742" ht="14.25" customHeight="1">
      <c r="A742" s="98"/>
      <c r="B742" s="98"/>
      <c r="C742" s="98"/>
      <c r="D742" s="98"/>
      <c r="E742" s="98"/>
      <c r="F742" s="235"/>
      <c r="G742" s="235"/>
      <c r="H742" s="236"/>
      <c r="I742" s="236"/>
      <c r="J742" s="236"/>
      <c r="K742" s="236"/>
      <c r="L742" s="236"/>
      <c r="M742" s="236"/>
      <c r="N742" s="236"/>
      <c r="O742" s="236"/>
      <c r="P742" s="236"/>
      <c r="Q742" s="236"/>
      <c r="R742" s="236"/>
      <c r="S742" s="236"/>
      <c r="T742" s="236"/>
      <c r="U742" s="236"/>
      <c r="V742" s="236"/>
      <c r="W742" s="237"/>
      <c r="X742" s="237"/>
      <c r="Y742" s="237"/>
      <c r="Z742" s="237"/>
      <c r="AA742" s="237"/>
      <c r="AB742" s="237"/>
      <c r="AC742" s="237"/>
      <c r="AD742" s="237"/>
      <c r="AE742" s="237"/>
      <c r="AF742" s="237"/>
      <c r="AG742" s="237"/>
      <c r="AH742" s="237"/>
      <c r="AI742" s="98"/>
      <c r="AJ742" s="98"/>
      <c r="AK742" s="98"/>
      <c r="AL742" s="98"/>
      <c r="AM742" s="98"/>
      <c r="AN742" s="98"/>
      <c r="AO742" s="98"/>
    </row>
    <row r="743" ht="14.25" customHeight="1">
      <c r="A743" s="98"/>
      <c r="B743" s="98"/>
      <c r="C743" s="98"/>
      <c r="D743" s="98"/>
      <c r="E743" s="98"/>
      <c r="F743" s="235"/>
      <c r="G743" s="235"/>
      <c r="H743" s="236"/>
      <c r="I743" s="236"/>
      <c r="J743" s="236"/>
      <c r="K743" s="236"/>
      <c r="L743" s="236"/>
      <c r="M743" s="236"/>
      <c r="N743" s="236"/>
      <c r="O743" s="236"/>
      <c r="P743" s="236"/>
      <c r="Q743" s="236"/>
      <c r="R743" s="236"/>
      <c r="S743" s="236"/>
      <c r="T743" s="236"/>
      <c r="U743" s="236"/>
      <c r="V743" s="236"/>
      <c r="W743" s="237"/>
      <c r="X743" s="237"/>
      <c r="Y743" s="237"/>
      <c r="Z743" s="237"/>
      <c r="AA743" s="237"/>
      <c r="AB743" s="237"/>
      <c r="AC743" s="237"/>
      <c r="AD743" s="237"/>
      <c r="AE743" s="237"/>
      <c r="AF743" s="237"/>
      <c r="AG743" s="237"/>
      <c r="AH743" s="237"/>
      <c r="AI743" s="98"/>
      <c r="AJ743" s="98"/>
      <c r="AK743" s="98"/>
      <c r="AL743" s="98"/>
      <c r="AM743" s="98"/>
      <c r="AN743" s="98"/>
      <c r="AO743" s="98"/>
    </row>
    <row r="744" ht="14.25" customHeight="1">
      <c r="A744" s="98"/>
      <c r="B744" s="98"/>
      <c r="C744" s="98"/>
      <c r="D744" s="98"/>
      <c r="E744" s="98"/>
      <c r="F744" s="235"/>
      <c r="G744" s="235"/>
      <c r="H744" s="236"/>
      <c r="I744" s="236"/>
      <c r="J744" s="236"/>
      <c r="K744" s="236"/>
      <c r="L744" s="236"/>
      <c r="M744" s="236"/>
      <c r="N744" s="236"/>
      <c r="O744" s="236"/>
      <c r="P744" s="236"/>
      <c r="Q744" s="236"/>
      <c r="R744" s="236"/>
      <c r="S744" s="236"/>
      <c r="T744" s="236"/>
      <c r="U744" s="236"/>
      <c r="V744" s="236"/>
      <c r="W744" s="237"/>
      <c r="X744" s="237"/>
      <c r="Y744" s="237"/>
      <c r="Z744" s="237"/>
      <c r="AA744" s="237"/>
      <c r="AB744" s="237"/>
      <c r="AC744" s="237"/>
      <c r="AD744" s="237"/>
      <c r="AE744" s="237"/>
      <c r="AF744" s="237"/>
      <c r="AG744" s="237"/>
      <c r="AH744" s="237"/>
      <c r="AI744" s="98"/>
      <c r="AJ744" s="98"/>
      <c r="AK744" s="98"/>
      <c r="AL744" s="98"/>
      <c r="AM744" s="98"/>
      <c r="AN744" s="98"/>
      <c r="AO744" s="98"/>
    </row>
    <row r="745" ht="14.25" customHeight="1">
      <c r="A745" s="98"/>
      <c r="B745" s="98"/>
      <c r="C745" s="98"/>
      <c r="D745" s="98"/>
      <c r="E745" s="98"/>
      <c r="F745" s="235"/>
      <c r="G745" s="235"/>
      <c r="H745" s="236"/>
      <c r="I745" s="236"/>
      <c r="J745" s="236"/>
      <c r="K745" s="236"/>
      <c r="L745" s="236"/>
      <c r="M745" s="236"/>
      <c r="N745" s="236"/>
      <c r="O745" s="236"/>
      <c r="P745" s="236"/>
      <c r="Q745" s="236"/>
      <c r="R745" s="236"/>
      <c r="S745" s="236"/>
      <c r="T745" s="236"/>
      <c r="U745" s="236"/>
      <c r="V745" s="236"/>
      <c r="W745" s="237"/>
      <c r="X745" s="237"/>
      <c r="Y745" s="237"/>
      <c r="Z745" s="237"/>
      <c r="AA745" s="237"/>
      <c r="AB745" s="237"/>
      <c r="AC745" s="237"/>
      <c r="AD745" s="237"/>
      <c r="AE745" s="237"/>
      <c r="AF745" s="237"/>
      <c r="AG745" s="237"/>
      <c r="AH745" s="237"/>
      <c r="AI745" s="98"/>
      <c r="AJ745" s="98"/>
      <c r="AK745" s="98"/>
      <c r="AL745" s="98"/>
      <c r="AM745" s="98"/>
      <c r="AN745" s="98"/>
      <c r="AO745" s="98"/>
    </row>
    <row r="746" ht="14.25" customHeight="1">
      <c r="A746" s="98"/>
      <c r="B746" s="98"/>
      <c r="C746" s="98"/>
      <c r="D746" s="98"/>
      <c r="E746" s="98"/>
      <c r="F746" s="235"/>
      <c r="G746" s="235"/>
      <c r="H746" s="236"/>
      <c r="I746" s="236"/>
      <c r="J746" s="236"/>
      <c r="K746" s="236"/>
      <c r="L746" s="236"/>
      <c r="M746" s="236"/>
      <c r="N746" s="236"/>
      <c r="O746" s="236"/>
      <c r="P746" s="236"/>
      <c r="Q746" s="236"/>
      <c r="R746" s="236"/>
      <c r="S746" s="236"/>
      <c r="T746" s="236"/>
      <c r="U746" s="236"/>
      <c r="V746" s="236"/>
      <c r="W746" s="237"/>
      <c r="X746" s="237"/>
      <c r="Y746" s="237"/>
      <c r="Z746" s="237"/>
      <c r="AA746" s="237"/>
      <c r="AB746" s="237"/>
      <c r="AC746" s="237"/>
      <c r="AD746" s="237"/>
      <c r="AE746" s="237"/>
      <c r="AF746" s="237"/>
      <c r="AG746" s="237"/>
      <c r="AH746" s="237"/>
      <c r="AI746" s="98"/>
      <c r="AJ746" s="98"/>
      <c r="AK746" s="98"/>
      <c r="AL746" s="98"/>
      <c r="AM746" s="98"/>
      <c r="AN746" s="98"/>
      <c r="AO746" s="98"/>
    </row>
    <row r="747" ht="14.25" customHeight="1">
      <c r="A747" s="98"/>
      <c r="B747" s="98"/>
      <c r="C747" s="98"/>
      <c r="D747" s="98"/>
      <c r="E747" s="98"/>
      <c r="F747" s="235"/>
      <c r="G747" s="235"/>
      <c r="H747" s="236"/>
      <c r="I747" s="236"/>
      <c r="J747" s="236"/>
      <c r="K747" s="236"/>
      <c r="L747" s="236"/>
      <c r="M747" s="236"/>
      <c r="N747" s="236"/>
      <c r="O747" s="236"/>
      <c r="P747" s="236"/>
      <c r="Q747" s="236"/>
      <c r="R747" s="236"/>
      <c r="S747" s="236"/>
      <c r="T747" s="236"/>
      <c r="U747" s="236"/>
      <c r="V747" s="236"/>
      <c r="W747" s="237"/>
      <c r="X747" s="237"/>
      <c r="Y747" s="237"/>
      <c r="Z747" s="237"/>
      <c r="AA747" s="237"/>
      <c r="AB747" s="237"/>
      <c r="AC747" s="237"/>
      <c r="AD747" s="237"/>
      <c r="AE747" s="237"/>
      <c r="AF747" s="237"/>
      <c r="AG747" s="237"/>
      <c r="AH747" s="237"/>
      <c r="AI747" s="98"/>
      <c r="AJ747" s="98"/>
      <c r="AK747" s="98"/>
      <c r="AL747" s="98"/>
      <c r="AM747" s="98"/>
      <c r="AN747" s="98"/>
      <c r="AO747" s="98"/>
    </row>
    <row r="748" ht="14.25" customHeight="1">
      <c r="A748" s="98"/>
      <c r="B748" s="98"/>
      <c r="C748" s="98"/>
      <c r="D748" s="98"/>
      <c r="E748" s="98"/>
      <c r="F748" s="235"/>
      <c r="G748" s="235"/>
      <c r="H748" s="236"/>
      <c r="I748" s="236"/>
      <c r="J748" s="236"/>
      <c r="K748" s="236"/>
      <c r="L748" s="236"/>
      <c r="M748" s="236"/>
      <c r="N748" s="236"/>
      <c r="O748" s="236"/>
      <c r="P748" s="236"/>
      <c r="Q748" s="236"/>
      <c r="R748" s="236"/>
      <c r="S748" s="236"/>
      <c r="T748" s="236"/>
      <c r="U748" s="236"/>
      <c r="V748" s="236"/>
      <c r="W748" s="237"/>
      <c r="X748" s="237"/>
      <c r="Y748" s="237"/>
      <c r="Z748" s="237"/>
      <c r="AA748" s="237"/>
      <c r="AB748" s="237"/>
      <c r="AC748" s="237"/>
      <c r="AD748" s="237"/>
      <c r="AE748" s="237"/>
      <c r="AF748" s="237"/>
      <c r="AG748" s="237"/>
      <c r="AH748" s="237"/>
      <c r="AI748" s="98"/>
      <c r="AJ748" s="98"/>
      <c r="AK748" s="98"/>
      <c r="AL748" s="98"/>
      <c r="AM748" s="98"/>
      <c r="AN748" s="98"/>
      <c r="AO748" s="98"/>
    </row>
    <row r="749" ht="14.25" customHeight="1">
      <c r="A749" s="98"/>
      <c r="B749" s="98"/>
      <c r="C749" s="98"/>
      <c r="D749" s="98"/>
      <c r="E749" s="98"/>
      <c r="F749" s="235"/>
      <c r="G749" s="235"/>
      <c r="H749" s="236"/>
      <c r="I749" s="236"/>
      <c r="J749" s="236"/>
      <c r="K749" s="236"/>
      <c r="L749" s="236"/>
      <c r="M749" s="236"/>
      <c r="N749" s="236"/>
      <c r="O749" s="236"/>
      <c r="P749" s="236"/>
      <c r="Q749" s="236"/>
      <c r="R749" s="236"/>
      <c r="S749" s="236"/>
      <c r="T749" s="236"/>
      <c r="U749" s="236"/>
      <c r="V749" s="236"/>
      <c r="W749" s="237"/>
      <c r="X749" s="237"/>
      <c r="Y749" s="237"/>
      <c r="Z749" s="237"/>
      <c r="AA749" s="237"/>
      <c r="AB749" s="237"/>
      <c r="AC749" s="237"/>
      <c r="AD749" s="237"/>
      <c r="AE749" s="237"/>
      <c r="AF749" s="237"/>
      <c r="AG749" s="237"/>
      <c r="AH749" s="237"/>
      <c r="AI749" s="98"/>
      <c r="AJ749" s="98"/>
      <c r="AK749" s="98"/>
      <c r="AL749" s="98"/>
      <c r="AM749" s="98"/>
      <c r="AN749" s="98"/>
      <c r="AO749" s="98"/>
    </row>
    <row r="750" ht="14.25" customHeight="1">
      <c r="A750" s="98"/>
      <c r="B750" s="98"/>
      <c r="C750" s="98"/>
      <c r="D750" s="98"/>
      <c r="E750" s="98"/>
      <c r="F750" s="235"/>
      <c r="G750" s="235"/>
      <c r="H750" s="236"/>
      <c r="I750" s="236"/>
      <c r="J750" s="236"/>
      <c r="K750" s="236"/>
      <c r="L750" s="236"/>
      <c r="M750" s="236"/>
      <c r="N750" s="236"/>
      <c r="O750" s="236"/>
      <c r="P750" s="236"/>
      <c r="Q750" s="236"/>
      <c r="R750" s="236"/>
      <c r="S750" s="236"/>
      <c r="T750" s="236"/>
      <c r="U750" s="236"/>
      <c r="V750" s="236"/>
      <c r="W750" s="237"/>
      <c r="X750" s="237"/>
      <c r="Y750" s="237"/>
      <c r="Z750" s="237"/>
      <c r="AA750" s="237"/>
      <c r="AB750" s="237"/>
      <c r="AC750" s="237"/>
      <c r="AD750" s="237"/>
      <c r="AE750" s="237"/>
      <c r="AF750" s="237"/>
      <c r="AG750" s="237"/>
      <c r="AH750" s="237"/>
      <c r="AI750" s="98"/>
      <c r="AJ750" s="98"/>
      <c r="AK750" s="98"/>
      <c r="AL750" s="98"/>
      <c r="AM750" s="98"/>
      <c r="AN750" s="98"/>
      <c r="AO750" s="98"/>
    </row>
    <row r="751" ht="14.25" customHeight="1">
      <c r="A751" s="98"/>
      <c r="B751" s="98"/>
      <c r="C751" s="98"/>
      <c r="D751" s="98"/>
      <c r="E751" s="98"/>
      <c r="F751" s="235"/>
      <c r="G751" s="235"/>
      <c r="H751" s="236"/>
      <c r="I751" s="236"/>
      <c r="J751" s="236"/>
      <c r="K751" s="236"/>
      <c r="L751" s="236"/>
      <c r="M751" s="236"/>
      <c r="N751" s="236"/>
      <c r="O751" s="236"/>
      <c r="P751" s="236"/>
      <c r="Q751" s="236"/>
      <c r="R751" s="236"/>
      <c r="S751" s="236"/>
      <c r="T751" s="236"/>
      <c r="U751" s="236"/>
      <c r="V751" s="236"/>
      <c r="W751" s="237"/>
      <c r="X751" s="237"/>
      <c r="Y751" s="237"/>
      <c r="Z751" s="237"/>
      <c r="AA751" s="237"/>
      <c r="AB751" s="237"/>
      <c r="AC751" s="237"/>
      <c r="AD751" s="237"/>
      <c r="AE751" s="237"/>
      <c r="AF751" s="237"/>
      <c r="AG751" s="237"/>
      <c r="AH751" s="237"/>
      <c r="AI751" s="98"/>
      <c r="AJ751" s="98"/>
      <c r="AK751" s="98"/>
      <c r="AL751" s="98"/>
      <c r="AM751" s="98"/>
      <c r="AN751" s="98"/>
      <c r="AO751" s="98"/>
    </row>
    <row r="752" ht="14.25" customHeight="1">
      <c r="A752" s="98"/>
      <c r="B752" s="98"/>
      <c r="C752" s="98"/>
      <c r="D752" s="98"/>
      <c r="E752" s="98"/>
      <c r="F752" s="235"/>
      <c r="G752" s="235"/>
      <c r="H752" s="236"/>
      <c r="I752" s="236"/>
      <c r="J752" s="236"/>
      <c r="K752" s="236"/>
      <c r="L752" s="236"/>
      <c r="M752" s="236"/>
      <c r="N752" s="236"/>
      <c r="O752" s="236"/>
      <c r="P752" s="236"/>
      <c r="Q752" s="236"/>
      <c r="R752" s="236"/>
      <c r="S752" s="236"/>
      <c r="T752" s="236"/>
      <c r="U752" s="236"/>
      <c r="V752" s="236"/>
      <c r="W752" s="237"/>
      <c r="X752" s="237"/>
      <c r="Y752" s="237"/>
      <c r="Z752" s="237"/>
      <c r="AA752" s="237"/>
      <c r="AB752" s="237"/>
      <c r="AC752" s="237"/>
      <c r="AD752" s="237"/>
      <c r="AE752" s="237"/>
      <c r="AF752" s="237"/>
      <c r="AG752" s="237"/>
      <c r="AH752" s="237"/>
      <c r="AI752" s="98"/>
      <c r="AJ752" s="98"/>
      <c r="AK752" s="98"/>
      <c r="AL752" s="98"/>
      <c r="AM752" s="98"/>
      <c r="AN752" s="98"/>
      <c r="AO752" s="98"/>
    </row>
    <row r="753" ht="14.25" customHeight="1">
      <c r="A753" s="98"/>
      <c r="B753" s="98"/>
      <c r="C753" s="98"/>
      <c r="D753" s="98"/>
      <c r="E753" s="98"/>
      <c r="F753" s="235"/>
      <c r="G753" s="235"/>
      <c r="H753" s="236"/>
      <c r="I753" s="236"/>
      <c r="J753" s="236"/>
      <c r="K753" s="236"/>
      <c r="L753" s="236"/>
      <c r="M753" s="236"/>
      <c r="N753" s="236"/>
      <c r="O753" s="236"/>
      <c r="P753" s="236"/>
      <c r="Q753" s="236"/>
      <c r="R753" s="236"/>
      <c r="S753" s="236"/>
      <c r="T753" s="236"/>
      <c r="U753" s="236"/>
      <c r="V753" s="236"/>
      <c r="W753" s="237"/>
      <c r="X753" s="237"/>
      <c r="Y753" s="237"/>
      <c r="Z753" s="237"/>
      <c r="AA753" s="237"/>
      <c r="AB753" s="237"/>
      <c r="AC753" s="237"/>
      <c r="AD753" s="237"/>
      <c r="AE753" s="237"/>
      <c r="AF753" s="237"/>
      <c r="AG753" s="237"/>
      <c r="AH753" s="237"/>
      <c r="AI753" s="98"/>
      <c r="AJ753" s="98"/>
      <c r="AK753" s="98"/>
      <c r="AL753" s="98"/>
      <c r="AM753" s="98"/>
      <c r="AN753" s="98"/>
      <c r="AO753" s="98"/>
    </row>
    <row r="754" ht="14.25" customHeight="1">
      <c r="A754" s="98"/>
      <c r="B754" s="98"/>
      <c r="C754" s="98"/>
      <c r="D754" s="98"/>
      <c r="E754" s="98"/>
      <c r="F754" s="235"/>
      <c r="G754" s="235"/>
      <c r="H754" s="236"/>
      <c r="I754" s="236"/>
      <c r="J754" s="236"/>
      <c r="K754" s="236"/>
      <c r="L754" s="236"/>
      <c r="M754" s="236"/>
      <c r="N754" s="236"/>
      <c r="O754" s="236"/>
      <c r="P754" s="236"/>
      <c r="Q754" s="236"/>
      <c r="R754" s="236"/>
      <c r="S754" s="236"/>
      <c r="T754" s="236"/>
      <c r="U754" s="236"/>
      <c r="V754" s="236"/>
      <c r="W754" s="237"/>
      <c r="X754" s="237"/>
      <c r="Y754" s="237"/>
      <c r="Z754" s="237"/>
      <c r="AA754" s="237"/>
      <c r="AB754" s="237"/>
      <c r="AC754" s="237"/>
      <c r="AD754" s="237"/>
      <c r="AE754" s="237"/>
      <c r="AF754" s="237"/>
      <c r="AG754" s="237"/>
      <c r="AH754" s="237"/>
      <c r="AI754" s="98"/>
      <c r="AJ754" s="98"/>
      <c r="AK754" s="98"/>
      <c r="AL754" s="98"/>
      <c r="AM754" s="98"/>
      <c r="AN754" s="98"/>
      <c r="AO754" s="98"/>
    </row>
    <row r="755" ht="14.25" customHeight="1">
      <c r="A755" s="98"/>
      <c r="B755" s="98"/>
      <c r="C755" s="98"/>
      <c r="D755" s="98"/>
      <c r="E755" s="98"/>
      <c r="F755" s="235"/>
      <c r="G755" s="235"/>
      <c r="H755" s="236"/>
      <c r="I755" s="236"/>
      <c r="J755" s="236"/>
      <c r="K755" s="236"/>
      <c r="L755" s="236"/>
      <c r="M755" s="236"/>
      <c r="N755" s="236"/>
      <c r="O755" s="236"/>
      <c r="P755" s="236"/>
      <c r="Q755" s="236"/>
      <c r="R755" s="236"/>
      <c r="S755" s="236"/>
      <c r="T755" s="236"/>
      <c r="U755" s="236"/>
      <c r="V755" s="236"/>
      <c r="W755" s="237"/>
      <c r="X755" s="237"/>
      <c r="Y755" s="237"/>
      <c r="Z755" s="237"/>
      <c r="AA755" s="237"/>
      <c r="AB755" s="237"/>
      <c r="AC755" s="237"/>
      <c r="AD755" s="237"/>
      <c r="AE755" s="237"/>
      <c r="AF755" s="237"/>
      <c r="AG755" s="237"/>
      <c r="AH755" s="237"/>
      <c r="AI755" s="98"/>
      <c r="AJ755" s="98"/>
      <c r="AK755" s="98"/>
      <c r="AL755" s="98"/>
      <c r="AM755" s="98"/>
      <c r="AN755" s="98"/>
      <c r="AO755" s="98"/>
    </row>
    <row r="756" ht="14.25" customHeight="1">
      <c r="A756" s="98"/>
      <c r="B756" s="98"/>
      <c r="C756" s="98"/>
      <c r="D756" s="98"/>
      <c r="E756" s="98"/>
      <c r="F756" s="235"/>
      <c r="G756" s="235"/>
      <c r="H756" s="236"/>
      <c r="I756" s="236"/>
      <c r="J756" s="236"/>
      <c r="K756" s="236"/>
      <c r="L756" s="236"/>
      <c r="M756" s="236"/>
      <c r="N756" s="236"/>
      <c r="O756" s="236"/>
      <c r="P756" s="236"/>
      <c r="Q756" s="236"/>
      <c r="R756" s="236"/>
      <c r="S756" s="236"/>
      <c r="T756" s="236"/>
      <c r="U756" s="236"/>
      <c r="V756" s="236"/>
      <c r="W756" s="237"/>
      <c r="X756" s="237"/>
      <c r="Y756" s="237"/>
      <c r="Z756" s="237"/>
      <c r="AA756" s="237"/>
      <c r="AB756" s="237"/>
      <c r="AC756" s="237"/>
      <c r="AD756" s="237"/>
      <c r="AE756" s="237"/>
      <c r="AF756" s="237"/>
      <c r="AG756" s="237"/>
      <c r="AH756" s="237"/>
      <c r="AI756" s="98"/>
      <c r="AJ756" s="98"/>
      <c r="AK756" s="98"/>
      <c r="AL756" s="98"/>
      <c r="AM756" s="98"/>
      <c r="AN756" s="98"/>
      <c r="AO756" s="98"/>
    </row>
    <row r="757" ht="14.25" customHeight="1">
      <c r="A757" s="98"/>
      <c r="B757" s="98"/>
      <c r="C757" s="98"/>
      <c r="D757" s="98"/>
      <c r="E757" s="98"/>
      <c r="F757" s="235"/>
      <c r="G757" s="235"/>
      <c r="H757" s="236"/>
      <c r="I757" s="236"/>
      <c r="J757" s="236"/>
      <c r="K757" s="236"/>
      <c r="L757" s="236"/>
      <c r="M757" s="236"/>
      <c r="N757" s="236"/>
      <c r="O757" s="236"/>
      <c r="P757" s="236"/>
      <c r="Q757" s="236"/>
      <c r="R757" s="236"/>
      <c r="S757" s="236"/>
      <c r="T757" s="236"/>
      <c r="U757" s="236"/>
      <c r="V757" s="236"/>
      <c r="W757" s="237"/>
      <c r="X757" s="237"/>
      <c r="Y757" s="237"/>
      <c r="Z757" s="237"/>
      <c r="AA757" s="237"/>
      <c r="AB757" s="237"/>
      <c r="AC757" s="237"/>
      <c r="AD757" s="237"/>
      <c r="AE757" s="237"/>
      <c r="AF757" s="237"/>
      <c r="AG757" s="237"/>
      <c r="AH757" s="237"/>
      <c r="AI757" s="98"/>
      <c r="AJ757" s="98"/>
      <c r="AK757" s="98"/>
      <c r="AL757" s="98"/>
      <c r="AM757" s="98"/>
      <c r="AN757" s="98"/>
      <c r="AO757" s="98"/>
    </row>
    <row r="758" ht="14.25" customHeight="1">
      <c r="A758" s="98"/>
      <c r="B758" s="98"/>
      <c r="C758" s="98"/>
      <c r="D758" s="98"/>
      <c r="E758" s="98"/>
      <c r="F758" s="235"/>
      <c r="G758" s="235"/>
      <c r="H758" s="236"/>
      <c r="I758" s="236"/>
      <c r="J758" s="236"/>
      <c r="K758" s="236"/>
      <c r="L758" s="236"/>
      <c r="M758" s="236"/>
      <c r="N758" s="236"/>
      <c r="O758" s="236"/>
      <c r="P758" s="236"/>
      <c r="Q758" s="236"/>
      <c r="R758" s="236"/>
      <c r="S758" s="236"/>
      <c r="T758" s="236"/>
      <c r="U758" s="236"/>
      <c r="V758" s="236"/>
      <c r="W758" s="237"/>
      <c r="X758" s="237"/>
      <c r="Y758" s="237"/>
      <c r="Z758" s="237"/>
      <c r="AA758" s="237"/>
      <c r="AB758" s="237"/>
      <c r="AC758" s="237"/>
      <c r="AD758" s="237"/>
      <c r="AE758" s="237"/>
      <c r="AF758" s="237"/>
      <c r="AG758" s="237"/>
      <c r="AH758" s="237"/>
      <c r="AI758" s="98"/>
      <c r="AJ758" s="98"/>
      <c r="AK758" s="98"/>
      <c r="AL758" s="98"/>
      <c r="AM758" s="98"/>
      <c r="AN758" s="98"/>
      <c r="AO758" s="98"/>
    </row>
    <row r="759" ht="14.25" customHeight="1">
      <c r="A759" s="98"/>
      <c r="B759" s="98"/>
      <c r="C759" s="98"/>
      <c r="D759" s="98"/>
      <c r="E759" s="98"/>
      <c r="F759" s="235"/>
      <c r="G759" s="235"/>
      <c r="H759" s="236"/>
      <c r="I759" s="236"/>
      <c r="J759" s="236"/>
      <c r="K759" s="236"/>
      <c r="L759" s="236"/>
      <c r="M759" s="236"/>
      <c r="N759" s="236"/>
      <c r="O759" s="236"/>
      <c r="P759" s="236"/>
      <c r="Q759" s="236"/>
      <c r="R759" s="236"/>
      <c r="S759" s="236"/>
      <c r="T759" s="236"/>
      <c r="U759" s="236"/>
      <c r="V759" s="236"/>
      <c r="W759" s="237"/>
      <c r="X759" s="237"/>
      <c r="Y759" s="237"/>
      <c r="Z759" s="237"/>
      <c r="AA759" s="237"/>
      <c r="AB759" s="237"/>
      <c r="AC759" s="237"/>
      <c r="AD759" s="237"/>
      <c r="AE759" s="237"/>
      <c r="AF759" s="237"/>
      <c r="AG759" s="237"/>
      <c r="AH759" s="237"/>
      <c r="AI759" s="98"/>
      <c r="AJ759" s="98"/>
      <c r="AK759" s="98"/>
      <c r="AL759" s="98"/>
      <c r="AM759" s="98"/>
      <c r="AN759" s="98"/>
      <c r="AO759" s="98"/>
    </row>
    <row r="760" ht="14.25" customHeight="1">
      <c r="A760" s="98"/>
      <c r="B760" s="98"/>
      <c r="C760" s="98"/>
      <c r="D760" s="98"/>
      <c r="E760" s="98"/>
      <c r="F760" s="235"/>
      <c r="G760" s="235"/>
      <c r="H760" s="236"/>
      <c r="I760" s="236"/>
      <c r="J760" s="236"/>
      <c r="K760" s="236"/>
      <c r="L760" s="236"/>
      <c r="M760" s="236"/>
      <c r="N760" s="236"/>
      <c r="O760" s="236"/>
      <c r="P760" s="236"/>
      <c r="Q760" s="236"/>
      <c r="R760" s="236"/>
      <c r="S760" s="236"/>
      <c r="T760" s="236"/>
      <c r="U760" s="236"/>
      <c r="V760" s="236"/>
      <c r="W760" s="237"/>
      <c r="X760" s="237"/>
      <c r="Y760" s="237"/>
      <c r="Z760" s="237"/>
      <c r="AA760" s="237"/>
      <c r="AB760" s="237"/>
      <c r="AC760" s="237"/>
      <c r="AD760" s="237"/>
      <c r="AE760" s="237"/>
      <c r="AF760" s="237"/>
      <c r="AG760" s="237"/>
      <c r="AH760" s="237"/>
      <c r="AI760" s="98"/>
      <c r="AJ760" s="98"/>
      <c r="AK760" s="98"/>
      <c r="AL760" s="98"/>
      <c r="AM760" s="98"/>
      <c r="AN760" s="98"/>
      <c r="AO760" s="98"/>
    </row>
    <row r="761" ht="14.25" customHeight="1">
      <c r="A761" s="98"/>
      <c r="B761" s="98"/>
      <c r="C761" s="98"/>
      <c r="D761" s="98"/>
      <c r="E761" s="98"/>
      <c r="F761" s="235"/>
      <c r="G761" s="235"/>
      <c r="H761" s="236"/>
      <c r="I761" s="236"/>
      <c r="J761" s="236"/>
      <c r="K761" s="236"/>
      <c r="L761" s="236"/>
      <c r="M761" s="236"/>
      <c r="N761" s="236"/>
      <c r="O761" s="236"/>
      <c r="P761" s="236"/>
      <c r="Q761" s="236"/>
      <c r="R761" s="236"/>
      <c r="S761" s="236"/>
      <c r="T761" s="236"/>
      <c r="U761" s="236"/>
      <c r="V761" s="236"/>
      <c r="W761" s="237"/>
      <c r="X761" s="237"/>
      <c r="Y761" s="237"/>
      <c r="Z761" s="237"/>
      <c r="AA761" s="237"/>
      <c r="AB761" s="237"/>
      <c r="AC761" s="237"/>
      <c r="AD761" s="237"/>
      <c r="AE761" s="237"/>
      <c r="AF761" s="237"/>
      <c r="AG761" s="237"/>
      <c r="AH761" s="237"/>
      <c r="AI761" s="98"/>
      <c r="AJ761" s="98"/>
      <c r="AK761" s="98"/>
      <c r="AL761" s="98"/>
      <c r="AM761" s="98"/>
      <c r="AN761" s="98"/>
      <c r="AO761" s="98"/>
    </row>
    <row r="762" ht="14.25" customHeight="1">
      <c r="A762" s="98"/>
      <c r="B762" s="98"/>
      <c r="C762" s="98"/>
      <c r="D762" s="98"/>
      <c r="E762" s="98"/>
      <c r="F762" s="235"/>
      <c r="G762" s="235"/>
      <c r="H762" s="236"/>
      <c r="I762" s="236"/>
      <c r="J762" s="236"/>
      <c r="K762" s="236"/>
      <c r="L762" s="236"/>
      <c r="M762" s="236"/>
      <c r="N762" s="236"/>
      <c r="O762" s="236"/>
      <c r="P762" s="236"/>
      <c r="Q762" s="236"/>
      <c r="R762" s="236"/>
      <c r="S762" s="236"/>
      <c r="T762" s="236"/>
      <c r="U762" s="236"/>
      <c r="V762" s="236"/>
      <c r="W762" s="237"/>
      <c r="X762" s="237"/>
      <c r="Y762" s="237"/>
      <c r="Z762" s="237"/>
      <c r="AA762" s="237"/>
      <c r="AB762" s="237"/>
      <c r="AC762" s="237"/>
      <c r="AD762" s="237"/>
      <c r="AE762" s="237"/>
      <c r="AF762" s="237"/>
      <c r="AG762" s="237"/>
      <c r="AH762" s="237"/>
      <c r="AI762" s="98"/>
      <c r="AJ762" s="98"/>
      <c r="AK762" s="98"/>
      <c r="AL762" s="98"/>
      <c r="AM762" s="98"/>
      <c r="AN762" s="98"/>
      <c r="AO762" s="98"/>
    </row>
    <row r="763" ht="14.25" customHeight="1">
      <c r="A763" s="98"/>
      <c r="B763" s="98"/>
      <c r="C763" s="98"/>
      <c r="D763" s="98"/>
      <c r="E763" s="98"/>
      <c r="F763" s="235"/>
      <c r="G763" s="235"/>
      <c r="H763" s="236"/>
      <c r="I763" s="236"/>
      <c r="J763" s="236"/>
      <c r="K763" s="236"/>
      <c r="L763" s="236"/>
      <c r="M763" s="236"/>
      <c r="N763" s="236"/>
      <c r="O763" s="236"/>
      <c r="P763" s="236"/>
      <c r="Q763" s="236"/>
      <c r="R763" s="236"/>
      <c r="S763" s="236"/>
      <c r="T763" s="236"/>
      <c r="U763" s="236"/>
      <c r="V763" s="236"/>
      <c r="W763" s="237"/>
      <c r="X763" s="237"/>
      <c r="Y763" s="237"/>
      <c r="Z763" s="237"/>
      <c r="AA763" s="237"/>
      <c r="AB763" s="237"/>
      <c r="AC763" s="237"/>
      <c r="AD763" s="237"/>
      <c r="AE763" s="237"/>
      <c r="AF763" s="237"/>
      <c r="AG763" s="237"/>
      <c r="AH763" s="237"/>
      <c r="AI763" s="98"/>
      <c r="AJ763" s="98"/>
      <c r="AK763" s="98"/>
      <c r="AL763" s="98"/>
      <c r="AM763" s="98"/>
      <c r="AN763" s="98"/>
      <c r="AO763" s="98"/>
    </row>
    <row r="764" ht="14.25" customHeight="1">
      <c r="A764" s="98"/>
      <c r="B764" s="98"/>
      <c r="C764" s="98"/>
      <c r="D764" s="98"/>
      <c r="E764" s="98"/>
      <c r="F764" s="235"/>
      <c r="G764" s="235"/>
      <c r="H764" s="236"/>
      <c r="I764" s="236"/>
      <c r="J764" s="236"/>
      <c r="K764" s="236"/>
      <c r="L764" s="236"/>
      <c r="M764" s="236"/>
      <c r="N764" s="236"/>
      <c r="O764" s="236"/>
      <c r="P764" s="236"/>
      <c r="Q764" s="236"/>
      <c r="R764" s="236"/>
      <c r="S764" s="236"/>
      <c r="T764" s="236"/>
      <c r="U764" s="236"/>
      <c r="V764" s="236"/>
      <c r="W764" s="237"/>
      <c r="X764" s="237"/>
      <c r="Y764" s="237"/>
      <c r="Z764" s="237"/>
      <c r="AA764" s="237"/>
      <c r="AB764" s="237"/>
      <c r="AC764" s="237"/>
      <c r="AD764" s="237"/>
      <c r="AE764" s="237"/>
      <c r="AF764" s="237"/>
      <c r="AG764" s="237"/>
      <c r="AH764" s="237"/>
      <c r="AI764" s="98"/>
      <c r="AJ764" s="98"/>
      <c r="AK764" s="98"/>
      <c r="AL764" s="98"/>
      <c r="AM764" s="98"/>
      <c r="AN764" s="98"/>
      <c r="AO764" s="98"/>
    </row>
    <row r="765" ht="14.25" customHeight="1">
      <c r="A765" s="98"/>
      <c r="B765" s="98"/>
      <c r="C765" s="98"/>
      <c r="D765" s="98"/>
      <c r="E765" s="98"/>
      <c r="F765" s="235"/>
      <c r="G765" s="235"/>
      <c r="H765" s="236"/>
      <c r="I765" s="236"/>
      <c r="J765" s="236"/>
      <c r="K765" s="236"/>
      <c r="L765" s="236"/>
      <c r="M765" s="236"/>
      <c r="N765" s="236"/>
      <c r="O765" s="236"/>
      <c r="P765" s="236"/>
      <c r="Q765" s="236"/>
      <c r="R765" s="236"/>
      <c r="S765" s="236"/>
      <c r="T765" s="236"/>
      <c r="U765" s="236"/>
      <c r="V765" s="236"/>
      <c r="W765" s="237"/>
      <c r="X765" s="237"/>
      <c r="Y765" s="237"/>
      <c r="Z765" s="237"/>
      <c r="AA765" s="237"/>
      <c r="AB765" s="237"/>
      <c r="AC765" s="237"/>
      <c r="AD765" s="237"/>
      <c r="AE765" s="237"/>
      <c r="AF765" s="237"/>
      <c r="AG765" s="237"/>
      <c r="AH765" s="237"/>
      <c r="AI765" s="98"/>
      <c r="AJ765" s="98"/>
      <c r="AK765" s="98"/>
      <c r="AL765" s="98"/>
      <c r="AM765" s="98"/>
      <c r="AN765" s="98"/>
      <c r="AO765" s="98"/>
    </row>
    <row r="766" ht="14.25" customHeight="1">
      <c r="A766" s="98"/>
      <c r="B766" s="98"/>
      <c r="C766" s="98"/>
      <c r="D766" s="98"/>
      <c r="E766" s="98"/>
      <c r="F766" s="235"/>
      <c r="G766" s="235"/>
      <c r="H766" s="236"/>
      <c r="I766" s="236"/>
      <c r="J766" s="236"/>
      <c r="K766" s="236"/>
      <c r="L766" s="236"/>
      <c r="M766" s="236"/>
      <c r="N766" s="236"/>
      <c r="O766" s="236"/>
      <c r="P766" s="236"/>
      <c r="Q766" s="236"/>
      <c r="R766" s="236"/>
      <c r="S766" s="236"/>
      <c r="T766" s="236"/>
      <c r="U766" s="236"/>
      <c r="V766" s="236"/>
      <c r="W766" s="237"/>
      <c r="X766" s="237"/>
      <c r="Y766" s="237"/>
      <c r="Z766" s="237"/>
      <c r="AA766" s="237"/>
      <c r="AB766" s="237"/>
      <c r="AC766" s="237"/>
      <c r="AD766" s="237"/>
      <c r="AE766" s="237"/>
      <c r="AF766" s="237"/>
      <c r="AG766" s="237"/>
      <c r="AH766" s="237"/>
      <c r="AI766" s="98"/>
      <c r="AJ766" s="98"/>
      <c r="AK766" s="98"/>
      <c r="AL766" s="98"/>
      <c r="AM766" s="98"/>
      <c r="AN766" s="98"/>
      <c r="AO766" s="98"/>
    </row>
    <row r="767" ht="14.25" customHeight="1">
      <c r="A767" s="98"/>
      <c r="B767" s="98"/>
      <c r="C767" s="98"/>
      <c r="D767" s="98"/>
      <c r="E767" s="98"/>
      <c r="F767" s="235"/>
      <c r="G767" s="235"/>
      <c r="H767" s="236"/>
      <c r="I767" s="236"/>
      <c r="J767" s="236"/>
      <c r="K767" s="236"/>
      <c r="L767" s="236"/>
      <c r="M767" s="236"/>
      <c r="N767" s="236"/>
      <c r="O767" s="236"/>
      <c r="P767" s="236"/>
      <c r="Q767" s="236"/>
      <c r="R767" s="236"/>
      <c r="S767" s="236"/>
      <c r="T767" s="236"/>
      <c r="U767" s="236"/>
      <c r="V767" s="236"/>
      <c r="W767" s="237"/>
      <c r="X767" s="237"/>
      <c r="Y767" s="237"/>
      <c r="Z767" s="237"/>
      <c r="AA767" s="237"/>
      <c r="AB767" s="237"/>
      <c r="AC767" s="237"/>
      <c r="AD767" s="237"/>
      <c r="AE767" s="237"/>
      <c r="AF767" s="237"/>
      <c r="AG767" s="237"/>
      <c r="AH767" s="237"/>
      <c r="AI767" s="98"/>
      <c r="AJ767" s="98"/>
      <c r="AK767" s="98"/>
      <c r="AL767" s="98"/>
      <c r="AM767" s="98"/>
      <c r="AN767" s="98"/>
      <c r="AO767" s="98"/>
    </row>
    <row r="768" ht="14.25" customHeight="1">
      <c r="A768" s="98"/>
      <c r="B768" s="98"/>
      <c r="C768" s="98"/>
      <c r="D768" s="98"/>
      <c r="E768" s="98"/>
      <c r="F768" s="235"/>
      <c r="G768" s="235"/>
      <c r="H768" s="236"/>
      <c r="I768" s="236"/>
      <c r="J768" s="236"/>
      <c r="K768" s="236"/>
      <c r="L768" s="236"/>
      <c r="M768" s="236"/>
      <c r="N768" s="236"/>
      <c r="O768" s="236"/>
      <c r="P768" s="236"/>
      <c r="Q768" s="236"/>
      <c r="R768" s="236"/>
      <c r="S768" s="236"/>
      <c r="T768" s="236"/>
      <c r="U768" s="236"/>
      <c r="V768" s="236"/>
      <c r="W768" s="237"/>
      <c r="X768" s="237"/>
      <c r="Y768" s="237"/>
      <c r="Z768" s="237"/>
      <c r="AA768" s="237"/>
      <c r="AB768" s="237"/>
      <c r="AC768" s="237"/>
      <c r="AD768" s="237"/>
      <c r="AE768" s="237"/>
      <c r="AF768" s="237"/>
      <c r="AG768" s="237"/>
      <c r="AH768" s="237"/>
      <c r="AI768" s="98"/>
      <c r="AJ768" s="98"/>
      <c r="AK768" s="98"/>
      <c r="AL768" s="98"/>
      <c r="AM768" s="98"/>
      <c r="AN768" s="98"/>
      <c r="AO768" s="98"/>
    </row>
    <row r="769" ht="14.25" customHeight="1">
      <c r="A769" s="98"/>
      <c r="B769" s="98"/>
      <c r="C769" s="98"/>
      <c r="D769" s="98"/>
      <c r="E769" s="98"/>
      <c r="F769" s="235"/>
      <c r="G769" s="235"/>
      <c r="H769" s="236"/>
      <c r="I769" s="236"/>
      <c r="J769" s="236"/>
      <c r="K769" s="236"/>
      <c r="L769" s="236"/>
      <c r="M769" s="236"/>
      <c r="N769" s="236"/>
      <c r="O769" s="236"/>
      <c r="P769" s="236"/>
      <c r="Q769" s="236"/>
      <c r="R769" s="236"/>
      <c r="S769" s="236"/>
      <c r="T769" s="236"/>
      <c r="U769" s="236"/>
      <c r="V769" s="236"/>
      <c r="W769" s="237"/>
      <c r="X769" s="237"/>
      <c r="Y769" s="237"/>
      <c r="Z769" s="237"/>
      <c r="AA769" s="237"/>
      <c r="AB769" s="237"/>
      <c r="AC769" s="237"/>
      <c r="AD769" s="237"/>
      <c r="AE769" s="237"/>
      <c r="AF769" s="237"/>
      <c r="AG769" s="237"/>
      <c r="AH769" s="237"/>
      <c r="AI769" s="98"/>
      <c r="AJ769" s="98"/>
      <c r="AK769" s="98"/>
      <c r="AL769" s="98"/>
      <c r="AM769" s="98"/>
      <c r="AN769" s="98"/>
      <c r="AO769" s="98"/>
    </row>
    <row r="770" ht="14.25" customHeight="1">
      <c r="A770" s="98"/>
      <c r="B770" s="98"/>
      <c r="C770" s="98"/>
      <c r="D770" s="98"/>
      <c r="E770" s="98"/>
      <c r="F770" s="235"/>
      <c r="G770" s="235"/>
      <c r="H770" s="236"/>
      <c r="I770" s="236"/>
      <c r="J770" s="236"/>
      <c r="K770" s="236"/>
      <c r="L770" s="236"/>
      <c r="M770" s="236"/>
      <c r="N770" s="236"/>
      <c r="O770" s="236"/>
      <c r="P770" s="236"/>
      <c r="Q770" s="236"/>
      <c r="R770" s="236"/>
      <c r="S770" s="236"/>
      <c r="T770" s="236"/>
      <c r="U770" s="236"/>
      <c r="V770" s="236"/>
      <c r="W770" s="237"/>
      <c r="X770" s="237"/>
      <c r="Y770" s="237"/>
      <c r="Z770" s="237"/>
      <c r="AA770" s="237"/>
      <c r="AB770" s="237"/>
      <c r="AC770" s="237"/>
      <c r="AD770" s="237"/>
      <c r="AE770" s="237"/>
      <c r="AF770" s="237"/>
      <c r="AG770" s="237"/>
      <c r="AH770" s="237"/>
      <c r="AI770" s="98"/>
      <c r="AJ770" s="98"/>
      <c r="AK770" s="98"/>
      <c r="AL770" s="98"/>
      <c r="AM770" s="98"/>
      <c r="AN770" s="98"/>
      <c r="AO770" s="98"/>
    </row>
    <row r="771" ht="14.25" customHeight="1">
      <c r="A771" s="98"/>
      <c r="B771" s="98"/>
      <c r="C771" s="98"/>
      <c r="D771" s="98"/>
      <c r="E771" s="98"/>
      <c r="F771" s="235"/>
      <c r="G771" s="235"/>
      <c r="H771" s="236"/>
      <c r="I771" s="236"/>
      <c r="J771" s="236"/>
      <c r="K771" s="236"/>
      <c r="L771" s="236"/>
      <c r="M771" s="236"/>
      <c r="N771" s="236"/>
      <c r="O771" s="236"/>
      <c r="P771" s="236"/>
      <c r="Q771" s="236"/>
      <c r="R771" s="236"/>
      <c r="S771" s="236"/>
      <c r="T771" s="236"/>
      <c r="U771" s="236"/>
      <c r="V771" s="236"/>
      <c r="W771" s="237"/>
      <c r="X771" s="237"/>
      <c r="Y771" s="237"/>
      <c r="Z771" s="237"/>
      <c r="AA771" s="237"/>
      <c r="AB771" s="237"/>
      <c r="AC771" s="237"/>
      <c r="AD771" s="237"/>
      <c r="AE771" s="237"/>
      <c r="AF771" s="237"/>
      <c r="AG771" s="237"/>
      <c r="AH771" s="237"/>
      <c r="AI771" s="98"/>
      <c r="AJ771" s="98"/>
      <c r="AK771" s="98"/>
      <c r="AL771" s="98"/>
      <c r="AM771" s="98"/>
      <c r="AN771" s="98"/>
      <c r="AO771" s="98"/>
    </row>
    <row r="772" ht="14.25" customHeight="1">
      <c r="A772" s="98"/>
      <c r="B772" s="98"/>
      <c r="C772" s="98"/>
      <c r="D772" s="98"/>
      <c r="E772" s="98"/>
      <c r="F772" s="235"/>
      <c r="G772" s="235"/>
      <c r="H772" s="236"/>
      <c r="I772" s="236"/>
      <c r="J772" s="236"/>
      <c r="K772" s="236"/>
      <c r="L772" s="236"/>
      <c r="M772" s="236"/>
      <c r="N772" s="236"/>
      <c r="O772" s="236"/>
      <c r="P772" s="236"/>
      <c r="Q772" s="236"/>
      <c r="R772" s="236"/>
      <c r="S772" s="236"/>
      <c r="T772" s="236"/>
      <c r="U772" s="236"/>
      <c r="V772" s="236"/>
      <c r="W772" s="237"/>
      <c r="X772" s="237"/>
      <c r="Y772" s="237"/>
      <c r="Z772" s="237"/>
      <c r="AA772" s="237"/>
      <c r="AB772" s="237"/>
      <c r="AC772" s="237"/>
      <c r="AD772" s="237"/>
      <c r="AE772" s="237"/>
      <c r="AF772" s="237"/>
      <c r="AG772" s="237"/>
      <c r="AH772" s="237"/>
      <c r="AI772" s="98"/>
      <c r="AJ772" s="98"/>
      <c r="AK772" s="98"/>
      <c r="AL772" s="98"/>
      <c r="AM772" s="98"/>
      <c r="AN772" s="98"/>
      <c r="AO772" s="98"/>
    </row>
    <row r="773" ht="14.25" customHeight="1">
      <c r="A773" s="98"/>
      <c r="B773" s="98"/>
      <c r="C773" s="98"/>
      <c r="D773" s="98"/>
      <c r="E773" s="98"/>
      <c r="F773" s="235"/>
      <c r="G773" s="235"/>
      <c r="H773" s="236"/>
      <c r="I773" s="236"/>
      <c r="J773" s="236"/>
      <c r="K773" s="236"/>
      <c r="L773" s="236"/>
      <c r="M773" s="236"/>
      <c r="N773" s="236"/>
      <c r="O773" s="236"/>
      <c r="P773" s="236"/>
      <c r="Q773" s="236"/>
      <c r="R773" s="236"/>
      <c r="S773" s="236"/>
      <c r="T773" s="236"/>
      <c r="U773" s="236"/>
      <c r="V773" s="236"/>
      <c r="W773" s="237"/>
      <c r="X773" s="237"/>
      <c r="Y773" s="237"/>
      <c r="Z773" s="237"/>
      <c r="AA773" s="237"/>
      <c r="AB773" s="237"/>
      <c r="AC773" s="237"/>
      <c r="AD773" s="237"/>
      <c r="AE773" s="237"/>
      <c r="AF773" s="237"/>
      <c r="AG773" s="237"/>
      <c r="AH773" s="237"/>
      <c r="AI773" s="98"/>
      <c r="AJ773" s="98"/>
      <c r="AK773" s="98"/>
      <c r="AL773" s="98"/>
      <c r="AM773" s="98"/>
      <c r="AN773" s="98"/>
      <c r="AO773" s="98"/>
    </row>
    <row r="774" ht="14.25" customHeight="1">
      <c r="A774" s="98"/>
      <c r="B774" s="98"/>
      <c r="C774" s="98"/>
      <c r="D774" s="98"/>
      <c r="E774" s="98"/>
      <c r="F774" s="235"/>
      <c r="G774" s="235"/>
      <c r="H774" s="236"/>
      <c r="I774" s="236"/>
      <c r="J774" s="236"/>
      <c r="K774" s="236"/>
      <c r="L774" s="236"/>
      <c r="M774" s="236"/>
      <c r="N774" s="236"/>
      <c r="O774" s="236"/>
      <c r="P774" s="236"/>
      <c r="Q774" s="236"/>
      <c r="R774" s="236"/>
      <c r="S774" s="236"/>
      <c r="T774" s="236"/>
      <c r="U774" s="236"/>
      <c r="V774" s="236"/>
      <c r="W774" s="237"/>
      <c r="X774" s="237"/>
      <c r="Y774" s="237"/>
      <c r="Z774" s="237"/>
      <c r="AA774" s="237"/>
      <c r="AB774" s="237"/>
      <c r="AC774" s="237"/>
      <c r="AD774" s="237"/>
      <c r="AE774" s="237"/>
      <c r="AF774" s="237"/>
      <c r="AG774" s="237"/>
      <c r="AH774" s="237"/>
      <c r="AI774" s="98"/>
      <c r="AJ774" s="98"/>
      <c r="AK774" s="98"/>
      <c r="AL774" s="98"/>
      <c r="AM774" s="98"/>
      <c r="AN774" s="98"/>
      <c r="AO774" s="98"/>
    </row>
    <row r="775" ht="14.25" customHeight="1">
      <c r="A775" s="98"/>
      <c r="B775" s="98"/>
      <c r="C775" s="98"/>
      <c r="D775" s="98"/>
      <c r="E775" s="98"/>
      <c r="F775" s="235"/>
      <c r="G775" s="235"/>
      <c r="H775" s="236"/>
      <c r="I775" s="236"/>
      <c r="J775" s="236"/>
      <c r="K775" s="236"/>
      <c r="L775" s="236"/>
      <c r="M775" s="236"/>
      <c r="N775" s="236"/>
      <c r="O775" s="236"/>
      <c r="P775" s="236"/>
      <c r="Q775" s="236"/>
      <c r="R775" s="236"/>
      <c r="S775" s="236"/>
      <c r="T775" s="236"/>
      <c r="U775" s="236"/>
      <c r="V775" s="236"/>
      <c r="W775" s="237"/>
      <c r="X775" s="237"/>
      <c r="Y775" s="237"/>
      <c r="Z775" s="237"/>
      <c r="AA775" s="237"/>
      <c r="AB775" s="237"/>
      <c r="AC775" s="237"/>
      <c r="AD775" s="237"/>
      <c r="AE775" s="237"/>
      <c r="AF775" s="237"/>
      <c r="AG775" s="237"/>
      <c r="AH775" s="237"/>
      <c r="AI775" s="98"/>
      <c r="AJ775" s="98"/>
      <c r="AK775" s="98"/>
      <c r="AL775" s="98"/>
      <c r="AM775" s="98"/>
      <c r="AN775" s="98"/>
      <c r="AO775" s="98"/>
    </row>
    <row r="776" ht="14.25" customHeight="1">
      <c r="A776" s="98"/>
      <c r="B776" s="98"/>
      <c r="C776" s="98"/>
      <c r="D776" s="98"/>
      <c r="E776" s="98"/>
      <c r="F776" s="235"/>
      <c r="G776" s="235"/>
      <c r="H776" s="236"/>
      <c r="I776" s="236"/>
      <c r="J776" s="236"/>
      <c r="K776" s="236"/>
      <c r="L776" s="236"/>
      <c r="M776" s="236"/>
      <c r="N776" s="236"/>
      <c r="O776" s="236"/>
      <c r="P776" s="236"/>
      <c r="Q776" s="236"/>
      <c r="R776" s="236"/>
      <c r="S776" s="236"/>
      <c r="T776" s="236"/>
      <c r="U776" s="236"/>
      <c r="V776" s="236"/>
      <c r="W776" s="237"/>
      <c r="X776" s="237"/>
      <c r="Y776" s="237"/>
      <c r="Z776" s="237"/>
      <c r="AA776" s="237"/>
      <c r="AB776" s="237"/>
      <c r="AC776" s="237"/>
      <c r="AD776" s="237"/>
      <c r="AE776" s="237"/>
      <c r="AF776" s="237"/>
      <c r="AG776" s="237"/>
      <c r="AH776" s="237"/>
      <c r="AI776" s="98"/>
      <c r="AJ776" s="98"/>
      <c r="AK776" s="98"/>
      <c r="AL776" s="98"/>
      <c r="AM776" s="98"/>
      <c r="AN776" s="98"/>
      <c r="AO776" s="98"/>
    </row>
    <row r="777" ht="14.25" customHeight="1">
      <c r="A777" s="98"/>
      <c r="B777" s="98"/>
      <c r="C777" s="98"/>
      <c r="D777" s="98"/>
      <c r="E777" s="98"/>
      <c r="F777" s="235"/>
      <c r="G777" s="235"/>
      <c r="H777" s="236"/>
      <c r="I777" s="236"/>
      <c r="J777" s="236"/>
      <c r="K777" s="236"/>
      <c r="L777" s="236"/>
      <c r="M777" s="236"/>
      <c r="N777" s="236"/>
      <c r="O777" s="236"/>
      <c r="P777" s="236"/>
      <c r="Q777" s="236"/>
      <c r="R777" s="236"/>
      <c r="S777" s="236"/>
      <c r="T777" s="236"/>
      <c r="U777" s="236"/>
      <c r="V777" s="236"/>
      <c r="W777" s="237"/>
      <c r="X777" s="237"/>
      <c r="Y777" s="237"/>
      <c r="Z777" s="237"/>
      <c r="AA777" s="237"/>
      <c r="AB777" s="237"/>
      <c r="AC777" s="237"/>
      <c r="AD777" s="237"/>
      <c r="AE777" s="237"/>
      <c r="AF777" s="237"/>
      <c r="AG777" s="237"/>
      <c r="AH777" s="237"/>
      <c r="AI777" s="98"/>
      <c r="AJ777" s="98"/>
      <c r="AK777" s="98"/>
      <c r="AL777" s="98"/>
      <c r="AM777" s="98"/>
      <c r="AN777" s="98"/>
      <c r="AO777" s="98"/>
    </row>
    <row r="778" ht="14.25" customHeight="1">
      <c r="A778" s="98"/>
      <c r="B778" s="98"/>
      <c r="C778" s="98"/>
      <c r="D778" s="98"/>
      <c r="E778" s="98"/>
      <c r="F778" s="235"/>
      <c r="G778" s="235"/>
      <c r="H778" s="236"/>
      <c r="I778" s="236"/>
      <c r="J778" s="236"/>
      <c r="K778" s="236"/>
      <c r="L778" s="236"/>
      <c r="M778" s="236"/>
      <c r="N778" s="236"/>
      <c r="O778" s="236"/>
      <c r="P778" s="236"/>
      <c r="Q778" s="236"/>
      <c r="R778" s="236"/>
      <c r="S778" s="236"/>
      <c r="T778" s="236"/>
      <c r="U778" s="236"/>
      <c r="V778" s="236"/>
      <c r="W778" s="237"/>
      <c r="X778" s="237"/>
      <c r="Y778" s="237"/>
      <c r="Z778" s="237"/>
      <c r="AA778" s="237"/>
      <c r="AB778" s="237"/>
      <c r="AC778" s="237"/>
      <c r="AD778" s="237"/>
      <c r="AE778" s="237"/>
      <c r="AF778" s="237"/>
      <c r="AG778" s="237"/>
      <c r="AH778" s="237"/>
      <c r="AI778" s="98"/>
      <c r="AJ778" s="98"/>
      <c r="AK778" s="98"/>
      <c r="AL778" s="98"/>
      <c r="AM778" s="98"/>
      <c r="AN778" s="98"/>
      <c r="AO778" s="98"/>
    </row>
    <row r="779" ht="14.25" customHeight="1">
      <c r="A779" s="98"/>
      <c r="B779" s="98"/>
      <c r="C779" s="98"/>
      <c r="D779" s="98"/>
      <c r="E779" s="98"/>
      <c r="F779" s="235"/>
      <c r="G779" s="235"/>
      <c r="H779" s="236"/>
      <c r="I779" s="236"/>
      <c r="J779" s="236"/>
      <c r="K779" s="236"/>
      <c r="L779" s="236"/>
      <c r="M779" s="236"/>
      <c r="N779" s="236"/>
      <c r="O779" s="236"/>
      <c r="P779" s="236"/>
      <c r="Q779" s="236"/>
      <c r="R779" s="236"/>
      <c r="S779" s="236"/>
      <c r="T779" s="236"/>
      <c r="U779" s="236"/>
      <c r="V779" s="236"/>
      <c r="W779" s="237"/>
      <c r="X779" s="237"/>
      <c r="Y779" s="237"/>
      <c r="Z779" s="237"/>
      <c r="AA779" s="237"/>
      <c r="AB779" s="237"/>
      <c r="AC779" s="237"/>
      <c r="AD779" s="237"/>
      <c r="AE779" s="237"/>
      <c r="AF779" s="237"/>
      <c r="AG779" s="237"/>
      <c r="AH779" s="237"/>
      <c r="AI779" s="98"/>
      <c r="AJ779" s="98"/>
      <c r="AK779" s="98"/>
      <c r="AL779" s="98"/>
      <c r="AM779" s="98"/>
      <c r="AN779" s="98"/>
      <c r="AO779" s="98"/>
    </row>
    <row r="780" ht="14.25" customHeight="1">
      <c r="A780" s="98"/>
      <c r="B780" s="98"/>
      <c r="C780" s="98"/>
      <c r="D780" s="98"/>
      <c r="E780" s="98"/>
      <c r="F780" s="235"/>
      <c r="G780" s="235"/>
      <c r="H780" s="236"/>
      <c r="I780" s="236"/>
      <c r="J780" s="236"/>
      <c r="K780" s="236"/>
      <c r="L780" s="236"/>
      <c r="M780" s="236"/>
      <c r="N780" s="236"/>
      <c r="O780" s="236"/>
      <c r="P780" s="236"/>
      <c r="Q780" s="236"/>
      <c r="R780" s="236"/>
      <c r="S780" s="236"/>
      <c r="T780" s="236"/>
      <c r="U780" s="236"/>
      <c r="V780" s="236"/>
      <c r="W780" s="237"/>
      <c r="X780" s="237"/>
      <c r="Y780" s="237"/>
      <c r="Z780" s="237"/>
      <c r="AA780" s="237"/>
      <c r="AB780" s="237"/>
      <c r="AC780" s="237"/>
      <c r="AD780" s="237"/>
      <c r="AE780" s="237"/>
      <c r="AF780" s="237"/>
      <c r="AG780" s="237"/>
      <c r="AH780" s="237"/>
      <c r="AI780" s="98"/>
      <c r="AJ780" s="98"/>
      <c r="AK780" s="98"/>
      <c r="AL780" s="98"/>
      <c r="AM780" s="98"/>
      <c r="AN780" s="98"/>
      <c r="AO780" s="98"/>
    </row>
    <row r="781" ht="14.25" customHeight="1">
      <c r="A781" s="98"/>
      <c r="B781" s="98"/>
      <c r="C781" s="98"/>
      <c r="D781" s="98"/>
      <c r="E781" s="98"/>
      <c r="F781" s="235"/>
      <c r="G781" s="235"/>
      <c r="H781" s="236"/>
      <c r="I781" s="236"/>
      <c r="J781" s="236"/>
      <c r="K781" s="236"/>
      <c r="L781" s="236"/>
      <c r="M781" s="236"/>
      <c r="N781" s="236"/>
      <c r="O781" s="236"/>
      <c r="P781" s="236"/>
      <c r="Q781" s="236"/>
      <c r="R781" s="236"/>
      <c r="S781" s="236"/>
      <c r="T781" s="236"/>
      <c r="U781" s="236"/>
      <c r="V781" s="236"/>
      <c r="W781" s="237"/>
      <c r="X781" s="237"/>
      <c r="Y781" s="237"/>
      <c r="Z781" s="237"/>
      <c r="AA781" s="237"/>
      <c r="AB781" s="237"/>
      <c r="AC781" s="237"/>
      <c r="AD781" s="237"/>
      <c r="AE781" s="237"/>
      <c r="AF781" s="237"/>
      <c r="AG781" s="237"/>
      <c r="AH781" s="237"/>
      <c r="AI781" s="98"/>
      <c r="AJ781" s="98"/>
      <c r="AK781" s="98"/>
      <c r="AL781" s="98"/>
      <c r="AM781" s="98"/>
      <c r="AN781" s="98"/>
      <c r="AO781" s="98"/>
    </row>
    <row r="782" ht="14.25" customHeight="1">
      <c r="A782" s="98"/>
      <c r="B782" s="98"/>
      <c r="C782" s="98"/>
      <c r="D782" s="98"/>
      <c r="E782" s="98"/>
      <c r="F782" s="235"/>
      <c r="G782" s="235"/>
      <c r="H782" s="236"/>
      <c r="I782" s="236"/>
      <c r="J782" s="236"/>
      <c r="K782" s="236"/>
      <c r="L782" s="236"/>
      <c r="M782" s="236"/>
      <c r="N782" s="236"/>
      <c r="O782" s="236"/>
      <c r="P782" s="236"/>
      <c r="Q782" s="236"/>
      <c r="R782" s="236"/>
      <c r="S782" s="236"/>
      <c r="T782" s="236"/>
      <c r="U782" s="236"/>
      <c r="V782" s="236"/>
      <c r="W782" s="237"/>
      <c r="X782" s="237"/>
      <c r="Y782" s="237"/>
      <c r="Z782" s="237"/>
      <c r="AA782" s="237"/>
      <c r="AB782" s="237"/>
      <c r="AC782" s="237"/>
      <c r="AD782" s="237"/>
      <c r="AE782" s="237"/>
      <c r="AF782" s="237"/>
      <c r="AG782" s="237"/>
      <c r="AH782" s="237"/>
      <c r="AI782" s="98"/>
      <c r="AJ782" s="98"/>
      <c r="AK782" s="98"/>
      <c r="AL782" s="98"/>
      <c r="AM782" s="98"/>
      <c r="AN782" s="98"/>
      <c r="AO782" s="98"/>
    </row>
    <row r="783" ht="14.25" customHeight="1">
      <c r="A783" s="98"/>
      <c r="B783" s="98"/>
      <c r="C783" s="98"/>
      <c r="D783" s="98"/>
      <c r="E783" s="98"/>
      <c r="F783" s="235"/>
      <c r="G783" s="235"/>
      <c r="H783" s="236"/>
      <c r="I783" s="236"/>
      <c r="J783" s="236"/>
      <c r="K783" s="236"/>
      <c r="L783" s="236"/>
      <c r="M783" s="236"/>
      <c r="N783" s="236"/>
      <c r="O783" s="236"/>
      <c r="P783" s="236"/>
      <c r="Q783" s="236"/>
      <c r="R783" s="236"/>
      <c r="S783" s="236"/>
      <c r="T783" s="236"/>
      <c r="U783" s="236"/>
      <c r="V783" s="236"/>
      <c r="W783" s="237"/>
      <c r="X783" s="237"/>
      <c r="Y783" s="237"/>
      <c r="Z783" s="237"/>
      <c r="AA783" s="237"/>
      <c r="AB783" s="237"/>
      <c r="AC783" s="237"/>
      <c r="AD783" s="237"/>
      <c r="AE783" s="237"/>
      <c r="AF783" s="237"/>
      <c r="AG783" s="237"/>
      <c r="AH783" s="237"/>
      <c r="AI783" s="98"/>
      <c r="AJ783" s="98"/>
      <c r="AK783" s="98"/>
      <c r="AL783" s="98"/>
      <c r="AM783" s="98"/>
      <c r="AN783" s="98"/>
      <c r="AO783" s="98"/>
    </row>
    <row r="784" ht="14.25" customHeight="1">
      <c r="A784" s="98"/>
      <c r="B784" s="98"/>
      <c r="C784" s="98"/>
      <c r="D784" s="98"/>
      <c r="E784" s="98"/>
      <c r="F784" s="235"/>
      <c r="G784" s="235"/>
      <c r="H784" s="236"/>
      <c r="I784" s="236"/>
      <c r="J784" s="236"/>
      <c r="K784" s="236"/>
      <c r="L784" s="236"/>
      <c r="M784" s="236"/>
      <c r="N784" s="236"/>
      <c r="O784" s="236"/>
      <c r="P784" s="236"/>
      <c r="Q784" s="236"/>
      <c r="R784" s="236"/>
      <c r="S784" s="236"/>
      <c r="T784" s="236"/>
      <c r="U784" s="236"/>
      <c r="V784" s="236"/>
      <c r="W784" s="237"/>
      <c r="X784" s="237"/>
      <c r="Y784" s="237"/>
      <c r="Z784" s="237"/>
      <c r="AA784" s="237"/>
      <c r="AB784" s="237"/>
      <c r="AC784" s="237"/>
      <c r="AD784" s="237"/>
      <c r="AE784" s="237"/>
      <c r="AF784" s="237"/>
      <c r="AG784" s="237"/>
      <c r="AH784" s="237"/>
      <c r="AI784" s="98"/>
      <c r="AJ784" s="98"/>
      <c r="AK784" s="98"/>
      <c r="AL784" s="98"/>
      <c r="AM784" s="98"/>
      <c r="AN784" s="98"/>
      <c r="AO784" s="98"/>
    </row>
    <row r="785" ht="14.25" customHeight="1">
      <c r="A785" s="98"/>
      <c r="B785" s="98"/>
      <c r="C785" s="98"/>
      <c r="D785" s="98"/>
      <c r="E785" s="98"/>
      <c r="F785" s="235"/>
      <c r="G785" s="235"/>
      <c r="H785" s="236"/>
      <c r="I785" s="236"/>
      <c r="J785" s="236"/>
      <c r="K785" s="236"/>
      <c r="L785" s="236"/>
      <c r="M785" s="236"/>
      <c r="N785" s="236"/>
      <c r="O785" s="236"/>
      <c r="P785" s="236"/>
      <c r="Q785" s="236"/>
      <c r="R785" s="236"/>
      <c r="S785" s="236"/>
      <c r="T785" s="236"/>
      <c r="U785" s="236"/>
      <c r="V785" s="236"/>
      <c r="W785" s="237"/>
      <c r="X785" s="237"/>
      <c r="Y785" s="237"/>
      <c r="Z785" s="237"/>
      <c r="AA785" s="237"/>
      <c r="AB785" s="237"/>
      <c r="AC785" s="237"/>
      <c r="AD785" s="237"/>
      <c r="AE785" s="237"/>
      <c r="AF785" s="237"/>
      <c r="AG785" s="237"/>
      <c r="AH785" s="237"/>
      <c r="AI785" s="98"/>
      <c r="AJ785" s="98"/>
      <c r="AK785" s="98"/>
      <c r="AL785" s="98"/>
      <c r="AM785" s="98"/>
      <c r="AN785" s="98"/>
      <c r="AO785" s="98"/>
    </row>
    <row r="786" ht="14.25" customHeight="1">
      <c r="A786" s="98"/>
      <c r="B786" s="98"/>
      <c r="C786" s="98"/>
      <c r="D786" s="98"/>
      <c r="E786" s="98"/>
      <c r="F786" s="235"/>
      <c r="G786" s="235"/>
      <c r="H786" s="236"/>
      <c r="I786" s="236"/>
      <c r="J786" s="236"/>
      <c r="K786" s="236"/>
      <c r="L786" s="236"/>
      <c r="M786" s="236"/>
      <c r="N786" s="236"/>
      <c r="O786" s="236"/>
      <c r="P786" s="236"/>
      <c r="Q786" s="236"/>
      <c r="R786" s="236"/>
      <c r="S786" s="236"/>
      <c r="T786" s="236"/>
      <c r="U786" s="236"/>
      <c r="V786" s="236"/>
      <c r="W786" s="237"/>
      <c r="X786" s="237"/>
      <c r="Y786" s="237"/>
      <c r="Z786" s="237"/>
      <c r="AA786" s="237"/>
      <c r="AB786" s="237"/>
      <c r="AC786" s="237"/>
      <c r="AD786" s="237"/>
      <c r="AE786" s="237"/>
      <c r="AF786" s="237"/>
      <c r="AG786" s="237"/>
      <c r="AH786" s="237"/>
      <c r="AI786" s="98"/>
      <c r="AJ786" s="98"/>
      <c r="AK786" s="98"/>
      <c r="AL786" s="98"/>
      <c r="AM786" s="98"/>
      <c r="AN786" s="98"/>
      <c r="AO786" s="98"/>
    </row>
    <row r="787" ht="14.25" customHeight="1">
      <c r="A787" s="98"/>
      <c r="B787" s="98"/>
      <c r="C787" s="98"/>
      <c r="D787" s="98"/>
      <c r="E787" s="98"/>
      <c r="F787" s="235"/>
      <c r="G787" s="235"/>
      <c r="H787" s="236"/>
      <c r="I787" s="236"/>
      <c r="J787" s="236"/>
      <c r="K787" s="236"/>
      <c r="L787" s="236"/>
      <c r="M787" s="236"/>
      <c r="N787" s="236"/>
      <c r="O787" s="236"/>
      <c r="P787" s="236"/>
      <c r="Q787" s="236"/>
      <c r="R787" s="236"/>
      <c r="S787" s="236"/>
      <c r="T787" s="236"/>
      <c r="U787" s="236"/>
      <c r="V787" s="236"/>
      <c r="W787" s="237"/>
      <c r="X787" s="237"/>
      <c r="Y787" s="237"/>
      <c r="Z787" s="237"/>
      <c r="AA787" s="237"/>
      <c r="AB787" s="237"/>
      <c r="AC787" s="237"/>
      <c r="AD787" s="237"/>
      <c r="AE787" s="237"/>
      <c r="AF787" s="237"/>
      <c r="AG787" s="237"/>
      <c r="AH787" s="237"/>
      <c r="AI787" s="98"/>
      <c r="AJ787" s="98"/>
      <c r="AK787" s="98"/>
      <c r="AL787" s="98"/>
      <c r="AM787" s="98"/>
      <c r="AN787" s="98"/>
      <c r="AO787" s="98"/>
    </row>
    <row r="788" ht="14.25" customHeight="1">
      <c r="A788" s="98"/>
      <c r="B788" s="98"/>
      <c r="C788" s="98"/>
      <c r="D788" s="98"/>
      <c r="E788" s="98"/>
      <c r="F788" s="235"/>
      <c r="G788" s="235"/>
      <c r="H788" s="236"/>
      <c r="I788" s="236"/>
      <c r="J788" s="236"/>
      <c r="K788" s="236"/>
      <c r="L788" s="236"/>
      <c r="M788" s="236"/>
      <c r="N788" s="236"/>
      <c r="O788" s="236"/>
      <c r="P788" s="236"/>
      <c r="Q788" s="236"/>
      <c r="R788" s="236"/>
      <c r="S788" s="236"/>
      <c r="T788" s="236"/>
      <c r="U788" s="236"/>
      <c r="V788" s="236"/>
      <c r="W788" s="237"/>
      <c r="X788" s="237"/>
      <c r="Y788" s="237"/>
      <c r="Z788" s="237"/>
      <c r="AA788" s="237"/>
      <c r="AB788" s="237"/>
      <c r="AC788" s="237"/>
      <c r="AD788" s="237"/>
      <c r="AE788" s="237"/>
      <c r="AF788" s="237"/>
      <c r="AG788" s="237"/>
      <c r="AH788" s="237"/>
      <c r="AI788" s="98"/>
      <c r="AJ788" s="98"/>
      <c r="AK788" s="98"/>
      <c r="AL788" s="98"/>
      <c r="AM788" s="98"/>
      <c r="AN788" s="98"/>
      <c r="AO788" s="98"/>
    </row>
    <row r="789" ht="14.25" customHeight="1">
      <c r="A789" s="98"/>
      <c r="B789" s="98"/>
      <c r="C789" s="98"/>
      <c r="D789" s="98"/>
      <c r="E789" s="98"/>
      <c r="F789" s="235"/>
      <c r="G789" s="235"/>
      <c r="H789" s="236"/>
      <c r="I789" s="236"/>
      <c r="J789" s="236"/>
      <c r="K789" s="236"/>
      <c r="L789" s="236"/>
      <c r="M789" s="236"/>
      <c r="N789" s="236"/>
      <c r="O789" s="236"/>
      <c r="P789" s="236"/>
      <c r="Q789" s="236"/>
      <c r="R789" s="236"/>
      <c r="S789" s="236"/>
      <c r="T789" s="236"/>
      <c r="U789" s="236"/>
      <c r="V789" s="236"/>
      <c r="W789" s="237"/>
      <c r="X789" s="237"/>
      <c r="Y789" s="237"/>
      <c r="Z789" s="237"/>
      <c r="AA789" s="237"/>
      <c r="AB789" s="237"/>
      <c r="AC789" s="237"/>
      <c r="AD789" s="237"/>
      <c r="AE789" s="237"/>
      <c r="AF789" s="237"/>
      <c r="AG789" s="237"/>
      <c r="AH789" s="237"/>
      <c r="AI789" s="98"/>
      <c r="AJ789" s="98"/>
      <c r="AK789" s="98"/>
      <c r="AL789" s="98"/>
      <c r="AM789" s="98"/>
      <c r="AN789" s="98"/>
      <c r="AO789" s="98"/>
    </row>
    <row r="790" ht="14.25" customHeight="1">
      <c r="A790" s="98"/>
      <c r="B790" s="98"/>
      <c r="C790" s="98"/>
      <c r="D790" s="98"/>
      <c r="E790" s="98"/>
      <c r="F790" s="235"/>
      <c r="G790" s="235"/>
      <c r="H790" s="236"/>
      <c r="I790" s="236"/>
      <c r="J790" s="236"/>
      <c r="K790" s="236"/>
      <c r="L790" s="236"/>
      <c r="M790" s="236"/>
      <c r="N790" s="236"/>
      <c r="O790" s="236"/>
      <c r="P790" s="236"/>
      <c r="Q790" s="236"/>
      <c r="R790" s="236"/>
      <c r="S790" s="236"/>
      <c r="T790" s="236"/>
      <c r="U790" s="236"/>
      <c r="V790" s="236"/>
      <c r="W790" s="237"/>
      <c r="X790" s="237"/>
      <c r="Y790" s="237"/>
      <c r="Z790" s="237"/>
      <c r="AA790" s="237"/>
      <c r="AB790" s="237"/>
      <c r="AC790" s="237"/>
      <c r="AD790" s="237"/>
      <c r="AE790" s="237"/>
      <c r="AF790" s="237"/>
      <c r="AG790" s="237"/>
      <c r="AH790" s="237"/>
      <c r="AI790" s="98"/>
      <c r="AJ790" s="98"/>
      <c r="AK790" s="98"/>
      <c r="AL790" s="98"/>
      <c r="AM790" s="98"/>
      <c r="AN790" s="98"/>
      <c r="AO790" s="98"/>
    </row>
    <row r="791" ht="14.25" customHeight="1">
      <c r="A791" s="98"/>
      <c r="B791" s="98"/>
      <c r="C791" s="98"/>
      <c r="D791" s="98"/>
      <c r="E791" s="98"/>
      <c r="F791" s="235"/>
      <c r="G791" s="235"/>
      <c r="H791" s="236"/>
      <c r="I791" s="236"/>
      <c r="J791" s="236"/>
      <c r="K791" s="236"/>
      <c r="L791" s="236"/>
      <c r="M791" s="236"/>
      <c r="N791" s="236"/>
      <c r="O791" s="236"/>
      <c r="P791" s="236"/>
      <c r="Q791" s="236"/>
      <c r="R791" s="236"/>
      <c r="S791" s="236"/>
      <c r="T791" s="236"/>
      <c r="U791" s="236"/>
      <c r="V791" s="236"/>
      <c r="W791" s="237"/>
      <c r="X791" s="237"/>
      <c r="Y791" s="237"/>
      <c r="Z791" s="237"/>
      <c r="AA791" s="237"/>
      <c r="AB791" s="237"/>
      <c r="AC791" s="237"/>
      <c r="AD791" s="237"/>
      <c r="AE791" s="237"/>
      <c r="AF791" s="237"/>
      <c r="AG791" s="237"/>
      <c r="AH791" s="237"/>
      <c r="AI791" s="98"/>
      <c r="AJ791" s="98"/>
      <c r="AK791" s="98"/>
      <c r="AL791" s="98"/>
      <c r="AM791" s="98"/>
      <c r="AN791" s="98"/>
      <c r="AO791" s="98"/>
    </row>
    <row r="792" ht="14.25" customHeight="1">
      <c r="A792" s="98"/>
      <c r="B792" s="98"/>
      <c r="C792" s="98"/>
      <c r="D792" s="98"/>
      <c r="E792" s="98"/>
      <c r="F792" s="235"/>
      <c r="G792" s="235"/>
      <c r="H792" s="236"/>
      <c r="I792" s="236"/>
      <c r="J792" s="236"/>
      <c r="K792" s="236"/>
      <c r="L792" s="236"/>
      <c r="M792" s="236"/>
      <c r="N792" s="236"/>
      <c r="O792" s="236"/>
      <c r="P792" s="236"/>
      <c r="Q792" s="236"/>
      <c r="R792" s="236"/>
      <c r="S792" s="236"/>
      <c r="T792" s="236"/>
      <c r="U792" s="236"/>
      <c r="V792" s="236"/>
      <c r="W792" s="237"/>
      <c r="X792" s="237"/>
      <c r="Y792" s="237"/>
      <c r="Z792" s="237"/>
      <c r="AA792" s="237"/>
      <c r="AB792" s="237"/>
      <c r="AC792" s="237"/>
      <c r="AD792" s="237"/>
      <c r="AE792" s="237"/>
      <c r="AF792" s="237"/>
      <c r="AG792" s="237"/>
      <c r="AH792" s="237"/>
      <c r="AI792" s="98"/>
      <c r="AJ792" s="98"/>
      <c r="AK792" s="98"/>
      <c r="AL792" s="98"/>
      <c r="AM792" s="98"/>
      <c r="AN792" s="98"/>
      <c r="AO792" s="98"/>
    </row>
    <row r="793" ht="14.25" customHeight="1">
      <c r="A793" s="98"/>
      <c r="B793" s="98"/>
      <c r="C793" s="98"/>
      <c r="D793" s="98"/>
      <c r="E793" s="98"/>
      <c r="F793" s="235"/>
      <c r="G793" s="235"/>
      <c r="H793" s="236"/>
      <c r="I793" s="236"/>
      <c r="J793" s="236"/>
      <c r="K793" s="236"/>
      <c r="L793" s="236"/>
      <c r="M793" s="236"/>
      <c r="N793" s="236"/>
      <c r="O793" s="236"/>
      <c r="P793" s="236"/>
      <c r="Q793" s="236"/>
      <c r="R793" s="236"/>
      <c r="S793" s="236"/>
      <c r="T793" s="236"/>
      <c r="U793" s="236"/>
      <c r="V793" s="236"/>
      <c r="W793" s="237"/>
      <c r="X793" s="237"/>
      <c r="Y793" s="237"/>
      <c r="Z793" s="237"/>
      <c r="AA793" s="237"/>
      <c r="AB793" s="237"/>
      <c r="AC793" s="237"/>
      <c r="AD793" s="237"/>
      <c r="AE793" s="237"/>
      <c r="AF793" s="237"/>
      <c r="AG793" s="237"/>
      <c r="AH793" s="237"/>
      <c r="AI793" s="98"/>
      <c r="AJ793" s="98"/>
      <c r="AK793" s="98"/>
      <c r="AL793" s="98"/>
      <c r="AM793" s="98"/>
      <c r="AN793" s="98"/>
      <c r="AO793" s="98"/>
    </row>
    <row r="794" ht="14.25" customHeight="1">
      <c r="A794" s="98"/>
      <c r="B794" s="98"/>
      <c r="C794" s="98"/>
      <c r="D794" s="98"/>
      <c r="E794" s="98"/>
      <c r="F794" s="235"/>
      <c r="G794" s="235"/>
      <c r="H794" s="236"/>
      <c r="I794" s="236"/>
      <c r="J794" s="236"/>
      <c r="K794" s="236"/>
      <c r="L794" s="236"/>
      <c r="M794" s="236"/>
      <c r="N794" s="236"/>
      <c r="O794" s="236"/>
      <c r="P794" s="236"/>
      <c r="Q794" s="236"/>
      <c r="R794" s="236"/>
      <c r="S794" s="236"/>
      <c r="T794" s="236"/>
      <c r="U794" s="236"/>
      <c r="V794" s="236"/>
      <c r="W794" s="237"/>
      <c r="X794" s="237"/>
      <c r="Y794" s="237"/>
      <c r="Z794" s="237"/>
      <c r="AA794" s="237"/>
      <c r="AB794" s="237"/>
      <c r="AC794" s="237"/>
      <c r="AD794" s="237"/>
      <c r="AE794" s="237"/>
      <c r="AF794" s="237"/>
      <c r="AG794" s="237"/>
      <c r="AH794" s="237"/>
      <c r="AI794" s="98"/>
      <c r="AJ794" s="98"/>
      <c r="AK794" s="98"/>
      <c r="AL794" s="98"/>
      <c r="AM794" s="98"/>
      <c r="AN794" s="98"/>
      <c r="AO794" s="98"/>
    </row>
    <row r="795" ht="14.25" customHeight="1">
      <c r="A795" s="98"/>
      <c r="B795" s="98"/>
      <c r="C795" s="98"/>
      <c r="D795" s="98"/>
      <c r="E795" s="98"/>
      <c r="F795" s="235"/>
      <c r="G795" s="235"/>
      <c r="H795" s="236"/>
      <c r="I795" s="236"/>
      <c r="J795" s="236"/>
      <c r="K795" s="236"/>
      <c r="L795" s="236"/>
      <c r="M795" s="236"/>
      <c r="N795" s="236"/>
      <c r="O795" s="236"/>
      <c r="P795" s="236"/>
      <c r="Q795" s="236"/>
      <c r="R795" s="236"/>
      <c r="S795" s="236"/>
      <c r="T795" s="236"/>
      <c r="U795" s="236"/>
      <c r="V795" s="236"/>
      <c r="W795" s="237"/>
      <c r="X795" s="237"/>
      <c r="Y795" s="237"/>
      <c r="Z795" s="237"/>
      <c r="AA795" s="237"/>
      <c r="AB795" s="237"/>
      <c r="AC795" s="237"/>
      <c r="AD795" s="237"/>
      <c r="AE795" s="237"/>
      <c r="AF795" s="237"/>
      <c r="AG795" s="237"/>
      <c r="AH795" s="237"/>
      <c r="AI795" s="98"/>
      <c r="AJ795" s="98"/>
      <c r="AK795" s="98"/>
      <c r="AL795" s="98"/>
      <c r="AM795" s="98"/>
      <c r="AN795" s="98"/>
      <c r="AO795" s="98"/>
    </row>
    <row r="796" ht="14.25" customHeight="1">
      <c r="A796" s="98"/>
      <c r="B796" s="98"/>
      <c r="C796" s="98"/>
      <c r="D796" s="98"/>
      <c r="E796" s="98"/>
      <c r="F796" s="235"/>
      <c r="G796" s="235"/>
      <c r="H796" s="236"/>
      <c r="I796" s="236"/>
      <c r="J796" s="236"/>
      <c r="K796" s="236"/>
      <c r="L796" s="236"/>
      <c r="M796" s="236"/>
      <c r="N796" s="236"/>
      <c r="O796" s="236"/>
      <c r="P796" s="236"/>
      <c r="Q796" s="236"/>
      <c r="R796" s="236"/>
      <c r="S796" s="236"/>
      <c r="T796" s="236"/>
      <c r="U796" s="236"/>
      <c r="V796" s="236"/>
      <c r="W796" s="237"/>
      <c r="X796" s="237"/>
      <c r="Y796" s="237"/>
      <c r="Z796" s="237"/>
      <c r="AA796" s="237"/>
      <c r="AB796" s="237"/>
      <c r="AC796" s="237"/>
      <c r="AD796" s="237"/>
      <c r="AE796" s="237"/>
      <c r="AF796" s="237"/>
      <c r="AG796" s="237"/>
      <c r="AH796" s="237"/>
      <c r="AI796" s="98"/>
      <c r="AJ796" s="98"/>
      <c r="AK796" s="98"/>
      <c r="AL796" s="98"/>
      <c r="AM796" s="98"/>
      <c r="AN796" s="98"/>
      <c r="AO796" s="98"/>
    </row>
    <row r="797" ht="14.25" customHeight="1">
      <c r="A797" s="98"/>
      <c r="B797" s="98"/>
      <c r="C797" s="98"/>
      <c r="D797" s="98"/>
      <c r="E797" s="98"/>
      <c r="F797" s="235"/>
      <c r="G797" s="235"/>
      <c r="H797" s="236"/>
      <c r="I797" s="236"/>
      <c r="J797" s="236"/>
      <c r="K797" s="236"/>
      <c r="L797" s="236"/>
      <c r="M797" s="236"/>
      <c r="N797" s="236"/>
      <c r="O797" s="236"/>
      <c r="P797" s="236"/>
      <c r="Q797" s="236"/>
      <c r="R797" s="236"/>
      <c r="S797" s="236"/>
      <c r="T797" s="236"/>
      <c r="U797" s="236"/>
      <c r="V797" s="236"/>
      <c r="W797" s="237"/>
      <c r="X797" s="237"/>
      <c r="Y797" s="237"/>
      <c r="Z797" s="237"/>
      <c r="AA797" s="237"/>
      <c r="AB797" s="237"/>
      <c r="AC797" s="237"/>
      <c r="AD797" s="237"/>
      <c r="AE797" s="237"/>
      <c r="AF797" s="237"/>
      <c r="AG797" s="237"/>
      <c r="AH797" s="237"/>
      <c r="AI797" s="98"/>
      <c r="AJ797" s="98"/>
      <c r="AK797" s="98"/>
      <c r="AL797" s="98"/>
      <c r="AM797" s="98"/>
      <c r="AN797" s="98"/>
      <c r="AO797" s="98"/>
    </row>
    <row r="798" ht="14.25" customHeight="1">
      <c r="A798" s="98"/>
      <c r="B798" s="98"/>
      <c r="C798" s="98"/>
      <c r="D798" s="98"/>
      <c r="E798" s="98"/>
      <c r="F798" s="235"/>
      <c r="G798" s="235"/>
      <c r="H798" s="236"/>
      <c r="I798" s="236"/>
      <c r="J798" s="236"/>
      <c r="K798" s="236"/>
      <c r="L798" s="236"/>
      <c r="M798" s="236"/>
      <c r="N798" s="236"/>
      <c r="O798" s="236"/>
      <c r="P798" s="236"/>
      <c r="Q798" s="236"/>
      <c r="R798" s="236"/>
      <c r="S798" s="236"/>
      <c r="T798" s="236"/>
      <c r="U798" s="236"/>
      <c r="V798" s="236"/>
      <c r="W798" s="237"/>
      <c r="X798" s="237"/>
      <c r="Y798" s="237"/>
      <c r="Z798" s="237"/>
      <c r="AA798" s="237"/>
      <c r="AB798" s="237"/>
      <c r="AC798" s="237"/>
      <c r="AD798" s="237"/>
      <c r="AE798" s="237"/>
      <c r="AF798" s="237"/>
      <c r="AG798" s="237"/>
      <c r="AH798" s="237"/>
      <c r="AI798" s="98"/>
      <c r="AJ798" s="98"/>
      <c r="AK798" s="98"/>
      <c r="AL798" s="98"/>
      <c r="AM798" s="98"/>
      <c r="AN798" s="98"/>
      <c r="AO798" s="98"/>
    </row>
    <row r="799" ht="14.25" customHeight="1">
      <c r="A799" s="98"/>
      <c r="B799" s="98"/>
      <c r="C799" s="98"/>
      <c r="D799" s="98"/>
      <c r="E799" s="98"/>
      <c r="F799" s="235"/>
      <c r="G799" s="235"/>
      <c r="H799" s="236"/>
      <c r="I799" s="236"/>
      <c r="J799" s="236"/>
      <c r="K799" s="236"/>
      <c r="L799" s="236"/>
      <c r="M799" s="236"/>
      <c r="N799" s="236"/>
      <c r="O799" s="236"/>
      <c r="P799" s="236"/>
      <c r="Q799" s="236"/>
      <c r="R799" s="236"/>
      <c r="S799" s="236"/>
      <c r="T799" s="236"/>
      <c r="U799" s="236"/>
      <c r="V799" s="236"/>
      <c r="W799" s="237"/>
      <c r="X799" s="237"/>
      <c r="Y799" s="237"/>
      <c r="Z799" s="237"/>
      <c r="AA799" s="237"/>
      <c r="AB799" s="237"/>
      <c r="AC799" s="237"/>
      <c r="AD799" s="237"/>
      <c r="AE799" s="237"/>
      <c r="AF799" s="237"/>
      <c r="AG799" s="237"/>
      <c r="AH799" s="237"/>
      <c r="AI799" s="98"/>
      <c r="AJ799" s="98"/>
      <c r="AK799" s="98"/>
      <c r="AL799" s="98"/>
      <c r="AM799" s="98"/>
      <c r="AN799" s="98"/>
      <c r="AO799" s="98"/>
    </row>
    <row r="800" ht="14.25" customHeight="1">
      <c r="A800" s="98"/>
      <c r="B800" s="98"/>
      <c r="C800" s="98"/>
      <c r="D800" s="98"/>
      <c r="E800" s="98"/>
      <c r="F800" s="235"/>
      <c r="G800" s="235"/>
      <c r="H800" s="236"/>
      <c r="I800" s="236"/>
      <c r="J800" s="236"/>
      <c r="K800" s="236"/>
      <c r="L800" s="236"/>
      <c r="M800" s="236"/>
      <c r="N800" s="236"/>
      <c r="O800" s="236"/>
      <c r="P800" s="236"/>
      <c r="Q800" s="236"/>
      <c r="R800" s="236"/>
      <c r="S800" s="236"/>
      <c r="T800" s="236"/>
      <c r="U800" s="236"/>
      <c r="V800" s="236"/>
      <c r="W800" s="237"/>
      <c r="X800" s="237"/>
      <c r="Y800" s="237"/>
      <c r="Z800" s="237"/>
      <c r="AA800" s="237"/>
      <c r="AB800" s="237"/>
      <c r="AC800" s="237"/>
      <c r="AD800" s="237"/>
      <c r="AE800" s="237"/>
      <c r="AF800" s="237"/>
      <c r="AG800" s="237"/>
      <c r="AH800" s="237"/>
      <c r="AI800" s="98"/>
      <c r="AJ800" s="98"/>
      <c r="AK800" s="98"/>
      <c r="AL800" s="98"/>
      <c r="AM800" s="98"/>
      <c r="AN800" s="98"/>
      <c r="AO800" s="98"/>
    </row>
    <row r="801" ht="14.25" customHeight="1">
      <c r="A801" s="98"/>
      <c r="B801" s="98"/>
      <c r="C801" s="98"/>
      <c r="D801" s="98"/>
      <c r="E801" s="98"/>
      <c r="F801" s="235"/>
      <c r="G801" s="235"/>
      <c r="H801" s="236"/>
      <c r="I801" s="236"/>
      <c r="J801" s="236"/>
      <c r="K801" s="236"/>
      <c r="L801" s="236"/>
      <c r="M801" s="236"/>
      <c r="N801" s="236"/>
      <c r="O801" s="236"/>
      <c r="P801" s="236"/>
      <c r="Q801" s="236"/>
      <c r="R801" s="236"/>
      <c r="S801" s="236"/>
      <c r="T801" s="236"/>
      <c r="U801" s="236"/>
      <c r="V801" s="236"/>
      <c r="W801" s="237"/>
      <c r="X801" s="237"/>
      <c r="Y801" s="237"/>
      <c r="Z801" s="237"/>
      <c r="AA801" s="237"/>
      <c r="AB801" s="237"/>
      <c r="AC801" s="237"/>
      <c r="AD801" s="237"/>
      <c r="AE801" s="237"/>
      <c r="AF801" s="237"/>
      <c r="AG801" s="237"/>
      <c r="AH801" s="237"/>
      <c r="AI801" s="98"/>
      <c r="AJ801" s="98"/>
      <c r="AK801" s="98"/>
      <c r="AL801" s="98"/>
      <c r="AM801" s="98"/>
      <c r="AN801" s="98"/>
      <c r="AO801" s="98"/>
    </row>
    <row r="802" ht="14.25" customHeight="1">
      <c r="A802" s="98"/>
      <c r="B802" s="98"/>
      <c r="C802" s="98"/>
      <c r="D802" s="98"/>
      <c r="E802" s="98"/>
      <c r="F802" s="235"/>
      <c r="G802" s="235"/>
      <c r="H802" s="236"/>
      <c r="I802" s="236"/>
      <c r="J802" s="236"/>
      <c r="K802" s="236"/>
      <c r="L802" s="236"/>
      <c r="M802" s="236"/>
      <c r="N802" s="236"/>
      <c r="O802" s="236"/>
      <c r="P802" s="236"/>
      <c r="Q802" s="236"/>
      <c r="R802" s="236"/>
      <c r="S802" s="236"/>
      <c r="T802" s="236"/>
      <c r="U802" s="236"/>
      <c r="V802" s="236"/>
      <c r="W802" s="237"/>
      <c r="X802" s="237"/>
      <c r="Y802" s="237"/>
      <c r="Z802" s="237"/>
      <c r="AA802" s="237"/>
      <c r="AB802" s="237"/>
      <c r="AC802" s="237"/>
      <c r="AD802" s="237"/>
      <c r="AE802" s="237"/>
      <c r="AF802" s="237"/>
      <c r="AG802" s="237"/>
      <c r="AH802" s="237"/>
      <c r="AI802" s="98"/>
      <c r="AJ802" s="98"/>
      <c r="AK802" s="98"/>
      <c r="AL802" s="98"/>
      <c r="AM802" s="98"/>
      <c r="AN802" s="98"/>
      <c r="AO802" s="98"/>
    </row>
    <row r="803" ht="14.25" customHeight="1">
      <c r="A803" s="98"/>
      <c r="B803" s="98"/>
      <c r="C803" s="98"/>
      <c r="D803" s="98"/>
      <c r="E803" s="98"/>
      <c r="F803" s="235"/>
      <c r="G803" s="235"/>
      <c r="H803" s="236"/>
      <c r="I803" s="236"/>
      <c r="J803" s="236"/>
      <c r="K803" s="236"/>
      <c r="L803" s="236"/>
      <c r="M803" s="236"/>
      <c r="N803" s="236"/>
      <c r="O803" s="236"/>
      <c r="P803" s="236"/>
      <c r="Q803" s="236"/>
      <c r="R803" s="236"/>
      <c r="S803" s="236"/>
      <c r="T803" s="236"/>
      <c r="U803" s="236"/>
      <c r="V803" s="236"/>
      <c r="W803" s="237"/>
      <c r="X803" s="237"/>
      <c r="Y803" s="237"/>
      <c r="Z803" s="237"/>
      <c r="AA803" s="237"/>
      <c r="AB803" s="237"/>
      <c r="AC803" s="237"/>
      <c r="AD803" s="237"/>
      <c r="AE803" s="237"/>
      <c r="AF803" s="237"/>
      <c r="AG803" s="237"/>
      <c r="AH803" s="237"/>
      <c r="AI803" s="98"/>
      <c r="AJ803" s="98"/>
      <c r="AK803" s="98"/>
      <c r="AL803" s="98"/>
      <c r="AM803" s="98"/>
      <c r="AN803" s="98"/>
      <c r="AO803" s="98"/>
    </row>
    <row r="804" ht="14.25" customHeight="1">
      <c r="A804" s="98"/>
      <c r="B804" s="98"/>
      <c r="C804" s="98"/>
      <c r="D804" s="98"/>
      <c r="E804" s="98"/>
      <c r="F804" s="235"/>
      <c r="G804" s="235"/>
      <c r="H804" s="236"/>
      <c r="I804" s="236"/>
      <c r="J804" s="236"/>
      <c r="K804" s="236"/>
      <c r="L804" s="236"/>
      <c r="M804" s="236"/>
      <c r="N804" s="236"/>
      <c r="O804" s="236"/>
      <c r="P804" s="236"/>
      <c r="Q804" s="236"/>
      <c r="R804" s="236"/>
      <c r="S804" s="236"/>
      <c r="T804" s="236"/>
      <c r="U804" s="236"/>
      <c r="V804" s="236"/>
      <c r="W804" s="237"/>
      <c r="X804" s="237"/>
      <c r="Y804" s="237"/>
      <c r="Z804" s="237"/>
      <c r="AA804" s="237"/>
      <c r="AB804" s="237"/>
      <c r="AC804" s="237"/>
      <c r="AD804" s="237"/>
      <c r="AE804" s="237"/>
      <c r="AF804" s="237"/>
      <c r="AG804" s="237"/>
      <c r="AH804" s="237"/>
      <c r="AI804" s="98"/>
      <c r="AJ804" s="98"/>
      <c r="AK804" s="98"/>
      <c r="AL804" s="98"/>
      <c r="AM804" s="98"/>
      <c r="AN804" s="98"/>
      <c r="AO804" s="98"/>
    </row>
    <row r="805" ht="14.25" customHeight="1">
      <c r="A805" s="98"/>
      <c r="B805" s="98"/>
      <c r="C805" s="98"/>
      <c r="D805" s="98"/>
      <c r="E805" s="98"/>
      <c r="F805" s="235"/>
      <c r="G805" s="235"/>
      <c r="H805" s="236"/>
      <c r="I805" s="236"/>
      <c r="J805" s="236"/>
      <c r="K805" s="236"/>
      <c r="L805" s="236"/>
      <c r="M805" s="236"/>
      <c r="N805" s="236"/>
      <c r="O805" s="236"/>
      <c r="P805" s="236"/>
      <c r="Q805" s="236"/>
      <c r="R805" s="236"/>
      <c r="S805" s="236"/>
      <c r="T805" s="236"/>
      <c r="U805" s="236"/>
      <c r="V805" s="236"/>
      <c r="W805" s="237"/>
      <c r="X805" s="237"/>
      <c r="Y805" s="237"/>
      <c r="Z805" s="237"/>
      <c r="AA805" s="237"/>
      <c r="AB805" s="237"/>
      <c r="AC805" s="237"/>
      <c r="AD805" s="237"/>
      <c r="AE805" s="237"/>
      <c r="AF805" s="237"/>
      <c r="AG805" s="237"/>
      <c r="AH805" s="237"/>
      <c r="AI805" s="98"/>
      <c r="AJ805" s="98"/>
      <c r="AK805" s="98"/>
      <c r="AL805" s="98"/>
      <c r="AM805" s="98"/>
      <c r="AN805" s="98"/>
      <c r="AO805" s="98"/>
    </row>
    <row r="806" ht="14.25" customHeight="1">
      <c r="A806" s="98"/>
      <c r="B806" s="98"/>
      <c r="C806" s="98"/>
      <c r="D806" s="98"/>
      <c r="E806" s="98"/>
      <c r="F806" s="235"/>
      <c r="G806" s="235"/>
      <c r="H806" s="236"/>
      <c r="I806" s="236"/>
      <c r="J806" s="236"/>
      <c r="K806" s="236"/>
      <c r="L806" s="236"/>
      <c r="M806" s="236"/>
      <c r="N806" s="236"/>
      <c r="O806" s="236"/>
      <c r="P806" s="236"/>
      <c r="Q806" s="236"/>
      <c r="R806" s="236"/>
      <c r="S806" s="236"/>
      <c r="T806" s="236"/>
      <c r="U806" s="236"/>
      <c r="V806" s="236"/>
      <c r="W806" s="237"/>
      <c r="X806" s="237"/>
      <c r="Y806" s="237"/>
      <c r="Z806" s="237"/>
      <c r="AA806" s="237"/>
      <c r="AB806" s="237"/>
      <c r="AC806" s="237"/>
      <c r="AD806" s="237"/>
      <c r="AE806" s="237"/>
      <c r="AF806" s="237"/>
      <c r="AG806" s="237"/>
      <c r="AH806" s="237"/>
      <c r="AI806" s="98"/>
      <c r="AJ806" s="98"/>
      <c r="AK806" s="98"/>
      <c r="AL806" s="98"/>
      <c r="AM806" s="98"/>
      <c r="AN806" s="98"/>
      <c r="AO806" s="98"/>
    </row>
    <row r="807" ht="14.25" customHeight="1">
      <c r="A807" s="98"/>
      <c r="B807" s="98"/>
      <c r="C807" s="98"/>
      <c r="D807" s="98"/>
      <c r="E807" s="98"/>
      <c r="F807" s="235"/>
      <c r="G807" s="235"/>
      <c r="H807" s="236"/>
      <c r="I807" s="236"/>
      <c r="J807" s="236"/>
      <c r="K807" s="236"/>
      <c r="L807" s="236"/>
      <c r="M807" s="236"/>
      <c r="N807" s="236"/>
      <c r="O807" s="236"/>
      <c r="P807" s="236"/>
      <c r="Q807" s="236"/>
      <c r="R807" s="236"/>
      <c r="S807" s="236"/>
      <c r="T807" s="236"/>
      <c r="U807" s="236"/>
      <c r="V807" s="236"/>
      <c r="W807" s="237"/>
      <c r="X807" s="237"/>
      <c r="Y807" s="237"/>
      <c r="Z807" s="237"/>
      <c r="AA807" s="237"/>
      <c r="AB807" s="237"/>
      <c r="AC807" s="237"/>
      <c r="AD807" s="237"/>
      <c r="AE807" s="237"/>
      <c r="AF807" s="237"/>
      <c r="AG807" s="237"/>
      <c r="AH807" s="237"/>
      <c r="AI807" s="98"/>
      <c r="AJ807" s="98"/>
      <c r="AK807" s="98"/>
      <c r="AL807" s="98"/>
      <c r="AM807" s="98"/>
      <c r="AN807" s="98"/>
      <c r="AO807" s="98"/>
    </row>
    <row r="808" ht="14.25" customHeight="1">
      <c r="A808" s="98"/>
      <c r="B808" s="98"/>
      <c r="C808" s="98"/>
      <c r="D808" s="98"/>
      <c r="E808" s="98"/>
      <c r="F808" s="235"/>
      <c r="G808" s="235"/>
      <c r="H808" s="236"/>
      <c r="I808" s="236"/>
      <c r="J808" s="236"/>
      <c r="K808" s="236"/>
      <c r="L808" s="236"/>
      <c r="M808" s="236"/>
      <c r="N808" s="236"/>
      <c r="O808" s="236"/>
      <c r="P808" s="236"/>
      <c r="Q808" s="236"/>
      <c r="R808" s="236"/>
      <c r="S808" s="236"/>
      <c r="T808" s="236"/>
      <c r="U808" s="236"/>
      <c r="V808" s="236"/>
      <c r="W808" s="237"/>
      <c r="X808" s="237"/>
      <c r="Y808" s="237"/>
      <c r="Z808" s="237"/>
      <c r="AA808" s="237"/>
      <c r="AB808" s="237"/>
      <c r="AC808" s="237"/>
      <c r="AD808" s="237"/>
      <c r="AE808" s="237"/>
      <c r="AF808" s="237"/>
      <c r="AG808" s="237"/>
      <c r="AH808" s="237"/>
      <c r="AI808" s="98"/>
      <c r="AJ808" s="98"/>
      <c r="AK808" s="98"/>
      <c r="AL808" s="98"/>
      <c r="AM808" s="98"/>
      <c r="AN808" s="98"/>
      <c r="AO808" s="98"/>
    </row>
    <row r="809" ht="14.25" customHeight="1">
      <c r="A809" s="98"/>
      <c r="B809" s="98"/>
      <c r="C809" s="98"/>
      <c r="D809" s="98"/>
      <c r="E809" s="98"/>
      <c r="F809" s="235"/>
      <c r="G809" s="235"/>
      <c r="H809" s="236"/>
      <c r="I809" s="236"/>
      <c r="J809" s="236"/>
      <c r="K809" s="236"/>
      <c r="L809" s="236"/>
      <c r="M809" s="236"/>
      <c r="N809" s="236"/>
      <c r="O809" s="236"/>
      <c r="P809" s="236"/>
      <c r="Q809" s="236"/>
      <c r="R809" s="236"/>
      <c r="S809" s="236"/>
      <c r="T809" s="236"/>
      <c r="U809" s="236"/>
      <c r="V809" s="236"/>
      <c r="W809" s="237"/>
      <c r="X809" s="237"/>
      <c r="Y809" s="237"/>
      <c r="Z809" s="237"/>
      <c r="AA809" s="237"/>
      <c r="AB809" s="237"/>
      <c r="AC809" s="237"/>
      <c r="AD809" s="237"/>
      <c r="AE809" s="237"/>
      <c r="AF809" s="237"/>
      <c r="AG809" s="237"/>
      <c r="AH809" s="237"/>
      <c r="AI809" s="98"/>
      <c r="AJ809" s="98"/>
      <c r="AK809" s="98"/>
      <c r="AL809" s="98"/>
      <c r="AM809" s="98"/>
      <c r="AN809" s="98"/>
      <c r="AO809" s="98"/>
    </row>
    <row r="810" ht="14.25" customHeight="1">
      <c r="A810" s="98"/>
      <c r="B810" s="98"/>
      <c r="C810" s="98"/>
      <c r="D810" s="98"/>
      <c r="E810" s="98"/>
      <c r="F810" s="235"/>
      <c r="G810" s="235"/>
      <c r="H810" s="236"/>
      <c r="I810" s="236"/>
      <c r="J810" s="236"/>
      <c r="K810" s="236"/>
      <c r="L810" s="236"/>
      <c r="M810" s="236"/>
      <c r="N810" s="236"/>
      <c r="O810" s="236"/>
      <c r="P810" s="236"/>
      <c r="Q810" s="236"/>
      <c r="R810" s="236"/>
      <c r="S810" s="236"/>
      <c r="T810" s="236"/>
      <c r="U810" s="236"/>
      <c r="V810" s="236"/>
      <c r="W810" s="237"/>
      <c r="X810" s="237"/>
      <c r="Y810" s="237"/>
      <c r="Z810" s="237"/>
      <c r="AA810" s="237"/>
      <c r="AB810" s="237"/>
      <c r="AC810" s="237"/>
      <c r="AD810" s="237"/>
      <c r="AE810" s="237"/>
      <c r="AF810" s="237"/>
      <c r="AG810" s="237"/>
      <c r="AH810" s="237"/>
      <c r="AI810" s="98"/>
      <c r="AJ810" s="98"/>
      <c r="AK810" s="98"/>
      <c r="AL810" s="98"/>
      <c r="AM810" s="98"/>
      <c r="AN810" s="98"/>
      <c r="AO810" s="98"/>
    </row>
    <row r="811" ht="14.25" customHeight="1">
      <c r="A811" s="98"/>
      <c r="B811" s="98"/>
      <c r="C811" s="98"/>
      <c r="D811" s="98"/>
      <c r="E811" s="98"/>
      <c r="F811" s="235"/>
      <c r="G811" s="235"/>
      <c r="H811" s="236"/>
      <c r="I811" s="236"/>
      <c r="J811" s="236"/>
      <c r="K811" s="236"/>
      <c r="L811" s="236"/>
      <c r="M811" s="236"/>
      <c r="N811" s="236"/>
      <c r="O811" s="236"/>
      <c r="P811" s="236"/>
      <c r="Q811" s="236"/>
      <c r="R811" s="236"/>
      <c r="S811" s="236"/>
      <c r="T811" s="236"/>
      <c r="U811" s="236"/>
      <c r="V811" s="236"/>
      <c r="W811" s="237"/>
      <c r="X811" s="237"/>
      <c r="Y811" s="237"/>
      <c r="Z811" s="237"/>
      <c r="AA811" s="237"/>
      <c r="AB811" s="237"/>
      <c r="AC811" s="237"/>
      <c r="AD811" s="237"/>
      <c r="AE811" s="237"/>
      <c r="AF811" s="237"/>
      <c r="AG811" s="237"/>
      <c r="AH811" s="237"/>
      <c r="AI811" s="98"/>
      <c r="AJ811" s="98"/>
      <c r="AK811" s="98"/>
      <c r="AL811" s="98"/>
      <c r="AM811" s="98"/>
      <c r="AN811" s="98"/>
      <c r="AO811" s="98"/>
    </row>
    <row r="812" ht="14.25" customHeight="1">
      <c r="A812" s="98"/>
      <c r="B812" s="98"/>
      <c r="C812" s="98"/>
      <c r="D812" s="98"/>
      <c r="E812" s="98"/>
      <c r="F812" s="235"/>
      <c r="G812" s="235"/>
      <c r="H812" s="236"/>
      <c r="I812" s="236"/>
      <c r="J812" s="236"/>
      <c r="K812" s="236"/>
      <c r="L812" s="236"/>
      <c r="M812" s="236"/>
      <c r="N812" s="236"/>
      <c r="O812" s="236"/>
      <c r="P812" s="236"/>
      <c r="Q812" s="236"/>
      <c r="R812" s="236"/>
      <c r="S812" s="236"/>
      <c r="T812" s="236"/>
      <c r="U812" s="236"/>
      <c r="V812" s="236"/>
      <c r="W812" s="237"/>
      <c r="X812" s="237"/>
      <c r="Y812" s="237"/>
      <c r="Z812" s="237"/>
      <c r="AA812" s="237"/>
      <c r="AB812" s="237"/>
      <c r="AC812" s="237"/>
      <c r="AD812" s="237"/>
      <c r="AE812" s="237"/>
      <c r="AF812" s="237"/>
      <c r="AG812" s="237"/>
      <c r="AH812" s="237"/>
      <c r="AI812" s="98"/>
      <c r="AJ812" s="98"/>
      <c r="AK812" s="98"/>
      <c r="AL812" s="98"/>
      <c r="AM812" s="98"/>
      <c r="AN812" s="98"/>
      <c r="AO812" s="98"/>
    </row>
    <row r="813" ht="14.25" customHeight="1">
      <c r="A813" s="98"/>
      <c r="B813" s="98"/>
      <c r="C813" s="98"/>
      <c r="D813" s="98"/>
      <c r="E813" s="98"/>
      <c r="F813" s="235"/>
      <c r="G813" s="235"/>
      <c r="H813" s="236"/>
      <c r="I813" s="236"/>
      <c r="J813" s="236"/>
      <c r="K813" s="236"/>
      <c r="L813" s="236"/>
      <c r="M813" s="236"/>
      <c r="N813" s="236"/>
      <c r="O813" s="236"/>
      <c r="P813" s="236"/>
      <c r="Q813" s="236"/>
      <c r="R813" s="236"/>
      <c r="S813" s="236"/>
      <c r="T813" s="236"/>
      <c r="U813" s="236"/>
      <c r="V813" s="236"/>
      <c r="W813" s="237"/>
      <c r="X813" s="237"/>
      <c r="Y813" s="237"/>
      <c r="Z813" s="237"/>
      <c r="AA813" s="237"/>
      <c r="AB813" s="237"/>
      <c r="AC813" s="237"/>
      <c r="AD813" s="237"/>
      <c r="AE813" s="237"/>
      <c r="AF813" s="237"/>
      <c r="AG813" s="237"/>
      <c r="AH813" s="237"/>
      <c r="AI813" s="98"/>
      <c r="AJ813" s="98"/>
      <c r="AK813" s="98"/>
      <c r="AL813" s="98"/>
      <c r="AM813" s="98"/>
      <c r="AN813" s="98"/>
      <c r="AO813" s="98"/>
    </row>
    <row r="814" ht="14.25" customHeight="1">
      <c r="A814" s="98"/>
      <c r="B814" s="98"/>
      <c r="C814" s="98"/>
      <c r="D814" s="98"/>
      <c r="E814" s="98"/>
      <c r="F814" s="235"/>
      <c r="G814" s="235"/>
      <c r="H814" s="236"/>
      <c r="I814" s="236"/>
      <c r="J814" s="236"/>
      <c r="K814" s="236"/>
      <c r="L814" s="236"/>
      <c r="M814" s="236"/>
      <c r="N814" s="236"/>
      <c r="O814" s="236"/>
      <c r="P814" s="236"/>
      <c r="Q814" s="236"/>
      <c r="R814" s="236"/>
      <c r="S814" s="236"/>
      <c r="T814" s="236"/>
      <c r="U814" s="236"/>
      <c r="V814" s="236"/>
      <c r="W814" s="237"/>
      <c r="X814" s="237"/>
      <c r="Y814" s="237"/>
      <c r="Z814" s="237"/>
      <c r="AA814" s="237"/>
      <c r="AB814" s="237"/>
      <c r="AC814" s="237"/>
      <c r="AD814" s="237"/>
      <c r="AE814" s="237"/>
      <c r="AF814" s="237"/>
      <c r="AG814" s="237"/>
      <c r="AH814" s="237"/>
      <c r="AI814" s="98"/>
      <c r="AJ814" s="98"/>
      <c r="AK814" s="98"/>
      <c r="AL814" s="98"/>
      <c r="AM814" s="98"/>
      <c r="AN814" s="98"/>
      <c r="AO814" s="98"/>
    </row>
    <row r="815" ht="14.25" customHeight="1">
      <c r="A815" s="98"/>
      <c r="B815" s="98"/>
      <c r="C815" s="98"/>
      <c r="D815" s="98"/>
      <c r="E815" s="98"/>
      <c r="F815" s="235"/>
      <c r="G815" s="235"/>
      <c r="H815" s="236"/>
      <c r="I815" s="236"/>
      <c r="J815" s="236"/>
      <c r="K815" s="236"/>
      <c r="L815" s="236"/>
      <c r="M815" s="236"/>
      <c r="N815" s="236"/>
      <c r="O815" s="236"/>
      <c r="P815" s="236"/>
      <c r="Q815" s="236"/>
      <c r="R815" s="236"/>
      <c r="S815" s="236"/>
      <c r="T815" s="236"/>
      <c r="U815" s="236"/>
      <c r="V815" s="236"/>
      <c r="W815" s="237"/>
      <c r="X815" s="237"/>
      <c r="Y815" s="237"/>
      <c r="Z815" s="237"/>
      <c r="AA815" s="237"/>
      <c r="AB815" s="237"/>
      <c r="AC815" s="237"/>
      <c r="AD815" s="237"/>
      <c r="AE815" s="237"/>
      <c r="AF815" s="237"/>
      <c r="AG815" s="237"/>
      <c r="AH815" s="237"/>
      <c r="AI815" s="98"/>
      <c r="AJ815" s="98"/>
      <c r="AK815" s="98"/>
      <c r="AL815" s="98"/>
      <c r="AM815" s="98"/>
      <c r="AN815" s="98"/>
      <c r="AO815" s="98"/>
    </row>
    <row r="816" ht="14.25" customHeight="1">
      <c r="A816" s="98"/>
      <c r="B816" s="98"/>
      <c r="C816" s="98"/>
      <c r="D816" s="98"/>
      <c r="E816" s="98"/>
      <c r="F816" s="235"/>
      <c r="G816" s="235"/>
      <c r="H816" s="236"/>
      <c r="I816" s="236"/>
      <c r="J816" s="236"/>
      <c r="K816" s="236"/>
      <c r="L816" s="236"/>
      <c r="M816" s="236"/>
      <c r="N816" s="236"/>
      <c r="O816" s="236"/>
      <c r="P816" s="236"/>
      <c r="Q816" s="236"/>
      <c r="R816" s="236"/>
      <c r="S816" s="236"/>
      <c r="T816" s="236"/>
      <c r="U816" s="236"/>
      <c r="V816" s="236"/>
      <c r="W816" s="237"/>
      <c r="X816" s="237"/>
      <c r="Y816" s="237"/>
      <c r="Z816" s="237"/>
      <c r="AA816" s="237"/>
      <c r="AB816" s="237"/>
      <c r="AC816" s="237"/>
      <c r="AD816" s="237"/>
      <c r="AE816" s="237"/>
      <c r="AF816" s="237"/>
      <c r="AG816" s="237"/>
      <c r="AH816" s="237"/>
      <c r="AI816" s="98"/>
      <c r="AJ816" s="98"/>
      <c r="AK816" s="98"/>
      <c r="AL816" s="98"/>
      <c r="AM816" s="98"/>
      <c r="AN816" s="98"/>
      <c r="AO816" s="98"/>
    </row>
    <row r="817" ht="14.25" customHeight="1">
      <c r="A817" s="98"/>
      <c r="B817" s="98"/>
      <c r="C817" s="98"/>
      <c r="D817" s="98"/>
      <c r="E817" s="98"/>
      <c r="F817" s="235"/>
      <c r="G817" s="235"/>
      <c r="H817" s="236"/>
      <c r="I817" s="236"/>
      <c r="J817" s="236"/>
      <c r="K817" s="236"/>
      <c r="L817" s="236"/>
      <c r="M817" s="236"/>
      <c r="N817" s="236"/>
      <c r="O817" s="236"/>
      <c r="P817" s="236"/>
      <c r="Q817" s="236"/>
      <c r="R817" s="236"/>
      <c r="S817" s="236"/>
      <c r="T817" s="236"/>
      <c r="U817" s="236"/>
      <c r="V817" s="236"/>
      <c r="W817" s="237"/>
      <c r="X817" s="237"/>
      <c r="Y817" s="237"/>
      <c r="Z817" s="237"/>
      <c r="AA817" s="237"/>
      <c r="AB817" s="237"/>
      <c r="AC817" s="237"/>
      <c r="AD817" s="237"/>
      <c r="AE817" s="237"/>
      <c r="AF817" s="237"/>
      <c r="AG817" s="237"/>
      <c r="AH817" s="237"/>
      <c r="AI817" s="98"/>
      <c r="AJ817" s="98"/>
      <c r="AK817" s="98"/>
      <c r="AL817" s="98"/>
      <c r="AM817" s="98"/>
      <c r="AN817" s="98"/>
      <c r="AO817" s="98"/>
    </row>
    <row r="818" ht="14.25" customHeight="1">
      <c r="A818" s="98"/>
      <c r="B818" s="98"/>
      <c r="C818" s="98"/>
      <c r="D818" s="98"/>
      <c r="E818" s="98"/>
      <c r="F818" s="235"/>
      <c r="G818" s="235"/>
      <c r="H818" s="236"/>
      <c r="I818" s="236"/>
      <c r="J818" s="236"/>
      <c r="K818" s="236"/>
      <c r="L818" s="236"/>
      <c r="M818" s="236"/>
      <c r="N818" s="236"/>
      <c r="O818" s="236"/>
      <c r="P818" s="236"/>
      <c r="Q818" s="236"/>
      <c r="R818" s="236"/>
      <c r="S818" s="236"/>
      <c r="T818" s="236"/>
      <c r="U818" s="236"/>
      <c r="V818" s="236"/>
      <c r="W818" s="237"/>
      <c r="X818" s="237"/>
      <c r="Y818" s="237"/>
      <c r="Z818" s="237"/>
      <c r="AA818" s="237"/>
      <c r="AB818" s="237"/>
      <c r="AC818" s="237"/>
      <c r="AD818" s="237"/>
      <c r="AE818" s="237"/>
      <c r="AF818" s="237"/>
      <c r="AG818" s="237"/>
      <c r="AH818" s="237"/>
      <c r="AI818" s="98"/>
      <c r="AJ818" s="98"/>
      <c r="AK818" s="98"/>
      <c r="AL818" s="98"/>
      <c r="AM818" s="98"/>
      <c r="AN818" s="98"/>
      <c r="AO818" s="98"/>
    </row>
    <row r="819" ht="14.25" customHeight="1">
      <c r="A819" s="98"/>
      <c r="B819" s="98"/>
      <c r="C819" s="98"/>
      <c r="D819" s="98"/>
      <c r="E819" s="98"/>
      <c r="F819" s="235"/>
      <c r="G819" s="235"/>
      <c r="H819" s="236"/>
      <c r="I819" s="236"/>
      <c r="J819" s="236"/>
      <c r="K819" s="236"/>
      <c r="L819" s="236"/>
      <c r="M819" s="236"/>
      <c r="N819" s="236"/>
      <c r="O819" s="236"/>
      <c r="P819" s="236"/>
      <c r="Q819" s="236"/>
      <c r="R819" s="236"/>
      <c r="S819" s="236"/>
      <c r="T819" s="236"/>
      <c r="U819" s="236"/>
      <c r="V819" s="236"/>
      <c r="W819" s="237"/>
      <c r="X819" s="237"/>
      <c r="Y819" s="237"/>
      <c r="Z819" s="237"/>
      <c r="AA819" s="237"/>
      <c r="AB819" s="237"/>
      <c r="AC819" s="237"/>
      <c r="AD819" s="237"/>
      <c r="AE819" s="237"/>
      <c r="AF819" s="237"/>
      <c r="AG819" s="237"/>
      <c r="AH819" s="237"/>
      <c r="AI819" s="98"/>
      <c r="AJ819" s="98"/>
      <c r="AK819" s="98"/>
      <c r="AL819" s="98"/>
      <c r="AM819" s="98"/>
      <c r="AN819" s="98"/>
      <c r="AO819" s="98"/>
    </row>
    <row r="820" ht="14.25" customHeight="1">
      <c r="A820" s="98"/>
      <c r="B820" s="98"/>
      <c r="C820" s="98"/>
      <c r="D820" s="98"/>
      <c r="E820" s="98"/>
      <c r="F820" s="235"/>
      <c r="G820" s="235"/>
      <c r="H820" s="236"/>
      <c r="I820" s="236"/>
      <c r="J820" s="236"/>
      <c r="K820" s="236"/>
      <c r="L820" s="236"/>
      <c r="M820" s="236"/>
      <c r="N820" s="236"/>
      <c r="O820" s="236"/>
      <c r="P820" s="236"/>
      <c r="Q820" s="236"/>
      <c r="R820" s="236"/>
      <c r="S820" s="236"/>
      <c r="T820" s="236"/>
      <c r="U820" s="236"/>
      <c r="V820" s="236"/>
      <c r="W820" s="237"/>
      <c r="X820" s="237"/>
      <c r="Y820" s="237"/>
      <c r="Z820" s="237"/>
      <c r="AA820" s="237"/>
      <c r="AB820" s="237"/>
      <c r="AC820" s="237"/>
      <c r="AD820" s="237"/>
      <c r="AE820" s="237"/>
      <c r="AF820" s="237"/>
      <c r="AG820" s="237"/>
      <c r="AH820" s="237"/>
      <c r="AI820" s="98"/>
      <c r="AJ820" s="98"/>
      <c r="AK820" s="98"/>
      <c r="AL820" s="98"/>
      <c r="AM820" s="98"/>
      <c r="AN820" s="98"/>
      <c r="AO820" s="98"/>
    </row>
    <row r="821" ht="14.25" customHeight="1">
      <c r="A821" s="98"/>
      <c r="B821" s="98"/>
      <c r="C821" s="98"/>
      <c r="D821" s="98"/>
      <c r="E821" s="98"/>
      <c r="F821" s="235"/>
      <c r="G821" s="235"/>
      <c r="H821" s="236"/>
      <c r="I821" s="236"/>
      <c r="J821" s="236"/>
      <c r="K821" s="236"/>
      <c r="L821" s="236"/>
      <c r="M821" s="236"/>
      <c r="N821" s="236"/>
      <c r="O821" s="236"/>
      <c r="P821" s="236"/>
      <c r="Q821" s="236"/>
      <c r="R821" s="236"/>
      <c r="S821" s="236"/>
      <c r="T821" s="236"/>
      <c r="U821" s="236"/>
      <c r="V821" s="236"/>
      <c r="W821" s="237"/>
      <c r="X821" s="237"/>
      <c r="Y821" s="237"/>
      <c r="Z821" s="237"/>
      <c r="AA821" s="237"/>
      <c r="AB821" s="237"/>
      <c r="AC821" s="237"/>
      <c r="AD821" s="237"/>
      <c r="AE821" s="237"/>
      <c r="AF821" s="237"/>
      <c r="AG821" s="237"/>
      <c r="AH821" s="237"/>
      <c r="AI821" s="98"/>
      <c r="AJ821" s="98"/>
      <c r="AK821" s="98"/>
      <c r="AL821" s="98"/>
      <c r="AM821" s="98"/>
      <c r="AN821" s="98"/>
      <c r="AO821" s="98"/>
    </row>
    <row r="822" ht="14.25" customHeight="1">
      <c r="A822" s="98"/>
      <c r="B822" s="98"/>
      <c r="C822" s="98"/>
      <c r="D822" s="98"/>
      <c r="E822" s="98"/>
      <c r="F822" s="235"/>
      <c r="G822" s="235"/>
      <c r="H822" s="236"/>
      <c r="I822" s="236"/>
      <c r="J822" s="236"/>
      <c r="K822" s="236"/>
      <c r="L822" s="236"/>
      <c r="M822" s="236"/>
      <c r="N822" s="236"/>
      <c r="O822" s="236"/>
      <c r="P822" s="236"/>
      <c r="Q822" s="236"/>
      <c r="R822" s="236"/>
      <c r="S822" s="236"/>
      <c r="T822" s="236"/>
      <c r="U822" s="236"/>
      <c r="V822" s="236"/>
      <c r="W822" s="237"/>
      <c r="X822" s="237"/>
      <c r="Y822" s="237"/>
      <c r="Z822" s="237"/>
      <c r="AA822" s="237"/>
      <c r="AB822" s="237"/>
      <c r="AC822" s="237"/>
      <c r="AD822" s="237"/>
      <c r="AE822" s="237"/>
      <c r="AF822" s="237"/>
      <c r="AG822" s="237"/>
      <c r="AH822" s="237"/>
      <c r="AI822" s="98"/>
      <c r="AJ822" s="98"/>
      <c r="AK822" s="98"/>
      <c r="AL822" s="98"/>
      <c r="AM822" s="98"/>
      <c r="AN822" s="98"/>
      <c r="AO822" s="98"/>
    </row>
    <row r="823" ht="14.25" customHeight="1">
      <c r="A823" s="98"/>
      <c r="B823" s="98"/>
      <c r="C823" s="98"/>
      <c r="D823" s="98"/>
      <c r="E823" s="98"/>
      <c r="F823" s="235"/>
      <c r="G823" s="235"/>
      <c r="H823" s="236"/>
      <c r="I823" s="236"/>
      <c r="J823" s="236"/>
      <c r="K823" s="236"/>
      <c r="L823" s="236"/>
      <c r="M823" s="236"/>
      <c r="N823" s="236"/>
      <c r="O823" s="236"/>
      <c r="P823" s="236"/>
      <c r="Q823" s="236"/>
      <c r="R823" s="236"/>
      <c r="S823" s="236"/>
      <c r="T823" s="236"/>
      <c r="U823" s="236"/>
      <c r="V823" s="236"/>
      <c r="W823" s="237"/>
      <c r="X823" s="237"/>
      <c r="Y823" s="237"/>
      <c r="Z823" s="237"/>
      <c r="AA823" s="237"/>
      <c r="AB823" s="237"/>
      <c r="AC823" s="237"/>
      <c r="AD823" s="237"/>
      <c r="AE823" s="237"/>
      <c r="AF823" s="237"/>
      <c r="AG823" s="237"/>
      <c r="AH823" s="237"/>
      <c r="AI823" s="98"/>
      <c r="AJ823" s="98"/>
      <c r="AK823" s="98"/>
      <c r="AL823" s="98"/>
      <c r="AM823" s="98"/>
      <c r="AN823" s="98"/>
      <c r="AO823" s="98"/>
    </row>
    <row r="824" ht="14.25" customHeight="1">
      <c r="A824" s="98"/>
      <c r="B824" s="98"/>
      <c r="C824" s="98"/>
      <c r="D824" s="98"/>
      <c r="E824" s="98"/>
      <c r="F824" s="235"/>
      <c r="G824" s="235"/>
      <c r="H824" s="236"/>
      <c r="I824" s="236"/>
      <c r="J824" s="236"/>
      <c r="K824" s="236"/>
      <c r="L824" s="236"/>
      <c r="M824" s="236"/>
      <c r="N824" s="236"/>
      <c r="O824" s="236"/>
      <c r="P824" s="236"/>
      <c r="Q824" s="236"/>
      <c r="R824" s="236"/>
      <c r="S824" s="236"/>
      <c r="T824" s="236"/>
      <c r="U824" s="236"/>
      <c r="V824" s="236"/>
      <c r="W824" s="237"/>
      <c r="X824" s="237"/>
      <c r="Y824" s="237"/>
      <c r="Z824" s="237"/>
      <c r="AA824" s="237"/>
      <c r="AB824" s="237"/>
      <c r="AC824" s="237"/>
      <c r="AD824" s="237"/>
      <c r="AE824" s="237"/>
      <c r="AF824" s="237"/>
      <c r="AG824" s="237"/>
      <c r="AH824" s="237"/>
      <c r="AI824" s="98"/>
      <c r="AJ824" s="98"/>
      <c r="AK824" s="98"/>
      <c r="AL824" s="98"/>
      <c r="AM824" s="98"/>
      <c r="AN824" s="98"/>
      <c r="AO824" s="98"/>
    </row>
    <row r="825" ht="14.25" customHeight="1">
      <c r="A825" s="98"/>
      <c r="B825" s="98"/>
      <c r="C825" s="98"/>
      <c r="D825" s="98"/>
      <c r="E825" s="98"/>
      <c r="F825" s="235"/>
      <c r="G825" s="235"/>
      <c r="H825" s="236"/>
      <c r="I825" s="236"/>
      <c r="J825" s="236"/>
      <c r="K825" s="236"/>
      <c r="L825" s="236"/>
      <c r="M825" s="236"/>
      <c r="N825" s="236"/>
      <c r="O825" s="236"/>
      <c r="P825" s="236"/>
      <c r="Q825" s="236"/>
      <c r="R825" s="236"/>
      <c r="S825" s="236"/>
      <c r="T825" s="236"/>
      <c r="U825" s="236"/>
      <c r="V825" s="236"/>
      <c r="W825" s="237"/>
      <c r="X825" s="237"/>
      <c r="Y825" s="237"/>
      <c r="Z825" s="237"/>
      <c r="AA825" s="237"/>
      <c r="AB825" s="237"/>
      <c r="AC825" s="237"/>
      <c r="AD825" s="237"/>
      <c r="AE825" s="237"/>
      <c r="AF825" s="237"/>
      <c r="AG825" s="237"/>
      <c r="AH825" s="237"/>
      <c r="AI825" s="98"/>
      <c r="AJ825" s="98"/>
      <c r="AK825" s="98"/>
      <c r="AL825" s="98"/>
      <c r="AM825" s="98"/>
      <c r="AN825" s="98"/>
      <c r="AO825" s="98"/>
    </row>
    <row r="826" ht="14.25" customHeight="1">
      <c r="A826" s="98"/>
      <c r="B826" s="98"/>
      <c r="C826" s="98"/>
      <c r="D826" s="98"/>
      <c r="E826" s="98"/>
      <c r="F826" s="235"/>
      <c r="G826" s="235"/>
      <c r="H826" s="236"/>
      <c r="I826" s="236"/>
      <c r="J826" s="236"/>
      <c r="K826" s="236"/>
      <c r="L826" s="236"/>
      <c r="M826" s="236"/>
      <c r="N826" s="236"/>
      <c r="O826" s="236"/>
      <c r="P826" s="236"/>
      <c r="Q826" s="236"/>
      <c r="R826" s="236"/>
      <c r="S826" s="236"/>
      <c r="T826" s="236"/>
      <c r="U826" s="236"/>
      <c r="V826" s="236"/>
      <c r="W826" s="237"/>
      <c r="X826" s="237"/>
      <c r="Y826" s="237"/>
      <c r="Z826" s="237"/>
      <c r="AA826" s="237"/>
      <c r="AB826" s="237"/>
      <c r="AC826" s="237"/>
      <c r="AD826" s="237"/>
      <c r="AE826" s="237"/>
      <c r="AF826" s="237"/>
      <c r="AG826" s="237"/>
      <c r="AH826" s="237"/>
      <c r="AI826" s="98"/>
      <c r="AJ826" s="98"/>
      <c r="AK826" s="98"/>
      <c r="AL826" s="98"/>
      <c r="AM826" s="98"/>
      <c r="AN826" s="98"/>
      <c r="AO826" s="98"/>
    </row>
    <row r="827" ht="14.25" customHeight="1">
      <c r="A827" s="98"/>
      <c r="B827" s="98"/>
      <c r="C827" s="98"/>
      <c r="D827" s="98"/>
      <c r="E827" s="98"/>
      <c r="F827" s="235"/>
      <c r="G827" s="235"/>
      <c r="H827" s="236"/>
      <c r="I827" s="236"/>
      <c r="J827" s="236"/>
      <c r="K827" s="236"/>
      <c r="L827" s="236"/>
      <c r="M827" s="236"/>
      <c r="N827" s="236"/>
      <c r="O827" s="236"/>
      <c r="P827" s="236"/>
      <c r="Q827" s="236"/>
      <c r="R827" s="236"/>
      <c r="S827" s="236"/>
      <c r="T827" s="236"/>
      <c r="U827" s="236"/>
      <c r="V827" s="236"/>
      <c r="W827" s="237"/>
      <c r="X827" s="237"/>
      <c r="Y827" s="237"/>
      <c r="Z827" s="237"/>
      <c r="AA827" s="237"/>
      <c r="AB827" s="237"/>
      <c r="AC827" s="237"/>
      <c r="AD827" s="237"/>
      <c r="AE827" s="237"/>
      <c r="AF827" s="237"/>
      <c r="AG827" s="237"/>
      <c r="AH827" s="237"/>
      <c r="AI827" s="98"/>
      <c r="AJ827" s="98"/>
      <c r="AK827" s="98"/>
      <c r="AL827" s="98"/>
      <c r="AM827" s="98"/>
      <c r="AN827" s="98"/>
      <c r="AO827" s="98"/>
    </row>
    <row r="828" ht="14.25" customHeight="1">
      <c r="A828" s="98"/>
      <c r="B828" s="98"/>
      <c r="C828" s="98"/>
      <c r="D828" s="98"/>
      <c r="E828" s="98"/>
      <c r="F828" s="235"/>
      <c r="G828" s="235"/>
      <c r="H828" s="236"/>
      <c r="I828" s="236"/>
      <c r="J828" s="236"/>
      <c r="K828" s="236"/>
      <c r="L828" s="236"/>
      <c r="M828" s="236"/>
      <c r="N828" s="236"/>
      <c r="O828" s="236"/>
      <c r="P828" s="236"/>
      <c r="Q828" s="236"/>
      <c r="R828" s="236"/>
      <c r="S828" s="236"/>
      <c r="T828" s="236"/>
      <c r="U828" s="236"/>
      <c r="V828" s="236"/>
      <c r="W828" s="237"/>
      <c r="X828" s="237"/>
      <c r="Y828" s="237"/>
      <c r="Z828" s="237"/>
      <c r="AA828" s="237"/>
      <c r="AB828" s="237"/>
      <c r="AC828" s="237"/>
      <c r="AD828" s="237"/>
      <c r="AE828" s="237"/>
      <c r="AF828" s="237"/>
      <c r="AG828" s="237"/>
      <c r="AH828" s="237"/>
      <c r="AI828" s="98"/>
      <c r="AJ828" s="98"/>
      <c r="AK828" s="98"/>
      <c r="AL828" s="98"/>
      <c r="AM828" s="98"/>
      <c r="AN828" s="98"/>
      <c r="AO828" s="98"/>
    </row>
    <row r="829" ht="14.25" customHeight="1">
      <c r="A829" s="98"/>
      <c r="B829" s="98"/>
      <c r="C829" s="98"/>
      <c r="D829" s="98"/>
      <c r="E829" s="98"/>
      <c r="F829" s="235"/>
      <c r="G829" s="235"/>
      <c r="H829" s="236"/>
      <c r="I829" s="236"/>
      <c r="J829" s="236"/>
      <c r="K829" s="236"/>
      <c r="L829" s="236"/>
      <c r="M829" s="236"/>
      <c r="N829" s="236"/>
      <c r="O829" s="236"/>
      <c r="P829" s="236"/>
      <c r="Q829" s="236"/>
      <c r="R829" s="236"/>
      <c r="S829" s="236"/>
      <c r="T829" s="236"/>
      <c r="U829" s="236"/>
      <c r="V829" s="236"/>
      <c r="W829" s="237"/>
      <c r="X829" s="237"/>
      <c r="Y829" s="237"/>
      <c r="Z829" s="237"/>
      <c r="AA829" s="237"/>
      <c r="AB829" s="237"/>
      <c r="AC829" s="237"/>
      <c r="AD829" s="237"/>
      <c r="AE829" s="237"/>
      <c r="AF829" s="237"/>
      <c r="AG829" s="237"/>
      <c r="AH829" s="237"/>
      <c r="AI829" s="98"/>
      <c r="AJ829" s="98"/>
      <c r="AK829" s="98"/>
      <c r="AL829" s="98"/>
      <c r="AM829" s="98"/>
      <c r="AN829" s="98"/>
      <c r="AO829" s="98"/>
    </row>
    <row r="830" ht="14.25" customHeight="1">
      <c r="A830" s="98"/>
      <c r="B830" s="98"/>
      <c r="C830" s="98"/>
      <c r="D830" s="98"/>
      <c r="E830" s="98"/>
      <c r="F830" s="235"/>
      <c r="G830" s="235"/>
      <c r="H830" s="236"/>
      <c r="I830" s="236"/>
      <c r="J830" s="236"/>
      <c r="K830" s="236"/>
      <c r="L830" s="236"/>
      <c r="M830" s="236"/>
      <c r="N830" s="236"/>
      <c r="O830" s="236"/>
      <c r="P830" s="236"/>
      <c r="Q830" s="236"/>
      <c r="R830" s="236"/>
      <c r="S830" s="236"/>
      <c r="T830" s="236"/>
      <c r="U830" s="236"/>
      <c r="V830" s="236"/>
      <c r="W830" s="237"/>
      <c r="X830" s="237"/>
      <c r="Y830" s="237"/>
      <c r="Z830" s="237"/>
      <c r="AA830" s="237"/>
      <c r="AB830" s="237"/>
      <c r="AC830" s="237"/>
      <c r="AD830" s="237"/>
      <c r="AE830" s="237"/>
      <c r="AF830" s="237"/>
      <c r="AG830" s="237"/>
      <c r="AH830" s="237"/>
      <c r="AI830" s="98"/>
      <c r="AJ830" s="98"/>
      <c r="AK830" s="98"/>
      <c r="AL830" s="98"/>
      <c r="AM830" s="98"/>
      <c r="AN830" s="98"/>
      <c r="AO830" s="98"/>
    </row>
    <row r="831" ht="14.25" customHeight="1">
      <c r="A831" s="98"/>
      <c r="B831" s="98"/>
      <c r="C831" s="98"/>
      <c r="D831" s="98"/>
      <c r="E831" s="98"/>
      <c r="F831" s="235"/>
      <c r="G831" s="235"/>
      <c r="H831" s="236"/>
      <c r="I831" s="236"/>
      <c r="J831" s="236"/>
      <c r="K831" s="236"/>
      <c r="L831" s="236"/>
      <c r="M831" s="236"/>
      <c r="N831" s="236"/>
      <c r="O831" s="236"/>
      <c r="P831" s="236"/>
      <c r="Q831" s="236"/>
      <c r="R831" s="236"/>
      <c r="S831" s="236"/>
      <c r="T831" s="236"/>
      <c r="U831" s="236"/>
      <c r="V831" s="236"/>
      <c r="W831" s="237"/>
      <c r="X831" s="237"/>
      <c r="Y831" s="237"/>
      <c r="Z831" s="237"/>
      <c r="AA831" s="237"/>
      <c r="AB831" s="237"/>
      <c r="AC831" s="237"/>
      <c r="AD831" s="237"/>
      <c r="AE831" s="237"/>
      <c r="AF831" s="237"/>
      <c r="AG831" s="237"/>
      <c r="AH831" s="237"/>
      <c r="AI831" s="98"/>
      <c r="AJ831" s="98"/>
      <c r="AK831" s="98"/>
      <c r="AL831" s="98"/>
      <c r="AM831" s="98"/>
      <c r="AN831" s="98"/>
      <c r="AO831" s="98"/>
    </row>
    <row r="832" ht="14.25" customHeight="1">
      <c r="A832" s="98"/>
      <c r="B832" s="98"/>
      <c r="C832" s="98"/>
      <c r="D832" s="98"/>
      <c r="E832" s="98"/>
      <c r="F832" s="235"/>
      <c r="G832" s="235"/>
      <c r="H832" s="236"/>
      <c r="I832" s="236"/>
      <c r="J832" s="236"/>
      <c r="K832" s="236"/>
      <c r="L832" s="236"/>
      <c r="M832" s="236"/>
      <c r="N832" s="236"/>
      <c r="O832" s="236"/>
      <c r="P832" s="236"/>
      <c r="Q832" s="236"/>
      <c r="R832" s="236"/>
      <c r="S832" s="236"/>
      <c r="T832" s="236"/>
      <c r="U832" s="236"/>
      <c r="V832" s="236"/>
      <c r="W832" s="237"/>
      <c r="X832" s="237"/>
      <c r="Y832" s="237"/>
      <c r="Z832" s="237"/>
      <c r="AA832" s="237"/>
      <c r="AB832" s="237"/>
      <c r="AC832" s="237"/>
      <c r="AD832" s="237"/>
      <c r="AE832" s="237"/>
      <c r="AF832" s="237"/>
      <c r="AG832" s="237"/>
      <c r="AH832" s="237"/>
      <c r="AI832" s="98"/>
      <c r="AJ832" s="98"/>
      <c r="AK832" s="98"/>
      <c r="AL832" s="98"/>
      <c r="AM832" s="98"/>
      <c r="AN832" s="98"/>
      <c r="AO832" s="98"/>
    </row>
    <row r="833" ht="14.25" customHeight="1">
      <c r="A833" s="98"/>
      <c r="B833" s="98"/>
      <c r="C833" s="98"/>
      <c r="D833" s="98"/>
      <c r="E833" s="98"/>
      <c r="F833" s="235"/>
      <c r="G833" s="235"/>
      <c r="H833" s="236"/>
      <c r="I833" s="236"/>
      <c r="J833" s="236"/>
      <c r="K833" s="236"/>
      <c r="L833" s="236"/>
      <c r="M833" s="236"/>
      <c r="N833" s="236"/>
      <c r="O833" s="236"/>
      <c r="P833" s="236"/>
      <c r="Q833" s="236"/>
      <c r="R833" s="236"/>
      <c r="S833" s="236"/>
      <c r="T833" s="236"/>
      <c r="U833" s="236"/>
      <c r="V833" s="236"/>
      <c r="W833" s="237"/>
      <c r="X833" s="237"/>
      <c r="Y833" s="237"/>
      <c r="Z833" s="237"/>
      <c r="AA833" s="237"/>
      <c r="AB833" s="237"/>
      <c r="AC833" s="237"/>
      <c r="AD833" s="237"/>
      <c r="AE833" s="237"/>
      <c r="AF833" s="237"/>
      <c r="AG833" s="237"/>
      <c r="AH833" s="237"/>
      <c r="AI833" s="98"/>
      <c r="AJ833" s="98"/>
      <c r="AK833" s="98"/>
      <c r="AL833" s="98"/>
      <c r="AM833" s="98"/>
      <c r="AN833" s="98"/>
      <c r="AO833" s="98"/>
    </row>
    <row r="834" ht="14.25" customHeight="1">
      <c r="A834" s="98"/>
      <c r="B834" s="98"/>
      <c r="C834" s="98"/>
      <c r="D834" s="98"/>
      <c r="E834" s="98"/>
      <c r="F834" s="235"/>
      <c r="G834" s="235"/>
      <c r="H834" s="236"/>
      <c r="I834" s="236"/>
      <c r="J834" s="236"/>
      <c r="K834" s="236"/>
      <c r="L834" s="236"/>
      <c r="M834" s="236"/>
      <c r="N834" s="236"/>
      <c r="O834" s="236"/>
      <c r="P834" s="236"/>
      <c r="Q834" s="236"/>
      <c r="R834" s="236"/>
      <c r="S834" s="236"/>
      <c r="T834" s="236"/>
      <c r="U834" s="236"/>
      <c r="V834" s="236"/>
      <c r="W834" s="237"/>
      <c r="X834" s="237"/>
      <c r="Y834" s="237"/>
      <c r="Z834" s="237"/>
      <c r="AA834" s="237"/>
      <c r="AB834" s="237"/>
      <c r="AC834" s="237"/>
      <c r="AD834" s="237"/>
      <c r="AE834" s="237"/>
      <c r="AF834" s="237"/>
      <c r="AG834" s="237"/>
      <c r="AH834" s="237"/>
      <c r="AI834" s="98"/>
      <c r="AJ834" s="98"/>
      <c r="AK834" s="98"/>
      <c r="AL834" s="98"/>
      <c r="AM834" s="98"/>
      <c r="AN834" s="98"/>
      <c r="AO834" s="98"/>
    </row>
    <row r="835" ht="14.25" customHeight="1">
      <c r="A835" s="98"/>
      <c r="B835" s="98"/>
      <c r="C835" s="98"/>
      <c r="D835" s="98"/>
      <c r="E835" s="98"/>
      <c r="F835" s="235"/>
      <c r="G835" s="235"/>
      <c r="H835" s="236"/>
      <c r="I835" s="236"/>
      <c r="J835" s="236"/>
      <c r="K835" s="236"/>
      <c r="L835" s="236"/>
      <c r="M835" s="236"/>
      <c r="N835" s="236"/>
      <c r="O835" s="236"/>
      <c r="P835" s="236"/>
      <c r="Q835" s="236"/>
      <c r="R835" s="236"/>
      <c r="S835" s="236"/>
      <c r="T835" s="236"/>
      <c r="U835" s="236"/>
      <c r="V835" s="236"/>
      <c r="W835" s="237"/>
      <c r="X835" s="237"/>
      <c r="Y835" s="237"/>
      <c r="Z835" s="237"/>
      <c r="AA835" s="237"/>
      <c r="AB835" s="237"/>
      <c r="AC835" s="237"/>
      <c r="AD835" s="237"/>
      <c r="AE835" s="237"/>
      <c r="AF835" s="237"/>
      <c r="AG835" s="237"/>
      <c r="AH835" s="237"/>
      <c r="AI835" s="98"/>
      <c r="AJ835" s="98"/>
      <c r="AK835" s="98"/>
      <c r="AL835" s="98"/>
      <c r="AM835" s="98"/>
      <c r="AN835" s="98"/>
      <c r="AO835" s="98"/>
    </row>
    <row r="836" ht="14.25" customHeight="1">
      <c r="A836" s="98"/>
      <c r="B836" s="98"/>
      <c r="C836" s="98"/>
      <c r="D836" s="98"/>
      <c r="E836" s="98"/>
      <c r="F836" s="235"/>
      <c r="G836" s="235"/>
      <c r="H836" s="236"/>
      <c r="I836" s="236"/>
      <c r="J836" s="236"/>
      <c r="K836" s="236"/>
      <c r="L836" s="236"/>
      <c r="M836" s="236"/>
      <c r="N836" s="236"/>
      <c r="O836" s="236"/>
      <c r="P836" s="236"/>
      <c r="Q836" s="236"/>
      <c r="R836" s="236"/>
      <c r="S836" s="236"/>
      <c r="T836" s="236"/>
      <c r="U836" s="236"/>
      <c r="V836" s="236"/>
      <c r="W836" s="237"/>
      <c r="X836" s="237"/>
      <c r="Y836" s="237"/>
      <c r="Z836" s="237"/>
      <c r="AA836" s="237"/>
      <c r="AB836" s="237"/>
      <c r="AC836" s="237"/>
      <c r="AD836" s="237"/>
      <c r="AE836" s="237"/>
      <c r="AF836" s="237"/>
      <c r="AG836" s="237"/>
      <c r="AH836" s="237"/>
      <c r="AI836" s="98"/>
      <c r="AJ836" s="98"/>
      <c r="AK836" s="98"/>
      <c r="AL836" s="98"/>
      <c r="AM836" s="98"/>
      <c r="AN836" s="98"/>
      <c r="AO836" s="98"/>
    </row>
    <row r="837" ht="14.25" customHeight="1">
      <c r="A837" s="98"/>
      <c r="B837" s="98"/>
      <c r="C837" s="98"/>
      <c r="D837" s="98"/>
      <c r="E837" s="98"/>
      <c r="F837" s="235"/>
      <c r="G837" s="235"/>
      <c r="H837" s="236"/>
      <c r="I837" s="236"/>
      <c r="J837" s="236"/>
      <c r="K837" s="236"/>
      <c r="L837" s="236"/>
      <c r="M837" s="236"/>
      <c r="N837" s="236"/>
      <c r="O837" s="236"/>
      <c r="P837" s="236"/>
      <c r="Q837" s="236"/>
      <c r="R837" s="236"/>
      <c r="S837" s="236"/>
      <c r="T837" s="236"/>
      <c r="U837" s="236"/>
      <c r="V837" s="236"/>
      <c r="W837" s="237"/>
      <c r="X837" s="237"/>
      <c r="Y837" s="237"/>
      <c r="Z837" s="237"/>
      <c r="AA837" s="237"/>
      <c r="AB837" s="237"/>
      <c r="AC837" s="237"/>
      <c r="AD837" s="237"/>
      <c r="AE837" s="237"/>
      <c r="AF837" s="237"/>
      <c r="AG837" s="237"/>
      <c r="AH837" s="237"/>
      <c r="AI837" s="98"/>
      <c r="AJ837" s="98"/>
      <c r="AK837" s="98"/>
      <c r="AL837" s="98"/>
      <c r="AM837" s="98"/>
      <c r="AN837" s="98"/>
      <c r="AO837" s="98"/>
    </row>
    <row r="838" ht="14.25" customHeight="1">
      <c r="A838" s="98"/>
      <c r="B838" s="98"/>
      <c r="C838" s="98"/>
      <c r="D838" s="98"/>
      <c r="E838" s="98"/>
      <c r="F838" s="235"/>
      <c r="G838" s="235"/>
      <c r="H838" s="236"/>
      <c r="I838" s="236"/>
      <c r="J838" s="236"/>
      <c r="K838" s="236"/>
      <c r="L838" s="236"/>
      <c r="M838" s="236"/>
      <c r="N838" s="236"/>
      <c r="O838" s="236"/>
      <c r="P838" s="236"/>
      <c r="Q838" s="236"/>
      <c r="R838" s="236"/>
      <c r="S838" s="236"/>
      <c r="T838" s="236"/>
      <c r="U838" s="236"/>
      <c r="V838" s="236"/>
      <c r="W838" s="237"/>
      <c r="X838" s="237"/>
      <c r="Y838" s="237"/>
      <c r="Z838" s="237"/>
      <c r="AA838" s="237"/>
      <c r="AB838" s="237"/>
      <c r="AC838" s="237"/>
      <c r="AD838" s="237"/>
      <c r="AE838" s="237"/>
      <c r="AF838" s="237"/>
      <c r="AG838" s="237"/>
      <c r="AH838" s="237"/>
      <c r="AI838" s="98"/>
      <c r="AJ838" s="98"/>
      <c r="AK838" s="98"/>
      <c r="AL838" s="98"/>
      <c r="AM838" s="98"/>
      <c r="AN838" s="98"/>
      <c r="AO838" s="98"/>
    </row>
    <row r="839" ht="14.25" customHeight="1">
      <c r="A839" s="98"/>
      <c r="B839" s="98"/>
      <c r="C839" s="98"/>
      <c r="D839" s="98"/>
      <c r="E839" s="98"/>
      <c r="F839" s="235"/>
      <c r="G839" s="235"/>
      <c r="H839" s="236"/>
      <c r="I839" s="236"/>
      <c r="J839" s="236"/>
      <c r="K839" s="236"/>
      <c r="L839" s="236"/>
      <c r="M839" s="236"/>
      <c r="N839" s="236"/>
      <c r="O839" s="236"/>
      <c r="P839" s="236"/>
      <c r="Q839" s="236"/>
      <c r="R839" s="236"/>
      <c r="S839" s="236"/>
      <c r="T839" s="236"/>
      <c r="U839" s="236"/>
      <c r="V839" s="236"/>
      <c r="W839" s="237"/>
      <c r="X839" s="237"/>
      <c r="Y839" s="237"/>
      <c r="Z839" s="237"/>
      <c r="AA839" s="237"/>
      <c r="AB839" s="237"/>
      <c r="AC839" s="237"/>
      <c r="AD839" s="237"/>
      <c r="AE839" s="237"/>
      <c r="AF839" s="237"/>
      <c r="AG839" s="237"/>
      <c r="AH839" s="237"/>
      <c r="AI839" s="98"/>
      <c r="AJ839" s="98"/>
      <c r="AK839" s="98"/>
      <c r="AL839" s="98"/>
      <c r="AM839" s="98"/>
      <c r="AN839" s="98"/>
      <c r="AO839" s="98"/>
    </row>
    <row r="840" ht="14.25" customHeight="1">
      <c r="A840" s="98"/>
      <c r="B840" s="98"/>
      <c r="C840" s="98"/>
      <c r="D840" s="98"/>
      <c r="E840" s="98"/>
      <c r="F840" s="235"/>
      <c r="G840" s="235"/>
      <c r="H840" s="236"/>
      <c r="I840" s="236"/>
      <c r="J840" s="236"/>
      <c r="K840" s="236"/>
      <c r="L840" s="236"/>
      <c r="M840" s="236"/>
      <c r="N840" s="236"/>
      <c r="O840" s="236"/>
      <c r="P840" s="236"/>
      <c r="Q840" s="236"/>
      <c r="R840" s="236"/>
      <c r="S840" s="236"/>
      <c r="T840" s="236"/>
      <c r="U840" s="236"/>
      <c r="V840" s="236"/>
      <c r="W840" s="237"/>
      <c r="X840" s="237"/>
      <c r="Y840" s="237"/>
      <c r="Z840" s="237"/>
      <c r="AA840" s="237"/>
      <c r="AB840" s="237"/>
      <c r="AC840" s="237"/>
      <c r="AD840" s="237"/>
      <c r="AE840" s="237"/>
      <c r="AF840" s="237"/>
      <c r="AG840" s="237"/>
      <c r="AH840" s="237"/>
      <c r="AI840" s="98"/>
      <c r="AJ840" s="98"/>
      <c r="AK840" s="98"/>
      <c r="AL840" s="98"/>
      <c r="AM840" s="98"/>
      <c r="AN840" s="98"/>
      <c r="AO840" s="98"/>
    </row>
    <row r="841" ht="14.25" customHeight="1">
      <c r="A841" s="98"/>
      <c r="B841" s="98"/>
      <c r="C841" s="98"/>
      <c r="D841" s="98"/>
      <c r="E841" s="98"/>
      <c r="F841" s="235"/>
      <c r="G841" s="235"/>
      <c r="H841" s="236"/>
      <c r="I841" s="236"/>
      <c r="J841" s="236"/>
      <c r="K841" s="236"/>
      <c r="L841" s="236"/>
      <c r="M841" s="236"/>
      <c r="N841" s="236"/>
      <c r="O841" s="236"/>
      <c r="P841" s="236"/>
      <c r="Q841" s="236"/>
      <c r="R841" s="236"/>
      <c r="S841" s="236"/>
      <c r="T841" s="236"/>
      <c r="U841" s="236"/>
      <c r="V841" s="236"/>
      <c r="W841" s="237"/>
      <c r="X841" s="237"/>
      <c r="Y841" s="237"/>
      <c r="Z841" s="237"/>
      <c r="AA841" s="237"/>
      <c r="AB841" s="237"/>
      <c r="AC841" s="237"/>
      <c r="AD841" s="237"/>
      <c r="AE841" s="237"/>
      <c r="AF841" s="237"/>
      <c r="AG841" s="237"/>
      <c r="AH841" s="237"/>
      <c r="AI841" s="98"/>
      <c r="AJ841" s="98"/>
      <c r="AK841" s="98"/>
      <c r="AL841" s="98"/>
      <c r="AM841" s="98"/>
      <c r="AN841" s="98"/>
      <c r="AO841" s="98"/>
    </row>
    <row r="842" ht="14.25" customHeight="1">
      <c r="A842" s="98"/>
      <c r="B842" s="98"/>
      <c r="C842" s="98"/>
      <c r="D842" s="98"/>
      <c r="E842" s="98"/>
      <c r="F842" s="235"/>
      <c r="G842" s="235"/>
      <c r="H842" s="236"/>
      <c r="I842" s="236"/>
      <c r="J842" s="236"/>
      <c r="K842" s="236"/>
      <c r="L842" s="236"/>
      <c r="M842" s="236"/>
      <c r="N842" s="236"/>
      <c r="O842" s="236"/>
      <c r="P842" s="236"/>
      <c r="Q842" s="236"/>
      <c r="R842" s="236"/>
      <c r="S842" s="236"/>
      <c r="T842" s="236"/>
      <c r="U842" s="236"/>
      <c r="V842" s="236"/>
      <c r="W842" s="237"/>
      <c r="X842" s="237"/>
      <c r="Y842" s="237"/>
      <c r="Z842" s="237"/>
      <c r="AA842" s="237"/>
      <c r="AB842" s="237"/>
      <c r="AC842" s="237"/>
      <c r="AD842" s="237"/>
      <c r="AE842" s="237"/>
      <c r="AF842" s="237"/>
      <c r="AG842" s="237"/>
      <c r="AH842" s="237"/>
      <c r="AI842" s="98"/>
      <c r="AJ842" s="98"/>
      <c r="AK842" s="98"/>
      <c r="AL842" s="98"/>
      <c r="AM842" s="98"/>
      <c r="AN842" s="98"/>
      <c r="AO842" s="98"/>
    </row>
    <row r="843" ht="14.25" customHeight="1">
      <c r="A843" s="98"/>
      <c r="B843" s="98"/>
      <c r="C843" s="98"/>
      <c r="D843" s="98"/>
      <c r="E843" s="98"/>
      <c r="F843" s="235"/>
      <c r="G843" s="235"/>
      <c r="H843" s="236"/>
      <c r="I843" s="236"/>
      <c r="J843" s="236"/>
      <c r="K843" s="236"/>
      <c r="L843" s="236"/>
      <c r="M843" s="236"/>
      <c r="N843" s="236"/>
      <c r="O843" s="236"/>
      <c r="P843" s="236"/>
      <c r="Q843" s="236"/>
      <c r="R843" s="236"/>
      <c r="S843" s="236"/>
      <c r="T843" s="236"/>
      <c r="U843" s="236"/>
      <c r="V843" s="236"/>
      <c r="W843" s="237"/>
      <c r="X843" s="237"/>
      <c r="Y843" s="237"/>
      <c r="Z843" s="237"/>
      <c r="AA843" s="237"/>
      <c r="AB843" s="237"/>
      <c r="AC843" s="237"/>
      <c r="AD843" s="237"/>
      <c r="AE843" s="237"/>
      <c r="AF843" s="237"/>
      <c r="AG843" s="237"/>
      <c r="AH843" s="237"/>
      <c r="AI843" s="98"/>
      <c r="AJ843" s="98"/>
      <c r="AK843" s="98"/>
      <c r="AL843" s="98"/>
      <c r="AM843" s="98"/>
      <c r="AN843" s="98"/>
      <c r="AO843" s="98"/>
    </row>
    <row r="844" ht="14.25" customHeight="1">
      <c r="A844" s="98"/>
      <c r="B844" s="98"/>
      <c r="C844" s="98"/>
      <c r="D844" s="98"/>
      <c r="E844" s="98"/>
      <c r="F844" s="235"/>
      <c r="G844" s="235"/>
      <c r="H844" s="236"/>
      <c r="I844" s="236"/>
      <c r="J844" s="236"/>
      <c r="K844" s="236"/>
      <c r="L844" s="236"/>
      <c r="M844" s="236"/>
      <c r="N844" s="236"/>
      <c r="O844" s="236"/>
      <c r="P844" s="236"/>
      <c r="Q844" s="236"/>
      <c r="R844" s="236"/>
      <c r="S844" s="236"/>
      <c r="T844" s="236"/>
      <c r="U844" s="236"/>
      <c r="V844" s="236"/>
      <c r="W844" s="237"/>
      <c r="X844" s="237"/>
      <c r="Y844" s="237"/>
      <c r="Z844" s="237"/>
      <c r="AA844" s="237"/>
      <c r="AB844" s="237"/>
      <c r="AC844" s="237"/>
      <c r="AD844" s="237"/>
      <c r="AE844" s="237"/>
      <c r="AF844" s="237"/>
      <c r="AG844" s="237"/>
      <c r="AH844" s="237"/>
      <c r="AI844" s="98"/>
      <c r="AJ844" s="98"/>
      <c r="AK844" s="98"/>
      <c r="AL844" s="98"/>
      <c r="AM844" s="98"/>
      <c r="AN844" s="98"/>
      <c r="AO844" s="98"/>
    </row>
    <row r="845" ht="14.25" customHeight="1">
      <c r="A845" s="98"/>
      <c r="B845" s="98"/>
      <c r="C845" s="98"/>
      <c r="D845" s="98"/>
      <c r="E845" s="98"/>
      <c r="F845" s="235"/>
      <c r="G845" s="235"/>
      <c r="H845" s="236"/>
      <c r="I845" s="236"/>
      <c r="J845" s="236"/>
      <c r="K845" s="236"/>
      <c r="L845" s="236"/>
      <c r="M845" s="236"/>
      <c r="N845" s="236"/>
      <c r="O845" s="236"/>
      <c r="P845" s="236"/>
      <c r="Q845" s="236"/>
      <c r="R845" s="236"/>
      <c r="S845" s="236"/>
      <c r="T845" s="236"/>
      <c r="U845" s="236"/>
      <c r="V845" s="236"/>
      <c r="W845" s="237"/>
      <c r="X845" s="237"/>
      <c r="Y845" s="237"/>
      <c r="Z845" s="237"/>
      <c r="AA845" s="237"/>
      <c r="AB845" s="237"/>
      <c r="AC845" s="237"/>
      <c r="AD845" s="237"/>
      <c r="AE845" s="237"/>
      <c r="AF845" s="237"/>
      <c r="AG845" s="237"/>
      <c r="AH845" s="237"/>
      <c r="AI845" s="98"/>
      <c r="AJ845" s="98"/>
      <c r="AK845" s="98"/>
      <c r="AL845" s="98"/>
      <c r="AM845" s="98"/>
      <c r="AN845" s="98"/>
      <c r="AO845" s="98"/>
    </row>
    <row r="846" ht="14.25" customHeight="1">
      <c r="A846" s="98"/>
      <c r="B846" s="98"/>
      <c r="C846" s="98"/>
      <c r="D846" s="98"/>
      <c r="E846" s="98"/>
      <c r="F846" s="235"/>
      <c r="G846" s="235"/>
      <c r="H846" s="236"/>
      <c r="I846" s="236"/>
      <c r="J846" s="236"/>
      <c r="K846" s="236"/>
      <c r="L846" s="236"/>
      <c r="M846" s="236"/>
      <c r="N846" s="236"/>
      <c r="O846" s="236"/>
      <c r="P846" s="236"/>
      <c r="Q846" s="236"/>
      <c r="R846" s="236"/>
      <c r="S846" s="236"/>
      <c r="T846" s="236"/>
      <c r="U846" s="236"/>
      <c r="V846" s="236"/>
      <c r="W846" s="237"/>
      <c r="X846" s="237"/>
      <c r="Y846" s="237"/>
      <c r="Z846" s="237"/>
      <c r="AA846" s="237"/>
      <c r="AB846" s="237"/>
      <c r="AC846" s="237"/>
      <c r="AD846" s="237"/>
      <c r="AE846" s="237"/>
      <c r="AF846" s="237"/>
      <c r="AG846" s="237"/>
      <c r="AH846" s="237"/>
      <c r="AI846" s="98"/>
      <c r="AJ846" s="98"/>
      <c r="AK846" s="98"/>
      <c r="AL846" s="98"/>
      <c r="AM846" s="98"/>
      <c r="AN846" s="98"/>
      <c r="AO846" s="98"/>
    </row>
    <row r="847" ht="14.25" customHeight="1">
      <c r="A847" s="98"/>
      <c r="B847" s="98"/>
      <c r="C847" s="98"/>
      <c r="D847" s="98"/>
      <c r="E847" s="98"/>
      <c r="F847" s="235"/>
      <c r="G847" s="235"/>
      <c r="H847" s="236"/>
      <c r="I847" s="236"/>
      <c r="J847" s="236"/>
      <c r="K847" s="236"/>
      <c r="L847" s="236"/>
      <c r="M847" s="236"/>
      <c r="N847" s="236"/>
      <c r="O847" s="236"/>
      <c r="P847" s="236"/>
      <c r="Q847" s="236"/>
      <c r="R847" s="236"/>
      <c r="S847" s="236"/>
      <c r="T847" s="236"/>
      <c r="U847" s="236"/>
      <c r="V847" s="236"/>
      <c r="W847" s="237"/>
      <c r="X847" s="237"/>
      <c r="Y847" s="237"/>
      <c r="Z847" s="237"/>
      <c r="AA847" s="237"/>
      <c r="AB847" s="237"/>
      <c r="AC847" s="237"/>
      <c r="AD847" s="237"/>
      <c r="AE847" s="237"/>
      <c r="AF847" s="237"/>
      <c r="AG847" s="237"/>
      <c r="AH847" s="237"/>
      <c r="AI847" s="98"/>
      <c r="AJ847" s="98"/>
      <c r="AK847" s="98"/>
      <c r="AL847" s="98"/>
      <c r="AM847" s="98"/>
      <c r="AN847" s="98"/>
      <c r="AO847" s="98"/>
    </row>
    <row r="848" ht="14.25" customHeight="1">
      <c r="A848" s="98"/>
      <c r="B848" s="98"/>
      <c r="C848" s="98"/>
      <c r="D848" s="98"/>
      <c r="E848" s="98"/>
      <c r="F848" s="235"/>
      <c r="G848" s="235"/>
      <c r="H848" s="236"/>
      <c r="I848" s="236"/>
      <c r="J848" s="236"/>
      <c r="K848" s="236"/>
      <c r="L848" s="236"/>
      <c r="M848" s="236"/>
      <c r="N848" s="236"/>
      <c r="O848" s="236"/>
      <c r="P848" s="236"/>
      <c r="Q848" s="236"/>
      <c r="R848" s="236"/>
      <c r="S848" s="236"/>
      <c r="T848" s="236"/>
      <c r="U848" s="236"/>
      <c r="V848" s="236"/>
      <c r="W848" s="237"/>
      <c r="X848" s="237"/>
      <c r="Y848" s="237"/>
      <c r="Z848" s="237"/>
      <c r="AA848" s="237"/>
      <c r="AB848" s="237"/>
      <c r="AC848" s="237"/>
      <c r="AD848" s="237"/>
      <c r="AE848" s="237"/>
      <c r="AF848" s="237"/>
      <c r="AG848" s="237"/>
      <c r="AH848" s="237"/>
      <c r="AI848" s="98"/>
      <c r="AJ848" s="98"/>
      <c r="AK848" s="98"/>
      <c r="AL848" s="98"/>
      <c r="AM848" s="98"/>
      <c r="AN848" s="98"/>
      <c r="AO848" s="98"/>
    </row>
    <row r="849" ht="14.25" customHeight="1">
      <c r="A849" s="98"/>
      <c r="B849" s="98"/>
      <c r="C849" s="98"/>
      <c r="D849" s="98"/>
      <c r="E849" s="98"/>
      <c r="F849" s="235"/>
      <c r="G849" s="235"/>
      <c r="H849" s="236"/>
      <c r="I849" s="236"/>
      <c r="J849" s="236"/>
      <c r="K849" s="236"/>
      <c r="L849" s="236"/>
      <c r="M849" s="236"/>
      <c r="N849" s="236"/>
      <c r="O849" s="236"/>
      <c r="P849" s="236"/>
      <c r="Q849" s="236"/>
      <c r="R849" s="236"/>
      <c r="S849" s="236"/>
      <c r="T849" s="236"/>
      <c r="U849" s="236"/>
      <c r="V849" s="236"/>
      <c r="W849" s="237"/>
      <c r="X849" s="237"/>
      <c r="Y849" s="237"/>
      <c r="Z849" s="237"/>
      <c r="AA849" s="237"/>
      <c r="AB849" s="237"/>
      <c r="AC849" s="237"/>
      <c r="AD849" s="237"/>
      <c r="AE849" s="237"/>
      <c r="AF849" s="237"/>
      <c r="AG849" s="237"/>
      <c r="AH849" s="237"/>
      <c r="AI849" s="98"/>
      <c r="AJ849" s="98"/>
      <c r="AK849" s="98"/>
      <c r="AL849" s="98"/>
      <c r="AM849" s="98"/>
      <c r="AN849" s="98"/>
      <c r="AO849" s="98"/>
    </row>
    <row r="850" ht="14.25" customHeight="1">
      <c r="A850" s="98"/>
      <c r="B850" s="98"/>
      <c r="C850" s="98"/>
      <c r="D850" s="98"/>
      <c r="E850" s="98"/>
      <c r="F850" s="235"/>
      <c r="G850" s="235"/>
      <c r="H850" s="236"/>
      <c r="I850" s="236"/>
      <c r="J850" s="236"/>
      <c r="K850" s="236"/>
      <c r="L850" s="236"/>
      <c r="M850" s="236"/>
      <c r="N850" s="236"/>
      <c r="O850" s="236"/>
      <c r="P850" s="236"/>
      <c r="Q850" s="236"/>
      <c r="R850" s="236"/>
      <c r="S850" s="236"/>
      <c r="T850" s="236"/>
      <c r="U850" s="236"/>
      <c r="V850" s="236"/>
      <c r="W850" s="237"/>
      <c r="X850" s="237"/>
      <c r="Y850" s="237"/>
      <c r="Z850" s="237"/>
      <c r="AA850" s="237"/>
      <c r="AB850" s="237"/>
      <c r="AC850" s="237"/>
      <c r="AD850" s="237"/>
      <c r="AE850" s="237"/>
      <c r="AF850" s="237"/>
      <c r="AG850" s="237"/>
      <c r="AH850" s="237"/>
      <c r="AI850" s="98"/>
      <c r="AJ850" s="98"/>
      <c r="AK850" s="98"/>
      <c r="AL850" s="98"/>
      <c r="AM850" s="98"/>
      <c r="AN850" s="98"/>
      <c r="AO850" s="98"/>
    </row>
    <row r="851" ht="14.25" customHeight="1">
      <c r="A851" s="98"/>
      <c r="B851" s="98"/>
      <c r="C851" s="98"/>
      <c r="D851" s="98"/>
      <c r="E851" s="98"/>
      <c r="F851" s="235"/>
      <c r="G851" s="235"/>
      <c r="H851" s="236"/>
      <c r="I851" s="236"/>
      <c r="J851" s="236"/>
      <c r="K851" s="236"/>
      <c r="L851" s="236"/>
      <c r="M851" s="236"/>
      <c r="N851" s="236"/>
      <c r="O851" s="236"/>
      <c r="P851" s="236"/>
      <c r="Q851" s="236"/>
      <c r="R851" s="236"/>
      <c r="S851" s="236"/>
      <c r="T851" s="236"/>
      <c r="U851" s="236"/>
      <c r="V851" s="236"/>
      <c r="W851" s="237"/>
      <c r="X851" s="237"/>
      <c r="Y851" s="237"/>
      <c r="Z851" s="237"/>
      <c r="AA851" s="237"/>
      <c r="AB851" s="237"/>
      <c r="AC851" s="237"/>
      <c r="AD851" s="237"/>
      <c r="AE851" s="237"/>
      <c r="AF851" s="237"/>
      <c r="AG851" s="237"/>
      <c r="AH851" s="237"/>
      <c r="AI851" s="98"/>
      <c r="AJ851" s="98"/>
      <c r="AK851" s="98"/>
      <c r="AL851" s="98"/>
      <c r="AM851" s="98"/>
      <c r="AN851" s="98"/>
      <c r="AO851" s="98"/>
    </row>
    <row r="852" ht="14.25" customHeight="1">
      <c r="A852" s="98"/>
      <c r="B852" s="98"/>
      <c r="C852" s="98"/>
      <c r="D852" s="98"/>
      <c r="E852" s="98"/>
      <c r="F852" s="235"/>
      <c r="G852" s="235"/>
      <c r="H852" s="236"/>
      <c r="I852" s="236"/>
      <c r="J852" s="236"/>
      <c r="K852" s="236"/>
      <c r="L852" s="236"/>
      <c r="M852" s="236"/>
      <c r="N852" s="236"/>
      <c r="O852" s="236"/>
      <c r="P852" s="236"/>
      <c r="Q852" s="236"/>
      <c r="R852" s="236"/>
      <c r="S852" s="236"/>
      <c r="T852" s="236"/>
      <c r="U852" s="236"/>
      <c r="V852" s="236"/>
      <c r="W852" s="237"/>
      <c r="X852" s="237"/>
      <c r="Y852" s="237"/>
      <c r="Z852" s="237"/>
      <c r="AA852" s="237"/>
      <c r="AB852" s="237"/>
      <c r="AC852" s="237"/>
      <c r="AD852" s="237"/>
      <c r="AE852" s="237"/>
      <c r="AF852" s="237"/>
      <c r="AG852" s="237"/>
      <c r="AH852" s="237"/>
      <c r="AI852" s="98"/>
      <c r="AJ852" s="98"/>
      <c r="AK852" s="98"/>
      <c r="AL852" s="98"/>
      <c r="AM852" s="98"/>
      <c r="AN852" s="98"/>
      <c r="AO852" s="98"/>
    </row>
    <row r="853" ht="14.25" customHeight="1">
      <c r="A853" s="98"/>
      <c r="B853" s="98"/>
      <c r="C853" s="98"/>
      <c r="D853" s="98"/>
      <c r="E853" s="98"/>
      <c r="F853" s="235"/>
      <c r="G853" s="235"/>
      <c r="H853" s="236"/>
      <c r="I853" s="236"/>
      <c r="J853" s="236"/>
      <c r="K853" s="236"/>
      <c r="L853" s="236"/>
      <c r="M853" s="236"/>
      <c r="N853" s="236"/>
      <c r="O853" s="236"/>
      <c r="P853" s="236"/>
      <c r="Q853" s="236"/>
      <c r="R853" s="236"/>
      <c r="S853" s="236"/>
      <c r="T853" s="236"/>
      <c r="U853" s="236"/>
      <c r="V853" s="236"/>
      <c r="W853" s="237"/>
      <c r="X853" s="237"/>
      <c r="Y853" s="237"/>
      <c r="Z853" s="237"/>
      <c r="AA853" s="237"/>
      <c r="AB853" s="237"/>
      <c r="AC853" s="237"/>
      <c r="AD853" s="237"/>
      <c r="AE853" s="237"/>
      <c r="AF853" s="237"/>
      <c r="AG853" s="237"/>
      <c r="AH853" s="237"/>
      <c r="AI853" s="98"/>
      <c r="AJ853" s="98"/>
      <c r="AK853" s="98"/>
      <c r="AL853" s="98"/>
      <c r="AM853" s="98"/>
      <c r="AN853" s="98"/>
      <c r="AO853" s="98"/>
    </row>
    <row r="854" ht="14.25" customHeight="1">
      <c r="A854" s="98"/>
      <c r="B854" s="98"/>
      <c r="C854" s="98"/>
      <c r="D854" s="98"/>
      <c r="E854" s="98"/>
      <c r="F854" s="235"/>
      <c r="G854" s="235"/>
      <c r="H854" s="236"/>
      <c r="I854" s="236"/>
      <c r="J854" s="236"/>
      <c r="K854" s="236"/>
      <c r="L854" s="236"/>
      <c r="M854" s="236"/>
      <c r="N854" s="236"/>
      <c r="O854" s="236"/>
      <c r="P854" s="236"/>
      <c r="Q854" s="236"/>
      <c r="R854" s="236"/>
      <c r="S854" s="236"/>
      <c r="T854" s="236"/>
      <c r="U854" s="236"/>
      <c r="V854" s="236"/>
      <c r="W854" s="237"/>
      <c r="X854" s="237"/>
      <c r="Y854" s="237"/>
      <c r="Z854" s="237"/>
      <c r="AA854" s="237"/>
      <c r="AB854" s="237"/>
      <c r="AC854" s="237"/>
      <c r="AD854" s="237"/>
      <c r="AE854" s="237"/>
      <c r="AF854" s="237"/>
      <c r="AG854" s="237"/>
      <c r="AH854" s="237"/>
      <c r="AI854" s="98"/>
      <c r="AJ854" s="98"/>
      <c r="AK854" s="98"/>
      <c r="AL854" s="98"/>
      <c r="AM854" s="98"/>
      <c r="AN854" s="98"/>
      <c r="AO854" s="98"/>
    </row>
    <row r="855" ht="14.25" customHeight="1">
      <c r="A855" s="98"/>
      <c r="B855" s="98"/>
      <c r="C855" s="98"/>
      <c r="D855" s="98"/>
      <c r="E855" s="98"/>
      <c r="F855" s="235"/>
      <c r="G855" s="235"/>
      <c r="H855" s="236"/>
      <c r="I855" s="236"/>
      <c r="J855" s="236"/>
      <c r="K855" s="236"/>
      <c r="L855" s="236"/>
      <c r="M855" s="236"/>
      <c r="N855" s="236"/>
      <c r="O855" s="236"/>
      <c r="P855" s="236"/>
      <c r="Q855" s="236"/>
      <c r="R855" s="236"/>
      <c r="S855" s="236"/>
      <c r="T855" s="236"/>
      <c r="U855" s="236"/>
      <c r="V855" s="236"/>
      <c r="W855" s="237"/>
      <c r="X855" s="237"/>
      <c r="Y855" s="237"/>
      <c r="Z855" s="237"/>
      <c r="AA855" s="237"/>
      <c r="AB855" s="237"/>
      <c r="AC855" s="237"/>
      <c r="AD855" s="237"/>
      <c r="AE855" s="237"/>
      <c r="AF855" s="237"/>
      <c r="AG855" s="237"/>
      <c r="AH855" s="237"/>
      <c r="AI855" s="98"/>
      <c r="AJ855" s="98"/>
      <c r="AK855" s="98"/>
      <c r="AL855" s="98"/>
      <c r="AM855" s="98"/>
      <c r="AN855" s="98"/>
      <c r="AO855" s="98"/>
    </row>
    <row r="856" ht="14.25" customHeight="1">
      <c r="A856" s="98"/>
      <c r="B856" s="98"/>
      <c r="C856" s="98"/>
      <c r="D856" s="98"/>
      <c r="E856" s="98"/>
      <c r="F856" s="235"/>
      <c r="G856" s="235"/>
      <c r="H856" s="236"/>
      <c r="I856" s="236"/>
      <c r="J856" s="236"/>
      <c r="K856" s="236"/>
      <c r="L856" s="236"/>
      <c r="M856" s="236"/>
      <c r="N856" s="236"/>
      <c r="O856" s="236"/>
      <c r="P856" s="236"/>
      <c r="Q856" s="236"/>
      <c r="R856" s="236"/>
      <c r="S856" s="236"/>
      <c r="T856" s="236"/>
      <c r="U856" s="236"/>
      <c r="V856" s="236"/>
      <c r="W856" s="237"/>
      <c r="X856" s="237"/>
      <c r="Y856" s="237"/>
      <c r="Z856" s="237"/>
      <c r="AA856" s="237"/>
      <c r="AB856" s="237"/>
      <c r="AC856" s="237"/>
      <c r="AD856" s="237"/>
      <c r="AE856" s="237"/>
      <c r="AF856" s="237"/>
      <c r="AG856" s="237"/>
      <c r="AH856" s="237"/>
      <c r="AI856" s="98"/>
      <c r="AJ856" s="98"/>
      <c r="AK856" s="98"/>
      <c r="AL856" s="98"/>
      <c r="AM856" s="98"/>
      <c r="AN856" s="98"/>
      <c r="AO856" s="98"/>
    </row>
    <row r="857" ht="14.25" customHeight="1">
      <c r="A857" s="98"/>
      <c r="B857" s="98"/>
      <c r="C857" s="98"/>
      <c r="D857" s="98"/>
      <c r="E857" s="98"/>
      <c r="F857" s="235"/>
      <c r="G857" s="235"/>
      <c r="H857" s="236"/>
      <c r="I857" s="236"/>
      <c r="J857" s="236"/>
      <c r="K857" s="236"/>
      <c r="L857" s="236"/>
      <c r="M857" s="236"/>
      <c r="N857" s="236"/>
      <c r="O857" s="236"/>
      <c r="P857" s="236"/>
      <c r="Q857" s="236"/>
      <c r="R857" s="236"/>
      <c r="S857" s="236"/>
      <c r="T857" s="236"/>
      <c r="U857" s="236"/>
      <c r="V857" s="236"/>
      <c r="W857" s="237"/>
      <c r="X857" s="237"/>
      <c r="Y857" s="237"/>
      <c r="Z857" s="237"/>
      <c r="AA857" s="237"/>
      <c r="AB857" s="237"/>
      <c r="AC857" s="237"/>
      <c r="AD857" s="237"/>
      <c r="AE857" s="237"/>
      <c r="AF857" s="237"/>
      <c r="AG857" s="237"/>
      <c r="AH857" s="237"/>
      <c r="AI857" s="98"/>
      <c r="AJ857" s="98"/>
      <c r="AK857" s="98"/>
      <c r="AL857" s="98"/>
      <c r="AM857" s="98"/>
      <c r="AN857" s="98"/>
      <c r="AO857" s="98"/>
    </row>
    <row r="858" ht="14.25" customHeight="1">
      <c r="A858" s="98"/>
      <c r="B858" s="98"/>
      <c r="C858" s="98"/>
      <c r="D858" s="98"/>
      <c r="E858" s="98"/>
      <c r="F858" s="235"/>
      <c r="G858" s="235"/>
      <c r="H858" s="236"/>
      <c r="I858" s="236"/>
      <c r="J858" s="236"/>
      <c r="K858" s="236"/>
      <c r="L858" s="236"/>
      <c r="M858" s="236"/>
      <c r="N858" s="236"/>
      <c r="O858" s="236"/>
      <c r="P858" s="236"/>
      <c r="Q858" s="236"/>
      <c r="R858" s="236"/>
      <c r="S858" s="236"/>
      <c r="T858" s="236"/>
      <c r="U858" s="236"/>
      <c r="V858" s="236"/>
      <c r="W858" s="237"/>
      <c r="X858" s="237"/>
      <c r="Y858" s="237"/>
      <c r="Z858" s="237"/>
      <c r="AA858" s="237"/>
      <c r="AB858" s="237"/>
      <c r="AC858" s="237"/>
      <c r="AD858" s="237"/>
      <c r="AE858" s="237"/>
      <c r="AF858" s="237"/>
      <c r="AG858" s="237"/>
      <c r="AH858" s="237"/>
      <c r="AI858" s="98"/>
      <c r="AJ858" s="98"/>
      <c r="AK858" s="98"/>
      <c r="AL858" s="98"/>
      <c r="AM858" s="98"/>
      <c r="AN858" s="98"/>
      <c r="AO858" s="98"/>
    </row>
    <row r="859" ht="14.25" customHeight="1">
      <c r="A859" s="98"/>
      <c r="B859" s="98"/>
      <c r="C859" s="98"/>
      <c r="D859" s="98"/>
      <c r="E859" s="98"/>
      <c r="F859" s="235"/>
      <c r="G859" s="235"/>
      <c r="H859" s="236"/>
      <c r="I859" s="236"/>
      <c r="J859" s="236"/>
      <c r="K859" s="236"/>
      <c r="L859" s="236"/>
      <c r="M859" s="236"/>
      <c r="N859" s="236"/>
      <c r="O859" s="236"/>
      <c r="P859" s="236"/>
      <c r="Q859" s="236"/>
      <c r="R859" s="236"/>
      <c r="S859" s="236"/>
      <c r="T859" s="236"/>
      <c r="U859" s="236"/>
      <c r="V859" s="236"/>
      <c r="W859" s="237"/>
      <c r="X859" s="237"/>
      <c r="Y859" s="237"/>
      <c r="Z859" s="237"/>
      <c r="AA859" s="237"/>
      <c r="AB859" s="237"/>
      <c r="AC859" s="237"/>
      <c r="AD859" s="237"/>
      <c r="AE859" s="237"/>
      <c r="AF859" s="237"/>
      <c r="AG859" s="237"/>
      <c r="AH859" s="237"/>
      <c r="AI859" s="98"/>
      <c r="AJ859" s="98"/>
      <c r="AK859" s="98"/>
      <c r="AL859" s="98"/>
      <c r="AM859" s="98"/>
      <c r="AN859" s="98"/>
      <c r="AO859" s="98"/>
    </row>
    <row r="860" ht="14.25" customHeight="1">
      <c r="A860" s="98"/>
      <c r="B860" s="98"/>
      <c r="C860" s="98"/>
      <c r="D860" s="98"/>
      <c r="E860" s="98"/>
      <c r="F860" s="235"/>
      <c r="G860" s="235"/>
      <c r="H860" s="236"/>
      <c r="I860" s="236"/>
      <c r="J860" s="236"/>
      <c r="K860" s="236"/>
      <c r="L860" s="236"/>
      <c r="M860" s="236"/>
      <c r="N860" s="236"/>
      <c r="O860" s="236"/>
      <c r="P860" s="236"/>
      <c r="Q860" s="236"/>
      <c r="R860" s="236"/>
      <c r="S860" s="236"/>
      <c r="T860" s="236"/>
      <c r="U860" s="236"/>
      <c r="V860" s="236"/>
      <c r="W860" s="237"/>
      <c r="X860" s="237"/>
      <c r="Y860" s="237"/>
      <c r="Z860" s="237"/>
      <c r="AA860" s="237"/>
      <c r="AB860" s="237"/>
      <c r="AC860" s="237"/>
      <c r="AD860" s="237"/>
      <c r="AE860" s="237"/>
      <c r="AF860" s="237"/>
      <c r="AG860" s="237"/>
      <c r="AH860" s="237"/>
      <c r="AI860" s="98"/>
      <c r="AJ860" s="98"/>
      <c r="AK860" s="98"/>
      <c r="AL860" s="98"/>
      <c r="AM860" s="98"/>
      <c r="AN860" s="98"/>
      <c r="AO860" s="98"/>
    </row>
    <row r="861" ht="14.25" customHeight="1">
      <c r="A861" s="98"/>
      <c r="B861" s="98"/>
      <c r="C861" s="98"/>
      <c r="D861" s="98"/>
      <c r="E861" s="98"/>
      <c r="F861" s="235"/>
      <c r="G861" s="235"/>
      <c r="H861" s="236"/>
      <c r="I861" s="236"/>
      <c r="J861" s="236"/>
      <c r="K861" s="236"/>
      <c r="L861" s="236"/>
      <c r="M861" s="236"/>
      <c r="N861" s="236"/>
      <c r="O861" s="236"/>
      <c r="P861" s="236"/>
      <c r="Q861" s="236"/>
      <c r="R861" s="236"/>
      <c r="S861" s="236"/>
      <c r="T861" s="236"/>
      <c r="U861" s="236"/>
      <c r="V861" s="236"/>
      <c r="W861" s="237"/>
      <c r="X861" s="237"/>
      <c r="Y861" s="237"/>
      <c r="Z861" s="237"/>
      <c r="AA861" s="237"/>
      <c r="AB861" s="237"/>
      <c r="AC861" s="237"/>
      <c r="AD861" s="237"/>
      <c r="AE861" s="237"/>
      <c r="AF861" s="237"/>
      <c r="AG861" s="237"/>
      <c r="AH861" s="237"/>
      <c r="AI861" s="98"/>
      <c r="AJ861" s="98"/>
      <c r="AK861" s="98"/>
      <c r="AL861" s="98"/>
      <c r="AM861" s="98"/>
      <c r="AN861" s="98"/>
      <c r="AO861" s="98"/>
    </row>
    <row r="862" ht="14.25" customHeight="1">
      <c r="A862" s="98"/>
      <c r="B862" s="98"/>
      <c r="C862" s="98"/>
      <c r="D862" s="98"/>
      <c r="E862" s="98"/>
      <c r="F862" s="235"/>
      <c r="G862" s="235"/>
      <c r="H862" s="236"/>
      <c r="I862" s="236"/>
      <c r="J862" s="236"/>
      <c r="K862" s="236"/>
      <c r="L862" s="236"/>
      <c r="M862" s="236"/>
      <c r="N862" s="236"/>
      <c r="O862" s="236"/>
      <c r="P862" s="236"/>
      <c r="Q862" s="236"/>
      <c r="R862" s="236"/>
      <c r="S862" s="236"/>
      <c r="T862" s="236"/>
      <c r="U862" s="236"/>
      <c r="V862" s="236"/>
      <c r="W862" s="237"/>
      <c r="X862" s="237"/>
      <c r="Y862" s="237"/>
      <c r="Z862" s="237"/>
      <c r="AA862" s="237"/>
      <c r="AB862" s="237"/>
      <c r="AC862" s="237"/>
      <c r="AD862" s="237"/>
      <c r="AE862" s="237"/>
      <c r="AF862" s="237"/>
      <c r="AG862" s="237"/>
      <c r="AH862" s="237"/>
      <c r="AI862" s="98"/>
      <c r="AJ862" s="98"/>
      <c r="AK862" s="98"/>
      <c r="AL862" s="98"/>
      <c r="AM862" s="98"/>
      <c r="AN862" s="98"/>
      <c r="AO862" s="98"/>
    </row>
    <row r="863" ht="14.25" customHeight="1">
      <c r="A863" s="98"/>
      <c r="B863" s="98"/>
      <c r="C863" s="98"/>
      <c r="D863" s="98"/>
      <c r="E863" s="98"/>
      <c r="F863" s="235"/>
      <c r="G863" s="235"/>
      <c r="H863" s="236"/>
      <c r="I863" s="236"/>
      <c r="J863" s="236"/>
      <c r="K863" s="236"/>
      <c r="L863" s="236"/>
      <c r="M863" s="236"/>
      <c r="N863" s="236"/>
      <c r="O863" s="236"/>
      <c r="P863" s="236"/>
      <c r="Q863" s="236"/>
      <c r="R863" s="236"/>
      <c r="S863" s="236"/>
      <c r="T863" s="236"/>
      <c r="U863" s="236"/>
      <c r="V863" s="236"/>
      <c r="W863" s="237"/>
      <c r="X863" s="237"/>
      <c r="Y863" s="237"/>
      <c r="Z863" s="237"/>
      <c r="AA863" s="237"/>
      <c r="AB863" s="237"/>
      <c r="AC863" s="237"/>
      <c r="AD863" s="237"/>
      <c r="AE863" s="237"/>
      <c r="AF863" s="237"/>
      <c r="AG863" s="237"/>
      <c r="AH863" s="237"/>
      <c r="AI863" s="98"/>
      <c r="AJ863" s="98"/>
      <c r="AK863" s="98"/>
      <c r="AL863" s="98"/>
      <c r="AM863" s="98"/>
      <c r="AN863" s="98"/>
      <c r="AO863" s="98"/>
    </row>
    <row r="864" ht="14.25" customHeight="1">
      <c r="A864" s="98"/>
      <c r="B864" s="98"/>
      <c r="C864" s="98"/>
      <c r="D864" s="98"/>
      <c r="E864" s="98"/>
      <c r="F864" s="235"/>
      <c r="G864" s="235"/>
      <c r="H864" s="236"/>
      <c r="I864" s="236"/>
      <c r="J864" s="236"/>
      <c r="K864" s="236"/>
      <c r="L864" s="236"/>
      <c r="M864" s="236"/>
      <c r="N864" s="236"/>
      <c r="O864" s="236"/>
      <c r="P864" s="236"/>
      <c r="Q864" s="236"/>
      <c r="R864" s="236"/>
      <c r="S864" s="236"/>
      <c r="T864" s="236"/>
      <c r="U864" s="236"/>
      <c r="V864" s="236"/>
      <c r="W864" s="237"/>
      <c r="X864" s="237"/>
      <c r="Y864" s="237"/>
      <c r="Z864" s="237"/>
      <c r="AA864" s="237"/>
      <c r="AB864" s="237"/>
      <c r="AC864" s="237"/>
      <c r="AD864" s="237"/>
      <c r="AE864" s="237"/>
      <c r="AF864" s="237"/>
      <c r="AG864" s="237"/>
      <c r="AH864" s="237"/>
      <c r="AI864" s="98"/>
      <c r="AJ864" s="98"/>
      <c r="AK864" s="98"/>
      <c r="AL864" s="98"/>
      <c r="AM864" s="98"/>
      <c r="AN864" s="98"/>
      <c r="AO864" s="98"/>
    </row>
    <row r="865" ht="14.25" customHeight="1">
      <c r="A865" s="98"/>
      <c r="B865" s="98"/>
      <c r="C865" s="98"/>
      <c r="D865" s="98"/>
      <c r="E865" s="98"/>
      <c r="F865" s="235"/>
      <c r="G865" s="235"/>
      <c r="H865" s="236"/>
      <c r="I865" s="236"/>
      <c r="J865" s="236"/>
      <c r="K865" s="236"/>
      <c r="L865" s="236"/>
      <c r="M865" s="236"/>
      <c r="N865" s="236"/>
      <c r="O865" s="236"/>
      <c r="P865" s="236"/>
      <c r="Q865" s="236"/>
      <c r="R865" s="236"/>
      <c r="S865" s="236"/>
      <c r="T865" s="236"/>
      <c r="U865" s="236"/>
      <c r="V865" s="236"/>
      <c r="W865" s="237"/>
      <c r="X865" s="237"/>
      <c r="Y865" s="237"/>
      <c r="Z865" s="237"/>
      <c r="AA865" s="237"/>
      <c r="AB865" s="237"/>
      <c r="AC865" s="237"/>
      <c r="AD865" s="237"/>
      <c r="AE865" s="237"/>
      <c r="AF865" s="237"/>
      <c r="AG865" s="237"/>
      <c r="AH865" s="237"/>
      <c r="AI865" s="98"/>
      <c r="AJ865" s="98"/>
      <c r="AK865" s="98"/>
      <c r="AL865" s="98"/>
      <c r="AM865" s="98"/>
      <c r="AN865" s="98"/>
      <c r="AO865" s="98"/>
    </row>
    <row r="866" ht="14.25" customHeight="1">
      <c r="A866" s="98"/>
      <c r="B866" s="98"/>
      <c r="C866" s="98"/>
      <c r="D866" s="98"/>
      <c r="E866" s="98"/>
      <c r="F866" s="235"/>
      <c r="G866" s="235"/>
      <c r="H866" s="236"/>
      <c r="I866" s="236"/>
      <c r="J866" s="236"/>
      <c r="K866" s="236"/>
      <c r="L866" s="236"/>
      <c r="M866" s="236"/>
      <c r="N866" s="236"/>
      <c r="O866" s="236"/>
      <c r="P866" s="236"/>
      <c r="Q866" s="236"/>
      <c r="R866" s="236"/>
      <c r="S866" s="236"/>
      <c r="T866" s="236"/>
      <c r="U866" s="236"/>
      <c r="V866" s="236"/>
      <c r="W866" s="237"/>
      <c r="X866" s="237"/>
      <c r="Y866" s="237"/>
      <c r="Z866" s="237"/>
      <c r="AA866" s="237"/>
      <c r="AB866" s="237"/>
      <c r="AC866" s="237"/>
      <c r="AD866" s="237"/>
      <c r="AE866" s="237"/>
      <c r="AF866" s="237"/>
      <c r="AG866" s="237"/>
      <c r="AH866" s="237"/>
      <c r="AI866" s="98"/>
      <c r="AJ866" s="98"/>
      <c r="AK866" s="98"/>
      <c r="AL866" s="98"/>
      <c r="AM866" s="98"/>
      <c r="AN866" s="98"/>
      <c r="AO866" s="98"/>
    </row>
    <row r="867" ht="14.25" customHeight="1">
      <c r="A867" s="98"/>
      <c r="B867" s="98"/>
      <c r="C867" s="98"/>
      <c r="D867" s="98"/>
      <c r="E867" s="98"/>
      <c r="F867" s="235"/>
      <c r="G867" s="235"/>
      <c r="H867" s="236"/>
      <c r="I867" s="236"/>
      <c r="J867" s="236"/>
      <c r="K867" s="236"/>
      <c r="L867" s="236"/>
      <c r="M867" s="236"/>
      <c r="N867" s="236"/>
      <c r="O867" s="236"/>
      <c r="P867" s="236"/>
      <c r="Q867" s="236"/>
      <c r="R867" s="236"/>
      <c r="S867" s="236"/>
      <c r="T867" s="236"/>
      <c r="U867" s="236"/>
      <c r="V867" s="236"/>
      <c r="W867" s="237"/>
      <c r="X867" s="237"/>
      <c r="Y867" s="237"/>
      <c r="Z867" s="237"/>
      <c r="AA867" s="237"/>
      <c r="AB867" s="237"/>
      <c r="AC867" s="237"/>
      <c r="AD867" s="237"/>
      <c r="AE867" s="237"/>
      <c r="AF867" s="237"/>
      <c r="AG867" s="237"/>
      <c r="AH867" s="237"/>
      <c r="AI867" s="98"/>
      <c r="AJ867" s="98"/>
      <c r="AK867" s="98"/>
      <c r="AL867" s="98"/>
      <c r="AM867" s="98"/>
      <c r="AN867" s="98"/>
      <c r="AO867" s="98"/>
    </row>
    <row r="868" ht="14.25" customHeight="1">
      <c r="A868" s="98"/>
      <c r="B868" s="98"/>
      <c r="C868" s="98"/>
      <c r="D868" s="98"/>
      <c r="E868" s="98"/>
      <c r="F868" s="235"/>
      <c r="G868" s="235"/>
      <c r="H868" s="236"/>
      <c r="I868" s="236"/>
      <c r="J868" s="236"/>
      <c r="K868" s="236"/>
      <c r="L868" s="236"/>
      <c r="M868" s="236"/>
      <c r="N868" s="236"/>
      <c r="O868" s="236"/>
      <c r="P868" s="236"/>
      <c r="Q868" s="236"/>
      <c r="R868" s="236"/>
      <c r="S868" s="236"/>
      <c r="T868" s="236"/>
      <c r="U868" s="236"/>
      <c r="V868" s="236"/>
      <c r="W868" s="237"/>
      <c r="X868" s="237"/>
      <c r="Y868" s="237"/>
      <c r="Z868" s="237"/>
      <c r="AA868" s="237"/>
      <c r="AB868" s="237"/>
      <c r="AC868" s="237"/>
      <c r="AD868" s="237"/>
      <c r="AE868" s="237"/>
      <c r="AF868" s="237"/>
      <c r="AG868" s="237"/>
      <c r="AH868" s="237"/>
      <c r="AI868" s="98"/>
      <c r="AJ868" s="98"/>
      <c r="AK868" s="98"/>
      <c r="AL868" s="98"/>
      <c r="AM868" s="98"/>
      <c r="AN868" s="98"/>
      <c r="AO868" s="98"/>
    </row>
    <row r="869" ht="14.25" customHeight="1">
      <c r="A869" s="98"/>
      <c r="B869" s="98"/>
      <c r="C869" s="98"/>
      <c r="D869" s="98"/>
      <c r="E869" s="98"/>
      <c r="F869" s="235"/>
      <c r="G869" s="235"/>
      <c r="H869" s="236"/>
      <c r="I869" s="236"/>
      <c r="J869" s="236"/>
      <c r="K869" s="236"/>
      <c r="L869" s="236"/>
      <c r="M869" s="236"/>
      <c r="N869" s="236"/>
      <c r="O869" s="236"/>
      <c r="P869" s="236"/>
      <c r="Q869" s="236"/>
      <c r="R869" s="236"/>
      <c r="S869" s="236"/>
      <c r="T869" s="236"/>
      <c r="U869" s="236"/>
      <c r="V869" s="236"/>
      <c r="W869" s="237"/>
      <c r="X869" s="237"/>
      <c r="Y869" s="237"/>
      <c r="Z869" s="237"/>
      <c r="AA869" s="237"/>
      <c r="AB869" s="237"/>
      <c r="AC869" s="237"/>
      <c r="AD869" s="237"/>
      <c r="AE869" s="237"/>
      <c r="AF869" s="237"/>
      <c r="AG869" s="237"/>
      <c r="AH869" s="237"/>
      <c r="AI869" s="98"/>
      <c r="AJ869" s="98"/>
      <c r="AK869" s="98"/>
      <c r="AL869" s="98"/>
      <c r="AM869" s="98"/>
      <c r="AN869" s="98"/>
      <c r="AO869" s="98"/>
    </row>
    <row r="870" ht="14.25" customHeight="1">
      <c r="A870" s="98"/>
      <c r="B870" s="98"/>
      <c r="C870" s="98"/>
      <c r="D870" s="98"/>
      <c r="E870" s="98"/>
      <c r="F870" s="235"/>
      <c r="G870" s="235"/>
      <c r="H870" s="236"/>
      <c r="I870" s="236"/>
      <c r="J870" s="236"/>
      <c r="K870" s="236"/>
      <c r="L870" s="236"/>
      <c r="M870" s="236"/>
      <c r="N870" s="236"/>
      <c r="O870" s="236"/>
      <c r="P870" s="236"/>
      <c r="Q870" s="236"/>
      <c r="R870" s="236"/>
      <c r="S870" s="236"/>
      <c r="T870" s="236"/>
      <c r="U870" s="236"/>
      <c r="V870" s="236"/>
      <c r="W870" s="237"/>
      <c r="X870" s="237"/>
      <c r="Y870" s="237"/>
      <c r="Z870" s="237"/>
      <c r="AA870" s="237"/>
      <c r="AB870" s="237"/>
      <c r="AC870" s="237"/>
      <c r="AD870" s="237"/>
      <c r="AE870" s="237"/>
      <c r="AF870" s="237"/>
      <c r="AG870" s="237"/>
      <c r="AH870" s="237"/>
      <c r="AI870" s="98"/>
      <c r="AJ870" s="98"/>
      <c r="AK870" s="98"/>
      <c r="AL870" s="98"/>
      <c r="AM870" s="98"/>
      <c r="AN870" s="98"/>
      <c r="AO870" s="98"/>
    </row>
    <row r="871" ht="14.25" customHeight="1">
      <c r="A871" s="98"/>
      <c r="B871" s="98"/>
      <c r="C871" s="98"/>
      <c r="D871" s="98"/>
      <c r="E871" s="98"/>
      <c r="F871" s="235"/>
      <c r="G871" s="235"/>
      <c r="H871" s="236"/>
      <c r="I871" s="236"/>
      <c r="J871" s="236"/>
      <c r="K871" s="236"/>
      <c r="L871" s="236"/>
      <c r="M871" s="236"/>
      <c r="N871" s="236"/>
      <c r="O871" s="236"/>
      <c r="P871" s="236"/>
      <c r="Q871" s="236"/>
      <c r="R871" s="236"/>
      <c r="S871" s="236"/>
      <c r="T871" s="236"/>
      <c r="U871" s="236"/>
      <c r="V871" s="236"/>
      <c r="W871" s="237"/>
      <c r="X871" s="237"/>
      <c r="Y871" s="237"/>
      <c r="Z871" s="237"/>
      <c r="AA871" s="237"/>
      <c r="AB871" s="237"/>
      <c r="AC871" s="237"/>
      <c r="AD871" s="237"/>
      <c r="AE871" s="237"/>
      <c r="AF871" s="237"/>
      <c r="AG871" s="237"/>
      <c r="AH871" s="237"/>
      <c r="AI871" s="98"/>
      <c r="AJ871" s="98"/>
      <c r="AK871" s="98"/>
      <c r="AL871" s="98"/>
      <c r="AM871" s="98"/>
      <c r="AN871" s="98"/>
      <c r="AO871" s="98"/>
    </row>
    <row r="872" ht="14.25" customHeight="1">
      <c r="A872" s="98"/>
      <c r="B872" s="98"/>
      <c r="C872" s="98"/>
      <c r="D872" s="98"/>
      <c r="E872" s="98"/>
      <c r="F872" s="235"/>
      <c r="G872" s="235"/>
      <c r="H872" s="236"/>
      <c r="I872" s="236"/>
      <c r="J872" s="236"/>
      <c r="K872" s="236"/>
      <c r="L872" s="236"/>
      <c r="M872" s="236"/>
      <c r="N872" s="236"/>
      <c r="O872" s="236"/>
      <c r="P872" s="236"/>
      <c r="Q872" s="236"/>
      <c r="R872" s="236"/>
      <c r="S872" s="236"/>
      <c r="T872" s="236"/>
      <c r="U872" s="236"/>
      <c r="V872" s="236"/>
      <c r="W872" s="237"/>
      <c r="X872" s="237"/>
      <c r="Y872" s="237"/>
      <c r="Z872" s="237"/>
      <c r="AA872" s="237"/>
      <c r="AB872" s="237"/>
      <c r="AC872" s="237"/>
      <c r="AD872" s="237"/>
      <c r="AE872" s="237"/>
      <c r="AF872" s="237"/>
      <c r="AG872" s="237"/>
      <c r="AH872" s="237"/>
      <c r="AI872" s="98"/>
      <c r="AJ872" s="98"/>
      <c r="AK872" s="98"/>
      <c r="AL872" s="98"/>
      <c r="AM872" s="98"/>
      <c r="AN872" s="98"/>
      <c r="AO872" s="98"/>
    </row>
    <row r="873" ht="14.25" customHeight="1">
      <c r="A873" s="98"/>
      <c r="B873" s="98"/>
      <c r="C873" s="98"/>
      <c r="D873" s="98"/>
      <c r="E873" s="98"/>
      <c r="F873" s="235"/>
      <c r="G873" s="235"/>
      <c r="H873" s="236"/>
      <c r="I873" s="236"/>
      <c r="J873" s="236"/>
      <c r="K873" s="236"/>
      <c r="L873" s="236"/>
      <c r="M873" s="236"/>
      <c r="N873" s="236"/>
      <c r="O873" s="236"/>
      <c r="P873" s="236"/>
      <c r="Q873" s="236"/>
      <c r="R873" s="236"/>
      <c r="S873" s="236"/>
      <c r="T873" s="236"/>
      <c r="U873" s="236"/>
      <c r="V873" s="236"/>
      <c r="W873" s="237"/>
      <c r="X873" s="237"/>
      <c r="Y873" s="237"/>
      <c r="Z873" s="237"/>
      <c r="AA873" s="237"/>
      <c r="AB873" s="237"/>
      <c r="AC873" s="237"/>
      <c r="AD873" s="237"/>
      <c r="AE873" s="237"/>
      <c r="AF873" s="237"/>
      <c r="AG873" s="237"/>
      <c r="AH873" s="237"/>
      <c r="AI873" s="98"/>
      <c r="AJ873" s="98"/>
      <c r="AK873" s="98"/>
      <c r="AL873" s="98"/>
      <c r="AM873" s="98"/>
      <c r="AN873" s="98"/>
      <c r="AO873" s="98"/>
    </row>
    <row r="874" ht="14.25" customHeight="1">
      <c r="A874" s="98"/>
      <c r="B874" s="98"/>
      <c r="C874" s="98"/>
      <c r="D874" s="98"/>
      <c r="E874" s="98"/>
      <c r="F874" s="235"/>
      <c r="G874" s="235"/>
      <c r="H874" s="236"/>
      <c r="I874" s="236"/>
      <c r="J874" s="236"/>
      <c r="K874" s="236"/>
      <c r="L874" s="236"/>
      <c r="M874" s="236"/>
      <c r="N874" s="236"/>
      <c r="O874" s="236"/>
      <c r="P874" s="236"/>
      <c r="Q874" s="236"/>
      <c r="R874" s="236"/>
      <c r="S874" s="236"/>
      <c r="T874" s="236"/>
      <c r="U874" s="236"/>
      <c r="V874" s="236"/>
      <c r="W874" s="237"/>
      <c r="X874" s="237"/>
      <c r="Y874" s="237"/>
      <c r="Z874" s="237"/>
      <c r="AA874" s="237"/>
      <c r="AB874" s="237"/>
      <c r="AC874" s="237"/>
      <c r="AD874" s="237"/>
      <c r="AE874" s="237"/>
      <c r="AF874" s="237"/>
      <c r="AG874" s="237"/>
      <c r="AH874" s="237"/>
      <c r="AI874" s="98"/>
      <c r="AJ874" s="98"/>
      <c r="AK874" s="98"/>
      <c r="AL874" s="98"/>
      <c r="AM874" s="98"/>
      <c r="AN874" s="98"/>
      <c r="AO874" s="98"/>
    </row>
    <row r="875" ht="14.25" customHeight="1">
      <c r="A875" s="98"/>
      <c r="B875" s="98"/>
      <c r="C875" s="98"/>
      <c r="D875" s="98"/>
      <c r="E875" s="98"/>
      <c r="F875" s="235"/>
      <c r="G875" s="235"/>
      <c r="H875" s="236"/>
      <c r="I875" s="236"/>
      <c r="J875" s="236"/>
      <c r="K875" s="236"/>
      <c r="L875" s="236"/>
      <c r="M875" s="236"/>
      <c r="N875" s="236"/>
      <c r="O875" s="236"/>
      <c r="P875" s="236"/>
      <c r="Q875" s="236"/>
      <c r="R875" s="236"/>
      <c r="S875" s="236"/>
      <c r="T875" s="236"/>
      <c r="U875" s="236"/>
      <c r="V875" s="236"/>
      <c r="W875" s="237"/>
      <c r="X875" s="237"/>
      <c r="Y875" s="237"/>
      <c r="Z875" s="237"/>
      <c r="AA875" s="237"/>
      <c r="AB875" s="237"/>
      <c r="AC875" s="237"/>
      <c r="AD875" s="237"/>
      <c r="AE875" s="237"/>
      <c r="AF875" s="237"/>
      <c r="AG875" s="237"/>
      <c r="AH875" s="237"/>
      <c r="AI875" s="98"/>
      <c r="AJ875" s="98"/>
      <c r="AK875" s="98"/>
      <c r="AL875" s="98"/>
      <c r="AM875" s="98"/>
      <c r="AN875" s="98"/>
      <c r="AO875" s="98"/>
    </row>
    <row r="876" ht="14.25" customHeight="1">
      <c r="A876" s="98"/>
      <c r="B876" s="98"/>
      <c r="C876" s="98"/>
      <c r="D876" s="98"/>
      <c r="E876" s="98"/>
      <c r="F876" s="235"/>
      <c r="G876" s="235"/>
      <c r="H876" s="236"/>
      <c r="I876" s="236"/>
      <c r="J876" s="236"/>
      <c r="K876" s="236"/>
      <c r="L876" s="236"/>
      <c r="M876" s="236"/>
      <c r="N876" s="236"/>
      <c r="O876" s="236"/>
      <c r="P876" s="236"/>
      <c r="Q876" s="236"/>
      <c r="R876" s="236"/>
      <c r="S876" s="236"/>
      <c r="T876" s="236"/>
      <c r="U876" s="236"/>
      <c r="V876" s="236"/>
      <c r="W876" s="237"/>
      <c r="X876" s="237"/>
      <c r="Y876" s="237"/>
      <c r="Z876" s="237"/>
      <c r="AA876" s="237"/>
      <c r="AB876" s="237"/>
      <c r="AC876" s="237"/>
      <c r="AD876" s="237"/>
      <c r="AE876" s="237"/>
      <c r="AF876" s="237"/>
      <c r="AG876" s="237"/>
      <c r="AH876" s="237"/>
      <c r="AI876" s="98"/>
      <c r="AJ876" s="98"/>
      <c r="AK876" s="98"/>
      <c r="AL876" s="98"/>
      <c r="AM876" s="98"/>
      <c r="AN876" s="98"/>
      <c r="AO876" s="98"/>
    </row>
    <row r="877" ht="14.25" customHeight="1">
      <c r="A877" s="98"/>
      <c r="B877" s="98"/>
      <c r="C877" s="98"/>
      <c r="D877" s="98"/>
      <c r="E877" s="98"/>
      <c r="F877" s="235"/>
      <c r="G877" s="235"/>
      <c r="H877" s="236"/>
      <c r="I877" s="236"/>
      <c r="J877" s="236"/>
      <c r="K877" s="236"/>
      <c r="L877" s="236"/>
      <c r="M877" s="236"/>
      <c r="N877" s="236"/>
      <c r="O877" s="236"/>
      <c r="P877" s="236"/>
      <c r="Q877" s="236"/>
      <c r="R877" s="236"/>
      <c r="S877" s="236"/>
      <c r="T877" s="236"/>
      <c r="U877" s="236"/>
      <c r="V877" s="236"/>
      <c r="W877" s="237"/>
      <c r="X877" s="237"/>
      <c r="Y877" s="237"/>
      <c r="Z877" s="237"/>
      <c r="AA877" s="237"/>
      <c r="AB877" s="237"/>
      <c r="AC877" s="237"/>
      <c r="AD877" s="237"/>
      <c r="AE877" s="237"/>
      <c r="AF877" s="237"/>
      <c r="AG877" s="237"/>
      <c r="AH877" s="237"/>
      <c r="AI877" s="98"/>
      <c r="AJ877" s="98"/>
      <c r="AK877" s="98"/>
      <c r="AL877" s="98"/>
      <c r="AM877" s="98"/>
      <c r="AN877" s="98"/>
      <c r="AO877" s="98"/>
    </row>
    <row r="878" ht="14.25" customHeight="1">
      <c r="A878" s="98"/>
      <c r="B878" s="98"/>
      <c r="C878" s="98"/>
      <c r="D878" s="98"/>
      <c r="E878" s="98"/>
      <c r="F878" s="235"/>
      <c r="G878" s="235"/>
      <c r="H878" s="236"/>
      <c r="I878" s="236"/>
      <c r="J878" s="236"/>
      <c r="K878" s="236"/>
      <c r="L878" s="236"/>
      <c r="M878" s="236"/>
      <c r="N878" s="236"/>
      <c r="O878" s="236"/>
      <c r="P878" s="236"/>
      <c r="Q878" s="236"/>
      <c r="R878" s="236"/>
      <c r="S878" s="236"/>
      <c r="T878" s="236"/>
      <c r="U878" s="236"/>
      <c r="V878" s="236"/>
      <c r="W878" s="237"/>
      <c r="X878" s="237"/>
      <c r="Y878" s="237"/>
      <c r="Z878" s="237"/>
      <c r="AA878" s="237"/>
      <c r="AB878" s="237"/>
      <c r="AC878" s="237"/>
      <c r="AD878" s="237"/>
      <c r="AE878" s="237"/>
      <c r="AF878" s="237"/>
      <c r="AG878" s="237"/>
      <c r="AH878" s="237"/>
      <c r="AI878" s="98"/>
      <c r="AJ878" s="98"/>
      <c r="AK878" s="98"/>
      <c r="AL878" s="98"/>
      <c r="AM878" s="98"/>
      <c r="AN878" s="98"/>
      <c r="AO878" s="98"/>
    </row>
    <row r="879" ht="14.25" customHeight="1">
      <c r="A879" s="98"/>
      <c r="B879" s="98"/>
      <c r="C879" s="98"/>
      <c r="D879" s="98"/>
      <c r="E879" s="98"/>
      <c r="F879" s="235"/>
      <c r="G879" s="235"/>
      <c r="H879" s="236"/>
      <c r="I879" s="236"/>
      <c r="J879" s="236"/>
      <c r="K879" s="236"/>
      <c r="L879" s="236"/>
      <c r="M879" s="236"/>
      <c r="N879" s="236"/>
      <c r="O879" s="236"/>
      <c r="P879" s="236"/>
      <c r="Q879" s="236"/>
      <c r="R879" s="236"/>
      <c r="S879" s="236"/>
      <c r="T879" s="236"/>
      <c r="U879" s="236"/>
      <c r="V879" s="236"/>
      <c r="W879" s="237"/>
      <c r="X879" s="237"/>
      <c r="Y879" s="237"/>
      <c r="Z879" s="237"/>
      <c r="AA879" s="237"/>
      <c r="AB879" s="237"/>
      <c r="AC879" s="237"/>
      <c r="AD879" s="237"/>
      <c r="AE879" s="237"/>
      <c r="AF879" s="237"/>
      <c r="AG879" s="237"/>
      <c r="AH879" s="237"/>
      <c r="AI879" s="98"/>
      <c r="AJ879" s="98"/>
      <c r="AK879" s="98"/>
      <c r="AL879" s="98"/>
      <c r="AM879" s="98"/>
      <c r="AN879" s="98"/>
      <c r="AO879" s="98"/>
    </row>
    <row r="880" ht="14.25" customHeight="1">
      <c r="A880" s="98"/>
      <c r="B880" s="98"/>
      <c r="C880" s="98"/>
      <c r="D880" s="98"/>
      <c r="E880" s="98"/>
      <c r="F880" s="235"/>
      <c r="G880" s="235"/>
      <c r="H880" s="236"/>
      <c r="I880" s="236"/>
      <c r="J880" s="236"/>
      <c r="K880" s="236"/>
      <c r="L880" s="236"/>
      <c r="M880" s="236"/>
      <c r="N880" s="236"/>
      <c r="O880" s="236"/>
      <c r="P880" s="236"/>
      <c r="Q880" s="236"/>
      <c r="R880" s="236"/>
      <c r="S880" s="236"/>
      <c r="T880" s="236"/>
      <c r="U880" s="236"/>
      <c r="V880" s="236"/>
      <c r="W880" s="237"/>
      <c r="X880" s="237"/>
      <c r="Y880" s="237"/>
      <c r="Z880" s="237"/>
      <c r="AA880" s="237"/>
      <c r="AB880" s="237"/>
      <c r="AC880" s="237"/>
      <c r="AD880" s="237"/>
      <c r="AE880" s="237"/>
      <c r="AF880" s="237"/>
      <c r="AG880" s="237"/>
      <c r="AH880" s="237"/>
      <c r="AI880" s="98"/>
      <c r="AJ880" s="98"/>
      <c r="AK880" s="98"/>
      <c r="AL880" s="98"/>
      <c r="AM880" s="98"/>
      <c r="AN880" s="98"/>
      <c r="AO880" s="98"/>
    </row>
    <row r="881" ht="14.25" customHeight="1">
      <c r="A881" s="98"/>
      <c r="B881" s="98"/>
      <c r="C881" s="98"/>
      <c r="D881" s="98"/>
      <c r="E881" s="98"/>
      <c r="F881" s="235"/>
      <c r="G881" s="235"/>
      <c r="H881" s="236"/>
      <c r="I881" s="236"/>
      <c r="J881" s="236"/>
      <c r="K881" s="236"/>
      <c r="L881" s="236"/>
      <c r="M881" s="236"/>
      <c r="N881" s="236"/>
      <c r="O881" s="236"/>
      <c r="P881" s="236"/>
      <c r="Q881" s="236"/>
      <c r="R881" s="236"/>
      <c r="S881" s="236"/>
      <c r="T881" s="236"/>
      <c r="U881" s="236"/>
      <c r="V881" s="236"/>
      <c r="W881" s="237"/>
      <c r="X881" s="237"/>
      <c r="Y881" s="237"/>
      <c r="Z881" s="237"/>
      <c r="AA881" s="237"/>
      <c r="AB881" s="237"/>
      <c r="AC881" s="237"/>
      <c r="AD881" s="237"/>
      <c r="AE881" s="237"/>
      <c r="AF881" s="237"/>
      <c r="AG881" s="237"/>
      <c r="AH881" s="237"/>
      <c r="AI881" s="98"/>
      <c r="AJ881" s="98"/>
      <c r="AK881" s="98"/>
      <c r="AL881" s="98"/>
      <c r="AM881" s="98"/>
      <c r="AN881" s="98"/>
      <c r="AO881" s="98"/>
    </row>
    <row r="882" ht="14.25" customHeight="1">
      <c r="A882" s="98"/>
      <c r="B882" s="98"/>
      <c r="C882" s="98"/>
      <c r="D882" s="98"/>
      <c r="E882" s="98"/>
      <c r="F882" s="235"/>
      <c r="G882" s="235"/>
      <c r="H882" s="236"/>
      <c r="I882" s="236"/>
      <c r="J882" s="236"/>
      <c r="K882" s="236"/>
      <c r="L882" s="236"/>
      <c r="M882" s="236"/>
      <c r="N882" s="236"/>
      <c r="O882" s="236"/>
      <c r="P882" s="236"/>
      <c r="Q882" s="236"/>
      <c r="R882" s="236"/>
      <c r="S882" s="236"/>
      <c r="T882" s="236"/>
      <c r="U882" s="236"/>
      <c r="V882" s="236"/>
      <c r="W882" s="237"/>
      <c r="X882" s="237"/>
      <c r="Y882" s="237"/>
      <c r="Z882" s="237"/>
      <c r="AA882" s="237"/>
      <c r="AB882" s="237"/>
      <c r="AC882" s="237"/>
      <c r="AD882" s="237"/>
      <c r="AE882" s="237"/>
      <c r="AF882" s="237"/>
      <c r="AG882" s="237"/>
      <c r="AH882" s="237"/>
      <c r="AI882" s="98"/>
      <c r="AJ882" s="98"/>
      <c r="AK882" s="98"/>
      <c r="AL882" s="98"/>
      <c r="AM882" s="98"/>
      <c r="AN882" s="98"/>
      <c r="AO882" s="98"/>
    </row>
    <row r="883" ht="14.25" customHeight="1">
      <c r="A883" s="98"/>
      <c r="B883" s="98"/>
      <c r="C883" s="98"/>
      <c r="D883" s="98"/>
      <c r="E883" s="98"/>
      <c r="F883" s="235"/>
      <c r="G883" s="235"/>
      <c r="H883" s="236"/>
      <c r="I883" s="236"/>
      <c r="J883" s="236"/>
      <c r="K883" s="236"/>
      <c r="L883" s="236"/>
      <c r="M883" s="236"/>
      <c r="N883" s="236"/>
      <c r="O883" s="236"/>
      <c r="P883" s="236"/>
      <c r="Q883" s="236"/>
      <c r="R883" s="236"/>
      <c r="S883" s="236"/>
      <c r="T883" s="236"/>
      <c r="U883" s="236"/>
      <c r="V883" s="236"/>
      <c r="W883" s="237"/>
      <c r="X883" s="237"/>
      <c r="Y883" s="237"/>
      <c r="Z883" s="237"/>
      <c r="AA883" s="237"/>
      <c r="AB883" s="237"/>
      <c r="AC883" s="237"/>
      <c r="AD883" s="237"/>
      <c r="AE883" s="237"/>
      <c r="AF883" s="237"/>
      <c r="AG883" s="237"/>
      <c r="AH883" s="237"/>
      <c r="AI883" s="98"/>
      <c r="AJ883" s="98"/>
      <c r="AK883" s="98"/>
      <c r="AL883" s="98"/>
      <c r="AM883" s="98"/>
      <c r="AN883" s="98"/>
      <c r="AO883" s="98"/>
    </row>
    <row r="884" ht="14.25" customHeight="1">
      <c r="A884" s="98"/>
      <c r="B884" s="98"/>
      <c r="C884" s="98"/>
      <c r="D884" s="98"/>
      <c r="E884" s="98"/>
      <c r="F884" s="235"/>
      <c r="G884" s="235"/>
      <c r="H884" s="236"/>
      <c r="I884" s="236"/>
      <c r="J884" s="236"/>
      <c r="K884" s="236"/>
      <c r="L884" s="236"/>
      <c r="M884" s="236"/>
      <c r="N884" s="236"/>
      <c r="O884" s="236"/>
      <c r="P884" s="236"/>
      <c r="Q884" s="236"/>
      <c r="R884" s="236"/>
      <c r="S884" s="236"/>
      <c r="T884" s="236"/>
      <c r="U884" s="236"/>
      <c r="V884" s="236"/>
      <c r="W884" s="237"/>
      <c r="X884" s="237"/>
      <c r="Y884" s="237"/>
      <c r="Z884" s="237"/>
      <c r="AA884" s="237"/>
      <c r="AB884" s="237"/>
      <c r="AC884" s="237"/>
      <c r="AD884" s="237"/>
      <c r="AE884" s="237"/>
      <c r="AF884" s="237"/>
      <c r="AG884" s="237"/>
      <c r="AH884" s="237"/>
      <c r="AI884" s="98"/>
      <c r="AJ884" s="98"/>
      <c r="AK884" s="98"/>
      <c r="AL884" s="98"/>
      <c r="AM884" s="98"/>
      <c r="AN884" s="98"/>
      <c r="AO884" s="98"/>
    </row>
    <row r="885" ht="14.25" customHeight="1">
      <c r="A885" s="98"/>
      <c r="B885" s="98"/>
      <c r="C885" s="98"/>
      <c r="D885" s="98"/>
      <c r="E885" s="98"/>
      <c r="F885" s="235"/>
      <c r="G885" s="235"/>
      <c r="H885" s="236"/>
      <c r="I885" s="236"/>
      <c r="J885" s="236"/>
      <c r="K885" s="236"/>
      <c r="L885" s="236"/>
      <c r="M885" s="236"/>
      <c r="N885" s="236"/>
      <c r="O885" s="236"/>
      <c r="P885" s="236"/>
      <c r="Q885" s="236"/>
      <c r="R885" s="236"/>
      <c r="S885" s="236"/>
      <c r="T885" s="236"/>
      <c r="U885" s="236"/>
      <c r="V885" s="236"/>
      <c r="W885" s="237"/>
      <c r="X885" s="237"/>
      <c r="Y885" s="237"/>
      <c r="Z885" s="237"/>
      <c r="AA885" s="237"/>
      <c r="AB885" s="237"/>
      <c r="AC885" s="237"/>
      <c r="AD885" s="237"/>
      <c r="AE885" s="237"/>
      <c r="AF885" s="237"/>
      <c r="AG885" s="237"/>
      <c r="AH885" s="237"/>
      <c r="AI885" s="98"/>
      <c r="AJ885" s="98"/>
      <c r="AK885" s="98"/>
      <c r="AL885" s="98"/>
      <c r="AM885" s="98"/>
      <c r="AN885" s="98"/>
      <c r="AO885" s="98"/>
    </row>
    <row r="886" ht="14.25" customHeight="1">
      <c r="A886" s="98"/>
      <c r="B886" s="98"/>
      <c r="C886" s="98"/>
      <c r="D886" s="98"/>
      <c r="E886" s="98"/>
      <c r="F886" s="235"/>
      <c r="G886" s="235"/>
      <c r="H886" s="236"/>
      <c r="I886" s="236"/>
      <c r="J886" s="236"/>
      <c r="K886" s="236"/>
      <c r="L886" s="236"/>
      <c r="M886" s="236"/>
      <c r="N886" s="236"/>
      <c r="O886" s="236"/>
      <c r="P886" s="236"/>
      <c r="Q886" s="236"/>
      <c r="R886" s="236"/>
      <c r="S886" s="236"/>
      <c r="T886" s="236"/>
      <c r="U886" s="236"/>
      <c r="V886" s="236"/>
      <c r="W886" s="237"/>
      <c r="X886" s="237"/>
      <c r="Y886" s="237"/>
      <c r="Z886" s="237"/>
      <c r="AA886" s="237"/>
      <c r="AB886" s="237"/>
      <c r="AC886" s="237"/>
      <c r="AD886" s="237"/>
      <c r="AE886" s="237"/>
      <c r="AF886" s="237"/>
      <c r="AG886" s="237"/>
      <c r="AH886" s="237"/>
      <c r="AI886" s="98"/>
      <c r="AJ886" s="98"/>
      <c r="AK886" s="98"/>
      <c r="AL886" s="98"/>
      <c r="AM886" s="98"/>
      <c r="AN886" s="98"/>
      <c r="AO886" s="98"/>
    </row>
    <row r="887" ht="14.25" customHeight="1">
      <c r="A887" s="98"/>
      <c r="B887" s="98"/>
      <c r="C887" s="98"/>
      <c r="D887" s="98"/>
      <c r="E887" s="98"/>
      <c r="F887" s="235"/>
      <c r="G887" s="235"/>
      <c r="H887" s="236"/>
      <c r="I887" s="236"/>
      <c r="J887" s="236"/>
      <c r="K887" s="236"/>
      <c r="L887" s="236"/>
      <c r="M887" s="236"/>
      <c r="N887" s="236"/>
      <c r="O887" s="236"/>
      <c r="P887" s="236"/>
      <c r="Q887" s="236"/>
      <c r="R887" s="236"/>
      <c r="S887" s="236"/>
      <c r="T887" s="236"/>
      <c r="U887" s="236"/>
      <c r="V887" s="236"/>
      <c r="W887" s="237"/>
      <c r="X887" s="237"/>
      <c r="Y887" s="237"/>
      <c r="Z887" s="237"/>
      <c r="AA887" s="237"/>
      <c r="AB887" s="237"/>
      <c r="AC887" s="237"/>
      <c r="AD887" s="237"/>
      <c r="AE887" s="237"/>
      <c r="AF887" s="237"/>
      <c r="AG887" s="237"/>
      <c r="AH887" s="237"/>
      <c r="AI887" s="98"/>
      <c r="AJ887" s="98"/>
      <c r="AK887" s="98"/>
      <c r="AL887" s="98"/>
      <c r="AM887" s="98"/>
      <c r="AN887" s="98"/>
      <c r="AO887" s="98"/>
    </row>
    <row r="888" ht="14.25" customHeight="1">
      <c r="A888" s="98"/>
      <c r="B888" s="98"/>
      <c r="C888" s="98"/>
      <c r="D888" s="98"/>
      <c r="E888" s="98"/>
      <c r="F888" s="235"/>
      <c r="G888" s="235"/>
      <c r="H888" s="236"/>
      <c r="I888" s="236"/>
      <c r="J888" s="236"/>
      <c r="K888" s="236"/>
      <c r="L888" s="236"/>
      <c r="M888" s="236"/>
      <c r="N888" s="236"/>
      <c r="O888" s="236"/>
      <c r="P888" s="236"/>
      <c r="Q888" s="236"/>
      <c r="R888" s="236"/>
      <c r="S888" s="236"/>
      <c r="T888" s="236"/>
      <c r="U888" s="236"/>
      <c r="V888" s="236"/>
      <c r="W888" s="237"/>
      <c r="X888" s="237"/>
      <c r="Y888" s="237"/>
      <c r="Z888" s="237"/>
      <c r="AA888" s="237"/>
      <c r="AB888" s="237"/>
      <c r="AC888" s="237"/>
      <c r="AD888" s="237"/>
      <c r="AE888" s="237"/>
      <c r="AF888" s="237"/>
      <c r="AG888" s="237"/>
      <c r="AH888" s="237"/>
      <c r="AI888" s="98"/>
      <c r="AJ888" s="98"/>
      <c r="AK888" s="98"/>
      <c r="AL888" s="98"/>
      <c r="AM888" s="98"/>
      <c r="AN888" s="98"/>
      <c r="AO888" s="98"/>
    </row>
    <row r="889" ht="14.25" customHeight="1">
      <c r="A889" s="98"/>
      <c r="B889" s="98"/>
      <c r="C889" s="98"/>
      <c r="D889" s="98"/>
      <c r="E889" s="98"/>
      <c r="F889" s="235"/>
      <c r="G889" s="235"/>
      <c r="H889" s="236"/>
      <c r="I889" s="236"/>
      <c r="J889" s="236"/>
      <c r="K889" s="236"/>
      <c r="L889" s="236"/>
      <c r="M889" s="236"/>
      <c r="N889" s="236"/>
      <c r="O889" s="236"/>
      <c r="P889" s="236"/>
      <c r="Q889" s="236"/>
      <c r="R889" s="236"/>
      <c r="S889" s="236"/>
      <c r="T889" s="236"/>
      <c r="U889" s="236"/>
      <c r="V889" s="236"/>
      <c r="W889" s="237"/>
      <c r="X889" s="237"/>
      <c r="Y889" s="237"/>
      <c r="Z889" s="237"/>
      <c r="AA889" s="237"/>
      <c r="AB889" s="237"/>
      <c r="AC889" s="237"/>
      <c r="AD889" s="237"/>
      <c r="AE889" s="237"/>
      <c r="AF889" s="237"/>
      <c r="AG889" s="237"/>
      <c r="AH889" s="237"/>
      <c r="AI889" s="98"/>
      <c r="AJ889" s="98"/>
      <c r="AK889" s="98"/>
      <c r="AL889" s="98"/>
      <c r="AM889" s="98"/>
      <c r="AN889" s="98"/>
      <c r="AO889" s="98"/>
    </row>
    <row r="890" ht="14.25" customHeight="1">
      <c r="A890" s="98"/>
      <c r="B890" s="98"/>
      <c r="C890" s="98"/>
      <c r="D890" s="98"/>
      <c r="E890" s="98"/>
      <c r="F890" s="235"/>
      <c r="G890" s="235"/>
      <c r="H890" s="236"/>
      <c r="I890" s="236"/>
      <c r="J890" s="236"/>
      <c r="K890" s="236"/>
      <c r="L890" s="236"/>
      <c r="M890" s="236"/>
      <c r="N890" s="236"/>
      <c r="O890" s="236"/>
      <c r="P890" s="236"/>
      <c r="Q890" s="236"/>
      <c r="R890" s="236"/>
      <c r="S890" s="236"/>
      <c r="T890" s="236"/>
      <c r="U890" s="236"/>
      <c r="V890" s="236"/>
      <c r="W890" s="237"/>
      <c r="X890" s="237"/>
      <c r="Y890" s="237"/>
      <c r="Z890" s="237"/>
      <c r="AA890" s="237"/>
      <c r="AB890" s="237"/>
      <c r="AC890" s="237"/>
      <c r="AD890" s="237"/>
      <c r="AE890" s="237"/>
      <c r="AF890" s="237"/>
      <c r="AG890" s="237"/>
      <c r="AH890" s="237"/>
      <c r="AI890" s="98"/>
      <c r="AJ890" s="98"/>
      <c r="AK890" s="98"/>
      <c r="AL890" s="98"/>
      <c r="AM890" s="98"/>
      <c r="AN890" s="98"/>
      <c r="AO890" s="98"/>
    </row>
    <row r="891" ht="14.25" customHeight="1">
      <c r="A891" s="98"/>
      <c r="B891" s="98"/>
      <c r="C891" s="98"/>
      <c r="D891" s="98"/>
      <c r="E891" s="98"/>
      <c r="F891" s="235"/>
      <c r="G891" s="235"/>
      <c r="H891" s="236"/>
      <c r="I891" s="236"/>
      <c r="J891" s="236"/>
      <c r="K891" s="236"/>
      <c r="L891" s="236"/>
      <c r="M891" s="236"/>
      <c r="N891" s="236"/>
      <c r="O891" s="236"/>
      <c r="P891" s="236"/>
      <c r="Q891" s="236"/>
      <c r="R891" s="236"/>
      <c r="S891" s="236"/>
      <c r="T891" s="236"/>
      <c r="U891" s="236"/>
      <c r="V891" s="236"/>
      <c r="W891" s="237"/>
      <c r="X891" s="237"/>
      <c r="Y891" s="237"/>
      <c r="Z891" s="237"/>
      <c r="AA891" s="237"/>
      <c r="AB891" s="237"/>
      <c r="AC891" s="237"/>
      <c r="AD891" s="237"/>
      <c r="AE891" s="237"/>
      <c r="AF891" s="237"/>
      <c r="AG891" s="237"/>
      <c r="AH891" s="237"/>
      <c r="AI891" s="98"/>
      <c r="AJ891" s="98"/>
      <c r="AK891" s="98"/>
      <c r="AL891" s="98"/>
      <c r="AM891" s="98"/>
      <c r="AN891" s="98"/>
      <c r="AO891" s="98"/>
    </row>
    <row r="892" ht="14.25" customHeight="1">
      <c r="A892" s="98"/>
      <c r="B892" s="98"/>
      <c r="C892" s="98"/>
      <c r="D892" s="98"/>
      <c r="E892" s="98"/>
      <c r="F892" s="235"/>
      <c r="G892" s="235"/>
      <c r="H892" s="236"/>
      <c r="I892" s="236"/>
      <c r="J892" s="236"/>
      <c r="K892" s="236"/>
      <c r="L892" s="236"/>
      <c r="M892" s="236"/>
      <c r="N892" s="236"/>
      <c r="O892" s="236"/>
      <c r="P892" s="236"/>
      <c r="Q892" s="236"/>
      <c r="R892" s="236"/>
      <c r="S892" s="236"/>
      <c r="T892" s="236"/>
      <c r="U892" s="236"/>
      <c r="V892" s="236"/>
      <c r="W892" s="237"/>
      <c r="X892" s="237"/>
      <c r="Y892" s="237"/>
      <c r="Z892" s="237"/>
      <c r="AA892" s="237"/>
      <c r="AB892" s="237"/>
      <c r="AC892" s="237"/>
      <c r="AD892" s="237"/>
      <c r="AE892" s="237"/>
      <c r="AF892" s="237"/>
      <c r="AG892" s="237"/>
      <c r="AH892" s="237"/>
      <c r="AI892" s="98"/>
      <c r="AJ892" s="98"/>
      <c r="AK892" s="98"/>
      <c r="AL892" s="98"/>
      <c r="AM892" s="98"/>
      <c r="AN892" s="98"/>
      <c r="AO892" s="98"/>
    </row>
    <row r="893" ht="14.25" customHeight="1">
      <c r="A893" s="98"/>
      <c r="B893" s="98"/>
      <c r="C893" s="98"/>
      <c r="D893" s="98"/>
      <c r="E893" s="98"/>
      <c r="F893" s="235"/>
      <c r="G893" s="235"/>
      <c r="H893" s="236"/>
      <c r="I893" s="236"/>
      <c r="J893" s="236"/>
      <c r="K893" s="236"/>
      <c r="L893" s="236"/>
      <c r="M893" s="236"/>
      <c r="N893" s="236"/>
      <c r="O893" s="236"/>
      <c r="P893" s="236"/>
      <c r="Q893" s="236"/>
      <c r="R893" s="236"/>
      <c r="S893" s="236"/>
      <c r="T893" s="236"/>
      <c r="U893" s="236"/>
      <c r="V893" s="236"/>
      <c r="W893" s="237"/>
      <c r="X893" s="237"/>
      <c r="Y893" s="237"/>
      <c r="Z893" s="237"/>
      <c r="AA893" s="237"/>
      <c r="AB893" s="237"/>
      <c r="AC893" s="237"/>
      <c r="AD893" s="237"/>
      <c r="AE893" s="237"/>
      <c r="AF893" s="237"/>
      <c r="AG893" s="237"/>
      <c r="AH893" s="237"/>
      <c r="AI893" s="98"/>
      <c r="AJ893" s="98"/>
      <c r="AK893" s="98"/>
      <c r="AL893" s="98"/>
      <c r="AM893" s="98"/>
      <c r="AN893" s="98"/>
      <c r="AO893" s="98"/>
    </row>
    <row r="894" ht="14.25" customHeight="1">
      <c r="A894" s="98"/>
      <c r="B894" s="98"/>
      <c r="C894" s="98"/>
      <c r="D894" s="98"/>
      <c r="E894" s="98"/>
      <c r="F894" s="235"/>
      <c r="G894" s="235"/>
      <c r="H894" s="236"/>
      <c r="I894" s="236"/>
      <c r="J894" s="236"/>
      <c r="K894" s="236"/>
      <c r="L894" s="236"/>
      <c r="M894" s="236"/>
      <c r="N894" s="236"/>
      <c r="O894" s="236"/>
      <c r="P894" s="236"/>
      <c r="Q894" s="236"/>
      <c r="R894" s="236"/>
      <c r="S894" s="236"/>
      <c r="T894" s="236"/>
      <c r="U894" s="236"/>
      <c r="V894" s="236"/>
      <c r="W894" s="237"/>
      <c r="X894" s="237"/>
      <c r="Y894" s="237"/>
      <c r="Z894" s="237"/>
      <c r="AA894" s="237"/>
      <c r="AB894" s="237"/>
      <c r="AC894" s="237"/>
      <c r="AD894" s="237"/>
      <c r="AE894" s="237"/>
      <c r="AF894" s="237"/>
      <c r="AG894" s="237"/>
      <c r="AH894" s="237"/>
      <c r="AI894" s="98"/>
      <c r="AJ894" s="98"/>
      <c r="AK894" s="98"/>
      <c r="AL894" s="98"/>
      <c r="AM894" s="98"/>
      <c r="AN894" s="98"/>
      <c r="AO894" s="98"/>
    </row>
    <row r="895" ht="14.25" customHeight="1">
      <c r="A895" s="98"/>
      <c r="B895" s="98"/>
      <c r="C895" s="98"/>
      <c r="D895" s="98"/>
      <c r="E895" s="98"/>
      <c r="F895" s="235"/>
      <c r="G895" s="235"/>
      <c r="H895" s="236"/>
      <c r="I895" s="236"/>
      <c r="J895" s="236"/>
      <c r="K895" s="236"/>
      <c r="L895" s="236"/>
      <c r="M895" s="236"/>
      <c r="N895" s="236"/>
      <c r="O895" s="236"/>
      <c r="P895" s="236"/>
      <c r="Q895" s="236"/>
      <c r="R895" s="236"/>
      <c r="S895" s="236"/>
      <c r="T895" s="236"/>
      <c r="U895" s="236"/>
      <c r="V895" s="236"/>
      <c r="W895" s="237"/>
      <c r="X895" s="237"/>
      <c r="Y895" s="237"/>
      <c r="Z895" s="237"/>
      <c r="AA895" s="237"/>
      <c r="AB895" s="237"/>
      <c r="AC895" s="237"/>
      <c r="AD895" s="237"/>
      <c r="AE895" s="237"/>
      <c r="AF895" s="237"/>
      <c r="AG895" s="237"/>
      <c r="AH895" s="237"/>
      <c r="AI895" s="98"/>
      <c r="AJ895" s="98"/>
      <c r="AK895" s="98"/>
      <c r="AL895" s="98"/>
      <c r="AM895" s="98"/>
      <c r="AN895" s="98"/>
      <c r="AO895" s="98"/>
    </row>
    <row r="896" ht="14.25" customHeight="1">
      <c r="A896" s="98"/>
      <c r="B896" s="98"/>
      <c r="C896" s="98"/>
      <c r="D896" s="98"/>
      <c r="E896" s="98"/>
      <c r="F896" s="235"/>
      <c r="G896" s="235"/>
      <c r="H896" s="236"/>
      <c r="I896" s="236"/>
      <c r="J896" s="236"/>
      <c r="K896" s="236"/>
      <c r="L896" s="236"/>
      <c r="M896" s="236"/>
      <c r="N896" s="236"/>
      <c r="O896" s="236"/>
      <c r="P896" s="236"/>
      <c r="Q896" s="236"/>
      <c r="R896" s="236"/>
      <c r="S896" s="236"/>
      <c r="T896" s="236"/>
      <c r="U896" s="236"/>
      <c r="V896" s="236"/>
      <c r="W896" s="237"/>
      <c r="X896" s="237"/>
      <c r="Y896" s="237"/>
      <c r="Z896" s="237"/>
      <c r="AA896" s="237"/>
      <c r="AB896" s="237"/>
      <c r="AC896" s="237"/>
      <c r="AD896" s="237"/>
      <c r="AE896" s="237"/>
      <c r="AF896" s="237"/>
      <c r="AG896" s="237"/>
      <c r="AH896" s="237"/>
      <c r="AI896" s="98"/>
      <c r="AJ896" s="98"/>
      <c r="AK896" s="98"/>
      <c r="AL896" s="98"/>
      <c r="AM896" s="98"/>
      <c r="AN896" s="98"/>
      <c r="AO896" s="98"/>
    </row>
    <row r="897" ht="14.25" customHeight="1">
      <c r="A897" s="98"/>
      <c r="B897" s="98"/>
      <c r="C897" s="98"/>
      <c r="D897" s="98"/>
      <c r="E897" s="98"/>
      <c r="F897" s="235"/>
      <c r="G897" s="235"/>
      <c r="H897" s="236"/>
      <c r="I897" s="236"/>
      <c r="J897" s="236"/>
      <c r="K897" s="236"/>
      <c r="L897" s="236"/>
      <c r="M897" s="236"/>
      <c r="N897" s="236"/>
      <c r="O897" s="236"/>
      <c r="P897" s="236"/>
      <c r="Q897" s="236"/>
      <c r="R897" s="236"/>
      <c r="S897" s="236"/>
      <c r="T897" s="236"/>
      <c r="U897" s="236"/>
      <c r="V897" s="236"/>
      <c r="W897" s="237"/>
      <c r="X897" s="237"/>
      <c r="Y897" s="237"/>
      <c r="Z897" s="237"/>
      <c r="AA897" s="237"/>
      <c r="AB897" s="237"/>
      <c r="AC897" s="237"/>
      <c r="AD897" s="237"/>
      <c r="AE897" s="237"/>
      <c r="AF897" s="237"/>
      <c r="AG897" s="237"/>
      <c r="AH897" s="237"/>
      <c r="AI897" s="98"/>
      <c r="AJ897" s="98"/>
      <c r="AK897" s="98"/>
      <c r="AL897" s="98"/>
      <c r="AM897" s="98"/>
      <c r="AN897" s="98"/>
      <c r="AO897" s="98"/>
    </row>
    <row r="898" ht="14.25" customHeight="1">
      <c r="A898" s="98"/>
      <c r="B898" s="98"/>
      <c r="C898" s="98"/>
      <c r="D898" s="98"/>
      <c r="E898" s="98"/>
      <c r="F898" s="235"/>
      <c r="G898" s="235"/>
      <c r="H898" s="236"/>
      <c r="I898" s="236"/>
      <c r="J898" s="236"/>
      <c r="K898" s="236"/>
      <c r="L898" s="236"/>
      <c r="M898" s="236"/>
      <c r="N898" s="236"/>
      <c r="O898" s="236"/>
      <c r="P898" s="236"/>
      <c r="Q898" s="236"/>
      <c r="R898" s="236"/>
      <c r="S898" s="236"/>
      <c r="T898" s="236"/>
      <c r="U898" s="236"/>
      <c r="V898" s="236"/>
      <c r="W898" s="237"/>
      <c r="X898" s="237"/>
      <c r="Y898" s="237"/>
      <c r="Z898" s="237"/>
      <c r="AA898" s="237"/>
      <c r="AB898" s="237"/>
      <c r="AC898" s="237"/>
      <c r="AD898" s="237"/>
      <c r="AE898" s="237"/>
      <c r="AF898" s="237"/>
      <c r="AG898" s="237"/>
      <c r="AH898" s="237"/>
      <c r="AI898" s="98"/>
      <c r="AJ898" s="98"/>
      <c r="AK898" s="98"/>
      <c r="AL898" s="98"/>
      <c r="AM898" s="98"/>
      <c r="AN898" s="98"/>
      <c r="AO898" s="98"/>
    </row>
    <row r="899" ht="14.25" customHeight="1">
      <c r="A899" s="98"/>
      <c r="B899" s="98"/>
      <c r="C899" s="98"/>
      <c r="D899" s="98"/>
      <c r="E899" s="98"/>
      <c r="F899" s="235"/>
      <c r="G899" s="235"/>
      <c r="H899" s="236"/>
      <c r="I899" s="236"/>
      <c r="J899" s="236"/>
      <c r="K899" s="236"/>
      <c r="L899" s="236"/>
      <c r="M899" s="236"/>
      <c r="N899" s="236"/>
      <c r="O899" s="236"/>
      <c r="P899" s="236"/>
      <c r="Q899" s="236"/>
      <c r="R899" s="236"/>
      <c r="S899" s="236"/>
      <c r="T899" s="236"/>
      <c r="U899" s="236"/>
      <c r="V899" s="236"/>
      <c r="W899" s="237"/>
      <c r="X899" s="237"/>
      <c r="Y899" s="237"/>
      <c r="Z899" s="237"/>
      <c r="AA899" s="237"/>
      <c r="AB899" s="237"/>
      <c r="AC899" s="237"/>
      <c r="AD899" s="237"/>
      <c r="AE899" s="237"/>
      <c r="AF899" s="237"/>
      <c r="AG899" s="237"/>
      <c r="AH899" s="237"/>
      <c r="AI899" s="98"/>
      <c r="AJ899" s="98"/>
      <c r="AK899" s="98"/>
      <c r="AL899" s="98"/>
      <c r="AM899" s="98"/>
      <c r="AN899" s="98"/>
      <c r="AO899" s="98"/>
    </row>
    <row r="900" ht="14.25" customHeight="1">
      <c r="A900" s="98"/>
      <c r="B900" s="98"/>
      <c r="C900" s="98"/>
      <c r="D900" s="98"/>
      <c r="E900" s="98"/>
      <c r="F900" s="235"/>
      <c r="G900" s="235"/>
      <c r="H900" s="236"/>
      <c r="I900" s="236"/>
      <c r="J900" s="236"/>
      <c r="K900" s="236"/>
      <c r="L900" s="236"/>
      <c r="M900" s="236"/>
      <c r="N900" s="236"/>
      <c r="O900" s="236"/>
      <c r="P900" s="236"/>
      <c r="Q900" s="236"/>
      <c r="R900" s="236"/>
      <c r="S900" s="236"/>
      <c r="T900" s="236"/>
      <c r="U900" s="236"/>
      <c r="V900" s="236"/>
      <c r="W900" s="237"/>
      <c r="X900" s="237"/>
      <c r="Y900" s="237"/>
      <c r="Z900" s="237"/>
      <c r="AA900" s="237"/>
      <c r="AB900" s="237"/>
      <c r="AC900" s="237"/>
      <c r="AD900" s="237"/>
      <c r="AE900" s="237"/>
      <c r="AF900" s="237"/>
      <c r="AG900" s="237"/>
      <c r="AH900" s="237"/>
      <c r="AI900" s="98"/>
      <c r="AJ900" s="98"/>
      <c r="AK900" s="98"/>
      <c r="AL900" s="98"/>
      <c r="AM900" s="98"/>
      <c r="AN900" s="98"/>
      <c r="AO900" s="98"/>
    </row>
    <row r="901" ht="14.25" customHeight="1">
      <c r="A901" s="98"/>
      <c r="B901" s="98"/>
      <c r="C901" s="98"/>
      <c r="D901" s="98"/>
      <c r="E901" s="98"/>
      <c r="F901" s="235"/>
      <c r="G901" s="235"/>
      <c r="H901" s="236"/>
      <c r="I901" s="236"/>
      <c r="J901" s="236"/>
      <c r="K901" s="236"/>
      <c r="L901" s="236"/>
      <c r="M901" s="236"/>
      <c r="N901" s="236"/>
      <c r="O901" s="236"/>
      <c r="P901" s="236"/>
      <c r="Q901" s="236"/>
      <c r="R901" s="236"/>
      <c r="S901" s="236"/>
      <c r="T901" s="236"/>
      <c r="U901" s="236"/>
      <c r="V901" s="236"/>
      <c r="W901" s="237"/>
      <c r="X901" s="237"/>
      <c r="Y901" s="237"/>
      <c r="Z901" s="237"/>
      <c r="AA901" s="237"/>
      <c r="AB901" s="237"/>
      <c r="AC901" s="237"/>
      <c r="AD901" s="237"/>
      <c r="AE901" s="237"/>
      <c r="AF901" s="237"/>
      <c r="AG901" s="237"/>
      <c r="AH901" s="237"/>
      <c r="AI901" s="98"/>
      <c r="AJ901" s="98"/>
      <c r="AK901" s="98"/>
      <c r="AL901" s="98"/>
      <c r="AM901" s="98"/>
      <c r="AN901" s="98"/>
      <c r="AO901" s="98"/>
    </row>
    <row r="902" ht="14.25" customHeight="1">
      <c r="A902" s="98"/>
      <c r="B902" s="98"/>
      <c r="C902" s="98"/>
      <c r="D902" s="98"/>
      <c r="E902" s="98"/>
      <c r="F902" s="235"/>
      <c r="G902" s="235"/>
      <c r="H902" s="236"/>
      <c r="I902" s="236"/>
      <c r="J902" s="236"/>
      <c r="K902" s="236"/>
      <c r="L902" s="236"/>
      <c r="M902" s="236"/>
      <c r="N902" s="236"/>
      <c r="O902" s="236"/>
      <c r="P902" s="236"/>
      <c r="Q902" s="236"/>
      <c r="R902" s="236"/>
      <c r="S902" s="236"/>
      <c r="T902" s="236"/>
      <c r="U902" s="236"/>
      <c r="V902" s="236"/>
      <c r="W902" s="237"/>
      <c r="X902" s="237"/>
      <c r="Y902" s="237"/>
      <c r="Z902" s="237"/>
      <c r="AA902" s="237"/>
      <c r="AB902" s="237"/>
      <c r="AC902" s="237"/>
      <c r="AD902" s="237"/>
      <c r="AE902" s="237"/>
      <c r="AF902" s="237"/>
      <c r="AG902" s="237"/>
      <c r="AH902" s="237"/>
      <c r="AI902" s="98"/>
      <c r="AJ902" s="98"/>
      <c r="AK902" s="98"/>
      <c r="AL902" s="98"/>
      <c r="AM902" s="98"/>
      <c r="AN902" s="98"/>
      <c r="AO902" s="98"/>
    </row>
    <row r="903" ht="14.25" customHeight="1">
      <c r="A903" s="98"/>
      <c r="B903" s="98"/>
      <c r="C903" s="98"/>
      <c r="D903" s="98"/>
      <c r="E903" s="98"/>
      <c r="F903" s="235"/>
      <c r="G903" s="235"/>
      <c r="H903" s="236"/>
      <c r="I903" s="236"/>
      <c r="J903" s="236"/>
      <c r="K903" s="236"/>
      <c r="L903" s="236"/>
      <c r="M903" s="236"/>
      <c r="N903" s="236"/>
      <c r="O903" s="236"/>
      <c r="P903" s="236"/>
      <c r="Q903" s="236"/>
      <c r="R903" s="236"/>
      <c r="S903" s="236"/>
      <c r="T903" s="236"/>
      <c r="U903" s="236"/>
      <c r="V903" s="236"/>
      <c r="W903" s="237"/>
      <c r="X903" s="237"/>
      <c r="Y903" s="237"/>
      <c r="Z903" s="237"/>
      <c r="AA903" s="237"/>
      <c r="AB903" s="237"/>
      <c r="AC903" s="237"/>
      <c r="AD903" s="237"/>
      <c r="AE903" s="237"/>
      <c r="AF903" s="237"/>
      <c r="AG903" s="237"/>
      <c r="AH903" s="237"/>
      <c r="AI903" s="98"/>
      <c r="AJ903" s="98"/>
      <c r="AK903" s="98"/>
      <c r="AL903" s="98"/>
      <c r="AM903" s="98"/>
      <c r="AN903" s="98"/>
      <c r="AO903" s="98"/>
    </row>
    <row r="904" ht="14.25" customHeight="1">
      <c r="A904" s="98"/>
      <c r="B904" s="98"/>
      <c r="C904" s="98"/>
      <c r="D904" s="98"/>
      <c r="E904" s="98"/>
      <c r="F904" s="235"/>
      <c r="G904" s="235"/>
      <c r="H904" s="236"/>
      <c r="I904" s="236"/>
      <c r="J904" s="236"/>
      <c r="K904" s="236"/>
      <c r="L904" s="236"/>
      <c r="M904" s="236"/>
      <c r="N904" s="236"/>
      <c r="O904" s="236"/>
      <c r="P904" s="236"/>
      <c r="Q904" s="236"/>
      <c r="R904" s="236"/>
      <c r="S904" s="236"/>
      <c r="T904" s="236"/>
      <c r="U904" s="236"/>
      <c r="V904" s="236"/>
      <c r="W904" s="237"/>
      <c r="X904" s="237"/>
      <c r="Y904" s="237"/>
      <c r="Z904" s="237"/>
      <c r="AA904" s="237"/>
      <c r="AB904" s="237"/>
      <c r="AC904" s="237"/>
      <c r="AD904" s="237"/>
      <c r="AE904" s="237"/>
      <c r="AF904" s="237"/>
      <c r="AG904" s="237"/>
      <c r="AH904" s="237"/>
      <c r="AI904" s="98"/>
      <c r="AJ904" s="98"/>
      <c r="AK904" s="98"/>
      <c r="AL904" s="98"/>
      <c r="AM904" s="98"/>
      <c r="AN904" s="98"/>
      <c r="AO904" s="98"/>
    </row>
    <row r="905" ht="14.25" customHeight="1">
      <c r="A905" s="98"/>
      <c r="B905" s="98"/>
      <c r="C905" s="98"/>
      <c r="D905" s="98"/>
      <c r="E905" s="98"/>
      <c r="F905" s="235"/>
      <c r="G905" s="235"/>
      <c r="H905" s="236"/>
      <c r="I905" s="236"/>
      <c r="J905" s="236"/>
      <c r="K905" s="236"/>
      <c r="L905" s="236"/>
      <c r="M905" s="236"/>
      <c r="N905" s="236"/>
      <c r="O905" s="236"/>
      <c r="P905" s="236"/>
      <c r="Q905" s="236"/>
      <c r="R905" s="236"/>
      <c r="S905" s="236"/>
      <c r="T905" s="236"/>
      <c r="U905" s="236"/>
      <c r="V905" s="236"/>
      <c r="W905" s="237"/>
      <c r="X905" s="237"/>
      <c r="Y905" s="237"/>
      <c r="Z905" s="237"/>
      <c r="AA905" s="237"/>
      <c r="AB905" s="237"/>
      <c r="AC905" s="237"/>
      <c r="AD905" s="237"/>
      <c r="AE905" s="237"/>
      <c r="AF905" s="237"/>
      <c r="AG905" s="237"/>
      <c r="AH905" s="237"/>
      <c r="AI905" s="98"/>
      <c r="AJ905" s="98"/>
      <c r="AK905" s="98"/>
      <c r="AL905" s="98"/>
      <c r="AM905" s="98"/>
      <c r="AN905" s="98"/>
      <c r="AO905" s="98"/>
    </row>
    <row r="906" ht="14.25" customHeight="1">
      <c r="A906" s="98"/>
      <c r="B906" s="98"/>
      <c r="C906" s="98"/>
      <c r="D906" s="98"/>
      <c r="E906" s="98"/>
      <c r="F906" s="235"/>
      <c r="G906" s="235"/>
      <c r="H906" s="236"/>
      <c r="I906" s="236"/>
      <c r="J906" s="236"/>
      <c r="K906" s="236"/>
      <c r="L906" s="236"/>
      <c r="M906" s="236"/>
      <c r="N906" s="236"/>
      <c r="O906" s="236"/>
      <c r="P906" s="236"/>
      <c r="Q906" s="236"/>
      <c r="R906" s="236"/>
      <c r="S906" s="236"/>
      <c r="T906" s="236"/>
      <c r="U906" s="236"/>
      <c r="V906" s="236"/>
      <c r="W906" s="237"/>
      <c r="X906" s="237"/>
      <c r="Y906" s="237"/>
      <c r="Z906" s="237"/>
      <c r="AA906" s="237"/>
      <c r="AB906" s="237"/>
      <c r="AC906" s="237"/>
      <c r="AD906" s="237"/>
      <c r="AE906" s="237"/>
      <c r="AF906" s="237"/>
      <c r="AG906" s="237"/>
      <c r="AH906" s="237"/>
      <c r="AI906" s="98"/>
      <c r="AJ906" s="98"/>
      <c r="AK906" s="98"/>
      <c r="AL906" s="98"/>
      <c r="AM906" s="98"/>
      <c r="AN906" s="98"/>
      <c r="AO906" s="98"/>
    </row>
    <row r="907" ht="14.25" customHeight="1">
      <c r="A907" s="98"/>
      <c r="B907" s="98"/>
      <c r="C907" s="98"/>
      <c r="D907" s="98"/>
      <c r="E907" s="98"/>
      <c r="F907" s="235"/>
      <c r="G907" s="235"/>
      <c r="H907" s="236"/>
      <c r="I907" s="236"/>
      <c r="J907" s="236"/>
      <c r="K907" s="236"/>
      <c r="L907" s="236"/>
      <c r="M907" s="236"/>
      <c r="N907" s="236"/>
      <c r="O907" s="236"/>
      <c r="P907" s="236"/>
      <c r="Q907" s="236"/>
      <c r="R907" s="236"/>
      <c r="S907" s="236"/>
      <c r="T907" s="236"/>
      <c r="U907" s="236"/>
      <c r="V907" s="236"/>
      <c r="W907" s="237"/>
      <c r="X907" s="237"/>
      <c r="Y907" s="237"/>
      <c r="Z907" s="237"/>
      <c r="AA907" s="237"/>
      <c r="AB907" s="237"/>
      <c r="AC907" s="237"/>
      <c r="AD907" s="237"/>
      <c r="AE907" s="237"/>
      <c r="AF907" s="237"/>
      <c r="AG907" s="237"/>
      <c r="AH907" s="237"/>
      <c r="AI907" s="98"/>
      <c r="AJ907" s="98"/>
      <c r="AK907" s="98"/>
      <c r="AL907" s="98"/>
      <c r="AM907" s="98"/>
      <c r="AN907" s="98"/>
      <c r="AO907" s="98"/>
    </row>
    <row r="908" ht="14.25" customHeight="1">
      <c r="A908" s="98"/>
      <c r="B908" s="98"/>
      <c r="C908" s="98"/>
      <c r="D908" s="98"/>
      <c r="E908" s="98"/>
      <c r="F908" s="235"/>
      <c r="G908" s="235"/>
      <c r="H908" s="236"/>
      <c r="I908" s="236"/>
      <c r="J908" s="236"/>
      <c r="K908" s="236"/>
      <c r="L908" s="236"/>
      <c r="M908" s="236"/>
      <c r="N908" s="236"/>
      <c r="O908" s="236"/>
      <c r="P908" s="236"/>
      <c r="Q908" s="236"/>
      <c r="R908" s="236"/>
      <c r="S908" s="236"/>
      <c r="T908" s="236"/>
      <c r="U908" s="236"/>
      <c r="V908" s="236"/>
      <c r="W908" s="237"/>
      <c r="X908" s="237"/>
      <c r="Y908" s="237"/>
      <c r="Z908" s="237"/>
      <c r="AA908" s="237"/>
      <c r="AB908" s="237"/>
      <c r="AC908" s="237"/>
      <c r="AD908" s="237"/>
      <c r="AE908" s="237"/>
      <c r="AF908" s="237"/>
      <c r="AG908" s="237"/>
      <c r="AH908" s="237"/>
      <c r="AI908" s="98"/>
      <c r="AJ908" s="98"/>
      <c r="AK908" s="98"/>
      <c r="AL908" s="98"/>
      <c r="AM908" s="98"/>
      <c r="AN908" s="98"/>
      <c r="AO908" s="98"/>
    </row>
    <row r="909" ht="14.25" customHeight="1">
      <c r="A909" s="98"/>
      <c r="B909" s="98"/>
      <c r="C909" s="98"/>
      <c r="D909" s="98"/>
      <c r="E909" s="98"/>
      <c r="F909" s="235"/>
      <c r="G909" s="235"/>
      <c r="H909" s="236"/>
      <c r="I909" s="236"/>
      <c r="J909" s="236"/>
      <c r="K909" s="236"/>
      <c r="L909" s="236"/>
      <c r="M909" s="236"/>
      <c r="N909" s="236"/>
      <c r="O909" s="236"/>
      <c r="P909" s="236"/>
      <c r="Q909" s="236"/>
      <c r="R909" s="236"/>
      <c r="S909" s="236"/>
      <c r="T909" s="236"/>
      <c r="U909" s="236"/>
      <c r="V909" s="236"/>
      <c r="W909" s="237"/>
      <c r="X909" s="237"/>
      <c r="Y909" s="237"/>
      <c r="Z909" s="237"/>
      <c r="AA909" s="237"/>
      <c r="AB909" s="237"/>
      <c r="AC909" s="237"/>
      <c r="AD909" s="237"/>
      <c r="AE909" s="237"/>
      <c r="AF909" s="237"/>
      <c r="AG909" s="237"/>
      <c r="AH909" s="237"/>
      <c r="AI909" s="98"/>
      <c r="AJ909" s="98"/>
      <c r="AK909" s="98"/>
      <c r="AL909" s="98"/>
      <c r="AM909" s="98"/>
      <c r="AN909" s="98"/>
      <c r="AO909" s="98"/>
    </row>
    <row r="910" ht="14.25" customHeight="1">
      <c r="A910" s="98"/>
      <c r="B910" s="98"/>
      <c r="C910" s="98"/>
      <c r="D910" s="98"/>
      <c r="E910" s="98"/>
      <c r="F910" s="235"/>
      <c r="G910" s="235"/>
      <c r="H910" s="236"/>
      <c r="I910" s="236"/>
      <c r="J910" s="236"/>
      <c r="K910" s="236"/>
      <c r="L910" s="236"/>
      <c r="M910" s="236"/>
      <c r="N910" s="236"/>
      <c r="O910" s="236"/>
      <c r="P910" s="236"/>
      <c r="Q910" s="236"/>
      <c r="R910" s="236"/>
      <c r="S910" s="236"/>
      <c r="T910" s="236"/>
      <c r="U910" s="236"/>
      <c r="V910" s="236"/>
      <c r="W910" s="237"/>
      <c r="X910" s="237"/>
      <c r="Y910" s="237"/>
      <c r="Z910" s="237"/>
      <c r="AA910" s="237"/>
      <c r="AB910" s="237"/>
      <c r="AC910" s="237"/>
      <c r="AD910" s="237"/>
      <c r="AE910" s="237"/>
      <c r="AF910" s="237"/>
      <c r="AG910" s="237"/>
      <c r="AH910" s="237"/>
      <c r="AI910" s="98"/>
      <c r="AJ910" s="98"/>
      <c r="AK910" s="98"/>
      <c r="AL910" s="98"/>
      <c r="AM910" s="98"/>
      <c r="AN910" s="98"/>
      <c r="AO910" s="98"/>
    </row>
    <row r="911" ht="14.25" customHeight="1">
      <c r="A911" s="98"/>
      <c r="B911" s="98"/>
      <c r="C911" s="98"/>
      <c r="D911" s="98"/>
      <c r="E911" s="98"/>
      <c r="F911" s="235"/>
      <c r="G911" s="235"/>
      <c r="H911" s="236"/>
      <c r="I911" s="236"/>
      <c r="J911" s="236"/>
      <c r="K911" s="236"/>
      <c r="L911" s="236"/>
      <c r="M911" s="236"/>
      <c r="N911" s="236"/>
      <c r="O911" s="236"/>
      <c r="P911" s="236"/>
      <c r="Q911" s="236"/>
      <c r="R911" s="236"/>
      <c r="S911" s="236"/>
      <c r="T911" s="236"/>
      <c r="U911" s="236"/>
      <c r="V911" s="236"/>
      <c r="W911" s="237"/>
      <c r="X911" s="237"/>
      <c r="Y911" s="237"/>
      <c r="Z911" s="237"/>
      <c r="AA911" s="237"/>
      <c r="AB911" s="237"/>
      <c r="AC911" s="237"/>
      <c r="AD911" s="237"/>
      <c r="AE911" s="237"/>
      <c r="AF911" s="237"/>
      <c r="AG911" s="237"/>
      <c r="AH911" s="237"/>
      <c r="AI911" s="98"/>
      <c r="AJ911" s="98"/>
      <c r="AK911" s="98"/>
      <c r="AL911" s="98"/>
      <c r="AM911" s="98"/>
      <c r="AN911" s="98"/>
      <c r="AO911" s="98"/>
    </row>
    <row r="912" ht="14.25" customHeight="1">
      <c r="A912" s="98"/>
      <c r="B912" s="98"/>
      <c r="C912" s="98"/>
      <c r="D912" s="98"/>
      <c r="E912" s="98"/>
      <c r="F912" s="235"/>
      <c r="G912" s="235"/>
      <c r="H912" s="236"/>
      <c r="I912" s="236"/>
      <c r="J912" s="236"/>
      <c r="K912" s="236"/>
      <c r="L912" s="236"/>
      <c r="M912" s="236"/>
      <c r="N912" s="236"/>
      <c r="O912" s="236"/>
      <c r="P912" s="236"/>
      <c r="Q912" s="236"/>
      <c r="R912" s="236"/>
      <c r="S912" s="236"/>
      <c r="T912" s="236"/>
      <c r="U912" s="236"/>
      <c r="V912" s="236"/>
      <c r="W912" s="237"/>
      <c r="X912" s="237"/>
      <c r="Y912" s="237"/>
      <c r="Z912" s="237"/>
      <c r="AA912" s="237"/>
      <c r="AB912" s="237"/>
      <c r="AC912" s="237"/>
      <c r="AD912" s="237"/>
      <c r="AE912" s="237"/>
      <c r="AF912" s="237"/>
      <c r="AG912" s="237"/>
      <c r="AH912" s="237"/>
      <c r="AI912" s="98"/>
      <c r="AJ912" s="98"/>
      <c r="AK912" s="98"/>
      <c r="AL912" s="98"/>
      <c r="AM912" s="98"/>
      <c r="AN912" s="98"/>
      <c r="AO912" s="98"/>
    </row>
    <row r="913" ht="14.25" customHeight="1">
      <c r="A913" s="98"/>
      <c r="B913" s="98"/>
      <c r="C913" s="98"/>
      <c r="D913" s="98"/>
      <c r="E913" s="98"/>
      <c r="F913" s="235"/>
      <c r="G913" s="235"/>
      <c r="H913" s="236"/>
      <c r="I913" s="236"/>
      <c r="J913" s="236"/>
      <c r="K913" s="236"/>
      <c r="L913" s="236"/>
      <c r="M913" s="236"/>
      <c r="N913" s="236"/>
      <c r="O913" s="236"/>
      <c r="P913" s="236"/>
      <c r="Q913" s="236"/>
      <c r="R913" s="236"/>
      <c r="S913" s="236"/>
      <c r="T913" s="236"/>
      <c r="U913" s="236"/>
      <c r="V913" s="236"/>
      <c r="W913" s="237"/>
      <c r="X913" s="237"/>
      <c r="Y913" s="237"/>
      <c r="Z913" s="237"/>
      <c r="AA913" s="237"/>
      <c r="AB913" s="237"/>
      <c r="AC913" s="237"/>
      <c r="AD913" s="237"/>
      <c r="AE913" s="237"/>
      <c r="AF913" s="237"/>
      <c r="AG913" s="237"/>
      <c r="AH913" s="237"/>
      <c r="AI913" s="98"/>
      <c r="AJ913" s="98"/>
      <c r="AK913" s="98"/>
      <c r="AL913" s="98"/>
      <c r="AM913" s="98"/>
      <c r="AN913" s="98"/>
      <c r="AO913" s="98"/>
    </row>
    <row r="914" ht="14.25" customHeight="1">
      <c r="A914" s="98"/>
      <c r="B914" s="98"/>
      <c r="C914" s="98"/>
      <c r="D914" s="98"/>
      <c r="E914" s="98"/>
      <c r="F914" s="235"/>
      <c r="G914" s="235"/>
      <c r="H914" s="236"/>
      <c r="I914" s="236"/>
      <c r="J914" s="236"/>
      <c r="K914" s="236"/>
      <c r="L914" s="236"/>
      <c r="M914" s="236"/>
      <c r="N914" s="236"/>
      <c r="O914" s="236"/>
      <c r="P914" s="236"/>
      <c r="Q914" s="236"/>
      <c r="R914" s="236"/>
      <c r="S914" s="236"/>
      <c r="T914" s="236"/>
      <c r="U914" s="236"/>
      <c r="V914" s="236"/>
      <c r="W914" s="237"/>
      <c r="X914" s="237"/>
      <c r="Y914" s="237"/>
      <c r="Z914" s="237"/>
      <c r="AA914" s="237"/>
      <c r="AB914" s="237"/>
      <c r="AC914" s="237"/>
      <c r="AD914" s="237"/>
      <c r="AE914" s="237"/>
      <c r="AF914" s="237"/>
      <c r="AG914" s="237"/>
      <c r="AH914" s="237"/>
      <c r="AI914" s="98"/>
      <c r="AJ914" s="98"/>
      <c r="AK914" s="98"/>
      <c r="AL914" s="98"/>
      <c r="AM914" s="98"/>
      <c r="AN914" s="98"/>
      <c r="AO914" s="98"/>
    </row>
    <row r="915" ht="14.25" customHeight="1">
      <c r="A915" s="98"/>
      <c r="B915" s="98"/>
      <c r="C915" s="98"/>
      <c r="D915" s="98"/>
      <c r="E915" s="98"/>
      <c r="F915" s="235"/>
      <c r="G915" s="235"/>
      <c r="H915" s="236"/>
      <c r="I915" s="236"/>
      <c r="J915" s="236"/>
      <c r="K915" s="236"/>
      <c r="L915" s="236"/>
      <c r="M915" s="236"/>
      <c r="N915" s="236"/>
      <c r="O915" s="236"/>
      <c r="P915" s="236"/>
      <c r="Q915" s="236"/>
      <c r="R915" s="236"/>
      <c r="S915" s="236"/>
      <c r="T915" s="236"/>
      <c r="U915" s="236"/>
      <c r="V915" s="236"/>
      <c r="W915" s="237"/>
      <c r="X915" s="237"/>
      <c r="Y915" s="237"/>
      <c r="Z915" s="237"/>
      <c r="AA915" s="237"/>
      <c r="AB915" s="237"/>
      <c r="AC915" s="237"/>
      <c r="AD915" s="237"/>
      <c r="AE915" s="237"/>
      <c r="AF915" s="237"/>
      <c r="AG915" s="237"/>
      <c r="AH915" s="237"/>
      <c r="AI915" s="98"/>
      <c r="AJ915" s="98"/>
      <c r="AK915" s="98"/>
      <c r="AL915" s="98"/>
      <c r="AM915" s="98"/>
      <c r="AN915" s="98"/>
      <c r="AO915" s="98"/>
    </row>
    <row r="916" ht="14.25" customHeight="1">
      <c r="A916" s="98"/>
      <c r="B916" s="98"/>
      <c r="C916" s="98"/>
      <c r="D916" s="98"/>
      <c r="E916" s="98"/>
      <c r="F916" s="235"/>
      <c r="G916" s="235"/>
      <c r="H916" s="236"/>
      <c r="I916" s="236"/>
      <c r="J916" s="236"/>
      <c r="K916" s="236"/>
      <c r="L916" s="236"/>
      <c r="M916" s="236"/>
      <c r="N916" s="236"/>
      <c r="O916" s="236"/>
      <c r="P916" s="236"/>
      <c r="Q916" s="236"/>
      <c r="R916" s="236"/>
      <c r="S916" s="236"/>
      <c r="T916" s="236"/>
      <c r="U916" s="236"/>
      <c r="V916" s="236"/>
      <c r="W916" s="237"/>
      <c r="X916" s="237"/>
      <c r="Y916" s="237"/>
      <c r="Z916" s="237"/>
      <c r="AA916" s="237"/>
      <c r="AB916" s="237"/>
      <c r="AC916" s="237"/>
      <c r="AD916" s="237"/>
      <c r="AE916" s="237"/>
      <c r="AF916" s="237"/>
      <c r="AG916" s="237"/>
      <c r="AH916" s="237"/>
      <c r="AI916" s="98"/>
      <c r="AJ916" s="98"/>
      <c r="AK916" s="98"/>
      <c r="AL916" s="98"/>
      <c r="AM916" s="98"/>
      <c r="AN916" s="98"/>
      <c r="AO916" s="98"/>
    </row>
    <row r="917" ht="14.25" customHeight="1">
      <c r="A917" s="98"/>
      <c r="B917" s="98"/>
      <c r="C917" s="98"/>
      <c r="D917" s="98"/>
      <c r="E917" s="98"/>
      <c r="F917" s="235"/>
      <c r="G917" s="235"/>
      <c r="H917" s="236"/>
      <c r="I917" s="236"/>
      <c r="J917" s="236"/>
      <c r="K917" s="236"/>
      <c r="L917" s="236"/>
      <c r="M917" s="236"/>
      <c r="N917" s="236"/>
      <c r="O917" s="236"/>
      <c r="P917" s="236"/>
      <c r="Q917" s="236"/>
      <c r="R917" s="236"/>
      <c r="S917" s="236"/>
      <c r="T917" s="236"/>
      <c r="U917" s="236"/>
      <c r="V917" s="236"/>
      <c r="W917" s="237"/>
      <c r="X917" s="237"/>
      <c r="Y917" s="237"/>
      <c r="Z917" s="237"/>
      <c r="AA917" s="237"/>
      <c r="AB917" s="237"/>
      <c r="AC917" s="237"/>
      <c r="AD917" s="237"/>
      <c r="AE917" s="237"/>
      <c r="AF917" s="237"/>
      <c r="AG917" s="237"/>
      <c r="AH917" s="237"/>
      <c r="AI917" s="98"/>
      <c r="AJ917" s="98"/>
      <c r="AK917" s="98"/>
      <c r="AL917" s="98"/>
      <c r="AM917" s="98"/>
      <c r="AN917" s="98"/>
      <c r="AO917" s="98"/>
    </row>
    <row r="918" ht="14.25" customHeight="1">
      <c r="A918" s="98"/>
      <c r="B918" s="98"/>
      <c r="C918" s="98"/>
      <c r="D918" s="98"/>
      <c r="E918" s="98"/>
      <c r="F918" s="235"/>
      <c r="G918" s="235"/>
      <c r="H918" s="236"/>
      <c r="I918" s="236"/>
      <c r="J918" s="236"/>
      <c r="K918" s="236"/>
      <c r="L918" s="236"/>
      <c r="M918" s="236"/>
      <c r="N918" s="236"/>
      <c r="O918" s="236"/>
      <c r="P918" s="236"/>
      <c r="Q918" s="236"/>
      <c r="R918" s="236"/>
      <c r="S918" s="236"/>
      <c r="T918" s="236"/>
      <c r="U918" s="236"/>
      <c r="V918" s="236"/>
      <c r="W918" s="237"/>
      <c r="X918" s="237"/>
      <c r="Y918" s="237"/>
      <c r="Z918" s="237"/>
      <c r="AA918" s="237"/>
      <c r="AB918" s="237"/>
      <c r="AC918" s="237"/>
      <c r="AD918" s="237"/>
      <c r="AE918" s="237"/>
      <c r="AF918" s="237"/>
      <c r="AG918" s="237"/>
      <c r="AH918" s="237"/>
      <c r="AI918" s="98"/>
      <c r="AJ918" s="98"/>
      <c r="AK918" s="98"/>
      <c r="AL918" s="98"/>
      <c r="AM918" s="98"/>
      <c r="AN918" s="98"/>
      <c r="AO918" s="98"/>
    </row>
    <row r="919" ht="14.25" customHeight="1">
      <c r="A919" s="98"/>
      <c r="B919" s="98"/>
      <c r="C919" s="98"/>
      <c r="D919" s="98"/>
      <c r="E919" s="98"/>
      <c r="F919" s="235"/>
      <c r="G919" s="235"/>
      <c r="H919" s="236"/>
      <c r="I919" s="236"/>
      <c r="J919" s="236"/>
      <c r="K919" s="236"/>
      <c r="L919" s="236"/>
      <c r="M919" s="236"/>
      <c r="N919" s="236"/>
      <c r="O919" s="236"/>
      <c r="P919" s="236"/>
      <c r="Q919" s="236"/>
      <c r="R919" s="236"/>
      <c r="S919" s="236"/>
      <c r="T919" s="236"/>
      <c r="U919" s="236"/>
      <c r="V919" s="236"/>
      <c r="W919" s="237"/>
      <c r="X919" s="237"/>
      <c r="Y919" s="237"/>
      <c r="Z919" s="237"/>
      <c r="AA919" s="237"/>
      <c r="AB919" s="237"/>
      <c r="AC919" s="237"/>
      <c r="AD919" s="237"/>
      <c r="AE919" s="237"/>
      <c r="AF919" s="237"/>
      <c r="AG919" s="237"/>
      <c r="AH919" s="237"/>
      <c r="AI919" s="98"/>
      <c r="AJ919" s="98"/>
      <c r="AK919" s="98"/>
      <c r="AL919" s="98"/>
      <c r="AM919" s="98"/>
      <c r="AN919" s="98"/>
      <c r="AO919" s="98"/>
    </row>
    <row r="920" ht="14.25" customHeight="1">
      <c r="A920" s="98"/>
      <c r="B920" s="98"/>
      <c r="C920" s="98"/>
      <c r="D920" s="98"/>
      <c r="E920" s="98"/>
      <c r="F920" s="235"/>
      <c r="G920" s="235"/>
      <c r="H920" s="236"/>
      <c r="I920" s="236"/>
      <c r="J920" s="236"/>
      <c r="K920" s="236"/>
      <c r="L920" s="236"/>
      <c r="M920" s="236"/>
      <c r="N920" s="236"/>
      <c r="O920" s="236"/>
      <c r="P920" s="236"/>
      <c r="Q920" s="236"/>
      <c r="R920" s="236"/>
      <c r="S920" s="236"/>
      <c r="T920" s="236"/>
      <c r="U920" s="236"/>
      <c r="V920" s="236"/>
      <c r="W920" s="237"/>
      <c r="X920" s="237"/>
      <c r="Y920" s="237"/>
      <c r="Z920" s="237"/>
      <c r="AA920" s="237"/>
      <c r="AB920" s="237"/>
      <c r="AC920" s="237"/>
      <c r="AD920" s="237"/>
      <c r="AE920" s="237"/>
      <c r="AF920" s="237"/>
      <c r="AG920" s="237"/>
      <c r="AH920" s="237"/>
      <c r="AI920" s="98"/>
      <c r="AJ920" s="98"/>
      <c r="AK920" s="98"/>
      <c r="AL920" s="98"/>
      <c r="AM920" s="98"/>
      <c r="AN920" s="98"/>
      <c r="AO920" s="98"/>
    </row>
    <row r="921" ht="14.25" customHeight="1">
      <c r="A921" s="98"/>
      <c r="B921" s="98"/>
      <c r="C921" s="98"/>
      <c r="D921" s="98"/>
      <c r="E921" s="98"/>
      <c r="F921" s="235"/>
      <c r="G921" s="235"/>
      <c r="H921" s="236"/>
      <c r="I921" s="236"/>
      <c r="J921" s="236"/>
      <c r="K921" s="236"/>
      <c r="L921" s="236"/>
      <c r="M921" s="236"/>
      <c r="N921" s="236"/>
      <c r="O921" s="236"/>
      <c r="P921" s="236"/>
      <c r="Q921" s="236"/>
      <c r="R921" s="236"/>
      <c r="S921" s="236"/>
      <c r="T921" s="236"/>
      <c r="U921" s="236"/>
      <c r="V921" s="236"/>
      <c r="W921" s="237"/>
      <c r="X921" s="237"/>
      <c r="Y921" s="237"/>
      <c r="Z921" s="237"/>
      <c r="AA921" s="237"/>
      <c r="AB921" s="237"/>
      <c r="AC921" s="237"/>
      <c r="AD921" s="237"/>
      <c r="AE921" s="237"/>
      <c r="AF921" s="237"/>
      <c r="AG921" s="237"/>
      <c r="AH921" s="237"/>
      <c r="AI921" s="98"/>
      <c r="AJ921" s="98"/>
      <c r="AK921" s="98"/>
      <c r="AL921" s="98"/>
      <c r="AM921" s="98"/>
      <c r="AN921" s="98"/>
      <c r="AO921" s="98"/>
    </row>
    <row r="922" ht="14.25" customHeight="1">
      <c r="A922" s="98"/>
      <c r="B922" s="98"/>
      <c r="C922" s="98"/>
      <c r="D922" s="98"/>
      <c r="E922" s="98"/>
      <c r="F922" s="235"/>
      <c r="G922" s="235"/>
      <c r="H922" s="236"/>
      <c r="I922" s="236"/>
      <c r="J922" s="236"/>
      <c r="K922" s="236"/>
      <c r="L922" s="236"/>
      <c r="M922" s="236"/>
      <c r="N922" s="236"/>
      <c r="O922" s="236"/>
      <c r="P922" s="236"/>
      <c r="Q922" s="236"/>
      <c r="R922" s="236"/>
      <c r="S922" s="236"/>
      <c r="T922" s="236"/>
      <c r="U922" s="236"/>
      <c r="V922" s="236"/>
      <c r="W922" s="237"/>
      <c r="X922" s="237"/>
      <c r="Y922" s="237"/>
      <c r="Z922" s="237"/>
      <c r="AA922" s="237"/>
      <c r="AB922" s="237"/>
      <c r="AC922" s="237"/>
      <c r="AD922" s="237"/>
      <c r="AE922" s="237"/>
      <c r="AF922" s="237"/>
      <c r="AG922" s="237"/>
      <c r="AH922" s="237"/>
      <c r="AI922" s="98"/>
      <c r="AJ922" s="98"/>
      <c r="AK922" s="98"/>
      <c r="AL922" s="98"/>
      <c r="AM922" s="98"/>
      <c r="AN922" s="98"/>
      <c r="AO922" s="98"/>
    </row>
    <row r="923" ht="14.25" customHeight="1">
      <c r="A923" s="98"/>
      <c r="B923" s="98"/>
      <c r="C923" s="98"/>
      <c r="D923" s="98"/>
      <c r="E923" s="98"/>
      <c r="F923" s="235"/>
      <c r="G923" s="235"/>
      <c r="H923" s="236"/>
      <c r="I923" s="236"/>
      <c r="J923" s="236"/>
      <c r="K923" s="236"/>
      <c r="L923" s="236"/>
      <c r="M923" s="236"/>
      <c r="N923" s="236"/>
      <c r="O923" s="236"/>
      <c r="P923" s="236"/>
      <c r="Q923" s="236"/>
      <c r="R923" s="236"/>
      <c r="S923" s="236"/>
      <c r="T923" s="236"/>
      <c r="U923" s="236"/>
      <c r="V923" s="236"/>
      <c r="W923" s="237"/>
      <c r="X923" s="237"/>
      <c r="Y923" s="237"/>
      <c r="Z923" s="237"/>
      <c r="AA923" s="237"/>
      <c r="AB923" s="237"/>
      <c r="AC923" s="237"/>
      <c r="AD923" s="237"/>
      <c r="AE923" s="237"/>
      <c r="AF923" s="237"/>
      <c r="AG923" s="237"/>
      <c r="AH923" s="237"/>
      <c r="AI923" s="98"/>
      <c r="AJ923" s="98"/>
      <c r="AK923" s="98"/>
      <c r="AL923" s="98"/>
      <c r="AM923" s="98"/>
      <c r="AN923" s="98"/>
      <c r="AO923" s="98"/>
    </row>
    <row r="924" ht="14.25" customHeight="1">
      <c r="A924" s="98"/>
      <c r="B924" s="98"/>
      <c r="C924" s="98"/>
      <c r="D924" s="98"/>
      <c r="E924" s="98"/>
      <c r="F924" s="235"/>
      <c r="G924" s="235"/>
      <c r="H924" s="236"/>
      <c r="I924" s="236"/>
      <c r="J924" s="236"/>
      <c r="K924" s="236"/>
      <c r="L924" s="236"/>
      <c r="M924" s="236"/>
      <c r="N924" s="236"/>
      <c r="O924" s="236"/>
      <c r="P924" s="236"/>
      <c r="Q924" s="236"/>
      <c r="R924" s="236"/>
      <c r="S924" s="236"/>
      <c r="T924" s="236"/>
      <c r="U924" s="236"/>
      <c r="V924" s="236"/>
      <c r="W924" s="237"/>
      <c r="X924" s="237"/>
      <c r="Y924" s="237"/>
      <c r="Z924" s="237"/>
      <c r="AA924" s="237"/>
      <c r="AB924" s="237"/>
      <c r="AC924" s="237"/>
      <c r="AD924" s="237"/>
      <c r="AE924" s="237"/>
      <c r="AF924" s="237"/>
      <c r="AG924" s="237"/>
      <c r="AH924" s="237"/>
      <c r="AI924" s="98"/>
      <c r="AJ924" s="98"/>
      <c r="AK924" s="98"/>
      <c r="AL924" s="98"/>
      <c r="AM924" s="98"/>
      <c r="AN924" s="98"/>
      <c r="AO924" s="98"/>
    </row>
    <row r="925" ht="14.25" customHeight="1">
      <c r="A925" s="98"/>
      <c r="B925" s="98"/>
      <c r="C925" s="98"/>
      <c r="D925" s="98"/>
      <c r="E925" s="98"/>
      <c r="F925" s="235"/>
      <c r="G925" s="235"/>
      <c r="H925" s="236"/>
      <c r="I925" s="236"/>
      <c r="J925" s="236"/>
      <c r="K925" s="236"/>
      <c r="L925" s="236"/>
      <c r="M925" s="236"/>
      <c r="N925" s="236"/>
      <c r="O925" s="236"/>
      <c r="P925" s="236"/>
      <c r="Q925" s="236"/>
      <c r="R925" s="236"/>
      <c r="S925" s="236"/>
      <c r="T925" s="236"/>
      <c r="U925" s="236"/>
      <c r="V925" s="236"/>
      <c r="W925" s="237"/>
      <c r="X925" s="237"/>
      <c r="Y925" s="237"/>
      <c r="Z925" s="237"/>
      <c r="AA925" s="237"/>
      <c r="AB925" s="237"/>
      <c r="AC925" s="237"/>
      <c r="AD925" s="237"/>
      <c r="AE925" s="237"/>
      <c r="AF925" s="237"/>
      <c r="AG925" s="237"/>
      <c r="AH925" s="237"/>
      <c r="AI925" s="98"/>
      <c r="AJ925" s="98"/>
      <c r="AK925" s="98"/>
      <c r="AL925" s="98"/>
      <c r="AM925" s="98"/>
      <c r="AN925" s="98"/>
      <c r="AO925" s="98"/>
    </row>
    <row r="926" ht="14.25" customHeight="1">
      <c r="A926" s="98"/>
      <c r="B926" s="98"/>
      <c r="C926" s="98"/>
      <c r="D926" s="98"/>
      <c r="E926" s="98"/>
      <c r="F926" s="235"/>
      <c r="G926" s="235"/>
      <c r="H926" s="236"/>
      <c r="I926" s="236"/>
      <c r="J926" s="236"/>
      <c r="K926" s="236"/>
      <c r="L926" s="236"/>
      <c r="M926" s="236"/>
      <c r="N926" s="236"/>
      <c r="O926" s="236"/>
      <c r="P926" s="236"/>
      <c r="Q926" s="236"/>
      <c r="R926" s="236"/>
      <c r="S926" s="236"/>
      <c r="T926" s="236"/>
      <c r="U926" s="236"/>
      <c r="V926" s="236"/>
      <c r="W926" s="237"/>
      <c r="X926" s="237"/>
      <c r="Y926" s="237"/>
      <c r="Z926" s="237"/>
      <c r="AA926" s="237"/>
      <c r="AB926" s="237"/>
      <c r="AC926" s="237"/>
      <c r="AD926" s="237"/>
      <c r="AE926" s="237"/>
      <c r="AF926" s="237"/>
      <c r="AG926" s="237"/>
      <c r="AH926" s="237"/>
      <c r="AI926" s="98"/>
      <c r="AJ926" s="98"/>
      <c r="AK926" s="98"/>
      <c r="AL926" s="98"/>
      <c r="AM926" s="98"/>
      <c r="AN926" s="98"/>
      <c r="AO926" s="98"/>
    </row>
    <row r="927" ht="14.25" customHeight="1">
      <c r="A927" s="98"/>
      <c r="B927" s="98"/>
      <c r="C927" s="98"/>
      <c r="D927" s="98"/>
      <c r="E927" s="98"/>
      <c r="F927" s="235"/>
      <c r="G927" s="235"/>
      <c r="H927" s="236"/>
      <c r="I927" s="236"/>
      <c r="J927" s="236"/>
      <c r="K927" s="236"/>
      <c r="L927" s="236"/>
      <c r="M927" s="236"/>
      <c r="N927" s="236"/>
      <c r="O927" s="236"/>
      <c r="P927" s="236"/>
      <c r="Q927" s="236"/>
      <c r="R927" s="236"/>
      <c r="S927" s="236"/>
      <c r="T927" s="236"/>
      <c r="U927" s="236"/>
      <c r="V927" s="236"/>
      <c r="W927" s="237"/>
      <c r="X927" s="237"/>
      <c r="Y927" s="237"/>
      <c r="Z927" s="237"/>
      <c r="AA927" s="237"/>
      <c r="AB927" s="237"/>
      <c r="AC927" s="237"/>
      <c r="AD927" s="237"/>
      <c r="AE927" s="237"/>
      <c r="AF927" s="237"/>
      <c r="AG927" s="237"/>
      <c r="AH927" s="237"/>
      <c r="AI927" s="98"/>
      <c r="AJ927" s="98"/>
      <c r="AK927" s="98"/>
      <c r="AL927" s="98"/>
      <c r="AM927" s="98"/>
      <c r="AN927" s="98"/>
      <c r="AO927" s="98"/>
    </row>
    <row r="928" ht="14.25" customHeight="1">
      <c r="A928" s="98"/>
      <c r="B928" s="98"/>
      <c r="C928" s="98"/>
      <c r="D928" s="98"/>
      <c r="E928" s="98"/>
      <c r="F928" s="235"/>
      <c r="G928" s="235"/>
      <c r="H928" s="236"/>
      <c r="I928" s="236"/>
      <c r="J928" s="236"/>
      <c r="K928" s="236"/>
      <c r="L928" s="236"/>
      <c r="M928" s="236"/>
      <c r="N928" s="236"/>
      <c r="O928" s="236"/>
      <c r="P928" s="236"/>
      <c r="Q928" s="236"/>
      <c r="R928" s="236"/>
      <c r="S928" s="236"/>
      <c r="T928" s="236"/>
      <c r="U928" s="236"/>
      <c r="V928" s="236"/>
      <c r="W928" s="237"/>
      <c r="X928" s="237"/>
      <c r="Y928" s="237"/>
      <c r="Z928" s="237"/>
      <c r="AA928" s="237"/>
      <c r="AB928" s="237"/>
      <c r="AC928" s="237"/>
      <c r="AD928" s="237"/>
      <c r="AE928" s="237"/>
      <c r="AF928" s="237"/>
      <c r="AG928" s="237"/>
      <c r="AH928" s="237"/>
      <c r="AI928" s="98"/>
      <c r="AJ928" s="98"/>
      <c r="AK928" s="98"/>
      <c r="AL928" s="98"/>
      <c r="AM928" s="98"/>
      <c r="AN928" s="98"/>
      <c r="AO928" s="98"/>
    </row>
    <row r="929" ht="14.25" customHeight="1">
      <c r="A929" s="98"/>
      <c r="B929" s="98"/>
      <c r="C929" s="98"/>
      <c r="D929" s="98"/>
      <c r="E929" s="98"/>
      <c r="F929" s="235"/>
      <c r="G929" s="235"/>
      <c r="H929" s="236"/>
      <c r="I929" s="236"/>
      <c r="J929" s="236"/>
      <c r="K929" s="236"/>
      <c r="L929" s="236"/>
      <c r="M929" s="236"/>
      <c r="N929" s="236"/>
      <c r="O929" s="236"/>
      <c r="P929" s="236"/>
      <c r="Q929" s="236"/>
      <c r="R929" s="236"/>
      <c r="S929" s="236"/>
      <c r="T929" s="236"/>
      <c r="U929" s="236"/>
      <c r="V929" s="236"/>
      <c r="W929" s="237"/>
      <c r="X929" s="237"/>
      <c r="Y929" s="237"/>
      <c r="Z929" s="237"/>
      <c r="AA929" s="237"/>
      <c r="AB929" s="237"/>
      <c r="AC929" s="237"/>
      <c r="AD929" s="237"/>
      <c r="AE929" s="237"/>
      <c r="AF929" s="237"/>
      <c r="AG929" s="237"/>
      <c r="AH929" s="237"/>
      <c r="AI929" s="98"/>
      <c r="AJ929" s="98"/>
      <c r="AK929" s="98"/>
      <c r="AL929" s="98"/>
      <c r="AM929" s="98"/>
      <c r="AN929" s="98"/>
      <c r="AO929" s="98"/>
    </row>
    <row r="930" ht="14.25" customHeight="1">
      <c r="A930" s="98"/>
      <c r="B930" s="98"/>
      <c r="C930" s="98"/>
      <c r="D930" s="98"/>
      <c r="E930" s="98"/>
      <c r="F930" s="235"/>
      <c r="G930" s="235"/>
      <c r="H930" s="236"/>
      <c r="I930" s="236"/>
      <c r="J930" s="236"/>
      <c r="K930" s="236"/>
      <c r="L930" s="236"/>
      <c r="M930" s="236"/>
      <c r="N930" s="236"/>
      <c r="O930" s="236"/>
      <c r="P930" s="236"/>
      <c r="Q930" s="236"/>
      <c r="R930" s="236"/>
      <c r="S930" s="236"/>
      <c r="T930" s="236"/>
      <c r="U930" s="236"/>
      <c r="V930" s="236"/>
      <c r="W930" s="237"/>
      <c r="X930" s="237"/>
      <c r="Y930" s="237"/>
      <c r="Z930" s="237"/>
      <c r="AA930" s="237"/>
      <c r="AB930" s="237"/>
      <c r="AC930" s="237"/>
      <c r="AD930" s="237"/>
      <c r="AE930" s="237"/>
      <c r="AF930" s="237"/>
      <c r="AG930" s="237"/>
      <c r="AH930" s="237"/>
      <c r="AI930" s="98"/>
      <c r="AJ930" s="98"/>
      <c r="AK930" s="98"/>
      <c r="AL930" s="98"/>
      <c r="AM930" s="98"/>
      <c r="AN930" s="98"/>
      <c r="AO930" s="98"/>
    </row>
    <row r="931" ht="14.25" customHeight="1">
      <c r="A931" s="98"/>
      <c r="B931" s="98"/>
      <c r="C931" s="98"/>
      <c r="D931" s="98"/>
      <c r="E931" s="98"/>
      <c r="F931" s="235"/>
      <c r="G931" s="235"/>
      <c r="H931" s="236"/>
      <c r="I931" s="236"/>
      <c r="J931" s="236"/>
      <c r="K931" s="236"/>
      <c r="L931" s="236"/>
      <c r="M931" s="236"/>
      <c r="N931" s="236"/>
      <c r="O931" s="236"/>
      <c r="P931" s="236"/>
      <c r="Q931" s="236"/>
      <c r="R931" s="236"/>
      <c r="S931" s="236"/>
      <c r="T931" s="236"/>
      <c r="U931" s="236"/>
      <c r="V931" s="236"/>
      <c r="W931" s="237"/>
      <c r="X931" s="237"/>
      <c r="Y931" s="237"/>
      <c r="Z931" s="237"/>
      <c r="AA931" s="237"/>
      <c r="AB931" s="237"/>
      <c r="AC931" s="237"/>
      <c r="AD931" s="237"/>
      <c r="AE931" s="237"/>
      <c r="AF931" s="237"/>
      <c r="AG931" s="237"/>
      <c r="AH931" s="237"/>
      <c r="AI931" s="98"/>
      <c r="AJ931" s="98"/>
      <c r="AK931" s="98"/>
      <c r="AL931" s="98"/>
      <c r="AM931" s="98"/>
      <c r="AN931" s="98"/>
      <c r="AO931" s="98"/>
    </row>
    <row r="932" ht="14.25" customHeight="1">
      <c r="A932" s="98"/>
      <c r="B932" s="98"/>
      <c r="C932" s="98"/>
      <c r="D932" s="98"/>
      <c r="E932" s="98"/>
      <c r="F932" s="235"/>
      <c r="G932" s="235"/>
      <c r="H932" s="236"/>
      <c r="I932" s="236"/>
      <c r="J932" s="236"/>
      <c r="K932" s="236"/>
      <c r="L932" s="236"/>
      <c r="M932" s="236"/>
      <c r="N932" s="236"/>
      <c r="O932" s="236"/>
      <c r="P932" s="236"/>
      <c r="Q932" s="236"/>
      <c r="R932" s="236"/>
      <c r="S932" s="236"/>
      <c r="T932" s="236"/>
      <c r="U932" s="236"/>
      <c r="V932" s="236"/>
      <c r="W932" s="237"/>
      <c r="X932" s="237"/>
      <c r="Y932" s="237"/>
      <c r="Z932" s="237"/>
      <c r="AA932" s="237"/>
      <c r="AB932" s="237"/>
      <c r="AC932" s="237"/>
      <c r="AD932" s="237"/>
      <c r="AE932" s="237"/>
      <c r="AF932" s="237"/>
      <c r="AG932" s="237"/>
      <c r="AH932" s="237"/>
      <c r="AI932" s="98"/>
      <c r="AJ932" s="98"/>
      <c r="AK932" s="98"/>
      <c r="AL932" s="98"/>
      <c r="AM932" s="98"/>
      <c r="AN932" s="98"/>
      <c r="AO932" s="98"/>
    </row>
    <row r="933" ht="14.25" customHeight="1">
      <c r="A933" s="98"/>
      <c r="B933" s="98"/>
      <c r="C933" s="98"/>
      <c r="D933" s="98"/>
      <c r="E933" s="98"/>
      <c r="F933" s="235"/>
      <c r="G933" s="235"/>
      <c r="H933" s="236"/>
      <c r="I933" s="236"/>
      <c r="J933" s="236"/>
      <c r="K933" s="236"/>
      <c r="L933" s="236"/>
      <c r="M933" s="236"/>
      <c r="N933" s="236"/>
      <c r="O933" s="236"/>
      <c r="P933" s="236"/>
      <c r="Q933" s="236"/>
      <c r="R933" s="236"/>
      <c r="S933" s="236"/>
      <c r="T933" s="236"/>
      <c r="U933" s="236"/>
      <c r="V933" s="236"/>
      <c r="W933" s="237"/>
      <c r="X933" s="237"/>
      <c r="Y933" s="237"/>
      <c r="Z933" s="237"/>
      <c r="AA933" s="237"/>
      <c r="AB933" s="237"/>
      <c r="AC933" s="237"/>
      <c r="AD933" s="237"/>
      <c r="AE933" s="237"/>
      <c r="AF933" s="237"/>
      <c r="AG933" s="237"/>
      <c r="AH933" s="237"/>
      <c r="AI933" s="98"/>
      <c r="AJ933" s="98"/>
      <c r="AK933" s="98"/>
      <c r="AL933" s="98"/>
      <c r="AM933" s="98"/>
      <c r="AN933" s="98"/>
      <c r="AO933" s="98"/>
    </row>
    <row r="934" ht="14.25" customHeight="1">
      <c r="A934" s="98"/>
      <c r="B934" s="98"/>
      <c r="C934" s="98"/>
      <c r="D934" s="98"/>
      <c r="E934" s="98"/>
      <c r="F934" s="235"/>
      <c r="G934" s="235"/>
      <c r="H934" s="236"/>
      <c r="I934" s="236"/>
      <c r="J934" s="236"/>
      <c r="K934" s="236"/>
      <c r="L934" s="236"/>
      <c r="M934" s="236"/>
      <c r="N934" s="236"/>
      <c r="O934" s="236"/>
      <c r="P934" s="236"/>
      <c r="Q934" s="236"/>
      <c r="R934" s="236"/>
      <c r="S934" s="236"/>
      <c r="T934" s="236"/>
      <c r="U934" s="236"/>
      <c r="V934" s="236"/>
      <c r="W934" s="237"/>
      <c r="X934" s="237"/>
      <c r="Y934" s="237"/>
      <c r="Z934" s="237"/>
      <c r="AA934" s="237"/>
      <c r="AB934" s="237"/>
      <c r="AC934" s="237"/>
      <c r="AD934" s="237"/>
      <c r="AE934" s="237"/>
      <c r="AF934" s="237"/>
      <c r="AG934" s="237"/>
      <c r="AH934" s="237"/>
      <c r="AI934" s="98"/>
      <c r="AJ934" s="98"/>
      <c r="AK934" s="98"/>
      <c r="AL934" s="98"/>
      <c r="AM934" s="98"/>
      <c r="AN934" s="98"/>
      <c r="AO934" s="98"/>
    </row>
    <row r="935" ht="14.25" customHeight="1">
      <c r="A935" s="98"/>
      <c r="B935" s="98"/>
      <c r="C935" s="98"/>
      <c r="D935" s="98"/>
      <c r="E935" s="98"/>
      <c r="F935" s="235"/>
      <c r="G935" s="235"/>
      <c r="H935" s="236"/>
      <c r="I935" s="236"/>
      <c r="J935" s="236"/>
      <c r="K935" s="236"/>
      <c r="L935" s="236"/>
      <c r="M935" s="236"/>
      <c r="N935" s="236"/>
      <c r="O935" s="236"/>
      <c r="P935" s="236"/>
      <c r="Q935" s="236"/>
      <c r="R935" s="236"/>
      <c r="S935" s="236"/>
      <c r="T935" s="236"/>
      <c r="U935" s="236"/>
      <c r="V935" s="236"/>
      <c r="W935" s="237"/>
      <c r="X935" s="237"/>
      <c r="Y935" s="237"/>
      <c r="Z935" s="237"/>
      <c r="AA935" s="237"/>
      <c r="AB935" s="237"/>
      <c r="AC935" s="237"/>
      <c r="AD935" s="237"/>
      <c r="AE935" s="237"/>
      <c r="AF935" s="237"/>
      <c r="AG935" s="237"/>
      <c r="AH935" s="237"/>
      <c r="AI935" s="98"/>
      <c r="AJ935" s="98"/>
      <c r="AK935" s="98"/>
      <c r="AL935" s="98"/>
      <c r="AM935" s="98"/>
      <c r="AN935" s="98"/>
      <c r="AO935" s="98"/>
    </row>
    <row r="936" ht="14.25" customHeight="1">
      <c r="A936" s="98"/>
      <c r="B936" s="98"/>
      <c r="C936" s="98"/>
      <c r="D936" s="98"/>
      <c r="E936" s="98"/>
      <c r="F936" s="235"/>
      <c r="G936" s="235"/>
      <c r="H936" s="236"/>
      <c r="I936" s="236"/>
      <c r="J936" s="236"/>
      <c r="K936" s="236"/>
      <c r="L936" s="236"/>
      <c r="M936" s="236"/>
      <c r="N936" s="236"/>
      <c r="O936" s="236"/>
      <c r="P936" s="236"/>
      <c r="Q936" s="236"/>
      <c r="R936" s="236"/>
      <c r="S936" s="236"/>
      <c r="T936" s="236"/>
      <c r="U936" s="236"/>
      <c r="V936" s="236"/>
      <c r="W936" s="237"/>
      <c r="X936" s="237"/>
      <c r="Y936" s="237"/>
      <c r="Z936" s="237"/>
      <c r="AA936" s="237"/>
      <c r="AB936" s="237"/>
      <c r="AC936" s="237"/>
      <c r="AD936" s="237"/>
      <c r="AE936" s="237"/>
      <c r="AF936" s="237"/>
      <c r="AG936" s="237"/>
      <c r="AH936" s="237"/>
      <c r="AI936" s="98"/>
      <c r="AJ936" s="98"/>
      <c r="AK936" s="98"/>
      <c r="AL936" s="98"/>
      <c r="AM936" s="98"/>
      <c r="AN936" s="98"/>
      <c r="AO936" s="98"/>
    </row>
    <row r="937" ht="14.25" customHeight="1">
      <c r="A937" s="98"/>
      <c r="B937" s="98"/>
      <c r="C937" s="98"/>
      <c r="D937" s="98"/>
      <c r="E937" s="98"/>
      <c r="F937" s="235"/>
      <c r="G937" s="235"/>
      <c r="H937" s="236"/>
      <c r="I937" s="236"/>
      <c r="J937" s="236"/>
      <c r="K937" s="236"/>
      <c r="L937" s="236"/>
      <c r="M937" s="236"/>
      <c r="N937" s="236"/>
      <c r="O937" s="236"/>
      <c r="P937" s="236"/>
      <c r="Q937" s="236"/>
      <c r="R937" s="236"/>
      <c r="S937" s="236"/>
      <c r="T937" s="236"/>
      <c r="U937" s="236"/>
      <c r="V937" s="236"/>
      <c r="W937" s="237"/>
      <c r="X937" s="237"/>
      <c r="Y937" s="237"/>
      <c r="Z937" s="237"/>
      <c r="AA937" s="237"/>
      <c r="AB937" s="237"/>
      <c r="AC937" s="237"/>
      <c r="AD937" s="237"/>
      <c r="AE937" s="237"/>
      <c r="AF937" s="237"/>
      <c r="AG937" s="237"/>
      <c r="AH937" s="237"/>
      <c r="AI937" s="98"/>
      <c r="AJ937" s="98"/>
      <c r="AK937" s="98"/>
      <c r="AL937" s="98"/>
      <c r="AM937" s="98"/>
      <c r="AN937" s="98"/>
      <c r="AO937" s="98"/>
    </row>
    <row r="938" ht="14.25" customHeight="1">
      <c r="A938" s="98"/>
      <c r="B938" s="98"/>
      <c r="C938" s="98"/>
      <c r="D938" s="98"/>
      <c r="E938" s="98"/>
      <c r="F938" s="235"/>
      <c r="G938" s="235"/>
      <c r="H938" s="236"/>
      <c r="I938" s="236"/>
      <c r="J938" s="236"/>
      <c r="K938" s="236"/>
      <c r="L938" s="236"/>
      <c r="M938" s="236"/>
      <c r="N938" s="236"/>
      <c r="O938" s="236"/>
      <c r="P938" s="236"/>
      <c r="Q938" s="236"/>
      <c r="R938" s="236"/>
      <c r="S938" s="236"/>
      <c r="T938" s="236"/>
      <c r="U938" s="236"/>
      <c r="V938" s="236"/>
      <c r="W938" s="237"/>
      <c r="X938" s="237"/>
      <c r="Y938" s="237"/>
      <c r="Z938" s="237"/>
      <c r="AA938" s="237"/>
      <c r="AB938" s="237"/>
      <c r="AC938" s="237"/>
      <c r="AD938" s="237"/>
      <c r="AE938" s="237"/>
      <c r="AF938" s="237"/>
      <c r="AG938" s="237"/>
      <c r="AH938" s="237"/>
      <c r="AI938" s="98"/>
      <c r="AJ938" s="98"/>
      <c r="AK938" s="98"/>
      <c r="AL938" s="98"/>
      <c r="AM938" s="98"/>
      <c r="AN938" s="98"/>
      <c r="AO938" s="98"/>
    </row>
    <row r="939" ht="14.25" customHeight="1">
      <c r="A939" s="98"/>
      <c r="B939" s="98"/>
      <c r="C939" s="98"/>
      <c r="D939" s="98"/>
      <c r="E939" s="98"/>
      <c r="F939" s="235"/>
      <c r="G939" s="235"/>
      <c r="H939" s="236"/>
      <c r="I939" s="236"/>
      <c r="J939" s="236"/>
      <c r="K939" s="236"/>
      <c r="L939" s="236"/>
      <c r="M939" s="236"/>
      <c r="N939" s="236"/>
      <c r="O939" s="236"/>
      <c r="P939" s="236"/>
      <c r="Q939" s="236"/>
      <c r="R939" s="236"/>
      <c r="S939" s="236"/>
      <c r="T939" s="236"/>
      <c r="U939" s="236"/>
      <c r="V939" s="236"/>
      <c r="W939" s="237"/>
      <c r="X939" s="237"/>
      <c r="Y939" s="237"/>
      <c r="Z939" s="237"/>
      <c r="AA939" s="237"/>
      <c r="AB939" s="237"/>
      <c r="AC939" s="237"/>
      <c r="AD939" s="237"/>
      <c r="AE939" s="237"/>
      <c r="AF939" s="237"/>
      <c r="AG939" s="237"/>
      <c r="AH939" s="237"/>
      <c r="AI939" s="98"/>
      <c r="AJ939" s="98"/>
      <c r="AK939" s="98"/>
      <c r="AL939" s="98"/>
      <c r="AM939" s="98"/>
      <c r="AN939" s="98"/>
      <c r="AO939" s="98"/>
    </row>
    <row r="940" ht="14.25" customHeight="1">
      <c r="A940" s="98"/>
      <c r="B940" s="98"/>
      <c r="C940" s="98"/>
      <c r="D940" s="98"/>
      <c r="E940" s="98"/>
      <c r="F940" s="235"/>
      <c r="G940" s="235"/>
      <c r="H940" s="236"/>
      <c r="I940" s="236"/>
      <c r="J940" s="236"/>
      <c r="K940" s="236"/>
      <c r="L940" s="236"/>
      <c r="M940" s="236"/>
      <c r="N940" s="236"/>
      <c r="O940" s="236"/>
      <c r="P940" s="236"/>
      <c r="Q940" s="236"/>
      <c r="R940" s="236"/>
      <c r="S940" s="236"/>
      <c r="T940" s="236"/>
      <c r="U940" s="236"/>
      <c r="V940" s="236"/>
      <c r="W940" s="237"/>
      <c r="X940" s="237"/>
      <c r="Y940" s="237"/>
      <c r="Z940" s="237"/>
      <c r="AA940" s="237"/>
      <c r="AB940" s="237"/>
      <c r="AC940" s="237"/>
      <c r="AD940" s="237"/>
      <c r="AE940" s="237"/>
      <c r="AF940" s="237"/>
      <c r="AG940" s="237"/>
      <c r="AH940" s="237"/>
      <c r="AI940" s="98"/>
      <c r="AJ940" s="98"/>
      <c r="AK940" s="98"/>
      <c r="AL940" s="98"/>
      <c r="AM940" s="98"/>
      <c r="AN940" s="98"/>
      <c r="AO940" s="98"/>
    </row>
    <row r="941" ht="14.25" customHeight="1">
      <c r="A941" s="98"/>
      <c r="B941" s="98"/>
      <c r="C941" s="98"/>
      <c r="D941" s="98"/>
      <c r="E941" s="98"/>
      <c r="F941" s="235"/>
      <c r="G941" s="235"/>
      <c r="H941" s="236"/>
      <c r="I941" s="236"/>
      <c r="J941" s="236"/>
      <c r="K941" s="236"/>
      <c r="L941" s="236"/>
      <c r="M941" s="236"/>
      <c r="N941" s="236"/>
      <c r="O941" s="236"/>
      <c r="P941" s="236"/>
      <c r="Q941" s="236"/>
      <c r="R941" s="236"/>
      <c r="S941" s="236"/>
      <c r="T941" s="236"/>
      <c r="U941" s="236"/>
      <c r="V941" s="236"/>
      <c r="W941" s="237"/>
      <c r="X941" s="237"/>
      <c r="Y941" s="237"/>
      <c r="Z941" s="237"/>
      <c r="AA941" s="237"/>
      <c r="AB941" s="237"/>
      <c r="AC941" s="237"/>
      <c r="AD941" s="237"/>
      <c r="AE941" s="237"/>
      <c r="AF941" s="237"/>
      <c r="AG941" s="237"/>
      <c r="AH941" s="237"/>
      <c r="AI941" s="98"/>
      <c r="AJ941" s="98"/>
      <c r="AK941" s="98"/>
      <c r="AL941" s="98"/>
      <c r="AM941" s="98"/>
      <c r="AN941" s="98"/>
      <c r="AO941" s="98"/>
    </row>
    <row r="942" ht="14.25" customHeight="1">
      <c r="A942" s="98"/>
      <c r="B942" s="98"/>
      <c r="C942" s="98"/>
      <c r="D942" s="98"/>
      <c r="E942" s="98"/>
      <c r="F942" s="235"/>
      <c r="G942" s="235"/>
      <c r="H942" s="236"/>
      <c r="I942" s="236"/>
      <c r="J942" s="236"/>
      <c r="K942" s="236"/>
      <c r="L942" s="236"/>
      <c r="M942" s="236"/>
      <c r="N942" s="236"/>
      <c r="O942" s="236"/>
      <c r="P942" s="236"/>
      <c r="Q942" s="236"/>
      <c r="R942" s="236"/>
      <c r="S942" s="236"/>
      <c r="T942" s="236"/>
      <c r="U942" s="236"/>
      <c r="V942" s="236"/>
      <c r="W942" s="237"/>
      <c r="X942" s="237"/>
      <c r="Y942" s="237"/>
      <c r="Z942" s="237"/>
      <c r="AA942" s="237"/>
      <c r="AB942" s="237"/>
      <c r="AC942" s="237"/>
      <c r="AD942" s="237"/>
      <c r="AE942" s="237"/>
      <c r="AF942" s="237"/>
      <c r="AG942" s="237"/>
      <c r="AH942" s="237"/>
      <c r="AI942" s="98"/>
      <c r="AJ942" s="98"/>
      <c r="AK942" s="98"/>
      <c r="AL942" s="98"/>
      <c r="AM942" s="98"/>
      <c r="AN942" s="98"/>
      <c r="AO942" s="98"/>
    </row>
    <row r="943" ht="14.25" customHeight="1">
      <c r="A943" s="98"/>
      <c r="B943" s="98"/>
      <c r="C943" s="98"/>
      <c r="D943" s="98"/>
      <c r="E943" s="98"/>
      <c r="F943" s="235"/>
      <c r="G943" s="235"/>
      <c r="H943" s="236"/>
      <c r="I943" s="236"/>
      <c r="J943" s="236"/>
      <c r="K943" s="236"/>
      <c r="L943" s="236"/>
      <c r="M943" s="236"/>
      <c r="N943" s="236"/>
      <c r="O943" s="236"/>
      <c r="P943" s="236"/>
      <c r="Q943" s="236"/>
      <c r="R943" s="236"/>
      <c r="S943" s="236"/>
      <c r="T943" s="236"/>
      <c r="U943" s="236"/>
      <c r="V943" s="236"/>
      <c r="W943" s="237"/>
      <c r="X943" s="237"/>
      <c r="Y943" s="237"/>
      <c r="Z943" s="237"/>
      <c r="AA943" s="237"/>
      <c r="AB943" s="237"/>
      <c r="AC943" s="237"/>
      <c r="AD943" s="237"/>
      <c r="AE943" s="237"/>
      <c r="AF943" s="237"/>
      <c r="AG943" s="237"/>
      <c r="AH943" s="237"/>
      <c r="AI943" s="98"/>
      <c r="AJ943" s="98"/>
      <c r="AK943" s="98"/>
      <c r="AL943" s="98"/>
      <c r="AM943" s="98"/>
      <c r="AN943" s="98"/>
      <c r="AO943" s="98"/>
    </row>
    <row r="944" ht="14.25" customHeight="1">
      <c r="A944" s="98"/>
      <c r="B944" s="98"/>
      <c r="C944" s="98"/>
      <c r="D944" s="98"/>
      <c r="E944" s="98"/>
      <c r="F944" s="235"/>
      <c r="G944" s="235"/>
      <c r="H944" s="236"/>
      <c r="I944" s="236"/>
      <c r="J944" s="236"/>
      <c r="K944" s="236"/>
      <c r="L944" s="236"/>
      <c r="M944" s="236"/>
      <c r="N944" s="236"/>
      <c r="O944" s="236"/>
      <c r="P944" s="236"/>
      <c r="Q944" s="236"/>
      <c r="R944" s="236"/>
      <c r="S944" s="236"/>
      <c r="T944" s="236"/>
      <c r="U944" s="236"/>
      <c r="V944" s="236"/>
      <c r="W944" s="237"/>
      <c r="X944" s="237"/>
      <c r="Y944" s="237"/>
      <c r="Z944" s="237"/>
      <c r="AA944" s="237"/>
      <c r="AB944" s="237"/>
      <c r="AC944" s="237"/>
      <c r="AD944" s="237"/>
      <c r="AE944" s="237"/>
      <c r="AF944" s="237"/>
      <c r="AG944" s="237"/>
      <c r="AH944" s="237"/>
      <c r="AI944" s="98"/>
      <c r="AJ944" s="98"/>
      <c r="AK944" s="98"/>
      <c r="AL944" s="98"/>
      <c r="AM944" s="98"/>
      <c r="AN944" s="98"/>
      <c r="AO944" s="98"/>
    </row>
    <row r="945" ht="14.25" customHeight="1">
      <c r="A945" s="98"/>
      <c r="B945" s="98"/>
      <c r="C945" s="98"/>
      <c r="D945" s="98"/>
      <c r="E945" s="98"/>
      <c r="F945" s="235"/>
      <c r="G945" s="235"/>
      <c r="H945" s="236"/>
      <c r="I945" s="236"/>
      <c r="J945" s="236"/>
      <c r="K945" s="236"/>
      <c r="L945" s="236"/>
      <c r="M945" s="236"/>
      <c r="N945" s="236"/>
      <c r="O945" s="236"/>
      <c r="P945" s="236"/>
      <c r="Q945" s="236"/>
      <c r="R945" s="236"/>
      <c r="S945" s="236"/>
      <c r="T945" s="236"/>
      <c r="U945" s="236"/>
      <c r="V945" s="236"/>
      <c r="W945" s="237"/>
      <c r="X945" s="237"/>
      <c r="Y945" s="237"/>
      <c r="Z945" s="237"/>
      <c r="AA945" s="237"/>
      <c r="AB945" s="237"/>
      <c r="AC945" s="237"/>
      <c r="AD945" s="237"/>
      <c r="AE945" s="237"/>
      <c r="AF945" s="237"/>
      <c r="AG945" s="237"/>
      <c r="AH945" s="237"/>
      <c r="AI945" s="98"/>
      <c r="AJ945" s="98"/>
      <c r="AK945" s="98"/>
      <c r="AL945" s="98"/>
      <c r="AM945" s="98"/>
      <c r="AN945" s="98"/>
      <c r="AO945" s="98"/>
    </row>
    <row r="946" ht="14.25" customHeight="1">
      <c r="A946" s="98"/>
      <c r="B946" s="98"/>
      <c r="C946" s="98"/>
      <c r="D946" s="98"/>
      <c r="E946" s="98"/>
      <c r="F946" s="235"/>
      <c r="G946" s="235"/>
      <c r="H946" s="236"/>
      <c r="I946" s="236"/>
      <c r="J946" s="236"/>
      <c r="K946" s="236"/>
      <c r="L946" s="236"/>
      <c r="M946" s="236"/>
      <c r="N946" s="236"/>
      <c r="O946" s="236"/>
      <c r="P946" s="236"/>
      <c r="Q946" s="236"/>
      <c r="R946" s="236"/>
      <c r="S946" s="236"/>
      <c r="T946" s="236"/>
      <c r="U946" s="236"/>
      <c r="V946" s="236"/>
      <c r="W946" s="237"/>
      <c r="X946" s="237"/>
      <c r="Y946" s="237"/>
      <c r="Z946" s="237"/>
      <c r="AA946" s="237"/>
      <c r="AB946" s="237"/>
      <c r="AC946" s="237"/>
      <c r="AD946" s="237"/>
      <c r="AE946" s="237"/>
      <c r="AF946" s="237"/>
      <c r="AG946" s="237"/>
      <c r="AH946" s="237"/>
      <c r="AI946" s="98"/>
      <c r="AJ946" s="98"/>
      <c r="AK946" s="98"/>
      <c r="AL946" s="98"/>
      <c r="AM946" s="98"/>
      <c r="AN946" s="98"/>
      <c r="AO946" s="98"/>
    </row>
    <row r="947" ht="14.25" customHeight="1">
      <c r="A947" s="98"/>
      <c r="B947" s="98"/>
      <c r="C947" s="98"/>
      <c r="D947" s="98"/>
      <c r="E947" s="98"/>
      <c r="F947" s="235"/>
      <c r="G947" s="235"/>
      <c r="H947" s="236"/>
      <c r="I947" s="236"/>
      <c r="J947" s="236"/>
      <c r="K947" s="236"/>
      <c r="L947" s="236"/>
      <c r="M947" s="236"/>
      <c r="N947" s="236"/>
      <c r="O947" s="236"/>
      <c r="P947" s="236"/>
      <c r="Q947" s="236"/>
      <c r="R947" s="236"/>
      <c r="S947" s="236"/>
      <c r="T947" s="236"/>
      <c r="U947" s="236"/>
      <c r="V947" s="236"/>
      <c r="W947" s="237"/>
      <c r="X947" s="237"/>
      <c r="Y947" s="237"/>
      <c r="Z947" s="237"/>
      <c r="AA947" s="237"/>
      <c r="AB947" s="237"/>
      <c r="AC947" s="237"/>
      <c r="AD947" s="237"/>
      <c r="AE947" s="237"/>
      <c r="AF947" s="237"/>
      <c r="AG947" s="237"/>
      <c r="AH947" s="237"/>
      <c r="AI947" s="98"/>
      <c r="AJ947" s="98"/>
      <c r="AK947" s="98"/>
      <c r="AL947" s="98"/>
      <c r="AM947" s="98"/>
      <c r="AN947" s="98"/>
      <c r="AO947" s="98"/>
    </row>
    <row r="948" ht="14.25" customHeight="1">
      <c r="A948" s="98"/>
      <c r="B948" s="98"/>
      <c r="C948" s="98"/>
      <c r="D948" s="98"/>
      <c r="E948" s="98"/>
      <c r="F948" s="235"/>
      <c r="G948" s="235"/>
      <c r="H948" s="236"/>
      <c r="I948" s="236"/>
      <c r="J948" s="236"/>
      <c r="K948" s="236"/>
      <c r="L948" s="236"/>
      <c r="M948" s="236"/>
      <c r="N948" s="236"/>
      <c r="O948" s="236"/>
      <c r="P948" s="236"/>
      <c r="Q948" s="236"/>
      <c r="R948" s="236"/>
      <c r="S948" s="236"/>
      <c r="T948" s="236"/>
      <c r="U948" s="236"/>
      <c r="V948" s="236"/>
      <c r="W948" s="237"/>
      <c r="X948" s="237"/>
      <c r="Y948" s="237"/>
      <c r="Z948" s="237"/>
      <c r="AA948" s="237"/>
      <c r="AB948" s="237"/>
      <c r="AC948" s="237"/>
      <c r="AD948" s="237"/>
      <c r="AE948" s="237"/>
      <c r="AF948" s="237"/>
      <c r="AG948" s="237"/>
      <c r="AH948" s="237"/>
      <c r="AI948" s="98"/>
      <c r="AJ948" s="98"/>
      <c r="AK948" s="98"/>
      <c r="AL948" s="98"/>
      <c r="AM948" s="98"/>
      <c r="AN948" s="98"/>
      <c r="AO948" s="98"/>
    </row>
    <row r="949" ht="14.25" customHeight="1">
      <c r="A949" s="98"/>
      <c r="B949" s="98"/>
      <c r="C949" s="98"/>
      <c r="D949" s="98"/>
      <c r="E949" s="98"/>
      <c r="F949" s="235"/>
      <c r="G949" s="235"/>
      <c r="H949" s="236"/>
      <c r="I949" s="236"/>
      <c r="J949" s="236"/>
      <c r="K949" s="236"/>
      <c r="L949" s="236"/>
      <c r="M949" s="236"/>
      <c r="N949" s="236"/>
      <c r="O949" s="236"/>
      <c r="P949" s="236"/>
      <c r="Q949" s="236"/>
      <c r="R949" s="236"/>
      <c r="S949" s="236"/>
      <c r="T949" s="236"/>
      <c r="U949" s="236"/>
      <c r="V949" s="236"/>
      <c r="W949" s="237"/>
      <c r="X949" s="237"/>
      <c r="Y949" s="237"/>
      <c r="Z949" s="237"/>
      <c r="AA949" s="237"/>
      <c r="AB949" s="237"/>
      <c r="AC949" s="237"/>
      <c r="AD949" s="237"/>
      <c r="AE949" s="237"/>
      <c r="AF949" s="237"/>
      <c r="AG949" s="237"/>
      <c r="AH949" s="237"/>
      <c r="AI949" s="98"/>
      <c r="AJ949" s="98"/>
      <c r="AK949" s="98"/>
      <c r="AL949" s="98"/>
      <c r="AM949" s="98"/>
      <c r="AN949" s="98"/>
      <c r="AO949" s="98"/>
    </row>
    <row r="950" ht="14.25" customHeight="1">
      <c r="A950" s="98"/>
      <c r="B950" s="98"/>
      <c r="C950" s="98"/>
      <c r="D950" s="98"/>
      <c r="E950" s="98"/>
      <c r="F950" s="235"/>
      <c r="G950" s="235"/>
      <c r="H950" s="236"/>
      <c r="I950" s="236"/>
      <c r="J950" s="236"/>
      <c r="K950" s="236"/>
      <c r="L950" s="236"/>
      <c r="M950" s="236"/>
      <c r="N950" s="236"/>
      <c r="O950" s="236"/>
      <c r="P950" s="236"/>
      <c r="Q950" s="236"/>
      <c r="R950" s="236"/>
      <c r="S950" s="236"/>
      <c r="T950" s="236"/>
      <c r="U950" s="236"/>
      <c r="V950" s="236"/>
      <c r="W950" s="237"/>
      <c r="X950" s="237"/>
      <c r="Y950" s="237"/>
      <c r="Z950" s="237"/>
      <c r="AA950" s="237"/>
      <c r="AB950" s="237"/>
      <c r="AC950" s="237"/>
      <c r="AD950" s="237"/>
      <c r="AE950" s="237"/>
      <c r="AF950" s="237"/>
      <c r="AG950" s="237"/>
      <c r="AH950" s="237"/>
      <c r="AI950" s="98"/>
      <c r="AJ950" s="98"/>
      <c r="AK950" s="98"/>
      <c r="AL950" s="98"/>
      <c r="AM950" s="98"/>
      <c r="AN950" s="98"/>
      <c r="AO950" s="98"/>
    </row>
    <row r="951" ht="14.25" customHeight="1">
      <c r="A951" s="98"/>
      <c r="B951" s="98"/>
      <c r="C951" s="98"/>
      <c r="D951" s="98"/>
      <c r="E951" s="98"/>
      <c r="F951" s="235"/>
      <c r="G951" s="235"/>
      <c r="H951" s="236"/>
      <c r="I951" s="236"/>
      <c r="J951" s="236"/>
      <c r="K951" s="236"/>
      <c r="L951" s="236"/>
      <c r="M951" s="236"/>
      <c r="N951" s="236"/>
      <c r="O951" s="236"/>
      <c r="P951" s="236"/>
      <c r="Q951" s="236"/>
      <c r="R951" s="236"/>
      <c r="S951" s="236"/>
      <c r="T951" s="236"/>
      <c r="U951" s="236"/>
      <c r="V951" s="236"/>
      <c r="W951" s="237"/>
      <c r="X951" s="237"/>
      <c r="Y951" s="237"/>
      <c r="Z951" s="237"/>
      <c r="AA951" s="237"/>
      <c r="AB951" s="237"/>
      <c r="AC951" s="237"/>
      <c r="AD951" s="237"/>
      <c r="AE951" s="237"/>
      <c r="AF951" s="237"/>
      <c r="AG951" s="237"/>
      <c r="AH951" s="237"/>
      <c r="AI951" s="98"/>
      <c r="AJ951" s="98"/>
      <c r="AK951" s="98"/>
      <c r="AL951" s="98"/>
      <c r="AM951" s="98"/>
      <c r="AN951" s="98"/>
      <c r="AO951" s="98"/>
    </row>
    <row r="952" ht="14.25" customHeight="1">
      <c r="A952" s="98"/>
      <c r="B952" s="98"/>
      <c r="C952" s="98"/>
      <c r="D952" s="98"/>
      <c r="E952" s="98"/>
      <c r="F952" s="235"/>
      <c r="G952" s="235"/>
      <c r="H952" s="236"/>
      <c r="I952" s="236"/>
      <c r="J952" s="236"/>
      <c r="K952" s="236"/>
      <c r="L952" s="236"/>
      <c r="M952" s="236"/>
      <c r="N952" s="236"/>
      <c r="O952" s="236"/>
      <c r="P952" s="236"/>
      <c r="Q952" s="236"/>
      <c r="R952" s="236"/>
      <c r="S952" s="236"/>
      <c r="T952" s="236"/>
      <c r="U952" s="236"/>
      <c r="V952" s="236"/>
      <c r="W952" s="237"/>
      <c r="X952" s="237"/>
      <c r="Y952" s="237"/>
      <c r="Z952" s="237"/>
      <c r="AA952" s="237"/>
      <c r="AB952" s="237"/>
      <c r="AC952" s="237"/>
      <c r="AD952" s="237"/>
      <c r="AE952" s="237"/>
      <c r="AF952" s="237"/>
      <c r="AG952" s="237"/>
      <c r="AH952" s="237"/>
      <c r="AI952" s="98"/>
      <c r="AJ952" s="98"/>
      <c r="AK952" s="98"/>
      <c r="AL952" s="98"/>
      <c r="AM952" s="98"/>
      <c r="AN952" s="98"/>
      <c r="AO952" s="98"/>
    </row>
    <row r="953" ht="14.25" customHeight="1">
      <c r="A953" s="98"/>
      <c r="B953" s="98"/>
      <c r="C953" s="98"/>
      <c r="D953" s="98"/>
      <c r="E953" s="98"/>
      <c r="F953" s="235"/>
      <c r="G953" s="235"/>
      <c r="H953" s="236"/>
      <c r="I953" s="236"/>
      <c r="J953" s="236"/>
      <c r="K953" s="236"/>
      <c r="L953" s="236"/>
      <c r="M953" s="236"/>
      <c r="N953" s="236"/>
      <c r="O953" s="236"/>
      <c r="P953" s="236"/>
      <c r="Q953" s="236"/>
      <c r="R953" s="236"/>
      <c r="S953" s="236"/>
      <c r="T953" s="236"/>
      <c r="U953" s="236"/>
      <c r="V953" s="236"/>
      <c r="W953" s="237"/>
      <c r="X953" s="237"/>
      <c r="Y953" s="237"/>
      <c r="Z953" s="237"/>
      <c r="AA953" s="237"/>
      <c r="AB953" s="237"/>
      <c r="AC953" s="237"/>
      <c r="AD953" s="237"/>
      <c r="AE953" s="237"/>
      <c r="AF953" s="237"/>
      <c r="AG953" s="237"/>
      <c r="AH953" s="237"/>
      <c r="AI953" s="98"/>
      <c r="AJ953" s="98"/>
      <c r="AK953" s="98"/>
      <c r="AL953" s="98"/>
      <c r="AM953" s="98"/>
      <c r="AN953" s="98"/>
      <c r="AO953" s="98"/>
    </row>
    <row r="954" ht="14.25" customHeight="1">
      <c r="A954" s="98"/>
      <c r="B954" s="98"/>
      <c r="C954" s="98"/>
      <c r="D954" s="98"/>
      <c r="E954" s="98"/>
      <c r="F954" s="235"/>
      <c r="G954" s="235"/>
      <c r="H954" s="236"/>
      <c r="I954" s="236"/>
      <c r="J954" s="236"/>
      <c r="K954" s="236"/>
      <c r="L954" s="236"/>
      <c r="M954" s="236"/>
      <c r="N954" s="236"/>
      <c r="O954" s="236"/>
      <c r="P954" s="236"/>
      <c r="Q954" s="236"/>
      <c r="R954" s="236"/>
      <c r="S954" s="236"/>
      <c r="T954" s="236"/>
      <c r="U954" s="236"/>
      <c r="V954" s="236"/>
      <c r="W954" s="237"/>
      <c r="X954" s="237"/>
      <c r="Y954" s="237"/>
      <c r="Z954" s="237"/>
      <c r="AA954" s="237"/>
      <c r="AB954" s="237"/>
      <c r="AC954" s="237"/>
      <c r="AD954" s="237"/>
      <c r="AE954" s="237"/>
      <c r="AF954" s="237"/>
      <c r="AG954" s="237"/>
      <c r="AH954" s="237"/>
      <c r="AI954" s="98"/>
      <c r="AJ954" s="98"/>
      <c r="AK954" s="98"/>
      <c r="AL954" s="98"/>
      <c r="AM954" s="98"/>
      <c r="AN954" s="98"/>
      <c r="AO954" s="98"/>
    </row>
    <row r="955" ht="14.25" customHeight="1">
      <c r="A955" s="98"/>
      <c r="B955" s="98"/>
      <c r="C955" s="98"/>
      <c r="D955" s="98"/>
      <c r="E955" s="98"/>
      <c r="F955" s="235"/>
      <c r="G955" s="235"/>
      <c r="H955" s="236"/>
      <c r="I955" s="236"/>
      <c r="J955" s="236"/>
      <c r="K955" s="236"/>
      <c r="L955" s="236"/>
      <c r="M955" s="236"/>
      <c r="N955" s="236"/>
      <c r="O955" s="236"/>
      <c r="P955" s="236"/>
      <c r="Q955" s="236"/>
      <c r="R955" s="236"/>
      <c r="S955" s="236"/>
      <c r="T955" s="236"/>
      <c r="U955" s="236"/>
      <c r="V955" s="236"/>
      <c r="W955" s="237"/>
      <c r="X955" s="237"/>
      <c r="Y955" s="237"/>
      <c r="Z955" s="237"/>
      <c r="AA955" s="237"/>
      <c r="AB955" s="237"/>
      <c r="AC955" s="237"/>
      <c r="AD955" s="237"/>
      <c r="AE955" s="237"/>
      <c r="AF955" s="237"/>
      <c r="AG955" s="237"/>
      <c r="AH955" s="237"/>
      <c r="AI955" s="98"/>
      <c r="AJ955" s="98"/>
      <c r="AK955" s="98"/>
      <c r="AL955" s="98"/>
      <c r="AM955" s="98"/>
      <c r="AN955" s="98"/>
      <c r="AO955" s="98"/>
    </row>
    <row r="956" ht="14.25" customHeight="1">
      <c r="A956" s="98"/>
      <c r="B956" s="98"/>
      <c r="C956" s="98"/>
      <c r="D956" s="98"/>
      <c r="E956" s="98"/>
      <c r="F956" s="235"/>
      <c r="G956" s="235"/>
      <c r="H956" s="236"/>
      <c r="I956" s="236"/>
      <c r="J956" s="236"/>
      <c r="K956" s="236"/>
      <c r="L956" s="236"/>
      <c r="M956" s="236"/>
      <c r="N956" s="236"/>
      <c r="O956" s="236"/>
      <c r="P956" s="236"/>
      <c r="Q956" s="236"/>
      <c r="R956" s="236"/>
      <c r="S956" s="236"/>
      <c r="T956" s="236"/>
      <c r="U956" s="236"/>
      <c r="V956" s="236"/>
      <c r="W956" s="237"/>
      <c r="X956" s="237"/>
      <c r="Y956" s="237"/>
      <c r="Z956" s="237"/>
      <c r="AA956" s="237"/>
      <c r="AB956" s="237"/>
      <c r="AC956" s="237"/>
      <c r="AD956" s="237"/>
      <c r="AE956" s="237"/>
      <c r="AF956" s="237"/>
      <c r="AG956" s="237"/>
      <c r="AH956" s="237"/>
      <c r="AI956" s="98"/>
      <c r="AJ956" s="98"/>
      <c r="AK956" s="98"/>
      <c r="AL956" s="98"/>
      <c r="AM956" s="98"/>
      <c r="AN956" s="98"/>
      <c r="AO956" s="98"/>
    </row>
    <row r="957" ht="14.25" customHeight="1">
      <c r="A957" s="98"/>
      <c r="B957" s="98"/>
      <c r="C957" s="98"/>
      <c r="D957" s="98"/>
      <c r="E957" s="98"/>
      <c r="F957" s="235"/>
      <c r="G957" s="235"/>
      <c r="H957" s="236"/>
      <c r="I957" s="236"/>
      <c r="J957" s="236"/>
      <c r="K957" s="236"/>
      <c r="L957" s="236"/>
      <c r="M957" s="236"/>
      <c r="N957" s="236"/>
      <c r="O957" s="236"/>
      <c r="P957" s="236"/>
      <c r="Q957" s="236"/>
      <c r="R957" s="236"/>
      <c r="S957" s="236"/>
      <c r="T957" s="236"/>
      <c r="U957" s="236"/>
      <c r="V957" s="236"/>
      <c r="W957" s="237"/>
      <c r="X957" s="237"/>
      <c r="Y957" s="237"/>
      <c r="Z957" s="237"/>
      <c r="AA957" s="237"/>
      <c r="AB957" s="237"/>
      <c r="AC957" s="237"/>
      <c r="AD957" s="237"/>
      <c r="AE957" s="237"/>
      <c r="AF957" s="237"/>
      <c r="AG957" s="237"/>
      <c r="AH957" s="237"/>
      <c r="AI957" s="98"/>
      <c r="AJ957" s="98"/>
      <c r="AK957" s="98"/>
      <c r="AL957" s="98"/>
      <c r="AM957" s="98"/>
      <c r="AN957" s="98"/>
      <c r="AO957" s="98"/>
    </row>
    <row r="958" ht="14.25" customHeight="1">
      <c r="A958" s="98"/>
      <c r="B958" s="98"/>
      <c r="C958" s="98"/>
      <c r="D958" s="98"/>
      <c r="E958" s="98"/>
      <c r="F958" s="235"/>
      <c r="G958" s="235"/>
      <c r="H958" s="236"/>
      <c r="I958" s="236"/>
      <c r="J958" s="236"/>
      <c r="K958" s="236"/>
      <c r="L958" s="236"/>
      <c r="M958" s="236"/>
      <c r="N958" s="236"/>
      <c r="O958" s="236"/>
      <c r="P958" s="236"/>
      <c r="Q958" s="236"/>
      <c r="R958" s="236"/>
      <c r="S958" s="236"/>
      <c r="T958" s="236"/>
      <c r="U958" s="236"/>
      <c r="V958" s="236"/>
      <c r="W958" s="237"/>
      <c r="X958" s="237"/>
      <c r="Y958" s="237"/>
      <c r="Z958" s="237"/>
      <c r="AA958" s="237"/>
      <c r="AB958" s="237"/>
      <c r="AC958" s="237"/>
      <c r="AD958" s="237"/>
      <c r="AE958" s="237"/>
      <c r="AF958" s="237"/>
      <c r="AG958" s="237"/>
      <c r="AH958" s="237"/>
      <c r="AI958" s="98"/>
      <c r="AJ958" s="98"/>
      <c r="AK958" s="98"/>
      <c r="AL958" s="98"/>
      <c r="AM958" s="98"/>
      <c r="AN958" s="98"/>
      <c r="AO958" s="98"/>
    </row>
    <row r="959" ht="14.25" customHeight="1">
      <c r="A959" s="98"/>
      <c r="B959" s="98"/>
      <c r="C959" s="98"/>
      <c r="D959" s="98"/>
      <c r="E959" s="98"/>
      <c r="F959" s="235"/>
      <c r="G959" s="235"/>
      <c r="H959" s="236"/>
      <c r="I959" s="236"/>
      <c r="J959" s="236"/>
      <c r="K959" s="236"/>
      <c r="L959" s="236"/>
      <c r="M959" s="236"/>
      <c r="N959" s="236"/>
      <c r="O959" s="236"/>
      <c r="P959" s="236"/>
      <c r="Q959" s="236"/>
      <c r="R959" s="236"/>
      <c r="S959" s="236"/>
      <c r="T959" s="236"/>
      <c r="U959" s="236"/>
      <c r="V959" s="236"/>
      <c r="W959" s="237"/>
      <c r="X959" s="237"/>
      <c r="Y959" s="237"/>
      <c r="Z959" s="237"/>
      <c r="AA959" s="237"/>
      <c r="AB959" s="237"/>
      <c r="AC959" s="237"/>
      <c r="AD959" s="237"/>
      <c r="AE959" s="237"/>
      <c r="AF959" s="237"/>
      <c r="AG959" s="237"/>
      <c r="AH959" s="237"/>
      <c r="AI959" s="98"/>
      <c r="AJ959" s="98"/>
      <c r="AK959" s="98"/>
      <c r="AL959" s="98"/>
      <c r="AM959" s="98"/>
      <c r="AN959" s="98"/>
      <c r="AO959" s="98"/>
    </row>
    <row r="960" ht="14.25" customHeight="1">
      <c r="A960" s="98"/>
      <c r="B960" s="98"/>
      <c r="C960" s="98"/>
      <c r="D960" s="98"/>
      <c r="E960" s="98"/>
      <c r="F960" s="235"/>
      <c r="G960" s="235"/>
      <c r="H960" s="236"/>
      <c r="I960" s="236"/>
      <c r="J960" s="236"/>
      <c r="K960" s="236"/>
      <c r="L960" s="236"/>
      <c r="M960" s="236"/>
      <c r="N960" s="236"/>
      <c r="O960" s="236"/>
      <c r="P960" s="236"/>
      <c r="Q960" s="236"/>
      <c r="R960" s="236"/>
      <c r="S960" s="236"/>
      <c r="T960" s="236"/>
      <c r="U960" s="236"/>
      <c r="V960" s="236"/>
      <c r="W960" s="237"/>
      <c r="X960" s="237"/>
      <c r="Y960" s="237"/>
      <c r="Z960" s="237"/>
      <c r="AA960" s="237"/>
      <c r="AB960" s="237"/>
      <c r="AC960" s="237"/>
      <c r="AD960" s="237"/>
      <c r="AE960" s="237"/>
      <c r="AF960" s="237"/>
      <c r="AG960" s="237"/>
      <c r="AH960" s="237"/>
      <c r="AI960" s="98"/>
      <c r="AJ960" s="98"/>
      <c r="AK960" s="98"/>
      <c r="AL960" s="98"/>
      <c r="AM960" s="98"/>
      <c r="AN960" s="98"/>
      <c r="AO960" s="98"/>
    </row>
    <row r="961" ht="14.25" customHeight="1">
      <c r="A961" s="98"/>
      <c r="B961" s="98"/>
      <c r="C961" s="98"/>
      <c r="D961" s="98"/>
      <c r="E961" s="98"/>
      <c r="F961" s="235"/>
      <c r="G961" s="235"/>
      <c r="H961" s="236"/>
      <c r="I961" s="236"/>
      <c r="J961" s="236"/>
      <c r="K961" s="236"/>
      <c r="L961" s="236"/>
      <c r="M961" s="236"/>
      <c r="N961" s="236"/>
      <c r="O961" s="236"/>
      <c r="P961" s="236"/>
      <c r="Q961" s="236"/>
      <c r="R961" s="236"/>
      <c r="S961" s="236"/>
      <c r="T961" s="236"/>
      <c r="U961" s="236"/>
      <c r="V961" s="236"/>
      <c r="W961" s="237"/>
      <c r="X961" s="237"/>
      <c r="Y961" s="237"/>
      <c r="Z961" s="237"/>
      <c r="AA961" s="237"/>
      <c r="AB961" s="237"/>
      <c r="AC961" s="237"/>
      <c r="AD961" s="237"/>
      <c r="AE961" s="237"/>
      <c r="AF961" s="237"/>
      <c r="AG961" s="237"/>
      <c r="AH961" s="237"/>
      <c r="AI961" s="98"/>
      <c r="AJ961" s="98"/>
      <c r="AK961" s="98"/>
      <c r="AL961" s="98"/>
      <c r="AM961" s="98"/>
      <c r="AN961" s="98"/>
      <c r="AO961" s="98"/>
    </row>
    <row r="962" ht="14.25" customHeight="1">
      <c r="A962" s="98"/>
      <c r="B962" s="98"/>
      <c r="C962" s="98"/>
      <c r="D962" s="98"/>
      <c r="E962" s="98"/>
      <c r="F962" s="235"/>
      <c r="G962" s="235"/>
      <c r="H962" s="236"/>
      <c r="I962" s="236"/>
      <c r="J962" s="236"/>
      <c r="K962" s="236"/>
      <c r="L962" s="236"/>
      <c r="M962" s="236"/>
      <c r="N962" s="236"/>
      <c r="O962" s="236"/>
      <c r="P962" s="236"/>
      <c r="Q962" s="236"/>
      <c r="R962" s="236"/>
      <c r="S962" s="236"/>
      <c r="T962" s="236"/>
      <c r="U962" s="236"/>
      <c r="V962" s="236"/>
      <c r="W962" s="237"/>
      <c r="X962" s="237"/>
      <c r="Y962" s="237"/>
      <c r="Z962" s="237"/>
      <c r="AA962" s="237"/>
      <c r="AB962" s="237"/>
      <c r="AC962" s="237"/>
      <c r="AD962" s="237"/>
      <c r="AE962" s="237"/>
      <c r="AF962" s="237"/>
      <c r="AG962" s="237"/>
      <c r="AH962" s="237"/>
      <c r="AI962" s="98"/>
      <c r="AJ962" s="98"/>
      <c r="AK962" s="98"/>
      <c r="AL962" s="98"/>
      <c r="AM962" s="98"/>
      <c r="AN962" s="98"/>
      <c r="AO962" s="98"/>
    </row>
    <row r="963" ht="14.25" customHeight="1">
      <c r="A963" s="98"/>
      <c r="B963" s="98"/>
      <c r="C963" s="98"/>
      <c r="D963" s="98"/>
      <c r="E963" s="98"/>
      <c r="F963" s="235"/>
      <c r="G963" s="235"/>
      <c r="H963" s="236"/>
      <c r="I963" s="236"/>
      <c r="J963" s="236"/>
      <c r="K963" s="236"/>
      <c r="L963" s="236"/>
      <c r="M963" s="236"/>
      <c r="N963" s="236"/>
      <c r="O963" s="236"/>
      <c r="P963" s="236"/>
      <c r="Q963" s="236"/>
      <c r="R963" s="236"/>
      <c r="S963" s="236"/>
      <c r="T963" s="236"/>
      <c r="U963" s="236"/>
      <c r="V963" s="236"/>
      <c r="W963" s="237"/>
      <c r="X963" s="237"/>
      <c r="Y963" s="237"/>
      <c r="Z963" s="237"/>
      <c r="AA963" s="237"/>
      <c r="AB963" s="237"/>
      <c r="AC963" s="237"/>
      <c r="AD963" s="237"/>
      <c r="AE963" s="237"/>
      <c r="AF963" s="237"/>
      <c r="AG963" s="237"/>
      <c r="AH963" s="237"/>
      <c r="AI963" s="98"/>
      <c r="AJ963" s="98"/>
      <c r="AK963" s="98"/>
      <c r="AL963" s="98"/>
      <c r="AM963" s="98"/>
      <c r="AN963" s="98"/>
      <c r="AO963" s="98"/>
    </row>
    <row r="964" ht="14.25" customHeight="1">
      <c r="A964" s="98"/>
      <c r="B964" s="98"/>
      <c r="C964" s="98"/>
      <c r="D964" s="98"/>
      <c r="E964" s="98"/>
      <c r="F964" s="235"/>
      <c r="G964" s="235"/>
      <c r="H964" s="236"/>
      <c r="I964" s="236"/>
      <c r="J964" s="236"/>
      <c r="K964" s="236"/>
      <c r="L964" s="236"/>
      <c r="M964" s="236"/>
      <c r="N964" s="236"/>
      <c r="O964" s="236"/>
      <c r="P964" s="236"/>
      <c r="Q964" s="236"/>
      <c r="R964" s="236"/>
      <c r="S964" s="236"/>
      <c r="T964" s="236"/>
      <c r="U964" s="236"/>
      <c r="V964" s="236"/>
      <c r="W964" s="237"/>
      <c r="X964" s="237"/>
      <c r="Y964" s="237"/>
      <c r="Z964" s="237"/>
      <c r="AA964" s="237"/>
      <c r="AB964" s="237"/>
      <c r="AC964" s="237"/>
      <c r="AD964" s="237"/>
      <c r="AE964" s="237"/>
      <c r="AF964" s="237"/>
      <c r="AG964" s="237"/>
      <c r="AH964" s="237"/>
      <c r="AI964" s="98"/>
      <c r="AJ964" s="98"/>
      <c r="AK964" s="98"/>
      <c r="AL964" s="98"/>
      <c r="AM964" s="98"/>
      <c r="AN964" s="98"/>
      <c r="AO964" s="98"/>
    </row>
    <row r="965" ht="14.25" customHeight="1">
      <c r="A965" s="98"/>
      <c r="B965" s="98"/>
      <c r="C965" s="98"/>
      <c r="D965" s="98"/>
      <c r="E965" s="98"/>
      <c r="F965" s="235"/>
      <c r="G965" s="235"/>
      <c r="H965" s="236"/>
      <c r="I965" s="236"/>
      <c r="J965" s="236"/>
      <c r="K965" s="236"/>
      <c r="L965" s="236"/>
      <c r="M965" s="236"/>
      <c r="N965" s="236"/>
      <c r="O965" s="236"/>
      <c r="P965" s="236"/>
      <c r="Q965" s="236"/>
      <c r="R965" s="236"/>
      <c r="S965" s="236"/>
      <c r="T965" s="236"/>
      <c r="U965" s="236"/>
      <c r="V965" s="236"/>
      <c r="W965" s="237"/>
      <c r="X965" s="237"/>
      <c r="Y965" s="237"/>
      <c r="Z965" s="237"/>
      <c r="AA965" s="237"/>
      <c r="AB965" s="237"/>
      <c r="AC965" s="237"/>
      <c r="AD965" s="237"/>
      <c r="AE965" s="237"/>
      <c r="AF965" s="237"/>
      <c r="AG965" s="237"/>
      <c r="AH965" s="237"/>
      <c r="AI965" s="98"/>
      <c r="AJ965" s="98"/>
      <c r="AK965" s="98"/>
      <c r="AL965" s="98"/>
      <c r="AM965" s="98"/>
      <c r="AN965" s="98"/>
      <c r="AO965" s="98"/>
    </row>
    <row r="966" ht="14.25" customHeight="1">
      <c r="A966" s="98"/>
      <c r="B966" s="98"/>
      <c r="C966" s="98"/>
      <c r="D966" s="98"/>
      <c r="E966" s="98"/>
      <c r="F966" s="235"/>
      <c r="G966" s="235"/>
      <c r="H966" s="236"/>
      <c r="I966" s="236"/>
      <c r="J966" s="236"/>
      <c r="K966" s="236"/>
      <c r="L966" s="236"/>
      <c r="M966" s="236"/>
      <c r="N966" s="236"/>
      <c r="O966" s="236"/>
      <c r="P966" s="236"/>
      <c r="Q966" s="236"/>
      <c r="R966" s="236"/>
      <c r="S966" s="236"/>
      <c r="T966" s="236"/>
      <c r="U966" s="236"/>
      <c r="V966" s="236"/>
      <c r="W966" s="237"/>
      <c r="X966" s="237"/>
      <c r="Y966" s="237"/>
      <c r="Z966" s="237"/>
      <c r="AA966" s="237"/>
      <c r="AB966" s="237"/>
      <c r="AC966" s="237"/>
      <c r="AD966" s="237"/>
      <c r="AE966" s="237"/>
      <c r="AF966" s="237"/>
      <c r="AG966" s="237"/>
      <c r="AH966" s="237"/>
      <c r="AI966" s="98"/>
      <c r="AJ966" s="98"/>
      <c r="AK966" s="98"/>
      <c r="AL966" s="98"/>
      <c r="AM966" s="98"/>
      <c r="AN966" s="98"/>
      <c r="AO966" s="98"/>
    </row>
    <row r="967" ht="14.25" customHeight="1">
      <c r="A967" s="98"/>
      <c r="B967" s="98"/>
      <c r="C967" s="98"/>
      <c r="D967" s="98"/>
      <c r="E967" s="98"/>
      <c r="F967" s="235"/>
      <c r="G967" s="235"/>
      <c r="H967" s="236"/>
      <c r="I967" s="236"/>
      <c r="J967" s="236"/>
      <c r="K967" s="236"/>
      <c r="L967" s="236"/>
      <c r="M967" s="236"/>
      <c r="N967" s="236"/>
      <c r="O967" s="236"/>
      <c r="P967" s="236"/>
      <c r="Q967" s="236"/>
      <c r="R967" s="236"/>
      <c r="S967" s="236"/>
      <c r="T967" s="236"/>
      <c r="U967" s="236"/>
      <c r="V967" s="236"/>
      <c r="W967" s="237"/>
      <c r="X967" s="237"/>
      <c r="Y967" s="237"/>
      <c r="Z967" s="237"/>
      <c r="AA967" s="237"/>
      <c r="AB967" s="237"/>
      <c r="AC967" s="237"/>
      <c r="AD967" s="237"/>
      <c r="AE967" s="237"/>
      <c r="AF967" s="237"/>
      <c r="AG967" s="237"/>
      <c r="AH967" s="237"/>
      <c r="AI967" s="98"/>
      <c r="AJ967" s="98"/>
      <c r="AK967" s="98"/>
      <c r="AL967" s="98"/>
      <c r="AM967" s="98"/>
      <c r="AN967" s="98"/>
      <c r="AO967" s="98"/>
    </row>
    <row r="968" ht="14.25" customHeight="1">
      <c r="A968" s="98"/>
      <c r="B968" s="98"/>
      <c r="C968" s="98"/>
      <c r="D968" s="98"/>
      <c r="E968" s="98"/>
      <c r="F968" s="235"/>
      <c r="G968" s="235"/>
      <c r="H968" s="236"/>
      <c r="I968" s="236"/>
      <c r="J968" s="236"/>
      <c r="K968" s="236"/>
      <c r="L968" s="236"/>
      <c r="M968" s="236"/>
      <c r="N968" s="236"/>
      <c r="O968" s="236"/>
      <c r="P968" s="236"/>
      <c r="Q968" s="236"/>
      <c r="R968" s="236"/>
      <c r="S968" s="236"/>
      <c r="T968" s="236"/>
      <c r="U968" s="236"/>
      <c r="V968" s="236"/>
      <c r="W968" s="237"/>
      <c r="X968" s="237"/>
      <c r="Y968" s="237"/>
      <c r="Z968" s="237"/>
      <c r="AA968" s="237"/>
      <c r="AB968" s="237"/>
      <c r="AC968" s="237"/>
      <c r="AD968" s="237"/>
      <c r="AE968" s="237"/>
      <c r="AF968" s="237"/>
      <c r="AG968" s="237"/>
      <c r="AH968" s="237"/>
      <c r="AI968" s="98"/>
      <c r="AJ968" s="98"/>
      <c r="AK968" s="98"/>
      <c r="AL968" s="98"/>
      <c r="AM968" s="98"/>
      <c r="AN968" s="98"/>
      <c r="AO968" s="98"/>
    </row>
    <row r="969" ht="14.25" customHeight="1">
      <c r="A969" s="98"/>
      <c r="B969" s="98"/>
      <c r="C969" s="98"/>
      <c r="D969" s="98"/>
      <c r="E969" s="98"/>
      <c r="F969" s="235"/>
      <c r="G969" s="235"/>
      <c r="H969" s="236"/>
      <c r="I969" s="236"/>
      <c r="J969" s="236"/>
      <c r="K969" s="236"/>
      <c r="L969" s="236"/>
      <c r="M969" s="236"/>
      <c r="N969" s="236"/>
      <c r="O969" s="236"/>
      <c r="P969" s="236"/>
      <c r="Q969" s="236"/>
      <c r="R969" s="236"/>
      <c r="S969" s="236"/>
      <c r="T969" s="236"/>
      <c r="U969" s="236"/>
      <c r="V969" s="236"/>
      <c r="W969" s="237"/>
      <c r="X969" s="237"/>
      <c r="Y969" s="237"/>
      <c r="Z969" s="237"/>
      <c r="AA969" s="237"/>
      <c r="AB969" s="237"/>
      <c r="AC969" s="237"/>
      <c r="AD969" s="237"/>
      <c r="AE969" s="237"/>
      <c r="AF969" s="237"/>
      <c r="AG969" s="237"/>
      <c r="AH969" s="237"/>
      <c r="AI969" s="98"/>
      <c r="AJ969" s="98"/>
      <c r="AK969" s="98"/>
      <c r="AL969" s="98"/>
      <c r="AM969" s="98"/>
      <c r="AN969" s="98"/>
      <c r="AO969" s="98"/>
    </row>
    <row r="970" ht="14.25" customHeight="1">
      <c r="A970" s="98"/>
      <c r="B970" s="98"/>
      <c r="C970" s="98"/>
      <c r="D970" s="98"/>
      <c r="E970" s="98"/>
      <c r="F970" s="235"/>
      <c r="G970" s="235"/>
      <c r="H970" s="236"/>
      <c r="I970" s="236"/>
      <c r="J970" s="236"/>
      <c r="K970" s="236"/>
      <c r="L970" s="236"/>
      <c r="M970" s="236"/>
      <c r="N970" s="236"/>
      <c r="O970" s="236"/>
      <c r="P970" s="236"/>
      <c r="Q970" s="236"/>
      <c r="R970" s="236"/>
      <c r="S970" s="236"/>
      <c r="T970" s="236"/>
      <c r="U970" s="236"/>
      <c r="V970" s="236"/>
      <c r="W970" s="237"/>
      <c r="X970" s="237"/>
      <c r="Y970" s="237"/>
      <c r="Z970" s="237"/>
      <c r="AA970" s="237"/>
      <c r="AB970" s="237"/>
      <c r="AC970" s="237"/>
      <c r="AD970" s="237"/>
      <c r="AE970" s="237"/>
      <c r="AF970" s="237"/>
      <c r="AG970" s="237"/>
      <c r="AH970" s="237"/>
      <c r="AI970" s="98"/>
      <c r="AJ970" s="98"/>
      <c r="AK970" s="98"/>
      <c r="AL970" s="98"/>
      <c r="AM970" s="98"/>
      <c r="AN970" s="98"/>
      <c r="AO970" s="98"/>
    </row>
    <row r="971" ht="14.25" customHeight="1">
      <c r="A971" s="98"/>
      <c r="B971" s="98"/>
      <c r="C971" s="98"/>
      <c r="D971" s="98"/>
      <c r="E971" s="98"/>
      <c r="F971" s="235"/>
      <c r="G971" s="235"/>
      <c r="H971" s="236"/>
      <c r="I971" s="236"/>
      <c r="J971" s="236"/>
      <c r="K971" s="236"/>
      <c r="L971" s="236"/>
      <c r="M971" s="236"/>
      <c r="N971" s="236"/>
      <c r="O971" s="236"/>
      <c r="P971" s="236"/>
      <c r="Q971" s="236"/>
      <c r="R971" s="236"/>
      <c r="S971" s="236"/>
      <c r="T971" s="236"/>
      <c r="U971" s="236"/>
      <c r="V971" s="236"/>
      <c r="W971" s="237"/>
      <c r="X971" s="237"/>
      <c r="Y971" s="237"/>
      <c r="Z971" s="237"/>
      <c r="AA971" s="237"/>
      <c r="AB971" s="237"/>
      <c r="AC971" s="237"/>
      <c r="AD971" s="237"/>
      <c r="AE971" s="237"/>
      <c r="AF971" s="237"/>
      <c r="AG971" s="237"/>
      <c r="AH971" s="237"/>
      <c r="AI971" s="98"/>
      <c r="AJ971" s="98"/>
      <c r="AK971" s="98"/>
      <c r="AL971" s="98"/>
      <c r="AM971" s="98"/>
      <c r="AN971" s="98"/>
      <c r="AO971" s="98"/>
    </row>
    <row r="972" ht="14.25" customHeight="1">
      <c r="A972" s="98"/>
      <c r="B972" s="98"/>
      <c r="C972" s="98"/>
      <c r="D972" s="98"/>
      <c r="E972" s="98"/>
      <c r="F972" s="235"/>
      <c r="G972" s="235"/>
      <c r="H972" s="236"/>
      <c r="I972" s="236"/>
      <c r="J972" s="236"/>
      <c r="K972" s="236"/>
      <c r="L972" s="236"/>
      <c r="M972" s="236"/>
      <c r="N972" s="236"/>
      <c r="O972" s="236"/>
      <c r="P972" s="236"/>
      <c r="Q972" s="236"/>
      <c r="R972" s="236"/>
      <c r="S972" s="236"/>
      <c r="T972" s="236"/>
      <c r="U972" s="236"/>
      <c r="V972" s="236"/>
      <c r="W972" s="237"/>
      <c r="X972" s="237"/>
      <c r="Y972" s="237"/>
      <c r="Z972" s="237"/>
      <c r="AA972" s="237"/>
      <c r="AB972" s="237"/>
      <c r="AC972" s="237"/>
      <c r="AD972" s="237"/>
      <c r="AE972" s="237"/>
      <c r="AF972" s="237"/>
      <c r="AG972" s="237"/>
      <c r="AH972" s="237"/>
      <c r="AI972" s="98"/>
      <c r="AJ972" s="98"/>
      <c r="AK972" s="98"/>
      <c r="AL972" s="98"/>
      <c r="AM972" s="98"/>
      <c r="AN972" s="98"/>
      <c r="AO972" s="98"/>
    </row>
    <row r="973" ht="14.25" customHeight="1">
      <c r="A973" s="98"/>
      <c r="B973" s="98"/>
      <c r="C973" s="98"/>
      <c r="D973" s="98"/>
      <c r="E973" s="98"/>
      <c r="F973" s="235"/>
      <c r="G973" s="235"/>
      <c r="H973" s="236"/>
      <c r="I973" s="236"/>
      <c r="J973" s="236"/>
      <c r="K973" s="236"/>
      <c r="L973" s="236"/>
      <c r="M973" s="236"/>
      <c r="N973" s="236"/>
      <c r="O973" s="236"/>
      <c r="P973" s="236"/>
      <c r="Q973" s="236"/>
      <c r="R973" s="236"/>
      <c r="S973" s="236"/>
      <c r="T973" s="236"/>
      <c r="U973" s="236"/>
      <c r="V973" s="236"/>
      <c r="W973" s="237"/>
      <c r="X973" s="237"/>
      <c r="Y973" s="237"/>
      <c r="Z973" s="237"/>
      <c r="AA973" s="237"/>
      <c r="AB973" s="237"/>
      <c r="AC973" s="237"/>
      <c r="AD973" s="237"/>
      <c r="AE973" s="237"/>
      <c r="AF973" s="237"/>
      <c r="AG973" s="237"/>
      <c r="AH973" s="237"/>
      <c r="AI973" s="98"/>
      <c r="AJ973" s="98"/>
      <c r="AK973" s="98"/>
      <c r="AL973" s="98"/>
      <c r="AM973" s="98"/>
      <c r="AN973" s="98"/>
      <c r="AO973" s="98"/>
    </row>
    <row r="974" ht="14.25" customHeight="1">
      <c r="A974" s="98"/>
      <c r="B974" s="98"/>
      <c r="C974" s="98"/>
      <c r="D974" s="98"/>
      <c r="E974" s="98"/>
      <c r="F974" s="235"/>
      <c r="G974" s="235"/>
      <c r="H974" s="236"/>
      <c r="I974" s="236"/>
      <c r="J974" s="236"/>
      <c r="K974" s="236"/>
      <c r="L974" s="236"/>
      <c r="M974" s="236"/>
      <c r="N974" s="236"/>
      <c r="O974" s="236"/>
      <c r="P974" s="236"/>
      <c r="Q974" s="236"/>
      <c r="R974" s="236"/>
      <c r="S974" s="236"/>
      <c r="T974" s="236"/>
      <c r="U974" s="236"/>
      <c r="V974" s="236"/>
      <c r="W974" s="237"/>
      <c r="X974" s="237"/>
      <c r="Y974" s="237"/>
      <c r="Z974" s="237"/>
      <c r="AA974" s="237"/>
      <c r="AB974" s="237"/>
      <c r="AC974" s="237"/>
      <c r="AD974" s="237"/>
      <c r="AE974" s="237"/>
      <c r="AF974" s="237"/>
      <c r="AG974" s="237"/>
      <c r="AH974" s="237"/>
      <c r="AI974" s="98"/>
      <c r="AJ974" s="98"/>
      <c r="AK974" s="98"/>
      <c r="AL974" s="98"/>
      <c r="AM974" s="98"/>
      <c r="AN974" s="98"/>
      <c r="AO974" s="98"/>
    </row>
    <row r="975" ht="14.25" customHeight="1">
      <c r="A975" s="98"/>
      <c r="B975" s="98"/>
      <c r="C975" s="98"/>
      <c r="D975" s="98"/>
      <c r="E975" s="98"/>
      <c r="F975" s="235"/>
      <c r="G975" s="235"/>
      <c r="H975" s="236"/>
      <c r="I975" s="236"/>
      <c r="J975" s="236"/>
      <c r="K975" s="236"/>
      <c r="L975" s="236"/>
      <c r="M975" s="236"/>
      <c r="N975" s="236"/>
      <c r="O975" s="236"/>
      <c r="P975" s="236"/>
      <c r="Q975" s="236"/>
      <c r="R975" s="236"/>
      <c r="S975" s="236"/>
      <c r="T975" s="236"/>
      <c r="U975" s="236"/>
      <c r="V975" s="236"/>
      <c r="W975" s="237"/>
      <c r="X975" s="237"/>
      <c r="Y975" s="237"/>
      <c r="Z975" s="237"/>
      <c r="AA975" s="237"/>
      <c r="AB975" s="237"/>
      <c r="AC975" s="237"/>
      <c r="AD975" s="237"/>
      <c r="AE975" s="237"/>
      <c r="AF975" s="237"/>
      <c r="AG975" s="237"/>
      <c r="AH975" s="237"/>
      <c r="AI975" s="98"/>
      <c r="AJ975" s="98"/>
      <c r="AK975" s="98"/>
      <c r="AL975" s="98"/>
      <c r="AM975" s="98"/>
      <c r="AN975" s="98"/>
      <c r="AO975" s="98"/>
    </row>
    <row r="976" ht="14.25" customHeight="1">
      <c r="A976" s="98"/>
      <c r="B976" s="98"/>
      <c r="C976" s="98"/>
      <c r="D976" s="98"/>
      <c r="E976" s="98"/>
      <c r="F976" s="235"/>
      <c r="G976" s="235"/>
      <c r="H976" s="236"/>
      <c r="I976" s="236"/>
      <c r="J976" s="236"/>
      <c r="K976" s="236"/>
      <c r="L976" s="236"/>
      <c r="M976" s="236"/>
      <c r="N976" s="236"/>
      <c r="O976" s="236"/>
      <c r="P976" s="236"/>
      <c r="Q976" s="236"/>
      <c r="R976" s="236"/>
      <c r="S976" s="236"/>
      <c r="T976" s="236"/>
      <c r="U976" s="236"/>
      <c r="V976" s="236"/>
      <c r="W976" s="237"/>
      <c r="X976" s="237"/>
      <c r="Y976" s="237"/>
      <c r="Z976" s="237"/>
      <c r="AA976" s="237"/>
      <c r="AB976" s="237"/>
      <c r="AC976" s="237"/>
      <c r="AD976" s="237"/>
      <c r="AE976" s="237"/>
      <c r="AF976" s="237"/>
      <c r="AG976" s="237"/>
      <c r="AH976" s="237"/>
      <c r="AI976" s="98"/>
      <c r="AJ976" s="98"/>
      <c r="AK976" s="98"/>
      <c r="AL976" s="98"/>
      <c r="AM976" s="98"/>
      <c r="AN976" s="98"/>
      <c r="AO976" s="98"/>
    </row>
    <row r="977" ht="14.25" customHeight="1">
      <c r="A977" s="98"/>
      <c r="B977" s="98"/>
      <c r="C977" s="98"/>
      <c r="D977" s="98"/>
      <c r="E977" s="98"/>
      <c r="F977" s="235"/>
      <c r="G977" s="235"/>
      <c r="H977" s="236"/>
      <c r="I977" s="236"/>
      <c r="J977" s="236"/>
      <c r="K977" s="236"/>
      <c r="L977" s="236"/>
      <c r="M977" s="236"/>
      <c r="N977" s="236"/>
      <c r="O977" s="236"/>
      <c r="P977" s="236"/>
      <c r="Q977" s="236"/>
      <c r="R977" s="236"/>
      <c r="S977" s="236"/>
      <c r="T977" s="236"/>
      <c r="U977" s="236"/>
      <c r="V977" s="236"/>
      <c r="W977" s="237"/>
      <c r="X977" s="237"/>
      <c r="Y977" s="237"/>
      <c r="Z977" s="237"/>
      <c r="AA977" s="237"/>
      <c r="AB977" s="237"/>
      <c r="AC977" s="237"/>
      <c r="AD977" s="237"/>
      <c r="AE977" s="237"/>
      <c r="AF977" s="237"/>
      <c r="AG977" s="237"/>
      <c r="AH977" s="237"/>
      <c r="AI977" s="98"/>
      <c r="AJ977" s="98"/>
      <c r="AK977" s="98"/>
      <c r="AL977" s="98"/>
      <c r="AM977" s="98"/>
      <c r="AN977" s="98"/>
      <c r="AO977" s="98"/>
    </row>
    <row r="978" ht="14.25" customHeight="1">
      <c r="A978" s="98"/>
      <c r="B978" s="98"/>
      <c r="C978" s="98"/>
      <c r="D978" s="98"/>
      <c r="E978" s="98"/>
      <c r="F978" s="235"/>
      <c r="G978" s="235"/>
      <c r="H978" s="236"/>
      <c r="I978" s="236"/>
      <c r="J978" s="236"/>
      <c r="K978" s="236"/>
      <c r="L978" s="236"/>
      <c r="M978" s="236"/>
      <c r="N978" s="236"/>
      <c r="O978" s="236"/>
      <c r="P978" s="236"/>
      <c r="Q978" s="236"/>
      <c r="R978" s="236"/>
      <c r="S978" s="236"/>
      <c r="T978" s="236"/>
      <c r="U978" s="236"/>
      <c r="V978" s="236"/>
      <c r="W978" s="237"/>
      <c r="X978" s="237"/>
      <c r="Y978" s="237"/>
      <c r="Z978" s="237"/>
      <c r="AA978" s="237"/>
      <c r="AB978" s="237"/>
      <c r="AC978" s="237"/>
      <c r="AD978" s="237"/>
      <c r="AE978" s="237"/>
      <c r="AF978" s="237"/>
      <c r="AG978" s="237"/>
      <c r="AH978" s="237"/>
      <c r="AI978" s="98"/>
      <c r="AJ978" s="98"/>
      <c r="AK978" s="98"/>
      <c r="AL978" s="98"/>
      <c r="AM978" s="98"/>
      <c r="AN978" s="98"/>
      <c r="AO978" s="98"/>
    </row>
    <row r="979" ht="14.25" customHeight="1">
      <c r="A979" s="98"/>
      <c r="B979" s="98"/>
      <c r="C979" s="98"/>
      <c r="D979" s="98"/>
      <c r="E979" s="98"/>
      <c r="F979" s="235"/>
      <c r="G979" s="235"/>
      <c r="H979" s="236"/>
      <c r="I979" s="236"/>
      <c r="J979" s="236"/>
      <c r="K979" s="236"/>
      <c r="L979" s="236"/>
      <c r="M979" s="236"/>
      <c r="N979" s="236"/>
      <c r="O979" s="236"/>
      <c r="P979" s="236"/>
      <c r="Q979" s="236"/>
      <c r="R979" s="236"/>
      <c r="S979" s="236"/>
      <c r="T979" s="236"/>
      <c r="U979" s="236"/>
      <c r="V979" s="236"/>
      <c r="W979" s="237"/>
      <c r="X979" s="237"/>
      <c r="Y979" s="237"/>
      <c r="Z979" s="237"/>
      <c r="AA979" s="237"/>
      <c r="AB979" s="237"/>
      <c r="AC979" s="237"/>
      <c r="AD979" s="237"/>
      <c r="AE979" s="237"/>
      <c r="AF979" s="237"/>
      <c r="AG979" s="237"/>
      <c r="AH979" s="237"/>
      <c r="AI979" s="98"/>
      <c r="AJ979" s="98"/>
      <c r="AK979" s="98"/>
      <c r="AL979" s="98"/>
      <c r="AM979" s="98"/>
      <c r="AN979" s="98"/>
      <c r="AO979" s="98"/>
    </row>
    <row r="980" ht="14.25" customHeight="1">
      <c r="A980" s="98"/>
      <c r="B980" s="98"/>
      <c r="C980" s="98"/>
      <c r="D980" s="98"/>
      <c r="E980" s="98"/>
      <c r="F980" s="235"/>
      <c r="G980" s="235"/>
      <c r="H980" s="236"/>
      <c r="I980" s="236"/>
      <c r="J980" s="236"/>
      <c r="K980" s="236"/>
      <c r="L980" s="236"/>
      <c r="M980" s="236"/>
      <c r="N980" s="236"/>
      <c r="O980" s="236"/>
      <c r="P980" s="236"/>
      <c r="Q980" s="236"/>
      <c r="R980" s="236"/>
      <c r="S980" s="236"/>
      <c r="T980" s="236"/>
      <c r="U980" s="236"/>
      <c r="V980" s="236"/>
      <c r="W980" s="237"/>
      <c r="X980" s="237"/>
      <c r="Y980" s="237"/>
      <c r="Z980" s="237"/>
      <c r="AA980" s="237"/>
      <c r="AB980" s="237"/>
      <c r="AC980" s="237"/>
      <c r="AD980" s="237"/>
      <c r="AE980" s="237"/>
      <c r="AF980" s="237"/>
      <c r="AG980" s="237"/>
      <c r="AH980" s="237"/>
      <c r="AI980" s="98"/>
      <c r="AJ980" s="98"/>
      <c r="AK980" s="98"/>
      <c r="AL980" s="98"/>
      <c r="AM980" s="98"/>
      <c r="AN980" s="98"/>
      <c r="AO980" s="98"/>
    </row>
    <row r="981" ht="14.25" customHeight="1">
      <c r="A981" s="98"/>
      <c r="B981" s="98"/>
      <c r="C981" s="98"/>
      <c r="D981" s="98"/>
      <c r="E981" s="98"/>
      <c r="F981" s="235"/>
      <c r="G981" s="235"/>
      <c r="H981" s="236"/>
      <c r="I981" s="236"/>
      <c r="J981" s="236"/>
      <c r="K981" s="236"/>
      <c r="L981" s="236"/>
      <c r="M981" s="236"/>
      <c r="N981" s="236"/>
      <c r="O981" s="236"/>
      <c r="P981" s="236"/>
      <c r="Q981" s="236"/>
      <c r="R981" s="236"/>
      <c r="S981" s="236"/>
      <c r="T981" s="236"/>
      <c r="U981" s="236"/>
      <c r="V981" s="236"/>
      <c r="W981" s="237"/>
      <c r="X981" s="237"/>
      <c r="Y981" s="237"/>
      <c r="Z981" s="237"/>
      <c r="AA981" s="237"/>
      <c r="AB981" s="237"/>
      <c r="AC981" s="237"/>
      <c r="AD981" s="237"/>
      <c r="AE981" s="237"/>
      <c r="AF981" s="237"/>
      <c r="AG981" s="237"/>
      <c r="AH981" s="237"/>
      <c r="AI981" s="98"/>
      <c r="AJ981" s="98"/>
      <c r="AK981" s="98"/>
      <c r="AL981" s="98"/>
      <c r="AM981" s="98"/>
      <c r="AN981" s="98"/>
      <c r="AO981" s="98"/>
    </row>
    <row r="982" ht="14.25" customHeight="1">
      <c r="A982" s="98"/>
      <c r="B982" s="98"/>
      <c r="C982" s="98"/>
      <c r="D982" s="98"/>
      <c r="E982" s="98"/>
      <c r="F982" s="235"/>
      <c r="G982" s="235"/>
      <c r="H982" s="236"/>
      <c r="I982" s="236"/>
      <c r="J982" s="236"/>
      <c r="K982" s="236"/>
      <c r="L982" s="236"/>
      <c r="M982" s="236"/>
      <c r="N982" s="236"/>
      <c r="O982" s="236"/>
      <c r="P982" s="236"/>
      <c r="Q982" s="236"/>
      <c r="R982" s="236"/>
      <c r="S982" s="236"/>
      <c r="T982" s="236"/>
      <c r="U982" s="236"/>
      <c r="V982" s="236"/>
      <c r="W982" s="237"/>
      <c r="X982" s="237"/>
      <c r="Y982" s="237"/>
      <c r="Z982" s="237"/>
      <c r="AA982" s="237"/>
      <c r="AB982" s="237"/>
      <c r="AC982" s="237"/>
      <c r="AD982" s="237"/>
      <c r="AE982" s="237"/>
      <c r="AF982" s="237"/>
      <c r="AG982" s="237"/>
      <c r="AH982" s="237"/>
      <c r="AI982" s="98"/>
      <c r="AJ982" s="98"/>
      <c r="AK982" s="98"/>
      <c r="AL982" s="98"/>
      <c r="AM982" s="98"/>
      <c r="AN982" s="98"/>
      <c r="AO982" s="98"/>
    </row>
    <row r="983" ht="14.25" customHeight="1">
      <c r="A983" s="98"/>
      <c r="B983" s="98"/>
      <c r="C983" s="98"/>
      <c r="D983" s="98"/>
      <c r="E983" s="98"/>
      <c r="F983" s="235"/>
      <c r="G983" s="235"/>
      <c r="H983" s="236"/>
      <c r="I983" s="236"/>
      <c r="J983" s="236"/>
      <c r="K983" s="236"/>
      <c r="L983" s="236"/>
      <c r="M983" s="236"/>
      <c r="N983" s="236"/>
      <c r="O983" s="236"/>
      <c r="P983" s="236"/>
      <c r="Q983" s="236"/>
      <c r="R983" s="236"/>
      <c r="S983" s="236"/>
      <c r="T983" s="236"/>
      <c r="U983" s="236"/>
      <c r="V983" s="236"/>
      <c r="W983" s="237"/>
      <c r="X983" s="237"/>
      <c r="Y983" s="237"/>
      <c r="Z983" s="237"/>
      <c r="AA983" s="237"/>
      <c r="AB983" s="237"/>
      <c r="AC983" s="237"/>
      <c r="AD983" s="237"/>
      <c r="AE983" s="237"/>
      <c r="AF983" s="237"/>
      <c r="AG983" s="237"/>
      <c r="AH983" s="237"/>
      <c r="AI983" s="98"/>
      <c r="AJ983" s="98"/>
      <c r="AK983" s="98"/>
      <c r="AL983" s="98"/>
      <c r="AM983" s="98"/>
      <c r="AN983" s="98"/>
      <c r="AO983" s="98"/>
    </row>
    <row r="984" ht="14.25" customHeight="1">
      <c r="A984" s="98"/>
      <c r="B984" s="98"/>
      <c r="C984" s="98"/>
      <c r="D984" s="98"/>
      <c r="E984" s="98"/>
      <c r="F984" s="235"/>
      <c r="G984" s="235"/>
      <c r="H984" s="236"/>
      <c r="I984" s="236"/>
      <c r="J984" s="236"/>
      <c r="K984" s="236"/>
      <c r="L984" s="236"/>
      <c r="M984" s="236"/>
      <c r="N984" s="236"/>
      <c r="O984" s="236"/>
      <c r="P984" s="236"/>
      <c r="Q984" s="236"/>
      <c r="R984" s="236"/>
      <c r="S984" s="236"/>
      <c r="T984" s="236"/>
      <c r="U984" s="236"/>
      <c r="V984" s="236"/>
      <c r="W984" s="237"/>
      <c r="X984" s="237"/>
      <c r="Y984" s="237"/>
      <c r="Z984" s="237"/>
      <c r="AA984" s="237"/>
      <c r="AB984" s="237"/>
      <c r="AC984" s="237"/>
      <c r="AD984" s="237"/>
      <c r="AE984" s="237"/>
      <c r="AF984" s="237"/>
      <c r="AG984" s="237"/>
      <c r="AH984" s="237"/>
      <c r="AI984" s="98"/>
      <c r="AJ984" s="98"/>
      <c r="AK984" s="98"/>
      <c r="AL984" s="98"/>
      <c r="AM984" s="98"/>
      <c r="AN984" s="98"/>
      <c r="AO984" s="98"/>
    </row>
    <row r="985" ht="14.25" customHeight="1">
      <c r="A985" s="98"/>
      <c r="B985" s="98"/>
      <c r="C985" s="98"/>
      <c r="D985" s="98"/>
      <c r="E985" s="98"/>
      <c r="F985" s="235"/>
      <c r="G985" s="235"/>
      <c r="H985" s="236"/>
      <c r="I985" s="236"/>
      <c r="J985" s="236"/>
      <c r="K985" s="236"/>
      <c r="L985" s="236"/>
      <c r="M985" s="236"/>
      <c r="N985" s="236"/>
      <c r="O985" s="236"/>
      <c r="P985" s="236"/>
      <c r="Q985" s="236"/>
      <c r="R985" s="236"/>
      <c r="S985" s="236"/>
      <c r="T985" s="236"/>
      <c r="U985" s="236"/>
      <c r="V985" s="236"/>
      <c r="W985" s="237"/>
      <c r="X985" s="237"/>
      <c r="Y985" s="237"/>
      <c r="Z985" s="237"/>
      <c r="AA985" s="237"/>
      <c r="AB985" s="237"/>
      <c r="AC985" s="237"/>
      <c r="AD985" s="237"/>
      <c r="AE985" s="237"/>
      <c r="AF985" s="237"/>
      <c r="AG985" s="237"/>
      <c r="AH985" s="237"/>
      <c r="AI985" s="98"/>
      <c r="AJ985" s="98"/>
      <c r="AK985" s="98"/>
      <c r="AL985" s="98"/>
      <c r="AM985" s="98"/>
      <c r="AN985" s="98"/>
      <c r="AO985" s="98"/>
    </row>
    <row r="986" ht="14.25" customHeight="1">
      <c r="A986" s="98"/>
      <c r="B986" s="98"/>
      <c r="C986" s="98"/>
      <c r="D986" s="98"/>
      <c r="E986" s="98"/>
      <c r="F986" s="235"/>
      <c r="G986" s="235"/>
      <c r="H986" s="236"/>
      <c r="I986" s="236"/>
      <c r="J986" s="236"/>
      <c r="K986" s="236"/>
      <c r="L986" s="236"/>
      <c r="M986" s="236"/>
      <c r="N986" s="236"/>
      <c r="O986" s="236"/>
      <c r="P986" s="236"/>
      <c r="Q986" s="236"/>
      <c r="R986" s="236"/>
      <c r="S986" s="236"/>
      <c r="T986" s="236"/>
      <c r="U986" s="236"/>
      <c r="V986" s="236"/>
      <c r="W986" s="237"/>
      <c r="X986" s="237"/>
      <c r="Y986" s="237"/>
      <c r="Z986" s="237"/>
      <c r="AA986" s="237"/>
      <c r="AB986" s="237"/>
      <c r="AC986" s="237"/>
      <c r="AD986" s="237"/>
      <c r="AE986" s="237"/>
      <c r="AF986" s="237"/>
      <c r="AG986" s="237"/>
      <c r="AH986" s="237"/>
      <c r="AI986" s="98"/>
      <c r="AJ986" s="98"/>
      <c r="AK986" s="98"/>
      <c r="AL986" s="98"/>
      <c r="AM986" s="98"/>
      <c r="AN986" s="98"/>
      <c r="AO986" s="98"/>
    </row>
    <row r="987" ht="14.25" customHeight="1">
      <c r="A987" s="98"/>
      <c r="B987" s="98"/>
      <c r="C987" s="98"/>
      <c r="D987" s="98"/>
      <c r="E987" s="98"/>
      <c r="F987" s="235"/>
      <c r="G987" s="235"/>
      <c r="H987" s="236"/>
      <c r="I987" s="236"/>
      <c r="J987" s="236"/>
      <c r="K987" s="236"/>
      <c r="L987" s="236"/>
      <c r="M987" s="236"/>
      <c r="N987" s="236"/>
      <c r="O987" s="236"/>
      <c r="P987" s="236"/>
      <c r="Q987" s="236"/>
      <c r="R987" s="236"/>
      <c r="S987" s="236"/>
      <c r="T987" s="236"/>
      <c r="U987" s="236"/>
      <c r="V987" s="236"/>
      <c r="W987" s="237"/>
      <c r="X987" s="237"/>
      <c r="Y987" s="237"/>
      <c r="Z987" s="237"/>
      <c r="AA987" s="237"/>
      <c r="AB987" s="237"/>
      <c r="AC987" s="237"/>
      <c r="AD987" s="237"/>
      <c r="AE987" s="237"/>
      <c r="AF987" s="237"/>
      <c r="AG987" s="237"/>
      <c r="AH987" s="237"/>
      <c r="AI987" s="98"/>
      <c r="AJ987" s="98"/>
      <c r="AK987" s="98"/>
      <c r="AL987" s="98"/>
      <c r="AM987" s="98"/>
      <c r="AN987" s="98"/>
      <c r="AO987" s="98"/>
    </row>
    <row r="988" ht="14.25" customHeight="1">
      <c r="A988" s="98"/>
      <c r="B988" s="98"/>
      <c r="C988" s="98"/>
      <c r="D988" s="98"/>
      <c r="E988" s="98"/>
      <c r="F988" s="235"/>
      <c r="G988" s="235"/>
      <c r="H988" s="236"/>
      <c r="I988" s="236"/>
      <c r="J988" s="236"/>
      <c r="K988" s="236"/>
      <c r="L988" s="236"/>
      <c r="M988" s="236"/>
      <c r="N988" s="236"/>
      <c r="O988" s="236"/>
      <c r="P988" s="236"/>
      <c r="Q988" s="236"/>
      <c r="R988" s="236"/>
      <c r="S988" s="236"/>
      <c r="T988" s="236"/>
      <c r="U988" s="236"/>
      <c r="V988" s="236"/>
      <c r="W988" s="237"/>
      <c r="X988" s="237"/>
      <c r="Y988" s="237"/>
      <c r="Z988" s="237"/>
      <c r="AA988" s="237"/>
      <c r="AB988" s="237"/>
      <c r="AC988" s="237"/>
      <c r="AD988" s="237"/>
      <c r="AE988" s="237"/>
      <c r="AF988" s="237"/>
      <c r="AG988" s="237"/>
      <c r="AH988" s="237"/>
      <c r="AI988" s="98"/>
      <c r="AJ988" s="98"/>
      <c r="AK988" s="98"/>
      <c r="AL988" s="98"/>
      <c r="AM988" s="98"/>
      <c r="AN988" s="98"/>
      <c r="AO988" s="98"/>
    </row>
    <row r="989" ht="14.25" customHeight="1">
      <c r="A989" s="98"/>
      <c r="B989" s="98"/>
      <c r="C989" s="98"/>
      <c r="D989" s="98"/>
      <c r="E989" s="98"/>
      <c r="F989" s="235"/>
      <c r="G989" s="235"/>
      <c r="H989" s="236"/>
      <c r="I989" s="236"/>
      <c r="J989" s="236"/>
      <c r="K989" s="236"/>
      <c r="L989" s="236"/>
      <c r="M989" s="236"/>
      <c r="N989" s="236"/>
      <c r="O989" s="236"/>
      <c r="P989" s="236"/>
      <c r="Q989" s="236"/>
      <c r="R989" s="236"/>
      <c r="S989" s="236"/>
      <c r="T989" s="236"/>
      <c r="U989" s="236"/>
      <c r="V989" s="236"/>
      <c r="W989" s="237"/>
      <c r="X989" s="237"/>
      <c r="Y989" s="237"/>
      <c r="Z989" s="237"/>
      <c r="AA989" s="237"/>
      <c r="AB989" s="237"/>
      <c r="AC989" s="237"/>
      <c r="AD989" s="237"/>
      <c r="AE989" s="237"/>
      <c r="AF989" s="237"/>
      <c r="AG989" s="237"/>
      <c r="AH989" s="237"/>
      <c r="AI989" s="98"/>
      <c r="AJ989" s="98"/>
      <c r="AK989" s="98"/>
      <c r="AL989" s="98"/>
      <c r="AM989" s="98"/>
      <c r="AN989" s="98"/>
      <c r="AO989" s="98"/>
    </row>
    <row r="990" ht="14.25" customHeight="1">
      <c r="A990" s="98"/>
      <c r="B990" s="98"/>
      <c r="C990" s="98"/>
      <c r="D990" s="98"/>
      <c r="E990" s="98"/>
      <c r="F990" s="235"/>
      <c r="G990" s="235"/>
      <c r="H990" s="236"/>
      <c r="I990" s="236"/>
      <c r="J990" s="236"/>
      <c r="K990" s="236"/>
      <c r="L990" s="236"/>
      <c r="M990" s="236"/>
      <c r="N990" s="236"/>
      <c r="O990" s="236"/>
      <c r="P990" s="236"/>
      <c r="Q990" s="236"/>
      <c r="R990" s="236"/>
      <c r="S990" s="236"/>
      <c r="T990" s="236"/>
      <c r="U990" s="236"/>
      <c r="V990" s="236"/>
      <c r="W990" s="237"/>
      <c r="X990" s="237"/>
      <c r="Y990" s="237"/>
      <c r="Z990" s="237"/>
      <c r="AA990" s="237"/>
      <c r="AB990" s="237"/>
      <c r="AC990" s="237"/>
      <c r="AD990" s="237"/>
      <c r="AE990" s="237"/>
      <c r="AF990" s="237"/>
      <c r="AG990" s="237"/>
      <c r="AH990" s="237"/>
      <c r="AI990" s="98"/>
      <c r="AJ990" s="98"/>
      <c r="AK990" s="98"/>
      <c r="AL990" s="98"/>
      <c r="AM990" s="98"/>
      <c r="AN990" s="98"/>
      <c r="AO990" s="98"/>
    </row>
    <row r="991" ht="14.25" customHeight="1">
      <c r="A991" s="98"/>
      <c r="B991" s="98"/>
      <c r="C991" s="98"/>
      <c r="D991" s="98"/>
      <c r="E991" s="98"/>
      <c r="F991" s="235"/>
      <c r="G991" s="235"/>
      <c r="H991" s="236"/>
      <c r="I991" s="236"/>
      <c r="J991" s="236"/>
      <c r="K991" s="236"/>
      <c r="L991" s="236"/>
      <c r="M991" s="236"/>
      <c r="N991" s="236"/>
      <c r="O991" s="236"/>
      <c r="P991" s="236"/>
      <c r="Q991" s="236"/>
      <c r="R991" s="236"/>
      <c r="S991" s="236"/>
      <c r="T991" s="236"/>
      <c r="U991" s="236"/>
      <c r="V991" s="236"/>
      <c r="W991" s="237"/>
      <c r="X991" s="237"/>
      <c r="Y991" s="237"/>
      <c r="Z991" s="237"/>
      <c r="AA991" s="237"/>
      <c r="AB991" s="237"/>
      <c r="AC991" s="237"/>
      <c r="AD991" s="237"/>
      <c r="AE991" s="237"/>
      <c r="AF991" s="237"/>
      <c r="AG991" s="237"/>
      <c r="AH991" s="237"/>
      <c r="AI991" s="98"/>
      <c r="AJ991" s="98"/>
      <c r="AK991" s="98"/>
      <c r="AL991" s="98"/>
      <c r="AM991" s="98"/>
      <c r="AN991" s="98"/>
      <c r="AO991" s="98"/>
    </row>
    <row r="992" ht="14.25" customHeight="1">
      <c r="A992" s="98"/>
      <c r="B992" s="98"/>
      <c r="C992" s="98"/>
      <c r="D992" s="98"/>
      <c r="E992" s="98"/>
      <c r="F992" s="235"/>
      <c r="G992" s="235"/>
      <c r="H992" s="236"/>
      <c r="I992" s="236"/>
      <c r="J992" s="236"/>
      <c r="K992" s="236"/>
      <c r="L992" s="236"/>
      <c r="M992" s="236"/>
      <c r="N992" s="236"/>
      <c r="O992" s="236"/>
      <c r="P992" s="236"/>
      <c r="Q992" s="236"/>
      <c r="R992" s="236"/>
      <c r="S992" s="236"/>
      <c r="T992" s="236"/>
      <c r="U992" s="236"/>
      <c r="V992" s="236"/>
      <c r="W992" s="237"/>
      <c r="X992" s="237"/>
      <c r="Y992" s="237"/>
      <c r="Z992" s="237"/>
      <c r="AA992" s="237"/>
      <c r="AB992" s="237"/>
      <c r="AC992" s="237"/>
      <c r="AD992" s="237"/>
      <c r="AE992" s="237"/>
      <c r="AF992" s="237"/>
      <c r="AG992" s="237"/>
      <c r="AH992" s="237"/>
      <c r="AI992" s="98"/>
      <c r="AJ992" s="98"/>
      <c r="AK992" s="98"/>
      <c r="AL992" s="98"/>
      <c r="AM992" s="98"/>
      <c r="AN992" s="98"/>
      <c r="AO992" s="98"/>
    </row>
    <row r="993" ht="14.25" customHeight="1">
      <c r="A993" s="98"/>
      <c r="B993" s="98"/>
      <c r="C993" s="98"/>
      <c r="D993" s="98"/>
      <c r="E993" s="98"/>
      <c r="F993" s="235"/>
      <c r="G993" s="235"/>
      <c r="H993" s="236"/>
      <c r="I993" s="236"/>
      <c r="J993" s="236"/>
      <c r="K993" s="236"/>
      <c r="L993" s="236"/>
      <c r="M993" s="236"/>
      <c r="N993" s="236"/>
      <c r="O993" s="236"/>
      <c r="P993" s="236"/>
      <c r="Q993" s="236"/>
      <c r="R993" s="236"/>
      <c r="S993" s="236"/>
      <c r="T993" s="236"/>
      <c r="U993" s="236"/>
      <c r="V993" s="236"/>
      <c r="W993" s="237"/>
      <c r="X993" s="237"/>
      <c r="Y993" s="237"/>
      <c r="Z993" s="237"/>
      <c r="AA993" s="237"/>
      <c r="AB993" s="237"/>
      <c r="AC993" s="237"/>
      <c r="AD993" s="237"/>
      <c r="AE993" s="237"/>
      <c r="AF993" s="237"/>
      <c r="AG993" s="237"/>
      <c r="AH993" s="237"/>
      <c r="AI993" s="98"/>
      <c r="AJ993" s="98"/>
      <c r="AK993" s="98"/>
      <c r="AL993" s="98"/>
      <c r="AM993" s="98"/>
      <c r="AN993" s="98"/>
      <c r="AO993" s="98"/>
    </row>
    <row r="994" ht="14.25" customHeight="1">
      <c r="A994" s="98"/>
      <c r="B994" s="98"/>
      <c r="C994" s="98"/>
      <c r="D994" s="98"/>
      <c r="E994" s="98"/>
      <c r="F994" s="235"/>
      <c r="G994" s="235"/>
      <c r="H994" s="236"/>
      <c r="I994" s="236"/>
      <c r="J994" s="236"/>
      <c r="K994" s="236"/>
      <c r="L994" s="236"/>
      <c r="M994" s="236"/>
      <c r="N994" s="236"/>
      <c r="O994" s="236"/>
      <c r="P994" s="236"/>
      <c r="Q994" s="236"/>
      <c r="R994" s="236"/>
      <c r="S994" s="236"/>
      <c r="T994" s="236"/>
      <c r="U994" s="236"/>
      <c r="V994" s="236"/>
      <c r="W994" s="237"/>
      <c r="X994" s="237"/>
      <c r="Y994" s="237"/>
      <c r="Z994" s="237"/>
      <c r="AA994" s="237"/>
      <c r="AB994" s="237"/>
      <c r="AC994" s="237"/>
      <c r="AD994" s="237"/>
      <c r="AE994" s="237"/>
      <c r="AF994" s="237"/>
      <c r="AG994" s="237"/>
      <c r="AH994" s="237"/>
      <c r="AI994" s="98"/>
      <c r="AJ994" s="98"/>
      <c r="AK994" s="98"/>
      <c r="AL994" s="98"/>
      <c r="AM994" s="98"/>
      <c r="AN994" s="98"/>
      <c r="AO994" s="98"/>
    </row>
    <row r="995" ht="14.25" customHeight="1">
      <c r="A995" s="98"/>
      <c r="B995" s="98"/>
      <c r="C995" s="98"/>
      <c r="D995" s="98"/>
      <c r="E995" s="98"/>
      <c r="F995" s="235"/>
      <c r="G995" s="235"/>
      <c r="H995" s="236"/>
      <c r="I995" s="236"/>
      <c r="J995" s="236"/>
      <c r="K995" s="236"/>
      <c r="L995" s="236"/>
      <c r="M995" s="236"/>
      <c r="N995" s="236"/>
      <c r="O995" s="236"/>
      <c r="P995" s="236"/>
      <c r="Q995" s="236"/>
      <c r="R995" s="236"/>
      <c r="S995" s="236"/>
      <c r="T995" s="236"/>
      <c r="U995" s="236"/>
      <c r="V995" s="236"/>
      <c r="W995" s="237"/>
      <c r="X995" s="237"/>
      <c r="Y995" s="237"/>
      <c r="Z995" s="237"/>
      <c r="AA995" s="237"/>
      <c r="AB995" s="237"/>
      <c r="AC995" s="237"/>
      <c r="AD995" s="237"/>
      <c r="AE995" s="237"/>
      <c r="AF995" s="237"/>
      <c r="AG995" s="237"/>
      <c r="AH995" s="237"/>
      <c r="AI995" s="98"/>
      <c r="AJ995" s="98"/>
      <c r="AK995" s="98"/>
      <c r="AL995" s="98"/>
      <c r="AM995" s="98"/>
      <c r="AN995" s="98"/>
      <c r="AO995" s="98"/>
    </row>
    <row r="996" ht="14.25" customHeight="1">
      <c r="A996" s="98"/>
      <c r="B996" s="98"/>
      <c r="C996" s="98"/>
      <c r="D996" s="98"/>
      <c r="E996" s="98"/>
      <c r="F996" s="235"/>
      <c r="G996" s="235"/>
      <c r="H996" s="236"/>
      <c r="I996" s="236"/>
      <c r="J996" s="236"/>
      <c r="K996" s="236"/>
      <c r="L996" s="236"/>
      <c r="M996" s="236"/>
      <c r="N996" s="236"/>
      <c r="O996" s="236"/>
      <c r="P996" s="236"/>
      <c r="Q996" s="236"/>
      <c r="R996" s="236"/>
      <c r="S996" s="236"/>
      <c r="T996" s="236"/>
      <c r="U996" s="236"/>
      <c r="V996" s="236"/>
      <c r="W996" s="237"/>
      <c r="X996" s="237"/>
      <c r="Y996" s="237"/>
      <c r="Z996" s="237"/>
      <c r="AA996" s="237"/>
      <c r="AB996" s="237"/>
      <c r="AC996" s="237"/>
      <c r="AD996" s="237"/>
      <c r="AE996" s="237"/>
      <c r="AF996" s="237"/>
      <c r="AG996" s="237"/>
      <c r="AH996" s="237"/>
      <c r="AI996" s="98"/>
      <c r="AJ996" s="98"/>
      <c r="AK996" s="98"/>
      <c r="AL996" s="98"/>
      <c r="AM996" s="98"/>
      <c r="AN996" s="98"/>
      <c r="AO996" s="98"/>
    </row>
    <row r="997" ht="14.25" customHeight="1">
      <c r="A997" s="98"/>
      <c r="B997" s="98"/>
      <c r="C997" s="98"/>
      <c r="D997" s="98"/>
      <c r="E997" s="98"/>
      <c r="F997" s="235"/>
      <c r="G997" s="235"/>
      <c r="H997" s="236"/>
      <c r="I997" s="236"/>
      <c r="J997" s="236"/>
      <c r="K997" s="236"/>
      <c r="L997" s="236"/>
      <c r="M997" s="236"/>
      <c r="N997" s="236"/>
      <c r="O997" s="236"/>
      <c r="P997" s="236"/>
      <c r="Q997" s="236"/>
      <c r="R997" s="236"/>
      <c r="S997" s="236"/>
      <c r="T997" s="236"/>
      <c r="U997" s="236"/>
      <c r="V997" s="236"/>
      <c r="W997" s="237"/>
      <c r="X997" s="237"/>
      <c r="Y997" s="237"/>
      <c r="Z997" s="237"/>
      <c r="AA997" s="237"/>
      <c r="AB997" s="237"/>
      <c r="AC997" s="237"/>
      <c r="AD997" s="237"/>
      <c r="AE997" s="237"/>
      <c r="AF997" s="237"/>
      <c r="AG997" s="237"/>
      <c r="AH997" s="237"/>
      <c r="AI997" s="98"/>
      <c r="AJ997" s="98"/>
      <c r="AK997" s="98"/>
      <c r="AL997" s="98"/>
      <c r="AM997" s="98"/>
      <c r="AN997" s="98"/>
      <c r="AO997" s="98"/>
    </row>
    <row r="998" ht="14.25" customHeight="1">
      <c r="A998" s="98"/>
      <c r="B998" s="98"/>
      <c r="C998" s="98"/>
      <c r="D998" s="98"/>
      <c r="E998" s="98"/>
      <c r="F998" s="235"/>
      <c r="G998" s="235"/>
      <c r="H998" s="236"/>
      <c r="I998" s="236"/>
      <c r="J998" s="236"/>
      <c r="K998" s="236"/>
      <c r="L998" s="236"/>
      <c r="M998" s="236"/>
      <c r="N998" s="236"/>
      <c r="O998" s="236"/>
      <c r="P998" s="236"/>
      <c r="Q998" s="236"/>
      <c r="R998" s="236"/>
      <c r="S998" s="236"/>
      <c r="T998" s="236"/>
      <c r="U998" s="236"/>
      <c r="V998" s="236"/>
      <c r="W998" s="237"/>
      <c r="X998" s="237"/>
      <c r="Y998" s="237"/>
      <c r="Z998" s="237"/>
      <c r="AA998" s="237"/>
      <c r="AB998" s="237"/>
      <c r="AC998" s="237"/>
      <c r="AD998" s="237"/>
      <c r="AE998" s="237"/>
      <c r="AF998" s="237"/>
      <c r="AG998" s="237"/>
      <c r="AH998" s="237"/>
      <c r="AI998" s="98"/>
      <c r="AJ998" s="98"/>
      <c r="AK998" s="98"/>
      <c r="AL998" s="98"/>
      <c r="AM998" s="98"/>
      <c r="AN998" s="98"/>
      <c r="AO998" s="98"/>
    </row>
    <row r="999" ht="14.25" customHeight="1">
      <c r="A999" s="98"/>
      <c r="B999" s="98"/>
      <c r="C999" s="98"/>
      <c r="D999" s="98"/>
      <c r="E999" s="98"/>
      <c r="F999" s="235"/>
      <c r="G999" s="235"/>
      <c r="H999" s="236"/>
      <c r="I999" s="236"/>
      <c r="J999" s="236"/>
      <c r="K999" s="236"/>
      <c r="L999" s="236"/>
      <c r="M999" s="236"/>
      <c r="N999" s="236"/>
      <c r="O999" s="236"/>
      <c r="P999" s="236"/>
      <c r="Q999" s="236"/>
      <c r="R999" s="236"/>
      <c r="S999" s="236"/>
      <c r="T999" s="236"/>
      <c r="U999" s="236"/>
      <c r="V999" s="236"/>
      <c r="W999" s="237"/>
      <c r="X999" s="237"/>
      <c r="Y999" s="237"/>
      <c r="Z999" s="237"/>
      <c r="AA999" s="237"/>
      <c r="AB999" s="237"/>
      <c r="AC999" s="237"/>
      <c r="AD999" s="237"/>
      <c r="AE999" s="237"/>
      <c r="AF999" s="237"/>
      <c r="AG999" s="237"/>
      <c r="AH999" s="237"/>
      <c r="AI999" s="98"/>
      <c r="AJ999" s="98"/>
      <c r="AK999" s="98"/>
      <c r="AL999" s="98"/>
      <c r="AM999" s="98"/>
      <c r="AN999" s="98"/>
      <c r="AO999" s="98"/>
    </row>
    <row r="1000" ht="14.25" customHeight="1">
      <c r="A1000" s="98"/>
      <c r="B1000" s="98"/>
      <c r="C1000" s="98"/>
      <c r="D1000" s="98"/>
      <c r="E1000" s="98"/>
      <c r="F1000" s="235"/>
      <c r="G1000" s="235"/>
      <c r="H1000" s="236"/>
      <c r="I1000" s="236"/>
      <c r="J1000" s="236"/>
      <c r="K1000" s="236"/>
      <c r="L1000" s="236"/>
      <c r="M1000" s="236"/>
      <c r="N1000" s="236"/>
      <c r="O1000" s="236"/>
      <c r="P1000" s="236"/>
      <c r="Q1000" s="236"/>
      <c r="R1000" s="236"/>
      <c r="S1000" s="236"/>
      <c r="T1000" s="236"/>
      <c r="U1000" s="236"/>
      <c r="V1000" s="236"/>
      <c r="W1000" s="237"/>
      <c r="X1000" s="237"/>
      <c r="Y1000" s="237"/>
      <c r="Z1000" s="237"/>
      <c r="AA1000" s="237"/>
      <c r="AB1000" s="237"/>
      <c r="AC1000" s="237"/>
      <c r="AD1000" s="237"/>
      <c r="AE1000" s="237"/>
      <c r="AF1000" s="237"/>
      <c r="AG1000" s="237"/>
      <c r="AH1000" s="237"/>
      <c r="AI1000" s="98"/>
      <c r="AJ1000" s="98"/>
      <c r="AK1000" s="98"/>
      <c r="AL1000" s="98"/>
      <c r="AM1000" s="98"/>
      <c r="AN1000" s="98"/>
      <c r="AO1000" s="98"/>
    </row>
  </sheetData>
  <mergeCells count="1">
    <mergeCell ref="A1:E1"/>
  </mergeCells>
  <conditionalFormatting sqref="H37:AM45">
    <cfRule type="colorScale" priority="1">
      <colorScale>
        <cfvo type="formula" val="0"/>
        <cfvo type="formula" val="0.5"/>
        <cfvo type="formula" val="1"/>
        <color rgb="FFFF9999"/>
        <color rgb="FFFFF2CC"/>
        <color rgb="FF91EF98"/>
      </colorScale>
    </cfRule>
  </conditionalFormatting>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92B79"/>
    <pageSetUpPr/>
  </sheetPr>
  <sheetViews>
    <sheetView showGridLines="0"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0" outlineLevelCol="1" outlineLevelRow="4"/>
  <cols>
    <col customWidth="1" min="1" max="4" width="2.43"/>
    <col customWidth="1" min="5" max="5" width="88.43"/>
    <col customWidth="1" min="6" max="6" width="17.43"/>
    <col customWidth="1" min="7" max="7" width="13.57"/>
    <col customWidth="1" hidden="1" min="8" max="22" width="10.57" outlineLevel="1"/>
    <col customWidth="1" min="23" max="23" width="10.57"/>
    <col customWidth="1" hidden="1" min="24" max="27" width="10.57" outlineLevel="1"/>
    <col customWidth="1" min="28" max="34" width="10.57"/>
    <col customWidth="1" min="35" max="35" width="15.57"/>
    <col customWidth="1" min="36" max="36" width="33.43"/>
    <col customWidth="1" min="37" max="37" width="30.43"/>
    <col customWidth="1" min="38" max="38" width="55.43"/>
    <col customWidth="1" min="39" max="39" width="146.57"/>
    <col customWidth="1" hidden="1" min="40" max="40" width="10.57"/>
    <col customWidth="1" min="41" max="41" width="6.43"/>
  </cols>
  <sheetData>
    <row r="1" ht="14.25" customHeight="1">
      <c r="A1" s="147" t="s">
        <v>49</v>
      </c>
      <c r="B1" s="148"/>
      <c r="C1" s="148"/>
      <c r="D1" s="148"/>
      <c r="E1" s="149"/>
      <c r="F1" s="114" t="s">
        <v>50</v>
      </c>
      <c r="G1" s="114" t="s">
        <v>51</v>
      </c>
      <c r="H1" s="114">
        <v>2000.0</v>
      </c>
      <c r="I1" s="114">
        <v>2001.0</v>
      </c>
      <c r="J1" s="114">
        <v>2002.0</v>
      </c>
      <c r="K1" s="114">
        <v>2003.0</v>
      </c>
      <c r="L1" s="114">
        <v>2004.0</v>
      </c>
      <c r="M1" s="114">
        <v>2005.0</v>
      </c>
      <c r="N1" s="114">
        <v>2006.0</v>
      </c>
      <c r="O1" s="114">
        <v>2007.0</v>
      </c>
      <c r="P1" s="114">
        <v>2008.0</v>
      </c>
      <c r="Q1" s="114">
        <v>2009.0</v>
      </c>
      <c r="R1" s="114">
        <v>2010.0</v>
      </c>
      <c r="S1" s="114">
        <v>2011.0</v>
      </c>
      <c r="T1" s="114">
        <v>2012.0</v>
      </c>
      <c r="U1" s="114">
        <v>2013.0</v>
      </c>
      <c r="V1" s="114">
        <v>2014.0</v>
      </c>
      <c r="W1" s="114">
        <f>ReferenceYear</f>
        <v>2015</v>
      </c>
      <c r="X1" s="114">
        <v>2016.0</v>
      </c>
      <c r="Y1" s="114">
        <v>2017.0</v>
      </c>
      <c r="Z1" s="114">
        <v>2018.0</v>
      </c>
      <c r="AA1" s="114">
        <v>2019.0</v>
      </c>
      <c r="AB1" s="114">
        <f>IFERROR(IF(W1+5&lt;=TargetYear,W1+5,""),"")</f>
        <v>2020</v>
      </c>
      <c r="AC1" s="114">
        <f>IFERROR(IF(AB1+5&lt;=TargetYear,AB1+5,""),"")</f>
        <v>2025</v>
      </c>
      <c r="AD1" s="114">
        <f>IFERROR(IF(AC1+5&lt;=TargetYear,AC1+5,""),"")</f>
        <v>2030</v>
      </c>
      <c r="AE1" s="114">
        <f>IFERROR(IF(AD1+5&lt;=TargetYear,AD1+5,""),"")</f>
        <v>2035</v>
      </c>
      <c r="AF1" s="114">
        <f>IFERROR(IF(AE1+5&lt;=TargetYear,AE1+5,""),"")</f>
        <v>2040</v>
      </c>
      <c r="AG1" s="114">
        <f>IFERROR(IF(AF1+5&lt;=TargetYear,AF1+5,""),"")</f>
        <v>2045</v>
      </c>
      <c r="AH1" s="114">
        <f>IFERROR(IF(AG1+5&lt;=TargetYear,AG1+5,""),"")</f>
        <v>2050</v>
      </c>
      <c r="AI1" s="114" t="s">
        <v>52</v>
      </c>
      <c r="AJ1" s="114" t="s">
        <v>53</v>
      </c>
      <c r="AK1" s="114" t="s">
        <v>54</v>
      </c>
      <c r="AL1" s="114" t="s">
        <v>55</v>
      </c>
      <c r="AM1" s="114" t="s">
        <v>56</v>
      </c>
      <c r="AN1" s="115" t="s">
        <v>127</v>
      </c>
      <c r="AO1" s="150"/>
    </row>
    <row r="2" ht="14.25" customHeight="1">
      <c r="A2" s="216" t="s">
        <v>250</v>
      </c>
      <c r="B2" s="217"/>
      <c r="C2" s="217"/>
      <c r="D2" s="217"/>
      <c r="E2" s="217"/>
      <c r="F2" s="217"/>
      <c r="G2" s="217"/>
      <c r="H2" s="239"/>
      <c r="I2" s="239"/>
      <c r="J2" s="239"/>
      <c r="K2" s="239"/>
      <c r="L2" s="239"/>
      <c r="M2" s="239"/>
      <c r="N2" s="239"/>
      <c r="O2" s="239"/>
      <c r="P2" s="239"/>
      <c r="Q2" s="239"/>
      <c r="R2" s="239"/>
      <c r="S2" s="239"/>
      <c r="T2" s="239"/>
      <c r="U2" s="239"/>
      <c r="V2" s="239"/>
      <c r="W2" s="240"/>
      <c r="X2" s="240"/>
      <c r="Y2" s="240"/>
      <c r="Z2" s="240"/>
      <c r="AA2" s="240"/>
      <c r="AB2" s="240"/>
      <c r="AC2" s="240"/>
      <c r="AD2" s="240"/>
      <c r="AE2" s="240"/>
      <c r="AF2" s="240"/>
      <c r="AG2" s="240"/>
      <c r="AH2" s="240"/>
      <c r="AI2" s="241"/>
      <c r="AJ2" s="241"/>
      <c r="AK2" s="241"/>
      <c r="AL2" s="241"/>
      <c r="AM2" s="242"/>
      <c r="AN2" s="100" t="b">
        <f t="shared" ref="AN2:AN28" si="1">_xlfn.ISFORMULA(H2)</f>
        <v>0</v>
      </c>
      <c r="AO2" s="102"/>
    </row>
    <row r="3" ht="14.25" customHeight="1">
      <c r="A3" s="243" t="s">
        <v>256</v>
      </c>
      <c r="B3" s="162"/>
      <c r="C3" s="162"/>
      <c r="D3" s="100"/>
      <c r="E3" s="162"/>
      <c r="F3" s="162"/>
      <c r="G3" s="162"/>
      <c r="H3" s="100"/>
      <c r="I3" s="178"/>
      <c r="J3" s="178"/>
      <c r="K3" s="178"/>
      <c r="L3" s="178"/>
      <c r="M3" s="178"/>
      <c r="N3" s="178"/>
      <c r="O3" s="178"/>
      <c r="P3" s="178"/>
      <c r="Q3" s="178"/>
      <c r="R3" s="178"/>
      <c r="S3" s="178"/>
      <c r="T3" s="178"/>
      <c r="U3" s="178"/>
      <c r="V3" s="178"/>
      <c r="W3" s="178"/>
      <c r="X3" s="178"/>
      <c r="Y3" s="178"/>
      <c r="Z3" s="178"/>
      <c r="AA3" s="178"/>
      <c r="AB3" s="178"/>
      <c r="AC3" s="178"/>
      <c r="AD3" s="178"/>
      <c r="AE3" s="178"/>
      <c r="AF3" s="178"/>
      <c r="AG3" s="178"/>
      <c r="AH3" s="178"/>
      <c r="AI3" s="244"/>
      <c r="AJ3" s="244"/>
      <c r="AK3" s="244"/>
      <c r="AL3" s="244"/>
      <c r="AM3" s="162"/>
      <c r="AN3" s="100" t="b">
        <f t="shared" si="1"/>
        <v>0</v>
      </c>
      <c r="AO3" s="102"/>
    </row>
    <row r="4" ht="14.25" customHeight="1" outlineLevel="1">
      <c r="A4" s="245"/>
      <c r="B4" s="246" t="s">
        <v>257</v>
      </c>
      <c r="C4" s="246"/>
      <c r="D4" s="201"/>
      <c r="E4" s="162"/>
      <c r="F4" s="162"/>
      <c r="G4" s="162"/>
      <c r="H4" s="178"/>
      <c r="I4" s="178"/>
      <c r="J4" s="178"/>
      <c r="K4" s="178"/>
      <c r="L4" s="178"/>
      <c r="M4" s="178"/>
      <c r="N4" s="178"/>
      <c r="O4" s="178"/>
      <c r="P4" s="178"/>
      <c r="Q4" s="178"/>
      <c r="R4" s="178"/>
      <c r="S4" s="178"/>
      <c r="T4" s="178"/>
      <c r="U4" s="178"/>
      <c r="V4" s="178"/>
      <c r="W4" s="178"/>
      <c r="X4" s="178"/>
      <c r="Y4" s="178"/>
      <c r="Z4" s="178"/>
      <c r="AA4" s="178"/>
      <c r="AB4" s="178"/>
      <c r="AC4" s="178"/>
      <c r="AD4" s="178"/>
      <c r="AE4" s="178"/>
      <c r="AF4" s="178"/>
      <c r="AG4" s="178"/>
      <c r="AH4" s="178"/>
      <c r="AI4" s="244"/>
      <c r="AJ4" s="244"/>
      <c r="AK4" s="244"/>
      <c r="AL4" s="244"/>
      <c r="AM4" s="162"/>
      <c r="AN4" s="100" t="b">
        <f t="shared" si="1"/>
        <v>0</v>
      </c>
      <c r="AO4" s="102"/>
    </row>
    <row r="5" ht="14.25" customHeight="1" outlineLevel="2">
      <c r="A5" s="247"/>
      <c r="B5" s="201"/>
      <c r="C5" s="201"/>
      <c r="D5" s="201"/>
      <c r="E5" s="248" t="s">
        <v>258</v>
      </c>
      <c r="F5" s="249" t="s">
        <v>206</v>
      </c>
      <c r="G5" s="249" t="s">
        <v>259</v>
      </c>
      <c r="H5" s="181">
        <v>4252.162</v>
      </c>
      <c r="I5" s="181">
        <v>4286.496</v>
      </c>
      <c r="J5" s="181">
        <v>4328.233</v>
      </c>
      <c r="K5" s="181">
        <v>4371.25</v>
      </c>
      <c r="L5" s="181">
        <v>4411.869</v>
      </c>
      <c r="M5" s="181">
        <v>4449.094</v>
      </c>
      <c r="N5" s="181">
        <v>4491.615</v>
      </c>
      <c r="O5" s="181">
        <v>4530.31</v>
      </c>
      <c r="P5" s="181">
        <v>4577.415</v>
      </c>
      <c r="Q5" s="181">
        <v>4616.921</v>
      </c>
      <c r="R5" s="181">
        <v>4662.293</v>
      </c>
      <c r="S5" s="181">
        <v>4708.071</v>
      </c>
      <c r="T5" s="181">
        <v>4744.736</v>
      </c>
      <c r="U5" s="181">
        <v>4770.262</v>
      </c>
      <c r="V5" s="181">
        <v>4790.102</v>
      </c>
      <c r="W5" s="250">
        <v>4908.1767469292</v>
      </c>
      <c r="X5" s="181">
        <v>4852.487</v>
      </c>
      <c r="Y5" s="181">
        <v>4877.805</v>
      </c>
      <c r="Z5" s="181">
        <v>4921.414</v>
      </c>
      <c r="AA5" s="181">
        <v>4955.225</v>
      </c>
      <c r="AB5" s="182">
        <v>5069.31189427313</v>
      </c>
      <c r="AC5" s="182">
        <v>5324.53628318584</v>
      </c>
      <c r="AD5" s="182">
        <v>5249.10267857143</v>
      </c>
      <c r="AE5" s="182">
        <v>5420.47387387387</v>
      </c>
      <c r="AF5" s="182">
        <v>5406.76409090909</v>
      </c>
      <c r="AG5" s="182">
        <v>5438.78264840183</v>
      </c>
      <c r="AH5" s="182">
        <v>5471.09495412844</v>
      </c>
      <c r="AI5" s="204"/>
      <c r="AJ5" s="204"/>
      <c r="AK5" s="204"/>
      <c r="AL5" s="204"/>
      <c r="AM5" s="251"/>
      <c r="AN5" s="100" t="b">
        <f t="shared" si="1"/>
        <v>0</v>
      </c>
      <c r="AO5" s="102"/>
    </row>
    <row r="6" ht="14.25" customHeight="1" outlineLevel="2">
      <c r="A6" s="247"/>
      <c r="B6" s="201"/>
      <c r="C6" s="201"/>
      <c r="D6" s="201"/>
      <c r="E6" s="252" t="s">
        <v>260</v>
      </c>
      <c r="F6" s="249" t="s">
        <v>261</v>
      </c>
      <c r="G6" s="249" t="s">
        <v>262</v>
      </c>
      <c r="H6" s="253">
        <v>0.0301430739380804</v>
      </c>
      <c r="I6" s="254">
        <v>0.030298300302776</v>
      </c>
      <c r="J6" s="254">
        <v>0.0288305331293573</v>
      </c>
      <c r="K6" s="254">
        <v>0.0266416530447526</v>
      </c>
      <c r="L6" s="254">
        <v>0.0112644204926862</v>
      </c>
      <c r="M6" s="254">
        <v>0.0286080508518094</v>
      </c>
      <c r="N6" s="254">
        <v>0.024829021810998</v>
      </c>
      <c r="O6" s="254">
        <v>0.0252936223887136</v>
      </c>
      <c r="P6" s="254">
        <v>0.0247577855217319</v>
      </c>
      <c r="Q6" s="254">
        <v>0.0289047521710698</v>
      </c>
      <c r="R6" s="254">
        <v>0.0301847813888155</v>
      </c>
      <c r="S6" s="254">
        <v>0.0303102836548555</v>
      </c>
      <c r="T6" s="254">
        <v>0.027458698211695</v>
      </c>
      <c r="U6" s="254">
        <v>0.0253890240152654</v>
      </c>
      <c r="V6" s="254">
        <v>0.026392830892436</v>
      </c>
      <c r="W6" s="255">
        <v>0.0226292769257549</v>
      </c>
      <c r="X6" s="254">
        <v>0.014252485937223</v>
      </c>
      <c r="Y6" s="254">
        <v>0.0168127600304848</v>
      </c>
      <c r="Z6" s="254">
        <v>0.00981102412074261</v>
      </c>
      <c r="AA6" s="254">
        <v>0.0075193551715895</v>
      </c>
      <c r="AB6" s="256">
        <v>0.020036704334925</v>
      </c>
      <c r="AC6" s="256">
        <v>0.0187544384836843</v>
      </c>
      <c r="AD6" s="256">
        <v>0.0230928401767014</v>
      </c>
      <c r="AE6" s="256">
        <v>0.0279785562352181</v>
      </c>
      <c r="AF6" s="256">
        <v>0.0334405531467332</v>
      </c>
      <c r="AG6" s="256">
        <v>0.0352778948796025</v>
      </c>
      <c r="AH6" s="257">
        <v>0.0377440145591172</v>
      </c>
      <c r="AI6" s="204"/>
      <c r="AJ6" s="204"/>
      <c r="AK6" s="204"/>
      <c r="AL6" s="204"/>
      <c r="AM6" s="251"/>
      <c r="AN6" s="100" t="b">
        <f t="shared" si="1"/>
        <v>0</v>
      </c>
      <c r="AO6" s="102"/>
    </row>
    <row r="7" ht="14.25" customHeight="1" outlineLevel="2">
      <c r="A7" s="247"/>
      <c r="B7" s="201"/>
      <c r="C7" s="201"/>
      <c r="D7" s="201"/>
      <c r="E7" s="258" t="s">
        <v>263</v>
      </c>
      <c r="F7" s="249" t="s">
        <v>264</v>
      </c>
      <c r="G7" s="249" t="s">
        <v>265</v>
      </c>
      <c r="H7" s="259">
        <f>totsurlex+totsurlpn*5</f>
        <v>549.9507241</v>
      </c>
      <c r="I7" s="259">
        <f>totsurlex+totsurlpn*5</f>
        <v>553.5864243</v>
      </c>
      <c r="J7" s="259">
        <f>totsurlex+totsurlpn*5</f>
        <v>555.7428731</v>
      </c>
      <c r="K7" s="259">
        <f>totsurlex+totsurlpn*5</f>
        <v>563.6121499</v>
      </c>
      <c r="L7" s="259">
        <f>totsurlex+totsurlpn*5</f>
        <v>562.9662825</v>
      </c>
      <c r="M7" s="259">
        <f>totsurlex+totsurlpn*5</f>
        <v>580.9521285</v>
      </c>
      <c r="N7" s="259">
        <f>totsurlex+totsurlpn*5</f>
        <v>585.2878897</v>
      </c>
      <c r="O7" s="259">
        <f>totsurlex+totsurlpn*5</f>
        <v>587.9667904</v>
      </c>
      <c r="P7" s="259">
        <f>totsurlex+totsurlpn*5</f>
        <v>594.4203683</v>
      </c>
      <c r="Q7" s="259">
        <f>totsurlex+totsurlpn*5</f>
        <v>600.6774621</v>
      </c>
      <c r="R7" s="259">
        <f>totsurlex+totsurlpn*5</f>
        <v>608.66624</v>
      </c>
      <c r="S7" s="259">
        <f>totsurlex+totsurlpn*5</f>
        <v>618.71164</v>
      </c>
      <c r="T7" s="259">
        <f>totsurlex+totsurlpn*5</f>
        <v>624.977712</v>
      </c>
      <c r="U7" s="259">
        <f>totsurlex+totsurlpn*5</f>
        <v>629.156404</v>
      </c>
      <c r="V7" s="259">
        <f>totsurlex+totsurlpn*5</f>
        <v>634.129432</v>
      </c>
      <c r="W7" s="259">
        <f>totsurlex+totsurlpn*5</f>
        <v>565.5317608</v>
      </c>
      <c r="X7" s="259">
        <f>totsurlex+totsurlpn*5</f>
        <v>25.02018</v>
      </c>
      <c r="Y7" s="259">
        <f>totsurlex+totsurlpn*5</f>
        <v>0</v>
      </c>
      <c r="Z7" s="259">
        <f>totsurlex+totsurlpn*5</f>
        <v>0</v>
      </c>
      <c r="AA7" s="259">
        <f>totsurlex+totsurlpn*5</f>
        <v>0</v>
      </c>
      <c r="AB7" s="259">
        <f>totsurlex+totsurlpn*5</f>
        <v>574.5765559</v>
      </c>
      <c r="AC7" s="259">
        <f>totsurlex+totsurlpn*5</f>
        <v>601.8420009</v>
      </c>
      <c r="AD7" s="259">
        <f>totsurlex+totsurlpn*5</f>
        <v>591.5326338</v>
      </c>
      <c r="AE7" s="259">
        <f>totsurlex+totsurlpn*5</f>
        <v>608.5622603</v>
      </c>
      <c r="AF7" s="259">
        <f>totsurlex+totsurlpn*5</f>
        <v>605.2029119</v>
      </c>
      <c r="AG7" s="259">
        <f>totsurlex+totsurlpn*5</f>
        <v>607.1667085</v>
      </c>
      <c r="AH7" s="259">
        <f>totsurlex+totsurlpn*5</f>
        <v>608.9036349</v>
      </c>
      <c r="AI7" s="204"/>
      <c r="AJ7" s="204"/>
      <c r="AK7" s="204"/>
      <c r="AL7" s="204"/>
      <c r="AM7" s="251"/>
      <c r="AN7" s="100" t="b">
        <f t="shared" si="1"/>
        <v>1</v>
      </c>
      <c r="AO7" s="102"/>
    </row>
    <row r="8" ht="14.25" customHeight="1" outlineLevel="2">
      <c r="A8" s="247"/>
      <c r="B8" s="201"/>
      <c r="C8" s="201"/>
      <c r="D8" s="201"/>
      <c r="E8" s="252" t="s">
        <v>266</v>
      </c>
      <c r="F8" s="249" t="s">
        <v>267</v>
      </c>
      <c r="G8" s="249" t="s">
        <v>268</v>
      </c>
      <c r="H8" s="260"/>
      <c r="I8" s="181">
        <v>81.26</v>
      </c>
      <c r="J8" s="181"/>
      <c r="K8" s="181"/>
      <c r="L8" s="181"/>
      <c r="M8" s="181"/>
      <c r="N8" s="181"/>
      <c r="O8" s="181"/>
      <c r="P8" s="181"/>
      <c r="Q8" s="181"/>
      <c r="R8" s="181">
        <v>115.526809484945</v>
      </c>
      <c r="S8" s="181">
        <v>116.908456206124</v>
      </c>
      <c r="T8" s="181">
        <v>116.82843472845</v>
      </c>
      <c r="U8" s="181">
        <v>116.526732344582</v>
      </c>
      <c r="V8" s="181">
        <v>116.229185601481</v>
      </c>
      <c r="W8" s="250">
        <v>115.915775897483</v>
      </c>
      <c r="X8" s="181"/>
      <c r="Y8" s="181"/>
      <c r="Z8" s="181"/>
      <c r="AA8" s="181"/>
      <c r="AB8" s="182">
        <v>114.446637319687</v>
      </c>
      <c r="AC8" s="182">
        <v>113.423743537835</v>
      </c>
      <c r="AD8" s="182">
        <v>113.037181333543</v>
      </c>
      <c r="AE8" s="182">
        <v>112.627643193242</v>
      </c>
      <c r="AF8" s="182">
        <v>112.259971206787</v>
      </c>
      <c r="AG8" s="182">
        <v>111.929560645321</v>
      </c>
      <c r="AH8" s="184">
        <v>111.593605909227</v>
      </c>
      <c r="AI8" s="204"/>
      <c r="AJ8" s="204"/>
      <c r="AK8" s="204"/>
      <c r="AL8" s="204"/>
      <c r="AM8" s="251"/>
      <c r="AN8" s="100" t="b">
        <f t="shared" si="1"/>
        <v>0</v>
      </c>
      <c r="AO8" s="102"/>
    </row>
    <row r="9" ht="14.25" customHeight="1" outlineLevel="2">
      <c r="A9" s="247"/>
      <c r="B9" s="201"/>
      <c r="C9" s="201"/>
      <c r="D9" s="201"/>
      <c r="E9" s="261" t="s">
        <v>269</v>
      </c>
      <c r="F9" s="262" t="s">
        <v>270</v>
      </c>
      <c r="G9" s="262" t="s">
        <v>271</v>
      </c>
      <c r="H9" s="259">
        <f>M*totsurlog/(k*pop)</f>
        <v>53.71092477</v>
      </c>
      <c r="I9" s="259">
        <f>M*totsurlog/(k*pop)</f>
        <v>53.9378441</v>
      </c>
      <c r="J9" s="259">
        <f>M*totsurlog/(k*pop)</f>
        <v>53.90472327</v>
      </c>
      <c r="K9" s="259">
        <f>M*totsurlog/(k*pop)</f>
        <v>54.42455004</v>
      </c>
      <c r="L9" s="259">
        <f>M*totsurlog/(k*pop)</f>
        <v>54.15000821</v>
      </c>
      <c r="M9" s="259">
        <f>M*totsurlog/(k*pop)</f>
        <v>55.61558105</v>
      </c>
      <c r="N9" s="259">
        <f>M*totsurlog/(k*pop)</f>
        <v>55.6813452</v>
      </c>
      <c r="O9" s="259">
        <f>M*totsurlog/(k*pop)</f>
        <v>55.54961517</v>
      </c>
      <c r="P9" s="259">
        <f>M*totsurlog/(k*pop)</f>
        <v>55.72586815</v>
      </c>
      <c r="Q9" s="259">
        <f>M*totsurlog/(k*pop)</f>
        <v>55.8609684</v>
      </c>
      <c r="R9" s="259">
        <f>M*totsurlog/(k*pop)</f>
        <v>56.15051423</v>
      </c>
      <c r="S9" s="259">
        <f>M*totsurlog/(k*pop)</f>
        <v>56.49681416</v>
      </c>
      <c r="T9" s="259">
        <f>M*totsurlog/(k*pop)</f>
        <v>56.63108525</v>
      </c>
      <c r="U9" s="259">
        <f>M*totsurlog/(k*pop)</f>
        <v>56.68303465</v>
      </c>
      <c r="V9" s="259">
        <f>M*totsurlog/(k*pop)</f>
        <v>56.86996297</v>
      </c>
      <c r="W9" s="259">
        <f>M*totsurlog/(k*pop)</f>
        <v>50.45316628</v>
      </c>
      <c r="X9" s="259">
        <f>M*totsurlog/(k*pop)</f>
        <v>2.220480994</v>
      </c>
      <c r="Y9" s="259">
        <f>M*totsurlog/(k*pop)</f>
        <v>0</v>
      </c>
      <c r="Z9" s="259">
        <f>M*totsurlog/(k*pop)</f>
        <v>0</v>
      </c>
      <c r="AA9" s="259">
        <f>M*totsurlog/(k*pop)</f>
        <v>0</v>
      </c>
      <c r="AB9" s="259">
        <f>M*totsurlog/(k*pop)</f>
        <v>49.93131826</v>
      </c>
      <c r="AC9" s="259">
        <f>M*totsurlog/(k*pop)</f>
        <v>50.0140775</v>
      </c>
      <c r="AD9" s="259">
        <f>M*totsurlog/(k*pop)</f>
        <v>50.30899276</v>
      </c>
      <c r="AE9" s="259">
        <f>M*totsurlog/(k*pop)</f>
        <v>50.5725423</v>
      </c>
      <c r="AF9" s="259">
        <f>M*totsurlog/(k*pop)</f>
        <v>50.8792742</v>
      </c>
      <c r="AG9" s="259">
        <f>M*totsurlog/(k*pop)</f>
        <v>50.97557492</v>
      </c>
      <c r="AH9" s="259">
        <f>M*totsurlog/(k*pop)</f>
        <v>51.05259483</v>
      </c>
      <c r="AI9" s="204"/>
      <c r="AJ9" s="204"/>
      <c r="AK9" s="204"/>
      <c r="AL9" s="204"/>
      <c r="AM9" s="251"/>
      <c r="AN9" s="100" t="b">
        <f t="shared" si="1"/>
        <v>1</v>
      </c>
      <c r="AO9" s="102"/>
    </row>
    <row r="10" ht="14.25" customHeight="1" outlineLevel="2">
      <c r="A10" s="247"/>
      <c r="B10" s="201"/>
      <c r="C10" s="201"/>
      <c r="D10" s="201"/>
      <c r="E10" s="252" t="s">
        <v>272</v>
      </c>
      <c r="F10" s="249" t="s">
        <v>273</v>
      </c>
      <c r="G10" s="249" t="s">
        <v>274</v>
      </c>
      <c r="H10" s="260">
        <v>2.34093695229412</v>
      </c>
      <c r="I10" s="181">
        <v>2.33229142309032</v>
      </c>
      <c r="J10" s="181">
        <v>2.32364558388505</v>
      </c>
      <c r="K10" s="181">
        <v>2.31499986475512</v>
      </c>
      <c r="L10" s="181">
        <v>2.34100004571025</v>
      </c>
      <c r="M10" s="181">
        <v>2.2950002515616</v>
      </c>
      <c r="N10" s="181">
        <v>2.29799980061843</v>
      </c>
      <c r="O10" s="181">
        <v>2.29500019189084</v>
      </c>
      <c r="P10" s="181">
        <v>2.29099995339334</v>
      </c>
      <c r="Q10" s="181">
        <v>2.28000007633162</v>
      </c>
      <c r="R10" s="181">
        <v>2.27800020930886</v>
      </c>
      <c r="S10" s="181">
        <v>2.27299997933756</v>
      </c>
      <c r="T10" s="181">
        <v>2.27510544241652</v>
      </c>
      <c r="U10" s="181">
        <v>2.27815899451506</v>
      </c>
      <c r="V10" s="181">
        <v>2.27828250781343</v>
      </c>
      <c r="W10" s="182">
        <v>2.28374905345716</v>
      </c>
      <c r="X10" s="181">
        <v>2.3</v>
      </c>
      <c r="Y10" s="181">
        <v>2.293</v>
      </c>
      <c r="Z10" s="181">
        <v>2.3</v>
      </c>
      <c r="AA10" s="181">
        <v>2.3</v>
      </c>
      <c r="AB10" s="182">
        <v>2.27</v>
      </c>
      <c r="AC10" s="182">
        <v>2.26</v>
      </c>
      <c r="AD10" s="182">
        <v>2.24</v>
      </c>
      <c r="AE10" s="182">
        <v>2.22</v>
      </c>
      <c r="AF10" s="182">
        <v>2.2</v>
      </c>
      <c r="AG10" s="182">
        <v>2.19</v>
      </c>
      <c r="AH10" s="184">
        <v>2.18</v>
      </c>
      <c r="AI10" s="204"/>
      <c r="AJ10" s="204"/>
      <c r="AK10" s="204"/>
      <c r="AL10" s="204"/>
      <c r="AM10" s="165"/>
      <c r="AN10" s="100" t="b">
        <f t="shared" si="1"/>
        <v>0</v>
      </c>
      <c r="AO10" s="102"/>
    </row>
    <row r="11" ht="14.25" customHeight="1" outlineLevel="2">
      <c r="A11" s="247"/>
      <c r="B11" s="201"/>
      <c r="C11" s="201"/>
      <c r="D11" s="201"/>
      <c r="E11" s="252" t="s">
        <v>275</v>
      </c>
      <c r="F11" s="249" t="s">
        <v>206</v>
      </c>
      <c r="G11" s="249" t="s">
        <v>276</v>
      </c>
      <c r="H11" s="263">
        <v>4669.373</v>
      </c>
      <c r="I11" s="264">
        <v>4711.435</v>
      </c>
      <c r="J11" s="264">
        <v>4743.974</v>
      </c>
      <c r="K11" s="264">
        <v>4782.06</v>
      </c>
      <c r="L11" s="264">
        <v>4819.612</v>
      </c>
      <c r="M11" s="264">
        <v>4858.339</v>
      </c>
      <c r="N11" s="264">
        <v>4902.629</v>
      </c>
      <c r="O11" s="264">
        <v>4950.489</v>
      </c>
      <c r="P11" s="264">
        <v>4996.085</v>
      </c>
      <c r="Q11" s="264">
        <v>5043.024</v>
      </c>
      <c r="R11" s="264">
        <v>5087.304</v>
      </c>
      <c r="S11" s="264">
        <v>5131.391</v>
      </c>
      <c r="T11" s="264">
        <v>5179.638</v>
      </c>
      <c r="U11" s="264">
        <v>5229.358</v>
      </c>
      <c r="V11" s="264">
        <v>5276.876</v>
      </c>
      <c r="W11" s="265">
        <v>5318.905</v>
      </c>
      <c r="X11" s="264">
        <v>5360.73</v>
      </c>
      <c r="Y11" s="264">
        <v>5408.917</v>
      </c>
      <c r="Z11" s="264"/>
      <c r="AA11" s="264">
        <v>5577.016</v>
      </c>
      <c r="AB11" s="266">
        <v>5582.29594999295</v>
      </c>
      <c r="AC11" s="266">
        <v>5720.50112359551</v>
      </c>
      <c r="AD11" s="266">
        <v>5800.81117318436</v>
      </c>
      <c r="AE11" s="266">
        <v>5869.33888888889</v>
      </c>
      <c r="AF11" s="266">
        <v>5924.70939226519</v>
      </c>
      <c r="AG11" s="266">
        <v>5960.75934065934</v>
      </c>
      <c r="AH11" s="267">
        <v>6011.87252747253</v>
      </c>
      <c r="AI11" s="204"/>
      <c r="AJ11" s="204"/>
      <c r="AK11" s="204"/>
      <c r="AL11" s="204"/>
      <c r="AM11" s="251"/>
      <c r="AN11" s="100" t="b">
        <f t="shared" si="1"/>
        <v>0</v>
      </c>
      <c r="AO11" s="102"/>
    </row>
    <row r="12" ht="14.25" customHeight="1" outlineLevel="2">
      <c r="A12" s="247"/>
      <c r="B12" s="201"/>
      <c r="C12" s="201"/>
      <c r="D12" s="268"/>
      <c r="E12" s="122" t="s">
        <v>277</v>
      </c>
      <c r="F12" s="123" t="s">
        <v>206</v>
      </c>
      <c r="G12" s="123" t="s">
        <v>278</v>
      </c>
      <c r="H12" s="260">
        <v>4152.7509</v>
      </c>
      <c r="I12" s="181">
        <v>4190.1592</v>
      </c>
      <c r="J12" s="181">
        <v>4219.098</v>
      </c>
      <c r="K12" s="181">
        <v>4252.9702</v>
      </c>
      <c r="L12" s="181">
        <v>4286.3674</v>
      </c>
      <c r="M12" s="181">
        <v>4320.8096</v>
      </c>
      <c r="N12" s="181">
        <v>4360.1994</v>
      </c>
      <c r="O12" s="181">
        <v>4402.7641</v>
      </c>
      <c r="P12" s="181">
        <v>4443.3153</v>
      </c>
      <c r="Q12" s="181">
        <v>4485.061</v>
      </c>
      <c r="R12" s="181">
        <v>4524.4418</v>
      </c>
      <c r="S12" s="181">
        <v>4563.651</v>
      </c>
      <c r="T12" s="181">
        <v>4606.5599</v>
      </c>
      <c r="U12" s="181">
        <v>4650.7789</v>
      </c>
      <c r="V12" s="181">
        <v>4693.0395</v>
      </c>
      <c r="W12" s="250">
        <v>4908.1767469292</v>
      </c>
      <c r="X12" s="181">
        <v>4852.487</v>
      </c>
      <c r="Y12" s="181">
        <v>4877.805</v>
      </c>
      <c r="Z12" s="181">
        <v>4921.414</v>
      </c>
      <c r="AA12" s="181">
        <v>4955.225</v>
      </c>
      <c r="AB12" s="182">
        <v>5069.31189427313</v>
      </c>
      <c r="AC12" s="182">
        <v>5324.53628318584</v>
      </c>
      <c r="AD12" s="182">
        <v>5249.10267857143</v>
      </c>
      <c r="AE12" s="182">
        <v>5420.47387387387</v>
      </c>
      <c r="AF12" s="182">
        <v>5406.76409090909</v>
      </c>
      <c r="AG12" s="182">
        <v>5438.78264840183</v>
      </c>
      <c r="AH12" s="184">
        <v>5471.09495412844</v>
      </c>
      <c r="AI12" s="204"/>
      <c r="AJ12" s="204"/>
      <c r="AK12" s="204"/>
      <c r="AL12" s="204"/>
      <c r="AM12" s="251"/>
      <c r="AN12" s="100" t="b">
        <f t="shared" si="1"/>
        <v>0</v>
      </c>
      <c r="AO12" s="102"/>
    </row>
    <row r="13" ht="14.25" customHeight="1" outlineLevel="2">
      <c r="A13" s="247"/>
      <c r="B13" s="201"/>
      <c r="C13" s="201"/>
      <c r="D13" s="268"/>
      <c r="E13" s="122" t="s">
        <v>279</v>
      </c>
      <c r="F13" s="123" t="s">
        <v>261</v>
      </c>
      <c r="G13" s="123" t="s">
        <v>280</v>
      </c>
      <c r="H13" s="254"/>
      <c r="I13" s="254"/>
      <c r="J13" s="254"/>
      <c r="K13" s="254"/>
      <c r="L13" s="254"/>
      <c r="M13" s="254"/>
      <c r="N13" s="254"/>
      <c r="O13" s="254"/>
      <c r="P13" s="254"/>
      <c r="Q13" s="254"/>
      <c r="R13" s="254"/>
      <c r="S13" s="254"/>
      <c r="T13" s="254"/>
      <c r="U13" s="254"/>
      <c r="V13" s="254"/>
      <c r="W13" s="256"/>
      <c r="X13" s="254"/>
      <c r="Y13" s="254"/>
      <c r="Z13" s="254"/>
      <c r="AA13" s="254"/>
      <c r="AB13" s="256"/>
      <c r="AC13" s="256"/>
      <c r="AD13" s="256"/>
      <c r="AE13" s="256"/>
      <c r="AF13" s="256"/>
      <c r="AG13" s="256"/>
      <c r="AH13" s="257"/>
      <c r="AI13" s="204"/>
      <c r="AJ13" s="204"/>
      <c r="AK13" s="204"/>
      <c r="AL13" s="204"/>
      <c r="AM13" s="251"/>
      <c r="AN13" s="100" t="b">
        <f t="shared" si="1"/>
        <v>0</v>
      </c>
      <c r="AO13" s="102"/>
    </row>
    <row r="14" ht="14.25" customHeight="1" outlineLevel="1">
      <c r="A14" s="269"/>
      <c r="B14" s="246" t="s">
        <v>281</v>
      </c>
      <c r="C14" s="246"/>
      <c r="D14" s="201"/>
      <c r="E14" s="162"/>
      <c r="F14" s="162"/>
      <c r="G14" s="162"/>
      <c r="H14" s="178"/>
      <c r="I14" s="178"/>
      <c r="J14" s="178"/>
      <c r="K14" s="178"/>
      <c r="L14" s="178"/>
      <c r="M14" s="178"/>
      <c r="N14" s="178"/>
      <c r="O14" s="178"/>
      <c r="P14" s="178"/>
      <c r="Q14" s="178"/>
      <c r="R14" s="178"/>
      <c r="S14" s="178"/>
      <c r="T14" s="178"/>
      <c r="U14" s="178"/>
      <c r="V14" s="178"/>
      <c r="W14" s="178"/>
      <c r="X14" s="178"/>
      <c r="Y14" s="178"/>
      <c r="Z14" s="178"/>
      <c r="AA14" s="178"/>
      <c r="AB14" s="178"/>
      <c r="AC14" s="178"/>
      <c r="AD14" s="178"/>
      <c r="AE14" s="178"/>
      <c r="AF14" s="178"/>
      <c r="AG14" s="178"/>
      <c r="AH14" s="178"/>
      <c r="AI14" s="244"/>
      <c r="AJ14" s="244"/>
      <c r="AK14" s="244"/>
      <c r="AL14" s="244"/>
      <c r="AM14" s="162"/>
      <c r="AN14" s="100" t="b">
        <f t="shared" si="1"/>
        <v>0</v>
      </c>
      <c r="AO14" s="102"/>
    </row>
    <row r="15" ht="14.25" customHeight="1" outlineLevel="2">
      <c r="A15" s="269"/>
      <c r="B15" s="246"/>
      <c r="C15" s="246" t="s">
        <v>282</v>
      </c>
      <c r="D15" s="201"/>
      <c r="E15" s="162"/>
      <c r="F15" s="162"/>
      <c r="G15" s="162"/>
      <c r="H15" s="178"/>
      <c r="I15" s="178"/>
      <c r="J15" s="178"/>
      <c r="K15" s="178"/>
      <c r="L15" s="178"/>
      <c r="M15" s="178"/>
      <c r="N15" s="178"/>
      <c r="O15" s="178"/>
      <c r="P15" s="178"/>
      <c r="Q15" s="178"/>
      <c r="R15" s="178"/>
      <c r="S15" s="178"/>
      <c r="T15" s="178"/>
      <c r="U15" s="178"/>
      <c r="V15" s="178"/>
      <c r="W15" s="178"/>
      <c r="X15" s="178"/>
      <c r="Y15" s="178"/>
      <c r="Z15" s="178"/>
      <c r="AA15" s="178"/>
      <c r="AB15" s="178"/>
      <c r="AC15" s="178"/>
      <c r="AD15" s="178"/>
      <c r="AE15" s="178"/>
      <c r="AF15" s="178"/>
      <c r="AG15" s="178"/>
      <c r="AH15" s="178"/>
      <c r="AI15" s="244"/>
      <c r="AJ15" s="244"/>
      <c r="AK15" s="244"/>
      <c r="AL15" s="244"/>
      <c r="AM15" s="162"/>
      <c r="AN15" s="100" t="b">
        <f t="shared" si="1"/>
        <v>0</v>
      </c>
      <c r="AO15" s="102"/>
    </row>
    <row r="16" ht="14.25" customHeight="1" outlineLevel="3">
      <c r="A16" s="247"/>
      <c r="B16" s="201"/>
      <c r="C16" s="268"/>
      <c r="D16" s="201"/>
      <c r="E16" s="270" t="s">
        <v>283</v>
      </c>
      <c r="F16" s="249" t="s">
        <v>206</v>
      </c>
      <c r="G16" s="249" t="s">
        <v>284</v>
      </c>
      <c r="H16" s="181">
        <v>4628.401</v>
      </c>
      <c r="I16" s="181">
        <v>4669.396</v>
      </c>
      <c r="J16" s="181">
        <v>4705.757</v>
      </c>
      <c r="K16" s="181">
        <v>4736.965</v>
      </c>
      <c r="L16" s="181">
        <v>4767.382</v>
      </c>
      <c r="M16" s="181">
        <v>4798.955</v>
      </c>
      <c r="N16" s="181">
        <v>4841.546</v>
      </c>
      <c r="O16" s="181">
        <v>4896.566</v>
      </c>
      <c r="P16" s="181">
        <v>4943.434</v>
      </c>
      <c r="Q16" s="181">
        <v>4997.568</v>
      </c>
      <c r="R16" s="181">
        <v>5037.432</v>
      </c>
      <c r="S16" s="181">
        <v>5087.031</v>
      </c>
      <c r="T16" s="181">
        <v>5132.825</v>
      </c>
      <c r="U16" s="181">
        <v>5180.357</v>
      </c>
      <c r="V16" s="181">
        <v>5222.703</v>
      </c>
      <c r="W16" s="250">
        <v>4677.2417469292</v>
      </c>
      <c r="X16" s="181">
        <v>5309.142</v>
      </c>
      <c r="Y16" s="181">
        <v>5358.573</v>
      </c>
      <c r="Z16" s="181"/>
      <c r="AA16" s="181"/>
      <c r="AB16" s="182">
        <v>4894.31189427313</v>
      </c>
      <c r="AC16" s="182">
        <v>5199.53628318584</v>
      </c>
      <c r="AD16" s="182">
        <v>5149.10267857143</v>
      </c>
      <c r="AE16" s="182">
        <v>5320.47387387387</v>
      </c>
      <c r="AF16" s="182">
        <v>5321.76409090909</v>
      </c>
      <c r="AG16" s="182">
        <v>5363.78264840183</v>
      </c>
      <c r="AH16" s="182">
        <v>5396.09495412844</v>
      </c>
      <c r="AI16" s="204"/>
      <c r="AJ16" s="204"/>
      <c r="AK16" s="204"/>
      <c r="AL16" s="204"/>
      <c r="AM16" s="251"/>
      <c r="AN16" s="100" t="b">
        <f t="shared" si="1"/>
        <v>0</v>
      </c>
      <c r="AO16" s="102"/>
    </row>
    <row r="17" ht="14.25" customHeight="1" outlineLevel="3">
      <c r="A17" s="247"/>
      <c r="B17" s="201"/>
      <c r="C17" s="268"/>
      <c r="D17" s="201"/>
      <c r="E17" s="258" t="s">
        <v>285</v>
      </c>
      <c r="F17" s="249" t="s">
        <v>264</v>
      </c>
      <c r="G17" s="249" t="s">
        <v>286</v>
      </c>
      <c r="H17" s="259">
        <f>nbrlex*surlex/k</f>
        <v>525.0793885</v>
      </c>
      <c r="I17" s="259">
        <f>nbrlex*surlex/k</f>
        <v>528.8587902</v>
      </c>
      <c r="J17" s="259">
        <f>nbrlex*surlex/k</f>
        <v>534.6661976</v>
      </c>
      <c r="K17" s="259">
        <f>nbrlex*surlex/k</f>
        <v>539.30006</v>
      </c>
      <c r="L17" s="259">
        <f>nbrlex*surlex/k</f>
        <v>535.5194175</v>
      </c>
      <c r="M17" s="259">
        <f>nbrlex*surlex/k</f>
        <v>549.9833725</v>
      </c>
      <c r="N17" s="259">
        <f>nbrlex*surlex/k</f>
        <v>553.5858127</v>
      </c>
      <c r="O17" s="259">
        <f>nbrlex*surlex/k</f>
        <v>560.1425224</v>
      </c>
      <c r="P17" s="259">
        <f>nbrlex*surlex/k</f>
        <v>566.8049188</v>
      </c>
      <c r="Q17" s="259">
        <f>nbrlex*surlex/k</f>
        <v>576.2107701</v>
      </c>
      <c r="R17" s="259">
        <f>nbrlex*surlex/k</f>
        <v>582.48344</v>
      </c>
      <c r="S17" s="259">
        <f>nbrlex*surlex/k</f>
        <v>595.20084</v>
      </c>
      <c r="T17" s="259">
        <f>nbrlex*surlex/k</f>
        <v>600.166822</v>
      </c>
      <c r="U17" s="259">
        <f>nbrlex*surlex/k</f>
        <v>604.410899</v>
      </c>
      <c r="V17" s="259">
        <f>nbrlex*surlex/k</f>
        <v>608.126392</v>
      </c>
      <c r="W17" s="259">
        <f>nbrlex*surlex/k</f>
        <v>542.9001308</v>
      </c>
      <c r="X17" s="259">
        <f>nbrlex*surlex/k</f>
        <v>0</v>
      </c>
      <c r="Y17" s="259">
        <f>nbrlex*surlex/k</f>
        <v>0</v>
      </c>
      <c r="Z17" s="259">
        <f>nbrlex*surlex/k</f>
        <v>0</v>
      </c>
      <c r="AA17" s="259">
        <f>nbrlex*surlex/k</f>
        <v>0</v>
      </c>
      <c r="AB17" s="259">
        <f>nbrlex*surlex/k</f>
        <v>557.9515559</v>
      </c>
      <c r="AC17" s="259">
        <f>nbrlex*surlex/k</f>
        <v>590.2170009</v>
      </c>
      <c r="AD17" s="259">
        <f>nbrlex*surlex/k</f>
        <v>582.4326338</v>
      </c>
      <c r="AE17" s="259">
        <f>nbrlex*surlex/k</f>
        <v>599.6622603</v>
      </c>
      <c r="AF17" s="259">
        <f>nbrlex*surlex/k</f>
        <v>597.8079119</v>
      </c>
      <c r="AG17" s="259">
        <f>nbrlex*surlex/k</f>
        <v>600.7167085</v>
      </c>
      <c r="AH17" s="259">
        <f>nbrlex*surlex/k</f>
        <v>602.5286349</v>
      </c>
      <c r="AI17" s="204"/>
      <c r="AJ17" s="204"/>
      <c r="AK17" s="204"/>
      <c r="AL17" s="204"/>
      <c r="AM17" s="251"/>
      <c r="AN17" s="100" t="b">
        <f t="shared" si="1"/>
        <v>1</v>
      </c>
      <c r="AO17" s="102"/>
    </row>
    <row r="18" ht="14.25" customHeight="1" outlineLevel="3">
      <c r="A18" s="247"/>
      <c r="B18" s="201"/>
      <c r="C18" s="268"/>
      <c r="D18" s="201"/>
      <c r="E18" s="122" t="s">
        <v>287</v>
      </c>
      <c r="F18" s="123" t="s">
        <v>267</v>
      </c>
      <c r="G18" s="123" t="s">
        <v>288</v>
      </c>
      <c r="H18" s="181">
        <v>113.447255010285</v>
      </c>
      <c r="I18" s="181">
        <v>113.260642320376</v>
      </c>
      <c r="J18" s="181">
        <v>113.619593534769</v>
      </c>
      <c r="K18" s="181">
        <v>113.849281141623</v>
      </c>
      <c r="L18" s="181">
        <v>112.329873603067</v>
      </c>
      <c r="M18" s="181">
        <v>114.604819703147</v>
      </c>
      <c r="N18" s="181">
        <v>114.340711152607</v>
      </c>
      <c r="O18" s="181">
        <v>114.394970353123</v>
      </c>
      <c r="P18" s="181">
        <v>114.658134162811</v>
      </c>
      <c r="Q18" s="181">
        <v>115.29823508665</v>
      </c>
      <c r="R18" s="181">
        <v>115.631027872932</v>
      </c>
      <c r="S18" s="181">
        <v>117.003580280914</v>
      </c>
      <c r="T18" s="181">
        <v>116.927193504552</v>
      </c>
      <c r="U18" s="181">
        <v>116.673599715232</v>
      </c>
      <c r="V18" s="181">
        <v>116.439014816657</v>
      </c>
      <c r="W18" s="250">
        <v>116.072711265803</v>
      </c>
      <c r="X18" s="181"/>
      <c r="Y18" s="181"/>
      <c r="Z18" s="181"/>
      <c r="AA18" s="181"/>
      <c r="AB18" s="182">
        <v>114.0</v>
      </c>
      <c r="AC18" s="182">
        <v>113.513392117892</v>
      </c>
      <c r="AD18" s="182">
        <v>113.11342385617</v>
      </c>
      <c r="AE18" s="182">
        <v>112.708430590389</v>
      </c>
      <c r="AF18" s="182">
        <v>112.332659194973</v>
      </c>
      <c r="AG18" s="182">
        <v>111.994975908098</v>
      </c>
      <c r="AH18" s="182">
        <v>111.660124596561</v>
      </c>
      <c r="AI18" s="204"/>
      <c r="AJ18" s="204"/>
      <c r="AK18" s="204"/>
      <c r="AL18" s="204"/>
      <c r="AM18" s="251"/>
      <c r="AN18" s="100" t="b">
        <f t="shared" si="1"/>
        <v>0</v>
      </c>
      <c r="AO18" s="102"/>
    </row>
    <row r="19" ht="14.25" customHeight="1" outlineLevel="2">
      <c r="A19" s="245"/>
      <c r="B19" s="246"/>
      <c r="C19" s="246" t="s">
        <v>289</v>
      </c>
      <c r="D19" s="201"/>
      <c r="E19" s="162"/>
      <c r="F19" s="162"/>
      <c r="G19" s="162"/>
      <c r="H19" s="178"/>
      <c r="I19" s="178"/>
      <c r="J19" s="178"/>
      <c r="K19" s="178"/>
      <c r="L19" s="178"/>
      <c r="M19" s="178"/>
      <c r="N19" s="178"/>
      <c r="O19" s="178"/>
      <c r="P19" s="178"/>
      <c r="Q19" s="178"/>
      <c r="R19" s="178"/>
      <c r="S19" s="178"/>
      <c r="T19" s="178"/>
      <c r="U19" s="178"/>
      <c r="V19" s="178"/>
      <c r="W19" s="178"/>
      <c r="X19" s="178"/>
      <c r="Y19" s="178"/>
      <c r="Z19" s="178"/>
      <c r="AA19" s="178"/>
      <c r="AB19" s="178"/>
      <c r="AC19" s="178"/>
      <c r="AD19" s="178"/>
      <c r="AE19" s="178"/>
      <c r="AF19" s="178"/>
      <c r="AG19" s="178"/>
      <c r="AH19" s="178"/>
      <c r="AI19" s="244"/>
      <c r="AJ19" s="244"/>
      <c r="AK19" s="244"/>
      <c r="AL19" s="244"/>
      <c r="AM19" s="162"/>
      <c r="AN19" s="100" t="b">
        <f t="shared" si="1"/>
        <v>0</v>
      </c>
      <c r="AO19" s="102"/>
    </row>
    <row r="20" ht="14.25" customHeight="1" outlineLevel="3">
      <c r="A20" s="247"/>
      <c r="B20" s="201"/>
      <c r="C20" s="268"/>
      <c r="D20" s="201"/>
      <c r="E20" s="270" t="s">
        <v>290</v>
      </c>
      <c r="F20" s="249" t="s">
        <v>291</v>
      </c>
      <c r="G20" s="249" t="s">
        <v>292</v>
      </c>
      <c r="H20" s="181">
        <v>40.972</v>
      </c>
      <c r="I20" s="181">
        <v>42.039</v>
      </c>
      <c r="J20" s="181">
        <v>38.217</v>
      </c>
      <c r="K20" s="181">
        <v>45.095</v>
      </c>
      <c r="L20" s="181">
        <v>52.23</v>
      </c>
      <c r="M20" s="181">
        <v>59.384</v>
      </c>
      <c r="N20" s="181">
        <v>61.083</v>
      </c>
      <c r="O20" s="181">
        <v>53.923</v>
      </c>
      <c r="P20" s="181">
        <v>52.651</v>
      </c>
      <c r="Q20" s="181">
        <v>45.456</v>
      </c>
      <c r="R20" s="181">
        <v>49.872</v>
      </c>
      <c r="S20" s="181">
        <v>44.36</v>
      </c>
      <c r="T20" s="181">
        <v>46.813</v>
      </c>
      <c r="U20" s="181">
        <v>49.001</v>
      </c>
      <c r="V20" s="181">
        <v>54.173</v>
      </c>
      <c r="W20" s="250">
        <v>46.187</v>
      </c>
      <c r="X20" s="181">
        <v>51.588</v>
      </c>
      <c r="Y20" s="181">
        <v>50.344</v>
      </c>
      <c r="Z20" s="181">
        <v>62.0</v>
      </c>
      <c r="AA20" s="181">
        <v>56.0</v>
      </c>
      <c r="AB20" s="182">
        <v>35.0</v>
      </c>
      <c r="AC20" s="182">
        <v>25.0</v>
      </c>
      <c r="AD20" s="182">
        <v>20.0</v>
      </c>
      <c r="AE20" s="182">
        <v>20.0</v>
      </c>
      <c r="AF20" s="182">
        <v>17.0</v>
      </c>
      <c r="AG20" s="182">
        <v>15.0</v>
      </c>
      <c r="AH20" s="182">
        <v>15.0</v>
      </c>
      <c r="AI20" s="204"/>
      <c r="AJ20" s="204"/>
      <c r="AK20" s="204"/>
      <c r="AL20" s="204"/>
      <c r="AM20" s="251"/>
      <c r="AN20" s="100" t="b">
        <f t="shared" si="1"/>
        <v>0</v>
      </c>
      <c r="AO20" s="102"/>
    </row>
    <row r="21" ht="14.25" customHeight="1" outlineLevel="3">
      <c r="A21" s="247"/>
      <c r="B21" s="201"/>
      <c r="C21" s="268"/>
      <c r="D21" s="201"/>
      <c r="E21" s="258" t="s">
        <v>293</v>
      </c>
      <c r="F21" s="249" t="s">
        <v>294</v>
      </c>
      <c r="G21" s="249" t="s">
        <v>295</v>
      </c>
      <c r="H21" s="259">
        <f>nbrlpn*surlpn/k</f>
        <v>4.974267118</v>
      </c>
      <c r="I21" s="259">
        <f>nbrlpn*surlpn/k</f>
        <v>4.945526815</v>
      </c>
      <c r="J21" s="259">
        <f>nbrlpn*surlpn/k</f>
        <v>4.2153351</v>
      </c>
      <c r="K21" s="259">
        <f>nbrlpn*surlpn/k</f>
        <v>4.86241798</v>
      </c>
      <c r="L21" s="259">
        <f>nbrlpn*surlpn/k</f>
        <v>5.489373</v>
      </c>
      <c r="M21" s="259">
        <f>nbrlpn*surlpn/k</f>
        <v>6.1937512</v>
      </c>
      <c r="N21" s="259">
        <f>nbrlpn*surlpn/k</f>
        <v>6.3404154</v>
      </c>
      <c r="O21" s="259">
        <f>nbrlpn*surlpn/k</f>
        <v>5.5648536</v>
      </c>
      <c r="P21" s="259">
        <f>nbrlpn*surlpn/k</f>
        <v>5.5230899</v>
      </c>
      <c r="Q21" s="259">
        <f>nbrlpn*surlpn/k</f>
        <v>4.8933384</v>
      </c>
      <c r="R21" s="259">
        <f>nbrlpn*surlpn/k</f>
        <v>5.23656</v>
      </c>
      <c r="S21" s="259">
        <f>nbrlpn*surlpn/k</f>
        <v>4.70216</v>
      </c>
      <c r="T21" s="259">
        <f>nbrlpn*surlpn/k</f>
        <v>4.962178</v>
      </c>
      <c r="U21" s="259">
        <f>nbrlpn*surlpn/k</f>
        <v>4.949101</v>
      </c>
      <c r="V21" s="259">
        <f>nbrlpn*surlpn/k</f>
        <v>5.200608</v>
      </c>
      <c r="W21" s="259">
        <f>nbrlpn*surlpn/k</f>
        <v>4.526326</v>
      </c>
      <c r="X21" s="259">
        <f>nbrlpn*surlpn/k</f>
        <v>5.004036</v>
      </c>
      <c r="Y21" s="259">
        <f>nbrlpn*surlpn/k</f>
        <v>0</v>
      </c>
      <c r="Z21" s="259">
        <f>nbrlpn*surlpn/k</f>
        <v>0</v>
      </c>
      <c r="AA21" s="259">
        <f>nbrlpn*surlpn/k</f>
        <v>0</v>
      </c>
      <c r="AB21" s="259">
        <f>nbrlpn*surlpn/k</f>
        <v>3.325</v>
      </c>
      <c r="AC21" s="259">
        <f>nbrlpn*surlpn/k</f>
        <v>2.325</v>
      </c>
      <c r="AD21" s="259">
        <f>nbrlpn*surlpn/k</f>
        <v>1.82</v>
      </c>
      <c r="AE21" s="259">
        <f>nbrlpn*surlpn/k</f>
        <v>1.78</v>
      </c>
      <c r="AF21" s="259">
        <f>nbrlpn*surlpn/k</f>
        <v>1.479</v>
      </c>
      <c r="AG21" s="259">
        <f>nbrlpn*surlpn/k</f>
        <v>1.29</v>
      </c>
      <c r="AH21" s="259">
        <f>nbrlpn*surlpn/k</f>
        <v>1.275</v>
      </c>
      <c r="AI21" s="204"/>
      <c r="AJ21" s="204"/>
      <c r="AK21" s="204"/>
      <c r="AL21" s="204"/>
      <c r="AM21" s="251"/>
      <c r="AN21" s="100" t="b">
        <f t="shared" si="1"/>
        <v>1</v>
      </c>
      <c r="AO21" s="102"/>
    </row>
    <row r="22" ht="14.25" customHeight="1" outlineLevel="3">
      <c r="A22" s="247"/>
      <c r="B22" s="201"/>
      <c r="C22" s="268"/>
      <c r="D22" s="201"/>
      <c r="E22" s="122" t="s">
        <v>296</v>
      </c>
      <c r="F22" s="123" t="s">
        <v>267</v>
      </c>
      <c r="G22" s="123" t="s">
        <v>297</v>
      </c>
      <c r="H22" s="181">
        <v>121.4065</v>
      </c>
      <c r="I22" s="181">
        <v>117.6414</v>
      </c>
      <c r="J22" s="181">
        <v>110.3</v>
      </c>
      <c r="K22" s="181">
        <v>107.8261</v>
      </c>
      <c r="L22" s="181">
        <v>105.1</v>
      </c>
      <c r="M22" s="181">
        <v>104.3</v>
      </c>
      <c r="N22" s="181">
        <v>103.8</v>
      </c>
      <c r="O22" s="181">
        <v>103.2</v>
      </c>
      <c r="P22" s="181">
        <v>104.9</v>
      </c>
      <c r="Q22" s="181">
        <v>107.65</v>
      </c>
      <c r="R22" s="181">
        <v>105.0</v>
      </c>
      <c r="S22" s="181">
        <v>106.0</v>
      </c>
      <c r="T22" s="181">
        <v>106.0</v>
      </c>
      <c r="U22" s="181">
        <v>101.0</v>
      </c>
      <c r="V22" s="181">
        <v>96.0</v>
      </c>
      <c r="W22" s="250">
        <v>98.0</v>
      </c>
      <c r="X22" s="181">
        <v>97.0</v>
      </c>
      <c r="Y22" s="181"/>
      <c r="Z22" s="181"/>
      <c r="AA22" s="181"/>
      <c r="AB22" s="182">
        <v>95.0</v>
      </c>
      <c r="AC22" s="182">
        <v>93.0</v>
      </c>
      <c r="AD22" s="182">
        <v>91.0</v>
      </c>
      <c r="AE22" s="182">
        <v>89.0</v>
      </c>
      <c r="AF22" s="182">
        <v>87.0</v>
      </c>
      <c r="AG22" s="182">
        <v>86.0</v>
      </c>
      <c r="AH22" s="182">
        <v>85.0</v>
      </c>
      <c r="AI22" s="204"/>
      <c r="AJ22" s="204"/>
      <c r="AK22" s="204"/>
      <c r="AL22" s="204"/>
      <c r="AM22" s="251"/>
      <c r="AN22" s="100" t="b">
        <f t="shared" si="1"/>
        <v>0</v>
      </c>
      <c r="AO22" s="102"/>
    </row>
    <row r="23" ht="13.5" customHeight="1" outlineLevel="2">
      <c r="A23" s="247"/>
      <c r="B23" s="201"/>
      <c r="C23" s="162" t="s">
        <v>298</v>
      </c>
      <c r="D23" s="271"/>
      <c r="E23" s="162"/>
      <c r="F23" s="162"/>
      <c r="G23" s="162"/>
      <c r="H23" s="178"/>
      <c r="I23" s="178"/>
      <c r="J23" s="178"/>
      <c r="K23" s="178"/>
      <c r="L23" s="178"/>
      <c r="M23" s="178"/>
      <c r="N23" s="178"/>
      <c r="O23" s="178"/>
      <c r="P23" s="178"/>
      <c r="Q23" s="178"/>
      <c r="R23" s="178"/>
      <c r="S23" s="178"/>
      <c r="T23" s="178"/>
      <c r="U23" s="178"/>
      <c r="V23" s="178"/>
      <c r="W23" s="178"/>
      <c r="X23" s="178"/>
      <c r="Y23" s="178"/>
      <c r="Z23" s="178"/>
      <c r="AA23" s="178"/>
      <c r="AB23" s="272"/>
      <c r="AC23" s="272"/>
      <c r="AD23" s="272"/>
      <c r="AE23" s="272"/>
      <c r="AF23" s="272"/>
      <c r="AG23" s="272"/>
      <c r="AH23" s="272"/>
      <c r="AI23" s="244"/>
      <c r="AJ23" s="244"/>
      <c r="AK23" s="244"/>
      <c r="AL23" s="244"/>
      <c r="AM23" s="162"/>
      <c r="AN23" s="100" t="b">
        <f t="shared" si="1"/>
        <v>0</v>
      </c>
      <c r="AO23" s="102"/>
    </row>
    <row r="24" ht="14.25" customHeight="1" outlineLevel="3">
      <c r="A24" s="200"/>
      <c r="B24" s="100"/>
      <c r="C24" s="201"/>
      <c r="D24" s="271"/>
      <c r="E24" s="273" t="str">
        <f>'EDCM - Residential'!E28</f>
        <v>Existing building destructions</v>
      </c>
      <c r="F24" s="123" t="s">
        <v>294</v>
      </c>
      <c r="G24" s="162"/>
      <c r="H24" s="274" t="str">
        <f t="array" ref="H24:AH24">'EDCM - Residential'!H28:AH28</f>
        <v/>
      </c>
      <c r="I24" s="274"/>
      <c r="J24" s="274"/>
      <c r="K24" s="274"/>
      <c r="L24" s="274"/>
      <c r="M24" s="274"/>
      <c r="N24" s="274"/>
      <c r="O24" s="274"/>
      <c r="P24" s="274"/>
      <c r="Q24" s="274"/>
      <c r="R24" s="274"/>
      <c r="S24" s="274"/>
      <c r="T24" s="274"/>
      <c r="U24" s="274"/>
      <c r="V24" s="274"/>
      <c r="W24" s="274"/>
      <c r="X24" s="274"/>
      <c r="Y24" s="274"/>
      <c r="Z24" s="274"/>
      <c r="AA24" s="274"/>
      <c r="AB24" s="274">
        <v>1.5160409729072426</v>
      </c>
      <c r="AC24" s="274">
        <v>-3.128088999468841</v>
      </c>
      <c r="AD24" s="274">
        <v>3.881873436858109</v>
      </c>
      <c r="AE24" s="274">
        <v>-1.6259253122601423</v>
      </c>
      <c r="AF24" s="274">
        <v>2.1508696762710087</v>
      </c>
      <c r="AG24" s="274">
        <v>0.8972406912198266</v>
      </c>
      <c r="AH24" s="274">
        <v>0.9276147142362788</v>
      </c>
      <c r="AI24" s="204"/>
      <c r="AJ24" s="204"/>
      <c r="AK24" s="204"/>
      <c r="AL24" s="204"/>
      <c r="AM24" s="251"/>
      <c r="AN24" s="100" t="b">
        <f t="shared" si="1"/>
        <v>1</v>
      </c>
      <c r="AO24" s="102"/>
    </row>
    <row r="25" ht="14.25" customHeight="1">
      <c r="A25" s="243" t="s">
        <v>299</v>
      </c>
      <c r="B25" s="246"/>
      <c r="C25" s="246"/>
      <c r="D25" s="201"/>
      <c r="E25" s="162"/>
      <c r="F25" s="162"/>
      <c r="G25" s="162"/>
      <c r="H25" s="178"/>
      <c r="I25" s="178"/>
      <c r="J25" s="178"/>
      <c r="K25" s="178"/>
      <c r="L25" s="178"/>
      <c r="M25" s="178"/>
      <c r="N25" s="178"/>
      <c r="O25" s="178"/>
      <c r="P25" s="178"/>
      <c r="Q25" s="178"/>
      <c r="R25" s="178"/>
      <c r="S25" s="178"/>
      <c r="T25" s="178"/>
      <c r="U25" s="178"/>
      <c r="V25" s="178"/>
      <c r="W25" s="178"/>
      <c r="X25" s="178"/>
      <c r="Y25" s="178"/>
      <c r="Z25" s="178"/>
      <c r="AA25" s="178"/>
      <c r="AB25" s="178"/>
      <c r="AC25" s="178"/>
      <c r="AD25" s="178"/>
      <c r="AE25" s="178"/>
      <c r="AF25" s="178"/>
      <c r="AG25" s="178"/>
      <c r="AH25" s="178"/>
      <c r="AI25" s="244"/>
      <c r="AJ25" s="244"/>
      <c r="AK25" s="244"/>
      <c r="AL25" s="244"/>
      <c r="AM25" s="162"/>
      <c r="AN25" s="100" t="b">
        <f t="shared" si="1"/>
        <v>0</v>
      </c>
      <c r="AO25" s="102"/>
    </row>
    <row r="26" ht="14.25" customHeight="1">
      <c r="A26" s="243" t="s">
        <v>300</v>
      </c>
      <c r="B26" s="246"/>
      <c r="C26" s="246"/>
      <c r="D26" s="201"/>
      <c r="E26" s="162"/>
      <c r="F26" s="162"/>
      <c r="G26" s="162"/>
      <c r="H26" s="178"/>
      <c r="I26" s="178"/>
      <c r="J26" s="178"/>
      <c r="K26" s="178"/>
      <c r="L26" s="178"/>
      <c r="M26" s="178"/>
      <c r="N26" s="178"/>
      <c r="O26" s="178"/>
      <c r="P26" s="178"/>
      <c r="Q26" s="178"/>
      <c r="R26" s="178"/>
      <c r="S26" s="178"/>
      <c r="T26" s="178"/>
      <c r="U26" s="178"/>
      <c r="V26" s="178"/>
      <c r="W26" s="178"/>
      <c r="X26" s="178"/>
      <c r="Y26" s="178"/>
      <c r="Z26" s="178"/>
      <c r="AA26" s="178"/>
      <c r="AB26" s="178"/>
      <c r="AC26" s="178"/>
      <c r="AD26" s="178"/>
      <c r="AE26" s="178"/>
      <c r="AF26" s="178"/>
      <c r="AG26" s="178"/>
      <c r="AH26" s="178"/>
      <c r="AI26" s="244"/>
      <c r="AJ26" s="244"/>
      <c r="AK26" s="244"/>
      <c r="AL26" s="244"/>
      <c r="AM26" s="162"/>
      <c r="AN26" s="100" t="b">
        <f t="shared" si="1"/>
        <v>0</v>
      </c>
      <c r="AO26" s="102"/>
    </row>
    <row r="27" ht="14.25" customHeight="1" outlineLevel="1">
      <c r="A27" s="247"/>
      <c r="B27" s="246" t="s">
        <v>301</v>
      </c>
      <c r="C27" s="246"/>
      <c r="D27" s="201"/>
      <c r="E27" s="162"/>
      <c r="F27" s="162"/>
      <c r="G27" s="162"/>
      <c r="H27" s="178"/>
      <c r="I27" s="178"/>
      <c r="J27" s="178"/>
      <c r="K27" s="178"/>
      <c r="L27" s="178"/>
      <c r="M27" s="178"/>
      <c r="N27" s="178"/>
      <c r="O27" s="178"/>
      <c r="P27" s="178"/>
      <c r="Q27" s="178"/>
      <c r="R27" s="178"/>
      <c r="S27" s="178"/>
      <c r="T27" s="178"/>
      <c r="U27" s="178"/>
      <c r="V27" s="178"/>
      <c r="W27" s="178"/>
      <c r="X27" s="178"/>
      <c r="Y27" s="178"/>
      <c r="Z27" s="178"/>
      <c r="AA27" s="178"/>
      <c r="AB27" s="178"/>
      <c r="AC27" s="178"/>
      <c r="AD27" s="178"/>
      <c r="AE27" s="178"/>
      <c r="AF27" s="178"/>
      <c r="AG27" s="178"/>
      <c r="AH27" s="178"/>
      <c r="AI27" s="244"/>
      <c r="AJ27" s="244"/>
      <c r="AK27" s="244"/>
      <c r="AL27" s="244"/>
      <c r="AM27" s="162"/>
      <c r="AN27" s="100" t="b">
        <f t="shared" si="1"/>
        <v>0</v>
      </c>
      <c r="AO27" s="102"/>
    </row>
    <row r="28" ht="14.25" customHeight="1" outlineLevel="2">
      <c r="A28" s="247"/>
      <c r="B28" s="201"/>
      <c r="C28" s="201"/>
      <c r="D28" s="201"/>
      <c r="E28" s="252" t="s">
        <v>302</v>
      </c>
      <c r="F28" s="249" t="s">
        <v>303</v>
      </c>
      <c r="G28" s="249" t="s">
        <v>304</v>
      </c>
      <c r="H28" s="181"/>
      <c r="I28" s="181">
        <v>252.799</v>
      </c>
      <c r="J28" s="181"/>
      <c r="K28" s="181"/>
      <c r="L28" s="181"/>
      <c r="M28" s="181"/>
      <c r="N28" s="181"/>
      <c r="O28" s="181"/>
      <c r="P28" s="181"/>
      <c r="Q28" s="181"/>
      <c r="R28" s="181"/>
      <c r="S28" s="181"/>
      <c r="T28" s="181"/>
      <c r="U28" s="181"/>
      <c r="V28" s="181"/>
      <c r="W28" s="202">
        <v>77.0</v>
      </c>
      <c r="X28" s="181"/>
      <c r="Y28" s="181"/>
      <c r="Z28" s="181"/>
      <c r="AA28" s="181"/>
      <c r="AB28" s="202"/>
      <c r="AC28" s="202"/>
      <c r="AD28" s="202"/>
      <c r="AE28" s="202"/>
      <c r="AF28" s="202"/>
      <c r="AG28" s="202"/>
      <c r="AH28" s="202"/>
      <c r="AI28" s="204"/>
      <c r="AJ28" s="275"/>
      <c r="AK28" s="275"/>
      <c r="AL28" s="275"/>
      <c r="AM28" s="251"/>
      <c r="AN28" s="100" t="b">
        <f t="shared" si="1"/>
        <v>0</v>
      </c>
      <c r="AO28" s="102"/>
    </row>
    <row r="29" ht="14.25" customHeight="1" outlineLevel="2">
      <c r="A29" s="247"/>
      <c r="B29" s="201"/>
      <c r="C29" s="201"/>
      <c r="D29" s="201"/>
      <c r="E29" s="258" t="s">
        <v>305</v>
      </c>
      <c r="F29" s="249" t="s">
        <v>303</v>
      </c>
      <c r="G29" s="249" t="s">
        <v>306</v>
      </c>
      <c r="H29" s="274"/>
      <c r="I29" s="274"/>
      <c r="J29" s="274"/>
      <c r="K29" s="274"/>
      <c r="L29" s="274"/>
      <c r="M29" s="274"/>
      <c r="N29" s="274"/>
      <c r="O29" s="274"/>
      <c r="P29" s="274"/>
      <c r="Q29" s="274"/>
      <c r="R29" s="274"/>
      <c r="S29" s="274"/>
      <c r="T29" s="274"/>
      <c r="U29" s="274"/>
      <c r="V29" s="274"/>
      <c r="W29" s="274">
        <f>IFERROR(__xludf.DUMMYFUNCTION("ARRAY_CONSTRAIN(ARRAYFORMULA((SINGLE(cmscfreschf)*SINGLE(ceereschfcms)+SINGLE(enccfreschf)*SINGLE(ceereschfboi)+SINGLE(petcfreschf)*SINGLE(ceereschfpet)+SINGLE(gazcfreschf)*SINGLE(ceereschfgaz)+SINGLE(ceereschfele)*(SINGLE(elccfreschf)-SINGLE(paccfreschf)"&amp;"/(SINGLE(ceereschfpac)-1))+SINGLE(vapcfreschf)*SINGLE(ceereschfvap)+SINGLE(paccfreschf)*SINGLE(ceereschfpac)/(SINGLE(ceereschfpac)-1))*T/(SINGLE(totsurlog)*M)/k), 1, 1)"),86.08112898472581)</f>
        <v>86.08112898</v>
      </c>
      <c r="X29" s="274">
        <f t="shared" ref="X29:AH29" si="2">$W$29*X28/$W$28</f>
        <v>0</v>
      </c>
      <c r="Y29" s="274">
        <f t="shared" si="2"/>
        <v>0</v>
      </c>
      <c r="Z29" s="274">
        <f t="shared" si="2"/>
        <v>0</v>
      </c>
      <c r="AA29" s="274">
        <f t="shared" si="2"/>
        <v>0</v>
      </c>
      <c r="AB29" s="274">
        <f t="shared" si="2"/>
        <v>0</v>
      </c>
      <c r="AC29" s="274">
        <f t="shared" si="2"/>
        <v>0</v>
      </c>
      <c r="AD29" s="274">
        <f t="shared" si="2"/>
        <v>0</v>
      </c>
      <c r="AE29" s="274">
        <f t="shared" si="2"/>
        <v>0</v>
      </c>
      <c r="AF29" s="274">
        <f t="shared" si="2"/>
        <v>0</v>
      </c>
      <c r="AG29" s="274">
        <f t="shared" si="2"/>
        <v>0</v>
      </c>
      <c r="AH29" s="274">
        <f t="shared" si="2"/>
        <v>0</v>
      </c>
      <c r="AI29" s="204"/>
      <c r="AJ29" s="275"/>
      <c r="AK29" s="275"/>
      <c r="AL29" s="275"/>
      <c r="AM29" s="251"/>
      <c r="AN29" s="100"/>
      <c r="AO29" s="102"/>
    </row>
    <row r="30" ht="14.25" customHeight="1" outlineLevel="2">
      <c r="A30" s="247"/>
      <c r="B30" s="201"/>
      <c r="C30" s="201"/>
      <c r="D30" s="201"/>
      <c r="E30" s="270" t="s">
        <v>307</v>
      </c>
      <c r="F30" s="249" t="s">
        <v>303</v>
      </c>
      <c r="G30" s="249" t="s">
        <v>308</v>
      </c>
      <c r="H30" s="264">
        <v>94.6676387903315</v>
      </c>
      <c r="I30" s="264">
        <v>99.3473576323188</v>
      </c>
      <c r="J30" s="264">
        <v>91.8651503885033</v>
      </c>
      <c r="K30" s="264">
        <v>97.8654554424035</v>
      </c>
      <c r="L30" s="264">
        <v>101.392310728406</v>
      </c>
      <c r="M30" s="264">
        <v>96.8895811056409</v>
      </c>
      <c r="N30" s="264">
        <v>83.2222156525534</v>
      </c>
      <c r="O30" s="264">
        <v>73.750781231051</v>
      </c>
      <c r="P30" s="264">
        <v>81.7779917128808</v>
      </c>
      <c r="Q30" s="264">
        <v>73.7209433123139</v>
      </c>
      <c r="R30" s="264">
        <v>86.3520206346185</v>
      </c>
      <c r="S30" s="264">
        <v>66.1954967614688</v>
      </c>
      <c r="T30" s="264">
        <v>70.983988036733</v>
      </c>
      <c r="U30" s="264">
        <v>80.1681057858877</v>
      </c>
      <c r="V30" s="264">
        <v>60.8967184309791</v>
      </c>
      <c r="W30" s="266">
        <v>89.5444940945361</v>
      </c>
      <c r="X30" s="264"/>
      <c r="Y30" s="264"/>
      <c r="Z30" s="264"/>
      <c r="AA30" s="264"/>
      <c r="AB30" s="266">
        <v>89.5444940945361</v>
      </c>
      <c r="AC30" s="266">
        <v>87.5514731552021</v>
      </c>
      <c r="AD30" s="266">
        <v>85.8561648366825</v>
      </c>
      <c r="AE30" s="266">
        <v>83.9363188028304</v>
      </c>
      <c r="AF30" s="266">
        <v>81.9867154109174</v>
      </c>
      <c r="AG30" s="266">
        <v>79.621352721469</v>
      </c>
      <c r="AH30" s="266">
        <v>75.3144202172075</v>
      </c>
      <c r="AI30" s="204"/>
      <c r="AJ30" s="204"/>
      <c r="AK30" s="275"/>
      <c r="AL30" s="275"/>
      <c r="AM30" s="251"/>
      <c r="AN30" s="100" t="b">
        <f t="shared" ref="AN30:AN116" si="3">_xlfn.ISFORMULA(H30)</f>
        <v>0</v>
      </c>
      <c r="AO30" s="102"/>
    </row>
    <row r="31" ht="14.25" customHeight="1" outlineLevel="2">
      <c r="A31" s="247"/>
      <c r="B31" s="201"/>
      <c r="C31" s="201"/>
      <c r="D31" s="201"/>
      <c r="E31" s="270" t="s">
        <v>309</v>
      </c>
      <c r="F31" s="249" t="s">
        <v>303</v>
      </c>
      <c r="G31" s="249" t="s">
        <v>310</v>
      </c>
      <c r="H31" s="181"/>
      <c r="I31" s="181"/>
      <c r="J31" s="181"/>
      <c r="K31" s="181"/>
      <c r="L31" s="181"/>
      <c r="M31" s="181"/>
      <c r="N31" s="181"/>
      <c r="O31" s="181"/>
      <c r="P31" s="181"/>
      <c r="Q31" s="181"/>
      <c r="R31" s="181">
        <v>45.0</v>
      </c>
      <c r="S31" s="181">
        <v>45.0</v>
      </c>
      <c r="T31" s="181">
        <v>45.0</v>
      </c>
      <c r="U31" s="181">
        <v>45.0</v>
      </c>
      <c r="V31" s="181">
        <v>45.0</v>
      </c>
      <c r="W31" s="182">
        <v>45.0</v>
      </c>
      <c r="X31" s="181">
        <v>45.0</v>
      </c>
      <c r="Y31" s="181">
        <v>45.0</v>
      </c>
      <c r="Z31" s="181">
        <v>45.0</v>
      </c>
      <c r="AA31" s="181">
        <v>45.0</v>
      </c>
      <c r="AB31" s="182">
        <v>45.0</v>
      </c>
      <c r="AC31" s="182">
        <v>45.0</v>
      </c>
      <c r="AD31" s="182">
        <v>45.0</v>
      </c>
      <c r="AE31" s="182">
        <v>45.0</v>
      </c>
      <c r="AF31" s="182">
        <v>45.0</v>
      </c>
      <c r="AG31" s="182">
        <v>45.0</v>
      </c>
      <c r="AH31" s="182">
        <v>45.0</v>
      </c>
      <c r="AI31" s="204"/>
      <c r="AJ31" s="204"/>
      <c r="AK31" s="275"/>
      <c r="AL31" s="275"/>
      <c r="AM31" s="251"/>
      <c r="AN31" s="100" t="b">
        <f t="shared" si="3"/>
        <v>0</v>
      </c>
      <c r="AO31" s="102"/>
    </row>
    <row r="32" ht="14.25" customHeight="1" outlineLevel="2">
      <c r="A32" s="247"/>
      <c r="B32" s="201"/>
      <c r="C32" s="201"/>
      <c r="D32" s="201"/>
      <c r="E32" s="270" t="s">
        <v>311</v>
      </c>
      <c r="F32" s="249" t="s">
        <v>303</v>
      </c>
      <c r="G32" s="249" t="s">
        <v>312</v>
      </c>
      <c r="H32" s="181"/>
      <c r="I32" s="181"/>
      <c r="J32" s="181"/>
      <c r="K32" s="181"/>
      <c r="L32" s="181"/>
      <c r="M32" s="181"/>
      <c r="N32" s="181"/>
      <c r="O32" s="181"/>
      <c r="P32" s="181"/>
      <c r="Q32" s="181"/>
      <c r="R32" s="181"/>
      <c r="S32" s="181"/>
      <c r="T32" s="181"/>
      <c r="U32" s="181"/>
      <c r="V32" s="181"/>
      <c r="W32" s="182">
        <v>15.0</v>
      </c>
      <c r="X32" s="181">
        <v>15.0</v>
      </c>
      <c r="Y32" s="181">
        <v>15.0</v>
      </c>
      <c r="Z32" s="181">
        <v>15.0</v>
      </c>
      <c r="AA32" s="181">
        <v>15.0</v>
      </c>
      <c r="AB32" s="182">
        <v>15.0</v>
      </c>
      <c r="AC32" s="182">
        <v>15.0</v>
      </c>
      <c r="AD32" s="182">
        <v>15.0</v>
      </c>
      <c r="AE32" s="182">
        <v>15.0</v>
      </c>
      <c r="AF32" s="182">
        <v>15.0</v>
      </c>
      <c r="AG32" s="182">
        <v>15.0</v>
      </c>
      <c r="AH32" s="182">
        <v>15.0</v>
      </c>
      <c r="AI32" s="204"/>
      <c r="AJ32" s="204"/>
      <c r="AK32" s="275"/>
      <c r="AL32" s="275"/>
      <c r="AM32" s="251"/>
      <c r="AN32" s="100" t="b">
        <f t="shared" si="3"/>
        <v>0</v>
      </c>
      <c r="AO32" s="102"/>
    </row>
    <row r="33" ht="14.25" customHeight="1" outlineLevel="2">
      <c r="A33" s="247"/>
      <c r="B33" s="201"/>
      <c r="C33" s="201"/>
      <c r="D33" s="201"/>
      <c r="E33" s="122" t="s">
        <v>313</v>
      </c>
      <c r="F33" s="123" t="s">
        <v>314</v>
      </c>
      <c r="G33" s="123" t="s">
        <v>315</v>
      </c>
      <c r="H33" s="254"/>
      <c r="I33" s="254"/>
      <c r="J33" s="254"/>
      <c r="K33" s="254"/>
      <c r="L33" s="254"/>
      <c r="M33" s="254"/>
      <c r="N33" s="254"/>
      <c r="O33" s="254"/>
      <c r="P33" s="254"/>
      <c r="Q33" s="254"/>
      <c r="R33" s="254"/>
      <c r="S33" s="254"/>
      <c r="T33" s="254"/>
      <c r="U33" s="254"/>
      <c r="V33" s="254"/>
      <c r="W33" s="255">
        <v>0.0</v>
      </c>
      <c r="X33" s="254">
        <v>0.00119878445948226</v>
      </c>
      <c r="Y33" s="254">
        <v>0.0047884337489595</v>
      </c>
      <c r="Z33" s="254">
        <v>0.0107488730935081</v>
      </c>
      <c r="AA33" s="254">
        <v>0.0190467692985348</v>
      </c>
      <c r="AB33" s="256">
        <v>0.029635717162522</v>
      </c>
      <c r="AC33" s="256">
        <v>0.114445656582717</v>
      </c>
      <c r="AD33" s="256">
        <v>0.242704631880923</v>
      </c>
      <c r="AE33" s="256">
        <v>0.396680518726941</v>
      </c>
      <c r="AF33" s="256">
        <v>0.555085765407071</v>
      </c>
      <c r="AG33" s="256">
        <v>0.696020450125138</v>
      </c>
      <c r="AH33" s="256">
        <v>0.8</v>
      </c>
      <c r="AI33" s="204"/>
      <c r="AJ33" s="204"/>
      <c r="AK33" s="275"/>
      <c r="AL33" s="275"/>
      <c r="AM33" s="251"/>
      <c r="AN33" s="100" t="b">
        <f t="shared" si="3"/>
        <v>0</v>
      </c>
      <c r="AO33" s="102"/>
    </row>
    <row r="34" ht="13.5" customHeight="1" outlineLevel="2">
      <c r="A34" s="247"/>
      <c r="B34" s="201"/>
      <c r="C34" s="162" t="s">
        <v>298</v>
      </c>
      <c r="D34" s="271"/>
      <c r="E34" s="162"/>
      <c r="F34" s="162"/>
      <c r="G34" s="162"/>
      <c r="H34" s="178"/>
      <c r="I34" s="178"/>
      <c r="J34" s="178"/>
      <c r="K34" s="178"/>
      <c r="L34" s="178"/>
      <c r="M34" s="178"/>
      <c r="N34" s="178"/>
      <c r="O34" s="178"/>
      <c r="P34" s="178"/>
      <c r="Q34" s="178"/>
      <c r="R34" s="178"/>
      <c r="S34" s="178"/>
      <c r="T34" s="178"/>
      <c r="U34" s="178"/>
      <c r="V34" s="178"/>
      <c r="W34" s="178"/>
      <c r="X34" s="178"/>
      <c r="Y34" s="178"/>
      <c r="Z34" s="178"/>
      <c r="AA34" s="178"/>
      <c r="AB34" s="272"/>
      <c r="AC34" s="272"/>
      <c r="AD34" s="272"/>
      <c r="AE34" s="272"/>
      <c r="AF34" s="272"/>
      <c r="AG34" s="272"/>
      <c r="AH34" s="272"/>
      <c r="AI34" s="244"/>
      <c r="AJ34" s="244"/>
      <c r="AK34" s="244"/>
      <c r="AL34" s="244"/>
      <c r="AM34" s="162"/>
      <c r="AN34" s="100" t="b">
        <f t="shared" si="3"/>
        <v>0</v>
      </c>
      <c r="AO34" s="102"/>
    </row>
    <row r="35" ht="14.25" customHeight="1" outlineLevel="3">
      <c r="A35" s="200"/>
      <c r="B35" s="100"/>
      <c r="C35" s="201"/>
      <c r="D35" s="271"/>
      <c r="E35" s="273" t="str">
        <f t="array" ref="E35:E36">'EDCM - Residential'!E34:E35</f>
        <v>Heating needs of unrenovated recently built buildings</v>
      </c>
      <c r="F35" s="249" t="s">
        <v>303</v>
      </c>
      <c r="G35" s="162"/>
      <c r="H35" s="274" t="str">
        <f t="array" ref="H35:AH36">'EDCM - Residential'!H34:AH35</f>
        <v/>
      </c>
      <c r="I35" s="274"/>
      <c r="J35" s="274"/>
      <c r="K35" s="274"/>
      <c r="L35" s="274"/>
      <c r="M35" s="274"/>
      <c r="N35" s="274"/>
      <c r="O35" s="274"/>
      <c r="P35" s="274"/>
      <c r="Q35" s="274"/>
      <c r="R35" s="274"/>
      <c r="S35" s="274"/>
      <c r="T35" s="274"/>
      <c r="U35" s="274"/>
      <c r="V35" s="274"/>
      <c r="W35" s="274"/>
      <c r="X35" s="274"/>
      <c r="Y35" s="274"/>
      <c r="Z35" s="274"/>
      <c r="AA35" s="274"/>
      <c r="AB35" s="274">
        <v>15.0</v>
      </c>
      <c r="AC35" s="274">
        <v>14.999999999999998</v>
      </c>
      <c r="AD35" s="274">
        <v>15.0</v>
      </c>
      <c r="AE35" s="274">
        <v>15.000000000000004</v>
      </c>
      <c r="AF35" s="274">
        <v>15.0</v>
      </c>
      <c r="AG35" s="274">
        <v>15.000000000000004</v>
      </c>
      <c r="AH35" s="274">
        <v>15.000000000000002</v>
      </c>
      <c r="AI35" s="204"/>
      <c r="AJ35" s="275"/>
      <c r="AK35" s="204"/>
      <c r="AL35" s="204"/>
      <c r="AM35" s="251"/>
      <c r="AN35" s="100" t="b">
        <f t="shared" si="3"/>
        <v>1</v>
      </c>
      <c r="AO35" s="102"/>
    </row>
    <row r="36" ht="14.25" customHeight="1" outlineLevel="3">
      <c r="A36" s="200"/>
      <c r="B36" s="201"/>
      <c r="C36" s="201"/>
      <c r="D36" s="271"/>
      <c r="E36" s="273" t="s">
        <v>316</v>
      </c>
      <c r="F36" s="123" t="s">
        <v>303</v>
      </c>
      <c r="G36" s="162"/>
      <c r="H36" s="274"/>
      <c r="I36" s="274"/>
      <c r="J36" s="274"/>
      <c r="K36" s="274"/>
      <c r="L36" s="274"/>
      <c r="M36" s="274"/>
      <c r="N36" s="274"/>
      <c r="O36" s="274"/>
      <c r="P36" s="274"/>
      <c r="Q36" s="274"/>
      <c r="R36" s="274"/>
      <c r="S36" s="274"/>
      <c r="T36" s="274"/>
      <c r="U36" s="274"/>
      <c r="V36" s="274"/>
      <c r="W36" s="274">
        <v>89.54449409453609</v>
      </c>
      <c r="X36" s="274"/>
      <c r="Y36" s="274"/>
      <c r="Z36" s="274"/>
      <c r="AA36" s="274"/>
      <c r="AB36" s="274">
        <v>92.69599906775343</v>
      </c>
      <c r="AC36" s="274">
        <v>92.72085826492665</v>
      </c>
      <c r="AD36" s="274">
        <v>92.63872593982288</v>
      </c>
      <c r="AE36" s="274">
        <v>91.59809603861933</v>
      </c>
      <c r="AF36" s="274">
        <v>90.71033967274288</v>
      </c>
      <c r="AG36" s="274">
        <v>89.02013670816046</v>
      </c>
      <c r="AH36" s="274">
        <v>84.91347654599168</v>
      </c>
      <c r="AI36" s="204"/>
      <c r="AJ36" s="275"/>
      <c r="AK36" s="204"/>
      <c r="AL36" s="204"/>
      <c r="AM36" s="251"/>
      <c r="AN36" s="100" t="b">
        <f t="shared" si="3"/>
        <v>0</v>
      </c>
      <c r="AO36" s="102"/>
    </row>
    <row r="37" ht="14.25" customHeight="1" outlineLevel="3">
      <c r="A37" s="200"/>
      <c r="B37" s="100"/>
      <c r="C37" s="201"/>
      <c r="D37" s="271"/>
      <c r="E37" s="273" t="s">
        <v>317</v>
      </c>
      <c r="F37" s="123" t="s">
        <v>318</v>
      </c>
      <c r="G37" s="162"/>
      <c r="H37" s="254"/>
      <c r="I37" s="254"/>
      <c r="J37" s="254"/>
      <c r="K37" s="254"/>
      <c r="L37" s="254"/>
      <c r="M37" s="254"/>
      <c r="N37" s="254"/>
      <c r="O37" s="254"/>
      <c r="P37" s="254"/>
      <c r="Q37" s="254"/>
      <c r="R37" s="254"/>
      <c r="S37" s="254"/>
      <c r="T37" s="254"/>
      <c r="U37" s="254"/>
      <c r="V37" s="254"/>
      <c r="W37" s="254"/>
      <c r="X37" s="274"/>
      <c r="Y37" s="274"/>
      <c r="Z37" s="274"/>
      <c r="AA37" s="274"/>
      <c r="AB37" s="276">
        <f>(AB33-W33)/5</f>
        <v>0.005927143433</v>
      </c>
      <c r="AC37" s="276">
        <f t="shared" ref="AC37:AH37" si="4">(AC33-AB33)/5</f>
        <v>0.01696198788</v>
      </c>
      <c r="AD37" s="276">
        <f t="shared" si="4"/>
        <v>0.02565179506</v>
      </c>
      <c r="AE37" s="276">
        <f t="shared" si="4"/>
        <v>0.03079517737</v>
      </c>
      <c r="AF37" s="276">
        <f t="shared" si="4"/>
        <v>0.03168104934</v>
      </c>
      <c r="AG37" s="276">
        <f t="shared" si="4"/>
        <v>0.02818693694</v>
      </c>
      <c r="AH37" s="276">
        <f t="shared" si="4"/>
        <v>0.02079590997</v>
      </c>
      <c r="AI37" s="204"/>
      <c r="AJ37" s="275"/>
      <c r="AK37" s="204"/>
      <c r="AL37" s="204"/>
      <c r="AM37" s="251"/>
      <c r="AN37" s="100" t="b">
        <f t="shared" si="3"/>
        <v>0</v>
      </c>
      <c r="AO37" s="102"/>
    </row>
    <row r="38" ht="14.25" customHeight="1" outlineLevel="1">
      <c r="A38" s="247"/>
      <c r="B38" s="246" t="s">
        <v>319</v>
      </c>
      <c r="C38" s="246"/>
      <c r="D38" s="201"/>
      <c r="E38" s="162"/>
      <c r="F38" s="162"/>
      <c r="G38" s="162"/>
      <c r="H38" s="178"/>
      <c r="I38" s="178"/>
      <c r="J38" s="178"/>
      <c r="K38" s="178"/>
      <c r="L38" s="178"/>
      <c r="M38" s="178"/>
      <c r="N38" s="178"/>
      <c r="O38" s="178"/>
      <c r="P38" s="178"/>
      <c r="Q38" s="178"/>
      <c r="R38" s="178"/>
      <c r="S38" s="178"/>
      <c r="T38" s="178"/>
      <c r="U38" s="178"/>
      <c r="V38" s="178"/>
      <c r="W38" s="178"/>
      <c r="X38" s="178"/>
      <c r="Y38" s="178"/>
      <c r="Z38" s="178"/>
      <c r="AA38" s="178"/>
      <c r="AB38" s="178"/>
      <c r="AC38" s="178"/>
      <c r="AD38" s="178"/>
      <c r="AE38" s="178"/>
      <c r="AF38" s="178"/>
      <c r="AG38" s="178"/>
      <c r="AH38" s="178"/>
      <c r="AI38" s="244"/>
      <c r="AJ38" s="244"/>
      <c r="AK38" s="244"/>
      <c r="AL38" s="244"/>
      <c r="AM38" s="162"/>
      <c r="AN38" s="100" t="b">
        <f t="shared" si="3"/>
        <v>0</v>
      </c>
      <c r="AO38" s="102"/>
    </row>
    <row r="39" ht="14.25" customHeight="1" outlineLevel="2">
      <c r="A39" s="247"/>
      <c r="B39" s="201"/>
      <c r="C39" s="246" t="s">
        <v>320</v>
      </c>
      <c r="D39" s="201"/>
      <c r="E39" s="162"/>
      <c r="F39" s="162"/>
      <c r="G39" s="162"/>
      <c r="H39" s="178"/>
      <c r="I39" s="178"/>
      <c r="J39" s="178"/>
      <c r="K39" s="178"/>
      <c r="L39" s="178"/>
      <c r="M39" s="178"/>
      <c r="N39" s="178"/>
      <c r="O39" s="178"/>
      <c r="P39" s="178"/>
      <c r="Q39" s="178"/>
      <c r="R39" s="178"/>
      <c r="S39" s="178"/>
      <c r="T39" s="178"/>
      <c r="U39" s="178"/>
      <c r="V39" s="178"/>
      <c r="W39" s="178"/>
      <c r="X39" s="178"/>
      <c r="Y39" s="178"/>
      <c r="Z39" s="178"/>
      <c r="AA39" s="178"/>
      <c r="AB39" s="178"/>
      <c r="AC39" s="178"/>
      <c r="AD39" s="178"/>
      <c r="AE39" s="178"/>
      <c r="AF39" s="178"/>
      <c r="AG39" s="178"/>
      <c r="AH39" s="178"/>
      <c r="AI39" s="244"/>
      <c r="AJ39" s="244"/>
      <c r="AK39" s="244"/>
      <c r="AL39" s="244"/>
      <c r="AM39" s="162"/>
      <c r="AN39" s="100" t="b">
        <f t="shared" si="3"/>
        <v>0</v>
      </c>
      <c r="AO39" s="102"/>
    </row>
    <row r="40" ht="14.25" customHeight="1" outlineLevel="3">
      <c r="A40" s="247"/>
      <c r="B40" s="201"/>
      <c r="C40" s="201"/>
      <c r="D40" s="201"/>
      <c r="E40" s="270" t="s">
        <v>321</v>
      </c>
      <c r="F40" s="249" t="s">
        <v>206</v>
      </c>
      <c r="G40" s="249" t="s">
        <v>322</v>
      </c>
      <c r="H40" s="181">
        <v>145.231</v>
      </c>
      <c r="I40" s="181">
        <v>117.976</v>
      </c>
      <c r="J40" s="181"/>
      <c r="K40" s="181"/>
      <c r="L40" s="181"/>
      <c r="M40" s="181"/>
      <c r="N40" s="181"/>
      <c r="O40" s="181"/>
      <c r="P40" s="181"/>
      <c r="Q40" s="181"/>
      <c r="R40" s="181">
        <v>76.979</v>
      </c>
      <c r="S40" s="181">
        <v>76.272</v>
      </c>
      <c r="T40" s="181">
        <v>71.614</v>
      </c>
      <c r="U40" s="181">
        <v>71.471</v>
      </c>
      <c r="V40" s="181">
        <v>70.866</v>
      </c>
      <c r="W40" s="250">
        <v>58.8539862033456</v>
      </c>
      <c r="X40" s="181"/>
      <c r="Y40" s="181"/>
      <c r="Z40" s="181"/>
      <c r="AA40" s="181"/>
      <c r="AB40" s="182">
        <v>50.4462738885822</v>
      </c>
      <c r="AC40" s="182">
        <v>10.6490725663717</v>
      </c>
      <c r="AD40" s="182">
        <v>0.0</v>
      </c>
      <c r="AE40" s="182">
        <v>0.0</v>
      </c>
      <c r="AF40" s="182">
        <v>0.0</v>
      </c>
      <c r="AG40" s="182">
        <v>0.0</v>
      </c>
      <c r="AH40" s="182">
        <v>0.0</v>
      </c>
      <c r="AI40" s="204"/>
      <c r="AJ40" s="275"/>
      <c r="AK40" s="275"/>
      <c r="AL40" s="275"/>
      <c r="AM40" s="251"/>
      <c r="AN40" s="100" t="b">
        <f t="shared" si="3"/>
        <v>0</v>
      </c>
      <c r="AO40" s="102"/>
    </row>
    <row r="41" ht="14.25" customHeight="1" outlineLevel="3">
      <c r="A41" s="247"/>
      <c r="B41" s="201"/>
      <c r="C41" s="201"/>
      <c r="D41" s="201"/>
      <c r="E41" s="270" t="s">
        <v>323</v>
      </c>
      <c r="F41" s="249" t="s">
        <v>206</v>
      </c>
      <c r="G41" s="249" t="s">
        <v>324</v>
      </c>
      <c r="H41" s="264">
        <v>57.4111</v>
      </c>
      <c r="I41" s="264">
        <v>57.568</v>
      </c>
      <c r="J41" s="264"/>
      <c r="K41" s="264"/>
      <c r="L41" s="264"/>
      <c r="M41" s="264"/>
      <c r="N41" s="264"/>
      <c r="O41" s="264"/>
      <c r="P41" s="264"/>
      <c r="Q41" s="264"/>
      <c r="R41" s="264">
        <v>267.71</v>
      </c>
      <c r="S41" s="264">
        <v>317.366</v>
      </c>
      <c r="T41" s="264">
        <v>335.267</v>
      </c>
      <c r="U41" s="264">
        <v>336.593</v>
      </c>
      <c r="V41" s="264">
        <v>337.025</v>
      </c>
      <c r="W41" s="266">
        <v>352.741963216227</v>
      </c>
      <c r="X41" s="264"/>
      <c r="Y41" s="264"/>
      <c r="Z41" s="264"/>
      <c r="AA41" s="264"/>
      <c r="AB41" s="266">
        <v>364.877053661091</v>
      </c>
      <c r="AC41" s="266">
        <v>383.36661238938</v>
      </c>
      <c r="AD41" s="266">
        <v>388.433598214286</v>
      </c>
      <c r="AE41" s="266">
        <v>401.282324995683</v>
      </c>
      <c r="AF41" s="266">
        <v>413.417415440547</v>
      </c>
      <c r="AG41" s="266">
        <v>425.552505885411</v>
      </c>
      <c r="AH41" s="267">
        <v>437.687596330275</v>
      </c>
      <c r="AI41" s="204"/>
      <c r="AJ41" s="275"/>
      <c r="AK41" s="275"/>
      <c r="AL41" s="275"/>
      <c r="AM41" s="251"/>
      <c r="AN41" s="100" t="b">
        <f t="shared" si="3"/>
        <v>0</v>
      </c>
      <c r="AO41" s="102"/>
    </row>
    <row r="42" ht="14.25" customHeight="1" outlineLevel="3">
      <c r="A42" s="247"/>
      <c r="B42" s="201"/>
      <c r="C42" s="201"/>
      <c r="D42" s="201"/>
      <c r="E42" s="270" t="s">
        <v>325</v>
      </c>
      <c r="F42" s="249" t="s">
        <v>206</v>
      </c>
      <c r="G42" s="249" t="s">
        <v>326</v>
      </c>
      <c r="H42" s="181">
        <v>1815.4645</v>
      </c>
      <c r="I42" s="181">
        <v>1831.494</v>
      </c>
      <c r="J42" s="181"/>
      <c r="K42" s="181"/>
      <c r="L42" s="181"/>
      <c r="M42" s="181"/>
      <c r="N42" s="181"/>
      <c r="O42" s="181"/>
      <c r="P42" s="181"/>
      <c r="Q42" s="181"/>
      <c r="R42" s="181">
        <v>1894.674</v>
      </c>
      <c r="S42" s="181">
        <v>1889.062</v>
      </c>
      <c r="T42" s="181">
        <v>1886.289</v>
      </c>
      <c r="U42" s="181">
        <v>1875.5</v>
      </c>
      <c r="V42" s="181">
        <v>1875.634</v>
      </c>
      <c r="W42" s="182">
        <v>1965.58305309443</v>
      </c>
      <c r="X42" s="181"/>
      <c r="Y42" s="181"/>
      <c r="Z42" s="181"/>
      <c r="AA42" s="181"/>
      <c r="AB42" s="277">
        <f>1684.78547408094+194/2</f>
        <v>1781.785474</v>
      </c>
      <c r="AC42" s="182">
        <v>1331.13407079646</v>
      </c>
      <c r="AD42" s="182">
        <v>524.910267857143</v>
      </c>
      <c r="AE42" s="182">
        <v>271.023693693694</v>
      </c>
      <c r="AF42" s="182">
        <v>270.338204545454</v>
      </c>
      <c r="AG42" s="182">
        <v>54.3878264840183</v>
      </c>
      <c r="AH42" s="184">
        <v>0.0</v>
      </c>
      <c r="AI42" s="204"/>
      <c r="AJ42" s="275"/>
      <c r="AK42" s="275"/>
      <c r="AL42" s="275"/>
      <c r="AM42" s="251"/>
      <c r="AN42" s="100" t="b">
        <f t="shared" si="3"/>
        <v>0</v>
      </c>
      <c r="AO42" s="102"/>
    </row>
    <row r="43" ht="14.25" customHeight="1" outlineLevel="3">
      <c r="A43" s="247"/>
      <c r="B43" s="201"/>
      <c r="C43" s="201"/>
      <c r="D43" s="201"/>
      <c r="E43" s="270" t="s">
        <v>327</v>
      </c>
      <c r="F43" s="249" t="s">
        <v>206</v>
      </c>
      <c r="G43" s="249" t="s">
        <v>328</v>
      </c>
      <c r="H43" s="181">
        <v>1893.3787</v>
      </c>
      <c r="I43" s="181">
        <v>1928.996</v>
      </c>
      <c r="J43" s="181"/>
      <c r="K43" s="181"/>
      <c r="L43" s="181"/>
      <c r="M43" s="181"/>
      <c r="N43" s="181"/>
      <c r="O43" s="181"/>
      <c r="P43" s="181"/>
      <c r="Q43" s="181"/>
      <c r="R43" s="181">
        <v>2269.11</v>
      </c>
      <c r="S43" s="181">
        <v>2299.394</v>
      </c>
      <c r="T43" s="181">
        <v>2311.023</v>
      </c>
      <c r="U43" s="181">
        <v>2339.836</v>
      </c>
      <c r="V43" s="181">
        <v>2322.082</v>
      </c>
      <c r="W43" s="182">
        <v>2206.9070855074</v>
      </c>
      <c r="X43" s="181"/>
      <c r="Y43" s="181"/>
      <c r="Z43" s="181"/>
      <c r="AA43" s="181"/>
      <c r="AB43" s="277">
        <f>1907.26634458957+194/2</f>
        <v>2004.266345</v>
      </c>
      <c r="AC43" s="182">
        <v>1597.36088495575</v>
      </c>
      <c r="AD43" s="182">
        <v>1312.27566964286</v>
      </c>
      <c r="AE43" s="182">
        <v>992.082700214448</v>
      </c>
      <c r="AF43" s="182">
        <v>713.69286</v>
      </c>
      <c r="AG43" s="182">
        <v>409.062640000402</v>
      </c>
      <c r="AH43" s="184">
        <v>109.421899082569</v>
      </c>
      <c r="AI43" s="204"/>
      <c r="AJ43" s="275"/>
      <c r="AK43" s="275"/>
      <c r="AL43" s="275"/>
      <c r="AM43" s="251"/>
      <c r="AN43" s="100" t="b">
        <f t="shared" si="3"/>
        <v>0</v>
      </c>
      <c r="AO43" s="102"/>
    </row>
    <row r="44" ht="14.25" customHeight="1" outlineLevel="3">
      <c r="A44" s="247"/>
      <c r="B44" s="201"/>
      <c r="C44" s="201"/>
      <c r="D44" s="201"/>
      <c r="E44" s="270" t="s">
        <v>329</v>
      </c>
      <c r="F44" s="249" t="s">
        <v>206</v>
      </c>
      <c r="G44" s="249" t="s">
        <v>330</v>
      </c>
      <c r="H44" s="181">
        <v>298.0953</v>
      </c>
      <c r="I44" s="181">
        <v>304.036</v>
      </c>
      <c r="J44" s="181"/>
      <c r="K44" s="181"/>
      <c r="L44" s="181"/>
      <c r="M44" s="181"/>
      <c r="N44" s="181"/>
      <c r="O44" s="181"/>
      <c r="P44" s="181"/>
      <c r="Q44" s="181"/>
      <c r="R44" s="181">
        <v>184.951</v>
      </c>
      <c r="S44" s="181">
        <v>184.693</v>
      </c>
      <c r="T44" s="181">
        <v>174.537</v>
      </c>
      <c r="U44" s="181">
        <v>159.526</v>
      </c>
      <c r="V44" s="181">
        <v>130.783</v>
      </c>
      <c r="W44" s="182">
        <v>91.3279066749649</v>
      </c>
      <c r="X44" s="181"/>
      <c r="Y44" s="181"/>
      <c r="Z44" s="181"/>
      <c r="AA44" s="181"/>
      <c r="AB44" s="182">
        <v>93.9127627331938</v>
      </c>
      <c r="AC44" s="182">
        <v>96.4976187914231</v>
      </c>
      <c r="AD44" s="182">
        <v>99.0824748496522</v>
      </c>
      <c r="AE44" s="182">
        <v>101.667330907881</v>
      </c>
      <c r="AF44" s="182">
        <v>108.135281818182</v>
      </c>
      <c r="AG44" s="182">
        <v>108.775652968037</v>
      </c>
      <c r="AH44" s="184">
        <v>109.421899082569</v>
      </c>
      <c r="AI44" s="204"/>
      <c r="AJ44" s="275"/>
      <c r="AK44" s="275"/>
      <c r="AL44" s="275"/>
      <c r="AM44" s="251"/>
      <c r="AN44" s="100" t="b">
        <f t="shared" si="3"/>
        <v>0</v>
      </c>
      <c r="AO44" s="102"/>
    </row>
    <row r="45" ht="14.25" customHeight="1" outlineLevel="3">
      <c r="A45" s="247"/>
      <c r="B45" s="201"/>
      <c r="C45" s="201"/>
      <c r="D45" s="201"/>
      <c r="E45" s="270" t="s">
        <v>331</v>
      </c>
      <c r="F45" s="249" t="s">
        <v>206</v>
      </c>
      <c r="G45" s="249" t="s">
        <v>332</v>
      </c>
      <c r="H45" s="181"/>
      <c r="I45" s="181"/>
      <c r="J45" s="181"/>
      <c r="K45" s="181"/>
      <c r="L45" s="181"/>
      <c r="M45" s="181"/>
      <c r="N45" s="181"/>
      <c r="O45" s="181"/>
      <c r="P45" s="181"/>
      <c r="Q45" s="181"/>
      <c r="R45" s="181"/>
      <c r="S45" s="181"/>
      <c r="T45" s="181"/>
      <c r="U45" s="181"/>
      <c r="V45" s="181"/>
      <c r="W45" s="182">
        <v>1.92237276722988</v>
      </c>
      <c r="X45" s="181"/>
      <c r="Y45" s="181"/>
      <c r="Z45" s="181"/>
      <c r="AA45" s="181"/>
      <c r="AB45" s="277">
        <v>3.0</v>
      </c>
      <c r="AC45" s="182">
        <v>392.165620128624</v>
      </c>
      <c r="AD45" s="182">
        <v>587.287243809322</v>
      </c>
      <c r="AE45" s="182">
        <v>782.408867490019</v>
      </c>
      <c r="AF45" s="182">
        <v>984.031064545454</v>
      </c>
      <c r="AG45" s="182">
        <v>1180.2158347032</v>
      </c>
      <c r="AH45" s="184">
        <v>1367.77373853211</v>
      </c>
      <c r="AI45" s="204"/>
      <c r="AJ45" s="275"/>
      <c r="AK45" s="275"/>
      <c r="AL45" s="275"/>
      <c r="AM45" s="251"/>
      <c r="AN45" s="100" t="b">
        <f t="shared" si="3"/>
        <v>0</v>
      </c>
      <c r="AO45" s="102"/>
    </row>
    <row r="46" ht="14.25" customHeight="1" outlineLevel="3">
      <c r="A46" s="247"/>
      <c r="B46" s="201"/>
      <c r="C46" s="201"/>
      <c r="D46" s="201"/>
      <c r="E46" s="122" t="s">
        <v>333</v>
      </c>
      <c r="F46" s="123" t="s">
        <v>206</v>
      </c>
      <c r="G46" s="123" t="s">
        <v>334</v>
      </c>
      <c r="H46" s="181"/>
      <c r="I46" s="181"/>
      <c r="J46" s="181"/>
      <c r="K46" s="181"/>
      <c r="L46" s="181"/>
      <c r="M46" s="181"/>
      <c r="N46" s="181"/>
      <c r="O46" s="181"/>
      <c r="P46" s="181"/>
      <c r="Q46" s="181"/>
      <c r="R46" s="181">
        <v>43.401</v>
      </c>
      <c r="S46" s="181">
        <v>51.411</v>
      </c>
      <c r="T46" s="181">
        <v>72.727</v>
      </c>
      <c r="U46" s="181">
        <v>92.958</v>
      </c>
      <c r="V46" s="181">
        <v>158.181</v>
      </c>
      <c r="W46" s="182">
        <v>230.840379465601</v>
      </c>
      <c r="X46" s="181"/>
      <c r="Y46" s="181"/>
      <c r="Z46" s="181"/>
      <c r="AA46" s="181"/>
      <c r="AB46" s="182">
        <v>770.979988871828</v>
      </c>
      <c r="AC46" s="182">
        <v>1512.16830442478</v>
      </c>
      <c r="AD46" s="182">
        <v>2335.85069196429</v>
      </c>
      <c r="AE46" s="182">
        <v>2872.85115315315</v>
      </c>
      <c r="AF46" s="182">
        <v>2919.65260909091</v>
      </c>
      <c r="AG46" s="182">
        <v>3263.2695890411</v>
      </c>
      <c r="AH46" s="184">
        <v>3446.78982110092</v>
      </c>
      <c r="AI46" s="204"/>
      <c r="AJ46" s="275"/>
      <c r="AK46" s="275"/>
      <c r="AL46" s="275"/>
      <c r="AM46" s="251"/>
      <c r="AN46" s="100" t="b">
        <f t="shared" si="3"/>
        <v>0</v>
      </c>
      <c r="AO46" s="102"/>
    </row>
    <row r="47" ht="14.25" customHeight="1" outlineLevel="3">
      <c r="A47" s="247"/>
      <c r="B47" s="201"/>
      <c r="C47" s="201"/>
      <c r="D47" s="201"/>
      <c r="E47" s="122" t="s">
        <v>335</v>
      </c>
      <c r="F47" s="123" t="s">
        <v>206</v>
      </c>
      <c r="G47" s="123" t="s">
        <v>336</v>
      </c>
      <c r="H47" s="181"/>
      <c r="I47" s="181"/>
      <c r="J47" s="181"/>
      <c r="K47" s="181"/>
      <c r="L47" s="181"/>
      <c r="M47" s="181"/>
      <c r="N47" s="181"/>
      <c r="O47" s="181"/>
      <c r="P47" s="181"/>
      <c r="Q47" s="181"/>
      <c r="R47" s="181"/>
      <c r="S47" s="181"/>
      <c r="T47" s="181"/>
      <c r="U47" s="181"/>
      <c r="V47" s="181"/>
      <c r="W47" s="182">
        <v>0.0</v>
      </c>
      <c r="X47" s="181"/>
      <c r="Y47" s="181"/>
      <c r="Z47" s="181"/>
      <c r="AA47" s="181"/>
      <c r="AB47" s="182">
        <v>0.0</v>
      </c>
      <c r="AC47" s="182">
        <v>0.0</v>
      </c>
      <c r="AD47" s="182">
        <v>0.0</v>
      </c>
      <c r="AE47" s="182">
        <v>0.0</v>
      </c>
      <c r="AF47" s="182">
        <v>0.0</v>
      </c>
      <c r="AG47" s="182">
        <v>0.0</v>
      </c>
      <c r="AH47" s="184">
        <v>0.0</v>
      </c>
      <c r="AI47" s="204"/>
      <c r="AJ47" s="275"/>
      <c r="AK47" s="275"/>
      <c r="AL47" s="275"/>
      <c r="AM47" s="251"/>
      <c r="AN47" s="100" t="b">
        <f t="shared" si="3"/>
        <v>0</v>
      </c>
      <c r="AO47" s="102"/>
    </row>
    <row r="48" ht="14.25" customHeight="1" outlineLevel="2">
      <c r="A48" s="247"/>
      <c r="B48" s="201"/>
      <c r="C48" s="246" t="s">
        <v>337</v>
      </c>
      <c r="D48" s="201"/>
      <c r="E48" s="162"/>
      <c r="F48" s="162"/>
      <c r="G48" s="162"/>
      <c r="H48" s="178"/>
      <c r="I48" s="178"/>
      <c r="J48" s="178"/>
      <c r="K48" s="178"/>
      <c r="L48" s="178"/>
      <c r="M48" s="178"/>
      <c r="N48" s="178"/>
      <c r="O48" s="178"/>
      <c r="P48" s="178"/>
      <c r="Q48" s="178"/>
      <c r="R48" s="178"/>
      <c r="S48" s="178"/>
      <c r="T48" s="178"/>
      <c r="U48" s="178"/>
      <c r="V48" s="178"/>
      <c r="W48" s="178"/>
      <c r="X48" s="178"/>
      <c r="Y48" s="178"/>
      <c r="Z48" s="178"/>
      <c r="AA48" s="178"/>
      <c r="AB48" s="178"/>
      <c r="AC48" s="178"/>
      <c r="AD48" s="178"/>
      <c r="AE48" s="178"/>
      <c r="AF48" s="178"/>
      <c r="AG48" s="178"/>
      <c r="AH48" s="178"/>
      <c r="AI48" s="244"/>
      <c r="AJ48" s="244"/>
      <c r="AK48" s="244"/>
      <c r="AL48" s="244"/>
      <c r="AM48" s="162"/>
      <c r="AN48" s="100" t="b">
        <f t="shared" si="3"/>
        <v>0</v>
      </c>
      <c r="AO48" s="102"/>
    </row>
    <row r="49" ht="14.25" customHeight="1" outlineLevel="3">
      <c r="A49" s="247"/>
      <c r="B49" s="201"/>
      <c r="C49" s="201"/>
      <c r="D49" s="201"/>
      <c r="E49" s="278" t="s">
        <v>338</v>
      </c>
      <c r="F49" s="249" t="s">
        <v>261</v>
      </c>
      <c r="G49" s="249" t="s">
        <v>339</v>
      </c>
      <c r="H49" s="254"/>
      <c r="I49" s="254"/>
      <c r="J49" s="254"/>
      <c r="K49" s="254"/>
      <c r="L49" s="254"/>
      <c r="M49" s="254"/>
      <c r="N49" s="254"/>
      <c r="O49" s="254"/>
      <c r="P49" s="254"/>
      <c r="Q49" s="254"/>
      <c r="R49" s="254"/>
      <c r="S49" s="254"/>
      <c r="T49" s="254"/>
      <c r="U49" s="254"/>
      <c r="V49" s="254"/>
      <c r="W49" s="279">
        <v>0.533</v>
      </c>
      <c r="X49" s="254"/>
      <c r="Y49" s="254"/>
      <c r="Z49" s="254"/>
      <c r="AA49" s="254"/>
      <c r="AB49" s="279">
        <v>0.55</v>
      </c>
      <c r="AC49" s="279">
        <v>0.57</v>
      </c>
      <c r="AD49" s="279">
        <v>0.59</v>
      </c>
      <c r="AE49" s="279">
        <v>0.61</v>
      </c>
      <c r="AF49" s="279">
        <v>0.64</v>
      </c>
      <c r="AG49" s="279">
        <v>0.67</v>
      </c>
      <c r="AH49" s="279">
        <v>0.7</v>
      </c>
      <c r="AI49" s="204"/>
      <c r="AJ49" s="275"/>
      <c r="AK49" s="275"/>
      <c r="AL49" s="275"/>
      <c r="AM49" s="251"/>
      <c r="AN49" s="100" t="b">
        <f t="shared" si="3"/>
        <v>0</v>
      </c>
      <c r="AO49" s="102"/>
    </row>
    <row r="50" ht="14.25" customHeight="1" outlineLevel="3">
      <c r="A50" s="247"/>
      <c r="B50" s="201"/>
      <c r="C50" s="201"/>
      <c r="D50" s="201"/>
      <c r="E50" s="278" t="s">
        <v>340</v>
      </c>
      <c r="F50" s="249" t="s">
        <v>261</v>
      </c>
      <c r="G50" s="249" t="s">
        <v>341</v>
      </c>
      <c r="H50" s="254"/>
      <c r="I50" s="254"/>
      <c r="J50" s="254"/>
      <c r="K50" s="254"/>
      <c r="L50" s="254"/>
      <c r="M50" s="254"/>
      <c r="N50" s="254"/>
      <c r="O50" s="254"/>
      <c r="P50" s="254"/>
      <c r="Q50" s="254"/>
      <c r="R50" s="254"/>
      <c r="S50" s="254"/>
      <c r="T50" s="254"/>
      <c r="U50" s="254"/>
      <c r="V50" s="254"/>
      <c r="W50" s="279">
        <v>0.564</v>
      </c>
      <c r="X50" s="254"/>
      <c r="Y50" s="254"/>
      <c r="Z50" s="254"/>
      <c r="AA50" s="254"/>
      <c r="AB50" s="279">
        <v>0.58</v>
      </c>
      <c r="AC50" s="279">
        <v>0.6</v>
      </c>
      <c r="AD50" s="279">
        <v>0.62</v>
      </c>
      <c r="AE50" s="279">
        <v>0.64</v>
      </c>
      <c r="AF50" s="279">
        <v>0.66</v>
      </c>
      <c r="AG50" s="279">
        <v>0.68</v>
      </c>
      <c r="AH50" s="279">
        <v>0.7</v>
      </c>
      <c r="AI50" s="204"/>
      <c r="AJ50" s="275"/>
      <c r="AK50" s="275"/>
      <c r="AL50" s="275"/>
      <c r="AM50" s="251"/>
      <c r="AN50" s="100" t="b">
        <f t="shared" si="3"/>
        <v>0</v>
      </c>
      <c r="AO50" s="102"/>
    </row>
    <row r="51" ht="14.25" customHeight="1" outlineLevel="3">
      <c r="A51" s="247"/>
      <c r="B51" s="201"/>
      <c r="C51" s="201"/>
      <c r="D51" s="201"/>
      <c r="E51" s="278" t="s">
        <v>342</v>
      </c>
      <c r="F51" s="249" t="s">
        <v>261</v>
      </c>
      <c r="G51" s="249" t="s">
        <v>343</v>
      </c>
      <c r="H51" s="254"/>
      <c r="I51" s="254"/>
      <c r="J51" s="254"/>
      <c r="K51" s="254"/>
      <c r="L51" s="254"/>
      <c r="M51" s="254"/>
      <c r="N51" s="254"/>
      <c r="O51" s="254"/>
      <c r="P51" s="254"/>
      <c r="Q51" s="254"/>
      <c r="R51" s="254"/>
      <c r="S51" s="254"/>
      <c r="T51" s="254"/>
      <c r="U51" s="254"/>
      <c r="V51" s="254"/>
      <c r="W51" s="279">
        <v>0.668</v>
      </c>
      <c r="X51" s="254"/>
      <c r="Y51" s="254"/>
      <c r="Z51" s="254"/>
      <c r="AA51" s="254"/>
      <c r="AB51" s="279">
        <v>0.68</v>
      </c>
      <c r="AC51" s="279">
        <v>0.69</v>
      </c>
      <c r="AD51" s="279">
        <v>0.7</v>
      </c>
      <c r="AE51" s="279">
        <v>0.71</v>
      </c>
      <c r="AF51" s="279">
        <v>0.72</v>
      </c>
      <c r="AG51" s="279">
        <v>0.73</v>
      </c>
      <c r="AH51" s="279">
        <v>0.74</v>
      </c>
      <c r="AI51" s="204"/>
      <c r="AJ51" s="275"/>
      <c r="AK51" s="275"/>
      <c r="AL51" s="275"/>
      <c r="AM51" s="251"/>
      <c r="AN51" s="100" t="b">
        <f t="shared" si="3"/>
        <v>0</v>
      </c>
      <c r="AO51" s="102"/>
    </row>
    <row r="52" ht="14.25" customHeight="1" outlineLevel="3">
      <c r="A52" s="247"/>
      <c r="B52" s="201"/>
      <c r="C52" s="201"/>
      <c r="D52" s="201"/>
      <c r="E52" s="278" t="s">
        <v>344</v>
      </c>
      <c r="F52" s="249" t="s">
        <v>261</v>
      </c>
      <c r="G52" s="249" t="s">
        <v>345</v>
      </c>
      <c r="H52" s="254"/>
      <c r="I52" s="254"/>
      <c r="J52" s="254"/>
      <c r="K52" s="254"/>
      <c r="L52" s="254"/>
      <c r="M52" s="254"/>
      <c r="N52" s="254"/>
      <c r="O52" s="254"/>
      <c r="P52" s="254"/>
      <c r="Q52" s="254"/>
      <c r="R52" s="254"/>
      <c r="S52" s="254"/>
      <c r="T52" s="254"/>
      <c r="U52" s="254"/>
      <c r="V52" s="254"/>
      <c r="W52" s="279">
        <v>0.697</v>
      </c>
      <c r="X52" s="254"/>
      <c r="Y52" s="254"/>
      <c r="Z52" s="254"/>
      <c r="AA52" s="254"/>
      <c r="AB52" s="279">
        <v>0.7</v>
      </c>
      <c r="AC52" s="279">
        <v>0.71</v>
      </c>
      <c r="AD52" s="279">
        <v>0.72</v>
      </c>
      <c r="AE52" s="279">
        <v>0.73</v>
      </c>
      <c r="AF52" s="279">
        <v>0.74</v>
      </c>
      <c r="AG52" s="279">
        <v>0.75</v>
      </c>
      <c r="AH52" s="279">
        <v>0.75</v>
      </c>
      <c r="AI52" s="204"/>
      <c r="AJ52" s="275"/>
      <c r="AK52" s="275"/>
      <c r="AL52" s="275"/>
      <c r="AM52" s="251"/>
      <c r="AN52" s="100" t="b">
        <f t="shared" si="3"/>
        <v>0</v>
      </c>
      <c r="AO52" s="102"/>
    </row>
    <row r="53" ht="14.25" customHeight="1" outlineLevel="3">
      <c r="A53" s="247"/>
      <c r="B53" s="201"/>
      <c r="C53" s="201"/>
      <c r="D53" s="201"/>
      <c r="E53" s="278" t="s">
        <v>346</v>
      </c>
      <c r="F53" s="249" t="s">
        <v>261</v>
      </c>
      <c r="G53" s="249" t="s">
        <v>347</v>
      </c>
      <c r="H53" s="254"/>
      <c r="I53" s="254"/>
      <c r="J53" s="254"/>
      <c r="K53" s="254"/>
      <c r="L53" s="254"/>
      <c r="M53" s="254"/>
      <c r="N53" s="254"/>
      <c r="O53" s="254"/>
      <c r="P53" s="254"/>
      <c r="Q53" s="254"/>
      <c r="R53" s="254"/>
      <c r="S53" s="254"/>
      <c r="T53" s="254"/>
      <c r="U53" s="254"/>
      <c r="V53" s="254"/>
      <c r="W53" s="279">
        <v>0.871</v>
      </c>
      <c r="X53" s="254"/>
      <c r="Y53" s="254"/>
      <c r="Z53" s="254"/>
      <c r="AA53" s="254"/>
      <c r="AB53" s="279">
        <v>0.88</v>
      </c>
      <c r="AC53" s="279">
        <v>0.89</v>
      </c>
      <c r="AD53" s="279">
        <v>0.91</v>
      </c>
      <c r="AE53" s="279">
        <v>0.93</v>
      </c>
      <c r="AF53" s="279">
        <v>0.95</v>
      </c>
      <c r="AG53" s="279">
        <v>0.97</v>
      </c>
      <c r="AH53" s="279">
        <v>0.99</v>
      </c>
      <c r="AI53" s="204"/>
      <c r="AJ53" s="275"/>
      <c r="AK53" s="275"/>
      <c r="AL53" s="275"/>
      <c r="AM53" s="251"/>
      <c r="AN53" s="100" t="b">
        <f t="shared" si="3"/>
        <v>0</v>
      </c>
      <c r="AO53" s="102"/>
    </row>
    <row r="54" ht="14.25" customHeight="1" outlineLevel="3">
      <c r="A54" s="247"/>
      <c r="B54" s="201"/>
      <c r="C54" s="201"/>
      <c r="D54" s="201"/>
      <c r="E54" s="278" t="s">
        <v>348</v>
      </c>
      <c r="F54" s="249" t="s">
        <v>261</v>
      </c>
      <c r="G54" s="249" t="s">
        <v>349</v>
      </c>
      <c r="H54" s="254"/>
      <c r="I54" s="254"/>
      <c r="J54" s="254"/>
      <c r="K54" s="254"/>
      <c r="L54" s="254"/>
      <c r="M54" s="254"/>
      <c r="N54" s="254"/>
      <c r="O54" s="254"/>
      <c r="P54" s="254"/>
      <c r="Q54" s="254"/>
      <c r="R54" s="254"/>
      <c r="S54" s="254"/>
      <c r="T54" s="254"/>
      <c r="U54" s="254"/>
      <c r="V54" s="254"/>
      <c r="W54" s="279">
        <v>0.829</v>
      </c>
      <c r="X54" s="254"/>
      <c r="Y54" s="254"/>
      <c r="Z54" s="254"/>
      <c r="AA54" s="254"/>
      <c r="AB54" s="279">
        <v>0.84</v>
      </c>
      <c r="AC54" s="279">
        <v>0.85</v>
      </c>
      <c r="AD54" s="279">
        <v>0.86</v>
      </c>
      <c r="AE54" s="279">
        <v>0.87</v>
      </c>
      <c r="AF54" s="279">
        <v>0.88</v>
      </c>
      <c r="AG54" s="279">
        <v>0.89</v>
      </c>
      <c r="AH54" s="279">
        <v>0.9</v>
      </c>
      <c r="AI54" s="204"/>
      <c r="AJ54" s="275"/>
      <c r="AK54" s="275"/>
      <c r="AL54" s="275"/>
      <c r="AM54" s="251"/>
      <c r="AN54" s="100" t="b">
        <f t="shared" si="3"/>
        <v>0</v>
      </c>
      <c r="AO54" s="102"/>
    </row>
    <row r="55" ht="14.25" customHeight="1" outlineLevel="3">
      <c r="A55" s="247"/>
      <c r="B55" s="201"/>
      <c r="C55" s="201"/>
      <c r="D55" s="201"/>
      <c r="E55" s="278" t="s">
        <v>350</v>
      </c>
      <c r="F55" s="123" t="s">
        <v>261</v>
      </c>
      <c r="G55" s="123" t="s">
        <v>351</v>
      </c>
      <c r="H55" s="254"/>
      <c r="I55" s="254"/>
      <c r="J55" s="254"/>
      <c r="K55" s="254"/>
      <c r="L55" s="254"/>
      <c r="M55" s="254"/>
      <c r="N55" s="254"/>
      <c r="O55" s="254"/>
      <c r="P55" s="254"/>
      <c r="Q55" s="254"/>
      <c r="R55" s="254"/>
      <c r="S55" s="254"/>
      <c r="T55" s="254"/>
      <c r="U55" s="254"/>
      <c r="V55" s="254"/>
      <c r="W55" s="279">
        <v>2.17</v>
      </c>
      <c r="X55" s="254"/>
      <c r="Y55" s="254"/>
      <c r="Z55" s="254"/>
      <c r="AA55" s="254"/>
      <c r="AB55" s="279">
        <v>2.28857142857143</v>
      </c>
      <c r="AC55" s="279">
        <v>2.40714285714286</v>
      </c>
      <c r="AD55" s="279">
        <v>2.52571428571429</v>
      </c>
      <c r="AE55" s="279">
        <v>2.64428571428571</v>
      </c>
      <c r="AF55" s="279">
        <v>2.76285714285714</v>
      </c>
      <c r="AG55" s="279">
        <v>2.88142857142857</v>
      </c>
      <c r="AH55" s="279">
        <v>3.0</v>
      </c>
      <c r="AI55" s="204"/>
      <c r="AJ55" s="275"/>
      <c r="AK55" s="275"/>
      <c r="AL55" s="275"/>
      <c r="AM55" s="251"/>
      <c r="AN55" s="100" t="b">
        <f t="shared" si="3"/>
        <v>0</v>
      </c>
      <c r="AO55" s="102"/>
    </row>
    <row r="56" ht="14.25" customHeight="1" outlineLevel="3">
      <c r="A56" s="98"/>
      <c r="B56" s="98"/>
      <c r="C56" s="98"/>
      <c r="D56" s="98"/>
      <c r="E56" s="122" t="s">
        <v>352</v>
      </c>
      <c r="F56" s="123" t="s">
        <v>303</v>
      </c>
      <c r="G56" s="123" t="s">
        <v>353</v>
      </c>
      <c r="H56" s="181"/>
      <c r="I56" s="181"/>
      <c r="J56" s="181"/>
      <c r="K56" s="181"/>
      <c r="L56" s="181"/>
      <c r="M56" s="181"/>
      <c r="N56" s="181"/>
      <c r="O56" s="181"/>
      <c r="P56" s="181"/>
      <c r="Q56" s="181"/>
      <c r="R56" s="181"/>
      <c r="S56" s="181"/>
      <c r="T56" s="181"/>
      <c r="U56" s="181"/>
      <c r="V56" s="181"/>
      <c r="W56" s="182"/>
      <c r="X56" s="181"/>
      <c r="Y56" s="181"/>
      <c r="Z56" s="181"/>
      <c r="AA56" s="181"/>
      <c r="AB56" s="182"/>
      <c r="AC56" s="182"/>
      <c r="AD56" s="182"/>
      <c r="AE56" s="182"/>
      <c r="AF56" s="182"/>
      <c r="AG56" s="182"/>
      <c r="AH56" s="182"/>
      <c r="AI56" s="204"/>
      <c r="AJ56" s="275"/>
      <c r="AK56" s="275"/>
      <c r="AL56" s="275"/>
      <c r="AM56" s="251"/>
      <c r="AN56" s="100" t="b">
        <f t="shared" si="3"/>
        <v>0</v>
      </c>
      <c r="AO56" s="102"/>
    </row>
    <row r="57" ht="13.5" customHeight="1" outlineLevel="2">
      <c r="A57" s="247"/>
      <c r="B57" s="201"/>
      <c r="C57" s="162" t="s">
        <v>354</v>
      </c>
      <c r="D57" s="201"/>
      <c r="E57" s="162"/>
      <c r="F57" s="162"/>
      <c r="G57" s="162"/>
      <c r="H57" s="178"/>
      <c r="I57" s="178"/>
      <c r="J57" s="178"/>
      <c r="K57" s="178"/>
      <c r="L57" s="178"/>
      <c r="M57" s="178"/>
      <c r="N57" s="178"/>
      <c r="O57" s="178"/>
      <c r="P57" s="178"/>
      <c r="Q57" s="178"/>
      <c r="R57" s="178"/>
      <c r="S57" s="178"/>
      <c r="T57" s="178"/>
      <c r="U57" s="178"/>
      <c r="V57" s="178"/>
      <c r="W57" s="178"/>
      <c r="X57" s="178"/>
      <c r="Y57" s="178"/>
      <c r="Z57" s="178"/>
      <c r="AA57" s="178"/>
      <c r="AB57" s="178"/>
      <c r="AC57" s="178"/>
      <c r="AD57" s="178"/>
      <c r="AE57" s="178"/>
      <c r="AF57" s="178"/>
      <c r="AG57" s="178"/>
      <c r="AH57" s="178"/>
      <c r="AI57" s="244"/>
      <c r="AJ57" s="244"/>
      <c r="AK57" s="244"/>
      <c r="AL57" s="244"/>
      <c r="AM57" s="162"/>
      <c r="AN57" s="100" t="b">
        <f t="shared" si="3"/>
        <v>0</v>
      </c>
      <c r="AO57" s="102"/>
    </row>
    <row r="58" ht="14.25" customHeight="1" outlineLevel="3">
      <c r="A58" s="200"/>
      <c r="B58" s="100"/>
      <c r="C58" s="201"/>
      <c r="D58" s="201"/>
      <c r="E58" s="273" t="str">
        <f>"TOTAL FEC for space heating in the residential sector"&amp;IF('EDCM - Residential'!$F$8="Ok"," (secondary and vacant dwellings included)"," (secondary and vacant dwellings not or partially included)")</f>
        <v>TOTAL FEC for space heating in the residential sector (secondary and vacant dwellings not or partially included)</v>
      </c>
      <c r="F58" s="123" t="s">
        <v>135</v>
      </c>
      <c r="G58" s="123" t="s">
        <v>355</v>
      </c>
      <c r="H58" s="274">
        <f>caltoccfreschf</f>
        <v>0</v>
      </c>
      <c r="I58" s="274">
        <f>caltoccfreschf</f>
        <v>0</v>
      </c>
      <c r="J58" s="274">
        <f>caltoccfreschf</f>
        <v>0</v>
      </c>
      <c r="K58" s="274">
        <f>caltoccfreschf</f>
        <v>0</v>
      </c>
      <c r="L58" s="274">
        <f>caltoccfreschf</f>
        <v>0</v>
      </c>
      <c r="M58" s="274">
        <f>caltoccfreschf</f>
        <v>0</v>
      </c>
      <c r="N58" s="274">
        <f>caltoccfreschf</f>
        <v>0</v>
      </c>
      <c r="O58" s="274">
        <f>caltoccfreschf</f>
        <v>0</v>
      </c>
      <c r="P58" s="274">
        <f>caltoccfreschf</f>
        <v>0</v>
      </c>
      <c r="Q58" s="274">
        <f>caltoccfreschf</f>
        <v>0</v>
      </c>
      <c r="R58" s="274">
        <f>caltoccfreschf</f>
        <v>0</v>
      </c>
      <c r="S58" s="274">
        <f>caltoccfreschf</f>
        <v>0</v>
      </c>
      <c r="T58" s="274">
        <f>caltoccfreschf</f>
        <v>0</v>
      </c>
      <c r="U58" s="274">
        <f>caltoccfreschf</f>
        <v>0</v>
      </c>
      <c r="V58" s="274">
        <f>caltoccfreschf</f>
        <v>0</v>
      </c>
      <c r="W58" s="274">
        <f>caltoccfreschf</f>
        <v>71.24087605</v>
      </c>
      <c r="X58" s="274">
        <f>caltoccfreschf</f>
        <v>0</v>
      </c>
      <c r="Y58" s="274">
        <f>caltoccfreschf</f>
        <v>0</v>
      </c>
      <c r="Z58" s="274">
        <f>caltoccfreschf</f>
        <v>0</v>
      </c>
      <c r="AA58" s="274">
        <f>caltoccfreschf</f>
        <v>0</v>
      </c>
      <c r="AB58" s="274">
        <f>caltoccfreschf</f>
        <v>68.87416021</v>
      </c>
      <c r="AC58" s="274">
        <f>caltoccfreschf</f>
        <v>63.46924284</v>
      </c>
      <c r="AD58" s="274">
        <f>caltoccfreschf</f>
        <v>53.35506174</v>
      </c>
      <c r="AE58" s="274">
        <f>caltoccfreschf</f>
        <v>47.37452921</v>
      </c>
      <c r="AF58" s="274">
        <f>caltoccfreschf</f>
        <v>41.57755692</v>
      </c>
      <c r="AG58" s="274">
        <f>caltoccfreschf</f>
        <v>36.47695226</v>
      </c>
      <c r="AH58" s="274">
        <f>caltoccfreschf</f>
        <v>32.90811914</v>
      </c>
      <c r="AI58" s="204"/>
      <c r="AJ58" s="275"/>
      <c r="AK58" s="204"/>
      <c r="AL58" s="204"/>
      <c r="AM58" s="251"/>
      <c r="AN58" s="100" t="b">
        <f t="shared" si="3"/>
        <v>1</v>
      </c>
      <c r="AO58" s="102"/>
    </row>
    <row r="59" ht="14.25" customHeight="1" outlineLevel="3">
      <c r="A59" s="200"/>
      <c r="B59" s="201"/>
      <c r="C59" s="201"/>
      <c r="D59" s="201"/>
      <c r="E59" s="273" t="str">
        <f>"FEC from solid fossil fuels (coal ...) for space heating in the residential sector"&amp;IF('EDCM - Residential'!$F$8="Ok"," (secondary and vacant dwellings included)"," (secondary and vacant dwellings not or partially included)")</f>
        <v>FEC from solid fossil fuels (coal ...) for space heating in the residential sector (secondary and vacant dwellings not or partially included)</v>
      </c>
      <c r="F59" s="280" t="s">
        <v>135</v>
      </c>
      <c r="G59" s="123" t="s">
        <v>356</v>
      </c>
      <c r="H59" s="274" t="str">
        <f>calcmscfreschf</f>
        <v/>
      </c>
      <c r="I59" s="274" t="str">
        <f>calcmscfreschf</f>
        <v/>
      </c>
      <c r="J59" s="274" t="str">
        <f>calcmscfreschf</f>
        <v/>
      </c>
      <c r="K59" s="274" t="str">
        <f>calcmscfreschf</f>
        <v/>
      </c>
      <c r="L59" s="274" t="str">
        <f>calcmscfreschf</f>
        <v/>
      </c>
      <c r="M59" s="274" t="str">
        <f>calcmscfreschf</f>
        <v/>
      </c>
      <c r="N59" s="274" t="str">
        <f>calcmscfreschf</f>
        <v/>
      </c>
      <c r="O59" s="274" t="str">
        <f>calcmscfreschf</f>
        <v/>
      </c>
      <c r="P59" s="274" t="str">
        <f>calcmscfreschf</f>
        <v/>
      </c>
      <c r="Q59" s="274" t="str">
        <f>calcmscfreschf</f>
        <v/>
      </c>
      <c r="R59" s="274" t="str">
        <f>calcmscfreschf</f>
        <v/>
      </c>
      <c r="S59" s="274" t="str">
        <f>calcmscfreschf</f>
        <v/>
      </c>
      <c r="T59" s="274" t="str">
        <f>calcmscfreschf</f>
        <v/>
      </c>
      <c r="U59" s="274" t="str">
        <f>calcmscfreschf</f>
        <v/>
      </c>
      <c r="V59" s="274" t="str">
        <f>calcmscfreschf</f>
        <v/>
      </c>
      <c r="W59" s="274">
        <f>calcmscfreschf</f>
        <v>1.0952</v>
      </c>
      <c r="X59" s="274" t="str">
        <f>calcmscfreschf</f>
        <v/>
      </c>
      <c r="Y59" s="274" t="str">
        <f>calcmscfreschf</f>
        <v/>
      </c>
      <c r="Z59" s="274" t="str">
        <f>calcmscfreschf</f>
        <v/>
      </c>
      <c r="AA59" s="274" t="str">
        <f>calcmscfreschf</f>
        <v/>
      </c>
      <c r="AB59" s="274">
        <f>calcmscfreschf</f>
        <v>0.891550824</v>
      </c>
      <c r="AC59" s="274">
        <f>calcmscfreschf</f>
        <v>0.1713892634</v>
      </c>
      <c r="AD59" s="274">
        <f>calcmscfreschf</f>
        <v>0</v>
      </c>
      <c r="AE59" s="274">
        <f>calcmscfreschf</f>
        <v>0</v>
      </c>
      <c r="AF59" s="274">
        <f>calcmscfreschf</f>
        <v>0</v>
      </c>
      <c r="AG59" s="274">
        <f>calcmscfreschf</f>
        <v>0</v>
      </c>
      <c r="AH59" s="274">
        <f>calcmscfreschf</f>
        <v>0</v>
      </c>
      <c r="AI59" s="204"/>
      <c r="AJ59" s="275"/>
      <c r="AK59" s="204"/>
      <c r="AL59" s="204"/>
      <c r="AM59" s="251"/>
      <c r="AN59" s="100" t="b">
        <f t="shared" si="3"/>
        <v>1</v>
      </c>
      <c r="AO59" s="102"/>
    </row>
    <row r="60" ht="14.25" customHeight="1" outlineLevel="3">
      <c r="A60" s="200"/>
      <c r="B60" s="201"/>
      <c r="C60" s="201"/>
      <c r="D60" s="201"/>
      <c r="E60" s="273" t="str">
        <f>"FEC from solid biomass for space heating in the residential sector"&amp;IF('EDCM - Residential'!$F$8="Ok"," (secondary and vacant dwellings included)"," (secondary and vacant dwellings not or partially included)")</f>
        <v>FEC from solid biomass for space heating in the residential sector (secondary and vacant dwellings not or partially included)</v>
      </c>
      <c r="F60" s="280" t="s">
        <v>135</v>
      </c>
      <c r="G60" s="123" t="s">
        <v>357</v>
      </c>
      <c r="H60" s="274" t="str">
        <f>calenccfreschf</f>
        <v/>
      </c>
      <c r="I60" s="274" t="str">
        <f>calenccfreschf</f>
        <v/>
      </c>
      <c r="J60" s="274" t="str">
        <f>calenccfreschf</f>
        <v/>
      </c>
      <c r="K60" s="274" t="str">
        <f>calenccfreschf</f>
        <v/>
      </c>
      <c r="L60" s="274" t="str">
        <f>calenccfreschf</f>
        <v/>
      </c>
      <c r="M60" s="274" t="str">
        <f>calenccfreschf</f>
        <v/>
      </c>
      <c r="N60" s="274" t="str">
        <f>calenccfreschf</f>
        <v/>
      </c>
      <c r="O60" s="274" t="str">
        <f>calenccfreschf</f>
        <v/>
      </c>
      <c r="P60" s="274" t="str">
        <f>calenccfreschf</f>
        <v/>
      </c>
      <c r="Q60" s="274" t="str">
        <f>calenccfreschf</f>
        <v/>
      </c>
      <c r="R60" s="274" t="str">
        <f>calenccfreschf</f>
        <v/>
      </c>
      <c r="S60" s="274" t="str">
        <f>calenccfreschf</f>
        <v/>
      </c>
      <c r="T60" s="274" t="str">
        <f>calenccfreschf</f>
        <v/>
      </c>
      <c r="U60" s="274" t="str">
        <f>calenccfreschf</f>
        <v/>
      </c>
      <c r="V60" s="274" t="str">
        <f>calenccfreschf</f>
        <v/>
      </c>
      <c r="W60" s="274">
        <f>calenccfreschf</f>
        <v>6.2033</v>
      </c>
      <c r="X60" s="274" t="str">
        <f>calenccfreschf</f>
        <v/>
      </c>
      <c r="Y60" s="274" t="str">
        <f>calenccfreschf</f>
        <v/>
      </c>
      <c r="Z60" s="274" t="str">
        <f>calenccfreschf</f>
        <v/>
      </c>
      <c r="AA60" s="274" t="str">
        <f>calenccfreschf</f>
        <v/>
      </c>
      <c r="AB60" s="274">
        <f>calenccfreschf</f>
        <v>6.115025333</v>
      </c>
      <c r="AC60" s="274">
        <f>calenccfreschf</f>
        <v>5.861512807</v>
      </c>
      <c r="AD60" s="274">
        <f>calenccfreschf</f>
        <v>5.283598899</v>
      </c>
      <c r="AE60" s="274">
        <f>calenccfreschf</f>
        <v>4.753221383</v>
      </c>
      <c r="AF60" s="274">
        <f>calenccfreschf</f>
        <v>4.256904498</v>
      </c>
      <c r="AG60" s="274">
        <f>calenccfreschf</f>
        <v>3.838382095</v>
      </c>
      <c r="AH60" s="274">
        <f>calenccfreschf</f>
        <v>3.518397122</v>
      </c>
      <c r="AI60" s="204"/>
      <c r="AJ60" s="275"/>
      <c r="AK60" s="204"/>
      <c r="AL60" s="204"/>
      <c r="AM60" s="251"/>
      <c r="AN60" s="100" t="b">
        <f t="shared" si="3"/>
        <v>1</v>
      </c>
      <c r="AO60" s="102"/>
    </row>
    <row r="61" ht="14.25" customHeight="1" outlineLevel="3">
      <c r="A61" s="200"/>
      <c r="B61" s="201"/>
      <c r="C61" s="201"/>
      <c r="D61" s="201"/>
      <c r="E61" s="273" t="str">
        <f>"FEC from oil for space heating in the residential sector"&amp;IF('EDCM - Residential'!$F$8="Ok"," (secondary and vacant dwellings included)"," (secondary and vacant dwellings not or partially included)")</f>
        <v>FEC from oil for space heating in the residential sector (secondary and vacant dwellings not or partially included)</v>
      </c>
      <c r="F61" s="280" t="s">
        <v>135</v>
      </c>
      <c r="G61" s="123" t="s">
        <v>358</v>
      </c>
      <c r="H61" s="274" t="str">
        <f>calpetcfreschf</f>
        <v/>
      </c>
      <c r="I61" s="274" t="str">
        <f>calpetcfreschf</f>
        <v/>
      </c>
      <c r="J61" s="274" t="str">
        <f>calpetcfreschf</f>
        <v/>
      </c>
      <c r="K61" s="274" t="str">
        <f>calpetcfreschf</f>
        <v/>
      </c>
      <c r="L61" s="274" t="str">
        <f>calpetcfreschf</f>
        <v/>
      </c>
      <c r="M61" s="274" t="str">
        <f>calpetcfreschf</f>
        <v/>
      </c>
      <c r="N61" s="274" t="str">
        <f>calpetcfreschf</f>
        <v/>
      </c>
      <c r="O61" s="274" t="str">
        <f>calpetcfreschf</f>
        <v/>
      </c>
      <c r="P61" s="274" t="str">
        <f>calpetcfreschf</f>
        <v/>
      </c>
      <c r="Q61" s="274" t="str">
        <f>calpetcfreschf</f>
        <v/>
      </c>
      <c r="R61" s="274" t="str">
        <f>calpetcfreschf</f>
        <v/>
      </c>
      <c r="S61" s="274" t="str">
        <f>calpetcfreschf</f>
        <v/>
      </c>
      <c r="T61" s="274" t="str">
        <f>calpetcfreschf</f>
        <v/>
      </c>
      <c r="U61" s="274" t="str">
        <f>calpetcfreschf</f>
        <v/>
      </c>
      <c r="V61" s="274" t="str">
        <f>calpetcfreschf</f>
        <v/>
      </c>
      <c r="W61" s="274">
        <f>calpetcfreschf</f>
        <v>29.185</v>
      </c>
      <c r="X61" s="274" t="str">
        <f>calpetcfreschf</f>
        <v/>
      </c>
      <c r="Y61" s="274" t="str">
        <f>calpetcfreschf</f>
        <v/>
      </c>
      <c r="Z61" s="274" t="str">
        <f>calpetcfreschf</f>
        <v/>
      </c>
      <c r="AA61" s="274" t="str">
        <f>calpetcfreschf</f>
        <v/>
      </c>
      <c r="AB61" s="274">
        <f>calpetcfreschf</f>
        <v>25.4698392</v>
      </c>
      <c r="AC61" s="274">
        <f>calpetcfreschf</f>
        <v>17.69780437</v>
      </c>
      <c r="AD61" s="274">
        <f>calpetcfreschf</f>
        <v>6.323998683</v>
      </c>
      <c r="AE61" s="274">
        <f>calpetcfreschf</f>
        <v>2.893789232</v>
      </c>
      <c r="AF61" s="274">
        <f>calpetcfreschf</f>
        <v>2.551667039</v>
      </c>
      <c r="AG61" s="274">
        <f>calpetcfreschf</f>
        <v>0.4569648639</v>
      </c>
      <c r="AH61" s="274">
        <f>calpetcfreschf</f>
        <v>0</v>
      </c>
      <c r="AI61" s="204"/>
      <c r="AJ61" s="275"/>
      <c r="AK61" s="204"/>
      <c r="AL61" s="204"/>
      <c r="AM61" s="251"/>
      <c r="AN61" s="100" t="b">
        <f t="shared" si="3"/>
        <v>1</v>
      </c>
      <c r="AO61" s="102"/>
    </row>
    <row r="62" ht="14.25" customHeight="1" outlineLevel="3">
      <c r="A62" s="200"/>
      <c r="B62" s="201"/>
      <c r="C62" s="201"/>
      <c r="D62" s="201"/>
      <c r="E62" s="273" t="str">
        <f>"FEC from gas grid / gas consumed locally for space heating in the residential sector"&amp;IF('EDCM - Residential'!$F$8="Ok"," (secondary and vacant dwellings included)"," (secondary and vacant dwellings not or partially included)")</f>
        <v>FEC from gas grid / gas consumed locally for space heating in the residential sector (secondary and vacant dwellings not or partially included)</v>
      </c>
      <c r="F62" s="280" t="s">
        <v>135</v>
      </c>
      <c r="G62" s="123" t="s">
        <v>359</v>
      </c>
      <c r="H62" s="274" t="str">
        <f>calgazcfreschf</f>
        <v/>
      </c>
      <c r="I62" s="274" t="str">
        <f>calgazcfreschf</f>
        <v/>
      </c>
      <c r="J62" s="274" t="str">
        <f>calgazcfreschf</f>
        <v/>
      </c>
      <c r="K62" s="274" t="str">
        <f>calgazcfreschf</f>
        <v/>
      </c>
      <c r="L62" s="274" t="str">
        <f>calgazcfreschf</f>
        <v/>
      </c>
      <c r="M62" s="274" t="str">
        <f>calgazcfreschf</f>
        <v/>
      </c>
      <c r="N62" s="274" t="str">
        <f>calgazcfreschf</f>
        <v/>
      </c>
      <c r="O62" s="274" t="str">
        <f>calgazcfreschf</f>
        <v/>
      </c>
      <c r="P62" s="274" t="str">
        <f>calgazcfreschf</f>
        <v/>
      </c>
      <c r="Q62" s="274" t="str">
        <f>calgazcfreschf</f>
        <v/>
      </c>
      <c r="R62" s="274" t="str">
        <f>calgazcfreschf</f>
        <v/>
      </c>
      <c r="S62" s="274" t="str">
        <f>calgazcfreschf</f>
        <v/>
      </c>
      <c r="T62" s="274" t="str">
        <f>calgazcfreschf</f>
        <v/>
      </c>
      <c r="U62" s="274" t="str">
        <f>calgazcfreschf</f>
        <v/>
      </c>
      <c r="V62" s="274" t="str">
        <f>calgazcfreschf</f>
        <v/>
      </c>
      <c r="W62" s="274">
        <f>calgazcfreschf</f>
        <v>31.4048</v>
      </c>
      <c r="X62" s="274" t="str">
        <f>calgazcfreschf</f>
        <v/>
      </c>
      <c r="Y62" s="274" t="str">
        <f>calgazcfreschf</f>
        <v/>
      </c>
      <c r="Z62" s="274" t="str">
        <f>calgazcfreschf</f>
        <v/>
      </c>
      <c r="AA62" s="274" t="str">
        <f>calgazcfreschf</f>
        <v/>
      </c>
      <c r="AB62" s="274">
        <f>calgazcfreschf</f>
        <v>27.83153089</v>
      </c>
      <c r="AC62" s="274">
        <f>calgazcfreschf</f>
        <v>20.6391296</v>
      </c>
      <c r="AD62" s="274">
        <f>calgazcfreschf</f>
        <v>15.37083013</v>
      </c>
      <c r="AE62" s="274">
        <f>calgazcfreschf</f>
        <v>10.30250897</v>
      </c>
      <c r="AF62" s="274">
        <f>calgazcfreschf</f>
        <v>6.554336092</v>
      </c>
      <c r="AG62" s="274">
        <f>calgazcfreschf</f>
        <v>3.345280343</v>
      </c>
      <c r="AH62" s="274">
        <f>calgazcfreschf</f>
        <v>0.8209593285</v>
      </c>
      <c r="AI62" s="204"/>
      <c r="AJ62" s="275"/>
      <c r="AK62" s="204"/>
      <c r="AL62" s="204"/>
      <c r="AM62" s="251"/>
      <c r="AN62" s="100" t="b">
        <f t="shared" si="3"/>
        <v>1</v>
      </c>
      <c r="AO62" s="102"/>
    </row>
    <row r="63" ht="14.25" customHeight="1" outlineLevel="3">
      <c r="A63" s="200"/>
      <c r="B63" s="201"/>
      <c r="C63" s="201"/>
      <c r="D63" s="201"/>
      <c r="E63" s="273" t="str">
        <f>"Final electricity consumption for space heating in the residential sector"&amp;IF('EDCM - Residential'!$F$8="Ok"," (secondary and vacant dwellings included)"," (secondary and vacant dwellings not or partially included)")</f>
        <v>Final electricity consumption for space heating in the residential sector (secondary and vacant dwellings not or partially included)</v>
      </c>
      <c r="F63" s="280" t="s">
        <v>135</v>
      </c>
      <c r="G63" s="123" t="s">
        <v>360</v>
      </c>
      <c r="H63" s="274" t="str">
        <f>calelccfreschf</f>
        <v/>
      </c>
      <c r="I63" s="274" t="str">
        <f>calelccfreschf</f>
        <v/>
      </c>
      <c r="J63" s="274" t="str">
        <f>calelccfreschf</f>
        <v/>
      </c>
      <c r="K63" s="274" t="str">
        <f>calelccfreschf</f>
        <v/>
      </c>
      <c r="L63" s="274" t="str">
        <f>calelccfreschf</f>
        <v/>
      </c>
      <c r="M63" s="274" t="str">
        <f>calelccfreschf</f>
        <v/>
      </c>
      <c r="N63" s="274" t="str">
        <f>calelccfreschf</f>
        <v/>
      </c>
      <c r="O63" s="274" t="str">
        <f>calelccfreschf</f>
        <v/>
      </c>
      <c r="P63" s="274" t="str">
        <f>calelccfreschf</f>
        <v/>
      </c>
      <c r="Q63" s="274" t="str">
        <f>calelccfreschf</f>
        <v/>
      </c>
      <c r="R63" s="274" t="str">
        <f>calelccfreschf</f>
        <v/>
      </c>
      <c r="S63" s="274" t="str">
        <f>calelccfreschf</f>
        <v/>
      </c>
      <c r="T63" s="274" t="str">
        <f>calelccfreschf</f>
        <v/>
      </c>
      <c r="U63" s="274" t="str">
        <f>calelccfreschf</f>
        <v/>
      </c>
      <c r="V63" s="274" t="str">
        <f>calelccfreschf</f>
        <v/>
      </c>
      <c r="W63" s="274">
        <f>calelccfreschf</f>
        <v>2.0951</v>
      </c>
      <c r="X63" s="274" t="str">
        <f>calelccfreschf</f>
        <v/>
      </c>
      <c r="Y63" s="274" t="str">
        <f>calelccfreschf</f>
        <v/>
      </c>
      <c r="Z63" s="274" t="str">
        <f>calelccfreschf</f>
        <v/>
      </c>
      <c r="AA63" s="274" t="str">
        <f>calelccfreschf</f>
        <v/>
      </c>
      <c r="AB63" s="274">
        <f>calelccfreschf</f>
        <v>4.311941838</v>
      </c>
      <c r="AC63" s="274">
        <f>calelccfreschf</f>
        <v>6.757608102</v>
      </c>
      <c r="AD63" s="274">
        <f>calelccfreschf</f>
        <v>8.717727578</v>
      </c>
      <c r="AE63" s="274">
        <f>calelccfreschf</f>
        <v>9.064857732</v>
      </c>
      <c r="AF63" s="274">
        <f>calelccfreschf</f>
        <v>7.955168157</v>
      </c>
      <c r="AG63" s="274">
        <f>calelccfreschf</f>
        <v>7.634031207</v>
      </c>
      <c r="AH63" s="274">
        <f>calelccfreschf</f>
        <v>7.086993597</v>
      </c>
      <c r="AI63" s="204"/>
      <c r="AJ63" s="275"/>
      <c r="AK63" s="204"/>
      <c r="AL63" s="204"/>
      <c r="AM63" s="251"/>
      <c r="AN63" s="100" t="b">
        <f t="shared" si="3"/>
        <v>1</v>
      </c>
      <c r="AO63" s="102"/>
    </row>
    <row r="64" ht="14.25" customHeight="1" outlineLevel="3">
      <c r="A64" s="200"/>
      <c r="B64" s="201"/>
      <c r="C64" s="201"/>
      <c r="D64" s="201"/>
      <c r="E64" s="273" t="str">
        <f>"FEC from heating networks for space heating in the residential sector"&amp;IF('EDCM - Residential'!$F$8="Ok"," (secondary and vacant dwellings included)"," (secondary and vacant dwellings not or partially included)")</f>
        <v>FEC from heating networks for space heating in the residential sector (secondary and vacant dwellings not or partially included)</v>
      </c>
      <c r="F64" s="280" t="s">
        <v>135</v>
      </c>
      <c r="G64" s="123" t="s">
        <v>361</v>
      </c>
      <c r="H64" s="274" t="str">
        <f>calvapcfreschf</f>
        <v/>
      </c>
      <c r="I64" s="274" t="str">
        <f>calvapcfreschf</f>
        <v/>
      </c>
      <c r="J64" s="274" t="str">
        <f>calvapcfreschf</f>
        <v/>
      </c>
      <c r="K64" s="274" t="str">
        <f>calvapcfreschf</f>
        <v/>
      </c>
      <c r="L64" s="274" t="str">
        <f>calvapcfreschf</f>
        <v/>
      </c>
      <c r="M64" s="274" t="str">
        <f>calvapcfreschf</f>
        <v/>
      </c>
      <c r="N64" s="274" t="str">
        <f>calvapcfreschf</f>
        <v/>
      </c>
      <c r="O64" s="274" t="str">
        <f>calvapcfreschf</f>
        <v/>
      </c>
      <c r="P64" s="274" t="str">
        <f>calvapcfreschf</f>
        <v/>
      </c>
      <c r="Q64" s="274" t="str">
        <f>calvapcfreschf</f>
        <v/>
      </c>
      <c r="R64" s="274" t="str">
        <f>calvapcfreschf</f>
        <v/>
      </c>
      <c r="S64" s="274" t="str">
        <f>calvapcfreschf</f>
        <v/>
      </c>
      <c r="T64" s="274" t="str">
        <f>calvapcfreschf</f>
        <v/>
      </c>
      <c r="U64" s="274" t="str">
        <f>calvapcfreschf</f>
        <v/>
      </c>
      <c r="V64" s="274" t="str">
        <f>calvapcfreschf</f>
        <v/>
      </c>
      <c r="W64" s="274">
        <f>calvapcfreschf</f>
        <v>0.023</v>
      </c>
      <c r="X64" s="274" t="str">
        <f>calvapcfreschf</f>
        <v/>
      </c>
      <c r="Y64" s="274" t="str">
        <f>calvapcfreschf</f>
        <v/>
      </c>
      <c r="Z64" s="274" t="str">
        <f>calvapcfreschf</f>
        <v/>
      </c>
      <c r="AA64" s="274" t="str">
        <f>calvapcfreschf</f>
        <v/>
      </c>
      <c r="AB64" s="274">
        <f>calvapcfreschf</f>
        <v>0.03471535977</v>
      </c>
      <c r="AC64" s="274">
        <f>calvapcfreschf</f>
        <v>4.232502989</v>
      </c>
      <c r="AD64" s="274">
        <f>calvapcfreschf</f>
        <v>5.759129699</v>
      </c>
      <c r="AE64" s="274">
        <f>calvapcfreschf</f>
        <v>6.817615377</v>
      </c>
      <c r="AF64" s="274">
        <f>calvapcfreschf</f>
        <v>7.599328382</v>
      </c>
      <c r="AG64" s="274">
        <f>calvapcfreschf</f>
        <v>8.133461134</v>
      </c>
      <c r="AH64" s="274">
        <f>calvapcfreschf</f>
        <v>8.551659672</v>
      </c>
      <c r="AI64" s="204"/>
      <c r="AJ64" s="275"/>
      <c r="AK64" s="204"/>
      <c r="AL64" s="204"/>
      <c r="AM64" s="251"/>
      <c r="AN64" s="100" t="b">
        <f t="shared" si="3"/>
        <v>1</v>
      </c>
      <c r="AO64" s="102"/>
    </row>
    <row r="65" ht="14.25" customHeight="1" outlineLevel="3">
      <c r="A65" s="200"/>
      <c r="B65" s="201"/>
      <c r="C65" s="201"/>
      <c r="D65" s="201"/>
      <c r="E65" s="273" t="str">
        <f>"Final energy consumption from ambient heat (heat pumps…) for space heating in the residential sector"&amp;IF('EDCM - Residential'!$F$8="Ok"," (secondary and vacant dwellings included)"," (secondary and vacant dwellings not or partially included)")</f>
        <v>Final energy consumption from ambient heat (heat pumps…) for space heating in the residential sector (secondary and vacant dwellings not or partially included)</v>
      </c>
      <c r="F65" s="280" t="s">
        <v>135</v>
      </c>
      <c r="G65" s="123" t="s">
        <v>362</v>
      </c>
      <c r="H65" s="274" t="str">
        <f>calpaccfreschf</f>
        <v/>
      </c>
      <c r="I65" s="274" t="str">
        <f>calpaccfreschf</f>
        <v/>
      </c>
      <c r="J65" s="274" t="str">
        <f>calpaccfreschf</f>
        <v/>
      </c>
      <c r="K65" s="274" t="str">
        <f>calpaccfreschf</f>
        <v/>
      </c>
      <c r="L65" s="274" t="str">
        <f>calpaccfreschf</f>
        <v/>
      </c>
      <c r="M65" s="274" t="str">
        <f>calpaccfreschf</f>
        <v/>
      </c>
      <c r="N65" s="274" t="str">
        <f>calpaccfreschf</f>
        <v/>
      </c>
      <c r="O65" s="274" t="str">
        <f>calpaccfreschf</f>
        <v/>
      </c>
      <c r="P65" s="274" t="str">
        <f>calpaccfreschf</f>
        <v/>
      </c>
      <c r="Q65" s="274" t="str">
        <f>calpaccfreschf</f>
        <v/>
      </c>
      <c r="R65" s="274" t="str">
        <f>calpaccfreschf</f>
        <v/>
      </c>
      <c r="S65" s="274" t="str">
        <f>calpaccfreschf</f>
        <v/>
      </c>
      <c r="T65" s="274" t="str">
        <f>calpaccfreschf</f>
        <v/>
      </c>
      <c r="U65" s="274" t="str">
        <f>calpaccfreschf</f>
        <v/>
      </c>
      <c r="V65" s="274" t="str">
        <f>calpaccfreschf</f>
        <v/>
      </c>
      <c r="W65" s="274">
        <f>calpaccfreschf</f>
        <v>1.23447605</v>
      </c>
      <c r="X65" s="274" t="str">
        <f>calpaccfreschf</f>
        <v/>
      </c>
      <c r="Y65" s="274" t="str">
        <f>calpaccfreschf</f>
        <v/>
      </c>
      <c r="Z65" s="274" t="str">
        <f>calpaccfreschf</f>
        <v/>
      </c>
      <c r="AA65" s="274" t="str">
        <f>calpaccfreschf</f>
        <v/>
      </c>
      <c r="AB65" s="274">
        <f>calpaccfreschf</f>
        <v>4.219556762</v>
      </c>
      <c r="AC65" s="274">
        <f>calpaccfreschf</f>
        <v>8.109295711</v>
      </c>
      <c r="AD65" s="274">
        <f>calpaccfreschf</f>
        <v>11.89977675</v>
      </c>
      <c r="AE65" s="274">
        <f>calpaccfreschf</f>
        <v>13.54253651</v>
      </c>
      <c r="AF65" s="274">
        <f>calpaccfreschf</f>
        <v>12.66015275</v>
      </c>
      <c r="AG65" s="274">
        <f>calpaccfreschf</f>
        <v>13.06883262</v>
      </c>
      <c r="AH65" s="274">
        <f>calpaccfreschf</f>
        <v>12.93010942</v>
      </c>
      <c r="AI65" s="204"/>
      <c r="AJ65" s="275"/>
      <c r="AK65" s="204"/>
      <c r="AL65" s="204"/>
      <c r="AM65" s="251"/>
      <c r="AN65" s="100" t="b">
        <f t="shared" si="3"/>
        <v>1</v>
      </c>
      <c r="AO65" s="102"/>
    </row>
    <row r="66" ht="14.25" customHeight="1" outlineLevel="3">
      <c r="A66" s="200"/>
      <c r="B66" s="201"/>
      <c r="C66" s="201"/>
      <c r="D66" s="201"/>
      <c r="E66" s="273" t="str">
        <f>"FEC from thermal solar for space heating in the residential sector"&amp;IF('EDCM - Residential'!$F$8="Ok"," (secondary and vacant dwellings included)"," (secondary and vacant dwellings not or partially included)")</f>
        <v>FEC from thermal solar for space heating in the residential sector (secondary and vacant dwellings not or partially included)</v>
      </c>
      <c r="F66" s="280" t="s">
        <v>135</v>
      </c>
      <c r="G66" s="123" t="s">
        <v>363</v>
      </c>
      <c r="H66" s="274">
        <f>calsthcfreschf</f>
        <v>0</v>
      </c>
      <c r="I66" s="274">
        <f>calsthcfreschf</f>
        <v>0</v>
      </c>
      <c r="J66" s="274">
        <f>calsthcfreschf</f>
        <v>0</v>
      </c>
      <c r="K66" s="274">
        <f>calsthcfreschf</f>
        <v>0</v>
      </c>
      <c r="L66" s="274">
        <f>calsthcfreschf</f>
        <v>0</v>
      </c>
      <c r="M66" s="274">
        <f>calsthcfreschf</f>
        <v>0</v>
      </c>
      <c r="N66" s="274">
        <f>calsthcfreschf</f>
        <v>0</v>
      </c>
      <c r="O66" s="274">
        <f>calsthcfreschf</f>
        <v>0</v>
      </c>
      <c r="P66" s="274">
        <f>calsthcfreschf</f>
        <v>0</v>
      </c>
      <c r="Q66" s="274">
        <f>calsthcfreschf</f>
        <v>0</v>
      </c>
      <c r="R66" s="274">
        <f>calsthcfreschf</f>
        <v>0</v>
      </c>
      <c r="S66" s="274">
        <f>calsthcfreschf</f>
        <v>0</v>
      </c>
      <c r="T66" s="274">
        <f>calsthcfreschf</f>
        <v>0</v>
      </c>
      <c r="U66" s="274">
        <f>calsthcfreschf</f>
        <v>0</v>
      </c>
      <c r="V66" s="274">
        <f>calsthcfreschf</f>
        <v>0</v>
      </c>
      <c r="W66" s="274">
        <f>calsthcfreschf</f>
        <v>0</v>
      </c>
      <c r="X66" s="274">
        <f>calsthcfreschf</f>
        <v>0</v>
      </c>
      <c r="Y66" s="274">
        <f>calsthcfreschf</f>
        <v>0</v>
      </c>
      <c r="Z66" s="274">
        <f>calsthcfreschf</f>
        <v>0</v>
      </c>
      <c r="AA66" s="274">
        <f>calsthcfreschf</f>
        <v>0</v>
      </c>
      <c r="AB66" s="274">
        <f>calsthcfreschf</f>
        <v>0</v>
      </c>
      <c r="AC66" s="274">
        <f>calsthcfreschf</f>
        <v>0</v>
      </c>
      <c r="AD66" s="274">
        <f>calsthcfreschf</f>
        <v>0</v>
      </c>
      <c r="AE66" s="274">
        <f>calsthcfreschf</f>
        <v>0</v>
      </c>
      <c r="AF66" s="274">
        <f>calsthcfreschf</f>
        <v>0</v>
      </c>
      <c r="AG66" s="274">
        <f>calsthcfreschf</f>
        <v>0</v>
      </c>
      <c r="AH66" s="274">
        <f>calsthcfreschf</f>
        <v>0</v>
      </c>
      <c r="AI66" s="204"/>
      <c r="AJ66" s="275"/>
      <c r="AK66" s="204"/>
      <c r="AL66" s="204"/>
      <c r="AM66" s="251"/>
      <c r="AN66" s="100" t="b">
        <f t="shared" si="3"/>
        <v>1</v>
      </c>
      <c r="AO66" s="102"/>
    </row>
    <row r="67" ht="14.25" customHeight="1" outlineLevel="3">
      <c r="A67" s="98"/>
      <c r="B67" s="98"/>
      <c r="C67" s="98"/>
      <c r="D67" s="98"/>
      <c r="E67" s="273" t="s">
        <v>364</v>
      </c>
      <c r="F67" s="123" t="s">
        <v>365</v>
      </c>
      <c r="G67" s="123" t="s">
        <v>366</v>
      </c>
      <c r="H67" s="274">
        <f>calcfreschfcap</f>
        <v>0</v>
      </c>
      <c r="I67" s="274">
        <f>calcfreschfcap</f>
        <v>0</v>
      </c>
      <c r="J67" s="274">
        <f>calcfreschfcap</f>
        <v>0</v>
      </c>
      <c r="K67" s="274">
        <f>calcfreschfcap</f>
        <v>0</v>
      </c>
      <c r="L67" s="274">
        <f>calcfreschfcap</f>
        <v>0</v>
      </c>
      <c r="M67" s="274">
        <f>calcfreschfcap</f>
        <v>0</v>
      </c>
      <c r="N67" s="274">
        <f>calcfreschfcap</f>
        <v>0</v>
      </c>
      <c r="O67" s="274">
        <f>calcfreschfcap</f>
        <v>0</v>
      </c>
      <c r="P67" s="274">
        <f>calcfreschfcap</f>
        <v>0</v>
      </c>
      <c r="Q67" s="274">
        <f>calcfreschfcap</f>
        <v>0</v>
      </c>
      <c r="R67" s="274">
        <f>calcfreschfcap</f>
        <v>0</v>
      </c>
      <c r="S67" s="274">
        <f>calcfreschfcap</f>
        <v>0</v>
      </c>
      <c r="T67" s="274">
        <f>calcfreschfcap</f>
        <v>0</v>
      </c>
      <c r="U67" s="274">
        <f>calcfreschfcap</f>
        <v>0</v>
      </c>
      <c r="V67" s="274">
        <f>calcfreschfcap</f>
        <v>0</v>
      </c>
      <c r="W67" s="274">
        <f>calcfreschfcap</f>
        <v>6502.814294</v>
      </c>
      <c r="X67" s="274">
        <f>calcfreschfcap</f>
        <v>0</v>
      </c>
      <c r="Y67" s="274">
        <f>calcfreschfcap</f>
        <v>0</v>
      </c>
      <c r="Z67" s="274">
        <f>calcfreschfcap</f>
        <v>0</v>
      </c>
      <c r="AA67" s="274">
        <f>calcfreschfcap</f>
        <v>0</v>
      </c>
      <c r="AB67" s="274">
        <f>calcfreschfcap</f>
        <v>6107.614778</v>
      </c>
      <c r="AC67" s="274">
        <f>calcfreschfcap</f>
        <v>5375.209333</v>
      </c>
      <c r="AD67" s="274">
        <f>calcfreschfcap</f>
        <v>4645.037749</v>
      </c>
      <c r="AE67" s="274">
        <f>calcfreschfcap</f>
        <v>4050.222026</v>
      </c>
      <c r="AF67" s="274">
        <f>calcfreschfcap</f>
        <v>3616.348662</v>
      </c>
      <c r="AG67" s="274">
        <f>calcfreschfcap</f>
        <v>3174.464661</v>
      </c>
      <c r="AH67" s="274">
        <f>calcfreschfcap</f>
        <v>2867.35651</v>
      </c>
      <c r="AI67" s="204"/>
      <c r="AJ67" s="204"/>
      <c r="AK67" s="275"/>
      <c r="AL67" s="275"/>
      <c r="AM67" s="251"/>
      <c r="AN67" s="100" t="b">
        <f t="shared" si="3"/>
        <v>1</v>
      </c>
      <c r="AO67" s="102"/>
    </row>
    <row r="68" ht="13.5" customHeight="1" outlineLevel="2">
      <c r="A68" s="247"/>
      <c r="B68" s="201"/>
      <c r="C68" s="246" t="s">
        <v>367</v>
      </c>
      <c r="D68" s="201"/>
      <c r="E68" s="162"/>
      <c r="F68" s="162"/>
      <c r="G68" s="162"/>
      <c r="H68" s="178"/>
      <c r="I68" s="178"/>
      <c r="J68" s="178"/>
      <c r="K68" s="178"/>
      <c r="L68" s="178"/>
      <c r="M68" s="178"/>
      <c r="N68" s="178"/>
      <c r="O68" s="178"/>
      <c r="P68" s="178"/>
      <c r="Q68" s="178"/>
      <c r="R68" s="178"/>
      <c r="S68" s="178"/>
      <c r="T68" s="178"/>
      <c r="U68" s="178"/>
      <c r="V68" s="178"/>
      <c r="W68" s="178"/>
      <c r="X68" s="178"/>
      <c r="Y68" s="178"/>
      <c r="Z68" s="178"/>
      <c r="AA68" s="178"/>
      <c r="AB68" s="178"/>
      <c r="AC68" s="178"/>
      <c r="AD68" s="178"/>
      <c r="AE68" s="178"/>
      <c r="AF68" s="178"/>
      <c r="AG68" s="178"/>
      <c r="AH68" s="178"/>
      <c r="AI68" s="244"/>
      <c r="AJ68" s="244"/>
      <c r="AK68" s="244"/>
      <c r="AL68" s="244"/>
      <c r="AM68" s="162"/>
      <c r="AN68" s="100" t="b">
        <f t="shared" si="3"/>
        <v>0</v>
      </c>
      <c r="AO68" s="102"/>
    </row>
    <row r="69" ht="14.25" customHeight="1" outlineLevel="3">
      <c r="A69" s="200"/>
      <c r="B69" s="100"/>
      <c r="C69" s="201"/>
      <c r="D69" s="201"/>
      <c r="E69" s="180" t="s">
        <v>368</v>
      </c>
      <c r="F69" s="123" t="s">
        <v>135</v>
      </c>
      <c r="G69" s="123" t="s">
        <v>369</v>
      </c>
      <c r="H69" s="260">
        <v>82.1924</v>
      </c>
      <c r="I69" s="181">
        <v>87.2165</v>
      </c>
      <c r="J69" s="181">
        <v>78.7547</v>
      </c>
      <c r="K69" s="181">
        <v>86.5135</v>
      </c>
      <c r="L69" s="181">
        <v>84.4218</v>
      </c>
      <c r="M69" s="181">
        <v>82.5902</v>
      </c>
      <c r="N69" s="181">
        <v>78.0151</v>
      </c>
      <c r="O69" s="181">
        <v>68.6172</v>
      </c>
      <c r="P69" s="181">
        <v>79.7796</v>
      </c>
      <c r="Q69" s="181">
        <v>74.7402</v>
      </c>
      <c r="R69" s="181">
        <v>84.5128</v>
      </c>
      <c r="S69" s="181">
        <v>66.7221</v>
      </c>
      <c r="T69" s="181">
        <v>70.5795</v>
      </c>
      <c r="U69" s="181">
        <v>78.9575</v>
      </c>
      <c r="V69" s="181">
        <v>60.6321</v>
      </c>
      <c r="W69" s="202">
        <v>71.2408760496111</v>
      </c>
      <c r="X69" s="181">
        <v>70.4285</v>
      </c>
      <c r="Y69" s="181">
        <v>68.8517</v>
      </c>
      <c r="Z69" s="181">
        <v>69.22</v>
      </c>
      <c r="AA69" s="181"/>
      <c r="AB69" s="202"/>
      <c r="AC69" s="202"/>
      <c r="AD69" s="202"/>
      <c r="AE69" s="202"/>
      <c r="AF69" s="202"/>
      <c r="AG69" s="202"/>
      <c r="AH69" s="203"/>
      <c r="AI69" s="204"/>
      <c r="AJ69" s="275"/>
      <c r="AK69" s="204"/>
      <c r="AL69" s="204"/>
      <c r="AM69" s="251"/>
      <c r="AN69" s="100" t="b">
        <f t="shared" si="3"/>
        <v>0</v>
      </c>
      <c r="AO69" s="102"/>
    </row>
    <row r="70" ht="14.25" customHeight="1" outlineLevel="3">
      <c r="A70" s="200"/>
      <c r="B70" s="100"/>
      <c r="C70" s="201"/>
      <c r="D70" s="201"/>
      <c r="E70" s="180" t="s">
        <v>370</v>
      </c>
      <c r="F70" s="123" t="s">
        <v>135</v>
      </c>
      <c r="G70" s="123" t="s">
        <v>371</v>
      </c>
      <c r="H70" s="260">
        <v>90.4531</v>
      </c>
      <c r="I70" s="181">
        <v>86.0761</v>
      </c>
      <c r="J70" s="181">
        <v>87.8131</v>
      </c>
      <c r="K70" s="181">
        <v>85.7829</v>
      </c>
      <c r="L70" s="181">
        <v>84.7426</v>
      </c>
      <c r="M70" s="181">
        <v>85.5451</v>
      </c>
      <c r="N70" s="181">
        <v>82.053</v>
      </c>
      <c r="O70" s="181">
        <v>81.0419</v>
      </c>
      <c r="P70" s="181">
        <v>82.6746</v>
      </c>
      <c r="Q70" s="181">
        <v>77.7573</v>
      </c>
      <c r="R70" s="181">
        <v>70.8652</v>
      </c>
      <c r="S70" s="181">
        <v>81.6795</v>
      </c>
      <c r="T70" s="181">
        <v>70.148</v>
      </c>
      <c r="U70" s="181">
        <v>71.035</v>
      </c>
      <c r="V70" s="181">
        <v>78.3498</v>
      </c>
      <c r="W70" s="202">
        <v>77.8818</v>
      </c>
      <c r="X70" s="181">
        <v>68.941</v>
      </c>
      <c r="Y70" s="181">
        <v>73.0553</v>
      </c>
      <c r="Z70" s="181"/>
      <c r="AA70" s="181"/>
      <c r="AB70" s="202"/>
      <c r="AC70" s="202"/>
      <c r="AD70" s="202"/>
      <c r="AE70" s="202"/>
      <c r="AF70" s="202"/>
      <c r="AG70" s="202"/>
      <c r="AH70" s="203"/>
      <c r="AI70" s="204"/>
      <c r="AJ70" s="204"/>
      <c r="AK70" s="204"/>
      <c r="AL70" s="204"/>
      <c r="AM70" s="251"/>
      <c r="AN70" s="100" t="b">
        <f t="shared" si="3"/>
        <v>0</v>
      </c>
      <c r="AO70" s="102"/>
    </row>
    <row r="71" ht="14.25" customHeight="1" outlineLevel="3">
      <c r="A71" s="200"/>
      <c r="B71" s="201"/>
      <c r="C71" s="201"/>
      <c r="D71" s="201"/>
      <c r="E71" s="122" t="s">
        <v>372</v>
      </c>
      <c r="F71" s="123" t="s">
        <v>135</v>
      </c>
      <c r="G71" s="123" t="s">
        <v>373</v>
      </c>
      <c r="H71" s="260">
        <v>1.2023</v>
      </c>
      <c r="I71" s="181">
        <v>1.2758</v>
      </c>
      <c r="J71" s="181">
        <v>1.152</v>
      </c>
      <c r="K71" s="181">
        <v>1.2655</v>
      </c>
      <c r="L71" s="181">
        <v>1.2349</v>
      </c>
      <c r="M71" s="181">
        <v>1.2081</v>
      </c>
      <c r="N71" s="181">
        <v>1.1412</v>
      </c>
      <c r="O71" s="181">
        <v>1.0037</v>
      </c>
      <c r="P71" s="181">
        <v>1.167</v>
      </c>
      <c r="Q71" s="181">
        <v>1.0933</v>
      </c>
      <c r="R71" s="181">
        <v>1.2362</v>
      </c>
      <c r="S71" s="181">
        <v>1.1405</v>
      </c>
      <c r="T71" s="181">
        <v>1.1148</v>
      </c>
      <c r="U71" s="181">
        <v>1.457</v>
      </c>
      <c r="V71" s="181">
        <v>0.9573</v>
      </c>
      <c r="W71" s="202">
        <v>1.0952</v>
      </c>
      <c r="X71" s="181">
        <v>0.9756</v>
      </c>
      <c r="Y71" s="181">
        <v>0.9126</v>
      </c>
      <c r="Z71" s="181"/>
      <c r="AA71" s="181"/>
      <c r="AB71" s="202"/>
      <c r="AC71" s="202"/>
      <c r="AD71" s="202"/>
      <c r="AE71" s="202"/>
      <c r="AF71" s="202"/>
      <c r="AG71" s="202"/>
      <c r="AH71" s="203"/>
      <c r="AI71" s="204"/>
      <c r="AJ71" s="275"/>
      <c r="AK71" s="204"/>
      <c r="AL71" s="204"/>
      <c r="AM71" s="251"/>
      <c r="AN71" s="100" t="b">
        <f t="shared" si="3"/>
        <v>0</v>
      </c>
      <c r="AO71" s="102"/>
    </row>
    <row r="72" ht="14.25" customHeight="1" outlineLevel="3">
      <c r="A72" s="200"/>
      <c r="B72" s="201"/>
      <c r="C72" s="201"/>
      <c r="D72" s="201"/>
      <c r="E72" s="122" t="s">
        <v>374</v>
      </c>
      <c r="F72" s="123" t="s">
        <v>135</v>
      </c>
      <c r="G72" s="123" t="s">
        <v>375</v>
      </c>
      <c r="H72" s="260"/>
      <c r="I72" s="181"/>
      <c r="J72" s="181"/>
      <c r="K72" s="181"/>
      <c r="L72" s="181"/>
      <c r="M72" s="181"/>
      <c r="N72" s="181"/>
      <c r="O72" s="181"/>
      <c r="P72" s="181"/>
      <c r="Q72" s="181"/>
      <c r="R72" s="181">
        <v>5.9373</v>
      </c>
      <c r="S72" s="181">
        <v>4.9718</v>
      </c>
      <c r="T72" s="181">
        <v>6.5021</v>
      </c>
      <c r="U72" s="181">
        <v>7.0197</v>
      </c>
      <c r="V72" s="181">
        <v>5.2179</v>
      </c>
      <c r="W72" s="202">
        <v>6.2033</v>
      </c>
      <c r="X72" s="181">
        <v>7.1342</v>
      </c>
      <c r="Y72" s="181">
        <v>6.6638</v>
      </c>
      <c r="Z72" s="181"/>
      <c r="AA72" s="181"/>
      <c r="AB72" s="202"/>
      <c r="AC72" s="202"/>
      <c r="AD72" s="202"/>
      <c r="AE72" s="202"/>
      <c r="AF72" s="202"/>
      <c r="AG72" s="202"/>
      <c r="AH72" s="203"/>
      <c r="AI72" s="204"/>
      <c r="AJ72" s="275"/>
      <c r="AK72" s="204"/>
      <c r="AL72" s="204"/>
      <c r="AM72" s="251"/>
      <c r="AN72" s="100" t="b">
        <f t="shared" si="3"/>
        <v>0</v>
      </c>
      <c r="AO72" s="102"/>
    </row>
    <row r="73" ht="14.25" customHeight="1" outlineLevel="3">
      <c r="A73" s="200"/>
      <c r="B73" s="201"/>
      <c r="C73" s="201"/>
      <c r="D73" s="201"/>
      <c r="E73" s="122" t="s">
        <v>376</v>
      </c>
      <c r="F73" s="123" t="s">
        <v>135</v>
      </c>
      <c r="G73" s="123" t="s">
        <v>377</v>
      </c>
      <c r="H73" s="260">
        <v>32.9433</v>
      </c>
      <c r="I73" s="181">
        <v>34.957</v>
      </c>
      <c r="J73" s="181">
        <v>31.5654</v>
      </c>
      <c r="K73" s="181">
        <v>34.6752</v>
      </c>
      <c r="L73" s="181">
        <v>33.8368</v>
      </c>
      <c r="M73" s="181">
        <v>33.1027</v>
      </c>
      <c r="N73" s="181">
        <v>31.269</v>
      </c>
      <c r="O73" s="181">
        <v>27.5022</v>
      </c>
      <c r="P73" s="181">
        <v>31.9762</v>
      </c>
      <c r="Q73" s="181">
        <v>29.9564</v>
      </c>
      <c r="R73" s="181">
        <v>33.8733</v>
      </c>
      <c r="S73" s="181">
        <v>27.9756</v>
      </c>
      <c r="T73" s="181">
        <v>27.7995</v>
      </c>
      <c r="U73" s="181">
        <v>30.4707</v>
      </c>
      <c r="V73" s="181">
        <v>24.5326</v>
      </c>
      <c r="W73" s="202">
        <v>29.185</v>
      </c>
      <c r="X73" s="181">
        <v>26.5225</v>
      </c>
      <c r="Y73" s="181">
        <v>26.5711</v>
      </c>
      <c r="Z73" s="181"/>
      <c r="AA73" s="181"/>
      <c r="AB73" s="202"/>
      <c r="AC73" s="202"/>
      <c r="AD73" s="202"/>
      <c r="AE73" s="202"/>
      <c r="AF73" s="202"/>
      <c r="AG73" s="202"/>
      <c r="AH73" s="203"/>
      <c r="AI73" s="204"/>
      <c r="AJ73" s="275"/>
      <c r="AK73" s="204"/>
      <c r="AL73" s="204"/>
      <c r="AM73" s="251"/>
      <c r="AN73" s="100" t="b">
        <f t="shared" si="3"/>
        <v>0</v>
      </c>
      <c r="AO73" s="102"/>
    </row>
    <row r="74" ht="14.25" customHeight="1" outlineLevel="3">
      <c r="A74" s="200"/>
      <c r="B74" s="201"/>
      <c r="C74" s="201"/>
      <c r="D74" s="201"/>
      <c r="E74" s="122" t="s">
        <v>378</v>
      </c>
      <c r="F74" s="123" t="s">
        <v>135</v>
      </c>
      <c r="G74" s="123" t="s">
        <v>379</v>
      </c>
      <c r="H74" s="260"/>
      <c r="I74" s="181"/>
      <c r="J74" s="181"/>
      <c r="K74" s="181"/>
      <c r="L74" s="181"/>
      <c r="M74" s="181"/>
      <c r="N74" s="181"/>
      <c r="O74" s="181"/>
      <c r="P74" s="181"/>
      <c r="Q74" s="181"/>
      <c r="R74" s="181">
        <v>40.6352</v>
      </c>
      <c r="S74" s="181">
        <v>30.4363</v>
      </c>
      <c r="T74" s="181">
        <v>32.8978</v>
      </c>
      <c r="U74" s="181">
        <v>37.4566</v>
      </c>
      <c r="V74" s="181">
        <v>28.0052</v>
      </c>
      <c r="W74" s="202">
        <v>31.4048</v>
      </c>
      <c r="X74" s="181">
        <v>33.5514</v>
      </c>
      <c r="Y74" s="181">
        <v>32.5269</v>
      </c>
      <c r="Z74" s="181"/>
      <c r="AA74" s="181"/>
      <c r="AB74" s="202"/>
      <c r="AC74" s="202"/>
      <c r="AD74" s="202"/>
      <c r="AE74" s="202"/>
      <c r="AF74" s="202"/>
      <c r="AG74" s="202"/>
      <c r="AH74" s="203"/>
      <c r="AI74" s="204"/>
      <c r="AJ74" s="275"/>
      <c r="AK74" s="204"/>
      <c r="AL74" s="204"/>
      <c r="AM74" s="251"/>
      <c r="AN74" s="100" t="b">
        <f t="shared" si="3"/>
        <v>0</v>
      </c>
      <c r="AO74" s="102"/>
    </row>
    <row r="75" ht="14.25" customHeight="1" outlineLevel="3">
      <c r="A75" s="200"/>
      <c r="B75" s="201"/>
      <c r="C75" s="201"/>
      <c r="D75" s="201"/>
      <c r="E75" s="122" t="s">
        <v>380</v>
      </c>
      <c r="F75" s="123" t="s">
        <v>135</v>
      </c>
      <c r="G75" s="123" t="s">
        <v>381</v>
      </c>
      <c r="H75" s="260"/>
      <c r="I75" s="181"/>
      <c r="J75" s="181"/>
      <c r="K75" s="181"/>
      <c r="L75" s="181"/>
      <c r="M75" s="181"/>
      <c r="N75" s="181"/>
      <c r="O75" s="181"/>
      <c r="P75" s="181"/>
      <c r="Q75" s="181"/>
      <c r="R75" s="181">
        <v>2.7015</v>
      </c>
      <c r="S75" s="181">
        <v>2.0476</v>
      </c>
      <c r="T75" s="181">
        <v>2.1893</v>
      </c>
      <c r="U75" s="181">
        <v>2.5052</v>
      </c>
      <c r="V75" s="181">
        <v>1.8727</v>
      </c>
      <c r="W75" s="202">
        <v>2.0951</v>
      </c>
      <c r="X75" s="181">
        <v>2.2345</v>
      </c>
      <c r="Y75" s="181">
        <v>2.1668</v>
      </c>
      <c r="Z75" s="181"/>
      <c r="AA75" s="181"/>
      <c r="AB75" s="202"/>
      <c r="AC75" s="202"/>
      <c r="AD75" s="202"/>
      <c r="AE75" s="202"/>
      <c r="AF75" s="202"/>
      <c r="AG75" s="202"/>
      <c r="AH75" s="203"/>
      <c r="AI75" s="204"/>
      <c r="AJ75" s="275"/>
      <c r="AK75" s="204"/>
      <c r="AL75" s="204"/>
      <c r="AM75" s="251"/>
      <c r="AN75" s="100" t="b">
        <f t="shared" si="3"/>
        <v>0</v>
      </c>
      <c r="AO75" s="102"/>
    </row>
    <row r="76" ht="14.25" customHeight="1" outlineLevel="3">
      <c r="A76" s="200"/>
      <c r="B76" s="201"/>
      <c r="C76" s="201"/>
      <c r="D76" s="201"/>
      <c r="E76" s="122" t="s">
        <v>382</v>
      </c>
      <c r="F76" s="123" t="s">
        <v>135</v>
      </c>
      <c r="G76" s="123" t="s">
        <v>383</v>
      </c>
      <c r="H76" s="260"/>
      <c r="I76" s="181"/>
      <c r="J76" s="181"/>
      <c r="K76" s="181"/>
      <c r="L76" s="181"/>
      <c r="M76" s="181"/>
      <c r="N76" s="181"/>
      <c r="O76" s="181"/>
      <c r="P76" s="181"/>
      <c r="Q76" s="181"/>
      <c r="R76" s="181">
        <v>0.1294</v>
      </c>
      <c r="S76" s="181">
        <v>0.1502</v>
      </c>
      <c r="T76" s="181">
        <v>0.0761</v>
      </c>
      <c r="U76" s="181">
        <v>0.0483</v>
      </c>
      <c r="V76" s="181">
        <v>0.0464</v>
      </c>
      <c r="W76" s="202">
        <v>0.023</v>
      </c>
      <c r="X76" s="181">
        <v>0.0103</v>
      </c>
      <c r="Y76" s="181">
        <v>0.0104</v>
      </c>
      <c r="Z76" s="181"/>
      <c r="AA76" s="181"/>
      <c r="AB76" s="202"/>
      <c r="AC76" s="202"/>
      <c r="AD76" s="202"/>
      <c r="AE76" s="202"/>
      <c r="AF76" s="202"/>
      <c r="AG76" s="202"/>
      <c r="AH76" s="203"/>
      <c r="AI76" s="204"/>
      <c r="AJ76" s="275"/>
      <c r="AK76" s="204"/>
      <c r="AL76" s="204"/>
      <c r="AM76" s="251"/>
      <c r="AN76" s="100" t="b">
        <f t="shared" si="3"/>
        <v>0</v>
      </c>
      <c r="AO76" s="102"/>
    </row>
    <row r="77" ht="14.25" customHeight="1" outlineLevel="3">
      <c r="A77" s="200"/>
      <c r="B77" s="201"/>
      <c r="C77" s="201"/>
      <c r="D77" s="201"/>
      <c r="E77" s="122" t="s">
        <v>384</v>
      </c>
      <c r="F77" s="123" t="s">
        <v>135</v>
      </c>
      <c r="G77" s="123" t="s">
        <v>385</v>
      </c>
      <c r="H77" s="260"/>
      <c r="I77" s="181"/>
      <c r="J77" s="181"/>
      <c r="K77" s="181"/>
      <c r="L77" s="181"/>
      <c r="M77" s="181"/>
      <c r="N77" s="181"/>
      <c r="O77" s="181"/>
      <c r="P77" s="181"/>
      <c r="Q77" s="181"/>
      <c r="R77" s="181"/>
      <c r="S77" s="181"/>
      <c r="T77" s="181"/>
      <c r="U77" s="181"/>
      <c r="V77" s="181"/>
      <c r="W77" s="202">
        <v>1.23447604961109</v>
      </c>
      <c r="X77" s="181"/>
      <c r="Y77" s="181"/>
      <c r="Z77" s="181"/>
      <c r="AA77" s="181"/>
      <c r="AB77" s="202"/>
      <c r="AC77" s="202"/>
      <c r="AD77" s="202"/>
      <c r="AE77" s="202"/>
      <c r="AF77" s="202"/>
      <c r="AG77" s="202"/>
      <c r="AH77" s="281"/>
      <c r="AI77" s="204"/>
      <c r="AJ77" s="275"/>
      <c r="AK77" s="204"/>
      <c r="AL77" s="204"/>
      <c r="AM77" s="251"/>
      <c r="AN77" s="100" t="b">
        <f t="shared" si="3"/>
        <v>0</v>
      </c>
      <c r="AO77" s="102"/>
    </row>
    <row r="78" ht="14.25" customHeight="1" outlineLevel="3">
      <c r="A78" s="200"/>
      <c r="B78" s="201"/>
      <c r="C78" s="201"/>
      <c r="D78" s="201"/>
      <c r="E78" s="122" t="s">
        <v>386</v>
      </c>
      <c r="F78" s="123" t="s">
        <v>135</v>
      </c>
      <c r="G78" s="123" t="s">
        <v>387</v>
      </c>
      <c r="H78" s="260"/>
      <c r="I78" s="181"/>
      <c r="J78" s="181"/>
      <c r="K78" s="181"/>
      <c r="L78" s="181"/>
      <c r="M78" s="181"/>
      <c r="N78" s="181"/>
      <c r="O78" s="181"/>
      <c r="P78" s="181"/>
      <c r="Q78" s="181"/>
      <c r="R78" s="181"/>
      <c r="S78" s="181"/>
      <c r="T78" s="181"/>
      <c r="U78" s="181"/>
      <c r="V78" s="181"/>
      <c r="W78" s="202"/>
      <c r="X78" s="181"/>
      <c r="Y78" s="181"/>
      <c r="Z78" s="181"/>
      <c r="AA78" s="181"/>
      <c r="AB78" s="202"/>
      <c r="AC78" s="202"/>
      <c r="AD78" s="202"/>
      <c r="AE78" s="202"/>
      <c r="AF78" s="202"/>
      <c r="AG78" s="202"/>
      <c r="AH78" s="203"/>
      <c r="AI78" s="204"/>
      <c r="AJ78" s="275"/>
      <c r="AK78" s="204"/>
      <c r="AL78" s="204"/>
      <c r="AM78" s="251"/>
      <c r="AN78" s="100" t="b">
        <f t="shared" si="3"/>
        <v>0</v>
      </c>
      <c r="AO78" s="102"/>
    </row>
    <row r="79" ht="13.5" customHeight="1" outlineLevel="1">
      <c r="A79" s="247"/>
      <c r="B79" s="246" t="s">
        <v>388</v>
      </c>
      <c r="C79" s="282"/>
      <c r="D79" s="283"/>
      <c r="E79" s="284"/>
      <c r="F79" s="162"/>
      <c r="G79" s="162"/>
      <c r="H79" s="178"/>
      <c r="I79" s="178"/>
      <c r="J79" s="178"/>
      <c r="K79" s="178"/>
      <c r="L79" s="178"/>
      <c r="M79" s="178"/>
      <c r="N79" s="178"/>
      <c r="O79" s="178"/>
      <c r="P79" s="178"/>
      <c r="Q79" s="178"/>
      <c r="R79" s="178"/>
      <c r="S79" s="178"/>
      <c r="T79" s="178"/>
      <c r="U79" s="178"/>
      <c r="V79" s="178"/>
      <c r="W79" s="178"/>
      <c r="X79" s="178"/>
      <c r="Y79" s="178"/>
      <c r="Z79" s="178"/>
      <c r="AA79" s="178"/>
      <c r="AB79" s="178"/>
      <c r="AC79" s="178"/>
      <c r="AD79" s="178"/>
      <c r="AE79" s="178"/>
      <c r="AF79" s="178"/>
      <c r="AG79" s="178"/>
      <c r="AH79" s="178"/>
      <c r="AI79" s="244"/>
      <c r="AJ79" s="244"/>
      <c r="AK79" s="244"/>
      <c r="AL79" s="244"/>
      <c r="AM79" s="162"/>
      <c r="AN79" s="100" t="b">
        <f t="shared" si="3"/>
        <v>0</v>
      </c>
      <c r="AO79" s="102"/>
    </row>
    <row r="80" ht="13.5" customHeight="1" outlineLevel="2">
      <c r="A80" s="247"/>
      <c r="B80" s="201"/>
      <c r="C80" s="246" t="s">
        <v>389</v>
      </c>
      <c r="D80" s="201"/>
      <c r="E80" s="162"/>
      <c r="F80" s="162"/>
      <c r="G80" s="162"/>
      <c r="H80" s="178"/>
      <c r="I80" s="178"/>
      <c r="J80" s="178"/>
      <c r="K80" s="178"/>
      <c r="L80" s="178"/>
      <c r="M80" s="178"/>
      <c r="N80" s="178"/>
      <c r="O80" s="178"/>
      <c r="P80" s="178"/>
      <c r="Q80" s="178"/>
      <c r="R80" s="178"/>
      <c r="S80" s="178"/>
      <c r="T80" s="178"/>
      <c r="U80" s="178"/>
      <c r="V80" s="178"/>
      <c r="W80" s="178"/>
      <c r="X80" s="178"/>
      <c r="Y80" s="178"/>
      <c r="Z80" s="178"/>
      <c r="AA80" s="178"/>
      <c r="AB80" s="178"/>
      <c r="AC80" s="178"/>
      <c r="AD80" s="178"/>
      <c r="AE80" s="178"/>
      <c r="AF80" s="178"/>
      <c r="AG80" s="178"/>
      <c r="AH80" s="178"/>
      <c r="AI80" s="244"/>
      <c r="AJ80" s="244"/>
      <c r="AK80" s="244"/>
      <c r="AL80" s="244"/>
      <c r="AM80" s="162"/>
      <c r="AN80" s="100" t="b">
        <f t="shared" si="3"/>
        <v>0</v>
      </c>
      <c r="AO80" s="102"/>
    </row>
    <row r="81" ht="13.5" customHeight="1" outlineLevel="3">
      <c r="A81" s="247"/>
      <c r="B81" s="201"/>
      <c r="C81" s="201"/>
      <c r="D81" s="201"/>
      <c r="E81" s="270" t="s">
        <v>390</v>
      </c>
      <c r="F81" s="249" t="s">
        <v>261</v>
      </c>
      <c r="G81" s="249" t="s">
        <v>391</v>
      </c>
      <c r="H81" s="253"/>
      <c r="I81" s="254"/>
      <c r="J81" s="254"/>
      <c r="K81" s="254"/>
      <c r="L81" s="254"/>
      <c r="M81" s="254"/>
      <c r="N81" s="254"/>
      <c r="O81" s="254"/>
      <c r="P81" s="254"/>
      <c r="Q81" s="254"/>
      <c r="R81" s="254">
        <v>0.039252</v>
      </c>
      <c r="S81" s="254">
        <v>0.050356</v>
      </c>
      <c r="T81" s="254">
        <v>0.061222</v>
      </c>
      <c r="U81" s="254">
        <v>0.071867</v>
      </c>
      <c r="V81" s="254">
        <v>0.082345</v>
      </c>
      <c r="W81" s="285">
        <v>0.092733</v>
      </c>
      <c r="X81" s="254">
        <v>0.102961</v>
      </c>
      <c r="Y81" s="254">
        <v>0.112898</v>
      </c>
      <c r="Z81" s="254"/>
      <c r="AA81" s="254"/>
      <c r="AB81" s="285">
        <v>0.14</v>
      </c>
      <c r="AC81" s="285">
        <v>0.15</v>
      </c>
      <c r="AD81" s="285">
        <v>0.16</v>
      </c>
      <c r="AE81" s="285">
        <v>0.17</v>
      </c>
      <c r="AF81" s="285">
        <v>0.18</v>
      </c>
      <c r="AG81" s="285">
        <v>0.19</v>
      </c>
      <c r="AH81" s="285">
        <v>0.2</v>
      </c>
      <c r="AI81" s="204"/>
      <c r="AJ81" s="275"/>
      <c r="AK81" s="204"/>
      <c r="AL81" s="204"/>
      <c r="AM81" s="251"/>
      <c r="AN81" s="100" t="b">
        <f t="shared" si="3"/>
        <v>0</v>
      </c>
      <c r="AO81" s="102"/>
    </row>
    <row r="82" ht="13.5" customHeight="1" outlineLevel="3">
      <c r="A82" s="247"/>
      <c r="B82" s="201"/>
      <c r="C82" s="268"/>
      <c r="D82" s="201"/>
      <c r="E82" s="270" t="s">
        <v>392</v>
      </c>
      <c r="F82" s="249" t="s">
        <v>261</v>
      </c>
      <c r="G82" s="249" t="s">
        <v>393</v>
      </c>
      <c r="H82" s="253"/>
      <c r="I82" s="254"/>
      <c r="J82" s="254"/>
      <c r="K82" s="254"/>
      <c r="L82" s="254"/>
      <c r="M82" s="254"/>
      <c r="N82" s="254"/>
      <c r="O82" s="254"/>
      <c r="P82" s="254"/>
      <c r="Q82" s="254"/>
      <c r="R82" s="254"/>
      <c r="S82" s="254"/>
      <c r="T82" s="254"/>
      <c r="U82" s="254"/>
      <c r="V82" s="254"/>
      <c r="W82" s="256"/>
      <c r="X82" s="254"/>
      <c r="Y82" s="254"/>
      <c r="Z82" s="254"/>
      <c r="AA82" s="254"/>
      <c r="AB82" s="256"/>
      <c r="AC82" s="256"/>
      <c r="AD82" s="256"/>
      <c r="AE82" s="256"/>
      <c r="AF82" s="256"/>
      <c r="AG82" s="256"/>
      <c r="AH82" s="257"/>
      <c r="AI82" s="204"/>
      <c r="AJ82" s="204"/>
      <c r="AK82" s="204"/>
      <c r="AL82" s="204"/>
      <c r="AM82" s="251"/>
      <c r="AN82" s="100" t="b">
        <f t="shared" si="3"/>
        <v>0</v>
      </c>
      <c r="AO82" s="102"/>
    </row>
    <row r="83" ht="13.5" customHeight="1" outlineLevel="3">
      <c r="A83" s="247"/>
      <c r="B83" s="201"/>
      <c r="C83" s="268"/>
      <c r="D83" s="201"/>
      <c r="E83" s="270" t="s">
        <v>394</v>
      </c>
      <c r="F83" s="249" t="s">
        <v>261</v>
      </c>
      <c r="G83" s="249" t="s">
        <v>395</v>
      </c>
      <c r="H83" s="253"/>
      <c r="I83" s="254"/>
      <c r="J83" s="254"/>
      <c r="K83" s="254"/>
      <c r="L83" s="254"/>
      <c r="M83" s="254"/>
      <c r="N83" s="254"/>
      <c r="O83" s="254"/>
      <c r="P83" s="254"/>
      <c r="Q83" s="254"/>
      <c r="R83" s="254"/>
      <c r="S83" s="254"/>
      <c r="T83" s="254"/>
      <c r="U83" s="254"/>
      <c r="V83" s="254"/>
      <c r="W83" s="256"/>
      <c r="X83" s="254"/>
      <c r="Y83" s="254"/>
      <c r="Z83" s="254"/>
      <c r="AA83" s="254"/>
      <c r="AB83" s="256"/>
      <c r="AC83" s="256"/>
      <c r="AD83" s="256"/>
      <c r="AE83" s="256"/>
      <c r="AF83" s="256"/>
      <c r="AG83" s="256"/>
      <c r="AH83" s="257"/>
      <c r="AI83" s="204"/>
      <c r="AJ83" s="204"/>
      <c r="AK83" s="204"/>
      <c r="AL83" s="204"/>
      <c r="AM83" s="251"/>
      <c r="AN83" s="100" t="b">
        <f t="shared" si="3"/>
        <v>0</v>
      </c>
      <c r="AO83" s="102"/>
    </row>
    <row r="84" ht="13.5" customHeight="1" outlineLevel="3">
      <c r="A84" s="247"/>
      <c r="B84" s="201"/>
      <c r="C84" s="268"/>
      <c r="D84" s="201"/>
      <c r="E84" s="122" t="s">
        <v>396</v>
      </c>
      <c r="F84" s="123" t="s">
        <v>261</v>
      </c>
      <c r="G84" s="123" t="s">
        <v>397</v>
      </c>
      <c r="H84" s="253"/>
      <c r="I84" s="254"/>
      <c r="J84" s="254"/>
      <c r="K84" s="254"/>
      <c r="L84" s="254"/>
      <c r="M84" s="254"/>
      <c r="N84" s="254"/>
      <c r="O84" s="254"/>
      <c r="P84" s="254"/>
      <c r="Q84" s="254"/>
      <c r="R84" s="254"/>
      <c r="S84" s="254"/>
      <c r="T84" s="254"/>
      <c r="U84" s="254"/>
      <c r="V84" s="254"/>
      <c r="W84" s="256"/>
      <c r="X84" s="254"/>
      <c r="Y84" s="254"/>
      <c r="Z84" s="254"/>
      <c r="AA84" s="254"/>
      <c r="AB84" s="256"/>
      <c r="AC84" s="256"/>
      <c r="AD84" s="256"/>
      <c r="AE84" s="256"/>
      <c r="AF84" s="256"/>
      <c r="AG84" s="256"/>
      <c r="AH84" s="257"/>
      <c r="AI84" s="204"/>
      <c r="AJ84" s="204"/>
      <c r="AK84" s="204"/>
      <c r="AL84" s="204"/>
      <c r="AM84" s="251"/>
      <c r="AN84" s="100" t="b">
        <f t="shared" si="3"/>
        <v>0</v>
      </c>
      <c r="AO84" s="102"/>
    </row>
    <row r="85" ht="13.5" customHeight="1" outlineLevel="2">
      <c r="A85" s="247"/>
      <c r="B85" s="201"/>
      <c r="C85" s="246" t="s">
        <v>398</v>
      </c>
      <c r="D85" s="201"/>
      <c r="E85" s="162"/>
      <c r="F85" s="162"/>
      <c r="G85" s="162"/>
      <c r="H85" s="178"/>
      <c r="I85" s="178"/>
      <c r="J85" s="178"/>
      <c r="K85" s="178"/>
      <c r="L85" s="178"/>
      <c r="M85" s="178"/>
      <c r="N85" s="178"/>
      <c r="O85" s="178"/>
      <c r="P85" s="178"/>
      <c r="Q85" s="178"/>
      <c r="R85" s="178"/>
      <c r="S85" s="178"/>
      <c r="T85" s="178"/>
      <c r="U85" s="178"/>
      <c r="V85" s="178"/>
      <c r="W85" s="178"/>
      <c r="X85" s="178"/>
      <c r="Y85" s="178"/>
      <c r="Z85" s="178"/>
      <c r="AA85" s="178"/>
      <c r="AB85" s="178"/>
      <c r="AC85" s="178"/>
      <c r="AD85" s="178"/>
      <c r="AE85" s="178"/>
      <c r="AF85" s="178"/>
      <c r="AG85" s="178"/>
      <c r="AH85" s="178"/>
      <c r="AI85" s="244"/>
      <c r="AJ85" s="244"/>
      <c r="AK85" s="244"/>
      <c r="AL85" s="244"/>
      <c r="AM85" s="162"/>
      <c r="AN85" s="100" t="b">
        <f t="shared" si="3"/>
        <v>0</v>
      </c>
      <c r="AO85" s="102"/>
    </row>
    <row r="86" ht="14.25" customHeight="1" outlineLevel="3">
      <c r="A86" s="98"/>
      <c r="B86" s="98"/>
      <c r="C86" s="98"/>
      <c r="D86" s="98"/>
      <c r="E86" s="270" t="s">
        <v>399</v>
      </c>
      <c r="F86" s="249" t="s">
        <v>400</v>
      </c>
      <c r="G86" s="249" t="s">
        <v>401</v>
      </c>
      <c r="H86" s="260">
        <v>1504.2109224805</v>
      </c>
      <c r="I86" s="181">
        <v>1524.40068317386</v>
      </c>
      <c r="J86" s="181">
        <v>1534.98920246285</v>
      </c>
      <c r="K86" s="181">
        <v>1544.85180743392</v>
      </c>
      <c r="L86" s="181">
        <v>1580.54639703097</v>
      </c>
      <c r="M86" s="181">
        <v>1575.49361595951</v>
      </c>
      <c r="N86" s="181">
        <v>1590.06839460133</v>
      </c>
      <c r="O86" s="181">
        <v>1610.72827076256</v>
      </c>
      <c r="P86" s="181">
        <v>1698.18980989822</v>
      </c>
      <c r="Q86" s="181">
        <v>1749.62650691499</v>
      </c>
      <c r="R86" s="181">
        <v>1762.32621490599</v>
      </c>
      <c r="S86" s="181">
        <v>1753.65224698257</v>
      </c>
      <c r="T86" s="181">
        <v>1767.10097216141</v>
      </c>
      <c r="U86" s="181">
        <v>1747.49928476424</v>
      </c>
      <c r="V86" s="181">
        <v>1739.57851821229</v>
      </c>
      <c r="W86" s="286">
        <v>1816.9168719381</v>
      </c>
      <c r="X86" s="181"/>
      <c r="Y86" s="181"/>
      <c r="Z86" s="181"/>
      <c r="AA86" s="181"/>
      <c r="AB86" s="286">
        <v>1800.0</v>
      </c>
      <c r="AC86" s="286">
        <v>1800.0</v>
      </c>
      <c r="AD86" s="286">
        <v>1800.0</v>
      </c>
      <c r="AE86" s="286">
        <v>1800.0</v>
      </c>
      <c r="AF86" s="286">
        <v>1800.0</v>
      </c>
      <c r="AG86" s="286">
        <v>1800.0</v>
      </c>
      <c r="AH86" s="286">
        <v>1800.0</v>
      </c>
      <c r="AI86" s="204"/>
      <c r="AJ86" s="275"/>
      <c r="AK86" s="204"/>
      <c r="AL86" s="204"/>
      <c r="AM86" s="251"/>
      <c r="AN86" s="100" t="b">
        <f t="shared" si="3"/>
        <v>0</v>
      </c>
      <c r="AO86" s="102"/>
    </row>
    <row r="87" ht="13.5" customHeight="1" outlineLevel="3">
      <c r="A87" s="247"/>
      <c r="B87" s="201"/>
      <c r="C87" s="268"/>
      <c r="D87" s="201"/>
      <c r="E87" s="270" t="s">
        <v>402</v>
      </c>
      <c r="F87" s="249" t="s">
        <v>303</v>
      </c>
      <c r="G87" s="249" t="s">
        <v>403</v>
      </c>
      <c r="H87" s="260"/>
      <c r="I87" s="181"/>
      <c r="J87" s="181"/>
      <c r="K87" s="181"/>
      <c r="L87" s="181"/>
      <c r="M87" s="181"/>
      <c r="N87" s="181"/>
      <c r="O87" s="181"/>
      <c r="P87" s="181"/>
      <c r="Q87" s="181"/>
      <c r="R87" s="181"/>
      <c r="S87" s="181"/>
      <c r="T87" s="181"/>
      <c r="U87" s="181"/>
      <c r="V87" s="181"/>
      <c r="W87" s="286"/>
      <c r="X87" s="181"/>
      <c r="Y87" s="181"/>
      <c r="Z87" s="181"/>
      <c r="AA87" s="181"/>
      <c r="AB87" s="286"/>
      <c r="AC87" s="286"/>
      <c r="AD87" s="286"/>
      <c r="AE87" s="286"/>
      <c r="AF87" s="286"/>
      <c r="AG87" s="286"/>
      <c r="AH87" s="286"/>
      <c r="AI87" s="204"/>
      <c r="AJ87" s="204"/>
      <c r="AK87" s="204"/>
      <c r="AL87" s="204"/>
      <c r="AM87" s="251"/>
      <c r="AN87" s="100" t="b">
        <f t="shared" si="3"/>
        <v>0</v>
      </c>
      <c r="AO87" s="102"/>
    </row>
    <row r="88" ht="13.5" customHeight="1" outlineLevel="3">
      <c r="A88" s="247"/>
      <c r="B88" s="201"/>
      <c r="C88" s="268"/>
      <c r="D88" s="201"/>
      <c r="E88" s="270" t="s">
        <v>404</v>
      </c>
      <c r="F88" s="249" t="s">
        <v>303</v>
      </c>
      <c r="G88" s="249" t="s">
        <v>405</v>
      </c>
      <c r="H88" s="260"/>
      <c r="I88" s="181"/>
      <c r="J88" s="181"/>
      <c r="K88" s="181"/>
      <c r="L88" s="181"/>
      <c r="M88" s="181"/>
      <c r="N88" s="181"/>
      <c r="O88" s="181"/>
      <c r="P88" s="181"/>
      <c r="Q88" s="181"/>
      <c r="R88" s="181"/>
      <c r="S88" s="181"/>
      <c r="T88" s="181"/>
      <c r="U88" s="181"/>
      <c r="V88" s="181"/>
      <c r="W88" s="182"/>
      <c r="X88" s="181"/>
      <c r="Y88" s="181"/>
      <c r="Z88" s="181"/>
      <c r="AA88" s="181"/>
      <c r="AB88" s="182"/>
      <c r="AC88" s="182"/>
      <c r="AD88" s="182"/>
      <c r="AE88" s="182"/>
      <c r="AF88" s="182"/>
      <c r="AG88" s="182"/>
      <c r="AH88" s="184"/>
      <c r="AI88" s="204"/>
      <c r="AJ88" s="204"/>
      <c r="AK88" s="204"/>
      <c r="AL88" s="204"/>
      <c r="AM88" s="251"/>
      <c r="AN88" s="100" t="b">
        <f t="shared" si="3"/>
        <v>0</v>
      </c>
      <c r="AO88" s="102"/>
    </row>
    <row r="89" ht="13.5" customHeight="1" outlineLevel="3">
      <c r="A89" s="247"/>
      <c r="B89" s="201"/>
      <c r="C89" s="268"/>
      <c r="D89" s="201"/>
      <c r="E89" s="270" t="s">
        <v>406</v>
      </c>
      <c r="F89" s="249" t="s">
        <v>303</v>
      </c>
      <c r="G89" s="249" t="s">
        <v>407</v>
      </c>
      <c r="H89" s="260"/>
      <c r="I89" s="181"/>
      <c r="J89" s="181"/>
      <c r="K89" s="181"/>
      <c r="L89" s="181"/>
      <c r="M89" s="181"/>
      <c r="N89" s="181"/>
      <c r="O89" s="181"/>
      <c r="P89" s="181"/>
      <c r="Q89" s="181"/>
      <c r="R89" s="181"/>
      <c r="S89" s="181"/>
      <c r="T89" s="181"/>
      <c r="U89" s="181"/>
      <c r="V89" s="181"/>
      <c r="W89" s="182"/>
      <c r="X89" s="181"/>
      <c r="Y89" s="181"/>
      <c r="Z89" s="181"/>
      <c r="AA89" s="181"/>
      <c r="AB89" s="182"/>
      <c r="AC89" s="182"/>
      <c r="AD89" s="182"/>
      <c r="AE89" s="182"/>
      <c r="AF89" s="182"/>
      <c r="AG89" s="182"/>
      <c r="AH89" s="184"/>
      <c r="AI89" s="204"/>
      <c r="AJ89" s="204"/>
      <c r="AK89" s="204"/>
      <c r="AL89" s="204"/>
      <c r="AM89" s="251"/>
      <c r="AN89" s="100" t="b">
        <f t="shared" si="3"/>
        <v>0</v>
      </c>
      <c r="AO89" s="102"/>
    </row>
    <row r="90" ht="13.5" customHeight="1" outlineLevel="3">
      <c r="A90" s="247"/>
      <c r="B90" s="201"/>
      <c r="C90" s="268"/>
      <c r="D90" s="201"/>
      <c r="E90" s="122" t="s">
        <v>408</v>
      </c>
      <c r="F90" s="123" t="s">
        <v>303</v>
      </c>
      <c r="G90" s="123" t="s">
        <v>409</v>
      </c>
      <c r="H90" s="260"/>
      <c r="I90" s="181"/>
      <c r="J90" s="181"/>
      <c r="K90" s="181"/>
      <c r="L90" s="181"/>
      <c r="M90" s="181"/>
      <c r="N90" s="181"/>
      <c r="O90" s="181"/>
      <c r="P90" s="181"/>
      <c r="Q90" s="181"/>
      <c r="R90" s="181"/>
      <c r="S90" s="181"/>
      <c r="T90" s="181"/>
      <c r="U90" s="181"/>
      <c r="V90" s="181"/>
      <c r="W90" s="182"/>
      <c r="X90" s="181"/>
      <c r="Y90" s="181"/>
      <c r="Z90" s="181"/>
      <c r="AA90" s="181"/>
      <c r="AB90" s="182"/>
      <c r="AC90" s="182"/>
      <c r="AD90" s="182"/>
      <c r="AE90" s="182"/>
      <c r="AF90" s="182"/>
      <c r="AG90" s="182"/>
      <c r="AH90" s="184"/>
      <c r="AI90" s="204"/>
      <c r="AJ90" s="204"/>
      <c r="AK90" s="204"/>
      <c r="AL90" s="204"/>
      <c r="AM90" s="251"/>
      <c r="AN90" s="100" t="b">
        <f t="shared" si="3"/>
        <v>0</v>
      </c>
      <c r="AO90" s="102"/>
    </row>
    <row r="91" ht="13.5" customHeight="1" outlineLevel="2">
      <c r="A91" s="247"/>
      <c r="B91" s="201"/>
      <c r="C91" s="246" t="s">
        <v>410</v>
      </c>
      <c r="D91" s="201"/>
      <c r="E91" s="162"/>
      <c r="F91" s="162"/>
      <c r="G91" s="162"/>
      <c r="H91" s="178"/>
      <c r="I91" s="178"/>
      <c r="J91" s="178"/>
      <c r="K91" s="178"/>
      <c r="L91" s="178"/>
      <c r="M91" s="178"/>
      <c r="N91" s="178"/>
      <c r="O91" s="178"/>
      <c r="P91" s="178"/>
      <c r="Q91" s="178"/>
      <c r="R91" s="178"/>
      <c r="S91" s="178"/>
      <c r="T91" s="178"/>
      <c r="U91" s="178"/>
      <c r="V91" s="178"/>
      <c r="W91" s="178"/>
      <c r="X91" s="178"/>
      <c r="Y91" s="178"/>
      <c r="Z91" s="178"/>
      <c r="AA91" s="178"/>
      <c r="AB91" s="178"/>
      <c r="AC91" s="178"/>
      <c r="AD91" s="178"/>
      <c r="AE91" s="178"/>
      <c r="AF91" s="178"/>
      <c r="AG91" s="178"/>
      <c r="AH91" s="178"/>
      <c r="AI91" s="244"/>
      <c r="AJ91" s="244"/>
      <c r="AK91" s="244"/>
      <c r="AL91" s="244"/>
      <c r="AM91" s="162"/>
      <c r="AN91" s="100" t="b">
        <f t="shared" si="3"/>
        <v>0</v>
      </c>
      <c r="AO91" s="102"/>
    </row>
    <row r="92" ht="13.5" customHeight="1" outlineLevel="3">
      <c r="A92" s="247"/>
      <c r="B92" s="201"/>
      <c r="C92" s="268"/>
      <c r="D92" s="201"/>
      <c r="E92" s="278" t="s">
        <v>411</v>
      </c>
      <c r="F92" s="123" t="s">
        <v>261</v>
      </c>
      <c r="G92" s="123" t="s">
        <v>412</v>
      </c>
      <c r="H92" s="253"/>
      <c r="I92" s="254"/>
      <c r="J92" s="254"/>
      <c r="K92" s="254"/>
      <c r="L92" s="254"/>
      <c r="M92" s="254"/>
      <c r="N92" s="254"/>
      <c r="O92" s="254"/>
      <c r="P92" s="254"/>
      <c r="Q92" s="254"/>
      <c r="R92" s="254"/>
      <c r="S92" s="254"/>
      <c r="T92" s="254"/>
      <c r="U92" s="254"/>
      <c r="V92" s="254"/>
      <c r="W92" s="279">
        <v>3.317</v>
      </c>
      <c r="X92" s="254"/>
      <c r="Y92" s="254"/>
      <c r="Z92" s="254"/>
      <c r="AA92" s="254"/>
      <c r="AB92" s="279">
        <v>3.317</v>
      </c>
      <c r="AC92" s="279">
        <v>3.317</v>
      </c>
      <c r="AD92" s="279">
        <v>3.317</v>
      </c>
      <c r="AE92" s="279">
        <v>3.317</v>
      </c>
      <c r="AF92" s="279">
        <v>3.317</v>
      </c>
      <c r="AG92" s="279">
        <v>3.317</v>
      </c>
      <c r="AH92" s="279">
        <v>3.317</v>
      </c>
      <c r="AI92" s="204"/>
      <c r="AJ92" s="275"/>
      <c r="AK92" s="204"/>
      <c r="AL92" s="204"/>
      <c r="AM92" s="251"/>
      <c r="AN92" s="100" t="b">
        <f t="shared" si="3"/>
        <v>0</v>
      </c>
      <c r="AO92" s="102"/>
    </row>
    <row r="93" ht="13.5" customHeight="1" outlineLevel="2">
      <c r="A93" s="247"/>
      <c r="B93" s="201"/>
      <c r="C93" s="162" t="s">
        <v>413</v>
      </c>
      <c r="D93" s="201"/>
      <c r="E93" s="162"/>
      <c r="F93" s="162"/>
      <c r="G93" s="162"/>
      <c r="H93" s="178"/>
      <c r="I93" s="178"/>
      <c r="J93" s="178"/>
      <c r="K93" s="178"/>
      <c r="L93" s="178"/>
      <c r="M93" s="178"/>
      <c r="N93" s="178"/>
      <c r="O93" s="178"/>
      <c r="P93" s="178"/>
      <c r="Q93" s="178"/>
      <c r="R93" s="178"/>
      <c r="S93" s="178"/>
      <c r="T93" s="178"/>
      <c r="U93" s="178"/>
      <c r="V93" s="178"/>
      <c r="W93" s="178"/>
      <c r="X93" s="178"/>
      <c r="Y93" s="178"/>
      <c r="Z93" s="178"/>
      <c r="AA93" s="178"/>
      <c r="AB93" s="178"/>
      <c r="AC93" s="178"/>
      <c r="AD93" s="178"/>
      <c r="AE93" s="178"/>
      <c r="AF93" s="178"/>
      <c r="AG93" s="178"/>
      <c r="AH93" s="178"/>
      <c r="AI93" s="244"/>
      <c r="AJ93" s="244"/>
      <c r="AK93" s="244"/>
      <c r="AL93" s="244"/>
      <c r="AM93" s="162"/>
      <c r="AN93" s="100" t="b">
        <f t="shared" si="3"/>
        <v>0</v>
      </c>
      <c r="AO93" s="102"/>
    </row>
    <row r="94" ht="14.25" customHeight="1" outlineLevel="3">
      <c r="A94" s="247"/>
      <c r="B94" s="201"/>
      <c r="C94" s="201"/>
      <c r="D94" s="201"/>
      <c r="E94" s="273" t="str">
        <f>"TOTAL FEC for cooling in the residential sector"&amp;IF('EDCM - Residential'!$F$8="Ok"," (secondary and vacant dwellings included)"," (secondary and vacant dwellings not or partially included)")</f>
        <v>TOTAL FEC for cooling in the residential sector (secondary and vacant dwellings not or partially included)</v>
      </c>
      <c r="F94" s="280" t="s">
        <v>135</v>
      </c>
      <c r="G94" s="123" t="s">
        <v>414</v>
      </c>
      <c r="H94" s="274" t="str">
        <f>caltoccfrescli</f>
        <v>#REF!</v>
      </c>
      <c r="I94" s="274" t="str">
        <f>caltoccfrescli</f>
        <v>#REF!</v>
      </c>
      <c r="J94" s="274" t="str">
        <f>caltoccfrescli</f>
        <v>#REF!</v>
      </c>
      <c r="K94" s="274" t="str">
        <f>caltoccfrescli</f>
        <v>#REF!</v>
      </c>
      <c r="L94" s="274" t="str">
        <f>caltoccfrescli</f>
        <v>#REF!</v>
      </c>
      <c r="M94" s="274" t="str">
        <f>caltoccfrescli</f>
        <v>#REF!</v>
      </c>
      <c r="N94" s="274" t="str">
        <f>caltoccfrescli</f>
        <v>#REF!</v>
      </c>
      <c r="O94" s="274" t="str">
        <f>caltoccfrescli</f>
        <v>#REF!</v>
      </c>
      <c r="P94" s="274" t="str">
        <f>caltoccfrescli</f>
        <v>#REF!</v>
      </c>
      <c r="Q94" s="274" t="str">
        <f>caltoccfrescli</f>
        <v>#REF!</v>
      </c>
      <c r="R94" s="274" t="str">
        <f>caltoccfrescli</f>
        <v>#REF!</v>
      </c>
      <c r="S94" s="274" t="str">
        <f>caltoccfrescli</f>
        <v>#REF!</v>
      </c>
      <c r="T94" s="274" t="str">
        <f>caltoccfrescli</f>
        <v>#REF!</v>
      </c>
      <c r="U94" s="274" t="str">
        <f>caltoccfrescli</f>
        <v>#REF!</v>
      </c>
      <c r="V94" s="274" t="str">
        <f>caltoccfrescli</f>
        <v>#REF!</v>
      </c>
      <c r="W94" s="274" t="str">
        <f>caltoccfrescli</f>
        <v>#REF!</v>
      </c>
      <c r="X94" s="274" t="str">
        <f>caltoccfrescli</f>
        <v>#REF!</v>
      </c>
      <c r="Y94" s="274" t="str">
        <f>caltoccfrescli</f>
        <v>#REF!</v>
      </c>
      <c r="Z94" s="274" t="str">
        <f>caltoccfrescli</f>
        <v>#REF!</v>
      </c>
      <c r="AA94" s="274" t="str">
        <f>caltoccfrescli</f>
        <v>#REF!</v>
      </c>
      <c r="AB94" s="274" t="str">
        <f>caltoccfrescli</f>
        <v>#REF!</v>
      </c>
      <c r="AC94" s="274" t="str">
        <f>caltoccfrescli</f>
        <v>#REF!</v>
      </c>
      <c r="AD94" s="274" t="str">
        <f>caltoccfrescli</f>
        <v>#REF!</v>
      </c>
      <c r="AE94" s="274" t="str">
        <f>caltoccfrescli</f>
        <v>#REF!</v>
      </c>
      <c r="AF94" s="274" t="str">
        <f>caltoccfrescli</f>
        <v>#REF!</v>
      </c>
      <c r="AG94" s="274" t="str">
        <f>caltoccfrescli</f>
        <v>#REF!</v>
      </c>
      <c r="AH94" s="274" t="str">
        <f>caltoccfrescli</f>
        <v>#REF!</v>
      </c>
      <c r="AI94" s="204"/>
      <c r="AJ94" s="275"/>
      <c r="AK94" s="204"/>
      <c r="AL94" s="204"/>
      <c r="AM94" s="251"/>
      <c r="AN94" s="100" t="b">
        <f t="shared" si="3"/>
        <v>1</v>
      </c>
      <c r="AO94" s="102"/>
    </row>
    <row r="95" ht="14.25" customHeight="1" outlineLevel="3">
      <c r="A95" s="200"/>
      <c r="B95" s="201"/>
      <c r="C95" s="201"/>
      <c r="D95" s="201"/>
      <c r="E95" s="273" t="s">
        <v>415</v>
      </c>
      <c r="F95" s="123" t="s">
        <v>365</v>
      </c>
      <c r="G95" s="123" t="s">
        <v>416</v>
      </c>
      <c r="H95" s="274" t="str">
        <f>G*caltoccfrescli/(k*pop)</f>
        <v>#REF!</v>
      </c>
      <c r="I95" s="274" t="str">
        <f>G*caltoccfrescli/(k*pop)</f>
        <v>#REF!</v>
      </c>
      <c r="J95" s="274" t="str">
        <f>G*caltoccfrescli/(k*pop)</f>
        <v>#REF!</v>
      </c>
      <c r="K95" s="274" t="str">
        <f>G*caltoccfrescli/(k*pop)</f>
        <v>#REF!</v>
      </c>
      <c r="L95" s="274" t="str">
        <f>G*caltoccfrescli/(k*pop)</f>
        <v>#REF!</v>
      </c>
      <c r="M95" s="274" t="str">
        <f>G*caltoccfrescli/(k*pop)</f>
        <v>#REF!</v>
      </c>
      <c r="N95" s="274" t="str">
        <f>G*caltoccfrescli/(k*pop)</f>
        <v>#REF!</v>
      </c>
      <c r="O95" s="274" t="str">
        <f>G*caltoccfrescli/(k*pop)</f>
        <v>#REF!</v>
      </c>
      <c r="P95" s="274" t="str">
        <f>G*caltoccfrescli/(k*pop)</f>
        <v>#REF!</v>
      </c>
      <c r="Q95" s="274" t="str">
        <f>G*caltoccfrescli/(k*pop)</f>
        <v>#REF!</v>
      </c>
      <c r="R95" s="274" t="str">
        <f>G*caltoccfrescli/(k*pop)</f>
        <v>#REF!</v>
      </c>
      <c r="S95" s="274" t="str">
        <f>G*caltoccfrescli/(k*pop)</f>
        <v>#REF!</v>
      </c>
      <c r="T95" s="274" t="str">
        <f>G*caltoccfrescli/(k*pop)</f>
        <v>#REF!</v>
      </c>
      <c r="U95" s="274" t="str">
        <f>G*caltoccfrescli/(k*pop)</f>
        <v>#REF!</v>
      </c>
      <c r="V95" s="274" t="str">
        <f>G*caltoccfrescli/(k*pop)</f>
        <v>#REF!</v>
      </c>
      <c r="W95" s="274" t="str">
        <f>G*caltoccfrescli/(k*pop)</f>
        <v>#REF!</v>
      </c>
      <c r="X95" s="274" t="str">
        <f>G*caltoccfrescli/(k*pop)</f>
        <v>#REF!</v>
      </c>
      <c r="Y95" s="274" t="str">
        <f>G*caltoccfrescli/(k*pop)</f>
        <v>#REF!</v>
      </c>
      <c r="Z95" s="274" t="str">
        <f>G*caltoccfrescli/(k*pop)</f>
        <v>#REF!</v>
      </c>
      <c r="AA95" s="274" t="str">
        <f>G*caltoccfrescli/(k*pop)</f>
        <v>#REF!</v>
      </c>
      <c r="AB95" s="274" t="str">
        <f>G*caltoccfrescli/(k*pop)</f>
        <v>#REF!</v>
      </c>
      <c r="AC95" s="274" t="str">
        <f>G*caltoccfrescli/(k*pop)</f>
        <v>#REF!</v>
      </c>
      <c r="AD95" s="274" t="str">
        <f>G*caltoccfrescli/(k*pop)</f>
        <v>#REF!</v>
      </c>
      <c r="AE95" s="274" t="str">
        <f>G*caltoccfrescli/(k*pop)</f>
        <v>#REF!</v>
      </c>
      <c r="AF95" s="274" t="str">
        <f>G*caltoccfrescli/(k*pop)</f>
        <v>#REF!</v>
      </c>
      <c r="AG95" s="274" t="str">
        <f>G*caltoccfrescli/(k*pop)</f>
        <v>#REF!</v>
      </c>
      <c r="AH95" s="274" t="str">
        <f>G*caltoccfrescli/(k*pop)</f>
        <v>#REF!</v>
      </c>
      <c r="AI95" s="204"/>
      <c r="AJ95" s="204"/>
      <c r="AK95" s="275"/>
      <c r="AL95" s="275"/>
      <c r="AM95" s="251"/>
      <c r="AN95" s="100" t="b">
        <f t="shared" si="3"/>
        <v>1</v>
      </c>
      <c r="AO95" s="102"/>
    </row>
    <row r="96" ht="13.5" customHeight="1" outlineLevel="2">
      <c r="A96" s="247"/>
      <c r="B96" s="201"/>
      <c r="C96" s="246" t="s">
        <v>417</v>
      </c>
      <c r="D96" s="201"/>
      <c r="E96" s="162"/>
      <c r="F96" s="162"/>
      <c r="G96" s="162"/>
      <c r="H96" s="178"/>
      <c r="I96" s="178"/>
      <c r="J96" s="178"/>
      <c r="K96" s="178"/>
      <c r="L96" s="178"/>
      <c r="M96" s="178"/>
      <c r="N96" s="178"/>
      <c r="O96" s="178"/>
      <c r="P96" s="178"/>
      <c r="Q96" s="178"/>
      <c r="R96" s="178"/>
      <c r="S96" s="178"/>
      <c r="T96" s="178"/>
      <c r="U96" s="178"/>
      <c r="V96" s="178"/>
      <c r="W96" s="178"/>
      <c r="X96" s="178"/>
      <c r="Y96" s="178"/>
      <c r="Z96" s="178"/>
      <c r="AA96" s="178"/>
      <c r="AB96" s="178"/>
      <c r="AC96" s="178"/>
      <c r="AD96" s="178"/>
      <c r="AE96" s="178"/>
      <c r="AF96" s="178"/>
      <c r="AG96" s="178"/>
      <c r="AH96" s="178"/>
      <c r="AI96" s="244"/>
      <c r="AJ96" s="244"/>
      <c r="AK96" s="244"/>
      <c r="AL96" s="244"/>
      <c r="AM96" s="162"/>
      <c r="AN96" s="100" t="b">
        <f t="shared" si="3"/>
        <v>0</v>
      </c>
      <c r="AO96" s="102"/>
    </row>
    <row r="97" ht="14.25" customHeight="1" outlineLevel="3">
      <c r="A97" s="247"/>
      <c r="B97" s="100"/>
      <c r="C97" s="268"/>
      <c r="D97" s="201"/>
      <c r="E97" s="287" t="s">
        <v>418</v>
      </c>
      <c r="F97" s="249" t="s">
        <v>135</v>
      </c>
      <c r="G97" s="249" t="s">
        <v>419</v>
      </c>
      <c r="H97" s="260">
        <v>0.0</v>
      </c>
      <c r="I97" s="181">
        <v>0.0</v>
      </c>
      <c r="J97" s="181">
        <v>0.0</v>
      </c>
      <c r="K97" s="181">
        <v>0.0</v>
      </c>
      <c r="L97" s="181">
        <v>0.0</v>
      </c>
      <c r="M97" s="181">
        <v>0.0</v>
      </c>
      <c r="N97" s="181">
        <v>0.0</v>
      </c>
      <c r="O97" s="181">
        <v>0.0</v>
      </c>
      <c r="P97" s="181">
        <v>0.0</v>
      </c>
      <c r="Q97" s="181">
        <v>0.0</v>
      </c>
      <c r="R97" s="181">
        <v>0.0577</v>
      </c>
      <c r="S97" s="181">
        <v>0.0583</v>
      </c>
      <c r="T97" s="181">
        <v>0.0588</v>
      </c>
      <c r="U97" s="181">
        <v>0.0591</v>
      </c>
      <c r="V97" s="181">
        <v>0.0594</v>
      </c>
      <c r="W97" s="286">
        <v>0.0597</v>
      </c>
      <c r="X97" s="181">
        <v>0.06</v>
      </c>
      <c r="Y97" s="181">
        <v>0.0602</v>
      </c>
      <c r="Z97" s="181">
        <v>0.061</v>
      </c>
      <c r="AA97" s="181">
        <v>0.0</v>
      </c>
      <c r="AB97" s="286">
        <v>0.0</v>
      </c>
      <c r="AC97" s="286">
        <v>0.0</v>
      </c>
      <c r="AD97" s="286">
        <v>0.0</v>
      </c>
      <c r="AE97" s="286">
        <v>0.0</v>
      </c>
      <c r="AF97" s="286">
        <v>0.0</v>
      </c>
      <c r="AG97" s="286">
        <v>0.0</v>
      </c>
      <c r="AH97" s="286">
        <v>0.0</v>
      </c>
      <c r="AI97" s="204"/>
      <c r="AJ97" s="204"/>
      <c r="AK97" s="204"/>
      <c r="AL97" s="204"/>
      <c r="AM97" s="251"/>
      <c r="AN97" s="100" t="b">
        <f t="shared" si="3"/>
        <v>0</v>
      </c>
      <c r="AO97" s="102"/>
    </row>
    <row r="98" ht="14.25" customHeight="1" outlineLevel="3">
      <c r="A98" s="98"/>
      <c r="B98" s="98"/>
      <c r="C98" s="98"/>
      <c r="D98" s="98"/>
      <c r="E98" s="270" t="s">
        <v>420</v>
      </c>
      <c r="F98" s="249" t="s">
        <v>135</v>
      </c>
      <c r="G98" s="249" t="s">
        <v>421</v>
      </c>
      <c r="H98" s="260"/>
      <c r="I98" s="181"/>
      <c r="J98" s="181"/>
      <c r="K98" s="181"/>
      <c r="L98" s="181"/>
      <c r="M98" s="181"/>
      <c r="N98" s="181"/>
      <c r="O98" s="181"/>
      <c r="P98" s="181"/>
      <c r="Q98" s="181"/>
      <c r="R98" s="181">
        <v>0.0577</v>
      </c>
      <c r="S98" s="181">
        <v>0.0583</v>
      </c>
      <c r="T98" s="181">
        <v>0.0588</v>
      </c>
      <c r="U98" s="181">
        <v>0.0591</v>
      </c>
      <c r="V98" s="181">
        <v>0.0594</v>
      </c>
      <c r="W98" s="202">
        <v>0.0597</v>
      </c>
      <c r="X98" s="181">
        <v>0.06</v>
      </c>
      <c r="Y98" s="181">
        <v>0.0602</v>
      </c>
      <c r="Z98" s="181">
        <v>0.061</v>
      </c>
      <c r="AA98" s="181"/>
      <c r="AB98" s="202"/>
      <c r="AC98" s="202"/>
      <c r="AD98" s="202"/>
      <c r="AE98" s="202"/>
      <c r="AF98" s="202"/>
      <c r="AG98" s="202"/>
      <c r="AH98" s="202"/>
      <c r="AI98" s="204"/>
      <c r="AJ98" s="275"/>
      <c r="AK98" s="204"/>
      <c r="AL98" s="204"/>
      <c r="AM98" s="251"/>
      <c r="AN98" s="100" t="b">
        <f t="shared" si="3"/>
        <v>0</v>
      </c>
      <c r="AO98" s="102"/>
    </row>
    <row r="99" ht="14.25" customHeight="1" outlineLevel="3">
      <c r="A99" s="247"/>
      <c r="B99" s="201"/>
      <c r="C99" s="268"/>
      <c r="D99" s="201"/>
      <c r="E99" s="270" t="s">
        <v>422</v>
      </c>
      <c r="F99" s="249" t="s">
        <v>135</v>
      </c>
      <c r="G99" s="249" t="s">
        <v>423</v>
      </c>
      <c r="H99" s="260"/>
      <c r="I99" s="181"/>
      <c r="J99" s="181"/>
      <c r="K99" s="181"/>
      <c r="L99" s="181"/>
      <c r="M99" s="181"/>
      <c r="N99" s="181"/>
      <c r="O99" s="181"/>
      <c r="P99" s="181"/>
      <c r="Q99" s="181"/>
      <c r="R99" s="181"/>
      <c r="S99" s="181"/>
      <c r="T99" s="181"/>
      <c r="U99" s="181"/>
      <c r="V99" s="181"/>
      <c r="W99" s="182"/>
      <c r="X99" s="181"/>
      <c r="Y99" s="181"/>
      <c r="Z99" s="181"/>
      <c r="AA99" s="181"/>
      <c r="AB99" s="182"/>
      <c r="AC99" s="182"/>
      <c r="AD99" s="182"/>
      <c r="AE99" s="182"/>
      <c r="AF99" s="182"/>
      <c r="AG99" s="182"/>
      <c r="AH99" s="184"/>
      <c r="AI99" s="204"/>
      <c r="AJ99" s="204"/>
      <c r="AK99" s="204"/>
      <c r="AL99" s="204"/>
      <c r="AM99" s="251"/>
      <c r="AN99" s="100" t="b">
        <f t="shared" si="3"/>
        <v>0</v>
      </c>
      <c r="AO99" s="102"/>
    </row>
    <row r="100" ht="14.25" customHeight="1" outlineLevel="3">
      <c r="A100" s="247"/>
      <c r="B100" s="201"/>
      <c r="C100" s="268"/>
      <c r="D100" s="201"/>
      <c r="E100" s="122" t="s">
        <v>424</v>
      </c>
      <c r="F100" s="123" t="s">
        <v>135</v>
      </c>
      <c r="G100" s="123" t="s">
        <v>425</v>
      </c>
      <c r="H100" s="260"/>
      <c r="I100" s="181"/>
      <c r="J100" s="181"/>
      <c r="K100" s="181"/>
      <c r="L100" s="181"/>
      <c r="M100" s="181"/>
      <c r="N100" s="181"/>
      <c r="O100" s="181"/>
      <c r="P100" s="181"/>
      <c r="Q100" s="181"/>
      <c r="R100" s="181"/>
      <c r="S100" s="181"/>
      <c r="T100" s="181"/>
      <c r="U100" s="181"/>
      <c r="V100" s="181"/>
      <c r="W100" s="182"/>
      <c r="X100" s="181"/>
      <c r="Y100" s="181"/>
      <c r="Z100" s="181"/>
      <c r="AA100" s="181"/>
      <c r="AB100" s="182"/>
      <c r="AC100" s="182"/>
      <c r="AD100" s="182"/>
      <c r="AE100" s="182"/>
      <c r="AF100" s="182"/>
      <c r="AG100" s="182"/>
      <c r="AH100" s="184"/>
      <c r="AI100" s="204"/>
      <c r="AJ100" s="204"/>
      <c r="AK100" s="204"/>
      <c r="AL100" s="204"/>
      <c r="AM100" s="251"/>
      <c r="AN100" s="100" t="b">
        <f t="shared" si="3"/>
        <v>0</v>
      </c>
      <c r="AO100" s="102"/>
    </row>
    <row r="101" ht="13.5" customHeight="1">
      <c r="A101" s="288" t="s">
        <v>426</v>
      </c>
      <c r="B101" s="282"/>
      <c r="C101" s="282"/>
      <c r="D101" s="283"/>
      <c r="E101" s="162"/>
      <c r="F101" s="162"/>
      <c r="G101" s="162"/>
      <c r="H101" s="178"/>
      <c r="I101" s="178"/>
      <c r="J101" s="178"/>
      <c r="K101" s="178"/>
      <c r="L101" s="178"/>
      <c r="M101" s="178"/>
      <c r="N101" s="178"/>
      <c r="O101" s="178"/>
      <c r="P101" s="178"/>
      <c r="Q101" s="178"/>
      <c r="R101" s="178"/>
      <c r="S101" s="178"/>
      <c r="T101" s="178"/>
      <c r="U101" s="178"/>
      <c r="V101" s="178"/>
      <c r="W101" s="178"/>
      <c r="X101" s="178"/>
      <c r="Y101" s="178"/>
      <c r="Z101" s="178"/>
      <c r="AA101" s="178"/>
      <c r="AB101" s="178"/>
      <c r="AC101" s="178"/>
      <c r="AD101" s="178"/>
      <c r="AE101" s="178"/>
      <c r="AF101" s="178"/>
      <c r="AG101" s="178"/>
      <c r="AH101" s="178"/>
      <c r="AI101" s="244"/>
      <c r="AJ101" s="244"/>
      <c r="AK101" s="244"/>
      <c r="AL101" s="244"/>
      <c r="AM101" s="162"/>
      <c r="AN101" s="100" t="b">
        <f t="shared" si="3"/>
        <v>0</v>
      </c>
      <c r="AO101" s="102"/>
    </row>
    <row r="102" ht="13.5" customHeight="1" outlineLevel="1">
      <c r="A102" s="247"/>
      <c r="B102" s="246" t="s">
        <v>427</v>
      </c>
      <c r="C102" s="246"/>
      <c r="D102" s="201"/>
      <c r="E102" s="162"/>
      <c r="F102" s="162"/>
      <c r="G102" s="162"/>
      <c r="H102" s="178"/>
      <c r="I102" s="178"/>
      <c r="J102" s="178"/>
      <c r="K102" s="178"/>
      <c r="L102" s="178"/>
      <c r="M102" s="178"/>
      <c r="N102" s="178"/>
      <c r="O102" s="178"/>
      <c r="P102" s="178"/>
      <c r="Q102" s="178"/>
      <c r="R102" s="178"/>
      <c r="S102" s="178"/>
      <c r="T102" s="178"/>
      <c r="U102" s="178"/>
      <c r="V102" s="178"/>
      <c r="W102" s="178"/>
      <c r="X102" s="178"/>
      <c r="Y102" s="178"/>
      <c r="Z102" s="178"/>
      <c r="AA102" s="178"/>
      <c r="AB102" s="178"/>
      <c r="AC102" s="178"/>
      <c r="AD102" s="178"/>
      <c r="AE102" s="178"/>
      <c r="AF102" s="178"/>
      <c r="AG102" s="178"/>
      <c r="AH102" s="178"/>
      <c r="AI102" s="244"/>
      <c r="AJ102" s="244"/>
      <c r="AK102" s="244"/>
      <c r="AL102" s="244"/>
      <c r="AM102" s="162"/>
      <c r="AN102" s="100" t="b">
        <f t="shared" si="3"/>
        <v>0</v>
      </c>
      <c r="AO102" s="102"/>
    </row>
    <row r="103" ht="13.5" customHeight="1" outlineLevel="2">
      <c r="A103" s="247"/>
      <c r="B103" s="201"/>
      <c r="C103" s="246" t="s">
        <v>428</v>
      </c>
      <c r="D103" s="201"/>
      <c r="E103" s="162"/>
      <c r="F103" s="162"/>
      <c r="G103" s="162"/>
      <c r="H103" s="178"/>
      <c r="I103" s="178"/>
      <c r="J103" s="178"/>
      <c r="K103" s="178"/>
      <c r="L103" s="178"/>
      <c r="M103" s="178"/>
      <c r="N103" s="178"/>
      <c r="O103" s="178"/>
      <c r="P103" s="178"/>
      <c r="Q103" s="178"/>
      <c r="R103" s="178"/>
      <c r="S103" s="178"/>
      <c r="T103" s="178"/>
      <c r="U103" s="178"/>
      <c r="V103" s="178"/>
      <c r="W103" s="178"/>
      <c r="X103" s="178"/>
      <c r="Y103" s="178"/>
      <c r="Z103" s="178"/>
      <c r="AA103" s="178"/>
      <c r="AB103" s="178"/>
      <c r="AC103" s="178"/>
      <c r="AD103" s="178"/>
      <c r="AE103" s="178"/>
      <c r="AF103" s="178"/>
      <c r="AG103" s="178"/>
      <c r="AH103" s="178"/>
      <c r="AI103" s="244"/>
      <c r="AJ103" s="244"/>
      <c r="AK103" s="244"/>
      <c r="AL103" s="244"/>
      <c r="AM103" s="162"/>
      <c r="AN103" s="100" t="b">
        <f t="shared" si="3"/>
        <v>0</v>
      </c>
      <c r="AO103" s="102"/>
    </row>
    <row r="104" ht="13.5" customHeight="1" outlineLevel="3">
      <c r="A104" s="247"/>
      <c r="B104" s="201"/>
      <c r="C104" s="201"/>
      <c r="D104" s="201"/>
      <c r="E104" s="289" t="s">
        <v>429</v>
      </c>
      <c r="F104" s="249" t="s">
        <v>365</v>
      </c>
      <c r="G104" s="249" t="s">
        <v>430</v>
      </c>
      <c r="H104" s="260">
        <v>756.089100605608</v>
      </c>
      <c r="I104" s="181">
        <v>768.613720121123</v>
      </c>
      <c r="J104" s="181">
        <v>789.099341723549</v>
      </c>
      <c r="K104" s="181">
        <v>788.183968004916</v>
      </c>
      <c r="L104" s="181">
        <v>790.482591210445</v>
      </c>
      <c r="M104" s="181">
        <v>807.604776127459</v>
      </c>
      <c r="N104" s="181">
        <v>778.889265031539</v>
      </c>
      <c r="O104" s="181">
        <v>774.140167929569</v>
      </c>
      <c r="P104" s="181">
        <v>758.11277679748</v>
      </c>
      <c r="Q104" s="181">
        <v>756.971335698304</v>
      </c>
      <c r="R104" s="181">
        <v>762.917185452292</v>
      </c>
      <c r="S104" s="181">
        <v>759.543328470591</v>
      </c>
      <c r="T104" s="181">
        <v>779.04727908453</v>
      </c>
      <c r="U104" s="181">
        <v>785.934245564676</v>
      </c>
      <c r="V104" s="181">
        <v>792.767588159669</v>
      </c>
      <c r="W104" s="182">
        <v>555.655469006024</v>
      </c>
      <c r="X104" s="181"/>
      <c r="Y104" s="181"/>
      <c r="Z104" s="181"/>
      <c r="AA104" s="181"/>
      <c r="AB104" s="182">
        <v>527.872695555723</v>
      </c>
      <c r="AC104" s="182">
        <v>500.089922105422</v>
      </c>
      <c r="AD104" s="182">
        <v>472.30714865512</v>
      </c>
      <c r="AE104" s="182">
        <v>444.524375204819</v>
      </c>
      <c r="AF104" s="182">
        <v>416.741601754518</v>
      </c>
      <c r="AG104" s="182">
        <v>388.958828304217</v>
      </c>
      <c r="AH104" s="184">
        <v>361.176054853916</v>
      </c>
      <c r="AI104" s="204"/>
      <c r="AJ104" s="275"/>
      <c r="AK104" s="204"/>
      <c r="AL104" s="204"/>
      <c r="AM104" s="251"/>
      <c r="AN104" s="100" t="b">
        <f t="shared" si="3"/>
        <v>0</v>
      </c>
      <c r="AO104" s="102"/>
    </row>
    <row r="105" ht="13.5" customHeight="1" outlineLevel="3">
      <c r="A105" s="247"/>
      <c r="B105" s="201"/>
      <c r="C105" s="201"/>
      <c r="D105" s="201"/>
      <c r="E105" s="252" t="s">
        <v>431</v>
      </c>
      <c r="F105" s="123" t="s">
        <v>432</v>
      </c>
      <c r="G105" s="123" t="s">
        <v>433</v>
      </c>
      <c r="H105" s="260"/>
      <c r="I105" s="181"/>
      <c r="J105" s="181"/>
      <c r="K105" s="181"/>
      <c r="L105" s="181"/>
      <c r="M105" s="181"/>
      <c r="N105" s="181"/>
      <c r="O105" s="181"/>
      <c r="P105" s="181"/>
      <c r="Q105" s="181"/>
      <c r="R105" s="181"/>
      <c r="S105" s="181"/>
      <c r="T105" s="181"/>
      <c r="U105" s="181"/>
      <c r="V105" s="181"/>
      <c r="W105" s="182">
        <v>100.0</v>
      </c>
      <c r="X105" s="181"/>
      <c r="Y105" s="181"/>
      <c r="Z105" s="181"/>
      <c r="AA105" s="181"/>
      <c r="AB105" s="182">
        <v>95.0</v>
      </c>
      <c r="AC105" s="182">
        <v>90.0</v>
      </c>
      <c r="AD105" s="182">
        <v>85.0</v>
      </c>
      <c r="AE105" s="182">
        <v>80.0</v>
      </c>
      <c r="AF105" s="182">
        <v>75.0</v>
      </c>
      <c r="AG105" s="182">
        <v>70.0</v>
      </c>
      <c r="AH105" s="182">
        <v>65.0</v>
      </c>
      <c r="AI105" s="204"/>
      <c r="AJ105" s="275"/>
      <c r="AK105" s="204"/>
      <c r="AL105" s="204"/>
      <c r="AM105" s="251"/>
      <c r="AN105" s="100" t="b">
        <f t="shared" si="3"/>
        <v>0</v>
      </c>
      <c r="AO105" s="102"/>
    </row>
    <row r="106" ht="14.25" customHeight="1" outlineLevel="2">
      <c r="A106" s="247"/>
      <c r="B106" s="201"/>
      <c r="C106" s="246" t="s">
        <v>434</v>
      </c>
      <c r="D106" s="201"/>
      <c r="E106" s="162"/>
      <c r="F106" s="162"/>
      <c r="G106" s="162"/>
      <c r="H106" s="178"/>
      <c r="I106" s="178"/>
      <c r="J106" s="178"/>
      <c r="K106" s="178"/>
      <c r="L106" s="178"/>
      <c r="M106" s="178"/>
      <c r="N106" s="178"/>
      <c r="O106" s="178"/>
      <c r="P106" s="178"/>
      <c r="Q106" s="178"/>
      <c r="R106" s="178"/>
      <c r="S106" s="178"/>
      <c r="T106" s="178"/>
      <c r="U106" s="178"/>
      <c r="V106" s="178"/>
      <c r="W106" s="178"/>
      <c r="X106" s="178"/>
      <c r="Y106" s="178"/>
      <c r="Z106" s="178"/>
      <c r="AA106" s="178"/>
      <c r="AB106" s="178"/>
      <c r="AC106" s="178"/>
      <c r="AD106" s="178"/>
      <c r="AE106" s="178"/>
      <c r="AF106" s="178"/>
      <c r="AG106" s="178"/>
      <c r="AH106" s="178"/>
      <c r="AI106" s="244"/>
      <c r="AJ106" s="244"/>
      <c r="AK106" s="244"/>
      <c r="AL106" s="244"/>
      <c r="AM106" s="162"/>
      <c r="AN106" s="100" t="b">
        <f t="shared" si="3"/>
        <v>0</v>
      </c>
      <c r="AO106" s="102"/>
    </row>
    <row r="107" ht="14.25" customHeight="1" outlineLevel="3">
      <c r="A107" s="247"/>
      <c r="B107" s="201"/>
      <c r="C107" s="201"/>
      <c r="D107" s="201"/>
      <c r="E107" s="270" t="s">
        <v>435</v>
      </c>
      <c r="F107" s="249" t="s">
        <v>206</v>
      </c>
      <c r="G107" s="249" t="s">
        <v>436</v>
      </c>
      <c r="H107" s="181">
        <v>0.0</v>
      </c>
      <c r="I107" s="181">
        <v>0.0</v>
      </c>
      <c r="J107" s="181">
        <v>0.0</v>
      </c>
      <c r="K107" s="181">
        <v>0.0</v>
      </c>
      <c r="L107" s="181">
        <v>0.0</v>
      </c>
      <c r="M107" s="181">
        <v>0.0</v>
      </c>
      <c r="N107" s="181">
        <v>0.0</v>
      </c>
      <c r="O107" s="181">
        <v>0.0</v>
      </c>
      <c r="P107" s="181">
        <v>0.0</v>
      </c>
      <c r="Q107" s="181">
        <v>0.0</v>
      </c>
      <c r="R107" s="181">
        <v>0.0</v>
      </c>
      <c r="S107" s="181">
        <v>0.0</v>
      </c>
      <c r="T107" s="181">
        <v>0.0</v>
      </c>
      <c r="U107" s="181">
        <v>0.0</v>
      </c>
      <c r="V107" s="181">
        <v>0.0</v>
      </c>
      <c r="W107" s="250">
        <v>0.0</v>
      </c>
      <c r="X107" s="181"/>
      <c r="Y107" s="181"/>
      <c r="Z107" s="181"/>
      <c r="AA107" s="181"/>
      <c r="AB107" s="182">
        <v>0.0</v>
      </c>
      <c r="AC107" s="182">
        <v>0.0</v>
      </c>
      <c r="AD107" s="182">
        <v>0.0</v>
      </c>
      <c r="AE107" s="182">
        <v>0.0</v>
      </c>
      <c r="AF107" s="182">
        <v>0.0</v>
      </c>
      <c r="AG107" s="182">
        <v>0.0</v>
      </c>
      <c r="AH107" s="182">
        <v>0.0</v>
      </c>
      <c r="AI107" s="204"/>
      <c r="AJ107" s="275"/>
      <c r="AK107" s="275"/>
      <c r="AL107" s="275"/>
      <c r="AM107" s="251"/>
      <c r="AN107" s="100" t="b">
        <f t="shared" si="3"/>
        <v>0</v>
      </c>
      <c r="AO107" s="102"/>
    </row>
    <row r="108" ht="14.25" customHeight="1" outlineLevel="3">
      <c r="A108" s="247"/>
      <c r="B108" s="201"/>
      <c r="C108" s="201"/>
      <c r="D108" s="201"/>
      <c r="E108" s="270" t="s">
        <v>437</v>
      </c>
      <c r="F108" s="249" t="s">
        <v>206</v>
      </c>
      <c r="G108" s="249" t="s">
        <v>438</v>
      </c>
      <c r="H108" s="264">
        <v>26.9473416966816</v>
      </c>
      <c r="I108" s="264">
        <v>30.8548702647906</v>
      </c>
      <c r="J108" s="264">
        <v>30.9325685751796</v>
      </c>
      <c r="K108" s="264">
        <v>37.8409945461662</v>
      </c>
      <c r="L108" s="264">
        <v>39.6848133981473</v>
      </c>
      <c r="M108" s="264">
        <v>42.728836149029</v>
      </c>
      <c r="N108" s="264">
        <v>57.6615262691772</v>
      </c>
      <c r="O108" s="264">
        <v>111.043746181969</v>
      </c>
      <c r="P108" s="264">
        <v>120.323627285686</v>
      </c>
      <c r="Q108" s="264">
        <v>145.262398078309</v>
      </c>
      <c r="R108" s="264">
        <v>157.775670151085</v>
      </c>
      <c r="S108" s="264">
        <v>169.24618807736</v>
      </c>
      <c r="T108" s="264">
        <v>212.752561244312</v>
      </c>
      <c r="U108" s="264">
        <v>214.367047993219</v>
      </c>
      <c r="V108" s="264">
        <v>215.194588638704</v>
      </c>
      <c r="W108" s="266">
        <v>224.001771364229</v>
      </c>
      <c r="X108" s="264"/>
      <c r="Y108" s="264"/>
      <c r="Z108" s="264"/>
      <c r="AA108" s="264"/>
      <c r="AB108" s="266">
        <v>254.52831778795</v>
      </c>
      <c r="AC108" s="266">
        <v>285.054864211671</v>
      </c>
      <c r="AD108" s="266">
        <v>315.581410635392</v>
      </c>
      <c r="AE108" s="266">
        <v>346.107957059113</v>
      </c>
      <c r="AF108" s="266">
        <v>376.634503482833</v>
      </c>
      <c r="AG108" s="266">
        <v>407.161049906554</v>
      </c>
      <c r="AH108" s="267">
        <v>437.687596330275</v>
      </c>
      <c r="AI108" s="204"/>
      <c r="AJ108" s="275"/>
      <c r="AK108" s="275"/>
      <c r="AL108" s="275"/>
      <c r="AM108" s="251"/>
      <c r="AN108" s="100" t="b">
        <f t="shared" si="3"/>
        <v>0</v>
      </c>
      <c r="AO108" s="102"/>
    </row>
    <row r="109" ht="14.25" customHeight="1" outlineLevel="3">
      <c r="A109" s="247"/>
      <c r="B109" s="201"/>
      <c r="C109" s="201"/>
      <c r="D109" s="201"/>
      <c r="E109" s="270" t="s">
        <v>439</v>
      </c>
      <c r="F109" s="249" t="s">
        <v>206</v>
      </c>
      <c r="G109" s="249" t="s">
        <v>440</v>
      </c>
      <c r="H109" s="181">
        <v>1465.81814563529</v>
      </c>
      <c r="I109" s="181">
        <v>1465.15728797558</v>
      </c>
      <c r="J109" s="181">
        <v>1459.64185902014</v>
      </c>
      <c r="K109" s="181">
        <v>1477.2459793708</v>
      </c>
      <c r="L109" s="181">
        <v>1504.00048418031</v>
      </c>
      <c r="M109" s="181">
        <v>1530.09564477041</v>
      </c>
      <c r="N109" s="181">
        <v>1528.49049322125</v>
      </c>
      <c r="O109" s="181">
        <v>1530.27920450078</v>
      </c>
      <c r="P109" s="181">
        <v>1738.67439887289</v>
      </c>
      <c r="Q109" s="181">
        <v>1641.82691313737</v>
      </c>
      <c r="R109" s="181">
        <v>1602.80473548802</v>
      </c>
      <c r="S109" s="181">
        <v>1675.42519514784</v>
      </c>
      <c r="T109" s="181">
        <v>1681.26304904076</v>
      </c>
      <c r="U109" s="181">
        <v>1684.75479464572</v>
      </c>
      <c r="V109" s="181">
        <v>1741.22828527089</v>
      </c>
      <c r="W109" s="182">
        <v>1835.88937185101</v>
      </c>
      <c r="X109" s="181"/>
      <c r="Y109" s="181"/>
      <c r="Z109" s="181"/>
      <c r="AA109" s="181"/>
      <c r="AB109" s="277">
        <f t="shared" ref="AB109:AB110" si="5">AB42</f>
        <v>1781.785474</v>
      </c>
      <c r="AC109" s="182">
        <v>1311.34955132215</v>
      </c>
      <c r="AD109" s="182">
        <v>1049.07964105772</v>
      </c>
      <c r="AE109" s="182">
        <v>786.80973079329</v>
      </c>
      <c r="AF109" s="182">
        <v>524.53982052886</v>
      </c>
      <c r="AG109" s="182">
        <v>262.26991026443</v>
      </c>
      <c r="AH109" s="184">
        <v>0.0</v>
      </c>
      <c r="AI109" s="204"/>
      <c r="AJ109" s="275"/>
      <c r="AK109" s="275"/>
      <c r="AL109" s="275"/>
      <c r="AM109" s="251"/>
      <c r="AN109" s="100" t="b">
        <f t="shared" si="3"/>
        <v>0</v>
      </c>
      <c r="AO109" s="102"/>
    </row>
    <row r="110" ht="14.25" customHeight="1" outlineLevel="3">
      <c r="A110" s="247"/>
      <c r="B110" s="201"/>
      <c r="C110" s="201"/>
      <c r="D110" s="201"/>
      <c r="E110" s="270" t="s">
        <v>441</v>
      </c>
      <c r="F110" s="249" t="s">
        <v>206</v>
      </c>
      <c r="G110" s="249" t="s">
        <v>442</v>
      </c>
      <c r="H110" s="181">
        <v>1502.95373874729</v>
      </c>
      <c r="I110" s="181">
        <v>1613.68360957885</v>
      </c>
      <c r="J110" s="181">
        <v>1708.84272432467</v>
      </c>
      <c r="K110" s="181">
        <v>1695.91562630564</v>
      </c>
      <c r="L110" s="181">
        <v>1769.35734468997</v>
      </c>
      <c r="M110" s="181">
        <v>1805.99980514807</v>
      </c>
      <c r="N110" s="181">
        <v>1917.47233514293</v>
      </c>
      <c r="O110" s="181">
        <v>1949.5413971735</v>
      </c>
      <c r="P110" s="181">
        <v>1960.96671859372</v>
      </c>
      <c r="Q110" s="181">
        <v>2084.04082411074</v>
      </c>
      <c r="R110" s="181">
        <v>2192.94190274913</v>
      </c>
      <c r="S110" s="181">
        <v>2181.28819666157</v>
      </c>
      <c r="T110" s="181">
        <v>2206.07992447462</v>
      </c>
      <c r="U110" s="181">
        <v>2259.80027465237</v>
      </c>
      <c r="V110" s="181">
        <v>2197.33379762425</v>
      </c>
      <c r="W110" s="182">
        <v>2157.9985582796</v>
      </c>
      <c r="X110" s="181"/>
      <c r="Y110" s="181"/>
      <c r="Z110" s="181"/>
      <c r="AA110" s="181"/>
      <c r="AB110" s="277">
        <f t="shared" si="5"/>
        <v>2004.266345</v>
      </c>
      <c r="AC110" s="182">
        <v>1572.69094136616</v>
      </c>
      <c r="AD110" s="182">
        <v>1280.03713290944</v>
      </c>
      <c r="AE110" s="182">
        <v>987.383324452725</v>
      </c>
      <c r="AF110" s="182">
        <v>694.729515996006</v>
      </c>
      <c r="AG110" s="182">
        <v>402.075707539288</v>
      </c>
      <c r="AH110" s="184">
        <v>109.421899082569</v>
      </c>
      <c r="AI110" s="204"/>
      <c r="AJ110" s="275"/>
      <c r="AK110" s="275"/>
      <c r="AL110" s="275"/>
      <c r="AM110" s="251"/>
      <c r="AN110" s="100" t="b">
        <f t="shared" si="3"/>
        <v>0</v>
      </c>
      <c r="AO110" s="102"/>
    </row>
    <row r="111" ht="14.25" customHeight="1" outlineLevel="3">
      <c r="A111" s="247"/>
      <c r="B111" s="201"/>
      <c r="C111" s="201"/>
      <c r="D111" s="201"/>
      <c r="E111" s="270" t="s">
        <v>443</v>
      </c>
      <c r="F111" s="249" t="s">
        <v>206</v>
      </c>
      <c r="G111" s="249" t="s">
        <v>444</v>
      </c>
      <c r="H111" s="181">
        <v>1246.67741271206</v>
      </c>
      <c r="I111" s="181">
        <v>1166.97666333937</v>
      </c>
      <c r="J111" s="181">
        <v>1118.84609656346</v>
      </c>
      <c r="K111" s="181">
        <v>1150.11607811297</v>
      </c>
      <c r="L111" s="181">
        <v>1088.43501049287</v>
      </c>
      <c r="M111" s="181">
        <v>1060.02175295552</v>
      </c>
      <c r="N111" s="181">
        <v>977.508249070208</v>
      </c>
      <c r="O111" s="181">
        <v>926.945053149426</v>
      </c>
      <c r="P111" s="181">
        <v>746.549370533035</v>
      </c>
      <c r="Q111" s="181">
        <v>734.945229525791</v>
      </c>
      <c r="R111" s="181">
        <v>698.279224847524</v>
      </c>
      <c r="S111" s="181">
        <v>671.710218565201</v>
      </c>
      <c r="T111" s="181">
        <v>638.624140573181</v>
      </c>
      <c r="U111" s="181">
        <v>607.398020594702</v>
      </c>
      <c r="V111" s="181">
        <v>632.433267473092</v>
      </c>
      <c r="W111" s="182">
        <v>602.830501544952</v>
      </c>
      <c r="X111" s="181"/>
      <c r="Y111" s="181"/>
      <c r="Z111" s="181"/>
      <c r="AA111" s="181"/>
      <c r="AB111" s="182">
        <v>532.34355833604</v>
      </c>
      <c r="AC111" s="182">
        <v>461.856615127128</v>
      </c>
      <c r="AD111" s="182">
        <v>391.369671918216</v>
      </c>
      <c r="AE111" s="182">
        <v>320.882728709304</v>
      </c>
      <c r="AF111" s="182">
        <v>250.395785500393</v>
      </c>
      <c r="AG111" s="182">
        <v>179.908842291481</v>
      </c>
      <c r="AH111" s="184">
        <v>109.421899082569</v>
      </c>
      <c r="AI111" s="204"/>
      <c r="AJ111" s="275"/>
      <c r="AK111" s="275"/>
      <c r="AL111" s="275"/>
      <c r="AM111" s="251"/>
      <c r="AN111" s="100" t="b">
        <f t="shared" si="3"/>
        <v>0</v>
      </c>
      <c r="AO111" s="102"/>
    </row>
    <row r="112" ht="14.25" customHeight="1" outlineLevel="3">
      <c r="A112" s="247"/>
      <c r="B112" s="201"/>
      <c r="C112" s="201"/>
      <c r="D112" s="201"/>
      <c r="E112" s="270" t="s">
        <v>445</v>
      </c>
      <c r="F112" s="249" t="s">
        <v>206</v>
      </c>
      <c r="G112" s="249" t="s">
        <v>446</v>
      </c>
      <c r="H112" s="181">
        <v>9.76536120867155</v>
      </c>
      <c r="I112" s="181">
        <v>9.82356884140716</v>
      </c>
      <c r="J112" s="181">
        <v>9.96975151655161</v>
      </c>
      <c r="K112" s="181">
        <v>10.1313216644197</v>
      </c>
      <c r="L112" s="181">
        <v>10.3913472387068</v>
      </c>
      <c r="M112" s="181">
        <v>10.247960976973</v>
      </c>
      <c r="N112" s="181">
        <v>10.4823962964437</v>
      </c>
      <c r="O112" s="181">
        <v>12.5005989943185</v>
      </c>
      <c r="P112" s="181">
        <v>10.9008847146695</v>
      </c>
      <c r="Q112" s="181">
        <v>10.8456351477855</v>
      </c>
      <c r="R112" s="181">
        <v>10.4914667642321</v>
      </c>
      <c r="S112" s="181">
        <v>10.4012015480298</v>
      </c>
      <c r="T112" s="181">
        <v>6.01632466712693</v>
      </c>
      <c r="U112" s="181">
        <v>3.94186211399249</v>
      </c>
      <c r="V112" s="181">
        <v>3.91206099306908</v>
      </c>
      <c r="W112" s="182">
        <v>1.58079696021045</v>
      </c>
      <c r="X112" s="181"/>
      <c r="Y112" s="181"/>
      <c r="Z112" s="181"/>
      <c r="AA112" s="181"/>
      <c r="AB112" s="277">
        <f>AB45</f>
        <v>3</v>
      </c>
      <c r="AC112" s="182">
        <v>391.921637409325</v>
      </c>
      <c r="AD112" s="182">
        <v>587.092057633882</v>
      </c>
      <c r="AE112" s="182">
        <v>782.262477858439</v>
      </c>
      <c r="AF112" s="182">
        <v>977.432898082996</v>
      </c>
      <c r="AG112" s="182">
        <v>1172.60331830755</v>
      </c>
      <c r="AH112" s="184">
        <v>1367.77373853211</v>
      </c>
      <c r="AI112" s="204"/>
      <c r="AJ112" s="275"/>
      <c r="AK112" s="275"/>
      <c r="AL112" s="275"/>
      <c r="AM112" s="251"/>
      <c r="AN112" s="100" t="b">
        <f t="shared" si="3"/>
        <v>0</v>
      </c>
      <c r="AO112" s="102"/>
    </row>
    <row r="113" ht="14.25" customHeight="1" outlineLevel="3">
      <c r="A113" s="247"/>
      <c r="B113" s="201"/>
      <c r="C113" s="201"/>
      <c r="D113" s="201"/>
      <c r="E113" s="122" t="s">
        <v>447</v>
      </c>
      <c r="F113" s="123" t="s">
        <v>206</v>
      </c>
      <c r="G113" s="123" t="s">
        <v>448</v>
      </c>
      <c r="H113" s="181"/>
      <c r="I113" s="181"/>
      <c r="J113" s="181"/>
      <c r="K113" s="181"/>
      <c r="L113" s="181"/>
      <c r="M113" s="181"/>
      <c r="N113" s="181"/>
      <c r="O113" s="181"/>
      <c r="P113" s="181"/>
      <c r="Q113" s="181"/>
      <c r="R113" s="181"/>
      <c r="S113" s="181"/>
      <c r="T113" s="181"/>
      <c r="U113" s="181"/>
      <c r="V113" s="181"/>
      <c r="W113" s="182">
        <v>0.0</v>
      </c>
      <c r="X113" s="181"/>
      <c r="Y113" s="181"/>
      <c r="Z113" s="181"/>
      <c r="AA113" s="181"/>
      <c r="AB113" s="182">
        <v>492.39854587156</v>
      </c>
      <c r="AC113" s="182">
        <v>984.797091743119</v>
      </c>
      <c r="AD113" s="182">
        <v>1477.19563761468</v>
      </c>
      <c r="AE113" s="182">
        <v>1969.59418348624</v>
      </c>
      <c r="AF113" s="182">
        <v>2461.9927293578</v>
      </c>
      <c r="AG113" s="182">
        <v>2954.39127522936</v>
      </c>
      <c r="AH113" s="184">
        <v>3446.78982110092</v>
      </c>
      <c r="AI113" s="204"/>
      <c r="AJ113" s="275"/>
      <c r="AK113" s="275"/>
      <c r="AL113" s="275"/>
      <c r="AM113" s="251"/>
      <c r="AN113" s="100" t="b">
        <f t="shared" si="3"/>
        <v>0</v>
      </c>
      <c r="AO113" s="102"/>
    </row>
    <row r="114" ht="14.25" customHeight="1" outlineLevel="3">
      <c r="A114" s="247"/>
      <c r="B114" s="201"/>
      <c r="C114" s="201"/>
      <c r="D114" s="201"/>
      <c r="E114" s="122" t="s">
        <v>449</v>
      </c>
      <c r="F114" s="123" t="s">
        <v>206</v>
      </c>
      <c r="G114" s="123" t="s">
        <v>450</v>
      </c>
      <c r="H114" s="181">
        <v>9.14706656171137</v>
      </c>
      <c r="I114" s="181">
        <v>21.0994868293228</v>
      </c>
      <c r="J114" s="181">
        <v>26.759320337625</v>
      </c>
      <c r="K114" s="181">
        <v>42.0985339454599</v>
      </c>
      <c r="L114" s="181">
        <v>46.1351974919259</v>
      </c>
      <c r="M114" s="181">
        <v>45.5361753254759</v>
      </c>
      <c r="N114" s="181">
        <v>55.8026807245247</v>
      </c>
      <c r="O114" s="181">
        <v>79.3629887747109</v>
      </c>
      <c r="P114" s="181">
        <v>99.153023800324</v>
      </c>
      <c r="Q114" s="181">
        <v>183.753194032436</v>
      </c>
      <c r="R114" s="181">
        <v>210.555351055308</v>
      </c>
      <c r="S114" s="181">
        <v>249.66093962663</v>
      </c>
      <c r="T114" s="181">
        <v>270.785290222022</v>
      </c>
      <c r="U114" s="181">
        <v>331.972113880807</v>
      </c>
      <c r="V114" s="181">
        <v>367.272055491777</v>
      </c>
      <c r="W114" s="182">
        <v>378.909131435816</v>
      </c>
      <c r="X114" s="181"/>
      <c r="Y114" s="181"/>
      <c r="Z114" s="181"/>
      <c r="AA114" s="181"/>
      <c r="AB114" s="182">
        <v>496.46676</v>
      </c>
      <c r="AC114" s="182">
        <v>610.94952</v>
      </c>
      <c r="AD114" s="182">
        <v>726.84164</v>
      </c>
      <c r="AE114" s="182">
        <v>1056.481</v>
      </c>
      <c r="AF114" s="182">
        <v>1608.5586</v>
      </c>
      <c r="AG114" s="182">
        <v>2169.7164</v>
      </c>
      <c r="AH114" s="184">
        <v>2735.402</v>
      </c>
      <c r="AI114" s="204"/>
      <c r="AJ114" s="275"/>
      <c r="AK114" s="275"/>
      <c r="AL114" s="275"/>
      <c r="AM114" s="251"/>
      <c r="AN114" s="100" t="b">
        <f t="shared" si="3"/>
        <v>0</v>
      </c>
      <c r="AO114" s="102"/>
    </row>
    <row r="115" ht="13.5" customHeight="1" outlineLevel="2">
      <c r="A115" s="247"/>
      <c r="B115" s="201"/>
      <c r="C115" s="246" t="s">
        <v>451</v>
      </c>
      <c r="D115" s="201"/>
      <c r="E115" s="162"/>
      <c r="F115" s="162"/>
      <c r="G115" s="162"/>
      <c r="H115" s="178"/>
      <c r="I115" s="178"/>
      <c r="J115" s="178"/>
      <c r="K115" s="178"/>
      <c r="L115" s="178"/>
      <c r="M115" s="178"/>
      <c r="N115" s="178"/>
      <c r="O115" s="178"/>
      <c r="P115" s="178"/>
      <c r="Q115" s="178"/>
      <c r="R115" s="178"/>
      <c r="S115" s="178"/>
      <c r="T115" s="178"/>
      <c r="U115" s="178"/>
      <c r="V115" s="178"/>
      <c r="W115" s="178"/>
      <c r="X115" s="178"/>
      <c r="Y115" s="178"/>
      <c r="Z115" s="178"/>
      <c r="AA115" s="178"/>
      <c r="AB115" s="178"/>
      <c r="AC115" s="178"/>
      <c r="AD115" s="178"/>
      <c r="AE115" s="178"/>
      <c r="AF115" s="178"/>
      <c r="AG115" s="178"/>
      <c r="AH115" s="178"/>
      <c r="AI115" s="244"/>
      <c r="AJ115" s="244"/>
      <c r="AK115" s="244"/>
      <c r="AL115" s="244"/>
      <c r="AM115" s="162"/>
      <c r="AN115" s="100" t="b">
        <f t="shared" si="3"/>
        <v>0</v>
      </c>
      <c r="AO115" s="102"/>
    </row>
    <row r="116" ht="13.5" customHeight="1" outlineLevel="3">
      <c r="A116" s="247"/>
      <c r="B116" s="201"/>
      <c r="C116" s="201"/>
      <c r="D116" s="201"/>
      <c r="E116" s="278" t="s">
        <v>452</v>
      </c>
      <c r="F116" s="123" t="s">
        <v>261</v>
      </c>
      <c r="G116" s="249" t="s">
        <v>453</v>
      </c>
      <c r="H116" s="253"/>
      <c r="I116" s="254"/>
      <c r="J116" s="254"/>
      <c r="K116" s="254"/>
      <c r="L116" s="254"/>
      <c r="M116" s="254"/>
      <c r="N116" s="254"/>
      <c r="O116" s="254"/>
      <c r="P116" s="254"/>
      <c r="Q116" s="254"/>
      <c r="R116" s="254"/>
      <c r="S116" s="254"/>
      <c r="T116" s="254"/>
      <c r="U116" s="254"/>
      <c r="V116" s="254"/>
      <c r="W116" s="279"/>
      <c r="X116" s="254"/>
      <c r="Y116" s="254"/>
      <c r="Z116" s="254"/>
      <c r="AA116" s="254"/>
      <c r="AB116" s="279"/>
      <c r="AC116" s="279"/>
      <c r="AD116" s="279"/>
      <c r="AE116" s="279"/>
      <c r="AF116" s="279"/>
      <c r="AG116" s="279"/>
      <c r="AH116" s="279"/>
      <c r="AI116" s="204"/>
      <c r="AJ116" s="204"/>
      <c r="AK116" s="204"/>
      <c r="AL116" s="204"/>
      <c r="AM116" s="251"/>
      <c r="AN116" s="100" t="b">
        <f t="shared" si="3"/>
        <v>0</v>
      </c>
      <c r="AO116" s="102"/>
    </row>
    <row r="117" ht="13.5" customHeight="1" outlineLevel="3">
      <c r="A117" s="247"/>
      <c r="B117" s="201"/>
      <c r="C117" s="201"/>
      <c r="D117" s="201"/>
      <c r="E117" s="278" t="s">
        <v>454</v>
      </c>
      <c r="F117" s="123" t="s">
        <v>261</v>
      </c>
      <c r="G117" s="249" t="s">
        <v>455</v>
      </c>
      <c r="H117" s="253"/>
      <c r="I117" s="254"/>
      <c r="J117" s="254"/>
      <c r="K117" s="254"/>
      <c r="L117" s="254"/>
      <c r="M117" s="254"/>
      <c r="N117" s="254"/>
      <c r="O117" s="254"/>
      <c r="P117" s="254"/>
      <c r="Q117" s="254"/>
      <c r="R117" s="254"/>
      <c r="S117" s="254"/>
      <c r="T117" s="254"/>
      <c r="U117" s="254"/>
      <c r="V117" s="254"/>
      <c r="W117" s="279">
        <v>0.507</v>
      </c>
      <c r="X117" s="254"/>
      <c r="Y117" s="254"/>
      <c r="Z117" s="254"/>
      <c r="AA117" s="254"/>
      <c r="AB117" s="279">
        <v>0.53</v>
      </c>
      <c r="AC117" s="279">
        <v>0.55</v>
      </c>
      <c r="AD117" s="279">
        <v>0.57</v>
      </c>
      <c r="AE117" s="279">
        <v>0.59</v>
      </c>
      <c r="AF117" s="279">
        <v>0.61</v>
      </c>
      <c r="AG117" s="279">
        <v>0.63</v>
      </c>
      <c r="AH117" s="279">
        <v>0.65</v>
      </c>
      <c r="AI117" s="204"/>
      <c r="AJ117" s="204"/>
      <c r="AK117" s="204"/>
      <c r="AL117" s="204"/>
      <c r="AM117" s="251"/>
      <c r="AN117" s="100"/>
      <c r="AO117" s="102"/>
    </row>
    <row r="118" ht="13.5" customHeight="1" outlineLevel="3">
      <c r="A118" s="247"/>
      <c r="B118" s="201"/>
      <c r="C118" s="201"/>
      <c r="D118" s="201"/>
      <c r="E118" s="278" t="s">
        <v>456</v>
      </c>
      <c r="F118" s="123" t="s">
        <v>261</v>
      </c>
      <c r="G118" s="249" t="s">
        <v>457</v>
      </c>
      <c r="H118" s="253"/>
      <c r="I118" s="254"/>
      <c r="J118" s="254"/>
      <c r="K118" s="254"/>
      <c r="L118" s="254"/>
      <c r="M118" s="254"/>
      <c r="N118" s="254"/>
      <c r="O118" s="254"/>
      <c r="P118" s="254"/>
      <c r="Q118" s="254"/>
      <c r="R118" s="254"/>
      <c r="S118" s="254"/>
      <c r="T118" s="254"/>
      <c r="U118" s="254"/>
      <c r="V118" s="254"/>
      <c r="W118" s="279">
        <v>0.562</v>
      </c>
      <c r="X118" s="254"/>
      <c r="Y118" s="254"/>
      <c r="Z118" s="254"/>
      <c r="AA118" s="254"/>
      <c r="AB118" s="279">
        <v>0.58</v>
      </c>
      <c r="AC118" s="279">
        <v>0.6</v>
      </c>
      <c r="AD118" s="279">
        <v>0.62</v>
      </c>
      <c r="AE118" s="279">
        <v>0.64</v>
      </c>
      <c r="AF118" s="279">
        <v>0.66</v>
      </c>
      <c r="AG118" s="279">
        <v>0.68</v>
      </c>
      <c r="AH118" s="279">
        <v>0.7</v>
      </c>
      <c r="AI118" s="204"/>
      <c r="AJ118" s="204"/>
      <c r="AK118" s="204"/>
      <c r="AL118" s="204"/>
      <c r="AM118" s="251"/>
      <c r="AN118" s="100"/>
      <c r="AO118" s="102"/>
    </row>
    <row r="119" ht="13.5" customHeight="1" outlineLevel="3">
      <c r="A119" s="247"/>
      <c r="B119" s="201"/>
      <c r="C119" s="201"/>
      <c r="D119" s="201"/>
      <c r="E119" s="278" t="s">
        <v>458</v>
      </c>
      <c r="F119" s="123" t="s">
        <v>261</v>
      </c>
      <c r="G119" s="249" t="s">
        <v>459</v>
      </c>
      <c r="H119" s="253"/>
      <c r="I119" s="254"/>
      <c r="J119" s="254"/>
      <c r="K119" s="254"/>
      <c r="L119" s="254"/>
      <c r="M119" s="254"/>
      <c r="N119" s="254"/>
      <c r="O119" s="254"/>
      <c r="P119" s="254"/>
      <c r="Q119" s="254"/>
      <c r="R119" s="254"/>
      <c r="S119" s="254"/>
      <c r="T119" s="254"/>
      <c r="U119" s="254"/>
      <c r="V119" s="254"/>
      <c r="W119" s="279">
        <v>0.58</v>
      </c>
      <c r="X119" s="254"/>
      <c r="Y119" s="254"/>
      <c r="Z119" s="254"/>
      <c r="AA119" s="254"/>
      <c r="AB119" s="279">
        <v>0.61</v>
      </c>
      <c r="AC119" s="279">
        <v>0.64</v>
      </c>
      <c r="AD119" s="279">
        <v>0.67</v>
      </c>
      <c r="AE119" s="279">
        <v>0.69</v>
      </c>
      <c r="AF119" s="279">
        <v>0.71</v>
      </c>
      <c r="AG119" s="279">
        <v>0.73</v>
      </c>
      <c r="AH119" s="279">
        <v>0.75</v>
      </c>
      <c r="AI119" s="204"/>
      <c r="AJ119" s="204"/>
      <c r="AK119" s="204"/>
      <c r="AL119" s="204"/>
      <c r="AM119" s="251"/>
      <c r="AN119" s="100"/>
      <c r="AO119" s="102"/>
    </row>
    <row r="120" ht="13.5" customHeight="1" outlineLevel="3">
      <c r="A120" s="247"/>
      <c r="B120" s="201"/>
      <c r="C120" s="201"/>
      <c r="D120" s="201"/>
      <c r="E120" s="278" t="s">
        <v>460</v>
      </c>
      <c r="F120" s="123" t="s">
        <v>261</v>
      </c>
      <c r="G120" s="249" t="s">
        <v>461</v>
      </c>
      <c r="H120" s="253"/>
      <c r="I120" s="254"/>
      <c r="J120" s="254"/>
      <c r="K120" s="254"/>
      <c r="L120" s="254"/>
      <c r="M120" s="254"/>
      <c r="N120" s="254"/>
      <c r="O120" s="254"/>
      <c r="P120" s="254"/>
      <c r="Q120" s="254"/>
      <c r="R120" s="254"/>
      <c r="S120" s="254"/>
      <c r="T120" s="254"/>
      <c r="U120" s="254"/>
      <c r="V120" s="254"/>
      <c r="W120" s="279">
        <v>0.749</v>
      </c>
      <c r="X120" s="254"/>
      <c r="Y120" s="254"/>
      <c r="Z120" s="254"/>
      <c r="AA120" s="254"/>
      <c r="AB120" s="279">
        <v>0.75</v>
      </c>
      <c r="AC120" s="279">
        <v>0.75</v>
      </c>
      <c r="AD120" s="279">
        <v>0.75</v>
      </c>
      <c r="AE120" s="279">
        <v>0.75</v>
      </c>
      <c r="AF120" s="279">
        <v>0.75</v>
      </c>
      <c r="AG120" s="279">
        <v>0.75</v>
      </c>
      <c r="AH120" s="279">
        <v>0.75</v>
      </c>
      <c r="AI120" s="204"/>
      <c r="AJ120" s="204"/>
      <c r="AK120" s="204"/>
      <c r="AL120" s="204"/>
      <c r="AM120" s="251"/>
      <c r="AN120" s="100"/>
      <c r="AO120" s="102"/>
    </row>
    <row r="121" ht="13.5" customHeight="1" outlineLevel="3">
      <c r="A121" s="247"/>
      <c r="B121" s="201"/>
      <c r="C121" s="201"/>
      <c r="D121" s="201"/>
      <c r="E121" s="278" t="s">
        <v>462</v>
      </c>
      <c r="F121" s="123" t="s">
        <v>261</v>
      </c>
      <c r="G121" s="249" t="s">
        <v>463</v>
      </c>
      <c r="H121" s="253"/>
      <c r="I121" s="254"/>
      <c r="J121" s="254"/>
      <c r="K121" s="254"/>
      <c r="L121" s="254"/>
      <c r="M121" s="254"/>
      <c r="N121" s="254"/>
      <c r="O121" s="254"/>
      <c r="P121" s="254"/>
      <c r="Q121" s="254"/>
      <c r="R121" s="254"/>
      <c r="S121" s="254"/>
      <c r="T121" s="254"/>
      <c r="U121" s="254"/>
      <c r="V121" s="254"/>
      <c r="W121" s="279">
        <v>0.864</v>
      </c>
      <c r="X121" s="254"/>
      <c r="Y121" s="254"/>
      <c r="Z121" s="254"/>
      <c r="AA121" s="254"/>
      <c r="AB121" s="279">
        <v>0.87</v>
      </c>
      <c r="AC121" s="279">
        <v>0.87</v>
      </c>
      <c r="AD121" s="279">
        <v>0.87</v>
      </c>
      <c r="AE121" s="279">
        <v>0.87</v>
      </c>
      <c r="AF121" s="279">
        <v>0.87</v>
      </c>
      <c r="AG121" s="279">
        <v>0.87</v>
      </c>
      <c r="AH121" s="279">
        <v>0.87</v>
      </c>
      <c r="AI121" s="204"/>
      <c r="AJ121" s="204"/>
      <c r="AK121" s="204"/>
      <c r="AL121" s="204"/>
      <c r="AM121" s="251"/>
      <c r="AN121" s="100"/>
      <c r="AO121" s="102"/>
    </row>
    <row r="122" ht="13.5" customHeight="1" outlineLevel="3">
      <c r="A122" s="247"/>
      <c r="B122" s="201"/>
      <c r="C122" s="201"/>
      <c r="D122" s="201"/>
      <c r="E122" s="278" t="s">
        <v>464</v>
      </c>
      <c r="F122" s="123" t="s">
        <v>261</v>
      </c>
      <c r="G122" s="249" t="s">
        <v>465</v>
      </c>
      <c r="H122" s="253"/>
      <c r="I122" s="254"/>
      <c r="J122" s="254"/>
      <c r="K122" s="254"/>
      <c r="L122" s="254"/>
      <c r="M122" s="254"/>
      <c r="N122" s="254"/>
      <c r="O122" s="254"/>
      <c r="P122" s="254"/>
      <c r="Q122" s="254"/>
      <c r="R122" s="254"/>
      <c r="S122" s="254"/>
      <c r="T122" s="254"/>
      <c r="U122" s="254"/>
      <c r="V122" s="254"/>
      <c r="W122" s="279">
        <v>2.17</v>
      </c>
      <c r="X122" s="254"/>
      <c r="Y122" s="254"/>
      <c r="Z122" s="254"/>
      <c r="AA122" s="254"/>
      <c r="AB122" s="279">
        <v>2.28857142857143</v>
      </c>
      <c r="AC122" s="279">
        <v>2.40714285714286</v>
      </c>
      <c r="AD122" s="279">
        <v>2.52571428571429</v>
      </c>
      <c r="AE122" s="279">
        <v>2.64428571428571</v>
      </c>
      <c r="AF122" s="279">
        <v>2.76285714285714</v>
      </c>
      <c r="AG122" s="279">
        <v>2.88142857142857</v>
      </c>
      <c r="AH122" s="279">
        <v>3.0</v>
      </c>
      <c r="AI122" s="204"/>
      <c r="AJ122" s="204"/>
      <c r="AK122" s="204"/>
      <c r="AL122" s="204"/>
      <c r="AM122" s="251"/>
      <c r="AN122" s="100"/>
      <c r="AO122" s="102"/>
    </row>
    <row r="123" ht="13.5" customHeight="1" outlineLevel="3">
      <c r="A123" s="98"/>
      <c r="B123" s="98"/>
      <c r="C123" s="98"/>
      <c r="D123" s="98"/>
      <c r="E123" s="122" t="s">
        <v>466</v>
      </c>
      <c r="F123" s="123" t="s">
        <v>261</v>
      </c>
      <c r="G123" s="123" t="s">
        <v>467</v>
      </c>
      <c r="H123" s="254"/>
      <c r="I123" s="254"/>
      <c r="J123" s="254"/>
      <c r="K123" s="254"/>
      <c r="L123" s="254"/>
      <c r="M123" s="254"/>
      <c r="N123" s="254"/>
      <c r="O123" s="254"/>
      <c r="P123" s="254"/>
      <c r="Q123" s="254"/>
      <c r="R123" s="254"/>
      <c r="S123" s="254"/>
      <c r="T123" s="254"/>
      <c r="U123" s="254"/>
      <c r="V123" s="254"/>
      <c r="W123" s="256">
        <v>0.5</v>
      </c>
      <c r="X123" s="254"/>
      <c r="Y123" s="254"/>
      <c r="Z123" s="254"/>
      <c r="AA123" s="254"/>
      <c r="AB123" s="256">
        <v>0.5</v>
      </c>
      <c r="AC123" s="256">
        <v>0.5</v>
      </c>
      <c r="AD123" s="256">
        <v>0.5</v>
      </c>
      <c r="AE123" s="256">
        <v>0.5</v>
      </c>
      <c r="AF123" s="256">
        <v>0.5</v>
      </c>
      <c r="AG123" s="256">
        <v>0.5</v>
      </c>
      <c r="AH123" s="256">
        <v>0.5</v>
      </c>
      <c r="AI123" s="204"/>
      <c r="AJ123" s="204"/>
      <c r="AK123" s="204"/>
      <c r="AL123" s="204"/>
      <c r="AM123" s="251"/>
      <c r="AN123" s="100"/>
      <c r="AO123" s="102"/>
    </row>
    <row r="124" ht="14.25" customHeight="1" outlineLevel="2">
      <c r="A124" s="247"/>
      <c r="B124" s="100"/>
      <c r="C124" s="246" t="str">
        <f>IF(COUNTIF(H124:AH124,"warning")&gt;0,"\-&gt; FEC for hot water per final energy carrier &gt;&gt; WARNING: For some years, Total FEC ≠ ∑ FEC by final energy carrier!","\-&gt; FEC for hot water per final energy carrier")</f>
        <v>\-&gt; FEC for hot water per final energy carrier &gt;&gt; WARNING: For some years, Total FEC ≠ ∑ FEC by final energy carrier!</v>
      </c>
      <c r="D124" s="201"/>
      <c r="E124" s="162"/>
      <c r="F124" s="162"/>
      <c r="G124" s="162"/>
      <c r="H124" s="290" t="str">
        <f t="shared" ref="H124:AH124" si="6">IF(OR(ISBLANK(H125),COUNTA(H126:H131)=0),"",IF(ABS(H125-SUM(H126:H131))/H125&lt;10^-3,"","Warning"))</f>
        <v>Warning</v>
      </c>
      <c r="I124" s="290" t="str">
        <f t="shared" si="6"/>
        <v>Warning</v>
      </c>
      <c r="J124" s="290" t="str">
        <f t="shared" si="6"/>
        <v>Warning</v>
      </c>
      <c r="K124" s="290" t="str">
        <f t="shared" si="6"/>
        <v>Warning</v>
      </c>
      <c r="L124" s="290" t="str">
        <f t="shared" si="6"/>
        <v>Warning</v>
      </c>
      <c r="M124" s="290" t="str">
        <f t="shared" si="6"/>
        <v>Warning</v>
      </c>
      <c r="N124" s="290" t="str">
        <f t="shared" si="6"/>
        <v>Warning</v>
      </c>
      <c r="O124" s="290" t="str">
        <f t="shared" si="6"/>
        <v>Warning</v>
      </c>
      <c r="P124" s="290" t="str">
        <f t="shared" si="6"/>
        <v>Warning</v>
      </c>
      <c r="Q124" s="290" t="str">
        <f t="shared" si="6"/>
        <v>Warning</v>
      </c>
      <c r="R124" s="290" t="str">
        <f t="shared" si="6"/>
        <v/>
      </c>
      <c r="S124" s="290" t="str">
        <f t="shared" si="6"/>
        <v/>
      </c>
      <c r="T124" s="290" t="str">
        <f t="shared" si="6"/>
        <v/>
      </c>
      <c r="U124" s="290" t="str">
        <f t="shared" si="6"/>
        <v/>
      </c>
      <c r="V124" s="290" t="str">
        <f t="shared" si="6"/>
        <v/>
      </c>
      <c r="W124" s="290" t="str">
        <f t="shared" si="6"/>
        <v>Warning</v>
      </c>
      <c r="X124" s="290" t="str">
        <f t="shared" si="6"/>
        <v/>
      </c>
      <c r="Y124" s="290" t="str">
        <f t="shared" si="6"/>
        <v/>
      </c>
      <c r="Z124" s="290" t="str">
        <f t="shared" si="6"/>
        <v/>
      </c>
      <c r="AA124" s="290" t="str">
        <f t="shared" si="6"/>
        <v/>
      </c>
      <c r="AB124" s="290" t="str">
        <f t="shared" si="6"/>
        <v>Warning</v>
      </c>
      <c r="AC124" s="290" t="str">
        <f t="shared" si="6"/>
        <v>Warning</v>
      </c>
      <c r="AD124" s="290" t="str">
        <f t="shared" si="6"/>
        <v>Warning</v>
      </c>
      <c r="AE124" s="290" t="str">
        <f t="shared" si="6"/>
        <v>Warning</v>
      </c>
      <c r="AF124" s="290" t="str">
        <f t="shared" si="6"/>
        <v>Warning</v>
      </c>
      <c r="AG124" s="290" t="str">
        <f t="shared" si="6"/>
        <v>Warning</v>
      </c>
      <c r="AH124" s="290" t="str">
        <f t="shared" si="6"/>
        <v>Warning</v>
      </c>
      <c r="AI124" s="244"/>
      <c r="AJ124" s="244"/>
      <c r="AK124" s="244"/>
      <c r="AL124" s="244"/>
      <c r="AM124" s="162"/>
      <c r="AN124" s="100" t="b">
        <f t="shared" ref="AN124:AN220" si="7">_xlfn.ISFORMULA(H124)</f>
        <v>1</v>
      </c>
      <c r="AO124" s="102"/>
    </row>
    <row r="125" ht="14.25" customHeight="1" outlineLevel="3">
      <c r="A125" s="247"/>
      <c r="B125" s="100"/>
      <c r="C125" s="268"/>
      <c r="D125" s="201"/>
      <c r="E125" s="287" t="s">
        <v>468</v>
      </c>
      <c r="F125" s="249" t="s">
        <v>135</v>
      </c>
      <c r="G125" s="249" t="s">
        <v>469</v>
      </c>
      <c r="H125" s="260">
        <v>11.8138</v>
      </c>
      <c r="I125" s="181">
        <v>11.5724</v>
      </c>
      <c r="J125" s="181">
        <v>11.5478</v>
      </c>
      <c r="K125" s="181">
        <v>11.3855</v>
      </c>
      <c r="L125" s="181">
        <v>11.2373</v>
      </c>
      <c r="M125" s="181">
        <v>11.7598</v>
      </c>
      <c r="N125" s="181">
        <v>11.0741</v>
      </c>
      <c r="O125" s="181">
        <v>10.9415</v>
      </c>
      <c r="P125" s="181">
        <v>10.672</v>
      </c>
      <c r="Q125" s="181">
        <v>10.377</v>
      </c>
      <c r="R125" s="181">
        <v>10.4302</v>
      </c>
      <c r="S125" s="181">
        <v>10.556</v>
      </c>
      <c r="T125" s="181">
        <v>10.6461</v>
      </c>
      <c r="U125" s="181">
        <v>10.7497</v>
      </c>
      <c r="V125" s="181">
        <v>10.8195</v>
      </c>
      <c r="W125" s="286">
        <v>10.4640603903416</v>
      </c>
      <c r="X125" s="181">
        <v>10.9733</v>
      </c>
      <c r="Y125" s="181">
        <v>11.0344</v>
      </c>
      <c r="Z125" s="181">
        <v>11.166</v>
      </c>
      <c r="AA125" s="181"/>
      <c r="AB125" s="286">
        <v>9.31869134907769</v>
      </c>
      <c r="AC125" s="286">
        <v>8.50551956920465</v>
      </c>
      <c r="AD125" s="286">
        <v>7.30252753102058</v>
      </c>
      <c r="AE125" s="286">
        <v>6.59880970336838</v>
      </c>
      <c r="AF125" s="286">
        <v>5.7715375705244</v>
      </c>
      <c r="AG125" s="286">
        <v>5.14614617391197</v>
      </c>
      <c r="AH125" s="286">
        <v>4.6106891594176</v>
      </c>
      <c r="AI125" s="204"/>
      <c r="AJ125" s="204"/>
      <c r="AK125" s="204"/>
      <c r="AL125" s="204"/>
      <c r="AM125" s="251"/>
      <c r="AN125" s="100" t="b">
        <f t="shared" si="7"/>
        <v>0</v>
      </c>
      <c r="AO125" s="102"/>
    </row>
    <row r="126" ht="14.25" customHeight="1" outlineLevel="3">
      <c r="A126" s="247"/>
      <c r="B126" s="100"/>
      <c r="C126" s="268"/>
      <c r="D126" s="201"/>
      <c r="E126" s="270" t="s">
        <v>470</v>
      </c>
      <c r="F126" s="249" t="s">
        <v>135</v>
      </c>
      <c r="G126" s="249" t="s">
        <v>471</v>
      </c>
      <c r="H126" s="260">
        <v>0.003</v>
      </c>
      <c r="I126" s="181">
        <v>0.0029</v>
      </c>
      <c r="J126" s="181">
        <v>0.0029</v>
      </c>
      <c r="K126" s="181">
        <v>0.0028</v>
      </c>
      <c r="L126" s="181">
        <v>0.0028</v>
      </c>
      <c r="M126" s="181">
        <v>0.0029</v>
      </c>
      <c r="N126" s="181">
        <v>0.0028</v>
      </c>
      <c r="O126" s="181">
        <v>0.0027</v>
      </c>
      <c r="P126" s="181">
        <v>0.0027</v>
      </c>
      <c r="Q126" s="181">
        <v>0.0026</v>
      </c>
      <c r="R126" s="181">
        <v>0.0026</v>
      </c>
      <c r="S126" s="181">
        <v>0.0026</v>
      </c>
      <c r="T126" s="181">
        <v>0.0027</v>
      </c>
      <c r="U126" s="181">
        <v>0.0027</v>
      </c>
      <c r="V126" s="181">
        <v>0.0027</v>
      </c>
      <c r="W126" s="286">
        <v>0.0</v>
      </c>
      <c r="X126" s="264">
        <v>0.0027</v>
      </c>
      <c r="Y126" s="264">
        <v>0.0027</v>
      </c>
      <c r="Z126" s="264"/>
      <c r="AA126" s="264"/>
      <c r="AB126" s="286">
        <v>0.0</v>
      </c>
      <c r="AC126" s="286">
        <v>0.0</v>
      </c>
      <c r="AD126" s="286">
        <v>0.0</v>
      </c>
      <c r="AE126" s="286">
        <v>0.0</v>
      </c>
      <c r="AF126" s="286">
        <v>0.0</v>
      </c>
      <c r="AG126" s="286">
        <v>0.0</v>
      </c>
      <c r="AH126" s="286">
        <v>0.0</v>
      </c>
      <c r="AI126" s="204"/>
      <c r="AJ126" s="204"/>
      <c r="AK126" s="204"/>
      <c r="AL126" s="204"/>
      <c r="AM126" s="251"/>
      <c r="AN126" s="100" t="b">
        <f t="shared" si="7"/>
        <v>0</v>
      </c>
      <c r="AO126" s="102"/>
    </row>
    <row r="127" ht="14.25" customHeight="1" outlineLevel="3">
      <c r="A127" s="247"/>
      <c r="B127" s="100"/>
      <c r="C127" s="268"/>
      <c r="D127" s="201"/>
      <c r="E127" s="270" t="s">
        <v>472</v>
      </c>
      <c r="F127" s="249" t="s">
        <v>135</v>
      </c>
      <c r="G127" s="249" t="s">
        <v>473</v>
      </c>
      <c r="H127" s="260"/>
      <c r="I127" s="181"/>
      <c r="J127" s="181"/>
      <c r="K127" s="181"/>
      <c r="L127" s="181"/>
      <c r="M127" s="181"/>
      <c r="N127" s="181"/>
      <c r="O127" s="181"/>
      <c r="P127" s="181"/>
      <c r="Q127" s="181"/>
      <c r="R127" s="181">
        <v>0.1533</v>
      </c>
      <c r="S127" s="181">
        <v>0.1738</v>
      </c>
      <c r="T127" s="181">
        <v>0.1836</v>
      </c>
      <c r="U127" s="181">
        <v>0.227</v>
      </c>
      <c r="V127" s="181">
        <v>0.2484</v>
      </c>
      <c r="W127" s="286">
        <v>0.548222600857875</v>
      </c>
      <c r="X127" s="181">
        <v>0.2909</v>
      </c>
      <c r="Y127" s="181">
        <v>0.3005</v>
      </c>
      <c r="Z127" s="181"/>
      <c r="AA127" s="181"/>
      <c r="AB127" s="286">
        <v>0.563552691095003</v>
      </c>
      <c r="AC127" s="286">
        <v>0.584834920993253</v>
      </c>
      <c r="AD127" s="286">
        <v>0.559874463151248</v>
      </c>
      <c r="AE127" s="286">
        <v>0.542793950577742</v>
      </c>
      <c r="AF127" s="286">
        <v>0.490937514104944</v>
      </c>
      <c r="AG127" s="286">
        <v>0.444410198434038</v>
      </c>
      <c r="AH127" s="286">
        <v>0.397644782141843</v>
      </c>
      <c r="AI127" s="204"/>
      <c r="AJ127" s="204"/>
      <c r="AK127" s="204"/>
      <c r="AL127" s="204"/>
      <c r="AM127" s="251"/>
      <c r="AN127" s="100" t="b">
        <f t="shared" si="7"/>
        <v>0</v>
      </c>
      <c r="AO127" s="102"/>
    </row>
    <row r="128" ht="14.25" customHeight="1" outlineLevel="3">
      <c r="A128" s="247"/>
      <c r="B128" s="100"/>
      <c r="C128" s="268"/>
      <c r="D128" s="201"/>
      <c r="E128" s="270" t="s">
        <v>474</v>
      </c>
      <c r="F128" s="249" t="s">
        <v>135</v>
      </c>
      <c r="G128" s="249" t="s">
        <v>475</v>
      </c>
      <c r="H128" s="260">
        <v>2.0887</v>
      </c>
      <c r="I128" s="181">
        <v>2.0461</v>
      </c>
      <c r="J128" s="181">
        <v>2.0417</v>
      </c>
      <c r="K128" s="181">
        <v>2.013</v>
      </c>
      <c r="L128" s="181">
        <v>1.9868</v>
      </c>
      <c r="M128" s="181">
        <v>2.0792</v>
      </c>
      <c r="N128" s="181">
        <v>1.958</v>
      </c>
      <c r="O128" s="181">
        <v>1.9345</v>
      </c>
      <c r="P128" s="181">
        <v>1.8869</v>
      </c>
      <c r="Q128" s="181">
        <v>1.8347</v>
      </c>
      <c r="R128" s="181">
        <v>1.8441</v>
      </c>
      <c r="S128" s="181">
        <v>1.863</v>
      </c>
      <c r="T128" s="181">
        <v>1.8775</v>
      </c>
      <c r="U128" s="181">
        <v>1.8883</v>
      </c>
      <c r="V128" s="181">
        <v>1.8969</v>
      </c>
      <c r="W128" s="286">
        <v>4.05343893191097</v>
      </c>
      <c r="X128" s="181">
        <v>1.9169</v>
      </c>
      <c r="Y128" s="181">
        <v>1.9264</v>
      </c>
      <c r="Z128" s="181"/>
      <c r="AA128" s="181"/>
      <c r="AB128" s="286">
        <v>3.18380173341523</v>
      </c>
      <c r="AC128" s="286">
        <v>2.46623667429566</v>
      </c>
      <c r="AD128" s="286">
        <v>1.71108219058372</v>
      </c>
      <c r="AE128" s="286">
        <v>1.13753606586868</v>
      </c>
      <c r="AF128" s="286">
        <v>0.631932190454102</v>
      </c>
      <c r="AG128" s="286">
        <v>0.265214885381367</v>
      </c>
      <c r="AH128" s="286">
        <v>0.0</v>
      </c>
      <c r="AI128" s="204"/>
      <c r="AJ128" s="204"/>
      <c r="AK128" s="204"/>
      <c r="AL128" s="204"/>
      <c r="AM128" s="251"/>
      <c r="AN128" s="100" t="b">
        <f t="shared" si="7"/>
        <v>0</v>
      </c>
      <c r="AO128" s="102"/>
    </row>
    <row r="129" ht="14.25" customHeight="1" outlineLevel="3">
      <c r="A129" s="247"/>
      <c r="B129" s="100"/>
      <c r="C129" s="268"/>
      <c r="D129" s="201"/>
      <c r="E129" s="270" t="s">
        <v>476</v>
      </c>
      <c r="F129" s="249" t="s">
        <v>135</v>
      </c>
      <c r="G129" s="249" t="s">
        <v>477</v>
      </c>
      <c r="H129" s="260"/>
      <c r="I129" s="181"/>
      <c r="J129" s="181"/>
      <c r="K129" s="181"/>
      <c r="L129" s="181"/>
      <c r="M129" s="181"/>
      <c r="N129" s="181"/>
      <c r="O129" s="181"/>
      <c r="P129" s="181"/>
      <c r="Q129" s="181"/>
      <c r="R129" s="181">
        <v>5.1984</v>
      </c>
      <c r="S129" s="181">
        <v>5.2517</v>
      </c>
      <c r="T129" s="181">
        <v>5.2923</v>
      </c>
      <c r="U129" s="181">
        <v>5.3228</v>
      </c>
      <c r="V129" s="181">
        <v>5.3472</v>
      </c>
      <c r="W129" s="286">
        <v>4.61675256310396</v>
      </c>
      <c r="X129" s="181">
        <v>5.4035</v>
      </c>
      <c r="Y129" s="181">
        <v>5.4294</v>
      </c>
      <c r="Z129" s="181"/>
      <c r="AA129" s="181"/>
      <c r="AB129" s="286">
        <v>3.58842244533093</v>
      </c>
      <c r="AC129" s="286">
        <v>2.77287914458469</v>
      </c>
      <c r="AD129" s="286">
        <v>1.93197662357762</v>
      </c>
      <c r="AE129" s="286">
        <v>1.32407359286899</v>
      </c>
      <c r="AF129" s="286">
        <v>0.778024642700437</v>
      </c>
      <c r="AG129" s="286">
        <v>0.378741866659436</v>
      </c>
      <c r="AH129" s="286">
        <v>0.0861563694640659</v>
      </c>
      <c r="AI129" s="204"/>
      <c r="AJ129" s="204"/>
      <c r="AK129" s="204"/>
      <c r="AL129" s="204"/>
      <c r="AM129" s="251"/>
      <c r="AN129" s="100" t="b">
        <f t="shared" si="7"/>
        <v>0</v>
      </c>
      <c r="AO129" s="102"/>
    </row>
    <row r="130" ht="14.25" customHeight="1" outlineLevel="3">
      <c r="A130" s="247"/>
      <c r="B130" s="100"/>
      <c r="C130" s="268"/>
      <c r="D130" s="201"/>
      <c r="E130" s="270" t="s">
        <v>478</v>
      </c>
      <c r="F130" s="249" t="s">
        <v>135</v>
      </c>
      <c r="G130" s="249" t="s">
        <v>479</v>
      </c>
      <c r="H130" s="260"/>
      <c r="I130" s="181"/>
      <c r="J130" s="181"/>
      <c r="K130" s="181"/>
      <c r="L130" s="181"/>
      <c r="M130" s="181"/>
      <c r="N130" s="181"/>
      <c r="O130" s="181"/>
      <c r="P130" s="181"/>
      <c r="Q130" s="181"/>
      <c r="R130" s="181">
        <v>3.2318</v>
      </c>
      <c r="S130" s="181">
        <v>3.2649</v>
      </c>
      <c r="T130" s="181">
        <v>3.2901</v>
      </c>
      <c r="U130" s="181">
        <v>3.309</v>
      </c>
      <c r="V130" s="181">
        <v>3.3243</v>
      </c>
      <c r="W130" s="286">
        <v>0.998681127531698</v>
      </c>
      <c r="X130" s="181">
        <v>3.3593</v>
      </c>
      <c r="Y130" s="181">
        <v>3.3754</v>
      </c>
      <c r="Z130" s="181"/>
      <c r="AA130" s="181"/>
      <c r="AB130" s="286">
        <v>1.08540310341876</v>
      </c>
      <c r="AC130" s="286">
        <v>1.1565353529521</v>
      </c>
      <c r="AD130" s="286">
        <v>1.11912758041463</v>
      </c>
      <c r="AE130" s="286">
        <v>1.08507488460444</v>
      </c>
      <c r="AF130" s="286">
        <v>0.974001457041086</v>
      </c>
      <c r="AG130" s="286">
        <v>0.869996652410484</v>
      </c>
      <c r="AH130" s="286">
        <v>0.764637778993585</v>
      </c>
      <c r="AI130" s="204"/>
      <c r="AJ130" s="204"/>
      <c r="AK130" s="204"/>
      <c r="AL130" s="204"/>
      <c r="AM130" s="251"/>
      <c r="AN130" s="100" t="b">
        <f t="shared" si="7"/>
        <v>0</v>
      </c>
      <c r="AO130" s="102"/>
    </row>
    <row r="131" ht="14.25" customHeight="1" outlineLevel="3">
      <c r="A131" s="247"/>
      <c r="B131" s="201"/>
      <c r="C131" s="201"/>
      <c r="D131" s="201"/>
      <c r="E131" s="291" t="s">
        <v>480</v>
      </c>
      <c r="F131" s="123" t="s">
        <v>135</v>
      </c>
      <c r="G131" s="292" t="s">
        <v>481</v>
      </c>
      <c r="H131" s="260"/>
      <c r="I131" s="181"/>
      <c r="J131" s="181"/>
      <c r="K131" s="181"/>
      <c r="L131" s="181"/>
      <c r="M131" s="181"/>
      <c r="N131" s="181"/>
      <c r="O131" s="181"/>
      <c r="P131" s="181"/>
      <c r="Q131" s="181"/>
      <c r="R131" s="181"/>
      <c r="S131" s="181"/>
      <c r="T131" s="181"/>
      <c r="U131" s="181"/>
      <c r="V131" s="181"/>
      <c r="W131" s="286">
        <v>0.00227026101750253</v>
      </c>
      <c r="X131" s="181"/>
      <c r="Y131" s="181"/>
      <c r="Z131" s="181"/>
      <c r="AA131" s="181"/>
      <c r="AB131" s="286">
        <v>0.265382612766639</v>
      </c>
      <c r="AC131" s="286">
        <v>0.508332080175882</v>
      </c>
      <c r="AD131" s="286">
        <v>0.682403199050405</v>
      </c>
      <c r="AE131" s="286">
        <v>0.831971928904051</v>
      </c>
      <c r="AF131" s="286">
        <v>0.893312992806695</v>
      </c>
      <c r="AG131" s="286">
        <v>0.926808923885106</v>
      </c>
      <c r="AH131" s="286">
        <v>0.928409153707607</v>
      </c>
      <c r="AI131" s="204"/>
      <c r="AJ131" s="204"/>
      <c r="AK131" s="204"/>
      <c r="AL131" s="204"/>
      <c r="AM131" s="251"/>
      <c r="AN131" s="100" t="b">
        <f t="shared" si="7"/>
        <v>0</v>
      </c>
      <c r="AO131" s="102"/>
    </row>
    <row r="132" ht="14.25" customHeight="1" outlineLevel="3">
      <c r="A132" s="247"/>
      <c r="B132" s="201"/>
      <c r="C132" s="201"/>
      <c r="D132" s="201"/>
      <c r="E132" s="122" t="s">
        <v>482</v>
      </c>
      <c r="F132" s="123" t="s">
        <v>135</v>
      </c>
      <c r="G132" s="123" t="s">
        <v>483</v>
      </c>
      <c r="H132" s="260"/>
      <c r="I132" s="181"/>
      <c r="J132" s="181"/>
      <c r="K132" s="181"/>
      <c r="L132" s="181"/>
      <c r="M132" s="181"/>
      <c r="N132" s="181"/>
      <c r="O132" s="181"/>
      <c r="P132" s="181"/>
      <c r="Q132" s="181"/>
      <c r="R132" s="181"/>
      <c r="S132" s="181"/>
      <c r="T132" s="181"/>
      <c r="U132" s="181"/>
      <c r="V132" s="181"/>
      <c r="W132" s="286">
        <v>0.0</v>
      </c>
      <c r="X132" s="181"/>
      <c r="Y132" s="181"/>
      <c r="Z132" s="181"/>
      <c r="AA132" s="181"/>
      <c r="AB132" s="286">
        <v>0.325338213768042</v>
      </c>
      <c r="AC132" s="286">
        <v>0.6496068752921</v>
      </c>
      <c r="AD132" s="286">
        <v>0.902362648031596</v>
      </c>
      <c r="AE132" s="286">
        <v>1.13323788399729</v>
      </c>
      <c r="AF132" s="286">
        <v>1.24905455361306</v>
      </c>
      <c r="AG132" s="286">
        <v>1.32649686957983</v>
      </c>
      <c r="AH132" s="286">
        <v>1.35696281905904</v>
      </c>
      <c r="AI132" s="204"/>
      <c r="AJ132" s="275"/>
      <c r="AK132" s="204"/>
      <c r="AL132" s="204"/>
      <c r="AM132" s="251"/>
      <c r="AN132" s="100" t="b">
        <f t="shared" si="7"/>
        <v>0</v>
      </c>
      <c r="AO132" s="102"/>
    </row>
    <row r="133" ht="14.25" customHeight="1" outlineLevel="3">
      <c r="A133" s="247"/>
      <c r="B133" s="100"/>
      <c r="C133" s="100"/>
      <c r="D133" s="100"/>
      <c r="E133" s="291" t="s">
        <v>484</v>
      </c>
      <c r="F133" s="123" t="s">
        <v>135</v>
      </c>
      <c r="G133" s="292" t="s">
        <v>485</v>
      </c>
      <c r="H133" s="260"/>
      <c r="I133" s="181"/>
      <c r="J133" s="181"/>
      <c r="K133" s="181"/>
      <c r="L133" s="181"/>
      <c r="M133" s="181"/>
      <c r="N133" s="181"/>
      <c r="O133" s="181"/>
      <c r="P133" s="181"/>
      <c r="Q133" s="181"/>
      <c r="R133" s="181"/>
      <c r="S133" s="181"/>
      <c r="T133" s="181"/>
      <c r="U133" s="181"/>
      <c r="V133" s="181"/>
      <c r="W133" s="286">
        <v>0.244694905919593</v>
      </c>
      <c r="X133" s="181"/>
      <c r="Y133" s="181"/>
      <c r="Z133" s="181"/>
      <c r="AA133" s="181"/>
      <c r="AB133" s="286">
        <v>0.30679054928309</v>
      </c>
      <c r="AC133" s="286">
        <v>0.367094520910967</v>
      </c>
      <c r="AD133" s="286">
        <v>0.395700826211352</v>
      </c>
      <c r="AE133" s="286">
        <v>0.544121396547187</v>
      </c>
      <c r="AF133" s="286">
        <v>0.754274219804077</v>
      </c>
      <c r="AG133" s="286">
        <v>0.934476777561711</v>
      </c>
      <c r="AH133" s="286">
        <v>1.07687825605147</v>
      </c>
      <c r="AI133" s="204"/>
      <c r="AJ133" s="204"/>
      <c r="AK133" s="204"/>
      <c r="AL133" s="204"/>
      <c r="AM133" s="251"/>
      <c r="AN133" s="100" t="b">
        <f t="shared" si="7"/>
        <v>0</v>
      </c>
      <c r="AO133" s="102"/>
    </row>
    <row r="134" ht="14.25" customHeight="1" outlineLevel="1">
      <c r="A134" s="247"/>
      <c r="B134" s="246" t="s">
        <v>486</v>
      </c>
      <c r="C134" s="246"/>
      <c r="D134" s="201"/>
      <c r="E134" s="162"/>
      <c r="F134" s="162"/>
      <c r="G134" s="162"/>
      <c r="H134" s="178"/>
      <c r="I134" s="178"/>
      <c r="J134" s="178"/>
      <c r="K134" s="178"/>
      <c r="L134" s="178"/>
      <c r="M134" s="178"/>
      <c r="N134" s="178"/>
      <c r="O134" s="178"/>
      <c r="P134" s="178"/>
      <c r="Q134" s="178"/>
      <c r="R134" s="178"/>
      <c r="S134" s="178"/>
      <c r="T134" s="178"/>
      <c r="U134" s="178"/>
      <c r="V134" s="178"/>
      <c r="W134" s="178"/>
      <c r="X134" s="178"/>
      <c r="Y134" s="178"/>
      <c r="Z134" s="178"/>
      <c r="AA134" s="178"/>
      <c r="AB134" s="178"/>
      <c r="AC134" s="178"/>
      <c r="AD134" s="178"/>
      <c r="AE134" s="178"/>
      <c r="AF134" s="178"/>
      <c r="AG134" s="178"/>
      <c r="AH134" s="178"/>
      <c r="AI134" s="244"/>
      <c r="AJ134" s="244"/>
      <c r="AK134" s="244"/>
      <c r="AL134" s="244"/>
      <c r="AM134" s="162"/>
      <c r="AN134" s="100" t="b">
        <f t="shared" si="7"/>
        <v>0</v>
      </c>
      <c r="AO134" s="102"/>
    </row>
    <row r="135" ht="14.25" customHeight="1" outlineLevel="1">
      <c r="A135" s="247"/>
      <c r="B135" s="293" t="s">
        <v>487</v>
      </c>
      <c r="C135" s="246"/>
      <c r="D135" s="201"/>
      <c r="E135" s="162"/>
      <c r="F135" s="162"/>
      <c r="G135" s="162"/>
      <c r="H135" s="178"/>
      <c r="I135" s="178"/>
      <c r="J135" s="178"/>
      <c r="K135" s="178"/>
      <c r="L135" s="178"/>
      <c r="M135" s="178"/>
      <c r="N135" s="178"/>
      <c r="O135" s="178"/>
      <c r="P135" s="178"/>
      <c r="Q135" s="178"/>
      <c r="R135" s="178"/>
      <c r="S135" s="178"/>
      <c r="T135" s="178"/>
      <c r="U135" s="178"/>
      <c r="V135" s="178"/>
      <c r="W135" s="178"/>
      <c r="X135" s="178"/>
      <c r="Y135" s="178"/>
      <c r="Z135" s="178"/>
      <c r="AA135" s="178"/>
      <c r="AB135" s="178"/>
      <c r="AC135" s="178"/>
      <c r="AD135" s="178"/>
      <c r="AE135" s="178"/>
      <c r="AF135" s="178"/>
      <c r="AG135" s="178"/>
      <c r="AH135" s="178"/>
      <c r="AI135" s="244"/>
      <c r="AJ135" s="244"/>
      <c r="AK135" s="244"/>
      <c r="AL135" s="244"/>
      <c r="AM135" s="162"/>
      <c r="AN135" s="100" t="b">
        <f t="shared" si="7"/>
        <v>0</v>
      </c>
      <c r="AO135" s="102"/>
    </row>
    <row r="136" ht="14.25" customHeight="1" outlineLevel="2">
      <c r="A136" s="247"/>
      <c r="B136" s="201"/>
      <c r="C136" s="246" t="s">
        <v>428</v>
      </c>
      <c r="D136" s="201"/>
      <c r="E136" s="162"/>
      <c r="F136" s="162"/>
      <c r="G136" s="162"/>
      <c r="H136" s="178"/>
      <c r="I136" s="178"/>
      <c r="J136" s="178"/>
      <c r="K136" s="178"/>
      <c r="L136" s="178"/>
      <c r="M136" s="178"/>
      <c r="N136" s="178"/>
      <c r="O136" s="178"/>
      <c r="P136" s="178"/>
      <c r="Q136" s="178"/>
      <c r="R136" s="178"/>
      <c r="S136" s="178"/>
      <c r="T136" s="178"/>
      <c r="U136" s="178"/>
      <c r="V136" s="178"/>
      <c r="W136" s="178"/>
      <c r="X136" s="178"/>
      <c r="Y136" s="178"/>
      <c r="Z136" s="178"/>
      <c r="AA136" s="178"/>
      <c r="AB136" s="178"/>
      <c r="AC136" s="178"/>
      <c r="AD136" s="178"/>
      <c r="AE136" s="178"/>
      <c r="AF136" s="178"/>
      <c r="AG136" s="178"/>
      <c r="AH136" s="178"/>
      <c r="AI136" s="244"/>
      <c r="AJ136" s="244"/>
      <c r="AK136" s="244"/>
      <c r="AL136" s="244"/>
      <c r="AM136" s="162"/>
      <c r="AN136" s="100" t="b">
        <f t="shared" si="7"/>
        <v>0</v>
      </c>
      <c r="AO136" s="102"/>
    </row>
    <row r="137" ht="14.25" customHeight="1" outlineLevel="3">
      <c r="A137" s="294"/>
      <c r="B137" s="201"/>
      <c r="C137" s="201"/>
      <c r="D137" s="201"/>
      <c r="E137" s="252" t="s">
        <v>488</v>
      </c>
      <c r="F137" s="249" t="s">
        <v>432</v>
      </c>
      <c r="G137" s="249" t="s">
        <v>489</v>
      </c>
      <c r="H137" s="260"/>
      <c r="I137" s="181"/>
      <c r="J137" s="181"/>
      <c r="K137" s="181"/>
      <c r="L137" s="181"/>
      <c r="M137" s="181"/>
      <c r="N137" s="181"/>
      <c r="O137" s="181"/>
      <c r="P137" s="181"/>
      <c r="Q137" s="181"/>
      <c r="R137" s="181"/>
      <c r="S137" s="181"/>
      <c r="T137" s="181"/>
      <c r="U137" s="181"/>
      <c r="V137" s="181"/>
      <c r="W137" s="286">
        <v>100.0</v>
      </c>
      <c r="X137" s="181"/>
      <c r="Y137" s="181"/>
      <c r="Z137" s="181"/>
      <c r="AA137" s="181"/>
      <c r="AB137" s="286">
        <v>102.0</v>
      </c>
      <c r="AC137" s="286">
        <v>104.0</v>
      </c>
      <c r="AD137" s="286">
        <v>106.0</v>
      </c>
      <c r="AE137" s="286">
        <v>108.0</v>
      </c>
      <c r="AF137" s="286">
        <v>110.0</v>
      </c>
      <c r="AG137" s="286">
        <v>112.0</v>
      </c>
      <c r="AH137" s="286">
        <v>114.0</v>
      </c>
      <c r="AI137" s="204"/>
      <c r="AJ137" s="204"/>
      <c r="AK137" s="204"/>
      <c r="AL137" s="204"/>
      <c r="AM137" s="251"/>
      <c r="AN137" s="100" t="b">
        <f t="shared" si="7"/>
        <v>0</v>
      </c>
      <c r="AO137" s="102"/>
    </row>
    <row r="138" ht="14.25" customHeight="1" outlineLevel="3">
      <c r="A138" s="294"/>
      <c r="B138" s="201"/>
      <c r="C138" s="201"/>
      <c r="D138" s="201"/>
      <c r="E138" s="252" t="s">
        <v>490</v>
      </c>
      <c r="F138" s="249" t="s">
        <v>432</v>
      </c>
      <c r="G138" s="249" t="s">
        <v>491</v>
      </c>
      <c r="H138" s="260"/>
      <c r="I138" s="181"/>
      <c r="J138" s="181"/>
      <c r="K138" s="181"/>
      <c r="L138" s="181"/>
      <c r="M138" s="181"/>
      <c r="N138" s="181"/>
      <c r="O138" s="181"/>
      <c r="P138" s="181"/>
      <c r="Q138" s="181"/>
      <c r="R138" s="181"/>
      <c r="S138" s="181"/>
      <c r="T138" s="181"/>
      <c r="U138" s="181"/>
      <c r="V138" s="181"/>
      <c r="W138" s="182">
        <v>100.0</v>
      </c>
      <c r="X138" s="181"/>
      <c r="Y138" s="181"/>
      <c r="Z138" s="181"/>
      <c r="AA138" s="181"/>
      <c r="AB138" s="182"/>
      <c r="AC138" s="182"/>
      <c r="AD138" s="182"/>
      <c r="AE138" s="182"/>
      <c r="AF138" s="182"/>
      <c r="AG138" s="182"/>
      <c r="AH138" s="267"/>
      <c r="AI138" s="204"/>
      <c r="AJ138" s="204"/>
      <c r="AK138" s="204"/>
      <c r="AL138" s="204"/>
      <c r="AM138" s="251"/>
      <c r="AN138" s="100" t="b">
        <f t="shared" si="7"/>
        <v>0</v>
      </c>
      <c r="AO138" s="102"/>
    </row>
    <row r="139" ht="14.25" customHeight="1" outlineLevel="3">
      <c r="A139" s="294"/>
      <c r="B139" s="201"/>
      <c r="C139" s="201"/>
      <c r="D139" s="201"/>
      <c r="E139" s="252" t="s">
        <v>492</v>
      </c>
      <c r="F139" s="249" t="s">
        <v>432</v>
      </c>
      <c r="G139" s="249" t="s">
        <v>493</v>
      </c>
      <c r="H139" s="260"/>
      <c r="I139" s="181"/>
      <c r="J139" s="181"/>
      <c r="K139" s="181"/>
      <c r="L139" s="181"/>
      <c r="M139" s="181"/>
      <c r="N139" s="181"/>
      <c r="O139" s="181"/>
      <c r="P139" s="181"/>
      <c r="Q139" s="181"/>
      <c r="R139" s="181"/>
      <c r="S139" s="181"/>
      <c r="T139" s="181"/>
      <c r="U139" s="181"/>
      <c r="V139" s="181"/>
      <c r="W139" s="182">
        <v>100.0</v>
      </c>
      <c r="X139" s="181"/>
      <c r="Y139" s="181"/>
      <c r="Z139" s="181"/>
      <c r="AA139" s="181"/>
      <c r="AB139" s="182"/>
      <c r="AC139" s="182"/>
      <c r="AD139" s="182"/>
      <c r="AE139" s="182"/>
      <c r="AF139" s="182"/>
      <c r="AG139" s="182"/>
      <c r="AH139" s="267"/>
      <c r="AI139" s="204"/>
      <c r="AJ139" s="204"/>
      <c r="AK139" s="204"/>
      <c r="AL139" s="204"/>
      <c r="AM139" s="251"/>
      <c r="AN139" s="100" t="b">
        <f t="shared" si="7"/>
        <v>0</v>
      </c>
      <c r="AO139" s="102"/>
    </row>
    <row r="140" ht="14.25" customHeight="1" outlineLevel="3">
      <c r="A140" s="294"/>
      <c r="B140" s="201"/>
      <c r="C140" s="201"/>
      <c r="D140" s="201"/>
      <c r="E140" s="252" t="s">
        <v>494</v>
      </c>
      <c r="F140" s="123" t="s">
        <v>432</v>
      </c>
      <c r="G140" s="292" t="s">
        <v>495</v>
      </c>
      <c r="H140" s="260"/>
      <c r="I140" s="181"/>
      <c r="J140" s="181"/>
      <c r="K140" s="181"/>
      <c r="L140" s="181"/>
      <c r="M140" s="181"/>
      <c r="N140" s="181"/>
      <c r="O140" s="181"/>
      <c r="P140" s="181"/>
      <c r="Q140" s="181"/>
      <c r="R140" s="181"/>
      <c r="S140" s="181"/>
      <c r="T140" s="181"/>
      <c r="U140" s="181"/>
      <c r="V140" s="181"/>
      <c r="W140" s="182">
        <v>100.0</v>
      </c>
      <c r="X140" s="181"/>
      <c r="Y140" s="181"/>
      <c r="Z140" s="181"/>
      <c r="AA140" s="181"/>
      <c r="AB140" s="182"/>
      <c r="AC140" s="182"/>
      <c r="AD140" s="182"/>
      <c r="AE140" s="182"/>
      <c r="AF140" s="182"/>
      <c r="AG140" s="182"/>
      <c r="AH140" s="267"/>
      <c r="AI140" s="204"/>
      <c r="AJ140" s="204"/>
      <c r="AK140" s="204"/>
      <c r="AL140" s="204"/>
      <c r="AM140" s="251"/>
      <c r="AN140" s="100" t="b">
        <f t="shared" si="7"/>
        <v>0</v>
      </c>
      <c r="AO140" s="102"/>
    </row>
    <row r="141" ht="13.5" customHeight="1" outlineLevel="2">
      <c r="A141" s="247"/>
      <c r="B141" s="201"/>
      <c r="C141" s="246" t="s">
        <v>496</v>
      </c>
      <c r="D141" s="201"/>
      <c r="E141" s="162"/>
      <c r="F141" s="162"/>
      <c r="G141" s="162"/>
      <c r="H141" s="178"/>
      <c r="I141" s="178"/>
      <c r="J141" s="178"/>
      <c r="K141" s="178"/>
      <c r="L141" s="178"/>
      <c r="M141" s="178"/>
      <c r="N141" s="178"/>
      <c r="O141" s="178"/>
      <c r="P141" s="178"/>
      <c r="Q141" s="178"/>
      <c r="R141" s="178"/>
      <c r="S141" s="178"/>
      <c r="T141" s="178"/>
      <c r="U141" s="178"/>
      <c r="V141" s="178"/>
      <c r="W141" s="178"/>
      <c r="X141" s="178"/>
      <c r="Y141" s="178"/>
      <c r="Z141" s="178"/>
      <c r="AA141" s="178"/>
      <c r="AB141" s="178"/>
      <c r="AC141" s="178"/>
      <c r="AD141" s="178"/>
      <c r="AE141" s="178"/>
      <c r="AF141" s="178"/>
      <c r="AG141" s="178"/>
      <c r="AH141" s="178"/>
      <c r="AI141" s="244"/>
      <c r="AJ141" s="244"/>
      <c r="AK141" s="244"/>
      <c r="AL141" s="244"/>
      <c r="AM141" s="162"/>
      <c r="AN141" s="100" t="b">
        <f t="shared" si="7"/>
        <v>0</v>
      </c>
      <c r="AO141" s="102"/>
    </row>
    <row r="142" ht="13.5" customHeight="1" outlineLevel="3">
      <c r="A142" s="247"/>
      <c r="B142" s="201"/>
      <c r="C142" s="268"/>
      <c r="D142" s="201"/>
      <c r="E142" s="252" t="s">
        <v>497</v>
      </c>
      <c r="F142" s="123" t="s">
        <v>261</v>
      </c>
      <c r="G142" s="123" t="s">
        <v>498</v>
      </c>
      <c r="H142" s="253"/>
      <c r="I142" s="254"/>
      <c r="J142" s="254"/>
      <c r="K142" s="254"/>
      <c r="L142" s="254"/>
      <c r="M142" s="254"/>
      <c r="N142" s="254"/>
      <c r="O142" s="254"/>
      <c r="P142" s="254"/>
      <c r="Q142" s="254"/>
      <c r="R142" s="254"/>
      <c r="S142" s="254"/>
      <c r="T142" s="254"/>
      <c r="U142" s="254"/>
      <c r="V142" s="254"/>
      <c r="W142" s="285">
        <v>0.653</v>
      </c>
      <c r="X142" s="254"/>
      <c r="Y142" s="254"/>
      <c r="Z142" s="254"/>
      <c r="AA142" s="254"/>
      <c r="AB142" s="285">
        <v>0.66</v>
      </c>
      <c r="AC142" s="285">
        <v>0.67</v>
      </c>
      <c r="AD142" s="285">
        <v>0.67</v>
      </c>
      <c r="AE142" s="285">
        <v>0.68</v>
      </c>
      <c r="AF142" s="285">
        <v>0.69</v>
      </c>
      <c r="AG142" s="285">
        <v>0.69</v>
      </c>
      <c r="AH142" s="285">
        <v>0.7</v>
      </c>
      <c r="AI142" s="204"/>
      <c r="AJ142" s="204"/>
      <c r="AK142" s="204"/>
      <c r="AL142" s="204"/>
      <c r="AM142" s="251"/>
      <c r="AN142" s="100" t="b">
        <f t="shared" si="7"/>
        <v>0</v>
      </c>
      <c r="AO142" s="102"/>
    </row>
    <row r="143" ht="13.5" customHeight="1" outlineLevel="3">
      <c r="A143" s="247"/>
      <c r="B143" s="201"/>
      <c r="C143" s="268"/>
      <c r="D143" s="201"/>
      <c r="E143" s="278" t="s">
        <v>499</v>
      </c>
      <c r="F143" s="123" t="s">
        <v>261</v>
      </c>
      <c r="G143" s="123" t="s">
        <v>500</v>
      </c>
      <c r="H143" s="253"/>
      <c r="I143" s="254"/>
      <c r="J143" s="254"/>
      <c r="K143" s="254"/>
      <c r="L143" s="254"/>
      <c r="M143" s="254"/>
      <c r="N143" s="254"/>
      <c r="O143" s="254"/>
      <c r="P143" s="254"/>
      <c r="Q143" s="254"/>
      <c r="R143" s="254"/>
      <c r="S143" s="254"/>
      <c r="T143" s="254"/>
      <c r="U143" s="254"/>
      <c r="V143" s="254"/>
      <c r="W143" s="279"/>
      <c r="X143" s="254"/>
      <c r="Y143" s="254"/>
      <c r="Z143" s="254"/>
      <c r="AA143" s="254"/>
      <c r="AB143" s="279"/>
      <c r="AC143" s="279"/>
      <c r="AD143" s="279"/>
      <c r="AE143" s="279"/>
      <c r="AF143" s="279"/>
      <c r="AG143" s="279"/>
      <c r="AH143" s="279"/>
      <c r="AI143" s="204"/>
      <c r="AJ143" s="204"/>
      <c r="AK143" s="204"/>
      <c r="AL143" s="204"/>
      <c r="AM143" s="251"/>
      <c r="AN143" s="100" t="b">
        <f t="shared" si="7"/>
        <v>0</v>
      </c>
      <c r="AO143" s="102"/>
    </row>
    <row r="144" ht="13.5" customHeight="1" outlineLevel="3">
      <c r="A144" s="247"/>
      <c r="B144" s="201"/>
      <c r="C144" s="268"/>
      <c r="D144" s="201"/>
      <c r="E144" s="278" t="s">
        <v>501</v>
      </c>
      <c r="F144" s="123" t="s">
        <v>261</v>
      </c>
      <c r="G144" s="123" t="s">
        <v>502</v>
      </c>
      <c r="H144" s="253"/>
      <c r="I144" s="254"/>
      <c r="J144" s="254"/>
      <c r="K144" s="254"/>
      <c r="L144" s="254"/>
      <c r="M144" s="254"/>
      <c r="N144" s="254"/>
      <c r="O144" s="254"/>
      <c r="P144" s="254"/>
      <c r="Q144" s="254"/>
      <c r="R144" s="254"/>
      <c r="S144" s="254"/>
      <c r="T144" s="254"/>
      <c r="U144" s="254"/>
      <c r="V144" s="254"/>
      <c r="W144" s="279"/>
      <c r="X144" s="254"/>
      <c r="Y144" s="254"/>
      <c r="Z144" s="254"/>
      <c r="AA144" s="254"/>
      <c r="AB144" s="279"/>
      <c r="AC144" s="279"/>
      <c r="AD144" s="279"/>
      <c r="AE144" s="279"/>
      <c r="AF144" s="279"/>
      <c r="AG144" s="279"/>
      <c r="AH144" s="279"/>
      <c r="AI144" s="204"/>
      <c r="AJ144" s="204"/>
      <c r="AK144" s="204"/>
      <c r="AL144" s="204"/>
      <c r="AM144" s="251"/>
      <c r="AN144" s="100" t="b">
        <f t="shared" si="7"/>
        <v>0</v>
      </c>
      <c r="AO144" s="102"/>
    </row>
    <row r="145" ht="13.5" customHeight="1" outlineLevel="3">
      <c r="A145" s="247"/>
      <c r="B145" s="201"/>
      <c r="C145" s="268"/>
      <c r="D145" s="201"/>
      <c r="E145" s="278" t="s">
        <v>503</v>
      </c>
      <c r="F145" s="123" t="s">
        <v>261</v>
      </c>
      <c r="G145" s="123" t="s">
        <v>504</v>
      </c>
      <c r="H145" s="253"/>
      <c r="I145" s="254"/>
      <c r="J145" s="254"/>
      <c r="K145" s="254"/>
      <c r="L145" s="254"/>
      <c r="M145" s="254"/>
      <c r="N145" s="254"/>
      <c r="O145" s="254"/>
      <c r="P145" s="254"/>
      <c r="Q145" s="254"/>
      <c r="R145" s="254"/>
      <c r="S145" s="254"/>
      <c r="T145" s="254"/>
      <c r="U145" s="254"/>
      <c r="V145" s="254"/>
      <c r="W145" s="279"/>
      <c r="X145" s="254"/>
      <c r="Y145" s="254"/>
      <c r="Z145" s="254"/>
      <c r="AA145" s="254"/>
      <c r="AB145" s="279"/>
      <c r="AC145" s="279"/>
      <c r="AD145" s="279"/>
      <c r="AE145" s="279"/>
      <c r="AF145" s="279"/>
      <c r="AG145" s="279"/>
      <c r="AH145" s="279"/>
      <c r="AI145" s="204"/>
      <c r="AJ145" s="204"/>
      <c r="AK145" s="204"/>
      <c r="AL145" s="204"/>
      <c r="AM145" s="251"/>
      <c r="AN145" s="100" t="b">
        <f t="shared" si="7"/>
        <v>0</v>
      </c>
      <c r="AO145" s="102"/>
    </row>
    <row r="146" ht="14.25" customHeight="1" outlineLevel="2">
      <c r="A146" s="247"/>
      <c r="B146" s="201"/>
      <c r="C146" s="246" t="str">
        <f>IF(COUNTIF(H146:AH146,"warning")&gt;0,"\-&gt; FEC for cooking per final energy carrier &gt;&gt; WARNING: For some years, Total FEC ≠ ∑ FEC by final energy carrier!","\-&gt; FEC for cooking per final energy carrier")</f>
        <v>\-&gt; FEC for cooking per final energy carrier &gt;&gt; WARNING: For some years, Total FEC ≠ ∑ FEC by final energy carrier!</v>
      </c>
      <c r="D146" s="201"/>
      <c r="E146" s="162"/>
      <c r="F146" s="162"/>
      <c r="G146" s="162"/>
      <c r="H146" s="290" t="str">
        <f t="shared" ref="H146:AH146" si="8">IF(OR(ISBLANK(H147),COUNTA(H148:H152)=0),"",IF(ABS(H147-SUM(H148:H152))/H147&lt;10^-3,"","Warning"))</f>
        <v>Warning</v>
      </c>
      <c r="I146" s="290" t="str">
        <f t="shared" si="8"/>
        <v>Warning</v>
      </c>
      <c r="J146" s="290" t="str">
        <f t="shared" si="8"/>
        <v>Warning</v>
      </c>
      <c r="K146" s="290" t="str">
        <f t="shared" si="8"/>
        <v>Warning</v>
      </c>
      <c r="L146" s="290" t="str">
        <f t="shared" si="8"/>
        <v>Warning</v>
      </c>
      <c r="M146" s="290" t="str">
        <f t="shared" si="8"/>
        <v>Warning</v>
      </c>
      <c r="N146" s="290" t="str">
        <f t="shared" si="8"/>
        <v>Warning</v>
      </c>
      <c r="O146" s="290" t="str">
        <f t="shared" si="8"/>
        <v>Warning</v>
      </c>
      <c r="P146" s="290" t="str">
        <f t="shared" si="8"/>
        <v>Warning</v>
      </c>
      <c r="Q146" s="290" t="str">
        <f t="shared" si="8"/>
        <v>Warning</v>
      </c>
      <c r="R146" s="290" t="str">
        <f t="shared" si="8"/>
        <v/>
      </c>
      <c r="S146" s="290" t="str">
        <f t="shared" si="8"/>
        <v/>
      </c>
      <c r="T146" s="290" t="str">
        <f t="shared" si="8"/>
        <v/>
      </c>
      <c r="U146" s="290" t="str">
        <f t="shared" si="8"/>
        <v/>
      </c>
      <c r="V146" s="290" t="str">
        <f t="shared" si="8"/>
        <v/>
      </c>
      <c r="W146" s="290" t="str">
        <f t="shared" si="8"/>
        <v/>
      </c>
      <c r="X146" s="290" t="str">
        <f t="shared" si="8"/>
        <v/>
      </c>
      <c r="Y146" s="290" t="str">
        <f t="shared" si="8"/>
        <v/>
      </c>
      <c r="Z146" s="290" t="str">
        <f t="shared" si="8"/>
        <v/>
      </c>
      <c r="AA146" s="290" t="str">
        <f t="shared" si="8"/>
        <v/>
      </c>
      <c r="AB146" s="290" t="str">
        <f t="shared" si="8"/>
        <v/>
      </c>
      <c r="AC146" s="290" t="str">
        <f t="shared" si="8"/>
        <v/>
      </c>
      <c r="AD146" s="290" t="str">
        <f t="shared" si="8"/>
        <v/>
      </c>
      <c r="AE146" s="290" t="str">
        <f t="shared" si="8"/>
        <v/>
      </c>
      <c r="AF146" s="290" t="str">
        <f t="shared" si="8"/>
        <v/>
      </c>
      <c r="AG146" s="290" t="str">
        <f t="shared" si="8"/>
        <v/>
      </c>
      <c r="AH146" s="290" t="str">
        <f t="shared" si="8"/>
        <v/>
      </c>
      <c r="AI146" s="244"/>
      <c r="AJ146" s="244"/>
      <c r="AK146" s="244"/>
      <c r="AL146" s="244"/>
      <c r="AM146" s="162"/>
      <c r="AN146" s="100" t="b">
        <f t="shared" si="7"/>
        <v>1</v>
      </c>
      <c r="AO146" s="102"/>
    </row>
    <row r="147" ht="14.25" customHeight="1" outlineLevel="3">
      <c r="A147" s="247"/>
      <c r="B147" s="201"/>
      <c r="C147" s="295"/>
      <c r="D147" s="201"/>
      <c r="E147" s="287" t="s">
        <v>505</v>
      </c>
      <c r="F147" s="249" t="s">
        <v>135</v>
      </c>
      <c r="G147" s="249" t="s">
        <v>506</v>
      </c>
      <c r="H147" s="260">
        <v>1.6585</v>
      </c>
      <c r="I147" s="181">
        <v>1.5859</v>
      </c>
      <c r="J147" s="181">
        <v>1.5684</v>
      </c>
      <c r="K147" s="181">
        <v>1.5698</v>
      </c>
      <c r="L147" s="181">
        <v>1.5927</v>
      </c>
      <c r="M147" s="181">
        <v>1.5733</v>
      </c>
      <c r="N147" s="181">
        <v>1.6349</v>
      </c>
      <c r="O147" s="181">
        <v>1.6037</v>
      </c>
      <c r="P147" s="181">
        <v>1.5003</v>
      </c>
      <c r="Q147" s="181">
        <v>1.5315</v>
      </c>
      <c r="R147" s="181">
        <v>1.5356</v>
      </c>
      <c r="S147" s="181">
        <v>1.5487</v>
      </c>
      <c r="T147" s="181">
        <v>1.5612</v>
      </c>
      <c r="U147" s="181">
        <v>1.569</v>
      </c>
      <c r="V147" s="181">
        <v>1.5754</v>
      </c>
      <c r="W147" s="182">
        <v>1.5855</v>
      </c>
      <c r="X147" s="181">
        <v>1.5934</v>
      </c>
      <c r="Y147" s="181">
        <v>1.6025</v>
      </c>
      <c r="Z147" s="181">
        <v>1.605</v>
      </c>
      <c r="AA147" s="181"/>
      <c r="AB147" s="182">
        <v>1.59995685454545</v>
      </c>
      <c r="AC147" s="182">
        <v>1.60698037014925</v>
      </c>
      <c r="AD147" s="182">
        <v>1.63788383880597</v>
      </c>
      <c r="AE147" s="182">
        <v>1.64424631764706</v>
      </c>
      <c r="AF147" s="182">
        <v>1.65042437681159</v>
      </c>
      <c r="AG147" s="182">
        <v>1.68043209275362</v>
      </c>
      <c r="AH147" s="184">
        <v>1.68600495428571</v>
      </c>
      <c r="AI147" s="204"/>
      <c r="AJ147" s="204"/>
      <c r="AK147" s="204"/>
      <c r="AL147" s="204"/>
      <c r="AM147" s="251"/>
      <c r="AN147" s="100" t="b">
        <f t="shared" si="7"/>
        <v>0</v>
      </c>
      <c r="AO147" s="102"/>
    </row>
    <row r="148" ht="14.25" customHeight="1" outlineLevel="3">
      <c r="A148" s="247"/>
      <c r="B148" s="201"/>
      <c r="C148" s="295"/>
      <c r="D148" s="201"/>
      <c r="E148" s="270" t="s">
        <v>507</v>
      </c>
      <c r="F148" s="249" t="s">
        <v>135</v>
      </c>
      <c r="G148" s="249" t="s">
        <v>508</v>
      </c>
      <c r="H148" s="260">
        <v>0.0</v>
      </c>
      <c r="I148" s="181">
        <v>0.0</v>
      </c>
      <c r="J148" s="181">
        <v>0.0</v>
      </c>
      <c r="K148" s="181">
        <v>0.0</v>
      </c>
      <c r="L148" s="181">
        <v>0.0</v>
      </c>
      <c r="M148" s="181">
        <v>0.0</v>
      </c>
      <c r="N148" s="181">
        <v>0.0</v>
      </c>
      <c r="O148" s="181">
        <v>0.0</v>
      </c>
      <c r="P148" s="181">
        <v>0.0</v>
      </c>
      <c r="Q148" s="181">
        <v>0.0</v>
      </c>
      <c r="R148" s="181">
        <v>0.0</v>
      </c>
      <c r="S148" s="181">
        <v>0.0</v>
      </c>
      <c r="T148" s="181">
        <v>0.0</v>
      </c>
      <c r="U148" s="181">
        <v>0.0</v>
      </c>
      <c r="V148" s="181">
        <v>0.0</v>
      </c>
      <c r="W148" s="182">
        <v>0.0</v>
      </c>
      <c r="X148" s="181">
        <v>0.0</v>
      </c>
      <c r="Y148" s="181">
        <v>0.0</v>
      </c>
      <c r="Z148" s="181"/>
      <c r="AA148" s="181"/>
      <c r="AB148" s="182"/>
      <c r="AC148" s="182"/>
      <c r="AD148" s="182"/>
      <c r="AE148" s="182"/>
      <c r="AF148" s="182"/>
      <c r="AG148" s="182"/>
      <c r="AH148" s="184"/>
      <c r="AI148" s="204"/>
      <c r="AJ148" s="204"/>
      <c r="AK148" s="204"/>
      <c r="AL148" s="204"/>
      <c r="AM148" s="251"/>
      <c r="AN148" s="100" t="b">
        <f t="shared" si="7"/>
        <v>0</v>
      </c>
      <c r="AO148" s="102"/>
    </row>
    <row r="149" ht="14.25" customHeight="1" outlineLevel="3">
      <c r="A149" s="247"/>
      <c r="B149" s="201"/>
      <c r="C149" s="295"/>
      <c r="D149" s="201"/>
      <c r="E149" s="270" t="s">
        <v>509</v>
      </c>
      <c r="F149" s="249" t="s">
        <v>135</v>
      </c>
      <c r="G149" s="249" t="s">
        <v>510</v>
      </c>
      <c r="H149" s="260"/>
      <c r="I149" s="181"/>
      <c r="J149" s="181"/>
      <c r="K149" s="181"/>
      <c r="L149" s="181"/>
      <c r="M149" s="181"/>
      <c r="N149" s="181"/>
      <c r="O149" s="181"/>
      <c r="P149" s="181"/>
      <c r="Q149" s="181"/>
      <c r="R149" s="181">
        <v>0.0</v>
      </c>
      <c r="S149" s="181">
        <v>0.0</v>
      </c>
      <c r="T149" s="181">
        <v>0.0</v>
      </c>
      <c r="U149" s="181">
        <v>0.0</v>
      </c>
      <c r="V149" s="181">
        <v>0.0</v>
      </c>
      <c r="W149" s="182">
        <v>0.0</v>
      </c>
      <c r="X149" s="181">
        <v>0.0</v>
      </c>
      <c r="Y149" s="181">
        <v>0.0</v>
      </c>
      <c r="Z149" s="181"/>
      <c r="AA149" s="181"/>
      <c r="AB149" s="182"/>
      <c r="AC149" s="182"/>
      <c r="AD149" s="182"/>
      <c r="AE149" s="182"/>
      <c r="AF149" s="182"/>
      <c r="AG149" s="182"/>
      <c r="AH149" s="184"/>
      <c r="AI149" s="204"/>
      <c r="AJ149" s="204"/>
      <c r="AK149" s="204"/>
      <c r="AL149" s="204"/>
      <c r="AM149" s="251"/>
      <c r="AN149" s="100" t="b">
        <f t="shared" si="7"/>
        <v>0</v>
      </c>
      <c r="AO149" s="102"/>
    </row>
    <row r="150" ht="14.25" customHeight="1" outlineLevel="3">
      <c r="A150" s="247"/>
      <c r="B150" s="201"/>
      <c r="C150" s="295"/>
      <c r="D150" s="201"/>
      <c r="E150" s="270" t="s">
        <v>511</v>
      </c>
      <c r="F150" s="249" t="s">
        <v>135</v>
      </c>
      <c r="G150" s="249" t="s">
        <v>512</v>
      </c>
      <c r="H150" s="260">
        <v>0.1103</v>
      </c>
      <c r="I150" s="181">
        <v>0.1054</v>
      </c>
      <c r="J150" s="181">
        <v>0.1043</v>
      </c>
      <c r="K150" s="181">
        <v>0.1044</v>
      </c>
      <c r="L150" s="181">
        <v>0.1059</v>
      </c>
      <c r="M150" s="181">
        <v>0.1046</v>
      </c>
      <c r="N150" s="181">
        <v>0.1087</v>
      </c>
      <c r="O150" s="181">
        <v>0.1066</v>
      </c>
      <c r="P150" s="181">
        <v>0.0997</v>
      </c>
      <c r="Q150" s="181">
        <v>0.1018</v>
      </c>
      <c r="R150" s="181">
        <v>0.1021</v>
      </c>
      <c r="S150" s="181">
        <v>0.103</v>
      </c>
      <c r="T150" s="181">
        <v>0.1038</v>
      </c>
      <c r="U150" s="181">
        <v>0.1043</v>
      </c>
      <c r="V150" s="181">
        <v>0.1048</v>
      </c>
      <c r="W150" s="182">
        <v>0.1054</v>
      </c>
      <c r="X150" s="181">
        <v>0.106</v>
      </c>
      <c r="Y150" s="181">
        <v>0.1065</v>
      </c>
      <c r="Z150" s="181"/>
      <c r="AA150" s="181"/>
      <c r="AB150" s="182">
        <v>0.106367763636364</v>
      </c>
      <c r="AC150" s="182">
        <v>0.106834698507463</v>
      </c>
      <c r="AD150" s="296">
        <v>0.1</v>
      </c>
      <c r="AE150" s="296">
        <v>0.07</v>
      </c>
      <c r="AF150" s="296">
        <v>0.02</v>
      </c>
      <c r="AG150" s="296">
        <v>0.0</v>
      </c>
      <c r="AH150" s="297">
        <v>0.0</v>
      </c>
      <c r="AI150" s="204"/>
      <c r="AJ150" s="204"/>
      <c r="AK150" s="204"/>
      <c r="AL150" s="204"/>
      <c r="AM150" s="251"/>
      <c r="AN150" s="100" t="b">
        <f t="shared" si="7"/>
        <v>0</v>
      </c>
      <c r="AO150" s="102"/>
    </row>
    <row r="151" ht="14.25" customHeight="1" outlineLevel="3">
      <c r="A151" s="247"/>
      <c r="B151" s="201"/>
      <c r="C151" s="295"/>
      <c r="D151" s="201"/>
      <c r="E151" s="270" t="s">
        <v>513</v>
      </c>
      <c r="F151" s="249" t="s">
        <v>135</v>
      </c>
      <c r="G151" s="249" t="s">
        <v>514</v>
      </c>
      <c r="H151" s="260"/>
      <c r="I151" s="181"/>
      <c r="J151" s="181"/>
      <c r="K151" s="181"/>
      <c r="L151" s="181"/>
      <c r="M151" s="181"/>
      <c r="N151" s="181"/>
      <c r="O151" s="181"/>
      <c r="P151" s="181"/>
      <c r="Q151" s="181"/>
      <c r="R151" s="181">
        <v>0.5013</v>
      </c>
      <c r="S151" s="181">
        <v>0.5056</v>
      </c>
      <c r="T151" s="181">
        <v>0.5096</v>
      </c>
      <c r="U151" s="181">
        <v>0.5122</v>
      </c>
      <c r="V151" s="181">
        <v>0.5143</v>
      </c>
      <c r="W151" s="182">
        <v>0.5175</v>
      </c>
      <c r="X151" s="181">
        <v>0.5202</v>
      </c>
      <c r="Y151" s="181">
        <v>0.5231</v>
      </c>
      <c r="Z151" s="181"/>
      <c r="AA151" s="181"/>
      <c r="AB151" s="182">
        <v>0.522251590909091</v>
      </c>
      <c r="AC151" s="182">
        <v>0.524544179104478</v>
      </c>
      <c r="AD151" s="296">
        <v>0.5</v>
      </c>
      <c r="AE151" s="296">
        <v>0.3</v>
      </c>
      <c r="AF151" s="296">
        <v>0.1</v>
      </c>
      <c r="AG151" s="296">
        <v>0.0</v>
      </c>
      <c r="AH151" s="297">
        <v>0.0</v>
      </c>
      <c r="AI151" s="204"/>
      <c r="AJ151" s="204"/>
      <c r="AK151" s="204"/>
      <c r="AL151" s="204"/>
      <c r="AM151" s="251"/>
      <c r="AN151" s="100" t="b">
        <f t="shared" si="7"/>
        <v>0</v>
      </c>
      <c r="AO151" s="102"/>
    </row>
    <row r="152" ht="14.25" customHeight="1" outlineLevel="3">
      <c r="A152" s="247"/>
      <c r="B152" s="201"/>
      <c r="C152" s="295"/>
      <c r="D152" s="201"/>
      <c r="E152" s="122" t="s">
        <v>515</v>
      </c>
      <c r="F152" s="123" t="s">
        <v>135</v>
      </c>
      <c r="G152" s="123" t="s">
        <v>516</v>
      </c>
      <c r="H152" s="260"/>
      <c r="I152" s="181"/>
      <c r="J152" s="181"/>
      <c r="K152" s="181"/>
      <c r="L152" s="181"/>
      <c r="M152" s="181"/>
      <c r="N152" s="181"/>
      <c r="O152" s="181"/>
      <c r="P152" s="181"/>
      <c r="Q152" s="181"/>
      <c r="R152" s="181">
        <v>0.9322</v>
      </c>
      <c r="S152" s="181">
        <v>0.9401</v>
      </c>
      <c r="T152" s="181">
        <v>0.9478</v>
      </c>
      <c r="U152" s="181">
        <v>0.9525</v>
      </c>
      <c r="V152" s="181">
        <v>0.9564</v>
      </c>
      <c r="W152" s="182">
        <v>0.9625</v>
      </c>
      <c r="X152" s="181">
        <v>0.9673</v>
      </c>
      <c r="Y152" s="181">
        <v>0.9729</v>
      </c>
      <c r="Z152" s="181"/>
      <c r="AA152" s="181"/>
      <c r="AB152" s="182">
        <v>0.9713375</v>
      </c>
      <c r="AC152" s="182">
        <v>0.975601492537314</v>
      </c>
      <c r="AD152" s="296">
        <f t="shared" ref="AD152:AH152" si="9">AD147-SUM(AD150:AD151)</f>
        <v>1.037883839</v>
      </c>
      <c r="AE152" s="296">
        <f t="shared" si="9"/>
        <v>1.274246318</v>
      </c>
      <c r="AF152" s="296">
        <f t="shared" si="9"/>
        <v>1.530424377</v>
      </c>
      <c r="AG152" s="296">
        <f t="shared" si="9"/>
        <v>1.680432093</v>
      </c>
      <c r="AH152" s="296">
        <f t="shared" si="9"/>
        <v>1.686004954</v>
      </c>
      <c r="AI152" s="204"/>
      <c r="AJ152" s="204"/>
      <c r="AK152" s="204"/>
      <c r="AL152" s="204"/>
      <c r="AM152" s="251"/>
      <c r="AN152" s="100" t="b">
        <f t="shared" si="7"/>
        <v>0</v>
      </c>
      <c r="AO152" s="102"/>
    </row>
    <row r="153" ht="14.25" customHeight="1">
      <c r="A153" s="243" t="s">
        <v>517</v>
      </c>
      <c r="B153" s="246"/>
      <c r="C153" s="246"/>
      <c r="D153" s="201"/>
      <c r="E153" s="162"/>
      <c r="F153" s="162"/>
      <c r="G153" s="162"/>
      <c r="H153" s="178"/>
      <c r="I153" s="178"/>
      <c r="J153" s="178"/>
      <c r="K153" s="178"/>
      <c r="L153" s="178"/>
      <c r="M153" s="178"/>
      <c r="N153" s="178"/>
      <c r="O153" s="178"/>
      <c r="P153" s="178"/>
      <c r="Q153" s="178"/>
      <c r="R153" s="178"/>
      <c r="S153" s="178"/>
      <c r="T153" s="178"/>
      <c r="U153" s="178"/>
      <c r="V153" s="178"/>
      <c r="W153" s="178"/>
      <c r="X153" s="178"/>
      <c r="Y153" s="178"/>
      <c r="Z153" s="178"/>
      <c r="AA153" s="178"/>
      <c r="AB153" s="178"/>
      <c r="AC153" s="178"/>
      <c r="AD153" s="178"/>
      <c r="AE153" s="178"/>
      <c r="AF153" s="178"/>
      <c r="AG153" s="178"/>
      <c r="AH153" s="178"/>
      <c r="AI153" s="244"/>
      <c r="AJ153" s="244"/>
      <c r="AK153" s="244"/>
      <c r="AL153" s="244"/>
      <c r="AM153" s="162"/>
      <c r="AN153" s="100" t="b">
        <f t="shared" si="7"/>
        <v>0</v>
      </c>
      <c r="AO153" s="102"/>
    </row>
    <row r="154" ht="14.25" customHeight="1" outlineLevel="1">
      <c r="A154" s="247"/>
      <c r="B154" s="246" t="s">
        <v>518</v>
      </c>
      <c r="C154" s="246"/>
      <c r="D154" s="201"/>
      <c r="E154" s="162"/>
      <c r="F154" s="162"/>
      <c r="G154" s="162"/>
      <c r="H154" s="178"/>
      <c r="I154" s="178"/>
      <c r="J154" s="178"/>
      <c r="K154" s="178"/>
      <c r="L154" s="178"/>
      <c r="M154" s="178"/>
      <c r="N154" s="178"/>
      <c r="O154" s="178"/>
      <c r="P154" s="178"/>
      <c r="Q154" s="178"/>
      <c r="R154" s="178"/>
      <c r="S154" s="178"/>
      <c r="T154" s="178"/>
      <c r="U154" s="178"/>
      <c r="V154" s="178"/>
      <c r="W154" s="178"/>
      <c r="X154" s="178"/>
      <c r="Y154" s="178"/>
      <c r="Z154" s="178"/>
      <c r="AA154" s="178"/>
      <c r="AB154" s="178"/>
      <c r="AC154" s="178"/>
      <c r="AD154" s="178"/>
      <c r="AE154" s="178"/>
      <c r="AF154" s="178"/>
      <c r="AG154" s="178"/>
      <c r="AH154" s="178"/>
      <c r="AI154" s="244"/>
      <c r="AJ154" s="244"/>
      <c r="AK154" s="244"/>
      <c r="AL154" s="244"/>
      <c r="AM154" s="162"/>
      <c r="AN154" s="100" t="b">
        <f t="shared" si="7"/>
        <v>0</v>
      </c>
      <c r="AO154" s="102"/>
    </row>
    <row r="155" ht="14.25" customHeight="1" outlineLevel="1">
      <c r="A155" s="247"/>
      <c r="B155" s="293" t="s">
        <v>519</v>
      </c>
      <c r="C155" s="246"/>
      <c r="D155" s="201"/>
      <c r="E155" s="162"/>
      <c r="F155" s="162"/>
      <c r="G155" s="162"/>
      <c r="H155" s="178"/>
      <c r="I155" s="178"/>
      <c r="J155" s="178"/>
      <c r="K155" s="178"/>
      <c r="L155" s="178"/>
      <c r="M155" s="178"/>
      <c r="N155" s="178"/>
      <c r="O155" s="178"/>
      <c r="P155" s="178"/>
      <c r="Q155" s="178"/>
      <c r="R155" s="178"/>
      <c r="S155" s="178"/>
      <c r="T155" s="178"/>
      <c r="U155" s="178"/>
      <c r="V155" s="178"/>
      <c r="W155" s="178"/>
      <c r="X155" s="178"/>
      <c r="Y155" s="178"/>
      <c r="Z155" s="178"/>
      <c r="AA155" s="178"/>
      <c r="AB155" s="178"/>
      <c r="AC155" s="178"/>
      <c r="AD155" s="178"/>
      <c r="AE155" s="178"/>
      <c r="AF155" s="178"/>
      <c r="AG155" s="178"/>
      <c r="AH155" s="178"/>
      <c r="AI155" s="244"/>
      <c r="AJ155" s="244"/>
      <c r="AK155" s="244"/>
      <c r="AL155" s="244"/>
      <c r="AM155" s="162"/>
      <c r="AN155" s="100" t="b">
        <f t="shared" si="7"/>
        <v>0</v>
      </c>
      <c r="AO155" s="102"/>
    </row>
    <row r="156" ht="14.25" customHeight="1" outlineLevel="2">
      <c r="A156" s="294"/>
      <c r="B156" s="298"/>
      <c r="C156" s="246" t="s">
        <v>520</v>
      </c>
      <c r="D156" s="201"/>
      <c r="E156" s="162"/>
      <c r="F156" s="162"/>
      <c r="G156" s="162"/>
      <c r="H156" s="178"/>
      <c r="I156" s="178"/>
      <c r="J156" s="178"/>
      <c r="K156" s="178"/>
      <c r="L156" s="178"/>
      <c r="M156" s="178"/>
      <c r="N156" s="178"/>
      <c r="O156" s="178"/>
      <c r="P156" s="178"/>
      <c r="Q156" s="178"/>
      <c r="R156" s="178"/>
      <c r="S156" s="178"/>
      <c r="T156" s="178"/>
      <c r="U156" s="178"/>
      <c r="V156" s="178"/>
      <c r="W156" s="178"/>
      <c r="X156" s="178"/>
      <c r="Y156" s="178"/>
      <c r="Z156" s="178"/>
      <c r="AA156" s="178"/>
      <c r="AB156" s="178"/>
      <c r="AC156" s="178"/>
      <c r="AD156" s="178"/>
      <c r="AE156" s="178"/>
      <c r="AF156" s="178"/>
      <c r="AG156" s="178"/>
      <c r="AH156" s="178"/>
      <c r="AI156" s="244"/>
      <c r="AJ156" s="244"/>
      <c r="AK156" s="244"/>
      <c r="AL156" s="244"/>
      <c r="AM156" s="162"/>
      <c r="AN156" s="100" t="b">
        <f t="shared" si="7"/>
        <v>0</v>
      </c>
      <c r="AO156" s="102"/>
    </row>
    <row r="157" ht="14.25" customHeight="1" outlineLevel="3">
      <c r="A157" s="294"/>
      <c r="B157" s="201"/>
      <c r="C157" s="201"/>
      <c r="D157" s="201"/>
      <c r="E157" s="270" t="s">
        <v>521</v>
      </c>
      <c r="F157" s="249" t="s">
        <v>432</v>
      </c>
      <c r="G157" s="249" t="s">
        <v>522</v>
      </c>
      <c r="H157" s="260"/>
      <c r="I157" s="181"/>
      <c r="J157" s="181"/>
      <c r="K157" s="181"/>
      <c r="L157" s="181"/>
      <c r="M157" s="181"/>
      <c r="N157" s="181"/>
      <c r="O157" s="181"/>
      <c r="P157" s="181"/>
      <c r="Q157" s="181"/>
      <c r="R157" s="181"/>
      <c r="S157" s="181"/>
      <c r="T157" s="181"/>
      <c r="U157" s="181"/>
      <c r="V157" s="181"/>
      <c r="W157" s="182">
        <v>100.0</v>
      </c>
      <c r="X157" s="181"/>
      <c r="Y157" s="181"/>
      <c r="Z157" s="181"/>
      <c r="AA157" s="181"/>
      <c r="AB157" s="182">
        <v>98.0</v>
      </c>
      <c r="AC157" s="182">
        <v>97.0</v>
      </c>
      <c r="AD157" s="182">
        <v>95.0</v>
      </c>
      <c r="AE157" s="182">
        <v>94.0</v>
      </c>
      <c r="AF157" s="182">
        <v>92.0</v>
      </c>
      <c r="AG157" s="182">
        <v>91.0</v>
      </c>
      <c r="AH157" s="184">
        <v>90.0</v>
      </c>
      <c r="AI157" s="204"/>
      <c r="AJ157" s="204"/>
      <c r="AK157" s="204"/>
      <c r="AL157" s="204"/>
      <c r="AM157" s="251"/>
      <c r="AN157" s="100" t="b">
        <f t="shared" si="7"/>
        <v>0</v>
      </c>
      <c r="AO157" s="102"/>
    </row>
    <row r="158" ht="14.25" customHeight="1" outlineLevel="3">
      <c r="A158" s="294"/>
      <c r="B158" s="201"/>
      <c r="C158" s="201"/>
      <c r="D158" s="201"/>
      <c r="E158" s="270" t="s">
        <v>523</v>
      </c>
      <c r="F158" s="249" t="s">
        <v>432</v>
      </c>
      <c r="G158" s="249" t="s">
        <v>524</v>
      </c>
      <c r="H158" s="260"/>
      <c r="I158" s="181"/>
      <c r="J158" s="181"/>
      <c r="K158" s="181"/>
      <c r="L158" s="181"/>
      <c r="M158" s="181"/>
      <c r="N158" s="181"/>
      <c r="O158" s="181"/>
      <c r="P158" s="181"/>
      <c r="Q158" s="181"/>
      <c r="R158" s="181"/>
      <c r="S158" s="181"/>
      <c r="T158" s="181"/>
      <c r="U158" s="181"/>
      <c r="V158" s="181"/>
      <c r="W158" s="182">
        <v>100.0</v>
      </c>
      <c r="X158" s="181"/>
      <c r="Y158" s="181"/>
      <c r="Z158" s="181"/>
      <c r="AA158" s="181"/>
      <c r="AB158" s="182">
        <v>101.0</v>
      </c>
      <c r="AC158" s="182">
        <v>98.0</v>
      </c>
      <c r="AD158" s="182">
        <v>95.0</v>
      </c>
      <c r="AE158" s="182">
        <v>94.0</v>
      </c>
      <c r="AF158" s="182">
        <v>92.0</v>
      </c>
      <c r="AG158" s="182">
        <v>91.0</v>
      </c>
      <c r="AH158" s="184">
        <v>90.0</v>
      </c>
      <c r="AI158" s="204"/>
      <c r="AJ158" s="204"/>
      <c r="AK158" s="204"/>
      <c r="AL158" s="204"/>
      <c r="AM158" s="251"/>
      <c r="AN158" s="100" t="b">
        <f t="shared" si="7"/>
        <v>0</v>
      </c>
      <c r="AO158" s="102"/>
    </row>
    <row r="159" ht="14.25" customHeight="1" outlineLevel="3">
      <c r="A159" s="294"/>
      <c r="B159" s="201"/>
      <c r="C159" s="201"/>
      <c r="D159" s="201"/>
      <c r="E159" s="270" t="s">
        <v>525</v>
      </c>
      <c r="F159" s="249" t="s">
        <v>432</v>
      </c>
      <c r="G159" s="249" t="s">
        <v>526</v>
      </c>
      <c r="H159" s="260"/>
      <c r="I159" s="181"/>
      <c r="J159" s="181"/>
      <c r="K159" s="181"/>
      <c r="L159" s="181"/>
      <c r="M159" s="181"/>
      <c r="N159" s="181"/>
      <c r="O159" s="181"/>
      <c r="P159" s="181"/>
      <c r="Q159" s="181"/>
      <c r="R159" s="181"/>
      <c r="S159" s="181"/>
      <c r="T159" s="181"/>
      <c r="U159" s="181"/>
      <c r="V159" s="181"/>
      <c r="W159" s="182">
        <v>100.0</v>
      </c>
      <c r="X159" s="181"/>
      <c r="Y159" s="181"/>
      <c r="Z159" s="181"/>
      <c r="AA159" s="181"/>
      <c r="AB159" s="182">
        <v>101.0</v>
      </c>
      <c r="AC159" s="182">
        <v>101.0</v>
      </c>
      <c r="AD159" s="182">
        <v>98.0</v>
      </c>
      <c r="AE159" s="182">
        <v>95.0</v>
      </c>
      <c r="AF159" s="182">
        <v>85.0</v>
      </c>
      <c r="AG159" s="182">
        <v>78.0</v>
      </c>
      <c r="AH159" s="184">
        <v>70.0</v>
      </c>
      <c r="AI159" s="204"/>
      <c r="AJ159" s="204"/>
      <c r="AK159" s="204"/>
      <c r="AL159" s="204"/>
      <c r="AM159" s="251"/>
      <c r="AN159" s="100" t="b">
        <f t="shared" si="7"/>
        <v>0</v>
      </c>
      <c r="AO159" s="102"/>
    </row>
    <row r="160" ht="14.25" customHeight="1" outlineLevel="3">
      <c r="A160" s="294"/>
      <c r="B160" s="201"/>
      <c r="C160" s="201"/>
      <c r="D160" s="201"/>
      <c r="E160" s="270" t="s">
        <v>527</v>
      </c>
      <c r="F160" s="249" t="s">
        <v>432</v>
      </c>
      <c r="G160" s="249" t="s">
        <v>528</v>
      </c>
      <c r="H160" s="260"/>
      <c r="I160" s="181"/>
      <c r="J160" s="181"/>
      <c r="K160" s="181"/>
      <c r="L160" s="181"/>
      <c r="M160" s="181"/>
      <c r="N160" s="181"/>
      <c r="O160" s="181"/>
      <c r="P160" s="181"/>
      <c r="Q160" s="181"/>
      <c r="R160" s="181"/>
      <c r="S160" s="181"/>
      <c r="T160" s="181"/>
      <c r="U160" s="181"/>
      <c r="V160" s="181"/>
      <c r="W160" s="182">
        <v>100.0</v>
      </c>
      <c r="X160" s="181"/>
      <c r="Y160" s="181"/>
      <c r="Z160" s="181"/>
      <c r="AA160" s="181"/>
      <c r="AB160" s="182">
        <v>101.0</v>
      </c>
      <c r="AC160" s="182">
        <v>100.0</v>
      </c>
      <c r="AD160" s="182">
        <v>99.0</v>
      </c>
      <c r="AE160" s="182">
        <v>95.0</v>
      </c>
      <c r="AF160" s="182">
        <v>85.0</v>
      </c>
      <c r="AG160" s="182">
        <v>78.0</v>
      </c>
      <c r="AH160" s="184">
        <v>70.0</v>
      </c>
      <c r="AI160" s="204"/>
      <c r="AJ160" s="204"/>
      <c r="AK160" s="204"/>
      <c r="AL160" s="204"/>
      <c r="AM160" s="251"/>
      <c r="AN160" s="100" t="b">
        <f t="shared" si="7"/>
        <v>0</v>
      </c>
      <c r="AO160" s="102"/>
    </row>
    <row r="161" ht="14.25" customHeight="1" outlineLevel="3">
      <c r="A161" s="294"/>
      <c r="B161" s="201"/>
      <c r="C161" s="201"/>
      <c r="D161" s="201"/>
      <c r="E161" s="270" t="s">
        <v>529</v>
      </c>
      <c r="F161" s="249" t="s">
        <v>432</v>
      </c>
      <c r="G161" s="249" t="s">
        <v>530</v>
      </c>
      <c r="H161" s="260"/>
      <c r="I161" s="181"/>
      <c r="J161" s="181"/>
      <c r="K161" s="181"/>
      <c r="L161" s="181"/>
      <c r="M161" s="181"/>
      <c r="N161" s="181"/>
      <c r="O161" s="181"/>
      <c r="P161" s="181"/>
      <c r="Q161" s="181"/>
      <c r="R161" s="181"/>
      <c r="S161" s="181"/>
      <c r="T161" s="181"/>
      <c r="U161" s="181"/>
      <c r="V161" s="181"/>
      <c r="W161" s="182">
        <v>100.0</v>
      </c>
      <c r="X161" s="181"/>
      <c r="Y161" s="181"/>
      <c r="Z161" s="181"/>
      <c r="AA161" s="181"/>
      <c r="AB161" s="182">
        <v>98.0</v>
      </c>
      <c r="AC161" s="182">
        <v>96.0</v>
      </c>
      <c r="AD161" s="182">
        <v>94.0</v>
      </c>
      <c r="AE161" s="182">
        <v>85.0</v>
      </c>
      <c r="AF161" s="182">
        <v>75.0</v>
      </c>
      <c r="AG161" s="182">
        <v>70.0</v>
      </c>
      <c r="AH161" s="184">
        <v>65.0</v>
      </c>
      <c r="AI161" s="204"/>
      <c r="AJ161" s="204"/>
      <c r="AK161" s="204"/>
      <c r="AL161" s="204"/>
      <c r="AM161" s="251"/>
      <c r="AN161" s="100" t="b">
        <f t="shared" si="7"/>
        <v>0</v>
      </c>
      <c r="AO161" s="102"/>
    </row>
    <row r="162" ht="14.25" customHeight="1" outlineLevel="3">
      <c r="A162" s="294"/>
      <c r="B162" s="201"/>
      <c r="C162" s="201"/>
      <c r="D162" s="201"/>
      <c r="E162" s="270" t="s">
        <v>531</v>
      </c>
      <c r="F162" s="249" t="s">
        <v>432</v>
      </c>
      <c r="G162" s="249" t="s">
        <v>532</v>
      </c>
      <c r="H162" s="260"/>
      <c r="I162" s="181"/>
      <c r="J162" s="181"/>
      <c r="K162" s="181"/>
      <c r="L162" s="181"/>
      <c r="M162" s="181"/>
      <c r="N162" s="181"/>
      <c r="O162" s="181"/>
      <c r="P162" s="181"/>
      <c r="Q162" s="181"/>
      <c r="R162" s="181"/>
      <c r="S162" s="181"/>
      <c r="T162" s="181"/>
      <c r="U162" s="181"/>
      <c r="V162" s="181"/>
      <c r="W162" s="182">
        <v>100.0</v>
      </c>
      <c r="X162" s="181"/>
      <c r="Y162" s="181"/>
      <c r="Z162" s="181"/>
      <c r="AA162" s="181"/>
      <c r="AB162" s="182">
        <v>102.0</v>
      </c>
      <c r="AC162" s="182">
        <v>104.0</v>
      </c>
      <c r="AD162" s="182">
        <v>106.0</v>
      </c>
      <c r="AE162" s="182">
        <v>110.0</v>
      </c>
      <c r="AF162" s="182">
        <v>115.0</v>
      </c>
      <c r="AG162" s="182">
        <v>125.0</v>
      </c>
      <c r="AH162" s="184">
        <v>130.0</v>
      </c>
      <c r="AI162" s="204"/>
      <c r="AJ162" s="204"/>
      <c r="AK162" s="204"/>
      <c r="AL162" s="204"/>
      <c r="AM162" s="251"/>
      <c r="AN162" s="100" t="b">
        <f t="shared" si="7"/>
        <v>0</v>
      </c>
      <c r="AO162" s="102"/>
    </row>
    <row r="163" ht="14.25" customHeight="1" outlineLevel="3">
      <c r="A163" s="294"/>
      <c r="B163" s="201"/>
      <c r="C163" s="201"/>
      <c r="D163" s="201"/>
      <c r="E163" s="122" t="s">
        <v>533</v>
      </c>
      <c r="F163" s="123" t="s">
        <v>432</v>
      </c>
      <c r="G163" s="123" t="s">
        <v>534</v>
      </c>
      <c r="H163" s="260"/>
      <c r="I163" s="181"/>
      <c r="J163" s="181"/>
      <c r="K163" s="181"/>
      <c r="L163" s="181"/>
      <c r="M163" s="181"/>
      <c r="N163" s="181"/>
      <c r="O163" s="181"/>
      <c r="P163" s="181"/>
      <c r="Q163" s="181"/>
      <c r="R163" s="181"/>
      <c r="S163" s="181"/>
      <c r="T163" s="181"/>
      <c r="U163" s="181"/>
      <c r="V163" s="181"/>
      <c r="W163" s="182">
        <v>100.0</v>
      </c>
      <c r="X163" s="181"/>
      <c r="Y163" s="181"/>
      <c r="Z163" s="181"/>
      <c r="AA163" s="181"/>
      <c r="AB163" s="182">
        <v>100.0</v>
      </c>
      <c r="AC163" s="182">
        <v>100.0</v>
      </c>
      <c r="AD163" s="182">
        <v>100.0</v>
      </c>
      <c r="AE163" s="182">
        <v>100.0</v>
      </c>
      <c r="AF163" s="182">
        <v>100.0</v>
      </c>
      <c r="AG163" s="182">
        <v>100.0</v>
      </c>
      <c r="AH163" s="184">
        <v>100.0</v>
      </c>
      <c r="AI163" s="204"/>
      <c r="AJ163" s="204"/>
      <c r="AK163" s="204"/>
      <c r="AL163" s="204"/>
      <c r="AM163" s="251"/>
      <c r="AN163" s="100" t="b">
        <f t="shared" si="7"/>
        <v>0</v>
      </c>
      <c r="AO163" s="102"/>
    </row>
    <row r="164" ht="13.5" customHeight="1" outlineLevel="2">
      <c r="A164" s="294"/>
      <c r="B164" s="201"/>
      <c r="C164" s="246" t="s">
        <v>389</v>
      </c>
      <c r="D164" s="201"/>
      <c r="E164" s="162"/>
      <c r="F164" s="162"/>
      <c r="G164" s="162"/>
      <c r="H164" s="178"/>
      <c r="I164" s="178"/>
      <c r="J164" s="178"/>
      <c r="K164" s="178"/>
      <c r="L164" s="178"/>
      <c r="M164" s="178"/>
      <c r="N164" s="178"/>
      <c r="O164" s="178"/>
      <c r="P164" s="178"/>
      <c r="Q164" s="178"/>
      <c r="R164" s="178"/>
      <c r="S164" s="178"/>
      <c r="T164" s="178"/>
      <c r="U164" s="178"/>
      <c r="V164" s="178"/>
      <c r="W164" s="178"/>
      <c r="X164" s="178"/>
      <c r="Y164" s="178"/>
      <c r="Z164" s="178"/>
      <c r="AA164" s="178"/>
      <c r="AB164" s="178"/>
      <c r="AC164" s="178"/>
      <c r="AD164" s="178"/>
      <c r="AE164" s="178"/>
      <c r="AF164" s="178"/>
      <c r="AG164" s="178"/>
      <c r="AH164" s="178"/>
      <c r="AI164" s="244"/>
      <c r="AJ164" s="244"/>
      <c r="AK164" s="244"/>
      <c r="AL164" s="244"/>
      <c r="AM164" s="162"/>
      <c r="AN164" s="100" t="b">
        <f t="shared" si="7"/>
        <v>0</v>
      </c>
      <c r="AO164" s="102"/>
    </row>
    <row r="165" ht="13.5" customHeight="1" outlineLevel="3">
      <c r="A165" s="294"/>
      <c r="B165" s="201"/>
      <c r="C165" s="201"/>
      <c r="D165" s="201"/>
      <c r="E165" s="270" t="s">
        <v>535</v>
      </c>
      <c r="F165" s="249" t="s">
        <v>261</v>
      </c>
      <c r="G165" s="249" t="s">
        <v>536</v>
      </c>
      <c r="H165" s="253">
        <v>1.198718</v>
      </c>
      <c r="I165" s="254">
        <v>1.186291</v>
      </c>
      <c r="J165" s="254">
        <v>1.207669</v>
      </c>
      <c r="K165" s="254">
        <v>1.227052</v>
      </c>
      <c r="L165" s="254">
        <v>1.247675</v>
      </c>
      <c r="M165" s="254">
        <v>1.259851</v>
      </c>
      <c r="N165" s="254">
        <v>1.281754</v>
      </c>
      <c r="O165" s="254">
        <v>1.273388</v>
      </c>
      <c r="P165" s="254">
        <v>1.275929</v>
      </c>
      <c r="Q165" s="254">
        <v>1.312998</v>
      </c>
      <c r="R165" s="254">
        <v>1.301141</v>
      </c>
      <c r="S165" s="254">
        <v>1.266709</v>
      </c>
      <c r="T165" s="254">
        <v>1.231874</v>
      </c>
      <c r="U165" s="254">
        <v>1.232045</v>
      </c>
      <c r="V165" s="254">
        <v>1.232727</v>
      </c>
      <c r="W165" s="256">
        <v>1.226976</v>
      </c>
      <c r="X165" s="254">
        <v>1.221363</v>
      </c>
      <c r="Y165" s="254">
        <v>1.221363</v>
      </c>
      <c r="Z165" s="254"/>
      <c r="AA165" s="254"/>
      <c r="AB165" s="256">
        <v>1.2</v>
      </c>
      <c r="AC165" s="256">
        <v>1.17</v>
      </c>
      <c r="AD165" s="256">
        <v>1.15</v>
      </c>
      <c r="AE165" s="256">
        <v>1.11</v>
      </c>
      <c r="AF165" s="256">
        <v>1.05</v>
      </c>
      <c r="AG165" s="256">
        <v>1.03</v>
      </c>
      <c r="AH165" s="257">
        <v>1.01</v>
      </c>
      <c r="AI165" s="204"/>
      <c r="AJ165" s="204"/>
      <c r="AK165" s="204"/>
      <c r="AL165" s="204"/>
      <c r="AM165" s="251"/>
      <c r="AN165" s="100" t="b">
        <f t="shared" si="7"/>
        <v>0</v>
      </c>
      <c r="AO165" s="102"/>
    </row>
    <row r="166" ht="13.5" customHeight="1" outlineLevel="3">
      <c r="A166" s="294"/>
      <c r="B166" s="201"/>
      <c r="C166" s="201"/>
      <c r="D166" s="201"/>
      <c r="E166" s="270" t="s">
        <v>537</v>
      </c>
      <c r="F166" s="249" t="s">
        <v>261</v>
      </c>
      <c r="G166" s="249" t="s">
        <v>538</v>
      </c>
      <c r="H166" s="253">
        <v>0.721263</v>
      </c>
      <c r="I166" s="254">
        <v>0.730025</v>
      </c>
      <c r="J166" s="254">
        <v>0.720542</v>
      </c>
      <c r="K166" s="254">
        <v>0.720006</v>
      </c>
      <c r="L166" s="254">
        <v>0.720203</v>
      </c>
      <c r="M166" s="254">
        <v>0.701046</v>
      </c>
      <c r="N166" s="254">
        <v>0.732431</v>
      </c>
      <c r="O166" s="254">
        <v>0.692723</v>
      </c>
      <c r="P166" s="254">
        <v>0.71452</v>
      </c>
      <c r="Q166" s="254">
        <v>0.726035</v>
      </c>
      <c r="R166" s="254">
        <v>0.719948</v>
      </c>
      <c r="S166" s="254">
        <v>0.729797</v>
      </c>
      <c r="T166" s="254">
        <v>0.733518</v>
      </c>
      <c r="U166" s="254">
        <v>0.73483</v>
      </c>
      <c r="V166" s="254">
        <v>0.735821</v>
      </c>
      <c r="W166" s="256">
        <v>0.739271</v>
      </c>
      <c r="X166" s="254">
        <v>0.741787</v>
      </c>
      <c r="Y166" s="254">
        <v>0.744005</v>
      </c>
      <c r="Z166" s="254"/>
      <c r="AA166" s="254"/>
      <c r="AB166" s="256">
        <v>0.75</v>
      </c>
      <c r="AC166" s="256">
        <v>0.75</v>
      </c>
      <c r="AD166" s="256">
        <v>0.7</v>
      </c>
      <c r="AE166" s="256">
        <v>0.67</v>
      </c>
      <c r="AF166" s="256">
        <v>0.62</v>
      </c>
      <c r="AG166" s="256">
        <v>0.58</v>
      </c>
      <c r="AH166" s="257">
        <v>0.55</v>
      </c>
      <c r="AI166" s="204"/>
      <c r="AJ166" s="204"/>
      <c r="AK166" s="204"/>
      <c r="AL166" s="204"/>
      <c r="AM166" s="251"/>
      <c r="AN166" s="100" t="b">
        <f t="shared" si="7"/>
        <v>0</v>
      </c>
      <c r="AO166" s="102"/>
    </row>
    <row r="167" ht="13.5" customHeight="1" outlineLevel="3">
      <c r="A167" s="294"/>
      <c r="B167" s="201"/>
      <c r="C167" s="201"/>
      <c r="D167" s="201"/>
      <c r="E167" s="270" t="s">
        <v>539</v>
      </c>
      <c r="F167" s="249" t="s">
        <v>261</v>
      </c>
      <c r="G167" s="249" t="s">
        <v>540</v>
      </c>
      <c r="H167" s="253">
        <v>0.893959</v>
      </c>
      <c r="I167" s="254">
        <v>0.902392</v>
      </c>
      <c r="J167" s="254">
        <v>0.913363</v>
      </c>
      <c r="K167" s="254">
        <v>0.912683</v>
      </c>
      <c r="L167" s="254">
        <v>0.90279</v>
      </c>
      <c r="M167" s="254">
        <v>0.914408</v>
      </c>
      <c r="N167" s="254">
        <v>0.925711</v>
      </c>
      <c r="O167" s="254">
        <v>0.927027</v>
      </c>
      <c r="P167" s="254">
        <v>0.918669</v>
      </c>
      <c r="Q167" s="254">
        <v>0.920326</v>
      </c>
      <c r="R167" s="254">
        <v>0.923667</v>
      </c>
      <c r="S167" s="254">
        <v>0.940199</v>
      </c>
      <c r="T167" s="254">
        <v>0.955767</v>
      </c>
      <c r="U167" s="254">
        <v>0.952304</v>
      </c>
      <c r="V167" s="254">
        <v>0.948418</v>
      </c>
      <c r="W167" s="256">
        <v>0.947249</v>
      </c>
      <c r="X167" s="254">
        <v>0.944902</v>
      </c>
      <c r="Y167" s="254">
        <v>0.942596</v>
      </c>
      <c r="Z167" s="254"/>
      <c r="AA167" s="254"/>
      <c r="AB167" s="256">
        <v>0.94</v>
      </c>
      <c r="AC167" s="256">
        <v>0.93</v>
      </c>
      <c r="AD167" s="256">
        <v>0.92</v>
      </c>
      <c r="AE167" s="256">
        <v>0.92</v>
      </c>
      <c r="AF167" s="256">
        <v>0.91</v>
      </c>
      <c r="AG167" s="256">
        <v>0.9</v>
      </c>
      <c r="AH167" s="257">
        <v>0.9</v>
      </c>
      <c r="AI167" s="204"/>
      <c r="AJ167" s="204"/>
      <c r="AK167" s="204"/>
      <c r="AL167" s="204"/>
      <c r="AM167" s="251"/>
      <c r="AN167" s="100" t="b">
        <f t="shared" si="7"/>
        <v>0</v>
      </c>
      <c r="AO167" s="102"/>
    </row>
    <row r="168" ht="13.5" customHeight="1" outlineLevel="3">
      <c r="A168" s="294"/>
      <c r="B168" s="201"/>
      <c r="C168" s="201"/>
      <c r="D168" s="201"/>
      <c r="E168" s="270" t="s">
        <v>541</v>
      </c>
      <c r="F168" s="249" t="s">
        <v>261</v>
      </c>
      <c r="G168" s="249" t="s">
        <v>542</v>
      </c>
      <c r="H168" s="253">
        <v>0.416504</v>
      </c>
      <c r="I168" s="254">
        <v>0.435987</v>
      </c>
      <c r="J168" s="254">
        <v>0.446533</v>
      </c>
      <c r="K168" s="254">
        <v>0.466483</v>
      </c>
      <c r="L168" s="254">
        <v>0.476754</v>
      </c>
      <c r="M168" s="254">
        <v>0.497844</v>
      </c>
      <c r="N168" s="254">
        <v>0.488287</v>
      </c>
      <c r="O168" s="254">
        <v>0.52973</v>
      </c>
      <c r="P168" s="254">
        <v>0.540994</v>
      </c>
      <c r="Q168" s="254">
        <v>0.562421</v>
      </c>
      <c r="R168" s="254">
        <v>0.567946</v>
      </c>
      <c r="S168" s="254">
        <v>0.575496</v>
      </c>
      <c r="T168" s="254">
        <v>0.582398</v>
      </c>
      <c r="U168" s="254">
        <v>0.60885</v>
      </c>
      <c r="V168" s="254">
        <v>0.635068</v>
      </c>
      <c r="W168" s="256">
        <v>0.63635</v>
      </c>
      <c r="X168" s="254">
        <v>0.636782</v>
      </c>
      <c r="Y168" s="254">
        <v>0.661128</v>
      </c>
      <c r="Z168" s="254"/>
      <c r="AA168" s="254"/>
      <c r="AB168" s="256">
        <v>0.7</v>
      </c>
      <c r="AC168" s="256">
        <v>0.72</v>
      </c>
      <c r="AD168" s="256">
        <v>0.7</v>
      </c>
      <c r="AE168" s="256">
        <v>0.69</v>
      </c>
      <c r="AF168" s="256">
        <v>0.67</v>
      </c>
      <c r="AG168" s="256">
        <v>0.65</v>
      </c>
      <c r="AH168" s="257">
        <v>0.65</v>
      </c>
      <c r="AI168" s="204"/>
      <c r="AJ168" s="204"/>
      <c r="AK168" s="204"/>
      <c r="AL168" s="204"/>
      <c r="AM168" s="251"/>
      <c r="AN168" s="100" t="b">
        <f t="shared" si="7"/>
        <v>0</v>
      </c>
      <c r="AO168" s="102"/>
    </row>
    <row r="169" ht="13.5" customHeight="1" outlineLevel="3">
      <c r="A169" s="294"/>
      <c r="B169" s="201"/>
      <c r="C169" s="201"/>
      <c r="D169" s="201"/>
      <c r="E169" s="270" t="s">
        <v>543</v>
      </c>
      <c r="F169" s="249" t="s">
        <v>261</v>
      </c>
      <c r="G169" s="249" t="s">
        <v>544</v>
      </c>
      <c r="H169" s="253">
        <v>0.548566</v>
      </c>
      <c r="I169" s="254">
        <v>0.53738</v>
      </c>
      <c r="J169" s="254">
        <v>0.568315</v>
      </c>
      <c r="K169" s="254">
        <v>0.578033</v>
      </c>
      <c r="L169" s="254">
        <v>0.557904</v>
      </c>
      <c r="M169" s="254">
        <v>0.599445</v>
      </c>
      <c r="N169" s="254">
        <v>0.590014</v>
      </c>
      <c r="O169" s="254">
        <v>0.611226</v>
      </c>
      <c r="P169" s="254">
        <v>0.592031</v>
      </c>
      <c r="Q169" s="254">
        <v>0.623776</v>
      </c>
      <c r="R169" s="254">
        <v>0.620609</v>
      </c>
      <c r="S169" s="254">
        <v>0.623886</v>
      </c>
      <c r="T169" s="254">
        <v>0.626612</v>
      </c>
      <c r="U169" s="254">
        <v>0.627282</v>
      </c>
      <c r="V169" s="254">
        <v>0.627682</v>
      </c>
      <c r="W169" s="256">
        <v>0.630183</v>
      </c>
      <c r="X169" s="254">
        <v>0.631889</v>
      </c>
      <c r="Y169" s="254">
        <v>0.633344</v>
      </c>
      <c r="Z169" s="254"/>
      <c r="AA169" s="254"/>
      <c r="AB169" s="256">
        <v>0.64</v>
      </c>
      <c r="AC169" s="256">
        <v>0.65</v>
      </c>
      <c r="AD169" s="256">
        <v>0.64</v>
      </c>
      <c r="AE169" s="256">
        <v>0.61</v>
      </c>
      <c r="AF169" s="256">
        <v>0.57</v>
      </c>
      <c r="AG169" s="256">
        <v>0.54</v>
      </c>
      <c r="AH169" s="257">
        <v>0.5</v>
      </c>
      <c r="AI169" s="204"/>
      <c r="AJ169" s="204"/>
      <c r="AK169" s="204"/>
      <c r="AL169" s="204"/>
      <c r="AM169" s="251"/>
      <c r="AN169" s="100" t="b">
        <f t="shared" si="7"/>
        <v>0</v>
      </c>
      <c r="AO169" s="102"/>
    </row>
    <row r="170" ht="13.5" customHeight="1" outlineLevel="3">
      <c r="A170" s="294"/>
      <c r="B170" s="201"/>
      <c r="C170" s="201"/>
      <c r="D170" s="201"/>
      <c r="E170" s="270" t="s">
        <v>545</v>
      </c>
      <c r="F170" s="249" t="s">
        <v>261</v>
      </c>
      <c r="G170" s="249" t="s">
        <v>546</v>
      </c>
      <c r="H170" s="253">
        <v>1.200457</v>
      </c>
      <c r="I170" s="254">
        <v>1.23892</v>
      </c>
      <c r="J170" s="254">
        <v>1.246466</v>
      </c>
      <c r="K170" s="254">
        <v>1.322115</v>
      </c>
      <c r="L170" s="254">
        <v>1.310735</v>
      </c>
      <c r="M170" s="254">
        <v>1.361665</v>
      </c>
      <c r="N170" s="254">
        <v>1.372627</v>
      </c>
      <c r="O170" s="254">
        <v>1.376142</v>
      </c>
      <c r="P170" s="254">
        <v>1.377267</v>
      </c>
      <c r="Q170" s="254">
        <v>1.400665</v>
      </c>
      <c r="R170" s="254">
        <v>1.421746</v>
      </c>
      <c r="S170" s="254">
        <v>1.394296</v>
      </c>
      <c r="T170" s="254">
        <v>1.370001</v>
      </c>
      <c r="U170" s="254">
        <v>1.358466</v>
      </c>
      <c r="V170" s="254">
        <v>1.348652</v>
      </c>
      <c r="W170" s="256">
        <v>1.324647</v>
      </c>
      <c r="X170" s="254">
        <v>1.301501</v>
      </c>
      <c r="Y170" s="254">
        <v>1.293611</v>
      </c>
      <c r="Z170" s="254"/>
      <c r="AA170" s="254"/>
      <c r="AB170" s="256">
        <v>1.26</v>
      </c>
      <c r="AC170" s="256">
        <v>1.21</v>
      </c>
      <c r="AD170" s="256">
        <v>1.06</v>
      </c>
      <c r="AE170" s="256">
        <v>0.95</v>
      </c>
      <c r="AF170" s="256">
        <v>0.9</v>
      </c>
      <c r="AG170" s="256">
        <v>0.8</v>
      </c>
      <c r="AH170" s="257">
        <v>0.7</v>
      </c>
      <c r="AI170" s="204"/>
      <c r="AJ170" s="204"/>
      <c r="AK170" s="204"/>
      <c r="AL170" s="204"/>
      <c r="AM170" s="251"/>
      <c r="AN170" s="100" t="b">
        <f t="shared" si="7"/>
        <v>0</v>
      </c>
      <c r="AO170" s="102"/>
    </row>
    <row r="171" ht="13.5" customHeight="1" outlineLevel="3">
      <c r="A171" s="294"/>
      <c r="B171" s="201"/>
      <c r="C171" s="201"/>
      <c r="D171" s="201"/>
      <c r="E171" s="270" t="s">
        <v>547</v>
      </c>
      <c r="F171" s="249" t="s">
        <v>261</v>
      </c>
      <c r="G171" s="249" t="s">
        <v>548</v>
      </c>
      <c r="H171" s="253"/>
      <c r="I171" s="254"/>
      <c r="J171" s="254"/>
      <c r="K171" s="254"/>
      <c r="L171" s="254"/>
      <c r="M171" s="254"/>
      <c r="N171" s="254"/>
      <c r="O171" s="254"/>
      <c r="P171" s="254"/>
      <c r="Q171" s="254"/>
      <c r="R171" s="254"/>
      <c r="S171" s="254"/>
      <c r="T171" s="254"/>
      <c r="U171" s="254"/>
      <c r="V171" s="254"/>
      <c r="W171" s="256">
        <v>1.355</v>
      </c>
      <c r="X171" s="254"/>
      <c r="Y171" s="254"/>
      <c r="Z171" s="254"/>
      <c r="AA171" s="254"/>
      <c r="AB171" s="256">
        <v>1.4</v>
      </c>
      <c r="AC171" s="256">
        <v>1.5</v>
      </c>
      <c r="AD171" s="256">
        <v>1.6</v>
      </c>
      <c r="AE171" s="256">
        <v>1.7</v>
      </c>
      <c r="AF171" s="256">
        <v>1.8</v>
      </c>
      <c r="AG171" s="256">
        <v>1.9</v>
      </c>
      <c r="AH171" s="257">
        <v>2.0</v>
      </c>
      <c r="AI171" s="204"/>
      <c r="AJ171" s="204"/>
      <c r="AK171" s="204"/>
      <c r="AL171" s="204"/>
      <c r="AM171" s="251"/>
      <c r="AN171" s="100" t="b">
        <f t="shared" si="7"/>
        <v>0</v>
      </c>
      <c r="AO171" s="102"/>
    </row>
    <row r="172" ht="13.5" customHeight="1" outlineLevel="3">
      <c r="A172" s="294"/>
      <c r="B172" s="201"/>
      <c r="C172" s="201"/>
      <c r="D172" s="201"/>
      <c r="E172" s="122" t="s">
        <v>549</v>
      </c>
      <c r="F172" s="123" t="s">
        <v>261</v>
      </c>
      <c r="G172" s="123" t="s">
        <v>550</v>
      </c>
      <c r="H172" s="253"/>
      <c r="I172" s="254"/>
      <c r="J172" s="254"/>
      <c r="K172" s="254"/>
      <c r="L172" s="254"/>
      <c r="M172" s="254"/>
      <c r="N172" s="254"/>
      <c r="O172" s="254"/>
      <c r="P172" s="254"/>
      <c r="Q172" s="254"/>
      <c r="R172" s="254"/>
      <c r="S172" s="254"/>
      <c r="T172" s="254"/>
      <c r="U172" s="254"/>
      <c r="V172" s="254"/>
      <c r="W172" s="256">
        <v>0.808</v>
      </c>
      <c r="X172" s="254"/>
      <c r="Y172" s="254"/>
      <c r="Z172" s="254"/>
      <c r="AA172" s="254"/>
      <c r="AB172" s="256">
        <v>0.9</v>
      </c>
      <c r="AC172" s="256">
        <v>1.0</v>
      </c>
      <c r="AD172" s="256">
        <v>1.1</v>
      </c>
      <c r="AE172" s="256">
        <v>1.2</v>
      </c>
      <c r="AF172" s="256">
        <v>1.3</v>
      </c>
      <c r="AG172" s="256">
        <v>1.4</v>
      </c>
      <c r="AH172" s="257">
        <v>1.5</v>
      </c>
      <c r="AI172" s="204"/>
      <c r="AJ172" s="204"/>
      <c r="AK172" s="204"/>
      <c r="AL172" s="204"/>
      <c r="AM172" s="251"/>
      <c r="AN172" s="100" t="b">
        <f t="shared" si="7"/>
        <v>0</v>
      </c>
      <c r="AO172" s="102"/>
    </row>
    <row r="173" ht="14.25" customHeight="1" outlineLevel="2">
      <c r="A173" s="294"/>
      <c r="B173" s="298"/>
      <c r="C173" s="246" t="s">
        <v>551</v>
      </c>
      <c r="D173" s="201"/>
      <c r="E173" s="162"/>
      <c r="F173" s="162"/>
      <c r="G173" s="162"/>
      <c r="H173" s="178"/>
      <c r="I173" s="178"/>
      <c r="J173" s="178"/>
      <c r="K173" s="178"/>
      <c r="L173" s="178"/>
      <c r="M173" s="178"/>
      <c r="N173" s="178"/>
      <c r="O173" s="178"/>
      <c r="P173" s="178"/>
      <c r="Q173" s="178"/>
      <c r="R173" s="178"/>
      <c r="S173" s="178"/>
      <c r="T173" s="178"/>
      <c r="U173" s="178"/>
      <c r="V173" s="178"/>
      <c r="W173" s="178"/>
      <c r="X173" s="178"/>
      <c r="Y173" s="178"/>
      <c r="Z173" s="178"/>
      <c r="AA173" s="178"/>
      <c r="AB173" s="178"/>
      <c r="AC173" s="178"/>
      <c r="AD173" s="178"/>
      <c r="AE173" s="178"/>
      <c r="AF173" s="178"/>
      <c r="AG173" s="178"/>
      <c r="AH173" s="178"/>
      <c r="AI173" s="244"/>
      <c r="AJ173" s="244"/>
      <c r="AK173" s="244"/>
      <c r="AL173" s="244"/>
      <c r="AM173" s="162"/>
      <c r="AN173" s="100" t="b">
        <f t="shared" si="7"/>
        <v>0</v>
      </c>
      <c r="AO173" s="102"/>
    </row>
    <row r="174" ht="14.25" customHeight="1" outlineLevel="2">
      <c r="A174" s="294"/>
      <c r="B174" s="298"/>
      <c r="C174" s="293" t="s">
        <v>552</v>
      </c>
      <c r="D174" s="201"/>
      <c r="E174" s="162"/>
      <c r="F174" s="162"/>
      <c r="G174" s="162"/>
      <c r="H174" s="178"/>
      <c r="I174" s="178"/>
      <c r="J174" s="178"/>
      <c r="K174" s="178"/>
      <c r="L174" s="178"/>
      <c r="M174" s="178"/>
      <c r="N174" s="178"/>
      <c r="O174" s="178"/>
      <c r="P174" s="178"/>
      <c r="Q174" s="178"/>
      <c r="R174" s="178"/>
      <c r="S174" s="178"/>
      <c r="T174" s="178"/>
      <c r="U174" s="178"/>
      <c r="V174" s="178"/>
      <c r="W174" s="178"/>
      <c r="X174" s="178"/>
      <c r="Y174" s="178"/>
      <c r="Z174" s="178"/>
      <c r="AA174" s="178"/>
      <c r="AB174" s="178"/>
      <c r="AC174" s="178"/>
      <c r="AD174" s="178"/>
      <c r="AE174" s="178"/>
      <c r="AF174" s="178"/>
      <c r="AG174" s="178"/>
      <c r="AH174" s="178"/>
      <c r="AI174" s="244"/>
      <c r="AJ174" s="244"/>
      <c r="AK174" s="244"/>
      <c r="AL174" s="244"/>
      <c r="AM174" s="162"/>
      <c r="AN174" s="100" t="b">
        <f t="shared" si="7"/>
        <v>0</v>
      </c>
      <c r="AO174" s="102"/>
    </row>
    <row r="175" ht="14.25" customHeight="1" outlineLevel="3">
      <c r="A175" s="294"/>
      <c r="B175" s="201"/>
      <c r="C175" s="201"/>
      <c r="D175" s="201"/>
      <c r="E175" s="278" t="s">
        <v>553</v>
      </c>
      <c r="F175" s="249" t="s">
        <v>400</v>
      </c>
      <c r="G175" s="249" t="s">
        <v>554</v>
      </c>
      <c r="H175" s="260"/>
      <c r="I175" s="181"/>
      <c r="J175" s="181"/>
      <c r="K175" s="181"/>
      <c r="L175" s="181"/>
      <c r="M175" s="181"/>
      <c r="N175" s="181"/>
      <c r="O175" s="181"/>
      <c r="P175" s="181"/>
      <c r="Q175" s="181"/>
      <c r="R175" s="181">
        <v>499.813418086936</v>
      </c>
      <c r="S175" s="181">
        <v>446.96741142871</v>
      </c>
      <c r="T175" s="181">
        <v>381.770250997459</v>
      </c>
      <c r="U175" s="181">
        <v>321.76343021257</v>
      </c>
      <c r="V175" s="181">
        <v>261.950875793335</v>
      </c>
      <c r="W175" s="202">
        <v>193.602800684801</v>
      </c>
      <c r="X175" s="181"/>
      <c r="Y175" s="181"/>
      <c r="Z175" s="181"/>
      <c r="AA175" s="181"/>
      <c r="AB175" s="202"/>
      <c r="AC175" s="202"/>
      <c r="AD175" s="202"/>
      <c r="AE175" s="202"/>
      <c r="AF175" s="202"/>
      <c r="AG175" s="202"/>
      <c r="AH175" s="202"/>
      <c r="AI175" s="204"/>
      <c r="AJ175" s="204"/>
      <c r="AK175" s="204"/>
      <c r="AL175" s="204"/>
      <c r="AM175" s="251"/>
      <c r="AN175" s="100" t="b">
        <f t="shared" si="7"/>
        <v>0</v>
      </c>
      <c r="AO175" s="102"/>
    </row>
    <row r="176" ht="14.25" customHeight="1" outlineLevel="3">
      <c r="A176" s="294"/>
      <c r="B176" s="201"/>
      <c r="C176" s="201"/>
      <c r="D176" s="201"/>
      <c r="E176" s="270" t="s">
        <v>555</v>
      </c>
      <c r="F176" s="249" t="s">
        <v>303</v>
      </c>
      <c r="G176" s="249" t="s">
        <v>556</v>
      </c>
      <c r="H176" s="260"/>
      <c r="I176" s="181"/>
      <c r="J176" s="181"/>
      <c r="K176" s="181"/>
      <c r="L176" s="181"/>
      <c r="M176" s="181"/>
      <c r="N176" s="181"/>
      <c r="O176" s="181"/>
      <c r="P176" s="181"/>
      <c r="Q176" s="181"/>
      <c r="R176" s="181"/>
      <c r="S176" s="181"/>
      <c r="T176" s="181"/>
      <c r="U176" s="181"/>
      <c r="V176" s="181"/>
      <c r="W176" s="286"/>
      <c r="X176" s="181"/>
      <c r="Y176" s="181"/>
      <c r="Z176" s="181"/>
      <c r="AA176" s="181"/>
      <c r="AB176" s="286"/>
      <c r="AC176" s="286"/>
      <c r="AD176" s="286"/>
      <c r="AE176" s="286"/>
      <c r="AF176" s="286"/>
      <c r="AG176" s="286"/>
      <c r="AH176" s="286"/>
      <c r="AI176" s="204"/>
      <c r="AJ176" s="204"/>
      <c r="AK176" s="204"/>
      <c r="AL176" s="204"/>
      <c r="AM176" s="251"/>
      <c r="AN176" s="100" t="b">
        <f t="shared" si="7"/>
        <v>0</v>
      </c>
      <c r="AO176" s="102"/>
    </row>
    <row r="177" ht="14.25" customHeight="1" outlineLevel="3">
      <c r="A177" s="294"/>
      <c r="B177" s="201"/>
      <c r="C177" s="201"/>
      <c r="D177" s="201"/>
      <c r="E177" s="278" t="s">
        <v>557</v>
      </c>
      <c r="F177" s="249" t="s">
        <v>558</v>
      </c>
      <c r="G177" s="249" t="s">
        <v>559</v>
      </c>
      <c r="H177" s="260"/>
      <c r="I177" s="181"/>
      <c r="J177" s="181"/>
      <c r="K177" s="181"/>
      <c r="L177" s="181"/>
      <c r="M177" s="181"/>
      <c r="N177" s="181"/>
      <c r="O177" s="181"/>
      <c r="P177" s="181"/>
      <c r="Q177" s="181"/>
      <c r="R177" s="181">
        <v>196.994369844124</v>
      </c>
      <c r="S177" s="181">
        <v>190.868618655363</v>
      </c>
      <c r="T177" s="181">
        <v>184.493315563049</v>
      </c>
      <c r="U177" s="181">
        <v>177.690546639834</v>
      </c>
      <c r="V177" s="181">
        <v>173.82800445094</v>
      </c>
      <c r="W177" s="202">
        <v>169.79206626054</v>
      </c>
      <c r="X177" s="181"/>
      <c r="Y177" s="181"/>
      <c r="Z177" s="181"/>
      <c r="AA177" s="181"/>
      <c r="AB177" s="202"/>
      <c r="AC177" s="202"/>
      <c r="AD177" s="202"/>
      <c r="AE177" s="202"/>
      <c r="AF177" s="202"/>
      <c r="AG177" s="202"/>
      <c r="AH177" s="202"/>
      <c r="AI177" s="204"/>
      <c r="AJ177" s="204"/>
      <c r="AK177" s="204"/>
      <c r="AL177" s="204"/>
      <c r="AM177" s="251"/>
      <c r="AN177" s="100" t="b">
        <f t="shared" si="7"/>
        <v>0</v>
      </c>
      <c r="AO177" s="102"/>
    </row>
    <row r="178" ht="14.25" customHeight="1" outlineLevel="3">
      <c r="A178" s="294"/>
      <c r="B178" s="201"/>
      <c r="C178" s="201"/>
      <c r="D178" s="201"/>
      <c r="E178" s="278" t="s">
        <v>560</v>
      </c>
      <c r="F178" s="249" t="s">
        <v>558</v>
      </c>
      <c r="G178" s="249" t="s">
        <v>561</v>
      </c>
      <c r="H178" s="260"/>
      <c r="I178" s="181"/>
      <c r="J178" s="181"/>
      <c r="K178" s="181"/>
      <c r="L178" s="181"/>
      <c r="M178" s="181"/>
      <c r="N178" s="181"/>
      <c r="O178" s="181"/>
      <c r="P178" s="181"/>
      <c r="Q178" s="181"/>
      <c r="R178" s="181">
        <v>131.329579896083</v>
      </c>
      <c r="S178" s="181">
        <v>127.245745770242</v>
      </c>
      <c r="T178" s="181">
        <v>122.995543708699</v>
      </c>
      <c r="U178" s="181">
        <v>118.460364426556</v>
      </c>
      <c r="V178" s="181">
        <v>115.885336300626</v>
      </c>
      <c r="W178" s="202">
        <v>113.19471084036</v>
      </c>
      <c r="X178" s="181"/>
      <c r="Y178" s="181"/>
      <c r="Z178" s="181"/>
      <c r="AA178" s="181"/>
      <c r="AB178" s="202"/>
      <c r="AC178" s="202"/>
      <c r="AD178" s="202"/>
      <c r="AE178" s="202"/>
      <c r="AF178" s="202"/>
      <c r="AG178" s="202"/>
      <c r="AH178" s="202"/>
      <c r="AI178" s="204"/>
      <c r="AJ178" s="204"/>
      <c r="AK178" s="204"/>
      <c r="AL178" s="204"/>
      <c r="AM178" s="251"/>
      <c r="AN178" s="100" t="b">
        <f t="shared" si="7"/>
        <v>0</v>
      </c>
      <c r="AO178" s="102"/>
    </row>
    <row r="179" ht="14.25" customHeight="1" outlineLevel="3">
      <c r="A179" s="294"/>
      <c r="B179" s="201"/>
      <c r="C179" s="201"/>
      <c r="D179" s="201"/>
      <c r="E179" s="278" t="s">
        <v>562</v>
      </c>
      <c r="F179" s="249" t="s">
        <v>558</v>
      </c>
      <c r="G179" s="249" t="s">
        <v>563</v>
      </c>
      <c r="H179" s="260"/>
      <c r="I179" s="181"/>
      <c r="J179" s="181"/>
      <c r="K179" s="181"/>
      <c r="L179" s="181"/>
      <c r="M179" s="181"/>
      <c r="N179" s="181"/>
      <c r="O179" s="181"/>
      <c r="P179" s="181"/>
      <c r="Q179" s="181"/>
      <c r="R179" s="181">
        <v>197.004718289428</v>
      </c>
      <c r="S179" s="181">
        <v>193.177452063223</v>
      </c>
      <c r="T179" s="181">
        <v>186.783232841054</v>
      </c>
      <c r="U179" s="181">
        <v>179.916435363653</v>
      </c>
      <c r="V179" s="181">
        <v>173.738814537314</v>
      </c>
      <c r="W179" s="202">
        <v>167.340904965978</v>
      </c>
      <c r="X179" s="181"/>
      <c r="Y179" s="181"/>
      <c r="Z179" s="181"/>
      <c r="AA179" s="181"/>
      <c r="AB179" s="202"/>
      <c r="AC179" s="202"/>
      <c r="AD179" s="202"/>
      <c r="AE179" s="202"/>
      <c r="AF179" s="202"/>
      <c r="AG179" s="202"/>
      <c r="AH179" s="202"/>
      <c r="AI179" s="204"/>
      <c r="AJ179" s="204"/>
      <c r="AK179" s="204"/>
      <c r="AL179" s="204"/>
      <c r="AM179" s="251"/>
      <c r="AN179" s="100" t="b">
        <f t="shared" si="7"/>
        <v>0</v>
      </c>
      <c r="AO179" s="102"/>
    </row>
    <row r="180" ht="14.25" customHeight="1" outlineLevel="3">
      <c r="A180" s="294"/>
      <c r="B180" s="201"/>
      <c r="C180" s="201"/>
      <c r="D180" s="201"/>
      <c r="E180" s="278" t="s">
        <v>564</v>
      </c>
      <c r="F180" s="249" t="s">
        <v>558</v>
      </c>
      <c r="G180" s="249" t="s">
        <v>565</v>
      </c>
      <c r="H180" s="260"/>
      <c r="I180" s="181"/>
      <c r="J180" s="181"/>
      <c r="K180" s="181"/>
      <c r="L180" s="181"/>
      <c r="M180" s="181"/>
      <c r="N180" s="181"/>
      <c r="O180" s="181"/>
      <c r="P180" s="181"/>
      <c r="Q180" s="181"/>
      <c r="R180" s="181">
        <v>273.238849690795</v>
      </c>
      <c r="S180" s="181">
        <v>270.870522570457</v>
      </c>
      <c r="T180" s="181">
        <v>262.49952827128</v>
      </c>
      <c r="U180" s="181">
        <v>254.783069442215</v>
      </c>
      <c r="V180" s="181">
        <v>247.97095423295</v>
      </c>
      <c r="W180" s="202">
        <v>240.361909095975</v>
      </c>
      <c r="X180" s="181"/>
      <c r="Y180" s="181"/>
      <c r="Z180" s="181"/>
      <c r="AA180" s="181"/>
      <c r="AB180" s="202"/>
      <c r="AC180" s="202"/>
      <c r="AD180" s="202"/>
      <c r="AE180" s="202"/>
      <c r="AF180" s="202"/>
      <c r="AG180" s="202"/>
      <c r="AH180" s="202"/>
      <c r="AI180" s="204"/>
      <c r="AJ180" s="204"/>
      <c r="AK180" s="204"/>
      <c r="AL180" s="204"/>
      <c r="AM180" s="251"/>
      <c r="AN180" s="100" t="b">
        <f t="shared" si="7"/>
        <v>0</v>
      </c>
      <c r="AO180" s="102"/>
    </row>
    <row r="181" ht="14.25" customHeight="1" outlineLevel="3">
      <c r="A181" s="294"/>
      <c r="B181" s="201"/>
      <c r="C181" s="201"/>
      <c r="D181" s="201"/>
      <c r="E181" s="278" t="s">
        <v>566</v>
      </c>
      <c r="F181" s="249" t="s">
        <v>558</v>
      </c>
      <c r="G181" s="249" t="s">
        <v>567</v>
      </c>
      <c r="H181" s="260"/>
      <c r="I181" s="181"/>
      <c r="J181" s="181"/>
      <c r="K181" s="181"/>
      <c r="L181" s="181"/>
      <c r="M181" s="181"/>
      <c r="N181" s="181"/>
      <c r="O181" s="181"/>
      <c r="P181" s="181"/>
      <c r="Q181" s="181"/>
      <c r="R181" s="181">
        <v>414.71653239342</v>
      </c>
      <c r="S181" s="181">
        <v>400.161429918551</v>
      </c>
      <c r="T181" s="181">
        <v>386.339240142476</v>
      </c>
      <c r="U181" s="181">
        <v>374.474898255348</v>
      </c>
      <c r="V181" s="181">
        <v>363.09986313743</v>
      </c>
      <c r="W181" s="202">
        <v>348.191929663482</v>
      </c>
      <c r="X181" s="181"/>
      <c r="Y181" s="181"/>
      <c r="Z181" s="181"/>
      <c r="AA181" s="181"/>
      <c r="AB181" s="202"/>
      <c r="AC181" s="202"/>
      <c r="AD181" s="202"/>
      <c r="AE181" s="202"/>
      <c r="AF181" s="202"/>
      <c r="AG181" s="202"/>
      <c r="AH181" s="202"/>
      <c r="AI181" s="204"/>
      <c r="AJ181" s="204"/>
      <c r="AK181" s="204"/>
      <c r="AL181" s="204"/>
      <c r="AM181" s="251"/>
      <c r="AN181" s="100" t="b">
        <f t="shared" si="7"/>
        <v>0</v>
      </c>
      <c r="AO181" s="102"/>
    </row>
    <row r="182" ht="14.25" customHeight="1" outlineLevel="3">
      <c r="A182" s="294"/>
      <c r="B182" s="201"/>
      <c r="C182" s="201"/>
      <c r="D182" s="201"/>
      <c r="E182" s="278" t="s">
        <v>568</v>
      </c>
      <c r="F182" s="123" t="s">
        <v>558</v>
      </c>
      <c r="G182" s="123" t="s">
        <v>569</v>
      </c>
      <c r="H182" s="260"/>
      <c r="I182" s="181"/>
      <c r="J182" s="181"/>
      <c r="K182" s="181"/>
      <c r="L182" s="181"/>
      <c r="M182" s="181"/>
      <c r="N182" s="181"/>
      <c r="O182" s="181"/>
      <c r="P182" s="181"/>
      <c r="Q182" s="181"/>
      <c r="R182" s="181">
        <v>480.024858068145</v>
      </c>
      <c r="S182" s="181">
        <v>448.817703714049</v>
      </c>
      <c r="T182" s="181">
        <v>421.542351873841</v>
      </c>
      <c r="U182" s="181">
        <v>387.172484596448</v>
      </c>
      <c r="V182" s="181">
        <v>347.263489250174</v>
      </c>
      <c r="W182" s="202">
        <v>297.0414779457</v>
      </c>
      <c r="X182" s="181"/>
      <c r="Y182" s="181"/>
      <c r="Z182" s="181"/>
      <c r="AA182" s="181"/>
      <c r="AB182" s="202"/>
      <c r="AC182" s="202"/>
      <c r="AD182" s="202"/>
      <c r="AE182" s="202"/>
      <c r="AF182" s="202"/>
      <c r="AG182" s="202"/>
      <c r="AH182" s="202"/>
      <c r="AI182" s="204"/>
      <c r="AJ182" s="204"/>
      <c r="AK182" s="204"/>
      <c r="AL182" s="204"/>
      <c r="AM182" s="251"/>
      <c r="AN182" s="100" t="b">
        <f t="shared" si="7"/>
        <v>0</v>
      </c>
      <c r="AO182" s="102"/>
    </row>
    <row r="183" ht="14.25" customHeight="1" outlineLevel="3">
      <c r="A183" s="98"/>
      <c r="B183" s="98"/>
      <c r="C183" s="98"/>
      <c r="D183" s="98"/>
      <c r="E183" s="278" t="s">
        <v>570</v>
      </c>
      <c r="F183" s="123" t="s">
        <v>558</v>
      </c>
      <c r="G183" s="249" t="s">
        <v>571</v>
      </c>
      <c r="H183" s="260"/>
      <c r="I183" s="260"/>
      <c r="J183" s="260"/>
      <c r="K183" s="260"/>
      <c r="L183" s="260"/>
      <c r="M183" s="260"/>
      <c r="N183" s="260"/>
      <c r="O183" s="260"/>
      <c r="P183" s="260"/>
      <c r="Q183" s="260"/>
      <c r="R183" s="260"/>
      <c r="S183" s="260"/>
      <c r="T183" s="260"/>
      <c r="U183" s="260"/>
      <c r="V183" s="260"/>
      <c r="W183" s="202"/>
      <c r="X183" s="181"/>
      <c r="Y183" s="181"/>
      <c r="Z183" s="181"/>
      <c r="AA183" s="181"/>
      <c r="AB183" s="202"/>
      <c r="AC183" s="202"/>
      <c r="AD183" s="202"/>
      <c r="AE183" s="202"/>
      <c r="AF183" s="202"/>
      <c r="AG183" s="202"/>
      <c r="AH183" s="202"/>
      <c r="AI183" s="204"/>
      <c r="AJ183" s="204"/>
      <c r="AK183" s="204"/>
      <c r="AL183" s="204"/>
      <c r="AM183" s="251"/>
      <c r="AN183" s="100" t="b">
        <f t="shared" si="7"/>
        <v>0</v>
      </c>
      <c r="AO183" s="102"/>
    </row>
    <row r="184" ht="14.25" customHeight="1" outlineLevel="3">
      <c r="A184" s="98"/>
      <c r="B184" s="98"/>
      <c r="C184" s="98"/>
      <c r="D184" s="98"/>
      <c r="E184" s="278" t="s">
        <v>572</v>
      </c>
      <c r="F184" s="123" t="s">
        <v>558</v>
      </c>
      <c r="G184" s="123" t="s">
        <v>573</v>
      </c>
      <c r="H184" s="260"/>
      <c r="I184" s="260"/>
      <c r="J184" s="260"/>
      <c r="K184" s="260"/>
      <c r="L184" s="260"/>
      <c r="M184" s="260"/>
      <c r="N184" s="260"/>
      <c r="O184" s="260"/>
      <c r="P184" s="260"/>
      <c r="Q184" s="260"/>
      <c r="R184" s="260"/>
      <c r="S184" s="260"/>
      <c r="T184" s="260"/>
      <c r="U184" s="260"/>
      <c r="V184" s="260"/>
      <c r="W184" s="202"/>
      <c r="X184" s="181"/>
      <c r="Y184" s="181"/>
      <c r="Z184" s="181"/>
      <c r="AA184" s="181"/>
      <c r="AB184" s="202"/>
      <c r="AC184" s="202"/>
      <c r="AD184" s="202"/>
      <c r="AE184" s="202"/>
      <c r="AF184" s="202"/>
      <c r="AG184" s="202"/>
      <c r="AH184" s="202"/>
      <c r="AI184" s="204"/>
      <c r="AJ184" s="204"/>
      <c r="AK184" s="204"/>
      <c r="AL184" s="204"/>
      <c r="AM184" s="251"/>
      <c r="AN184" s="100" t="b">
        <f t="shared" si="7"/>
        <v>0</v>
      </c>
      <c r="AO184" s="102"/>
    </row>
    <row r="185" ht="13.5" customHeight="1" outlineLevel="2">
      <c r="A185" s="247"/>
      <c r="B185" s="201"/>
      <c r="C185" s="162" t="s">
        <v>574</v>
      </c>
      <c r="D185" s="201"/>
      <c r="E185" s="162"/>
      <c r="F185" s="162"/>
      <c r="G185" s="162"/>
      <c r="H185" s="178"/>
      <c r="I185" s="178"/>
      <c r="J185" s="178"/>
      <c r="K185" s="178"/>
      <c r="L185" s="178"/>
      <c r="M185" s="178"/>
      <c r="N185" s="178"/>
      <c r="O185" s="178"/>
      <c r="P185" s="178"/>
      <c r="Q185" s="178"/>
      <c r="R185" s="178"/>
      <c r="S185" s="178"/>
      <c r="T185" s="178"/>
      <c r="U185" s="178"/>
      <c r="V185" s="178"/>
      <c r="W185" s="178"/>
      <c r="X185" s="178"/>
      <c r="Y185" s="178"/>
      <c r="Z185" s="178"/>
      <c r="AA185" s="178"/>
      <c r="AB185" s="178"/>
      <c r="AC185" s="178"/>
      <c r="AD185" s="178"/>
      <c r="AE185" s="178"/>
      <c r="AF185" s="178"/>
      <c r="AG185" s="178"/>
      <c r="AH185" s="178"/>
      <c r="AI185" s="244"/>
      <c r="AJ185" s="244"/>
      <c r="AK185" s="244"/>
      <c r="AL185" s="244"/>
      <c r="AM185" s="162"/>
      <c r="AN185" s="100" t="b">
        <f t="shared" si="7"/>
        <v>0</v>
      </c>
      <c r="AO185" s="102"/>
    </row>
    <row r="186" ht="14.25" customHeight="1" outlineLevel="3">
      <c r="A186" s="200"/>
      <c r="B186" s="100"/>
      <c r="C186" s="201"/>
      <c r="D186" s="201"/>
      <c r="E186" s="299" t="s">
        <v>575</v>
      </c>
      <c r="F186" s="123" t="s">
        <v>135</v>
      </c>
      <c r="G186" s="123" t="s">
        <v>576</v>
      </c>
      <c r="H186" s="274">
        <f>caltotelccfresdom</f>
        <v>0</v>
      </c>
      <c r="I186" s="274">
        <f>caltotelccfresdom</f>
        <v>0</v>
      </c>
      <c r="J186" s="274">
        <f>caltotelccfresdom</f>
        <v>0</v>
      </c>
      <c r="K186" s="274">
        <f>caltotelccfresdom</f>
        <v>0</v>
      </c>
      <c r="L186" s="274">
        <f>caltotelccfresdom</f>
        <v>0</v>
      </c>
      <c r="M186" s="274">
        <f>caltotelccfresdom</f>
        <v>0</v>
      </c>
      <c r="N186" s="274">
        <f>caltotelccfresdom</f>
        <v>0</v>
      </c>
      <c r="O186" s="274">
        <f>caltotelccfresdom</f>
        <v>0</v>
      </c>
      <c r="P186" s="274">
        <f>caltotelccfresdom</f>
        <v>0</v>
      </c>
      <c r="Q186" s="274">
        <f>caltotelccfresdom</f>
        <v>0</v>
      </c>
      <c r="R186" s="274">
        <f>caltotelccfresdom</f>
        <v>1.635849046</v>
      </c>
      <c r="S186" s="274">
        <f>caltotelccfresdom</f>
        <v>1.575502103</v>
      </c>
      <c r="T186" s="274">
        <f>caltotelccfresdom</f>
        <v>1.506415551</v>
      </c>
      <c r="U186" s="274">
        <f>caltotelccfresdom</f>
        <v>1.459561735</v>
      </c>
      <c r="V186" s="274">
        <f>caltotelccfresdom</f>
        <v>1.434891046</v>
      </c>
      <c r="W186" s="274">
        <f>caltotelccfresdom</f>
        <v>6.920444308</v>
      </c>
      <c r="X186" s="274">
        <f>caltotelccfresdom</f>
        <v>0</v>
      </c>
      <c r="Y186" s="274">
        <f>caltotelccfresdom</f>
        <v>0</v>
      </c>
      <c r="Z186" s="274">
        <f>caltotelccfresdom</f>
        <v>0</v>
      </c>
      <c r="AA186" s="274">
        <f>caltotelccfresdom</f>
        <v>0</v>
      </c>
      <c r="AB186" s="274">
        <f>caltotelccfresdom</f>
        <v>0</v>
      </c>
      <c r="AC186" s="274">
        <f>caltotelccfresdom</f>
        <v>0</v>
      </c>
      <c r="AD186" s="274">
        <f>caltotelccfresdom</f>
        <v>0</v>
      </c>
      <c r="AE186" s="274">
        <f>caltotelccfresdom</f>
        <v>0</v>
      </c>
      <c r="AF186" s="274">
        <f>caltotelccfresdom</f>
        <v>0</v>
      </c>
      <c r="AG186" s="274">
        <f>caltotelccfresdom</f>
        <v>0</v>
      </c>
      <c r="AH186" s="274">
        <f>caltotelccfresdom</f>
        <v>0</v>
      </c>
      <c r="AI186" s="204"/>
      <c r="AJ186" s="275"/>
      <c r="AK186" s="204"/>
      <c r="AL186" s="204"/>
      <c r="AM186" s="251"/>
      <c r="AN186" s="100" t="b">
        <f t="shared" si="7"/>
        <v>1</v>
      </c>
      <c r="AO186" s="102"/>
    </row>
    <row r="187" ht="14.25" customHeight="1" outlineLevel="3">
      <c r="A187" s="200"/>
      <c r="B187" s="201"/>
      <c r="C187" s="201"/>
      <c r="D187" s="201"/>
      <c r="E187" s="273" t="s">
        <v>577</v>
      </c>
      <c r="F187" s="280" t="s">
        <v>135</v>
      </c>
      <c r="G187" s="249" t="s">
        <v>578</v>
      </c>
      <c r="H187" s="274" t="str">
        <f>calelccfreslgt</f>
        <v/>
      </c>
      <c r="I187" s="274" t="str">
        <f>calelccfreslgt</f>
        <v/>
      </c>
      <c r="J187" s="274" t="str">
        <f>calelccfreslgt</f>
        <v/>
      </c>
      <c r="K187" s="274" t="str">
        <f>calelccfreslgt</f>
        <v/>
      </c>
      <c r="L187" s="274" t="str">
        <f>calelccfreslgt</f>
        <v/>
      </c>
      <c r="M187" s="274" t="str">
        <f>calelccfreslgt</f>
        <v/>
      </c>
      <c r="N187" s="274" t="str">
        <f>calelccfreslgt</f>
        <v/>
      </c>
      <c r="O187" s="274" t="str">
        <f>calelccfreslgt</f>
        <v/>
      </c>
      <c r="P187" s="274" t="str">
        <f>calelccfreslgt</f>
        <v/>
      </c>
      <c r="Q187" s="274" t="str">
        <f>calelccfreslgt</f>
        <v/>
      </c>
      <c r="R187" s="274">
        <f>calelccfreslgt</f>
        <v>0</v>
      </c>
      <c r="S187" s="274">
        <f>calelccfreslgt</f>
        <v>0</v>
      </c>
      <c r="T187" s="274">
        <f>calelccfreslgt</f>
        <v>0</v>
      </c>
      <c r="U187" s="274">
        <f>calelccfreslgt</f>
        <v>0</v>
      </c>
      <c r="V187" s="274">
        <f>calelccfreslgt</f>
        <v>0</v>
      </c>
      <c r="W187" s="274">
        <f>calelccfreslgt</f>
        <v>0.9502367645</v>
      </c>
      <c r="X187" s="274" t="str">
        <f>calelccfreslgt</f>
        <v/>
      </c>
      <c r="Y187" s="274" t="str">
        <f>calelccfreslgt</f>
        <v/>
      </c>
      <c r="Z187" s="274" t="str">
        <f>calelccfreslgt</f>
        <v/>
      </c>
      <c r="AA187" s="274" t="str">
        <f>calelccfreslgt</f>
        <v/>
      </c>
      <c r="AB187" s="274" t="str">
        <f>calelccfreslgt</f>
        <v/>
      </c>
      <c r="AC187" s="274" t="str">
        <f>calelccfreslgt</f>
        <v/>
      </c>
      <c r="AD187" s="274" t="str">
        <f>calelccfreslgt</f>
        <v/>
      </c>
      <c r="AE187" s="274" t="str">
        <f>calelccfreslgt</f>
        <v/>
      </c>
      <c r="AF187" s="274" t="str">
        <f>calelccfreslgt</f>
        <v/>
      </c>
      <c r="AG187" s="274" t="str">
        <f>calelccfreslgt</f>
        <v/>
      </c>
      <c r="AH187" s="274" t="str">
        <f>calelccfreslgt</f>
        <v/>
      </c>
      <c r="AI187" s="204"/>
      <c r="AJ187" s="275"/>
      <c r="AK187" s="204"/>
      <c r="AL187" s="204"/>
      <c r="AM187" s="251"/>
      <c r="AN187" s="100" t="b">
        <f t="shared" si="7"/>
        <v>1</v>
      </c>
      <c r="AO187" s="102"/>
    </row>
    <row r="188" ht="14.25" customHeight="1" outlineLevel="3">
      <c r="A188" s="200"/>
      <c r="B188" s="100"/>
      <c r="C188" s="201"/>
      <c r="D188" s="201"/>
      <c r="E188" s="273" t="s">
        <v>579</v>
      </c>
      <c r="F188" s="280" t="s">
        <v>135</v>
      </c>
      <c r="G188" s="249" t="s">
        <v>580</v>
      </c>
      <c r="H188" s="274" t="str">
        <f>calelecfreslar</f>
        <v/>
      </c>
      <c r="I188" s="274" t="str">
        <f>calelecfreslar</f>
        <v/>
      </c>
      <c r="J188" s="274" t="str">
        <f>calelecfreslar</f>
        <v/>
      </c>
      <c r="K188" s="274" t="str">
        <f>calelecfreslar</f>
        <v/>
      </c>
      <c r="L188" s="274" t="str">
        <f>calelecfreslar</f>
        <v/>
      </c>
      <c r="M188" s="274" t="str">
        <f>calelecfreslar</f>
        <v/>
      </c>
      <c r="N188" s="274" t="str">
        <f>calelecfreslar</f>
        <v/>
      </c>
      <c r="O188" s="274" t="str">
        <f>calelecfreslar</f>
        <v/>
      </c>
      <c r="P188" s="274" t="str">
        <f>calelecfreslar</f>
        <v/>
      </c>
      <c r="Q188" s="274" t="str">
        <f>calelecfreslar</f>
        <v/>
      </c>
      <c r="R188" s="274">
        <f>calelecfreslar</f>
        <v>1.635849046</v>
      </c>
      <c r="S188" s="274">
        <f>calelecfreslar</f>
        <v>1.575502103</v>
      </c>
      <c r="T188" s="274">
        <f>calelecfreslar</f>
        <v>1.506415551</v>
      </c>
      <c r="U188" s="274">
        <f>calelecfreslar</f>
        <v>1.459561735</v>
      </c>
      <c r="V188" s="274">
        <f>calelecfreslar</f>
        <v>1.434891046</v>
      </c>
      <c r="W188" s="274">
        <f>calelecfreslar</f>
        <v>5.970207543</v>
      </c>
      <c r="X188" s="274" t="str">
        <f>calelecfreslar</f>
        <v/>
      </c>
      <c r="Y188" s="274" t="str">
        <f>calelecfreslar</f>
        <v/>
      </c>
      <c r="Z188" s="274" t="str">
        <f>calelecfreslar</f>
        <v/>
      </c>
      <c r="AA188" s="274" t="str">
        <f>calelecfreslar</f>
        <v/>
      </c>
      <c r="AB188" s="274" t="str">
        <f>calelecfreslar</f>
        <v/>
      </c>
      <c r="AC188" s="274" t="str">
        <f>calelecfreslar</f>
        <v/>
      </c>
      <c r="AD188" s="274" t="str">
        <f>calelecfreslar</f>
        <v/>
      </c>
      <c r="AE188" s="274" t="str">
        <f>calelecfreslar</f>
        <v/>
      </c>
      <c r="AF188" s="274" t="str">
        <f>calelecfreslar</f>
        <v/>
      </c>
      <c r="AG188" s="274" t="str">
        <f>calelecfreslar</f>
        <v/>
      </c>
      <c r="AH188" s="274" t="str">
        <f>calelecfreslar</f>
        <v/>
      </c>
      <c r="AI188" s="204"/>
      <c r="AJ188" s="275"/>
      <c r="AK188" s="204"/>
      <c r="AL188" s="204"/>
      <c r="AM188" s="251"/>
      <c r="AN188" s="100" t="b">
        <f t="shared" si="7"/>
        <v>1</v>
      </c>
      <c r="AO188" s="102"/>
    </row>
    <row r="189" ht="14.25" customHeight="1" outlineLevel="3">
      <c r="A189" s="200"/>
      <c r="B189" s="201"/>
      <c r="C189" s="201"/>
      <c r="D189" s="201"/>
      <c r="E189" s="273" t="s">
        <v>581</v>
      </c>
      <c r="F189" s="280" t="s">
        <v>135</v>
      </c>
      <c r="G189" s="123" t="s">
        <v>582</v>
      </c>
      <c r="H189" s="274" t="str">
        <f>calelecfressma</f>
        <v/>
      </c>
      <c r="I189" s="274" t="str">
        <f>calelecfressma</f>
        <v/>
      </c>
      <c r="J189" s="274" t="str">
        <f>calelecfressma</f>
        <v/>
      </c>
      <c r="K189" s="274" t="str">
        <f>calelecfressma</f>
        <v/>
      </c>
      <c r="L189" s="274" t="str">
        <f>calelecfressma</f>
        <v/>
      </c>
      <c r="M189" s="274" t="str">
        <f>calelecfressma</f>
        <v/>
      </c>
      <c r="N189" s="274" t="str">
        <f>calelecfressma</f>
        <v/>
      </c>
      <c r="O189" s="274" t="str">
        <f>calelecfressma</f>
        <v/>
      </c>
      <c r="P189" s="274" t="str">
        <f>calelecfressma</f>
        <v/>
      </c>
      <c r="Q189" s="274" t="str">
        <f>calelecfressma</f>
        <v/>
      </c>
      <c r="R189" s="274" t="str">
        <f>calelecfressma</f>
        <v/>
      </c>
      <c r="S189" s="274" t="str">
        <f>calelecfressma</f>
        <v/>
      </c>
      <c r="T189" s="274" t="str">
        <f>calelecfressma</f>
        <v/>
      </c>
      <c r="U189" s="274" t="str">
        <f>calelecfressma</f>
        <v/>
      </c>
      <c r="V189" s="274" t="str">
        <f>calelecfressma</f>
        <v/>
      </c>
      <c r="W189" s="274" t="str">
        <f>calelecfressma</f>
        <v/>
      </c>
      <c r="X189" s="274" t="str">
        <f>calelecfressma</f>
        <v/>
      </c>
      <c r="Y189" s="274" t="str">
        <f>calelecfressma</f>
        <v/>
      </c>
      <c r="Z189" s="274" t="str">
        <f>calelecfressma</f>
        <v/>
      </c>
      <c r="AA189" s="274" t="str">
        <f>calelecfressma</f>
        <v/>
      </c>
      <c r="AB189" s="274" t="str">
        <f>calelecfressma</f>
        <v/>
      </c>
      <c r="AC189" s="274" t="str">
        <f>calelecfressma</f>
        <v/>
      </c>
      <c r="AD189" s="274" t="str">
        <f>calelecfressma</f>
        <v/>
      </c>
      <c r="AE189" s="274" t="str">
        <f>calelecfressma</f>
        <v/>
      </c>
      <c r="AF189" s="274" t="str">
        <f>calelecfressma</f>
        <v/>
      </c>
      <c r="AG189" s="274" t="str">
        <f>calelecfressma</f>
        <v/>
      </c>
      <c r="AH189" s="274" t="str">
        <f>calelecfressma</f>
        <v/>
      </c>
      <c r="AI189" s="204"/>
      <c r="AJ189" s="275"/>
      <c r="AK189" s="204"/>
      <c r="AL189" s="204"/>
      <c r="AM189" s="251"/>
      <c r="AN189" s="100" t="b">
        <f t="shared" si="7"/>
        <v>1</v>
      </c>
      <c r="AO189" s="102"/>
    </row>
    <row r="190" ht="14.25" customHeight="1" outlineLevel="2">
      <c r="A190" s="294"/>
      <c r="B190" s="201"/>
      <c r="C190" s="246" t="str">
        <f>IF(COUNTIF(H190:AH190,"warning")&gt;0,"\-&gt; Electricy consumption for: &gt;&gt; WARNING: For some years, Total FEC ≠ ∑ FEC by type of equipment!","\-&gt; Electricy consumption for:")</f>
        <v>\-&gt; Electricy consumption for:</v>
      </c>
      <c r="D190" s="201"/>
      <c r="E190" s="162"/>
      <c r="F190" s="162"/>
      <c r="G190" s="162"/>
      <c r="H190" s="290" t="str">
        <f t="shared" ref="H190:AH190" si="10">IF(OR(ISBLANK(H191),COUNTA(H192:H194)&lt;3),"",IF(ABS(H191-SUM(H192:H194))/H191&lt;10^-3,"","Warning"))</f>
        <v/>
      </c>
      <c r="I190" s="290" t="str">
        <f t="shared" si="10"/>
        <v/>
      </c>
      <c r="J190" s="290" t="str">
        <f t="shared" si="10"/>
        <v/>
      </c>
      <c r="K190" s="290" t="str">
        <f t="shared" si="10"/>
        <v/>
      </c>
      <c r="L190" s="290" t="str">
        <f t="shared" si="10"/>
        <v/>
      </c>
      <c r="M190" s="290" t="str">
        <f t="shared" si="10"/>
        <v/>
      </c>
      <c r="N190" s="290" t="str">
        <f t="shared" si="10"/>
        <v/>
      </c>
      <c r="O190" s="290" t="str">
        <f t="shared" si="10"/>
        <v/>
      </c>
      <c r="P190" s="290" t="str">
        <f t="shared" si="10"/>
        <v/>
      </c>
      <c r="Q190" s="290" t="str">
        <f t="shared" si="10"/>
        <v/>
      </c>
      <c r="R190" s="290" t="str">
        <f t="shared" si="10"/>
        <v/>
      </c>
      <c r="S190" s="290" t="str">
        <f t="shared" si="10"/>
        <v/>
      </c>
      <c r="T190" s="290" t="str">
        <f t="shared" si="10"/>
        <v/>
      </c>
      <c r="U190" s="290" t="str">
        <f t="shared" si="10"/>
        <v/>
      </c>
      <c r="V190" s="290" t="str">
        <f t="shared" si="10"/>
        <v/>
      </c>
      <c r="W190" s="290" t="str">
        <f t="shared" si="10"/>
        <v/>
      </c>
      <c r="X190" s="290" t="str">
        <f t="shared" si="10"/>
        <v/>
      </c>
      <c r="Y190" s="290" t="str">
        <f t="shared" si="10"/>
        <v/>
      </c>
      <c r="Z190" s="290" t="str">
        <f t="shared" si="10"/>
        <v/>
      </c>
      <c r="AA190" s="290" t="str">
        <f t="shared" si="10"/>
        <v/>
      </c>
      <c r="AB190" s="290" t="str">
        <f t="shared" si="10"/>
        <v/>
      </c>
      <c r="AC190" s="290" t="str">
        <f t="shared" si="10"/>
        <v/>
      </c>
      <c r="AD190" s="290" t="str">
        <f t="shared" si="10"/>
        <v/>
      </c>
      <c r="AE190" s="290" t="str">
        <f t="shared" si="10"/>
        <v/>
      </c>
      <c r="AF190" s="290" t="str">
        <f t="shared" si="10"/>
        <v/>
      </c>
      <c r="AG190" s="290" t="str">
        <f t="shared" si="10"/>
        <v/>
      </c>
      <c r="AH190" s="290" t="str">
        <f t="shared" si="10"/>
        <v/>
      </c>
      <c r="AI190" s="244"/>
      <c r="AJ190" s="244"/>
      <c r="AK190" s="244"/>
      <c r="AL190" s="244"/>
      <c r="AM190" s="162"/>
      <c r="AN190" s="100" t="b">
        <f t="shared" si="7"/>
        <v>1</v>
      </c>
      <c r="AO190" s="102"/>
    </row>
    <row r="191" ht="14.25" customHeight="1" outlineLevel="3">
      <c r="A191" s="294"/>
      <c r="B191" s="201"/>
      <c r="C191" s="201"/>
      <c r="D191" s="201"/>
      <c r="E191" s="287" t="s">
        <v>583</v>
      </c>
      <c r="F191" s="249" t="s">
        <v>135</v>
      </c>
      <c r="G191" s="249" t="s">
        <v>584</v>
      </c>
      <c r="H191" s="260"/>
      <c r="I191" s="181"/>
      <c r="J191" s="181"/>
      <c r="K191" s="181"/>
      <c r="L191" s="181"/>
      <c r="M191" s="181"/>
      <c r="N191" s="181"/>
      <c r="O191" s="181"/>
      <c r="P191" s="181"/>
      <c r="Q191" s="181"/>
      <c r="R191" s="181">
        <v>13.3433</v>
      </c>
      <c r="S191" s="181">
        <v>12.937</v>
      </c>
      <c r="T191" s="181">
        <v>13.3529</v>
      </c>
      <c r="U191" s="181">
        <v>12.9749</v>
      </c>
      <c r="V191" s="181">
        <v>12.6953</v>
      </c>
      <c r="W191" s="202">
        <v>12.3979</v>
      </c>
      <c r="X191" s="181"/>
      <c r="Y191" s="181"/>
      <c r="Z191" s="181"/>
      <c r="AA191" s="181"/>
      <c r="AB191" s="202">
        <v>11.4660707692022</v>
      </c>
      <c r="AC191" s="202">
        <v>10.4081366877073</v>
      </c>
      <c r="AD191" s="202">
        <v>9.74010063789334</v>
      </c>
      <c r="AE191" s="202">
        <v>9.04515980568768</v>
      </c>
      <c r="AF191" s="202">
        <v>8.32709209986242</v>
      </c>
      <c r="AG191" s="202">
        <v>7.7530992209996</v>
      </c>
      <c r="AH191" s="203">
        <v>7.1561922</v>
      </c>
      <c r="AI191" s="204"/>
      <c r="AJ191" s="204"/>
      <c r="AK191" s="204"/>
      <c r="AL191" s="204"/>
      <c r="AM191" s="251"/>
      <c r="AN191" s="100" t="b">
        <f t="shared" si="7"/>
        <v>0</v>
      </c>
      <c r="AO191" s="102"/>
    </row>
    <row r="192" ht="14.25" customHeight="1" outlineLevel="3">
      <c r="A192" s="294"/>
      <c r="B192" s="201"/>
      <c r="C192" s="201"/>
      <c r="D192" s="201"/>
      <c r="E192" s="270" t="s">
        <v>577</v>
      </c>
      <c r="F192" s="249" t="s">
        <v>135</v>
      </c>
      <c r="G192" s="249" t="s">
        <v>585</v>
      </c>
      <c r="H192" s="260"/>
      <c r="I192" s="181"/>
      <c r="J192" s="181"/>
      <c r="K192" s="181"/>
      <c r="L192" s="181"/>
      <c r="M192" s="181"/>
      <c r="N192" s="181"/>
      <c r="O192" s="181"/>
      <c r="P192" s="181"/>
      <c r="Q192" s="181"/>
      <c r="R192" s="181"/>
      <c r="S192" s="181"/>
      <c r="T192" s="181"/>
      <c r="U192" s="181"/>
      <c r="V192" s="181"/>
      <c r="W192" s="286">
        <v>0.915822231290635</v>
      </c>
      <c r="X192" s="181"/>
      <c r="Y192" s="181"/>
      <c r="Z192" s="181"/>
      <c r="AA192" s="181"/>
      <c r="AB192" s="286"/>
      <c r="AC192" s="286"/>
      <c r="AD192" s="286"/>
      <c r="AE192" s="286"/>
      <c r="AF192" s="286"/>
      <c r="AG192" s="286"/>
      <c r="AH192" s="286"/>
      <c r="AI192" s="204"/>
      <c r="AJ192" s="204"/>
      <c r="AK192" s="204"/>
      <c r="AL192" s="204"/>
      <c r="AM192" s="251"/>
      <c r="AN192" s="100" t="b">
        <f t="shared" si="7"/>
        <v>0</v>
      </c>
      <c r="AO192" s="102"/>
    </row>
    <row r="193" ht="14.25" customHeight="1" outlineLevel="3">
      <c r="A193" s="294"/>
      <c r="B193" s="201"/>
      <c r="C193" s="201"/>
      <c r="D193" s="201"/>
      <c r="E193" s="270" t="s">
        <v>586</v>
      </c>
      <c r="F193" s="249" t="s">
        <v>135</v>
      </c>
      <c r="G193" s="249" t="s">
        <v>587</v>
      </c>
      <c r="H193" s="260"/>
      <c r="I193" s="181"/>
      <c r="J193" s="181"/>
      <c r="K193" s="181"/>
      <c r="L193" s="181"/>
      <c r="M193" s="181"/>
      <c r="N193" s="181"/>
      <c r="O193" s="181"/>
      <c r="P193" s="181"/>
      <c r="Q193" s="181"/>
      <c r="R193" s="181"/>
      <c r="S193" s="181"/>
      <c r="T193" s="181"/>
      <c r="U193" s="181"/>
      <c r="V193" s="181"/>
      <c r="W193" s="286">
        <v>5.75398574135438</v>
      </c>
      <c r="X193" s="181"/>
      <c r="Y193" s="181"/>
      <c r="Z193" s="181"/>
      <c r="AA193" s="181"/>
      <c r="AB193" s="286"/>
      <c r="AC193" s="286"/>
      <c r="AD193" s="286"/>
      <c r="AE193" s="286"/>
      <c r="AF193" s="286"/>
      <c r="AG193" s="286"/>
      <c r="AH193" s="286"/>
      <c r="AI193" s="204"/>
      <c r="AJ193" s="204"/>
      <c r="AK193" s="204"/>
      <c r="AL193" s="204"/>
      <c r="AM193" s="251"/>
      <c r="AN193" s="100" t="b">
        <f t="shared" si="7"/>
        <v>0</v>
      </c>
      <c r="AO193" s="102"/>
    </row>
    <row r="194" ht="14.25" customHeight="1" outlineLevel="3">
      <c r="A194" s="294"/>
      <c r="B194" s="201"/>
      <c r="C194" s="201"/>
      <c r="D194" s="201"/>
      <c r="E194" s="122" t="s">
        <v>588</v>
      </c>
      <c r="F194" s="123" t="s">
        <v>135</v>
      </c>
      <c r="G194" s="123" t="s">
        <v>589</v>
      </c>
      <c r="H194" s="260"/>
      <c r="I194" s="181"/>
      <c r="J194" s="181"/>
      <c r="K194" s="181"/>
      <c r="L194" s="181"/>
      <c r="M194" s="181"/>
      <c r="N194" s="181"/>
      <c r="O194" s="181"/>
      <c r="P194" s="181"/>
      <c r="Q194" s="181"/>
      <c r="R194" s="181"/>
      <c r="S194" s="181"/>
      <c r="T194" s="181"/>
      <c r="U194" s="181"/>
      <c r="V194" s="181"/>
      <c r="W194" s="286"/>
      <c r="X194" s="181"/>
      <c r="Y194" s="181"/>
      <c r="Z194" s="181"/>
      <c r="AA194" s="181"/>
      <c r="AB194" s="286"/>
      <c r="AC194" s="286"/>
      <c r="AD194" s="286"/>
      <c r="AE194" s="286"/>
      <c r="AF194" s="286"/>
      <c r="AG194" s="286"/>
      <c r="AH194" s="286"/>
      <c r="AI194" s="204"/>
      <c r="AJ194" s="204"/>
      <c r="AK194" s="204"/>
      <c r="AL194" s="204"/>
      <c r="AM194" s="251"/>
      <c r="AN194" s="100" t="b">
        <f t="shared" si="7"/>
        <v>0</v>
      </c>
      <c r="AO194" s="102"/>
    </row>
    <row r="195" ht="14.25" customHeight="1" outlineLevel="1">
      <c r="A195" s="247"/>
      <c r="B195" s="282" t="s">
        <v>590</v>
      </c>
      <c r="C195" s="282"/>
      <c r="D195" s="201"/>
      <c r="E195" s="162"/>
      <c r="F195" s="162"/>
      <c r="G195" s="162"/>
      <c r="H195" s="178"/>
      <c r="I195" s="178"/>
      <c r="J195" s="178"/>
      <c r="K195" s="178"/>
      <c r="L195" s="178"/>
      <c r="M195" s="178"/>
      <c r="N195" s="178"/>
      <c r="O195" s="178"/>
      <c r="P195" s="178"/>
      <c r="Q195" s="178"/>
      <c r="R195" s="178"/>
      <c r="S195" s="178"/>
      <c r="T195" s="178"/>
      <c r="U195" s="178"/>
      <c r="V195" s="178"/>
      <c r="W195" s="178"/>
      <c r="X195" s="178"/>
      <c r="Y195" s="178"/>
      <c r="Z195" s="178"/>
      <c r="AA195" s="178"/>
      <c r="AB195" s="178"/>
      <c r="AC195" s="178"/>
      <c r="AD195" s="178"/>
      <c r="AE195" s="178"/>
      <c r="AF195" s="178"/>
      <c r="AG195" s="178"/>
      <c r="AH195" s="178"/>
      <c r="AI195" s="244"/>
      <c r="AJ195" s="244"/>
      <c r="AK195" s="244"/>
      <c r="AL195" s="244"/>
      <c r="AM195" s="300"/>
      <c r="AN195" s="100" t="b">
        <f t="shared" si="7"/>
        <v>0</v>
      </c>
      <c r="AO195" s="102"/>
    </row>
    <row r="196" ht="14.25" customHeight="1" outlineLevel="2">
      <c r="A196" s="294"/>
      <c r="B196" s="301" t="s">
        <v>591</v>
      </c>
      <c r="C196" s="293"/>
      <c r="D196" s="201"/>
      <c r="E196" s="162"/>
      <c r="F196" s="162"/>
      <c r="G196" s="162"/>
      <c r="H196" s="178"/>
      <c r="I196" s="178"/>
      <c r="J196" s="178"/>
      <c r="K196" s="178"/>
      <c r="L196" s="178"/>
      <c r="M196" s="178"/>
      <c r="N196" s="178"/>
      <c r="O196" s="178"/>
      <c r="P196" s="178"/>
      <c r="Q196" s="178"/>
      <c r="R196" s="178"/>
      <c r="S196" s="178"/>
      <c r="T196" s="178"/>
      <c r="U196" s="178"/>
      <c r="V196" s="178"/>
      <c r="W196" s="178"/>
      <c r="X196" s="178"/>
      <c r="Y196" s="178"/>
      <c r="Z196" s="178"/>
      <c r="AA196" s="178"/>
      <c r="AB196" s="178"/>
      <c r="AC196" s="178"/>
      <c r="AD196" s="178"/>
      <c r="AE196" s="178"/>
      <c r="AF196" s="178"/>
      <c r="AG196" s="178"/>
      <c r="AH196" s="178"/>
      <c r="AI196" s="244"/>
      <c r="AJ196" s="244"/>
      <c r="AK196" s="244"/>
      <c r="AL196" s="244"/>
      <c r="AM196" s="162"/>
      <c r="AN196" s="100" t="b">
        <f t="shared" si="7"/>
        <v>0</v>
      </c>
      <c r="AO196" s="102"/>
    </row>
    <row r="197" ht="14.25" customHeight="1" outlineLevel="3">
      <c r="A197" s="294"/>
      <c r="B197" s="201"/>
      <c r="C197" s="201"/>
      <c r="D197" s="201"/>
      <c r="E197" s="252" t="s">
        <v>592</v>
      </c>
      <c r="F197" s="249" t="s">
        <v>432</v>
      </c>
      <c r="G197" s="249" t="s">
        <v>593</v>
      </c>
      <c r="H197" s="260"/>
      <c r="I197" s="181"/>
      <c r="J197" s="181"/>
      <c r="K197" s="181"/>
      <c r="L197" s="181"/>
      <c r="M197" s="181"/>
      <c r="N197" s="181"/>
      <c r="O197" s="181"/>
      <c r="P197" s="181"/>
      <c r="Q197" s="181"/>
      <c r="R197" s="181"/>
      <c r="S197" s="181"/>
      <c r="T197" s="181"/>
      <c r="U197" s="181"/>
      <c r="V197" s="181"/>
      <c r="W197" s="182">
        <v>100.0</v>
      </c>
      <c r="X197" s="181"/>
      <c r="Y197" s="181"/>
      <c r="Z197" s="181"/>
      <c r="AA197" s="181"/>
      <c r="AB197" s="182">
        <v>100.0</v>
      </c>
      <c r="AC197" s="182">
        <v>105.0</v>
      </c>
      <c r="AD197" s="182">
        <v>110.0</v>
      </c>
      <c r="AE197" s="182">
        <v>115.0</v>
      </c>
      <c r="AF197" s="182">
        <v>120.0</v>
      </c>
      <c r="AG197" s="182">
        <v>120.0</v>
      </c>
      <c r="AH197" s="184">
        <v>120.0</v>
      </c>
      <c r="AI197" s="204"/>
      <c r="AJ197" s="204"/>
      <c r="AK197" s="204"/>
      <c r="AL197" s="204"/>
      <c r="AM197" s="251"/>
      <c r="AN197" s="100" t="b">
        <f t="shared" si="7"/>
        <v>0</v>
      </c>
      <c r="AO197" s="102"/>
    </row>
    <row r="198" ht="13.5" customHeight="1" outlineLevel="3">
      <c r="A198" s="294"/>
      <c r="B198" s="201"/>
      <c r="C198" s="201"/>
      <c r="D198" s="201"/>
      <c r="E198" s="252" t="s">
        <v>594</v>
      </c>
      <c r="F198" s="249" t="s">
        <v>432</v>
      </c>
      <c r="G198" s="249" t="s">
        <v>595</v>
      </c>
      <c r="H198" s="260"/>
      <c r="I198" s="181"/>
      <c r="J198" s="181"/>
      <c r="K198" s="181"/>
      <c r="L198" s="181"/>
      <c r="M198" s="181"/>
      <c r="N198" s="181"/>
      <c r="O198" s="181"/>
      <c r="P198" s="181"/>
      <c r="Q198" s="181"/>
      <c r="R198" s="181"/>
      <c r="S198" s="181"/>
      <c r="T198" s="181"/>
      <c r="U198" s="181"/>
      <c r="V198" s="181"/>
      <c r="W198" s="182">
        <v>100.0</v>
      </c>
      <c r="X198" s="181"/>
      <c r="Y198" s="181"/>
      <c r="Z198" s="181"/>
      <c r="AA198" s="181"/>
      <c r="AB198" s="182">
        <v>95.0</v>
      </c>
      <c r="AC198" s="182">
        <v>90.0</v>
      </c>
      <c r="AD198" s="182">
        <v>85.0</v>
      </c>
      <c r="AE198" s="182">
        <v>80.0</v>
      </c>
      <c r="AF198" s="182">
        <v>70.0</v>
      </c>
      <c r="AG198" s="182">
        <v>65.0</v>
      </c>
      <c r="AH198" s="184">
        <v>60.0</v>
      </c>
      <c r="AI198" s="204"/>
      <c r="AJ198" s="204"/>
      <c r="AK198" s="204"/>
      <c r="AL198" s="204"/>
      <c r="AM198" s="251"/>
      <c r="AN198" s="100" t="b">
        <f t="shared" si="7"/>
        <v>0</v>
      </c>
      <c r="AO198" s="102"/>
    </row>
    <row r="199" ht="14.25" customHeight="1" outlineLevel="3">
      <c r="A199" s="294"/>
      <c r="B199" s="201"/>
      <c r="C199" s="201"/>
      <c r="D199" s="201"/>
      <c r="E199" s="180" t="s">
        <v>596</v>
      </c>
      <c r="F199" s="123" t="s">
        <v>135</v>
      </c>
      <c r="G199" s="123" t="s">
        <v>597</v>
      </c>
      <c r="H199" s="260"/>
      <c r="I199" s="260"/>
      <c r="J199" s="260"/>
      <c r="K199" s="260"/>
      <c r="L199" s="260"/>
      <c r="M199" s="260"/>
      <c r="N199" s="260"/>
      <c r="O199" s="260"/>
      <c r="P199" s="260"/>
      <c r="Q199" s="260"/>
      <c r="R199" s="260"/>
      <c r="S199" s="260"/>
      <c r="T199" s="260"/>
      <c r="U199" s="260"/>
      <c r="V199" s="260"/>
      <c r="W199" s="182"/>
      <c r="X199" s="181"/>
      <c r="Y199" s="181"/>
      <c r="Z199" s="181"/>
      <c r="AA199" s="181"/>
      <c r="AB199" s="182"/>
      <c r="AC199" s="182"/>
      <c r="AD199" s="182"/>
      <c r="AE199" s="182"/>
      <c r="AF199" s="182"/>
      <c r="AG199" s="182"/>
      <c r="AH199" s="184"/>
      <c r="AI199" s="204"/>
      <c r="AJ199" s="204"/>
      <c r="AK199" s="204"/>
      <c r="AL199" s="204"/>
      <c r="AM199" s="205"/>
      <c r="AN199" s="100" t="b">
        <f t="shared" si="7"/>
        <v>0</v>
      </c>
      <c r="AO199" s="102"/>
    </row>
    <row r="200" ht="14.25" customHeight="1">
      <c r="A200" s="243" t="s">
        <v>598</v>
      </c>
      <c r="B200" s="246"/>
      <c r="C200" s="246"/>
      <c r="D200" s="201"/>
      <c r="E200" s="162"/>
      <c r="F200" s="162"/>
      <c r="G200" s="162"/>
      <c r="H200" s="178"/>
      <c r="I200" s="178"/>
      <c r="J200" s="178"/>
      <c r="K200" s="178"/>
      <c r="L200" s="178"/>
      <c r="M200" s="178"/>
      <c r="N200" s="178"/>
      <c r="O200" s="178"/>
      <c r="P200" s="178"/>
      <c r="Q200" s="178"/>
      <c r="R200" s="178"/>
      <c r="S200" s="178"/>
      <c r="T200" s="178"/>
      <c r="U200" s="178"/>
      <c r="V200" s="178"/>
      <c r="W200" s="178"/>
      <c r="X200" s="178"/>
      <c r="Y200" s="178"/>
      <c r="Z200" s="178"/>
      <c r="AA200" s="178"/>
      <c r="AB200" s="178"/>
      <c r="AC200" s="178"/>
      <c r="AD200" s="178"/>
      <c r="AE200" s="178"/>
      <c r="AF200" s="178"/>
      <c r="AG200" s="178"/>
      <c r="AH200" s="178"/>
      <c r="AI200" s="244"/>
      <c r="AJ200" s="244"/>
      <c r="AK200" s="244"/>
      <c r="AL200" s="244"/>
      <c r="AM200" s="162"/>
      <c r="AN200" s="100" t="b">
        <f t="shared" si="7"/>
        <v>0</v>
      </c>
      <c r="AO200" s="102"/>
    </row>
    <row r="201" ht="13.5" customHeight="1" outlineLevel="1">
      <c r="A201" s="247"/>
      <c r="B201" s="302" t="s">
        <v>599</v>
      </c>
      <c r="C201" s="162"/>
      <c r="D201" s="201"/>
      <c r="E201" s="162"/>
      <c r="F201" s="162"/>
      <c r="G201" s="162"/>
      <c r="H201" s="178"/>
      <c r="I201" s="178"/>
      <c r="J201" s="178"/>
      <c r="K201" s="178"/>
      <c r="L201" s="178"/>
      <c r="M201" s="178"/>
      <c r="N201" s="178"/>
      <c r="O201" s="178"/>
      <c r="P201" s="178"/>
      <c r="Q201" s="178"/>
      <c r="R201" s="178"/>
      <c r="S201" s="178"/>
      <c r="T201" s="178"/>
      <c r="U201" s="178"/>
      <c r="V201" s="178"/>
      <c r="W201" s="178"/>
      <c r="X201" s="178"/>
      <c r="Y201" s="178"/>
      <c r="Z201" s="178"/>
      <c r="AA201" s="178"/>
      <c r="AB201" s="178"/>
      <c r="AC201" s="178"/>
      <c r="AD201" s="178"/>
      <c r="AE201" s="178"/>
      <c r="AF201" s="178"/>
      <c r="AG201" s="178"/>
      <c r="AH201" s="178"/>
      <c r="AI201" s="244"/>
      <c r="AJ201" s="244"/>
      <c r="AK201" s="244"/>
      <c r="AL201" s="244"/>
      <c r="AM201" s="162"/>
      <c r="AN201" s="100" t="b">
        <f t="shared" si="7"/>
        <v>0</v>
      </c>
      <c r="AO201" s="102"/>
    </row>
    <row r="202" ht="14.25" customHeight="1" outlineLevel="2">
      <c r="A202" s="200"/>
      <c r="B202" s="100"/>
      <c r="C202" s="201"/>
      <c r="D202" s="201"/>
      <c r="E202" s="299" t="str">
        <f>"Total FEC in the residential sector"&amp;IF('EDCM - Residential'!$F$8="Ok"," (secondary and vacant dwellings included)"," (secondary and vacant dwellings not or partially included)")</f>
        <v>Total FEC in the residential sector (secondary and vacant dwellings not or partially included)</v>
      </c>
      <c r="F202" s="123" t="s">
        <v>135</v>
      </c>
      <c r="G202" s="123" t="s">
        <v>600</v>
      </c>
      <c r="H202" s="274" t="str">
        <f>caltoccfres</f>
        <v>#REF!</v>
      </c>
      <c r="I202" s="274" t="str">
        <f>caltoccfres</f>
        <v>#REF!</v>
      </c>
      <c r="J202" s="274" t="str">
        <f>caltoccfres</f>
        <v>#REF!</v>
      </c>
      <c r="K202" s="274" t="str">
        <f>caltoccfres</f>
        <v>#REF!</v>
      </c>
      <c r="L202" s="274" t="str">
        <f>caltoccfres</f>
        <v>#REF!</v>
      </c>
      <c r="M202" s="274" t="str">
        <f>caltoccfres</f>
        <v>#REF!</v>
      </c>
      <c r="N202" s="274" t="str">
        <f>caltoccfres</f>
        <v>#REF!</v>
      </c>
      <c r="O202" s="274" t="str">
        <f>caltoccfres</f>
        <v>#REF!</v>
      </c>
      <c r="P202" s="274" t="str">
        <f>caltoccfres</f>
        <v>#REF!</v>
      </c>
      <c r="Q202" s="274" t="str">
        <f>caltoccfres</f>
        <v>#REF!</v>
      </c>
      <c r="R202" s="274" t="str">
        <f>caltoccfres</f>
        <v>#REF!</v>
      </c>
      <c r="S202" s="274" t="str">
        <f>caltoccfres</f>
        <v>#REF!</v>
      </c>
      <c r="T202" s="274" t="str">
        <f>caltoccfres</f>
        <v>#REF!</v>
      </c>
      <c r="U202" s="274" t="str">
        <f>caltoccfres</f>
        <v>#REF!</v>
      </c>
      <c r="V202" s="274" t="str">
        <f>caltoccfres</f>
        <v>#REF!</v>
      </c>
      <c r="W202" s="274" t="str">
        <f>caltoccfres</f>
        <v>#REF!</v>
      </c>
      <c r="X202" s="274" t="str">
        <f>caltoccfres</f>
        <v>#REF!</v>
      </c>
      <c r="Y202" s="274" t="str">
        <f>caltoccfres</f>
        <v>#REF!</v>
      </c>
      <c r="Z202" s="274" t="str">
        <f>caltoccfres</f>
        <v>#REF!</v>
      </c>
      <c r="AA202" s="274" t="str">
        <f>caltoccfres</f>
        <v>#REF!</v>
      </c>
      <c r="AB202" s="274" t="str">
        <f>caltoccfres</f>
        <v>#REF!</v>
      </c>
      <c r="AC202" s="274" t="str">
        <f>caltoccfres</f>
        <v>#REF!</v>
      </c>
      <c r="AD202" s="274" t="str">
        <f>caltoccfres</f>
        <v>#REF!</v>
      </c>
      <c r="AE202" s="274" t="str">
        <f>caltoccfres</f>
        <v>#REF!</v>
      </c>
      <c r="AF202" s="274" t="str">
        <f>caltoccfres</f>
        <v>#REF!</v>
      </c>
      <c r="AG202" s="274" t="str">
        <f>caltoccfres</f>
        <v>#REF!</v>
      </c>
      <c r="AH202" s="274" t="str">
        <f>caltoccfres</f>
        <v>#REF!</v>
      </c>
      <c r="AI202" s="204"/>
      <c r="AJ202" s="275"/>
      <c r="AK202" s="204"/>
      <c r="AL202" s="204"/>
      <c r="AM202" s="251"/>
      <c r="AN202" s="100" t="b">
        <f t="shared" si="7"/>
        <v>1</v>
      </c>
      <c r="AO202" s="102"/>
    </row>
    <row r="203" ht="14.25" customHeight="1" outlineLevel="2">
      <c r="A203" s="200"/>
      <c r="B203" s="100"/>
      <c r="C203" s="201"/>
      <c r="D203" s="201"/>
      <c r="E203" s="299" t="str">
        <f>"FEC from solid fossil fuels (coal ...) in the residential sector"&amp;IF('EDCM - Residential'!$F$8="Ok"," (secondary and vacant dwellings included)"," (secondary and vacant dwellings not or partially included)")</f>
        <v>FEC from solid fossil fuels (coal ...) in the residential sector (secondary and vacant dwellings not or partially included)</v>
      </c>
      <c r="F203" s="123" t="s">
        <v>135</v>
      </c>
      <c r="G203" s="123" t="s">
        <v>601</v>
      </c>
      <c r="H203" s="274">
        <f>calcmscfres</f>
        <v>0.003</v>
      </c>
      <c r="I203" s="274">
        <f>calcmscfres</f>
        <v>0.0029</v>
      </c>
      <c r="J203" s="274">
        <f>calcmscfres</f>
        <v>0.0029</v>
      </c>
      <c r="K203" s="274">
        <f>calcmscfres</f>
        <v>0.0028</v>
      </c>
      <c r="L203" s="274">
        <f>calcmscfres</f>
        <v>0.0028</v>
      </c>
      <c r="M203" s="274">
        <f>calcmscfres</f>
        <v>0.0029</v>
      </c>
      <c r="N203" s="274">
        <f>calcmscfres</f>
        <v>0.0028</v>
      </c>
      <c r="O203" s="274">
        <f>calcmscfres</f>
        <v>0.0027</v>
      </c>
      <c r="P203" s="274">
        <f>calcmscfres</f>
        <v>0.0027</v>
      </c>
      <c r="Q203" s="274">
        <f>calcmscfres</f>
        <v>0.0026</v>
      </c>
      <c r="R203" s="274">
        <f>calcmscfres</f>
        <v>0.0026</v>
      </c>
      <c r="S203" s="274">
        <f>calcmscfres</f>
        <v>0.0026</v>
      </c>
      <c r="T203" s="274">
        <f>calcmscfres</f>
        <v>0.0027</v>
      </c>
      <c r="U203" s="274">
        <f>calcmscfres</f>
        <v>0.0027</v>
      </c>
      <c r="V203" s="274">
        <f>calcmscfres</f>
        <v>0.0027</v>
      </c>
      <c r="W203" s="274">
        <f>calcmscfres</f>
        <v>1.0952</v>
      </c>
      <c r="X203" s="274">
        <f>calcmscfres</f>
        <v>0.0027</v>
      </c>
      <c r="Y203" s="274">
        <f>calcmscfres</f>
        <v>0.0027</v>
      </c>
      <c r="Z203" s="274">
        <f>calcmscfres</f>
        <v>0</v>
      </c>
      <c r="AA203" s="274">
        <f>calcmscfres</f>
        <v>0</v>
      </c>
      <c r="AB203" s="274">
        <f>calcmscfres</f>
        <v>0.891550824</v>
      </c>
      <c r="AC203" s="274">
        <f>calcmscfres</f>
        <v>0.1713892634</v>
      </c>
      <c r="AD203" s="274">
        <f>calcmscfres</f>
        <v>0</v>
      </c>
      <c r="AE203" s="274">
        <f>calcmscfres</f>
        <v>0</v>
      </c>
      <c r="AF203" s="274">
        <f>calcmscfres</f>
        <v>0</v>
      </c>
      <c r="AG203" s="274">
        <f>calcmscfres</f>
        <v>0</v>
      </c>
      <c r="AH203" s="274">
        <f>calcmscfres</f>
        <v>0</v>
      </c>
      <c r="AI203" s="204"/>
      <c r="AJ203" s="275"/>
      <c r="AK203" s="204"/>
      <c r="AL203" s="204"/>
      <c r="AM203" s="251"/>
      <c r="AN203" s="100" t="b">
        <f t="shared" si="7"/>
        <v>1</v>
      </c>
      <c r="AO203" s="102"/>
    </row>
    <row r="204" ht="14.25" customHeight="1" outlineLevel="2">
      <c r="A204" s="200"/>
      <c r="B204" s="100"/>
      <c r="C204" s="201"/>
      <c r="D204" s="201"/>
      <c r="E204" s="299" t="str">
        <f>"FEC from solid biomass in the residential sector"&amp;IF('EDCM - Residential'!$F$8="Ok"," (secondary and vacant dwellings included)"," (secondary and vacant dwellings not or partially included)")</f>
        <v>FEC from solid biomass in the residential sector (secondary and vacant dwellings not or partially included)</v>
      </c>
      <c r="F204" s="123" t="s">
        <v>135</v>
      </c>
      <c r="G204" s="123" t="s">
        <v>602</v>
      </c>
      <c r="H204" s="274">
        <f>calenccfres</f>
        <v>0</v>
      </c>
      <c r="I204" s="274">
        <f>calenccfres</f>
        <v>0</v>
      </c>
      <c r="J204" s="274">
        <f>calenccfres</f>
        <v>0</v>
      </c>
      <c r="K204" s="274">
        <f>calenccfres</f>
        <v>0</v>
      </c>
      <c r="L204" s="274">
        <f>calenccfres</f>
        <v>0</v>
      </c>
      <c r="M204" s="274">
        <f>calenccfres</f>
        <v>0</v>
      </c>
      <c r="N204" s="274">
        <f>calenccfres</f>
        <v>0</v>
      </c>
      <c r="O204" s="274">
        <f>calenccfres</f>
        <v>0</v>
      </c>
      <c r="P204" s="274">
        <f>calenccfres</f>
        <v>0</v>
      </c>
      <c r="Q204" s="274">
        <f>calenccfres</f>
        <v>0</v>
      </c>
      <c r="R204" s="274">
        <f>calenccfres</f>
        <v>0.1533</v>
      </c>
      <c r="S204" s="274">
        <f>calenccfres</f>
        <v>0.1738</v>
      </c>
      <c r="T204" s="274">
        <f>calenccfres</f>
        <v>0.1836</v>
      </c>
      <c r="U204" s="274">
        <f>calenccfres</f>
        <v>0.227</v>
      </c>
      <c r="V204" s="274">
        <f>calenccfres</f>
        <v>0.2484</v>
      </c>
      <c r="W204" s="274">
        <f>calenccfres</f>
        <v>6.751522601</v>
      </c>
      <c r="X204" s="274">
        <f>calenccfres</f>
        <v>0.2909</v>
      </c>
      <c r="Y204" s="274">
        <f>calenccfres</f>
        <v>0.3005</v>
      </c>
      <c r="Z204" s="274">
        <f>calenccfres</f>
        <v>0</v>
      </c>
      <c r="AA204" s="274">
        <f>calenccfres</f>
        <v>0</v>
      </c>
      <c r="AB204" s="274">
        <f>calenccfres</f>
        <v>6.678578024</v>
      </c>
      <c r="AC204" s="274">
        <f>calenccfres</f>
        <v>6.446347728</v>
      </c>
      <c r="AD204" s="274">
        <f>calenccfres</f>
        <v>5.843473363</v>
      </c>
      <c r="AE204" s="274">
        <f>calenccfres</f>
        <v>5.296015334</v>
      </c>
      <c r="AF204" s="274">
        <f>calenccfres</f>
        <v>4.747842012</v>
      </c>
      <c r="AG204" s="274">
        <f>calenccfres</f>
        <v>4.282792293</v>
      </c>
      <c r="AH204" s="274">
        <f>calenccfres</f>
        <v>3.916041904</v>
      </c>
      <c r="AI204" s="204"/>
      <c r="AJ204" s="275"/>
      <c r="AK204" s="204"/>
      <c r="AL204" s="204"/>
      <c r="AM204" s="251"/>
      <c r="AN204" s="100" t="b">
        <f t="shared" si="7"/>
        <v>1</v>
      </c>
      <c r="AO204" s="102"/>
    </row>
    <row r="205" ht="14.25" customHeight="1" outlineLevel="2">
      <c r="A205" s="200"/>
      <c r="B205" s="100"/>
      <c r="C205" s="201"/>
      <c r="D205" s="201"/>
      <c r="E205" s="299" t="str">
        <f>"FEC from oil in the residential sector"&amp;IF('EDCM - Residential'!$F$8="Ok"," (secondary and vacant dwellings included)"," (secondary and vacant dwellings not or partially included)")</f>
        <v>FEC from oil in the residential sector (secondary and vacant dwellings not or partially included)</v>
      </c>
      <c r="F205" s="123" t="s">
        <v>135</v>
      </c>
      <c r="G205" s="123" t="s">
        <v>603</v>
      </c>
      <c r="H205" s="274">
        <f>calpetcfres</f>
        <v>2.199</v>
      </c>
      <c r="I205" s="274">
        <f>calpetcfres</f>
        <v>2.1515</v>
      </c>
      <c r="J205" s="274">
        <f>calpetcfres</f>
        <v>2.146</v>
      </c>
      <c r="K205" s="274">
        <f>calpetcfres</f>
        <v>2.1174</v>
      </c>
      <c r="L205" s="274">
        <f>calpetcfres</f>
        <v>2.0927</v>
      </c>
      <c r="M205" s="274">
        <f>calpetcfres</f>
        <v>2.1838</v>
      </c>
      <c r="N205" s="274">
        <f>calpetcfres</f>
        <v>2.0667</v>
      </c>
      <c r="O205" s="274">
        <f>calpetcfres</f>
        <v>2.0411</v>
      </c>
      <c r="P205" s="274">
        <f>calpetcfres</f>
        <v>1.9866</v>
      </c>
      <c r="Q205" s="274">
        <f>calpetcfres</f>
        <v>1.9365</v>
      </c>
      <c r="R205" s="274">
        <f>calpetcfres</f>
        <v>1.9462</v>
      </c>
      <c r="S205" s="274">
        <f>calpetcfres</f>
        <v>1.966</v>
      </c>
      <c r="T205" s="274">
        <f>calpetcfres</f>
        <v>1.9813</v>
      </c>
      <c r="U205" s="274">
        <f>calpetcfres</f>
        <v>1.9926</v>
      </c>
      <c r="V205" s="274">
        <f>calpetcfres</f>
        <v>2.0017</v>
      </c>
      <c r="W205" s="274">
        <f>calpetcfres</f>
        <v>33.34383893</v>
      </c>
      <c r="X205" s="274">
        <f>calpetcfres</f>
        <v>2.0229</v>
      </c>
      <c r="Y205" s="274">
        <f>calpetcfres</f>
        <v>2.0329</v>
      </c>
      <c r="Z205" s="274">
        <f>calpetcfres</f>
        <v>0</v>
      </c>
      <c r="AA205" s="274">
        <f>calpetcfres</f>
        <v>0</v>
      </c>
      <c r="AB205" s="274">
        <f>calpetcfres</f>
        <v>28.7600087</v>
      </c>
      <c r="AC205" s="274">
        <f>calpetcfres</f>
        <v>20.27087574</v>
      </c>
      <c r="AD205" s="274">
        <f>calpetcfres</f>
        <v>8.135080873</v>
      </c>
      <c r="AE205" s="274">
        <f>calpetcfres</f>
        <v>4.101325297</v>
      </c>
      <c r="AF205" s="274">
        <f>calpetcfres</f>
        <v>3.20359923</v>
      </c>
      <c r="AG205" s="274">
        <f>calpetcfres</f>
        <v>0.7221797493</v>
      </c>
      <c r="AH205" s="274">
        <f>calpetcfres</f>
        <v>0</v>
      </c>
      <c r="AI205" s="204"/>
      <c r="AJ205" s="275"/>
      <c r="AK205" s="204"/>
      <c r="AL205" s="204"/>
      <c r="AM205" s="251"/>
      <c r="AN205" s="100" t="b">
        <f t="shared" si="7"/>
        <v>1</v>
      </c>
      <c r="AO205" s="102"/>
    </row>
    <row r="206" ht="14.25" customHeight="1" outlineLevel="2">
      <c r="A206" s="200"/>
      <c r="B206" s="100"/>
      <c r="C206" s="201"/>
      <c r="D206" s="201"/>
      <c r="E206" s="299" t="str">
        <f>"FEC from gas grid / gas consumed locally in the residential sector"&amp;IF('EDCM - Residential'!$F$8="Ok"," (secondary and vacant dwellings included)"," (secondary and vacant dwellings not or partially included)")</f>
        <v>FEC from gas grid / gas consumed locally in the residential sector (secondary and vacant dwellings not or partially included)</v>
      </c>
      <c r="F206" s="123" t="s">
        <v>135</v>
      </c>
      <c r="G206" s="123" t="s">
        <v>604</v>
      </c>
      <c r="H206" s="274">
        <f>calgazcfres</f>
        <v>0</v>
      </c>
      <c r="I206" s="274">
        <f>calgazcfres</f>
        <v>0</v>
      </c>
      <c r="J206" s="274">
        <f>calgazcfres</f>
        <v>0</v>
      </c>
      <c r="K206" s="274">
        <f>calgazcfres</f>
        <v>0</v>
      </c>
      <c r="L206" s="274">
        <f>calgazcfres</f>
        <v>0</v>
      </c>
      <c r="M206" s="274">
        <f>calgazcfres</f>
        <v>0</v>
      </c>
      <c r="N206" s="274">
        <f>calgazcfres</f>
        <v>0</v>
      </c>
      <c r="O206" s="274">
        <f>calgazcfres</f>
        <v>0</v>
      </c>
      <c r="P206" s="274">
        <f>calgazcfres</f>
        <v>0</v>
      </c>
      <c r="Q206" s="274">
        <f>calgazcfres</f>
        <v>0</v>
      </c>
      <c r="R206" s="274">
        <f>calgazcfres</f>
        <v>5.6997</v>
      </c>
      <c r="S206" s="274">
        <f>calgazcfres</f>
        <v>5.7573</v>
      </c>
      <c r="T206" s="274">
        <f>calgazcfres</f>
        <v>5.8019</v>
      </c>
      <c r="U206" s="274">
        <f>calgazcfres</f>
        <v>5.835</v>
      </c>
      <c r="V206" s="274">
        <f>calgazcfres</f>
        <v>5.8615</v>
      </c>
      <c r="W206" s="274">
        <f>calgazcfres</f>
        <v>36.53905256</v>
      </c>
      <c r="X206" s="274">
        <f>calgazcfres</f>
        <v>5.9237</v>
      </c>
      <c r="Y206" s="274">
        <f>calgazcfres</f>
        <v>5.9525</v>
      </c>
      <c r="Z206" s="274">
        <f>calgazcfres</f>
        <v>0</v>
      </c>
      <c r="AA206" s="274">
        <f>calgazcfres</f>
        <v>0</v>
      </c>
      <c r="AB206" s="274">
        <f>calgazcfres</f>
        <v>31.94220493</v>
      </c>
      <c r="AC206" s="274">
        <f>calgazcfres</f>
        <v>23.93655293</v>
      </c>
      <c r="AD206" s="274">
        <f>calgazcfres</f>
        <v>17.80280676</v>
      </c>
      <c r="AE206" s="274">
        <f>calgazcfres</f>
        <v>11.92658257</v>
      </c>
      <c r="AF206" s="274">
        <f>calgazcfres</f>
        <v>7.432360735</v>
      </c>
      <c r="AG206" s="274">
        <f>calgazcfres</f>
        <v>3.72402221</v>
      </c>
      <c r="AH206" s="274">
        <f>calgazcfres</f>
        <v>0.9071156979</v>
      </c>
      <c r="AI206" s="204"/>
      <c r="AJ206" s="275"/>
      <c r="AK206" s="204"/>
      <c r="AL206" s="204"/>
      <c r="AM206" s="251"/>
      <c r="AN206" s="100" t="b">
        <f t="shared" si="7"/>
        <v>1</v>
      </c>
      <c r="AO206" s="102"/>
    </row>
    <row r="207" ht="14.25" customHeight="1" outlineLevel="2">
      <c r="A207" s="200"/>
      <c r="B207" s="100"/>
      <c r="C207" s="201"/>
      <c r="D207" s="201"/>
      <c r="E207" s="299" t="str">
        <f>"Final electricity consumption in the residential sector"&amp;IF('EDCM - Residential'!$F$8="Ok"," (secondary and vacant dwellings included)"," (secondary and vacant dwellings not or partially included)")</f>
        <v>Final electricity consumption in the residential sector (secondary and vacant dwellings not or partially included)</v>
      </c>
      <c r="F207" s="123" t="s">
        <v>135</v>
      </c>
      <c r="G207" s="123" t="s">
        <v>605</v>
      </c>
      <c r="H207" s="274" t="str">
        <f>calelccfres</f>
        <v>#REF!</v>
      </c>
      <c r="I207" s="274" t="str">
        <f>calelccfres</f>
        <v>#REF!</v>
      </c>
      <c r="J207" s="274" t="str">
        <f>calelccfres</f>
        <v>#REF!</v>
      </c>
      <c r="K207" s="274" t="str">
        <f>calelccfres</f>
        <v>#REF!</v>
      </c>
      <c r="L207" s="274" t="str">
        <f>calelccfres</f>
        <v>#REF!</v>
      </c>
      <c r="M207" s="274" t="str">
        <f>calelccfres</f>
        <v>#REF!</v>
      </c>
      <c r="N207" s="274" t="str">
        <f>calelccfres</f>
        <v>#REF!</v>
      </c>
      <c r="O207" s="274" t="str">
        <f>calelccfres</f>
        <v>#REF!</v>
      </c>
      <c r="P207" s="274" t="str">
        <f>calelccfres</f>
        <v>#REF!</v>
      </c>
      <c r="Q207" s="274" t="str">
        <f>calelccfres</f>
        <v>#REF!</v>
      </c>
      <c r="R207" s="274" t="str">
        <f>calelccfres</f>
        <v>#REF!</v>
      </c>
      <c r="S207" s="274" t="str">
        <f>calelccfres</f>
        <v>#REF!</v>
      </c>
      <c r="T207" s="274" t="str">
        <f>calelccfres</f>
        <v>#REF!</v>
      </c>
      <c r="U207" s="274" t="str">
        <f>calelccfres</f>
        <v>#REF!</v>
      </c>
      <c r="V207" s="274" t="str">
        <f>calelccfres</f>
        <v>#REF!</v>
      </c>
      <c r="W207" s="274" t="str">
        <f>calelccfres</f>
        <v>#REF!</v>
      </c>
      <c r="X207" s="274" t="str">
        <f>calelccfres</f>
        <v>#REF!</v>
      </c>
      <c r="Y207" s="274" t="str">
        <f>calelccfres</f>
        <v>#REF!</v>
      </c>
      <c r="Z207" s="274" t="str">
        <f>calelccfres</f>
        <v>#REF!</v>
      </c>
      <c r="AA207" s="274" t="str">
        <f>calelccfres</f>
        <v>#REF!</v>
      </c>
      <c r="AB207" s="274" t="str">
        <f>calelccfres</f>
        <v>#REF!</v>
      </c>
      <c r="AC207" s="274" t="str">
        <f>calelccfres</f>
        <v>#REF!</v>
      </c>
      <c r="AD207" s="274" t="str">
        <f>calelccfres</f>
        <v>#REF!</v>
      </c>
      <c r="AE207" s="274" t="str">
        <f>calelccfres</f>
        <v>#REF!</v>
      </c>
      <c r="AF207" s="274" t="str">
        <f>calelccfres</f>
        <v>#REF!</v>
      </c>
      <c r="AG207" s="274" t="str">
        <f>calelccfres</f>
        <v>#REF!</v>
      </c>
      <c r="AH207" s="274" t="str">
        <f>calelccfres</f>
        <v>#REF!</v>
      </c>
      <c r="AI207" s="204"/>
      <c r="AJ207" s="275"/>
      <c r="AK207" s="204"/>
      <c r="AL207" s="204"/>
      <c r="AM207" s="251"/>
      <c r="AN207" s="100" t="b">
        <f t="shared" si="7"/>
        <v>1</v>
      </c>
      <c r="AO207" s="102"/>
    </row>
    <row r="208" ht="14.25" customHeight="1" outlineLevel="2">
      <c r="A208" s="200"/>
      <c r="B208" s="100"/>
      <c r="C208" s="201"/>
      <c r="D208" s="201"/>
      <c r="E208" s="299" t="str">
        <f>"FEC from heating networks in the residential sector"&amp;IF('EDCM - Residential'!$F$8="Ok"," (secondary and vacant dwellings included)"," (secondary and vacant dwellings not or partially included)")</f>
        <v>FEC from heating networks in the residential sector (secondary and vacant dwellings not or partially included)</v>
      </c>
      <c r="F208" s="123" t="s">
        <v>135</v>
      </c>
      <c r="G208" s="123" t="s">
        <v>606</v>
      </c>
      <c r="H208" s="274">
        <f>calvapcfres</f>
        <v>0</v>
      </c>
      <c r="I208" s="274">
        <f>calvapcfres</f>
        <v>0</v>
      </c>
      <c r="J208" s="274">
        <f>calvapcfres</f>
        <v>0</v>
      </c>
      <c r="K208" s="274">
        <f>calvapcfres</f>
        <v>0</v>
      </c>
      <c r="L208" s="274">
        <f>calvapcfres</f>
        <v>0</v>
      </c>
      <c r="M208" s="274">
        <f>calvapcfres</f>
        <v>0</v>
      </c>
      <c r="N208" s="274">
        <f>calvapcfres</f>
        <v>0</v>
      </c>
      <c r="O208" s="274">
        <f>calvapcfres</f>
        <v>0</v>
      </c>
      <c r="P208" s="274">
        <f>calvapcfres</f>
        <v>0</v>
      </c>
      <c r="Q208" s="274">
        <f>calvapcfres</f>
        <v>0</v>
      </c>
      <c r="R208" s="274">
        <f>calvapcfres</f>
        <v>0</v>
      </c>
      <c r="S208" s="274">
        <f>calvapcfres</f>
        <v>0</v>
      </c>
      <c r="T208" s="274">
        <f>calvapcfres</f>
        <v>0</v>
      </c>
      <c r="U208" s="274">
        <f>calvapcfres</f>
        <v>0</v>
      </c>
      <c r="V208" s="274">
        <f>calvapcfres</f>
        <v>0</v>
      </c>
      <c r="W208" s="274">
        <f>calvapcfres</f>
        <v>0.02527026102</v>
      </c>
      <c r="X208" s="274">
        <f>calvapcfres</f>
        <v>0</v>
      </c>
      <c r="Y208" s="274">
        <f>calvapcfres</f>
        <v>0</v>
      </c>
      <c r="Z208" s="274">
        <f>calvapcfres</f>
        <v>0</v>
      </c>
      <c r="AA208" s="274">
        <f>calvapcfres</f>
        <v>0</v>
      </c>
      <c r="AB208" s="274">
        <f>calvapcfres</f>
        <v>0.3000979725</v>
      </c>
      <c r="AC208" s="274">
        <f>calvapcfres</f>
        <v>4.740835069</v>
      </c>
      <c r="AD208" s="274">
        <f>calvapcfres</f>
        <v>6.441532899</v>
      </c>
      <c r="AE208" s="274">
        <f>calvapcfres</f>
        <v>7.649587306</v>
      </c>
      <c r="AF208" s="274">
        <f>calvapcfres</f>
        <v>8.492641375</v>
      </c>
      <c r="AG208" s="274">
        <f>calvapcfres</f>
        <v>9.060270058</v>
      </c>
      <c r="AH208" s="274">
        <f>calvapcfres</f>
        <v>9.480068825</v>
      </c>
      <c r="AI208" s="204"/>
      <c r="AJ208" s="275"/>
      <c r="AK208" s="204"/>
      <c r="AL208" s="204"/>
      <c r="AM208" s="251"/>
      <c r="AN208" s="100" t="b">
        <f t="shared" si="7"/>
        <v>1</v>
      </c>
      <c r="AO208" s="102"/>
    </row>
    <row r="209" ht="14.25" customHeight="1" outlineLevel="2">
      <c r="A209" s="200"/>
      <c r="B209" s="100"/>
      <c r="C209" s="201"/>
      <c r="D209" s="201"/>
      <c r="E209" s="299" t="str">
        <f>"Final energy consumption from ambient heat (heat pumps…) in the residential sector"&amp;IF('EDCM - Residential'!$F$8="Ok"," (secondary and vacant dwellings included)"," (secondary and vacant dwellings not or partially included)")</f>
        <v>Final energy consumption from ambient heat (heat pumps…) in the residential sector (secondary and vacant dwellings not or partially included)</v>
      </c>
      <c r="F209" s="123" t="s">
        <v>135</v>
      </c>
      <c r="G209" s="123" t="s">
        <v>607</v>
      </c>
      <c r="H209" s="274">
        <f>calpaccfres</f>
        <v>0</v>
      </c>
      <c r="I209" s="274">
        <f>calpaccfres</f>
        <v>0</v>
      </c>
      <c r="J209" s="274">
        <f>calpaccfres</f>
        <v>0</v>
      </c>
      <c r="K209" s="274">
        <f>calpaccfres</f>
        <v>0</v>
      </c>
      <c r="L209" s="274">
        <f>calpaccfres</f>
        <v>0</v>
      </c>
      <c r="M209" s="274">
        <f>calpaccfres</f>
        <v>0</v>
      </c>
      <c r="N209" s="274">
        <f>calpaccfres</f>
        <v>0</v>
      </c>
      <c r="O209" s="274">
        <f>calpaccfres</f>
        <v>0</v>
      </c>
      <c r="P209" s="274">
        <f>calpaccfres</f>
        <v>0</v>
      </c>
      <c r="Q209" s="274">
        <f>calpaccfres</f>
        <v>0</v>
      </c>
      <c r="R209" s="274">
        <f>calpaccfres</f>
        <v>0</v>
      </c>
      <c r="S209" s="274">
        <f>calpaccfres</f>
        <v>0</v>
      </c>
      <c r="T209" s="274">
        <f>calpaccfres</f>
        <v>0</v>
      </c>
      <c r="U209" s="274">
        <f>calpaccfres</f>
        <v>0</v>
      </c>
      <c r="V209" s="274">
        <f>calpaccfres</f>
        <v>0</v>
      </c>
      <c r="W209" s="274">
        <f>calpaccfres</f>
        <v>1.23447605</v>
      </c>
      <c r="X209" s="274">
        <f>calpaccfres</f>
        <v>0</v>
      </c>
      <c r="Y209" s="274">
        <f>calpaccfres</f>
        <v>0</v>
      </c>
      <c r="Z209" s="274">
        <f>calpaccfres</f>
        <v>0</v>
      </c>
      <c r="AA209" s="274">
        <f>calpaccfres</f>
        <v>0</v>
      </c>
      <c r="AB209" s="274">
        <f>calpaccfres</f>
        <v>4.544894976</v>
      </c>
      <c r="AC209" s="274">
        <f>calpaccfres</f>
        <v>8.758902586</v>
      </c>
      <c r="AD209" s="274">
        <f>calpaccfres</f>
        <v>12.8021394</v>
      </c>
      <c r="AE209" s="274">
        <f>calpaccfres</f>
        <v>14.67577439</v>
      </c>
      <c r="AF209" s="274">
        <f>calpaccfres</f>
        <v>13.9092073</v>
      </c>
      <c r="AG209" s="274">
        <f>calpaccfres</f>
        <v>14.39532949</v>
      </c>
      <c r="AH209" s="274">
        <f>calpaccfres</f>
        <v>14.28707224</v>
      </c>
      <c r="AI209" s="204"/>
      <c r="AJ209" s="275"/>
      <c r="AK209" s="204"/>
      <c r="AL209" s="204"/>
      <c r="AM209" s="251"/>
      <c r="AN209" s="100" t="b">
        <f t="shared" si="7"/>
        <v>1</v>
      </c>
      <c r="AO209" s="102"/>
    </row>
    <row r="210" ht="14.25" customHeight="1" outlineLevel="2">
      <c r="A210" s="200"/>
      <c r="B210" s="100"/>
      <c r="C210" s="201"/>
      <c r="D210" s="201"/>
      <c r="E210" s="299" t="str">
        <f>"FEC from thermal solar in the residential sector"&amp;IF('EDCM - Residential'!$F$8="Ok"," (secondary and vacant dwellings included)"," (secondary and vacant dwellings not or partially included)")</f>
        <v>FEC from thermal solar in the residential sector (secondary and vacant dwellings not or partially included)</v>
      </c>
      <c r="F210" s="123" t="s">
        <v>135</v>
      </c>
      <c r="G210" s="123" t="s">
        <v>608</v>
      </c>
      <c r="H210" s="274">
        <f>calsthcfres</f>
        <v>0</v>
      </c>
      <c r="I210" s="274">
        <f>calsthcfres</f>
        <v>0</v>
      </c>
      <c r="J210" s="274">
        <f>calsthcfres</f>
        <v>0</v>
      </c>
      <c r="K210" s="274">
        <f>calsthcfres</f>
        <v>0</v>
      </c>
      <c r="L210" s="274">
        <f>calsthcfres</f>
        <v>0</v>
      </c>
      <c r="M210" s="274">
        <f>calsthcfres</f>
        <v>0</v>
      </c>
      <c r="N210" s="274">
        <f>calsthcfres</f>
        <v>0</v>
      </c>
      <c r="O210" s="274">
        <f>calsthcfres</f>
        <v>0</v>
      </c>
      <c r="P210" s="274">
        <f>calsthcfres</f>
        <v>0</v>
      </c>
      <c r="Q210" s="274">
        <f>calsthcfres</f>
        <v>0</v>
      </c>
      <c r="R210" s="274">
        <f>calsthcfres</f>
        <v>0</v>
      </c>
      <c r="S210" s="274">
        <f>calsthcfres</f>
        <v>0</v>
      </c>
      <c r="T210" s="274">
        <f>calsthcfres</f>
        <v>0</v>
      </c>
      <c r="U210" s="274">
        <f>calsthcfres</f>
        <v>0</v>
      </c>
      <c r="V210" s="274">
        <f>calsthcfres</f>
        <v>0</v>
      </c>
      <c r="W210" s="274">
        <f>calsthcfres</f>
        <v>0.2446949059</v>
      </c>
      <c r="X210" s="274">
        <f>calsthcfres</f>
        <v>0</v>
      </c>
      <c r="Y210" s="274">
        <f>calsthcfres</f>
        <v>0</v>
      </c>
      <c r="Z210" s="274">
        <f>calsthcfres</f>
        <v>0</v>
      </c>
      <c r="AA210" s="274">
        <f>calsthcfres</f>
        <v>0</v>
      </c>
      <c r="AB210" s="274">
        <f>calsthcfres</f>
        <v>0.3067905493</v>
      </c>
      <c r="AC210" s="274">
        <f>calsthcfres</f>
        <v>0.3670945209</v>
      </c>
      <c r="AD210" s="274">
        <f>calsthcfres</f>
        <v>0.3957008262</v>
      </c>
      <c r="AE210" s="274">
        <f>calsthcfres</f>
        <v>0.5441213965</v>
      </c>
      <c r="AF210" s="274">
        <f>calsthcfres</f>
        <v>0.7542742198</v>
      </c>
      <c r="AG210" s="274">
        <f>calsthcfres</f>
        <v>0.9344767776</v>
      </c>
      <c r="AH210" s="274">
        <f>calsthcfres</f>
        <v>1.076878256</v>
      </c>
      <c r="AI210" s="204"/>
      <c r="AJ210" s="275"/>
      <c r="AK210" s="204"/>
      <c r="AL210" s="204"/>
      <c r="AM210" s="251"/>
      <c r="AN210" s="100" t="b">
        <f t="shared" si="7"/>
        <v>1</v>
      </c>
      <c r="AO210" s="102"/>
    </row>
    <row r="211" ht="14.25" customHeight="1" outlineLevel="1">
      <c r="A211" s="243"/>
      <c r="B211" s="282" t="str">
        <f>IF(COUNTIF(H211:AH211,"warning")&gt;0,"• Optional input values &gt;&gt; WARNING: For some years, Total FEC ≠ ∑ FEC by final energy carrier!","• Optional input values")</f>
        <v>• Optional input values</v>
      </c>
      <c r="C211" s="246"/>
      <c r="D211" s="201"/>
      <c r="E211" s="162"/>
      <c r="F211" s="162"/>
      <c r="G211" s="162"/>
      <c r="H211" s="290" t="str">
        <f t="shared" ref="H211:AH211" si="11">IF(OR(ISBLANK(H212),COUNTA(H213:H218)=0),"",IF(ABS(H212-SUM(H213:H218))/H212&lt;10^-3,"","Warning"))</f>
        <v/>
      </c>
      <c r="I211" s="290" t="str">
        <f t="shared" si="11"/>
        <v/>
      </c>
      <c r="J211" s="290" t="str">
        <f t="shared" si="11"/>
        <v/>
      </c>
      <c r="K211" s="290" t="str">
        <f t="shared" si="11"/>
        <v/>
      </c>
      <c r="L211" s="290" t="str">
        <f t="shared" si="11"/>
        <v/>
      </c>
      <c r="M211" s="290" t="str">
        <f t="shared" si="11"/>
        <v/>
      </c>
      <c r="N211" s="290" t="str">
        <f t="shared" si="11"/>
        <v/>
      </c>
      <c r="O211" s="290" t="str">
        <f t="shared" si="11"/>
        <v/>
      </c>
      <c r="P211" s="290" t="str">
        <f t="shared" si="11"/>
        <v/>
      </c>
      <c r="Q211" s="290" t="str">
        <f t="shared" si="11"/>
        <v/>
      </c>
      <c r="R211" s="290" t="str">
        <f t="shared" si="11"/>
        <v/>
      </c>
      <c r="S211" s="290" t="str">
        <f t="shared" si="11"/>
        <v/>
      </c>
      <c r="T211" s="290" t="str">
        <f t="shared" si="11"/>
        <v/>
      </c>
      <c r="U211" s="290" t="str">
        <f t="shared" si="11"/>
        <v/>
      </c>
      <c r="V211" s="290" t="str">
        <f t="shared" si="11"/>
        <v/>
      </c>
      <c r="W211" s="290" t="str">
        <f t="shared" si="11"/>
        <v/>
      </c>
      <c r="X211" s="290" t="str">
        <f t="shared" si="11"/>
        <v/>
      </c>
      <c r="Y211" s="290" t="str">
        <f t="shared" si="11"/>
        <v/>
      </c>
      <c r="Z211" s="290" t="str">
        <f t="shared" si="11"/>
        <v/>
      </c>
      <c r="AA211" s="290" t="str">
        <f t="shared" si="11"/>
        <v/>
      </c>
      <c r="AB211" s="290" t="str">
        <f t="shared" si="11"/>
        <v/>
      </c>
      <c r="AC211" s="290" t="str">
        <f t="shared" si="11"/>
        <v/>
      </c>
      <c r="AD211" s="290" t="str">
        <f t="shared" si="11"/>
        <v/>
      </c>
      <c r="AE211" s="290" t="str">
        <f t="shared" si="11"/>
        <v/>
      </c>
      <c r="AF211" s="290" t="str">
        <f t="shared" si="11"/>
        <v/>
      </c>
      <c r="AG211" s="290" t="str">
        <f t="shared" si="11"/>
        <v/>
      </c>
      <c r="AH211" s="290" t="str">
        <f t="shared" si="11"/>
        <v/>
      </c>
      <c r="AI211" s="244"/>
      <c r="AJ211" s="244"/>
      <c r="AK211" s="244"/>
      <c r="AL211" s="244"/>
      <c r="AM211" s="162"/>
      <c r="AN211" s="100" t="b">
        <f t="shared" si="7"/>
        <v>1</v>
      </c>
      <c r="AO211" s="102"/>
    </row>
    <row r="212" ht="14.25" customHeight="1" outlineLevel="4">
      <c r="A212" s="200"/>
      <c r="B212" s="100"/>
      <c r="C212" s="201"/>
      <c r="D212" s="201"/>
      <c r="E212" s="180" t="s">
        <v>609</v>
      </c>
      <c r="F212" s="123" t="s">
        <v>135</v>
      </c>
      <c r="G212" s="123" t="s">
        <v>610</v>
      </c>
      <c r="H212" s="260">
        <v>103.9789</v>
      </c>
      <c r="I212" s="181">
        <v>108.4738</v>
      </c>
      <c r="J212" s="181">
        <v>100.9048</v>
      </c>
      <c r="K212" s="181">
        <v>108.6862</v>
      </c>
      <c r="L212" s="181">
        <v>106.8171</v>
      </c>
      <c r="M212" s="181">
        <v>105.692</v>
      </c>
      <c r="N212" s="181">
        <v>100.658</v>
      </c>
      <c r="O212" s="181">
        <v>91.4352</v>
      </c>
      <c r="P212" s="181">
        <v>103.5977</v>
      </c>
      <c r="Q212" s="181">
        <v>97.617</v>
      </c>
      <c r="R212" s="181">
        <v>105.8648</v>
      </c>
      <c r="S212" s="181">
        <v>89.9621</v>
      </c>
      <c r="T212" s="181">
        <v>96.5115</v>
      </c>
      <c r="U212" s="181">
        <v>104.3397</v>
      </c>
      <c r="V212" s="181">
        <v>86.8244</v>
      </c>
      <c r="W212" s="202">
        <v>96.0487</v>
      </c>
      <c r="X212" s="181">
        <v>96.4058</v>
      </c>
      <c r="Y212" s="181">
        <v>94.2582</v>
      </c>
      <c r="Z212" s="181">
        <v>94.215</v>
      </c>
      <c r="AA212" s="181"/>
      <c r="AB212" s="202"/>
      <c r="AC212" s="202"/>
      <c r="AD212" s="202"/>
      <c r="AE212" s="202"/>
      <c r="AF212" s="202"/>
      <c r="AG212" s="202"/>
      <c r="AH212" s="203"/>
      <c r="AI212" s="204"/>
      <c r="AJ212" s="204"/>
      <c r="AK212" s="204"/>
      <c r="AL212" s="204"/>
      <c r="AM212" s="251"/>
      <c r="AN212" s="100" t="b">
        <f t="shared" si="7"/>
        <v>0</v>
      </c>
      <c r="AO212" s="102"/>
    </row>
    <row r="213" ht="14.25" customHeight="1" outlineLevel="4">
      <c r="A213" s="200"/>
      <c r="B213" s="201"/>
      <c r="C213" s="201"/>
      <c r="D213" s="201"/>
      <c r="E213" s="122" t="s">
        <v>611</v>
      </c>
      <c r="F213" s="123" t="s">
        <v>135</v>
      </c>
      <c r="G213" s="123" t="s">
        <v>612</v>
      </c>
      <c r="H213" s="260">
        <v>2.2984</v>
      </c>
      <c r="I213" s="181">
        <v>2.5219</v>
      </c>
      <c r="J213" s="181">
        <v>2.0399</v>
      </c>
      <c r="K213" s="181">
        <v>1.5112</v>
      </c>
      <c r="L213" s="181">
        <v>1.3177</v>
      </c>
      <c r="M213" s="181">
        <v>1.3027</v>
      </c>
      <c r="N213" s="181">
        <v>1.2772</v>
      </c>
      <c r="O213" s="181">
        <v>1.0573</v>
      </c>
      <c r="P213" s="181">
        <v>1.4979</v>
      </c>
      <c r="Q213" s="181">
        <v>2.4439</v>
      </c>
      <c r="R213" s="181">
        <v>1.238</v>
      </c>
      <c r="S213" s="181">
        <v>1.1409</v>
      </c>
      <c r="T213" s="181">
        <v>1.1125</v>
      </c>
      <c r="U213" s="181">
        <v>1.273</v>
      </c>
      <c r="V213" s="181">
        <v>0.9598</v>
      </c>
      <c r="W213" s="202">
        <v>1.0978</v>
      </c>
      <c r="X213" s="181">
        <v>0.9784</v>
      </c>
      <c r="Y213" s="181">
        <v>0.9154</v>
      </c>
      <c r="Z213" s="181"/>
      <c r="AA213" s="181"/>
      <c r="AB213" s="202"/>
      <c r="AC213" s="202"/>
      <c r="AD213" s="202"/>
      <c r="AE213" s="202"/>
      <c r="AF213" s="202"/>
      <c r="AG213" s="202"/>
      <c r="AH213" s="203"/>
      <c r="AI213" s="204"/>
      <c r="AJ213" s="275"/>
      <c r="AK213" s="204"/>
      <c r="AL213" s="204"/>
      <c r="AM213" s="251"/>
      <c r="AN213" s="100" t="b">
        <f t="shared" si="7"/>
        <v>0</v>
      </c>
      <c r="AO213" s="102"/>
    </row>
    <row r="214" ht="14.25" customHeight="1" outlineLevel="4">
      <c r="A214" s="200"/>
      <c r="B214" s="201"/>
      <c r="C214" s="201"/>
      <c r="D214" s="201"/>
      <c r="E214" s="122" t="s">
        <v>613</v>
      </c>
      <c r="F214" s="123" t="s">
        <v>135</v>
      </c>
      <c r="G214" s="123" t="s">
        <v>614</v>
      </c>
      <c r="H214" s="260">
        <v>1.7714</v>
      </c>
      <c r="I214" s="181">
        <v>1.9938</v>
      </c>
      <c r="J214" s="181">
        <v>1.74</v>
      </c>
      <c r="K214" s="181">
        <v>2.2326</v>
      </c>
      <c r="L214" s="181">
        <v>2.2134</v>
      </c>
      <c r="M214" s="181">
        <v>2.2609</v>
      </c>
      <c r="N214" s="181">
        <v>2.4708</v>
      </c>
      <c r="O214" s="181">
        <v>2.3692</v>
      </c>
      <c r="P214" s="181">
        <v>2.5991</v>
      </c>
      <c r="Q214" s="181">
        <v>2.6732</v>
      </c>
      <c r="R214" s="181">
        <v>2.9733</v>
      </c>
      <c r="S214" s="181">
        <v>2.8567</v>
      </c>
      <c r="T214" s="181">
        <v>6.7588</v>
      </c>
      <c r="U214" s="181">
        <v>7.3133</v>
      </c>
      <c r="V214" s="181">
        <v>5.8953</v>
      </c>
      <c r="W214" s="202">
        <v>6.9609</v>
      </c>
      <c r="X214" s="181">
        <v>7.9652</v>
      </c>
      <c r="Y214" s="181">
        <v>7.5551</v>
      </c>
      <c r="Z214" s="181"/>
      <c r="AA214" s="181"/>
      <c r="AB214" s="202"/>
      <c r="AC214" s="202"/>
      <c r="AD214" s="202"/>
      <c r="AE214" s="202"/>
      <c r="AF214" s="202"/>
      <c r="AG214" s="202"/>
      <c r="AH214" s="203"/>
      <c r="AI214" s="204"/>
      <c r="AJ214" s="275"/>
      <c r="AK214" s="204"/>
      <c r="AL214" s="204"/>
      <c r="AM214" s="251"/>
      <c r="AN214" s="100" t="b">
        <f t="shared" si="7"/>
        <v>0</v>
      </c>
      <c r="AO214" s="102"/>
    </row>
    <row r="215" ht="14.25" customHeight="1" outlineLevel="4">
      <c r="A215" s="200"/>
      <c r="B215" s="201"/>
      <c r="C215" s="201"/>
      <c r="D215" s="201"/>
      <c r="E215" s="122" t="s">
        <v>615</v>
      </c>
      <c r="F215" s="123" t="s">
        <v>135</v>
      </c>
      <c r="G215" s="123" t="s">
        <v>616</v>
      </c>
      <c r="H215" s="260">
        <v>43.8631</v>
      </c>
      <c r="I215" s="181">
        <v>43.5946</v>
      </c>
      <c r="J215" s="181">
        <v>38.2396</v>
      </c>
      <c r="K215" s="181">
        <v>42.7286</v>
      </c>
      <c r="L215" s="181">
        <v>42.4999</v>
      </c>
      <c r="M215" s="181">
        <v>42.3349</v>
      </c>
      <c r="N215" s="181">
        <v>36.8814</v>
      </c>
      <c r="O215" s="181">
        <v>30.6896</v>
      </c>
      <c r="P215" s="181">
        <v>39.3674</v>
      </c>
      <c r="Q215" s="181">
        <v>32.2249</v>
      </c>
      <c r="R215" s="181">
        <v>35.2777</v>
      </c>
      <c r="S215" s="181">
        <v>30.3727</v>
      </c>
      <c r="T215" s="181">
        <v>30.0256</v>
      </c>
      <c r="U215" s="181">
        <v>32.6129</v>
      </c>
      <c r="V215" s="181">
        <v>27.1481</v>
      </c>
      <c r="W215" s="202">
        <v>31.8482</v>
      </c>
      <c r="X215" s="181">
        <v>29.1955</v>
      </c>
      <c r="Y215" s="181">
        <v>29.2094</v>
      </c>
      <c r="Z215" s="181"/>
      <c r="AA215" s="181"/>
      <c r="AB215" s="202"/>
      <c r="AC215" s="202"/>
      <c r="AD215" s="202"/>
      <c r="AE215" s="202"/>
      <c r="AF215" s="202"/>
      <c r="AG215" s="202"/>
      <c r="AH215" s="203"/>
      <c r="AI215" s="204"/>
      <c r="AJ215" s="275"/>
      <c r="AK215" s="204"/>
      <c r="AL215" s="204"/>
      <c r="AM215" s="251"/>
      <c r="AN215" s="100" t="b">
        <f t="shared" si="7"/>
        <v>0</v>
      </c>
      <c r="AO215" s="102"/>
    </row>
    <row r="216" ht="14.25" customHeight="1" outlineLevel="4">
      <c r="A216" s="200"/>
      <c r="B216" s="201"/>
      <c r="C216" s="201"/>
      <c r="D216" s="201"/>
      <c r="E216" s="122" t="s">
        <v>617</v>
      </c>
      <c r="F216" s="123" t="s">
        <v>135</v>
      </c>
      <c r="G216" s="123" t="s">
        <v>618</v>
      </c>
      <c r="H216" s="260">
        <v>38.4116</v>
      </c>
      <c r="I216" s="181">
        <v>42.2541</v>
      </c>
      <c r="J216" s="181">
        <v>40.3218</v>
      </c>
      <c r="K216" s="181">
        <v>43.2665</v>
      </c>
      <c r="L216" s="181">
        <v>41.3122</v>
      </c>
      <c r="M216" s="181">
        <v>40.6225</v>
      </c>
      <c r="N216" s="181">
        <v>40.5457</v>
      </c>
      <c r="O216" s="181">
        <v>37.9532</v>
      </c>
      <c r="P216" s="181">
        <v>40.467</v>
      </c>
      <c r="Q216" s="181">
        <v>40.6135</v>
      </c>
      <c r="R216" s="181">
        <v>46.3347</v>
      </c>
      <c r="S216" s="181">
        <v>36.1936</v>
      </c>
      <c r="T216" s="181">
        <v>38.6997</v>
      </c>
      <c r="U216" s="181">
        <v>43.2914</v>
      </c>
      <c r="V216" s="181">
        <v>33.8667</v>
      </c>
      <c r="W216" s="202">
        <v>37.2976</v>
      </c>
      <c r="X216" s="181">
        <v>39.4752</v>
      </c>
      <c r="Y216" s="181">
        <v>38.4795</v>
      </c>
      <c r="Z216" s="181"/>
      <c r="AA216" s="181"/>
      <c r="AB216" s="202"/>
      <c r="AC216" s="202"/>
      <c r="AD216" s="202"/>
      <c r="AE216" s="202"/>
      <c r="AF216" s="202"/>
      <c r="AG216" s="202"/>
      <c r="AH216" s="203"/>
      <c r="AI216" s="204"/>
      <c r="AJ216" s="275"/>
      <c r="AK216" s="204"/>
      <c r="AL216" s="204"/>
      <c r="AM216" s="251"/>
      <c r="AN216" s="100" t="b">
        <f t="shared" si="7"/>
        <v>0</v>
      </c>
      <c r="AO216" s="102"/>
    </row>
    <row r="217" ht="14.25" customHeight="1" outlineLevel="4">
      <c r="A217" s="200"/>
      <c r="B217" s="201"/>
      <c r="C217" s="201"/>
      <c r="D217" s="201"/>
      <c r="E217" s="122" t="s">
        <v>619</v>
      </c>
      <c r="F217" s="123" t="s">
        <v>135</v>
      </c>
      <c r="G217" s="123" t="s">
        <v>620</v>
      </c>
      <c r="H217" s="260">
        <v>17.4319</v>
      </c>
      <c r="I217" s="181">
        <v>17.9323</v>
      </c>
      <c r="J217" s="181">
        <v>18.3825</v>
      </c>
      <c r="K217" s="181">
        <v>18.769</v>
      </c>
      <c r="L217" s="181">
        <v>19.2968</v>
      </c>
      <c r="M217" s="181">
        <v>19.008</v>
      </c>
      <c r="N217" s="181">
        <v>19.323</v>
      </c>
      <c r="O217" s="181">
        <v>19.1953</v>
      </c>
      <c r="P217" s="181">
        <v>19.5048</v>
      </c>
      <c r="Q217" s="181">
        <v>19.516</v>
      </c>
      <c r="R217" s="181">
        <v>19.9115</v>
      </c>
      <c r="S217" s="181">
        <v>19.248</v>
      </c>
      <c r="T217" s="181">
        <v>19.8388</v>
      </c>
      <c r="U217" s="181">
        <v>19.8007</v>
      </c>
      <c r="V217" s="181">
        <v>18.9081</v>
      </c>
      <c r="W217" s="202">
        <v>18.8212</v>
      </c>
      <c r="X217" s="181">
        <v>18.7812</v>
      </c>
      <c r="Y217" s="181">
        <v>18.0882</v>
      </c>
      <c r="Z217" s="181"/>
      <c r="AA217" s="181"/>
      <c r="AB217" s="202"/>
      <c r="AC217" s="202"/>
      <c r="AD217" s="202"/>
      <c r="AE217" s="202"/>
      <c r="AF217" s="202"/>
      <c r="AG217" s="202"/>
      <c r="AH217" s="203"/>
      <c r="AI217" s="204"/>
      <c r="AJ217" s="275"/>
      <c r="AK217" s="204"/>
      <c r="AL217" s="204"/>
      <c r="AM217" s="251"/>
      <c r="AN217" s="100" t="b">
        <f t="shared" si="7"/>
        <v>0</v>
      </c>
      <c r="AO217" s="102"/>
    </row>
    <row r="218" ht="14.25" customHeight="1" outlineLevel="4">
      <c r="A218" s="200"/>
      <c r="B218" s="201"/>
      <c r="C218" s="201"/>
      <c r="D218" s="201"/>
      <c r="E218" s="122" t="s">
        <v>621</v>
      </c>
      <c r="F218" s="123" t="s">
        <v>135</v>
      </c>
      <c r="G218" s="123" t="s">
        <v>622</v>
      </c>
      <c r="H218" s="260">
        <v>0.2024</v>
      </c>
      <c r="I218" s="181">
        <v>0.1771</v>
      </c>
      <c r="J218" s="181">
        <v>0.181</v>
      </c>
      <c r="K218" s="181">
        <v>0.1783</v>
      </c>
      <c r="L218" s="181">
        <v>0.1771</v>
      </c>
      <c r="M218" s="181">
        <v>0.163</v>
      </c>
      <c r="N218" s="181">
        <v>0.1599</v>
      </c>
      <c r="O218" s="181">
        <v>0.1708</v>
      </c>
      <c r="P218" s="181">
        <v>0.1615</v>
      </c>
      <c r="Q218" s="181">
        <v>0.1456</v>
      </c>
      <c r="R218" s="181">
        <v>0.1295</v>
      </c>
      <c r="S218" s="181">
        <v>0.1502</v>
      </c>
      <c r="T218" s="181">
        <v>0.0761</v>
      </c>
      <c r="U218" s="181">
        <v>0.0483</v>
      </c>
      <c r="V218" s="181">
        <v>0.0464</v>
      </c>
      <c r="W218" s="202">
        <v>0.023</v>
      </c>
      <c r="X218" s="181">
        <v>0.0103</v>
      </c>
      <c r="Y218" s="181">
        <v>0.0105</v>
      </c>
      <c r="Z218" s="181"/>
      <c r="AA218" s="181"/>
      <c r="AB218" s="202"/>
      <c r="AC218" s="202"/>
      <c r="AD218" s="202"/>
      <c r="AE218" s="202"/>
      <c r="AF218" s="202"/>
      <c r="AG218" s="202"/>
      <c r="AH218" s="203"/>
      <c r="AI218" s="204"/>
      <c r="AJ218" s="275"/>
      <c r="AK218" s="204"/>
      <c r="AL218" s="204"/>
      <c r="AM218" s="251"/>
      <c r="AN218" s="100" t="b">
        <f t="shared" si="7"/>
        <v>0</v>
      </c>
      <c r="AO218" s="102"/>
    </row>
    <row r="219" ht="14.25" customHeight="1" outlineLevel="4">
      <c r="A219" s="200"/>
      <c r="B219" s="201"/>
      <c r="C219" s="201"/>
      <c r="D219" s="201"/>
      <c r="E219" s="122" t="s">
        <v>623</v>
      </c>
      <c r="F219" s="123" t="s">
        <v>135</v>
      </c>
      <c r="G219" s="123" t="s">
        <v>624</v>
      </c>
      <c r="H219" s="260"/>
      <c r="I219" s="181"/>
      <c r="J219" s="181"/>
      <c r="K219" s="181"/>
      <c r="L219" s="181"/>
      <c r="M219" s="181"/>
      <c r="N219" s="181"/>
      <c r="O219" s="181"/>
      <c r="P219" s="181"/>
      <c r="Q219" s="181"/>
      <c r="R219" s="181"/>
      <c r="S219" s="181"/>
      <c r="T219" s="181"/>
      <c r="U219" s="181"/>
      <c r="V219" s="181"/>
      <c r="W219" s="202"/>
      <c r="X219" s="181"/>
      <c r="Y219" s="181"/>
      <c r="Z219" s="181"/>
      <c r="AA219" s="181"/>
      <c r="AB219" s="202"/>
      <c r="AC219" s="202"/>
      <c r="AD219" s="202"/>
      <c r="AE219" s="202"/>
      <c r="AF219" s="202"/>
      <c r="AG219" s="202"/>
      <c r="AH219" s="281"/>
      <c r="AI219" s="204"/>
      <c r="AJ219" s="275"/>
      <c r="AK219" s="204"/>
      <c r="AL219" s="204"/>
      <c r="AM219" s="251"/>
      <c r="AN219" s="100" t="b">
        <f t="shared" si="7"/>
        <v>0</v>
      </c>
      <c r="AO219" s="102"/>
    </row>
    <row r="220" ht="14.25" customHeight="1" outlineLevel="4">
      <c r="A220" s="200"/>
      <c r="B220" s="201"/>
      <c r="C220" s="201"/>
      <c r="D220" s="201"/>
      <c r="E220" s="122" t="s">
        <v>625</v>
      </c>
      <c r="F220" s="123" t="s">
        <v>135</v>
      </c>
      <c r="G220" s="123" t="s">
        <v>626</v>
      </c>
      <c r="H220" s="260"/>
      <c r="I220" s="181"/>
      <c r="J220" s="181"/>
      <c r="K220" s="181"/>
      <c r="L220" s="181"/>
      <c r="M220" s="181"/>
      <c r="N220" s="181"/>
      <c r="O220" s="181"/>
      <c r="P220" s="181"/>
      <c r="Q220" s="181"/>
      <c r="R220" s="181"/>
      <c r="S220" s="181"/>
      <c r="T220" s="181"/>
      <c r="U220" s="181"/>
      <c r="V220" s="181"/>
      <c r="W220" s="202"/>
      <c r="X220" s="181"/>
      <c r="Y220" s="181"/>
      <c r="Z220" s="181"/>
      <c r="AA220" s="181"/>
      <c r="AB220" s="202"/>
      <c r="AC220" s="202"/>
      <c r="AD220" s="202"/>
      <c r="AE220" s="202"/>
      <c r="AF220" s="202"/>
      <c r="AG220" s="202"/>
      <c r="AH220" s="203"/>
      <c r="AI220" s="204"/>
      <c r="AJ220" s="275"/>
      <c r="AK220" s="204"/>
      <c r="AL220" s="204"/>
      <c r="AM220" s="251"/>
      <c r="AN220" s="100" t="b">
        <f t="shared" si="7"/>
        <v>0</v>
      </c>
      <c r="AO220" s="102"/>
    </row>
    <row r="221" ht="14.25" customHeight="1">
      <c r="A221" s="247"/>
      <c r="B221" s="100"/>
      <c r="C221" s="100"/>
      <c r="D221" s="100"/>
      <c r="E221" s="100"/>
      <c r="F221" s="206"/>
      <c r="G221" s="206"/>
      <c r="H221" s="207"/>
      <c r="I221" s="207"/>
      <c r="J221" s="207"/>
      <c r="K221" s="207"/>
      <c r="L221" s="207"/>
      <c r="M221" s="207"/>
      <c r="N221" s="207"/>
      <c r="O221" s="207"/>
      <c r="P221" s="207"/>
      <c r="Q221" s="207"/>
      <c r="R221" s="207"/>
      <c r="S221" s="207"/>
      <c r="T221" s="207"/>
      <c r="U221" s="207"/>
      <c r="V221" s="207"/>
      <c r="W221" s="208"/>
      <c r="X221" s="208"/>
      <c r="Y221" s="208"/>
      <c r="Z221" s="208"/>
      <c r="AA221" s="208"/>
      <c r="AB221" s="208"/>
      <c r="AC221" s="208"/>
      <c r="AD221" s="208"/>
      <c r="AE221" s="208"/>
      <c r="AF221" s="208"/>
      <c r="AG221" s="208"/>
      <c r="AH221" s="208"/>
      <c r="AI221" s="271"/>
      <c r="AJ221" s="271"/>
      <c r="AK221" s="271"/>
      <c r="AL221" s="271"/>
      <c r="AM221" s="100"/>
      <c r="AN221" s="100"/>
      <c r="AO221" s="102"/>
    </row>
    <row r="222" ht="14.25" customHeight="1">
      <c r="A222" s="247"/>
      <c r="B222" s="100"/>
      <c r="C222" s="100"/>
      <c r="D222" s="100"/>
      <c r="E222" s="100"/>
      <c r="F222" s="206"/>
      <c r="G222" s="206"/>
      <c r="H222" s="207"/>
      <c r="I222" s="207"/>
      <c r="J222" s="207"/>
      <c r="K222" s="207"/>
      <c r="L222" s="207"/>
      <c r="M222" s="207"/>
      <c r="N222" s="207"/>
      <c r="O222" s="207"/>
      <c r="P222" s="207"/>
      <c r="Q222" s="207"/>
      <c r="R222" s="207"/>
      <c r="S222" s="207"/>
      <c r="T222" s="207"/>
      <c r="U222" s="207"/>
      <c r="V222" s="207"/>
      <c r="W222" s="208"/>
      <c r="X222" s="208"/>
      <c r="Y222" s="208"/>
      <c r="Z222" s="208"/>
      <c r="AA222" s="208"/>
      <c r="AB222" s="208"/>
      <c r="AC222" s="208"/>
      <c r="AD222" s="208"/>
      <c r="AE222" s="208"/>
      <c r="AF222" s="208"/>
      <c r="AG222" s="208"/>
      <c r="AH222" s="208"/>
      <c r="AI222" s="271"/>
      <c r="AJ222" s="271"/>
      <c r="AK222" s="271"/>
      <c r="AL222" s="271"/>
      <c r="AM222" s="100"/>
      <c r="AN222" s="100"/>
      <c r="AO222" s="102"/>
    </row>
    <row r="223" ht="14.25" customHeight="1">
      <c r="A223" s="247"/>
      <c r="B223" s="100"/>
      <c r="C223" s="100"/>
      <c r="D223" s="100"/>
      <c r="E223" s="100"/>
      <c r="F223" s="206"/>
      <c r="G223" s="206"/>
      <c r="H223" s="207"/>
      <c r="I223" s="207"/>
      <c r="J223" s="207"/>
      <c r="K223" s="207"/>
      <c r="L223" s="207"/>
      <c r="M223" s="207"/>
      <c r="N223" s="207"/>
      <c r="O223" s="207"/>
      <c r="P223" s="207"/>
      <c r="Q223" s="207"/>
      <c r="R223" s="207"/>
      <c r="S223" s="207"/>
      <c r="T223" s="207"/>
      <c r="U223" s="207"/>
      <c r="V223" s="207"/>
      <c r="W223" s="208"/>
      <c r="X223" s="208"/>
      <c r="Y223" s="208"/>
      <c r="Z223" s="208"/>
      <c r="AA223" s="208"/>
      <c r="AB223" s="208"/>
      <c r="AC223" s="208"/>
      <c r="AD223" s="208"/>
      <c r="AE223" s="208"/>
      <c r="AF223" s="208"/>
      <c r="AG223" s="208"/>
      <c r="AH223" s="208"/>
      <c r="AI223" s="271"/>
      <c r="AJ223" s="271"/>
      <c r="AK223" s="271"/>
      <c r="AL223" s="271"/>
      <c r="AM223" s="100"/>
      <c r="AN223" s="100"/>
      <c r="AO223" s="102"/>
    </row>
    <row r="224" ht="14.25" customHeight="1">
      <c r="A224" s="247"/>
      <c r="B224" s="100"/>
      <c r="C224" s="100"/>
      <c r="D224" s="100"/>
      <c r="E224" s="303" t="s">
        <v>627</v>
      </c>
      <c r="F224" s="206"/>
      <c r="G224" s="206"/>
      <c r="H224" s="207"/>
      <c r="I224" s="207"/>
      <c r="J224" s="207"/>
      <c r="K224" s="207"/>
      <c r="L224" s="207"/>
      <c r="M224" s="207"/>
      <c r="N224" s="207"/>
      <c r="O224" s="207"/>
      <c r="P224" s="207"/>
      <c r="Q224" s="207"/>
      <c r="R224" s="207"/>
      <c r="S224" s="207"/>
      <c r="T224" s="207"/>
      <c r="U224" s="207"/>
      <c r="V224" s="207"/>
      <c r="W224" s="208"/>
      <c r="X224" s="208"/>
      <c r="Y224" s="208"/>
      <c r="Z224" s="208"/>
      <c r="AA224" s="208"/>
      <c r="AB224" s="208"/>
      <c r="AC224" s="208"/>
      <c r="AD224" s="208"/>
      <c r="AE224" s="208"/>
      <c r="AF224" s="208"/>
      <c r="AG224" s="208"/>
      <c r="AH224" s="208"/>
      <c r="AI224" s="271"/>
      <c r="AJ224" s="271"/>
      <c r="AK224" s="271"/>
      <c r="AL224" s="271"/>
      <c r="AM224" s="100"/>
      <c r="AN224" s="100"/>
      <c r="AO224" s="102"/>
    </row>
    <row r="225" ht="60.0" customHeight="1">
      <c r="A225" s="247"/>
      <c r="B225" s="100"/>
      <c r="C225" s="100"/>
      <c r="D225" s="100"/>
      <c r="E225" s="304"/>
      <c r="F225" s="206"/>
      <c r="G225" s="206"/>
      <c r="H225" s="207"/>
      <c r="I225" s="207"/>
      <c r="J225" s="207"/>
      <c r="K225" s="207"/>
      <c r="L225" s="207"/>
      <c r="M225" s="207"/>
      <c r="N225" s="207"/>
      <c r="O225" s="207"/>
      <c r="P225" s="207"/>
      <c r="Q225" s="207"/>
      <c r="R225" s="207"/>
      <c r="S225" s="207"/>
      <c r="T225" s="207"/>
      <c r="U225" s="207"/>
      <c r="V225" s="207"/>
      <c r="W225" s="208"/>
      <c r="X225" s="208"/>
      <c r="Y225" s="208"/>
      <c r="Z225" s="208"/>
      <c r="AA225" s="208"/>
      <c r="AB225" s="208"/>
      <c r="AC225" s="208"/>
      <c r="AD225" s="208"/>
      <c r="AE225" s="208"/>
      <c r="AF225" s="208"/>
      <c r="AG225" s="208"/>
      <c r="AH225" s="208"/>
      <c r="AI225" s="271"/>
      <c r="AJ225" s="271"/>
      <c r="AK225" s="271"/>
      <c r="AL225" s="271"/>
      <c r="AM225" s="100"/>
      <c r="AN225" s="100"/>
      <c r="AO225" s="102"/>
    </row>
    <row r="226" ht="14.25" customHeight="1">
      <c r="A226" s="247"/>
      <c r="B226" s="100"/>
      <c r="C226" s="100"/>
      <c r="D226" s="100"/>
      <c r="E226" s="100"/>
      <c r="F226" s="206"/>
      <c r="G226" s="206"/>
      <c r="H226" s="207"/>
      <c r="I226" s="207"/>
      <c r="J226" s="207"/>
      <c r="K226" s="207"/>
      <c r="L226" s="207"/>
      <c r="M226" s="207"/>
      <c r="N226" s="207"/>
      <c r="O226" s="207"/>
      <c r="P226" s="207"/>
      <c r="Q226" s="207"/>
      <c r="R226" s="207"/>
      <c r="S226" s="207"/>
      <c r="T226" s="207"/>
      <c r="U226" s="207"/>
      <c r="V226" s="207"/>
      <c r="W226" s="208"/>
      <c r="X226" s="208"/>
      <c r="Y226" s="208"/>
      <c r="Z226" s="208"/>
      <c r="AA226" s="208"/>
      <c r="AB226" s="208"/>
      <c r="AC226" s="208"/>
      <c r="AD226" s="208"/>
      <c r="AE226" s="208"/>
      <c r="AF226" s="208"/>
      <c r="AG226" s="208"/>
      <c r="AH226" s="208"/>
      <c r="AI226" s="271"/>
      <c r="AJ226" s="271"/>
      <c r="AK226" s="271"/>
      <c r="AL226" s="271"/>
      <c r="AM226" s="100"/>
      <c r="AN226" s="100"/>
      <c r="AO226" s="102"/>
    </row>
    <row r="227" ht="14.25" customHeight="1">
      <c r="A227" s="247"/>
      <c r="B227" s="100"/>
      <c r="C227" s="100"/>
      <c r="D227" s="100"/>
      <c r="E227" s="100"/>
      <c r="F227" s="206"/>
      <c r="G227" s="206"/>
      <c r="H227" s="207"/>
      <c r="I227" s="207"/>
      <c r="J227" s="207"/>
      <c r="K227" s="207"/>
      <c r="L227" s="207"/>
      <c r="M227" s="207"/>
      <c r="N227" s="207"/>
      <c r="O227" s="207"/>
      <c r="P227" s="207"/>
      <c r="Q227" s="207"/>
      <c r="R227" s="207"/>
      <c r="S227" s="207"/>
      <c r="T227" s="207"/>
      <c r="U227" s="207"/>
      <c r="V227" s="207"/>
      <c r="W227" s="208"/>
      <c r="X227" s="208"/>
      <c r="Y227" s="208"/>
      <c r="Z227" s="208"/>
      <c r="AA227" s="208"/>
      <c r="AB227" s="208"/>
      <c r="AC227" s="208"/>
      <c r="AD227" s="208"/>
      <c r="AE227" s="208"/>
      <c r="AF227" s="208"/>
      <c r="AG227" s="208"/>
      <c r="AH227" s="208"/>
      <c r="AI227" s="271"/>
      <c r="AJ227" s="271"/>
      <c r="AK227" s="271"/>
      <c r="AL227" s="271"/>
      <c r="AM227" s="100"/>
      <c r="AN227" s="100"/>
      <c r="AO227" s="102"/>
    </row>
    <row r="228" ht="14.25" customHeight="1">
      <c r="A228" s="247"/>
      <c r="B228" s="100"/>
      <c r="C228" s="100"/>
      <c r="D228" s="100"/>
      <c r="E228" s="100"/>
      <c r="F228" s="206"/>
      <c r="G228" s="206"/>
      <c r="H228" s="207"/>
      <c r="I228" s="207"/>
      <c r="J228" s="207"/>
      <c r="K228" s="207"/>
      <c r="L228" s="207"/>
      <c r="M228" s="207"/>
      <c r="N228" s="207"/>
      <c r="O228" s="207"/>
      <c r="P228" s="207"/>
      <c r="Q228" s="207"/>
      <c r="R228" s="207"/>
      <c r="S228" s="207"/>
      <c r="T228" s="207"/>
      <c r="U228" s="207"/>
      <c r="V228" s="207"/>
      <c r="W228" s="208"/>
      <c r="X228" s="208"/>
      <c r="Y228" s="208"/>
      <c r="Z228" s="208"/>
      <c r="AA228" s="208"/>
      <c r="AB228" s="208"/>
      <c r="AC228" s="208"/>
      <c r="AD228" s="208"/>
      <c r="AE228" s="208"/>
      <c r="AF228" s="208"/>
      <c r="AG228" s="208"/>
      <c r="AH228" s="208"/>
      <c r="AI228" s="271"/>
      <c r="AJ228" s="271"/>
      <c r="AK228" s="271"/>
      <c r="AL228" s="271"/>
      <c r="AM228" s="100"/>
      <c r="AN228" s="100"/>
      <c r="AO228" s="102"/>
    </row>
    <row r="229" ht="14.25" customHeight="1">
      <c r="A229" s="136" t="s">
        <v>201</v>
      </c>
      <c r="B229" s="137"/>
      <c r="C229" s="137"/>
      <c r="D229" s="138"/>
      <c r="E229" s="137"/>
      <c r="F229" s="137"/>
      <c r="G229" s="137"/>
      <c r="H229" s="62">
        <v>2000.0</v>
      </c>
      <c r="I229" s="62">
        <v>2001.0</v>
      </c>
      <c r="J229" s="62">
        <v>2002.0</v>
      </c>
      <c r="K229" s="62">
        <v>2003.0</v>
      </c>
      <c r="L229" s="62">
        <v>2004.0</v>
      </c>
      <c r="M229" s="62">
        <v>2005.0</v>
      </c>
      <c r="N229" s="62">
        <v>2006.0</v>
      </c>
      <c r="O229" s="62">
        <v>2007.0</v>
      </c>
      <c r="P229" s="62">
        <v>2008.0</v>
      </c>
      <c r="Q229" s="62">
        <v>2009.0</v>
      </c>
      <c r="R229" s="62">
        <v>2010.0</v>
      </c>
      <c r="S229" s="62">
        <v>2011.0</v>
      </c>
      <c r="T229" s="62">
        <v>2012.0</v>
      </c>
      <c r="U229" s="62">
        <v>2013.0</v>
      </c>
      <c r="V229" s="62">
        <v>2014.0</v>
      </c>
      <c r="W229" s="62">
        <v>2015.0</v>
      </c>
      <c r="X229" s="62">
        <v>2016.0</v>
      </c>
      <c r="Y229" s="62">
        <v>2017.0</v>
      </c>
      <c r="Z229" s="62">
        <v>2018.0</v>
      </c>
      <c r="AA229" s="62">
        <v>2019.0</v>
      </c>
      <c r="AB229" s="62">
        <v>2020.0</v>
      </c>
      <c r="AC229" s="62">
        <v>2025.0</v>
      </c>
      <c r="AD229" s="62">
        <v>2030.0</v>
      </c>
      <c r="AE229" s="62">
        <v>2035.0</v>
      </c>
      <c r="AF229" s="62">
        <v>2040.0</v>
      </c>
      <c r="AG229" s="62">
        <v>2045.0</v>
      </c>
      <c r="AH229" s="62">
        <v>2050.0</v>
      </c>
      <c r="AI229" s="212" t="s">
        <v>243</v>
      </c>
      <c r="AJ229" s="212" t="s">
        <v>244</v>
      </c>
      <c r="AK229" s="212" t="s">
        <v>245</v>
      </c>
      <c r="AL229" s="212" t="s">
        <v>246</v>
      </c>
      <c r="AM229" s="212" t="s">
        <v>247</v>
      </c>
      <c r="AN229" s="100"/>
      <c r="AO229" s="102"/>
    </row>
    <row r="230" ht="14.25" customHeight="1">
      <c r="A230" s="216" t="s">
        <v>250</v>
      </c>
      <c r="B230" s="217"/>
      <c r="C230" s="217"/>
      <c r="D230" s="217"/>
      <c r="E230" s="217"/>
      <c r="F230" s="217"/>
      <c r="G230" s="217"/>
      <c r="H230" s="141">
        <f t="shared" ref="H230:AH230" si="12">AVERAGE(H231,H236,H247,H256,H263)</f>
        <v>0.4443055556</v>
      </c>
      <c r="I230" s="141">
        <f t="shared" si="12"/>
        <v>0.4554166667</v>
      </c>
      <c r="J230" s="141">
        <f t="shared" si="12"/>
        <v>0.4304166667</v>
      </c>
      <c r="K230" s="141">
        <f t="shared" si="12"/>
        <v>0.4304166667</v>
      </c>
      <c r="L230" s="141">
        <f t="shared" si="12"/>
        <v>0.4304166667</v>
      </c>
      <c r="M230" s="141">
        <f t="shared" si="12"/>
        <v>0.4304166667</v>
      </c>
      <c r="N230" s="141">
        <f t="shared" si="12"/>
        <v>0.4304166667</v>
      </c>
      <c r="O230" s="141">
        <f t="shared" si="12"/>
        <v>0.4304166667</v>
      </c>
      <c r="P230" s="141">
        <f t="shared" si="12"/>
        <v>0.4304166667</v>
      </c>
      <c r="Q230" s="141">
        <f t="shared" si="12"/>
        <v>0.4304166667</v>
      </c>
      <c r="R230" s="141">
        <f t="shared" si="12"/>
        <v>0.5781944444</v>
      </c>
      <c r="S230" s="141">
        <f t="shared" si="12"/>
        <v>0.5781944444</v>
      </c>
      <c r="T230" s="141">
        <f t="shared" si="12"/>
        <v>0.5781944444</v>
      </c>
      <c r="U230" s="141">
        <f t="shared" si="12"/>
        <v>0.5781944444</v>
      </c>
      <c r="V230" s="141">
        <f t="shared" si="12"/>
        <v>0.5781944444</v>
      </c>
      <c r="W230" s="141">
        <f t="shared" si="12"/>
        <v>0.8769444444</v>
      </c>
      <c r="X230" s="141">
        <f t="shared" si="12"/>
        <v>0.4809722222</v>
      </c>
      <c r="Y230" s="141">
        <f t="shared" si="12"/>
        <v>0.4643055556</v>
      </c>
      <c r="Z230" s="141">
        <f t="shared" si="12"/>
        <v>0.2059259259</v>
      </c>
      <c r="AA230" s="141">
        <f t="shared" si="12"/>
        <v>0.1777777778</v>
      </c>
      <c r="AB230" s="141">
        <f t="shared" si="12"/>
        <v>0.6652777778</v>
      </c>
      <c r="AC230" s="141">
        <f t="shared" si="12"/>
        <v>0.6652777778</v>
      </c>
      <c r="AD230" s="141">
        <f t="shared" si="12"/>
        <v>0.6652777778</v>
      </c>
      <c r="AE230" s="141">
        <f t="shared" si="12"/>
        <v>0.6652777778</v>
      </c>
      <c r="AF230" s="141">
        <f t="shared" si="12"/>
        <v>0.6652777778</v>
      </c>
      <c r="AG230" s="141">
        <f t="shared" si="12"/>
        <v>0.6652777778</v>
      </c>
      <c r="AH230" s="141">
        <f t="shared" si="12"/>
        <v>0.6652777778</v>
      </c>
      <c r="AI230" s="141">
        <f t="shared" ref="AI230:AI263" si="14">AVERAGE(H230:AA230)</f>
        <v>0.4719976852</v>
      </c>
      <c r="AJ230" s="141">
        <f t="shared" ref="AJ230:AJ263" si="15">W230</f>
        <v>0.8769444444</v>
      </c>
      <c r="AK230" s="141">
        <f t="shared" ref="AK230:AK263" si="16">AVERAGE(AB230:AH230)</f>
        <v>0.6652777778</v>
      </c>
      <c r="AL230" s="141">
        <f t="shared" ref="AL230:AL263" si="17">AVERAGE(W230,AB230,AC230,AD230,AE230,AF230,AG230,AH230)</f>
        <v>0.6917361111</v>
      </c>
      <c r="AM230" s="215">
        <f t="shared" ref="AM230:AM263" si="18">AVERAGE(H230:AH230)</f>
        <v>0.5221073388</v>
      </c>
      <c r="AN230" s="100"/>
      <c r="AO230" s="102"/>
    </row>
    <row r="231" ht="14.25" customHeight="1">
      <c r="A231" s="243" t="s">
        <v>256</v>
      </c>
      <c r="B231" s="162"/>
      <c r="C231" s="162"/>
      <c r="D231" s="100"/>
      <c r="E231" s="162"/>
      <c r="F231" s="162"/>
      <c r="G231" s="162"/>
      <c r="H231" s="141">
        <f t="shared" ref="H231:AH231" si="13">AVERAGE(H232,H233)</f>
        <v>0.8888888889</v>
      </c>
      <c r="I231" s="141">
        <f t="shared" si="13"/>
        <v>0.9444444444</v>
      </c>
      <c r="J231" s="141">
        <f t="shared" si="13"/>
        <v>0.8888888889</v>
      </c>
      <c r="K231" s="141">
        <f t="shared" si="13"/>
        <v>0.8888888889</v>
      </c>
      <c r="L231" s="141">
        <f t="shared" si="13"/>
        <v>0.8888888889</v>
      </c>
      <c r="M231" s="141">
        <f t="shared" si="13"/>
        <v>0.8888888889</v>
      </c>
      <c r="N231" s="141">
        <f t="shared" si="13"/>
        <v>0.8888888889</v>
      </c>
      <c r="O231" s="141">
        <f t="shared" si="13"/>
        <v>0.8888888889</v>
      </c>
      <c r="P231" s="141">
        <f t="shared" si="13"/>
        <v>0.8888888889</v>
      </c>
      <c r="Q231" s="141">
        <f t="shared" si="13"/>
        <v>0.8888888889</v>
      </c>
      <c r="R231" s="141">
        <f t="shared" si="13"/>
        <v>0.9444444444</v>
      </c>
      <c r="S231" s="141">
        <f t="shared" si="13"/>
        <v>0.9444444444</v>
      </c>
      <c r="T231" s="141">
        <f t="shared" si="13"/>
        <v>0.9444444444</v>
      </c>
      <c r="U231" s="141">
        <f t="shared" si="13"/>
        <v>0.9444444444</v>
      </c>
      <c r="V231" s="141">
        <f t="shared" si="13"/>
        <v>0.9444444444</v>
      </c>
      <c r="W231" s="141">
        <f t="shared" si="13"/>
        <v>0.9444444444</v>
      </c>
      <c r="X231" s="141">
        <f t="shared" si="13"/>
        <v>0.8055555556</v>
      </c>
      <c r="Y231" s="141">
        <f t="shared" si="13"/>
        <v>0.7222222222</v>
      </c>
      <c r="Z231" s="141">
        <f t="shared" si="13"/>
        <v>0.5833333333</v>
      </c>
      <c r="AA231" s="141">
        <f t="shared" si="13"/>
        <v>0.6388888889</v>
      </c>
      <c r="AB231" s="141">
        <f t="shared" si="13"/>
        <v>0.9444444444</v>
      </c>
      <c r="AC231" s="141">
        <f t="shared" si="13"/>
        <v>0.9444444444</v>
      </c>
      <c r="AD231" s="141">
        <f t="shared" si="13"/>
        <v>0.9444444444</v>
      </c>
      <c r="AE231" s="141">
        <f t="shared" si="13"/>
        <v>0.9444444444</v>
      </c>
      <c r="AF231" s="141">
        <f t="shared" si="13"/>
        <v>0.9444444444</v>
      </c>
      <c r="AG231" s="141">
        <f t="shared" si="13"/>
        <v>0.9444444444</v>
      </c>
      <c r="AH231" s="141">
        <f t="shared" si="13"/>
        <v>0.9444444444</v>
      </c>
      <c r="AI231" s="141">
        <f t="shared" si="14"/>
        <v>0.8680555556</v>
      </c>
      <c r="AJ231" s="141">
        <f t="shared" si="15"/>
        <v>0.9444444444</v>
      </c>
      <c r="AK231" s="141">
        <f t="shared" si="16"/>
        <v>0.9444444444</v>
      </c>
      <c r="AL231" s="141">
        <f t="shared" si="17"/>
        <v>0.9444444444</v>
      </c>
      <c r="AM231" s="215">
        <f t="shared" si="18"/>
        <v>0.8878600823</v>
      </c>
      <c r="AN231" s="100"/>
      <c r="AO231" s="102"/>
    </row>
    <row r="232" ht="14.25" customHeight="1" outlineLevel="1">
      <c r="A232" s="245"/>
      <c r="B232" s="246" t="s">
        <v>257</v>
      </c>
      <c r="C232" s="246"/>
      <c r="D232" s="201"/>
      <c r="E232" s="162"/>
      <c r="F232" s="162"/>
      <c r="G232" s="162"/>
      <c r="H232" s="141">
        <f t="shared" ref="H232:AH232" si="19">(COUNTA(H5:H13)-COUNTIF($AN$5:$AN$13,1))/(COUNTA($G$5:$G$13)-COUNTIF($AN$5:$AN$13,1))</f>
        <v>0.7777777778</v>
      </c>
      <c r="I232" s="141">
        <f t="shared" si="19"/>
        <v>0.8888888889</v>
      </c>
      <c r="J232" s="141">
        <f t="shared" si="19"/>
        <v>0.7777777778</v>
      </c>
      <c r="K232" s="141">
        <f t="shared" si="19"/>
        <v>0.7777777778</v>
      </c>
      <c r="L232" s="141">
        <f t="shared" si="19"/>
        <v>0.7777777778</v>
      </c>
      <c r="M232" s="141">
        <f t="shared" si="19"/>
        <v>0.7777777778</v>
      </c>
      <c r="N232" s="141">
        <f t="shared" si="19"/>
        <v>0.7777777778</v>
      </c>
      <c r="O232" s="141">
        <f t="shared" si="19"/>
        <v>0.7777777778</v>
      </c>
      <c r="P232" s="141">
        <f t="shared" si="19"/>
        <v>0.7777777778</v>
      </c>
      <c r="Q232" s="141">
        <f t="shared" si="19"/>
        <v>0.7777777778</v>
      </c>
      <c r="R232" s="141">
        <f t="shared" si="19"/>
        <v>0.8888888889</v>
      </c>
      <c r="S232" s="141">
        <f t="shared" si="19"/>
        <v>0.8888888889</v>
      </c>
      <c r="T232" s="141">
        <f t="shared" si="19"/>
        <v>0.8888888889</v>
      </c>
      <c r="U232" s="141">
        <f t="shared" si="19"/>
        <v>0.8888888889</v>
      </c>
      <c r="V232" s="141">
        <f t="shared" si="19"/>
        <v>0.8888888889</v>
      </c>
      <c r="W232" s="141">
        <f t="shared" si="19"/>
        <v>0.8888888889</v>
      </c>
      <c r="X232" s="141">
        <f t="shared" si="19"/>
        <v>0.7777777778</v>
      </c>
      <c r="Y232" s="141">
        <f t="shared" si="19"/>
        <v>0.7777777778</v>
      </c>
      <c r="Z232" s="141">
        <f t="shared" si="19"/>
        <v>0.6666666667</v>
      </c>
      <c r="AA232" s="141">
        <f t="shared" si="19"/>
        <v>0.7777777778</v>
      </c>
      <c r="AB232" s="141">
        <f t="shared" si="19"/>
        <v>0.8888888889</v>
      </c>
      <c r="AC232" s="141">
        <f t="shared" si="19"/>
        <v>0.8888888889</v>
      </c>
      <c r="AD232" s="141">
        <f t="shared" si="19"/>
        <v>0.8888888889</v>
      </c>
      <c r="AE232" s="141">
        <f t="shared" si="19"/>
        <v>0.8888888889</v>
      </c>
      <c r="AF232" s="141">
        <f t="shared" si="19"/>
        <v>0.8888888889</v>
      </c>
      <c r="AG232" s="141">
        <f t="shared" si="19"/>
        <v>0.8888888889</v>
      </c>
      <c r="AH232" s="141">
        <f t="shared" si="19"/>
        <v>0.8888888889</v>
      </c>
      <c r="AI232" s="141">
        <f t="shared" si="14"/>
        <v>0.8111111111</v>
      </c>
      <c r="AJ232" s="141">
        <f t="shared" si="15"/>
        <v>0.8888888889</v>
      </c>
      <c r="AK232" s="141">
        <f t="shared" si="16"/>
        <v>0.8888888889</v>
      </c>
      <c r="AL232" s="141">
        <f t="shared" si="17"/>
        <v>0.8888888889</v>
      </c>
      <c r="AM232" s="215">
        <f t="shared" si="18"/>
        <v>0.8312757202</v>
      </c>
      <c r="AN232" s="100"/>
      <c r="AO232" s="102"/>
    </row>
    <row r="233" ht="14.25" customHeight="1" outlineLevel="1">
      <c r="A233" s="269"/>
      <c r="B233" s="246" t="s">
        <v>281</v>
      </c>
      <c r="C233" s="246"/>
      <c r="D233" s="201"/>
      <c r="E233" s="162"/>
      <c r="F233" s="162"/>
      <c r="G233" s="162"/>
      <c r="H233" s="141">
        <f t="shared" ref="H233:AH233" si="20">AVERAGE(H234,H235)</f>
        <v>1</v>
      </c>
      <c r="I233" s="141">
        <f t="shared" si="20"/>
        <v>1</v>
      </c>
      <c r="J233" s="141">
        <f t="shared" si="20"/>
        <v>1</v>
      </c>
      <c r="K233" s="141">
        <f t="shared" si="20"/>
        <v>1</v>
      </c>
      <c r="L233" s="141">
        <f t="shared" si="20"/>
        <v>1</v>
      </c>
      <c r="M233" s="141">
        <f t="shared" si="20"/>
        <v>1</v>
      </c>
      <c r="N233" s="141">
        <f t="shared" si="20"/>
        <v>1</v>
      </c>
      <c r="O233" s="141">
        <f t="shared" si="20"/>
        <v>1</v>
      </c>
      <c r="P233" s="141">
        <f t="shared" si="20"/>
        <v>1</v>
      </c>
      <c r="Q233" s="141">
        <f t="shared" si="20"/>
        <v>1</v>
      </c>
      <c r="R233" s="141">
        <f t="shared" si="20"/>
        <v>1</v>
      </c>
      <c r="S233" s="141">
        <f t="shared" si="20"/>
        <v>1</v>
      </c>
      <c r="T233" s="141">
        <f t="shared" si="20"/>
        <v>1</v>
      </c>
      <c r="U233" s="141">
        <f t="shared" si="20"/>
        <v>1</v>
      </c>
      <c r="V233" s="141">
        <f t="shared" si="20"/>
        <v>1</v>
      </c>
      <c r="W233" s="141">
        <f t="shared" si="20"/>
        <v>1</v>
      </c>
      <c r="X233" s="141">
        <f t="shared" si="20"/>
        <v>0.8333333333</v>
      </c>
      <c r="Y233" s="141">
        <f t="shared" si="20"/>
        <v>0.6666666667</v>
      </c>
      <c r="Z233" s="141">
        <f t="shared" si="20"/>
        <v>0.5</v>
      </c>
      <c r="AA233" s="141">
        <f t="shared" si="20"/>
        <v>0.5</v>
      </c>
      <c r="AB233" s="141">
        <f t="shared" si="20"/>
        <v>1</v>
      </c>
      <c r="AC233" s="141">
        <f t="shared" si="20"/>
        <v>1</v>
      </c>
      <c r="AD233" s="141">
        <f t="shared" si="20"/>
        <v>1</v>
      </c>
      <c r="AE233" s="141">
        <f t="shared" si="20"/>
        <v>1</v>
      </c>
      <c r="AF233" s="141">
        <f t="shared" si="20"/>
        <v>1</v>
      </c>
      <c r="AG233" s="141">
        <f t="shared" si="20"/>
        <v>1</v>
      </c>
      <c r="AH233" s="141">
        <f t="shared" si="20"/>
        <v>1</v>
      </c>
      <c r="AI233" s="141">
        <f t="shared" si="14"/>
        <v>0.925</v>
      </c>
      <c r="AJ233" s="141">
        <f t="shared" si="15"/>
        <v>1</v>
      </c>
      <c r="AK233" s="141">
        <f t="shared" si="16"/>
        <v>1</v>
      </c>
      <c r="AL233" s="141">
        <f t="shared" si="17"/>
        <v>1</v>
      </c>
      <c r="AM233" s="215">
        <f t="shared" si="18"/>
        <v>0.9444444444</v>
      </c>
      <c r="AN233" s="100"/>
      <c r="AO233" s="102"/>
    </row>
    <row r="234" ht="14.25" customHeight="1" outlineLevel="2">
      <c r="A234" s="269"/>
      <c r="B234" s="246"/>
      <c r="C234" s="246" t="s">
        <v>282</v>
      </c>
      <c r="D234" s="201"/>
      <c r="E234" s="162"/>
      <c r="F234" s="162"/>
      <c r="G234" s="162"/>
      <c r="H234" s="141">
        <f t="shared" ref="H234:AH234" si="21">(COUNTA(H16:H18)-COUNTIF($AN$16:$AN$18,1))/(COUNTA($G$16:$G$18)-COUNTIF($AN$16:$AN$18,1))</f>
        <v>1</v>
      </c>
      <c r="I234" s="141">
        <f t="shared" si="21"/>
        <v>1</v>
      </c>
      <c r="J234" s="141">
        <f t="shared" si="21"/>
        <v>1</v>
      </c>
      <c r="K234" s="141">
        <f t="shared" si="21"/>
        <v>1</v>
      </c>
      <c r="L234" s="141">
        <f t="shared" si="21"/>
        <v>1</v>
      </c>
      <c r="M234" s="141">
        <f t="shared" si="21"/>
        <v>1</v>
      </c>
      <c r="N234" s="141">
        <f t="shared" si="21"/>
        <v>1</v>
      </c>
      <c r="O234" s="141">
        <f t="shared" si="21"/>
        <v>1</v>
      </c>
      <c r="P234" s="141">
        <f t="shared" si="21"/>
        <v>1</v>
      </c>
      <c r="Q234" s="141">
        <f t="shared" si="21"/>
        <v>1</v>
      </c>
      <c r="R234" s="141">
        <f t="shared" si="21"/>
        <v>1</v>
      </c>
      <c r="S234" s="141">
        <f t="shared" si="21"/>
        <v>1</v>
      </c>
      <c r="T234" s="141">
        <f t="shared" si="21"/>
        <v>1</v>
      </c>
      <c r="U234" s="141">
        <f t="shared" si="21"/>
        <v>1</v>
      </c>
      <c r="V234" s="141">
        <f t="shared" si="21"/>
        <v>1</v>
      </c>
      <c r="W234" s="141">
        <f t="shared" si="21"/>
        <v>1</v>
      </c>
      <c r="X234" s="141">
        <f t="shared" si="21"/>
        <v>0.6666666667</v>
      </c>
      <c r="Y234" s="141">
        <f t="shared" si="21"/>
        <v>0.6666666667</v>
      </c>
      <c r="Z234" s="141">
        <f t="shared" si="21"/>
        <v>0.3333333333</v>
      </c>
      <c r="AA234" s="141">
        <f t="shared" si="21"/>
        <v>0.3333333333</v>
      </c>
      <c r="AB234" s="141">
        <f t="shared" si="21"/>
        <v>1</v>
      </c>
      <c r="AC234" s="141">
        <f t="shared" si="21"/>
        <v>1</v>
      </c>
      <c r="AD234" s="141">
        <f t="shared" si="21"/>
        <v>1</v>
      </c>
      <c r="AE234" s="141">
        <f t="shared" si="21"/>
        <v>1</v>
      </c>
      <c r="AF234" s="141">
        <f t="shared" si="21"/>
        <v>1</v>
      </c>
      <c r="AG234" s="141">
        <f t="shared" si="21"/>
        <v>1</v>
      </c>
      <c r="AH234" s="141">
        <f t="shared" si="21"/>
        <v>1</v>
      </c>
      <c r="AI234" s="141">
        <f t="shared" si="14"/>
        <v>0.9</v>
      </c>
      <c r="AJ234" s="141">
        <f t="shared" si="15"/>
        <v>1</v>
      </c>
      <c r="AK234" s="141">
        <f t="shared" si="16"/>
        <v>1</v>
      </c>
      <c r="AL234" s="141">
        <f t="shared" si="17"/>
        <v>1</v>
      </c>
      <c r="AM234" s="215">
        <f t="shared" si="18"/>
        <v>0.9259259259</v>
      </c>
      <c r="AN234" s="100"/>
      <c r="AO234" s="102"/>
    </row>
    <row r="235" ht="14.25" customHeight="1" outlineLevel="2">
      <c r="A235" s="245"/>
      <c r="B235" s="246"/>
      <c r="C235" s="246" t="s">
        <v>289</v>
      </c>
      <c r="D235" s="201"/>
      <c r="E235" s="162"/>
      <c r="F235" s="162"/>
      <c r="G235" s="162"/>
      <c r="H235" s="141">
        <f t="shared" ref="H235:AH235" si="22">(COUNTA(H20:H22)-COUNTIF($AN$20:$AN$22,1))/(COUNTA($G$20:$G$22)-COUNTIF($AN$20:$AN$22,1))</f>
        <v>1</v>
      </c>
      <c r="I235" s="141">
        <f t="shared" si="22"/>
        <v>1</v>
      </c>
      <c r="J235" s="141">
        <f t="shared" si="22"/>
        <v>1</v>
      </c>
      <c r="K235" s="141">
        <f t="shared" si="22"/>
        <v>1</v>
      </c>
      <c r="L235" s="141">
        <f t="shared" si="22"/>
        <v>1</v>
      </c>
      <c r="M235" s="141">
        <f t="shared" si="22"/>
        <v>1</v>
      </c>
      <c r="N235" s="141">
        <f t="shared" si="22"/>
        <v>1</v>
      </c>
      <c r="O235" s="141">
        <f t="shared" si="22"/>
        <v>1</v>
      </c>
      <c r="P235" s="141">
        <f t="shared" si="22"/>
        <v>1</v>
      </c>
      <c r="Q235" s="141">
        <f t="shared" si="22"/>
        <v>1</v>
      </c>
      <c r="R235" s="141">
        <f t="shared" si="22"/>
        <v>1</v>
      </c>
      <c r="S235" s="141">
        <f t="shared" si="22"/>
        <v>1</v>
      </c>
      <c r="T235" s="141">
        <f t="shared" si="22"/>
        <v>1</v>
      </c>
      <c r="U235" s="141">
        <f t="shared" si="22"/>
        <v>1</v>
      </c>
      <c r="V235" s="141">
        <f t="shared" si="22"/>
        <v>1</v>
      </c>
      <c r="W235" s="141">
        <f t="shared" si="22"/>
        <v>1</v>
      </c>
      <c r="X235" s="141">
        <f t="shared" si="22"/>
        <v>1</v>
      </c>
      <c r="Y235" s="141">
        <f t="shared" si="22"/>
        <v>0.6666666667</v>
      </c>
      <c r="Z235" s="141">
        <f t="shared" si="22"/>
        <v>0.6666666667</v>
      </c>
      <c r="AA235" s="141">
        <f t="shared" si="22"/>
        <v>0.6666666667</v>
      </c>
      <c r="AB235" s="141">
        <f t="shared" si="22"/>
        <v>1</v>
      </c>
      <c r="AC235" s="141">
        <f t="shared" si="22"/>
        <v>1</v>
      </c>
      <c r="AD235" s="141">
        <f t="shared" si="22"/>
        <v>1</v>
      </c>
      <c r="AE235" s="141">
        <f t="shared" si="22"/>
        <v>1</v>
      </c>
      <c r="AF235" s="141">
        <f t="shared" si="22"/>
        <v>1</v>
      </c>
      <c r="AG235" s="141">
        <f t="shared" si="22"/>
        <v>1</v>
      </c>
      <c r="AH235" s="141">
        <f t="shared" si="22"/>
        <v>1</v>
      </c>
      <c r="AI235" s="141">
        <f t="shared" si="14"/>
        <v>0.95</v>
      </c>
      <c r="AJ235" s="141">
        <f t="shared" si="15"/>
        <v>1</v>
      </c>
      <c r="AK235" s="141">
        <f t="shared" si="16"/>
        <v>1</v>
      </c>
      <c r="AL235" s="141">
        <f t="shared" si="17"/>
        <v>1</v>
      </c>
      <c r="AM235" s="215">
        <f t="shared" si="18"/>
        <v>0.962962963</v>
      </c>
      <c r="AN235" s="100"/>
      <c r="AO235" s="102"/>
    </row>
    <row r="236" ht="14.25" customHeight="1">
      <c r="A236" s="243" t="s">
        <v>628</v>
      </c>
      <c r="B236" s="246"/>
      <c r="C236" s="246"/>
      <c r="D236" s="201"/>
      <c r="E236" s="162"/>
      <c r="F236" s="162"/>
      <c r="G236" s="162"/>
      <c r="H236" s="141">
        <f t="shared" ref="H236:AH236" si="23">AVERAGE(H237,H238,H242)</f>
        <v>0.2388888889</v>
      </c>
      <c r="I236" s="141">
        <f t="shared" si="23"/>
        <v>0.2388888889</v>
      </c>
      <c r="J236" s="141">
        <f t="shared" si="23"/>
        <v>0.1694444444</v>
      </c>
      <c r="K236" s="141">
        <f t="shared" si="23"/>
        <v>0.1694444444</v>
      </c>
      <c r="L236" s="141">
        <f t="shared" si="23"/>
        <v>0.1694444444</v>
      </c>
      <c r="M236" s="141">
        <f t="shared" si="23"/>
        <v>0.1694444444</v>
      </c>
      <c r="N236" s="141">
        <f t="shared" si="23"/>
        <v>0.1694444444</v>
      </c>
      <c r="O236" s="141">
        <f t="shared" si="23"/>
        <v>0.1694444444</v>
      </c>
      <c r="P236" s="141">
        <f t="shared" si="23"/>
        <v>0.1694444444</v>
      </c>
      <c r="Q236" s="141">
        <f t="shared" si="23"/>
        <v>0.1694444444</v>
      </c>
      <c r="R236" s="141">
        <f t="shared" si="23"/>
        <v>0.4916666667</v>
      </c>
      <c r="S236" s="141">
        <f t="shared" si="23"/>
        <v>0.4916666667</v>
      </c>
      <c r="T236" s="141">
        <f t="shared" si="23"/>
        <v>0.4916666667</v>
      </c>
      <c r="U236" s="141">
        <f t="shared" si="23"/>
        <v>0.4916666667</v>
      </c>
      <c r="V236" s="141">
        <f t="shared" si="23"/>
        <v>0.4916666667</v>
      </c>
      <c r="W236" s="141">
        <f t="shared" si="23"/>
        <v>0.8777777778</v>
      </c>
      <c r="X236" s="141">
        <f t="shared" si="23"/>
        <v>0.45</v>
      </c>
      <c r="Y236" s="141">
        <f t="shared" si="23"/>
        <v>0.45</v>
      </c>
      <c r="Z236" s="141">
        <f t="shared" si="23"/>
        <v>0.2888888889</v>
      </c>
      <c r="AA236" s="141">
        <f t="shared" si="23"/>
        <v>0.25</v>
      </c>
      <c r="AB236" s="141">
        <f t="shared" si="23"/>
        <v>0.75</v>
      </c>
      <c r="AC236" s="141">
        <f t="shared" si="23"/>
        <v>0.75</v>
      </c>
      <c r="AD236" s="141">
        <f t="shared" si="23"/>
        <v>0.75</v>
      </c>
      <c r="AE236" s="141">
        <f t="shared" si="23"/>
        <v>0.75</v>
      </c>
      <c r="AF236" s="141">
        <f t="shared" si="23"/>
        <v>0.75</v>
      </c>
      <c r="AG236" s="141">
        <f t="shared" si="23"/>
        <v>0.75</v>
      </c>
      <c r="AH236" s="141">
        <f t="shared" si="23"/>
        <v>0.75</v>
      </c>
      <c r="AI236" s="141">
        <f t="shared" si="14"/>
        <v>0.3304166667</v>
      </c>
      <c r="AJ236" s="141">
        <f t="shared" si="15"/>
        <v>0.8777777778</v>
      </c>
      <c r="AK236" s="141">
        <f t="shared" si="16"/>
        <v>0.75</v>
      </c>
      <c r="AL236" s="141">
        <f t="shared" si="17"/>
        <v>0.7659722222</v>
      </c>
      <c r="AM236" s="215">
        <f t="shared" si="18"/>
        <v>0.4391975309</v>
      </c>
      <c r="AN236" s="100"/>
      <c r="AO236" s="102"/>
    </row>
    <row r="237" ht="14.25" customHeight="1" outlineLevel="1">
      <c r="A237" s="247"/>
      <c r="B237" s="246" t="s">
        <v>301</v>
      </c>
      <c r="C237" s="246"/>
      <c r="D237" s="201"/>
      <c r="E237" s="162"/>
      <c r="F237" s="162"/>
      <c r="G237" s="162"/>
      <c r="H237" s="141">
        <f t="shared" ref="H237:AH237" si="24">(COUNTA(H30:H33)-COUNTIF($AN30:$AN33,1))/(COUNTA($G30:$G33)-COUNTIF($AN30:$AN33,1))</f>
        <v>0.25</v>
      </c>
      <c r="I237" s="141">
        <f t="shared" si="24"/>
        <v>0.25</v>
      </c>
      <c r="J237" s="141">
        <f t="shared" si="24"/>
        <v>0.25</v>
      </c>
      <c r="K237" s="141">
        <f t="shared" si="24"/>
        <v>0.25</v>
      </c>
      <c r="L237" s="141">
        <f t="shared" si="24"/>
        <v>0.25</v>
      </c>
      <c r="M237" s="141">
        <f t="shared" si="24"/>
        <v>0.25</v>
      </c>
      <c r="N237" s="141">
        <f t="shared" si="24"/>
        <v>0.25</v>
      </c>
      <c r="O237" s="141">
        <f t="shared" si="24"/>
        <v>0.25</v>
      </c>
      <c r="P237" s="141">
        <f t="shared" si="24"/>
        <v>0.25</v>
      </c>
      <c r="Q237" s="141">
        <f t="shared" si="24"/>
        <v>0.25</v>
      </c>
      <c r="R237" s="141">
        <f t="shared" si="24"/>
        <v>0.5</v>
      </c>
      <c r="S237" s="141">
        <f t="shared" si="24"/>
        <v>0.5</v>
      </c>
      <c r="T237" s="141">
        <f t="shared" si="24"/>
        <v>0.5</v>
      </c>
      <c r="U237" s="141">
        <f t="shared" si="24"/>
        <v>0.5</v>
      </c>
      <c r="V237" s="141">
        <f t="shared" si="24"/>
        <v>0.5</v>
      </c>
      <c r="W237" s="141">
        <f t="shared" si="24"/>
        <v>1</v>
      </c>
      <c r="X237" s="141">
        <f t="shared" si="24"/>
        <v>0.75</v>
      </c>
      <c r="Y237" s="141">
        <f t="shared" si="24"/>
        <v>0.75</v>
      </c>
      <c r="Z237" s="141">
        <f t="shared" si="24"/>
        <v>0.75</v>
      </c>
      <c r="AA237" s="141">
        <f t="shared" si="24"/>
        <v>0.75</v>
      </c>
      <c r="AB237" s="141">
        <f t="shared" si="24"/>
        <v>1</v>
      </c>
      <c r="AC237" s="141">
        <f t="shared" si="24"/>
        <v>1</v>
      </c>
      <c r="AD237" s="141">
        <f t="shared" si="24"/>
        <v>1</v>
      </c>
      <c r="AE237" s="141">
        <f t="shared" si="24"/>
        <v>1</v>
      </c>
      <c r="AF237" s="141">
        <f t="shared" si="24"/>
        <v>1</v>
      </c>
      <c r="AG237" s="141">
        <f t="shared" si="24"/>
        <v>1</v>
      </c>
      <c r="AH237" s="141">
        <f t="shared" si="24"/>
        <v>1</v>
      </c>
      <c r="AI237" s="141">
        <f t="shared" si="14"/>
        <v>0.45</v>
      </c>
      <c r="AJ237" s="141">
        <f t="shared" si="15"/>
        <v>1</v>
      </c>
      <c r="AK237" s="141">
        <f t="shared" si="16"/>
        <v>1</v>
      </c>
      <c r="AL237" s="141">
        <f t="shared" si="17"/>
        <v>1</v>
      </c>
      <c r="AM237" s="215">
        <f t="shared" si="18"/>
        <v>0.5925925926</v>
      </c>
      <c r="AN237" s="100"/>
      <c r="AO237" s="102"/>
    </row>
    <row r="238" ht="14.25" customHeight="1" outlineLevel="1">
      <c r="A238" s="247"/>
      <c r="B238" s="246" t="s">
        <v>319</v>
      </c>
      <c r="C238" s="246"/>
      <c r="D238" s="201"/>
      <c r="E238" s="162"/>
      <c r="F238" s="162"/>
      <c r="G238" s="162"/>
      <c r="H238" s="141">
        <f t="shared" ref="H238:AH238" si="25">AVERAGE(H239:H241)</f>
        <v>0.3416666667</v>
      </c>
      <c r="I238" s="141">
        <f t="shared" si="25"/>
        <v>0.3416666667</v>
      </c>
      <c r="J238" s="141">
        <f t="shared" si="25"/>
        <v>0.1333333333</v>
      </c>
      <c r="K238" s="141">
        <f t="shared" si="25"/>
        <v>0.1333333333</v>
      </c>
      <c r="L238" s="141">
        <f t="shared" si="25"/>
        <v>0.1333333333</v>
      </c>
      <c r="M238" s="141">
        <f t="shared" si="25"/>
        <v>0.1333333333</v>
      </c>
      <c r="N238" s="141">
        <f t="shared" si="25"/>
        <v>0.1333333333</v>
      </c>
      <c r="O238" s="141">
        <f t="shared" si="25"/>
        <v>0.1333333333</v>
      </c>
      <c r="P238" s="141">
        <f t="shared" si="25"/>
        <v>0.1333333333</v>
      </c>
      <c r="Q238" s="141">
        <f t="shared" si="25"/>
        <v>0.1333333333</v>
      </c>
      <c r="R238" s="141">
        <f t="shared" si="25"/>
        <v>0.5166666667</v>
      </c>
      <c r="S238" s="141">
        <f t="shared" si="25"/>
        <v>0.5166666667</v>
      </c>
      <c r="T238" s="141">
        <f t="shared" si="25"/>
        <v>0.5166666667</v>
      </c>
      <c r="U238" s="141">
        <f t="shared" si="25"/>
        <v>0.5166666667</v>
      </c>
      <c r="V238" s="141">
        <f t="shared" si="25"/>
        <v>0.5166666667</v>
      </c>
      <c r="W238" s="141">
        <f t="shared" si="25"/>
        <v>0.925</v>
      </c>
      <c r="X238" s="141">
        <f t="shared" si="25"/>
        <v>0.2666666667</v>
      </c>
      <c r="Y238" s="141">
        <f t="shared" si="25"/>
        <v>0.2666666667</v>
      </c>
      <c r="Z238" s="141">
        <f t="shared" si="25"/>
        <v>0.03333333333</v>
      </c>
      <c r="AA238" s="141">
        <f t="shared" si="25"/>
        <v>0</v>
      </c>
      <c r="AB238" s="141">
        <f t="shared" si="25"/>
        <v>0.625</v>
      </c>
      <c r="AC238" s="141">
        <f t="shared" si="25"/>
        <v>0.625</v>
      </c>
      <c r="AD238" s="141">
        <f t="shared" si="25"/>
        <v>0.625</v>
      </c>
      <c r="AE238" s="141">
        <f t="shared" si="25"/>
        <v>0.625</v>
      </c>
      <c r="AF238" s="141">
        <f t="shared" si="25"/>
        <v>0.625</v>
      </c>
      <c r="AG238" s="141">
        <f t="shared" si="25"/>
        <v>0.625</v>
      </c>
      <c r="AH238" s="141">
        <f t="shared" si="25"/>
        <v>0.625</v>
      </c>
      <c r="AI238" s="141">
        <f t="shared" si="14"/>
        <v>0.29125</v>
      </c>
      <c r="AJ238" s="141">
        <f t="shared" si="15"/>
        <v>0.925</v>
      </c>
      <c r="AK238" s="141">
        <f t="shared" si="16"/>
        <v>0.625</v>
      </c>
      <c r="AL238" s="141">
        <f t="shared" si="17"/>
        <v>0.6625</v>
      </c>
      <c r="AM238" s="215">
        <f t="shared" si="18"/>
        <v>0.3777777778</v>
      </c>
      <c r="AN238" s="100"/>
      <c r="AO238" s="102"/>
    </row>
    <row r="239" ht="14.25" customHeight="1" outlineLevel="2">
      <c r="A239" s="247"/>
      <c r="B239" s="201"/>
      <c r="C239" s="246" t="s">
        <v>320</v>
      </c>
      <c r="D239" s="201"/>
      <c r="E239" s="162"/>
      <c r="F239" s="162"/>
      <c r="G239" s="162"/>
      <c r="H239" s="141">
        <f t="shared" ref="H239:AH239" si="26">(COUNTA(H40:H47)-COUNTIF($AN40:$AN47,1))/(COUNTA($G40:$G47)-COUNTIF($AN40:$AN47,1))</f>
        <v>0.625</v>
      </c>
      <c r="I239" s="141">
        <f t="shared" si="26"/>
        <v>0.625</v>
      </c>
      <c r="J239" s="141">
        <f t="shared" si="26"/>
        <v>0</v>
      </c>
      <c r="K239" s="141">
        <f t="shared" si="26"/>
        <v>0</v>
      </c>
      <c r="L239" s="141">
        <f t="shared" si="26"/>
        <v>0</v>
      </c>
      <c r="M239" s="141">
        <f t="shared" si="26"/>
        <v>0</v>
      </c>
      <c r="N239" s="141">
        <f t="shared" si="26"/>
        <v>0</v>
      </c>
      <c r="O239" s="141">
        <f t="shared" si="26"/>
        <v>0</v>
      </c>
      <c r="P239" s="141">
        <f t="shared" si="26"/>
        <v>0</v>
      </c>
      <c r="Q239" s="141">
        <f t="shared" si="26"/>
        <v>0</v>
      </c>
      <c r="R239" s="141">
        <f t="shared" si="26"/>
        <v>0.75</v>
      </c>
      <c r="S239" s="141">
        <f t="shared" si="26"/>
        <v>0.75</v>
      </c>
      <c r="T239" s="141">
        <f t="shared" si="26"/>
        <v>0.75</v>
      </c>
      <c r="U239" s="141">
        <f t="shared" si="26"/>
        <v>0.75</v>
      </c>
      <c r="V239" s="141">
        <f t="shared" si="26"/>
        <v>0.75</v>
      </c>
      <c r="W239" s="141">
        <f t="shared" si="26"/>
        <v>1</v>
      </c>
      <c r="X239" s="141">
        <f t="shared" si="26"/>
        <v>0</v>
      </c>
      <c r="Y239" s="141">
        <f t="shared" si="26"/>
        <v>0</v>
      </c>
      <c r="Z239" s="141">
        <f t="shared" si="26"/>
        <v>0</v>
      </c>
      <c r="AA239" s="141">
        <f t="shared" si="26"/>
        <v>0</v>
      </c>
      <c r="AB239" s="141">
        <f t="shared" si="26"/>
        <v>1</v>
      </c>
      <c r="AC239" s="141">
        <f t="shared" si="26"/>
        <v>1</v>
      </c>
      <c r="AD239" s="141">
        <f t="shared" si="26"/>
        <v>1</v>
      </c>
      <c r="AE239" s="141">
        <f t="shared" si="26"/>
        <v>1</v>
      </c>
      <c r="AF239" s="141">
        <f t="shared" si="26"/>
        <v>1</v>
      </c>
      <c r="AG239" s="141">
        <f t="shared" si="26"/>
        <v>1</v>
      </c>
      <c r="AH239" s="141">
        <f t="shared" si="26"/>
        <v>1</v>
      </c>
      <c r="AI239" s="141">
        <f t="shared" si="14"/>
        <v>0.3</v>
      </c>
      <c r="AJ239" s="141">
        <f t="shared" si="15"/>
        <v>1</v>
      </c>
      <c r="AK239" s="141">
        <f t="shared" si="16"/>
        <v>1</v>
      </c>
      <c r="AL239" s="141">
        <f t="shared" si="17"/>
        <v>1</v>
      </c>
      <c r="AM239" s="215">
        <f t="shared" si="18"/>
        <v>0.4814814815</v>
      </c>
      <c r="AN239" s="100"/>
      <c r="AO239" s="102"/>
    </row>
    <row r="240" ht="14.25" customHeight="1" outlineLevel="2">
      <c r="A240" s="247"/>
      <c r="B240" s="201"/>
      <c r="C240" s="246" t="s">
        <v>337</v>
      </c>
      <c r="D240" s="201"/>
      <c r="E240" s="162"/>
      <c r="F240" s="162"/>
      <c r="G240" s="162"/>
      <c r="H240" s="141">
        <f t="shared" ref="H240:AH240" si="27">(COUNTA(H49:H56)-COUNTIF($AN49:$AN56,1))/(COUNTA($G49:$G56)-COUNTIF($AN49:$AN56,1))</f>
        <v>0</v>
      </c>
      <c r="I240" s="141">
        <f t="shared" si="27"/>
        <v>0</v>
      </c>
      <c r="J240" s="141">
        <f t="shared" si="27"/>
        <v>0</v>
      </c>
      <c r="K240" s="141">
        <f t="shared" si="27"/>
        <v>0</v>
      </c>
      <c r="L240" s="141">
        <f t="shared" si="27"/>
        <v>0</v>
      </c>
      <c r="M240" s="141">
        <f t="shared" si="27"/>
        <v>0</v>
      </c>
      <c r="N240" s="141">
        <f t="shared" si="27"/>
        <v>0</v>
      </c>
      <c r="O240" s="141">
        <f t="shared" si="27"/>
        <v>0</v>
      </c>
      <c r="P240" s="141">
        <f t="shared" si="27"/>
        <v>0</v>
      </c>
      <c r="Q240" s="141">
        <f t="shared" si="27"/>
        <v>0</v>
      </c>
      <c r="R240" s="141">
        <f t="shared" si="27"/>
        <v>0</v>
      </c>
      <c r="S240" s="141">
        <f t="shared" si="27"/>
        <v>0</v>
      </c>
      <c r="T240" s="141">
        <f t="shared" si="27"/>
        <v>0</v>
      </c>
      <c r="U240" s="141">
        <f t="shared" si="27"/>
        <v>0</v>
      </c>
      <c r="V240" s="141">
        <f t="shared" si="27"/>
        <v>0</v>
      </c>
      <c r="W240" s="141">
        <f t="shared" si="27"/>
        <v>0.875</v>
      </c>
      <c r="X240" s="141">
        <f t="shared" si="27"/>
        <v>0</v>
      </c>
      <c r="Y240" s="141">
        <f t="shared" si="27"/>
        <v>0</v>
      </c>
      <c r="Z240" s="141">
        <f t="shared" si="27"/>
        <v>0</v>
      </c>
      <c r="AA240" s="141">
        <f t="shared" si="27"/>
        <v>0</v>
      </c>
      <c r="AB240" s="141">
        <f t="shared" si="27"/>
        <v>0.875</v>
      </c>
      <c r="AC240" s="141">
        <f t="shared" si="27"/>
        <v>0.875</v>
      </c>
      <c r="AD240" s="141">
        <f t="shared" si="27"/>
        <v>0.875</v>
      </c>
      <c r="AE240" s="141">
        <f t="shared" si="27"/>
        <v>0.875</v>
      </c>
      <c r="AF240" s="141">
        <f t="shared" si="27"/>
        <v>0.875</v>
      </c>
      <c r="AG240" s="141">
        <f t="shared" si="27"/>
        <v>0.875</v>
      </c>
      <c r="AH240" s="141">
        <f t="shared" si="27"/>
        <v>0.875</v>
      </c>
      <c r="AI240" s="141">
        <f t="shared" si="14"/>
        <v>0.04375</v>
      </c>
      <c r="AJ240" s="141">
        <f t="shared" si="15"/>
        <v>0.875</v>
      </c>
      <c r="AK240" s="141">
        <f t="shared" si="16"/>
        <v>0.875</v>
      </c>
      <c r="AL240" s="141">
        <f t="shared" si="17"/>
        <v>0.875</v>
      </c>
      <c r="AM240" s="215">
        <f t="shared" si="18"/>
        <v>0.2592592593</v>
      </c>
      <c r="AN240" s="100"/>
      <c r="AO240" s="102"/>
    </row>
    <row r="241" ht="14.25" customHeight="1" outlineLevel="2">
      <c r="A241" s="247"/>
      <c r="B241" s="100"/>
      <c r="C241" s="246" t="s">
        <v>367</v>
      </c>
      <c r="D241" s="201"/>
      <c r="E241" s="162"/>
      <c r="F241" s="162"/>
      <c r="G241" s="162"/>
      <c r="H241" s="141">
        <f t="shared" ref="H241:AH241" si="28">(COUNTA(H69:H78)-COUNTIF($AN69:$AN78,1))/(COUNTA($G69:$G78)-COUNTIF($AN69:$AN78,1))</f>
        <v>0.4</v>
      </c>
      <c r="I241" s="141">
        <f t="shared" si="28"/>
        <v>0.4</v>
      </c>
      <c r="J241" s="141">
        <f t="shared" si="28"/>
        <v>0.4</v>
      </c>
      <c r="K241" s="141">
        <f t="shared" si="28"/>
        <v>0.4</v>
      </c>
      <c r="L241" s="141">
        <f t="shared" si="28"/>
        <v>0.4</v>
      </c>
      <c r="M241" s="141">
        <f t="shared" si="28"/>
        <v>0.4</v>
      </c>
      <c r="N241" s="141">
        <f t="shared" si="28"/>
        <v>0.4</v>
      </c>
      <c r="O241" s="141">
        <f t="shared" si="28"/>
        <v>0.4</v>
      </c>
      <c r="P241" s="141">
        <f t="shared" si="28"/>
        <v>0.4</v>
      </c>
      <c r="Q241" s="141">
        <f t="shared" si="28"/>
        <v>0.4</v>
      </c>
      <c r="R241" s="141">
        <f t="shared" si="28"/>
        <v>0.8</v>
      </c>
      <c r="S241" s="141">
        <f t="shared" si="28"/>
        <v>0.8</v>
      </c>
      <c r="T241" s="141">
        <f t="shared" si="28"/>
        <v>0.8</v>
      </c>
      <c r="U241" s="141">
        <f t="shared" si="28"/>
        <v>0.8</v>
      </c>
      <c r="V241" s="141">
        <f t="shared" si="28"/>
        <v>0.8</v>
      </c>
      <c r="W241" s="141">
        <f t="shared" si="28"/>
        <v>0.9</v>
      </c>
      <c r="X241" s="141">
        <f t="shared" si="28"/>
        <v>0.8</v>
      </c>
      <c r="Y241" s="141">
        <f t="shared" si="28"/>
        <v>0.8</v>
      </c>
      <c r="Z241" s="141">
        <f t="shared" si="28"/>
        <v>0.1</v>
      </c>
      <c r="AA241" s="141">
        <f t="shared" si="28"/>
        <v>0</v>
      </c>
      <c r="AB241" s="141">
        <f t="shared" si="28"/>
        <v>0</v>
      </c>
      <c r="AC241" s="141">
        <f t="shared" si="28"/>
        <v>0</v>
      </c>
      <c r="AD241" s="141">
        <f t="shared" si="28"/>
        <v>0</v>
      </c>
      <c r="AE241" s="141">
        <f t="shared" si="28"/>
        <v>0</v>
      </c>
      <c r="AF241" s="141">
        <f t="shared" si="28"/>
        <v>0</v>
      </c>
      <c r="AG241" s="141">
        <f t="shared" si="28"/>
        <v>0</v>
      </c>
      <c r="AH241" s="141">
        <f t="shared" si="28"/>
        <v>0</v>
      </c>
      <c r="AI241" s="141">
        <f t="shared" si="14"/>
        <v>0.53</v>
      </c>
      <c r="AJ241" s="141">
        <f t="shared" si="15"/>
        <v>0.9</v>
      </c>
      <c r="AK241" s="141">
        <f t="shared" si="16"/>
        <v>0</v>
      </c>
      <c r="AL241" s="141">
        <f t="shared" si="17"/>
        <v>0.1125</v>
      </c>
      <c r="AM241" s="215">
        <f t="shared" si="18"/>
        <v>0.3925925926</v>
      </c>
      <c r="AN241" s="100"/>
      <c r="AO241" s="102"/>
    </row>
    <row r="242" ht="13.5" customHeight="1" outlineLevel="1">
      <c r="A242" s="247"/>
      <c r="B242" s="246" t="s">
        <v>388</v>
      </c>
      <c r="C242" s="246"/>
      <c r="D242" s="201"/>
      <c r="E242" s="162"/>
      <c r="F242" s="162"/>
      <c r="G242" s="162"/>
      <c r="H242" s="141">
        <f t="shared" ref="H242:AH242" si="29">AVERAGE(H243,H244,H245,H246)</f>
        <v>0.125</v>
      </c>
      <c r="I242" s="141">
        <f t="shared" si="29"/>
        <v>0.125</v>
      </c>
      <c r="J242" s="141">
        <f t="shared" si="29"/>
        <v>0.125</v>
      </c>
      <c r="K242" s="141">
        <f t="shared" si="29"/>
        <v>0.125</v>
      </c>
      <c r="L242" s="141">
        <f t="shared" si="29"/>
        <v>0.125</v>
      </c>
      <c r="M242" s="141">
        <f t="shared" si="29"/>
        <v>0.125</v>
      </c>
      <c r="N242" s="141">
        <f t="shared" si="29"/>
        <v>0.125</v>
      </c>
      <c r="O242" s="141">
        <f t="shared" si="29"/>
        <v>0.125</v>
      </c>
      <c r="P242" s="141">
        <f t="shared" si="29"/>
        <v>0.125</v>
      </c>
      <c r="Q242" s="141">
        <f t="shared" si="29"/>
        <v>0.125</v>
      </c>
      <c r="R242" s="141">
        <f t="shared" si="29"/>
        <v>0.4583333333</v>
      </c>
      <c r="S242" s="141">
        <f t="shared" si="29"/>
        <v>0.4583333333</v>
      </c>
      <c r="T242" s="141">
        <f t="shared" si="29"/>
        <v>0.4583333333</v>
      </c>
      <c r="U242" s="141">
        <f t="shared" si="29"/>
        <v>0.4583333333</v>
      </c>
      <c r="V242" s="141">
        <f t="shared" si="29"/>
        <v>0.4583333333</v>
      </c>
      <c r="W242" s="141">
        <f t="shared" si="29"/>
        <v>0.7083333333</v>
      </c>
      <c r="X242" s="141">
        <f t="shared" si="29"/>
        <v>0.3333333333</v>
      </c>
      <c r="Y242" s="141">
        <f t="shared" si="29"/>
        <v>0.3333333333</v>
      </c>
      <c r="Z242" s="141">
        <f t="shared" si="29"/>
        <v>0.08333333333</v>
      </c>
      <c r="AA242" s="141">
        <f t="shared" si="29"/>
        <v>0</v>
      </c>
      <c r="AB242" s="141">
        <f t="shared" si="29"/>
        <v>0.625</v>
      </c>
      <c r="AC242" s="141">
        <f t="shared" si="29"/>
        <v>0.625</v>
      </c>
      <c r="AD242" s="141">
        <f t="shared" si="29"/>
        <v>0.625</v>
      </c>
      <c r="AE242" s="141">
        <f t="shared" si="29"/>
        <v>0.625</v>
      </c>
      <c r="AF242" s="141">
        <f t="shared" si="29"/>
        <v>0.625</v>
      </c>
      <c r="AG242" s="141">
        <f t="shared" si="29"/>
        <v>0.625</v>
      </c>
      <c r="AH242" s="141">
        <f t="shared" si="29"/>
        <v>0.625</v>
      </c>
      <c r="AI242" s="141">
        <f t="shared" si="14"/>
        <v>0.25</v>
      </c>
      <c r="AJ242" s="141">
        <f t="shared" si="15"/>
        <v>0.7083333333</v>
      </c>
      <c r="AK242" s="141">
        <f t="shared" si="16"/>
        <v>0.625</v>
      </c>
      <c r="AL242" s="141">
        <f t="shared" si="17"/>
        <v>0.6354166667</v>
      </c>
      <c r="AM242" s="215">
        <f t="shared" si="18"/>
        <v>0.3472222222</v>
      </c>
      <c r="AN242" s="100"/>
      <c r="AO242" s="102"/>
    </row>
    <row r="243" ht="13.5" customHeight="1" outlineLevel="2">
      <c r="A243" s="247"/>
      <c r="B243" s="201"/>
      <c r="C243" s="246" t="s">
        <v>389</v>
      </c>
      <c r="D243" s="201"/>
      <c r="E243" s="162"/>
      <c r="F243" s="162"/>
      <c r="G243" s="162"/>
      <c r="H243" s="141">
        <f t="shared" ref="H243:AH243" si="30">MAX(COUNTA(H81),(COUNTA(H82:H84)-COUNTIF($AN82:$AN84,1))/(COUNTA($G82:$G84)-COUNTIF($AN82:$AN84,1)))</f>
        <v>0</v>
      </c>
      <c r="I243" s="141">
        <f t="shared" si="30"/>
        <v>0</v>
      </c>
      <c r="J243" s="141">
        <f t="shared" si="30"/>
        <v>0</v>
      </c>
      <c r="K243" s="141">
        <f t="shared" si="30"/>
        <v>0</v>
      </c>
      <c r="L243" s="141">
        <f t="shared" si="30"/>
        <v>0</v>
      </c>
      <c r="M243" s="141">
        <f t="shared" si="30"/>
        <v>0</v>
      </c>
      <c r="N243" s="141">
        <f t="shared" si="30"/>
        <v>0</v>
      </c>
      <c r="O243" s="141">
        <f t="shared" si="30"/>
        <v>0</v>
      </c>
      <c r="P243" s="141">
        <f t="shared" si="30"/>
        <v>0</v>
      </c>
      <c r="Q243" s="141">
        <f t="shared" si="30"/>
        <v>0</v>
      </c>
      <c r="R243" s="141">
        <f t="shared" si="30"/>
        <v>1</v>
      </c>
      <c r="S243" s="141">
        <f t="shared" si="30"/>
        <v>1</v>
      </c>
      <c r="T243" s="141">
        <f t="shared" si="30"/>
        <v>1</v>
      </c>
      <c r="U243" s="141">
        <f t="shared" si="30"/>
        <v>1</v>
      </c>
      <c r="V243" s="141">
        <f t="shared" si="30"/>
        <v>1</v>
      </c>
      <c r="W243" s="141">
        <f t="shared" si="30"/>
        <v>1</v>
      </c>
      <c r="X243" s="141">
        <f t="shared" si="30"/>
        <v>1</v>
      </c>
      <c r="Y243" s="141">
        <f t="shared" si="30"/>
        <v>1</v>
      </c>
      <c r="Z243" s="141">
        <f t="shared" si="30"/>
        <v>0</v>
      </c>
      <c r="AA243" s="141">
        <f t="shared" si="30"/>
        <v>0</v>
      </c>
      <c r="AB243" s="141">
        <f t="shared" si="30"/>
        <v>1</v>
      </c>
      <c r="AC243" s="141">
        <f t="shared" si="30"/>
        <v>1</v>
      </c>
      <c r="AD243" s="141">
        <f t="shared" si="30"/>
        <v>1</v>
      </c>
      <c r="AE243" s="141">
        <f t="shared" si="30"/>
        <v>1</v>
      </c>
      <c r="AF243" s="141">
        <f t="shared" si="30"/>
        <v>1</v>
      </c>
      <c r="AG243" s="141">
        <f t="shared" si="30"/>
        <v>1</v>
      </c>
      <c r="AH243" s="141">
        <f t="shared" si="30"/>
        <v>1</v>
      </c>
      <c r="AI243" s="141">
        <f t="shared" si="14"/>
        <v>0.4</v>
      </c>
      <c r="AJ243" s="141">
        <f t="shared" si="15"/>
        <v>1</v>
      </c>
      <c r="AK243" s="141">
        <f t="shared" si="16"/>
        <v>1</v>
      </c>
      <c r="AL243" s="141">
        <f t="shared" si="17"/>
        <v>1</v>
      </c>
      <c r="AM243" s="215">
        <f t="shared" si="18"/>
        <v>0.5555555556</v>
      </c>
      <c r="AN243" s="100"/>
      <c r="AO243" s="102"/>
    </row>
    <row r="244" ht="13.5" customHeight="1" outlineLevel="2">
      <c r="A244" s="247"/>
      <c r="B244" s="201"/>
      <c r="C244" s="246" t="s">
        <v>629</v>
      </c>
      <c r="D244" s="201"/>
      <c r="E244" s="162"/>
      <c r="F244" s="162"/>
      <c r="G244" s="162"/>
      <c r="H244" s="141">
        <f t="shared" ref="H244:AH244" si="31">MAX(COUNTA(H86:H87)/2,(COUNTA(H88:H90)-COUNTIF($AN88:$AN90,1))/(COUNTA($G88:$G90)-COUNTIF($AN88:$AN90,1)))</f>
        <v>0.5</v>
      </c>
      <c r="I244" s="141">
        <f t="shared" si="31"/>
        <v>0.5</v>
      </c>
      <c r="J244" s="141">
        <f t="shared" si="31"/>
        <v>0.5</v>
      </c>
      <c r="K244" s="141">
        <f t="shared" si="31"/>
        <v>0.5</v>
      </c>
      <c r="L244" s="141">
        <f t="shared" si="31"/>
        <v>0.5</v>
      </c>
      <c r="M244" s="141">
        <f t="shared" si="31"/>
        <v>0.5</v>
      </c>
      <c r="N244" s="141">
        <f t="shared" si="31"/>
        <v>0.5</v>
      </c>
      <c r="O244" s="141">
        <f t="shared" si="31"/>
        <v>0.5</v>
      </c>
      <c r="P244" s="141">
        <f t="shared" si="31"/>
        <v>0.5</v>
      </c>
      <c r="Q244" s="141">
        <f t="shared" si="31"/>
        <v>0.5</v>
      </c>
      <c r="R244" s="141">
        <f t="shared" si="31"/>
        <v>0.5</v>
      </c>
      <c r="S244" s="141">
        <f t="shared" si="31"/>
        <v>0.5</v>
      </c>
      <c r="T244" s="141">
        <f t="shared" si="31"/>
        <v>0.5</v>
      </c>
      <c r="U244" s="141">
        <f t="shared" si="31"/>
        <v>0.5</v>
      </c>
      <c r="V244" s="141">
        <f t="shared" si="31"/>
        <v>0.5</v>
      </c>
      <c r="W244" s="141">
        <f t="shared" si="31"/>
        <v>0.5</v>
      </c>
      <c r="X244" s="141">
        <f t="shared" si="31"/>
        <v>0</v>
      </c>
      <c r="Y244" s="141">
        <f t="shared" si="31"/>
        <v>0</v>
      </c>
      <c r="Z244" s="141">
        <f t="shared" si="31"/>
        <v>0</v>
      </c>
      <c r="AA244" s="141">
        <f t="shared" si="31"/>
        <v>0</v>
      </c>
      <c r="AB244" s="141">
        <f t="shared" si="31"/>
        <v>0.5</v>
      </c>
      <c r="AC244" s="141">
        <f t="shared" si="31"/>
        <v>0.5</v>
      </c>
      <c r="AD244" s="141">
        <f t="shared" si="31"/>
        <v>0.5</v>
      </c>
      <c r="AE244" s="141">
        <f t="shared" si="31"/>
        <v>0.5</v>
      </c>
      <c r="AF244" s="141">
        <f t="shared" si="31"/>
        <v>0.5</v>
      </c>
      <c r="AG244" s="141">
        <f t="shared" si="31"/>
        <v>0.5</v>
      </c>
      <c r="AH244" s="141">
        <f t="shared" si="31"/>
        <v>0.5</v>
      </c>
      <c r="AI244" s="141">
        <f t="shared" si="14"/>
        <v>0.4</v>
      </c>
      <c r="AJ244" s="141">
        <f t="shared" si="15"/>
        <v>0.5</v>
      </c>
      <c r="AK244" s="141">
        <f t="shared" si="16"/>
        <v>0.5</v>
      </c>
      <c r="AL244" s="141">
        <f t="shared" si="17"/>
        <v>0.5</v>
      </c>
      <c r="AM244" s="215">
        <f t="shared" si="18"/>
        <v>0.4259259259</v>
      </c>
      <c r="AN244" s="100"/>
      <c r="AO244" s="102"/>
    </row>
    <row r="245" ht="13.5" customHeight="1" outlineLevel="2">
      <c r="A245" s="247"/>
      <c r="B245" s="201"/>
      <c r="C245" s="246" t="s">
        <v>410</v>
      </c>
      <c r="D245" s="201"/>
      <c r="E245" s="162"/>
      <c r="F245" s="162"/>
      <c r="G245" s="162"/>
      <c r="H245" s="141">
        <f t="shared" ref="H245:AH245" si="32">(COUNTA(H92)-COUNTIF($AN92,1))/(COUNTA($G92)-COUNTIF($AN92,1))</f>
        <v>0</v>
      </c>
      <c r="I245" s="141">
        <f t="shared" si="32"/>
        <v>0</v>
      </c>
      <c r="J245" s="141">
        <f t="shared" si="32"/>
        <v>0</v>
      </c>
      <c r="K245" s="141">
        <f t="shared" si="32"/>
        <v>0</v>
      </c>
      <c r="L245" s="141">
        <f t="shared" si="32"/>
        <v>0</v>
      </c>
      <c r="M245" s="141">
        <f t="shared" si="32"/>
        <v>0</v>
      </c>
      <c r="N245" s="141">
        <f t="shared" si="32"/>
        <v>0</v>
      </c>
      <c r="O245" s="141">
        <f t="shared" si="32"/>
        <v>0</v>
      </c>
      <c r="P245" s="141">
        <f t="shared" si="32"/>
        <v>0</v>
      </c>
      <c r="Q245" s="141">
        <f t="shared" si="32"/>
        <v>0</v>
      </c>
      <c r="R245" s="141">
        <f t="shared" si="32"/>
        <v>0</v>
      </c>
      <c r="S245" s="141">
        <f t="shared" si="32"/>
        <v>0</v>
      </c>
      <c r="T245" s="141">
        <f t="shared" si="32"/>
        <v>0</v>
      </c>
      <c r="U245" s="141">
        <f t="shared" si="32"/>
        <v>0</v>
      </c>
      <c r="V245" s="141">
        <f t="shared" si="32"/>
        <v>0</v>
      </c>
      <c r="W245" s="141">
        <f t="shared" si="32"/>
        <v>1</v>
      </c>
      <c r="X245" s="141">
        <f t="shared" si="32"/>
        <v>0</v>
      </c>
      <c r="Y245" s="141">
        <f t="shared" si="32"/>
        <v>0</v>
      </c>
      <c r="Z245" s="141">
        <f t="shared" si="32"/>
        <v>0</v>
      </c>
      <c r="AA245" s="141">
        <f t="shared" si="32"/>
        <v>0</v>
      </c>
      <c r="AB245" s="141">
        <f t="shared" si="32"/>
        <v>1</v>
      </c>
      <c r="AC245" s="141">
        <f t="shared" si="32"/>
        <v>1</v>
      </c>
      <c r="AD245" s="141">
        <f t="shared" si="32"/>
        <v>1</v>
      </c>
      <c r="AE245" s="141">
        <f t="shared" si="32"/>
        <v>1</v>
      </c>
      <c r="AF245" s="141">
        <f t="shared" si="32"/>
        <v>1</v>
      </c>
      <c r="AG245" s="141">
        <f t="shared" si="32"/>
        <v>1</v>
      </c>
      <c r="AH245" s="141">
        <f t="shared" si="32"/>
        <v>1</v>
      </c>
      <c r="AI245" s="141">
        <f t="shared" si="14"/>
        <v>0.05</v>
      </c>
      <c r="AJ245" s="141">
        <f t="shared" si="15"/>
        <v>1</v>
      </c>
      <c r="AK245" s="141">
        <f t="shared" si="16"/>
        <v>1</v>
      </c>
      <c r="AL245" s="141">
        <f t="shared" si="17"/>
        <v>1</v>
      </c>
      <c r="AM245" s="215">
        <f t="shared" si="18"/>
        <v>0.2962962963</v>
      </c>
      <c r="AN245" s="100"/>
      <c r="AO245" s="102"/>
    </row>
    <row r="246" ht="13.5" customHeight="1" outlineLevel="2">
      <c r="A246" s="247"/>
      <c r="B246" s="201"/>
      <c r="C246" s="246" t="s">
        <v>417</v>
      </c>
      <c r="D246" s="201"/>
      <c r="E246" s="162"/>
      <c r="F246" s="162"/>
      <c r="G246" s="162"/>
      <c r="H246" s="141">
        <f t="shared" ref="H246:AH246" si="33">(COUNTA(H98:H100)-COUNTIF($AN98:$AN100,1))/(COUNTA($G98:$G100)-COUNTIF($AN98:$AN100,1))</f>
        <v>0</v>
      </c>
      <c r="I246" s="141">
        <f t="shared" si="33"/>
        <v>0</v>
      </c>
      <c r="J246" s="141">
        <f t="shared" si="33"/>
        <v>0</v>
      </c>
      <c r="K246" s="141">
        <f t="shared" si="33"/>
        <v>0</v>
      </c>
      <c r="L246" s="141">
        <f t="shared" si="33"/>
        <v>0</v>
      </c>
      <c r="M246" s="141">
        <f t="shared" si="33"/>
        <v>0</v>
      </c>
      <c r="N246" s="141">
        <f t="shared" si="33"/>
        <v>0</v>
      </c>
      <c r="O246" s="141">
        <f t="shared" si="33"/>
        <v>0</v>
      </c>
      <c r="P246" s="141">
        <f t="shared" si="33"/>
        <v>0</v>
      </c>
      <c r="Q246" s="141">
        <f t="shared" si="33"/>
        <v>0</v>
      </c>
      <c r="R246" s="141">
        <f t="shared" si="33"/>
        <v>0.3333333333</v>
      </c>
      <c r="S246" s="141">
        <f t="shared" si="33"/>
        <v>0.3333333333</v>
      </c>
      <c r="T246" s="141">
        <f t="shared" si="33"/>
        <v>0.3333333333</v>
      </c>
      <c r="U246" s="141">
        <f t="shared" si="33"/>
        <v>0.3333333333</v>
      </c>
      <c r="V246" s="141">
        <f t="shared" si="33"/>
        <v>0.3333333333</v>
      </c>
      <c r="W246" s="141">
        <f t="shared" si="33"/>
        <v>0.3333333333</v>
      </c>
      <c r="X246" s="141">
        <f t="shared" si="33"/>
        <v>0.3333333333</v>
      </c>
      <c r="Y246" s="141">
        <f t="shared" si="33"/>
        <v>0.3333333333</v>
      </c>
      <c r="Z246" s="141">
        <f t="shared" si="33"/>
        <v>0.3333333333</v>
      </c>
      <c r="AA246" s="141">
        <f t="shared" si="33"/>
        <v>0</v>
      </c>
      <c r="AB246" s="141">
        <f t="shared" si="33"/>
        <v>0</v>
      </c>
      <c r="AC246" s="141">
        <f t="shared" si="33"/>
        <v>0</v>
      </c>
      <c r="AD246" s="141">
        <f t="shared" si="33"/>
        <v>0</v>
      </c>
      <c r="AE246" s="141">
        <f t="shared" si="33"/>
        <v>0</v>
      </c>
      <c r="AF246" s="141">
        <f t="shared" si="33"/>
        <v>0</v>
      </c>
      <c r="AG246" s="141">
        <f t="shared" si="33"/>
        <v>0</v>
      </c>
      <c r="AH246" s="141">
        <f t="shared" si="33"/>
        <v>0</v>
      </c>
      <c r="AI246" s="141">
        <f t="shared" si="14"/>
        <v>0.15</v>
      </c>
      <c r="AJ246" s="141">
        <f t="shared" si="15"/>
        <v>0.3333333333</v>
      </c>
      <c r="AK246" s="141">
        <f t="shared" si="16"/>
        <v>0</v>
      </c>
      <c r="AL246" s="141">
        <f t="shared" si="17"/>
        <v>0.04166666667</v>
      </c>
      <c r="AM246" s="215">
        <f t="shared" si="18"/>
        <v>0.1111111111</v>
      </c>
      <c r="AN246" s="100"/>
      <c r="AO246" s="102"/>
    </row>
    <row r="247" ht="13.5" customHeight="1">
      <c r="A247" s="243" t="s">
        <v>630</v>
      </c>
      <c r="B247" s="246"/>
      <c r="C247" s="246"/>
      <c r="D247" s="201"/>
      <c r="E247" s="162"/>
      <c r="F247" s="162"/>
      <c r="G247" s="162"/>
      <c r="H247" s="141">
        <f t="shared" ref="H247:AH247" si="34">AVERAGE(H248,H252)</f>
        <v>0.2222222222</v>
      </c>
      <c r="I247" s="141">
        <f t="shared" si="34"/>
        <v>0.2222222222</v>
      </c>
      <c r="J247" s="141">
        <f t="shared" si="34"/>
        <v>0.2222222222</v>
      </c>
      <c r="K247" s="141">
        <f t="shared" si="34"/>
        <v>0.2222222222</v>
      </c>
      <c r="L247" s="141">
        <f t="shared" si="34"/>
        <v>0.2222222222</v>
      </c>
      <c r="M247" s="141">
        <f t="shared" si="34"/>
        <v>0.2222222222</v>
      </c>
      <c r="N247" s="141">
        <f t="shared" si="34"/>
        <v>0.2222222222</v>
      </c>
      <c r="O247" s="141">
        <f t="shared" si="34"/>
        <v>0.2222222222</v>
      </c>
      <c r="P247" s="141">
        <f t="shared" si="34"/>
        <v>0.2222222222</v>
      </c>
      <c r="Q247" s="141">
        <f t="shared" si="34"/>
        <v>0.2222222222</v>
      </c>
      <c r="R247" s="141">
        <f t="shared" si="34"/>
        <v>0.3611111111</v>
      </c>
      <c r="S247" s="141">
        <f t="shared" si="34"/>
        <v>0.3611111111</v>
      </c>
      <c r="T247" s="141">
        <f t="shared" si="34"/>
        <v>0.3611111111</v>
      </c>
      <c r="U247" s="141">
        <f t="shared" si="34"/>
        <v>0.3611111111</v>
      </c>
      <c r="V247" s="141">
        <f t="shared" si="34"/>
        <v>0.3611111111</v>
      </c>
      <c r="W247" s="141">
        <f t="shared" si="34"/>
        <v>0.9791666667</v>
      </c>
      <c r="X247" s="141">
        <f t="shared" si="34"/>
        <v>0.2777777778</v>
      </c>
      <c r="Y247" s="141">
        <f t="shared" si="34"/>
        <v>0.2777777778</v>
      </c>
      <c r="Z247" s="141">
        <f t="shared" si="34"/>
        <v>0.0462962963</v>
      </c>
      <c r="AA247" s="141">
        <f t="shared" si="34"/>
        <v>0</v>
      </c>
      <c r="AB247" s="141">
        <f t="shared" si="34"/>
        <v>0.9236111111</v>
      </c>
      <c r="AC247" s="141">
        <f t="shared" si="34"/>
        <v>0.9236111111</v>
      </c>
      <c r="AD247" s="141">
        <f t="shared" si="34"/>
        <v>0.9236111111</v>
      </c>
      <c r="AE247" s="141">
        <f t="shared" si="34"/>
        <v>0.9236111111</v>
      </c>
      <c r="AF247" s="141">
        <f t="shared" si="34"/>
        <v>0.9236111111</v>
      </c>
      <c r="AG247" s="141">
        <f t="shared" si="34"/>
        <v>0.9236111111</v>
      </c>
      <c r="AH247" s="141">
        <f t="shared" si="34"/>
        <v>0.9236111111</v>
      </c>
      <c r="AI247" s="141">
        <f t="shared" si="14"/>
        <v>0.2804398148</v>
      </c>
      <c r="AJ247" s="141">
        <f t="shared" si="15"/>
        <v>0.9791666667</v>
      </c>
      <c r="AK247" s="141">
        <f t="shared" si="16"/>
        <v>0.9236111111</v>
      </c>
      <c r="AL247" s="141">
        <f t="shared" si="17"/>
        <v>0.9305555556</v>
      </c>
      <c r="AM247" s="215">
        <f t="shared" si="18"/>
        <v>0.4471879287</v>
      </c>
      <c r="AN247" s="100"/>
      <c r="AO247" s="102"/>
    </row>
    <row r="248" ht="13.5" customHeight="1" outlineLevel="1">
      <c r="A248" s="247"/>
      <c r="B248" s="246" t="s">
        <v>427</v>
      </c>
      <c r="C248" s="246"/>
      <c r="D248" s="201"/>
      <c r="E248" s="162"/>
      <c r="F248" s="162"/>
      <c r="G248" s="162"/>
      <c r="H248" s="141">
        <f t="shared" ref="H248:AH248" si="35">AVERAGE(H249,H250,H251)</f>
        <v>0.2777777778</v>
      </c>
      <c r="I248" s="141">
        <f t="shared" si="35"/>
        <v>0.2777777778</v>
      </c>
      <c r="J248" s="141">
        <f t="shared" si="35"/>
        <v>0.2777777778</v>
      </c>
      <c r="K248" s="141">
        <f t="shared" si="35"/>
        <v>0.2777777778</v>
      </c>
      <c r="L248" s="141">
        <f t="shared" si="35"/>
        <v>0.2777777778</v>
      </c>
      <c r="M248" s="141">
        <f t="shared" si="35"/>
        <v>0.2777777778</v>
      </c>
      <c r="N248" s="141">
        <f t="shared" si="35"/>
        <v>0.2777777778</v>
      </c>
      <c r="O248" s="141">
        <f t="shared" si="35"/>
        <v>0.2777777778</v>
      </c>
      <c r="P248" s="141">
        <f t="shared" si="35"/>
        <v>0.2777777778</v>
      </c>
      <c r="Q248" s="141">
        <f t="shared" si="35"/>
        <v>0.2777777778</v>
      </c>
      <c r="R248" s="141">
        <f t="shared" si="35"/>
        <v>0.3888888889</v>
      </c>
      <c r="S248" s="141">
        <f t="shared" si="35"/>
        <v>0.3888888889</v>
      </c>
      <c r="T248" s="141">
        <f t="shared" si="35"/>
        <v>0.3888888889</v>
      </c>
      <c r="U248" s="141">
        <f t="shared" si="35"/>
        <v>0.3888888889</v>
      </c>
      <c r="V248" s="141">
        <f t="shared" si="35"/>
        <v>0.3888888889</v>
      </c>
      <c r="W248" s="141">
        <f t="shared" si="35"/>
        <v>0.9583333333</v>
      </c>
      <c r="X248" s="141">
        <f t="shared" si="35"/>
        <v>0.2222222222</v>
      </c>
      <c r="Y248" s="141">
        <f t="shared" si="35"/>
        <v>0.2222222222</v>
      </c>
      <c r="Z248" s="141">
        <f t="shared" si="35"/>
        <v>0.03703703704</v>
      </c>
      <c r="AA248" s="141">
        <f t="shared" si="35"/>
        <v>0</v>
      </c>
      <c r="AB248" s="141">
        <f t="shared" si="35"/>
        <v>0.9583333333</v>
      </c>
      <c r="AC248" s="141">
        <f t="shared" si="35"/>
        <v>0.9583333333</v>
      </c>
      <c r="AD248" s="141">
        <f t="shared" si="35"/>
        <v>0.9583333333</v>
      </c>
      <c r="AE248" s="141">
        <f t="shared" si="35"/>
        <v>0.9583333333</v>
      </c>
      <c r="AF248" s="141">
        <f t="shared" si="35"/>
        <v>0.9583333333</v>
      </c>
      <c r="AG248" s="141">
        <f t="shared" si="35"/>
        <v>0.9583333333</v>
      </c>
      <c r="AH248" s="141">
        <f t="shared" si="35"/>
        <v>0.9583333333</v>
      </c>
      <c r="AI248" s="141">
        <f t="shared" si="14"/>
        <v>0.3081018519</v>
      </c>
      <c r="AJ248" s="141">
        <f t="shared" si="15"/>
        <v>0.9583333333</v>
      </c>
      <c r="AK248" s="141">
        <f t="shared" si="16"/>
        <v>0.9583333333</v>
      </c>
      <c r="AL248" s="141">
        <f t="shared" si="17"/>
        <v>0.9583333333</v>
      </c>
      <c r="AM248" s="215">
        <f t="shared" si="18"/>
        <v>0.4766803841</v>
      </c>
      <c r="AN248" s="100"/>
      <c r="AO248" s="102"/>
    </row>
    <row r="249" ht="13.5" customHeight="1" outlineLevel="2">
      <c r="A249" s="247"/>
      <c r="B249" s="201"/>
      <c r="C249" s="246" t="s">
        <v>428</v>
      </c>
      <c r="D249" s="201"/>
      <c r="E249" s="162"/>
      <c r="F249" s="162"/>
      <c r="G249" s="162"/>
      <c r="H249" s="141">
        <f t="shared" ref="H249:AH249" si="36">(COUNTA(H104:H105)-COUNTIF($AN104:$AN105,1))/(COUNTA($G104:$G105)-COUNTIF($AN104:$AN105,1))</f>
        <v>0.5</v>
      </c>
      <c r="I249" s="141">
        <f t="shared" si="36"/>
        <v>0.5</v>
      </c>
      <c r="J249" s="141">
        <f t="shared" si="36"/>
        <v>0.5</v>
      </c>
      <c r="K249" s="141">
        <f t="shared" si="36"/>
        <v>0.5</v>
      </c>
      <c r="L249" s="141">
        <f t="shared" si="36"/>
        <v>0.5</v>
      </c>
      <c r="M249" s="141">
        <f t="shared" si="36"/>
        <v>0.5</v>
      </c>
      <c r="N249" s="141">
        <f t="shared" si="36"/>
        <v>0.5</v>
      </c>
      <c r="O249" s="141">
        <f t="shared" si="36"/>
        <v>0.5</v>
      </c>
      <c r="P249" s="141">
        <f t="shared" si="36"/>
        <v>0.5</v>
      </c>
      <c r="Q249" s="141">
        <f t="shared" si="36"/>
        <v>0.5</v>
      </c>
      <c r="R249" s="141">
        <f t="shared" si="36"/>
        <v>0.5</v>
      </c>
      <c r="S249" s="141">
        <f t="shared" si="36"/>
        <v>0.5</v>
      </c>
      <c r="T249" s="141">
        <f t="shared" si="36"/>
        <v>0.5</v>
      </c>
      <c r="U249" s="141">
        <f t="shared" si="36"/>
        <v>0.5</v>
      </c>
      <c r="V249" s="141">
        <f t="shared" si="36"/>
        <v>0.5</v>
      </c>
      <c r="W249" s="141">
        <f t="shared" si="36"/>
        <v>1</v>
      </c>
      <c r="X249" s="141">
        <f t="shared" si="36"/>
        <v>0</v>
      </c>
      <c r="Y249" s="141">
        <f t="shared" si="36"/>
        <v>0</v>
      </c>
      <c r="Z249" s="141">
        <f t="shared" si="36"/>
        <v>0</v>
      </c>
      <c r="AA249" s="141">
        <f t="shared" si="36"/>
        <v>0</v>
      </c>
      <c r="AB249" s="141">
        <f t="shared" si="36"/>
        <v>1</v>
      </c>
      <c r="AC249" s="141">
        <f t="shared" si="36"/>
        <v>1</v>
      </c>
      <c r="AD249" s="141">
        <f t="shared" si="36"/>
        <v>1</v>
      </c>
      <c r="AE249" s="141">
        <f t="shared" si="36"/>
        <v>1</v>
      </c>
      <c r="AF249" s="141">
        <f t="shared" si="36"/>
        <v>1</v>
      </c>
      <c r="AG249" s="141">
        <f t="shared" si="36"/>
        <v>1</v>
      </c>
      <c r="AH249" s="141">
        <f t="shared" si="36"/>
        <v>1</v>
      </c>
      <c r="AI249" s="141">
        <f t="shared" si="14"/>
        <v>0.425</v>
      </c>
      <c r="AJ249" s="141">
        <f t="shared" si="15"/>
        <v>1</v>
      </c>
      <c r="AK249" s="141">
        <f t="shared" si="16"/>
        <v>1</v>
      </c>
      <c r="AL249" s="141">
        <f t="shared" si="17"/>
        <v>1</v>
      </c>
      <c r="AM249" s="215">
        <f t="shared" si="18"/>
        <v>0.5740740741</v>
      </c>
      <c r="AN249" s="100"/>
      <c r="AO249" s="102"/>
    </row>
    <row r="250" ht="13.5" customHeight="1" outlineLevel="2">
      <c r="A250" s="247"/>
      <c r="B250" s="201"/>
      <c r="C250" s="246" t="s">
        <v>631</v>
      </c>
      <c r="D250" s="201"/>
      <c r="E250" s="162"/>
      <c r="F250" s="162"/>
      <c r="G250" s="162"/>
      <c r="H250" s="141">
        <f t="shared" ref="H250:AH250" si="37">(COUNTA(H116:H123)-COUNTIF($AN116:$AN123,1))/(COUNTA($G116:$G123)-COUNTIF($AN116:$AN123,1))</f>
        <v>0</v>
      </c>
      <c r="I250" s="141">
        <f t="shared" si="37"/>
        <v>0</v>
      </c>
      <c r="J250" s="141">
        <f t="shared" si="37"/>
        <v>0</v>
      </c>
      <c r="K250" s="141">
        <f t="shared" si="37"/>
        <v>0</v>
      </c>
      <c r="L250" s="141">
        <f t="shared" si="37"/>
        <v>0</v>
      </c>
      <c r="M250" s="141">
        <f t="shared" si="37"/>
        <v>0</v>
      </c>
      <c r="N250" s="141">
        <f t="shared" si="37"/>
        <v>0</v>
      </c>
      <c r="O250" s="141">
        <f t="shared" si="37"/>
        <v>0</v>
      </c>
      <c r="P250" s="141">
        <f t="shared" si="37"/>
        <v>0</v>
      </c>
      <c r="Q250" s="141">
        <f t="shared" si="37"/>
        <v>0</v>
      </c>
      <c r="R250" s="141">
        <f t="shared" si="37"/>
        <v>0</v>
      </c>
      <c r="S250" s="141">
        <f t="shared" si="37"/>
        <v>0</v>
      </c>
      <c r="T250" s="141">
        <f t="shared" si="37"/>
        <v>0</v>
      </c>
      <c r="U250" s="141">
        <f t="shared" si="37"/>
        <v>0</v>
      </c>
      <c r="V250" s="141">
        <f t="shared" si="37"/>
        <v>0</v>
      </c>
      <c r="W250" s="141">
        <f t="shared" si="37"/>
        <v>0.875</v>
      </c>
      <c r="X250" s="141">
        <f t="shared" si="37"/>
        <v>0</v>
      </c>
      <c r="Y250" s="141">
        <f t="shared" si="37"/>
        <v>0</v>
      </c>
      <c r="Z250" s="141">
        <f t="shared" si="37"/>
        <v>0</v>
      </c>
      <c r="AA250" s="141">
        <f t="shared" si="37"/>
        <v>0</v>
      </c>
      <c r="AB250" s="141">
        <f t="shared" si="37"/>
        <v>0.875</v>
      </c>
      <c r="AC250" s="141">
        <f t="shared" si="37"/>
        <v>0.875</v>
      </c>
      <c r="AD250" s="141">
        <f t="shared" si="37"/>
        <v>0.875</v>
      </c>
      <c r="AE250" s="141">
        <f t="shared" si="37"/>
        <v>0.875</v>
      </c>
      <c r="AF250" s="141">
        <f t="shared" si="37"/>
        <v>0.875</v>
      </c>
      <c r="AG250" s="141">
        <f t="shared" si="37"/>
        <v>0.875</v>
      </c>
      <c r="AH250" s="141">
        <f t="shared" si="37"/>
        <v>0.875</v>
      </c>
      <c r="AI250" s="141">
        <f t="shared" si="14"/>
        <v>0.04375</v>
      </c>
      <c r="AJ250" s="141">
        <f t="shared" si="15"/>
        <v>0.875</v>
      </c>
      <c r="AK250" s="141">
        <f t="shared" si="16"/>
        <v>0.875</v>
      </c>
      <c r="AL250" s="141">
        <f t="shared" si="17"/>
        <v>0.875</v>
      </c>
      <c r="AM250" s="215">
        <f t="shared" si="18"/>
        <v>0.2592592593</v>
      </c>
      <c r="AN250" s="100"/>
      <c r="AO250" s="102"/>
    </row>
    <row r="251" ht="14.25" customHeight="1" outlineLevel="2">
      <c r="A251" s="247"/>
      <c r="B251" s="100"/>
      <c r="C251" s="246" t="s">
        <v>632</v>
      </c>
      <c r="D251" s="201"/>
      <c r="E251" s="162"/>
      <c r="F251" s="162"/>
      <c r="G251" s="162"/>
      <c r="H251" s="141">
        <f t="shared" ref="H251:AH251" si="38">(COUNTA(H125:H133)-COUNTIF($AN125:$AN133,1))/(COUNTA($G125:$G133)-COUNTIF($AN125:$AN133,1))</f>
        <v>0.3333333333</v>
      </c>
      <c r="I251" s="141">
        <f t="shared" si="38"/>
        <v>0.3333333333</v>
      </c>
      <c r="J251" s="141">
        <f t="shared" si="38"/>
        <v>0.3333333333</v>
      </c>
      <c r="K251" s="141">
        <f t="shared" si="38"/>
        <v>0.3333333333</v>
      </c>
      <c r="L251" s="141">
        <f t="shared" si="38"/>
        <v>0.3333333333</v>
      </c>
      <c r="M251" s="141">
        <f t="shared" si="38"/>
        <v>0.3333333333</v>
      </c>
      <c r="N251" s="141">
        <f t="shared" si="38"/>
        <v>0.3333333333</v>
      </c>
      <c r="O251" s="141">
        <f t="shared" si="38"/>
        <v>0.3333333333</v>
      </c>
      <c r="P251" s="141">
        <f t="shared" si="38"/>
        <v>0.3333333333</v>
      </c>
      <c r="Q251" s="141">
        <f t="shared" si="38"/>
        <v>0.3333333333</v>
      </c>
      <c r="R251" s="141">
        <f t="shared" si="38"/>
        <v>0.6666666667</v>
      </c>
      <c r="S251" s="141">
        <f t="shared" si="38"/>
        <v>0.6666666667</v>
      </c>
      <c r="T251" s="141">
        <f t="shared" si="38"/>
        <v>0.6666666667</v>
      </c>
      <c r="U251" s="141">
        <f t="shared" si="38"/>
        <v>0.6666666667</v>
      </c>
      <c r="V251" s="141">
        <f t="shared" si="38"/>
        <v>0.6666666667</v>
      </c>
      <c r="W251" s="141">
        <f t="shared" si="38"/>
        <v>1</v>
      </c>
      <c r="X251" s="141">
        <f t="shared" si="38"/>
        <v>0.6666666667</v>
      </c>
      <c r="Y251" s="141">
        <f t="shared" si="38"/>
        <v>0.6666666667</v>
      </c>
      <c r="Z251" s="141">
        <f t="shared" si="38"/>
        <v>0.1111111111</v>
      </c>
      <c r="AA251" s="141">
        <f t="shared" si="38"/>
        <v>0</v>
      </c>
      <c r="AB251" s="141">
        <f t="shared" si="38"/>
        <v>1</v>
      </c>
      <c r="AC251" s="141">
        <f t="shared" si="38"/>
        <v>1</v>
      </c>
      <c r="AD251" s="141">
        <f t="shared" si="38"/>
        <v>1</v>
      </c>
      <c r="AE251" s="141">
        <f t="shared" si="38"/>
        <v>1</v>
      </c>
      <c r="AF251" s="141">
        <f t="shared" si="38"/>
        <v>1</v>
      </c>
      <c r="AG251" s="141">
        <f t="shared" si="38"/>
        <v>1</v>
      </c>
      <c r="AH251" s="141">
        <f t="shared" si="38"/>
        <v>1</v>
      </c>
      <c r="AI251" s="141">
        <f t="shared" si="14"/>
        <v>0.4555555556</v>
      </c>
      <c r="AJ251" s="141">
        <f t="shared" si="15"/>
        <v>1</v>
      </c>
      <c r="AK251" s="141">
        <f t="shared" si="16"/>
        <v>1</v>
      </c>
      <c r="AL251" s="141">
        <f t="shared" si="17"/>
        <v>1</v>
      </c>
      <c r="AM251" s="215">
        <f t="shared" si="18"/>
        <v>0.5967078189</v>
      </c>
      <c r="AN251" s="100"/>
      <c r="AO251" s="102"/>
    </row>
    <row r="252" ht="14.25" customHeight="1" outlineLevel="1">
      <c r="A252" s="247"/>
      <c r="B252" s="246" t="s">
        <v>633</v>
      </c>
      <c r="C252" s="246"/>
      <c r="D252" s="201"/>
      <c r="E252" s="162"/>
      <c r="F252" s="162"/>
      <c r="G252" s="162"/>
      <c r="H252" s="141">
        <f t="shared" ref="H252:AH252" si="39">AVERAGE(H253,H254,H255)</f>
        <v>0.1666666667</v>
      </c>
      <c r="I252" s="141">
        <f t="shared" si="39"/>
        <v>0.1666666667</v>
      </c>
      <c r="J252" s="141">
        <f t="shared" si="39"/>
        <v>0.1666666667</v>
      </c>
      <c r="K252" s="141">
        <f t="shared" si="39"/>
        <v>0.1666666667</v>
      </c>
      <c r="L252" s="141">
        <f t="shared" si="39"/>
        <v>0.1666666667</v>
      </c>
      <c r="M252" s="141">
        <f t="shared" si="39"/>
        <v>0.1666666667</v>
      </c>
      <c r="N252" s="141">
        <f t="shared" si="39"/>
        <v>0.1666666667</v>
      </c>
      <c r="O252" s="141">
        <f t="shared" si="39"/>
        <v>0.1666666667</v>
      </c>
      <c r="P252" s="141">
        <f t="shared" si="39"/>
        <v>0.1666666667</v>
      </c>
      <c r="Q252" s="141">
        <f t="shared" si="39"/>
        <v>0.1666666667</v>
      </c>
      <c r="R252" s="141">
        <f t="shared" si="39"/>
        <v>0.3333333333</v>
      </c>
      <c r="S252" s="141">
        <f t="shared" si="39"/>
        <v>0.3333333333</v>
      </c>
      <c r="T252" s="141">
        <f t="shared" si="39"/>
        <v>0.3333333333</v>
      </c>
      <c r="U252" s="141">
        <f t="shared" si="39"/>
        <v>0.3333333333</v>
      </c>
      <c r="V252" s="141">
        <f t="shared" si="39"/>
        <v>0.3333333333</v>
      </c>
      <c r="W252" s="141">
        <f t="shared" si="39"/>
        <v>1</v>
      </c>
      <c r="X252" s="141">
        <f t="shared" si="39"/>
        <v>0.3333333333</v>
      </c>
      <c r="Y252" s="141">
        <f t="shared" si="39"/>
        <v>0.3333333333</v>
      </c>
      <c r="Z252" s="141">
        <f t="shared" si="39"/>
        <v>0.05555555556</v>
      </c>
      <c r="AA252" s="141">
        <f t="shared" si="39"/>
        <v>0</v>
      </c>
      <c r="AB252" s="141">
        <f t="shared" si="39"/>
        <v>0.8888888889</v>
      </c>
      <c r="AC252" s="141">
        <f t="shared" si="39"/>
        <v>0.8888888889</v>
      </c>
      <c r="AD252" s="141">
        <f t="shared" si="39"/>
        <v>0.8888888889</v>
      </c>
      <c r="AE252" s="141">
        <f t="shared" si="39"/>
        <v>0.8888888889</v>
      </c>
      <c r="AF252" s="141">
        <f t="shared" si="39"/>
        <v>0.8888888889</v>
      </c>
      <c r="AG252" s="141">
        <f t="shared" si="39"/>
        <v>0.8888888889</v>
      </c>
      <c r="AH252" s="141">
        <f t="shared" si="39"/>
        <v>0.8888888889</v>
      </c>
      <c r="AI252" s="141">
        <f t="shared" si="14"/>
        <v>0.2527777778</v>
      </c>
      <c r="AJ252" s="141">
        <f t="shared" si="15"/>
        <v>1</v>
      </c>
      <c r="AK252" s="141">
        <f t="shared" si="16"/>
        <v>0.8888888889</v>
      </c>
      <c r="AL252" s="141">
        <f t="shared" si="17"/>
        <v>0.9027777778</v>
      </c>
      <c r="AM252" s="215">
        <f t="shared" si="18"/>
        <v>0.4176954733</v>
      </c>
      <c r="AN252" s="100"/>
      <c r="AO252" s="102"/>
    </row>
    <row r="253" ht="14.25" customHeight="1" outlineLevel="2">
      <c r="A253" s="247"/>
      <c r="B253" s="201"/>
      <c r="C253" s="246" t="s">
        <v>428</v>
      </c>
      <c r="D253" s="201"/>
      <c r="E253" s="162"/>
      <c r="F253" s="162"/>
      <c r="G253" s="162"/>
      <c r="H253" s="141">
        <f t="shared" ref="H253:AH253" si="40">MAX(COUNTA(H137),(COUNTA(H138:H140)-COUNTIF($AN138:$AN140,1))/(COUNTA($G138:$G140)-COUNTIF($AN138:$AN140,1)))</f>
        <v>0</v>
      </c>
      <c r="I253" s="141">
        <f t="shared" si="40"/>
        <v>0</v>
      </c>
      <c r="J253" s="141">
        <f t="shared" si="40"/>
        <v>0</v>
      </c>
      <c r="K253" s="141">
        <f t="shared" si="40"/>
        <v>0</v>
      </c>
      <c r="L253" s="141">
        <f t="shared" si="40"/>
        <v>0</v>
      </c>
      <c r="M253" s="141">
        <f t="shared" si="40"/>
        <v>0</v>
      </c>
      <c r="N253" s="141">
        <f t="shared" si="40"/>
        <v>0</v>
      </c>
      <c r="O253" s="141">
        <f t="shared" si="40"/>
        <v>0</v>
      </c>
      <c r="P253" s="141">
        <f t="shared" si="40"/>
        <v>0</v>
      </c>
      <c r="Q253" s="141">
        <f t="shared" si="40"/>
        <v>0</v>
      </c>
      <c r="R253" s="141">
        <f t="shared" si="40"/>
        <v>0</v>
      </c>
      <c r="S253" s="141">
        <f t="shared" si="40"/>
        <v>0</v>
      </c>
      <c r="T253" s="141">
        <f t="shared" si="40"/>
        <v>0</v>
      </c>
      <c r="U253" s="141">
        <f t="shared" si="40"/>
        <v>0</v>
      </c>
      <c r="V253" s="141">
        <f t="shared" si="40"/>
        <v>0</v>
      </c>
      <c r="W253" s="141">
        <f t="shared" si="40"/>
        <v>1</v>
      </c>
      <c r="X253" s="141">
        <f t="shared" si="40"/>
        <v>0</v>
      </c>
      <c r="Y253" s="141">
        <f t="shared" si="40"/>
        <v>0</v>
      </c>
      <c r="Z253" s="141">
        <f t="shared" si="40"/>
        <v>0</v>
      </c>
      <c r="AA253" s="141">
        <f t="shared" si="40"/>
        <v>0</v>
      </c>
      <c r="AB253" s="141">
        <f t="shared" si="40"/>
        <v>1</v>
      </c>
      <c r="AC253" s="141">
        <f t="shared" si="40"/>
        <v>1</v>
      </c>
      <c r="AD253" s="141">
        <f t="shared" si="40"/>
        <v>1</v>
      </c>
      <c r="AE253" s="141">
        <f t="shared" si="40"/>
        <v>1</v>
      </c>
      <c r="AF253" s="141">
        <f t="shared" si="40"/>
        <v>1</v>
      </c>
      <c r="AG253" s="141">
        <f t="shared" si="40"/>
        <v>1</v>
      </c>
      <c r="AH253" s="141">
        <f t="shared" si="40"/>
        <v>1</v>
      </c>
      <c r="AI253" s="141">
        <f t="shared" si="14"/>
        <v>0.05</v>
      </c>
      <c r="AJ253" s="141">
        <f t="shared" si="15"/>
        <v>1</v>
      </c>
      <c r="AK253" s="141">
        <f t="shared" si="16"/>
        <v>1</v>
      </c>
      <c r="AL253" s="141">
        <f t="shared" si="17"/>
        <v>1</v>
      </c>
      <c r="AM253" s="215">
        <f t="shared" si="18"/>
        <v>0.2962962963</v>
      </c>
      <c r="AN253" s="100"/>
      <c r="AO253" s="102"/>
    </row>
    <row r="254" ht="13.5" customHeight="1" outlineLevel="2">
      <c r="A254" s="247"/>
      <c r="B254" s="201"/>
      <c r="C254" s="246" t="s">
        <v>496</v>
      </c>
      <c r="D254" s="201"/>
      <c r="E254" s="162"/>
      <c r="F254" s="162"/>
      <c r="G254" s="162"/>
      <c r="H254" s="141">
        <f t="shared" ref="H254:AH254" si="41">MAX(COUNTA(H142),(COUNTA(H143:H145)-COUNTIF($AN143:$AN145,1))/(COUNTA($G143:$G145)-COUNTIF($AN143:$AN145,1)))</f>
        <v>0</v>
      </c>
      <c r="I254" s="141">
        <f t="shared" si="41"/>
        <v>0</v>
      </c>
      <c r="J254" s="141">
        <f t="shared" si="41"/>
        <v>0</v>
      </c>
      <c r="K254" s="141">
        <f t="shared" si="41"/>
        <v>0</v>
      </c>
      <c r="L254" s="141">
        <f t="shared" si="41"/>
        <v>0</v>
      </c>
      <c r="M254" s="141">
        <f t="shared" si="41"/>
        <v>0</v>
      </c>
      <c r="N254" s="141">
        <f t="shared" si="41"/>
        <v>0</v>
      </c>
      <c r="O254" s="141">
        <f t="shared" si="41"/>
        <v>0</v>
      </c>
      <c r="P254" s="141">
        <f t="shared" si="41"/>
        <v>0</v>
      </c>
      <c r="Q254" s="141">
        <f t="shared" si="41"/>
        <v>0</v>
      </c>
      <c r="R254" s="141">
        <f t="shared" si="41"/>
        <v>0</v>
      </c>
      <c r="S254" s="141">
        <f t="shared" si="41"/>
        <v>0</v>
      </c>
      <c r="T254" s="141">
        <f t="shared" si="41"/>
        <v>0</v>
      </c>
      <c r="U254" s="141">
        <f t="shared" si="41"/>
        <v>0</v>
      </c>
      <c r="V254" s="141">
        <f t="shared" si="41"/>
        <v>0</v>
      </c>
      <c r="W254" s="141">
        <f t="shared" si="41"/>
        <v>1</v>
      </c>
      <c r="X254" s="141">
        <f t="shared" si="41"/>
        <v>0</v>
      </c>
      <c r="Y254" s="141">
        <f t="shared" si="41"/>
        <v>0</v>
      </c>
      <c r="Z254" s="141">
        <f t="shared" si="41"/>
        <v>0</v>
      </c>
      <c r="AA254" s="141">
        <f t="shared" si="41"/>
        <v>0</v>
      </c>
      <c r="AB254" s="141">
        <f t="shared" si="41"/>
        <v>1</v>
      </c>
      <c r="AC254" s="141">
        <f t="shared" si="41"/>
        <v>1</v>
      </c>
      <c r="AD254" s="141">
        <f t="shared" si="41"/>
        <v>1</v>
      </c>
      <c r="AE254" s="141">
        <f t="shared" si="41"/>
        <v>1</v>
      </c>
      <c r="AF254" s="141">
        <f t="shared" si="41"/>
        <v>1</v>
      </c>
      <c r="AG254" s="141">
        <f t="shared" si="41"/>
        <v>1</v>
      </c>
      <c r="AH254" s="141">
        <f t="shared" si="41"/>
        <v>1</v>
      </c>
      <c r="AI254" s="141">
        <f t="shared" si="14"/>
        <v>0.05</v>
      </c>
      <c r="AJ254" s="141">
        <f t="shared" si="15"/>
        <v>1</v>
      </c>
      <c r="AK254" s="141">
        <f t="shared" si="16"/>
        <v>1</v>
      </c>
      <c r="AL254" s="141">
        <f t="shared" si="17"/>
        <v>1</v>
      </c>
      <c r="AM254" s="215">
        <f t="shared" si="18"/>
        <v>0.2962962963</v>
      </c>
      <c r="AN254" s="100"/>
      <c r="AO254" s="102"/>
    </row>
    <row r="255" ht="14.25" customHeight="1" outlineLevel="2">
      <c r="A255" s="247"/>
      <c r="B255" s="201"/>
      <c r="C255" s="246" t="s">
        <v>634</v>
      </c>
      <c r="D255" s="201"/>
      <c r="E255" s="162"/>
      <c r="F255" s="162"/>
      <c r="G255" s="162"/>
      <c r="H255" s="141">
        <f t="shared" ref="H255:AH255" si="42">(COUNTA(H147:H152)-COUNTIF($AN147:$AN152,1))/(COUNTA($G147:$G152)-COUNTIF($AN147:$AN152,1))</f>
        <v>0.5</v>
      </c>
      <c r="I255" s="141">
        <f t="shared" si="42"/>
        <v>0.5</v>
      </c>
      <c r="J255" s="141">
        <f t="shared" si="42"/>
        <v>0.5</v>
      </c>
      <c r="K255" s="141">
        <f t="shared" si="42"/>
        <v>0.5</v>
      </c>
      <c r="L255" s="141">
        <f t="shared" si="42"/>
        <v>0.5</v>
      </c>
      <c r="M255" s="141">
        <f t="shared" si="42"/>
        <v>0.5</v>
      </c>
      <c r="N255" s="141">
        <f t="shared" si="42"/>
        <v>0.5</v>
      </c>
      <c r="O255" s="141">
        <f t="shared" si="42"/>
        <v>0.5</v>
      </c>
      <c r="P255" s="141">
        <f t="shared" si="42"/>
        <v>0.5</v>
      </c>
      <c r="Q255" s="141">
        <f t="shared" si="42"/>
        <v>0.5</v>
      </c>
      <c r="R255" s="141">
        <f t="shared" si="42"/>
        <v>1</v>
      </c>
      <c r="S255" s="141">
        <f t="shared" si="42"/>
        <v>1</v>
      </c>
      <c r="T255" s="141">
        <f t="shared" si="42"/>
        <v>1</v>
      </c>
      <c r="U255" s="141">
        <f t="shared" si="42"/>
        <v>1</v>
      </c>
      <c r="V255" s="141">
        <f t="shared" si="42"/>
        <v>1</v>
      </c>
      <c r="W255" s="141">
        <f t="shared" si="42"/>
        <v>1</v>
      </c>
      <c r="X255" s="141">
        <f t="shared" si="42"/>
        <v>1</v>
      </c>
      <c r="Y255" s="141">
        <f t="shared" si="42"/>
        <v>1</v>
      </c>
      <c r="Z255" s="141">
        <f t="shared" si="42"/>
        <v>0.1666666667</v>
      </c>
      <c r="AA255" s="141">
        <f t="shared" si="42"/>
        <v>0</v>
      </c>
      <c r="AB255" s="141">
        <f t="shared" si="42"/>
        <v>0.6666666667</v>
      </c>
      <c r="AC255" s="141">
        <f t="shared" si="42"/>
        <v>0.6666666667</v>
      </c>
      <c r="AD255" s="141">
        <f t="shared" si="42"/>
        <v>0.6666666667</v>
      </c>
      <c r="AE255" s="141">
        <f t="shared" si="42"/>
        <v>0.6666666667</v>
      </c>
      <c r="AF255" s="141">
        <f t="shared" si="42"/>
        <v>0.6666666667</v>
      </c>
      <c r="AG255" s="141">
        <f t="shared" si="42"/>
        <v>0.6666666667</v>
      </c>
      <c r="AH255" s="141">
        <f t="shared" si="42"/>
        <v>0.6666666667</v>
      </c>
      <c r="AI255" s="141">
        <f t="shared" si="14"/>
        <v>0.6583333333</v>
      </c>
      <c r="AJ255" s="141">
        <f t="shared" si="15"/>
        <v>1</v>
      </c>
      <c r="AK255" s="141">
        <f t="shared" si="16"/>
        <v>0.6666666667</v>
      </c>
      <c r="AL255" s="141">
        <f t="shared" si="17"/>
        <v>0.7083333333</v>
      </c>
      <c r="AM255" s="215">
        <f t="shared" si="18"/>
        <v>0.6604938272</v>
      </c>
      <c r="AN255" s="100"/>
      <c r="AO255" s="102"/>
    </row>
    <row r="256" ht="14.25" customHeight="1">
      <c r="A256" s="243" t="s">
        <v>635</v>
      </c>
      <c r="B256" s="246"/>
      <c r="C256" s="246"/>
      <c r="D256" s="201"/>
      <c r="E256" s="162"/>
      <c r="F256" s="162"/>
      <c r="G256" s="162"/>
      <c r="H256" s="141">
        <f t="shared" ref="H256:AH256" si="43">AVERAGE(H257,H262)</f>
        <v>0.09375</v>
      </c>
      <c r="I256" s="141">
        <f t="shared" si="43"/>
        <v>0.09375</v>
      </c>
      <c r="J256" s="141">
        <f t="shared" si="43"/>
        <v>0.09375</v>
      </c>
      <c r="K256" s="141">
        <f t="shared" si="43"/>
        <v>0.09375</v>
      </c>
      <c r="L256" s="141">
        <f t="shared" si="43"/>
        <v>0.09375</v>
      </c>
      <c r="M256" s="141">
        <f t="shared" si="43"/>
        <v>0.09375</v>
      </c>
      <c r="N256" s="141">
        <f t="shared" si="43"/>
        <v>0.09375</v>
      </c>
      <c r="O256" s="141">
        <f t="shared" si="43"/>
        <v>0.09375</v>
      </c>
      <c r="P256" s="141">
        <f t="shared" si="43"/>
        <v>0.09375</v>
      </c>
      <c r="Q256" s="141">
        <f t="shared" si="43"/>
        <v>0.09375</v>
      </c>
      <c r="R256" s="141">
        <f t="shared" si="43"/>
        <v>0.3159722222</v>
      </c>
      <c r="S256" s="141">
        <f t="shared" si="43"/>
        <v>0.3159722222</v>
      </c>
      <c r="T256" s="141">
        <f t="shared" si="43"/>
        <v>0.3159722222</v>
      </c>
      <c r="U256" s="141">
        <f t="shared" si="43"/>
        <v>0.3159722222</v>
      </c>
      <c r="V256" s="141">
        <f t="shared" si="43"/>
        <v>0.3159722222</v>
      </c>
      <c r="W256" s="141">
        <f t="shared" si="43"/>
        <v>0.8055555556</v>
      </c>
      <c r="X256" s="141">
        <f t="shared" si="43"/>
        <v>0.09375</v>
      </c>
      <c r="Y256" s="141">
        <f t="shared" si="43"/>
        <v>0.09375</v>
      </c>
      <c r="Z256" s="141">
        <f t="shared" si="43"/>
        <v>0</v>
      </c>
      <c r="AA256" s="141">
        <f t="shared" si="43"/>
        <v>0</v>
      </c>
      <c r="AB256" s="141">
        <f t="shared" si="43"/>
        <v>0.7083333333</v>
      </c>
      <c r="AC256" s="141">
        <f t="shared" si="43"/>
        <v>0.7083333333</v>
      </c>
      <c r="AD256" s="141">
        <f t="shared" si="43"/>
        <v>0.7083333333</v>
      </c>
      <c r="AE256" s="141">
        <f t="shared" si="43"/>
        <v>0.7083333333</v>
      </c>
      <c r="AF256" s="141">
        <f t="shared" si="43"/>
        <v>0.7083333333</v>
      </c>
      <c r="AG256" s="141">
        <f t="shared" si="43"/>
        <v>0.7083333333</v>
      </c>
      <c r="AH256" s="141">
        <f t="shared" si="43"/>
        <v>0.7083333333</v>
      </c>
      <c r="AI256" s="141">
        <f t="shared" si="14"/>
        <v>0.1755208333</v>
      </c>
      <c r="AJ256" s="141">
        <f t="shared" si="15"/>
        <v>0.8055555556</v>
      </c>
      <c r="AK256" s="141">
        <f t="shared" si="16"/>
        <v>0.7083333333</v>
      </c>
      <c r="AL256" s="141">
        <f t="shared" si="17"/>
        <v>0.7204861111</v>
      </c>
      <c r="AM256" s="215">
        <f t="shared" si="18"/>
        <v>0.3136574074</v>
      </c>
      <c r="AN256" s="100"/>
      <c r="AO256" s="102"/>
    </row>
    <row r="257" ht="14.25" customHeight="1" outlineLevel="1">
      <c r="A257" s="247"/>
      <c r="B257" s="246" t="s">
        <v>636</v>
      </c>
      <c r="C257" s="246"/>
      <c r="D257" s="201"/>
      <c r="E257" s="162"/>
      <c r="F257" s="162"/>
      <c r="G257" s="162"/>
      <c r="H257" s="141">
        <f t="shared" ref="H257:AH257" si="44">AVERAGE(H258,H259,H260,H261)</f>
        <v>0.1875</v>
      </c>
      <c r="I257" s="141">
        <f t="shared" si="44"/>
        <v>0.1875</v>
      </c>
      <c r="J257" s="141">
        <f t="shared" si="44"/>
        <v>0.1875</v>
      </c>
      <c r="K257" s="141">
        <f t="shared" si="44"/>
        <v>0.1875</v>
      </c>
      <c r="L257" s="141">
        <f t="shared" si="44"/>
        <v>0.1875</v>
      </c>
      <c r="M257" s="141">
        <f t="shared" si="44"/>
        <v>0.1875</v>
      </c>
      <c r="N257" s="141">
        <f t="shared" si="44"/>
        <v>0.1875</v>
      </c>
      <c r="O257" s="141">
        <f t="shared" si="44"/>
        <v>0.1875</v>
      </c>
      <c r="P257" s="141">
        <f t="shared" si="44"/>
        <v>0.1875</v>
      </c>
      <c r="Q257" s="141">
        <f t="shared" si="44"/>
        <v>0.1875</v>
      </c>
      <c r="R257" s="141">
        <f t="shared" si="44"/>
        <v>0.6319444444</v>
      </c>
      <c r="S257" s="141">
        <f t="shared" si="44"/>
        <v>0.6319444444</v>
      </c>
      <c r="T257" s="141">
        <f t="shared" si="44"/>
        <v>0.6319444444</v>
      </c>
      <c r="U257" s="141">
        <f t="shared" si="44"/>
        <v>0.6319444444</v>
      </c>
      <c r="V257" s="141">
        <f t="shared" si="44"/>
        <v>0.6319444444</v>
      </c>
      <c r="W257" s="141">
        <f t="shared" si="44"/>
        <v>0.9444444444</v>
      </c>
      <c r="X257" s="141">
        <f t="shared" si="44"/>
        <v>0.1875</v>
      </c>
      <c r="Y257" s="141">
        <f t="shared" si="44"/>
        <v>0.1875</v>
      </c>
      <c r="Z257" s="141">
        <f t="shared" si="44"/>
        <v>0</v>
      </c>
      <c r="AA257" s="141">
        <f t="shared" si="44"/>
        <v>0</v>
      </c>
      <c r="AB257" s="141">
        <f t="shared" si="44"/>
        <v>0.75</v>
      </c>
      <c r="AC257" s="141">
        <f t="shared" si="44"/>
        <v>0.75</v>
      </c>
      <c r="AD257" s="141">
        <f t="shared" si="44"/>
        <v>0.75</v>
      </c>
      <c r="AE257" s="141">
        <f t="shared" si="44"/>
        <v>0.75</v>
      </c>
      <c r="AF257" s="141">
        <f t="shared" si="44"/>
        <v>0.75</v>
      </c>
      <c r="AG257" s="141">
        <f t="shared" si="44"/>
        <v>0.75</v>
      </c>
      <c r="AH257" s="141">
        <f t="shared" si="44"/>
        <v>0.75</v>
      </c>
      <c r="AI257" s="141">
        <f t="shared" si="14"/>
        <v>0.3177083333</v>
      </c>
      <c r="AJ257" s="141">
        <f t="shared" si="15"/>
        <v>0.9444444444</v>
      </c>
      <c r="AK257" s="141">
        <f t="shared" si="16"/>
        <v>0.75</v>
      </c>
      <c r="AL257" s="141">
        <f t="shared" si="17"/>
        <v>0.7743055556</v>
      </c>
      <c r="AM257" s="215">
        <f t="shared" si="18"/>
        <v>0.4297839506</v>
      </c>
      <c r="AN257" s="100"/>
      <c r="AO257" s="102"/>
    </row>
    <row r="258" ht="14.25" customHeight="1" outlineLevel="2">
      <c r="A258" s="294"/>
      <c r="B258" s="298"/>
      <c r="C258" s="246" t="s">
        <v>520</v>
      </c>
      <c r="D258" s="201"/>
      <c r="E258" s="162"/>
      <c r="F258" s="162"/>
      <c r="G258" s="162"/>
      <c r="H258" s="141">
        <f t="shared" ref="H258:AH258" si="45">(COUNTA(H157:H163)-COUNTIF($AN157:$AN163,1))/(COUNTA($G157:$G163)-COUNTIF($AN157:$AN163,1))</f>
        <v>0</v>
      </c>
      <c r="I258" s="141">
        <f t="shared" si="45"/>
        <v>0</v>
      </c>
      <c r="J258" s="141">
        <f t="shared" si="45"/>
        <v>0</v>
      </c>
      <c r="K258" s="141">
        <f t="shared" si="45"/>
        <v>0</v>
      </c>
      <c r="L258" s="141">
        <f t="shared" si="45"/>
        <v>0</v>
      </c>
      <c r="M258" s="141">
        <f t="shared" si="45"/>
        <v>0</v>
      </c>
      <c r="N258" s="141">
        <f t="shared" si="45"/>
        <v>0</v>
      </c>
      <c r="O258" s="141">
        <f t="shared" si="45"/>
        <v>0</v>
      </c>
      <c r="P258" s="141">
        <f t="shared" si="45"/>
        <v>0</v>
      </c>
      <c r="Q258" s="141">
        <f t="shared" si="45"/>
        <v>0</v>
      </c>
      <c r="R258" s="141">
        <f t="shared" si="45"/>
        <v>0</v>
      </c>
      <c r="S258" s="141">
        <f t="shared" si="45"/>
        <v>0</v>
      </c>
      <c r="T258" s="141">
        <f t="shared" si="45"/>
        <v>0</v>
      </c>
      <c r="U258" s="141">
        <f t="shared" si="45"/>
        <v>0</v>
      </c>
      <c r="V258" s="141">
        <f t="shared" si="45"/>
        <v>0</v>
      </c>
      <c r="W258" s="141">
        <f t="shared" si="45"/>
        <v>1</v>
      </c>
      <c r="X258" s="141">
        <f t="shared" si="45"/>
        <v>0</v>
      </c>
      <c r="Y258" s="141">
        <f t="shared" si="45"/>
        <v>0</v>
      </c>
      <c r="Z258" s="141">
        <f t="shared" si="45"/>
        <v>0</v>
      </c>
      <c r="AA258" s="141">
        <f t="shared" si="45"/>
        <v>0</v>
      </c>
      <c r="AB258" s="141">
        <f t="shared" si="45"/>
        <v>1</v>
      </c>
      <c r="AC258" s="141">
        <f t="shared" si="45"/>
        <v>1</v>
      </c>
      <c r="AD258" s="141">
        <f t="shared" si="45"/>
        <v>1</v>
      </c>
      <c r="AE258" s="141">
        <f t="shared" si="45"/>
        <v>1</v>
      </c>
      <c r="AF258" s="141">
        <f t="shared" si="45"/>
        <v>1</v>
      </c>
      <c r="AG258" s="141">
        <f t="shared" si="45"/>
        <v>1</v>
      </c>
      <c r="AH258" s="141">
        <f t="shared" si="45"/>
        <v>1</v>
      </c>
      <c r="AI258" s="141">
        <f t="shared" si="14"/>
        <v>0.05</v>
      </c>
      <c r="AJ258" s="141">
        <f t="shared" si="15"/>
        <v>1</v>
      </c>
      <c r="AK258" s="141">
        <f t="shared" si="16"/>
        <v>1</v>
      </c>
      <c r="AL258" s="141">
        <f t="shared" si="17"/>
        <v>1</v>
      </c>
      <c r="AM258" s="215">
        <f t="shared" si="18"/>
        <v>0.2962962963</v>
      </c>
      <c r="AN258" s="100"/>
      <c r="AO258" s="102"/>
    </row>
    <row r="259" ht="13.5" customHeight="1" outlineLevel="2">
      <c r="A259" s="269"/>
      <c r="B259" s="201"/>
      <c r="C259" s="246" t="s">
        <v>389</v>
      </c>
      <c r="D259" s="201"/>
      <c r="E259" s="162"/>
      <c r="F259" s="162"/>
      <c r="G259" s="162"/>
      <c r="H259" s="141">
        <f t="shared" ref="H259:AH259" si="46">(COUNTA(H165:H172)-COUNTIF($AN165:$AN172,1))/(COUNTA($G165:$G172)-COUNTIF($AN165:$AN172,1))</f>
        <v>0.75</v>
      </c>
      <c r="I259" s="141">
        <f t="shared" si="46"/>
        <v>0.75</v>
      </c>
      <c r="J259" s="141">
        <f t="shared" si="46"/>
        <v>0.75</v>
      </c>
      <c r="K259" s="141">
        <f t="shared" si="46"/>
        <v>0.75</v>
      </c>
      <c r="L259" s="141">
        <f t="shared" si="46"/>
        <v>0.75</v>
      </c>
      <c r="M259" s="141">
        <f t="shared" si="46"/>
        <v>0.75</v>
      </c>
      <c r="N259" s="141">
        <f t="shared" si="46"/>
        <v>0.75</v>
      </c>
      <c r="O259" s="141">
        <f t="shared" si="46"/>
        <v>0.75</v>
      </c>
      <c r="P259" s="141">
        <f t="shared" si="46"/>
        <v>0.75</v>
      </c>
      <c r="Q259" s="141">
        <f t="shared" si="46"/>
        <v>0.75</v>
      </c>
      <c r="R259" s="141">
        <f t="shared" si="46"/>
        <v>0.75</v>
      </c>
      <c r="S259" s="141">
        <f t="shared" si="46"/>
        <v>0.75</v>
      </c>
      <c r="T259" s="141">
        <f t="shared" si="46"/>
        <v>0.75</v>
      </c>
      <c r="U259" s="141">
        <f t="shared" si="46"/>
        <v>0.75</v>
      </c>
      <c r="V259" s="141">
        <f t="shared" si="46"/>
        <v>0.75</v>
      </c>
      <c r="W259" s="141">
        <f t="shared" si="46"/>
        <v>1</v>
      </c>
      <c r="X259" s="141">
        <f t="shared" si="46"/>
        <v>0.75</v>
      </c>
      <c r="Y259" s="141">
        <f t="shared" si="46"/>
        <v>0.75</v>
      </c>
      <c r="Z259" s="141">
        <f t="shared" si="46"/>
        <v>0</v>
      </c>
      <c r="AA259" s="141">
        <f t="shared" si="46"/>
        <v>0</v>
      </c>
      <c r="AB259" s="141">
        <f t="shared" si="46"/>
        <v>1</v>
      </c>
      <c r="AC259" s="141">
        <f t="shared" si="46"/>
        <v>1</v>
      </c>
      <c r="AD259" s="141">
        <f t="shared" si="46"/>
        <v>1</v>
      </c>
      <c r="AE259" s="141">
        <f t="shared" si="46"/>
        <v>1</v>
      </c>
      <c r="AF259" s="141">
        <f t="shared" si="46"/>
        <v>1</v>
      </c>
      <c r="AG259" s="141">
        <f t="shared" si="46"/>
        <v>1</v>
      </c>
      <c r="AH259" s="141">
        <f t="shared" si="46"/>
        <v>1</v>
      </c>
      <c r="AI259" s="141">
        <f t="shared" si="14"/>
        <v>0.6875</v>
      </c>
      <c r="AJ259" s="141">
        <f t="shared" si="15"/>
        <v>1</v>
      </c>
      <c r="AK259" s="141">
        <f t="shared" si="16"/>
        <v>1</v>
      </c>
      <c r="AL259" s="141">
        <f t="shared" si="17"/>
        <v>1</v>
      </c>
      <c r="AM259" s="215">
        <f t="shared" si="18"/>
        <v>0.7685185185</v>
      </c>
      <c r="AN259" s="100"/>
      <c r="AO259" s="102"/>
    </row>
    <row r="260" ht="14.25" customHeight="1" outlineLevel="2">
      <c r="A260" s="294"/>
      <c r="B260" s="298"/>
      <c r="C260" s="246" t="s">
        <v>637</v>
      </c>
      <c r="D260" s="201"/>
      <c r="E260" s="162"/>
      <c r="F260" s="162"/>
      <c r="G260" s="162"/>
      <c r="H260" s="141">
        <f t="shared" ref="H260:AH260" si="47">(COUNTA(H175:H184)-COUNTIF($AN175:$AN184,1))/(COUNTA($G175:$G184)-COUNTIF($AN175:$AN184,1)-1)</f>
        <v>0</v>
      </c>
      <c r="I260" s="141">
        <f t="shared" si="47"/>
        <v>0</v>
      </c>
      <c r="J260" s="141">
        <f t="shared" si="47"/>
        <v>0</v>
      </c>
      <c r="K260" s="141">
        <f t="shared" si="47"/>
        <v>0</v>
      </c>
      <c r="L260" s="141">
        <f t="shared" si="47"/>
        <v>0</v>
      </c>
      <c r="M260" s="141">
        <f t="shared" si="47"/>
        <v>0</v>
      </c>
      <c r="N260" s="141">
        <f t="shared" si="47"/>
        <v>0</v>
      </c>
      <c r="O260" s="141">
        <f t="shared" si="47"/>
        <v>0</v>
      </c>
      <c r="P260" s="141">
        <f t="shared" si="47"/>
        <v>0</v>
      </c>
      <c r="Q260" s="141">
        <f t="shared" si="47"/>
        <v>0</v>
      </c>
      <c r="R260" s="141">
        <f t="shared" si="47"/>
        <v>0.7777777778</v>
      </c>
      <c r="S260" s="141">
        <f t="shared" si="47"/>
        <v>0.7777777778</v>
      </c>
      <c r="T260" s="141">
        <f t="shared" si="47"/>
        <v>0.7777777778</v>
      </c>
      <c r="U260" s="141">
        <f t="shared" si="47"/>
        <v>0.7777777778</v>
      </c>
      <c r="V260" s="141">
        <f t="shared" si="47"/>
        <v>0.7777777778</v>
      </c>
      <c r="W260" s="141">
        <f t="shared" si="47"/>
        <v>0.7777777778</v>
      </c>
      <c r="X260" s="141">
        <f t="shared" si="47"/>
        <v>0</v>
      </c>
      <c r="Y260" s="141">
        <f t="shared" si="47"/>
        <v>0</v>
      </c>
      <c r="Z260" s="141">
        <f t="shared" si="47"/>
        <v>0</v>
      </c>
      <c r="AA260" s="141">
        <f t="shared" si="47"/>
        <v>0</v>
      </c>
      <c r="AB260" s="141">
        <f t="shared" si="47"/>
        <v>0</v>
      </c>
      <c r="AC260" s="141">
        <f t="shared" si="47"/>
        <v>0</v>
      </c>
      <c r="AD260" s="141">
        <f t="shared" si="47"/>
        <v>0</v>
      </c>
      <c r="AE260" s="141">
        <f t="shared" si="47"/>
        <v>0</v>
      </c>
      <c r="AF260" s="141">
        <f t="shared" si="47"/>
        <v>0</v>
      </c>
      <c r="AG260" s="141">
        <f t="shared" si="47"/>
        <v>0</v>
      </c>
      <c r="AH260" s="141">
        <f t="shared" si="47"/>
        <v>0</v>
      </c>
      <c r="AI260" s="141">
        <f t="shared" si="14"/>
        <v>0.2333333333</v>
      </c>
      <c r="AJ260" s="141">
        <f t="shared" si="15"/>
        <v>0.7777777778</v>
      </c>
      <c r="AK260" s="141">
        <f t="shared" si="16"/>
        <v>0</v>
      </c>
      <c r="AL260" s="141">
        <f t="shared" si="17"/>
        <v>0.09722222222</v>
      </c>
      <c r="AM260" s="215">
        <f t="shared" si="18"/>
        <v>0.1728395062</v>
      </c>
      <c r="AN260" s="100"/>
      <c r="AO260" s="102"/>
    </row>
    <row r="261" ht="14.25" customHeight="1" outlineLevel="2">
      <c r="A261" s="305"/>
      <c r="B261" s="201"/>
      <c r="C261" s="246" t="s">
        <v>638</v>
      </c>
      <c r="D261" s="201"/>
      <c r="E261" s="162"/>
      <c r="F261" s="162"/>
      <c r="G261" s="162"/>
      <c r="H261" s="141">
        <f t="shared" ref="H261:AH261" si="48">MAX(COUNTA(H191),(COUNTA(H192:H194)-COUNTIF($AN192:$AN194,1))/(COUNTA($G192:$G194)-COUNTIF($AN192:$AN194,1)))</f>
        <v>0</v>
      </c>
      <c r="I261" s="141">
        <f t="shared" si="48"/>
        <v>0</v>
      </c>
      <c r="J261" s="141">
        <f t="shared" si="48"/>
        <v>0</v>
      </c>
      <c r="K261" s="141">
        <f t="shared" si="48"/>
        <v>0</v>
      </c>
      <c r="L261" s="141">
        <f t="shared" si="48"/>
        <v>0</v>
      </c>
      <c r="M261" s="141">
        <f t="shared" si="48"/>
        <v>0</v>
      </c>
      <c r="N261" s="141">
        <f t="shared" si="48"/>
        <v>0</v>
      </c>
      <c r="O261" s="141">
        <f t="shared" si="48"/>
        <v>0</v>
      </c>
      <c r="P261" s="141">
        <f t="shared" si="48"/>
        <v>0</v>
      </c>
      <c r="Q261" s="141">
        <f t="shared" si="48"/>
        <v>0</v>
      </c>
      <c r="R261" s="141">
        <f t="shared" si="48"/>
        <v>1</v>
      </c>
      <c r="S261" s="141">
        <f t="shared" si="48"/>
        <v>1</v>
      </c>
      <c r="T261" s="141">
        <f t="shared" si="48"/>
        <v>1</v>
      </c>
      <c r="U261" s="141">
        <f t="shared" si="48"/>
        <v>1</v>
      </c>
      <c r="V261" s="141">
        <f t="shared" si="48"/>
        <v>1</v>
      </c>
      <c r="W261" s="141">
        <f t="shared" si="48"/>
        <v>1</v>
      </c>
      <c r="X261" s="141">
        <f t="shared" si="48"/>
        <v>0</v>
      </c>
      <c r="Y261" s="141">
        <f t="shared" si="48"/>
        <v>0</v>
      </c>
      <c r="Z261" s="141">
        <f t="shared" si="48"/>
        <v>0</v>
      </c>
      <c r="AA261" s="141">
        <f t="shared" si="48"/>
        <v>0</v>
      </c>
      <c r="AB261" s="141">
        <f t="shared" si="48"/>
        <v>1</v>
      </c>
      <c r="AC261" s="141">
        <f t="shared" si="48"/>
        <v>1</v>
      </c>
      <c r="AD261" s="141">
        <f t="shared" si="48"/>
        <v>1</v>
      </c>
      <c r="AE261" s="141">
        <f t="shared" si="48"/>
        <v>1</v>
      </c>
      <c r="AF261" s="141">
        <f t="shared" si="48"/>
        <v>1</v>
      </c>
      <c r="AG261" s="141">
        <f t="shared" si="48"/>
        <v>1</v>
      </c>
      <c r="AH261" s="141">
        <f t="shared" si="48"/>
        <v>1</v>
      </c>
      <c r="AI261" s="141">
        <f t="shared" si="14"/>
        <v>0.3</v>
      </c>
      <c r="AJ261" s="141">
        <f t="shared" si="15"/>
        <v>1</v>
      </c>
      <c r="AK261" s="141">
        <f t="shared" si="16"/>
        <v>1</v>
      </c>
      <c r="AL261" s="141">
        <f t="shared" si="17"/>
        <v>1</v>
      </c>
      <c r="AM261" s="215">
        <f t="shared" si="18"/>
        <v>0.4814814815</v>
      </c>
      <c r="AN261" s="100"/>
      <c r="AO261" s="102"/>
    </row>
    <row r="262" ht="14.25" customHeight="1" outlineLevel="1">
      <c r="A262" s="305"/>
      <c r="B262" s="246" t="s">
        <v>639</v>
      </c>
      <c r="C262" s="246"/>
      <c r="D262" s="201"/>
      <c r="E262" s="162"/>
      <c r="F262" s="162"/>
      <c r="G262" s="162"/>
      <c r="H262" s="141">
        <f t="shared" ref="H262:AH262" si="49">(COUNTA(H197:H199)-COUNTIF($AN197:$AN199,1))/(COUNTA($G197:$G199)-COUNTIF($AN197:$AN199,1))</f>
        <v>0</v>
      </c>
      <c r="I262" s="141">
        <f t="shared" si="49"/>
        <v>0</v>
      </c>
      <c r="J262" s="141">
        <f t="shared" si="49"/>
        <v>0</v>
      </c>
      <c r="K262" s="141">
        <f t="shared" si="49"/>
        <v>0</v>
      </c>
      <c r="L262" s="141">
        <f t="shared" si="49"/>
        <v>0</v>
      </c>
      <c r="M262" s="141">
        <f t="shared" si="49"/>
        <v>0</v>
      </c>
      <c r="N262" s="141">
        <f t="shared" si="49"/>
        <v>0</v>
      </c>
      <c r="O262" s="141">
        <f t="shared" si="49"/>
        <v>0</v>
      </c>
      <c r="P262" s="141">
        <f t="shared" si="49"/>
        <v>0</v>
      </c>
      <c r="Q262" s="141">
        <f t="shared" si="49"/>
        <v>0</v>
      </c>
      <c r="R262" s="141">
        <f t="shared" si="49"/>
        <v>0</v>
      </c>
      <c r="S262" s="141">
        <f t="shared" si="49"/>
        <v>0</v>
      </c>
      <c r="T262" s="141">
        <f t="shared" si="49"/>
        <v>0</v>
      </c>
      <c r="U262" s="141">
        <f t="shared" si="49"/>
        <v>0</v>
      </c>
      <c r="V262" s="141">
        <f t="shared" si="49"/>
        <v>0</v>
      </c>
      <c r="W262" s="141">
        <f t="shared" si="49"/>
        <v>0.6666666667</v>
      </c>
      <c r="X262" s="141">
        <f t="shared" si="49"/>
        <v>0</v>
      </c>
      <c r="Y262" s="141">
        <f t="shared" si="49"/>
        <v>0</v>
      </c>
      <c r="Z262" s="141">
        <f t="shared" si="49"/>
        <v>0</v>
      </c>
      <c r="AA262" s="141">
        <f t="shared" si="49"/>
        <v>0</v>
      </c>
      <c r="AB262" s="141">
        <f t="shared" si="49"/>
        <v>0.6666666667</v>
      </c>
      <c r="AC262" s="141">
        <f t="shared" si="49"/>
        <v>0.6666666667</v>
      </c>
      <c r="AD262" s="141">
        <f t="shared" si="49"/>
        <v>0.6666666667</v>
      </c>
      <c r="AE262" s="141">
        <f t="shared" si="49"/>
        <v>0.6666666667</v>
      </c>
      <c r="AF262" s="141">
        <f t="shared" si="49"/>
        <v>0.6666666667</v>
      </c>
      <c r="AG262" s="141">
        <f t="shared" si="49"/>
        <v>0.6666666667</v>
      </c>
      <c r="AH262" s="141">
        <f t="shared" si="49"/>
        <v>0.6666666667</v>
      </c>
      <c r="AI262" s="141">
        <f t="shared" si="14"/>
        <v>0.03333333333</v>
      </c>
      <c r="AJ262" s="141">
        <f t="shared" si="15"/>
        <v>0.6666666667</v>
      </c>
      <c r="AK262" s="141">
        <f t="shared" si="16"/>
        <v>0.6666666667</v>
      </c>
      <c r="AL262" s="141">
        <f t="shared" si="17"/>
        <v>0.6666666667</v>
      </c>
      <c r="AM262" s="215">
        <f t="shared" si="18"/>
        <v>0.1975308642</v>
      </c>
      <c r="AN262" s="100"/>
      <c r="AO262" s="102"/>
    </row>
    <row r="263" ht="14.25" customHeight="1">
      <c r="A263" s="243" t="s">
        <v>598</v>
      </c>
      <c r="B263" s="100"/>
      <c r="C263" s="100"/>
      <c r="D263" s="100"/>
      <c r="E263" s="100"/>
      <c r="F263" s="206"/>
      <c r="G263" s="162"/>
      <c r="H263" s="141">
        <f t="shared" ref="H263:AH263" si="50">(COUNTA(H212:H220)-COUNTIF($AN212:$AN220,1))/(COUNTA($G212:$G220)-COUNTIF($AN212:$AN220,1))</f>
        <v>0.7777777778</v>
      </c>
      <c r="I263" s="141">
        <f t="shared" si="50"/>
        <v>0.7777777778</v>
      </c>
      <c r="J263" s="141">
        <f t="shared" si="50"/>
        <v>0.7777777778</v>
      </c>
      <c r="K263" s="141">
        <f t="shared" si="50"/>
        <v>0.7777777778</v>
      </c>
      <c r="L263" s="141">
        <f t="shared" si="50"/>
        <v>0.7777777778</v>
      </c>
      <c r="M263" s="141">
        <f t="shared" si="50"/>
        <v>0.7777777778</v>
      </c>
      <c r="N263" s="141">
        <f t="shared" si="50"/>
        <v>0.7777777778</v>
      </c>
      <c r="O263" s="141">
        <f t="shared" si="50"/>
        <v>0.7777777778</v>
      </c>
      <c r="P263" s="141">
        <f t="shared" si="50"/>
        <v>0.7777777778</v>
      </c>
      <c r="Q263" s="141">
        <f t="shared" si="50"/>
        <v>0.7777777778</v>
      </c>
      <c r="R263" s="141">
        <f t="shared" si="50"/>
        <v>0.7777777778</v>
      </c>
      <c r="S263" s="141">
        <f t="shared" si="50"/>
        <v>0.7777777778</v>
      </c>
      <c r="T263" s="141">
        <f t="shared" si="50"/>
        <v>0.7777777778</v>
      </c>
      <c r="U263" s="141">
        <f t="shared" si="50"/>
        <v>0.7777777778</v>
      </c>
      <c r="V263" s="141">
        <f t="shared" si="50"/>
        <v>0.7777777778</v>
      </c>
      <c r="W263" s="141">
        <f t="shared" si="50"/>
        <v>0.7777777778</v>
      </c>
      <c r="X263" s="141">
        <f t="shared" si="50"/>
        <v>0.7777777778</v>
      </c>
      <c r="Y263" s="141">
        <f t="shared" si="50"/>
        <v>0.7777777778</v>
      </c>
      <c r="Z263" s="141">
        <f t="shared" si="50"/>
        <v>0.1111111111</v>
      </c>
      <c r="AA263" s="141">
        <f t="shared" si="50"/>
        <v>0</v>
      </c>
      <c r="AB263" s="141">
        <f t="shared" si="50"/>
        <v>0</v>
      </c>
      <c r="AC263" s="141">
        <f t="shared" si="50"/>
        <v>0</v>
      </c>
      <c r="AD263" s="141">
        <f t="shared" si="50"/>
        <v>0</v>
      </c>
      <c r="AE263" s="141">
        <f t="shared" si="50"/>
        <v>0</v>
      </c>
      <c r="AF263" s="141">
        <f t="shared" si="50"/>
        <v>0</v>
      </c>
      <c r="AG263" s="141">
        <f t="shared" si="50"/>
        <v>0</v>
      </c>
      <c r="AH263" s="141">
        <f t="shared" si="50"/>
        <v>0</v>
      </c>
      <c r="AI263" s="141">
        <f t="shared" si="14"/>
        <v>0.7055555556</v>
      </c>
      <c r="AJ263" s="141">
        <f t="shared" si="15"/>
        <v>0.7777777778</v>
      </c>
      <c r="AK263" s="141">
        <f t="shared" si="16"/>
        <v>0</v>
      </c>
      <c r="AL263" s="141">
        <f t="shared" si="17"/>
        <v>0.09722222222</v>
      </c>
      <c r="AM263" s="215">
        <f t="shared" si="18"/>
        <v>0.5226337449</v>
      </c>
      <c r="AN263" s="100"/>
      <c r="AO263" s="102"/>
    </row>
    <row r="264" ht="14.25" customHeight="1">
      <c r="A264" s="247"/>
      <c r="B264" s="100"/>
      <c r="C264" s="100"/>
      <c r="D264" s="100"/>
      <c r="E264" s="100"/>
      <c r="F264" s="206"/>
      <c r="G264" s="206"/>
      <c r="H264" s="207"/>
      <c r="I264" s="207"/>
      <c r="J264" s="207"/>
      <c r="K264" s="207"/>
      <c r="L264" s="207"/>
      <c r="M264" s="207"/>
      <c r="N264" s="207"/>
      <c r="O264" s="207"/>
      <c r="P264" s="207"/>
      <c r="Q264" s="207"/>
      <c r="R264" s="207"/>
      <c r="S264" s="207"/>
      <c r="T264" s="207"/>
      <c r="U264" s="207"/>
      <c r="V264" s="207"/>
      <c r="W264" s="208"/>
      <c r="X264" s="208"/>
      <c r="Y264" s="208"/>
      <c r="Z264" s="208"/>
      <c r="AA264" s="208"/>
      <c r="AB264" s="208"/>
      <c r="AC264" s="208"/>
      <c r="AD264" s="208"/>
      <c r="AE264" s="208"/>
      <c r="AF264" s="208"/>
      <c r="AG264" s="208"/>
      <c r="AH264" s="208"/>
      <c r="AI264" s="271"/>
      <c r="AJ264" s="271"/>
      <c r="AK264" s="271"/>
      <c r="AL264" s="271"/>
      <c r="AM264" s="100"/>
      <c r="AN264" s="100"/>
      <c r="AO264" s="102"/>
    </row>
    <row r="265" ht="14.25" customHeight="1">
      <c r="A265" s="306"/>
      <c r="B265" s="230"/>
      <c r="C265" s="230"/>
      <c r="D265" s="230"/>
      <c r="E265" s="230"/>
      <c r="F265" s="231"/>
      <c r="G265" s="231"/>
      <c r="H265" s="232"/>
      <c r="I265" s="232"/>
      <c r="J265" s="232"/>
      <c r="K265" s="232"/>
      <c r="L265" s="232"/>
      <c r="M265" s="232"/>
      <c r="N265" s="232"/>
      <c r="O265" s="232"/>
      <c r="P265" s="232"/>
      <c r="Q265" s="232"/>
      <c r="R265" s="232"/>
      <c r="S265" s="232"/>
      <c r="T265" s="232"/>
      <c r="U265" s="232"/>
      <c r="V265" s="232"/>
      <c r="W265" s="233"/>
      <c r="X265" s="233"/>
      <c r="Y265" s="233"/>
      <c r="Z265" s="233"/>
      <c r="AA265" s="233"/>
      <c r="AB265" s="233"/>
      <c r="AC265" s="233"/>
      <c r="AD265" s="233"/>
      <c r="AE265" s="233"/>
      <c r="AF265" s="233"/>
      <c r="AG265" s="233"/>
      <c r="AH265" s="233"/>
      <c r="AI265" s="307"/>
      <c r="AJ265" s="307"/>
      <c r="AK265" s="307"/>
      <c r="AL265" s="307"/>
      <c r="AM265" s="230"/>
      <c r="AN265" s="230"/>
      <c r="AO265" s="234"/>
    </row>
    <row r="266" ht="14.25" customHeight="1">
      <c r="A266" s="179"/>
      <c r="B266" s="98"/>
      <c r="C266" s="98"/>
      <c r="D266" s="98"/>
      <c r="E266" s="98"/>
      <c r="F266" s="235"/>
      <c r="G266" s="235"/>
      <c r="H266" s="236"/>
      <c r="I266" s="236"/>
      <c r="J266" s="236"/>
      <c r="K266" s="236"/>
      <c r="L266" s="236"/>
      <c r="M266" s="236"/>
      <c r="N266" s="236"/>
      <c r="O266" s="236"/>
      <c r="P266" s="236"/>
      <c r="Q266" s="236"/>
      <c r="R266" s="236"/>
      <c r="S266" s="236"/>
      <c r="T266" s="236"/>
      <c r="U266" s="236"/>
      <c r="V266" s="236"/>
      <c r="W266" s="237"/>
      <c r="X266" s="237"/>
      <c r="Y266" s="237"/>
      <c r="Z266" s="237"/>
      <c r="AA266" s="237"/>
      <c r="AB266" s="237"/>
      <c r="AC266" s="237"/>
      <c r="AD266" s="237"/>
      <c r="AE266" s="237"/>
      <c r="AF266" s="237"/>
      <c r="AG266" s="237"/>
      <c r="AH266" s="237"/>
      <c r="AI266" s="308"/>
      <c r="AJ266" s="308"/>
      <c r="AK266" s="308"/>
      <c r="AL266" s="308"/>
      <c r="AM266" s="98"/>
      <c r="AN266" s="98"/>
      <c r="AO266" s="98"/>
    </row>
    <row r="267" ht="14.25" customHeight="1">
      <c r="A267" s="179"/>
      <c r="B267" s="98"/>
      <c r="C267" s="98"/>
      <c r="D267" s="98"/>
      <c r="E267" s="98"/>
      <c r="F267" s="235"/>
      <c r="G267" s="235"/>
      <c r="H267" s="236"/>
      <c r="I267" s="236"/>
      <c r="J267" s="236"/>
      <c r="K267" s="236"/>
      <c r="L267" s="236"/>
      <c r="M267" s="236"/>
      <c r="N267" s="236"/>
      <c r="O267" s="236"/>
      <c r="P267" s="236"/>
      <c r="Q267" s="236"/>
      <c r="R267" s="236"/>
      <c r="S267" s="236"/>
      <c r="T267" s="236"/>
      <c r="U267" s="236"/>
      <c r="V267" s="236"/>
      <c r="W267" s="237"/>
      <c r="X267" s="237"/>
      <c r="Y267" s="237"/>
      <c r="Z267" s="237"/>
      <c r="AA267" s="237"/>
      <c r="AB267" s="237"/>
      <c r="AC267" s="237"/>
      <c r="AD267" s="237"/>
      <c r="AE267" s="237"/>
      <c r="AF267" s="237"/>
      <c r="AG267" s="237"/>
      <c r="AH267" s="237"/>
      <c r="AI267" s="308"/>
      <c r="AJ267" s="308"/>
      <c r="AK267" s="308"/>
      <c r="AL267" s="308"/>
      <c r="AM267" s="98"/>
      <c r="AN267" s="98"/>
      <c r="AO267" s="98"/>
    </row>
    <row r="268" ht="14.25" customHeight="1">
      <c r="A268" s="179"/>
      <c r="B268" s="98"/>
      <c r="C268" s="98"/>
      <c r="D268" s="98"/>
      <c r="E268" s="98"/>
      <c r="F268" s="235"/>
      <c r="G268" s="235"/>
      <c r="H268" s="236"/>
      <c r="I268" s="236"/>
      <c r="J268" s="236"/>
      <c r="K268" s="236"/>
      <c r="L268" s="236"/>
      <c r="M268" s="236"/>
      <c r="N268" s="236"/>
      <c r="O268" s="236"/>
      <c r="P268" s="236"/>
      <c r="Q268" s="236"/>
      <c r="R268" s="236"/>
      <c r="S268" s="236"/>
      <c r="T268" s="236"/>
      <c r="U268" s="236"/>
      <c r="V268" s="236"/>
      <c r="W268" s="237"/>
      <c r="X268" s="237"/>
      <c r="Y268" s="237"/>
      <c r="Z268" s="237"/>
      <c r="AA268" s="237"/>
      <c r="AB268" s="237"/>
      <c r="AC268" s="237"/>
      <c r="AD268" s="237"/>
      <c r="AE268" s="237"/>
      <c r="AF268" s="237"/>
      <c r="AG268" s="237"/>
      <c r="AH268" s="237"/>
      <c r="AI268" s="308"/>
      <c r="AJ268" s="308"/>
      <c r="AK268" s="308"/>
      <c r="AL268" s="308"/>
      <c r="AM268" s="98"/>
      <c r="AN268" s="98"/>
      <c r="AO268" s="98"/>
    </row>
    <row r="269" ht="14.25" customHeight="1">
      <c r="A269" s="179"/>
      <c r="B269" s="98"/>
      <c r="C269" s="98"/>
      <c r="D269" s="98"/>
      <c r="E269" s="98"/>
      <c r="F269" s="235"/>
      <c r="G269" s="235"/>
      <c r="H269" s="236"/>
      <c r="I269" s="236"/>
      <c r="J269" s="236"/>
      <c r="K269" s="236"/>
      <c r="L269" s="236"/>
      <c r="M269" s="236"/>
      <c r="N269" s="236"/>
      <c r="O269" s="236"/>
      <c r="P269" s="236"/>
      <c r="Q269" s="236"/>
      <c r="R269" s="236"/>
      <c r="S269" s="236"/>
      <c r="T269" s="236"/>
      <c r="U269" s="236"/>
      <c r="V269" s="236"/>
      <c r="W269" s="237"/>
      <c r="X269" s="237"/>
      <c r="Y269" s="237"/>
      <c r="Z269" s="237"/>
      <c r="AA269" s="237"/>
      <c r="AB269" s="237"/>
      <c r="AC269" s="237"/>
      <c r="AD269" s="237"/>
      <c r="AE269" s="237"/>
      <c r="AF269" s="237"/>
      <c r="AG269" s="237"/>
      <c r="AH269" s="237"/>
      <c r="AI269" s="308"/>
      <c r="AJ269" s="308"/>
      <c r="AK269" s="308"/>
      <c r="AL269" s="308"/>
      <c r="AM269" s="98"/>
      <c r="AN269" s="98"/>
      <c r="AO269" s="98"/>
    </row>
    <row r="270" ht="14.25" customHeight="1">
      <c r="A270" s="179"/>
      <c r="B270" s="98"/>
      <c r="C270" s="98"/>
      <c r="D270" s="98"/>
      <c r="E270" s="98"/>
      <c r="F270" s="235"/>
      <c r="G270" s="235"/>
      <c r="H270" s="236"/>
      <c r="I270" s="236"/>
      <c r="J270" s="236"/>
      <c r="K270" s="236"/>
      <c r="L270" s="236"/>
      <c r="M270" s="236"/>
      <c r="N270" s="236"/>
      <c r="O270" s="236"/>
      <c r="P270" s="236"/>
      <c r="Q270" s="236"/>
      <c r="R270" s="236"/>
      <c r="S270" s="236"/>
      <c r="T270" s="236"/>
      <c r="U270" s="236"/>
      <c r="V270" s="236"/>
      <c r="W270" s="237"/>
      <c r="X270" s="237"/>
      <c r="Y270" s="237"/>
      <c r="Z270" s="237"/>
      <c r="AA270" s="237"/>
      <c r="AB270" s="237"/>
      <c r="AC270" s="237"/>
      <c r="AD270" s="237"/>
      <c r="AE270" s="237"/>
      <c r="AF270" s="237"/>
      <c r="AG270" s="237"/>
      <c r="AH270" s="237"/>
      <c r="AI270" s="308"/>
      <c r="AJ270" s="308"/>
      <c r="AK270" s="308"/>
      <c r="AL270" s="308"/>
      <c r="AM270" s="98"/>
      <c r="AN270" s="98"/>
      <c r="AO270" s="98"/>
    </row>
    <row r="271" ht="14.25" customHeight="1">
      <c r="A271" s="179"/>
      <c r="B271" s="98"/>
      <c r="C271" s="98"/>
      <c r="D271" s="98"/>
      <c r="E271" s="98"/>
      <c r="F271" s="235"/>
      <c r="G271" s="235"/>
      <c r="H271" s="236"/>
      <c r="I271" s="236"/>
      <c r="J271" s="236"/>
      <c r="K271" s="236"/>
      <c r="L271" s="236"/>
      <c r="M271" s="236"/>
      <c r="N271" s="236"/>
      <c r="O271" s="236"/>
      <c r="P271" s="236"/>
      <c r="Q271" s="236"/>
      <c r="R271" s="236"/>
      <c r="S271" s="236"/>
      <c r="T271" s="236"/>
      <c r="U271" s="236"/>
      <c r="V271" s="236"/>
      <c r="W271" s="237"/>
      <c r="X271" s="237"/>
      <c r="Y271" s="237"/>
      <c r="Z271" s="237"/>
      <c r="AA271" s="237"/>
      <c r="AB271" s="237"/>
      <c r="AC271" s="237"/>
      <c r="AD271" s="237"/>
      <c r="AE271" s="237"/>
      <c r="AF271" s="237"/>
      <c r="AG271" s="237"/>
      <c r="AH271" s="237"/>
      <c r="AI271" s="308"/>
      <c r="AJ271" s="308"/>
      <c r="AK271" s="308"/>
      <c r="AL271" s="308"/>
      <c r="AM271" s="98"/>
      <c r="AN271" s="98"/>
      <c r="AO271" s="98"/>
    </row>
    <row r="272" ht="14.25" customHeight="1">
      <c r="A272" s="179"/>
      <c r="B272" s="98"/>
      <c r="C272" s="98"/>
      <c r="D272" s="98"/>
      <c r="E272" s="98"/>
      <c r="F272" s="235"/>
      <c r="G272" s="235"/>
      <c r="H272" s="236"/>
      <c r="I272" s="236"/>
      <c r="J272" s="236"/>
      <c r="K272" s="236"/>
      <c r="L272" s="236"/>
      <c r="M272" s="236"/>
      <c r="N272" s="236"/>
      <c r="O272" s="236"/>
      <c r="P272" s="236"/>
      <c r="Q272" s="236"/>
      <c r="R272" s="236"/>
      <c r="S272" s="236"/>
      <c r="T272" s="236"/>
      <c r="U272" s="236"/>
      <c r="V272" s="236"/>
      <c r="W272" s="237"/>
      <c r="X272" s="237"/>
      <c r="Y272" s="237"/>
      <c r="Z272" s="237"/>
      <c r="AA272" s="237"/>
      <c r="AB272" s="237"/>
      <c r="AC272" s="237"/>
      <c r="AD272" s="237"/>
      <c r="AE272" s="237"/>
      <c r="AF272" s="237"/>
      <c r="AG272" s="237"/>
      <c r="AH272" s="237"/>
      <c r="AI272" s="308"/>
      <c r="AJ272" s="308"/>
      <c r="AK272" s="308"/>
      <c r="AL272" s="308"/>
      <c r="AM272" s="98"/>
      <c r="AN272" s="98"/>
      <c r="AO272" s="98"/>
    </row>
    <row r="273" ht="14.25" customHeight="1">
      <c r="A273" s="179"/>
      <c r="B273" s="98"/>
      <c r="C273" s="98"/>
      <c r="D273" s="98"/>
      <c r="E273" s="98"/>
      <c r="F273" s="235"/>
      <c r="G273" s="235"/>
      <c r="H273" s="236"/>
      <c r="I273" s="236"/>
      <c r="J273" s="236"/>
      <c r="K273" s="236"/>
      <c r="L273" s="236"/>
      <c r="M273" s="236"/>
      <c r="N273" s="236"/>
      <c r="O273" s="236"/>
      <c r="P273" s="236"/>
      <c r="Q273" s="236"/>
      <c r="R273" s="236"/>
      <c r="S273" s="236"/>
      <c r="T273" s="236"/>
      <c r="U273" s="236"/>
      <c r="V273" s="236"/>
      <c r="W273" s="237"/>
      <c r="X273" s="237"/>
      <c r="Y273" s="237"/>
      <c r="Z273" s="237"/>
      <c r="AA273" s="237"/>
      <c r="AB273" s="237"/>
      <c r="AC273" s="237"/>
      <c r="AD273" s="237"/>
      <c r="AE273" s="237"/>
      <c r="AF273" s="237"/>
      <c r="AG273" s="237"/>
      <c r="AH273" s="237"/>
      <c r="AI273" s="308"/>
      <c r="AJ273" s="308"/>
      <c r="AK273" s="308"/>
      <c r="AL273" s="308"/>
      <c r="AM273" s="98"/>
      <c r="AN273" s="98"/>
      <c r="AO273" s="98"/>
    </row>
    <row r="274" ht="14.25" customHeight="1">
      <c r="A274" s="179"/>
      <c r="B274" s="98"/>
      <c r="C274" s="98"/>
      <c r="D274" s="98"/>
      <c r="E274" s="98"/>
      <c r="F274" s="235"/>
      <c r="G274" s="235"/>
      <c r="H274" s="236"/>
      <c r="I274" s="236"/>
      <c r="J274" s="236"/>
      <c r="K274" s="236"/>
      <c r="L274" s="236"/>
      <c r="M274" s="236"/>
      <c r="N274" s="236"/>
      <c r="O274" s="236"/>
      <c r="P274" s="236"/>
      <c r="Q274" s="236"/>
      <c r="R274" s="236"/>
      <c r="S274" s="236"/>
      <c r="T274" s="236"/>
      <c r="U274" s="236"/>
      <c r="V274" s="236"/>
      <c r="W274" s="237"/>
      <c r="X274" s="237"/>
      <c r="Y274" s="237"/>
      <c r="Z274" s="237"/>
      <c r="AA274" s="237"/>
      <c r="AB274" s="237"/>
      <c r="AC274" s="237"/>
      <c r="AD274" s="237"/>
      <c r="AE274" s="237"/>
      <c r="AF274" s="237"/>
      <c r="AG274" s="237"/>
      <c r="AH274" s="237"/>
      <c r="AI274" s="308"/>
      <c r="AJ274" s="308"/>
      <c r="AK274" s="308"/>
      <c r="AL274" s="308"/>
      <c r="AM274" s="98"/>
      <c r="AN274" s="98"/>
      <c r="AO274" s="98"/>
    </row>
    <row r="275" ht="14.25" customHeight="1">
      <c r="A275" s="179"/>
      <c r="B275" s="98"/>
      <c r="C275" s="98"/>
      <c r="D275" s="98"/>
      <c r="E275" s="98"/>
      <c r="F275" s="235"/>
      <c r="G275" s="235"/>
      <c r="H275" s="236"/>
      <c r="I275" s="236"/>
      <c r="J275" s="236"/>
      <c r="K275" s="236"/>
      <c r="L275" s="236"/>
      <c r="M275" s="236"/>
      <c r="N275" s="236"/>
      <c r="O275" s="236"/>
      <c r="P275" s="236"/>
      <c r="Q275" s="236"/>
      <c r="R275" s="236"/>
      <c r="S275" s="236"/>
      <c r="T275" s="236"/>
      <c r="U275" s="236"/>
      <c r="V275" s="236"/>
      <c r="W275" s="237"/>
      <c r="X275" s="237"/>
      <c r="Y275" s="237"/>
      <c r="Z275" s="237"/>
      <c r="AA275" s="237"/>
      <c r="AB275" s="237"/>
      <c r="AC275" s="237"/>
      <c r="AD275" s="237"/>
      <c r="AE275" s="237"/>
      <c r="AF275" s="237"/>
      <c r="AG275" s="237"/>
      <c r="AH275" s="237"/>
      <c r="AI275" s="308"/>
      <c r="AJ275" s="308"/>
      <c r="AK275" s="308"/>
      <c r="AL275" s="308"/>
      <c r="AM275" s="98"/>
      <c r="AN275" s="98"/>
      <c r="AO275" s="98"/>
    </row>
    <row r="276" ht="14.25" customHeight="1">
      <c r="A276" s="179"/>
      <c r="B276" s="98"/>
      <c r="C276" s="98"/>
      <c r="D276" s="98"/>
      <c r="E276" s="98"/>
      <c r="F276" s="235"/>
      <c r="G276" s="235"/>
      <c r="H276" s="236"/>
      <c r="I276" s="236"/>
      <c r="J276" s="236"/>
      <c r="K276" s="236"/>
      <c r="L276" s="236"/>
      <c r="M276" s="236"/>
      <c r="N276" s="236"/>
      <c r="O276" s="236"/>
      <c r="P276" s="236"/>
      <c r="Q276" s="236"/>
      <c r="R276" s="236"/>
      <c r="S276" s="236"/>
      <c r="T276" s="236"/>
      <c r="U276" s="236"/>
      <c r="V276" s="236"/>
      <c r="W276" s="237"/>
      <c r="X276" s="237"/>
      <c r="Y276" s="237"/>
      <c r="Z276" s="237"/>
      <c r="AA276" s="237"/>
      <c r="AB276" s="237"/>
      <c r="AC276" s="237"/>
      <c r="AD276" s="237"/>
      <c r="AE276" s="237"/>
      <c r="AF276" s="237"/>
      <c r="AG276" s="237"/>
      <c r="AH276" s="237"/>
      <c r="AI276" s="308"/>
      <c r="AJ276" s="308"/>
      <c r="AK276" s="308"/>
      <c r="AL276" s="308"/>
      <c r="AM276" s="98"/>
      <c r="AN276" s="98"/>
      <c r="AO276" s="98"/>
    </row>
    <row r="277" ht="14.25" customHeight="1">
      <c r="A277" s="179"/>
      <c r="B277" s="98"/>
      <c r="C277" s="98"/>
      <c r="D277" s="98"/>
      <c r="E277" s="98"/>
      <c r="F277" s="235"/>
      <c r="G277" s="235"/>
      <c r="H277" s="236"/>
      <c r="I277" s="236"/>
      <c r="J277" s="236"/>
      <c r="K277" s="236"/>
      <c r="L277" s="236"/>
      <c r="M277" s="236"/>
      <c r="N277" s="236"/>
      <c r="O277" s="236"/>
      <c r="P277" s="236"/>
      <c r="Q277" s="236"/>
      <c r="R277" s="236"/>
      <c r="S277" s="236"/>
      <c r="T277" s="236"/>
      <c r="U277" s="236"/>
      <c r="V277" s="236"/>
      <c r="W277" s="237"/>
      <c r="X277" s="237"/>
      <c r="Y277" s="237"/>
      <c r="Z277" s="237"/>
      <c r="AA277" s="237"/>
      <c r="AB277" s="237"/>
      <c r="AC277" s="237"/>
      <c r="AD277" s="237"/>
      <c r="AE277" s="237"/>
      <c r="AF277" s="237"/>
      <c r="AG277" s="237"/>
      <c r="AH277" s="237"/>
      <c r="AI277" s="308"/>
      <c r="AJ277" s="308"/>
      <c r="AK277" s="308"/>
      <c r="AL277" s="308"/>
      <c r="AM277" s="98"/>
      <c r="AN277" s="98"/>
      <c r="AO277" s="98"/>
    </row>
    <row r="278" ht="14.25" customHeight="1">
      <c r="A278" s="179"/>
      <c r="B278" s="98"/>
      <c r="C278" s="98"/>
      <c r="D278" s="98"/>
      <c r="E278" s="98"/>
      <c r="F278" s="235"/>
      <c r="G278" s="235"/>
      <c r="H278" s="236"/>
      <c r="I278" s="236"/>
      <c r="J278" s="236"/>
      <c r="K278" s="236"/>
      <c r="L278" s="236"/>
      <c r="M278" s="236"/>
      <c r="N278" s="236"/>
      <c r="O278" s="236"/>
      <c r="P278" s="236"/>
      <c r="Q278" s="236"/>
      <c r="R278" s="236"/>
      <c r="S278" s="236"/>
      <c r="T278" s="236"/>
      <c r="U278" s="236"/>
      <c r="V278" s="236"/>
      <c r="W278" s="237"/>
      <c r="X278" s="237"/>
      <c r="Y278" s="237"/>
      <c r="Z278" s="237"/>
      <c r="AA278" s="237"/>
      <c r="AB278" s="237"/>
      <c r="AC278" s="237"/>
      <c r="AD278" s="237"/>
      <c r="AE278" s="237"/>
      <c r="AF278" s="237"/>
      <c r="AG278" s="237"/>
      <c r="AH278" s="237"/>
      <c r="AI278" s="308"/>
      <c r="AJ278" s="308"/>
      <c r="AK278" s="308"/>
      <c r="AL278" s="308"/>
      <c r="AM278" s="98"/>
      <c r="AN278" s="98"/>
      <c r="AO278" s="98"/>
    </row>
    <row r="279" ht="14.25" customHeight="1">
      <c r="A279" s="179"/>
      <c r="B279" s="98"/>
      <c r="C279" s="98"/>
      <c r="D279" s="98"/>
      <c r="E279" s="98"/>
      <c r="F279" s="235"/>
      <c r="G279" s="235"/>
      <c r="H279" s="236"/>
      <c r="I279" s="236"/>
      <c r="J279" s="236"/>
      <c r="K279" s="236"/>
      <c r="L279" s="236"/>
      <c r="M279" s="236"/>
      <c r="N279" s="236"/>
      <c r="O279" s="236"/>
      <c r="P279" s="236"/>
      <c r="Q279" s="236"/>
      <c r="R279" s="236"/>
      <c r="S279" s="236"/>
      <c r="T279" s="236"/>
      <c r="U279" s="236"/>
      <c r="V279" s="236"/>
      <c r="W279" s="237"/>
      <c r="X279" s="237"/>
      <c r="Y279" s="237"/>
      <c r="Z279" s="237"/>
      <c r="AA279" s="237"/>
      <c r="AB279" s="237"/>
      <c r="AC279" s="237"/>
      <c r="AD279" s="237"/>
      <c r="AE279" s="237"/>
      <c r="AF279" s="237"/>
      <c r="AG279" s="237"/>
      <c r="AH279" s="237"/>
      <c r="AI279" s="308"/>
      <c r="AJ279" s="308"/>
      <c r="AK279" s="308"/>
      <c r="AL279" s="308"/>
      <c r="AM279" s="98"/>
      <c r="AN279" s="98"/>
      <c r="AO279" s="98"/>
    </row>
    <row r="280" ht="14.25" customHeight="1">
      <c r="A280" s="179"/>
      <c r="B280" s="98"/>
      <c r="C280" s="98"/>
      <c r="D280" s="98"/>
      <c r="E280" s="98"/>
      <c r="F280" s="235"/>
      <c r="G280" s="235"/>
      <c r="H280" s="236"/>
      <c r="I280" s="236"/>
      <c r="J280" s="236"/>
      <c r="K280" s="236"/>
      <c r="L280" s="236"/>
      <c r="M280" s="236"/>
      <c r="N280" s="236"/>
      <c r="O280" s="236"/>
      <c r="P280" s="236"/>
      <c r="Q280" s="236"/>
      <c r="R280" s="236"/>
      <c r="S280" s="236"/>
      <c r="T280" s="236"/>
      <c r="U280" s="236"/>
      <c r="V280" s="236"/>
      <c r="W280" s="237"/>
      <c r="X280" s="237"/>
      <c r="Y280" s="237"/>
      <c r="Z280" s="237"/>
      <c r="AA280" s="237"/>
      <c r="AB280" s="237"/>
      <c r="AC280" s="237"/>
      <c r="AD280" s="237"/>
      <c r="AE280" s="237"/>
      <c r="AF280" s="237"/>
      <c r="AG280" s="237"/>
      <c r="AH280" s="237"/>
      <c r="AI280" s="308"/>
      <c r="AJ280" s="308"/>
      <c r="AK280" s="308"/>
      <c r="AL280" s="308"/>
      <c r="AM280" s="98"/>
      <c r="AN280" s="98"/>
      <c r="AO280" s="98"/>
    </row>
    <row r="281" ht="14.25" customHeight="1">
      <c r="A281" s="179"/>
      <c r="B281" s="98"/>
      <c r="C281" s="98"/>
      <c r="D281" s="98"/>
      <c r="E281" s="98"/>
      <c r="F281" s="235"/>
      <c r="G281" s="235"/>
      <c r="H281" s="236"/>
      <c r="I281" s="236"/>
      <c r="J281" s="236"/>
      <c r="K281" s="236"/>
      <c r="L281" s="236"/>
      <c r="M281" s="236"/>
      <c r="N281" s="236"/>
      <c r="O281" s="236"/>
      <c r="P281" s="236"/>
      <c r="Q281" s="236"/>
      <c r="R281" s="236"/>
      <c r="S281" s="236"/>
      <c r="T281" s="236"/>
      <c r="U281" s="236"/>
      <c r="V281" s="236"/>
      <c r="W281" s="237"/>
      <c r="X281" s="237"/>
      <c r="Y281" s="237"/>
      <c r="Z281" s="237"/>
      <c r="AA281" s="237"/>
      <c r="AB281" s="237"/>
      <c r="AC281" s="237"/>
      <c r="AD281" s="237"/>
      <c r="AE281" s="237"/>
      <c r="AF281" s="237"/>
      <c r="AG281" s="237"/>
      <c r="AH281" s="237"/>
      <c r="AI281" s="308"/>
      <c r="AJ281" s="308"/>
      <c r="AK281" s="308"/>
      <c r="AL281" s="308"/>
      <c r="AM281" s="98"/>
      <c r="AN281" s="98"/>
      <c r="AO281" s="98"/>
    </row>
    <row r="282" ht="14.25" customHeight="1">
      <c r="A282" s="179"/>
      <c r="B282" s="98"/>
      <c r="C282" s="98"/>
      <c r="D282" s="98"/>
      <c r="E282" s="98"/>
      <c r="F282" s="235"/>
      <c r="G282" s="235"/>
      <c r="H282" s="236"/>
      <c r="I282" s="236"/>
      <c r="J282" s="236"/>
      <c r="K282" s="236"/>
      <c r="L282" s="236"/>
      <c r="M282" s="236"/>
      <c r="N282" s="236"/>
      <c r="O282" s="236"/>
      <c r="P282" s="236"/>
      <c r="Q282" s="236"/>
      <c r="R282" s="236"/>
      <c r="S282" s="236"/>
      <c r="T282" s="236"/>
      <c r="U282" s="236"/>
      <c r="V282" s="236"/>
      <c r="W282" s="237"/>
      <c r="X282" s="237"/>
      <c r="Y282" s="237"/>
      <c r="Z282" s="237"/>
      <c r="AA282" s="237"/>
      <c r="AB282" s="237"/>
      <c r="AC282" s="237"/>
      <c r="AD282" s="237"/>
      <c r="AE282" s="237"/>
      <c r="AF282" s="237"/>
      <c r="AG282" s="237"/>
      <c r="AH282" s="237"/>
      <c r="AI282" s="308"/>
      <c r="AJ282" s="308"/>
      <c r="AK282" s="308"/>
      <c r="AL282" s="308"/>
      <c r="AM282" s="98"/>
      <c r="AN282" s="98"/>
      <c r="AO282" s="98"/>
    </row>
    <row r="283" ht="14.25" customHeight="1">
      <c r="A283" s="179"/>
      <c r="B283" s="98"/>
      <c r="C283" s="98"/>
      <c r="D283" s="98"/>
      <c r="E283" s="98"/>
      <c r="F283" s="235"/>
      <c r="G283" s="235"/>
      <c r="H283" s="236"/>
      <c r="I283" s="236"/>
      <c r="J283" s="236"/>
      <c r="K283" s="236"/>
      <c r="L283" s="236"/>
      <c r="M283" s="236"/>
      <c r="N283" s="236"/>
      <c r="O283" s="236"/>
      <c r="P283" s="236"/>
      <c r="Q283" s="236"/>
      <c r="R283" s="236"/>
      <c r="S283" s="236"/>
      <c r="T283" s="236"/>
      <c r="U283" s="236"/>
      <c r="V283" s="236"/>
      <c r="W283" s="237"/>
      <c r="X283" s="237"/>
      <c r="Y283" s="237"/>
      <c r="Z283" s="237"/>
      <c r="AA283" s="237"/>
      <c r="AB283" s="237"/>
      <c r="AC283" s="237"/>
      <c r="AD283" s="237"/>
      <c r="AE283" s="237"/>
      <c r="AF283" s="237"/>
      <c r="AG283" s="237"/>
      <c r="AH283" s="237"/>
      <c r="AI283" s="308"/>
      <c r="AJ283" s="308"/>
      <c r="AK283" s="308"/>
      <c r="AL283" s="308"/>
      <c r="AM283" s="98"/>
      <c r="AN283" s="98"/>
      <c r="AO283" s="98"/>
    </row>
    <row r="284" ht="14.25" customHeight="1">
      <c r="A284" s="179"/>
      <c r="B284" s="98"/>
      <c r="C284" s="98"/>
      <c r="D284" s="98"/>
      <c r="E284" s="98"/>
      <c r="F284" s="235"/>
      <c r="G284" s="235"/>
      <c r="H284" s="236"/>
      <c r="I284" s="236"/>
      <c r="J284" s="236"/>
      <c r="K284" s="236"/>
      <c r="L284" s="236"/>
      <c r="M284" s="236"/>
      <c r="N284" s="236"/>
      <c r="O284" s="236"/>
      <c r="P284" s="236"/>
      <c r="Q284" s="236"/>
      <c r="R284" s="236"/>
      <c r="S284" s="236"/>
      <c r="T284" s="236"/>
      <c r="U284" s="236"/>
      <c r="V284" s="236"/>
      <c r="W284" s="237"/>
      <c r="X284" s="237"/>
      <c r="Y284" s="237"/>
      <c r="Z284" s="237"/>
      <c r="AA284" s="237"/>
      <c r="AB284" s="237"/>
      <c r="AC284" s="237"/>
      <c r="AD284" s="237"/>
      <c r="AE284" s="237"/>
      <c r="AF284" s="237"/>
      <c r="AG284" s="237"/>
      <c r="AH284" s="237"/>
      <c r="AI284" s="308"/>
      <c r="AJ284" s="308"/>
      <c r="AK284" s="308"/>
      <c r="AL284" s="308"/>
      <c r="AM284" s="98"/>
      <c r="AN284" s="98"/>
      <c r="AO284" s="98"/>
    </row>
    <row r="285" ht="14.25" customHeight="1">
      <c r="A285" s="179"/>
      <c r="B285" s="98"/>
      <c r="C285" s="98"/>
      <c r="D285" s="98"/>
      <c r="E285" s="98"/>
      <c r="F285" s="235"/>
      <c r="G285" s="235"/>
      <c r="H285" s="236"/>
      <c r="I285" s="236"/>
      <c r="J285" s="236"/>
      <c r="K285" s="236"/>
      <c r="L285" s="236"/>
      <c r="M285" s="236"/>
      <c r="N285" s="236"/>
      <c r="O285" s="236"/>
      <c r="P285" s="236"/>
      <c r="Q285" s="236"/>
      <c r="R285" s="236"/>
      <c r="S285" s="236"/>
      <c r="T285" s="236"/>
      <c r="U285" s="236"/>
      <c r="V285" s="236"/>
      <c r="W285" s="237"/>
      <c r="X285" s="237"/>
      <c r="Y285" s="237"/>
      <c r="Z285" s="237"/>
      <c r="AA285" s="237"/>
      <c r="AB285" s="237"/>
      <c r="AC285" s="237"/>
      <c r="AD285" s="237"/>
      <c r="AE285" s="237"/>
      <c r="AF285" s="237"/>
      <c r="AG285" s="237"/>
      <c r="AH285" s="237"/>
      <c r="AI285" s="308"/>
      <c r="AJ285" s="308"/>
      <c r="AK285" s="308"/>
      <c r="AL285" s="308"/>
      <c r="AM285" s="98"/>
      <c r="AN285" s="98"/>
      <c r="AO285" s="98"/>
    </row>
    <row r="286" ht="14.25" customHeight="1">
      <c r="A286" s="179"/>
      <c r="B286" s="98"/>
      <c r="C286" s="98"/>
      <c r="D286" s="98"/>
      <c r="E286" s="98"/>
      <c r="F286" s="235"/>
      <c r="G286" s="235"/>
      <c r="H286" s="236"/>
      <c r="I286" s="236"/>
      <c r="J286" s="236"/>
      <c r="K286" s="236"/>
      <c r="L286" s="236"/>
      <c r="M286" s="236"/>
      <c r="N286" s="236"/>
      <c r="O286" s="236"/>
      <c r="P286" s="236"/>
      <c r="Q286" s="236"/>
      <c r="R286" s="236"/>
      <c r="S286" s="236"/>
      <c r="T286" s="236"/>
      <c r="U286" s="236"/>
      <c r="V286" s="236"/>
      <c r="W286" s="237"/>
      <c r="X286" s="237"/>
      <c r="Y286" s="237"/>
      <c r="Z286" s="237"/>
      <c r="AA286" s="237"/>
      <c r="AB286" s="237"/>
      <c r="AC286" s="237"/>
      <c r="AD286" s="237"/>
      <c r="AE286" s="237"/>
      <c r="AF286" s="237"/>
      <c r="AG286" s="237"/>
      <c r="AH286" s="237"/>
      <c r="AI286" s="308"/>
      <c r="AJ286" s="308"/>
      <c r="AK286" s="308"/>
      <c r="AL286" s="308"/>
      <c r="AM286" s="98"/>
      <c r="AN286" s="98"/>
      <c r="AO286" s="98"/>
    </row>
    <row r="287" ht="14.25" customHeight="1">
      <c r="A287" s="179"/>
      <c r="B287" s="98"/>
      <c r="C287" s="98"/>
      <c r="D287" s="98"/>
      <c r="E287" s="98"/>
      <c r="F287" s="235"/>
      <c r="G287" s="235"/>
      <c r="H287" s="236"/>
      <c r="I287" s="236"/>
      <c r="J287" s="236"/>
      <c r="K287" s="236"/>
      <c r="L287" s="236"/>
      <c r="M287" s="236"/>
      <c r="N287" s="236"/>
      <c r="O287" s="236"/>
      <c r="P287" s="236"/>
      <c r="Q287" s="236"/>
      <c r="R287" s="236"/>
      <c r="S287" s="236"/>
      <c r="T287" s="236"/>
      <c r="U287" s="236"/>
      <c r="V287" s="236"/>
      <c r="W287" s="237"/>
      <c r="X287" s="237"/>
      <c r="Y287" s="237"/>
      <c r="Z287" s="237"/>
      <c r="AA287" s="237"/>
      <c r="AB287" s="237"/>
      <c r="AC287" s="237"/>
      <c r="AD287" s="237"/>
      <c r="AE287" s="237"/>
      <c r="AF287" s="237"/>
      <c r="AG287" s="237"/>
      <c r="AH287" s="237"/>
      <c r="AI287" s="308"/>
      <c r="AJ287" s="308"/>
      <c r="AK287" s="308"/>
      <c r="AL287" s="308"/>
      <c r="AM287" s="98"/>
      <c r="AN287" s="98"/>
      <c r="AO287" s="98"/>
    </row>
    <row r="288" ht="14.25" customHeight="1">
      <c r="A288" s="179"/>
      <c r="B288" s="98"/>
      <c r="C288" s="98"/>
      <c r="D288" s="98"/>
      <c r="E288" s="98"/>
      <c r="F288" s="235"/>
      <c r="G288" s="235"/>
      <c r="H288" s="236"/>
      <c r="I288" s="236"/>
      <c r="J288" s="236"/>
      <c r="K288" s="236"/>
      <c r="L288" s="236"/>
      <c r="M288" s="236"/>
      <c r="N288" s="236"/>
      <c r="O288" s="236"/>
      <c r="P288" s="236"/>
      <c r="Q288" s="236"/>
      <c r="R288" s="236"/>
      <c r="S288" s="236"/>
      <c r="T288" s="236"/>
      <c r="U288" s="236"/>
      <c r="V288" s="236"/>
      <c r="W288" s="237"/>
      <c r="X288" s="237"/>
      <c r="Y288" s="237"/>
      <c r="Z288" s="237"/>
      <c r="AA288" s="237"/>
      <c r="AB288" s="237"/>
      <c r="AC288" s="237"/>
      <c r="AD288" s="237"/>
      <c r="AE288" s="237"/>
      <c r="AF288" s="237"/>
      <c r="AG288" s="237"/>
      <c r="AH288" s="237"/>
      <c r="AI288" s="308"/>
      <c r="AJ288" s="308"/>
      <c r="AK288" s="308"/>
      <c r="AL288" s="308"/>
      <c r="AM288" s="98"/>
      <c r="AN288" s="98"/>
      <c r="AO288" s="98"/>
    </row>
    <row r="289" ht="14.25" customHeight="1">
      <c r="A289" s="179"/>
      <c r="B289" s="98"/>
      <c r="C289" s="98"/>
      <c r="D289" s="98"/>
      <c r="E289" s="98"/>
      <c r="F289" s="235"/>
      <c r="G289" s="235"/>
      <c r="H289" s="236"/>
      <c r="I289" s="236"/>
      <c r="J289" s="236"/>
      <c r="K289" s="236"/>
      <c r="L289" s="236"/>
      <c r="M289" s="236"/>
      <c r="N289" s="236"/>
      <c r="O289" s="236"/>
      <c r="P289" s="236"/>
      <c r="Q289" s="236"/>
      <c r="R289" s="236"/>
      <c r="S289" s="236"/>
      <c r="T289" s="236"/>
      <c r="U289" s="236"/>
      <c r="V289" s="236"/>
      <c r="W289" s="237"/>
      <c r="X289" s="237"/>
      <c r="Y289" s="237"/>
      <c r="Z289" s="237"/>
      <c r="AA289" s="237"/>
      <c r="AB289" s="237"/>
      <c r="AC289" s="237"/>
      <c r="AD289" s="237"/>
      <c r="AE289" s="237"/>
      <c r="AF289" s="237"/>
      <c r="AG289" s="237"/>
      <c r="AH289" s="237"/>
      <c r="AI289" s="308"/>
      <c r="AJ289" s="308"/>
      <c r="AK289" s="308"/>
      <c r="AL289" s="308"/>
      <c r="AM289" s="98"/>
      <c r="AN289" s="98"/>
      <c r="AO289" s="98"/>
    </row>
    <row r="290" ht="14.25" customHeight="1">
      <c r="A290" s="179"/>
      <c r="B290" s="98"/>
      <c r="C290" s="98"/>
      <c r="D290" s="98"/>
      <c r="E290" s="98"/>
      <c r="F290" s="235"/>
      <c r="G290" s="235"/>
      <c r="H290" s="236"/>
      <c r="I290" s="236"/>
      <c r="J290" s="236"/>
      <c r="K290" s="236"/>
      <c r="L290" s="236"/>
      <c r="M290" s="236"/>
      <c r="N290" s="236"/>
      <c r="O290" s="236"/>
      <c r="P290" s="236"/>
      <c r="Q290" s="236"/>
      <c r="R290" s="236"/>
      <c r="S290" s="236"/>
      <c r="T290" s="236"/>
      <c r="U290" s="236"/>
      <c r="V290" s="236"/>
      <c r="W290" s="237"/>
      <c r="X290" s="237"/>
      <c r="Y290" s="237"/>
      <c r="Z290" s="237"/>
      <c r="AA290" s="237"/>
      <c r="AB290" s="237"/>
      <c r="AC290" s="237"/>
      <c r="AD290" s="237"/>
      <c r="AE290" s="237"/>
      <c r="AF290" s="237"/>
      <c r="AG290" s="237"/>
      <c r="AH290" s="237"/>
      <c r="AI290" s="308"/>
      <c r="AJ290" s="308"/>
      <c r="AK290" s="308"/>
      <c r="AL290" s="308"/>
      <c r="AM290" s="98"/>
      <c r="AN290" s="98"/>
      <c r="AO290" s="98"/>
    </row>
    <row r="291" ht="14.25" customHeight="1">
      <c r="A291" s="179"/>
      <c r="B291" s="98"/>
      <c r="C291" s="98"/>
      <c r="D291" s="98"/>
      <c r="E291" s="98"/>
      <c r="F291" s="235"/>
      <c r="G291" s="235"/>
      <c r="H291" s="236"/>
      <c r="I291" s="236"/>
      <c r="J291" s="236"/>
      <c r="K291" s="236"/>
      <c r="L291" s="236"/>
      <c r="M291" s="236"/>
      <c r="N291" s="236"/>
      <c r="O291" s="236"/>
      <c r="P291" s="236"/>
      <c r="Q291" s="236"/>
      <c r="R291" s="236"/>
      <c r="S291" s="236"/>
      <c r="T291" s="236"/>
      <c r="U291" s="236"/>
      <c r="V291" s="236"/>
      <c r="W291" s="237"/>
      <c r="X291" s="237"/>
      <c r="Y291" s="237"/>
      <c r="Z291" s="237"/>
      <c r="AA291" s="237"/>
      <c r="AB291" s="237"/>
      <c r="AC291" s="237"/>
      <c r="AD291" s="237"/>
      <c r="AE291" s="237"/>
      <c r="AF291" s="237"/>
      <c r="AG291" s="237"/>
      <c r="AH291" s="237"/>
      <c r="AI291" s="308"/>
      <c r="AJ291" s="308"/>
      <c r="AK291" s="308"/>
      <c r="AL291" s="308"/>
      <c r="AM291" s="98"/>
      <c r="AN291" s="98"/>
      <c r="AO291" s="98"/>
    </row>
    <row r="292" ht="14.25" customHeight="1">
      <c r="A292" s="179"/>
      <c r="B292" s="98"/>
      <c r="C292" s="98"/>
      <c r="D292" s="98"/>
      <c r="E292" s="98"/>
      <c r="F292" s="235"/>
      <c r="G292" s="235"/>
      <c r="H292" s="236"/>
      <c r="I292" s="236"/>
      <c r="J292" s="236"/>
      <c r="K292" s="236"/>
      <c r="L292" s="236"/>
      <c r="M292" s="236"/>
      <c r="N292" s="236"/>
      <c r="O292" s="236"/>
      <c r="P292" s="236"/>
      <c r="Q292" s="236"/>
      <c r="R292" s="236"/>
      <c r="S292" s="236"/>
      <c r="T292" s="236"/>
      <c r="U292" s="236"/>
      <c r="V292" s="236"/>
      <c r="W292" s="237"/>
      <c r="X292" s="237"/>
      <c r="Y292" s="237"/>
      <c r="Z292" s="237"/>
      <c r="AA292" s="237"/>
      <c r="AB292" s="237"/>
      <c r="AC292" s="237"/>
      <c r="AD292" s="237"/>
      <c r="AE292" s="237"/>
      <c r="AF292" s="237"/>
      <c r="AG292" s="237"/>
      <c r="AH292" s="237"/>
      <c r="AI292" s="308"/>
      <c r="AJ292" s="308"/>
      <c r="AK292" s="308"/>
      <c r="AL292" s="308"/>
      <c r="AM292" s="98"/>
      <c r="AN292" s="98"/>
      <c r="AO292" s="98"/>
    </row>
    <row r="293" ht="14.25" customHeight="1">
      <c r="A293" s="179"/>
      <c r="B293" s="98"/>
      <c r="C293" s="98"/>
      <c r="D293" s="98"/>
      <c r="E293" s="98"/>
      <c r="F293" s="235"/>
      <c r="G293" s="235"/>
      <c r="H293" s="236"/>
      <c r="I293" s="236"/>
      <c r="J293" s="236"/>
      <c r="K293" s="236"/>
      <c r="L293" s="236"/>
      <c r="M293" s="236"/>
      <c r="N293" s="236"/>
      <c r="O293" s="236"/>
      <c r="P293" s="236"/>
      <c r="Q293" s="236"/>
      <c r="R293" s="236"/>
      <c r="S293" s="236"/>
      <c r="T293" s="236"/>
      <c r="U293" s="236"/>
      <c r="V293" s="236"/>
      <c r="W293" s="237"/>
      <c r="X293" s="237"/>
      <c r="Y293" s="237"/>
      <c r="Z293" s="237"/>
      <c r="AA293" s="237"/>
      <c r="AB293" s="237"/>
      <c r="AC293" s="237"/>
      <c r="AD293" s="237"/>
      <c r="AE293" s="237"/>
      <c r="AF293" s="237"/>
      <c r="AG293" s="237"/>
      <c r="AH293" s="237"/>
      <c r="AI293" s="308"/>
      <c r="AJ293" s="308"/>
      <c r="AK293" s="308"/>
      <c r="AL293" s="308"/>
      <c r="AM293" s="98"/>
      <c r="AN293" s="98"/>
      <c r="AO293" s="98"/>
    </row>
    <row r="294" ht="14.25" customHeight="1">
      <c r="A294" s="179"/>
      <c r="B294" s="98"/>
      <c r="C294" s="98"/>
      <c r="D294" s="98"/>
      <c r="E294" s="98"/>
      <c r="F294" s="235"/>
      <c r="G294" s="235"/>
      <c r="H294" s="236"/>
      <c r="I294" s="236"/>
      <c r="J294" s="236"/>
      <c r="K294" s="236"/>
      <c r="L294" s="236"/>
      <c r="M294" s="236"/>
      <c r="N294" s="236"/>
      <c r="O294" s="236"/>
      <c r="P294" s="236"/>
      <c r="Q294" s="236"/>
      <c r="R294" s="236"/>
      <c r="S294" s="236"/>
      <c r="T294" s="236"/>
      <c r="U294" s="236"/>
      <c r="V294" s="236"/>
      <c r="W294" s="237"/>
      <c r="X294" s="237"/>
      <c r="Y294" s="237"/>
      <c r="Z294" s="237"/>
      <c r="AA294" s="237"/>
      <c r="AB294" s="237"/>
      <c r="AC294" s="237"/>
      <c r="AD294" s="237"/>
      <c r="AE294" s="237"/>
      <c r="AF294" s="237"/>
      <c r="AG294" s="237"/>
      <c r="AH294" s="237"/>
      <c r="AI294" s="308"/>
      <c r="AJ294" s="308"/>
      <c r="AK294" s="308"/>
      <c r="AL294" s="308"/>
      <c r="AM294" s="98"/>
      <c r="AN294" s="98"/>
      <c r="AO294" s="98"/>
    </row>
    <row r="295" ht="14.25" customHeight="1">
      <c r="A295" s="179"/>
      <c r="B295" s="98"/>
      <c r="C295" s="98"/>
      <c r="D295" s="98"/>
      <c r="E295" s="98"/>
      <c r="F295" s="235"/>
      <c r="G295" s="235"/>
      <c r="H295" s="236"/>
      <c r="I295" s="236"/>
      <c r="J295" s="236"/>
      <c r="K295" s="236"/>
      <c r="L295" s="236"/>
      <c r="M295" s="236"/>
      <c r="N295" s="236"/>
      <c r="O295" s="236"/>
      <c r="P295" s="236"/>
      <c r="Q295" s="236"/>
      <c r="R295" s="236"/>
      <c r="S295" s="236"/>
      <c r="T295" s="236"/>
      <c r="U295" s="236"/>
      <c r="V295" s="236"/>
      <c r="W295" s="237"/>
      <c r="X295" s="237"/>
      <c r="Y295" s="237"/>
      <c r="Z295" s="237"/>
      <c r="AA295" s="237"/>
      <c r="AB295" s="237"/>
      <c r="AC295" s="237"/>
      <c r="AD295" s="237"/>
      <c r="AE295" s="237"/>
      <c r="AF295" s="237"/>
      <c r="AG295" s="237"/>
      <c r="AH295" s="237"/>
      <c r="AI295" s="308"/>
      <c r="AJ295" s="308"/>
      <c r="AK295" s="308"/>
      <c r="AL295" s="308"/>
      <c r="AM295" s="98"/>
      <c r="AN295" s="98"/>
      <c r="AO295" s="98"/>
    </row>
    <row r="296" ht="14.25" customHeight="1">
      <c r="A296" s="179"/>
      <c r="B296" s="98"/>
      <c r="C296" s="98"/>
      <c r="D296" s="98"/>
      <c r="E296" s="98"/>
      <c r="F296" s="235"/>
      <c r="G296" s="235"/>
      <c r="H296" s="236"/>
      <c r="I296" s="236"/>
      <c r="J296" s="236"/>
      <c r="K296" s="236"/>
      <c r="L296" s="236"/>
      <c r="M296" s="236"/>
      <c r="N296" s="236"/>
      <c r="O296" s="236"/>
      <c r="P296" s="236"/>
      <c r="Q296" s="236"/>
      <c r="R296" s="236"/>
      <c r="S296" s="236"/>
      <c r="T296" s="236"/>
      <c r="U296" s="236"/>
      <c r="V296" s="236"/>
      <c r="W296" s="237"/>
      <c r="X296" s="237"/>
      <c r="Y296" s="237"/>
      <c r="Z296" s="237"/>
      <c r="AA296" s="237"/>
      <c r="AB296" s="237"/>
      <c r="AC296" s="237"/>
      <c r="AD296" s="237"/>
      <c r="AE296" s="237"/>
      <c r="AF296" s="237"/>
      <c r="AG296" s="237"/>
      <c r="AH296" s="237"/>
      <c r="AI296" s="308"/>
      <c r="AJ296" s="308"/>
      <c r="AK296" s="308"/>
      <c r="AL296" s="308"/>
      <c r="AM296" s="98"/>
      <c r="AN296" s="98"/>
      <c r="AO296" s="98"/>
    </row>
    <row r="297" ht="14.25" customHeight="1">
      <c r="A297" s="179"/>
      <c r="B297" s="98"/>
      <c r="C297" s="98"/>
      <c r="D297" s="98"/>
      <c r="E297" s="98"/>
      <c r="F297" s="235"/>
      <c r="G297" s="235"/>
      <c r="H297" s="236"/>
      <c r="I297" s="236"/>
      <c r="J297" s="236"/>
      <c r="K297" s="236"/>
      <c r="L297" s="236"/>
      <c r="M297" s="236"/>
      <c r="N297" s="236"/>
      <c r="O297" s="236"/>
      <c r="P297" s="236"/>
      <c r="Q297" s="236"/>
      <c r="R297" s="236"/>
      <c r="S297" s="236"/>
      <c r="T297" s="236"/>
      <c r="U297" s="236"/>
      <c r="V297" s="236"/>
      <c r="W297" s="237"/>
      <c r="X297" s="237"/>
      <c r="Y297" s="237"/>
      <c r="Z297" s="237"/>
      <c r="AA297" s="237"/>
      <c r="AB297" s="237"/>
      <c r="AC297" s="237"/>
      <c r="AD297" s="237"/>
      <c r="AE297" s="237"/>
      <c r="AF297" s="237"/>
      <c r="AG297" s="237"/>
      <c r="AH297" s="237"/>
      <c r="AI297" s="308"/>
      <c r="AJ297" s="308"/>
      <c r="AK297" s="308"/>
      <c r="AL297" s="308"/>
      <c r="AM297" s="98"/>
      <c r="AN297" s="98"/>
      <c r="AO297" s="98"/>
    </row>
    <row r="298" ht="14.25" customHeight="1">
      <c r="A298" s="179"/>
      <c r="B298" s="98"/>
      <c r="C298" s="98"/>
      <c r="D298" s="98"/>
      <c r="E298" s="98"/>
      <c r="F298" s="235"/>
      <c r="G298" s="235"/>
      <c r="H298" s="236"/>
      <c r="I298" s="236"/>
      <c r="J298" s="236"/>
      <c r="K298" s="236"/>
      <c r="L298" s="236"/>
      <c r="M298" s="236"/>
      <c r="N298" s="236"/>
      <c r="O298" s="236"/>
      <c r="P298" s="236"/>
      <c r="Q298" s="236"/>
      <c r="R298" s="236"/>
      <c r="S298" s="236"/>
      <c r="T298" s="236"/>
      <c r="U298" s="236"/>
      <c r="V298" s="236"/>
      <c r="W298" s="237"/>
      <c r="X298" s="237"/>
      <c r="Y298" s="237"/>
      <c r="Z298" s="237"/>
      <c r="AA298" s="237"/>
      <c r="AB298" s="237"/>
      <c r="AC298" s="237"/>
      <c r="AD298" s="237"/>
      <c r="AE298" s="237"/>
      <c r="AF298" s="237"/>
      <c r="AG298" s="237"/>
      <c r="AH298" s="237"/>
      <c r="AI298" s="308"/>
      <c r="AJ298" s="308"/>
      <c r="AK298" s="308"/>
      <c r="AL298" s="308"/>
      <c r="AM298" s="98"/>
      <c r="AN298" s="98"/>
      <c r="AO298" s="98"/>
    </row>
    <row r="299" ht="14.25" customHeight="1">
      <c r="A299" s="179"/>
      <c r="B299" s="98"/>
      <c r="C299" s="98"/>
      <c r="D299" s="98"/>
      <c r="E299" s="98"/>
      <c r="F299" s="235"/>
      <c r="G299" s="235"/>
      <c r="H299" s="236"/>
      <c r="I299" s="236"/>
      <c r="J299" s="236"/>
      <c r="K299" s="236"/>
      <c r="L299" s="236"/>
      <c r="M299" s="236"/>
      <c r="N299" s="236"/>
      <c r="O299" s="236"/>
      <c r="P299" s="236"/>
      <c r="Q299" s="236"/>
      <c r="R299" s="236"/>
      <c r="S299" s="236"/>
      <c r="T299" s="236"/>
      <c r="U299" s="236"/>
      <c r="V299" s="236"/>
      <c r="W299" s="237"/>
      <c r="X299" s="237"/>
      <c r="Y299" s="237"/>
      <c r="Z299" s="237"/>
      <c r="AA299" s="237"/>
      <c r="AB299" s="237"/>
      <c r="AC299" s="237"/>
      <c r="AD299" s="237"/>
      <c r="AE299" s="237"/>
      <c r="AF299" s="237"/>
      <c r="AG299" s="237"/>
      <c r="AH299" s="237"/>
      <c r="AI299" s="308"/>
      <c r="AJ299" s="308"/>
      <c r="AK299" s="308"/>
      <c r="AL299" s="308"/>
      <c r="AM299" s="98"/>
      <c r="AN299" s="98"/>
      <c r="AO299" s="98"/>
    </row>
    <row r="300" ht="14.25" customHeight="1">
      <c r="A300" s="179"/>
      <c r="B300" s="98"/>
      <c r="C300" s="98"/>
      <c r="D300" s="98"/>
      <c r="E300" s="98"/>
      <c r="F300" s="235"/>
      <c r="G300" s="235"/>
      <c r="H300" s="236"/>
      <c r="I300" s="236"/>
      <c r="J300" s="236"/>
      <c r="K300" s="236"/>
      <c r="L300" s="236"/>
      <c r="M300" s="236"/>
      <c r="N300" s="236"/>
      <c r="O300" s="236"/>
      <c r="P300" s="236"/>
      <c r="Q300" s="236"/>
      <c r="R300" s="236"/>
      <c r="S300" s="236"/>
      <c r="T300" s="236"/>
      <c r="U300" s="236"/>
      <c r="V300" s="236"/>
      <c r="W300" s="237"/>
      <c r="X300" s="237"/>
      <c r="Y300" s="237"/>
      <c r="Z300" s="237"/>
      <c r="AA300" s="237"/>
      <c r="AB300" s="237"/>
      <c r="AC300" s="237"/>
      <c r="AD300" s="237"/>
      <c r="AE300" s="237"/>
      <c r="AF300" s="237"/>
      <c r="AG300" s="237"/>
      <c r="AH300" s="237"/>
      <c r="AI300" s="308"/>
      <c r="AJ300" s="308"/>
      <c r="AK300" s="308"/>
      <c r="AL300" s="308"/>
      <c r="AM300" s="98"/>
      <c r="AN300" s="98"/>
      <c r="AO300" s="98"/>
    </row>
    <row r="301" ht="14.25" customHeight="1">
      <c r="A301" s="179"/>
      <c r="B301" s="98"/>
      <c r="C301" s="98"/>
      <c r="D301" s="98"/>
      <c r="E301" s="98"/>
      <c r="F301" s="235"/>
      <c r="G301" s="235"/>
      <c r="H301" s="236"/>
      <c r="I301" s="236"/>
      <c r="J301" s="236"/>
      <c r="K301" s="236"/>
      <c r="L301" s="236"/>
      <c r="M301" s="236"/>
      <c r="N301" s="236"/>
      <c r="O301" s="236"/>
      <c r="P301" s="236"/>
      <c r="Q301" s="236"/>
      <c r="R301" s="236"/>
      <c r="S301" s="236"/>
      <c r="T301" s="236"/>
      <c r="U301" s="236"/>
      <c r="V301" s="236"/>
      <c r="W301" s="237"/>
      <c r="X301" s="237"/>
      <c r="Y301" s="237"/>
      <c r="Z301" s="237"/>
      <c r="AA301" s="237"/>
      <c r="AB301" s="237"/>
      <c r="AC301" s="237"/>
      <c r="AD301" s="237"/>
      <c r="AE301" s="237"/>
      <c r="AF301" s="237"/>
      <c r="AG301" s="237"/>
      <c r="AH301" s="237"/>
      <c r="AI301" s="308"/>
      <c r="AJ301" s="308"/>
      <c r="AK301" s="308"/>
      <c r="AL301" s="308"/>
      <c r="AM301" s="98"/>
      <c r="AN301" s="98"/>
      <c r="AO301" s="98"/>
    </row>
    <row r="302" ht="14.25" customHeight="1">
      <c r="A302" s="179"/>
      <c r="B302" s="98"/>
      <c r="C302" s="98"/>
      <c r="D302" s="98"/>
      <c r="E302" s="98"/>
      <c r="F302" s="235"/>
      <c r="G302" s="235"/>
      <c r="H302" s="236"/>
      <c r="I302" s="236"/>
      <c r="J302" s="236"/>
      <c r="K302" s="236"/>
      <c r="L302" s="236"/>
      <c r="M302" s="236"/>
      <c r="N302" s="236"/>
      <c r="O302" s="236"/>
      <c r="P302" s="236"/>
      <c r="Q302" s="236"/>
      <c r="R302" s="236"/>
      <c r="S302" s="236"/>
      <c r="T302" s="236"/>
      <c r="U302" s="236"/>
      <c r="V302" s="236"/>
      <c r="W302" s="237"/>
      <c r="X302" s="237"/>
      <c r="Y302" s="237"/>
      <c r="Z302" s="237"/>
      <c r="AA302" s="237"/>
      <c r="AB302" s="237"/>
      <c r="AC302" s="237"/>
      <c r="AD302" s="237"/>
      <c r="AE302" s="237"/>
      <c r="AF302" s="237"/>
      <c r="AG302" s="237"/>
      <c r="AH302" s="237"/>
      <c r="AI302" s="308"/>
      <c r="AJ302" s="308"/>
      <c r="AK302" s="308"/>
      <c r="AL302" s="308"/>
      <c r="AM302" s="98"/>
      <c r="AN302" s="98"/>
      <c r="AO302" s="98"/>
    </row>
    <row r="303" ht="14.25" customHeight="1">
      <c r="A303" s="179"/>
      <c r="B303" s="98"/>
      <c r="C303" s="98"/>
      <c r="D303" s="98"/>
      <c r="E303" s="98"/>
      <c r="F303" s="235"/>
      <c r="G303" s="235"/>
      <c r="H303" s="236"/>
      <c r="I303" s="236"/>
      <c r="J303" s="236"/>
      <c r="K303" s="236"/>
      <c r="L303" s="236"/>
      <c r="M303" s="236"/>
      <c r="N303" s="236"/>
      <c r="O303" s="236"/>
      <c r="P303" s="236"/>
      <c r="Q303" s="236"/>
      <c r="R303" s="236"/>
      <c r="S303" s="236"/>
      <c r="T303" s="236"/>
      <c r="U303" s="236"/>
      <c r="V303" s="236"/>
      <c r="W303" s="237"/>
      <c r="X303" s="237"/>
      <c r="Y303" s="237"/>
      <c r="Z303" s="237"/>
      <c r="AA303" s="237"/>
      <c r="AB303" s="237"/>
      <c r="AC303" s="237"/>
      <c r="AD303" s="237"/>
      <c r="AE303" s="237"/>
      <c r="AF303" s="237"/>
      <c r="AG303" s="237"/>
      <c r="AH303" s="237"/>
      <c r="AI303" s="308"/>
      <c r="AJ303" s="308"/>
      <c r="AK303" s="308"/>
      <c r="AL303" s="308"/>
      <c r="AM303" s="98"/>
      <c r="AN303" s="98"/>
      <c r="AO303" s="98"/>
    </row>
    <row r="304" ht="14.25" customHeight="1">
      <c r="A304" s="179"/>
      <c r="B304" s="98"/>
      <c r="C304" s="98"/>
      <c r="D304" s="98"/>
      <c r="E304" s="98"/>
      <c r="F304" s="235"/>
      <c r="G304" s="235"/>
      <c r="H304" s="236"/>
      <c r="I304" s="236"/>
      <c r="J304" s="236"/>
      <c r="K304" s="236"/>
      <c r="L304" s="236"/>
      <c r="M304" s="236"/>
      <c r="N304" s="236"/>
      <c r="O304" s="236"/>
      <c r="P304" s="236"/>
      <c r="Q304" s="236"/>
      <c r="R304" s="236"/>
      <c r="S304" s="236"/>
      <c r="T304" s="236"/>
      <c r="U304" s="236"/>
      <c r="V304" s="236"/>
      <c r="W304" s="237"/>
      <c r="X304" s="237"/>
      <c r="Y304" s="237"/>
      <c r="Z304" s="237"/>
      <c r="AA304" s="237"/>
      <c r="AB304" s="237"/>
      <c r="AC304" s="237"/>
      <c r="AD304" s="237"/>
      <c r="AE304" s="237"/>
      <c r="AF304" s="237"/>
      <c r="AG304" s="237"/>
      <c r="AH304" s="237"/>
      <c r="AI304" s="308"/>
      <c r="AJ304" s="308"/>
      <c r="AK304" s="308"/>
      <c r="AL304" s="308"/>
      <c r="AM304" s="98"/>
      <c r="AN304" s="98"/>
      <c r="AO304" s="98"/>
    </row>
    <row r="305" ht="14.25" customHeight="1">
      <c r="A305" s="179"/>
      <c r="B305" s="98"/>
      <c r="C305" s="98"/>
      <c r="D305" s="98"/>
      <c r="E305" s="98"/>
      <c r="F305" s="235"/>
      <c r="G305" s="235"/>
      <c r="H305" s="236"/>
      <c r="I305" s="236"/>
      <c r="J305" s="236"/>
      <c r="K305" s="236"/>
      <c r="L305" s="236"/>
      <c r="M305" s="236"/>
      <c r="N305" s="236"/>
      <c r="O305" s="236"/>
      <c r="P305" s="236"/>
      <c r="Q305" s="236"/>
      <c r="R305" s="236"/>
      <c r="S305" s="236"/>
      <c r="T305" s="236"/>
      <c r="U305" s="236"/>
      <c r="V305" s="236"/>
      <c r="W305" s="237"/>
      <c r="X305" s="237"/>
      <c r="Y305" s="237"/>
      <c r="Z305" s="237"/>
      <c r="AA305" s="237"/>
      <c r="AB305" s="237"/>
      <c r="AC305" s="237"/>
      <c r="AD305" s="237"/>
      <c r="AE305" s="237"/>
      <c r="AF305" s="237"/>
      <c r="AG305" s="237"/>
      <c r="AH305" s="237"/>
      <c r="AI305" s="308"/>
      <c r="AJ305" s="308"/>
      <c r="AK305" s="308"/>
      <c r="AL305" s="308"/>
      <c r="AM305" s="98"/>
      <c r="AN305" s="98"/>
      <c r="AO305" s="98"/>
    </row>
    <row r="306" ht="14.25" customHeight="1">
      <c r="A306" s="179"/>
      <c r="B306" s="98"/>
      <c r="C306" s="98"/>
      <c r="D306" s="98"/>
      <c r="E306" s="98"/>
      <c r="F306" s="235"/>
      <c r="G306" s="235"/>
      <c r="H306" s="236"/>
      <c r="I306" s="236"/>
      <c r="J306" s="236"/>
      <c r="K306" s="236"/>
      <c r="L306" s="236"/>
      <c r="M306" s="236"/>
      <c r="N306" s="236"/>
      <c r="O306" s="236"/>
      <c r="P306" s="236"/>
      <c r="Q306" s="236"/>
      <c r="R306" s="236"/>
      <c r="S306" s="236"/>
      <c r="T306" s="236"/>
      <c r="U306" s="236"/>
      <c r="V306" s="236"/>
      <c r="W306" s="237"/>
      <c r="X306" s="237"/>
      <c r="Y306" s="237"/>
      <c r="Z306" s="237"/>
      <c r="AA306" s="237"/>
      <c r="AB306" s="237"/>
      <c r="AC306" s="237"/>
      <c r="AD306" s="237"/>
      <c r="AE306" s="237"/>
      <c r="AF306" s="237"/>
      <c r="AG306" s="237"/>
      <c r="AH306" s="237"/>
      <c r="AI306" s="308"/>
      <c r="AJ306" s="308"/>
      <c r="AK306" s="308"/>
      <c r="AL306" s="308"/>
      <c r="AM306" s="98"/>
      <c r="AN306" s="98"/>
      <c r="AO306" s="98"/>
    </row>
    <row r="307" ht="14.25" customHeight="1">
      <c r="A307" s="179"/>
      <c r="B307" s="98"/>
      <c r="C307" s="98"/>
      <c r="D307" s="98"/>
      <c r="E307" s="98"/>
      <c r="F307" s="235"/>
      <c r="G307" s="235"/>
      <c r="H307" s="236"/>
      <c r="I307" s="236"/>
      <c r="J307" s="236"/>
      <c r="K307" s="236"/>
      <c r="L307" s="236"/>
      <c r="M307" s="236"/>
      <c r="N307" s="236"/>
      <c r="O307" s="236"/>
      <c r="P307" s="236"/>
      <c r="Q307" s="236"/>
      <c r="R307" s="236"/>
      <c r="S307" s="236"/>
      <c r="T307" s="236"/>
      <c r="U307" s="236"/>
      <c r="V307" s="236"/>
      <c r="W307" s="237"/>
      <c r="X307" s="237"/>
      <c r="Y307" s="237"/>
      <c r="Z307" s="237"/>
      <c r="AA307" s="237"/>
      <c r="AB307" s="237"/>
      <c r="AC307" s="237"/>
      <c r="AD307" s="237"/>
      <c r="AE307" s="237"/>
      <c r="AF307" s="237"/>
      <c r="AG307" s="237"/>
      <c r="AH307" s="237"/>
      <c r="AI307" s="308"/>
      <c r="AJ307" s="308"/>
      <c r="AK307" s="308"/>
      <c r="AL307" s="308"/>
      <c r="AM307" s="98"/>
      <c r="AN307" s="98"/>
      <c r="AO307" s="98"/>
    </row>
    <row r="308" ht="14.25" customHeight="1">
      <c r="A308" s="179"/>
      <c r="B308" s="98"/>
      <c r="C308" s="98"/>
      <c r="D308" s="98"/>
      <c r="E308" s="98"/>
      <c r="F308" s="235"/>
      <c r="G308" s="235"/>
      <c r="H308" s="236"/>
      <c r="I308" s="236"/>
      <c r="J308" s="236"/>
      <c r="K308" s="236"/>
      <c r="L308" s="236"/>
      <c r="M308" s="236"/>
      <c r="N308" s="236"/>
      <c r="O308" s="236"/>
      <c r="P308" s="236"/>
      <c r="Q308" s="236"/>
      <c r="R308" s="236"/>
      <c r="S308" s="236"/>
      <c r="T308" s="236"/>
      <c r="U308" s="236"/>
      <c r="V308" s="236"/>
      <c r="W308" s="237"/>
      <c r="X308" s="237"/>
      <c r="Y308" s="237"/>
      <c r="Z308" s="237"/>
      <c r="AA308" s="237"/>
      <c r="AB308" s="237"/>
      <c r="AC308" s="237"/>
      <c r="AD308" s="237"/>
      <c r="AE308" s="237"/>
      <c r="AF308" s="237"/>
      <c r="AG308" s="237"/>
      <c r="AH308" s="237"/>
      <c r="AI308" s="308"/>
      <c r="AJ308" s="308"/>
      <c r="AK308" s="308"/>
      <c r="AL308" s="308"/>
      <c r="AM308" s="98"/>
      <c r="AN308" s="98"/>
      <c r="AO308" s="98"/>
    </row>
    <row r="309" ht="14.25" customHeight="1">
      <c r="A309" s="179"/>
      <c r="B309" s="98"/>
      <c r="C309" s="98"/>
      <c r="D309" s="98"/>
      <c r="E309" s="98"/>
      <c r="F309" s="235"/>
      <c r="G309" s="235"/>
      <c r="H309" s="236"/>
      <c r="I309" s="236"/>
      <c r="J309" s="236"/>
      <c r="K309" s="236"/>
      <c r="L309" s="236"/>
      <c r="M309" s="236"/>
      <c r="N309" s="236"/>
      <c r="O309" s="236"/>
      <c r="P309" s="236"/>
      <c r="Q309" s="236"/>
      <c r="R309" s="236"/>
      <c r="S309" s="236"/>
      <c r="T309" s="236"/>
      <c r="U309" s="236"/>
      <c r="V309" s="236"/>
      <c r="W309" s="237"/>
      <c r="X309" s="237"/>
      <c r="Y309" s="237"/>
      <c r="Z309" s="237"/>
      <c r="AA309" s="237"/>
      <c r="AB309" s="237"/>
      <c r="AC309" s="237"/>
      <c r="AD309" s="237"/>
      <c r="AE309" s="237"/>
      <c r="AF309" s="237"/>
      <c r="AG309" s="237"/>
      <c r="AH309" s="237"/>
      <c r="AI309" s="308"/>
      <c r="AJ309" s="308"/>
      <c r="AK309" s="308"/>
      <c r="AL309" s="308"/>
      <c r="AM309" s="98"/>
      <c r="AN309" s="98"/>
      <c r="AO309" s="98"/>
    </row>
    <row r="310" ht="14.25" customHeight="1">
      <c r="A310" s="179"/>
      <c r="B310" s="98"/>
      <c r="C310" s="98"/>
      <c r="D310" s="98"/>
      <c r="E310" s="98"/>
      <c r="F310" s="235"/>
      <c r="G310" s="235"/>
      <c r="H310" s="236"/>
      <c r="I310" s="236"/>
      <c r="J310" s="236"/>
      <c r="K310" s="236"/>
      <c r="L310" s="236"/>
      <c r="M310" s="236"/>
      <c r="N310" s="236"/>
      <c r="O310" s="236"/>
      <c r="P310" s="236"/>
      <c r="Q310" s="236"/>
      <c r="R310" s="236"/>
      <c r="S310" s="236"/>
      <c r="T310" s="236"/>
      <c r="U310" s="236"/>
      <c r="V310" s="236"/>
      <c r="W310" s="237"/>
      <c r="X310" s="237"/>
      <c r="Y310" s="237"/>
      <c r="Z310" s="237"/>
      <c r="AA310" s="237"/>
      <c r="AB310" s="237"/>
      <c r="AC310" s="237"/>
      <c r="AD310" s="237"/>
      <c r="AE310" s="237"/>
      <c r="AF310" s="237"/>
      <c r="AG310" s="237"/>
      <c r="AH310" s="237"/>
      <c r="AI310" s="308"/>
      <c r="AJ310" s="308"/>
      <c r="AK310" s="308"/>
      <c r="AL310" s="308"/>
      <c r="AM310" s="98"/>
      <c r="AN310" s="98"/>
      <c r="AO310" s="98"/>
    </row>
    <row r="311" ht="14.25" customHeight="1">
      <c r="A311" s="179"/>
      <c r="B311" s="98"/>
      <c r="C311" s="98"/>
      <c r="D311" s="98"/>
      <c r="E311" s="98"/>
      <c r="F311" s="235"/>
      <c r="G311" s="235"/>
      <c r="H311" s="236"/>
      <c r="I311" s="236"/>
      <c r="J311" s="236"/>
      <c r="K311" s="236"/>
      <c r="L311" s="236"/>
      <c r="M311" s="236"/>
      <c r="N311" s="236"/>
      <c r="O311" s="236"/>
      <c r="P311" s="236"/>
      <c r="Q311" s="236"/>
      <c r="R311" s="236"/>
      <c r="S311" s="236"/>
      <c r="T311" s="236"/>
      <c r="U311" s="236"/>
      <c r="V311" s="236"/>
      <c r="W311" s="237"/>
      <c r="X311" s="237"/>
      <c r="Y311" s="237"/>
      <c r="Z311" s="237"/>
      <c r="AA311" s="237"/>
      <c r="AB311" s="237"/>
      <c r="AC311" s="237"/>
      <c r="AD311" s="237"/>
      <c r="AE311" s="237"/>
      <c r="AF311" s="237"/>
      <c r="AG311" s="237"/>
      <c r="AH311" s="237"/>
      <c r="AI311" s="308"/>
      <c r="AJ311" s="308"/>
      <c r="AK311" s="308"/>
      <c r="AL311" s="308"/>
      <c r="AM311" s="98"/>
      <c r="AN311" s="98"/>
      <c r="AO311" s="98"/>
    </row>
    <row r="312" ht="14.25" customHeight="1">
      <c r="A312" s="179"/>
      <c r="B312" s="98"/>
      <c r="C312" s="98"/>
      <c r="D312" s="98"/>
      <c r="E312" s="98"/>
      <c r="F312" s="235"/>
      <c r="G312" s="235"/>
      <c r="H312" s="236"/>
      <c r="I312" s="236"/>
      <c r="J312" s="236"/>
      <c r="K312" s="236"/>
      <c r="L312" s="236"/>
      <c r="M312" s="236"/>
      <c r="N312" s="236"/>
      <c r="O312" s="236"/>
      <c r="P312" s="236"/>
      <c r="Q312" s="236"/>
      <c r="R312" s="236"/>
      <c r="S312" s="236"/>
      <c r="T312" s="236"/>
      <c r="U312" s="236"/>
      <c r="V312" s="236"/>
      <c r="W312" s="237"/>
      <c r="X312" s="237"/>
      <c r="Y312" s="237"/>
      <c r="Z312" s="237"/>
      <c r="AA312" s="237"/>
      <c r="AB312" s="237"/>
      <c r="AC312" s="237"/>
      <c r="AD312" s="237"/>
      <c r="AE312" s="237"/>
      <c r="AF312" s="237"/>
      <c r="AG312" s="237"/>
      <c r="AH312" s="237"/>
      <c r="AI312" s="308"/>
      <c r="AJ312" s="308"/>
      <c r="AK312" s="308"/>
      <c r="AL312" s="308"/>
      <c r="AM312" s="98"/>
      <c r="AN312" s="98"/>
      <c r="AO312" s="98"/>
    </row>
    <row r="313" ht="14.25" customHeight="1">
      <c r="A313" s="179"/>
      <c r="B313" s="98"/>
      <c r="C313" s="98"/>
      <c r="D313" s="98"/>
      <c r="E313" s="98"/>
      <c r="F313" s="235"/>
      <c r="G313" s="235"/>
      <c r="H313" s="236"/>
      <c r="I313" s="236"/>
      <c r="J313" s="236"/>
      <c r="K313" s="236"/>
      <c r="L313" s="236"/>
      <c r="M313" s="236"/>
      <c r="N313" s="236"/>
      <c r="O313" s="236"/>
      <c r="P313" s="236"/>
      <c r="Q313" s="236"/>
      <c r="R313" s="236"/>
      <c r="S313" s="236"/>
      <c r="T313" s="236"/>
      <c r="U313" s="236"/>
      <c r="V313" s="236"/>
      <c r="W313" s="237"/>
      <c r="X313" s="237"/>
      <c r="Y313" s="237"/>
      <c r="Z313" s="237"/>
      <c r="AA313" s="237"/>
      <c r="AB313" s="237"/>
      <c r="AC313" s="237"/>
      <c r="AD313" s="237"/>
      <c r="AE313" s="237"/>
      <c r="AF313" s="237"/>
      <c r="AG313" s="237"/>
      <c r="AH313" s="237"/>
      <c r="AI313" s="308"/>
      <c r="AJ313" s="308"/>
      <c r="AK313" s="308"/>
      <c r="AL313" s="308"/>
      <c r="AM313" s="98"/>
      <c r="AN313" s="98"/>
      <c r="AO313" s="98"/>
    </row>
    <row r="314" ht="14.25" customHeight="1">
      <c r="A314" s="179"/>
      <c r="B314" s="98"/>
      <c r="C314" s="98"/>
      <c r="D314" s="98"/>
      <c r="E314" s="98"/>
      <c r="F314" s="235"/>
      <c r="G314" s="235"/>
      <c r="H314" s="236"/>
      <c r="I314" s="236"/>
      <c r="J314" s="236"/>
      <c r="K314" s="236"/>
      <c r="L314" s="236"/>
      <c r="M314" s="236"/>
      <c r="N314" s="236"/>
      <c r="O314" s="236"/>
      <c r="P314" s="236"/>
      <c r="Q314" s="236"/>
      <c r="R314" s="236"/>
      <c r="S314" s="236"/>
      <c r="T314" s="236"/>
      <c r="U314" s="236"/>
      <c r="V314" s="236"/>
      <c r="W314" s="237"/>
      <c r="X314" s="237"/>
      <c r="Y314" s="237"/>
      <c r="Z314" s="237"/>
      <c r="AA314" s="237"/>
      <c r="AB314" s="237"/>
      <c r="AC314" s="237"/>
      <c r="AD314" s="237"/>
      <c r="AE314" s="237"/>
      <c r="AF314" s="237"/>
      <c r="AG314" s="237"/>
      <c r="AH314" s="237"/>
      <c r="AI314" s="308"/>
      <c r="AJ314" s="308"/>
      <c r="AK314" s="308"/>
      <c r="AL314" s="308"/>
      <c r="AM314" s="98"/>
      <c r="AN314" s="98"/>
      <c r="AO314" s="98"/>
    </row>
    <row r="315" ht="14.25" customHeight="1">
      <c r="A315" s="179"/>
      <c r="B315" s="98"/>
      <c r="C315" s="98"/>
      <c r="D315" s="98"/>
      <c r="E315" s="98"/>
      <c r="F315" s="235"/>
      <c r="G315" s="235"/>
      <c r="H315" s="236"/>
      <c r="I315" s="236"/>
      <c r="J315" s="236"/>
      <c r="K315" s="236"/>
      <c r="L315" s="236"/>
      <c r="M315" s="236"/>
      <c r="N315" s="236"/>
      <c r="O315" s="236"/>
      <c r="P315" s="236"/>
      <c r="Q315" s="236"/>
      <c r="R315" s="236"/>
      <c r="S315" s="236"/>
      <c r="T315" s="236"/>
      <c r="U315" s="236"/>
      <c r="V315" s="236"/>
      <c r="W315" s="237"/>
      <c r="X315" s="237"/>
      <c r="Y315" s="237"/>
      <c r="Z315" s="237"/>
      <c r="AA315" s="237"/>
      <c r="AB315" s="237"/>
      <c r="AC315" s="237"/>
      <c r="AD315" s="237"/>
      <c r="AE315" s="237"/>
      <c r="AF315" s="237"/>
      <c r="AG315" s="237"/>
      <c r="AH315" s="237"/>
      <c r="AI315" s="308"/>
      <c r="AJ315" s="308"/>
      <c r="AK315" s="308"/>
      <c r="AL315" s="308"/>
      <c r="AM315" s="98"/>
      <c r="AN315" s="98"/>
      <c r="AO315" s="98"/>
    </row>
    <row r="316" ht="14.25" customHeight="1">
      <c r="A316" s="179"/>
      <c r="B316" s="98"/>
      <c r="C316" s="98"/>
      <c r="D316" s="98"/>
      <c r="E316" s="98"/>
      <c r="F316" s="235"/>
      <c r="G316" s="235"/>
      <c r="H316" s="236"/>
      <c r="I316" s="236"/>
      <c r="J316" s="236"/>
      <c r="K316" s="236"/>
      <c r="L316" s="236"/>
      <c r="M316" s="236"/>
      <c r="N316" s="236"/>
      <c r="O316" s="236"/>
      <c r="P316" s="236"/>
      <c r="Q316" s="236"/>
      <c r="R316" s="236"/>
      <c r="S316" s="236"/>
      <c r="T316" s="236"/>
      <c r="U316" s="236"/>
      <c r="V316" s="236"/>
      <c r="W316" s="237"/>
      <c r="X316" s="237"/>
      <c r="Y316" s="237"/>
      <c r="Z316" s="237"/>
      <c r="AA316" s="237"/>
      <c r="AB316" s="237"/>
      <c r="AC316" s="237"/>
      <c r="AD316" s="237"/>
      <c r="AE316" s="237"/>
      <c r="AF316" s="237"/>
      <c r="AG316" s="237"/>
      <c r="AH316" s="237"/>
      <c r="AI316" s="308"/>
      <c r="AJ316" s="308"/>
      <c r="AK316" s="308"/>
      <c r="AL316" s="308"/>
      <c r="AM316" s="98"/>
      <c r="AN316" s="98"/>
      <c r="AO316" s="98"/>
    </row>
    <row r="317" ht="14.25" customHeight="1">
      <c r="A317" s="179"/>
      <c r="B317" s="98"/>
      <c r="C317" s="98"/>
      <c r="D317" s="98"/>
      <c r="E317" s="98"/>
      <c r="F317" s="235"/>
      <c r="G317" s="235"/>
      <c r="H317" s="236"/>
      <c r="I317" s="236"/>
      <c r="J317" s="236"/>
      <c r="K317" s="236"/>
      <c r="L317" s="236"/>
      <c r="M317" s="236"/>
      <c r="N317" s="236"/>
      <c r="O317" s="236"/>
      <c r="P317" s="236"/>
      <c r="Q317" s="236"/>
      <c r="R317" s="236"/>
      <c r="S317" s="236"/>
      <c r="T317" s="236"/>
      <c r="U317" s="236"/>
      <c r="V317" s="236"/>
      <c r="W317" s="237"/>
      <c r="X317" s="237"/>
      <c r="Y317" s="237"/>
      <c r="Z317" s="237"/>
      <c r="AA317" s="237"/>
      <c r="AB317" s="237"/>
      <c r="AC317" s="237"/>
      <c r="AD317" s="237"/>
      <c r="AE317" s="237"/>
      <c r="AF317" s="237"/>
      <c r="AG317" s="237"/>
      <c r="AH317" s="237"/>
      <c r="AI317" s="308"/>
      <c r="AJ317" s="308"/>
      <c r="AK317" s="308"/>
      <c r="AL317" s="308"/>
      <c r="AM317" s="98"/>
      <c r="AN317" s="98"/>
      <c r="AO317" s="98"/>
    </row>
    <row r="318" ht="14.25" customHeight="1">
      <c r="A318" s="179"/>
      <c r="B318" s="98"/>
      <c r="C318" s="98"/>
      <c r="D318" s="98"/>
      <c r="E318" s="98"/>
      <c r="F318" s="235"/>
      <c r="G318" s="235"/>
      <c r="H318" s="236"/>
      <c r="I318" s="236"/>
      <c r="J318" s="236"/>
      <c r="K318" s="236"/>
      <c r="L318" s="236"/>
      <c r="M318" s="236"/>
      <c r="N318" s="236"/>
      <c r="O318" s="236"/>
      <c r="P318" s="236"/>
      <c r="Q318" s="236"/>
      <c r="R318" s="236"/>
      <c r="S318" s="236"/>
      <c r="T318" s="236"/>
      <c r="U318" s="236"/>
      <c r="V318" s="236"/>
      <c r="W318" s="237"/>
      <c r="X318" s="237"/>
      <c r="Y318" s="237"/>
      <c r="Z318" s="237"/>
      <c r="AA318" s="237"/>
      <c r="AB318" s="237"/>
      <c r="AC318" s="237"/>
      <c r="AD318" s="237"/>
      <c r="AE318" s="237"/>
      <c r="AF318" s="237"/>
      <c r="AG318" s="237"/>
      <c r="AH318" s="237"/>
      <c r="AI318" s="308"/>
      <c r="AJ318" s="308"/>
      <c r="AK318" s="308"/>
      <c r="AL318" s="308"/>
      <c r="AM318" s="98"/>
      <c r="AN318" s="98"/>
      <c r="AO318" s="98"/>
    </row>
    <row r="319" ht="14.25" customHeight="1">
      <c r="A319" s="179"/>
      <c r="B319" s="98"/>
      <c r="C319" s="98"/>
      <c r="D319" s="98"/>
      <c r="E319" s="98"/>
      <c r="F319" s="235"/>
      <c r="G319" s="235"/>
      <c r="H319" s="236"/>
      <c r="I319" s="236"/>
      <c r="J319" s="236"/>
      <c r="K319" s="236"/>
      <c r="L319" s="236"/>
      <c r="M319" s="236"/>
      <c r="N319" s="236"/>
      <c r="O319" s="236"/>
      <c r="P319" s="236"/>
      <c r="Q319" s="236"/>
      <c r="R319" s="236"/>
      <c r="S319" s="236"/>
      <c r="T319" s="236"/>
      <c r="U319" s="236"/>
      <c r="V319" s="236"/>
      <c r="W319" s="237"/>
      <c r="X319" s="237"/>
      <c r="Y319" s="237"/>
      <c r="Z319" s="237"/>
      <c r="AA319" s="237"/>
      <c r="AB319" s="237"/>
      <c r="AC319" s="237"/>
      <c r="AD319" s="237"/>
      <c r="AE319" s="237"/>
      <c r="AF319" s="237"/>
      <c r="AG319" s="237"/>
      <c r="AH319" s="237"/>
      <c r="AI319" s="308"/>
      <c r="AJ319" s="308"/>
      <c r="AK319" s="308"/>
      <c r="AL319" s="308"/>
      <c r="AM319" s="98"/>
      <c r="AN319" s="98"/>
      <c r="AO319" s="98"/>
    </row>
    <row r="320" ht="14.25" customHeight="1">
      <c r="A320" s="179"/>
      <c r="B320" s="98"/>
      <c r="C320" s="98"/>
      <c r="D320" s="98"/>
      <c r="E320" s="98"/>
      <c r="F320" s="235"/>
      <c r="G320" s="235"/>
      <c r="H320" s="236"/>
      <c r="I320" s="236"/>
      <c r="J320" s="236"/>
      <c r="K320" s="236"/>
      <c r="L320" s="236"/>
      <c r="M320" s="236"/>
      <c r="N320" s="236"/>
      <c r="O320" s="236"/>
      <c r="P320" s="236"/>
      <c r="Q320" s="236"/>
      <c r="R320" s="236"/>
      <c r="S320" s="236"/>
      <c r="T320" s="236"/>
      <c r="U320" s="236"/>
      <c r="V320" s="236"/>
      <c r="W320" s="237"/>
      <c r="X320" s="237"/>
      <c r="Y320" s="237"/>
      <c r="Z320" s="237"/>
      <c r="AA320" s="237"/>
      <c r="AB320" s="237"/>
      <c r="AC320" s="237"/>
      <c r="AD320" s="237"/>
      <c r="AE320" s="237"/>
      <c r="AF320" s="237"/>
      <c r="AG320" s="237"/>
      <c r="AH320" s="237"/>
      <c r="AI320" s="308"/>
      <c r="AJ320" s="308"/>
      <c r="AK320" s="308"/>
      <c r="AL320" s="308"/>
      <c r="AM320" s="98"/>
      <c r="AN320" s="98"/>
      <c r="AO320" s="98"/>
    </row>
    <row r="321" ht="14.25" customHeight="1">
      <c r="A321" s="179"/>
      <c r="B321" s="98"/>
      <c r="C321" s="98"/>
      <c r="D321" s="98"/>
      <c r="E321" s="98"/>
      <c r="F321" s="235"/>
      <c r="G321" s="235"/>
      <c r="H321" s="236"/>
      <c r="I321" s="236"/>
      <c r="J321" s="236"/>
      <c r="K321" s="236"/>
      <c r="L321" s="236"/>
      <c r="M321" s="236"/>
      <c r="N321" s="236"/>
      <c r="O321" s="236"/>
      <c r="P321" s="236"/>
      <c r="Q321" s="236"/>
      <c r="R321" s="236"/>
      <c r="S321" s="236"/>
      <c r="T321" s="236"/>
      <c r="U321" s="236"/>
      <c r="V321" s="236"/>
      <c r="W321" s="237"/>
      <c r="X321" s="237"/>
      <c r="Y321" s="237"/>
      <c r="Z321" s="237"/>
      <c r="AA321" s="237"/>
      <c r="AB321" s="237"/>
      <c r="AC321" s="237"/>
      <c r="AD321" s="237"/>
      <c r="AE321" s="237"/>
      <c r="AF321" s="237"/>
      <c r="AG321" s="237"/>
      <c r="AH321" s="237"/>
      <c r="AI321" s="308"/>
      <c r="AJ321" s="308"/>
      <c r="AK321" s="308"/>
      <c r="AL321" s="308"/>
      <c r="AM321" s="98"/>
      <c r="AN321" s="98"/>
      <c r="AO321" s="98"/>
    </row>
    <row r="322" ht="14.25" customHeight="1">
      <c r="A322" s="179"/>
      <c r="B322" s="98"/>
      <c r="C322" s="98"/>
      <c r="D322" s="98"/>
      <c r="E322" s="98"/>
      <c r="F322" s="235"/>
      <c r="G322" s="235"/>
      <c r="H322" s="236"/>
      <c r="I322" s="236"/>
      <c r="J322" s="236"/>
      <c r="K322" s="236"/>
      <c r="L322" s="236"/>
      <c r="M322" s="236"/>
      <c r="N322" s="236"/>
      <c r="O322" s="236"/>
      <c r="P322" s="236"/>
      <c r="Q322" s="236"/>
      <c r="R322" s="236"/>
      <c r="S322" s="236"/>
      <c r="T322" s="236"/>
      <c r="U322" s="236"/>
      <c r="V322" s="236"/>
      <c r="W322" s="237"/>
      <c r="X322" s="237"/>
      <c r="Y322" s="237"/>
      <c r="Z322" s="237"/>
      <c r="AA322" s="237"/>
      <c r="AB322" s="237"/>
      <c r="AC322" s="237"/>
      <c r="AD322" s="237"/>
      <c r="AE322" s="237"/>
      <c r="AF322" s="237"/>
      <c r="AG322" s="237"/>
      <c r="AH322" s="237"/>
      <c r="AI322" s="308"/>
      <c r="AJ322" s="308"/>
      <c r="AK322" s="308"/>
      <c r="AL322" s="308"/>
      <c r="AM322" s="98"/>
      <c r="AN322" s="98"/>
      <c r="AO322" s="98"/>
    </row>
    <row r="323" ht="14.25" customHeight="1">
      <c r="A323" s="179"/>
      <c r="B323" s="98"/>
      <c r="C323" s="98"/>
      <c r="D323" s="98"/>
      <c r="E323" s="98"/>
      <c r="F323" s="235"/>
      <c r="G323" s="235"/>
      <c r="H323" s="236"/>
      <c r="I323" s="236"/>
      <c r="J323" s="236"/>
      <c r="K323" s="236"/>
      <c r="L323" s="236"/>
      <c r="M323" s="236"/>
      <c r="N323" s="236"/>
      <c r="O323" s="236"/>
      <c r="P323" s="236"/>
      <c r="Q323" s="236"/>
      <c r="R323" s="236"/>
      <c r="S323" s="236"/>
      <c r="T323" s="236"/>
      <c r="U323" s="236"/>
      <c r="V323" s="236"/>
      <c r="W323" s="237"/>
      <c r="X323" s="237"/>
      <c r="Y323" s="237"/>
      <c r="Z323" s="237"/>
      <c r="AA323" s="237"/>
      <c r="AB323" s="237"/>
      <c r="AC323" s="237"/>
      <c r="AD323" s="237"/>
      <c r="AE323" s="237"/>
      <c r="AF323" s="237"/>
      <c r="AG323" s="237"/>
      <c r="AH323" s="237"/>
      <c r="AI323" s="308"/>
      <c r="AJ323" s="308"/>
      <c r="AK323" s="308"/>
      <c r="AL323" s="308"/>
      <c r="AM323" s="98"/>
      <c r="AN323" s="98"/>
      <c r="AO323" s="98"/>
    </row>
    <row r="324" ht="14.25" customHeight="1">
      <c r="A324" s="179"/>
      <c r="B324" s="98"/>
      <c r="C324" s="98"/>
      <c r="D324" s="98"/>
      <c r="E324" s="98"/>
      <c r="F324" s="235"/>
      <c r="G324" s="235"/>
      <c r="H324" s="236"/>
      <c r="I324" s="236"/>
      <c r="J324" s="236"/>
      <c r="K324" s="236"/>
      <c r="L324" s="236"/>
      <c r="M324" s="236"/>
      <c r="N324" s="236"/>
      <c r="O324" s="236"/>
      <c r="P324" s="236"/>
      <c r="Q324" s="236"/>
      <c r="R324" s="236"/>
      <c r="S324" s="236"/>
      <c r="T324" s="236"/>
      <c r="U324" s="236"/>
      <c r="V324" s="236"/>
      <c r="W324" s="237"/>
      <c r="X324" s="237"/>
      <c r="Y324" s="237"/>
      <c r="Z324" s="237"/>
      <c r="AA324" s="237"/>
      <c r="AB324" s="237"/>
      <c r="AC324" s="237"/>
      <c r="AD324" s="237"/>
      <c r="AE324" s="237"/>
      <c r="AF324" s="237"/>
      <c r="AG324" s="237"/>
      <c r="AH324" s="237"/>
      <c r="AI324" s="308"/>
      <c r="AJ324" s="308"/>
      <c r="AK324" s="308"/>
      <c r="AL324" s="308"/>
      <c r="AM324" s="98"/>
      <c r="AN324" s="98"/>
      <c r="AO324" s="98"/>
    </row>
    <row r="325" ht="14.25" customHeight="1">
      <c r="A325" s="179"/>
      <c r="B325" s="98"/>
      <c r="C325" s="98"/>
      <c r="D325" s="98"/>
      <c r="E325" s="98"/>
      <c r="F325" s="235"/>
      <c r="G325" s="235"/>
      <c r="H325" s="236"/>
      <c r="I325" s="236"/>
      <c r="J325" s="236"/>
      <c r="K325" s="236"/>
      <c r="L325" s="236"/>
      <c r="M325" s="236"/>
      <c r="N325" s="236"/>
      <c r="O325" s="236"/>
      <c r="P325" s="236"/>
      <c r="Q325" s="236"/>
      <c r="R325" s="236"/>
      <c r="S325" s="236"/>
      <c r="T325" s="236"/>
      <c r="U325" s="236"/>
      <c r="V325" s="236"/>
      <c r="W325" s="237"/>
      <c r="X325" s="237"/>
      <c r="Y325" s="237"/>
      <c r="Z325" s="237"/>
      <c r="AA325" s="237"/>
      <c r="AB325" s="237"/>
      <c r="AC325" s="237"/>
      <c r="AD325" s="237"/>
      <c r="AE325" s="237"/>
      <c r="AF325" s="237"/>
      <c r="AG325" s="237"/>
      <c r="AH325" s="237"/>
      <c r="AI325" s="308"/>
      <c r="AJ325" s="308"/>
      <c r="AK325" s="308"/>
      <c r="AL325" s="308"/>
      <c r="AM325" s="98"/>
      <c r="AN325" s="98"/>
      <c r="AO325" s="98"/>
    </row>
    <row r="326" ht="14.25" customHeight="1">
      <c r="A326" s="179"/>
      <c r="B326" s="98"/>
      <c r="C326" s="98"/>
      <c r="D326" s="98"/>
      <c r="E326" s="98"/>
      <c r="F326" s="235"/>
      <c r="G326" s="235"/>
      <c r="H326" s="236"/>
      <c r="I326" s="236"/>
      <c r="J326" s="236"/>
      <c r="K326" s="236"/>
      <c r="L326" s="236"/>
      <c r="M326" s="236"/>
      <c r="N326" s="236"/>
      <c r="O326" s="236"/>
      <c r="P326" s="236"/>
      <c r="Q326" s="236"/>
      <c r="R326" s="236"/>
      <c r="S326" s="236"/>
      <c r="T326" s="236"/>
      <c r="U326" s="236"/>
      <c r="V326" s="236"/>
      <c r="W326" s="237"/>
      <c r="X326" s="237"/>
      <c r="Y326" s="237"/>
      <c r="Z326" s="237"/>
      <c r="AA326" s="237"/>
      <c r="AB326" s="237"/>
      <c r="AC326" s="237"/>
      <c r="AD326" s="237"/>
      <c r="AE326" s="237"/>
      <c r="AF326" s="237"/>
      <c r="AG326" s="237"/>
      <c r="AH326" s="237"/>
      <c r="AI326" s="308"/>
      <c r="AJ326" s="308"/>
      <c r="AK326" s="308"/>
      <c r="AL326" s="308"/>
      <c r="AM326" s="98"/>
      <c r="AN326" s="98"/>
      <c r="AO326" s="98"/>
    </row>
    <row r="327" ht="14.25" customHeight="1">
      <c r="A327" s="179"/>
      <c r="B327" s="98"/>
      <c r="C327" s="98"/>
      <c r="D327" s="98"/>
      <c r="E327" s="98"/>
      <c r="F327" s="235"/>
      <c r="G327" s="235"/>
      <c r="H327" s="236"/>
      <c r="I327" s="236"/>
      <c r="J327" s="236"/>
      <c r="K327" s="236"/>
      <c r="L327" s="236"/>
      <c r="M327" s="236"/>
      <c r="N327" s="236"/>
      <c r="O327" s="236"/>
      <c r="P327" s="236"/>
      <c r="Q327" s="236"/>
      <c r="R327" s="236"/>
      <c r="S327" s="236"/>
      <c r="T327" s="236"/>
      <c r="U327" s="236"/>
      <c r="V327" s="236"/>
      <c r="W327" s="237"/>
      <c r="X327" s="237"/>
      <c r="Y327" s="237"/>
      <c r="Z327" s="237"/>
      <c r="AA327" s="237"/>
      <c r="AB327" s="237"/>
      <c r="AC327" s="237"/>
      <c r="AD327" s="237"/>
      <c r="AE327" s="237"/>
      <c r="AF327" s="237"/>
      <c r="AG327" s="237"/>
      <c r="AH327" s="237"/>
      <c r="AI327" s="308"/>
      <c r="AJ327" s="308"/>
      <c r="AK327" s="308"/>
      <c r="AL327" s="308"/>
      <c r="AM327" s="98"/>
      <c r="AN327" s="98"/>
      <c r="AO327" s="98"/>
    </row>
    <row r="328" ht="14.25" customHeight="1">
      <c r="A328" s="179"/>
      <c r="B328" s="98"/>
      <c r="C328" s="98"/>
      <c r="D328" s="98"/>
      <c r="E328" s="98"/>
      <c r="F328" s="235"/>
      <c r="G328" s="235"/>
      <c r="H328" s="236"/>
      <c r="I328" s="236"/>
      <c r="J328" s="236"/>
      <c r="K328" s="236"/>
      <c r="L328" s="236"/>
      <c r="M328" s="236"/>
      <c r="N328" s="236"/>
      <c r="O328" s="236"/>
      <c r="P328" s="236"/>
      <c r="Q328" s="236"/>
      <c r="R328" s="236"/>
      <c r="S328" s="236"/>
      <c r="T328" s="236"/>
      <c r="U328" s="236"/>
      <c r="V328" s="236"/>
      <c r="W328" s="237"/>
      <c r="X328" s="237"/>
      <c r="Y328" s="237"/>
      <c r="Z328" s="237"/>
      <c r="AA328" s="237"/>
      <c r="AB328" s="237"/>
      <c r="AC328" s="237"/>
      <c r="AD328" s="237"/>
      <c r="AE328" s="237"/>
      <c r="AF328" s="237"/>
      <c r="AG328" s="237"/>
      <c r="AH328" s="237"/>
      <c r="AI328" s="308"/>
      <c r="AJ328" s="308"/>
      <c r="AK328" s="308"/>
      <c r="AL328" s="308"/>
      <c r="AM328" s="98"/>
      <c r="AN328" s="98"/>
      <c r="AO328" s="98"/>
    </row>
    <row r="329" ht="14.25" customHeight="1">
      <c r="A329" s="179"/>
      <c r="B329" s="98"/>
      <c r="C329" s="98"/>
      <c r="D329" s="98"/>
      <c r="E329" s="98"/>
      <c r="F329" s="235"/>
      <c r="G329" s="235"/>
      <c r="H329" s="236"/>
      <c r="I329" s="236"/>
      <c r="J329" s="236"/>
      <c r="K329" s="236"/>
      <c r="L329" s="236"/>
      <c r="M329" s="236"/>
      <c r="N329" s="236"/>
      <c r="O329" s="236"/>
      <c r="P329" s="236"/>
      <c r="Q329" s="236"/>
      <c r="R329" s="236"/>
      <c r="S329" s="236"/>
      <c r="T329" s="236"/>
      <c r="U329" s="236"/>
      <c r="V329" s="236"/>
      <c r="W329" s="237"/>
      <c r="X329" s="237"/>
      <c r="Y329" s="237"/>
      <c r="Z329" s="237"/>
      <c r="AA329" s="237"/>
      <c r="AB329" s="237"/>
      <c r="AC329" s="237"/>
      <c r="AD329" s="237"/>
      <c r="AE329" s="237"/>
      <c r="AF329" s="237"/>
      <c r="AG329" s="237"/>
      <c r="AH329" s="237"/>
      <c r="AI329" s="308"/>
      <c r="AJ329" s="308"/>
      <c r="AK329" s="308"/>
      <c r="AL329" s="308"/>
      <c r="AM329" s="98"/>
      <c r="AN329" s="98"/>
      <c r="AO329" s="98"/>
    </row>
    <row r="330" ht="14.25" customHeight="1">
      <c r="A330" s="179"/>
      <c r="B330" s="98"/>
      <c r="C330" s="98"/>
      <c r="D330" s="98"/>
      <c r="E330" s="98"/>
      <c r="F330" s="235"/>
      <c r="G330" s="235"/>
      <c r="H330" s="236"/>
      <c r="I330" s="236"/>
      <c r="J330" s="236"/>
      <c r="K330" s="236"/>
      <c r="L330" s="236"/>
      <c r="M330" s="236"/>
      <c r="N330" s="236"/>
      <c r="O330" s="236"/>
      <c r="P330" s="236"/>
      <c r="Q330" s="236"/>
      <c r="R330" s="236"/>
      <c r="S330" s="236"/>
      <c r="T330" s="236"/>
      <c r="U330" s="236"/>
      <c r="V330" s="236"/>
      <c r="W330" s="237"/>
      <c r="X330" s="237"/>
      <c r="Y330" s="237"/>
      <c r="Z330" s="237"/>
      <c r="AA330" s="237"/>
      <c r="AB330" s="237"/>
      <c r="AC330" s="237"/>
      <c r="AD330" s="237"/>
      <c r="AE330" s="237"/>
      <c r="AF330" s="237"/>
      <c r="AG330" s="237"/>
      <c r="AH330" s="237"/>
      <c r="AI330" s="308"/>
      <c r="AJ330" s="308"/>
      <c r="AK330" s="308"/>
      <c r="AL330" s="308"/>
      <c r="AM330" s="98"/>
      <c r="AN330" s="98"/>
      <c r="AO330" s="98"/>
    </row>
    <row r="331" ht="14.25" customHeight="1">
      <c r="A331" s="179"/>
      <c r="B331" s="98"/>
      <c r="C331" s="98"/>
      <c r="D331" s="98"/>
      <c r="E331" s="98"/>
      <c r="F331" s="235"/>
      <c r="G331" s="235"/>
      <c r="H331" s="236"/>
      <c r="I331" s="236"/>
      <c r="J331" s="236"/>
      <c r="K331" s="236"/>
      <c r="L331" s="236"/>
      <c r="M331" s="236"/>
      <c r="N331" s="236"/>
      <c r="O331" s="236"/>
      <c r="P331" s="236"/>
      <c r="Q331" s="236"/>
      <c r="R331" s="236"/>
      <c r="S331" s="236"/>
      <c r="T331" s="236"/>
      <c r="U331" s="236"/>
      <c r="V331" s="236"/>
      <c r="W331" s="237"/>
      <c r="X331" s="237"/>
      <c r="Y331" s="237"/>
      <c r="Z331" s="237"/>
      <c r="AA331" s="237"/>
      <c r="AB331" s="237"/>
      <c r="AC331" s="237"/>
      <c r="AD331" s="237"/>
      <c r="AE331" s="237"/>
      <c r="AF331" s="237"/>
      <c r="AG331" s="237"/>
      <c r="AH331" s="237"/>
      <c r="AI331" s="308"/>
      <c r="AJ331" s="308"/>
      <c r="AK331" s="308"/>
      <c r="AL331" s="308"/>
      <c r="AM331" s="98"/>
      <c r="AN331" s="98"/>
      <c r="AO331" s="98"/>
    </row>
    <row r="332" ht="14.25" customHeight="1">
      <c r="A332" s="179"/>
      <c r="B332" s="98"/>
      <c r="C332" s="98"/>
      <c r="D332" s="98"/>
      <c r="E332" s="98"/>
      <c r="F332" s="235"/>
      <c r="G332" s="235"/>
      <c r="H332" s="236"/>
      <c r="I332" s="236"/>
      <c r="J332" s="236"/>
      <c r="K332" s="236"/>
      <c r="L332" s="236"/>
      <c r="M332" s="236"/>
      <c r="N332" s="236"/>
      <c r="O332" s="236"/>
      <c r="P332" s="236"/>
      <c r="Q332" s="236"/>
      <c r="R332" s="236"/>
      <c r="S332" s="236"/>
      <c r="T332" s="236"/>
      <c r="U332" s="236"/>
      <c r="V332" s="236"/>
      <c r="W332" s="237"/>
      <c r="X332" s="237"/>
      <c r="Y332" s="237"/>
      <c r="Z332" s="237"/>
      <c r="AA332" s="237"/>
      <c r="AB332" s="237"/>
      <c r="AC332" s="237"/>
      <c r="AD332" s="237"/>
      <c r="AE332" s="237"/>
      <c r="AF332" s="237"/>
      <c r="AG332" s="237"/>
      <c r="AH332" s="237"/>
      <c r="AI332" s="308"/>
      <c r="AJ332" s="308"/>
      <c r="AK332" s="308"/>
      <c r="AL332" s="308"/>
      <c r="AM332" s="98"/>
      <c r="AN332" s="98"/>
      <c r="AO332" s="98"/>
    </row>
    <row r="333" ht="14.25" customHeight="1">
      <c r="A333" s="179"/>
      <c r="B333" s="98"/>
      <c r="C333" s="98"/>
      <c r="D333" s="98"/>
      <c r="E333" s="98"/>
      <c r="F333" s="235"/>
      <c r="G333" s="235"/>
      <c r="H333" s="236"/>
      <c r="I333" s="236"/>
      <c r="J333" s="236"/>
      <c r="K333" s="236"/>
      <c r="L333" s="236"/>
      <c r="M333" s="236"/>
      <c r="N333" s="236"/>
      <c r="O333" s="236"/>
      <c r="P333" s="236"/>
      <c r="Q333" s="236"/>
      <c r="R333" s="236"/>
      <c r="S333" s="236"/>
      <c r="T333" s="236"/>
      <c r="U333" s="236"/>
      <c r="V333" s="236"/>
      <c r="W333" s="237"/>
      <c r="X333" s="237"/>
      <c r="Y333" s="237"/>
      <c r="Z333" s="237"/>
      <c r="AA333" s="237"/>
      <c r="AB333" s="237"/>
      <c r="AC333" s="237"/>
      <c r="AD333" s="237"/>
      <c r="AE333" s="237"/>
      <c r="AF333" s="237"/>
      <c r="AG333" s="237"/>
      <c r="AH333" s="237"/>
      <c r="AI333" s="308"/>
      <c r="AJ333" s="308"/>
      <c r="AK333" s="308"/>
      <c r="AL333" s="308"/>
      <c r="AM333" s="98"/>
      <c r="AN333" s="98"/>
      <c r="AO333" s="98"/>
    </row>
    <row r="334" ht="14.25" customHeight="1">
      <c r="A334" s="179"/>
      <c r="B334" s="98"/>
      <c r="C334" s="98"/>
      <c r="D334" s="98"/>
      <c r="E334" s="98"/>
      <c r="F334" s="235"/>
      <c r="G334" s="235"/>
      <c r="H334" s="236"/>
      <c r="I334" s="236"/>
      <c r="J334" s="236"/>
      <c r="K334" s="236"/>
      <c r="L334" s="236"/>
      <c r="M334" s="236"/>
      <c r="N334" s="236"/>
      <c r="O334" s="236"/>
      <c r="P334" s="236"/>
      <c r="Q334" s="236"/>
      <c r="R334" s="236"/>
      <c r="S334" s="236"/>
      <c r="T334" s="236"/>
      <c r="U334" s="236"/>
      <c r="V334" s="236"/>
      <c r="W334" s="237"/>
      <c r="X334" s="237"/>
      <c r="Y334" s="237"/>
      <c r="Z334" s="237"/>
      <c r="AA334" s="237"/>
      <c r="AB334" s="237"/>
      <c r="AC334" s="237"/>
      <c r="AD334" s="237"/>
      <c r="AE334" s="237"/>
      <c r="AF334" s="237"/>
      <c r="AG334" s="237"/>
      <c r="AH334" s="237"/>
      <c r="AI334" s="308"/>
      <c r="AJ334" s="308"/>
      <c r="AK334" s="308"/>
      <c r="AL334" s="308"/>
      <c r="AM334" s="98"/>
      <c r="AN334" s="98"/>
      <c r="AO334" s="98"/>
    </row>
    <row r="335" ht="14.25" customHeight="1">
      <c r="A335" s="179"/>
      <c r="B335" s="98"/>
      <c r="C335" s="98"/>
      <c r="D335" s="98"/>
      <c r="E335" s="98"/>
      <c r="F335" s="235"/>
      <c r="G335" s="235"/>
      <c r="H335" s="236"/>
      <c r="I335" s="236"/>
      <c r="J335" s="236"/>
      <c r="K335" s="236"/>
      <c r="L335" s="236"/>
      <c r="M335" s="236"/>
      <c r="N335" s="236"/>
      <c r="O335" s="236"/>
      <c r="P335" s="236"/>
      <c r="Q335" s="236"/>
      <c r="R335" s="236"/>
      <c r="S335" s="236"/>
      <c r="T335" s="236"/>
      <c r="U335" s="236"/>
      <c r="V335" s="236"/>
      <c r="W335" s="237"/>
      <c r="X335" s="237"/>
      <c r="Y335" s="237"/>
      <c r="Z335" s="237"/>
      <c r="AA335" s="237"/>
      <c r="AB335" s="237"/>
      <c r="AC335" s="237"/>
      <c r="AD335" s="237"/>
      <c r="AE335" s="237"/>
      <c r="AF335" s="237"/>
      <c r="AG335" s="237"/>
      <c r="AH335" s="237"/>
      <c r="AI335" s="308"/>
      <c r="AJ335" s="308"/>
      <c r="AK335" s="308"/>
      <c r="AL335" s="308"/>
      <c r="AM335" s="98"/>
      <c r="AN335" s="98"/>
      <c r="AO335" s="98"/>
    </row>
    <row r="336" ht="14.25" customHeight="1">
      <c r="A336" s="179"/>
      <c r="B336" s="98"/>
      <c r="C336" s="98"/>
      <c r="D336" s="98"/>
      <c r="E336" s="98"/>
      <c r="F336" s="235"/>
      <c r="G336" s="235"/>
      <c r="H336" s="236"/>
      <c r="I336" s="236"/>
      <c r="J336" s="236"/>
      <c r="K336" s="236"/>
      <c r="L336" s="236"/>
      <c r="M336" s="236"/>
      <c r="N336" s="236"/>
      <c r="O336" s="236"/>
      <c r="P336" s="236"/>
      <c r="Q336" s="236"/>
      <c r="R336" s="236"/>
      <c r="S336" s="236"/>
      <c r="T336" s="236"/>
      <c r="U336" s="236"/>
      <c r="V336" s="236"/>
      <c r="W336" s="237"/>
      <c r="X336" s="237"/>
      <c r="Y336" s="237"/>
      <c r="Z336" s="237"/>
      <c r="AA336" s="237"/>
      <c r="AB336" s="237"/>
      <c r="AC336" s="237"/>
      <c r="AD336" s="237"/>
      <c r="AE336" s="237"/>
      <c r="AF336" s="237"/>
      <c r="AG336" s="237"/>
      <c r="AH336" s="237"/>
      <c r="AI336" s="308"/>
      <c r="AJ336" s="308"/>
      <c r="AK336" s="308"/>
      <c r="AL336" s="308"/>
      <c r="AM336" s="98"/>
      <c r="AN336" s="98"/>
      <c r="AO336" s="98"/>
    </row>
    <row r="337" ht="14.25" customHeight="1">
      <c r="A337" s="179"/>
      <c r="B337" s="98"/>
      <c r="C337" s="98"/>
      <c r="D337" s="98"/>
      <c r="E337" s="98"/>
      <c r="F337" s="235"/>
      <c r="G337" s="235"/>
      <c r="H337" s="236"/>
      <c r="I337" s="236"/>
      <c r="J337" s="236"/>
      <c r="K337" s="236"/>
      <c r="L337" s="236"/>
      <c r="M337" s="236"/>
      <c r="N337" s="236"/>
      <c r="O337" s="236"/>
      <c r="P337" s="236"/>
      <c r="Q337" s="236"/>
      <c r="R337" s="236"/>
      <c r="S337" s="236"/>
      <c r="T337" s="236"/>
      <c r="U337" s="236"/>
      <c r="V337" s="236"/>
      <c r="W337" s="237"/>
      <c r="X337" s="237"/>
      <c r="Y337" s="237"/>
      <c r="Z337" s="237"/>
      <c r="AA337" s="237"/>
      <c r="AB337" s="237"/>
      <c r="AC337" s="237"/>
      <c r="AD337" s="237"/>
      <c r="AE337" s="237"/>
      <c r="AF337" s="237"/>
      <c r="AG337" s="237"/>
      <c r="AH337" s="237"/>
      <c r="AI337" s="308"/>
      <c r="AJ337" s="308"/>
      <c r="AK337" s="308"/>
      <c r="AL337" s="308"/>
      <c r="AM337" s="98"/>
      <c r="AN337" s="98"/>
      <c r="AO337" s="98"/>
    </row>
    <row r="338" ht="14.25" customHeight="1">
      <c r="A338" s="179"/>
      <c r="B338" s="98"/>
      <c r="C338" s="98"/>
      <c r="D338" s="98"/>
      <c r="E338" s="98"/>
      <c r="F338" s="235"/>
      <c r="G338" s="235"/>
      <c r="H338" s="236"/>
      <c r="I338" s="236"/>
      <c r="J338" s="236"/>
      <c r="K338" s="236"/>
      <c r="L338" s="236"/>
      <c r="M338" s="236"/>
      <c r="N338" s="236"/>
      <c r="O338" s="236"/>
      <c r="P338" s="236"/>
      <c r="Q338" s="236"/>
      <c r="R338" s="236"/>
      <c r="S338" s="236"/>
      <c r="T338" s="236"/>
      <c r="U338" s="236"/>
      <c r="V338" s="236"/>
      <c r="W338" s="237"/>
      <c r="X338" s="237"/>
      <c r="Y338" s="237"/>
      <c r="Z338" s="237"/>
      <c r="AA338" s="237"/>
      <c r="AB338" s="237"/>
      <c r="AC338" s="237"/>
      <c r="AD338" s="237"/>
      <c r="AE338" s="237"/>
      <c r="AF338" s="237"/>
      <c r="AG338" s="237"/>
      <c r="AH338" s="237"/>
      <c r="AI338" s="308"/>
      <c r="AJ338" s="308"/>
      <c r="AK338" s="308"/>
      <c r="AL338" s="308"/>
      <c r="AM338" s="98"/>
      <c r="AN338" s="98"/>
      <c r="AO338" s="98"/>
    </row>
    <row r="339" ht="14.25" customHeight="1">
      <c r="A339" s="179"/>
      <c r="B339" s="98"/>
      <c r="C339" s="98"/>
      <c r="D339" s="98"/>
      <c r="E339" s="98"/>
      <c r="F339" s="235"/>
      <c r="G339" s="235"/>
      <c r="H339" s="236"/>
      <c r="I339" s="236"/>
      <c r="J339" s="236"/>
      <c r="K339" s="236"/>
      <c r="L339" s="236"/>
      <c r="M339" s="236"/>
      <c r="N339" s="236"/>
      <c r="O339" s="236"/>
      <c r="P339" s="236"/>
      <c r="Q339" s="236"/>
      <c r="R339" s="236"/>
      <c r="S339" s="236"/>
      <c r="T339" s="236"/>
      <c r="U339" s="236"/>
      <c r="V339" s="236"/>
      <c r="W339" s="237"/>
      <c r="X339" s="237"/>
      <c r="Y339" s="237"/>
      <c r="Z339" s="237"/>
      <c r="AA339" s="237"/>
      <c r="AB339" s="237"/>
      <c r="AC339" s="237"/>
      <c r="AD339" s="237"/>
      <c r="AE339" s="237"/>
      <c r="AF339" s="237"/>
      <c r="AG339" s="237"/>
      <c r="AH339" s="237"/>
      <c r="AI339" s="308"/>
      <c r="AJ339" s="308"/>
      <c r="AK339" s="308"/>
      <c r="AL339" s="308"/>
      <c r="AM339" s="98"/>
      <c r="AN339" s="98"/>
      <c r="AO339" s="98"/>
    </row>
    <row r="340" ht="14.25" customHeight="1">
      <c r="A340" s="179"/>
      <c r="B340" s="98"/>
      <c r="C340" s="98"/>
      <c r="D340" s="98"/>
      <c r="E340" s="98"/>
      <c r="F340" s="235"/>
      <c r="G340" s="235"/>
      <c r="H340" s="236"/>
      <c r="I340" s="236"/>
      <c r="J340" s="236"/>
      <c r="K340" s="236"/>
      <c r="L340" s="236"/>
      <c r="M340" s="236"/>
      <c r="N340" s="236"/>
      <c r="O340" s="236"/>
      <c r="P340" s="236"/>
      <c r="Q340" s="236"/>
      <c r="R340" s="236"/>
      <c r="S340" s="236"/>
      <c r="T340" s="236"/>
      <c r="U340" s="236"/>
      <c r="V340" s="236"/>
      <c r="W340" s="237"/>
      <c r="X340" s="237"/>
      <c r="Y340" s="237"/>
      <c r="Z340" s="237"/>
      <c r="AA340" s="237"/>
      <c r="AB340" s="237"/>
      <c r="AC340" s="237"/>
      <c r="AD340" s="237"/>
      <c r="AE340" s="237"/>
      <c r="AF340" s="237"/>
      <c r="AG340" s="237"/>
      <c r="AH340" s="237"/>
      <c r="AI340" s="308"/>
      <c r="AJ340" s="308"/>
      <c r="AK340" s="308"/>
      <c r="AL340" s="308"/>
      <c r="AM340" s="98"/>
      <c r="AN340" s="98"/>
      <c r="AO340" s="98"/>
    </row>
    <row r="341" ht="14.25" customHeight="1">
      <c r="A341" s="179"/>
      <c r="B341" s="98"/>
      <c r="C341" s="98"/>
      <c r="D341" s="98"/>
      <c r="E341" s="98"/>
      <c r="F341" s="235"/>
      <c r="G341" s="235"/>
      <c r="H341" s="236"/>
      <c r="I341" s="236"/>
      <c r="J341" s="236"/>
      <c r="K341" s="236"/>
      <c r="L341" s="236"/>
      <c r="M341" s="236"/>
      <c r="N341" s="236"/>
      <c r="O341" s="236"/>
      <c r="P341" s="236"/>
      <c r="Q341" s="236"/>
      <c r="R341" s="236"/>
      <c r="S341" s="236"/>
      <c r="T341" s="236"/>
      <c r="U341" s="236"/>
      <c r="V341" s="236"/>
      <c r="W341" s="237"/>
      <c r="X341" s="237"/>
      <c r="Y341" s="237"/>
      <c r="Z341" s="237"/>
      <c r="AA341" s="237"/>
      <c r="AB341" s="237"/>
      <c r="AC341" s="237"/>
      <c r="AD341" s="237"/>
      <c r="AE341" s="237"/>
      <c r="AF341" s="237"/>
      <c r="AG341" s="237"/>
      <c r="AH341" s="237"/>
      <c r="AI341" s="308"/>
      <c r="AJ341" s="308"/>
      <c r="AK341" s="308"/>
      <c r="AL341" s="308"/>
      <c r="AM341" s="98"/>
      <c r="AN341" s="98"/>
      <c r="AO341" s="98"/>
    </row>
    <row r="342" ht="14.25" customHeight="1">
      <c r="A342" s="179"/>
      <c r="B342" s="98"/>
      <c r="C342" s="98"/>
      <c r="D342" s="98"/>
      <c r="E342" s="98"/>
      <c r="F342" s="235"/>
      <c r="G342" s="235"/>
      <c r="H342" s="236"/>
      <c r="I342" s="236"/>
      <c r="J342" s="236"/>
      <c r="K342" s="236"/>
      <c r="L342" s="236"/>
      <c r="M342" s="236"/>
      <c r="N342" s="236"/>
      <c r="O342" s="236"/>
      <c r="P342" s="236"/>
      <c r="Q342" s="236"/>
      <c r="R342" s="236"/>
      <c r="S342" s="236"/>
      <c r="T342" s="236"/>
      <c r="U342" s="236"/>
      <c r="V342" s="236"/>
      <c r="W342" s="237"/>
      <c r="X342" s="237"/>
      <c r="Y342" s="237"/>
      <c r="Z342" s="237"/>
      <c r="AA342" s="237"/>
      <c r="AB342" s="237"/>
      <c r="AC342" s="237"/>
      <c r="AD342" s="237"/>
      <c r="AE342" s="237"/>
      <c r="AF342" s="237"/>
      <c r="AG342" s="237"/>
      <c r="AH342" s="237"/>
      <c r="AI342" s="308"/>
      <c r="AJ342" s="308"/>
      <c r="AK342" s="308"/>
      <c r="AL342" s="308"/>
      <c r="AM342" s="98"/>
      <c r="AN342" s="98"/>
      <c r="AO342" s="98"/>
    </row>
    <row r="343" ht="14.25" customHeight="1">
      <c r="A343" s="179"/>
      <c r="B343" s="98"/>
      <c r="C343" s="98"/>
      <c r="D343" s="98"/>
      <c r="E343" s="98"/>
      <c r="F343" s="235"/>
      <c r="G343" s="235"/>
      <c r="H343" s="236"/>
      <c r="I343" s="236"/>
      <c r="J343" s="236"/>
      <c r="K343" s="236"/>
      <c r="L343" s="236"/>
      <c r="M343" s="236"/>
      <c r="N343" s="236"/>
      <c r="O343" s="236"/>
      <c r="P343" s="236"/>
      <c r="Q343" s="236"/>
      <c r="R343" s="236"/>
      <c r="S343" s="236"/>
      <c r="T343" s="236"/>
      <c r="U343" s="236"/>
      <c r="V343" s="236"/>
      <c r="W343" s="237"/>
      <c r="X343" s="237"/>
      <c r="Y343" s="237"/>
      <c r="Z343" s="237"/>
      <c r="AA343" s="237"/>
      <c r="AB343" s="237"/>
      <c r="AC343" s="237"/>
      <c r="AD343" s="237"/>
      <c r="AE343" s="237"/>
      <c r="AF343" s="237"/>
      <c r="AG343" s="237"/>
      <c r="AH343" s="237"/>
      <c r="AI343" s="308"/>
      <c r="AJ343" s="308"/>
      <c r="AK343" s="308"/>
      <c r="AL343" s="308"/>
      <c r="AM343" s="98"/>
      <c r="AN343" s="98"/>
      <c r="AO343" s="98"/>
    </row>
    <row r="344" ht="14.25" customHeight="1">
      <c r="A344" s="179"/>
      <c r="B344" s="98"/>
      <c r="C344" s="98"/>
      <c r="D344" s="98"/>
      <c r="E344" s="98"/>
      <c r="F344" s="235"/>
      <c r="G344" s="235"/>
      <c r="H344" s="236"/>
      <c r="I344" s="236"/>
      <c r="J344" s="236"/>
      <c r="K344" s="236"/>
      <c r="L344" s="236"/>
      <c r="M344" s="236"/>
      <c r="N344" s="236"/>
      <c r="O344" s="236"/>
      <c r="P344" s="236"/>
      <c r="Q344" s="236"/>
      <c r="R344" s="236"/>
      <c r="S344" s="236"/>
      <c r="T344" s="236"/>
      <c r="U344" s="236"/>
      <c r="V344" s="236"/>
      <c r="W344" s="237"/>
      <c r="X344" s="237"/>
      <c r="Y344" s="237"/>
      <c r="Z344" s="237"/>
      <c r="AA344" s="237"/>
      <c r="AB344" s="237"/>
      <c r="AC344" s="237"/>
      <c r="AD344" s="237"/>
      <c r="AE344" s="237"/>
      <c r="AF344" s="237"/>
      <c r="AG344" s="237"/>
      <c r="AH344" s="237"/>
      <c r="AI344" s="308"/>
      <c r="AJ344" s="308"/>
      <c r="AK344" s="308"/>
      <c r="AL344" s="308"/>
      <c r="AM344" s="98"/>
      <c r="AN344" s="98"/>
      <c r="AO344" s="98"/>
    </row>
    <row r="345" ht="14.25" customHeight="1">
      <c r="A345" s="179"/>
      <c r="B345" s="98"/>
      <c r="C345" s="98"/>
      <c r="D345" s="98"/>
      <c r="E345" s="98"/>
      <c r="F345" s="235"/>
      <c r="G345" s="235"/>
      <c r="H345" s="236"/>
      <c r="I345" s="236"/>
      <c r="J345" s="236"/>
      <c r="K345" s="236"/>
      <c r="L345" s="236"/>
      <c r="M345" s="236"/>
      <c r="N345" s="236"/>
      <c r="O345" s="236"/>
      <c r="P345" s="236"/>
      <c r="Q345" s="236"/>
      <c r="R345" s="236"/>
      <c r="S345" s="236"/>
      <c r="T345" s="236"/>
      <c r="U345" s="236"/>
      <c r="V345" s="236"/>
      <c r="W345" s="237"/>
      <c r="X345" s="237"/>
      <c r="Y345" s="237"/>
      <c r="Z345" s="237"/>
      <c r="AA345" s="237"/>
      <c r="AB345" s="237"/>
      <c r="AC345" s="237"/>
      <c r="AD345" s="237"/>
      <c r="AE345" s="237"/>
      <c r="AF345" s="237"/>
      <c r="AG345" s="237"/>
      <c r="AH345" s="237"/>
      <c r="AI345" s="308"/>
      <c r="AJ345" s="308"/>
      <c r="AK345" s="308"/>
      <c r="AL345" s="308"/>
      <c r="AM345" s="98"/>
      <c r="AN345" s="98"/>
      <c r="AO345" s="98"/>
    </row>
    <row r="346" ht="14.25" customHeight="1">
      <c r="A346" s="179"/>
      <c r="B346" s="98"/>
      <c r="C346" s="98"/>
      <c r="D346" s="98"/>
      <c r="E346" s="98"/>
      <c r="F346" s="235"/>
      <c r="G346" s="235"/>
      <c r="H346" s="236"/>
      <c r="I346" s="236"/>
      <c r="J346" s="236"/>
      <c r="K346" s="236"/>
      <c r="L346" s="236"/>
      <c r="M346" s="236"/>
      <c r="N346" s="236"/>
      <c r="O346" s="236"/>
      <c r="P346" s="236"/>
      <c r="Q346" s="236"/>
      <c r="R346" s="236"/>
      <c r="S346" s="236"/>
      <c r="T346" s="236"/>
      <c r="U346" s="236"/>
      <c r="V346" s="236"/>
      <c r="W346" s="237"/>
      <c r="X346" s="237"/>
      <c r="Y346" s="237"/>
      <c r="Z346" s="237"/>
      <c r="AA346" s="237"/>
      <c r="AB346" s="237"/>
      <c r="AC346" s="237"/>
      <c r="AD346" s="237"/>
      <c r="AE346" s="237"/>
      <c r="AF346" s="237"/>
      <c r="AG346" s="237"/>
      <c r="AH346" s="237"/>
      <c r="AI346" s="308"/>
      <c r="AJ346" s="308"/>
      <c r="AK346" s="308"/>
      <c r="AL346" s="308"/>
      <c r="AM346" s="98"/>
      <c r="AN346" s="98"/>
      <c r="AO346" s="98"/>
    </row>
    <row r="347" ht="14.25" customHeight="1">
      <c r="A347" s="179"/>
      <c r="B347" s="98"/>
      <c r="C347" s="98"/>
      <c r="D347" s="98"/>
      <c r="E347" s="98"/>
      <c r="F347" s="235"/>
      <c r="G347" s="235"/>
      <c r="H347" s="236"/>
      <c r="I347" s="236"/>
      <c r="J347" s="236"/>
      <c r="K347" s="236"/>
      <c r="L347" s="236"/>
      <c r="M347" s="236"/>
      <c r="N347" s="236"/>
      <c r="O347" s="236"/>
      <c r="P347" s="236"/>
      <c r="Q347" s="236"/>
      <c r="R347" s="236"/>
      <c r="S347" s="236"/>
      <c r="T347" s="236"/>
      <c r="U347" s="236"/>
      <c r="V347" s="236"/>
      <c r="W347" s="237"/>
      <c r="X347" s="237"/>
      <c r="Y347" s="237"/>
      <c r="Z347" s="237"/>
      <c r="AA347" s="237"/>
      <c r="AB347" s="237"/>
      <c r="AC347" s="237"/>
      <c r="AD347" s="237"/>
      <c r="AE347" s="237"/>
      <c r="AF347" s="237"/>
      <c r="AG347" s="237"/>
      <c r="AH347" s="237"/>
      <c r="AI347" s="308"/>
      <c r="AJ347" s="308"/>
      <c r="AK347" s="308"/>
      <c r="AL347" s="308"/>
      <c r="AM347" s="98"/>
      <c r="AN347" s="98"/>
      <c r="AO347" s="98"/>
    </row>
    <row r="348" ht="14.25" customHeight="1">
      <c r="A348" s="179"/>
      <c r="B348" s="98"/>
      <c r="C348" s="98"/>
      <c r="D348" s="98"/>
      <c r="E348" s="98"/>
      <c r="F348" s="235"/>
      <c r="G348" s="235"/>
      <c r="H348" s="236"/>
      <c r="I348" s="236"/>
      <c r="J348" s="236"/>
      <c r="K348" s="236"/>
      <c r="L348" s="236"/>
      <c r="M348" s="236"/>
      <c r="N348" s="236"/>
      <c r="O348" s="236"/>
      <c r="P348" s="236"/>
      <c r="Q348" s="236"/>
      <c r="R348" s="236"/>
      <c r="S348" s="236"/>
      <c r="T348" s="236"/>
      <c r="U348" s="236"/>
      <c r="V348" s="236"/>
      <c r="W348" s="237"/>
      <c r="X348" s="237"/>
      <c r="Y348" s="237"/>
      <c r="Z348" s="237"/>
      <c r="AA348" s="237"/>
      <c r="AB348" s="237"/>
      <c r="AC348" s="237"/>
      <c r="AD348" s="237"/>
      <c r="AE348" s="237"/>
      <c r="AF348" s="237"/>
      <c r="AG348" s="237"/>
      <c r="AH348" s="237"/>
      <c r="AI348" s="308"/>
      <c r="AJ348" s="308"/>
      <c r="AK348" s="308"/>
      <c r="AL348" s="308"/>
      <c r="AM348" s="98"/>
      <c r="AN348" s="98"/>
      <c r="AO348" s="98"/>
    </row>
    <row r="349" ht="14.25" customHeight="1">
      <c r="A349" s="179"/>
      <c r="B349" s="98"/>
      <c r="C349" s="98"/>
      <c r="D349" s="98"/>
      <c r="E349" s="98"/>
      <c r="F349" s="235"/>
      <c r="G349" s="235"/>
      <c r="H349" s="236"/>
      <c r="I349" s="236"/>
      <c r="J349" s="236"/>
      <c r="K349" s="236"/>
      <c r="L349" s="236"/>
      <c r="M349" s="236"/>
      <c r="N349" s="236"/>
      <c r="O349" s="236"/>
      <c r="P349" s="236"/>
      <c r="Q349" s="236"/>
      <c r="R349" s="236"/>
      <c r="S349" s="236"/>
      <c r="T349" s="236"/>
      <c r="U349" s="236"/>
      <c r="V349" s="236"/>
      <c r="W349" s="237"/>
      <c r="X349" s="237"/>
      <c r="Y349" s="237"/>
      <c r="Z349" s="237"/>
      <c r="AA349" s="237"/>
      <c r="AB349" s="237"/>
      <c r="AC349" s="237"/>
      <c r="AD349" s="237"/>
      <c r="AE349" s="237"/>
      <c r="AF349" s="237"/>
      <c r="AG349" s="237"/>
      <c r="AH349" s="237"/>
      <c r="AI349" s="308"/>
      <c r="AJ349" s="308"/>
      <c r="AK349" s="308"/>
      <c r="AL349" s="308"/>
      <c r="AM349" s="98"/>
      <c r="AN349" s="98"/>
      <c r="AO349" s="98"/>
    </row>
    <row r="350" ht="14.25" customHeight="1">
      <c r="A350" s="179"/>
      <c r="B350" s="98"/>
      <c r="C350" s="98"/>
      <c r="D350" s="98"/>
      <c r="E350" s="98"/>
      <c r="F350" s="235"/>
      <c r="G350" s="235"/>
      <c r="H350" s="236"/>
      <c r="I350" s="236"/>
      <c r="J350" s="236"/>
      <c r="K350" s="236"/>
      <c r="L350" s="236"/>
      <c r="M350" s="236"/>
      <c r="N350" s="236"/>
      <c r="O350" s="236"/>
      <c r="P350" s="236"/>
      <c r="Q350" s="236"/>
      <c r="R350" s="236"/>
      <c r="S350" s="236"/>
      <c r="T350" s="236"/>
      <c r="U350" s="236"/>
      <c r="V350" s="236"/>
      <c r="W350" s="237"/>
      <c r="X350" s="237"/>
      <c r="Y350" s="237"/>
      <c r="Z350" s="237"/>
      <c r="AA350" s="237"/>
      <c r="AB350" s="237"/>
      <c r="AC350" s="237"/>
      <c r="AD350" s="237"/>
      <c r="AE350" s="237"/>
      <c r="AF350" s="237"/>
      <c r="AG350" s="237"/>
      <c r="AH350" s="237"/>
      <c r="AI350" s="308"/>
      <c r="AJ350" s="308"/>
      <c r="AK350" s="308"/>
      <c r="AL350" s="308"/>
      <c r="AM350" s="98"/>
      <c r="AN350" s="98"/>
      <c r="AO350" s="98"/>
    </row>
    <row r="351" ht="14.25" customHeight="1">
      <c r="A351" s="179"/>
      <c r="B351" s="98"/>
      <c r="C351" s="98"/>
      <c r="D351" s="98"/>
      <c r="E351" s="98"/>
      <c r="F351" s="235"/>
      <c r="G351" s="235"/>
      <c r="H351" s="236"/>
      <c r="I351" s="236"/>
      <c r="J351" s="236"/>
      <c r="K351" s="236"/>
      <c r="L351" s="236"/>
      <c r="M351" s="236"/>
      <c r="N351" s="236"/>
      <c r="O351" s="236"/>
      <c r="P351" s="236"/>
      <c r="Q351" s="236"/>
      <c r="R351" s="236"/>
      <c r="S351" s="236"/>
      <c r="T351" s="236"/>
      <c r="U351" s="236"/>
      <c r="V351" s="236"/>
      <c r="W351" s="237"/>
      <c r="X351" s="237"/>
      <c r="Y351" s="237"/>
      <c r="Z351" s="237"/>
      <c r="AA351" s="237"/>
      <c r="AB351" s="237"/>
      <c r="AC351" s="237"/>
      <c r="AD351" s="237"/>
      <c r="AE351" s="237"/>
      <c r="AF351" s="237"/>
      <c r="AG351" s="237"/>
      <c r="AH351" s="237"/>
      <c r="AI351" s="308"/>
      <c r="AJ351" s="308"/>
      <c r="AK351" s="308"/>
      <c r="AL351" s="308"/>
      <c r="AM351" s="98"/>
      <c r="AN351" s="98"/>
      <c r="AO351" s="98"/>
    </row>
    <row r="352" ht="14.25" customHeight="1">
      <c r="A352" s="179"/>
      <c r="B352" s="98"/>
      <c r="C352" s="98"/>
      <c r="D352" s="98"/>
      <c r="E352" s="98"/>
      <c r="F352" s="235"/>
      <c r="G352" s="235"/>
      <c r="H352" s="236"/>
      <c r="I352" s="236"/>
      <c r="J352" s="236"/>
      <c r="K352" s="236"/>
      <c r="L352" s="236"/>
      <c r="M352" s="236"/>
      <c r="N352" s="236"/>
      <c r="O352" s="236"/>
      <c r="P352" s="236"/>
      <c r="Q352" s="236"/>
      <c r="R352" s="236"/>
      <c r="S352" s="236"/>
      <c r="T352" s="236"/>
      <c r="U352" s="236"/>
      <c r="V352" s="236"/>
      <c r="W352" s="237"/>
      <c r="X352" s="237"/>
      <c r="Y352" s="237"/>
      <c r="Z352" s="237"/>
      <c r="AA352" s="237"/>
      <c r="AB352" s="237"/>
      <c r="AC352" s="237"/>
      <c r="AD352" s="237"/>
      <c r="AE352" s="237"/>
      <c r="AF352" s="237"/>
      <c r="AG352" s="237"/>
      <c r="AH352" s="237"/>
      <c r="AI352" s="308"/>
      <c r="AJ352" s="308"/>
      <c r="AK352" s="308"/>
      <c r="AL352" s="308"/>
      <c r="AM352" s="98"/>
      <c r="AN352" s="98"/>
      <c r="AO352" s="98"/>
    </row>
    <row r="353" ht="14.25" customHeight="1">
      <c r="A353" s="179"/>
      <c r="B353" s="98"/>
      <c r="C353" s="98"/>
      <c r="D353" s="98"/>
      <c r="E353" s="98"/>
      <c r="F353" s="235"/>
      <c r="G353" s="235"/>
      <c r="H353" s="236"/>
      <c r="I353" s="236"/>
      <c r="J353" s="236"/>
      <c r="K353" s="236"/>
      <c r="L353" s="236"/>
      <c r="M353" s="236"/>
      <c r="N353" s="236"/>
      <c r="O353" s="236"/>
      <c r="P353" s="236"/>
      <c r="Q353" s="236"/>
      <c r="R353" s="236"/>
      <c r="S353" s="236"/>
      <c r="T353" s="236"/>
      <c r="U353" s="236"/>
      <c r="V353" s="236"/>
      <c r="W353" s="237"/>
      <c r="X353" s="237"/>
      <c r="Y353" s="237"/>
      <c r="Z353" s="237"/>
      <c r="AA353" s="237"/>
      <c r="AB353" s="237"/>
      <c r="AC353" s="237"/>
      <c r="AD353" s="237"/>
      <c r="AE353" s="237"/>
      <c r="AF353" s="237"/>
      <c r="AG353" s="237"/>
      <c r="AH353" s="237"/>
      <c r="AI353" s="308"/>
      <c r="AJ353" s="308"/>
      <c r="AK353" s="308"/>
      <c r="AL353" s="308"/>
      <c r="AM353" s="98"/>
      <c r="AN353" s="98"/>
      <c r="AO353" s="98"/>
    </row>
    <row r="354" ht="14.25" customHeight="1">
      <c r="A354" s="179"/>
      <c r="B354" s="98"/>
      <c r="C354" s="98"/>
      <c r="D354" s="98"/>
      <c r="E354" s="98"/>
      <c r="F354" s="235"/>
      <c r="G354" s="235"/>
      <c r="H354" s="236"/>
      <c r="I354" s="236"/>
      <c r="J354" s="236"/>
      <c r="K354" s="236"/>
      <c r="L354" s="236"/>
      <c r="M354" s="236"/>
      <c r="N354" s="236"/>
      <c r="O354" s="236"/>
      <c r="P354" s="236"/>
      <c r="Q354" s="236"/>
      <c r="R354" s="236"/>
      <c r="S354" s="236"/>
      <c r="T354" s="236"/>
      <c r="U354" s="236"/>
      <c r="V354" s="236"/>
      <c r="W354" s="237"/>
      <c r="X354" s="237"/>
      <c r="Y354" s="237"/>
      <c r="Z354" s="237"/>
      <c r="AA354" s="237"/>
      <c r="AB354" s="237"/>
      <c r="AC354" s="237"/>
      <c r="AD354" s="237"/>
      <c r="AE354" s="237"/>
      <c r="AF354" s="237"/>
      <c r="AG354" s="237"/>
      <c r="AH354" s="237"/>
      <c r="AI354" s="308"/>
      <c r="AJ354" s="308"/>
      <c r="AK354" s="308"/>
      <c r="AL354" s="308"/>
      <c r="AM354" s="98"/>
      <c r="AN354" s="98"/>
      <c r="AO354" s="98"/>
    </row>
    <row r="355" ht="14.25" customHeight="1">
      <c r="A355" s="179"/>
      <c r="B355" s="98"/>
      <c r="C355" s="98"/>
      <c r="D355" s="98"/>
      <c r="E355" s="98"/>
      <c r="F355" s="235"/>
      <c r="G355" s="235"/>
      <c r="H355" s="236"/>
      <c r="I355" s="236"/>
      <c r="J355" s="236"/>
      <c r="K355" s="236"/>
      <c r="L355" s="236"/>
      <c r="M355" s="236"/>
      <c r="N355" s="236"/>
      <c r="O355" s="236"/>
      <c r="P355" s="236"/>
      <c r="Q355" s="236"/>
      <c r="R355" s="236"/>
      <c r="S355" s="236"/>
      <c r="T355" s="236"/>
      <c r="U355" s="236"/>
      <c r="V355" s="236"/>
      <c r="W355" s="237"/>
      <c r="X355" s="237"/>
      <c r="Y355" s="237"/>
      <c r="Z355" s="237"/>
      <c r="AA355" s="237"/>
      <c r="AB355" s="237"/>
      <c r="AC355" s="237"/>
      <c r="AD355" s="237"/>
      <c r="AE355" s="237"/>
      <c r="AF355" s="237"/>
      <c r="AG355" s="237"/>
      <c r="AH355" s="237"/>
      <c r="AI355" s="308"/>
      <c r="AJ355" s="308"/>
      <c r="AK355" s="308"/>
      <c r="AL355" s="308"/>
      <c r="AM355" s="98"/>
      <c r="AN355" s="98"/>
      <c r="AO355" s="98"/>
    </row>
    <row r="356" ht="14.25" customHeight="1">
      <c r="A356" s="179"/>
      <c r="B356" s="98"/>
      <c r="C356" s="98"/>
      <c r="D356" s="98"/>
      <c r="E356" s="98"/>
      <c r="F356" s="235"/>
      <c r="G356" s="235"/>
      <c r="H356" s="236"/>
      <c r="I356" s="236"/>
      <c r="J356" s="236"/>
      <c r="K356" s="236"/>
      <c r="L356" s="236"/>
      <c r="M356" s="236"/>
      <c r="N356" s="236"/>
      <c r="O356" s="236"/>
      <c r="P356" s="236"/>
      <c r="Q356" s="236"/>
      <c r="R356" s="236"/>
      <c r="S356" s="236"/>
      <c r="T356" s="236"/>
      <c r="U356" s="236"/>
      <c r="V356" s="236"/>
      <c r="W356" s="237"/>
      <c r="X356" s="237"/>
      <c r="Y356" s="237"/>
      <c r="Z356" s="237"/>
      <c r="AA356" s="237"/>
      <c r="AB356" s="237"/>
      <c r="AC356" s="237"/>
      <c r="AD356" s="237"/>
      <c r="AE356" s="237"/>
      <c r="AF356" s="237"/>
      <c r="AG356" s="237"/>
      <c r="AH356" s="237"/>
      <c r="AI356" s="308"/>
      <c r="AJ356" s="308"/>
      <c r="AK356" s="308"/>
      <c r="AL356" s="308"/>
      <c r="AM356" s="98"/>
      <c r="AN356" s="98"/>
      <c r="AO356" s="98"/>
    </row>
    <row r="357" ht="14.25" customHeight="1">
      <c r="A357" s="179"/>
      <c r="B357" s="98"/>
      <c r="C357" s="98"/>
      <c r="D357" s="98"/>
      <c r="E357" s="98"/>
      <c r="F357" s="235"/>
      <c r="G357" s="235"/>
      <c r="H357" s="236"/>
      <c r="I357" s="236"/>
      <c r="J357" s="236"/>
      <c r="K357" s="236"/>
      <c r="L357" s="236"/>
      <c r="M357" s="236"/>
      <c r="N357" s="236"/>
      <c r="O357" s="236"/>
      <c r="P357" s="236"/>
      <c r="Q357" s="236"/>
      <c r="R357" s="236"/>
      <c r="S357" s="236"/>
      <c r="T357" s="236"/>
      <c r="U357" s="236"/>
      <c r="V357" s="236"/>
      <c r="W357" s="237"/>
      <c r="X357" s="237"/>
      <c r="Y357" s="237"/>
      <c r="Z357" s="237"/>
      <c r="AA357" s="237"/>
      <c r="AB357" s="237"/>
      <c r="AC357" s="237"/>
      <c r="AD357" s="237"/>
      <c r="AE357" s="237"/>
      <c r="AF357" s="237"/>
      <c r="AG357" s="237"/>
      <c r="AH357" s="237"/>
      <c r="AI357" s="308"/>
      <c r="AJ357" s="308"/>
      <c r="AK357" s="308"/>
      <c r="AL357" s="308"/>
      <c r="AM357" s="98"/>
      <c r="AN357" s="98"/>
      <c r="AO357" s="98"/>
    </row>
    <row r="358" ht="14.25" customHeight="1">
      <c r="A358" s="179"/>
      <c r="B358" s="98"/>
      <c r="C358" s="98"/>
      <c r="D358" s="98"/>
      <c r="E358" s="98"/>
      <c r="F358" s="235"/>
      <c r="G358" s="235"/>
      <c r="H358" s="236"/>
      <c r="I358" s="236"/>
      <c r="J358" s="236"/>
      <c r="K358" s="236"/>
      <c r="L358" s="236"/>
      <c r="M358" s="236"/>
      <c r="N358" s="236"/>
      <c r="O358" s="236"/>
      <c r="P358" s="236"/>
      <c r="Q358" s="236"/>
      <c r="R358" s="236"/>
      <c r="S358" s="236"/>
      <c r="T358" s="236"/>
      <c r="U358" s="236"/>
      <c r="V358" s="236"/>
      <c r="W358" s="237"/>
      <c r="X358" s="237"/>
      <c r="Y358" s="237"/>
      <c r="Z358" s="237"/>
      <c r="AA358" s="237"/>
      <c r="AB358" s="237"/>
      <c r="AC358" s="237"/>
      <c r="AD358" s="237"/>
      <c r="AE358" s="237"/>
      <c r="AF358" s="237"/>
      <c r="AG358" s="237"/>
      <c r="AH358" s="237"/>
      <c r="AI358" s="308"/>
      <c r="AJ358" s="308"/>
      <c r="AK358" s="308"/>
      <c r="AL358" s="308"/>
      <c r="AM358" s="98"/>
      <c r="AN358" s="98"/>
      <c r="AO358" s="98"/>
    </row>
    <row r="359" ht="14.25" customHeight="1">
      <c r="A359" s="179"/>
      <c r="B359" s="98"/>
      <c r="C359" s="98"/>
      <c r="D359" s="98"/>
      <c r="E359" s="98"/>
      <c r="F359" s="235"/>
      <c r="G359" s="235"/>
      <c r="H359" s="236"/>
      <c r="I359" s="236"/>
      <c r="J359" s="236"/>
      <c r="K359" s="236"/>
      <c r="L359" s="236"/>
      <c r="M359" s="236"/>
      <c r="N359" s="236"/>
      <c r="O359" s="236"/>
      <c r="P359" s="236"/>
      <c r="Q359" s="236"/>
      <c r="R359" s="236"/>
      <c r="S359" s="236"/>
      <c r="T359" s="236"/>
      <c r="U359" s="236"/>
      <c r="V359" s="236"/>
      <c r="W359" s="237"/>
      <c r="X359" s="237"/>
      <c r="Y359" s="237"/>
      <c r="Z359" s="237"/>
      <c r="AA359" s="237"/>
      <c r="AB359" s="237"/>
      <c r="AC359" s="237"/>
      <c r="AD359" s="237"/>
      <c r="AE359" s="237"/>
      <c r="AF359" s="237"/>
      <c r="AG359" s="237"/>
      <c r="AH359" s="237"/>
      <c r="AI359" s="308"/>
      <c r="AJ359" s="308"/>
      <c r="AK359" s="308"/>
      <c r="AL359" s="308"/>
      <c r="AM359" s="98"/>
      <c r="AN359" s="98"/>
      <c r="AO359" s="98"/>
    </row>
    <row r="360" ht="14.25" customHeight="1">
      <c r="A360" s="179"/>
      <c r="B360" s="98"/>
      <c r="C360" s="98"/>
      <c r="D360" s="98"/>
      <c r="E360" s="98"/>
      <c r="F360" s="235"/>
      <c r="G360" s="235"/>
      <c r="H360" s="236"/>
      <c r="I360" s="236"/>
      <c r="J360" s="236"/>
      <c r="K360" s="236"/>
      <c r="L360" s="236"/>
      <c r="M360" s="236"/>
      <c r="N360" s="236"/>
      <c r="O360" s="236"/>
      <c r="P360" s="236"/>
      <c r="Q360" s="236"/>
      <c r="R360" s="236"/>
      <c r="S360" s="236"/>
      <c r="T360" s="236"/>
      <c r="U360" s="236"/>
      <c r="V360" s="236"/>
      <c r="W360" s="237"/>
      <c r="X360" s="237"/>
      <c r="Y360" s="237"/>
      <c r="Z360" s="237"/>
      <c r="AA360" s="237"/>
      <c r="AB360" s="237"/>
      <c r="AC360" s="237"/>
      <c r="AD360" s="237"/>
      <c r="AE360" s="237"/>
      <c r="AF360" s="237"/>
      <c r="AG360" s="237"/>
      <c r="AH360" s="237"/>
      <c r="AI360" s="308"/>
      <c r="AJ360" s="308"/>
      <c r="AK360" s="308"/>
      <c r="AL360" s="308"/>
      <c r="AM360" s="98"/>
      <c r="AN360" s="98"/>
      <c r="AO360" s="98"/>
    </row>
    <row r="361" ht="14.25" customHeight="1">
      <c r="A361" s="179"/>
      <c r="B361" s="98"/>
      <c r="C361" s="98"/>
      <c r="D361" s="98"/>
      <c r="E361" s="98"/>
      <c r="F361" s="235"/>
      <c r="G361" s="235"/>
      <c r="H361" s="236"/>
      <c r="I361" s="236"/>
      <c r="J361" s="236"/>
      <c r="K361" s="236"/>
      <c r="L361" s="236"/>
      <c r="M361" s="236"/>
      <c r="N361" s="236"/>
      <c r="O361" s="236"/>
      <c r="P361" s="236"/>
      <c r="Q361" s="236"/>
      <c r="R361" s="236"/>
      <c r="S361" s="236"/>
      <c r="T361" s="236"/>
      <c r="U361" s="236"/>
      <c r="V361" s="236"/>
      <c r="W361" s="237"/>
      <c r="X361" s="237"/>
      <c r="Y361" s="237"/>
      <c r="Z361" s="237"/>
      <c r="AA361" s="237"/>
      <c r="AB361" s="237"/>
      <c r="AC361" s="237"/>
      <c r="AD361" s="237"/>
      <c r="AE361" s="237"/>
      <c r="AF361" s="237"/>
      <c r="AG361" s="237"/>
      <c r="AH361" s="237"/>
      <c r="AI361" s="308"/>
      <c r="AJ361" s="308"/>
      <c r="AK361" s="308"/>
      <c r="AL361" s="308"/>
      <c r="AM361" s="98"/>
      <c r="AN361" s="98"/>
      <c r="AO361" s="98"/>
    </row>
    <row r="362" ht="14.25" customHeight="1">
      <c r="A362" s="179"/>
      <c r="B362" s="98"/>
      <c r="C362" s="98"/>
      <c r="D362" s="98"/>
      <c r="E362" s="98"/>
      <c r="F362" s="235"/>
      <c r="G362" s="235"/>
      <c r="H362" s="236"/>
      <c r="I362" s="236"/>
      <c r="J362" s="236"/>
      <c r="K362" s="236"/>
      <c r="L362" s="236"/>
      <c r="M362" s="236"/>
      <c r="N362" s="236"/>
      <c r="O362" s="236"/>
      <c r="P362" s="236"/>
      <c r="Q362" s="236"/>
      <c r="R362" s="236"/>
      <c r="S362" s="236"/>
      <c r="T362" s="236"/>
      <c r="U362" s="236"/>
      <c r="V362" s="236"/>
      <c r="W362" s="237"/>
      <c r="X362" s="237"/>
      <c r="Y362" s="237"/>
      <c r="Z362" s="237"/>
      <c r="AA362" s="237"/>
      <c r="AB362" s="237"/>
      <c r="AC362" s="237"/>
      <c r="AD362" s="237"/>
      <c r="AE362" s="237"/>
      <c r="AF362" s="237"/>
      <c r="AG362" s="237"/>
      <c r="AH362" s="237"/>
      <c r="AI362" s="308"/>
      <c r="AJ362" s="308"/>
      <c r="AK362" s="308"/>
      <c r="AL362" s="308"/>
      <c r="AM362" s="98"/>
      <c r="AN362" s="98"/>
      <c r="AO362" s="98"/>
    </row>
    <row r="363" ht="14.25" customHeight="1">
      <c r="A363" s="179"/>
      <c r="B363" s="98"/>
      <c r="C363" s="98"/>
      <c r="D363" s="98"/>
      <c r="E363" s="98"/>
      <c r="F363" s="235"/>
      <c r="G363" s="235"/>
      <c r="H363" s="236"/>
      <c r="I363" s="236"/>
      <c r="J363" s="236"/>
      <c r="K363" s="236"/>
      <c r="L363" s="236"/>
      <c r="M363" s="236"/>
      <c r="N363" s="236"/>
      <c r="O363" s="236"/>
      <c r="P363" s="236"/>
      <c r="Q363" s="236"/>
      <c r="R363" s="236"/>
      <c r="S363" s="236"/>
      <c r="T363" s="236"/>
      <c r="U363" s="236"/>
      <c r="V363" s="236"/>
      <c r="W363" s="237"/>
      <c r="X363" s="237"/>
      <c r="Y363" s="237"/>
      <c r="Z363" s="237"/>
      <c r="AA363" s="237"/>
      <c r="AB363" s="237"/>
      <c r="AC363" s="237"/>
      <c r="AD363" s="237"/>
      <c r="AE363" s="237"/>
      <c r="AF363" s="237"/>
      <c r="AG363" s="237"/>
      <c r="AH363" s="237"/>
      <c r="AI363" s="308"/>
      <c r="AJ363" s="308"/>
      <c r="AK363" s="308"/>
      <c r="AL363" s="308"/>
      <c r="AM363" s="98"/>
      <c r="AN363" s="98"/>
      <c r="AO363" s="98"/>
    </row>
    <row r="364" ht="14.25" customHeight="1">
      <c r="A364" s="179"/>
      <c r="B364" s="98"/>
      <c r="C364" s="98"/>
      <c r="D364" s="98"/>
      <c r="E364" s="98"/>
      <c r="F364" s="235"/>
      <c r="G364" s="235"/>
      <c r="H364" s="236"/>
      <c r="I364" s="236"/>
      <c r="J364" s="236"/>
      <c r="K364" s="236"/>
      <c r="L364" s="236"/>
      <c r="M364" s="236"/>
      <c r="N364" s="236"/>
      <c r="O364" s="236"/>
      <c r="P364" s="236"/>
      <c r="Q364" s="236"/>
      <c r="R364" s="236"/>
      <c r="S364" s="236"/>
      <c r="T364" s="236"/>
      <c r="U364" s="236"/>
      <c r="V364" s="236"/>
      <c r="W364" s="237"/>
      <c r="X364" s="237"/>
      <c r="Y364" s="237"/>
      <c r="Z364" s="237"/>
      <c r="AA364" s="237"/>
      <c r="AB364" s="237"/>
      <c r="AC364" s="237"/>
      <c r="AD364" s="237"/>
      <c r="AE364" s="237"/>
      <c r="AF364" s="237"/>
      <c r="AG364" s="237"/>
      <c r="AH364" s="237"/>
      <c r="AI364" s="308"/>
      <c r="AJ364" s="308"/>
      <c r="AK364" s="308"/>
      <c r="AL364" s="308"/>
      <c r="AM364" s="98"/>
      <c r="AN364" s="98"/>
      <c r="AO364" s="98"/>
    </row>
    <row r="365" ht="14.25" customHeight="1">
      <c r="A365" s="179"/>
      <c r="B365" s="98"/>
      <c r="C365" s="98"/>
      <c r="D365" s="98"/>
      <c r="E365" s="98"/>
      <c r="F365" s="235"/>
      <c r="G365" s="235"/>
      <c r="H365" s="236"/>
      <c r="I365" s="236"/>
      <c r="J365" s="236"/>
      <c r="K365" s="236"/>
      <c r="L365" s="236"/>
      <c r="M365" s="236"/>
      <c r="N365" s="236"/>
      <c r="O365" s="236"/>
      <c r="P365" s="236"/>
      <c r="Q365" s="236"/>
      <c r="R365" s="236"/>
      <c r="S365" s="236"/>
      <c r="T365" s="236"/>
      <c r="U365" s="236"/>
      <c r="V365" s="236"/>
      <c r="W365" s="237"/>
      <c r="X365" s="237"/>
      <c r="Y365" s="237"/>
      <c r="Z365" s="237"/>
      <c r="AA365" s="237"/>
      <c r="AB365" s="237"/>
      <c r="AC365" s="237"/>
      <c r="AD365" s="237"/>
      <c r="AE365" s="237"/>
      <c r="AF365" s="237"/>
      <c r="AG365" s="237"/>
      <c r="AH365" s="237"/>
      <c r="AI365" s="308"/>
      <c r="AJ365" s="308"/>
      <c r="AK365" s="308"/>
      <c r="AL365" s="308"/>
      <c r="AM365" s="98"/>
      <c r="AN365" s="98"/>
      <c r="AO365" s="98"/>
    </row>
    <row r="366" ht="14.25" customHeight="1">
      <c r="A366" s="179"/>
      <c r="B366" s="98"/>
      <c r="C366" s="98"/>
      <c r="D366" s="98"/>
      <c r="E366" s="98"/>
      <c r="F366" s="235"/>
      <c r="G366" s="235"/>
      <c r="H366" s="236"/>
      <c r="I366" s="236"/>
      <c r="J366" s="236"/>
      <c r="K366" s="236"/>
      <c r="L366" s="236"/>
      <c r="M366" s="236"/>
      <c r="N366" s="236"/>
      <c r="O366" s="236"/>
      <c r="P366" s="236"/>
      <c r="Q366" s="236"/>
      <c r="R366" s="236"/>
      <c r="S366" s="236"/>
      <c r="T366" s="236"/>
      <c r="U366" s="236"/>
      <c r="V366" s="236"/>
      <c r="W366" s="237"/>
      <c r="X366" s="237"/>
      <c r="Y366" s="237"/>
      <c r="Z366" s="237"/>
      <c r="AA366" s="237"/>
      <c r="AB366" s="237"/>
      <c r="AC366" s="237"/>
      <c r="AD366" s="237"/>
      <c r="AE366" s="237"/>
      <c r="AF366" s="237"/>
      <c r="AG366" s="237"/>
      <c r="AH366" s="237"/>
      <c r="AI366" s="308"/>
      <c r="AJ366" s="308"/>
      <c r="AK366" s="308"/>
      <c r="AL366" s="308"/>
      <c r="AM366" s="98"/>
      <c r="AN366" s="98"/>
      <c r="AO366" s="98"/>
    </row>
    <row r="367" ht="14.25" customHeight="1">
      <c r="A367" s="179"/>
      <c r="B367" s="98"/>
      <c r="C367" s="98"/>
      <c r="D367" s="98"/>
      <c r="E367" s="98"/>
      <c r="F367" s="235"/>
      <c r="G367" s="235"/>
      <c r="H367" s="236"/>
      <c r="I367" s="236"/>
      <c r="J367" s="236"/>
      <c r="K367" s="236"/>
      <c r="L367" s="236"/>
      <c r="M367" s="236"/>
      <c r="N367" s="236"/>
      <c r="O367" s="236"/>
      <c r="P367" s="236"/>
      <c r="Q367" s="236"/>
      <c r="R367" s="236"/>
      <c r="S367" s="236"/>
      <c r="T367" s="236"/>
      <c r="U367" s="236"/>
      <c r="V367" s="236"/>
      <c r="W367" s="237"/>
      <c r="X367" s="237"/>
      <c r="Y367" s="237"/>
      <c r="Z367" s="237"/>
      <c r="AA367" s="237"/>
      <c r="AB367" s="237"/>
      <c r="AC367" s="237"/>
      <c r="AD367" s="237"/>
      <c r="AE367" s="237"/>
      <c r="AF367" s="237"/>
      <c r="AG367" s="237"/>
      <c r="AH367" s="237"/>
      <c r="AI367" s="308"/>
      <c r="AJ367" s="308"/>
      <c r="AK367" s="308"/>
      <c r="AL367" s="308"/>
      <c r="AM367" s="98"/>
      <c r="AN367" s="98"/>
      <c r="AO367" s="98"/>
    </row>
    <row r="368" ht="14.25" customHeight="1">
      <c r="A368" s="179"/>
      <c r="B368" s="98"/>
      <c r="C368" s="98"/>
      <c r="D368" s="98"/>
      <c r="E368" s="98"/>
      <c r="F368" s="235"/>
      <c r="G368" s="235"/>
      <c r="H368" s="236"/>
      <c r="I368" s="236"/>
      <c r="J368" s="236"/>
      <c r="K368" s="236"/>
      <c r="L368" s="236"/>
      <c r="M368" s="236"/>
      <c r="N368" s="236"/>
      <c r="O368" s="236"/>
      <c r="P368" s="236"/>
      <c r="Q368" s="236"/>
      <c r="R368" s="236"/>
      <c r="S368" s="236"/>
      <c r="T368" s="236"/>
      <c r="U368" s="236"/>
      <c r="V368" s="236"/>
      <c r="W368" s="237"/>
      <c r="X368" s="237"/>
      <c r="Y368" s="237"/>
      <c r="Z368" s="237"/>
      <c r="AA368" s="237"/>
      <c r="AB368" s="237"/>
      <c r="AC368" s="237"/>
      <c r="AD368" s="237"/>
      <c r="AE368" s="237"/>
      <c r="AF368" s="237"/>
      <c r="AG368" s="237"/>
      <c r="AH368" s="237"/>
      <c r="AI368" s="308"/>
      <c r="AJ368" s="308"/>
      <c r="AK368" s="308"/>
      <c r="AL368" s="308"/>
      <c r="AM368" s="98"/>
      <c r="AN368" s="98"/>
      <c r="AO368" s="98"/>
    </row>
    <row r="369" ht="14.25" customHeight="1">
      <c r="A369" s="179"/>
      <c r="B369" s="98"/>
      <c r="C369" s="98"/>
      <c r="D369" s="98"/>
      <c r="E369" s="98"/>
      <c r="F369" s="235"/>
      <c r="G369" s="235"/>
      <c r="H369" s="236"/>
      <c r="I369" s="236"/>
      <c r="J369" s="236"/>
      <c r="K369" s="236"/>
      <c r="L369" s="236"/>
      <c r="M369" s="236"/>
      <c r="N369" s="236"/>
      <c r="O369" s="236"/>
      <c r="P369" s="236"/>
      <c r="Q369" s="236"/>
      <c r="R369" s="236"/>
      <c r="S369" s="236"/>
      <c r="T369" s="236"/>
      <c r="U369" s="236"/>
      <c r="V369" s="236"/>
      <c r="W369" s="237"/>
      <c r="X369" s="237"/>
      <c r="Y369" s="237"/>
      <c r="Z369" s="237"/>
      <c r="AA369" s="237"/>
      <c r="AB369" s="237"/>
      <c r="AC369" s="237"/>
      <c r="AD369" s="237"/>
      <c r="AE369" s="237"/>
      <c r="AF369" s="237"/>
      <c r="AG369" s="237"/>
      <c r="AH369" s="237"/>
      <c r="AI369" s="308"/>
      <c r="AJ369" s="308"/>
      <c r="AK369" s="308"/>
      <c r="AL369" s="308"/>
      <c r="AM369" s="98"/>
      <c r="AN369" s="98"/>
      <c r="AO369" s="98"/>
    </row>
    <row r="370" ht="14.25" customHeight="1">
      <c r="A370" s="179"/>
      <c r="B370" s="98"/>
      <c r="C370" s="98"/>
      <c r="D370" s="98"/>
      <c r="E370" s="98"/>
      <c r="F370" s="235"/>
      <c r="G370" s="235"/>
      <c r="H370" s="236"/>
      <c r="I370" s="236"/>
      <c r="J370" s="236"/>
      <c r="K370" s="236"/>
      <c r="L370" s="236"/>
      <c r="M370" s="236"/>
      <c r="N370" s="236"/>
      <c r="O370" s="236"/>
      <c r="P370" s="236"/>
      <c r="Q370" s="236"/>
      <c r="R370" s="236"/>
      <c r="S370" s="236"/>
      <c r="T370" s="236"/>
      <c r="U370" s="236"/>
      <c r="V370" s="236"/>
      <c r="W370" s="237"/>
      <c r="X370" s="237"/>
      <c r="Y370" s="237"/>
      <c r="Z370" s="237"/>
      <c r="AA370" s="237"/>
      <c r="AB370" s="237"/>
      <c r="AC370" s="237"/>
      <c r="AD370" s="237"/>
      <c r="AE370" s="237"/>
      <c r="AF370" s="237"/>
      <c r="AG370" s="237"/>
      <c r="AH370" s="237"/>
      <c r="AI370" s="308"/>
      <c r="AJ370" s="308"/>
      <c r="AK370" s="308"/>
      <c r="AL370" s="308"/>
      <c r="AM370" s="98"/>
      <c r="AN370" s="98"/>
      <c r="AO370" s="98"/>
    </row>
    <row r="371" ht="14.25" customHeight="1">
      <c r="A371" s="179"/>
      <c r="B371" s="98"/>
      <c r="C371" s="98"/>
      <c r="D371" s="98"/>
      <c r="E371" s="98"/>
      <c r="F371" s="235"/>
      <c r="G371" s="235"/>
      <c r="H371" s="236"/>
      <c r="I371" s="236"/>
      <c r="J371" s="236"/>
      <c r="K371" s="236"/>
      <c r="L371" s="236"/>
      <c r="M371" s="236"/>
      <c r="N371" s="236"/>
      <c r="O371" s="236"/>
      <c r="P371" s="236"/>
      <c r="Q371" s="236"/>
      <c r="R371" s="236"/>
      <c r="S371" s="236"/>
      <c r="T371" s="236"/>
      <c r="U371" s="236"/>
      <c r="V371" s="236"/>
      <c r="W371" s="237"/>
      <c r="X371" s="237"/>
      <c r="Y371" s="237"/>
      <c r="Z371" s="237"/>
      <c r="AA371" s="237"/>
      <c r="AB371" s="237"/>
      <c r="AC371" s="237"/>
      <c r="AD371" s="237"/>
      <c r="AE371" s="237"/>
      <c r="AF371" s="237"/>
      <c r="AG371" s="237"/>
      <c r="AH371" s="237"/>
      <c r="AI371" s="308"/>
      <c r="AJ371" s="308"/>
      <c r="AK371" s="308"/>
      <c r="AL371" s="308"/>
      <c r="AM371" s="98"/>
      <c r="AN371" s="98"/>
      <c r="AO371" s="98"/>
    </row>
    <row r="372" ht="14.25" customHeight="1">
      <c r="A372" s="179"/>
      <c r="B372" s="98"/>
      <c r="C372" s="98"/>
      <c r="D372" s="98"/>
      <c r="E372" s="98"/>
      <c r="F372" s="235"/>
      <c r="G372" s="235"/>
      <c r="H372" s="236"/>
      <c r="I372" s="236"/>
      <c r="J372" s="236"/>
      <c r="K372" s="236"/>
      <c r="L372" s="236"/>
      <c r="M372" s="236"/>
      <c r="N372" s="236"/>
      <c r="O372" s="236"/>
      <c r="P372" s="236"/>
      <c r="Q372" s="236"/>
      <c r="R372" s="236"/>
      <c r="S372" s="236"/>
      <c r="T372" s="236"/>
      <c r="U372" s="236"/>
      <c r="V372" s="236"/>
      <c r="W372" s="237"/>
      <c r="X372" s="237"/>
      <c r="Y372" s="237"/>
      <c r="Z372" s="237"/>
      <c r="AA372" s="237"/>
      <c r="AB372" s="237"/>
      <c r="AC372" s="237"/>
      <c r="AD372" s="237"/>
      <c r="AE372" s="237"/>
      <c r="AF372" s="237"/>
      <c r="AG372" s="237"/>
      <c r="AH372" s="237"/>
      <c r="AI372" s="308"/>
      <c r="AJ372" s="308"/>
      <c r="AK372" s="308"/>
      <c r="AL372" s="308"/>
      <c r="AM372" s="98"/>
      <c r="AN372" s="98"/>
      <c r="AO372" s="98"/>
    </row>
    <row r="373" ht="14.25" customHeight="1">
      <c r="A373" s="179"/>
      <c r="B373" s="98"/>
      <c r="C373" s="98"/>
      <c r="D373" s="98"/>
      <c r="E373" s="98"/>
      <c r="F373" s="235"/>
      <c r="G373" s="235"/>
      <c r="H373" s="236"/>
      <c r="I373" s="236"/>
      <c r="J373" s="236"/>
      <c r="K373" s="236"/>
      <c r="L373" s="236"/>
      <c r="M373" s="236"/>
      <c r="N373" s="236"/>
      <c r="O373" s="236"/>
      <c r="P373" s="236"/>
      <c r="Q373" s="236"/>
      <c r="R373" s="236"/>
      <c r="S373" s="236"/>
      <c r="T373" s="236"/>
      <c r="U373" s="236"/>
      <c r="V373" s="236"/>
      <c r="W373" s="237"/>
      <c r="X373" s="237"/>
      <c r="Y373" s="237"/>
      <c r="Z373" s="237"/>
      <c r="AA373" s="237"/>
      <c r="AB373" s="237"/>
      <c r="AC373" s="237"/>
      <c r="AD373" s="237"/>
      <c r="AE373" s="237"/>
      <c r="AF373" s="237"/>
      <c r="AG373" s="237"/>
      <c r="AH373" s="237"/>
      <c r="AI373" s="308"/>
      <c r="AJ373" s="308"/>
      <c r="AK373" s="308"/>
      <c r="AL373" s="308"/>
      <c r="AM373" s="98"/>
      <c r="AN373" s="98"/>
      <c r="AO373" s="98"/>
    </row>
    <row r="374" ht="14.25" customHeight="1">
      <c r="A374" s="179"/>
      <c r="B374" s="98"/>
      <c r="C374" s="98"/>
      <c r="D374" s="98"/>
      <c r="E374" s="98"/>
      <c r="F374" s="235"/>
      <c r="G374" s="235"/>
      <c r="H374" s="236"/>
      <c r="I374" s="236"/>
      <c r="J374" s="236"/>
      <c r="K374" s="236"/>
      <c r="L374" s="236"/>
      <c r="M374" s="236"/>
      <c r="N374" s="236"/>
      <c r="O374" s="236"/>
      <c r="P374" s="236"/>
      <c r="Q374" s="236"/>
      <c r="R374" s="236"/>
      <c r="S374" s="236"/>
      <c r="T374" s="236"/>
      <c r="U374" s="236"/>
      <c r="V374" s="236"/>
      <c r="W374" s="237"/>
      <c r="X374" s="237"/>
      <c r="Y374" s="237"/>
      <c r="Z374" s="237"/>
      <c r="AA374" s="237"/>
      <c r="AB374" s="237"/>
      <c r="AC374" s="237"/>
      <c r="AD374" s="237"/>
      <c r="AE374" s="237"/>
      <c r="AF374" s="237"/>
      <c r="AG374" s="237"/>
      <c r="AH374" s="237"/>
      <c r="AI374" s="308"/>
      <c r="AJ374" s="308"/>
      <c r="AK374" s="308"/>
      <c r="AL374" s="308"/>
      <c r="AM374" s="98"/>
      <c r="AN374" s="98"/>
      <c r="AO374" s="98"/>
    </row>
    <row r="375" ht="14.25" customHeight="1">
      <c r="A375" s="179"/>
      <c r="B375" s="98"/>
      <c r="C375" s="98"/>
      <c r="D375" s="98"/>
      <c r="E375" s="98"/>
      <c r="F375" s="235"/>
      <c r="G375" s="235"/>
      <c r="H375" s="236"/>
      <c r="I375" s="236"/>
      <c r="J375" s="236"/>
      <c r="K375" s="236"/>
      <c r="L375" s="236"/>
      <c r="M375" s="236"/>
      <c r="N375" s="236"/>
      <c r="O375" s="236"/>
      <c r="P375" s="236"/>
      <c r="Q375" s="236"/>
      <c r="R375" s="236"/>
      <c r="S375" s="236"/>
      <c r="T375" s="236"/>
      <c r="U375" s="236"/>
      <c r="V375" s="236"/>
      <c r="W375" s="237"/>
      <c r="X375" s="237"/>
      <c r="Y375" s="237"/>
      <c r="Z375" s="237"/>
      <c r="AA375" s="237"/>
      <c r="AB375" s="237"/>
      <c r="AC375" s="237"/>
      <c r="AD375" s="237"/>
      <c r="AE375" s="237"/>
      <c r="AF375" s="237"/>
      <c r="AG375" s="237"/>
      <c r="AH375" s="237"/>
      <c r="AI375" s="308"/>
      <c r="AJ375" s="308"/>
      <c r="AK375" s="308"/>
      <c r="AL375" s="308"/>
      <c r="AM375" s="98"/>
      <c r="AN375" s="98"/>
      <c r="AO375" s="98"/>
    </row>
    <row r="376" ht="14.25" customHeight="1">
      <c r="A376" s="179"/>
      <c r="B376" s="98"/>
      <c r="C376" s="98"/>
      <c r="D376" s="98"/>
      <c r="E376" s="98"/>
      <c r="F376" s="235"/>
      <c r="G376" s="235"/>
      <c r="H376" s="236"/>
      <c r="I376" s="236"/>
      <c r="J376" s="236"/>
      <c r="K376" s="236"/>
      <c r="L376" s="236"/>
      <c r="M376" s="236"/>
      <c r="N376" s="236"/>
      <c r="O376" s="236"/>
      <c r="P376" s="236"/>
      <c r="Q376" s="236"/>
      <c r="R376" s="236"/>
      <c r="S376" s="236"/>
      <c r="T376" s="236"/>
      <c r="U376" s="236"/>
      <c r="V376" s="236"/>
      <c r="W376" s="237"/>
      <c r="X376" s="237"/>
      <c r="Y376" s="237"/>
      <c r="Z376" s="237"/>
      <c r="AA376" s="237"/>
      <c r="AB376" s="237"/>
      <c r="AC376" s="237"/>
      <c r="AD376" s="237"/>
      <c r="AE376" s="237"/>
      <c r="AF376" s="237"/>
      <c r="AG376" s="237"/>
      <c r="AH376" s="237"/>
      <c r="AI376" s="308"/>
      <c r="AJ376" s="308"/>
      <c r="AK376" s="308"/>
      <c r="AL376" s="308"/>
      <c r="AM376" s="98"/>
      <c r="AN376" s="98"/>
      <c r="AO376" s="98"/>
    </row>
    <row r="377" ht="14.25" customHeight="1">
      <c r="A377" s="179"/>
      <c r="B377" s="98"/>
      <c r="C377" s="98"/>
      <c r="D377" s="98"/>
      <c r="E377" s="98"/>
      <c r="F377" s="235"/>
      <c r="G377" s="235"/>
      <c r="H377" s="236"/>
      <c r="I377" s="236"/>
      <c r="J377" s="236"/>
      <c r="K377" s="236"/>
      <c r="L377" s="236"/>
      <c r="M377" s="236"/>
      <c r="N377" s="236"/>
      <c r="O377" s="236"/>
      <c r="P377" s="236"/>
      <c r="Q377" s="236"/>
      <c r="R377" s="236"/>
      <c r="S377" s="236"/>
      <c r="T377" s="236"/>
      <c r="U377" s="236"/>
      <c r="V377" s="236"/>
      <c r="W377" s="237"/>
      <c r="X377" s="237"/>
      <c r="Y377" s="237"/>
      <c r="Z377" s="237"/>
      <c r="AA377" s="237"/>
      <c r="AB377" s="237"/>
      <c r="AC377" s="237"/>
      <c r="AD377" s="237"/>
      <c r="AE377" s="237"/>
      <c r="AF377" s="237"/>
      <c r="AG377" s="237"/>
      <c r="AH377" s="237"/>
      <c r="AI377" s="308"/>
      <c r="AJ377" s="308"/>
      <c r="AK377" s="308"/>
      <c r="AL377" s="308"/>
      <c r="AM377" s="98"/>
      <c r="AN377" s="98"/>
      <c r="AO377" s="98"/>
    </row>
    <row r="378" ht="14.25" customHeight="1">
      <c r="A378" s="179"/>
      <c r="B378" s="98"/>
      <c r="C378" s="98"/>
      <c r="D378" s="98"/>
      <c r="E378" s="98"/>
      <c r="F378" s="235"/>
      <c r="G378" s="235"/>
      <c r="H378" s="236"/>
      <c r="I378" s="236"/>
      <c r="J378" s="236"/>
      <c r="K378" s="236"/>
      <c r="L378" s="236"/>
      <c r="M378" s="236"/>
      <c r="N378" s="236"/>
      <c r="O378" s="236"/>
      <c r="P378" s="236"/>
      <c r="Q378" s="236"/>
      <c r="R378" s="236"/>
      <c r="S378" s="236"/>
      <c r="T378" s="236"/>
      <c r="U378" s="236"/>
      <c r="V378" s="236"/>
      <c r="W378" s="237"/>
      <c r="X378" s="237"/>
      <c r="Y378" s="237"/>
      <c r="Z378" s="237"/>
      <c r="AA378" s="237"/>
      <c r="AB378" s="237"/>
      <c r="AC378" s="237"/>
      <c r="AD378" s="237"/>
      <c r="AE378" s="237"/>
      <c r="AF378" s="237"/>
      <c r="AG378" s="237"/>
      <c r="AH378" s="237"/>
      <c r="AI378" s="308"/>
      <c r="AJ378" s="308"/>
      <c r="AK378" s="308"/>
      <c r="AL378" s="308"/>
      <c r="AM378" s="98"/>
      <c r="AN378" s="98"/>
      <c r="AO378" s="98"/>
    </row>
    <row r="379" ht="14.25" customHeight="1">
      <c r="A379" s="179"/>
      <c r="B379" s="98"/>
      <c r="C379" s="98"/>
      <c r="D379" s="98"/>
      <c r="E379" s="98"/>
      <c r="F379" s="235"/>
      <c r="G379" s="235"/>
      <c r="H379" s="236"/>
      <c r="I379" s="236"/>
      <c r="J379" s="236"/>
      <c r="K379" s="236"/>
      <c r="L379" s="236"/>
      <c r="M379" s="236"/>
      <c r="N379" s="236"/>
      <c r="O379" s="236"/>
      <c r="P379" s="236"/>
      <c r="Q379" s="236"/>
      <c r="R379" s="236"/>
      <c r="S379" s="236"/>
      <c r="T379" s="236"/>
      <c r="U379" s="236"/>
      <c r="V379" s="236"/>
      <c r="W379" s="237"/>
      <c r="X379" s="237"/>
      <c r="Y379" s="237"/>
      <c r="Z379" s="237"/>
      <c r="AA379" s="237"/>
      <c r="AB379" s="237"/>
      <c r="AC379" s="237"/>
      <c r="AD379" s="237"/>
      <c r="AE379" s="237"/>
      <c r="AF379" s="237"/>
      <c r="AG379" s="237"/>
      <c r="AH379" s="237"/>
      <c r="AI379" s="308"/>
      <c r="AJ379" s="308"/>
      <c r="AK379" s="308"/>
      <c r="AL379" s="308"/>
      <c r="AM379" s="98"/>
      <c r="AN379" s="98"/>
      <c r="AO379" s="98"/>
    </row>
    <row r="380" ht="14.25" customHeight="1">
      <c r="A380" s="179"/>
      <c r="B380" s="98"/>
      <c r="C380" s="98"/>
      <c r="D380" s="98"/>
      <c r="E380" s="98"/>
      <c r="F380" s="235"/>
      <c r="G380" s="235"/>
      <c r="H380" s="236"/>
      <c r="I380" s="236"/>
      <c r="J380" s="236"/>
      <c r="K380" s="236"/>
      <c r="L380" s="236"/>
      <c r="M380" s="236"/>
      <c r="N380" s="236"/>
      <c r="O380" s="236"/>
      <c r="P380" s="236"/>
      <c r="Q380" s="236"/>
      <c r="R380" s="236"/>
      <c r="S380" s="236"/>
      <c r="T380" s="236"/>
      <c r="U380" s="236"/>
      <c r="V380" s="236"/>
      <c r="W380" s="237"/>
      <c r="X380" s="237"/>
      <c r="Y380" s="237"/>
      <c r="Z380" s="237"/>
      <c r="AA380" s="237"/>
      <c r="AB380" s="237"/>
      <c r="AC380" s="237"/>
      <c r="AD380" s="237"/>
      <c r="AE380" s="237"/>
      <c r="AF380" s="237"/>
      <c r="AG380" s="237"/>
      <c r="AH380" s="237"/>
      <c r="AI380" s="308"/>
      <c r="AJ380" s="308"/>
      <c r="AK380" s="308"/>
      <c r="AL380" s="308"/>
      <c r="AM380" s="98"/>
      <c r="AN380" s="98"/>
      <c r="AO380" s="98"/>
    </row>
    <row r="381" ht="14.25" customHeight="1">
      <c r="A381" s="179"/>
      <c r="B381" s="98"/>
      <c r="C381" s="98"/>
      <c r="D381" s="98"/>
      <c r="E381" s="98"/>
      <c r="F381" s="235"/>
      <c r="G381" s="235"/>
      <c r="H381" s="236"/>
      <c r="I381" s="236"/>
      <c r="J381" s="236"/>
      <c r="K381" s="236"/>
      <c r="L381" s="236"/>
      <c r="M381" s="236"/>
      <c r="N381" s="236"/>
      <c r="O381" s="236"/>
      <c r="P381" s="236"/>
      <c r="Q381" s="236"/>
      <c r="R381" s="236"/>
      <c r="S381" s="236"/>
      <c r="T381" s="236"/>
      <c r="U381" s="236"/>
      <c r="V381" s="236"/>
      <c r="W381" s="237"/>
      <c r="X381" s="237"/>
      <c r="Y381" s="237"/>
      <c r="Z381" s="237"/>
      <c r="AA381" s="237"/>
      <c r="AB381" s="237"/>
      <c r="AC381" s="237"/>
      <c r="AD381" s="237"/>
      <c r="AE381" s="237"/>
      <c r="AF381" s="237"/>
      <c r="AG381" s="237"/>
      <c r="AH381" s="237"/>
      <c r="AI381" s="308"/>
      <c r="AJ381" s="308"/>
      <c r="AK381" s="308"/>
      <c r="AL381" s="308"/>
      <c r="AM381" s="98"/>
      <c r="AN381" s="98"/>
      <c r="AO381" s="98"/>
    </row>
    <row r="382" ht="14.25" customHeight="1">
      <c r="A382" s="179"/>
      <c r="B382" s="98"/>
      <c r="C382" s="98"/>
      <c r="D382" s="98"/>
      <c r="E382" s="98"/>
      <c r="F382" s="235"/>
      <c r="G382" s="235"/>
      <c r="H382" s="236"/>
      <c r="I382" s="236"/>
      <c r="J382" s="236"/>
      <c r="K382" s="236"/>
      <c r="L382" s="236"/>
      <c r="M382" s="236"/>
      <c r="N382" s="236"/>
      <c r="O382" s="236"/>
      <c r="P382" s="236"/>
      <c r="Q382" s="236"/>
      <c r="R382" s="236"/>
      <c r="S382" s="236"/>
      <c r="T382" s="236"/>
      <c r="U382" s="236"/>
      <c r="V382" s="236"/>
      <c r="W382" s="237"/>
      <c r="X382" s="237"/>
      <c r="Y382" s="237"/>
      <c r="Z382" s="237"/>
      <c r="AA382" s="237"/>
      <c r="AB382" s="237"/>
      <c r="AC382" s="237"/>
      <c r="AD382" s="237"/>
      <c r="AE382" s="237"/>
      <c r="AF382" s="237"/>
      <c r="AG382" s="237"/>
      <c r="AH382" s="237"/>
      <c r="AI382" s="308"/>
      <c r="AJ382" s="308"/>
      <c r="AK382" s="308"/>
      <c r="AL382" s="308"/>
      <c r="AM382" s="98"/>
      <c r="AN382" s="98"/>
      <c r="AO382" s="98"/>
    </row>
    <row r="383" ht="14.25" customHeight="1">
      <c r="A383" s="179"/>
      <c r="B383" s="98"/>
      <c r="C383" s="98"/>
      <c r="D383" s="98"/>
      <c r="E383" s="98"/>
      <c r="F383" s="235"/>
      <c r="G383" s="235"/>
      <c r="H383" s="236"/>
      <c r="I383" s="236"/>
      <c r="J383" s="236"/>
      <c r="K383" s="236"/>
      <c r="L383" s="236"/>
      <c r="M383" s="236"/>
      <c r="N383" s="236"/>
      <c r="O383" s="236"/>
      <c r="P383" s="236"/>
      <c r="Q383" s="236"/>
      <c r="R383" s="236"/>
      <c r="S383" s="236"/>
      <c r="T383" s="236"/>
      <c r="U383" s="236"/>
      <c r="V383" s="236"/>
      <c r="W383" s="237"/>
      <c r="X383" s="237"/>
      <c r="Y383" s="237"/>
      <c r="Z383" s="237"/>
      <c r="AA383" s="237"/>
      <c r="AB383" s="237"/>
      <c r="AC383" s="237"/>
      <c r="AD383" s="237"/>
      <c r="AE383" s="237"/>
      <c r="AF383" s="237"/>
      <c r="AG383" s="237"/>
      <c r="AH383" s="237"/>
      <c r="AI383" s="308"/>
      <c r="AJ383" s="308"/>
      <c r="AK383" s="308"/>
      <c r="AL383" s="308"/>
      <c r="AM383" s="98"/>
      <c r="AN383" s="98"/>
      <c r="AO383" s="98"/>
    </row>
    <row r="384" ht="14.25" customHeight="1">
      <c r="A384" s="179"/>
      <c r="B384" s="98"/>
      <c r="C384" s="98"/>
      <c r="D384" s="98"/>
      <c r="E384" s="98"/>
      <c r="F384" s="235"/>
      <c r="G384" s="235"/>
      <c r="H384" s="236"/>
      <c r="I384" s="236"/>
      <c r="J384" s="236"/>
      <c r="K384" s="236"/>
      <c r="L384" s="236"/>
      <c r="M384" s="236"/>
      <c r="N384" s="236"/>
      <c r="O384" s="236"/>
      <c r="P384" s="236"/>
      <c r="Q384" s="236"/>
      <c r="R384" s="236"/>
      <c r="S384" s="236"/>
      <c r="T384" s="236"/>
      <c r="U384" s="236"/>
      <c r="V384" s="236"/>
      <c r="W384" s="237"/>
      <c r="X384" s="237"/>
      <c r="Y384" s="237"/>
      <c r="Z384" s="237"/>
      <c r="AA384" s="237"/>
      <c r="AB384" s="237"/>
      <c r="AC384" s="237"/>
      <c r="AD384" s="237"/>
      <c r="AE384" s="237"/>
      <c r="AF384" s="237"/>
      <c r="AG384" s="237"/>
      <c r="AH384" s="237"/>
      <c r="AI384" s="308"/>
      <c r="AJ384" s="308"/>
      <c r="AK384" s="308"/>
      <c r="AL384" s="308"/>
      <c r="AM384" s="98"/>
      <c r="AN384" s="98"/>
      <c r="AO384" s="98"/>
    </row>
    <row r="385" ht="14.25" customHeight="1">
      <c r="A385" s="179"/>
      <c r="B385" s="98"/>
      <c r="C385" s="98"/>
      <c r="D385" s="98"/>
      <c r="E385" s="98"/>
      <c r="F385" s="235"/>
      <c r="G385" s="235"/>
      <c r="H385" s="236"/>
      <c r="I385" s="236"/>
      <c r="J385" s="236"/>
      <c r="K385" s="236"/>
      <c r="L385" s="236"/>
      <c r="M385" s="236"/>
      <c r="N385" s="236"/>
      <c r="O385" s="236"/>
      <c r="P385" s="236"/>
      <c r="Q385" s="236"/>
      <c r="R385" s="236"/>
      <c r="S385" s="236"/>
      <c r="T385" s="236"/>
      <c r="U385" s="236"/>
      <c r="V385" s="236"/>
      <c r="W385" s="237"/>
      <c r="X385" s="237"/>
      <c r="Y385" s="237"/>
      <c r="Z385" s="237"/>
      <c r="AA385" s="237"/>
      <c r="AB385" s="237"/>
      <c r="AC385" s="237"/>
      <c r="AD385" s="237"/>
      <c r="AE385" s="237"/>
      <c r="AF385" s="237"/>
      <c r="AG385" s="237"/>
      <c r="AH385" s="237"/>
      <c r="AI385" s="308"/>
      <c r="AJ385" s="308"/>
      <c r="AK385" s="308"/>
      <c r="AL385" s="308"/>
      <c r="AM385" s="98"/>
      <c r="AN385" s="98"/>
      <c r="AO385" s="98"/>
    </row>
    <row r="386" ht="14.25" customHeight="1">
      <c r="A386" s="179"/>
      <c r="B386" s="98"/>
      <c r="C386" s="98"/>
      <c r="D386" s="98"/>
      <c r="E386" s="98"/>
      <c r="F386" s="235"/>
      <c r="G386" s="235"/>
      <c r="H386" s="236"/>
      <c r="I386" s="236"/>
      <c r="J386" s="236"/>
      <c r="K386" s="236"/>
      <c r="L386" s="236"/>
      <c r="M386" s="236"/>
      <c r="N386" s="236"/>
      <c r="O386" s="236"/>
      <c r="P386" s="236"/>
      <c r="Q386" s="236"/>
      <c r="R386" s="236"/>
      <c r="S386" s="236"/>
      <c r="T386" s="236"/>
      <c r="U386" s="236"/>
      <c r="V386" s="236"/>
      <c r="W386" s="237"/>
      <c r="X386" s="237"/>
      <c r="Y386" s="237"/>
      <c r="Z386" s="237"/>
      <c r="AA386" s="237"/>
      <c r="AB386" s="237"/>
      <c r="AC386" s="237"/>
      <c r="AD386" s="237"/>
      <c r="AE386" s="237"/>
      <c r="AF386" s="237"/>
      <c r="AG386" s="237"/>
      <c r="AH386" s="237"/>
      <c r="AI386" s="308"/>
      <c r="AJ386" s="308"/>
      <c r="AK386" s="308"/>
      <c r="AL386" s="308"/>
      <c r="AM386" s="98"/>
      <c r="AN386" s="98"/>
      <c r="AO386" s="98"/>
    </row>
    <row r="387" ht="14.25" customHeight="1">
      <c r="A387" s="179"/>
      <c r="B387" s="98"/>
      <c r="C387" s="98"/>
      <c r="D387" s="98"/>
      <c r="E387" s="98"/>
      <c r="F387" s="235"/>
      <c r="G387" s="235"/>
      <c r="H387" s="236"/>
      <c r="I387" s="236"/>
      <c r="J387" s="236"/>
      <c r="K387" s="236"/>
      <c r="L387" s="236"/>
      <c r="M387" s="236"/>
      <c r="N387" s="236"/>
      <c r="O387" s="236"/>
      <c r="P387" s="236"/>
      <c r="Q387" s="236"/>
      <c r="R387" s="236"/>
      <c r="S387" s="236"/>
      <c r="T387" s="236"/>
      <c r="U387" s="236"/>
      <c r="V387" s="236"/>
      <c r="W387" s="237"/>
      <c r="X387" s="237"/>
      <c r="Y387" s="237"/>
      <c r="Z387" s="237"/>
      <c r="AA387" s="237"/>
      <c r="AB387" s="237"/>
      <c r="AC387" s="237"/>
      <c r="AD387" s="237"/>
      <c r="AE387" s="237"/>
      <c r="AF387" s="237"/>
      <c r="AG387" s="237"/>
      <c r="AH387" s="237"/>
      <c r="AI387" s="308"/>
      <c r="AJ387" s="308"/>
      <c r="AK387" s="308"/>
      <c r="AL387" s="308"/>
      <c r="AM387" s="98"/>
      <c r="AN387" s="98"/>
      <c r="AO387" s="98"/>
    </row>
    <row r="388" ht="14.25" customHeight="1">
      <c r="A388" s="179"/>
      <c r="B388" s="98"/>
      <c r="C388" s="98"/>
      <c r="D388" s="98"/>
      <c r="E388" s="98"/>
      <c r="F388" s="235"/>
      <c r="G388" s="235"/>
      <c r="H388" s="236"/>
      <c r="I388" s="236"/>
      <c r="J388" s="236"/>
      <c r="K388" s="236"/>
      <c r="L388" s="236"/>
      <c r="M388" s="236"/>
      <c r="N388" s="236"/>
      <c r="O388" s="236"/>
      <c r="P388" s="236"/>
      <c r="Q388" s="236"/>
      <c r="R388" s="236"/>
      <c r="S388" s="236"/>
      <c r="T388" s="236"/>
      <c r="U388" s="236"/>
      <c r="V388" s="236"/>
      <c r="W388" s="237"/>
      <c r="X388" s="237"/>
      <c r="Y388" s="237"/>
      <c r="Z388" s="237"/>
      <c r="AA388" s="237"/>
      <c r="AB388" s="237"/>
      <c r="AC388" s="237"/>
      <c r="AD388" s="237"/>
      <c r="AE388" s="237"/>
      <c r="AF388" s="237"/>
      <c r="AG388" s="237"/>
      <c r="AH388" s="237"/>
      <c r="AI388" s="308"/>
      <c r="AJ388" s="308"/>
      <c r="AK388" s="308"/>
      <c r="AL388" s="308"/>
      <c r="AM388" s="98"/>
      <c r="AN388" s="98"/>
      <c r="AO388" s="98"/>
    </row>
    <row r="389" ht="14.25" customHeight="1">
      <c r="A389" s="179"/>
      <c r="B389" s="98"/>
      <c r="C389" s="98"/>
      <c r="D389" s="98"/>
      <c r="E389" s="98"/>
      <c r="F389" s="235"/>
      <c r="G389" s="235"/>
      <c r="H389" s="236"/>
      <c r="I389" s="236"/>
      <c r="J389" s="236"/>
      <c r="K389" s="236"/>
      <c r="L389" s="236"/>
      <c r="M389" s="236"/>
      <c r="N389" s="236"/>
      <c r="O389" s="236"/>
      <c r="P389" s="236"/>
      <c r="Q389" s="236"/>
      <c r="R389" s="236"/>
      <c r="S389" s="236"/>
      <c r="T389" s="236"/>
      <c r="U389" s="236"/>
      <c r="V389" s="236"/>
      <c r="W389" s="237"/>
      <c r="X389" s="237"/>
      <c r="Y389" s="237"/>
      <c r="Z389" s="237"/>
      <c r="AA389" s="237"/>
      <c r="AB389" s="237"/>
      <c r="AC389" s="237"/>
      <c r="AD389" s="237"/>
      <c r="AE389" s="237"/>
      <c r="AF389" s="237"/>
      <c r="AG389" s="237"/>
      <c r="AH389" s="237"/>
      <c r="AI389" s="308"/>
      <c r="AJ389" s="308"/>
      <c r="AK389" s="308"/>
      <c r="AL389" s="308"/>
      <c r="AM389" s="98"/>
      <c r="AN389" s="98"/>
      <c r="AO389" s="98"/>
    </row>
    <row r="390" ht="14.25" customHeight="1">
      <c r="A390" s="179"/>
      <c r="B390" s="98"/>
      <c r="C390" s="98"/>
      <c r="D390" s="98"/>
      <c r="E390" s="98"/>
      <c r="F390" s="235"/>
      <c r="G390" s="235"/>
      <c r="H390" s="236"/>
      <c r="I390" s="236"/>
      <c r="J390" s="236"/>
      <c r="K390" s="236"/>
      <c r="L390" s="236"/>
      <c r="M390" s="236"/>
      <c r="N390" s="236"/>
      <c r="O390" s="236"/>
      <c r="P390" s="236"/>
      <c r="Q390" s="236"/>
      <c r="R390" s="236"/>
      <c r="S390" s="236"/>
      <c r="T390" s="236"/>
      <c r="U390" s="236"/>
      <c r="V390" s="236"/>
      <c r="W390" s="237"/>
      <c r="X390" s="237"/>
      <c r="Y390" s="237"/>
      <c r="Z390" s="237"/>
      <c r="AA390" s="237"/>
      <c r="AB390" s="237"/>
      <c r="AC390" s="237"/>
      <c r="AD390" s="237"/>
      <c r="AE390" s="237"/>
      <c r="AF390" s="237"/>
      <c r="AG390" s="237"/>
      <c r="AH390" s="237"/>
      <c r="AI390" s="308"/>
      <c r="AJ390" s="308"/>
      <c r="AK390" s="308"/>
      <c r="AL390" s="308"/>
      <c r="AM390" s="98"/>
      <c r="AN390" s="98"/>
      <c r="AO390" s="98"/>
    </row>
    <row r="391" ht="14.25" customHeight="1">
      <c r="A391" s="179"/>
      <c r="B391" s="98"/>
      <c r="C391" s="98"/>
      <c r="D391" s="98"/>
      <c r="E391" s="98"/>
      <c r="F391" s="235"/>
      <c r="G391" s="235"/>
      <c r="H391" s="236"/>
      <c r="I391" s="236"/>
      <c r="J391" s="236"/>
      <c r="K391" s="236"/>
      <c r="L391" s="236"/>
      <c r="M391" s="236"/>
      <c r="N391" s="236"/>
      <c r="O391" s="236"/>
      <c r="P391" s="236"/>
      <c r="Q391" s="236"/>
      <c r="R391" s="236"/>
      <c r="S391" s="236"/>
      <c r="T391" s="236"/>
      <c r="U391" s="236"/>
      <c r="V391" s="236"/>
      <c r="W391" s="237"/>
      <c r="X391" s="237"/>
      <c r="Y391" s="237"/>
      <c r="Z391" s="237"/>
      <c r="AA391" s="237"/>
      <c r="AB391" s="237"/>
      <c r="AC391" s="237"/>
      <c r="AD391" s="237"/>
      <c r="AE391" s="237"/>
      <c r="AF391" s="237"/>
      <c r="AG391" s="237"/>
      <c r="AH391" s="237"/>
      <c r="AI391" s="308"/>
      <c r="AJ391" s="308"/>
      <c r="AK391" s="308"/>
      <c r="AL391" s="308"/>
      <c r="AM391" s="98"/>
      <c r="AN391" s="98"/>
      <c r="AO391" s="98"/>
    </row>
    <row r="392" ht="14.25" customHeight="1">
      <c r="A392" s="179"/>
      <c r="B392" s="98"/>
      <c r="C392" s="98"/>
      <c r="D392" s="98"/>
      <c r="E392" s="98"/>
      <c r="F392" s="235"/>
      <c r="G392" s="235"/>
      <c r="H392" s="236"/>
      <c r="I392" s="236"/>
      <c r="J392" s="236"/>
      <c r="K392" s="236"/>
      <c r="L392" s="236"/>
      <c r="M392" s="236"/>
      <c r="N392" s="236"/>
      <c r="O392" s="236"/>
      <c r="P392" s="236"/>
      <c r="Q392" s="236"/>
      <c r="R392" s="236"/>
      <c r="S392" s="236"/>
      <c r="T392" s="236"/>
      <c r="U392" s="236"/>
      <c r="V392" s="236"/>
      <c r="W392" s="237"/>
      <c r="X392" s="237"/>
      <c r="Y392" s="237"/>
      <c r="Z392" s="237"/>
      <c r="AA392" s="237"/>
      <c r="AB392" s="237"/>
      <c r="AC392" s="237"/>
      <c r="AD392" s="237"/>
      <c r="AE392" s="237"/>
      <c r="AF392" s="237"/>
      <c r="AG392" s="237"/>
      <c r="AH392" s="237"/>
      <c r="AI392" s="308"/>
      <c r="AJ392" s="308"/>
      <c r="AK392" s="308"/>
      <c r="AL392" s="308"/>
      <c r="AM392" s="98"/>
      <c r="AN392" s="98"/>
      <c r="AO392" s="98"/>
    </row>
    <row r="393" ht="14.25" customHeight="1">
      <c r="A393" s="179"/>
      <c r="B393" s="98"/>
      <c r="C393" s="98"/>
      <c r="D393" s="98"/>
      <c r="E393" s="98"/>
      <c r="F393" s="235"/>
      <c r="G393" s="235"/>
      <c r="H393" s="236"/>
      <c r="I393" s="236"/>
      <c r="J393" s="236"/>
      <c r="K393" s="236"/>
      <c r="L393" s="236"/>
      <c r="M393" s="236"/>
      <c r="N393" s="236"/>
      <c r="O393" s="236"/>
      <c r="P393" s="236"/>
      <c r="Q393" s="236"/>
      <c r="R393" s="236"/>
      <c r="S393" s="236"/>
      <c r="T393" s="236"/>
      <c r="U393" s="236"/>
      <c r="V393" s="236"/>
      <c r="W393" s="237"/>
      <c r="X393" s="237"/>
      <c r="Y393" s="237"/>
      <c r="Z393" s="237"/>
      <c r="AA393" s="237"/>
      <c r="AB393" s="237"/>
      <c r="AC393" s="237"/>
      <c r="AD393" s="237"/>
      <c r="AE393" s="237"/>
      <c r="AF393" s="237"/>
      <c r="AG393" s="237"/>
      <c r="AH393" s="237"/>
      <c r="AI393" s="308"/>
      <c r="AJ393" s="308"/>
      <c r="AK393" s="308"/>
      <c r="AL393" s="308"/>
      <c r="AM393" s="98"/>
      <c r="AN393" s="98"/>
      <c r="AO393" s="98"/>
    </row>
    <row r="394" ht="14.25" customHeight="1">
      <c r="A394" s="179"/>
      <c r="B394" s="98"/>
      <c r="C394" s="98"/>
      <c r="D394" s="98"/>
      <c r="E394" s="98"/>
      <c r="F394" s="235"/>
      <c r="G394" s="235"/>
      <c r="H394" s="236"/>
      <c r="I394" s="236"/>
      <c r="J394" s="236"/>
      <c r="K394" s="236"/>
      <c r="L394" s="236"/>
      <c r="M394" s="236"/>
      <c r="N394" s="236"/>
      <c r="O394" s="236"/>
      <c r="P394" s="236"/>
      <c r="Q394" s="236"/>
      <c r="R394" s="236"/>
      <c r="S394" s="236"/>
      <c r="T394" s="236"/>
      <c r="U394" s="236"/>
      <c r="V394" s="236"/>
      <c r="W394" s="237"/>
      <c r="X394" s="237"/>
      <c r="Y394" s="237"/>
      <c r="Z394" s="237"/>
      <c r="AA394" s="237"/>
      <c r="AB394" s="237"/>
      <c r="AC394" s="237"/>
      <c r="AD394" s="237"/>
      <c r="AE394" s="237"/>
      <c r="AF394" s="237"/>
      <c r="AG394" s="237"/>
      <c r="AH394" s="237"/>
      <c r="AI394" s="308"/>
      <c r="AJ394" s="308"/>
      <c r="AK394" s="308"/>
      <c r="AL394" s="308"/>
      <c r="AM394" s="98"/>
      <c r="AN394" s="98"/>
      <c r="AO394" s="98"/>
    </row>
    <row r="395" ht="14.25" customHeight="1">
      <c r="A395" s="179"/>
      <c r="B395" s="98"/>
      <c r="C395" s="98"/>
      <c r="D395" s="98"/>
      <c r="E395" s="98"/>
      <c r="F395" s="235"/>
      <c r="G395" s="235"/>
      <c r="H395" s="236"/>
      <c r="I395" s="236"/>
      <c r="J395" s="236"/>
      <c r="K395" s="236"/>
      <c r="L395" s="236"/>
      <c r="M395" s="236"/>
      <c r="N395" s="236"/>
      <c r="O395" s="236"/>
      <c r="P395" s="236"/>
      <c r="Q395" s="236"/>
      <c r="R395" s="236"/>
      <c r="S395" s="236"/>
      <c r="T395" s="236"/>
      <c r="U395" s="236"/>
      <c r="V395" s="236"/>
      <c r="W395" s="237"/>
      <c r="X395" s="237"/>
      <c r="Y395" s="237"/>
      <c r="Z395" s="237"/>
      <c r="AA395" s="237"/>
      <c r="AB395" s="237"/>
      <c r="AC395" s="237"/>
      <c r="AD395" s="237"/>
      <c r="AE395" s="237"/>
      <c r="AF395" s="237"/>
      <c r="AG395" s="237"/>
      <c r="AH395" s="237"/>
      <c r="AI395" s="308"/>
      <c r="AJ395" s="308"/>
      <c r="AK395" s="308"/>
      <c r="AL395" s="308"/>
      <c r="AM395" s="98"/>
      <c r="AN395" s="98"/>
      <c r="AO395" s="98"/>
    </row>
    <row r="396" ht="14.25" customHeight="1">
      <c r="A396" s="179"/>
      <c r="B396" s="98"/>
      <c r="C396" s="98"/>
      <c r="D396" s="98"/>
      <c r="E396" s="98"/>
      <c r="F396" s="235"/>
      <c r="G396" s="235"/>
      <c r="H396" s="236"/>
      <c r="I396" s="236"/>
      <c r="J396" s="236"/>
      <c r="K396" s="236"/>
      <c r="L396" s="236"/>
      <c r="M396" s="236"/>
      <c r="N396" s="236"/>
      <c r="O396" s="236"/>
      <c r="P396" s="236"/>
      <c r="Q396" s="236"/>
      <c r="R396" s="236"/>
      <c r="S396" s="236"/>
      <c r="T396" s="236"/>
      <c r="U396" s="236"/>
      <c r="V396" s="236"/>
      <c r="W396" s="237"/>
      <c r="X396" s="237"/>
      <c r="Y396" s="237"/>
      <c r="Z396" s="237"/>
      <c r="AA396" s="237"/>
      <c r="AB396" s="237"/>
      <c r="AC396" s="237"/>
      <c r="AD396" s="237"/>
      <c r="AE396" s="237"/>
      <c r="AF396" s="237"/>
      <c r="AG396" s="237"/>
      <c r="AH396" s="237"/>
      <c r="AI396" s="308"/>
      <c r="AJ396" s="308"/>
      <c r="AK396" s="308"/>
      <c r="AL396" s="308"/>
      <c r="AM396" s="98"/>
      <c r="AN396" s="98"/>
      <c r="AO396" s="98"/>
    </row>
    <row r="397" ht="14.25" customHeight="1">
      <c r="A397" s="179"/>
      <c r="B397" s="98"/>
      <c r="C397" s="98"/>
      <c r="D397" s="98"/>
      <c r="E397" s="98"/>
      <c r="F397" s="235"/>
      <c r="G397" s="235"/>
      <c r="H397" s="236"/>
      <c r="I397" s="236"/>
      <c r="J397" s="236"/>
      <c r="K397" s="236"/>
      <c r="L397" s="236"/>
      <c r="M397" s="236"/>
      <c r="N397" s="236"/>
      <c r="O397" s="236"/>
      <c r="P397" s="236"/>
      <c r="Q397" s="236"/>
      <c r="R397" s="236"/>
      <c r="S397" s="236"/>
      <c r="T397" s="236"/>
      <c r="U397" s="236"/>
      <c r="V397" s="236"/>
      <c r="W397" s="237"/>
      <c r="X397" s="237"/>
      <c r="Y397" s="237"/>
      <c r="Z397" s="237"/>
      <c r="AA397" s="237"/>
      <c r="AB397" s="237"/>
      <c r="AC397" s="237"/>
      <c r="AD397" s="237"/>
      <c r="AE397" s="237"/>
      <c r="AF397" s="237"/>
      <c r="AG397" s="237"/>
      <c r="AH397" s="237"/>
      <c r="AI397" s="308"/>
      <c r="AJ397" s="308"/>
      <c r="AK397" s="308"/>
      <c r="AL397" s="308"/>
      <c r="AM397" s="98"/>
      <c r="AN397" s="98"/>
      <c r="AO397" s="98"/>
    </row>
    <row r="398" ht="14.25" customHeight="1">
      <c r="A398" s="179"/>
      <c r="B398" s="98"/>
      <c r="C398" s="98"/>
      <c r="D398" s="98"/>
      <c r="E398" s="98"/>
      <c r="F398" s="235"/>
      <c r="G398" s="235"/>
      <c r="H398" s="236"/>
      <c r="I398" s="236"/>
      <c r="J398" s="236"/>
      <c r="K398" s="236"/>
      <c r="L398" s="236"/>
      <c r="M398" s="236"/>
      <c r="N398" s="236"/>
      <c r="O398" s="236"/>
      <c r="P398" s="236"/>
      <c r="Q398" s="236"/>
      <c r="R398" s="236"/>
      <c r="S398" s="236"/>
      <c r="T398" s="236"/>
      <c r="U398" s="236"/>
      <c r="V398" s="236"/>
      <c r="W398" s="237"/>
      <c r="X398" s="237"/>
      <c r="Y398" s="237"/>
      <c r="Z398" s="237"/>
      <c r="AA398" s="237"/>
      <c r="AB398" s="237"/>
      <c r="AC398" s="237"/>
      <c r="AD398" s="237"/>
      <c r="AE398" s="237"/>
      <c r="AF398" s="237"/>
      <c r="AG398" s="237"/>
      <c r="AH398" s="237"/>
      <c r="AI398" s="308"/>
      <c r="AJ398" s="308"/>
      <c r="AK398" s="308"/>
      <c r="AL398" s="308"/>
      <c r="AM398" s="98"/>
      <c r="AN398" s="98"/>
      <c r="AO398" s="98"/>
    </row>
    <row r="399" ht="14.25" customHeight="1">
      <c r="A399" s="179"/>
      <c r="B399" s="98"/>
      <c r="C399" s="98"/>
      <c r="D399" s="98"/>
      <c r="E399" s="98"/>
      <c r="F399" s="235"/>
      <c r="G399" s="235"/>
      <c r="H399" s="236"/>
      <c r="I399" s="236"/>
      <c r="J399" s="236"/>
      <c r="K399" s="236"/>
      <c r="L399" s="236"/>
      <c r="M399" s="236"/>
      <c r="N399" s="236"/>
      <c r="O399" s="236"/>
      <c r="P399" s="236"/>
      <c r="Q399" s="236"/>
      <c r="R399" s="236"/>
      <c r="S399" s="236"/>
      <c r="T399" s="236"/>
      <c r="U399" s="236"/>
      <c r="V399" s="236"/>
      <c r="W399" s="237"/>
      <c r="X399" s="237"/>
      <c r="Y399" s="237"/>
      <c r="Z399" s="237"/>
      <c r="AA399" s="237"/>
      <c r="AB399" s="237"/>
      <c r="AC399" s="237"/>
      <c r="AD399" s="237"/>
      <c r="AE399" s="237"/>
      <c r="AF399" s="237"/>
      <c r="AG399" s="237"/>
      <c r="AH399" s="237"/>
      <c r="AI399" s="308"/>
      <c r="AJ399" s="308"/>
      <c r="AK399" s="308"/>
      <c r="AL399" s="308"/>
      <c r="AM399" s="98"/>
      <c r="AN399" s="98"/>
      <c r="AO399" s="98"/>
    </row>
    <row r="400" ht="14.25" customHeight="1">
      <c r="A400" s="179"/>
      <c r="B400" s="98"/>
      <c r="C400" s="98"/>
      <c r="D400" s="98"/>
      <c r="E400" s="98"/>
      <c r="F400" s="235"/>
      <c r="G400" s="235"/>
      <c r="H400" s="236"/>
      <c r="I400" s="236"/>
      <c r="J400" s="236"/>
      <c r="K400" s="236"/>
      <c r="L400" s="236"/>
      <c r="M400" s="236"/>
      <c r="N400" s="236"/>
      <c r="O400" s="236"/>
      <c r="P400" s="236"/>
      <c r="Q400" s="236"/>
      <c r="R400" s="236"/>
      <c r="S400" s="236"/>
      <c r="T400" s="236"/>
      <c r="U400" s="236"/>
      <c r="V400" s="236"/>
      <c r="W400" s="237"/>
      <c r="X400" s="237"/>
      <c r="Y400" s="237"/>
      <c r="Z400" s="237"/>
      <c r="AA400" s="237"/>
      <c r="AB400" s="237"/>
      <c r="AC400" s="237"/>
      <c r="AD400" s="237"/>
      <c r="AE400" s="237"/>
      <c r="AF400" s="237"/>
      <c r="AG400" s="237"/>
      <c r="AH400" s="237"/>
      <c r="AI400" s="308"/>
      <c r="AJ400" s="308"/>
      <c r="AK400" s="308"/>
      <c r="AL400" s="308"/>
      <c r="AM400" s="98"/>
      <c r="AN400" s="98"/>
      <c r="AO400" s="98"/>
    </row>
    <row r="401" ht="14.25" customHeight="1">
      <c r="A401" s="179"/>
      <c r="B401" s="98"/>
      <c r="C401" s="98"/>
      <c r="D401" s="98"/>
      <c r="E401" s="98"/>
      <c r="F401" s="235"/>
      <c r="G401" s="235"/>
      <c r="H401" s="236"/>
      <c r="I401" s="236"/>
      <c r="J401" s="236"/>
      <c r="K401" s="236"/>
      <c r="L401" s="236"/>
      <c r="M401" s="236"/>
      <c r="N401" s="236"/>
      <c r="O401" s="236"/>
      <c r="P401" s="236"/>
      <c r="Q401" s="236"/>
      <c r="R401" s="236"/>
      <c r="S401" s="236"/>
      <c r="T401" s="236"/>
      <c r="U401" s="236"/>
      <c r="V401" s="236"/>
      <c r="W401" s="237"/>
      <c r="X401" s="237"/>
      <c r="Y401" s="237"/>
      <c r="Z401" s="237"/>
      <c r="AA401" s="237"/>
      <c r="AB401" s="237"/>
      <c r="AC401" s="237"/>
      <c r="AD401" s="237"/>
      <c r="AE401" s="237"/>
      <c r="AF401" s="237"/>
      <c r="AG401" s="237"/>
      <c r="AH401" s="237"/>
      <c r="AI401" s="308"/>
      <c r="AJ401" s="308"/>
      <c r="AK401" s="308"/>
      <c r="AL401" s="308"/>
      <c r="AM401" s="98"/>
      <c r="AN401" s="98"/>
      <c r="AO401" s="98"/>
    </row>
    <row r="402" ht="14.25" customHeight="1">
      <c r="A402" s="179"/>
      <c r="B402" s="98"/>
      <c r="C402" s="98"/>
      <c r="D402" s="98"/>
      <c r="E402" s="98"/>
      <c r="F402" s="235"/>
      <c r="G402" s="235"/>
      <c r="H402" s="236"/>
      <c r="I402" s="236"/>
      <c r="J402" s="236"/>
      <c r="K402" s="236"/>
      <c r="L402" s="236"/>
      <c r="M402" s="236"/>
      <c r="N402" s="236"/>
      <c r="O402" s="236"/>
      <c r="P402" s="236"/>
      <c r="Q402" s="236"/>
      <c r="R402" s="236"/>
      <c r="S402" s="236"/>
      <c r="T402" s="236"/>
      <c r="U402" s="236"/>
      <c r="V402" s="236"/>
      <c r="W402" s="237"/>
      <c r="X402" s="237"/>
      <c r="Y402" s="237"/>
      <c r="Z402" s="237"/>
      <c r="AA402" s="237"/>
      <c r="AB402" s="237"/>
      <c r="AC402" s="237"/>
      <c r="AD402" s="237"/>
      <c r="AE402" s="237"/>
      <c r="AF402" s="237"/>
      <c r="AG402" s="237"/>
      <c r="AH402" s="237"/>
      <c r="AI402" s="308"/>
      <c r="AJ402" s="308"/>
      <c r="AK402" s="308"/>
      <c r="AL402" s="308"/>
      <c r="AM402" s="98"/>
      <c r="AN402" s="98"/>
      <c r="AO402" s="98"/>
    </row>
    <row r="403" ht="14.25" customHeight="1">
      <c r="A403" s="179"/>
      <c r="B403" s="98"/>
      <c r="C403" s="98"/>
      <c r="D403" s="98"/>
      <c r="E403" s="98"/>
      <c r="F403" s="235"/>
      <c r="G403" s="235"/>
      <c r="H403" s="236"/>
      <c r="I403" s="236"/>
      <c r="J403" s="236"/>
      <c r="K403" s="236"/>
      <c r="L403" s="236"/>
      <c r="M403" s="236"/>
      <c r="N403" s="236"/>
      <c r="O403" s="236"/>
      <c r="P403" s="236"/>
      <c r="Q403" s="236"/>
      <c r="R403" s="236"/>
      <c r="S403" s="236"/>
      <c r="T403" s="236"/>
      <c r="U403" s="236"/>
      <c r="V403" s="236"/>
      <c r="W403" s="237"/>
      <c r="X403" s="237"/>
      <c r="Y403" s="237"/>
      <c r="Z403" s="237"/>
      <c r="AA403" s="237"/>
      <c r="AB403" s="237"/>
      <c r="AC403" s="237"/>
      <c r="AD403" s="237"/>
      <c r="AE403" s="237"/>
      <c r="AF403" s="237"/>
      <c r="AG403" s="237"/>
      <c r="AH403" s="237"/>
      <c r="AI403" s="308"/>
      <c r="AJ403" s="308"/>
      <c r="AK403" s="308"/>
      <c r="AL403" s="308"/>
      <c r="AM403" s="98"/>
      <c r="AN403" s="98"/>
      <c r="AO403" s="98"/>
    </row>
    <row r="404" ht="14.25" customHeight="1">
      <c r="A404" s="179"/>
      <c r="B404" s="98"/>
      <c r="C404" s="98"/>
      <c r="D404" s="98"/>
      <c r="E404" s="98"/>
      <c r="F404" s="235"/>
      <c r="G404" s="235"/>
      <c r="H404" s="236"/>
      <c r="I404" s="236"/>
      <c r="J404" s="236"/>
      <c r="K404" s="236"/>
      <c r="L404" s="236"/>
      <c r="M404" s="236"/>
      <c r="N404" s="236"/>
      <c r="O404" s="236"/>
      <c r="P404" s="236"/>
      <c r="Q404" s="236"/>
      <c r="R404" s="236"/>
      <c r="S404" s="236"/>
      <c r="T404" s="236"/>
      <c r="U404" s="236"/>
      <c r="V404" s="236"/>
      <c r="W404" s="237"/>
      <c r="X404" s="237"/>
      <c r="Y404" s="237"/>
      <c r="Z404" s="237"/>
      <c r="AA404" s="237"/>
      <c r="AB404" s="237"/>
      <c r="AC404" s="237"/>
      <c r="AD404" s="237"/>
      <c r="AE404" s="237"/>
      <c r="AF404" s="237"/>
      <c r="AG404" s="237"/>
      <c r="AH404" s="237"/>
      <c r="AI404" s="308"/>
      <c r="AJ404" s="308"/>
      <c r="AK404" s="308"/>
      <c r="AL404" s="308"/>
      <c r="AM404" s="98"/>
      <c r="AN404" s="98"/>
      <c r="AO404" s="98"/>
    </row>
    <row r="405" ht="14.25" customHeight="1">
      <c r="A405" s="179"/>
      <c r="B405" s="98"/>
      <c r="C405" s="98"/>
      <c r="D405" s="98"/>
      <c r="E405" s="98"/>
      <c r="F405" s="235"/>
      <c r="G405" s="235"/>
      <c r="H405" s="236"/>
      <c r="I405" s="236"/>
      <c r="J405" s="236"/>
      <c r="K405" s="236"/>
      <c r="L405" s="236"/>
      <c r="M405" s="236"/>
      <c r="N405" s="236"/>
      <c r="O405" s="236"/>
      <c r="P405" s="236"/>
      <c r="Q405" s="236"/>
      <c r="R405" s="236"/>
      <c r="S405" s="236"/>
      <c r="T405" s="236"/>
      <c r="U405" s="236"/>
      <c r="V405" s="236"/>
      <c r="W405" s="237"/>
      <c r="X405" s="237"/>
      <c r="Y405" s="237"/>
      <c r="Z405" s="237"/>
      <c r="AA405" s="237"/>
      <c r="AB405" s="237"/>
      <c r="AC405" s="237"/>
      <c r="AD405" s="237"/>
      <c r="AE405" s="237"/>
      <c r="AF405" s="237"/>
      <c r="AG405" s="237"/>
      <c r="AH405" s="237"/>
      <c r="AI405" s="308"/>
      <c r="AJ405" s="308"/>
      <c r="AK405" s="308"/>
      <c r="AL405" s="308"/>
      <c r="AM405" s="98"/>
      <c r="AN405" s="98"/>
      <c r="AO405" s="98"/>
    </row>
    <row r="406" ht="14.25" customHeight="1">
      <c r="A406" s="179"/>
      <c r="B406" s="98"/>
      <c r="C406" s="98"/>
      <c r="D406" s="98"/>
      <c r="E406" s="98"/>
      <c r="F406" s="235"/>
      <c r="G406" s="235"/>
      <c r="H406" s="236"/>
      <c r="I406" s="236"/>
      <c r="J406" s="236"/>
      <c r="K406" s="236"/>
      <c r="L406" s="236"/>
      <c r="M406" s="236"/>
      <c r="N406" s="236"/>
      <c r="O406" s="236"/>
      <c r="P406" s="236"/>
      <c r="Q406" s="236"/>
      <c r="R406" s="236"/>
      <c r="S406" s="236"/>
      <c r="T406" s="236"/>
      <c r="U406" s="236"/>
      <c r="V406" s="236"/>
      <c r="W406" s="237"/>
      <c r="X406" s="237"/>
      <c r="Y406" s="237"/>
      <c r="Z406" s="237"/>
      <c r="AA406" s="237"/>
      <c r="AB406" s="237"/>
      <c r="AC406" s="237"/>
      <c r="AD406" s="237"/>
      <c r="AE406" s="237"/>
      <c r="AF406" s="237"/>
      <c r="AG406" s="237"/>
      <c r="AH406" s="237"/>
      <c r="AI406" s="308"/>
      <c r="AJ406" s="308"/>
      <c r="AK406" s="308"/>
      <c r="AL406" s="308"/>
      <c r="AM406" s="98"/>
      <c r="AN406" s="98"/>
      <c r="AO406" s="98"/>
    </row>
    <row r="407" ht="14.25" customHeight="1">
      <c r="A407" s="179"/>
      <c r="B407" s="98"/>
      <c r="C407" s="98"/>
      <c r="D407" s="98"/>
      <c r="E407" s="98"/>
      <c r="F407" s="235"/>
      <c r="G407" s="235"/>
      <c r="H407" s="236"/>
      <c r="I407" s="236"/>
      <c r="J407" s="236"/>
      <c r="K407" s="236"/>
      <c r="L407" s="236"/>
      <c r="M407" s="236"/>
      <c r="N407" s="236"/>
      <c r="O407" s="236"/>
      <c r="P407" s="236"/>
      <c r="Q407" s="236"/>
      <c r="R407" s="236"/>
      <c r="S407" s="236"/>
      <c r="T407" s="236"/>
      <c r="U407" s="236"/>
      <c r="V407" s="236"/>
      <c r="W407" s="237"/>
      <c r="X407" s="237"/>
      <c r="Y407" s="237"/>
      <c r="Z407" s="237"/>
      <c r="AA407" s="237"/>
      <c r="AB407" s="237"/>
      <c r="AC407" s="237"/>
      <c r="AD407" s="237"/>
      <c r="AE407" s="237"/>
      <c r="AF407" s="237"/>
      <c r="AG407" s="237"/>
      <c r="AH407" s="237"/>
      <c r="AI407" s="308"/>
      <c r="AJ407" s="308"/>
      <c r="AK407" s="308"/>
      <c r="AL407" s="308"/>
      <c r="AM407" s="98"/>
      <c r="AN407" s="98"/>
      <c r="AO407" s="98"/>
    </row>
    <row r="408" ht="14.25" customHeight="1">
      <c r="A408" s="179"/>
      <c r="B408" s="98"/>
      <c r="C408" s="98"/>
      <c r="D408" s="98"/>
      <c r="E408" s="98"/>
      <c r="F408" s="235"/>
      <c r="G408" s="235"/>
      <c r="H408" s="236"/>
      <c r="I408" s="236"/>
      <c r="J408" s="236"/>
      <c r="K408" s="236"/>
      <c r="L408" s="236"/>
      <c r="M408" s="236"/>
      <c r="N408" s="236"/>
      <c r="O408" s="236"/>
      <c r="P408" s="236"/>
      <c r="Q408" s="236"/>
      <c r="R408" s="236"/>
      <c r="S408" s="236"/>
      <c r="T408" s="236"/>
      <c r="U408" s="236"/>
      <c r="V408" s="236"/>
      <c r="W408" s="237"/>
      <c r="X408" s="237"/>
      <c r="Y408" s="237"/>
      <c r="Z408" s="237"/>
      <c r="AA408" s="237"/>
      <c r="AB408" s="237"/>
      <c r="AC408" s="237"/>
      <c r="AD408" s="237"/>
      <c r="AE408" s="237"/>
      <c r="AF408" s="237"/>
      <c r="AG408" s="237"/>
      <c r="AH408" s="237"/>
      <c r="AI408" s="308"/>
      <c r="AJ408" s="308"/>
      <c r="AK408" s="308"/>
      <c r="AL408" s="308"/>
      <c r="AM408" s="98"/>
      <c r="AN408" s="98"/>
      <c r="AO408" s="98"/>
    </row>
    <row r="409" ht="14.25" customHeight="1">
      <c r="A409" s="179"/>
      <c r="B409" s="98"/>
      <c r="C409" s="98"/>
      <c r="D409" s="98"/>
      <c r="E409" s="98"/>
      <c r="F409" s="235"/>
      <c r="G409" s="235"/>
      <c r="H409" s="236"/>
      <c r="I409" s="236"/>
      <c r="J409" s="236"/>
      <c r="K409" s="236"/>
      <c r="L409" s="236"/>
      <c r="M409" s="236"/>
      <c r="N409" s="236"/>
      <c r="O409" s="236"/>
      <c r="P409" s="236"/>
      <c r="Q409" s="236"/>
      <c r="R409" s="236"/>
      <c r="S409" s="236"/>
      <c r="T409" s="236"/>
      <c r="U409" s="236"/>
      <c r="V409" s="236"/>
      <c r="W409" s="237"/>
      <c r="X409" s="237"/>
      <c r="Y409" s="237"/>
      <c r="Z409" s="237"/>
      <c r="AA409" s="237"/>
      <c r="AB409" s="237"/>
      <c r="AC409" s="237"/>
      <c r="AD409" s="237"/>
      <c r="AE409" s="237"/>
      <c r="AF409" s="237"/>
      <c r="AG409" s="237"/>
      <c r="AH409" s="237"/>
      <c r="AI409" s="308"/>
      <c r="AJ409" s="308"/>
      <c r="AK409" s="308"/>
      <c r="AL409" s="308"/>
      <c r="AM409" s="98"/>
      <c r="AN409" s="98"/>
      <c r="AO409" s="98"/>
    </row>
    <row r="410" ht="14.25" customHeight="1">
      <c r="A410" s="179"/>
      <c r="B410" s="98"/>
      <c r="C410" s="98"/>
      <c r="D410" s="98"/>
      <c r="E410" s="98"/>
      <c r="F410" s="235"/>
      <c r="G410" s="235"/>
      <c r="H410" s="236"/>
      <c r="I410" s="236"/>
      <c r="J410" s="236"/>
      <c r="K410" s="236"/>
      <c r="L410" s="236"/>
      <c r="M410" s="236"/>
      <c r="N410" s="236"/>
      <c r="O410" s="236"/>
      <c r="P410" s="236"/>
      <c r="Q410" s="236"/>
      <c r="R410" s="236"/>
      <c r="S410" s="236"/>
      <c r="T410" s="236"/>
      <c r="U410" s="236"/>
      <c r="V410" s="236"/>
      <c r="W410" s="237"/>
      <c r="X410" s="237"/>
      <c r="Y410" s="237"/>
      <c r="Z410" s="237"/>
      <c r="AA410" s="237"/>
      <c r="AB410" s="237"/>
      <c r="AC410" s="237"/>
      <c r="AD410" s="237"/>
      <c r="AE410" s="237"/>
      <c r="AF410" s="237"/>
      <c r="AG410" s="237"/>
      <c r="AH410" s="237"/>
      <c r="AI410" s="308"/>
      <c r="AJ410" s="308"/>
      <c r="AK410" s="308"/>
      <c r="AL410" s="308"/>
      <c r="AM410" s="98"/>
      <c r="AN410" s="98"/>
      <c r="AO410" s="98"/>
    </row>
    <row r="411" ht="14.25" customHeight="1">
      <c r="A411" s="179"/>
      <c r="B411" s="98"/>
      <c r="C411" s="98"/>
      <c r="D411" s="98"/>
      <c r="E411" s="98"/>
      <c r="F411" s="235"/>
      <c r="G411" s="235"/>
      <c r="H411" s="236"/>
      <c r="I411" s="236"/>
      <c r="J411" s="236"/>
      <c r="K411" s="236"/>
      <c r="L411" s="236"/>
      <c r="M411" s="236"/>
      <c r="N411" s="236"/>
      <c r="O411" s="236"/>
      <c r="P411" s="236"/>
      <c r="Q411" s="236"/>
      <c r="R411" s="236"/>
      <c r="S411" s="236"/>
      <c r="T411" s="236"/>
      <c r="U411" s="236"/>
      <c r="V411" s="236"/>
      <c r="W411" s="237"/>
      <c r="X411" s="237"/>
      <c r="Y411" s="237"/>
      <c r="Z411" s="237"/>
      <c r="AA411" s="237"/>
      <c r="AB411" s="237"/>
      <c r="AC411" s="237"/>
      <c r="AD411" s="237"/>
      <c r="AE411" s="237"/>
      <c r="AF411" s="237"/>
      <c r="AG411" s="237"/>
      <c r="AH411" s="237"/>
      <c r="AI411" s="308"/>
      <c r="AJ411" s="308"/>
      <c r="AK411" s="308"/>
      <c r="AL411" s="308"/>
      <c r="AM411" s="98"/>
      <c r="AN411" s="98"/>
      <c r="AO411" s="98"/>
    </row>
    <row r="412" ht="14.25" customHeight="1">
      <c r="A412" s="179"/>
      <c r="B412" s="98"/>
      <c r="C412" s="98"/>
      <c r="D412" s="98"/>
      <c r="E412" s="98"/>
      <c r="F412" s="235"/>
      <c r="G412" s="235"/>
      <c r="H412" s="236"/>
      <c r="I412" s="236"/>
      <c r="J412" s="236"/>
      <c r="K412" s="236"/>
      <c r="L412" s="236"/>
      <c r="M412" s="236"/>
      <c r="N412" s="236"/>
      <c r="O412" s="236"/>
      <c r="P412" s="236"/>
      <c r="Q412" s="236"/>
      <c r="R412" s="236"/>
      <c r="S412" s="236"/>
      <c r="T412" s="236"/>
      <c r="U412" s="236"/>
      <c r="V412" s="236"/>
      <c r="W412" s="237"/>
      <c r="X412" s="237"/>
      <c r="Y412" s="237"/>
      <c r="Z412" s="237"/>
      <c r="AA412" s="237"/>
      <c r="AB412" s="237"/>
      <c r="AC412" s="237"/>
      <c r="AD412" s="237"/>
      <c r="AE412" s="237"/>
      <c r="AF412" s="237"/>
      <c r="AG412" s="237"/>
      <c r="AH412" s="237"/>
      <c r="AI412" s="308"/>
      <c r="AJ412" s="308"/>
      <c r="AK412" s="308"/>
      <c r="AL412" s="308"/>
      <c r="AM412" s="98"/>
      <c r="AN412" s="98"/>
      <c r="AO412" s="98"/>
    </row>
    <row r="413" ht="14.25" customHeight="1">
      <c r="A413" s="179"/>
      <c r="B413" s="98"/>
      <c r="C413" s="98"/>
      <c r="D413" s="98"/>
      <c r="E413" s="98"/>
      <c r="F413" s="235"/>
      <c r="G413" s="235"/>
      <c r="H413" s="236"/>
      <c r="I413" s="236"/>
      <c r="J413" s="236"/>
      <c r="K413" s="236"/>
      <c r="L413" s="236"/>
      <c r="M413" s="236"/>
      <c r="N413" s="236"/>
      <c r="O413" s="236"/>
      <c r="P413" s="236"/>
      <c r="Q413" s="236"/>
      <c r="R413" s="236"/>
      <c r="S413" s="236"/>
      <c r="T413" s="236"/>
      <c r="U413" s="236"/>
      <c r="V413" s="236"/>
      <c r="W413" s="237"/>
      <c r="X413" s="237"/>
      <c r="Y413" s="237"/>
      <c r="Z413" s="237"/>
      <c r="AA413" s="237"/>
      <c r="AB413" s="237"/>
      <c r="AC413" s="237"/>
      <c r="AD413" s="237"/>
      <c r="AE413" s="237"/>
      <c r="AF413" s="237"/>
      <c r="AG413" s="237"/>
      <c r="AH413" s="237"/>
      <c r="AI413" s="308"/>
      <c r="AJ413" s="308"/>
      <c r="AK413" s="308"/>
      <c r="AL413" s="308"/>
      <c r="AM413" s="98"/>
      <c r="AN413" s="98"/>
      <c r="AO413" s="98"/>
    </row>
    <row r="414" ht="14.25" customHeight="1">
      <c r="A414" s="179"/>
      <c r="B414" s="98"/>
      <c r="C414" s="98"/>
      <c r="D414" s="98"/>
      <c r="E414" s="98"/>
      <c r="F414" s="235"/>
      <c r="G414" s="235"/>
      <c r="H414" s="236"/>
      <c r="I414" s="236"/>
      <c r="J414" s="236"/>
      <c r="K414" s="236"/>
      <c r="L414" s="236"/>
      <c r="M414" s="236"/>
      <c r="N414" s="236"/>
      <c r="O414" s="236"/>
      <c r="P414" s="236"/>
      <c r="Q414" s="236"/>
      <c r="R414" s="236"/>
      <c r="S414" s="236"/>
      <c r="T414" s="236"/>
      <c r="U414" s="236"/>
      <c r="V414" s="236"/>
      <c r="W414" s="237"/>
      <c r="X414" s="237"/>
      <c r="Y414" s="237"/>
      <c r="Z414" s="237"/>
      <c r="AA414" s="237"/>
      <c r="AB414" s="237"/>
      <c r="AC414" s="237"/>
      <c r="AD414" s="237"/>
      <c r="AE414" s="237"/>
      <c r="AF414" s="237"/>
      <c r="AG414" s="237"/>
      <c r="AH414" s="237"/>
      <c r="AI414" s="308"/>
      <c r="AJ414" s="308"/>
      <c r="AK414" s="308"/>
      <c r="AL414" s="308"/>
      <c r="AM414" s="98"/>
      <c r="AN414" s="98"/>
      <c r="AO414" s="98"/>
    </row>
    <row r="415" ht="14.25" customHeight="1">
      <c r="A415" s="179"/>
      <c r="B415" s="98"/>
      <c r="C415" s="98"/>
      <c r="D415" s="98"/>
      <c r="E415" s="98"/>
      <c r="F415" s="235"/>
      <c r="G415" s="235"/>
      <c r="H415" s="236"/>
      <c r="I415" s="236"/>
      <c r="J415" s="236"/>
      <c r="K415" s="236"/>
      <c r="L415" s="236"/>
      <c r="M415" s="236"/>
      <c r="N415" s="236"/>
      <c r="O415" s="236"/>
      <c r="P415" s="236"/>
      <c r="Q415" s="236"/>
      <c r="R415" s="236"/>
      <c r="S415" s="236"/>
      <c r="T415" s="236"/>
      <c r="U415" s="236"/>
      <c r="V415" s="236"/>
      <c r="W415" s="237"/>
      <c r="X415" s="237"/>
      <c r="Y415" s="237"/>
      <c r="Z415" s="237"/>
      <c r="AA415" s="237"/>
      <c r="AB415" s="237"/>
      <c r="AC415" s="237"/>
      <c r="AD415" s="237"/>
      <c r="AE415" s="237"/>
      <c r="AF415" s="237"/>
      <c r="AG415" s="237"/>
      <c r="AH415" s="237"/>
      <c r="AI415" s="308"/>
      <c r="AJ415" s="308"/>
      <c r="AK415" s="308"/>
      <c r="AL415" s="308"/>
      <c r="AM415" s="98"/>
      <c r="AN415" s="98"/>
      <c r="AO415" s="98"/>
    </row>
    <row r="416" ht="14.25" customHeight="1">
      <c r="A416" s="179"/>
      <c r="B416" s="98"/>
      <c r="C416" s="98"/>
      <c r="D416" s="98"/>
      <c r="E416" s="98"/>
      <c r="F416" s="235"/>
      <c r="G416" s="235"/>
      <c r="H416" s="236"/>
      <c r="I416" s="236"/>
      <c r="J416" s="236"/>
      <c r="K416" s="236"/>
      <c r="L416" s="236"/>
      <c r="M416" s="236"/>
      <c r="N416" s="236"/>
      <c r="O416" s="236"/>
      <c r="P416" s="236"/>
      <c r="Q416" s="236"/>
      <c r="R416" s="236"/>
      <c r="S416" s="236"/>
      <c r="T416" s="236"/>
      <c r="U416" s="236"/>
      <c r="V416" s="236"/>
      <c r="W416" s="237"/>
      <c r="X416" s="237"/>
      <c r="Y416" s="237"/>
      <c r="Z416" s="237"/>
      <c r="AA416" s="237"/>
      <c r="AB416" s="237"/>
      <c r="AC416" s="237"/>
      <c r="AD416" s="237"/>
      <c r="AE416" s="237"/>
      <c r="AF416" s="237"/>
      <c r="AG416" s="237"/>
      <c r="AH416" s="237"/>
      <c r="AI416" s="308"/>
      <c r="AJ416" s="308"/>
      <c r="AK416" s="308"/>
      <c r="AL416" s="308"/>
      <c r="AM416" s="98"/>
      <c r="AN416" s="98"/>
      <c r="AO416" s="98"/>
    </row>
    <row r="417" ht="14.25" customHeight="1">
      <c r="A417" s="179"/>
      <c r="B417" s="98"/>
      <c r="C417" s="98"/>
      <c r="D417" s="98"/>
      <c r="E417" s="98"/>
      <c r="F417" s="235"/>
      <c r="G417" s="235"/>
      <c r="H417" s="236"/>
      <c r="I417" s="236"/>
      <c r="J417" s="236"/>
      <c r="K417" s="236"/>
      <c r="L417" s="236"/>
      <c r="M417" s="236"/>
      <c r="N417" s="236"/>
      <c r="O417" s="236"/>
      <c r="P417" s="236"/>
      <c r="Q417" s="236"/>
      <c r="R417" s="236"/>
      <c r="S417" s="236"/>
      <c r="T417" s="236"/>
      <c r="U417" s="236"/>
      <c r="V417" s="236"/>
      <c r="W417" s="237"/>
      <c r="X417" s="237"/>
      <c r="Y417" s="237"/>
      <c r="Z417" s="237"/>
      <c r="AA417" s="237"/>
      <c r="AB417" s="237"/>
      <c r="AC417" s="237"/>
      <c r="AD417" s="237"/>
      <c r="AE417" s="237"/>
      <c r="AF417" s="237"/>
      <c r="AG417" s="237"/>
      <c r="AH417" s="237"/>
      <c r="AI417" s="308"/>
      <c r="AJ417" s="308"/>
      <c r="AK417" s="308"/>
      <c r="AL417" s="308"/>
      <c r="AM417" s="98"/>
      <c r="AN417" s="98"/>
      <c r="AO417" s="98"/>
    </row>
    <row r="418" ht="14.25" customHeight="1">
      <c r="A418" s="179"/>
      <c r="B418" s="98"/>
      <c r="C418" s="98"/>
      <c r="D418" s="98"/>
      <c r="E418" s="98"/>
      <c r="F418" s="235"/>
      <c r="G418" s="235"/>
      <c r="H418" s="236"/>
      <c r="I418" s="236"/>
      <c r="J418" s="236"/>
      <c r="K418" s="236"/>
      <c r="L418" s="236"/>
      <c r="M418" s="236"/>
      <c r="N418" s="236"/>
      <c r="O418" s="236"/>
      <c r="P418" s="236"/>
      <c r="Q418" s="236"/>
      <c r="R418" s="236"/>
      <c r="S418" s="236"/>
      <c r="T418" s="236"/>
      <c r="U418" s="236"/>
      <c r="V418" s="236"/>
      <c r="W418" s="237"/>
      <c r="X418" s="237"/>
      <c r="Y418" s="237"/>
      <c r="Z418" s="237"/>
      <c r="AA418" s="237"/>
      <c r="AB418" s="237"/>
      <c r="AC418" s="237"/>
      <c r="AD418" s="237"/>
      <c r="AE418" s="237"/>
      <c r="AF418" s="237"/>
      <c r="AG418" s="237"/>
      <c r="AH418" s="237"/>
      <c r="AI418" s="308"/>
      <c r="AJ418" s="308"/>
      <c r="AK418" s="308"/>
      <c r="AL418" s="308"/>
      <c r="AM418" s="98"/>
      <c r="AN418" s="98"/>
      <c r="AO418" s="98"/>
    </row>
    <row r="419" ht="14.25" customHeight="1">
      <c r="A419" s="179"/>
      <c r="B419" s="98"/>
      <c r="C419" s="98"/>
      <c r="D419" s="98"/>
      <c r="E419" s="98"/>
      <c r="F419" s="235"/>
      <c r="G419" s="235"/>
      <c r="H419" s="236"/>
      <c r="I419" s="236"/>
      <c r="J419" s="236"/>
      <c r="K419" s="236"/>
      <c r="L419" s="236"/>
      <c r="M419" s="236"/>
      <c r="N419" s="236"/>
      <c r="O419" s="236"/>
      <c r="P419" s="236"/>
      <c r="Q419" s="236"/>
      <c r="R419" s="236"/>
      <c r="S419" s="236"/>
      <c r="T419" s="236"/>
      <c r="U419" s="236"/>
      <c r="V419" s="236"/>
      <c r="W419" s="237"/>
      <c r="X419" s="237"/>
      <c r="Y419" s="237"/>
      <c r="Z419" s="237"/>
      <c r="AA419" s="237"/>
      <c r="AB419" s="237"/>
      <c r="AC419" s="237"/>
      <c r="AD419" s="237"/>
      <c r="AE419" s="237"/>
      <c r="AF419" s="237"/>
      <c r="AG419" s="237"/>
      <c r="AH419" s="237"/>
      <c r="AI419" s="308"/>
      <c r="AJ419" s="308"/>
      <c r="AK419" s="308"/>
      <c r="AL419" s="308"/>
      <c r="AM419" s="98"/>
      <c r="AN419" s="98"/>
      <c r="AO419" s="98"/>
    </row>
    <row r="420" ht="14.25" customHeight="1">
      <c r="A420" s="179"/>
      <c r="B420" s="98"/>
      <c r="C420" s="98"/>
      <c r="D420" s="98"/>
      <c r="E420" s="98"/>
      <c r="F420" s="235"/>
      <c r="G420" s="235"/>
      <c r="H420" s="236"/>
      <c r="I420" s="236"/>
      <c r="J420" s="236"/>
      <c r="K420" s="236"/>
      <c r="L420" s="236"/>
      <c r="M420" s="236"/>
      <c r="N420" s="236"/>
      <c r="O420" s="236"/>
      <c r="P420" s="236"/>
      <c r="Q420" s="236"/>
      <c r="R420" s="236"/>
      <c r="S420" s="236"/>
      <c r="T420" s="236"/>
      <c r="U420" s="236"/>
      <c r="V420" s="236"/>
      <c r="W420" s="237"/>
      <c r="X420" s="237"/>
      <c r="Y420" s="237"/>
      <c r="Z420" s="237"/>
      <c r="AA420" s="237"/>
      <c r="AB420" s="237"/>
      <c r="AC420" s="237"/>
      <c r="AD420" s="237"/>
      <c r="AE420" s="237"/>
      <c r="AF420" s="237"/>
      <c r="AG420" s="237"/>
      <c r="AH420" s="237"/>
      <c r="AI420" s="308"/>
      <c r="AJ420" s="308"/>
      <c r="AK420" s="308"/>
      <c r="AL420" s="308"/>
      <c r="AM420" s="98"/>
      <c r="AN420" s="98"/>
      <c r="AO420" s="98"/>
    </row>
    <row r="421" ht="14.25" customHeight="1">
      <c r="A421" s="179"/>
      <c r="B421" s="98"/>
      <c r="C421" s="98"/>
      <c r="D421" s="98"/>
      <c r="E421" s="98"/>
      <c r="F421" s="235"/>
      <c r="G421" s="235"/>
      <c r="H421" s="236"/>
      <c r="I421" s="236"/>
      <c r="J421" s="236"/>
      <c r="K421" s="236"/>
      <c r="L421" s="236"/>
      <c r="M421" s="236"/>
      <c r="N421" s="236"/>
      <c r="O421" s="236"/>
      <c r="P421" s="236"/>
      <c r="Q421" s="236"/>
      <c r="R421" s="236"/>
      <c r="S421" s="236"/>
      <c r="T421" s="236"/>
      <c r="U421" s="236"/>
      <c r="V421" s="236"/>
      <c r="W421" s="237"/>
      <c r="X421" s="237"/>
      <c r="Y421" s="237"/>
      <c r="Z421" s="237"/>
      <c r="AA421" s="237"/>
      <c r="AB421" s="237"/>
      <c r="AC421" s="237"/>
      <c r="AD421" s="237"/>
      <c r="AE421" s="237"/>
      <c r="AF421" s="237"/>
      <c r="AG421" s="237"/>
      <c r="AH421" s="237"/>
      <c r="AI421" s="308"/>
      <c r="AJ421" s="308"/>
      <c r="AK421" s="308"/>
      <c r="AL421" s="308"/>
      <c r="AM421" s="98"/>
      <c r="AN421" s="98"/>
      <c r="AO421" s="98"/>
    </row>
    <row r="422" ht="14.25" customHeight="1">
      <c r="A422" s="179"/>
      <c r="B422" s="98"/>
      <c r="C422" s="98"/>
      <c r="D422" s="98"/>
      <c r="E422" s="98"/>
      <c r="F422" s="235"/>
      <c r="G422" s="235"/>
      <c r="H422" s="236"/>
      <c r="I422" s="236"/>
      <c r="J422" s="236"/>
      <c r="K422" s="236"/>
      <c r="L422" s="236"/>
      <c r="M422" s="236"/>
      <c r="N422" s="236"/>
      <c r="O422" s="236"/>
      <c r="P422" s="236"/>
      <c r="Q422" s="236"/>
      <c r="R422" s="236"/>
      <c r="S422" s="236"/>
      <c r="T422" s="236"/>
      <c r="U422" s="236"/>
      <c r="V422" s="236"/>
      <c r="W422" s="237"/>
      <c r="X422" s="237"/>
      <c r="Y422" s="237"/>
      <c r="Z422" s="237"/>
      <c r="AA422" s="237"/>
      <c r="AB422" s="237"/>
      <c r="AC422" s="237"/>
      <c r="AD422" s="237"/>
      <c r="AE422" s="237"/>
      <c r="AF422" s="237"/>
      <c r="AG422" s="237"/>
      <c r="AH422" s="237"/>
      <c r="AI422" s="308"/>
      <c r="AJ422" s="308"/>
      <c r="AK422" s="308"/>
      <c r="AL422" s="308"/>
      <c r="AM422" s="98"/>
      <c r="AN422" s="98"/>
      <c r="AO422" s="98"/>
    </row>
    <row r="423" ht="14.25" customHeight="1">
      <c r="A423" s="179"/>
      <c r="B423" s="98"/>
      <c r="C423" s="98"/>
      <c r="D423" s="98"/>
      <c r="E423" s="98"/>
      <c r="F423" s="235"/>
      <c r="G423" s="235"/>
      <c r="H423" s="236"/>
      <c r="I423" s="236"/>
      <c r="J423" s="236"/>
      <c r="K423" s="236"/>
      <c r="L423" s="236"/>
      <c r="M423" s="236"/>
      <c r="N423" s="236"/>
      <c r="O423" s="236"/>
      <c r="P423" s="236"/>
      <c r="Q423" s="236"/>
      <c r="R423" s="236"/>
      <c r="S423" s="236"/>
      <c r="T423" s="236"/>
      <c r="U423" s="236"/>
      <c r="V423" s="236"/>
      <c r="W423" s="237"/>
      <c r="X423" s="237"/>
      <c r="Y423" s="237"/>
      <c r="Z423" s="237"/>
      <c r="AA423" s="237"/>
      <c r="AB423" s="237"/>
      <c r="AC423" s="237"/>
      <c r="AD423" s="237"/>
      <c r="AE423" s="237"/>
      <c r="AF423" s="237"/>
      <c r="AG423" s="237"/>
      <c r="AH423" s="237"/>
      <c r="AI423" s="308"/>
      <c r="AJ423" s="308"/>
      <c r="AK423" s="308"/>
      <c r="AL423" s="308"/>
      <c r="AM423" s="98"/>
      <c r="AN423" s="98"/>
      <c r="AO423" s="98"/>
    </row>
    <row r="424" ht="14.25" customHeight="1">
      <c r="A424" s="179"/>
      <c r="B424" s="98"/>
      <c r="C424" s="98"/>
      <c r="D424" s="98"/>
      <c r="E424" s="98"/>
      <c r="F424" s="235"/>
      <c r="G424" s="235"/>
      <c r="H424" s="236"/>
      <c r="I424" s="236"/>
      <c r="J424" s="236"/>
      <c r="K424" s="236"/>
      <c r="L424" s="236"/>
      <c r="M424" s="236"/>
      <c r="N424" s="236"/>
      <c r="O424" s="236"/>
      <c r="P424" s="236"/>
      <c r="Q424" s="236"/>
      <c r="R424" s="236"/>
      <c r="S424" s="236"/>
      <c r="T424" s="236"/>
      <c r="U424" s="236"/>
      <c r="V424" s="236"/>
      <c r="W424" s="237"/>
      <c r="X424" s="237"/>
      <c r="Y424" s="237"/>
      <c r="Z424" s="237"/>
      <c r="AA424" s="237"/>
      <c r="AB424" s="237"/>
      <c r="AC424" s="237"/>
      <c r="AD424" s="237"/>
      <c r="AE424" s="237"/>
      <c r="AF424" s="237"/>
      <c r="AG424" s="237"/>
      <c r="AH424" s="237"/>
      <c r="AI424" s="308"/>
      <c r="AJ424" s="308"/>
      <c r="AK424" s="308"/>
      <c r="AL424" s="308"/>
      <c r="AM424" s="98"/>
      <c r="AN424" s="98"/>
      <c r="AO424" s="98"/>
    </row>
    <row r="425" ht="14.25" customHeight="1">
      <c r="A425" s="179"/>
      <c r="B425" s="98"/>
      <c r="C425" s="98"/>
      <c r="D425" s="98"/>
      <c r="E425" s="98"/>
      <c r="F425" s="235"/>
      <c r="G425" s="235"/>
      <c r="H425" s="236"/>
      <c r="I425" s="236"/>
      <c r="J425" s="236"/>
      <c r="K425" s="236"/>
      <c r="L425" s="236"/>
      <c r="M425" s="236"/>
      <c r="N425" s="236"/>
      <c r="O425" s="236"/>
      <c r="P425" s="236"/>
      <c r="Q425" s="236"/>
      <c r="R425" s="236"/>
      <c r="S425" s="236"/>
      <c r="T425" s="236"/>
      <c r="U425" s="236"/>
      <c r="V425" s="236"/>
      <c r="W425" s="237"/>
      <c r="X425" s="237"/>
      <c r="Y425" s="237"/>
      <c r="Z425" s="237"/>
      <c r="AA425" s="237"/>
      <c r="AB425" s="237"/>
      <c r="AC425" s="237"/>
      <c r="AD425" s="237"/>
      <c r="AE425" s="237"/>
      <c r="AF425" s="237"/>
      <c r="AG425" s="237"/>
      <c r="AH425" s="237"/>
      <c r="AI425" s="308"/>
      <c r="AJ425" s="308"/>
      <c r="AK425" s="308"/>
      <c r="AL425" s="308"/>
      <c r="AM425" s="98"/>
      <c r="AN425" s="98"/>
      <c r="AO425" s="98"/>
    </row>
    <row r="426" ht="14.25" customHeight="1">
      <c r="A426" s="179"/>
      <c r="B426" s="98"/>
      <c r="C426" s="98"/>
      <c r="D426" s="98"/>
      <c r="E426" s="98"/>
      <c r="F426" s="235"/>
      <c r="G426" s="235"/>
      <c r="H426" s="236"/>
      <c r="I426" s="236"/>
      <c r="J426" s="236"/>
      <c r="K426" s="236"/>
      <c r="L426" s="236"/>
      <c r="M426" s="236"/>
      <c r="N426" s="236"/>
      <c r="O426" s="236"/>
      <c r="P426" s="236"/>
      <c r="Q426" s="236"/>
      <c r="R426" s="236"/>
      <c r="S426" s="236"/>
      <c r="T426" s="236"/>
      <c r="U426" s="236"/>
      <c r="V426" s="236"/>
      <c r="W426" s="237"/>
      <c r="X426" s="237"/>
      <c r="Y426" s="237"/>
      <c r="Z426" s="237"/>
      <c r="AA426" s="237"/>
      <c r="AB426" s="237"/>
      <c r="AC426" s="237"/>
      <c r="AD426" s="237"/>
      <c r="AE426" s="237"/>
      <c r="AF426" s="237"/>
      <c r="AG426" s="237"/>
      <c r="AH426" s="237"/>
      <c r="AI426" s="308"/>
      <c r="AJ426" s="308"/>
      <c r="AK426" s="308"/>
      <c r="AL426" s="308"/>
      <c r="AM426" s="98"/>
      <c r="AN426" s="98"/>
      <c r="AO426" s="98"/>
    </row>
    <row r="427" ht="14.25" customHeight="1">
      <c r="A427" s="179"/>
      <c r="B427" s="98"/>
      <c r="C427" s="98"/>
      <c r="D427" s="98"/>
      <c r="E427" s="98"/>
      <c r="F427" s="235"/>
      <c r="G427" s="235"/>
      <c r="H427" s="236"/>
      <c r="I427" s="236"/>
      <c r="J427" s="236"/>
      <c r="K427" s="236"/>
      <c r="L427" s="236"/>
      <c r="M427" s="236"/>
      <c r="N427" s="236"/>
      <c r="O427" s="236"/>
      <c r="P427" s="236"/>
      <c r="Q427" s="236"/>
      <c r="R427" s="236"/>
      <c r="S427" s="236"/>
      <c r="T427" s="236"/>
      <c r="U427" s="236"/>
      <c r="V427" s="236"/>
      <c r="W427" s="237"/>
      <c r="X427" s="237"/>
      <c r="Y427" s="237"/>
      <c r="Z427" s="237"/>
      <c r="AA427" s="237"/>
      <c r="AB427" s="237"/>
      <c r="AC427" s="237"/>
      <c r="AD427" s="237"/>
      <c r="AE427" s="237"/>
      <c r="AF427" s="237"/>
      <c r="AG427" s="237"/>
      <c r="AH427" s="237"/>
      <c r="AI427" s="308"/>
      <c r="AJ427" s="308"/>
      <c r="AK427" s="308"/>
      <c r="AL427" s="308"/>
      <c r="AM427" s="98"/>
      <c r="AN427" s="98"/>
      <c r="AO427" s="98"/>
    </row>
    <row r="428" ht="14.25" customHeight="1">
      <c r="A428" s="179"/>
      <c r="B428" s="98"/>
      <c r="C428" s="98"/>
      <c r="D428" s="98"/>
      <c r="E428" s="98"/>
      <c r="F428" s="235"/>
      <c r="G428" s="235"/>
      <c r="H428" s="236"/>
      <c r="I428" s="236"/>
      <c r="J428" s="236"/>
      <c r="K428" s="236"/>
      <c r="L428" s="236"/>
      <c r="M428" s="236"/>
      <c r="N428" s="236"/>
      <c r="O428" s="236"/>
      <c r="P428" s="236"/>
      <c r="Q428" s="236"/>
      <c r="R428" s="236"/>
      <c r="S428" s="236"/>
      <c r="T428" s="236"/>
      <c r="U428" s="236"/>
      <c r="V428" s="236"/>
      <c r="W428" s="237"/>
      <c r="X428" s="237"/>
      <c r="Y428" s="237"/>
      <c r="Z428" s="237"/>
      <c r="AA428" s="237"/>
      <c r="AB428" s="237"/>
      <c r="AC428" s="237"/>
      <c r="AD428" s="237"/>
      <c r="AE428" s="237"/>
      <c r="AF428" s="237"/>
      <c r="AG428" s="237"/>
      <c r="AH428" s="237"/>
      <c r="AI428" s="308"/>
      <c r="AJ428" s="308"/>
      <c r="AK428" s="308"/>
      <c r="AL428" s="308"/>
      <c r="AM428" s="98"/>
      <c r="AN428" s="98"/>
      <c r="AO428" s="98"/>
    </row>
    <row r="429" ht="14.25" customHeight="1">
      <c r="A429" s="179"/>
      <c r="B429" s="98"/>
      <c r="C429" s="98"/>
      <c r="D429" s="98"/>
      <c r="E429" s="98"/>
      <c r="F429" s="235"/>
      <c r="G429" s="235"/>
      <c r="H429" s="236"/>
      <c r="I429" s="236"/>
      <c r="J429" s="236"/>
      <c r="K429" s="236"/>
      <c r="L429" s="236"/>
      <c r="M429" s="236"/>
      <c r="N429" s="236"/>
      <c r="O429" s="236"/>
      <c r="P429" s="236"/>
      <c r="Q429" s="236"/>
      <c r="R429" s="236"/>
      <c r="S429" s="236"/>
      <c r="T429" s="236"/>
      <c r="U429" s="236"/>
      <c r="V429" s="236"/>
      <c r="W429" s="237"/>
      <c r="X429" s="237"/>
      <c r="Y429" s="237"/>
      <c r="Z429" s="237"/>
      <c r="AA429" s="237"/>
      <c r="AB429" s="237"/>
      <c r="AC429" s="237"/>
      <c r="AD429" s="237"/>
      <c r="AE429" s="237"/>
      <c r="AF429" s="237"/>
      <c r="AG429" s="237"/>
      <c r="AH429" s="237"/>
      <c r="AI429" s="308"/>
      <c r="AJ429" s="308"/>
      <c r="AK429" s="308"/>
      <c r="AL429" s="308"/>
      <c r="AM429" s="98"/>
      <c r="AN429" s="98"/>
      <c r="AO429" s="98"/>
    </row>
    <row r="430" ht="14.25" customHeight="1">
      <c r="A430" s="179"/>
      <c r="B430" s="98"/>
      <c r="C430" s="98"/>
      <c r="D430" s="98"/>
      <c r="E430" s="98"/>
      <c r="F430" s="235"/>
      <c r="G430" s="235"/>
      <c r="H430" s="236"/>
      <c r="I430" s="236"/>
      <c r="J430" s="236"/>
      <c r="K430" s="236"/>
      <c r="L430" s="236"/>
      <c r="M430" s="236"/>
      <c r="N430" s="236"/>
      <c r="O430" s="236"/>
      <c r="P430" s="236"/>
      <c r="Q430" s="236"/>
      <c r="R430" s="236"/>
      <c r="S430" s="236"/>
      <c r="T430" s="236"/>
      <c r="U430" s="236"/>
      <c r="V430" s="236"/>
      <c r="W430" s="237"/>
      <c r="X430" s="237"/>
      <c r="Y430" s="237"/>
      <c r="Z430" s="237"/>
      <c r="AA430" s="237"/>
      <c r="AB430" s="237"/>
      <c r="AC430" s="237"/>
      <c r="AD430" s="237"/>
      <c r="AE430" s="237"/>
      <c r="AF430" s="237"/>
      <c r="AG430" s="237"/>
      <c r="AH430" s="237"/>
      <c r="AI430" s="308"/>
      <c r="AJ430" s="308"/>
      <c r="AK430" s="308"/>
      <c r="AL430" s="308"/>
      <c r="AM430" s="98"/>
      <c r="AN430" s="98"/>
      <c r="AO430" s="98"/>
    </row>
    <row r="431" ht="14.25" customHeight="1">
      <c r="A431" s="179"/>
      <c r="B431" s="98"/>
      <c r="C431" s="98"/>
      <c r="D431" s="98"/>
      <c r="E431" s="98"/>
      <c r="F431" s="235"/>
      <c r="G431" s="235"/>
      <c r="H431" s="236"/>
      <c r="I431" s="236"/>
      <c r="J431" s="236"/>
      <c r="K431" s="236"/>
      <c r="L431" s="236"/>
      <c r="M431" s="236"/>
      <c r="N431" s="236"/>
      <c r="O431" s="236"/>
      <c r="P431" s="236"/>
      <c r="Q431" s="236"/>
      <c r="R431" s="236"/>
      <c r="S431" s="236"/>
      <c r="T431" s="236"/>
      <c r="U431" s="236"/>
      <c r="V431" s="236"/>
      <c r="W431" s="237"/>
      <c r="X431" s="237"/>
      <c r="Y431" s="237"/>
      <c r="Z431" s="237"/>
      <c r="AA431" s="237"/>
      <c r="AB431" s="237"/>
      <c r="AC431" s="237"/>
      <c r="AD431" s="237"/>
      <c r="AE431" s="237"/>
      <c r="AF431" s="237"/>
      <c r="AG431" s="237"/>
      <c r="AH431" s="237"/>
      <c r="AI431" s="308"/>
      <c r="AJ431" s="308"/>
      <c r="AK431" s="308"/>
      <c r="AL431" s="308"/>
      <c r="AM431" s="98"/>
      <c r="AN431" s="98"/>
      <c r="AO431" s="98"/>
    </row>
    <row r="432" ht="14.25" customHeight="1">
      <c r="A432" s="179"/>
      <c r="B432" s="98"/>
      <c r="C432" s="98"/>
      <c r="D432" s="98"/>
      <c r="E432" s="98"/>
      <c r="F432" s="235"/>
      <c r="G432" s="235"/>
      <c r="H432" s="236"/>
      <c r="I432" s="236"/>
      <c r="J432" s="236"/>
      <c r="K432" s="236"/>
      <c r="L432" s="236"/>
      <c r="M432" s="236"/>
      <c r="N432" s="236"/>
      <c r="O432" s="236"/>
      <c r="P432" s="236"/>
      <c r="Q432" s="236"/>
      <c r="R432" s="236"/>
      <c r="S432" s="236"/>
      <c r="T432" s="236"/>
      <c r="U432" s="236"/>
      <c r="V432" s="236"/>
      <c r="W432" s="237"/>
      <c r="X432" s="237"/>
      <c r="Y432" s="237"/>
      <c r="Z432" s="237"/>
      <c r="AA432" s="237"/>
      <c r="AB432" s="237"/>
      <c r="AC432" s="237"/>
      <c r="AD432" s="237"/>
      <c r="AE432" s="237"/>
      <c r="AF432" s="237"/>
      <c r="AG432" s="237"/>
      <c r="AH432" s="237"/>
      <c r="AI432" s="308"/>
      <c r="AJ432" s="308"/>
      <c r="AK432" s="308"/>
      <c r="AL432" s="308"/>
      <c r="AM432" s="98"/>
      <c r="AN432" s="98"/>
      <c r="AO432" s="98"/>
    </row>
    <row r="433" ht="14.25" customHeight="1">
      <c r="A433" s="179"/>
      <c r="B433" s="98"/>
      <c r="C433" s="98"/>
      <c r="D433" s="98"/>
      <c r="E433" s="98"/>
      <c r="F433" s="235"/>
      <c r="G433" s="235"/>
      <c r="H433" s="236"/>
      <c r="I433" s="236"/>
      <c r="J433" s="236"/>
      <c r="K433" s="236"/>
      <c r="L433" s="236"/>
      <c r="M433" s="236"/>
      <c r="N433" s="236"/>
      <c r="O433" s="236"/>
      <c r="P433" s="236"/>
      <c r="Q433" s="236"/>
      <c r="R433" s="236"/>
      <c r="S433" s="236"/>
      <c r="T433" s="236"/>
      <c r="U433" s="236"/>
      <c r="V433" s="236"/>
      <c r="W433" s="237"/>
      <c r="X433" s="237"/>
      <c r="Y433" s="237"/>
      <c r="Z433" s="237"/>
      <c r="AA433" s="237"/>
      <c r="AB433" s="237"/>
      <c r="AC433" s="237"/>
      <c r="AD433" s="237"/>
      <c r="AE433" s="237"/>
      <c r="AF433" s="237"/>
      <c r="AG433" s="237"/>
      <c r="AH433" s="237"/>
      <c r="AI433" s="308"/>
      <c r="AJ433" s="308"/>
      <c r="AK433" s="308"/>
      <c r="AL433" s="308"/>
      <c r="AM433" s="98"/>
      <c r="AN433" s="98"/>
      <c r="AO433" s="98"/>
    </row>
    <row r="434" ht="14.25" customHeight="1">
      <c r="A434" s="179"/>
      <c r="B434" s="98"/>
      <c r="C434" s="98"/>
      <c r="D434" s="98"/>
      <c r="E434" s="98"/>
      <c r="F434" s="235"/>
      <c r="G434" s="235"/>
      <c r="H434" s="236"/>
      <c r="I434" s="236"/>
      <c r="J434" s="236"/>
      <c r="K434" s="236"/>
      <c r="L434" s="236"/>
      <c r="M434" s="236"/>
      <c r="N434" s="236"/>
      <c r="O434" s="236"/>
      <c r="P434" s="236"/>
      <c r="Q434" s="236"/>
      <c r="R434" s="236"/>
      <c r="S434" s="236"/>
      <c r="T434" s="236"/>
      <c r="U434" s="236"/>
      <c r="V434" s="236"/>
      <c r="W434" s="237"/>
      <c r="X434" s="237"/>
      <c r="Y434" s="237"/>
      <c r="Z434" s="237"/>
      <c r="AA434" s="237"/>
      <c r="AB434" s="237"/>
      <c r="AC434" s="237"/>
      <c r="AD434" s="237"/>
      <c r="AE434" s="237"/>
      <c r="AF434" s="237"/>
      <c r="AG434" s="237"/>
      <c r="AH434" s="237"/>
      <c r="AI434" s="308"/>
      <c r="AJ434" s="308"/>
      <c r="AK434" s="308"/>
      <c r="AL434" s="308"/>
      <c r="AM434" s="98"/>
      <c r="AN434" s="98"/>
      <c r="AO434" s="98"/>
    </row>
    <row r="435" ht="14.25" customHeight="1">
      <c r="A435" s="179"/>
      <c r="B435" s="98"/>
      <c r="C435" s="98"/>
      <c r="D435" s="98"/>
      <c r="E435" s="98"/>
      <c r="F435" s="235"/>
      <c r="G435" s="235"/>
      <c r="H435" s="236"/>
      <c r="I435" s="236"/>
      <c r="J435" s="236"/>
      <c r="K435" s="236"/>
      <c r="L435" s="236"/>
      <c r="M435" s="236"/>
      <c r="N435" s="236"/>
      <c r="O435" s="236"/>
      <c r="P435" s="236"/>
      <c r="Q435" s="236"/>
      <c r="R435" s="236"/>
      <c r="S435" s="236"/>
      <c r="T435" s="236"/>
      <c r="U435" s="236"/>
      <c r="V435" s="236"/>
      <c r="W435" s="237"/>
      <c r="X435" s="237"/>
      <c r="Y435" s="237"/>
      <c r="Z435" s="237"/>
      <c r="AA435" s="237"/>
      <c r="AB435" s="237"/>
      <c r="AC435" s="237"/>
      <c r="AD435" s="237"/>
      <c r="AE435" s="237"/>
      <c r="AF435" s="237"/>
      <c r="AG435" s="237"/>
      <c r="AH435" s="237"/>
      <c r="AI435" s="308"/>
      <c r="AJ435" s="308"/>
      <c r="AK435" s="308"/>
      <c r="AL435" s="308"/>
      <c r="AM435" s="98"/>
      <c r="AN435" s="98"/>
      <c r="AO435" s="98"/>
    </row>
    <row r="436" ht="14.25" customHeight="1">
      <c r="A436" s="179"/>
      <c r="B436" s="98"/>
      <c r="C436" s="98"/>
      <c r="D436" s="98"/>
      <c r="E436" s="98"/>
      <c r="F436" s="235"/>
      <c r="G436" s="235"/>
      <c r="H436" s="236"/>
      <c r="I436" s="236"/>
      <c r="J436" s="236"/>
      <c r="K436" s="236"/>
      <c r="L436" s="236"/>
      <c r="M436" s="236"/>
      <c r="N436" s="236"/>
      <c r="O436" s="236"/>
      <c r="P436" s="236"/>
      <c r="Q436" s="236"/>
      <c r="R436" s="236"/>
      <c r="S436" s="236"/>
      <c r="T436" s="236"/>
      <c r="U436" s="236"/>
      <c r="V436" s="236"/>
      <c r="W436" s="237"/>
      <c r="X436" s="237"/>
      <c r="Y436" s="237"/>
      <c r="Z436" s="237"/>
      <c r="AA436" s="237"/>
      <c r="AB436" s="237"/>
      <c r="AC436" s="237"/>
      <c r="AD436" s="237"/>
      <c r="AE436" s="237"/>
      <c r="AF436" s="237"/>
      <c r="AG436" s="237"/>
      <c r="AH436" s="237"/>
      <c r="AI436" s="308"/>
      <c r="AJ436" s="308"/>
      <c r="AK436" s="308"/>
      <c r="AL436" s="308"/>
      <c r="AM436" s="98"/>
      <c r="AN436" s="98"/>
      <c r="AO436" s="98"/>
    </row>
    <row r="437" ht="14.25" customHeight="1">
      <c r="A437" s="179"/>
      <c r="B437" s="98"/>
      <c r="C437" s="98"/>
      <c r="D437" s="98"/>
      <c r="E437" s="98"/>
      <c r="F437" s="235"/>
      <c r="G437" s="235"/>
      <c r="H437" s="236"/>
      <c r="I437" s="236"/>
      <c r="J437" s="236"/>
      <c r="K437" s="236"/>
      <c r="L437" s="236"/>
      <c r="M437" s="236"/>
      <c r="N437" s="236"/>
      <c r="O437" s="236"/>
      <c r="P437" s="236"/>
      <c r="Q437" s="236"/>
      <c r="R437" s="236"/>
      <c r="S437" s="236"/>
      <c r="T437" s="236"/>
      <c r="U437" s="236"/>
      <c r="V437" s="236"/>
      <c r="W437" s="237"/>
      <c r="X437" s="237"/>
      <c r="Y437" s="237"/>
      <c r="Z437" s="237"/>
      <c r="AA437" s="237"/>
      <c r="AB437" s="237"/>
      <c r="AC437" s="237"/>
      <c r="AD437" s="237"/>
      <c r="AE437" s="237"/>
      <c r="AF437" s="237"/>
      <c r="AG437" s="237"/>
      <c r="AH437" s="237"/>
      <c r="AI437" s="308"/>
      <c r="AJ437" s="308"/>
      <c r="AK437" s="308"/>
      <c r="AL437" s="308"/>
      <c r="AM437" s="98"/>
      <c r="AN437" s="98"/>
      <c r="AO437" s="98"/>
    </row>
    <row r="438" ht="14.25" customHeight="1">
      <c r="A438" s="179"/>
      <c r="B438" s="98"/>
      <c r="C438" s="98"/>
      <c r="D438" s="98"/>
      <c r="E438" s="98"/>
      <c r="F438" s="235"/>
      <c r="G438" s="235"/>
      <c r="H438" s="236"/>
      <c r="I438" s="236"/>
      <c r="J438" s="236"/>
      <c r="K438" s="236"/>
      <c r="L438" s="236"/>
      <c r="M438" s="236"/>
      <c r="N438" s="236"/>
      <c r="O438" s="236"/>
      <c r="P438" s="236"/>
      <c r="Q438" s="236"/>
      <c r="R438" s="236"/>
      <c r="S438" s="236"/>
      <c r="T438" s="236"/>
      <c r="U438" s="236"/>
      <c r="V438" s="236"/>
      <c r="W438" s="237"/>
      <c r="X438" s="237"/>
      <c r="Y438" s="237"/>
      <c r="Z438" s="237"/>
      <c r="AA438" s="237"/>
      <c r="AB438" s="237"/>
      <c r="AC438" s="237"/>
      <c r="AD438" s="237"/>
      <c r="AE438" s="237"/>
      <c r="AF438" s="237"/>
      <c r="AG438" s="237"/>
      <c r="AH438" s="237"/>
      <c r="AI438" s="308"/>
      <c r="AJ438" s="308"/>
      <c r="AK438" s="308"/>
      <c r="AL438" s="308"/>
      <c r="AM438" s="98"/>
      <c r="AN438" s="98"/>
      <c r="AO438" s="98"/>
    </row>
    <row r="439" ht="14.25" customHeight="1">
      <c r="A439" s="179"/>
      <c r="B439" s="98"/>
      <c r="C439" s="98"/>
      <c r="D439" s="98"/>
      <c r="E439" s="98"/>
      <c r="F439" s="235"/>
      <c r="G439" s="235"/>
      <c r="H439" s="236"/>
      <c r="I439" s="236"/>
      <c r="J439" s="236"/>
      <c r="K439" s="236"/>
      <c r="L439" s="236"/>
      <c r="M439" s="236"/>
      <c r="N439" s="236"/>
      <c r="O439" s="236"/>
      <c r="P439" s="236"/>
      <c r="Q439" s="236"/>
      <c r="R439" s="236"/>
      <c r="S439" s="236"/>
      <c r="T439" s="236"/>
      <c r="U439" s="236"/>
      <c r="V439" s="236"/>
      <c r="W439" s="237"/>
      <c r="X439" s="237"/>
      <c r="Y439" s="237"/>
      <c r="Z439" s="237"/>
      <c r="AA439" s="237"/>
      <c r="AB439" s="237"/>
      <c r="AC439" s="237"/>
      <c r="AD439" s="237"/>
      <c r="AE439" s="237"/>
      <c r="AF439" s="237"/>
      <c r="AG439" s="237"/>
      <c r="AH439" s="237"/>
      <c r="AI439" s="308"/>
      <c r="AJ439" s="308"/>
      <c r="AK439" s="308"/>
      <c r="AL439" s="308"/>
      <c r="AM439" s="98"/>
      <c r="AN439" s="98"/>
      <c r="AO439" s="98"/>
    </row>
    <row r="440" ht="14.25" customHeight="1">
      <c r="A440" s="179"/>
      <c r="B440" s="98"/>
      <c r="C440" s="98"/>
      <c r="D440" s="98"/>
      <c r="E440" s="98"/>
      <c r="F440" s="235"/>
      <c r="G440" s="235"/>
      <c r="H440" s="236"/>
      <c r="I440" s="236"/>
      <c r="J440" s="236"/>
      <c r="K440" s="236"/>
      <c r="L440" s="236"/>
      <c r="M440" s="236"/>
      <c r="N440" s="236"/>
      <c r="O440" s="236"/>
      <c r="P440" s="236"/>
      <c r="Q440" s="236"/>
      <c r="R440" s="236"/>
      <c r="S440" s="236"/>
      <c r="T440" s="236"/>
      <c r="U440" s="236"/>
      <c r="V440" s="236"/>
      <c r="W440" s="237"/>
      <c r="X440" s="237"/>
      <c r="Y440" s="237"/>
      <c r="Z440" s="237"/>
      <c r="AA440" s="237"/>
      <c r="AB440" s="237"/>
      <c r="AC440" s="237"/>
      <c r="AD440" s="237"/>
      <c r="AE440" s="237"/>
      <c r="AF440" s="237"/>
      <c r="AG440" s="237"/>
      <c r="AH440" s="237"/>
      <c r="AI440" s="308"/>
      <c r="AJ440" s="308"/>
      <c r="AK440" s="308"/>
      <c r="AL440" s="308"/>
      <c r="AM440" s="98"/>
      <c r="AN440" s="98"/>
      <c r="AO440" s="98"/>
    </row>
    <row r="441" ht="14.25" customHeight="1">
      <c r="A441" s="179"/>
      <c r="B441" s="98"/>
      <c r="C441" s="98"/>
      <c r="D441" s="98"/>
      <c r="E441" s="98"/>
      <c r="F441" s="235"/>
      <c r="G441" s="235"/>
      <c r="H441" s="236"/>
      <c r="I441" s="236"/>
      <c r="J441" s="236"/>
      <c r="K441" s="236"/>
      <c r="L441" s="236"/>
      <c r="M441" s="236"/>
      <c r="N441" s="236"/>
      <c r="O441" s="236"/>
      <c r="P441" s="236"/>
      <c r="Q441" s="236"/>
      <c r="R441" s="236"/>
      <c r="S441" s="236"/>
      <c r="T441" s="236"/>
      <c r="U441" s="236"/>
      <c r="V441" s="236"/>
      <c r="W441" s="237"/>
      <c r="X441" s="237"/>
      <c r="Y441" s="237"/>
      <c r="Z441" s="237"/>
      <c r="AA441" s="237"/>
      <c r="AB441" s="237"/>
      <c r="AC441" s="237"/>
      <c r="AD441" s="237"/>
      <c r="AE441" s="237"/>
      <c r="AF441" s="237"/>
      <c r="AG441" s="237"/>
      <c r="AH441" s="237"/>
      <c r="AI441" s="308"/>
      <c r="AJ441" s="308"/>
      <c r="AK441" s="308"/>
      <c r="AL441" s="308"/>
      <c r="AM441" s="98"/>
      <c r="AN441" s="98"/>
      <c r="AO441" s="98"/>
    </row>
    <row r="442" ht="14.25" customHeight="1">
      <c r="A442" s="179"/>
      <c r="B442" s="98"/>
      <c r="C442" s="98"/>
      <c r="D442" s="98"/>
      <c r="E442" s="98"/>
      <c r="F442" s="235"/>
      <c r="G442" s="235"/>
      <c r="H442" s="236"/>
      <c r="I442" s="236"/>
      <c r="J442" s="236"/>
      <c r="K442" s="236"/>
      <c r="L442" s="236"/>
      <c r="M442" s="236"/>
      <c r="N442" s="236"/>
      <c r="O442" s="236"/>
      <c r="P442" s="236"/>
      <c r="Q442" s="236"/>
      <c r="R442" s="236"/>
      <c r="S442" s="236"/>
      <c r="T442" s="236"/>
      <c r="U442" s="236"/>
      <c r="V442" s="236"/>
      <c r="W442" s="237"/>
      <c r="X442" s="237"/>
      <c r="Y442" s="237"/>
      <c r="Z442" s="237"/>
      <c r="AA442" s="237"/>
      <c r="AB442" s="237"/>
      <c r="AC442" s="237"/>
      <c r="AD442" s="237"/>
      <c r="AE442" s="237"/>
      <c r="AF442" s="237"/>
      <c r="AG442" s="237"/>
      <c r="AH442" s="237"/>
      <c r="AI442" s="308"/>
      <c r="AJ442" s="308"/>
      <c r="AK442" s="308"/>
      <c r="AL442" s="308"/>
      <c r="AM442" s="98"/>
      <c r="AN442" s="98"/>
      <c r="AO442" s="98"/>
    </row>
    <row r="443" ht="14.25" customHeight="1">
      <c r="A443" s="179"/>
      <c r="B443" s="98"/>
      <c r="C443" s="98"/>
      <c r="D443" s="98"/>
      <c r="E443" s="98"/>
      <c r="F443" s="235"/>
      <c r="G443" s="235"/>
      <c r="H443" s="236"/>
      <c r="I443" s="236"/>
      <c r="J443" s="236"/>
      <c r="K443" s="236"/>
      <c r="L443" s="236"/>
      <c r="M443" s="236"/>
      <c r="N443" s="236"/>
      <c r="O443" s="236"/>
      <c r="P443" s="236"/>
      <c r="Q443" s="236"/>
      <c r="R443" s="236"/>
      <c r="S443" s="236"/>
      <c r="T443" s="236"/>
      <c r="U443" s="236"/>
      <c r="V443" s="236"/>
      <c r="W443" s="237"/>
      <c r="X443" s="237"/>
      <c r="Y443" s="237"/>
      <c r="Z443" s="237"/>
      <c r="AA443" s="237"/>
      <c r="AB443" s="237"/>
      <c r="AC443" s="237"/>
      <c r="AD443" s="237"/>
      <c r="AE443" s="237"/>
      <c r="AF443" s="237"/>
      <c r="AG443" s="237"/>
      <c r="AH443" s="237"/>
      <c r="AI443" s="308"/>
      <c r="AJ443" s="308"/>
      <c r="AK443" s="308"/>
      <c r="AL443" s="308"/>
      <c r="AM443" s="98"/>
      <c r="AN443" s="98"/>
      <c r="AO443" s="98"/>
    </row>
    <row r="444" ht="14.25" customHeight="1">
      <c r="A444" s="179"/>
      <c r="B444" s="98"/>
      <c r="C444" s="98"/>
      <c r="D444" s="98"/>
      <c r="E444" s="98"/>
      <c r="F444" s="235"/>
      <c r="G444" s="235"/>
      <c r="H444" s="236"/>
      <c r="I444" s="236"/>
      <c r="J444" s="236"/>
      <c r="K444" s="236"/>
      <c r="L444" s="236"/>
      <c r="M444" s="236"/>
      <c r="N444" s="236"/>
      <c r="O444" s="236"/>
      <c r="P444" s="236"/>
      <c r="Q444" s="236"/>
      <c r="R444" s="236"/>
      <c r="S444" s="236"/>
      <c r="T444" s="236"/>
      <c r="U444" s="236"/>
      <c r="V444" s="236"/>
      <c r="W444" s="237"/>
      <c r="X444" s="237"/>
      <c r="Y444" s="237"/>
      <c r="Z444" s="237"/>
      <c r="AA444" s="237"/>
      <c r="AB444" s="237"/>
      <c r="AC444" s="237"/>
      <c r="AD444" s="237"/>
      <c r="AE444" s="237"/>
      <c r="AF444" s="237"/>
      <c r="AG444" s="237"/>
      <c r="AH444" s="237"/>
      <c r="AI444" s="308"/>
      <c r="AJ444" s="308"/>
      <c r="AK444" s="308"/>
      <c r="AL444" s="308"/>
      <c r="AM444" s="98"/>
      <c r="AN444" s="98"/>
      <c r="AO444" s="98"/>
    </row>
    <row r="445" ht="14.25" customHeight="1">
      <c r="A445" s="179"/>
      <c r="B445" s="98"/>
      <c r="C445" s="98"/>
      <c r="D445" s="98"/>
      <c r="E445" s="98"/>
      <c r="F445" s="235"/>
      <c r="G445" s="235"/>
      <c r="H445" s="236"/>
      <c r="I445" s="236"/>
      <c r="J445" s="236"/>
      <c r="K445" s="236"/>
      <c r="L445" s="236"/>
      <c r="M445" s="236"/>
      <c r="N445" s="236"/>
      <c r="O445" s="236"/>
      <c r="P445" s="236"/>
      <c r="Q445" s="236"/>
      <c r="R445" s="236"/>
      <c r="S445" s="236"/>
      <c r="T445" s="236"/>
      <c r="U445" s="236"/>
      <c r="V445" s="236"/>
      <c r="W445" s="237"/>
      <c r="X445" s="237"/>
      <c r="Y445" s="237"/>
      <c r="Z445" s="237"/>
      <c r="AA445" s="237"/>
      <c r="AB445" s="237"/>
      <c r="AC445" s="237"/>
      <c r="AD445" s="237"/>
      <c r="AE445" s="237"/>
      <c r="AF445" s="237"/>
      <c r="AG445" s="237"/>
      <c r="AH445" s="237"/>
      <c r="AI445" s="308"/>
      <c r="AJ445" s="308"/>
      <c r="AK445" s="308"/>
      <c r="AL445" s="308"/>
      <c r="AM445" s="98"/>
      <c r="AN445" s="98"/>
      <c r="AO445" s="98"/>
    </row>
    <row r="446" ht="14.25" customHeight="1">
      <c r="A446" s="179"/>
      <c r="B446" s="98"/>
      <c r="C446" s="98"/>
      <c r="D446" s="98"/>
      <c r="E446" s="98"/>
      <c r="F446" s="235"/>
      <c r="G446" s="235"/>
      <c r="H446" s="236"/>
      <c r="I446" s="236"/>
      <c r="J446" s="236"/>
      <c r="K446" s="236"/>
      <c r="L446" s="236"/>
      <c r="M446" s="236"/>
      <c r="N446" s="236"/>
      <c r="O446" s="236"/>
      <c r="P446" s="236"/>
      <c r="Q446" s="236"/>
      <c r="R446" s="236"/>
      <c r="S446" s="236"/>
      <c r="T446" s="236"/>
      <c r="U446" s="236"/>
      <c r="V446" s="236"/>
      <c r="W446" s="237"/>
      <c r="X446" s="237"/>
      <c r="Y446" s="237"/>
      <c r="Z446" s="237"/>
      <c r="AA446" s="237"/>
      <c r="AB446" s="237"/>
      <c r="AC446" s="237"/>
      <c r="AD446" s="237"/>
      <c r="AE446" s="237"/>
      <c r="AF446" s="237"/>
      <c r="AG446" s="237"/>
      <c r="AH446" s="237"/>
      <c r="AI446" s="308"/>
      <c r="AJ446" s="308"/>
      <c r="AK446" s="308"/>
      <c r="AL446" s="308"/>
      <c r="AM446" s="98"/>
      <c r="AN446" s="98"/>
      <c r="AO446" s="98"/>
    </row>
    <row r="447" ht="14.25" customHeight="1">
      <c r="A447" s="179"/>
      <c r="B447" s="98"/>
      <c r="C447" s="98"/>
      <c r="D447" s="98"/>
      <c r="E447" s="98"/>
      <c r="F447" s="235"/>
      <c r="G447" s="235"/>
      <c r="H447" s="236"/>
      <c r="I447" s="236"/>
      <c r="J447" s="236"/>
      <c r="K447" s="236"/>
      <c r="L447" s="236"/>
      <c r="M447" s="236"/>
      <c r="N447" s="236"/>
      <c r="O447" s="236"/>
      <c r="P447" s="236"/>
      <c r="Q447" s="236"/>
      <c r="R447" s="236"/>
      <c r="S447" s="236"/>
      <c r="T447" s="236"/>
      <c r="U447" s="236"/>
      <c r="V447" s="236"/>
      <c r="W447" s="237"/>
      <c r="X447" s="237"/>
      <c r="Y447" s="237"/>
      <c r="Z447" s="237"/>
      <c r="AA447" s="237"/>
      <c r="AB447" s="237"/>
      <c r="AC447" s="237"/>
      <c r="AD447" s="237"/>
      <c r="AE447" s="237"/>
      <c r="AF447" s="237"/>
      <c r="AG447" s="237"/>
      <c r="AH447" s="237"/>
      <c r="AI447" s="308"/>
      <c r="AJ447" s="308"/>
      <c r="AK447" s="308"/>
      <c r="AL447" s="308"/>
      <c r="AM447" s="98"/>
      <c r="AN447" s="98"/>
      <c r="AO447" s="98"/>
    </row>
    <row r="448" ht="14.25" customHeight="1">
      <c r="A448" s="179"/>
      <c r="B448" s="98"/>
      <c r="C448" s="98"/>
      <c r="D448" s="98"/>
      <c r="E448" s="98"/>
      <c r="F448" s="235"/>
      <c r="G448" s="235"/>
      <c r="H448" s="236"/>
      <c r="I448" s="236"/>
      <c r="J448" s="236"/>
      <c r="K448" s="236"/>
      <c r="L448" s="236"/>
      <c r="M448" s="236"/>
      <c r="N448" s="236"/>
      <c r="O448" s="236"/>
      <c r="P448" s="236"/>
      <c r="Q448" s="236"/>
      <c r="R448" s="236"/>
      <c r="S448" s="236"/>
      <c r="T448" s="236"/>
      <c r="U448" s="236"/>
      <c r="V448" s="236"/>
      <c r="W448" s="237"/>
      <c r="X448" s="237"/>
      <c r="Y448" s="237"/>
      <c r="Z448" s="237"/>
      <c r="AA448" s="237"/>
      <c r="AB448" s="237"/>
      <c r="AC448" s="237"/>
      <c r="AD448" s="237"/>
      <c r="AE448" s="237"/>
      <c r="AF448" s="237"/>
      <c r="AG448" s="237"/>
      <c r="AH448" s="237"/>
      <c r="AI448" s="308"/>
      <c r="AJ448" s="308"/>
      <c r="AK448" s="308"/>
      <c r="AL448" s="308"/>
      <c r="AM448" s="98"/>
      <c r="AN448" s="98"/>
      <c r="AO448" s="98"/>
    </row>
    <row r="449" ht="14.25" customHeight="1">
      <c r="A449" s="179"/>
      <c r="B449" s="98"/>
      <c r="C449" s="98"/>
      <c r="D449" s="98"/>
      <c r="E449" s="98"/>
      <c r="F449" s="235"/>
      <c r="G449" s="235"/>
      <c r="H449" s="236"/>
      <c r="I449" s="236"/>
      <c r="J449" s="236"/>
      <c r="K449" s="236"/>
      <c r="L449" s="236"/>
      <c r="M449" s="236"/>
      <c r="N449" s="236"/>
      <c r="O449" s="236"/>
      <c r="P449" s="236"/>
      <c r="Q449" s="236"/>
      <c r="R449" s="236"/>
      <c r="S449" s="236"/>
      <c r="T449" s="236"/>
      <c r="U449" s="236"/>
      <c r="V449" s="236"/>
      <c r="W449" s="237"/>
      <c r="X449" s="237"/>
      <c r="Y449" s="237"/>
      <c r="Z449" s="237"/>
      <c r="AA449" s="237"/>
      <c r="AB449" s="237"/>
      <c r="AC449" s="237"/>
      <c r="AD449" s="237"/>
      <c r="AE449" s="237"/>
      <c r="AF449" s="237"/>
      <c r="AG449" s="237"/>
      <c r="AH449" s="237"/>
      <c r="AI449" s="308"/>
      <c r="AJ449" s="308"/>
      <c r="AK449" s="308"/>
      <c r="AL449" s="308"/>
      <c r="AM449" s="98"/>
      <c r="AN449" s="98"/>
      <c r="AO449" s="98"/>
    </row>
    <row r="450" ht="14.25" customHeight="1">
      <c r="A450" s="179"/>
      <c r="B450" s="98"/>
      <c r="C450" s="98"/>
      <c r="D450" s="98"/>
      <c r="E450" s="98"/>
      <c r="F450" s="235"/>
      <c r="G450" s="235"/>
      <c r="H450" s="236"/>
      <c r="I450" s="236"/>
      <c r="J450" s="236"/>
      <c r="K450" s="236"/>
      <c r="L450" s="236"/>
      <c r="M450" s="236"/>
      <c r="N450" s="236"/>
      <c r="O450" s="236"/>
      <c r="P450" s="236"/>
      <c r="Q450" s="236"/>
      <c r="R450" s="236"/>
      <c r="S450" s="236"/>
      <c r="T450" s="236"/>
      <c r="U450" s="236"/>
      <c r="V450" s="236"/>
      <c r="W450" s="237"/>
      <c r="X450" s="237"/>
      <c r="Y450" s="237"/>
      <c r="Z450" s="237"/>
      <c r="AA450" s="237"/>
      <c r="AB450" s="237"/>
      <c r="AC450" s="237"/>
      <c r="AD450" s="237"/>
      <c r="AE450" s="237"/>
      <c r="AF450" s="237"/>
      <c r="AG450" s="237"/>
      <c r="AH450" s="237"/>
      <c r="AI450" s="308"/>
      <c r="AJ450" s="308"/>
      <c r="AK450" s="308"/>
      <c r="AL450" s="308"/>
      <c r="AM450" s="98"/>
      <c r="AN450" s="98"/>
      <c r="AO450" s="98"/>
    </row>
    <row r="451" ht="14.25" customHeight="1">
      <c r="A451" s="179"/>
      <c r="B451" s="98"/>
      <c r="C451" s="98"/>
      <c r="D451" s="98"/>
      <c r="E451" s="98"/>
      <c r="F451" s="235"/>
      <c r="G451" s="235"/>
      <c r="H451" s="236"/>
      <c r="I451" s="236"/>
      <c r="J451" s="236"/>
      <c r="K451" s="236"/>
      <c r="L451" s="236"/>
      <c r="M451" s="236"/>
      <c r="N451" s="236"/>
      <c r="O451" s="236"/>
      <c r="P451" s="236"/>
      <c r="Q451" s="236"/>
      <c r="R451" s="236"/>
      <c r="S451" s="236"/>
      <c r="T451" s="236"/>
      <c r="U451" s="236"/>
      <c r="V451" s="236"/>
      <c r="W451" s="237"/>
      <c r="X451" s="237"/>
      <c r="Y451" s="237"/>
      <c r="Z451" s="237"/>
      <c r="AA451" s="237"/>
      <c r="AB451" s="237"/>
      <c r="AC451" s="237"/>
      <c r="AD451" s="237"/>
      <c r="AE451" s="237"/>
      <c r="AF451" s="237"/>
      <c r="AG451" s="237"/>
      <c r="AH451" s="237"/>
      <c r="AI451" s="308"/>
      <c r="AJ451" s="308"/>
      <c r="AK451" s="308"/>
      <c r="AL451" s="308"/>
      <c r="AM451" s="98"/>
      <c r="AN451" s="98"/>
      <c r="AO451" s="98"/>
    </row>
    <row r="452" ht="14.25" customHeight="1">
      <c r="A452" s="179"/>
      <c r="B452" s="98"/>
      <c r="C452" s="98"/>
      <c r="D452" s="98"/>
      <c r="E452" s="98"/>
      <c r="F452" s="235"/>
      <c r="G452" s="235"/>
      <c r="H452" s="236"/>
      <c r="I452" s="236"/>
      <c r="J452" s="236"/>
      <c r="K452" s="236"/>
      <c r="L452" s="236"/>
      <c r="M452" s="236"/>
      <c r="N452" s="236"/>
      <c r="O452" s="236"/>
      <c r="P452" s="236"/>
      <c r="Q452" s="236"/>
      <c r="R452" s="236"/>
      <c r="S452" s="236"/>
      <c r="T452" s="236"/>
      <c r="U452" s="236"/>
      <c r="V452" s="236"/>
      <c r="W452" s="237"/>
      <c r="X452" s="237"/>
      <c r="Y452" s="237"/>
      <c r="Z452" s="237"/>
      <c r="AA452" s="237"/>
      <c r="AB452" s="237"/>
      <c r="AC452" s="237"/>
      <c r="AD452" s="237"/>
      <c r="AE452" s="237"/>
      <c r="AF452" s="237"/>
      <c r="AG452" s="237"/>
      <c r="AH452" s="237"/>
      <c r="AI452" s="308"/>
      <c r="AJ452" s="308"/>
      <c r="AK452" s="308"/>
      <c r="AL452" s="308"/>
      <c r="AM452" s="98"/>
      <c r="AN452" s="98"/>
      <c r="AO452" s="98"/>
    </row>
    <row r="453" ht="14.25" customHeight="1">
      <c r="A453" s="179"/>
      <c r="B453" s="98"/>
      <c r="C453" s="98"/>
      <c r="D453" s="98"/>
      <c r="E453" s="98"/>
      <c r="F453" s="235"/>
      <c r="G453" s="235"/>
      <c r="H453" s="236"/>
      <c r="I453" s="236"/>
      <c r="J453" s="236"/>
      <c r="K453" s="236"/>
      <c r="L453" s="236"/>
      <c r="M453" s="236"/>
      <c r="N453" s="236"/>
      <c r="O453" s="236"/>
      <c r="P453" s="236"/>
      <c r="Q453" s="236"/>
      <c r="R453" s="236"/>
      <c r="S453" s="236"/>
      <c r="T453" s="236"/>
      <c r="U453" s="236"/>
      <c r="V453" s="236"/>
      <c r="W453" s="237"/>
      <c r="X453" s="237"/>
      <c r="Y453" s="237"/>
      <c r="Z453" s="237"/>
      <c r="AA453" s="237"/>
      <c r="AB453" s="237"/>
      <c r="AC453" s="237"/>
      <c r="AD453" s="237"/>
      <c r="AE453" s="237"/>
      <c r="AF453" s="237"/>
      <c r="AG453" s="237"/>
      <c r="AH453" s="237"/>
      <c r="AI453" s="308"/>
      <c r="AJ453" s="308"/>
      <c r="AK453" s="308"/>
      <c r="AL453" s="308"/>
      <c r="AM453" s="98"/>
      <c r="AN453" s="98"/>
      <c r="AO453" s="98"/>
    </row>
    <row r="454" ht="14.25" customHeight="1">
      <c r="A454" s="179"/>
      <c r="B454" s="98"/>
      <c r="C454" s="98"/>
      <c r="D454" s="98"/>
      <c r="E454" s="98"/>
      <c r="F454" s="235"/>
      <c r="G454" s="235"/>
      <c r="H454" s="236"/>
      <c r="I454" s="236"/>
      <c r="J454" s="236"/>
      <c r="K454" s="236"/>
      <c r="L454" s="236"/>
      <c r="M454" s="236"/>
      <c r="N454" s="236"/>
      <c r="O454" s="236"/>
      <c r="P454" s="236"/>
      <c r="Q454" s="236"/>
      <c r="R454" s="236"/>
      <c r="S454" s="236"/>
      <c r="T454" s="236"/>
      <c r="U454" s="236"/>
      <c r="V454" s="236"/>
      <c r="W454" s="237"/>
      <c r="X454" s="237"/>
      <c r="Y454" s="237"/>
      <c r="Z454" s="237"/>
      <c r="AA454" s="237"/>
      <c r="AB454" s="237"/>
      <c r="AC454" s="237"/>
      <c r="AD454" s="237"/>
      <c r="AE454" s="237"/>
      <c r="AF454" s="237"/>
      <c r="AG454" s="237"/>
      <c r="AH454" s="237"/>
      <c r="AI454" s="308"/>
      <c r="AJ454" s="308"/>
      <c r="AK454" s="308"/>
      <c r="AL454" s="308"/>
      <c r="AM454" s="98"/>
      <c r="AN454" s="98"/>
      <c r="AO454" s="98"/>
    </row>
    <row r="455" ht="14.25" customHeight="1">
      <c r="A455" s="179"/>
      <c r="B455" s="98"/>
      <c r="C455" s="98"/>
      <c r="D455" s="98"/>
      <c r="E455" s="98"/>
      <c r="F455" s="235"/>
      <c r="G455" s="235"/>
      <c r="H455" s="236"/>
      <c r="I455" s="236"/>
      <c r="J455" s="236"/>
      <c r="K455" s="236"/>
      <c r="L455" s="236"/>
      <c r="M455" s="236"/>
      <c r="N455" s="236"/>
      <c r="O455" s="236"/>
      <c r="P455" s="236"/>
      <c r="Q455" s="236"/>
      <c r="R455" s="236"/>
      <c r="S455" s="236"/>
      <c r="T455" s="236"/>
      <c r="U455" s="236"/>
      <c r="V455" s="236"/>
      <c r="W455" s="237"/>
      <c r="X455" s="237"/>
      <c r="Y455" s="237"/>
      <c r="Z455" s="237"/>
      <c r="AA455" s="237"/>
      <c r="AB455" s="237"/>
      <c r="AC455" s="237"/>
      <c r="AD455" s="237"/>
      <c r="AE455" s="237"/>
      <c r="AF455" s="237"/>
      <c r="AG455" s="237"/>
      <c r="AH455" s="237"/>
      <c r="AI455" s="308"/>
      <c r="AJ455" s="308"/>
      <c r="AK455" s="308"/>
      <c r="AL455" s="308"/>
      <c r="AM455" s="98"/>
      <c r="AN455" s="98"/>
      <c r="AO455" s="98"/>
    </row>
    <row r="456" ht="14.25" customHeight="1">
      <c r="A456" s="179"/>
      <c r="B456" s="98"/>
      <c r="C456" s="98"/>
      <c r="D456" s="98"/>
      <c r="E456" s="98"/>
      <c r="F456" s="235"/>
      <c r="G456" s="235"/>
      <c r="H456" s="236"/>
      <c r="I456" s="236"/>
      <c r="J456" s="236"/>
      <c r="K456" s="236"/>
      <c r="L456" s="236"/>
      <c r="M456" s="236"/>
      <c r="N456" s="236"/>
      <c r="O456" s="236"/>
      <c r="P456" s="236"/>
      <c r="Q456" s="236"/>
      <c r="R456" s="236"/>
      <c r="S456" s="236"/>
      <c r="T456" s="236"/>
      <c r="U456" s="236"/>
      <c r="V456" s="236"/>
      <c r="W456" s="237"/>
      <c r="X456" s="237"/>
      <c r="Y456" s="237"/>
      <c r="Z456" s="237"/>
      <c r="AA456" s="237"/>
      <c r="AB456" s="237"/>
      <c r="AC456" s="237"/>
      <c r="AD456" s="237"/>
      <c r="AE456" s="237"/>
      <c r="AF456" s="237"/>
      <c r="AG456" s="237"/>
      <c r="AH456" s="237"/>
      <c r="AI456" s="308"/>
      <c r="AJ456" s="308"/>
      <c r="AK456" s="308"/>
      <c r="AL456" s="308"/>
      <c r="AM456" s="98"/>
      <c r="AN456" s="98"/>
      <c r="AO456" s="98"/>
    </row>
    <row r="457" ht="14.25" customHeight="1">
      <c r="A457" s="179"/>
      <c r="B457" s="98"/>
      <c r="C457" s="98"/>
      <c r="D457" s="98"/>
      <c r="E457" s="98"/>
      <c r="F457" s="235"/>
      <c r="G457" s="235"/>
      <c r="H457" s="236"/>
      <c r="I457" s="236"/>
      <c r="J457" s="236"/>
      <c r="K457" s="236"/>
      <c r="L457" s="236"/>
      <c r="M457" s="236"/>
      <c r="N457" s="236"/>
      <c r="O457" s="236"/>
      <c r="P457" s="236"/>
      <c r="Q457" s="236"/>
      <c r="R457" s="236"/>
      <c r="S457" s="236"/>
      <c r="T457" s="236"/>
      <c r="U457" s="236"/>
      <c r="V457" s="236"/>
      <c r="W457" s="237"/>
      <c r="X457" s="237"/>
      <c r="Y457" s="237"/>
      <c r="Z457" s="237"/>
      <c r="AA457" s="237"/>
      <c r="AB457" s="237"/>
      <c r="AC457" s="237"/>
      <c r="AD457" s="237"/>
      <c r="AE457" s="237"/>
      <c r="AF457" s="237"/>
      <c r="AG457" s="237"/>
      <c r="AH457" s="237"/>
      <c r="AI457" s="308"/>
      <c r="AJ457" s="308"/>
      <c r="AK457" s="308"/>
      <c r="AL457" s="308"/>
      <c r="AM457" s="98"/>
      <c r="AN457" s="98"/>
      <c r="AO457" s="98"/>
    </row>
    <row r="458" ht="14.25" customHeight="1">
      <c r="A458" s="179"/>
      <c r="B458" s="98"/>
      <c r="C458" s="98"/>
      <c r="D458" s="98"/>
      <c r="E458" s="98"/>
      <c r="F458" s="235"/>
      <c r="G458" s="235"/>
      <c r="H458" s="236"/>
      <c r="I458" s="236"/>
      <c r="J458" s="236"/>
      <c r="K458" s="236"/>
      <c r="L458" s="236"/>
      <c r="M458" s="236"/>
      <c r="N458" s="236"/>
      <c r="O458" s="236"/>
      <c r="P458" s="236"/>
      <c r="Q458" s="236"/>
      <c r="R458" s="236"/>
      <c r="S458" s="236"/>
      <c r="T458" s="236"/>
      <c r="U458" s="236"/>
      <c r="V458" s="236"/>
      <c r="W458" s="237"/>
      <c r="X458" s="237"/>
      <c r="Y458" s="237"/>
      <c r="Z458" s="237"/>
      <c r="AA458" s="237"/>
      <c r="AB458" s="237"/>
      <c r="AC458" s="237"/>
      <c r="AD458" s="237"/>
      <c r="AE458" s="237"/>
      <c r="AF458" s="237"/>
      <c r="AG458" s="237"/>
      <c r="AH458" s="237"/>
      <c r="AI458" s="308"/>
      <c r="AJ458" s="308"/>
      <c r="AK458" s="308"/>
      <c r="AL458" s="308"/>
      <c r="AM458" s="98"/>
      <c r="AN458" s="98"/>
      <c r="AO458" s="98"/>
    </row>
    <row r="459" ht="14.25" customHeight="1">
      <c r="A459" s="179"/>
      <c r="B459" s="98"/>
      <c r="C459" s="98"/>
      <c r="D459" s="98"/>
      <c r="E459" s="98"/>
      <c r="F459" s="235"/>
      <c r="G459" s="235"/>
      <c r="H459" s="236"/>
      <c r="I459" s="236"/>
      <c r="J459" s="236"/>
      <c r="K459" s="236"/>
      <c r="L459" s="236"/>
      <c r="M459" s="236"/>
      <c r="N459" s="236"/>
      <c r="O459" s="236"/>
      <c r="P459" s="236"/>
      <c r="Q459" s="236"/>
      <c r="R459" s="236"/>
      <c r="S459" s="236"/>
      <c r="T459" s="236"/>
      <c r="U459" s="236"/>
      <c r="V459" s="236"/>
      <c r="W459" s="237"/>
      <c r="X459" s="237"/>
      <c r="Y459" s="237"/>
      <c r="Z459" s="237"/>
      <c r="AA459" s="237"/>
      <c r="AB459" s="237"/>
      <c r="AC459" s="237"/>
      <c r="AD459" s="237"/>
      <c r="AE459" s="237"/>
      <c r="AF459" s="237"/>
      <c r="AG459" s="237"/>
      <c r="AH459" s="237"/>
      <c r="AI459" s="308"/>
      <c r="AJ459" s="308"/>
      <c r="AK459" s="308"/>
      <c r="AL459" s="308"/>
      <c r="AM459" s="98"/>
      <c r="AN459" s="98"/>
      <c r="AO459" s="98"/>
    </row>
    <row r="460" ht="14.25" customHeight="1">
      <c r="A460" s="179"/>
      <c r="B460" s="98"/>
      <c r="C460" s="98"/>
      <c r="D460" s="98"/>
      <c r="E460" s="98"/>
      <c r="F460" s="235"/>
      <c r="G460" s="235"/>
      <c r="H460" s="236"/>
      <c r="I460" s="236"/>
      <c r="J460" s="236"/>
      <c r="K460" s="236"/>
      <c r="L460" s="236"/>
      <c r="M460" s="236"/>
      <c r="N460" s="236"/>
      <c r="O460" s="236"/>
      <c r="P460" s="236"/>
      <c r="Q460" s="236"/>
      <c r="R460" s="236"/>
      <c r="S460" s="236"/>
      <c r="T460" s="236"/>
      <c r="U460" s="236"/>
      <c r="V460" s="236"/>
      <c r="W460" s="237"/>
      <c r="X460" s="237"/>
      <c r="Y460" s="237"/>
      <c r="Z460" s="237"/>
      <c r="AA460" s="237"/>
      <c r="AB460" s="237"/>
      <c r="AC460" s="237"/>
      <c r="AD460" s="237"/>
      <c r="AE460" s="237"/>
      <c r="AF460" s="237"/>
      <c r="AG460" s="237"/>
      <c r="AH460" s="237"/>
      <c r="AI460" s="308"/>
      <c r="AJ460" s="308"/>
      <c r="AK460" s="308"/>
      <c r="AL460" s="308"/>
      <c r="AM460" s="98"/>
      <c r="AN460" s="98"/>
      <c r="AO460" s="98"/>
    </row>
    <row r="461" ht="14.25" customHeight="1">
      <c r="A461" s="179"/>
      <c r="B461" s="98"/>
      <c r="C461" s="98"/>
      <c r="D461" s="98"/>
      <c r="E461" s="98"/>
      <c r="F461" s="235"/>
      <c r="G461" s="235"/>
      <c r="H461" s="236"/>
      <c r="I461" s="236"/>
      <c r="J461" s="236"/>
      <c r="K461" s="236"/>
      <c r="L461" s="236"/>
      <c r="M461" s="236"/>
      <c r="N461" s="236"/>
      <c r="O461" s="236"/>
      <c r="P461" s="236"/>
      <c r="Q461" s="236"/>
      <c r="R461" s="236"/>
      <c r="S461" s="236"/>
      <c r="T461" s="236"/>
      <c r="U461" s="236"/>
      <c r="V461" s="236"/>
      <c r="W461" s="237"/>
      <c r="X461" s="237"/>
      <c r="Y461" s="237"/>
      <c r="Z461" s="237"/>
      <c r="AA461" s="237"/>
      <c r="AB461" s="237"/>
      <c r="AC461" s="237"/>
      <c r="AD461" s="237"/>
      <c r="AE461" s="237"/>
      <c r="AF461" s="237"/>
      <c r="AG461" s="237"/>
      <c r="AH461" s="237"/>
      <c r="AI461" s="308"/>
      <c r="AJ461" s="308"/>
      <c r="AK461" s="308"/>
      <c r="AL461" s="308"/>
      <c r="AM461" s="98"/>
      <c r="AN461" s="98"/>
      <c r="AO461" s="98"/>
    </row>
    <row r="462" ht="14.25" customHeight="1">
      <c r="A462" s="179"/>
      <c r="B462" s="98"/>
      <c r="C462" s="98"/>
      <c r="D462" s="98"/>
      <c r="E462" s="98"/>
      <c r="F462" s="235"/>
      <c r="G462" s="235"/>
      <c r="H462" s="236"/>
      <c r="I462" s="236"/>
      <c r="J462" s="236"/>
      <c r="K462" s="236"/>
      <c r="L462" s="236"/>
      <c r="M462" s="236"/>
      <c r="N462" s="236"/>
      <c r="O462" s="236"/>
      <c r="P462" s="236"/>
      <c r="Q462" s="236"/>
      <c r="R462" s="236"/>
      <c r="S462" s="236"/>
      <c r="T462" s="236"/>
      <c r="U462" s="236"/>
      <c r="V462" s="236"/>
      <c r="W462" s="237"/>
      <c r="X462" s="237"/>
      <c r="Y462" s="237"/>
      <c r="Z462" s="237"/>
      <c r="AA462" s="237"/>
      <c r="AB462" s="237"/>
      <c r="AC462" s="237"/>
      <c r="AD462" s="237"/>
      <c r="AE462" s="237"/>
      <c r="AF462" s="237"/>
      <c r="AG462" s="237"/>
      <c r="AH462" s="237"/>
      <c r="AI462" s="308"/>
      <c r="AJ462" s="308"/>
      <c r="AK462" s="308"/>
      <c r="AL462" s="308"/>
      <c r="AM462" s="98"/>
      <c r="AN462" s="98"/>
      <c r="AO462" s="98"/>
    </row>
    <row r="463" ht="14.25" customHeight="1">
      <c r="A463" s="179"/>
      <c r="B463" s="98"/>
      <c r="C463" s="98"/>
      <c r="D463" s="98"/>
      <c r="E463" s="98"/>
      <c r="F463" s="235"/>
      <c r="G463" s="235"/>
      <c r="H463" s="236"/>
      <c r="I463" s="236"/>
      <c r="J463" s="236"/>
      <c r="K463" s="236"/>
      <c r="L463" s="236"/>
      <c r="M463" s="236"/>
      <c r="N463" s="236"/>
      <c r="O463" s="236"/>
      <c r="P463" s="236"/>
      <c r="Q463" s="236"/>
      <c r="R463" s="236"/>
      <c r="S463" s="236"/>
      <c r="T463" s="236"/>
      <c r="U463" s="236"/>
      <c r="V463" s="236"/>
      <c r="W463" s="237"/>
      <c r="X463" s="237"/>
      <c r="Y463" s="237"/>
      <c r="Z463" s="237"/>
      <c r="AA463" s="237"/>
      <c r="AB463" s="237"/>
      <c r="AC463" s="237"/>
      <c r="AD463" s="237"/>
      <c r="AE463" s="237"/>
      <c r="AF463" s="237"/>
      <c r="AG463" s="237"/>
      <c r="AH463" s="237"/>
      <c r="AI463" s="308"/>
      <c r="AJ463" s="308"/>
      <c r="AK463" s="308"/>
      <c r="AL463" s="308"/>
      <c r="AM463" s="98"/>
      <c r="AN463" s="98"/>
      <c r="AO463" s="98"/>
    </row>
    <row r="464" ht="14.25" customHeight="1">
      <c r="A464" s="179"/>
      <c r="B464" s="98"/>
      <c r="C464" s="98"/>
      <c r="D464" s="98"/>
      <c r="E464" s="98"/>
      <c r="F464" s="235"/>
      <c r="G464" s="235"/>
      <c r="H464" s="236"/>
      <c r="I464" s="236"/>
      <c r="J464" s="236"/>
      <c r="K464" s="236"/>
      <c r="L464" s="236"/>
      <c r="M464" s="236"/>
      <c r="N464" s="236"/>
      <c r="O464" s="236"/>
      <c r="P464" s="236"/>
      <c r="Q464" s="236"/>
      <c r="R464" s="236"/>
      <c r="S464" s="236"/>
      <c r="T464" s="236"/>
      <c r="U464" s="236"/>
      <c r="V464" s="236"/>
      <c r="W464" s="237"/>
      <c r="X464" s="237"/>
      <c r="Y464" s="237"/>
      <c r="Z464" s="237"/>
      <c r="AA464" s="237"/>
      <c r="AB464" s="237"/>
      <c r="AC464" s="237"/>
      <c r="AD464" s="237"/>
      <c r="AE464" s="237"/>
      <c r="AF464" s="237"/>
      <c r="AG464" s="237"/>
      <c r="AH464" s="237"/>
      <c r="AI464" s="308"/>
      <c r="AJ464" s="308"/>
      <c r="AK464" s="308"/>
      <c r="AL464" s="308"/>
      <c r="AM464" s="98"/>
      <c r="AN464" s="98"/>
      <c r="AO464" s="98"/>
    </row>
    <row r="465" ht="14.25" customHeight="1">
      <c r="A465" s="179"/>
      <c r="B465" s="98"/>
      <c r="C465" s="98"/>
      <c r="D465" s="98"/>
      <c r="E465" s="98"/>
      <c r="F465" s="235"/>
      <c r="G465" s="235"/>
      <c r="H465" s="236"/>
      <c r="I465" s="236"/>
      <c r="J465" s="236"/>
      <c r="K465" s="236"/>
      <c r="L465" s="236"/>
      <c r="M465" s="236"/>
      <c r="N465" s="236"/>
      <c r="O465" s="236"/>
      <c r="P465" s="236"/>
      <c r="Q465" s="236"/>
      <c r="R465" s="236"/>
      <c r="S465" s="236"/>
      <c r="T465" s="236"/>
      <c r="U465" s="236"/>
      <c r="V465" s="236"/>
      <c r="W465" s="237"/>
      <c r="X465" s="237"/>
      <c r="Y465" s="237"/>
      <c r="Z465" s="237"/>
      <c r="AA465" s="237"/>
      <c r="AB465" s="237"/>
      <c r="AC465" s="237"/>
      <c r="AD465" s="237"/>
      <c r="AE465" s="237"/>
      <c r="AF465" s="237"/>
      <c r="AG465" s="237"/>
      <c r="AH465" s="237"/>
      <c r="AI465" s="308"/>
      <c r="AJ465" s="308"/>
      <c r="AK465" s="308"/>
      <c r="AL465" s="308"/>
      <c r="AM465" s="98"/>
      <c r="AN465" s="98"/>
      <c r="AO465" s="98"/>
    </row>
    <row r="466" ht="14.25" customHeight="1">
      <c r="A466" s="179"/>
      <c r="B466" s="98"/>
      <c r="C466" s="98"/>
      <c r="D466" s="98"/>
      <c r="E466" s="98"/>
      <c r="F466" s="235"/>
      <c r="G466" s="235"/>
      <c r="H466" s="236"/>
      <c r="I466" s="236"/>
      <c r="J466" s="236"/>
      <c r="K466" s="236"/>
      <c r="L466" s="236"/>
      <c r="M466" s="236"/>
      <c r="N466" s="236"/>
      <c r="O466" s="236"/>
      <c r="P466" s="236"/>
      <c r="Q466" s="236"/>
      <c r="R466" s="236"/>
      <c r="S466" s="236"/>
      <c r="T466" s="236"/>
      <c r="U466" s="236"/>
      <c r="V466" s="236"/>
      <c r="W466" s="237"/>
      <c r="X466" s="237"/>
      <c r="Y466" s="237"/>
      <c r="Z466" s="237"/>
      <c r="AA466" s="237"/>
      <c r="AB466" s="237"/>
      <c r="AC466" s="237"/>
      <c r="AD466" s="237"/>
      <c r="AE466" s="237"/>
      <c r="AF466" s="237"/>
      <c r="AG466" s="237"/>
      <c r="AH466" s="237"/>
      <c r="AI466" s="308"/>
      <c r="AJ466" s="308"/>
      <c r="AK466" s="308"/>
      <c r="AL466" s="308"/>
      <c r="AM466" s="98"/>
      <c r="AN466" s="98"/>
      <c r="AO466" s="98"/>
    </row>
    <row r="467" ht="14.25" customHeight="1">
      <c r="A467" s="179"/>
      <c r="B467" s="98"/>
      <c r="C467" s="98"/>
      <c r="D467" s="98"/>
      <c r="E467" s="98"/>
      <c r="F467" s="235"/>
      <c r="G467" s="235"/>
      <c r="H467" s="236"/>
      <c r="I467" s="236"/>
      <c r="J467" s="236"/>
      <c r="K467" s="236"/>
      <c r="L467" s="236"/>
      <c r="M467" s="236"/>
      <c r="N467" s="236"/>
      <c r="O467" s="236"/>
      <c r="P467" s="236"/>
      <c r="Q467" s="236"/>
      <c r="R467" s="236"/>
      <c r="S467" s="236"/>
      <c r="T467" s="236"/>
      <c r="U467" s="236"/>
      <c r="V467" s="236"/>
      <c r="W467" s="237"/>
      <c r="X467" s="237"/>
      <c r="Y467" s="237"/>
      <c r="Z467" s="237"/>
      <c r="AA467" s="237"/>
      <c r="AB467" s="237"/>
      <c r="AC467" s="237"/>
      <c r="AD467" s="237"/>
      <c r="AE467" s="237"/>
      <c r="AF467" s="237"/>
      <c r="AG467" s="237"/>
      <c r="AH467" s="237"/>
      <c r="AI467" s="308"/>
      <c r="AJ467" s="308"/>
      <c r="AK467" s="308"/>
      <c r="AL467" s="308"/>
      <c r="AM467" s="98"/>
      <c r="AN467" s="98"/>
      <c r="AO467" s="98"/>
    </row>
    <row r="468" ht="14.25" customHeight="1">
      <c r="A468" s="179"/>
      <c r="B468" s="98"/>
      <c r="C468" s="98"/>
      <c r="D468" s="98"/>
      <c r="E468" s="98"/>
      <c r="F468" s="235"/>
      <c r="G468" s="235"/>
      <c r="H468" s="236"/>
      <c r="I468" s="236"/>
      <c r="J468" s="236"/>
      <c r="K468" s="236"/>
      <c r="L468" s="236"/>
      <c r="M468" s="236"/>
      <c r="N468" s="236"/>
      <c r="O468" s="236"/>
      <c r="P468" s="236"/>
      <c r="Q468" s="236"/>
      <c r="R468" s="236"/>
      <c r="S468" s="236"/>
      <c r="T468" s="236"/>
      <c r="U468" s="236"/>
      <c r="V468" s="236"/>
      <c r="W468" s="237"/>
      <c r="X468" s="237"/>
      <c r="Y468" s="237"/>
      <c r="Z468" s="237"/>
      <c r="AA468" s="237"/>
      <c r="AB468" s="237"/>
      <c r="AC468" s="237"/>
      <c r="AD468" s="237"/>
      <c r="AE468" s="237"/>
      <c r="AF468" s="237"/>
      <c r="AG468" s="237"/>
      <c r="AH468" s="237"/>
      <c r="AI468" s="308"/>
      <c r="AJ468" s="308"/>
      <c r="AK468" s="308"/>
      <c r="AL468" s="308"/>
      <c r="AM468" s="98"/>
      <c r="AN468" s="98"/>
      <c r="AO468" s="98"/>
    </row>
    <row r="469" ht="14.25" customHeight="1">
      <c r="A469" s="179"/>
      <c r="B469" s="98"/>
      <c r="C469" s="98"/>
      <c r="D469" s="98"/>
      <c r="E469" s="98"/>
      <c r="F469" s="235"/>
      <c r="G469" s="235"/>
      <c r="H469" s="236"/>
      <c r="I469" s="236"/>
      <c r="J469" s="236"/>
      <c r="K469" s="236"/>
      <c r="L469" s="236"/>
      <c r="M469" s="236"/>
      <c r="N469" s="236"/>
      <c r="O469" s="236"/>
      <c r="P469" s="236"/>
      <c r="Q469" s="236"/>
      <c r="R469" s="236"/>
      <c r="S469" s="236"/>
      <c r="T469" s="236"/>
      <c r="U469" s="236"/>
      <c r="V469" s="236"/>
      <c r="W469" s="237"/>
      <c r="X469" s="237"/>
      <c r="Y469" s="237"/>
      <c r="Z469" s="237"/>
      <c r="AA469" s="237"/>
      <c r="AB469" s="237"/>
      <c r="AC469" s="237"/>
      <c r="AD469" s="237"/>
      <c r="AE469" s="237"/>
      <c r="AF469" s="237"/>
      <c r="AG469" s="237"/>
      <c r="AH469" s="237"/>
      <c r="AI469" s="308"/>
      <c r="AJ469" s="308"/>
      <c r="AK469" s="308"/>
      <c r="AL469" s="308"/>
      <c r="AM469" s="98"/>
      <c r="AN469" s="98"/>
      <c r="AO469" s="98"/>
    </row>
    <row r="470" ht="14.25" customHeight="1">
      <c r="A470" s="179"/>
      <c r="B470" s="98"/>
      <c r="C470" s="98"/>
      <c r="D470" s="98"/>
      <c r="E470" s="98"/>
      <c r="F470" s="235"/>
      <c r="G470" s="235"/>
      <c r="H470" s="236"/>
      <c r="I470" s="236"/>
      <c r="J470" s="236"/>
      <c r="K470" s="236"/>
      <c r="L470" s="236"/>
      <c r="M470" s="236"/>
      <c r="N470" s="236"/>
      <c r="O470" s="236"/>
      <c r="P470" s="236"/>
      <c r="Q470" s="236"/>
      <c r="R470" s="236"/>
      <c r="S470" s="236"/>
      <c r="T470" s="236"/>
      <c r="U470" s="236"/>
      <c r="V470" s="236"/>
      <c r="W470" s="237"/>
      <c r="X470" s="237"/>
      <c r="Y470" s="237"/>
      <c r="Z470" s="237"/>
      <c r="AA470" s="237"/>
      <c r="AB470" s="237"/>
      <c r="AC470" s="237"/>
      <c r="AD470" s="237"/>
      <c r="AE470" s="237"/>
      <c r="AF470" s="237"/>
      <c r="AG470" s="237"/>
      <c r="AH470" s="237"/>
      <c r="AI470" s="308"/>
      <c r="AJ470" s="308"/>
      <c r="AK470" s="308"/>
      <c r="AL470" s="308"/>
      <c r="AM470" s="98"/>
      <c r="AN470" s="98"/>
      <c r="AO470" s="98"/>
    </row>
    <row r="471" ht="14.25" customHeight="1">
      <c r="A471" s="179"/>
      <c r="B471" s="98"/>
      <c r="C471" s="98"/>
      <c r="D471" s="98"/>
      <c r="E471" s="98"/>
      <c r="F471" s="235"/>
      <c r="G471" s="235"/>
      <c r="H471" s="236"/>
      <c r="I471" s="236"/>
      <c r="J471" s="236"/>
      <c r="K471" s="236"/>
      <c r="L471" s="236"/>
      <c r="M471" s="236"/>
      <c r="N471" s="236"/>
      <c r="O471" s="236"/>
      <c r="P471" s="236"/>
      <c r="Q471" s="236"/>
      <c r="R471" s="236"/>
      <c r="S471" s="236"/>
      <c r="T471" s="236"/>
      <c r="U471" s="236"/>
      <c r="V471" s="236"/>
      <c r="W471" s="237"/>
      <c r="X471" s="237"/>
      <c r="Y471" s="237"/>
      <c r="Z471" s="237"/>
      <c r="AA471" s="237"/>
      <c r="AB471" s="237"/>
      <c r="AC471" s="237"/>
      <c r="AD471" s="237"/>
      <c r="AE471" s="237"/>
      <c r="AF471" s="237"/>
      <c r="AG471" s="237"/>
      <c r="AH471" s="237"/>
      <c r="AI471" s="308"/>
      <c r="AJ471" s="308"/>
      <c r="AK471" s="308"/>
      <c r="AL471" s="308"/>
      <c r="AM471" s="98"/>
      <c r="AN471" s="98"/>
      <c r="AO471" s="98"/>
    </row>
    <row r="472" ht="14.25" customHeight="1">
      <c r="A472" s="179"/>
      <c r="B472" s="98"/>
      <c r="C472" s="98"/>
      <c r="D472" s="98"/>
      <c r="E472" s="98"/>
      <c r="F472" s="235"/>
      <c r="G472" s="235"/>
      <c r="H472" s="236"/>
      <c r="I472" s="236"/>
      <c r="J472" s="236"/>
      <c r="K472" s="236"/>
      <c r="L472" s="236"/>
      <c r="M472" s="236"/>
      <c r="N472" s="236"/>
      <c r="O472" s="236"/>
      <c r="P472" s="236"/>
      <c r="Q472" s="236"/>
      <c r="R472" s="236"/>
      <c r="S472" s="236"/>
      <c r="T472" s="236"/>
      <c r="U472" s="236"/>
      <c r="V472" s="236"/>
      <c r="W472" s="237"/>
      <c r="X472" s="237"/>
      <c r="Y472" s="237"/>
      <c r="Z472" s="237"/>
      <c r="AA472" s="237"/>
      <c r="AB472" s="237"/>
      <c r="AC472" s="237"/>
      <c r="AD472" s="237"/>
      <c r="AE472" s="237"/>
      <c r="AF472" s="237"/>
      <c r="AG472" s="237"/>
      <c r="AH472" s="237"/>
      <c r="AI472" s="308"/>
      <c r="AJ472" s="308"/>
      <c r="AK472" s="308"/>
      <c r="AL472" s="308"/>
      <c r="AM472" s="98"/>
      <c r="AN472" s="98"/>
      <c r="AO472" s="98"/>
    </row>
    <row r="473" ht="14.25" customHeight="1">
      <c r="A473" s="179"/>
      <c r="B473" s="98"/>
      <c r="C473" s="98"/>
      <c r="D473" s="98"/>
      <c r="E473" s="98"/>
      <c r="F473" s="235"/>
      <c r="G473" s="235"/>
      <c r="H473" s="236"/>
      <c r="I473" s="236"/>
      <c r="J473" s="236"/>
      <c r="K473" s="236"/>
      <c r="L473" s="236"/>
      <c r="M473" s="236"/>
      <c r="N473" s="236"/>
      <c r="O473" s="236"/>
      <c r="P473" s="236"/>
      <c r="Q473" s="236"/>
      <c r="R473" s="236"/>
      <c r="S473" s="236"/>
      <c r="T473" s="236"/>
      <c r="U473" s="236"/>
      <c r="V473" s="236"/>
      <c r="W473" s="237"/>
      <c r="X473" s="237"/>
      <c r="Y473" s="237"/>
      <c r="Z473" s="237"/>
      <c r="AA473" s="237"/>
      <c r="AB473" s="237"/>
      <c r="AC473" s="237"/>
      <c r="AD473" s="237"/>
      <c r="AE473" s="237"/>
      <c r="AF473" s="237"/>
      <c r="AG473" s="237"/>
      <c r="AH473" s="237"/>
      <c r="AI473" s="308"/>
      <c r="AJ473" s="308"/>
      <c r="AK473" s="308"/>
      <c r="AL473" s="308"/>
      <c r="AM473" s="98"/>
      <c r="AN473" s="98"/>
      <c r="AO473" s="98"/>
    </row>
    <row r="474" ht="14.25" customHeight="1">
      <c r="A474" s="179"/>
      <c r="B474" s="98"/>
      <c r="C474" s="98"/>
      <c r="D474" s="98"/>
      <c r="E474" s="98"/>
      <c r="F474" s="235"/>
      <c r="G474" s="235"/>
      <c r="H474" s="236"/>
      <c r="I474" s="236"/>
      <c r="J474" s="236"/>
      <c r="K474" s="236"/>
      <c r="L474" s="236"/>
      <c r="M474" s="236"/>
      <c r="N474" s="236"/>
      <c r="O474" s="236"/>
      <c r="P474" s="236"/>
      <c r="Q474" s="236"/>
      <c r="R474" s="236"/>
      <c r="S474" s="236"/>
      <c r="T474" s="236"/>
      <c r="U474" s="236"/>
      <c r="V474" s="236"/>
      <c r="W474" s="237"/>
      <c r="X474" s="237"/>
      <c r="Y474" s="237"/>
      <c r="Z474" s="237"/>
      <c r="AA474" s="237"/>
      <c r="AB474" s="237"/>
      <c r="AC474" s="237"/>
      <c r="AD474" s="237"/>
      <c r="AE474" s="237"/>
      <c r="AF474" s="237"/>
      <c r="AG474" s="237"/>
      <c r="AH474" s="237"/>
      <c r="AI474" s="308"/>
      <c r="AJ474" s="308"/>
      <c r="AK474" s="308"/>
      <c r="AL474" s="308"/>
      <c r="AM474" s="98"/>
      <c r="AN474" s="98"/>
      <c r="AO474" s="98"/>
    </row>
    <row r="475" ht="14.25" customHeight="1">
      <c r="A475" s="179"/>
      <c r="B475" s="98"/>
      <c r="C475" s="98"/>
      <c r="D475" s="98"/>
      <c r="E475" s="98"/>
      <c r="F475" s="235"/>
      <c r="G475" s="235"/>
      <c r="H475" s="236"/>
      <c r="I475" s="236"/>
      <c r="J475" s="236"/>
      <c r="K475" s="236"/>
      <c r="L475" s="236"/>
      <c r="M475" s="236"/>
      <c r="N475" s="236"/>
      <c r="O475" s="236"/>
      <c r="P475" s="236"/>
      <c r="Q475" s="236"/>
      <c r="R475" s="236"/>
      <c r="S475" s="236"/>
      <c r="T475" s="236"/>
      <c r="U475" s="236"/>
      <c r="V475" s="236"/>
      <c r="W475" s="237"/>
      <c r="X475" s="237"/>
      <c r="Y475" s="237"/>
      <c r="Z475" s="237"/>
      <c r="AA475" s="237"/>
      <c r="AB475" s="237"/>
      <c r="AC475" s="237"/>
      <c r="AD475" s="237"/>
      <c r="AE475" s="237"/>
      <c r="AF475" s="237"/>
      <c r="AG475" s="237"/>
      <c r="AH475" s="237"/>
      <c r="AI475" s="308"/>
      <c r="AJ475" s="308"/>
      <c r="AK475" s="308"/>
      <c r="AL475" s="308"/>
      <c r="AM475" s="98"/>
      <c r="AN475" s="98"/>
      <c r="AO475" s="98"/>
    </row>
    <row r="476" ht="14.25" customHeight="1">
      <c r="A476" s="179"/>
      <c r="B476" s="98"/>
      <c r="C476" s="98"/>
      <c r="D476" s="98"/>
      <c r="E476" s="98"/>
      <c r="F476" s="235"/>
      <c r="G476" s="235"/>
      <c r="H476" s="236"/>
      <c r="I476" s="236"/>
      <c r="J476" s="236"/>
      <c r="K476" s="236"/>
      <c r="L476" s="236"/>
      <c r="M476" s="236"/>
      <c r="N476" s="236"/>
      <c r="O476" s="236"/>
      <c r="P476" s="236"/>
      <c r="Q476" s="236"/>
      <c r="R476" s="236"/>
      <c r="S476" s="236"/>
      <c r="T476" s="236"/>
      <c r="U476" s="236"/>
      <c r="V476" s="236"/>
      <c r="W476" s="237"/>
      <c r="X476" s="237"/>
      <c r="Y476" s="237"/>
      <c r="Z476" s="237"/>
      <c r="AA476" s="237"/>
      <c r="AB476" s="237"/>
      <c r="AC476" s="237"/>
      <c r="AD476" s="237"/>
      <c r="AE476" s="237"/>
      <c r="AF476" s="237"/>
      <c r="AG476" s="237"/>
      <c r="AH476" s="237"/>
      <c r="AI476" s="308"/>
      <c r="AJ476" s="308"/>
      <c r="AK476" s="308"/>
      <c r="AL476" s="308"/>
      <c r="AM476" s="98"/>
      <c r="AN476" s="98"/>
      <c r="AO476" s="98"/>
    </row>
    <row r="477" ht="14.25" customHeight="1">
      <c r="A477" s="179"/>
      <c r="B477" s="98"/>
      <c r="C477" s="98"/>
      <c r="D477" s="98"/>
      <c r="E477" s="98"/>
      <c r="F477" s="235"/>
      <c r="G477" s="235"/>
      <c r="H477" s="236"/>
      <c r="I477" s="236"/>
      <c r="J477" s="236"/>
      <c r="K477" s="236"/>
      <c r="L477" s="236"/>
      <c r="M477" s="236"/>
      <c r="N477" s="236"/>
      <c r="O477" s="236"/>
      <c r="P477" s="236"/>
      <c r="Q477" s="236"/>
      <c r="R477" s="236"/>
      <c r="S477" s="236"/>
      <c r="T477" s="236"/>
      <c r="U477" s="236"/>
      <c r="V477" s="236"/>
      <c r="W477" s="237"/>
      <c r="X477" s="237"/>
      <c r="Y477" s="237"/>
      <c r="Z477" s="237"/>
      <c r="AA477" s="237"/>
      <c r="AB477" s="237"/>
      <c r="AC477" s="237"/>
      <c r="AD477" s="237"/>
      <c r="AE477" s="237"/>
      <c r="AF477" s="237"/>
      <c r="AG477" s="237"/>
      <c r="AH477" s="237"/>
      <c r="AI477" s="308"/>
      <c r="AJ477" s="308"/>
      <c r="AK477" s="308"/>
      <c r="AL477" s="308"/>
      <c r="AM477" s="98"/>
      <c r="AN477" s="98"/>
      <c r="AO477" s="98"/>
    </row>
    <row r="478" ht="14.25" customHeight="1">
      <c r="A478" s="179"/>
      <c r="B478" s="98"/>
      <c r="C478" s="98"/>
      <c r="D478" s="98"/>
      <c r="E478" s="98"/>
      <c r="F478" s="235"/>
      <c r="G478" s="235"/>
      <c r="H478" s="236"/>
      <c r="I478" s="236"/>
      <c r="J478" s="236"/>
      <c r="K478" s="236"/>
      <c r="L478" s="236"/>
      <c r="M478" s="236"/>
      <c r="N478" s="236"/>
      <c r="O478" s="236"/>
      <c r="P478" s="236"/>
      <c r="Q478" s="236"/>
      <c r="R478" s="236"/>
      <c r="S478" s="236"/>
      <c r="T478" s="236"/>
      <c r="U478" s="236"/>
      <c r="V478" s="236"/>
      <c r="W478" s="237"/>
      <c r="X478" s="237"/>
      <c r="Y478" s="237"/>
      <c r="Z478" s="237"/>
      <c r="AA478" s="237"/>
      <c r="AB478" s="237"/>
      <c r="AC478" s="237"/>
      <c r="AD478" s="237"/>
      <c r="AE478" s="237"/>
      <c r="AF478" s="237"/>
      <c r="AG478" s="237"/>
      <c r="AH478" s="237"/>
      <c r="AI478" s="308"/>
      <c r="AJ478" s="308"/>
      <c r="AK478" s="308"/>
      <c r="AL478" s="308"/>
      <c r="AM478" s="98"/>
      <c r="AN478" s="98"/>
      <c r="AO478" s="98"/>
    </row>
    <row r="479" ht="14.25" customHeight="1">
      <c r="A479" s="179"/>
      <c r="B479" s="98"/>
      <c r="C479" s="98"/>
      <c r="D479" s="98"/>
      <c r="E479" s="98"/>
      <c r="F479" s="235"/>
      <c r="G479" s="235"/>
      <c r="H479" s="236"/>
      <c r="I479" s="236"/>
      <c r="J479" s="236"/>
      <c r="K479" s="236"/>
      <c r="L479" s="236"/>
      <c r="M479" s="236"/>
      <c r="N479" s="236"/>
      <c r="O479" s="236"/>
      <c r="P479" s="236"/>
      <c r="Q479" s="236"/>
      <c r="R479" s="236"/>
      <c r="S479" s="236"/>
      <c r="T479" s="236"/>
      <c r="U479" s="236"/>
      <c r="V479" s="236"/>
      <c r="W479" s="237"/>
      <c r="X479" s="237"/>
      <c r="Y479" s="237"/>
      <c r="Z479" s="237"/>
      <c r="AA479" s="237"/>
      <c r="AB479" s="237"/>
      <c r="AC479" s="237"/>
      <c r="AD479" s="237"/>
      <c r="AE479" s="237"/>
      <c r="AF479" s="237"/>
      <c r="AG479" s="237"/>
      <c r="AH479" s="237"/>
      <c r="AI479" s="308"/>
      <c r="AJ479" s="308"/>
      <c r="AK479" s="308"/>
      <c r="AL479" s="308"/>
      <c r="AM479" s="98"/>
      <c r="AN479" s="98"/>
      <c r="AO479" s="98"/>
    </row>
    <row r="480" ht="14.25" customHeight="1">
      <c r="A480" s="179"/>
      <c r="B480" s="98"/>
      <c r="C480" s="98"/>
      <c r="D480" s="98"/>
      <c r="E480" s="98"/>
      <c r="F480" s="235"/>
      <c r="G480" s="235"/>
      <c r="H480" s="236"/>
      <c r="I480" s="236"/>
      <c r="J480" s="236"/>
      <c r="K480" s="236"/>
      <c r="L480" s="236"/>
      <c r="M480" s="236"/>
      <c r="N480" s="236"/>
      <c r="O480" s="236"/>
      <c r="P480" s="236"/>
      <c r="Q480" s="236"/>
      <c r="R480" s="236"/>
      <c r="S480" s="236"/>
      <c r="T480" s="236"/>
      <c r="U480" s="236"/>
      <c r="V480" s="236"/>
      <c r="W480" s="237"/>
      <c r="X480" s="237"/>
      <c r="Y480" s="237"/>
      <c r="Z480" s="237"/>
      <c r="AA480" s="237"/>
      <c r="AB480" s="237"/>
      <c r="AC480" s="237"/>
      <c r="AD480" s="237"/>
      <c r="AE480" s="237"/>
      <c r="AF480" s="237"/>
      <c r="AG480" s="237"/>
      <c r="AH480" s="237"/>
      <c r="AI480" s="308"/>
      <c r="AJ480" s="308"/>
      <c r="AK480" s="308"/>
      <c r="AL480" s="308"/>
      <c r="AM480" s="98"/>
      <c r="AN480" s="98"/>
      <c r="AO480" s="98"/>
    </row>
    <row r="481" ht="14.25" customHeight="1">
      <c r="A481" s="179"/>
      <c r="B481" s="98"/>
      <c r="C481" s="98"/>
      <c r="D481" s="98"/>
      <c r="E481" s="98"/>
      <c r="F481" s="235"/>
      <c r="G481" s="235"/>
      <c r="H481" s="236"/>
      <c r="I481" s="236"/>
      <c r="J481" s="236"/>
      <c r="K481" s="236"/>
      <c r="L481" s="236"/>
      <c r="M481" s="236"/>
      <c r="N481" s="236"/>
      <c r="O481" s="236"/>
      <c r="P481" s="236"/>
      <c r="Q481" s="236"/>
      <c r="R481" s="236"/>
      <c r="S481" s="236"/>
      <c r="T481" s="236"/>
      <c r="U481" s="236"/>
      <c r="V481" s="236"/>
      <c r="W481" s="237"/>
      <c r="X481" s="237"/>
      <c r="Y481" s="237"/>
      <c r="Z481" s="237"/>
      <c r="AA481" s="237"/>
      <c r="AB481" s="237"/>
      <c r="AC481" s="237"/>
      <c r="AD481" s="237"/>
      <c r="AE481" s="237"/>
      <c r="AF481" s="237"/>
      <c r="AG481" s="237"/>
      <c r="AH481" s="237"/>
      <c r="AI481" s="308"/>
      <c r="AJ481" s="308"/>
      <c r="AK481" s="308"/>
      <c r="AL481" s="308"/>
      <c r="AM481" s="98"/>
      <c r="AN481" s="98"/>
      <c r="AO481" s="98"/>
    </row>
    <row r="482" ht="14.25" customHeight="1">
      <c r="A482" s="179"/>
      <c r="B482" s="98"/>
      <c r="C482" s="98"/>
      <c r="D482" s="98"/>
      <c r="E482" s="98"/>
      <c r="F482" s="235"/>
      <c r="G482" s="235"/>
      <c r="H482" s="236"/>
      <c r="I482" s="236"/>
      <c r="J482" s="236"/>
      <c r="K482" s="236"/>
      <c r="L482" s="236"/>
      <c r="M482" s="236"/>
      <c r="N482" s="236"/>
      <c r="O482" s="236"/>
      <c r="P482" s="236"/>
      <c r="Q482" s="236"/>
      <c r="R482" s="236"/>
      <c r="S482" s="236"/>
      <c r="T482" s="236"/>
      <c r="U482" s="236"/>
      <c r="V482" s="236"/>
      <c r="W482" s="237"/>
      <c r="X482" s="237"/>
      <c r="Y482" s="237"/>
      <c r="Z482" s="237"/>
      <c r="AA482" s="237"/>
      <c r="AB482" s="237"/>
      <c r="AC482" s="237"/>
      <c r="AD482" s="237"/>
      <c r="AE482" s="237"/>
      <c r="AF482" s="237"/>
      <c r="AG482" s="237"/>
      <c r="AH482" s="237"/>
      <c r="AI482" s="308"/>
      <c r="AJ482" s="308"/>
      <c r="AK482" s="308"/>
      <c r="AL482" s="308"/>
      <c r="AM482" s="98"/>
      <c r="AN482" s="98"/>
      <c r="AO482" s="98"/>
    </row>
    <row r="483" ht="14.25" customHeight="1">
      <c r="A483" s="179"/>
      <c r="B483" s="98"/>
      <c r="C483" s="98"/>
      <c r="D483" s="98"/>
      <c r="E483" s="98"/>
      <c r="F483" s="235"/>
      <c r="G483" s="235"/>
      <c r="H483" s="236"/>
      <c r="I483" s="236"/>
      <c r="J483" s="236"/>
      <c r="K483" s="236"/>
      <c r="L483" s="236"/>
      <c r="M483" s="236"/>
      <c r="N483" s="236"/>
      <c r="O483" s="236"/>
      <c r="P483" s="236"/>
      <c r="Q483" s="236"/>
      <c r="R483" s="236"/>
      <c r="S483" s="236"/>
      <c r="T483" s="236"/>
      <c r="U483" s="236"/>
      <c r="V483" s="236"/>
      <c r="W483" s="237"/>
      <c r="X483" s="237"/>
      <c r="Y483" s="237"/>
      <c r="Z483" s="237"/>
      <c r="AA483" s="237"/>
      <c r="AB483" s="237"/>
      <c r="AC483" s="237"/>
      <c r="AD483" s="237"/>
      <c r="AE483" s="237"/>
      <c r="AF483" s="237"/>
      <c r="AG483" s="237"/>
      <c r="AH483" s="237"/>
      <c r="AI483" s="308"/>
      <c r="AJ483" s="308"/>
      <c r="AK483" s="308"/>
      <c r="AL483" s="308"/>
      <c r="AM483" s="98"/>
      <c r="AN483" s="98"/>
      <c r="AO483" s="98"/>
    </row>
    <row r="484" ht="14.25" customHeight="1">
      <c r="A484" s="179"/>
      <c r="B484" s="98"/>
      <c r="C484" s="98"/>
      <c r="D484" s="98"/>
      <c r="E484" s="98"/>
      <c r="F484" s="235"/>
      <c r="G484" s="235"/>
      <c r="H484" s="236"/>
      <c r="I484" s="236"/>
      <c r="J484" s="236"/>
      <c r="K484" s="236"/>
      <c r="L484" s="236"/>
      <c r="M484" s="236"/>
      <c r="N484" s="236"/>
      <c r="O484" s="236"/>
      <c r="P484" s="236"/>
      <c r="Q484" s="236"/>
      <c r="R484" s="236"/>
      <c r="S484" s="236"/>
      <c r="T484" s="236"/>
      <c r="U484" s="236"/>
      <c r="V484" s="236"/>
      <c r="W484" s="237"/>
      <c r="X484" s="237"/>
      <c r="Y484" s="237"/>
      <c r="Z484" s="237"/>
      <c r="AA484" s="237"/>
      <c r="AB484" s="237"/>
      <c r="AC484" s="237"/>
      <c r="AD484" s="237"/>
      <c r="AE484" s="237"/>
      <c r="AF484" s="237"/>
      <c r="AG484" s="237"/>
      <c r="AH484" s="237"/>
      <c r="AI484" s="308"/>
      <c r="AJ484" s="308"/>
      <c r="AK484" s="308"/>
      <c r="AL484" s="308"/>
      <c r="AM484" s="98"/>
      <c r="AN484" s="98"/>
      <c r="AO484" s="98"/>
    </row>
    <row r="485" ht="14.25" customHeight="1">
      <c r="A485" s="179"/>
      <c r="B485" s="98"/>
      <c r="C485" s="98"/>
      <c r="D485" s="98"/>
      <c r="E485" s="98"/>
      <c r="F485" s="235"/>
      <c r="G485" s="235"/>
      <c r="H485" s="236"/>
      <c r="I485" s="236"/>
      <c r="J485" s="236"/>
      <c r="K485" s="236"/>
      <c r="L485" s="236"/>
      <c r="M485" s="236"/>
      <c r="N485" s="236"/>
      <c r="O485" s="236"/>
      <c r="P485" s="236"/>
      <c r="Q485" s="236"/>
      <c r="R485" s="236"/>
      <c r="S485" s="236"/>
      <c r="T485" s="236"/>
      <c r="U485" s="236"/>
      <c r="V485" s="236"/>
      <c r="W485" s="237"/>
      <c r="X485" s="237"/>
      <c r="Y485" s="237"/>
      <c r="Z485" s="237"/>
      <c r="AA485" s="237"/>
      <c r="AB485" s="237"/>
      <c r="AC485" s="237"/>
      <c r="AD485" s="237"/>
      <c r="AE485" s="237"/>
      <c r="AF485" s="237"/>
      <c r="AG485" s="237"/>
      <c r="AH485" s="237"/>
      <c r="AI485" s="308"/>
      <c r="AJ485" s="308"/>
      <c r="AK485" s="308"/>
      <c r="AL485" s="308"/>
      <c r="AM485" s="98"/>
      <c r="AN485" s="98"/>
      <c r="AO485" s="98"/>
    </row>
    <row r="486" ht="14.25" customHeight="1">
      <c r="A486" s="179"/>
      <c r="B486" s="98"/>
      <c r="C486" s="98"/>
      <c r="D486" s="98"/>
      <c r="E486" s="98"/>
      <c r="F486" s="235"/>
      <c r="G486" s="235"/>
      <c r="H486" s="236"/>
      <c r="I486" s="236"/>
      <c r="J486" s="236"/>
      <c r="K486" s="236"/>
      <c r="L486" s="236"/>
      <c r="M486" s="236"/>
      <c r="N486" s="236"/>
      <c r="O486" s="236"/>
      <c r="P486" s="236"/>
      <c r="Q486" s="236"/>
      <c r="R486" s="236"/>
      <c r="S486" s="236"/>
      <c r="T486" s="236"/>
      <c r="U486" s="236"/>
      <c r="V486" s="236"/>
      <c r="W486" s="237"/>
      <c r="X486" s="237"/>
      <c r="Y486" s="237"/>
      <c r="Z486" s="237"/>
      <c r="AA486" s="237"/>
      <c r="AB486" s="237"/>
      <c r="AC486" s="237"/>
      <c r="AD486" s="237"/>
      <c r="AE486" s="237"/>
      <c r="AF486" s="237"/>
      <c r="AG486" s="237"/>
      <c r="AH486" s="237"/>
      <c r="AI486" s="308"/>
      <c r="AJ486" s="308"/>
      <c r="AK486" s="308"/>
      <c r="AL486" s="308"/>
      <c r="AM486" s="98"/>
      <c r="AN486" s="98"/>
      <c r="AO486" s="98"/>
    </row>
    <row r="487" ht="14.25" customHeight="1">
      <c r="A487" s="179"/>
      <c r="B487" s="98"/>
      <c r="C487" s="98"/>
      <c r="D487" s="98"/>
      <c r="E487" s="98"/>
      <c r="F487" s="235"/>
      <c r="G487" s="235"/>
      <c r="H487" s="236"/>
      <c r="I487" s="236"/>
      <c r="J487" s="236"/>
      <c r="K487" s="236"/>
      <c r="L487" s="236"/>
      <c r="M487" s="236"/>
      <c r="N487" s="236"/>
      <c r="O487" s="236"/>
      <c r="P487" s="236"/>
      <c r="Q487" s="236"/>
      <c r="R487" s="236"/>
      <c r="S487" s="236"/>
      <c r="T487" s="236"/>
      <c r="U487" s="236"/>
      <c r="V487" s="236"/>
      <c r="W487" s="237"/>
      <c r="X487" s="237"/>
      <c r="Y487" s="237"/>
      <c r="Z487" s="237"/>
      <c r="AA487" s="237"/>
      <c r="AB487" s="237"/>
      <c r="AC487" s="237"/>
      <c r="AD487" s="237"/>
      <c r="AE487" s="237"/>
      <c r="AF487" s="237"/>
      <c r="AG487" s="237"/>
      <c r="AH487" s="237"/>
      <c r="AI487" s="308"/>
      <c r="AJ487" s="308"/>
      <c r="AK487" s="308"/>
      <c r="AL487" s="308"/>
      <c r="AM487" s="98"/>
      <c r="AN487" s="98"/>
      <c r="AO487" s="98"/>
    </row>
    <row r="488" ht="14.25" customHeight="1">
      <c r="A488" s="179"/>
      <c r="B488" s="98"/>
      <c r="C488" s="98"/>
      <c r="D488" s="98"/>
      <c r="E488" s="98"/>
      <c r="F488" s="235"/>
      <c r="G488" s="235"/>
      <c r="H488" s="236"/>
      <c r="I488" s="236"/>
      <c r="J488" s="236"/>
      <c r="K488" s="236"/>
      <c r="L488" s="236"/>
      <c r="M488" s="236"/>
      <c r="N488" s="236"/>
      <c r="O488" s="236"/>
      <c r="P488" s="236"/>
      <c r="Q488" s="236"/>
      <c r="R488" s="236"/>
      <c r="S488" s="236"/>
      <c r="T488" s="236"/>
      <c r="U488" s="236"/>
      <c r="V488" s="236"/>
      <c r="W488" s="237"/>
      <c r="X488" s="237"/>
      <c r="Y488" s="237"/>
      <c r="Z488" s="237"/>
      <c r="AA488" s="237"/>
      <c r="AB488" s="237"/>
      <c r="AC488" s="237"/>
      <c r="AD488" s="237"/>
      <c r="AE488" s="237"/>
      <c r="AF488" s="237"/>
      <c r="AG488" s="237"/>
      <c r="AH488" s="237"/>
      <c r="AI488" s="308"/>
      <c r="AJ488" s="308"/>
      <c r="AK488" s="308"/>
      <c r="AL488" s="308"/>
      <c r="AM488" s="98"/>
      <c r="AN488" s="98"/>
      <c r="AO488" s="98"/>
    </row>
    <row r="489" ht="14.25" customHeight="1">
      <c r="A489" s="179"/>
      <c r="B489" s="98"/>
      <c r="C489" s="98"/>
      <c r="D489" s="98"/>
      <c r="E489" s="98"/>
      <c r="F489" s="235"/>
      <c r="G489" s="235"/>
      <c r="H489" s="236"/>
      <c r="I489" s="236"/>
      <c r="J489" s="236"/>
      <c r="K489" s="236"/>
      <c r="L489" s="236"/>
      <c r="M489" s="236"/>
      <c r="N489" s="236"/>
      <c r="O489" s="236"/>
      <c r="P489" s="236"/>
      <c r="Q489" s="236"/>
      <c r="R489" s="236"/>
      <c r="S489" s="236"/>
      <c r="T489" s="236"/>
      <c r="U489" s="236"/>
      <c r="V489" s="236"/>
      <c r="W489" s="237"/>
      <c r="X489" s="237"/>
      <c r="Y489" s="237"/>
      <c r="Z489" s="237"/>
      <c r="AA489" s="237"/>
      <c r="AB489" s="237"/>
      <c r="AC489" s="237"/>
      <c r="AD489" s="237"/>
      <c r="AE489" s="237"/>
      <c r="AF489" s="237"/>
      <c r="AG489" s="237"/>
      <c r="AH489" s="237"/>
      <c r="AI489" s="308"/>
      <c r="AJ489" s="308"/>
      <c r="AK489" s="308"/>
      <c r="AL489" s="308"/>
      <c r="AM489" s="98"/>
      <c r="AN489" s="98"/>
      <c r="AO489" s="98"/>
    </row>
    <row r="490" ht="14.25" customHeight="1">
      <c r="A490" s="179"/>
      <c r="B490" s="98"/>
      <c r="C490" s="98"/>
      <c r="D490" s="98"/>
      <c r="E490" s="98"/>
      <c r="F490" s="235"/>
      <c r="G490" s="235"/>
      <c r="H490" s="236"/>
      <c r="I490" s="236"/>
      <c r="J490" s="236"/>
      <c r="K490" s="236"/>
      <c r="L490" s="236"/>
      <c r="M490" s="236"/>
      <c r="N490" s="236"/>
      <c r="O490" s="236"/>
      <c r="P490" s="236"/>
      <c r="Q490" s="236"/>
      <c r="R490" s="236"/>
      <c r="S490" s="236"/>
      <c r="T490" s="236"/>
      <c r="U490" s="236"/>
      <c r="V490" s="236"/>
      <c r="W490" s="237"/>
      <c r="X490" s="237"/>
      <c r="Y490" s="237"/>
      <c r="Z490" s="237"/>
      <c r="AA490" s="237"/>
      <c r="AB490" s="237"/>
      <c r="AC490" s="237"/>
      <c r="AD490" s="237"/>
      <c r="AE490" s="237"/>
      <c r="AF490" s="237"/>
      <c r="AG490" s="237"/>
      <c r="AH490" s="237"/>
      <c r="AI490" s="308"/>
      <c r="AJ490" s="308"/>
      <c r="AK490" s="308"/>
      <c r="AL490" s="308"/>
      <c r="AM490" s="98"/>
      <c r="AN490" s="98"/>
      <c r="AO490" s="98"/>
    </row>
    <row r="491" ht="14.25" customHeight="1">
      <c r="A491" s="179"/>
      <c r="B491" s="98"/>
      <c r="C491" s="98"/>
      <c r="D491" s="98"/>
      <c r="E491" s="98"/>
      <c r="F491" s="235"/>
      <c r="G491" s="235"/>
      <c r="H491" s="236"/>
      <c r="I491" s="236"/>
      <c r="J491" s="236"/>
      <c r="K491" s="236"/>
      <c r="L491" s="236"/>
      <c r="M491" s="236"/>
      <c r="N491" s="236"/>
      <c r="O491" s="236"/>
      <c r="P491" s="236"/>
      <c r="Q491" s="236"/>
      <c r="R491" s="236"/>
      <c r="S491" s="236"/>
      <c r="T491" s="236"/>
      <c r="U491" s="236"/>
      <c r="V491" s="236"/>
      <c r="W491" s="237"/>
      <c r="X491" s="237"/>
      <c r="Y491" s="237"/>
      <c r="Z491" s="237"/>
      <c r="AA491" s="237"/>
      <c r="AB491" s="237"/>
      <c r="AC491" s="237"/>
      <c r="AD491" s="237"/>
      <c r="AE491" s="237"/>
      <c r="AF491" s="237"/>
      <c r="AG491" s="237"/>
      <c r="AH491" s="237"/>
      <c r="AI491" s="308"/>
      <c r="AJ491" s="308"/>
      <c r="AK491" s="308"/>
      <c r="AL491" s="308"/>
      <c r="AM491" s="98"/>
      <c r="AN491" s="98"/>
      <c r="AO491" s="98"/>
    </row>
    <row r="492" ht="14.25" customHeight="1">
      <c r="A492" s="179"/>
      <c r="B492" s="98"/>
      <c r="C492" s="98"/>
      <c r="D492" s="98"/>
      <c r="E492" s="98"/>
      <c r="F492" s="235"/>
      <c r="G492" s="235"/>
      <c r="H492" s="236"/>
      <c r="I492" s="236"/>
      <c r="J492" s="236"/>
      <c r="K492" s="236"/>
      <c r="L492" s="236"/>
      <c r="M492" s="236"/>
      <c r="N492" s="236"/>
      <c r="O492" s="236"/>
      <c r="P492" s="236"/>
      <c r="Q492" s="236"/>
      <c r="R492" s="236"/>
      <c r="S492" s="236"/>
      <c r="T492" s="236"/>
      <c r="U492" s="236"/>
      <c r="V492" s="236"/>
      <c r="W492" s="237"/>
      <c r="X492" s="237"/>
      <c r="Y492" s="237"/>
      <c r="Z492" s="237"/>
      <c r="AA492" s="237"/>
      <c r="AB492" s="237"/>
      <c r="AC492" s="237"/>
      <c r="AD492" s="237"/>
      <c r="AE492" s="237"/>
      <c r="AF492" s="237"/>
      <c r="AG492" s="237"/>
      <c r="AH492" s="237"/>
      <c r="AI492" s="308"/>
      <c r="AJ492" s="308"/>
      <c r="AK492" s="308"/>
      <c r="AL492" s="308"/>
      <c r="AM492" s="98"/>
      <c r="AN492" s="98"/>
      <c r="AO492" s="98"/>
    </row>
    <row r="493" ht="14.25" customHeight="1">
      <c r="A493" s="179"/>
      <c r="B493" s="98"/>
      <c r="C493" s="98"/>
      <c r="D493" s="98"/>
      <c r="E493" s="98"/>
      <c r="F493" s="235"/>
      <c r="G493" s="235"/>
      <c r="H493" s="236"/>
      <c r="I493" s="236"/>
      <c r="J493" s="236"/>
      <c r="K493" s="236"/>
      <c r="L493" s="236"/>
      <c r="M493" s="236"/>
      <c r="N493" s="236"/>
      <c r="O493" s="236"/>
      <c r="P493" s="236"/>
      <c r="Q493" s="236"/>
      <c r="R493" s="236"/>
      <c r="S493" s="236"/>
      <c r="T493" s="236"/>
      <c r="U493" s="236"/>
      <c r="V493" s="236"/>
      <c r="W493" s="237"/>
      <c r="X493" s="237"/>
      <c r="Y493" s="237"/>
      <c r="Z493" s="237"/>
      <c r="AA493" s="237"/>
      <c r="AB493" s="237"/>
      <c r="AC493" s="237"/>
      <c r="AD493" s="237"/>
      <c r="AE493" s="237"/>
      <c r="AF493" s="237"/>
      <c r="AG493" s="237"/>
      <c r="AH493" s="237"/>
      <c r="AI493" s="308"/>
      <c r="AJ493" s="308"/>
      <c r="AK493" s="308"/>
      <c r="AL493" s="308"/>
      <c r="AM493" s="98"/>
      <c r="AN493" s="98"/>
      <c r="AO493" s="98"/>
    </row>
    <row r="494" ht="14.25" customHeight="1">
      <c r="A494" s="179"/>
      <c r="B494" s="98"/>
      <c r="C494" s="98"/>
      <c r="D494" s="98"/>
      <c r="E494" s="98"/>
      <c r="F494" s="235"/>
      <c r="G494" s="235"/>
      <c r="H494" s="236"/>
      <c r="I494" s="236"/>
      <c r="J494" s="236"/>
      <c r="K494" s="236"/>
      <c r="L494" s="236"/>
      <c r="M494" s="236"/>
      <c r="N494" s="236"/>
      <c r="O494" s="236"/>
      <c r="P494" s="236"/>
      <c r="Q494" s="236"/>
      <c r="R494" s="236"/>
      <c r="S494" s="236"/>
      <c r="T494" s="236"/>
      <c r="U494" s="236"/>
      <c r="V494" s="236"/>
      <c r="W494" s="237"/>
      <c r="X494" s="237"/>
      <c r="Y494" s="237"/>
      <c r="Z494" s="237"/>
      <c r="AA494" s="237"/>
      <c r="AB494" s="237"/>
      <c r="AC494" s="237"/>
      <c r="AD494" s="237"/>
      <c r="AE494" s="237"/>
      <c r="AF494" s="237"/>
      <c r="AG494" s="237"/>
      <c r="AH494" s="237"/>
      <c r="AI494" s="308"/>
      <c r="AJ494" s="308"/>
      <c r="AK494" s="308"/>
      <c r="AL494" s="308"/>
      <c r="AM494" s="98"/>
      <c r="AN494" s="98"/>
      <c r="AO494" s="98"/>
    </row>
    <row r="495" ht="14.25" customHeight="1">
      <c r="A495" s="179"/>
      <c r="B495" s="98"/>
      <c r="C495" s="98"/>
      <c r="D495" s="98"/>
      <c r="E495" s="98"/>
      <c r="F495" s="235"/>
      <c r="G495" s="235"/>
      <c r="H495" s="236"/>
      <c r="I495" s="236"/>
      <c r="J495" s="236"/>
      <c r="K495" s="236"/>
      <c r="L495" s="236"/>
      <c r="M495" s="236"/>
      <c r="N495" s="236"/>
      <c r="O495" s="236"/>
      <c r="P495" s="236"/>
      <c r="Q495" s="236"/>
      <c r="R495" s="236"/>
      <c r="S495" s="236"/>
      <c r="T495" s="236"/>
      <c r="U495" s="236"/>
      <c r="V495" s="236"/>
      <c r="W495" s="237"/>
      <c r="X495" s="237"/>
      <c r="Y495" s="237"/>
      <c r="Z495" s="237"/>
      <c r="AA495" s="237"/>
      <c r="AB495" s="237"/>
      <c r="AC495" s="237"/>
      <c r="AD495" s="237"/>
      <c r="AE495" s="237"/>
      <c r="AF495" s="237"/>
      <c r="AG495" s="237"/>
      <c r="AH495" s="237"/>
      <c r="AI495" s="308"/>
      <c r="AJ495" s="308"/>
      <c r="AK495" s="308"/>
      <c r="AL495" s="308"/>
      <c r="AM495" s="98"/>
      <c r="AN495" s="98"/>
      <c r="AO495" s="98"/>
    </row>
    <row r="496" ht="14.25" customHeight="1">
      <c r="A496" s="179"/>
      <c r="B496" s="98"/>
      <c r="C496" s="98"/>
      <c r="D496" s="98"/>
      <c r="E496" s="98"/>
      <c r="F496" s="235"/>
      <c r="G496" s="235"/>
      <c r="H496" s="236"/>
      <c r="I496" s="236"/>
      <c r="J496" s="236"/>
      <c r="K496" s="236"/>
      <c r="L496" s="236"/>
      <c r="M496" s="236"/>
      <c r="N496" s="236"/>
      <c r="O496" s="236"/>
      <c r="P496" s="236"/>
      <c r="Q496" s="236"/>
      <c r="R496" s="236"/>
      <c r="S496" s="236"/>
      <c r="T496" s="236"/>
      <c r="U496" s="236"/>
      <c r="V496" s="236"/>
      <c r="W496" s="237"/>
      <c r="X496" s="237"/>
      <c r="Y496" s="237"/>
      <c r="Z496" s="237"/>
      <c r="AA496" s="237"/>
      <c r="AB496" s="237"/>
      <c r="AC496" s="237"/>
      <c r="AD496" s="237"/>
      <c r="AE496" s="237"/>
      <c r="AF496" s="237"/>
      <c r="AG496" s="237"/>
      <c r="AH496" s="237"/>
      <c r="AI496" s="308"/>
      <c r="AJ496" s="308"/>
      <c r="AK496" s="308"/>
      <c r="AL496" s="308"/>
      <c r="AM496" s="98"/>
      <c r="AN496" s="98"/>
      <c r="AO496" s="98"/>
    </row>
    <row r="497" ht="14.25" customHeight="1">
      <c r="A497" s="179"/>
      <c r="B497" s="98"/>
      <c r="C497" s="98"/>
      <c r="D497" s="98"/>
      <c r="E497" s="98"/>
      <c r="F497" s="235"/>
      <c r="G497" s="235"/>
      <c r="H497" s="236"/>
      <c r="I497" s="236"/>
      <c r="J497" s="236"/>
      <c r="K497" s="236"/>
      <c r="L497" s="236"/>
      <c r="M497" s="236"/>
      <c r="N497" s="236"/>
      <c r="O497" s="236"/>
      <c r="P497" s="236"/>
      <c r="Q497" s="236"/>
      <c r="R497" s="236"/>
      <c r="S497" s="236"/>
      <c r="T497" s="236"/>
      <c r="U497" s="236"/>
      <c r="V497" s="236"/>
      <c r="W497" s="237"/>
      <c r="X497" s="237"/>
      <c r="Y497" s="237"/>
      <c r="Z497" s="237"/>
      <c r="AA497" s="237"/>
      <c r="AB497" s="237"/>
      <c r="AC497" s="237"/>
      <c r="AD497" s="237"/>
      <c r="AE497" s="237"/>
      <c r="AF497" s="237"/>
      <c r="AG497" s="237"/>
      <c r="AH497" s="237"/>
      <c r="AI497" s="308"/>
      <c r="AJ497" s="308"/>
      <c r="AK497" s="308"/>
      <c r="AL497" s="308"/>
      <c r="AM497" s="98"/>
      <c r="AN497" s="98"/>
      <c r="AO497" s="98"/>
    </row>
    <row r="498" ht="14.25" customHeight="1">
      <c r="A498" s="179"/>
      <c r="B498" s="98"/>
      <c r="C498" s="98"/>
      <c r="D498" s="98"/>
      <c r="E498" s="98"/>
      <c r="F498" s="235"/>
      <c r="G498" s="235"/>
      <c r="H498" s="236"/>
      <c r="I498" s="236"/>
      <c r="J498" s="236"/>
      <c r="K498" s="236"/>
      <c r="L498" s="236"/>
      <c r="M498" s="236"/>
      <c r="N498" s="236"/>
      <c r="O498" s="236"/>
      <c r="P498" s="236"/>
      <c r="Q498" s="236"/>
      <c r="R498" s="236"/>
      <c r="S498" s="236"/>
      <c r="T498" s="236"/>
      <c r="U498" s="236"/>
      <c r="V498" s="236"/>
      <c r="W498" s="237"/>
      <c r="X498" s="237"/>
      <c r="Y498" s="237"/>
      <c r="Z498" s="237"/>
      <c r="AA498" s="237"/>
      <c r="AB498" s="237"/>
      <c r="AC498" s="237"/>
      <c r="AD498" s="237"/>
      <c r="AE498" s="237"/>
      <c r="AF498" s="237"/>
      <c r="AG498" s="237"/>
      <c r="AH498" s="237"/>
      <c r="AI498" s="308"/>
      <c r="AJ498" s="308"/>
      <c r="AK498" s="308"/>
      <c r="AL498" s="308"/>
      <c r="AM498" s="98"/>
      <c r="AN498" s="98"/>
      <c r="AO498" s="98"/>
    </row>
    <row r="499" ht="14.25" customHeight="1">
      <c r="A499" s="179"/>
      <c r="B499" s="98"/>
      <c r="C499" s="98"/>
      <c r="D499" s="98"/>
      <c r="E499" s="98"/>
      <c r="F499" s="235"/>
      <c r="G499" s="235"/>
      <c r="H499" s="236"/>
      <c r="I499" s="236"/>
      <c r="J499" s="236"/>
      <c r="K499" s="236"/>
      <c r="L499" s="236"/>
      <c r="M499" s="236"/>
      <c r="N499" s="236"/>
      <c r="O499" s="236"/>
      <c r="P499" s="236"/>
      <c r="Q499" s="236"/>
      <c r="R499" s="236"/>
      <c r="S499" s="236"/>
      <c r="T499" s="236"/>
      <c r="U499" s="236"/>
      <c r="V499" s="236"/>
      <c r="W499" s="237"/>
      <c r="X499" s="237"/>
      <c r="Y499" s="237"/>
      <c r="Z499" s="237"/>
      <c r="AA499" s="237"/>
      <c r="AB499" s="237"/>
      <c r="AC499" s="237"/>
      <c r="AD499" s="237"/>
      <c r="AE499" s="237"/>
      <c r="AF499" s="237"/>
      <c r="AG499" s="237"/>
      <c r="AH499" s="237"/>
      <c r="AI499" s="308"/>
      <c r="AJ499" s="308"/>
      <c r="AK499" s="308"/>
      <c r="AL499" s="308"/>
      <c r="AM499" s="98"/>
      <c r="AN499" s="98"/>
      <c r="AO499" s="98"/>
    </row>
    <row r="500" ht="14.25" customHeight="1">
      <c r="A500" s="179"/>
      <c r="B500" s="98"/>
      <c r="C500" s="98"/>
      <c r="D500" s="98"/>
      <c r="E500" s="98"/>
      <c r="F500" s="235"/>
      <c r="G500" s="235"/>
      <c r="H500" s="236"/>
      <c r="I500" s="236"/>
      <c r="J500" s="236"/>
      <c r="K500" s="236"/>
      <c r="L500" s="236"/>
      <c r="M500" s="236"/>
      <c r="N500" s="236"/>
      <c r="O500" s="236"/>
      <c r="P500" s="236"/>
      <c r="Q500" s="236"/>
      <c r="R500" s="236"/>
      <c r="S500" s="236"/>
      <c r="T500" s="236"/>
      <c r="U500" s="236"/>
      <c r="V500" s="236"/>
      <c r="W500" s="237"/>
      <c r="X500" s="237"/>
      <c r="Y500" s="237"/>
      <c r="Z500" s="237"/>
      <c r="AA500" s="237"/>
      <c r="AB500" s="237"/>
      <c r="AC500" s="237"/>
      <c r="AD500" s="237"/>
      <c r="AE500" s="237"/>
      <c r="AF500" s="237"/>
      <c r="AG500" s="237"/>
      <c r="AH500" s="237"/>
      <c r="AI500" s="308"/>
      <c r="AJ500" s="308"/>
      <c r="AK500" s="308"/>
      <c r="AL500" s="308"/>
      <c r="AM500" s="98"/>
      <c r="AN500" s="98"/>
      <c r="AO500" s="98"/>
    </row>
    <row r="501" ht="14.25" customHeight="1">
      <c r="A501" s="179"/>
      <c r="B501" s="98"/>
      <c r="C501" s="98"/>
      <c r="D501" s="98"/>
      <c r="E501" s="98"/>
      <c r="F501" s="235"/>
      <c r="G501" s="235"/>
      <c r="H501" s="236"/>
      <c r="I501" s="236"/>
      <c r="J501" s="236"/>
      <c r="K501" s="236"/>
      <c r="L501" s="236"/>
      <c r="M501" s="236"/>
      <c r="N501" s="236"/>
      <c r="O501" s="236"/>
      <c r="P501" s="236"/>
      <c r="Q501" s="236"/>
      <c r="R501" s="236"/>
      <c r="S501" s="236"/>
      <c r="T501" s="236"/>
      <c r="U501" s="236"/>
      <c r="V501" s="236"/>
      <c r="W501" s="237"/>
      <c r="X501" s="237"/>
      <c r="Y501" s="237"/>
      <c r="Z501" s="237"/>
      <c r="AA501" s="237"/>
      <c r="AB501" s="237"/>
      <c r="AC501" s="237"/>
      <c r="AD501" s="237"/>
      <c r="AE501" s="237"/>
      <c r="AF501" s="237"/>
      <c r="AG501" s="237"/>
      <c r="AH501" s="237"/>
      <c r="AI501" s="308"/>
      <c r="AJ501" s="308"/>
      <c r="AK501" s="308"/>
      <c r="AL501" s="308"/>
      <c r="AM501" s="98"/>
      <c r="AN501" s="98"/>
      <c r="AO501" s="98"/>
    </row>
    <row r="502" ht="14.25" customHeight="1">
      <c r="A502" s="179"/>
      <c r="B502" s="98"/>
      <c r="C502" s="98"/>
      <c r="D502" s="98"/>
      <c r="E502" s="98"/>
      <c r="F502" s="235"/>
      <c r="G502" s="235"/>
      <c r="H502" s="236"/>
      <c r="I502" s="236"/>
      <c r="J502" s="236"/>
      <c r="K502" s="236"/>
      <c r="L502" s="236"/>
      <c r="M502" s="236"/>
      <c r="N502" s="236"/>
      <c r="O502" s="236"/>
      <c r="P502" s="236"/>
      <c r="Q502" s="236"/>
      <c r="R502" s="236"/>
      <c r="S502" s="236"/>
      <c r="T502" s="236"/>
      <c r="U502" s="236"/>
      <c r="V502" s="236"/>
      <c r="W502" s="237"/>
      <c r="X502" s="237"/>
      <c r="Y502" s="237"/>
      <c r="Z502" s="237"/>
      <c r="AA502" s="237"/>
      <c r="AB502" s="237"/>
      <c r="AC502" s="237"/>
      <c r="AD502" s="237"/>
      <c r="AE502" s="237"/>
      <c r="AF502" s="237"/>
      <c r="AG502" s="237"/>
      <c r="AH502" s="237"/>
      <c r="AI502" s="308"/>
      <c r="AJ502" s="308"/>
      <c r="AK502" s="308"/>
      <c r="AL502" s="308"/>
      <c r="AM502" s="98"/>
      <c r="AN502" s="98"/>
      <c r="AO502" s="98"/>
    </row>
    <row r="503" ht="14.25" customHeight="1">
      <c r="A503" s="179"/>
      <c r="B503" s="98"/>
      <c r="C503" s="98"/>
      <c r="D503" s="98"/>
      <c r="E503" s="98"/>
      <c r="F503" s="235"/>
      <c r="G503" s="235"/>
      <c r="H503" s="236"/>
      <c r="I503" s="236"/>
      <c r="J503" s="236"/>
      <c r="K503" s="236"/>
      <c r="L503" s="236"/>
      <c r="M503" s="236"/>
      <c r="N503" s="236"/>
      <c r="O503" s="236"/>
      <c r="P503" s="236"/>
      <c r="Q503" s="236"/>
      <c r="R503" s="236"/>
      <c r="S503" s="236"/>
      <c r="T503" s="236"/>
      <c r="U503" s="236"/>
      <c r="V503" s="236"/>
      <c r="W503" s="237"/>
      <c r="X503" s="237"/>
      <c r="Y503" s="237"/>
      <c r="Z503" s="237"/>
      <c r="AA503" s="237"/>
      <c r="AB503" s="237"/>
      <c r="AC503" s="237"/>
      <c r="AD503" s="237"/>
      <c r="AE503" s="237"/>
      <c r="AF503" s="237"/>
      <c r="AG503" s="237"/>
      <c r="AH503" s="237"/>
      <c r="AI503" s="308"/>
      <c r="AJ503" s="308"/>
      <c r="AK503" s="308"/>
      <c r="AL503" s="308"/>
      <c r="AM503" s="98"/>
      <c r="AN503" s="98"/>
      <c r="AO503" s="98"/>
    </row>
    <row r="504" ht="14.25" customHeight="1">
      <c r="A504" s="179"/>
      <c r="B504" s="98"/>
      <c r="C504" s="98"/>
      <c r="D504" s="98"/>
      <c r="E504" s="98"/>
      <c r="F504" s="235"/>
      <c r="G504" s="235"/>
      <c r="H504" s="236"/>
      <c r="I504" s="236"/>
      <c r="J504" s="236"/>
      <c r="K504" s="236"/>
      <c r="L504" s="236"/>
      <c r="M504" s="236"/>
      <c r="N504" s="236"/>
      <c r="O504" s="236"/>
      <c r="P504" s="236"/>
      <c r="Q504" s="236"/>
      <c r="R504" s="236"/>
      <c r="S504" s="236"/>
      <c r="T504" s="236"/>
      <c r="U504" s="236"/>
      <c r="V504" s="236"/>
      <c r="W504" s="237"/>
      <c r="X504" s="237"/>
      <c r="Y504" s="237"/>
      <c r="Z504" s="237"/>
      <c r="AA504" s="237"/>
      <c r="AB504" s="237"/>
      <c r="AC504" s="237"/>
      <c r="AD504" s="237"/>
      <c r="AE504" s="237"/>
      <c r="AF504" s="237"/>
      <c r="AG504" s="237"/>
      <c r="AH504" s="237"/>
      <c r="AI504" s="308"/>
      <c r="AJ504" s="308"/>
      <c r="AK504" s="308"/>
      <c r="AL504" s="308"/>
      <c r="AM504" s="98"/>
      <c r="AN504" s="98"/>
      <c r="AO504" s="98"/>
    </row>
    <row r="505" ht="14.25" customHeight="1">
      <c r="A505" s="179"/>
      <c r="B505" s="98"/>
      <c r="C505" s="98"/>
      <c r="D505" s="98"/>
      <c r="E505" s="98"/>
      <c r="F505" s="235"/>
      <c r="G505" s="235"/>
      <c r="H505" s="236"/>
      <c r="I505" s="236"/>
      <c r="J505" s="236"/>
      <c r="K505" s="236"/>
      <c r="L505" s="236"/>
      <c r="M505" s="236"/>
      <c r="N505" s="236"/>
      <c r="O505" s="236"/>
      <c r="P505" s="236"/>
      <c r="Q505" s="236"/>
      <c r="R505" s="236"/>
      <c r="S505" s="236"/>
      <c r="T505" s="236"/>
      <c r="U505" s="236"/>
      <c r="V505" s="236"/>
      <c r="W505" s="237"/>
      <c r="X505" s="237"/>
      <c r="Y505" s="237"/>
      <c r="Z505" s="237"/>
      <c r="AA505" s="237"/>
      <c r="AB505" s="237"/>
      <c r="AC505" s="237"/>
      <c r="AD505" s="237"/>
      <c r="AE505" s="237"/>
      <c r="AF505" s="237"/>
      <c r="AG505" s="237"/>
      <c r="AH505" s="237"/>
      <c r="AI505" s="308"/>
      <c r="AJ505" s="308"/>
      <c r="AK505" s="308"/>
      <c r="AL505" s="308"/>
      <c r="AM505" s="98"/>
      <c r="AN505" s="98"/>
      <c r="AO505" s="98"/>
    </row>
    <row r="506" ht="14.25" customHeight="1">
      <c r="A506" s="179"/>
      <c r="B506" s="98"/>
      <c r="C506" s="98"/>
      <c r="D506" s="98"/>
      <c r="E506" s="98"/>
      <c r="F506" s="235"/>
      <c r="G506" s="235"/>
      <c r="H506" s="236"/>
      <c r="I506" s="236"/>
      <c r="J506" s="236"/>
      <c r="K506" s="236"/>
      <c r="L506" s="236"/>
      <c r="M506" s="236"/>
      <c r="N506" s="236"/>
      <c r="O506" s="236"/>
      <c r="P506" s="236"/>
      <c r="Q506" s="236"/>
      <c r="R506" s="236"/>
      <c r="S506" s="236"/>
      <c r="T506" s="236"/>
      <c r="U506" s="236"/>
      <c r="V506" s="236"/>
      <c r="W506" s="237"/>
      <c r="X506" s="237"/>
      <c r="Y506" s="237"/>
      <c r="Z506" s="237"/>
      <c r="AA506" s="237"/>
      <c r="AB506" s="237"/>
      <c r="AC506" s="237"/>
      <c r="AD506" s="237"/>
      <c r="AE506" s="237"/>
      <c r="AF506" s="237"/>
      <c r="AG506" s="237"/>
      <c r="AH506" s="237"/>
      <c r="AI506" s="308"/>
      <c r="AJ506" s="308"/>
      <c r="AK506" s="308"/>
      <c r="AL506" s="308"/>
      <c r="AM506" s="98"/>
      <c r="AN506" s="98"/>
      <c r="AO506" s="98"/>
    </row>
    <row r="507" ht="14.25" customHeight="1">
      <c r="A507" s="179"/>
      <c r="B507" s="98"/>
      <c r="C507" s="98"/>
      <c r="D507" s="98"/>
      <c r="E507" s="98"/>
      <c r="F507" s="235"/>
      <c r="G507" s="235"/>
      <c r="H507" s="236"/>
      <c r="I507" s="236"/>
      <c r="J507" s="236"/>
      <c r="K507" s="236"/>
      <c r="L507" s="236"/>
      <c r="M507" s="236"/>
      <c r="N507" s="236"/>
      <c r="O507" s="236"/>
      <c r="P507" s="236"/>
      <c r="Q507" s="236"/>
      <c r="R507" s="236"/>
      <c r="S507" s="236"/>
      <c r="T507" s="236"/>
      <c r="U507" s="236"/>
      <c r="V507" s="236"/>
      <c r="W507" s="237"/>
      <c r="X507" s="237"/>
      <c r="Y507" s="237"/>
      <c r="Z507" s="237"/>
      <c r="AA507" s="237"/>
      <c r="AB507" s="237"/>
      <c r="AC507" s="237"/>
      <c r="AD507" s="237"/>
      <c r="AE507" s="237"/>
      <c r="AF507" s="237"/>
      <c r="AG507" s="237"/>
      <c r="AH507" s="237"/>
      <c r="AI507" s="308"/>
      <c r="AJ507" s="308"/>
      <c r="AK507" s="308"/>
      <c r="AL507" s="308"/>
      <c r="AM507" s="98"/>
      <c r="AN507" s="98"/>
      <c r="AO507" s="98"/>
    </row>
    <row r="508" ht="14.25" customHeight="1">
      <c r="A508" s="179"/>
      <c r="B508" s="98"/>
      <c r="C508" s="98"/>
      <c r="D508" s="98"/>
      <c r="E508" s="98"/>
      <c r="F508" s="235"/>
      <c r="G508" s="235"/>
      <c r="H508" s="236"/>
      <c r="I508" s="236"/>
      <c r="J508" s="236"/>
      <c r="K508" s="236"/>
      <c r="L508" s="236"/>
      <c r="M508" s="236"/>
      <c r="N508" s="236"/>
      <c r="O508" s="236"/>
      <c r="P508" s="236"/>
      <c r="Q508" s="236"/>
      <c r="R508" s="236"/>
      <c r="S508" s="236"/>
      <c r="T508" s="236"/>
      <c r="U508" s="236"/>
      <c r="V508" s="236"/>
      <c r="W508" s="237"/>
      <c r="X508" s="237"/>
      <c r="Y508" s="237"/>
      <c r="Z508" s="237"/>
      <c r="AA508" s="237"/>
      <c r="AB508" s="237"/>
      <c r="AC508" s="237"/>
      <c r="AD508" s="237"/>
      <c r="AE508" s="237"/>
      <c r="AF508" s="237"/>
      <c r="AG508" s="237"/>
      <c r="AH508" s="237"/>
      <c r="AI508" s="308"/>
      <c r="AJ508" s="308"/>
      <c r="AK508" s="308"/>
      <c r="AL508" s="308"/>
      <c r="AM508" s="98"/>
      <c r="AN508" s="98"/>
      <c r="AO508" s="98"/>
    </row>
    <row r="509" ht="14.25" customHeight="1">
      <c r="A509" s="179"/>
      <c r="B509" s="98"/>
      <c r="C509" s="98"/>
      <c r="D509" s="98"/>
      <c r="E509" s="98"/>
      <c r="F509" s="235"/>
      <c r="G509" s="235"/>
      <c r="H509" s="236"/>
      <c r="I509" s="236"/>
      <c r="J509" s="236"/>
      <c r="K509" s="236"/>
      <c r="L509" s="236"/>
      <c r="M509" s="236"/>
      <c r="N509" s="236"/>
      <c r="O509" s="236"/>
      <c r="P509" s="236"/>
      <c r="Q509" s="236"/>
      <c r="R509" s="236"/>
      <c r="S509" s="236"/>
      <c r="T509" s="236"/>
      <c r="U509" s="236"/>
      <c r="V509" s="236"/>
      <c r="W509" s="237"/>
      <c r="X509" s="237"/>
      <c r="Y509" s="237"/>
      <c r="Z509" s="237"/>
      <c r="AA509" s="237"/>
      <c r="AB509" s="237"/>
      <c r="AC509" s="237"/>
      <c r="AD509" s="237"/>
      <c r="AE509" s="237"/>
      <c r="AF509" s="237"/>
      <c r="AG509" s="237"/>
      <c r="AH509" s="237"/>
      <c r="AI509" s="308"/>
      <c r="AJ509" s="308"/>
      <c r="AK509" s="308"/>
      <c r="AL509" s="308"/>
      <c r="AM509" s="98"/>
      <c r="AN509" s="98"/>
      <c r="AO509" s="98"/>
    </row>
    <row r="510" ht="14.25" customHeight="1">
      <c r="A510" s="179"/>
      <c r="B510" s="98"/>
      <c r="C510" s="98"/>
      <c r="D510" s="98"/>
      <c r="E510" s="98"/>
      <c r="F510" s="235"/>
      <c r="G510" s="235"/>
      <c r="H510" s="236"/>
      <c r="I510" s="236"/>
      <c r="J510" s="236"/>
      <c r="K510" s="236"/>
      <c r="L510" s="236"/>
      <c r="M510" s="236"/>
      <c r="N510" s="236"/>
      <c r="O510" s="236"/>
      <c r="P510" s="236"/>
      <c r="Q510" s="236"/>
      <c r="R510" s="236"/>
      <c r="S510" s="236"/>
      <c r="T510" s="236"/>
      <c r="U510" s="236"/>
      <c r="V510" s="236"/>
      <c r="W510" s="237"/>
      <c r="X510" s="237"/>
      <c r="Y510" s="237"/>
      <c r="Z510" s="237"/>
      <c r="AA510" s="237"/>
      <c r="AB510" s="237"/>
      <c r="AC510" s="237"/>
      <c r="AD510" s="237"/>
      <c r="AE510" s="237"/>
      <c r="AF510" s="237"/>
      <c r="AG510" s="237"/>
      <c r="AH510" s="237"/>
      <c r="AI510" s="308"/>
      <c r="AJ510" s="308"/>
      <c r="AK510" s="308"/>
      <c r="AL510" s="308"/>
      <c r="AM510" s="98"/>
      <c r="AN510" s="98"/>
      <c r="AO510" s="98"/>
    </row>
    <row r="511" ht="14.25" customHeight="1">
      <c r="A511" s="179"/>
      <c r="B511" s="98"/>
      <c r="C511" s="98"/>
      <c r="D511" s="98"/>
      <c r="E511" s="98"/>
      <c r="F511" s="235"/>
      <c r="G511" s="235"/>
      <c r="H511" s="236"/>
      <c r="I511" s="236"/>
      <c r="J511" s="236"/>
      <c r="K511" s="236"/>
      <c r="L511" s="236"/>
      <c r="M511" s="236"/>
      <c r="N511" s="236"/>
      <c r="O511" s="236"/>
      <c r="P511" s="236"/>
      <c r="Q511" s="236"/>
      <c r="R511" s="236"/>
      <c r="S511" s="236"/>
      <c r="T511" s="236"/>
      <c r="U511" s="236"/>
      <c r="V511" s="236"/>
      <c r="W511" s="237"/>
      <c r="X511" s="237"/>
      <c r="Y511" s="237"/>
      <c r="Z511" s="237"/>
      <c r="AA511" s="237"/>
      <c r="AB511" s="237"/>
      <c r="AC511" s="237"/>
      <c r="AD511" s="237"/>
      <c r="AE511" s="237"/>
      <c r="AF511" s="237"/>
      <c r="AG511" s="237"/>
      <c r="AH511" s="237"/>
      <c r="AI511" s="308"/>
      <c r="AJ511" s="308"/>
      <c r="AK511" s="308"/>
      <c r="AL511" s="308"/>
      <c r="AM511" s="98"/>
      <c r="AN511" s="98"/>
      <c r="AO511" s="98"/>
    </row>
    <row r="512" ht="14.25" customHeight="1">
      <c r="A512" s="179"/>
      <c r="B512" s="98"/>
      <c r="C512" s="98"/>
      <c r="D512" s="98"/>
      <c r="E512" s="98"/>
      <c r="F512" s="235"/>
      <c r="G512" s="235"/>
      <c r="H512" s="236"/>
      <c r="I512" s="236"/>
      <c r="J512" s="236"/>
      <c r="K512" s="236"/>
      <c r="L512" s="236"/>
      <c r="M512" s="236"/>
      <c r="N512" s="236"/>
      <c r="O512" s="236"/>
      <c r="P512" s="236"/>
      <c r="Q512" s="236"/>
      <c r="R512" s="236"/>
      <c r="S512" s="236"/>
      <c r="T512" s="236"/>
      <c r="U512" s="236"/>
      <c r="V512" s="236"/>
      <c r="W512" s="237"/>
      <c r="X512" s="237"/>
      <c r="Y512" s="237"/>
      <c r="Z512" s="237"/>
      <c r="AA512" s="237"/>
      <c r="AB512" s="237"/>
      <c r="AC512" s="237"/>
      <c r="AD512" s="237"/>
      <c r="AE512" s="237"/>
      <c r="AF512" s="237"/>
      <c r="AG512" s="237"/>
      <c r="AH512" s="237"/>
      <c r="AI512" s="308"/>
      <c r="AJ512" s="308"/>
      <c r="AK512" s="308"/>
      <c r="AL512" s="308"/>
      <c r="AM512" s="98"/>
      <c r="AN512" s="98"/>
      <c r="AO512" s="98"/>
    </row>
    <row r="513" ht="14.25" customHeight="1">
      <c r="A513" s="179"/>
      <c r="B513" s="98"/>
      <c r="C513" s="98"/>
      <c r="D513" s="98"/>
      <c r="E513" s="98"/>
      <c r="F513" s="235"/>
      <c r="G513" s="235"/>
      <c r="H513" s="236"/>
      <c r="I513" s="236"/>
      <c r="J513" s="236"/>
      <c r="K513" s="236"/>
      <c r="L513" s="236"/>
      <c r="M513" s="236"/>
      <c r="N513" s="236"/>
      <c r="O513" s="236"/>
      <c r="P513" s="236"/>
      <c r="Q513" s="236"/>
      <c r="R513" s="236"/>
      <c r="S513" s="236"/>
      <c r="T513" s="236"/>
      <c r="U513" s="236"/>
      <c r="V513" s="236"/>
      <c r="W513" s="237"/>
      <c r="X513" s="237"/>
      <c r="Y513" s="237"/>
      <c r="Z513" s="237"/>
      <c r="AA513" s="237"/>
      <c r="AB513" s="237"/>
      <c r="AC513" s="237"/>
      <c r="AD513" s="237"/>
      <c r="AE513" s="237"/>
      <c r="AF513" s="237"/>
      <c r="AG513" s="237"/>
      <c r="AH513" s="237"/>
      <c r="AI513" s="308"/>
      <c r="AJ513" s="308"/>
      <c r="AK513" s="308"/>
      <c r="AL513" s="308"/>
      <c r="AM513" s="98"/>
      <c r="AN513" s="98"/>
      <c r="AO513" s="98"/>
    </row>
    <row r="514" ht="14.25" customHeight="1">
      <c r="A514" s="179"/>
      <c r="B514" s="98"/>
      <c r="C514" s="98"/>
      <c r="D514" s="98"/>
      <c r="E514" s="98"/>
      <c r="F514" s="235"/>
      <c r="G514" s="235"/>
      <c r="H514" s="236"/>
      <c r="I514" s="236"/>
      <c r="J514" s="236"/>
      <c r="K514" s="236"/>
      <c r="L514" s="236"/>
      <c r="M514" s="236"/>
      <c r="N514" s="236"/>
      <c r="O514" s="236"/>
      <c r="P514" s="236"/>
      <c r="Q514" s="236"/>
      <c r="R514" s="236"/>
      <c r="S514" s="236"/>
      <c r="T514" s="236"/>
      <c r="U514" s="236"/>
      <c r="V514" s="236"/>
      <c r="W514" s="237"/>
      <c r="X514" s="237"/>
      <c r="Y514" s="237"/>
      <c r="Z514" s="237"/>
      <c r="AA514" s="237"/>
      <c r="AB514" s="237"/>
      <c r="AC514" s="237"/>
      <c r="AD514" s="237"/>
      <c r="AE514" s="237"/>
      <c r="AF514" s="237"/>
      <c r="AG514" s="237"/>
      <c r="AH514" s="237"/>
      <c r="AI514" s="308"/>
      <c r="AJ514" s="308"/>
      <c r="AK514" s="308"/>
      <c r="AL514" s="308"/>
      <c r="AM514" s="98"/>
      <c r="AN514" s="98"/>
      <c r="AO514" s="98"/>
    </row>
    <row r="515" ht="14.25" customHeight="1">
      <c r="A515" s="179"/>
      <c r="B515" s="98"/>
      <c r="C515" s="98"/>
      <c r="D515" s="98"/>
      <c r="E515" s="98"/>
      <c r="F515" s="235"/>
      <c r="G515" s="235"/>
      <c r="H515" s="236"/>
      <c r="I515" s="236"/>
      <c r="J515" s="236"/>
      <c r="K515" s="236"/>
      <c r="L515" s="236"/>
      <c r="M515" s="236"/>
      <c r="N515" s="236"/>
      <c r="O515" s="236"/>
      <c r="P515" s="236"/>
      <c r="Q515" s="236"/>
      <c r="R515" s="236"/>
      <c r="S515" s="236"/>
      <c r="T515" s="236"/>
      <c r="U515" s="236"/>
      <c r="V515" s="236"/>
      <c r="W515" s="237"/>
      <c r="X515" s="237"/>
      <c r="Y515" s="237"/>
      <c r="Z515" s="237"/>
      <c r="AA515" s="237"/>
      <c r="AB515" s="237"/>
      <c r="AC515" s="237"/>
      <c r="AD515" s="237"/>
      <c r="AE515" s="237"/>
      <c r="AF515" s="237"/>
      <c r="AG515" s="237"/>
      <c r="AH515" s="237"/>
      <c r="AI515" s="308"/>
      <c r="AJ515" s="308"/>
      <c r="AK515" s="308"/>
      <c r="AL515" s="308"/>
      <c r="AM515" s="98"/>
      <c r="AN515" s="98"/>
      <c r="AO515" s="98"/>
    </row>
    <row r="516" ht="14.25" customHeight="1">
      <c r="A516" s="179"/>
      <c r="B516" s="98"/>
      <c r="C516" s="98"/>
      <c r="D516" s="98"/>
      <c r="E516" s="98"/>
      <c r="F516" s="235"/>
      <c r="G516" s="235"/>
      <c r="H516" s="236"/>
      <c r="I516" s="236"/>
      <c r="J516" s="236"/>
      <c r="K516" s="236"/>
      <c r="L516" s="236"/>
      <c r="M516" s="236"/>
      <c r="N516" s="236"/>
      <c r="O516" s="236"/>
      <c r="P516" s="236"/>
      <c r="Q516" s="236"/>
      <c r="R516" s="236"/>
      <c r="S516" s="236"/>
      <c r="T516" s="236"/>
      <c r="U516" s="236"/>
      <c r="V516" s="236"/>
      <c r="W516" s="237"/>
      <c r="X516" s="237"/>
      <c r="Y516" s="237"/>
      <c r="Z516" s="237"/>
      <c r="AA516" s="237"/>
      <c r="AB516" s="237"/>
      <c r="AC516" s="237"/>
      <c r="AD516" s="237"/>
      <c r="AE516" s="237"/>
      <c r="AF516" s="237"/>
      <c r="AG516" s="237"/>
      <c r="AH516" s="237"/>
      <c r="AI516" s="308"/>
      <c r="AJ516" s="308"/>
      <c r="AK516" s="308"/>
      <c r="AL516" s="308"/>
      <c r="AM516" s="98"/>
      <c r="AN516" s="98"/>
      <c r="AO516" s="98"/>
    </row>
    <row r="517" ht="14.25" customHeight="1">
      <c r="A517" s="179"/>
      <c r="B517" s="98"/>
      <c r="C517" s="98"/>
      <c r="D517" s="98"/>
      <c r="E517" s="98"/>
      <c r="F517" s="235"/>
      <c r="G517" s="235"/>
      <c r="H517" s="236"/>
      <c r="I517" s="236"/>
      <c r="J517" s="236"/>
      <c r="K517" s="236"/>
      <c r="L517" s="236"/>
      <c r="M517" s="236"/>
      <c r="N517" s="236"/>
      <c r="O517" s="236"/>
      <c r="P517" s="236"/>
      <c r="Q517" s="236"/>
      <c r="R517" s="236"/>
      <c r="S517" s="236"/>
      <c r="T517" s="236"/>
      <c r="U517" s="236"/>
      <c r="V517" s="236"/>
      <c r="W517" s="237"/>
      <c r="X517" s="237"/>
      <c r="Y517" s="237"/>
      <c r="Z517" s="237"/>
      <c r="AA517" s="237"/>
      <c r="AB517" s="237"/>
      <c r="AC517" s="237"/>
      <c r="AD517" s="237"/>
      <c r="AE517" s="237"/>
      <c r="AF517" s="237"/>
      <c r="AG517" s="237"/>
      <c r="AH517" s="237"/>
      <c r="AI517" s="308"/>
      <c r="AJ517" s="308"/>
      <c r="AK517" s="308"/>
      <c r="AL517" s="308"/>
      <c r="AM517" s="98"/>
      <c r="AN517" s="98"/>
      <c r="AO517" s="98"/>
    </row>
    <row r="518" ht="14.25" customHeight="1">
      <c r="A518" s="179"/>
      <c r="B518" s="98"/>
      <c r="C518" s="98"/>
      <c r="D518" s="98"/>
      <c r="E518" s="98"/>
      <c r="F518" s="235"/>
      <c r="G518" s="235"/>
      <c r="H518" s="236"/>
      <c r="I518" s="236"/>
      <c r="J518" s="236"/>
      <c r="K518" s="236"/>
      <c r="L518" s="236"/>
      <c r="M518" s="236"/>
      <c r="N518" s="236"/>
      <c r="O518" s="236"/>
      <c r="P518" s="236"/>
      <c r="Q518" s="236"/>
      <c r="R518" s="236"/>
      <c r="S518" s="236"/>
      <c r="T518" s="236"/>
      <c r="U518" s="236"/>
      <c r="V518" s="236"/>
      <c r="W518" s="237"/>
      <c r="X518" s="237"/>
      <c r="Y518" s="237"/>
      <c r="Z518" s="237"/>
      <c r="AA518" s="237"/>
      <c r="AB518" s="237"/>
      <c r="AC518" s="237"/>
      <c r="AD518" s="237"/>
      <c r="AE518" s="237"/>
      <c r="AF518" s="237"/>
      <c r="AG518" s="237"/>
      <c r="AH518" s="237"/>
      <c r="AI518" s="308"/>
      <c r="AJ518" s="308"/>
      <c r="AK518" s="308"/>
      <c r="AL518" s="308"/>
      <c r="AM518" s="98"/>
      <c r="AN518" s="98"/>
      <c r="AO518" s="98"/>
    </row>
    <row r="519" ht="14.25" customHeight="1">
      <c r="A519" s="179"/>
      <c r="B519" s="98"/>
      <c r="C519" s="98"/>
      <c r="D519" s="98"/>
      <c r="E519" s="98"/>
      <c r="F519" s="235"/>
      <c r="G519" s="235"/>
      <c r="H519" s="236"/>
      <c r="I519" s="236"/>
      <c r="J519" s="236"/>
      <c r="K519" s="236"/>
      <c r="L519" s="236"/>
      <c r="M519" s="236"/>
      <c r="N519" s="236"/>
      <c r="O519" s="236"/>
      <c r="P519" s="236"/>
      <c r="Q519" s="236"/>
      <c r="R519" s="236"/>
      <c r="S519" s="236"/>
      <c r="T519" s="236"/>
      <c r="U519" s="236"/>
      <c r="V519" s="236"/>
      <c r="W519" s="237"/>
      <c r="X519" s="237"/>
      <c r="Y519" s="237"/>
      <c r="Z519" s="237"/>
      <c r="AA519" s="237"/>
      <c r="AB519" s="237"/>
      <c r="AC519" s="237"/>
      <c r="AD519" s="237"/>
      <c r="AE519" s="237"/>
      <c r="AF519" s="237"/>
      <c r="AG519" s="237"/>
      <c r="AH519" s="237"/>
      <c r="AI519" s="308"/>
      <c r="AJ519" s="308"/>
      <c r="AK519" s="308"/>
      <c r="AL519" s="308"/>
      <c r="AM519" s="98"/>
      <c r="AN519" s="98"/>
      <c r="AO519" s="98"/>
    </row>
    <row r="520" ht="14.25" customHeight="1">
      <c r="A520" s="179"/>
      <c r="B520" s="98"/>
      <c r="C520" s="98"/>
      <c r="D520" s="98"/>
      <c r="E520" s="98"/>
      <c r="F520" s="235"/>
      <c r="G520" s="235"/>
      <c r="H520" s="236"/>
      <c r="I520" s="236"/>
      <c r="J520" s="236"/>
      <c r="K520" s="236"/>
      <c r="L520" s="236"/>
      <c r="M520" s="236"/>
      <c r="N520" s="236"/>
      <c r="O520" s="236"/>
      <c r="P520" s="236"/>
      <c r="Q520" s="236"/>
      <c r="R520" s="236"/>
      <c r="S520" s="236"/>
      <c r="T520" s="236"/>
      <c r="U520" s="236"/>
      <c r="V520" s="236"/>
      <c r="W520" s="237"/>
      <c r="X520" s="237"/>
      <c r="Y520" s="237"/>
      <c r="Z520" s="237"/>
      <c r="AA520" s="237"/>
      <c r="AB520" s="237"/>
      <c r="AC520" s="237"/>
      <c r="AD520" s="237"/>
      <c r="AE520" s="237"/>
      <c r="AF520" s="237"/>
      <c r="AG520" s="237"/>
      <c r="AH520" s="237"/>
      <c r="AI520" s="308"/>
      <c r="AJ520" s="308"/>
      <c r="AK520" s="308"/>
      <c r="AL520" s="308"/>
      <c r="AM520" s="98"/>
      <c r="AN520" s="98"/>
      <c r="AO520" s="98"/>
    </row>
    <row r="521" ht="14.25" customHeight="1">
      <c r="A521" s="179"/>
      <c r="B521" s="98"/>
      <c r="C521" s="98"/>
      <c r="D521" s="98"/>
      <c r="E521" s="98"/>
      <c r="F521" s="235"/>
      <c r="G521" s="235"/>
      <c r="H521" s="236"/>
      <c r="I521" s="236"/>
      <c r="J521" s="236"/>
      <c r="K521" s="236"/>
      <c r="L521" s="236"/>
      <c r="M521" s="236"/>
      <c r="N521" s="236"/>
      <c r="O521" s="236"/>
      <c r="P521" s="236"/>
      <c r="Q521" s="236"/>
      <c r="R521" s="236"/>
      <c r="S521" s="236"/>
      <c r="T521" s="236"/>
      <c r="U521" s="236"/>
      <c r="V521" s="236"/>
      <c r="W521" s="237"/>
      <c r="X521" s="237"/>
      <c r="Y521" s="237"/>
      <c r="Z521" s="237"/>
      <c r="AA521" s="237"/>
      <c r="AB521" s="237"/>
      <c r="AC521" s="237"/>
      <c r="AD521" s="237"/>
      <c r="AE521" s="237"/>
      <c r="AF521" s="237"/>
      <c r="AG521" s="237"/>
      <c r="AH521" s="237"/>
      <c r="AI521" s="308"/>
      <c r="AJ521" s="308"/>
      <c r="AK521" s="308"/>
      <c r="AL521" s="308"/>
      <c r="AM521" s="98"/>
      <c r="AN521" s="98"/>
      <c r="AO521" s="98"/>
    </row>
    <row r="522" ht="14.25" customHeight="1">
      <c r="A522" s="179"/>
      <c r="B522" s="98"/>
      <c r="C522" s="98"/>
      <c r="D522" s="98"/>
      <c r="E522" s="98"/>
      <c r="F522" s="235"/>
      <c r="G522" s="235"/>
      <c r="H522" s="236"/>
      <c r="I522" s="236"/>
      <c r="J522" s="236"/>
      <c r="K522" s="236"/>
      <c r="L522" s="236"/>
      <c r="M522" s="236"/>
      <c r="N522" s="236"/>
      <c r="O522" s="236"/>
      <c r="P522" s="236"/>
      <c r="Q522" s="236"/>
      <c r="R522" s="236"/>
      <c r="S522" s="236"/>
      <c r="T522" s="236"/>
      <c r="U522" s="236"/>
      <c r="V522" s="236"/>
      <c r="W522" s="237"/>
      <c r="X522" s="237"/>
      <c r="Y522" s="237"/>
      <c r="Z522" s="237"/>
      <c r="AA522" s="237"/>
      <c r="AB522" s="237"/>
      <c r="AC522" s="237"/>
      <c r="AD522" s="237"/>
      <c r="AE522" s="237"/>
      <c r="AF522" s="237"/>
      <c r="AG522" s="237"/>
      <c r="AH522" s="237"/>
      <c r="AI522" s="308"/>
      <c r="AJ522" s="308"/>
      <c r="AK522" s="308"/>
      <c r="AL522" s="308"/>
      <c r="AM522" s="98"/>
      <c r="AN522" s="98"/>
      <c r="AO522" s="98"/>
    </row>
    <row r="523" ht="14.25" customHeight="1">
      <c r="A523" s="179"/>
      <c r="B523" s="98"/>
      <c r="C523" s="98"/>
      <c r="D523" s="98"/>
      <c r="E523" s="98"/>
      <c r="F523" s="235"/>
      <c r="G523" s="235"/>
      <c r="H523" s="236"/>
      <c r="I523" s="236"/>
      <c r="J523" s="236"/>
      <c r="K523" s="236"/>
      <c r="L523" s="236"/>
      <c r="M523" s="236"/>
      <c r="N523" s="236"/>
      <c r="O523" s="236"/>
      <c r="P523" s="236"/>
      <c r="Q523" s="236"/>
      <c r="R523" s="236"/>
      <c r="S523" s="236"/>
      <c r="T523" s="236"/>
      <c r="U523" s="236"/>
      <c r="V523" s="236"/>
      <c r="W523" s="237"/>
      <c r="X523" s="237"/>
      <c r="Y523" s="237"/>
      <c r="Z523" s="237"/>
      <c r="AA523" s="237"/>
      <c r="AB523" s="237"/>
      <c r="AC523" s="237"/>
      <c r="AD523" s="237"/>
      <c r="AE523" s="237"/>
      <c r="AF523" s="237"/>
      <c r="AG523" s="237"/>
      <c r="AH523" s="237"/>
      <c r="AI523" s="308"/>
      <c r="AJ523" s="308"/>
      <c r="AK523" s="308"/>
      <c r="AL523" s="308"/>
      <c r="AM523" s="98"/>
      <c r="AN523" s="98"/>
      <c r="AO523" s="98"/>
    </row>
    <row r="524" ht="14.25" customHeight="1">
      <c r="A524" s="179"/>
      <c r="B524" s="98"/>
      <c r="C524" s="98"/>
      <c r="D524" s="98"/>
      <c r="E524" s="98"/>
      <c r="F524" s="235"/>
      <c r="G524" s="235"/>
      <c r="H524" s="236"/>
      <c r="I524" s="236"/>
      <c r="J524" s="236"/>
      <c r="K524" s="236"/>
      <c r="L524" s="236"/>
      <c r="M524" s="236"/>
      <c r="N524" s="236"/>
      <c r="O524" s="236"/>
      <c r="P524" s="236"/>
      <c r="Q524" s="236"/>
      <c r="R524" s="236"/>
      <c r="S524" s="236"/>
      <c r="T524" s="236"/>
      <c r="U524" s="236"/>
      <c r="V524" s="236"/>
      <c r="W524" s="237"/>
      <c r="X524" s="237"/>
      <c r="Y524" s="237"/>
      <c r="Z524" s="237"/>
      <c r="AA524" s="237"/>
      <c r="AB524" s="237"/>
      <c r="AC524" s="237"/>
      <c r="AD524" s="237"/>
      <c r="AE524" s="237"/>
      <c r="AF524" s="237"/>
      <c r="AG524" s="237"/>
      <c r="AH524" s="237"/>
      <c r="AI524" s="308"/>
      <c r="AJ524" s="308"/>
      <c r="AK524" s="308"/>
      <c r="AL524" s="308"/>
      <c r="AM524" s="98"/>
      <c r="AN524" s="98"/>
      <c r="AO524" s="98"/>
    </row>
    <row r="525" ht="14.25" customHeight="1">
      <c r="A525" s="179"/>
      <c r="B525" s="98"/>
      <c r="C525" s="98"/>
      <c r="D525" s="98"/>
      <c r="E525" s="98"/>
      <c r="F525" s="235"/>
      <c r="G525" s="235"/>
      <c r="H525" s="236"/>
      <c r="I525" s="236"/>
      <c r="J525" s="236"/>
      <c r="K525" s="236"/>
      <c r="L525" s="236"/>
      <c r="M525" s="236"/>
      <c r="N525" s="236"/>
      <c r="O525" s="236"/>
      <c r="P525" s="236"/>
      <c r="Q525" s="236"/>
      <c r="R525" s="236"/>
      <c r="S525" s="236"/>
      <c r="T525" s="236"/>
      <c r="U525" s="236"/>
      <c r="V525" s="236"/>
      <c r="W525" s="237"/>
      <c r="X525" s="237"/>
      <c r="Y525" s="237"/>
      <c r="Z525" s="237"/>
      <c r="AA525" s="237"/>
      <c r="AB525" s="237"/>
      <c r="AC525" s="237"/>
      <c r="AD525" s="237"/>
      <c r="AE525" s="237"/>
      <c r="AF525" s="237"/>
      <c r="AG525" s="237"/>
      <c r="AH525" s="237"/>
      <c r="AI525" s="308"/>
      <c r="AJ525" s="308"/>
      <c r="AK525" s="308"/>
      <c r="AL525" s="308"/>
      <c r="AM525" s="98"/>
      <c r="AN525" s="98"/>
      <c r="AO525" s="98"/>
    </row>
    <row r="526" ht="14.25" customHeight="1">
      <c r="A526" s="179"/>
      <c r="B526" s="98"/>
      <c r="C526" s="98"/>
      <c r="D526" s="98"/>
      <c r="E526" s="98"/>
      <c r="F526" s="235"/>
      <c r="G526" s="235"/>
      <c r="H526" s="236"/>
      <c r="I526" s="236"/>
      <c r="J526" s="236"/>
      <c r="K526" s="236"/>
      <c r="L526" s="236"/>
      <c r="M526" s="236"/>
      <c r="N526" s="236"/>
      <c r="O526" s="236"/>
      <c r="P526" s="236"/>
      <c r="Q526" s="236"/>
      <c r="R526" s="236"/>
      <c r="S526" s="236"/>
      <c r="T526" s="236"/>
      <c r="U526" s="236"/>
      <c r="V526" s="236"/>
      <c r="W526" s="237"/>
      <c r="X526" s="237"/>
      <c r="Y526" s="237"/>
      <c r="Z526" s="237"/>
      <c r="AA526" s="237"/>
      <c r="AB526" s="237"/>
      <c r="AC526" s="237"/>
      <c r="AD526" s="237"/>
      <c r="AE526" s="237"/>
      <c r="AF526" s="237"/>
      <c r="AG526" s="237"/>
      <c r="AH526" s="237"/>
      <c r="AI526" s="308"/>
      <c r="AJ526" s="308"/>
      <c r="AK526" s="308"/>
      <c r="AL526" s="308"/>
      <c r="AM526" s="98"/>
      <c r="AN526" s="98"/>
      <c r="AO526" s="98"/>
    </row>
    <row r="527" ht="14.25" customHeight="1">
      <c r="A527" s="179"/>
      <c r="B527" s="98"/>
      <c r="C527" s="98"/>
      <c r="D527" s="98"/>
      <c r="E527" s="98"/>
      <c r="F527" s="235"/>
      <c r="G527" s="235"/>
      <c r="H527" s="236"/>
      <c r="I527" s="236"/>
      <c r="J527" s="236"/>
      <c r="K527" s="236"/>
      <c r="L527" s="236"/>
      <c r="M527" s="236"/>
      <c r="N527" s="236"/>
      <c r="O527" s="236"/>
      <c r="P527" s="236"/>
      <c r="Q527" s="236"/>
      <c r="R527" s="236"/>
      <c r="S527" s="236"/>
      <c r="T527" s="236"/>
      <c r="U527" s="236"/>
      <c r="V527" s="236"/>
      <c r="W527" s="237"/>
      <c r="X527" s="237"/>
      <c r="Y527" s="237"/>
      <c r="Z527" s="237"/>
      <c r="AA527" s="237"/>
      <c r="AB527" s="237"/>
      <c r="AC527" s="237"/>
      <c r="AD527" s="237"/>
      <c r="AE527" s="237"/>
      <c r="AF527" s="237"/>
      <c r="AG527" s="237"/>
      <c r="AH527" s="237"/>
      <c r="AI527" s="308"/>
      <c r="AJ527" s="308"/>
      <c r="AK527" s="308"/>
      <c r="AL527" s="308"/>
      <c r="AM527" s="98"/>
      <c r="AN527" s="98"/>
      <c r="AO527" s="98"/>
    </row>
    <row r="528" ht="14.25" customHeight="1">
      <c r="A528" s="179"/>
      <c r="B528" s="98"/>
      <c r="C528" s="98"/>
      <c r="D528" s="98"/>
      <c r="E528" s="98"/>
      <c r="F528" s="235"/>
      <c r="G528" s="235"/>
      <c r="H528" s="236"/>
      <c r="I528" s="236"/>
      <c r="J528" s="236"/>
      <c r="K528" s="236"/>
      <c r="L528" s="236"/>
      <c r="M528" s="236"/>
      <c r="N528" s="236"/>
      <c r="O528" s="236"/>
      <c r="P528" s="236"/>
      <c r="Q528" s="236"/>
      <c r="R528" s="236"/>
      <c r="S528" s="236"/>
      <c r="T528" s="236"/>
      <c r="U528" s="236"/>
      <c r="V528" s="236"/>
      <c r="W528" s="237"/>
      <c r="X528" s="237"/>
      <c r="Y528" s="237"/>
      <c r="Z528" s="237"/>
      <c r="AA528" s="237"/>
      <c r="AB528" s="237"/>
      <c r="AC528" s="237"/>
      <c r="AD528" s="237"/>
      <c r="AE528" s="237"/>
      <c r="AF528" s="237"/>
      <c r="AG528" s="237"/>
      <c r="AH528" s="237"/>
      <c r="AI528" s="308"/>
      <c r="AJ528" s="308"/>
      <c r="AK528" s="308"/>
      <c r="AL528" s="308"/>
      <c r="AM528" s="98"/>
      <c r="AN528" s="98"/>
      <c r="AO528" s="98"/>
    </row>
    <row r="529" ht="14.25" customHeight="1">
      <c r="A529" s="179"/>
      <c r="B529" s="98"/>
      <c r="C529" s="98"/>
      <c r="D529" s="98"/>
      <c r="E529" s="98"/>
      <c r="F529" s="235"/>
      <c r="G529" s="235"/>
      <c r="H529" s="236"/>
      <c r="I529" s="236"/>
      <c r="J529" s="236"/>
      <c r="K529" s="236"/>
      <c r="L529" s="236"/>
      <c r="M529" s="236"/>
      <c r="N529" s="236"/>
      <c r="O529" s="236"/>
      <c r="P529" s="236"/>
      <c r="Q529" s="236"/>
      <c r="R529" s="236"/>
      <c r="S529" s="236"/>
      <c r="T529" s="236"/>
      <c r="U529" s="236"/>
      <c r="V529" s="236"/>
      <c r="W529" s="237"/>
      <c r="X529" s="237"/>
      <c r="Y529" s="237"/>
      <c r="Z529" s="237"/>
      <c r="AA529" s="237"/>
      <c r="AB529" s="237"/>
      <c r="AC529" s="237"/>
      <c r="AD529" s="237"/>
      <c r="AE529" s="237"/>
      <c r="AF529" s="237"/>
      <c r="AG529" s="237"/>
      <c r="AH529" s="237"/>
      <c r="AI529" s="308"/>
      <c r="AJ529" s="308"/>
      <c r="AK529" s="308"/>
      <c r="AL529" s="308"/>
      <c r="AM529" s="98"/>
      <c r="AN529" s="98"/>
      <c r="AO529" s="98"/>
    </row>
    <row r="530" ht="14.25" customHeight="1">
      <c r="A530" s="179"/>
      <c r="B530" s="98"/>
      <c r="C530" s="98"/>
      <c r="D530" s="98"/>
      <c r="E530" s="98"/>
      <c r="F530" s="235"/>
      <c r="G530" s="235"/>
      <c r="H530" s="236"/>
      <c r="I530" s="236"/>
      <c r="J530" s="236"/>
      <c r="K530" s="236"/>
      <c r="L530" s="236"/>
      <c r="M530" s="236"/>
      <c r="N530" s="236"/>
      <c r="O530" s="236"/>
      <c r="P530" s="236"/>
      <c r="Q530" s="236"/>
      <c r="R530" s="236"/>
      <c r="S530" s="236"/>
      <c r="T530" s="236"/>
      <c r="U530" s="236"/>
      <c r="V530" s="236"/>
      <c r="W530" s="237"/>
      <c r="X530" s="237"/>
      <c r="Y530" s="237"/>
      <c r="Z530" s="237"/>
      <c r="AA530" s="237"/>
      <c r="AB530" s="237"/>
      <c r="AC530" s="237"/>
      <c r="AD530" s="237"/>
      <c r="AE530" s="237"/>
      <c r="AF530" s="237"/>
      <c r="AG530" s="237"/>
      <c r="AH530" s="237"/>
      <c r="AI530" s="308"/>
      <c r="AJ530" s="308"/>
      <c r="AK530" s="308"/>
      <c r="AL530" s="308"/>
      <c r="AM530" s="98"/>
      <c r="AN530" s="98"/>
      <c r="AO530" s="98"/>
    </row>
    <row r="531" ht="14.25" customHeight="1">
      <c r="A531" s="179"/>
      <c r="B531" s="98"/>
      <c r="C531" s="98"/>
      <c r="D531" s="98"/>
      <c r="E531" s="98"/>
      <c r="F531" s="235"/>
      <c r="G531" s="235"/>
      <c r="H531" s="236"/>
      <c r="I531" s="236"/>
      <c r="J531" s="236"/>
      <c r="K531" s="236"/>
      <c r="L531" s="236"/>
      <c r="M531" s="236"/>
      <c r="N531" s="236"/>
      <c r="O531" s="236"/>
      <c r="P531" s="236"/>
      <c r="Q531" s="236"/>
      <c r="R531" s="236"/>
      <c r="S531" s="236"/>
      <c r="T531" s="236"/>
      <c r="U531" s="236"/>
      <c r="V531" s="236"/>
      <c r="W531" s="237"/>
      <c r="X531" s="237"/>
      <c r="Y531" s="237"/>
      <c r="Z531" s="237"/>
      <c r="AA531" s="237"/>
      <c r="AB531" s="237"/>
      <c r="AC531" s="237"/>
      <c r="AD531" s="237"/>
      <c r="AE531" s="237"/>
      <c r="AF531" s="237"/>
      <c r="AG531" s="237"/>
      <c r="AH531" s="237"/>
      <c r="AI531" s="308"/>
      <c r="AJ531" s="308"/>
      <c r="AK531" s="308"/>
      <c r="AL531" s="308"/>
      <c r="AM531" s="98"/>
      <c r="AN531" s="98"/>
      <c r="AO531" s="98"/>
    </row>
    <row r="532" ht="14.25" customHeight="1">
      <c r="A532" s="179"/>
      <c r="B532" s="98"/>
      <c r="C532" s="98"/>
      <c r="D532" s="98"/>
      <c r="E532" s="98"/>
      <c r="F532" s="235"/>
      <c r="G532" s="235"/>
      <c r="H532" s="236"/>
      <c r="I532" s="236"/>
      <c r="J532" s="236"/>
      <c r="K532" s="236"/>
      <c r="L532" s="236"/>
      <c r="M532" s="236"/>
      <c r="N532" s="236"/>
      <c r="O532" s="236"/>
      <c r="P532" s="236"/>
      <c r="Q532" s="236"/>
      <c r="R532" s="236"/>
      <c r="S532" s="236"/>
      <c r="T532" s="236"/>
      <c r="U532" s="236"/>
      <c r="V532" s="236"/>
      <c r="W532" s="237"/>
      <c r="X532" s="237"/>
      <c r="Y532" s="237"/>
      <c r="Z532" s="237"/>
      <c r="AA532" s="237"/>
      <c r="AB532" s="237"/>
      <c r="AC532" s="237"/>
      <c r="AD532" s="237"/>
      <c r="AE532" s="237"/>
      <c r="AF532" s="237"/>
      <c r="AG532" s="237"/>
      <c r="AH532" s="237"/>
      <c r="AI532" s="308"/>
      <c r="AJ532" s="308"/>
      <c r="AK532" s="308"/>
      <c r="AL532" s="308"/>
      <c r="AM532" s="98"/>
      <c r="AN532" s="98"/>
      <c r="AO532" s="98"/>
    </row>
    <row r="533" ht="14.25" customHeight="1">
      <c r="A533" s="179"/>
      <c r="B533" s="98"/>
      <c r="C533" s="98"/>
      <c r="D533" s="98"/>
      <c r="E533" s="98"/>
      <c r="F533" s="235"/>
      <c r="G533" s="235"/>
      <c r="H533" s="236"/>
      <c r="I533" s="236"/>
      <c r="J533" s="236"/>
      <c r="K533" s="236"/>
      <c r="L533" s="236"/>
      <c r="M533" s="236"/>
      <c r="N533" s="236"/>
      <c r="O533" s="236"/>
      <c r="P533" s="236"/>
      <c r="Q533" s="236"/>
      <c r="R533" s="236"/>
      <c r="S533" s="236"/>
      <c r="T533" s="236"/>
      <c r="U533" s="236"/>
      <c r="V533" s="236"/>
      <c r="W533" s="237"/>
      <c r="X533" s="237"/>
      <c r="Y533" s="237"/>
      <c r="Z533" s="237"/>
      <c r="AA533" s="237"/>
      <c r="AB533" s="237"/>
      <c r="AC533" s="237"/>
      <c r="AD533" s="237"/>
      <c r="AE533" s="237"/>
      <c r="AF533" s="237"/>
      <c r="AG533" s="237"/>
      <c r="AH533" s="237"/>
      <c r="AI533" s="308"/>
      <c r="AJ533" s="308"/>
      <c r="AK533" s="308"/>
      <c r="AL533" s="308"/>
      <c r="AM533" s="98"/>
      <c r="AN533" s="98"/>
      <c r="AO533" s="98"/>
    </row>
    <row r="534" ht="14.25" customHeight="1">
      <c r="A534" s="179"/>
      <c r="B534" s="98"/>
      <c r="C534" s="98"/>
      <c r="D534" s="98"/>
      <c r="E534" s="98"/>
      <c r="F534" s="235"/>
      <c r="G534" s="235"/>
      <c r="H534" s="236"/>
      <c r="I534" s="236"/>
      <c r="J534" s="236"/>
      <c r="K534" s="236"/>
      <c r="L534" s="236"/>
      <c r="M534" s="236"/>
      <c r="N534" s="236"/>
      <c r="O534" s="236"/>
      <c r="P534" s="236"/>
      <c r="Q534" s="236"/>
      <c r="R534" s="236"/>
      <c r="S534" s="236"/>
      <c r="T534" s="236"/>
      <c r="U534" s="236"/>
      <c r="V534" s="236"/>
      <c r="W534" s="237"/>
      <c r="X534" s="237"/>
      <c r="Y534" s="237"/>
      <c r="Z534" s="237"/>
      <c r="AA534" s="237"/>
      <c r="AB534" s="237"/>
      <c r="AC534" s="237"/>
      <c r="AD534" s="237"/>
      <c r="AE534" s="237"/>
      <c r="AF534" s="237"/>
      <c r="AG534" s="237"/>
      <c r="AH534" s="237"/>
      <c r="AI534" s="308"/>
      <c r="AJ534" s="308"/>
      <c r="AK534" s="308"/>
      <c r="AL534" s="308"/>
      <c r="AM534" s="98"/>
      <c r="AN534" s="98"/>
      <c r="AO534" s="98"/>
    </row>
    <row r="535" ht="14.25" customHeight="1">
      <c r="A535" s="179"/>
      <c r="B535" s="98"/>
      <c r="C535" s="98"/>
      <c r="D535" s="98"/>
      <c r="E535" s="98"/>
      <c r="F535" s="235"/>
      <c r="G535" s="235"/>
      <c r="H535" s="236"/>
      <c r="I535" s="236"/>
      <c r="J535" s="236"/>
      <c r="K535" s="236"/>
      <c r="L535" s="236"/>
      <c r="M535" s="236"/>
      <c r="N535" s="236"/>
      <c r="O535" s="236"/>
      <c r="P535" s="236"/>
      <c r="Q535" s="236"/>
      <c r="R535" s="236"/>
      <c r="S535" s="236"/>
      <c r="T535" s="236"/>
      <c r="U535" s="236"/>
      <c r="V535" s="236"/>
      <c r="W535" s="237"/>
      <c r="X535" s="237"/>
      <c r="Y535" s="237"/>
      <c r="Z535" s="237"/>
      <c r="AA535" s="237"/>
      <c r="AB535" s="237"/>
      <c r="AC535" s="237"/>
      <c r="AD535" s="237"/>
      <c r="AE535" s="237"/>
      <c r="AF535" s="237"/>
      <c r="AG535" s="237"/>
      <c r="AH535" s="237"/>
      <c r="AI535" s="308"/>
      <c r="AJ535" s="308"/>
      <c r="AK535" s="308"/>
      <c r="AL535" s="308"/>
      <c r="AM535" s="98"/>
      <c r="AN535" s="98"/>
      <c r="AO535" s="98"/>
    </row>
    <row r="536" ht="14.25" customHeight="1">
      <c r="A536" s="179"/>
      <c r="B536" s="98"/>
      <c r="C536" s="98"/>
      <c r="D536" s="98"/>
      <c r="E536" s="98"/>
      <c r="F536" s="235"/>
      <c r="G536" s="235"/>
      <c r="H536" s="236"/>
      <c r="I536" s="236"/>
      <c r="J536" s="236"/>
      <c r="K536" s="236"/>
      <c r="L536" s="236"/>
      <c r="M536" s="236"/>
      <c r="N536" s="236"/>
      <c r="O536" s="236"/>
      <c r="P536" s="236"/>
      <c r="Q536" s="236"/>
      <c r="R536" s="236"/>
      <c r="S536" s="236"/>
      <c r="T536" s="236"/>
      <c r="U536" s="236"/>
      <c r="V536" s="236"/>
      <c r="W536" s="237"/>
      <c r="X536" s="237"/>
      <c r="Y536" s="237"/>
      <c r="Z536" s="237"/>
      <c r="AA536" s="237"/>
      <c r="AB536" s="237"/>
      <c r="AC536" s="237"/>
      <c r="AD536" s="237"/>
      <c r="AE536" s="237"/>
      <c r="AF536" s="237"/>
      <c r="AG536" s="237"/>
      <c r="AH536" s="237"/>
      <c r="AI536" s="308"/>
      <c r="AJ536" s="308"/>
      <c r="AK536" s="308"/>
      <c r="AL536" s="308"/>
      <c r="AM536" s="98"/>
      <c r="AN536" s="98"/>
      <c r="AO536" s="98"/>
    </row>
    <row r="537" ht="14.25" customHeight="1">
      <c r="A537" s="179"/>
      <c r="B537" s="98"/>
      <c r="C537" s="98"/>
      <c r="D537" s="98"/>
      <c r="E537" s="98"/>
      <c r="F537" s="235"/>
      <c r="G537" s="235"/>
      <c r="H537" s="236"/>
      <c r="I537" s="236"/>
      <c r="J537" s="236"/>
      <c r="K537" s="236"/>
      <c r="L537" s="236"/>
      <c r="M537" s="236"/>
      <c r="N537" s="236"/>
      <c r="O537" s="236"/>
      <c r="P537" s="236"/>
      <c r="Q537" s="236"/>
      <c r="R537" s="236"/>
      <c r="S537" s="236"/>
      <c r="T537" s="236"/>
      <c r="U537" s="236"/>
      <c r="V537" s="236"/>
      <c r="W537" s="237"/>
      <c r="X537" s="237"/>
      <c r="Y537" s="237"/>
      <c r="Z537" s="237"/>
      <c r="AA537" s="237"/>
      <c r="AB537" s="237"/>
      <c r="AC537" s="237"/>
      <c r="AD537" s="237"/>
      <c r="AE537" s="237"/>
      <c r="AF537" s="237"/>
      <c r="AG537" s="237"/>
      <c r="AH537" s="237"/>
      <c r="AI537" s="308"/>
      <c r="AJ537" s="308"/>
      <c r="AK537" s="308"/>
      <c r="AL537" s="308"/>
      <c r="AM537" s="98"/>
      <c r="AN537" s="98"/>
      <c r="AO537" s="98"/>
    </row>
    <row r="538" ht="14.25" customHeight="1">
      <c r="A538" s="179"/>
      <c r="B538" s="98"/>
      <c r="C538" s="98"/>
      <c r="D538" s="98"/>
      <c r="E538" s="98"/>
      <c r="F538" s="235"/>
      <c r="G538" s="235"/>
      <c r="H538" s="236"/>
      <c r="I538" s="236"/>
      <c r="J538" s="236"/>
      <c r="K538" s="236"/>
      <c r="L538" s="236"/>
      <c r="M538" s="236"/>
      <c r="N538" s="236"/>
      <c r="O538" s="236"/>
      <c r="P538" s="236"/>
      <c r="Q538" s="236"/>
      <c r="R538" s="236"/>
      <c r="S538" s="236"/>
      <c r="T538" s="236"/>
      <c r="U538" s="236"/>
      <c r="V538" s="236"/>
      <c r="W538" s="237"/>
      <c r="X538" s="237"/>
      <c r="Y538" s="237"/>
      <c r="Z538" s="237"/>
      <c r="AA538" s="237"/>
      <c r="AB538" s="237"/>
      <c r="AC538" s="237"/>
      <c r="AD538" s="237"/>
      <c r="AE538" s="237"/>
      <c r="AF538" s="237"/>
      <c r="AG538" s="237"/>
      <c r="AH538" s="237"/>
      <c r="AI538" s="308"/>
      <c r="AJ538" s="308"/>
      <c r="AK538" s="308"/>
      <c r="AL538" s="308"/>
      <c r="AM538" s="98"/>
      <c r="AN538" s="98"/>
      <c r="AO538" s="98"/>
    </row>
    <row r="539" ht="14.25" customHeight="1">
      <c r="A539" s="179"/>
      <c r="B539" s="98"/>
      <c r="C539" s="98"/>
      <c r="D539" s="98"/>
      <c r="E539" s="98"/>
      <c r="F539" s="235"/>
      <c r="G539" s="235"/>
      <c r="H539" s="236"/>
      <c r="I539" s="236"/>
      <c r="J539" s="236"/>
      <c r="K539" s="236"/>
      <c r="L539" s="236"/>
      <c r="M539" s="236"/>
      <c r="N539" s="236"/>
      <c r="O539" s="236"/>
      <c r="P539" s="236"/>
      <c r="Q539" s="236"/>
      <c r="R539" s="236"/>
      <c r="S539" s="236"/>
      <c r="T539" s="236"/>
      <c r="U539" s="236"/>
      <c r="V539" s="236"/>
      <c r="W539" s="237"/>
      <c r="X539" s="237"/>
      <c r="Y539" s="237"/>
      <c r="Z539" s="237"/>
      <c r="AA539" s="237"/>
      <c r="AB539" s="237"/>
      <c r="AC539" s="237"/>
      <c r="AD539" s="237"/>
      <c r="AE539" s="237"/>
      <c r="AF539" s="237"/>
      <c r="AG539" s="237"/>
      <c r="AH539" s="237"/>
      <c r="AI539" s="308"/>
      <c r="AJ539" s="308"/>
      <c r="AK539" s="308"/>
      <c r="AL539" s="308"/>
      <c r="AM539" s="98"/>
      <c r="AN539" s="98"/>
      <c r="AO539" s="98"/>
    </row>
    <row r="540" ht="14.25" customHeight="1">
      <c r="A540" s="179"/>
      <c r="B540" s="98"/>
      <c r="C540" s="98"/>
      <c r="D540" s="98"/>
      <c r="E540" s="98"/>
      <c r="F540" s="235"/>
      <c r="G540" s="235"/>
      <c r="H540" s="236"/>
      <c r="I540" s="236"/>
      <c r="J540" s="236"/>
      <c r="K540" s="236"/>
      <c r="L540" s="236"/>
      <c r="M540" s="236"/>
      <c r="N540" s="236"/>
      <c r="O540" s="236"/>
      <c r="P540" s="236"/>
      <c r="Q540" s="236"/>
      <c r="R540" s="236"/>
      <c r="S540" s="236"/>
      <c r="T540" s="236"/>
      <c r="U540" s="236"/>
      <c r="V540" s="236"/>
      <c r="W540" s="237"/>
      <c r="X540" s="237"/>
      <c r="Y540" s="237"/>
      <c r="Z540" s="237"/>
      <c r="AA540" s="237"/>
      <c r="AB540" s="237"/>
      <c r="AC540" s="237"/>
      <c r="AD540" s="237"/>
      <c r="AE540" s="237"/>
      <c r="AF540" s="237"/>
      <c r="AG540" s="237"/>
      <c r="AH540" s="237"/>
      <c r="AI540" s="308"/>
      <c r="AJ540" s="308"/>
      <c r="AK540" s="308"/>
      <c r="AL540" s="308"/>
      <c r="AM540" s="98"/>
      <c r="AN540" s="98"/>
      <c r="AO540" s="98"/>
    </row>
    <row r="541" ht="14.25" customHeight="1">
      <c r="A541" s="179"/>
      <c r="B541" s="98"/>
      <c r="C541" s="98"/>
      <c r="D541" s="98"/>
      <c r="E541" s="98"/>
      <c r="F541" s="235"/>
      <c r="G541" s="235"/>
      <c r="H541" s="236"/>
      <c r="I541" s="236"/>
      <c r="J541" s="236"/>
      <c r="K541" s="236"/>
      <c r="L541" s="236"/>
      <c r="M541" s="236"/>
      <c r="N541" s="236"/>
      <c r="O541" s="236"/>
      <c r="P541" s="236"/>
      <c r="Q541" s="236"/>
      <c r="R541" s="236"/>
      <c r="S541" s="236"/>
      <c r="T541" s="236"/>
      <c r="U541" s="236"/>
      <c r="V541" s="236"/>
      <c r="W541" s="237"/>
      <c r="X541" s="237"/>
      <c r="Y541" s="237"/>
      <c r="Z541" s="237"/>
      <c r="AA541" s="237"/>
      <c r="AB541" s="237"/>
      <c r="AC541" s="237"/>
      <c r="AD541" s="237"/>
      <c r="AE541" s="237"/>
      <c r="AF541" s="237"/>
      <c r="AG541" s="237"/>
      <c r="AH541" s="237"/>
      <c r="AI541" s="308"/>
      <c r="AJ541" s="308"/>
      <c r="AK541" s="308"/>
      <c r="AL541" s="308"/>
      <c r="AM541" s="98"/>
      <c r="AN541" s="98"/>
      <c r="AO541" s="98"/>
    </row>
    <row r="542" ht="14.25" customHeight="1">
      <c r="A542" s="179"/>
      <c r="B542" s="98"/>
      <c r="C542" s="98"/>
      <c r="D542" s="98"/>
      <c r="E542" s="98"/>
      <c r="F542" s="235"/>
      <c r="G542" s="235"/>
      <c r="H542" s="236"/>
      <c r="I542" s="236"/>
      <c r="J542" s="236"/>
      <c r="K542" s="236"/>
      <c r="L542" s="236"/>
      <c r="M542" s="236"/>
      <c r="N542" s="236"/>
      <c r="O542" s="236"/>
      <c r="P542" s="236"/>
      <c r="Q542" s="236"/>
      <c r="R542" s="236"/>
      <c r="S542" s="236"/>
      <c r="T542" s="236"/>
      <c r="U542" s="236"/>
      <c r="V542" s="236"/>
      <c r="W542" s="237"/>
      <c r="X542" s="237"/>
      <c r="Y542" s="237"/>
      <c r="Z542" s="237"/>
      <c r="AA542" s="237"/>
      <c r="AB542" s="237"/>
      <c r="AC542" s="237"/>
      <c r="AD542" s="237"/>
      <c r="AE542" s="237"/>
      <c r="AF542" s="237"/>
      <c r="AG542" s="237"/>
      <c r="AH542" s="237"/>
      <c r="AI542" s="308"/>
      <c r="AJ542" s="308"/>
      <c r="AK542" s="308"/>
      <c r="AL542" s="308"/>
      <c r="AM542" s="98"/>
      <c r="AN542" s="98"/>
      <c r="AO542" s="98"/>
    </row>
    <row r="543" ht="14.25" customHeight="1">
      <c r="A543" s="179"/>
      <c r="B543" s="98"/>
      <c r="C543" s="98"/>
      <c r="D543" s="98"/>
      <c r="E543" s="98"/>
      <c r="F543" s="235"/>
      <c r="G543" s="235"/>
      <c r="H543" s="236"/>
      <c r="I543" s="236"/>
      <c r="J543" s="236"/>
      <c r="K543" s="236"/>
      <c r="L543" s="236"/>
      <c r="M543" s="236"/>
      <c r="N543" s="236"/>
      <c r="O543" s="236"/>
      <c r="P543" s="236"/>
      <c r="Q543" s="236"/>
      <c r="R543" s="236"/>
      <c r="S543" s="236"/>
      <c r="T543" s="236"/>
      <c r="U543" s="236"/>
      <c r="V543" s="236"/>
      <c r="W543" s="237"/>
      <c r="X543" s="237"/>
      <c r="Y543" s="237"/>
      <c r="Z543" s="237"/>
      <c r="AA543" s="237"/>
      <c r="AB543" s="237"/>
      <c r="AC543" s="237"/>
      <c r="AD543" s="237"/>
      <c r="AE543" s="237"/>
      <c r="AF543" s="237"/>
      <c r="AG543" s="237"/>
      <c r="AH543" s="237"/>
      <c r="AI543" s="308"/>
      <c r="AJ543" s="308"/>
      <c r="AK543" s="308"/>
      <c r="AL543" s="308"/>
      <c r="AM543" s="98"/>
      <c r="AN543" s="98"/>
      <c r="AO543" s="98"/>
    </row>
    <row r="544" ht="14.25" customHeight="1">
      <c r="A544" s="179"/>
      <c r="B544" s="98"/>
      <c r="C544" s="98"/>
      <c r="D544" s="98"/>
      <c r="E544" s="98"/>
      <c r="F544" s="235"/>
      <c r="G544" s="235"/>
      <c r="H544" s="236"/>
      <c r="I544" s="236"/>
      <c r="J544" s="236"/>
      <c r="K544" s="236"/>
      <c r="L544" s="236"/>
      <c r="M544" s="236"/>
      <c r="N544" s="236"/>
      <c r="O544" s="236"/>
      <c r="P544" s="236"/>
      <c r="Q544" s="236"/>
      <c r="R544" s="236"/>
      <c r="S544" s="236"/>
      <c r="T544" s="236"/>
      <c r="U544" s="236"/>
      <c r="V544" s="236"/>
      <c r="W544" s="237"/>
      <c r="X544" s="237"/>
      <c r="Y544" s="237"/>
      <c r="Z544" s="237"/>
      <c r="AA544" s="237"/>
      <c r="AB544" s="237"/>
      <c r="AC544" s="237"/>
      <c r="AD544" s="237"/>
      <c r="AE544" s="237"/>
      <c r="AF544" s="237"/>
      <c r="AG544" s="237"/>
      <c r="AH544" s="237"/>
      <c r="AI544" s="308"/>
      <c r="AJ544" s="308"/>
      <c r="AK544" s="308"/>
      <c r="AL544" s="308"/>
      <c r="AM544" s="98"/>
      <c r="AN544" s="98"/>
      <c r="AO544" s="98"/>
    </row>
    <row r="545" ht="14.25" customHeight="1">
      <c r="A545" s="179"/>
      <c r="B545" s="98"/>
      <c r="C545" s="98"/>
      <c r="D545" s="98"/>
      <c r="E545" s="98"/>
      <c r="F545" s="235"/>
      <c r="G545" s="235"/>
      <c r="H545" s="236"/>
      <c r="I545" s="236"/>
      <c r="J545" s="236"/>
      <c r="K545" s="236"/>
      <c r="L545" s="236"/>
      <c r="M545" s="236"/>
      <c r="N545" s="236"/>
      <c r="O545" s="236"/>
      <c r="P545" s="236"/>
      <c r="Q545" s="236"/>
      <c r="R545" s="236"/>
      <c r="S545" s="236"/>
      <c r="T545" s="236"/>
      <c r="U545" s="236"/>
      <c r="V545" s="236"/>
      <c r="W545" s="237"/>
      <c r="X545" s="237"/>
      <c r="Y545" s="237"/>
      <c r="Z545" s="237"/>
      <c r="AA545" s="237"/>
      <c r="AB545" s="237"/>
      <c r="AC545" s="237"/>
      <c r="AD545" s="237"/>
      <c r="AE545" s="237"/>
      <c r="AF545" s="237"/>
      <c r="AG545" s="237"/>
      <c r="AH545" s="237"/>
      <c r="AI545" s="308"/>
      <c r="AJ545" s="308"/>
      <c r="AK545" s="308"/>
      <c r="AL545" s="308"/>
      <c r="AM545" s="98"/>
      <c r="AN545" s="98"/>
      <c r="AO545" s="98"/>
    </row>
    <row r="546" ht="14.25" customHeight="1">
      <c r="A546" s="179"/>
      <c r="B546" s="98"/>
      <c r="C546" s="98"/>
      <c r="D546" s="98"/>
      <c r="E546" s="98"/>
      <c r="F546" s="235"/>
      <c r="G546" s="235"/>
      <c r="H546" s="236"/>
      <c r="I546" s="236"/>
      <c r="J546" s="236"/>
      <c r="K546" s="236"/>
      <c r="L546" s="236"/>
      <c r="M546" s="236"/>
      <c r="N546" s="236"/>
      <c r="O546" s="236"/>
      <c r="P546" s="236"/>
      <c r="Q546" s="236"/>
      <c r="R546" s="236"/>
      <c r="S546" s="236"/>
      <c r="T546" s="236"/>
      <c r="U546" s="236"/>
      <c r="V546" s="236"/>
      <c r="W546" s="237"/>
      <c r="X546" s="237"/>
      <c r="Y546" s="237"/>
      <c r="Z546" s="237"/>
      <c r="AA546" s="237"/>
      <c r="AB546" s="237"/>
      <c r="AC546" s="237"/>
      <c r="AD546" s="237"/>
      <c r="AE546" s="237"/>
      <c r="AF546" s="237"/>
      <c r="AG546" s="237"/>
      <c r="AH546" s="237"/>
      <c r="AI546" s="308"/>
      <c r="AJ546" s="308"/>
      <c r="AK546" s="308"/>
      <c r="AL546" s="308"/>
      <c r="AM546" s="98"/>
      <c r="AN546" s="98"/>
      <c r="AO546" s="98"/>
    </row>
    <row r="547" ht="14.25" customHeight="1">
      <c r="A547" s="179"/>
      <c r="B547" s="98"/>
      <c r="C547" s="98"/>
      <c r="D547" s="98"/>
      <c r="E547" s="98"/>
      <c r="F547" s="235"/>
      <c r="G547" s="235"/>
      <c r="H547" s="236"/>
      <c r="I547" s="236"/>
      <c r="J547" s="236"/>
      <c r="K547" s="236"/>
      <c r="L547" s="236"/>
      <c r="M547" s="236"/>
      <c r="N547" s="236"/>
      <c r="O547" s="236"/>
      <c r="P547" s="236"/>
      <c r="Q547" s="236"/>
      <c r="R547" s="236"/>
      <c r="S547" s="236"/>
      <c r="T547" s="236"/>
      <c r="U547" s="236"/>
      <c r="V547" s="236"/>
      <c r="W547" s="237"/>
      <c r="X547" s="237"/>
      <c r="Y547" s="237"/>
      <c r="Z547" s="237"/>
      <c r="AA547" s="237"/>
      <c r="AB547" s="237"/>
      <c r="AC547" s="237"/>
      <c r="AD547" s="237"/>
      <c r="AE547" s="237"/>
      <c r="AF547" s="237"/>
      <c r="AG547" s="237"/>
      <c r="AH547" s="237"/>
      <c r="AI547" s="308"/>
      <c r="AJ547" s="308"/>
      <c r="AK547" s="308"/>
      <c r="AL547" s="308"/>
      <c r="AM547" s="98"/>
      <c r="AN547" s="98"/>
      <c r="AO547" s="98"/>
    </row>
    <row r="548" ht="14.25" customHeight="1">
      <c r="A548" s="179"/>
      <c r="B548" s="98"/>
      <c r="C548" s="98"/>
      <c r="D548" s="98"/>
      <c r="E548" s="98"/>
      <c r="F548" s="235"/>
      <c r="G548" s="235"/>
      <c r="H548" s="236"/>
      <c r="I548" s="236"/>
      <c r="J548" s="236"/>
      <c r="K548" s="236"/>
      <c r="L548" s="236"/>
      <c r="M548" s="236"/>
      <c r="N548" s="236"/>
      <c r="O548" s="236"/>
      <c r="P548" s="236"/>
      <c r="Q548" s="236"/>
      <c r="R548" s="236"/>
      <c r="S548" s="236"/>
      <c r="T548" s="236"/>
      <c r="U548" s="236"/>
      <c r="V548" s="236"/>
      <c r="W548" s="237"/>
      <c r="X548" s="237"/>
      <c r="Y548" s="237"/>
      <c r="Z548" s="237"/>
      <c r="AA548" s="237"/>
      <c r="AB548" s="237"/>
      <c r="AC548" s="237"/>
      <c r="AD548" s="237"/>
      <c r="AE548" s="237"/>
      <c r="AF548" s="237"/>
      <c r="AG548" s="237"/>
      <c r="AH548" s="237"/>
      <c r="AI548" s="308"/>
      <c r="AJ548" s="308"/>
      <c r="AK548" s="308"/>
      <c r="AL548" s="308"/>
      <c r="AM548" s="98"/>
      <c r="AN548" s="98"/>
      <c r="AO548" s="98"/>
    </row>
    <row r="549" ht="14.25" customHeight="1">
      <c r="A549" s="179"/>
      <c r="B549" s="98"/>
      <c r="C549" s="98"/>
      <c r="D549" s="98"/>
      <c r="E549" s="98"/>
      <c r="F549" s="235"/>
      <c r="G549" s="235"/>
      <c r="H549" s="236"/>
      <c r="I549" s="236"/>
      <c r="J549" s="236"/>
      <c r="K549" s="236"/>
      <c r="L549" s="236"/>
      <c r="M549" s="236"/>
      <c r="N549" s="236"/>
      <c r="O549" s="236"/>
      <c r="P549" s="236"/>
      <c r="Q549" s="236"/>
      <c r="R549" s="236"/>
      <c r="S549" s="236"/>
      <c r="T549" s="236"/>
      <c r="U549" s="236"/>
      <c r="V549" s="236"/>
      <c r="W549" s="237"/>
      <c r="X549" s="237"/>
      <c r="Y549" s="237"/>
      <c r="Z549" s="237"/>
      <c r="AA549" s="237"/>
      <c r="AB549" s="237"/>
      <c r="AC549" s="237"/>
      <c r="AD549" s="237"/>
      <c r="AE549" s="237"/>
      <c r="AF549" s="237"/>
      <c r="AG549" s="237"/>
      <c r="AH549" s="237"/>
      <c r="AI549" s="308"/>
      <c r="AJ549" s="308"/>
      <c r="AK549" s="308"/>
      <c r="AL549" s="308"/>
      <c r="AM549" s="98"/>
      <c r="AN549" s="98"/>
      <c r="AO549" s="98"/>
    </row>
    <row r="550" ht="14.25" customHeight="1">
      <c r="A550" s="179"/>
      <c r="B550" s="98"/>
      <c r="C550" s="98"/>
      <c r="D550" s="98"/>
      <c r="E550" s="98"/>
      <c r="F550" s="235"/>
      <c r="G550" s="235"/>
      <c r="H550" s="236"/>
      <c r="I550" s="236"/>
      <c r="J550" s="236"/>
      <c r="K550" s="236"/>
      <c r="L550" s="236"/>
      <c r="M550" s="236"/>
      <c r="N550" s="236"/>
      <c r="O550" s="236"/>
      <c r="P550" s="236"/>
      <c r="Q550" s="236"/>
      <c r="R550" s="236"/>
      <c r="S550" s="236"/>
      <c r="T550" s="236"/>
      <c r="U550" s="236"/>
      <c r="V550" s="236"/>
      <c r="W550" s="237"/>
      <c r="X550" s="237"/>
      <c r="Y550" s="237"/>
      <c r="Z550" s="237"/>
      <c r="AA550" s="237"/>
      <c r="AB550" s="237"/>
      <c r="AC550" s="237"/>
      <c r="AD550" s="237"/>
      <c r="AE550" s="237"/>
      <c r="AF550" s="237"/>
      <c r="AG550" s="237"/>
      <c r="AH550" s="237"/>
      <c r="AI550" s="308"/>
      <c r="AJ550" s="308"/>
      <c r="AK550" s="308"/>
      <c r="AL550" s="308"/>
      <c r="AM550" s="98"/>
      <c r="AN550" s="98"/>
      <c r="AO550" s="98"/>
    </row>
    <row r="551" ht="14.25" customHeight="1">
      <c r="A551" s="179"/>
      <c r="B551" s="98"/>
      <c r="C551" s="98"/>
      <c r="D551" s="98"/>
      <c r="E551" s="98"/>
      <c r="F551" s="235"/>
      <c r="G551" s="235"/>
      <c r="H551" s="236"/>
      <c r="I551" s="236"/>
      <c r="J551" s="236"/>
      <c r="K551" s="236"/>
      <c r="L551" s="236"/>
      <c r="M551" s="236"/>
      <c r="N551" s="236"/>
      <c r="O551" s="236"/>
      <c r="P551" s="236"/>
      <c r="Q551" s="236"/>
      <c r="R551" s="236"/>
      <c r="S551" s="236"/>
      <c r="T551" s="236"/>
      <c r="U551" s="236"/>
      <c r="V551" s="236"/>
      <c r="W551" s="237"/>
      <c r="X551" s="237"/>
      <c r="Y551" s="237"/>
      <c r="Z551" s="237"/>
      <c r="AA551" s="237"/>
      <c r="AB551" s="237"/>
      <c r="AC551" s="237"/>
      <c r="AD551" s="237"/>
      <c r="AE551" s="237"/>
      <c r="AF551" s="237"/>
      <c r="AG551" s="237"/>
      <c r="AH551" s="237"/>
      <c r="AI551" s="308"/>
      <c r="AJ551" s="308"/>
      <c r="AK551" s="308"/>
      <c r="AL551" s="308"/>
      <c r="AM551" s="98"/>
      <c r="AN551" s="98"/>
      <c r="AO551" s="98"/>
    </row>
    <row r="552" ht="14.25" customHeight="1">
      <c r="A552" s="179"/>
      <c r="B552" s="98"/>
      <c r="C552" s="98"/>
      <c r="D552" s="98"/>
      <c r="E552" s="98"/>
      <c r="F552" s="235"/>
      <c r="G552" s="235"/>
      <c r="H552" s="236"/>
      <c r="I552" s="236"/>
      <c r="J552" s="236"/>
      <c r="K552" s="236"/>
      <c r="L552" s="236"/>
      <c r="M552" s="236"/>
      <c r="N552" s="236"/>
      <c r="O552" s="236"/>
      <c r="P552" s="236"/>
      <c r="Q552" s="236"/>
      <c r="R552" s="236"/>
      <c r="S552" s="236"/>
      <c r="T552" s="236"/>
      <c r="U552" s="236"/>
      <c r="V552" s="236"/>
      <c r="W552" s="237"/>
      <c r="X552" s="237"/>
      <c r="Y552" s="237"/>
      <c r="Z552" s="237"/>
      <c r="AA552" s="237"/>
      <c r="AB552" s="237"/>
      <c r="AC552" s="237"/>
      <c r="AD552" s="237"/>
      <c r="AE552" s="237"/>
      <c r="AF552" s="237"/>
      <c r="AG552" s="237"/>
      <c r="AH552" s="237"/>
      <c r="AI552" s="308"/>
      <c r="AJ552" s="308"/>
      <c r="AK552" s="308"/>
      <c r="AL552" s="308"/>
      <c r="AM552" s="98"/>
      <c r="AN552" s="98"/>
      <c r="AO552" s="98"/>
    </row>
    <row r="553" ht="14.25" customHeight="1">
      <c r="A553" s="179"/>
      <c r="B553" s="98"/>
      <c r="C553" s="98"/>
      <c r="D553" s="98"/>
      <c r="E553" s="98"/>
      <c r="F553" s="235"/>
      <c r="G553" s="235"/>
      <c r="H553" s="236"/>
      <c r="I553" s="236"/>
      <c r="J553" s="236"/>
      <c r="K553" s="236"/>
      <c r="L553" s="236"/>
      <c r="M553" s="236"/>
      <c r="N553" s="236"/>
      <c r="O553" s="236"/>
      <c r="P553" s="236"/>
      <c r="Q553" s="236"/>
      <c r="R553" s="236"/>
      <c r="S553" s="236"/>
      <c r="T553" s="236"/>
      <c r="U553" s="236"/>
      <c r="V553" s="236"/>
      <c r="W553" s="237"/>
      <c r="X553" s="237"/>
      <c r="Y553" s="237"/>
      <c r="Z553" s="237"/>
      <c r="AA553" s="237"/>
      <c r="AB553" s="237"/>
      <c r="AC553" s="237"/>
      <c r="AD553" s="237"/>
      <c r="AE553" s="237"/>
      <c r="AF553" s="237"/>
      <c r="AG553" s="237"/>
      <c r="AH553" s="237"/>
      <c r="AI553" s="308"/>
      <c r="AJ553" s="308"/>
      <c r="AK553" s="308"/>
      <c r="AL553" s="308"/>
      <c r="AM553" s="98"/>
      <c r="AN553" s="98"/>
      <c r="AO553" s="98"/>
    </row>
    <row r="554" ht="14.25" customHeight="1">
      <c r="A554" s="179"/>
      <c r="B554" s="98"/>
      <c r="C554" s="98"/>
      <c r="D554" s="98"/>
      <c r="E554" s="98"/>
      <c r="F554" s="235"/>
      <c r="G554" s="235"/>
      <c r="H554" s="236"/>
      <c r="I554" s="236"/>
      <c r="J554" s="236"/>
      <c r="K554" s="236"/>
      <c r="L554" s="236"/>
      <c r="M554" s="236"/>
      <c r="N554" s="236"/>
      <c r="O554" s="236"/>
      <c r="P554" s="236"/>
      <c r="Q554" s="236"/>
      <c r="R554" s="236"/>
      <c r="S554" s="236"/>
      <c r="T554" s="236"/>
      <c r="U554" s="236"/>
      <c r="V554" s="236"/>
      <c r="W554" s="237"/>
      <c r="X554" s="237"/>
      <c r="Y554" s="237"/>
      <c r="Z554" s="237"/>
      <c r="AA554" s="237"/>
      <c r="AB554" s="237"/>
      <c r="AC554" s="237"/>
      <c r="AD554" s="237"/>
      <c r="AE554" s="237"/>
      <c r="AF554" s="237"/>
      <c r="AG554" s="237"/>
      <c r="AH554" s="237"/>
      <c r="AI554" s="308"/>
      <c r="AJ554" s="308"/>
      <c r="AK554" s="308"/>
      <c r="AL554" s="308"/>
      <c r="AM554" s="98"/>
      <c r="AN554" s="98"/>
      <c r="AO554" s="98"/>
    </row>
    <row r="555" ht="14.25" customHeight="1">
      <c r="A555" s="179"/>
      <c r="B555" s="98"/>
      <c r="C555" s="98"/>
      <c r="D555" s="98"/>
      <c r="E555" s="98"/>
      <c r="F555" s="235"/>
      <c r="G555" s="235"/>
      <c r="H555" s="236"/>
      <c r="I555" s="236"/>
      <c r="J555" s="236"/>
      <c r="K555" s="236"/>
      <c r="L555" s="236"/>
      <c r="M555" s="236"/>
      <c r="N555" s="236"/>
      <c r="O555" s="236"/>
      <c r="P555" s="236"/>
      <c r="Q555" s="236"/>
      <c r="R555" s="236"/>
      <c r="S555" s="236"/>
      <c r="T555" s="236"/>
      <c r="U555" s="236"/>
      <c r="V555" s="236"/>
      <c r="W555" s="237"/>
      <c r="X555" s="237"/>
      <c r="Y555" s="237"/>
      <c r="Z555" s="237"/>
      <c r="AA555" s="237"/>
      <c r="AB555" s="237"/>
      <c r="AC555" s="237"/>
      <c r="AD555" s="237"/>
      <c r="AE555" s="237"/>
      <c r="AF555" s="237"/>
      <c r="AG555" s="237"/>
      <c r="AH555" s="237"/>
      <c r="AI555" s="308"/>
      <c r="AJ555" s="308"/>
      <c r="AK555" s="308"/>
      <c r="AL555" s="308"/>
      <c r="AM555" s="98"/>
      <c r="AN555" s="98"/>
      <c r="AO555" s="98"/>
    </row>
    <row r="556" ht="14.25" customHeight="1">
      <c r="A556" s="179"/>
      <c r="B556" s="98"/>
      <c r="C556" s="98"/>
      <c r="D556" s="98"/>
      <c r="E556" s="98"/>
      <c r="F556" s="235"/>
      <c r="G556" s="235"/>
      <c r="H556" s="236"/>
      <c r="I556" s="236"/>
      <c r="J556" s="236"/>
      <c r="K556" s="236"/>
      <c r="L556" s="236"/>
      <c r="M556" s="236"/>
      <c r="N556" s="236"/>
      <c r="O556" s="236"/>
      <c r="P556" s="236"/>
      <c r="Q556" s="236"/>
      <c r="R556" s="236"/>
      <c r="S556" s="236"/>
      <c r="T556" s="236"/>
      <c r="U556" s="236"/>
      <c r="V556" s="236"/>
      <c r="W556" s="237"/>
      <c r="X556" s="237"/>
      <c r="Y556" s="237"/>
      <c r="Z556" s="237"/>
      <c r="AA556" s="237"/>
      <c r="AB556" s="237"/>
      <c r="AC556" s="237"/>
      <c r="AD556" s="237"/>
      <c r="AE556" s="237"/>
      <c r="AF556" s="237"/>
      <c r="AG556" s="237"/>
      <c r="AH556" s="237"/>
      <c r="AI556" s="308"/>
      <c r="AJ556" s="308"/>
      <c r="AK556" s="308"/>
      <c r="AL556" s="308"/>
      <c r="AM556" s="98"/>
      <c r="AN556" s="98"/>
      <c r="AO556" s="98"/>
    </row>
    <row r="557" ht="14.25" customHeight="1">
      <c r="A557" s="179"/>
      <c r="B557" s="98"/>
      <c r="C557" s="98"/>
      <c r="D557" s="98"/>
      <c r="E557" s="98"/>
      <c r="F557" s="235"/>
      <c r="G557" s="235"/>
      <c r="H557" s="236"/>
      <c r="I557" s="236"/>
      <c r="J557" s="236"/>
      <c r="K557" s="236"/>
      <c r="L557" s="236"/>
      <c r="M557" s="236"/>
      <c r="N557" s="236"/>
      <c r="O557" s="236"/>
      <c r="P557" s="236"/>
      <c r="Q557" s="236"/>
      <c r="R557" s="236"/>
      <c r="S557" s="236"/>
      <c r="T557" s="236"/>
      <c r="U557" s="236"/>
      <c r="V557" s="236"/>
      <c r="W557" s="237"/>
      <c r="X557" s="237"/>
      <c r="Y557" s="237"/>
      <c r="Z557" s="237"/>
      <c r="AA557" s="237"/>
      <c r="AB557" s="237"/>
      <c r="AC557" s="237"/>
      <c r="AD557" s="237"/>
      <c r="AE557" s="237"/>
      <c r="AF557" s="237"/>
      <c r="AG557" s="237"/>
      <c r="AH557" s="237"/>
      <c r="AI557" s="308"/>
      <c r="AJ557" s="308"/>
      <c r="AK557" s="308"/>
      <c r="AL557" s="308"/>
      <c r="AM557" s="98"/>
      <c r="AN557" s="98"/>
      <c r="AO557" s="98"/>
    </row>
    <row r="558" ht="14.25" customHeight="1">
      <c r="A558" s="179"/>
      <c r="B558" s="98"/>
      <c r="C558" s="98"/>
      <c r="D558" s="98"/>
      <c r="E558" s="98"/>
      <c r="F558" s="235"/>
      <c r="G558" s="235"/>
      <c r="H558" s="236"/>
      <c r="I558" s="236"/>
      <c r="J558" s="236"/>
      <c r="K558" s="236"/>
      <c r="L558" s="236"/>
      <c r="M558" s="236"/>
      <c r="N558" s="236"/>
      <c r="O558" s="236"/>
      <c r="P558" s="236"/>
      <c r="Q558" s="236"/>
      <c r="R558" s="236"/>
      <c r="S558" s="236"/>
      <c r="T558" s="236"/>
      <c r="U558" s="236"/>
      <c r="V558" s="236"/>
      <c r="W558" s="237"/>
      <c r="X558" s="237"/>
      <c r="Y558" s="237"/>
      <c r="Z558" s="237"/>
      <c r="AA558" s="237"/>
      <c r="AB558" s="237"/>
      <c r="AC558" s="237"/>
      <c r="AD558" s="237"/>
      <c r="AE558" s="237"/>
      <c r="AF558" s="237"/>
      <c r="AG558" s="237"/>
      <c r="AH558" s="237"/>
      <c r="AI558" s="308"/>
      <c r="AJ558" s="308"/>
      <c r="AK558" s="308"/>
      <c r="AL558" s="308"/>
      <c r="AM558" s="98"/>
      <c r="AN558" s="98"/>
      <c r="AO558" s="98"/>
    </row>
    <row r="559" ht="14.25" customHeight="1">
      <c r="A559" s="179"/>
      <c r="B559" s="98"/>
      <c r="C559" s="98"/>
      <c r="D559" s="98"/>
      <c r="E559" s="98"/>
      <c r="F559" s="235"/>
      <c r="G559" s="235"/>
      <c r="H559" s="236"/>
      <c r="I559" s="236"/>
      <c r="J559" s="236"/>
      <c r="K559" s="236"/>
      <c r="L559" s="236"/>
      <c r="M559" s="236"/>
      <c r="N559" s="236"/>
      <c r="O559" s="236"/>
      <c r="P559" s="236"/>
      <c r="Q559" s="236"/>
      <c r="R559" s="236"/>
      <c r="S559" s="236"/>
      <c r="T559" s="236"/>
      <c r="U559" s="236"/>
      <c r="V559" s="236"/>
      <c r="W559" s="237"/>
      <c r="X559" s="237"/>
      <c r="Y559" s="237"/>
      <c r="Z559" s="237"/>
      <c r="AA559" s="237"/>
      <c r="AB559" s="237"/>
      <c r="AC559" s="237"/>
      <c r="AD559" s="237"/>
      <c r="AE559" s="237"/>
      <c r="AF559" s="237"/>
      <c r="AG559" s="237"/>
      <c r="AH559" s="237"/>
      <c r="AI559" s="308"/>
      <c r="AJ559" s="308"/>
      <c r="AK559" s="308"/>
      <c r="AL559" s="308"/>
      <c r="AM559" s="98"/>
      <c r="AN559" s="98"/>
      <c r="AO559" s="98"/>
    </row>
    <row r="560" ht="14.25" customHeight="1">
      <c r="A560" s="179"/>
      <c r="B560" s="98"/>
      <c r="C560" s="98"/>
      <c r="D560" s="98"/>
      <c r="E560" s="98"/>
      <c r="F560" s="235"/>
      <c r="G560" s="235"/>
      <c r="H560" s="236"/>
      <c r="I560" s="236"/>
      <c r="J560" s="236"/>
      <c r="K560" s="236"/>
      <c r="L560" s="236"/>
      <c r="M560" s="236"/>
      <c r="N560" s="236"/>
      <c r="O560" s="236"/>
      <c r="P560" s="236"/>
      <c r="Q560" s="236"/>
      <c r="R560" s="236"/>
      <c r="S560" s="236"/>
      <c r="T560" s="236"/>
      <c r="U560" s="236"/>
      <c r="V560" s="236"/>
      <c r="W560" s="237"/>
      <c r="X560" s="237"/>
      <c r="Y560" s="237"/>
      <c r="Z560" s="237"/>
      <c r="AA560" s="237"/>
      <c r="AB560" s="237"/>
      <c r="AC560" s="237"/>
      <c r="AD560" s="237"/>
      <c r="AE560" s="237"/>
      <c r="AF560" s="237"/>
      <c r="AG560" s="237"/>
      <c r="AH560" s="237"/>
      <c r="AI560" s="308"/>
      <c r="AJ560" s="308"/>
      <c r="AK560" s="308"/>
      <c r="AL560" s="308"/>
      <c r="AM560" s="98"/>
      <c r="AN560" s="98"/>
      <c r="AO560" s="98"/>
    </row>
    <row r="561" ht="14.25" customHeight="1">
      <c r="A561" s="179"/>
      <c r="B561" s="98"/>
      <c r="C561" s="98"/>
      <c r="D561" s="98"/>
      <c r="E561" s="98"/>
      <c r="F561" s="235"/>
      <c r="G561" s="235"/>
      <c r="H561" s="236"/>
      <c r="I561" s="236"/>
      <c r="J561" s="236"/>
      <c r="K561" s="236"/>
      <c r="L561" s="236"/>
      <c r="M561" s="236"/>
      <c r="N561" s="236"/>
      <c r="O561" s="236"/>
      <c r="P561" s="236"/>
      <c r="Q561" s="236"/>
      <c r="R561" s="236"/>
      <c r="S561" s="236"/>
      <c r="T561" s="236"/>
      <c r="U561" s="236"/>
      <c r="V561" s="236"/>
      <c r="W561" s="237"/>
      <c r="X561" s="237"/>
      <c r="Y561" s="237"/>
      <c r="Z561" s="237"/>
      <c r="AA561" s="237"/>
      <c r="AB561" s="237"/>
      <c r="AC561" s="237"/>
      <c r="AD561" s="237"/>
      <c r="AE561" s="237"/>
      <c r="AF561" s="237"/>
      <c r="AG561" s="237"/>
      <c r="AH561" s="237"/>
      <c r="AI561" s="308"/>
      <c r="AJ561" s="308"/>
      <c r="AK561" s="308"/>
      <c r="AL561" s="308"/>
      <c r="AM561" s="98"/>
      <c r="AN561" s="98"/>
      <c r="AO561" s="98"/>
    </row>
    <row r="562" ht="14.25" customHeight="1">
      <c r="A562" s="179"/>
      <c r="B562" s="98"/>
      <c r="C562" s="98"/>
      <c r="D562" s="98"/>
      <c r="E562" s="98"/>
      <c r="F562" s="235"/>
      <c r="G562" s="235"/>
      <c r="H562" s="236"/>
      <c r="I562" s="236"/>
      <c r="J562" s="236"/>
      <c r="K562" s="236"/>
      <c r="L562" s="236"/>
      <c r="M562" s="236"/>
      <c r="N562" s="236"/>
      <c r="O562" s="236"/>
      <c r="P562" s="236"/>
      <c r="Q562" s="236"/>
      <c r="R562" s="236"/>
      <c r="S562" s="236"/>
      <c r="T562" s="236"/>
      <c r="U562" s="236"/>
      <c r="V562" s="236"/>
      <c r="W562" s="237"/>
      <c r="X562" s="237"/>
      <c r="Y562" s="237"/>
      <c r="Z562" s="237"/>
      <c r="AA562" s="237"/>
      <c r="AB562" s="237"/>
      <c r="AC562" s="237"/>
      <c r="AD562" s="237"/>
      <c r="AE562" s="237"/>
      <c r="AF562" s="237"/>
      <c r="AG562" s="237"/>
      <c r="AH562" s="237"/>
      <c r="AI562" s="308"/>
      <c r="AJ562" s="308"/>
      <c r="AK562" s="308"/>
      <c r="AL562" s="308"/>
      <c r="AM562" s="98"/>
      <c r="AN562" s="98"/>
      <c r="AO562" s="98"/>
    </row>
    <row r="563" ht="14.25" customHeight="1">
      <c r="A563" s="179"/>
      <c r="B563" s="98"/>
      <c r="C563" s="98"/>
      <c r="D563" s="98"/>
      <c r="E563" s="98"/>
      <c r="F563" s="235"/>
      <c r="G563" s="235"/>
      <c r="H563" s="236"/>
      <c r="I563" s="236"/>
      <c r="J563" s="236"/>
      <c r="K563" s="236"/>
      <c r="L563" s="236"/>
      <c r="M563" s="236"/>
      <c r="N563" s="236"/>
      <c r="O563" s="236"/>
      <c r="P563" s="236"/>
      <c r="Q563" s="236"/>
      <c r="R563" s="236"/>
      <c r="S563" s="236"/>
      <c r="T563" s="236"/>
      <c r="U563" s="236"/>
      <c r="V563" s="236"/>
      <c r="W563" s="237"/>
      <c r="X563" s="237"/>
      <c r="Y563" s="237"/>
      <c r="Z563" s="237"/>
      <c r="AA563" s="237"/>
      <c r="AB563" s="237"/>
      <c r="AC563" s="237"/>
      <c r="AD563" s="237"/>
      <c r="AE563" s="237"/>
      <c r="AF563" s="237"/>
      <c r="AG563" s="237"/>
      <c r="AH563" s="237"/>
      <c r="AI563" s="308"/>
      <c r="AJ563" s="308"/>
      <c r="AK563" s="308"/>
      <c r="AL563" s="308"/>
      <c r="AM563" s="98"/>
      <c r="AN563" s="98"/>
      <c r="AO563" s="98"/>
    </row>
    <row r="564" ht="14.25" customHeight="1">
      <c r="A564" s="179"/>
      <c r="B564" s="98"/>
      <c r="C564" s="98"/>
      <c r="D564" s="98"/>
      <c r="E564" s="98"/>
      <c r="F564" s="235"/>
      <c r="G564" s="235"/>
      <c r="H564" s="236"/>
      <c r="I564" s="236"/>
      <c r="J564" s="236"/>
      <c r="K564" s="236"/>
      <c r="L564" s="236"/>
      <c r="M564" s="236"/>
      <c r="N564" s="236"/>
      <c r="O564" s="236"/>
      <c r="P564" s="236"/>
      <c r="Q564" s="236"/>
      <c r="R564" s="236"/>
      <c r="S564" s="236"/>
      <c r="T564" s="236"/>
      <c r="U564" s="236"/>
      <c r="V564" s="236"/>
      <c r="W564" s="237"/>
      <c r="X564" s="237"/>
      <c r="Y564" s="237"/>
      <c r="Z564" s="237"/>
      <c r="AA564" s="237"/>
      <c r="AB564" s="237"/>
      <c r="AC564" s="237"/>
      <c r="AD564" s="237"/>
      <c r="AE564" s="237"/>
      <c r="AF564" s="237"/>
      <c r="AG564" s="237"/>
      <c r="AH564" s="237"/>
      <c r="AI564" s="308"/>
      <c r="AJ564" s="308"/>
      <c r="AK564" s="308"/>
      <c r="AL564" s="308"/>
      <c r="AM564" s="98"/>
      <c r="AN564" s="98"/>
      <c r="AO564" s="98"/>
    </row>
    <row r="565" ht="14.25" customHeight="1">
      <c r="A565" s="179"/>
      <c r="B565" s="98"/>
      <c r="C565" s="98"/>
      <c r="D565" s="98"/>
      <c r="E565" s="98"/>
      <c r="F565" s="235"/>
      <c r="G565" s="235"/>
      <c r="H565" s="236"/>
      <c r="I565" s="236"/>
      <c r="J565" s="236"/>
      <c r="K565" s="236"/>
      <c r="L565" s="236"/>
      <c r="M565" s="236"/>
      <c r="N565" s="236"/>
      <c r="O565" s="236"/>
      <c r="P565" s="236"/>
      <c r="Q565" s="236"/>
      <c r="R565" s="236"/>
      <c r="S565" s="236"/>
      <c r="T565" s="236"/>
      <c r="U565" s="236"/>
      <c r="V565" s="236"/>
      <c r="W565" s="237"/>
      <c r="X565" s="237"/>
      <c r="Y565" s="237"/>
      <c r="Z565" s="237"/>
      <c r="AA565" s="237"/>
      <c r="AB565" s="237"/>
      <c r="AC565" s="237"/>
      <c r="AD565" s="237"/>
      <c r="AE565" s="237"/>
      <c r="AF565" s="237"/>
      <c r="AG565" s="237"/>
      <c r="AH565" s="237"/>
      <c r="AI565" s="308"/>
      <c r="AJ565" s="308"/>
      <c r="AK565" s="308"/>
      <c r="AL565" s="308"/>
      <c r="AM565" s="98"/>
      <c r="AN565" s="98"/>
      <c r="AO565" s="98"/>
    </row>
    <row r="566" ht="14.25" customHeight="1">
      <c r="A566" s="179"/>
      <c r="B566" s="98"/>
      <c r="C566" s="98"/>
      <c r="D566" s="98"/>
      <c r="E566" s="98"/>
      <c r="F566" s="235"/>
      <c r="G566" s="235"/>
      <c r="H566" s="236"/>
      <c r="I566" s="236"/>
      <c r="J566" s="236"/>
      <c r="K566" s="236"/>
      <c r="L566" s="236"/>
      <c r="M566" s="236"/>
      <c r="N566" s="236"/>
      <c r="O566" s="236"/>
      <c r="P566" s="236"/>
      <c r="Q566" s="236"/>
      <c r="R566" s="236"/>
      <c r="S566" s="236"/>
      <c r="T566" s="236"/>
      <c r="U566" s="236"/>
      <c r="V566" s="236"/>
      <c r="W566" s="237"/>
      <c r="X566" s="237"/>
      <c r="Y566" s="237"/>
      <c r="Z566" s="237"/>
      <c r="AA566" s="237"/>
      <c r="AB566" s="237"/>
      <c r="AC566" s="237"/>
      <c r="AD566" s="237"/>
      <c r="AE566" s="237"/>
      <c r="AF566" s="237"/>
      <c r="AG566" s="237"/>
      <c r="AH566" s="237"/>
      <c r="AI566" s="308"/>
      <c r="AJ566" s="308"/>
      <c r="AK566" s="308"/>
      <c r="AL566" s="308"/>
      <c r="AM566" s="98"/>
      <c r="AN566" s="98"/>
      <c r="AO566" s="98"/>
    </row>
    <row r="567" ht="14.25" customHeight="1">
      <c r="A567" s="179"/>
      <c r="B567" s="98"/>
      <c r="C567" s="98"/>
      <c r="D567" s="98"/>
      <c r="E567" s="98"/>
      <c r="F567" s="235"/>
      <c r="G567" s="235"/>
      <c r="H567" s="236"/>
      <c r="I567" s="236"/>
      <c r="J567" s="236"/>
      <c r="K567" s="236"/>
      <c r="L567" s="236"/>
      <c r="M567" s="236"/>
      <c r="N567" s="236"/>
      <c r="O567" s="236"/>
      <c r="P567" s="236"/>
      <c r="Q567" s="236"/>
      <c r="R567" s="236"/>
      <c r="S567" s="236"/>
      <c r="T567" s="236"/>
      <c r="U567" s="236"/>
      <c r="V567" s="236"/>
      <c r="W567" s="237"/>
      <c r="X567" s="237"/>
      <c r="Y567" s="237"/>
      <c r="Z567" s="237"/>
      <c r="AA567" s="237"/>
      <c r="AB567" s="237"/>
      <c r="AC567" s="237"/>
      <c r="AD567" s="237"/>
      <c r="AE567" s="237"/>
      <c r="AF567" s="237"/>
      <c r="AG567" s="237"/>
      <c r="AH567" s="237"/>
      <c r="AI567" s="308"/>
      <c r="AJ567" s="308"/>
      <c r="AK567" s="308"/>
      <c r="AL567" s="308"/>
      <c r="AM567" s="98"/>
      <c r="AN567" s="98"/>
      <c r="AO567" s="98"/>
    </row>
    <row r="568" ht="14.25" customHeight="1">
      <c r="A568" s="179"/>
      <c r="B568" s="98"/>
      <c r="C568" s="98"/>
      <c r="D568" s="98"/>
      <c r="E568" s="98"/>
      <c r="F568" s="235"/>
      <c r="G568" s="235"/>
      <c r="H568" s="236"/>
      <c r="I568" s="236"/>
      <c r="J568" s="236"/>
      <c r="K568" s="236"/>
      <c r="L568" s="236"/>
      <c r="M568" s="236"/>
      <c r="N568" s="236"/>
      <c r="O568" s="236"/>
      <c r="P568" s="236"/>
      <c r="Q568" s="236"/>
      <c r="R568" s="236"/>
      <c r="S568" s="236"/>
      <c r="T568" s="236"/>
      <c r="U568" s="236"/>
      <c r="V568" s="236"/>
      <c r="W568" s="237"/>
      <c r="X568" s="237"/>
      <c r="Y568" s="237"/>
      <c r="Z568" s="237"/>
      <c r="AA568" s="237"/>
      <c r="AB568" s="237"/>
      <c r="AC568" s="237"/>
      <c r="AD568" s="237"/>
      <c r="AE568" s="237"/>
      <c r="AF568" s="237"/>
      <c r="AG568" s="237"/>
      <c r="AH568" s="237"/>
      <c r="AI568" s="308"/>
      <c r="AJ568" s="308"/>
      <c r="AK568" s="308"/>
      <c r="AL568" s="308"/>
      <c r="AM568" s="98"/>
      <c r="AN568" s="98"/>
      <c r="AO568" s="98"/>
    </row>
    <row r="569" ht="14.25" customHeight="1">
      <c r="A569" s="179"/>
      <c r="B569" s="98"/>
      <c r="C569" s="98"/>
      <c r="D569" s="98"/>
      <c r="E569" s="98"/>
      <c r="F569" s="235"/>
      <c r="G569" s="235"/>
      <c r="H569" s="236"/>
      <c r="I569" s="236"/>
      <c r="J569" s="236"/>
      <c r="K569" s="236"/>
      <c r="L569" s="236"/>
      <c r="M569" s="236"/>
      <c r="N569" s="236"/>
      <c r="O569" s="236"/>
      <c r="P569" s="236"/>
      <c r="Q569" s="236"/>
      <c r="R569" s="236"/>
      <c r="S569" s="236"/>
      <c r="T569" s="236"/>
      <c r="U569" s="236"/>
      <c r="V569" s="236"/>
      <c r="W569" s="237"/>
      <c r="X569" s="237"/>
      <c r="Y569" s="237"/>
      <c r="Z569" s="237"/>
      <c r="AA569" s="237"/>
      <c r="AB569" s="237"/>
      <c r="AC569" s="237"/>
      <c r="AD569" s="237"/>
      <c r="AE569" s="237"/>
      <c r="AF569" s="237"/>
      <c r="AG569" s="237"/>
      <c r="AH569" s="237"/>
      <c r="AI569" s="308"/>
      <c r="AJ569" s="308"/>
      <c r="AK569" s="308"/>
      <c r="AL569" s="308"/>
      <c r="AM569" s="98"/>
      <c r="AN569" s="98"/>
      <c r="AO569" s="98"/>
    </row>
    <row r="570" ht="14.25" customHeight="1">
      <c r="A570" s="179"/>
      <c r="B570" s="98"/>
      <c r="C570" s="98"/>
      <c r="D570" s="98"/>
      <c r="E570" s="98"/>
      <c r="F570" s="235"/>
      <c r="G570" s="235"/>
      <c r="H570" s="236"/>
      <c r="I570" s="236"/>
      <c r="J570" s="236"/>
      <c r="K570" s="236"/>
      <c r="L570" s="236"/>
      <c r="M570" s="236"/>
      <c r="N570" s="236"/>
      <c r="O570" s="236"/>
      <c r="P570" s="236"/>
      <c r="Q570" s="236"/>
      <c r="R570" s="236"/>
      <c r="S570" s="236"/>
      <c r="T570" s="236"/>
      <c r="U570" s="236"/>
      <c r="V570" s="236"/>
      <c r="W570" s="237"/>
      <c r="X570" s="237"/>
      <c r="Y570" s="237"/>
      <c r="Z570" s="237"/>
      <c r="AA570" s="237"/>
      <c r="AB570" s="237"/>
      <c r="AC570" s="237"/>
      <c r="AD570" s="237"/>
      <c r="AE570" s="237"/>
      <c r="AF570" s="237"/>
      <c r="AG570" s="237"/>
      <c r="AH570" s="237"/>
      <c r="AI570" s="308"/>
      <c r="AJ570" s="308"/>
      <c r="AK570" s="308"/>
      <c r="AL570" s="308"/>
      <c r="AM570" s="98"/>
      <c r="AN570" s="98"/>
      <c r="AO570" s="98"/>
    </row>
    <row r="571" ht="14.25" customHeight="1">
      <c r="A571" s="179"/>
      <c r="B571" s="98"/>
      <c r="C571" s="98"/>
      <c r="D571" s="98"/>
      <c r="E571" s="98"/>
      <c r="F571" s="235"/>
      <c r="G571" s="235"/>
      <c r="H571" s="236"/>
      <c r="I571" s="236"/>
      <c r="J571" s="236"/>
      <c r="K571" s="236"/>
      <c r="L571" s="236"/>
      <c r="M571" s="236"/>
      <c r="N571" s="236"/>
      <c r="O571" s="236"/>
      <c r="P571" s="236"/>
      <c r="Q571" s="236"/>
      <c r="R571" s="236"/>
      <c r="S571" s="236"/>
      <c r="T571" s="236"/>
      <c r="U571" s="236"/>
      <c r="V571" s="236"/>
      <c r="W571" s="237"/>
      <c r="X571" s="237"/>
      <c r="Y571" s="237"/>
      <c r="Z571" s="237"/>
      <c r="AA571" s="237"/>
      <c r="AB571" s="237"/>
      <c r="AC571" s="237"/>
      <c r="AD571" s="237"/>
      <c r="AE571" s="237"/>
      <c r="AF571" s="237"/>
      <c r="AG571" s="237"/>
      <c r="AH571" s="237"/>
      <c r="AI571" s="308"/>
      <c r="AJ571" s="308"/>
      <c r="AK571" s="308"/>
      <c r="AL571" s="308"/>
      <c r="AM571" s="98"/>
      <c r="AN571" s="98"/>
      <c r="AO571" s="98"/>
    </row>
    <row r="572" ht="14.25" customHeight="1">
      <c r="A572" s="179"/>
      <c r="B572" s="98"/>
      <c r="C572" s="98"/>
      <c r="D572" s="98"/>
      <c r="E572" s="98"/>
      <c r="F572" s="235"/>
      <c r="G572" s="235"/>
      <c r="H572" s="236"/>
      <c r="I572" s="236"/>
      <c r="J572" s="236"/>
      <c r="K572" s="236"/>
      <c r="L572" s="236"/>
      <c r="M572" s="236"/>
      <c r="N572" s="236"/>
      <c r="O572" s="236"/>
      <c r="P572" s="236"/>
      <c r="Q572" s="236"/>
      <c r="R572" s="236"/>
      <c r="S572" s="236"/>
      <c r="T572" s="236"/>
      <c r="U572" s="236"/>
      <c r="V572" s="236"/>
      <c r="W572" s="237"/>
      <c r="X572" s="237"/>
      <c r="Y572" s="237"/>
      <c r="Z572" s="237"/>
      <c r="AA572" s="237"/>
      <c r="AB572" s="237"/>
      <c r="AC572" s="237"/>
      <c r="AD572" s="237"/>
      <c r="AE572" s="237"/>
      <c r="AF572" s="237"/>
      <c r="AG572" s="237"/>
      <c r="AH572" s="237"/>
      <c r="AI572" s="308"/>
      <c r="AJ572" s="308"/>
      <c r="AK572" s="308"/>
      <c r="AL572" s="308"/>
      <c r="AM572" s="98"/>
      <c r="AN572" s="98"/>
      <c r="AO572" s="98"/>
    </row>
    <row r="573" ht="14.25" customHeight="1">
      <c r="A573" s="179"/>
      <c r="B573" s="98"/>
      <c r="C573" s="98"/>
      <c r="D573" s="98"/>
      <c r="E573" s="98"/>
      <c r="F573" s="235"/>
      <c r="G573" s="235"/>
      <c r="H573" s="236"/>
      <c r="I573" s="236"/>
      <c r="J573" s="236"/>
      <c r="K573" s="236"/>
      <c r="L573" s="236"/>
      <c r="M573" s="236"/>
      <c r="N573" s="236"/>
      <c r="O573" s="236"/>
      <c r="P573" s="236"/>
      <c r="Q573" s="236"/>
      <c r="R573" s="236"/>
      <c r="S573" s="236"/>
      <c r="T573" s="236"/>
      <c r="U573" s="236"/>
      <c r="V573" s="236"/>
      <c r="W573" s="237"/>
      <c r="X573" s="237"/>
      <c r="Y573" s="237"/>
      <c r="Z573" s="237"/>
      <c r="AA573" s="237"/>
      <c r="AB573" s="237"/>
      <c r="AC573" s="237"/>
      <c r="AD573" s="237"/>
      <c r="AE573" s="237"/>
      <c r="AF573" s="237"/>
      <c r="AG573" s="237"/>
      <c r="AH573" s="237"/>
      <c r="AI573" s="308"/>
      <c r="AJ573" s="308"/>
      <c r="AK573" s="308"/>
      <c r="AL573" s="308"/>
      <c r="AM573" s="98"/>
      <c r="AN573" s="98"/>
      <c r="AO573" s="98"/>
    </row>
    <row r="574" ht="14.25" customHeight="1">
      <c r="A574" s="179"/>
      <c r="B574" s="98"/>
      <c r="C574" s="98"/>
      <c r="D574" s="98"/>
      <c r="E574" s="98"/>
      <c r="F574" s="235"/>
      <c r="G574" s="235"/>
      <c r="H574" s="236"/>
      <c r="I574" s="236"/>
      <c r="J574" s="236"/>
      <c r="K574" s="236"/>
      <c r="L574" s="236"/>
      <c r="M574" s="236"/>
      <c r="N574" s="236"/>
      <c r="O574" s="236"/>
      <c r="P574" s="236"/>
      <c r="Q574" s="236"/>
      <c r="R574" s="236"/>
      <c r="S574" s="236"/>
      <c r="T574" s="236"/>
      <c r="U574" s="236"/>
      <c r="V574" s="236"/>
      <c r="W574" s="237"/>
      <c r="X574" s="237"/>
      <c r="Y574" s="237"/>
      <c r="Z574" s="237"/>
      <c r="AA574" s="237"/>
      <c r="AB574" s="237"/>
      <c r="AC574" s="237"/>
      <c r="AD574" s="237"/>
      <c r="AE574" s="237"/>
      <c r="AF574" s="237"/>
      <c r="AG574" s="237"/>
      <c r="AH574" s="237"/>
      <c r="AI574" s="308"/>
      <c r="AJ574" s="308"/>
      <c r="AK574" s="308"/>
      <c r="AL574" s="308"/>
      <c r="AM574" s="98"/>
      <c r="AN574" s="98"/>
      <c r="AO574" s="98"/>
    </row>
    <row r="575" ht="14.25" customHeight="1">
      <c r="A575" s="179"/>
      <c r="B575" s="98"/>
      <c r="C575" s="98"/>
      <c r="D575" s="98"/>
      <c r="E575" s="98"/>
      <c r="F575" s="235"/>
      <c r="G575" s="235"/>
      <c r="H575" s="236"/>
      <c r="I575" s="236"/>
      <c r="J575" s="236"/>
      <c r="K575" s="236"/>
      <c r="L575" s="236"/>
      <c r="M575" s="236"/>
      <c r="N575" s="236"/>
      <c r="O575" s="236"/>
      <c r="P575" s="236"/>
      <c r="Q575" s="236"/>
      <c r="R575" s="236"/>
      <c r="S575" s="236"/>
      <c r="T575" s="236"/>
      <c r="U575" s="236"/>
      <c r="V575" s="236"/>
      <c r="W575" s="237"/>
      <c r="X575" s="237"/>
      <c r="Y575" s="237"/>
      <c r="Z575" s="237"/>
      <c r="AA575" s="237"/>
      <c r="AB575" s="237"/>
      <c r="AC575" s="237"/>
      <c r="AD575" s="237"/>
      <c r="AE575" s="237"/>
      <c r="AF575" s="237"/>
      <c r="AG575" s="237"/>
      <c r="AH575" s="237"/>
      <c r="AI575" s="308"/>
      <c r="AJ575" s="308"/>
      <c r="AK575" s="308"/>
      <c r="AL575" s="308"/>
      <c r="AM575" s="98"/>
      <c r="AN575" s="98"/>
      <c r="AO575" s="98"/>
    </row>
    <row r="576" ht="14.25" customHeight="1">
      <c r="A576" s="179"/>
      <c r="B576" s="98"/>
      <c r="C576" s="98"/>
      <c r="D576" s="98"/>
      <c r="E576" s="98"/>
      <c r="F576" s="235"/>
      <c r="G576" s="235"/>
      <c r="H576" s="236"/>
      <c r="I576" s="236"/>
      <c r="J576" s="236"/>
      <c r="K576" s="236"/>
      <c r="L576" s="236"/>
      <c r="M576" s="236"/>
      <c r="N576" s="236"/>
      <c r="O576" s="236"/>
      <c r="P576" s="236"/>
      <c r="Q576" s="236"/>
      <c r="R576" s="236"/>
      <c r="S576" s="236"/>
      <c r="T576" s="236"/>
      <c r="U576" s="236"/>
      <c r="V576" s="236"/>
      <c r="W576" s="237"/>
      <c r="X576" s="237"/>
      <c r="Y576" s="237"/>
      <c r="Z576" s="237"/>
      <c r="AA576" s="237"/>
      <c r="AB576" s="237"/>
      <c r="AC576" s="237"/>
      <c r="AD576" s="237"/>
      <c r="AE576" s="237"/>
      <c r="AF576" s="237"/>
      <c r="AG576" s="237"/>
      <c r="AH576" s="237"/>
      <c r="AI576" s="308"/>
      <c r="AJ576" s="308"/>
      <c r="AK576" s="308"/>
      <c r="AL576" s="308"/>
      <c r="AM576" s="98"/>
      <c r="AN576" s="98"/>
      <c r="AO576" s="98"/>
    </row>
    <row r="577" ht="14.25" customHeight="1">
      <c r="A577" s="179"/>
      <c r="B577" s="98"/>
      <c r="C577" s="98"/>
      <c r="D577" s="98"/>
      <c r="E577" s="98"/>
      <c r="F577" s="235"/>
      <c r="G577" s="235"/>
      <c r="H577" s="236"/>
      <c r="I577" s="236"/>
      <c r="J577" s="236"/>
      <c r="K577" s="236"/>
      <c r="L577" s="236"/>
      <c r="M577" s="236"/>
      <c r="N577" s="236"/>
      <c r="O577" s="236"/>
      <c r="P577" s="236"/>
      <c r="Q577" s="236"/>
      <c r="R577" s="236"/>
      <c r="S577" s="236"/>
      <c r="T577" s="236"/>
      <c r="U577" s="236"/>
      <c r="V577" s="236"/>
      <c r="W577" s="237"/>
      <c r="X577" s="237"/>
      <c r="Y577" s="237"/>
      <c r="Z577" s="237"/>
      <c r="AA577" s="237"/>
      <c r="AB577" s="237"/>
      <c r="AC577" s="237"/>
      <c r="AD577" s="237"/>
      <c r="AE577" s="237"/>
      <c r="AF577" s="237"/>
      <c r="AG577" s="237"/>
      <c r="AH577" s="237"/>
      <c r="AI577" s="308"/>
      <c r="AJ577" s="308"/>
      <c r="AK577" s="308"/>
      <c r="AL577" s="308"/>
      <c r="AM577" s="98"/>
      <c r="AN577" s="98"/>
      <c r="AO577" s="98"/>
    </row>
    <row r="578" ht="14.25" customHeight="1">
      <c r="A578" s="179"/>
      <c r="B578" s="98"/>
      <c r="C578" s="98"/>
      <c r="D578" s="98"/>
      <c r="E578" s="98"/>
      <c r="F578" s="235"/>
      <c r="G578" s="235"/>
      <c r="H578" s="236"/>
      <c r="I578" s="236"/>
      <c r="J578" s="236"/>
      <c r="K578" s="236"/>
      <c r="L578" s="236"/>
      <c r="M578" s="236"/>
      <c r="N578" s="236"/>
      <c r="O578" s="236"/>
      <c r="P578" s="236"/>
      <c r="Q578" s="236"/>
      <c r="R578" s="236"/>
      <c r="S578" s="236"/>
      <c r="T578" s="236"/>
      <c r="U578" s="236"/>
      <c r="V578" s="236"/>
      <c r="W578" s="237"/>
      <c r="X578" s="237"/>
      <c r="Y578" s="237"/>
      <c r="Z578" s="237"/>
      <c r="AA578" s="237"/>
      <c r="AB578" s="237"/>
      <c r="AC578" s="237"/>
      <c r="AD578" s="237"/>
      <c r="AE578" s="237"/>
      <c r="AF578" s="237"/>
      <c r="AG578" s="237"/>
      <c r="AH578" s="237"/>
      <c r="AI578" s="308"/>
      <c r="AJ578" s="308"/>
      <c r="AK578" s="308"/>
      <c r="AL578" s="308"/>
      <c r="AM578" s="98"/>
      <c r="AN578" s="98"/>
      <c r="AO578" s="98"/>
    </row>
    <row r="579" ht="14.25" customHeight="1">
      <c r="A579" s="179"/>
      <c r="B579" s="98"/>
      <c r="C579" s="98"/>
      <c r="D579" s="98"/>
      <c r="E579" s="98"/>
      <c r="F579" s="235"/>
      <c r="G579" s="235"/>
      <c r="H579" s="236"/>
      <c r="I579" s="236"/>
      <c r="J579" s="236"/>
      <c r="K579" s="236"/>
      <c r="L579" s="236"/>
      <c r="M579" s="236"/>
      <c r="N579" s="236"/>
      <c r="O579" s="236"/>
      <c r="P579" s="236"/>
      <c r="Q579" s="236"/>
      <c r="R579" s="236"/>
      <c r="S579" s="236"/>
      <c r="T579" s="236"/>
      <c r="U579" s="236"/>
      <c r="V579" s="236"/>
      <c r="W579" s="237"/>
      <c r="X579" s="237"/>
      <c r="Y579" s="237"/>
      <c r="Z579" s="237"/>
      <c r="AA579" s="237"/>
      <c r="AB579" s="237"/>
      <c r="AC579" s="237"/>
      <c r="AD579" s="237"/>
      <c r="AE579" s="237"/>
      <c r="AF579" s="237"/>
      <c r="AG579" s="237"/>
      <c r="AH579" s="237"/>
      <c r="AI579" s="308"/>
      <c r="AJ579" s="308"/>
      <c r="AK579" s="308"/>
      <c r="AL579" s="308"/>
      <c r="AM579" s="98"/>
      <c r="AN579" s="98"/>
      <c r="AO579" s="98"/>
    </row>
    <row r="580" ht="14.25" customHeight="1">
      <c r="A580" s="179"/>
      <c r="B580" s="98"/>
      <c r="C580" s="98"/>
      <c r="D580" s="98"/>
      <c r="E580" s="98"/>
      <c r="F580" s="235"/>
      <c r="G580" s="235"/>
      <c r="H580" s="236"/>
      <c r="I580" s="236"/>
      <c r="J580" s="236"/>
      <c r="K580" s="236"/>
      <c r="L580" s="236"/>
      <c r="M580" s="236"/>
      <c r="N580" s="236"/>
      <c r="O580" s="236"/>
      <c r="P580" s="236"/>
      <c r="Q580" s="236"/>
      <c r="R580" s="236"/>
      <c r="S580" s="236"/>
      <c r="T580" s="236"/>
      <c r="U580" s="236"/>
      <c r="V580" s="236"/>
      <c r="W580" s="237"/>
      <c r="X580" s="237"/>
      <c r="Y580" s="237"/>
      <c r="Z580" s="237"/>
      <c r="AA580" s="237"/>
      <c r="AB580" s="237"/>
      <c r="AC580" s="237"/>
      <c r="AD580" s="237"/>
      <c r="AE580" s="237"/>
      <c r="AF580" s="237"/>
      <c r="AG580" s="237"/>
      <c r="AH580" s="237"/>
      <c r="AI580" s="308"/>
      <c r="AJ580" s="308"/>
      <c r="AK580" s="308"/>
      <c r="AL580" s="308"/>
      <c r="AM580" s="98"/>
      <c r="AN580" s="98"/>
      <c r="AO580" s="98"/>
    </row>
    <row r="581" ht="14.25" customHeight="1">
      <c r="A581" s="179"/>
      <c r="B581" s="98"/>
      <c r="C581" s="98"/>
      <c r="D581" s="98"/>
      <c r="E581" s="98"/>
      <c r="F581" s="235"/>
      <c r="G581" s="235"/>
      <c r="H581" s="236"/>
      <c r="I581" s="236"/>
      <c r="J581" s="236"/>
      <c r="K581" s="236"/>
      <c r="L581" s="236"/>
      <c r="M581" s="236"/>
      <c r="N581" s="236"/>
      <c r="O581" s="236"/>
      <c r="P581" s="236"/>
      <c r="Q581" s="236"/>
      <c r="R581" s="236"/>
      <c r="S581" s="236"/>
      <c r="T581" s="236"/>
      <c r="U581" s="236"/>
      <c r="V581" s="236"/>
      <c r="W581" s="237"/>
      <c r="X581" s="237"/>
      <c r="Y581" s="237"/>
      <c r="Z581" s="237"/>
      <c r="AA581" s="237"/>
      <c r="AB581" s="237"/>
      <c r="AC581" s="237"/>
      <c r="AD581" s="237"/>
      <c r="AE581" s="237"/>
      <c r="AF581" s="237"/>
      <c r="AG581" s="237"/>
      <c r="AH581" s="237"/>
      <c r="AI581" s="308"/>
      <c r="AJ581" s="308"/>
      <c r="AK581" s="308"/>
      <c r="AL581" s="308"/>
      <c r="AM581" s="98"/>
      <c r="AN581" s="98"/>
      <c r="AO581" s="98"/>
    </row>
    <row r="582" ht="14.25" customHeight="1">
      <c r="A582" s="179"/>
      <c r="B582" s="98"/>
      <c r="C582" s="98"/>
      <c r="D582" s="98"/>
      <c r="E582" s="98"/>
      <c r="F582" s="235"/>
      <c r="G582" s="235"/>
      <c r="H582" s="236"/>
      <c r="I582" s="236"/>
      <c r="J582" s="236"/>
      <c r="K582" s="236"/>
      <c r="L582" s="236"/>
      <c r="M582" s="236"/>
      <c r="N582" s="236"/>
      <c r="O582" s="236"/>
      <c r="P582" s="236"/>
      <c r="Q582" s="236"/>
      <c r="R582" s="236"/>
      <c r="S582" s="236"/>
      <c r="T582" s="236"/>
      <c r="U582" s="236"/>
      <c r="V582" s="236"/>
      <c r="W582" s="237"/>
      <c r="X582" s="237"/>
      <c r="Y582" s="237"/>
      <c r="Z582" s="237"/>
      <c r="AA582" s="237"/>
      <c r="AB582" s="237"/>
      <c r="AC582" s="237"/>
      <c r="AD582" s="237"/>
      <c r="AE582" s="237"/>
      <c r="AF582" s="237"/>
      <c r="AG582" s="237"/>
      <c r="AH582" s="237"/>
      <c r="AI582" s="308"/>
      <c r="AJ582" s="308"/>
      <c r="AK582" s="308"/>
      <c r="AL582" s="308"/>
      <c r="AM582" s="98"/>
      <c r="AN582" s="98"/>
      <c r="AO582" s="98"/>
    </row>
    <row r="583" ht="14.25" customHeight="1">
      <c r="A583" s="179"/>
      <c r="B583" s="98"/>
      <c r="C583" s="98"/>
      <c r="D583" s="98"/>
      <c r="E583" s="98"/>
      <c r="F583" s="235"/>
      <c r="G583" s="235"/>
      <c r="H583" s="236"/>
      <c r="I583" s="236"/>
      <c r="J583" s="236"/>
      <c r="K583" s="236"/>
      <c r="L583" s="236"/>
      <c r="M583" s="236"/>
      <c r="N583" s="236"/>
      <c r="O583" s="236"/>
      <c r="P583" s="236"/>
      <c r="Q583" s="236"/>
      <c r="R583" s="236"/>
      <c r="S583" s="236"/>
      <c r="T583" s="236"/>
      <c r="U583" s="236"/>
      <c r="V583" s="236"/>
      <c r="W583" s="237"/>
      <c r="X583" s="237"/>
      <c r="Y583" s="237"/>
      <c r="Z583" s="237"/>
      <c r="AA583" s="237"/>
      <c r="AB583" s="237"/>
      <c r="AC583" s="237"/>
      <c r="AD583" s="237"/>
      <c r="AE583" s="237"/>
      <c r="AF583" s="237"/>
      <c r="AG583" s="237"/>
      <c r="AH583" s="237"/>
      <c r="AI583" s="308"/>
      <c r="AJ583" s="308"/>
      <c r="AK583" s="308"/>
      <c r="AL583" s="308"/>
      <c r="AM583" s="98"/>
      <c r="AN583" s="98"/>
      <c r="AO583" s="98"/>
    </row>
    <row r="584" ht="14.25" customHeight="1">
      <c r="A584" s="179"/>
      <c r="B584" s="98"/>
      <c r="C584" s="98"/>
      <c r="D584" s="98"/>
      <c r="E584" s="98"/>
      <c r="F584" s="235"/>
      <c r="G584" s="235"/>
      <c r="H584" s="236"/>
      <c r="I584" s="236"/>
      <c r="J584" s="236"/>
      <c r="K584" s="236"/>
      <c r="L584" s="236"/>
      <c r="M584" s="236"/>
      <c r="N584" s="236"/>
      <c r="O584" s="236"/>
      <c r="P584" s="236"/>
      <c r="Q584" s="236"/>
      <c r="R584" s="236"/>
      <c r="S584" s="236"/>
      <c r="T584" s="236"/>
      <c r="U584" s="236"/>
      <c r="V584" s="236"/>
      <c r="W584" s="237"/>
      <c r="X584" s="237"/>
      <c r="Y584" s="237"/>
      <c r="Z584" s="237"/>
      <c r="AA584" s="237"/>
      <c r="AB584" s="237"/>
      <c r="AC584" s="237"/>
      <c r="AD584" s="237"/>
      <c r="AE584" s="237"/>
      <c r="AF584" s="237"/>
      <c r="AG584" s="237"/>
      <c r="AH584" s="237"/>
      <c r="AI584" s="308"/>
      <c r="AJ584" s="308"/>
      <c r="AK584" s="308"/>
      <c r="AL584" s="308"/>
      <c r="AM584" s="98"/>
      <c r="AN584" s="98"/>
      <c r="AO584" s="98"/>
    </row>
    <row r="585" ht="14.25" customHeight="1">
      <c r="A585" s="179"/>
      <c r="B585" s="98"/>
      <c r="C585" s="98"/>
      <c r="D585" s="98"/>
      <c r="E585" s="98"/>
      <c r="F585" s="235"/>
      <c r="G585" s="235"/>
      <c r="H585" s="236"/>
      <c r="I585" s="236"/>
      <c r="J585" s="236"/>
      <c r="K585" s="236"/>
      <c r="L585" s="236"/>
      <c r="M585" s="236"/>
      <c r="N585" s="236"/>
      <c r="O585" s="236"/>
      <c r="P585" s="236"/>
      <c r="Q585" s="236"/>
      <c r="R585" s="236"/>
      <c r="S585" s="236"/>
      <c r="T585" s="236"/>
      <c r="U585" s="236"/>
      <c r="V585" s="236"/>
      <c r="W585" s="237"/>
      <c r="X585" s="237"/>
      <c r="Y585" s="237"/>
      <c r="Z585" s="237"/>
      <c r="AA585" s="237"/>
      <c r="AB585" s="237"/>
      <c r="AC585" s="237"/>
      <c r="AD585" s="237"/>
      <c r="AE585" s="237"/>
      <c r="AF585" s="237"/>
      <c r="AG585" s="237"/>
      <c r="AH585" s="237"/>
      <c r="AI585" s="308"/>
      <c r="AJ585" s="308"/>
      <c r="AK585" s="308"/>
      <c r="AL585" s="308"/>
      <c r="AM585" s="98"/>
      <c r="AN585" s="98"/>
      <c r="AO585" s="98"/>
    </row>
    <row r="586" ht="14.25" customHeight="1">
      <c r="A586" s="179"/>
      <c r="B586" s="98"/>
      <c r="C586" s="98"/>
      <c r="D586" s="98"/>
      <c r="E586" s="98"/>
      <c r="F586" s="235"/>
      <c r="G586" s="235"/>
      <c r="H586" s="236"/>
      <c r="I586" s="236"/>
      <c r="J586" s="236"/>
      <c r="K586" s="236"/>
      <c r="L586" s="236"/>
      <c r="M586" s="236"/>
      <c r="N586" s="236"/>
      <c r="O586" s="236"/>
      <c r="P586" s="236"/>
      <c r="Q586" s="236"/>
      <c r="R586" s="236"/>
      <c r="S586" s="236"/>
      <c r="T586" s="236"/>
      <c r="U586" s="236"/>
      <c r="V586" s="236"/>
      <c r="W586" s="237"/>
      <c r="X586" s="237"/>
      <c r="Y586" s="237"/>
      <c r="Z586" s="237"/>
      <c r="AA586" s="237"/>
      <c r="AB586" s="237"/>
      <c r="AC586" s="237"/>
      <c r="AD586" s="237"/>
      <c r="AE586" s="237"/>
      <c r="AF586" s="237"/>
      <c r="AG586" s="237"/>
      <c r="AH586" s="237"/>
      <c r="AI586" s="308"/>
      <c r="AJ586" s="308"/>
      <c r="AK586" s="308"/>
      <c r="AL586" s="308"/>
      <c r="AM586" s="98"/>
      <c r="AN586" s="98"/>
      <c r="AO586" s="98"/>
    </row>
    <row r="587" ht="14.25" customHeight="1">
      <c r="A587" s="179"/>
      <c r="B587" s="98"/>
      <c r="C587" s="98"/>
      <c r="D587" s="98"/>
      <c r="E587" s="98"/>
      <c r="F587" s="235"/>
      <c r="G587" s="235"/>
      <c r="H587" s="236"/>
      <c r="I587" s="236"/>
      <c r="J587" s="236"/>
      <c r="K587" s="236"/>
      <c r="L587" s="236"/>
      <c r="M587" s="236"/>
      <c r="N587" s="236"/>
      <c r="O587" s="236"/>
      <c r="P587" s="236"/>
      <c r="Q587" s="236"/>
      <c r="R587" s="236"/>
      <c r="S587" s="236"/>
      <c r="T587" s="236"/>
      <c r="U587" s="236"/>
      <c r="V587" s="236"/>
      <c r="W587" s="237"/>
      <c r="X587" s="237"/>
      <c r="Y587" s="237"/>
      <c r="Z587" s="237"/>
      <c r="AA587" s="237"/>
      <c r="AB587" s="237"/>
      <c r="AC587" s="237"/>
      <c r="AD587" s="237"/>
      <c r="AE587" s="237"/>
      <c r="AF587" s="237"/>
      <c r="AG587" s="237"/>
      <c r="AH587" s="237"/>
      <c r="AI587" s="308"/>
      <c r="AJ587" s="308"/>
      <c r="AK587" s="308"/>
      <c r="AL587" s="308"/>
      <c r="AM587" s="98"/>
      <c r="AN587" s="98"/>
      <c r="AO587" s="98"/>
    </row>
    <row r="588" ht="14.25" customHeight="1">
      <c r="A588" s="179"/>
      <c r="B588" s="98"/>
      <c r="C588" s="98"/>
      <c r="D588" s="98"/>
      <c r="E588" s="98"/>
      <c r="F588" s="235"/>
      <c r="G588" s="235"/>
      <c r="H588" s="236"/>
      <c r="I588" s="236"/>
      <c r="J588" s="236"/>
      <c r="K588" s="236"/>
      <c r="L588" s="236"/>
      <c r="M588" s="236"/>
      <c r="N588" s="236"/>
      <c r="O588" s="236"/>
      <c r="P588" s="236"/>
      <c r="Q588" s="236"/>
      <c r="R588" s="236"/>
      <c r="S588" s="236"/>
      <c r="T588" s="236"/>
      <c r="U588" s="236"/>
      <c r="V588" s="236"/>
      <c r="W588" s="237"/>
      <c r="X588" s="237"/>
      <c r="Y588" s="237"/>
      <c r="Z588" s="237"/>
      <c r="AA588" s="237"/>
      <c r="AB588" s="237"/>
      <c r="AC588" s="237"/>
      <c r="AD588" s="237"/>
      <c r="AE588" s="237"/>
      <c r="AF588" s="237"/>
      <c r="AG588" s="237"/>
      <c r="AH588" s="237"/>
      <c r="AI588" s="308"/>
      <c r="AJ588" s="308"/>
      <c r="AK588" s="308"/>
      <c r="AL588" s="308"/>
      <c r="AM588" s="98"/>
      <c r="AN588" s="98"/>
      <c r="AO588" s="98"/>
    </row>
    <row r="589" ht="14.25" customHeight="1">
      <c r="A589" s="179"/>
      <c r="B589" s="98"/>
      <c r="C589" s="98"/>
      <c r="D589" s="98"/>
      <c r="E589" s="98"/>
      <c r="F589" s="235"/>
      <c r="G589" s="235"/>
      <c r="H589" s="236"/>
      <c r="I589" s="236"/>
      <c r="J589" s="236"/>
      <c r="K589" s="236"/>
      <c r="L589" s="236"/>
      <c r="M589" s="236"/>
      <c r="N589" s="236"/>
      <c r="O589" s="236"/>
      <c r="P589" s="236"/>
      <c r="Q589" s="236"/>
      <c r="R589" s="236"/>
      <c r="S589" s="236"/>
      <c r="T589" s="236"/>
      <c r="U589" s="236"/>
      <c r="V589" s="236"/>
      <c r="W589" s="237"/>
      <c r="X589" s="237"/>
      <c r="Y589" s="237"/>
      <c r="Z589" s="237"/>
      <c r="AA589" s="237"/>
      <c r="AB589" s="237"/>
      <c r="AC589" s="237"/>
      <c r="AD589" s="237"/>
      <c r="AE589" s="237"/>
      <c r="AF589" s="237"/>
      <c r="AG589" s="237"/>
      <c r="AH589" s="237"/>
      <c r="AI589" s="308"/>
      <c r="AJ589" s="308"/>
      <c r="AK589" s="308"/>
      <c r="AL589" s="308"/>
      <c r="AM589" s="98"/>
      <c r="AN589" s="98"/>
      <c r="AO589" s="98"/>
    </row>
    <row r="590" ht="14.25" customHeight="1">
      <c r="A590" s="179"/>
      <c r="B590" s="98"/>
      <c r="C590" s="98"/>
      <c r="D590" s="98"/>
      <c r="E590" s="98"/>
      <c r="F590" s="235"/>
      <c r="G590" s="235"/>
      <c r="H590" s="236"/>
      <c r="I590" s="236"/>
      <c r="J590" s="236"/>
      <c r="K590" s="236"/>
      <c r="L590" s="236"/>
      <c r="M590" s="236"/>
      <c r="N590" s="236"/>
      <c r="O590" s="236"/>
      <c r="P590" s="236"/>
      <c r="Q590" s="236"/>
      <c r="R590" s="236"/>
      <c r="S590" s="236"/>
      <c r="T590" s="236"/>
      <c r="U590" s="236"/>
      <c r="V590" s="236"/>
      <c r="W590" s="237"/>
      <c r="X590" s="237"/>
      <c r="Y590" s="237"/>
      <c r="Z590" s="237"/>
      <c r="AA590" s="237"/>
      <c r="AB590" s="237"/>
      <c r="AC590" s="237"/>
      <c r="AD590" s="237"/>
      <c r="AE590" s="237"/>
      <c r="AF590" s="237"/>
      <c r="AG590" s="237"/>
      <c r="AH590" s="237"/>
      <c r="AI590" s="308"/>
      <c r="AJ590" s="308"/>
      <c r="AK590" s="308"/>
      <c r="AL590" s="308"/>
      <c r="AM590" s="98"/>
      <c r="AN590" s="98"/>
      <c r="AO590" s="98"/>
    </row>
    <row r="591" ht="14.25" customHeight="1">
      <c r="A591" s="179"/>
      <c r="B591" s="98"/>
      <c r="C591" s="98"/>
      <c r="D591" s="98"/>
      <c r="E591" s="98"/>
      <c r="F591" s="235"/>
      <c r="G591" s="235"/>
      <c r="H591" s="236"/>
      <c r="I591" s="236"/>
      <c r="J591" s="236"/>
      <c r="K591" s="236"/>
      <c r="L591" s="236"/>
      <c r="M591" s="236"/>
      <c r="N591" s="236"/>
      <c r="O591" s="236"/>
      <c r="P591" s="236"/>
      <c r="Q591" s="236"/>
      <c r="R591" s="236"/>
      <c r="S591" s="236"/>
      <c r="T591" s="236"/>
      <c r="U591" s="236"/>
      <c r="V591" s="236"/>
      <c r="W591" s="237"/>
      <c r="X591" s="237"/>
      <c r="Y591" s="237"/>
      <c r="Z591" s="237"/>
      <c r="AA591" s="237"/>
      <c r="AB591" s="237"/>
      <c r="AC591" s="237"/>
      <c r="AD591" s="237"/>
      <c r="AE591" s="237"/>
      <c r="AF591" s="237"/>
      <c r="AG591" s="237"/>
      <c r="AH591" s="237"/>
      <c r="AI591" s="308"/>
      <c r="AJ591" s="308"/>
      <c r="AK591" s="308"/>
      <c r="AL591" s="308"/>
      <c r="AM591" s="98"/>
      <c r="AN591" s="98"/>
      <c r="AO591" s="98"/>
    </row>
    <row r="592" ht="14.25" customHeight="1">
      <c r="A592" s="179"/>
      <c r="B592" s="98"/>
      <c r="C592" s="98"/>
      <c r="D592" s="98"/>
      <c r="E592" s="98"/>
      <c r="F592" s="235"/>
      <c r="G592" s="235"/>
      <c r="H592" s="236"/>
      <c r="I592" s="236"/>
      <c r="J592" s="236"/>
      <c r="K592" s="236"/>
      <c r="L592" s="236"/>
      <c r="M592" s="236"/>
      <c r="N592" s="236"/>
      <c r="O592" s="236"/>
      <c r="P592" s="236"/>
      <c r="Q592" s="236"/>
      <c r="R592" s="236"/>
      <c r="S592" s="236"/>
      <c r="T592" s="236"/>
      <c r="U592" s="236"/>
      <c r="V592" s="236"/>
      <c r="W592" s="237"/>
      <c r="X592" s="237"/>
      <c r="Y592" s="237"/>
      <c r="Z592" s="237"/>
      <c r="AA592" s="237"/>
      <c r="AB592" s="237"/>
      <c r="AC592" s="237"/>
      <c r="AD592" s="237"/>
      <c r="AE592" s="237"/>
      <c r="AF592" s="237"/>
      <c r="AG592" s="237"/>
      <c r="AH592" s="237"/>
      <c r="AI592" s="308"/>
      <c r="AJ592" s="308"/>
      <c r="AK592" s="308"/>
      <c r="AL592" s="308"/>
      <c r="AM592" s="98"/>
      <c r="AN592" s="98"/>
      <c r="AO592" s="98"/>
    </row>
    <row r="593" ht="14.25" customHeight="1">
      <c r="A593" s="179"/>
      <c r="B593" s="98"/>
      <c r="C593" s="98"/>
      <c r="D593" s="98"/>
      <c r="E593" s="98"/>
      <c r="F593" s="235"/>
      <c r="G593" s="235"/>
      <c r="H593" s="236"/>
      <c r="I593" s="236"/>
      <c r="J593" s="236"/>
      <c r="K593" s="236"/>
      <c r="L593" s="236"/>
      <c r="M593" s="236"/>
      <c r="N593" s="236"/>
      <c r="O593" s="236"/>
      <c r="P593" s="236"/>
      <c r="Q593" s="236"/>
      <c r="R593" s="236"/>
      <c r="S593" s="236"/>
      <c r="T593" s="236"/>
      <c r="U593" s="236"/>
      <c r="V593" s="236"/>
      <c r="W593" s="237"/>
      <c r="X593" s="237"/>
      <c r="Y593" s="237"/>
      <c r="Z593" s="237"/>
      <c r="AA593" s="237"/>
      <c r="AB593" s="237"/>
      <c r="AC593" s="237"/>
      <c r="AD593" s="237"/>
      <c r="AE593" s="237"/>
      <c r="AF593" s="237"/>
      <c r="AG593" s="237"/>
      <c r="AH593" s="237"/>
      <c r="AI593" s="308"/>
      <c r="AJ593" s="308"/>
      <c r="AK593" s="308"/>
      <c r="AL593" s="308"/>
      <c r="AM593" s="98"/>
      <c r="AN593" s="98"/>
      <c r="AO593" s="98"/>
    </row>
    <row r="594" ht="14.25" customHeight="1">
      <c r="A594" s="179"/>
      <c r="B594" s="98"/>
      <c r="C594" s="98"/>
      <c r="D594" s="98"/>
      <c r="E594" s="98"/>
      <c r="F594" s="235"/>
      <c r="G594" s="235"/>
      <c r="H594" s="236"/>
      <c r="I594" s="236"/>
      <c r="J594" s="236"/>
      <c r="K594" s="236"/>
      <c r="L594" s="236"/>
      <c r="M594" s="236"/>
      <c r="N594" s="236"/>
      <c r="O594" s="236"/>
      <c r="P594" s="236"/>
      <c r="Q594" s="236"/>
      <c r="R594" s="236"/>
      <c r="S594" s="236"/>
      <c r="T594" s="236"/>
      <c r="U594" s="236"/>
      <c r="V594" s="236"/>
      <c r="W594" s="237"/>
      <c r="X594" s="237"/>
      <c r="Y594" s="237"/>
      <c r="Z594" s="237"/>
      <c r="AA594" s="237"/>
      <c r="AB594" s="237"/>
      <c r="AC594" s="237"/>
      <c r="AD594" s="237"/>
      <c r="AE594" s="237"/>
      <c r="AF594" s="237"/>
      <c r="AG594" s="237"/>
      <c r="AH594" s="237"/>
      <c r="AI594" s="308"/>
      <c r="AJ594" s="308"/>
      <c r="AK594" s="308"/>
      <c r="AL594" s="308"/>
      <c r="AM594" s="98"/>
      <c r="AN594" s="98"/>
      <c r="AO594" s="98"/>
    </row>
    <row r="595" ht="14.25" customHeight="1">
      <c r="A595" s="179"/>
      <c r="B595" s="98"/>
      <c r="C595" s="98"/>
      <c r="D595" s="98"/>
      <c r="E595" s="98"/>
      <c r="F595" s="235"/>
      <c r="G595" s="235"/>
      <c r="H595" s="236"/>
      <c r="I595" s="236"/>
      <c r="J595" s="236"/>
      <c r="K595" s="236"/>
      <c r="L595" s="236"/>
      <c r="M595" s="236"/>
      <c r="N595" s="236"/>
      <c r="O595" s="236"/>
      <c r="P595" s="236"/>
      <c r="Q595" s="236"/>
      <c r="R595" s="236"/>
      <c r="S595" s="236"/>
      <c r="T595" s="236"/>
      <c r="U595" s="236"/>
      <c r="V595" s="236"/>
      <c r="W595" s="237"/>
      <c r="X595" s="237"/>
      <c r="Y595" s="237"/>
      <c r="Z595" s="237"/>
      <c r="AA595" s="237"/>
      <c r="AB595" s="237"/>
      <c r="AC595" s="237"/>
      <c r="AD595" s="237"/>
      <c r="AE595" s="237"/>
      <c r="AF595" s="237"/>
      <c r="AG595" s="237"/>
      <c r="AH595" s="237"/>
      <c r="AI595" s="308"/>
      <c r="AJ595" s="308"/>
      <c r="AK595" s="308"/>
      <c r="AL595" s="308"/>
      <c r="AM595" s="98"/>
      <c r="AN595" s="98"/>
      <c r="AO595" s="98"/>
    </row>
    <row r="596" ht="14.25" customHeight="1">
      <c r="A596" s="179"/>
      <c r="B596" s="98"/>
      <c r="C596" s="98"/>
      <c r="D596" s="98"/>
      <c r="E596" s="98"/>
      <c r="F596" s="235"/>
      <c r="G596" s="235"/>
      <c r="H596" s="236"/>
      <c r="I596" s="236"/>
      <c r="J596" s="236"/>
      <c r="K596" s="236"/>
      <c r="L596" s="236"/>
      <c r="M596" s="236"/>
      <c r="N596" s="236"/>
      <c r="O596" s="236"/>
      <c r="P596" s="236"/>
      <c r="Q596" s="236"/>
      <c r="R596" s="236"/>
      <c r="S596" s="236"/>
      <c r="T596" s="236"/>
      <c r="U596" s="236"/>
      <c r="V596" s="236"/>
      <c r="W596" s="237"/>
      <c r="X596" s="237"/>
      <c r="Y596" s="237"/>
      <c r="Z596" s="237"/>
      <c r="AA596" s="237"/>
      <c r="AB596" s="237"/>
      <c r="AC596" s="237"/>
      <c r="AD596" s="237"/>
      <c r="AE596" s="237"/>
      <c r="AF596" s="237"/>
      <c r="AG596" s="237"/>
      <c r="AH596" s="237"/>
      <c r="AI596" s="308"/>
      <c r="AJ596" s="308"/>
      <c r="AK596" s="308"/>
      <c r="AL596" s="308"/>
      <c r="AM596" s="98"/>
      <c r="AN596" s="98"/>
      <c r="AO596" s="98"/>
    </row>
    <row r="597" ht="14.25" customHeight="1">
      <c r="A597" s="179"/>
      <c r="B597" s="98"/>
      <c r="C597" s="98"/>
      <c r="D597" s="98"/>
      <c r="E597" s="98"/>
      <c r="F597" s="235"/>
      <c r="G597" s="235"/>
      <c r="H597" s="236"/>
      <c r="I597" s="236"/>
      <c r="J597" s="236"/>
      <c r="K597" s="236"/>
      <c r="L597" s="236"/>
      <c r="M597" s="236"/>
      <c r="N597" s="236"/>
      <c r="O597" s="236"/>
      <c r="P597" s="236"/>
      <c r="Q597" s="236"/>
      <c r="R597" s="236"/>
      <c r="S597" s="236"/>
      <c r="T597" s="236"/>
      <c r="U597" s="236"/>
      <c r="V597" s="236"/>
      <c r="W597" s="237"/>
      <c r="X597" s="237"/>
      <c r="Y597" s="237"/>
      <c r="Z597" s="237"/>
      <c r="AA597" s="237"/>
      <c r="AB597" s="237"/>
      <c r="AC597" s="237"/>
      <c r="AD597" s="237"/>
      <c r="AE597" s="237"/>
      <c r="AF597" s="237"/>
      <c r="AG597" s="237"/>
      <c r="AH597" s="237"/>
      <c r="AI597" s="308"/>
      <c r="AJ597" s="308"/>
      <c r="AK597" s="308"/>
      <c r="AL597" s="308"/>
      <c r="AM597" s="98"/>
      <c r="AN597" s="98"/>
      <c r="AO597" s="98"/>
    </row>
    <row r="598" ht="14.25" customHeight="1">
      <c r="A598" s="179"/>
      <c r="B598" s="98"/>
      <c r="C598" s="98"/>
      <c r="D598" s="98"/>
      <c r="E598" s="98"/>
      <c r="F598" s="235"/>
      <c r="G598" s="235"/>
      <c r="H598" s="236"/>
      <c r="I598" s="236"/>
      <c r="J598" s="236"/>
      <c r="K598" s="236"/>
      <c r="L598" s="236"/>
      <c r="M598" s="236"/>
      <c r="N598" s="236"/>
      <c r="O598" s="236"/>
      <c r="P598" s="236"/>
      <c r="Q598" s="236"/>
      <c r="R598" s="236"/>
      <c r="S598" s="236"/>
      <c r="T598" s="236"/>
      <c r="U598" s="236"/>
      <c r="V598" s="236"/>
      <c r="W598" s="237"/>
      <c r="X598" s="237"/>
      <c r="Y598" s="237"/>
      <c r="Z598" s="237"/>
      <c r="AA598" s="237"/>
      <c r="AB598" s="237"/>
      <c r="AC598" s="237"/>
      <c r="AD598" s="237"/>
      <c r="AE598" s="237"/>
      <c r="AF598" s="237"/>
      <c r="AG598" s="237"/>
      <c r="AH598" s="237"/>
      <c r="AI598" s="308"/>
      <c r="AJ598" s="308"/>
      <c r="AK598" s="308"/>
      <c r="AL598" s="308"/>
      <c r="AM598" s="98"/>
      <c r="AN598" s="98"/>
      <c r="AO598" s="98"/>
    </row>
    <row r="599" ht="14.25" customHeight="1">
      <c r="A599" s="179"/>
      <c r="B599" s="98"/>
      <c r="C599" s="98"/>
      <c r="D599" s="98"/>
      <c r="E599" s="98"/>
      <c r="F599" s="235"/>
      <c r="G599" s="235"/>
      <c r="H599" s="236"/>
      <c r="I599" s="236"/>
      <c r="J599" s="236"/>
      <c r="K599" s="236"/>
      <c r="L599" s="236"/>
      <c r="M599" s="236"/>
      <c r="N599" s="236"/>
      <c r="O599" s="236"/>
      <c r="P599" s="236"/>
      <c r="Q599" s="236"/>
      <c r="R599" s="236"/>
      <c r="S599" s="236"/>
      <c r="T599" s="236"/>
      <c r="U599" s="236"/>
      <c r="V599" s="236"/>
      <c r="W599" s="237"/>
      <c r="X599" s="237"/>
      <c r="Y599" s="237"/>
      <c r="Z599" s="237"/>
      <c r="AA599" s="237"/>
      <c r="AB599" s="237"/>
      <c r="AC599" s="237"/>
      <c r="AD599" s="237"/>
      <c r="AE599" s="237"/>
      <c r="AF599" s="237"/>
      <c r="AG599" s="237"/>
      <c r="AH599" s="237"/>
      <c r="AI599" s="308"/>
      <c r="AJ599" s="308"/>
      <c r="AK599" s="308"/>
      <c r="AL599" s="308"/>
      <c r="AM599" s="98"/>
      <c r="AN599" s="98"/>
      <c r="AO599" s="98"/>
    </row>
    <row r="600" ht="14.25" customHeight="1">
      <c r="A600" s="179"/>
      <c r="B600" s="98"/>
      <c r="C600" s="98"/>
      <c r="D600" s="98"/>
      <c r="E600" s="98"/>
      <c r="F600" s="235"/>
      <c r="G600" s="235"/>
      <c r="H600" s="236"/>
      <c r="I600" s="236"/>
      <c r="J600" s="236"/>
      <c r="K600" s="236"/>
      <c r="L600" s="236"/>
      <c r="M600" s="236"/>
      <c r="N600" s="236"/>
      <c r="O600" s="236"/>
      <c r="P600" s="236"/>
      <c r="Q600" s="236"/>
      <c r="R600" s="236"/>
      <c r="S600" s="236"/>
      <c r="T600" s="236"/>
      <c r="U600" s="236"/>
      <c r="V600" s="236"/>
      <c r="W600" s="237"/>
      <c r="X600" s="237"/>
      <c r="Y600" s="237"/>
      <c r="Z600" s="237"/>
      <c r="AA600" s="237"/>
      <c r="AB600" s="237"/>
      <c r="AC600" s="237"/>
      <c r="AD600" s="237"/>
      <c r="AE600" s="237"/>
      <c r="AF600" s="237"/>
      <c r="AG600" s="237"/>
      <c r="AH600" s="237"/>
      <c r="AI600" s="308"/>
      <c r="AJ600" s="308"/>
      <c r="AK600" s="308"/>
      <c r="AL600" s="308"/>
      <c r="AM600" s="98"/>
      <c r="AN600" s="98"/>
      <c r="AO600" s="98"/>
    </row>
    <row r="601" ht="14.25" customHeight="1">
      <c r="A601" s="179"/>
      <c r="B601" s="98"/>
      <c r="C601" s="98"/>
      <c r="D601" s="98"/>
      <c r="E601" s="98"/>
      <c r="F601" s="235"/>
      <c r="G601" s="235"/>
      <c r="H601" s="236"/>
      <c r="I601" s="236"/>
      <c r="J601" s="236"/>
      <c r="K601" s="236"/>
      <c r="L601" s="236"/>
      <c r="M601" s="236"/>
      <c r="N601" s="236"/>
      <c r="O601" s="236"/>
      <c r="P601" s="236"/>
      <c r="Q601" s="236"/>
      <c r="R601" s="236"/>
      <c r="S601" s="236"/>
      <c r="T601" s="236"/>
      <c r="U601" s="236"/>
      <c r="V601" s="236"/>
      <c r="W601" s="237"/>
      <c r="X601" s="237"/>
      <c r="Y601" s="237"/>
      <c r="Z601" s="237"/>
      <c r="AA601" s="237"/>
      <c r="AB601" s="237"/>
      <c r="AC601" s="237"/>
      <c r="AD601" s="237"/>
      <c r="AE601" s="237"/>
      <c r="AF601" s="237"/>
      <c r="AG601" s="237"/>
      <c r="AH601" s="237"/>
      <c r="AI601" s="308"/>
      <c r="AJ601" s="308"/>
      <c r="AK601" s="308"/>
      <c r="AL601" s="308"/>
      <c r="AM601" s="98"/>
      <c r="AN601" s="98"/>
      <c r="AO601" s="98"/>
    </row>
    <row r="602" ht="14.25" customHeight="1">
      <c r="A602" s="179"/>
      <c r="B602" s="98"/>
      <c r="C602" s="98"/>
      <c r="D602" s="98"/>
      <c r="E602" s="98"/>
      <c r="F602" s="235"/>
      <c r="G602" s="235"/>
      <c r="H602" s="236"/>
      <c r="I602" s="236"/>
      <c r="J602" s="236"/>
      <c r="K602" s="236"/>
      <c r="L602" s="236"/>
      <c r="M602" s="236"/>
      <c r="N602" s="236"/>
      <c r="O602" s="236"/>
      <c r="P602" s="236"/>
      <c r="Q602" s="236"/>
      <c r="R602" s="236"/>
      <c r="S602" s="236"/>
      <c r="T602" s="236"/>
      <c r="U602" s="236"/>
      <c r="V602" s="236"/>
      <c r="W602" s="237"/>
      <c r="X602" s="237"/>
      <c r="Y602" s="237"/>
      <c r="Z602" s="237"/>
      <c r="AA602" s="237"/>
      <c r="AB602" s="237"/>
      <c r="AC602" s="237"/>
      <c r="AD602" s="237"/>
      <c r="AE602" s="237"/>
      <c r="AF602" s="237"/>
      <c r="AG602" s="237"/>
      <c r="AH602" s="237"/>
      <c r="AI602" s="308"/>
      <c r="AJ602" s="308"/>
      <c r="AK602" s="308"/>
      <c r="AL602" s="308"/>
      <c r="AM602" s="98"/>
      <c r="AN602" s="98"/>
      <c r="AO602" s="98"/>
    </row>
    <row r="603" ht="14.25" customHeight="1">
      <c r="A603" s="179"/>
      <c r="B603" s="98"/>
      <c r="C603" s="98"/>
      <c r="D603" s="98"/>
      <c r="E603" s="98"/>
      <c r="F603" s="235"/>
      <c r="G603" s="235"/>
      <c r="H603" s="236"/>
      <c r="I603" s="236"/>
      <c r="J603" s="236"/>
      <c r="K603" s="236"/>
      <c r="L603" s="236"/>
      <c r="M603" s="236"/>
      <c r="N603" s="236"/>
      <c r="O603" s="236"/>
      <c r="P603" s="236"/>
      <c r="Q603" s="236"/>
      <c r="R603" s="236"/>
      <c r="S603" s="236"/>
      <c r="T603" s="236"/>
      <c r="U603" s="236"/>
      <c r="V603" s="236"/>
      <c r="W603" s="237"/>
      <c r="X603" s="237"/>
      <c r="Y603" s="237"/>
      <c r="Z603" s="237"/>
      <c r="AA603" s="237"/>
      <c r="AB603" s="237"/>
      <c r="AC603" s="237"/>
      <c r="AD603" s="237"/>
      <c r="AE603" s="237"/>
      <c r="AF603" s="237"/>
      <c r="AG603" s="237"/>
      <c r="AH603" s="237"/>
      <c r="AI603" s="308"/>
      <c r="AJ603" s="308"/>
      <c r="AK603" s="308"/>
      <c r="AL603" s="308"/>
      <c r="AM603" s="98"/>
      <c r="AN603" s="98"/>
      <c r="AO603" s="98"/>
    </row>
    <row r="604" ht="14.25" customHeight="1">
      <c r="A604" s="179"/>
      <c r="B604" s="98"/>
      <c r="C604" s="98"/>
      <c r="D604" s="98"/>
      <c r="E604" s="98"/>
      <c r="F604" s="235"/>
      <c r="G604" s="235"/>
      <c r="H604" s="236"/>
      <c r="I604" s="236"/>
      <c r="J604" s="236"/>
      <c r="K604" s="236"/>
      <c r="L604" s="236"/>
      <c r="M604" s="236"/>
      <c r="N604" s="236"/>
      <c r="O604" s="236"/>
      <c r="P604" s="236"/>
      <c r="Q604" s="236"/>
      <c r="R604" s="236"/>
      <c r="S604" s="236"/>
      <c r="T604" s="236"/>
      <c r="U604" s="236"/>
      <c r="V604" s="236"/>
      <c r="W604" s="237"/>
      <c r="X604" s="237"/>
      <c r="Y604" s="237"/>
      <c r="Z604" s="237"/>
      <c r="AA604" s="237"/>
      <c r="AB604" s="237"/>
      <c r="AC604" s="237"/>
      <c r="AD604" s="237"/>
      <c r="AE604" s="237"/>
      <c r="AF604" s="237"/>
      <c r="AG604" s="237"/>
      <c r="AH604" s="237"/>
      <c r="AI604" s="308"/>
      <c r="AJ604" s="308"/>
      <c r="AK604" s="308"/>
      <c r="AL604" s="308"/>
      <c r="AM604" s="98"/>
      <c r="AN604" s="98"/>
      <c r="AO604" s="98"/>
    </row>
    <row r="605" ht="14.25" customHeight="1">
      <c r="A605" s="179"/>
      <c r="B605" s="98"/>
      <c r="C605" s="98"/>
      <c r="D605" s="98"/>
      <c r="E605" s="98"/>
      <c r="F605" s="235"/>
      <c r="G605" s="235"/>
      <c r="H605" s="236"/>
      <c r="I605" s="236"/>
      <c r="J605" s="236"/>
      <c r="K605" s="236"/>
      <c r="L605" s="236"/>
      <c r="M605" s="236"/>
      <c r="N605" s="236"/>
      <c r="O605" s="236"/>
      <c r="P605" s="236"/>
      <c r="Q605" s="236"/>
      <c r="R605" s="236"/>
      <c r="S605" s="236"/>
      <c r="T605" s="236"/>
      <c r="U605" s="236"/>
      <c r="V605" s="236"/>
      <c r="W605" s="237"/>
      <c r="X605" s="237"/>
      <c r="Y605" s="237"/>
      <c r="Z605" s="237"/>
      <c r="AA605" s="237"/>
      <c r="AB605" s="237"/>
      <c r="AC605" s="237"/>
      <c r="AD605" s="237"/>
      <c r="AE605" s="237"/>
      <c r="AF605" s="237"/>
      <c r="AG605" s="237"/>
      <c r="AH605" s="237"/>
      <c r="AI605" s="308"/>
      <c r="AJ605" s="308"/>
      <c r="AK605" s="308"/>
      <c r="AL605" s="308"/>
      <c r="AM605" s="98"/>
      <c r="AN605" s="98"/>
      <c r="AO605" s="98"/>
    </row>
    <row r="606" ht="14.25" customHeight="1">
      <c r="A606" s="179"/>
      <c r="B606" s="98"/>
      <c r="C606" s="98"/>
      <c r="D606" s="98"/>
      <c r="E606" s="98"/>
      <c r="F606" s="235"/>
      <c r="G606" s="235"/>
      <c r="H606" s="236"/>
      <c r="I606" s="236"/>
      <c r="J606" s="236"/>
      <c r="K606" s="236"/>
      <c r="L606" s="236"/>
      <c r="M606" s="236"/>
      <c r="N606" s="236"/>
      <c r="O606" s="236"/>
      <c r="P606" s="236"/>
      <c r="Q606" s="236"/>
      <c r="R606" s="236"/>
      <c r="S606" s="236"/>
      <c r="T606" s="236"/>
      <c r="U606" s="236"/>
      <c r="V606" s="236"/>
      <c r="W606" s="237"/>
      <c r="X606" s="237"/>
      <c r="Y606" s="237"/>
      <c r="Z606" s="237"/>
      <c r="AA606" s="237"/>
      <c r="AB606" s="237"/>
      <c r="AC606" s="237"/>
      <c r="AD606" s="237"/>
      <c r="AE606" s="237"/>
      <c r="AF606" s="237"/>
      <c r="AG606" s="237"/>
      <c r="AH606" s="237"/>
      <c r="AI606" s="308"/>
      <c r="AJ606" s="308"/>
      <c r="AK606" s="308"/>
      <c r="AL606" s="308"/>
      <c r="AM606" s="98"/>
      <c r="AN606" s="98"/>
      <c r="AO606" s="98"/>
    </row>
    <row r="607" ht="14.25" customHeight="1">
      <c r="A607" s="179"/>
      <c r="B607" s="98"/>
      <c r="C607" s="98"/>
      <c r="D607" s="98"/>
      <c r="E607" s="98"/>
      <c r="F607" s="235"/>
      <c r="G607" s="235"/>
      <c r="H607" s="236"/>
      <c r="I607" s="236"/>
      <c r="J607" s="236"/>
      <c r="K607" s="236"/>
      <c r="L607" s="236"/>
      <c r="M607" s="236"/>
      <c r="N607" s="236"/>
      <c r="O607" s="236"/>
      <c r="P607" s="236"/>
      <c r="Q607" s="236"/>
      <c r="R607" s="236"/>
      <c r="S607" s="236"/>
      <c r="T607" s="236"/>
      <c r="U607" s="236"/>
      <c r="V607" s="236"/>
      <c r="W607" s="237"/>
      <c r="X607" s="237"/>
      <c r="Y607" s="237"/>
      <c r="Z607" s="237"/>
      <c r="AA607" s="237"/>
      <c r="AB607" s="237"/>
      <c r="AC607" s="237"/>
      <c r="AD607" s="237"/>
      <c r="AE607" s="237"/>
      <c r="AF607" s="237"/>
      <c r="AG607" s="237"/>
      <c r="AH607" s="237"/>
      <c r="AI607" s="308"/>
      <c r="AJ607" s="308"/>
      <c r="AK607" s="308"/>
      <c r="AL607" s="308"/>
      <c r="AM607" s="98"/>
      <c r="AN607" s="98"/>
      <c r="AO607" s="98"/>
    </row>
    <row r="608" ht="14.25" customHeight="1">
      <c r="A608" s="179"/>
      <c r="B608" s="98"/>
      <c r="C608" s="98"/>
      <c r="D608" s="98"/>
      <c r="E608" s="98"/>
      <c r="F608" s="235"/>
      <c r="G608" s="235"/>
      <c r="H608" s="236"/>
      <c r="I608" s="236"/>
      <c r="J608" s="236"/>
      <c r="K608" s="236"/>
      <c r="L608" s="236"/>
      <c r="M608" s="236"/>
      <c r="N608" s="236"/>
      <c r="O608" s="236"/>
      <c r="P608" s="236"/>
      <c r="Q608" s="236"/>
      <c r="R608" s="236"/>
      <c r="S608" s="236"/>
      <c r="T608" s="236"/>
      <c r="U608" s="236"/>
      <c r="V608" s="236"/>
      <c r="W608" s="237"/>
      <c r="X608" s="237"/>
      <c r="Y608" s="237"/>
      <c r="Z608" s="237"/>
      <c r="AA608" s="237"/>
      <c r="AB608" s="237"/>
      <c r="AC608" s="237"/>
      <c r="AD608" s="237"/>
      <c r="AE608" s="237"/>
      <c r="AF608" s="237"/>
      <c r="AG608" s="237"/>
      <c r="AH608" s="237"/>
      <c r="AI608" s="308"/>
      <c r="AJ608" s="308"/>
      <c r="AK608" s="308"/>
      <c r="AL608" s="308"/>
      <c r="AM608" s="98"/>
      <c r="AN608" s="98"/>
      <c r="AO608" s="98"/>
    </row>
    <row r="609" ht="14.25" customHeight="1">
      <c r="A609" s="179"/>
      <c r="B609" s="98"/>
      <c r="C609" s="98"/>
      <c r="D609" s="98"/>
      <c r="E609" s="98"/>
      <c r="F609" s="235"/>
      <c r="G609" s="235"/>
      <c r="H609" s="236"/>
      <c r="I609" s="236"/>
      <c r="J609" s="236"/>
      <c r="K609" s="236"/>
      <c r="L609" s="236"/>
      <c r="M609" s="236"/>
      <c r="N609" s="236"/>
      <c r="O609" s="236"/>
      <c r="P609" s="236"/>
      <c r="Q609" s="236"/>
      <c r="R609" s="236"/>
      <c r="S609" s="236"/>
      <c r="T609" s="236"/>
      <c r="U609" s="236"/>
      <c r="V609" s="236"/>
      <c r="W609" s="237"/>
      <c r="X609" s="237"/>
      <c r="Y609" s="237"/>
      <c r="Z609" s="237"/>
      <c r="AA609" s="237"/>
      <c r="AB609" s="237"/>
      <c r="AC609" s="237"/>
      <c r="AD609" s="237"/>
      <c r="AE609" s="237"/>
      <c r="AF609" s="237"/>
      <c r="AG609" s="237"/>
      <c r="AH609" s="237"/>
      <c r="AI609" s="308"/>
      <c r="AJ609" s="308"/>
      <c r="AK609" s="308"/>
      <c r="AL609" s="308"/>
      <c r="AM609" s="98"/>
      <c r="AN609" s="98"/>
      <c r="AO609" s="98"/>
    </row>
    <row r="610" ht="14.25" customHeight="1">
      <c r="A610" s="179"/>
      <c r="B610" s="98"/>
      <c r="C610" s="98"/>
      <c r="D610" s="98"/>
      <c r="E610" s="98"/>
      <c r="F610" s="235"/>
      <c r="G610" s="235"/>
      <c r="H610" s="236"/>
      <c r="I610" s="236"/>
      <c r="J610" s="236"/>
      <c r="K610" s="236"/>
      <c r="L610" s="236"/>
      <c r="M610" s="236"/>
      <c r="N610" s="236"/>
      <c r="O610" s="236"/>
      <c r="P610" s="236"/>
      <c r="Q610" s="236"/>
      <c r="R610" s="236"/>
      <c r="S610" s="236"/>
      <c r="T610" s="236"/>
      <c r="U610" s="236"/>
      <c r="V610" s="236"/>
      <c r="W610" s="237"/>
      <c r="X610" s="237"/>
      <c r="Y610" s="237"/>
      <c r="Z610" s="237"/>
      <c r="AA610" s="237"/>
      <c r="AB610" s="237"/>
      <c r="AC610" s="237"/>
      <c r="AD610" s="237"/>
      <c r="AE610" s="237"/>
      <c r="AF610" s="237"/>
      <c r="AG610" s="237"/>
      <c r="AH610" s="237"/>
      <c r="AI610" s="308"/>
      <c r="AJ610" s="308"/>
      <c r="AK610" s="308"/>
      <c r="AL610" s="308"/>
      <c r="AM610" s="98"/>
      <c r="AN610" s="98"/>
      <c r="AO610" s="98"/>
    </row>
    <row r="611" ht="14.25" customHeight="1">
      <c r="A611" s="179"/>
      <c r="B611" s="98"/>
      <c r="C611" s="98"/>
      <c r="D611" s="98"/>
      <c r="E611" s="98"/>
      <c r="F611" s="235"/>
      <c r="G611" s="235"/>
      <c r="H611" s="236"/>
      <c r="I611" s="236"/>
      <c r="J611" s="236"/>
      <c r="K611" s="236"/>
      <c r="L611" s="236"/>
      <c r="M611" s="236"/>
      <c r="N611" s="236"/>
      <c r="O611" s="236"/>
      <c r="P611" s="236"/>
      <c r="Q611" s="236"/>
      <c r="R611" s="236"/>
      <c r="S611" s="236"/>
      <c r="T611" s="236"/>
      <c r="U611" s="236"/>
      <c r="V611" s="236"/>
      <c r="W611" s="237"/>
      <c r="X611" s="237"/>
      <c r="Y611" s="237"/>
      <c r="Z611" s="237"/>
      <c r="AA611" s="237"/>
      <c r="AB611" s="237"/>
      <c r="AC611" s="237"/>
      <c r="AD611" s="237"/>
      <c r="AE611" s="237"/>
      <c r="AF611" s="237"/>
      <c r="AG611" s="237"/>
      <c r="AH611" s="237"/>
      <c r="AI611" s="308"/>
      <c r="AJ611" s="308"/>
      <c r="AK611" s="308"/>
      <c r="AL611" s="308"/>
      <c r="AM611" s="98"/>
      <c r="AN611" s="98"/>
      <c r="AO611" s="98"/>
    </row>
    <row r="612" ht="14.25" customHeight="1">
      <c r="A612" s="179"/>
      <c r="B612" s="98"/>
      <c r="C612" s="98"/>
      <c r="D612" s="98"/>
      <c r="E612" s="98"/>
      <c r="F612" s="235"/>
      <c r="G612" s="235"/>
      <c r="H612" s="236"/>
      <c r="I612" s="236"/>
      <c r="J612" s="236"/>
      <c r="K612" s="236"/>
      <c r="L612" s="236"/>
      <c r="M612" s="236"/>
      <c r="N612" s="236"/>
      <c r="O612" s="236"/>
      <c r="P612" s="236"/>
      <c r="Q612" s="236"/>
      <c r="R612" s="236"/>
      <c r="S612" s="236"/>
      <c r="T612" s="236"/>
      <c r="U612" s="236"/>
      <c r="V612" s="236"/>
      <c r="W612" s="237"/>
      <c r="X612" s="237"/>
      <c r="Y612" s="237"/>
      <c r="Z612" s="237"/>
      <c r="AA612" s="237"/>
      <c r="AB612" s="237"/>
      <c r="AC612" s="237"/>
      <c r="AD612" s="237"/>
      <c r="AE612" s="237"/>
      <c r="AF612" s="237"/>
      <c r="AG612" s="237"/>
      <c r="AH612" s="237"/>
      <c r="AI612" s="308"/>
      <c r="AJ612" s="308"/>
      <c r="AK612" s="308"/>
      <c r="AL612" s="308"/>
      <c r="AM612" s="98"/>
      <c r="AN612" s="98"/>
      <c r="AO612" s="98"/>
    </row>
    <row r="613" ht="14.25" customHeight="1">
      <c r="A613" s="179"/>
      <c r="B613" s="98"/>
      <c r="C613" s="98"/>
      <c r="D613" s="98"/>
      <c r="E613" s="98"/>
      <c r="F613" s="235"/>
      <c r="G613" s="235"/>
      <c r="H613" s="236"/>
      <c r="I613" s="236"/>
      <c r="J613" s="236"/>
      <c r="K613" s="236"/>
      <c r="L613" s="236"/>
      <c r="M613" s="236"/>
      <c r="N613" s="236"/>
      <c r="O613" s="236"/>
      <c r="P613" s="236"/>
      <c r="Q613" s="236"/>
      <c r="R613" s="236"/>
      <c r="S613" s="236"/>
      <c r="T613" s="236"/>
      <c r="U613" s="236"/>
      <c r="V613" s="236"/>
      <c r="W613" s="237"/>
      <c r="X613" s="237"/>
      <c r="Y613" s="237"/>
      <c r="Z613" s="237"/>
      <c r="AA613" s="237"/>
      <c r="AB613" s="237"/>
      <c r="AC613" s="237"/>
      <c r="AD613" s="237"/>
      <c r="AE613" s="237"/>
      <c r="AF613" s="237"/>
      <c r="AG613" s="237"/>
      <c r="AH613" s="237"/>
      <c r="AI613" s="308"/>
      <c r="AJ613" s="308"/>
      <c r="AK613" s="308"/>
      <c r="AL613" s="308"/>
      <c r="AM613" s="98"/>
      <c r="AN613" s="98"/>
      <c r="AO613" s="98"/>
    </row>
    <row r="614" ht="14.25" customHeight="1">
      <c r="A614" s="179"/>
      <c r="B614" s="98"/>
      <c r="C614" s="98"/>
      <c r="D614" s="98"/>
      <c r="E614" s="98"/>
      <c r="F614" s="235"/>
      <c r="G614" s="235"/>
      <c r="H614" s="236"/>
      <c r="I614" s="236"/>
      <c r="J614" s="236"/>
      <c r="K614" s="236"/>
      <c r="L614" s="236"/>
      <c r="M614" s="236"/>
      <c r="N614" s="236"/>
      <c r="O614" s="236"/>
      <c r="P614" s="236"/>
      <c r="Q614" s="236"/>
      <c r="R614" s="236"/>
      <c r="S614" s="236"/>
      <c r="T614" s="236"/>
      <c r="U614" s="236"/>
      <c r="V614" s="236"/>
      <c r="W614" s="237"/>
      <c r="X614" s="237"/>
      <c r="Y614" s="237"/>
      <c r="Z614" s="237"/>
      <c r="AA614" s="237"/>
      <c r="AB614" s="237"/>
      <c r="AC614" s="237"/>
      <c r="AD614" s="237"/>
      <c r="AE614" s="237"/>
      <c r="AF614" s="237"/>
      <c r="AG614" s="237"/>
      <c r="AH614" s="237"/>
      <c r="AI614" s="308"/>
      <c r="AJ614" s="308"/>
      <c r="AK614" s="308"/>
      <c r="AL614" s="308"/>
      <c r="AM614" s="98"/>
      <c r="AN614" s="98"/>
      <c r="AO614" s="98"/>
    </row>
    <row r="615" ht="14.25" customHeight="1">
      <c r="A615" s="179"/>
      <c r="B615" s="98"/>
      <c r="C615" s="98"/>
      <c r="D615" s="98"/>
      <c r="E615" s="98"/>
      <c r="F615" s="235"/>
      <c r="G615" s="235"/>
      <c r="H615" s="236"/>
      <c r="I615" s="236"/>
      <c r="J615" s="236"/>
      <c r="K615" s="236"/>
      <c r="L615" s="236"/>
      <c r="M615" s="236"/>
      <c r="N615" s="236"/>
      <c r="O615" s="236"/>
      <c r="P615" s="236"/>
      <c r="Q615" s="236"/>
      <c r="R615" s="236"/>
      <c r="S615" s="236"/>
      <c r="T615" s="236"/>
      <c r="U615" s="236"/>
      <c r="V615" s="236"/>
      <c r="W615" s="237"/>
      <c r="X615" s="237"/>
      <c r="Y615" s="237"/>
      <c r="Z615" s="237"/>
      <c r="AA615" s="237"/>
      <c r="AB615" s="237"/>
      <c r="AC615" s="237"/>
      <c r="AD615" s="237"/>
      <c r="AE615" s="237"/>
      <c r="AF615" s="237"/>
      <c r="AG615" s="237"/>
      <c r="AH615" s="237"/>
      <c r="AI615" s="308"/>
      <c r="AJ615" s="308"/>
      <c r="AK615" s="308"/>
      <c r="AL615" s="308"/>
      <c r="AM615" s="98"/>
      <c r="AN615" s="98"/>
      <c r="AO615" s="98"/>
    </row>
    <row r="616" ht="14.25" customHeight="1">
      <c r="A616" s="179"/>
      <c r="B616" s="98"/>
      <c r="C616" s="98"/>
      <c r="D616" s="98"/>
      <c r="E616" s="98"/>
      <c r="F616" s="235"/>
      <c r="G616" s="235"/>
      <c r="H616" s="236"/>
      <c r="I616" s="236"/>
      <c r="J616" s="236"/>
      <c r="K616" s="236"/>
      <c r="L616" s="236"/>
      <c r="M616" s="236"/>
      <c r="N616" s="236"/>
      <c r="O616" s="236"/>
      <c r="P616" s="236"/>
      <c r="Q616" s="236"/>
      <c r="R616" s="236"/>
      <c r="S616" s="236"/>
      <c r="T616" s="236"/>
      <c r="U616" s="236"/>
      <c r="V616" s="236"/>
      <c r="W616" s="237"/>
      <c r="X616" s="237"/>
      <c r="Y616" s="237"/>
      <c r="Z616" s="237"/>
      <c r="AA616" s="237"/>
      <c r="AB616" s="237"/>
      <c r="AC616" s="237"/>
      <c r="AD616" s="237"/>
      <c r="AE616" s="237"/>
      <c r="AF616" s="237"/>
      <c r="AG616" s="237"/>
      <c r="AH616" s="237"/>
      <c r="AI616" s="308"/>
      <c r="AJ616" s="308"/>
      <c r="AK616" s="308"/>
      <c r="AL616" s="308"/>
      <c r="AM616" s="98"/>
      <c r="AN616" s="98"/>
      <c r="AO616" s="98"/>
    </row>
    <row r="617" ht="14.25" customHeight="1">
      <c r="A617" s="179"/>
      <c r="B617" s="98"/>
      <c r="C617" s="98"/>
      <c r="D617" s="98"/>
      <c r="E617" s="98"/>
      <c r="F617" s="235"/>
      <c r="G617" s="235"/>
      <c r="H617" s="236"/>
      <c r="I617" s="236"/>
      <c r="J617" s="236"/>
      <c r="K617" s="236"/>
      <c r="L617" s="236"/>
      <c r="M617" s="236"/>
      <c r="N617" s="236"/>
      <c r="O617" s="236"/>
      <c r="P617" s="236"/>
      <c r="Q617" s="236"/>
      <c r="R617" s="236"/>
      <c r="S617" s="236"/>
      <c r="T617" s="236"/>
      <c r="U617" s="236"/>
      <c r="V617" s="236"/>
      <c r="W617" s="237"/>
      <c r="X617" s="237"/>
      <c r="Y617" s="237"/>
      <c r="Z617" s="237"/>
      <c r="AA617" s="237"/>
      <c r="AB617" s="237"/>
      <c r="AC617" s="237"/>
      <c r="AD617" s="237"/>
      <c r="AE617" s="237"/>
      <c r="AF617" s="237"/>
      <c r="AG617" s="237"/>
      <c r="AH617" s="237"/>
      <c r="AI617" s="308"/>
      <c r="AJ617" s="308"/>
      <c r="AK617" s="308"/>
      <c r="AL617" s="308"/>
      <c r="AM617" s="98"/>
      <c r="AN617" s="98"/>
      <c r="AO617" s="98"/>
    </row>
    <row r="618" ht="14.25" customHeight="1">
      <c r="A618" s="179"/>
      <c r="B618" s="98"/>
      <c r="C618" s="98"/>
      <c r="D618" s="98"/>
      <c r="E618" s="98"/>
      <c r="F618" s="235"/>
      <c r="G618" s="235"/>
      <c r="H618" s="236"/>
      <c r="I618" s="236"/>
      <c r="J618" s="236"/>
      <c r="K618" s="236"/>
      <c r="L618" s="236"/>
      <c r="M618" s="236"/>
      <c r="N618" s="236"/>
      <c r="O618" s="236"/>
      <c r="P618" s="236"/>
      <c r="Q618" s="236"/>
      <c r="R618" s="236"/>
      <c r="S618" s="236"/>
      <c r="T618" s="236"/>
      <c r="U618" s="236"/>
      <c r="V618" s="236"/>
      <c r="W618" s="237"/>
      <c r="X618" s="237"/>
      <c r="Y618" s="237"/>
      <c r="Z618" s="237"/>
      <c r="AA618" s="237"/>
      <c r="AB618" s="237"/>
      <c r="AC618" s="237"/>
      <c r="AD618" s="237"/>
      <c r="AE618" s="237"/>
      <c r="AF618" s="237"/>
      <c r="AG618" s="237"/>
      <c r="AH618" s="237"/>
      <c r="AI618" s="308"/>
      <c r="AJ618" s="308"/>
      <c r="AK618" s="308"/>
      <c r="AL618" s="308"/>
      <c r="AM618" s="98"/>
      <c r="AN618" s="98"/>
      <c r="AO618" s="98"/>
    </row>
    <row r="619" ht="14.25" customHeight="1">
      <c r="A619" s="179"/>
      <c r="B619" s="98"/>
      <c r="C619" s="98"/>
      <c r="D619" s="98"/>
      <c r="E619" s="98"/>
      <c r="F619" s="235"/>
      <c r="G619" s="235"/>
      <c r="H619" s="236"/>
      <c r="I619" s="236"/>
      <c r="J619" s="236"/>
      <c r="K619" s="236"/>
      <c r="L619" s="236"/>
      <c r="M619" s="236"/>
      <c r="N619" s="236"/>
      <c r="O619" s="236"/>
      <c r="P619" s="236"/>
      <c r="Q619" s="236"/>
      <c r="R619" s="236"/>
      <c r="S619" s="236"/>
      <c r="T619" s="236"/>
      <c r="U619" s="236"/>
      <c r="V619" s="236"/>
      <c r="W619" s="237"/>
      <c r="X619" s="237"/>
      <c r="Y619" s="237"/>
      <c r="Z619" s="237"/>
      <c r="AA619" s="237"/>
      <c r="AB619" s="237"/>
      <c r="AC619" s="237"/>
      <c r="AD619" s="237"/>
      <c r="AE619" s="237"/>
      <c r="AF619" s="237"/>
      <c r="AG619" s="237"/>
      <c r="AH619" s="237"/>
      <c r="AI619" s="308"/>
      <c r="AJ619" s="308"/>
      <c r="AK619" s="308"/>
      <c r="AL619" s="308"/>
      <c r="AM619" s="98"/>
      <c r="AN619" s="98"/>
      <c r="AO619" s="98"/>
    </row>
    <row r="620" ht="14.25" customHeight="1">
      <c r="A620" s="179"/>
      <c r="B620" s="98"/>
      <c r="C620" s="98"/>
      <c r="D620" s="98"/>
      <c r="E620" s="98"/>
      <c r="F620" s="235"/>
      <c r="G620" s="235"/>
      <c r="H620" s="236"/>
      <c r="I620" s="236"/>
      <c r="J620" s="236"/>
      <c r="K620" s="236"/>
      <c r="L620" s="236"/>
      <c r="M620" s="236"/>
      <c r="N620" s="236"/>
      <c r="O620" s="236"/>
      <c r="P620" s="236"/>
      <c r="Q620" s="236"/>
      <c r="R620" s="236"/>
      <c r="S620" s="236"/>
      <c r="T620" s="236"/>
      <c r="U620" s="236"/>
      <c r="V620" s="236"/>
      <c r="W620" s="237"/>
      <c r="X620" s="237"/>
      <c r="Y620" s="237"/>
      <c r="Z620" s="237"/>
      <c r="AA620" s="237"/>
      <c r="AB620" s="237"/>
      <c r="AC620" s="237"/>
      <c r="AD620" s="237"/>
      <c r="AE620" s="237"/>
      <c r="AF620" s="237"/>
      <c r="AG620" s="237"/>
      <c r="AH620" s="237"/>
      <c r="AI620" s="308"/>
      <c r="AJ620" s="308"/>
      <c r="AK620" s="308"/>
      <c r="AL620" s="308"/>
      <c r="AM620" s="98"/>
      <c r="AN620" s="98"/>
      <c r="AO620" s="98"/>
    </row>
    <row r="621" ht="14.25" customHeight="1">
      <c r="A621" s="179"/>
      <c r="B621" s="98"/>
      <c r="C621" s="98"/>
      <c r="D621" s="98"/>
      <c r="E621" s="98"/>
      <c r="F621" s="235"/>
      <c r="G621" s="235"/>
      <c r="H621" s="236"/>
      <c r="I621" s="236"/>
      <c r="J621" s="236"/>
      <c r="K621" s="236"/>
      <c r="L621" s="236"/>
      <c r="M621" s="236"/>
      <c r="N621" s="236"/>
      <c r="O621" s="236"/>
      <c r="P621" s="236"/>
      <c r="Q621" s="236"/>
      <c r="R621" s="236"/>
      <c r="S621" s="236"/>
      <c r="T621" s="236"/>
      <c r="U621" s="236"/>
      <c r="V621" s="236"/>
      <c r="W621" s="237"/>
      <c r="X621" s="237"/>
      <c r="Y621" s="237"/>
      <c r="Z621" s="237"/>
      <c r="AA621" s="237"/>
      <c r="AB621" s="237"/>
      <c r="AC621" s="237"/>
      <c r="AD621" s="237"/>
      <c r="AE621" s="237"/>
      <c r="AF621" s="237"/>
      <c r="AG621" s="237"/>
      <c r="AH621" s="237"/>
      <c r="AI621" s="308"/>
      <c r="AJ621" s="308"/>
      <c r="AK621" s="308"/>
      <c r="AL621" s="308"/>
      <c r="AM621" s="98"/>
      <c r="AN621" s="98"/>
      <c r="AO621" s="98"/>
    </row>
    <row r="622" ht="14.25" customHeight="1">
      <c r="A622" s="179"/>
      <c r="B622" s="98"/>
      <c r="C622" s="98"/>
      <c r="D622" s="98"/>
      <c r="E622" s="98"/>
      <c r="F622" s="235"/>
      <c r="G622" s="235"/>
      <c r="H622" s="236"/>
      <c r="I622" s="236"/>
      <c r="J622" s="236"/>
      <c r="K622" s="236"/>
      <c r="L622" s="236"/>
      <c r="M622" s="236"/>
      <c r="N622" s="236"/>
      <c r="O622" s="236"/>
      <c r="P622" s="236"/>
      <c r="Q622" s="236"/>
      <c r="R622" s="236"/>
      <c r="S622" s="236"/>
      <c r="T622" s="236"/>
      <c r="U622" s="236"/>
      <c r="V622" s="236"/>
      <c r="W622" s="237"/>
      <c r="X622" s="237"/>
      <c r="Y622" s="237"/>
      <c r="Z622" s="237"/>
      <c r="AA622" s="237"/>
      <c r="AB622" s="237"/>
      <c r="AC622" s="237"/>
      <c r="AD622" s="237"/>
      <c r="AE622" s="237"/>
      <c r="AF622" s="237"/>
      <c r="AG622" s="237"/>
      <c r="AH622" s="237"/>
      <c r="AI622" s="308"/>
      <c r="AJ622" s="308"/>
      <c r="AK622" s="308"/>
      <c r="AL622" s="308"/>
      <c r="AM622" s="98"/>
      <c r="AN622" s="98"/>
      <c r="AO622" s="98"/>
    </row>
    <row r="623" ht="14.25" customHeight="1">
      <c r="A623" s="179"/>
      <c r="B623" s="98"/>
      <c r="C623" s="98"/>
      <c r="D623" s="98"/>
      <c r="E623" s="98"/>
      <c r="F623" s="235"/>
      <c r="G623" s="235"/>
      <c r="H623" s="236"/>
      <c r="I623" s="236"/>
      <c r="J623" s="236"/>
      <c r="K623" s="236"/>
      <c r="L623" s="236"/>
      <c r="M623" s="236"/>
      <c r="N623" s="236"/>
      <c r="O623" s="236"/>
      <c r="P623" s="236"/>
      <c r="Q623" s="236"/>
      <c r="R623" s="236"/>
      <c r="S623" s="236"/>
      <c r="T623" s="236"/>
      <c r="U623" s="236"/>
      <c r="V623" s="236"/>
      <c r="W623" s="237"/>
      <c r="X623" s="237"/>
      <c r="Y623" s="237"/>
      <c r="Z623" s="237"/>
      <c r="AA623" s="237"/>
      <c r="AB623" s="237"/>
      <c r="AC623" s="237"/>
      <c r="AD623" s="237"/>
      <c r="AE623" s="237"/>
      <c r="AF623" s="237"/>
      <c r="AG623" s="237"/>
      <c r="AH623" s="237"/>
      <c r="AI623" s="308"/>
      <c r="AJ623" s="308"/>
      <c r="AK623" s="308"/>
      <c r="AL623" s="308"/>
      <c r="AM623" s="98"/>
      <c r="AN623" s="98"/>
      <c r="AO623" s="98"/>
    </row>
    <row r="624" ht="14.25" customHeight="1">
      <c r="A624" s="179"/>
      <c r="B624" s="98"/>
      <c r="C624" s="98"/>
      <c r="D624" s="98"/>
      <c r="E624" s="98"/>
      <c r="F624" s="235"/>
      <c r="G624" s="235"/>
      <c r="H624" s="236"/>
      <c r="I624" s="236"/>
      <c r="J624" s="236"/>
      <c r="K624" s="236"/>
      <c r="L624" s="236"/>
      <c r="M624" s="236"/>
      <c r="N624" s="236"/>
      <c r="O624" s="236"/>
      <c r="P624" s="236"/>
      <c r="Q624" s="236"/>
      <c r="R624" s="236"/>
      <c r="S624" s="236"/>
      <c r="T624" s="236"/>
      <c r="U624" s="236"/>
      <c r="V624" s="236"/>
      <c r="W624" s="237"/>
      <c r="X624" s="237"/>
      <c r="Y624" s="237"/>
      <c r="Z624" s="237"/>
      <c r="AA624" s="237"/>
      <c r="AB624" s="237"/>
      <c r="AC624" s="237"/>
      <c r="AD624" s="237"/>
      <c r="AE624" s="237"/>
      <c r="AF624" s="237"/>
      <c r="AG624" s="237"/>
      <c r="AH624" s="237"/>
      <c r="AI624" s="308"/>
      <c r="AJ624" s="308"/>
      <c r="AK624" s="308"/>
      <c r="AL624" s="308"/>
      <c r="AM624" s="98"/>
      <c r="AN624" s="98"/>
      <c r="AO624" s="98"/>
    </row>
    <row r="625" ht="14.25" customHeight="1">
      <c r="A625" s="179"/>
      <c r="B625" s="98"/>
      <c r="C625" s="98"/>
      <c r="D625" s="98"/>
      <c r="E625" s="98"/>
      <c r="F625" s="235"/>
      <c r="G625" s="235"/>
      <c r="H625" s="236"/>
      <c r="I625" s="236"/>
      <c r="J625" s="236"/>
      <c r="K625" s="236"/>
      <c r="L625" s="236"/>
      <c r="M625" s="236"/>
      <c r="N625" s="236"/>
      <c r="O625" s="236"/>
      <c r="P625" s="236"/>
      <c r="Q625" s="236"/>
      <c r="R625" s="236"/>
      <c r="S625" s="236"/>
      <c r="T625" s="236"/>
      <c r="U625" s="236"/>
      <c r="V625" s="236"/>
      <c r="W625" s="237"/>
      <c r="X625" s="237"/>
      <c r="Y625" s="237"/>
      <c r="Z625" s="237"/>
      <c r="AA625" s="237"/>
      <c r="AB625" s="237"/>
      <c r="AC625" s="237"/>
      <c r="AD625" s="237"/>
      <c r="AE625" s="237"/>
      <c r="AF625" s="237"/>
      <c r="AG625" s="237"/>
      <c r="AH625" s="237"/>
      <c r="AI625" s="308"/>
      <c r="AJ625" s="308"/>
      <c r="AK625" s="308"/>
      <c r="AL625" s="308"/>
      <c r="AM625" s="98"/>
      <c r="AN625" s="98"/>
      <c r="AO625" s="98"/>
    </row>
    <row r="626" ht="14.25" customHeight="1">
      <c r="A626" s="179"/>
      <c r="B626" s="98"/>
      <c r="C626" s="98"/>
      <c r="D626" s="98"/>
      <c r="E626" s="98"/>
      <c r="F626" s="235"/>
      <c r="G626" s="235"/>
      <c r="H626" s="236"/>
      <c r="I626" s="236"/>
      <c r="J626" s="236"/>
      <c r="K626" s="236"/>
      <c r="L626" s="236"/>
      <c r="M626" s="236"/>
      <c r="N626" s="236"/>
      <c r="O626" s="236"/>
      <c r="P626" s="236"/>
      <c r="Q626" s="236"/>
      <c r="R626" s="236"/>
      <c r="S626" s="236"/>
      <c r="T626" s="236"/>
      <c r="U626" s="236"/>
      <c r="V626" s="236"/>
      <c r="W626" s="237"/>
      <c r="X626" s="237"/>
      <c r="Y626" s="237"/>
      <c r="Z626" s="237"/>
      <c r="AA626" s="237"/>
      <c r="AB626" s="237"/>
      <c r="AC626" s="237"/>
      <c r="AD626" s="237"/>
      <c r="AE626" s="237"/>
      <c r="AF626" s="237"/>
      <c r="AG626" s="237"/>
      <c r="AH626" s="237"/>
      <c r="AI626" s="308"/>
      <c r="AJ626" s="308"/>
      <c r="AK626" s="308"/>
      <c r="AL626" s="308"/>
      <c r="AM626" s="98"/>
      <c r="AN626" s="98"/>
      <c r="AO626" s="98"/>
    </row>
    <row r="627" ht="14.25" customHeight="1">
      <c r="A627" s="179"/>
      <c r="B627" s="98"/>
      <c r="C627" s="98"/>
      <c r="D627" s="98"/>
      <c r="E627" s="98"/>
      <c r="F627" s="235"/>
      <c r="G627" s="235"/>
      <c r="H627" s="236"/>
      <c r="I627" s="236"/>
      <c r="J627" s="236"/>
      <c r="K627" s="236"/>
      <c r="L627" s="236"/>
      <c r="M627" s="236"/>
      <c r="N627" s="236"/>
      <c r="O627" s="236"/>
      <c r="P627" s="236"/>
      <c r="Q627" s="236"/>
      <c r="R627" s="236"/>
      <c r="S627" s="236"/>
      <c r="T627" s="236"/>
      <c r="U627" s="236"/>
      <c r="V627" s="236"/>
      <c r="W627" s="237"/>
      <c r="X627" s="237"/>
      <c r="Y627" s="237"/>
      <c r="Z627" s="237"/>
      <c r="AA627" s="237"/>
      <c r="AB627" s="237"/>
      <c r="AC627" s="237"/>
      <c r="AD627" s="237"/>
      <c r="AE627" s="237"/>
      <c r="AF627" s="237"/>
      <c r="AG627" s="237"/>
      <c r="AH627" s="237"/>
      <c r="AI627" s="308"/>
      <c r="AJ627" s="308"/>
      <c r="AK627" s="308"/>
      <c r="AL627" s="308"/>
      <c r="AM627" s="98"/>
      <c r="AN627" s="98"/>
      <c r="AO627" s="98"/>
    </row>
    <row r="628" ht="14.25" customHeight="1">
      <c r="A628" s="179"/>
      <c r="B628" s="98"/>
      <c r="C628" s="98"/>
      <c r="D628" s="98"/>
      <c r="E628" s="98"/>
      <c r="F628" s="235"/>
      <c r="G628" s="235"/>
      <c r="H628" s="236"/>
      <c r="I628" s="236"/>
      <c r="J628" s="236"/>
      <c r="K628" s="236"/>
      <c r="L628" s="236"/>
      <c r="M628" s="236"/>
      <c r="N628" s="236"/>
      <c r="O628" s="236"/>
      <c r="P628" s="236"/>
      <c r="Q628" s="236"/>
      <c r="R628" s="236"/>
      <c r="S628" s="236"/>
      <c r="T628" s="236"/>
      <c r="U628" s="236"/>
      <c r="V628" s="236"/>
      <c r="W628" s="237"/>
      <c r="X628" s="237"/>
      <c r="Y628" s="237"/>
      <c r="Z628" s="237"/>
      <c r="AA628" s="237"/>
      <c r="AB628" s="237"/>
      <c r="AC628" s="237"/>
      <c r="AD628" s="237"/>
      <c r="AE628" s="237"/>
      <c r="AF628" s="237"/>
      <c r="AG628" s="237"/>
      <c r="AH628" s="237"/>
      <c r="AI628" s="308"/>
      <c r="AJ628" s="308"/>
      <c r="AK628" s="308"/>
      <c r="AL628" s="308"/>
      <c r="AM628" s="98"/>
      <c r="AN628" s="98"/>
      <c r="AO628" s="98"/>
    </row>
    <row r="629" ht="14.25" customHeight="1">
      <c r="A629" s="179"/>
      <c r="B629" s="98"/>
      <c r="C629" s="98"/>
      <c r="D629" s="98"/>
      <c r="E629" s="98"/>
      <c r="F629" s="235"/>
      <c r="G629" s="235"/>
      <c r="H629" s="236"/>
      <c r="I629" s="236"/>
      <c r="J629" s="236"/>
      <c r="K629" s="236"/>
      <c r="L629" s="236"/>
      <c r="M629" s="236"/>
      <c r="N629" s="236"/>
      <c r="O629" s="236"/>
      <c r="P629" s="236"/>
      <c r="Q629" s="236"/>
      <c r="R629" s="236"/>
      <c r="S629" s="236"/>
      <c r="T629" s="236"/>
      <c r="U629" s="236"/>
      <c r="V629" s="236"/>
      <c r="W629" s="237"/>
      <c r="X629" s="237"/>
      <c r="Y629" s="237"/>
      <c r="Z629" s="237"/>
      <c r="AA629" s="237"/>
      <c r="AB629" s="237"/>
      <c r="AC629" s="237"/>
      <c r="AD629" s="237"/>
      <c r="AE629" s="237"/>
      <c r="AF629" s="237"/>
      <c r="AG629" s="237"/>
      <c r="AH629" s="237"/>
      <c r="AI629" s="308"/>
      <c r="AJ629" s="308"/>
      <c r="AK629" s="308"/>
      <c r="AL629" s="308"/>
      <c r="AM629" s="98"/>
      <c r="AN629" s="98"/>
      <c r="AO629" s="98"/>
    </row>
    <row r="630" ht="14.25" customHeight="1">
      <c r="A630" s="179"/>
      <c r="B630" s="98"/>
      <c r="C630" s="98"/>
      <c r="D630" s="98"/>
      <c r="E630" s="98"/>
      <c r="F630" s="235"/>
      <c r="G630" s="235"/>
      <c r="H630" s="236"/>
      <c r="I630" s="236"/>
      <c r="J630" s="236"/>
      <c r="K630" s="236"/>
      <c r="L630" s="236"/>
      <c r="M630" s="236"/>
      <c r="N630" s="236"/>
      <c r="O630" s="236"/>
      <c r="P630" s="236"/>
      <c r="Q630" s="236"/>
      <c r="R630" s="236"/>
      <c r="S630" s="236"/>
      <c r="T630" s="236"/>
      <c r="U630" s="236"/>
      <c r="V630" s="236"/>
      <c r="W630" s="237"/>
      <c r="X630" s="237"/>
      <c r="Y630" s="237"/>
      <c r="Z630" s="237"/>
      <c r="AA630" s="237"/>
      <c r="AB630" s="237"/>
      <c r="AC630" s="237"/>
      <c r="AD630" s="237"/>
      <c r="AE630" s="237"/>
      <c r="AF630" s="237"/>
      <c r="AG630" s="237"/>
      <c r="AH630" s="237"/>
      <c r="AI630" s="308"/>
      <c r="AJ630" s="308"/>
      <c r="AK630" s="308"/>
      <c r="AL630" s="308"/>
      <c r="AM630" s="98"/>
      <c r="AN630" s="98"/>
      <c r="AO630" s="98"/>
    </row>
    <row r="631" ht="14.25" customHeight="1">
      <c r="A631" s="179"/>
      <c r="B631" s="98"/>
      <c r="C631" s="98"/>
      <c r="D631" s="98"/>
      <c r="E631" s="98"/>
      <c r="F631" s="235"/>
      <c r="G631" s="235"/>
      <c r="H631" s="236"/>
      <c r="I631" s="236"/>
      <c r="J631" s="236"/>
      <c r="K631" s="236"/>
      <c r="L631" s="236"/>
      <c r="M631" s="236"/>
      <c r="N631" s="236"/>
      <c r="O631" s="236"/>
      <c r="P631" s="236"/>
      <c r="Q631" s="236"/>
      <c r="R631" s="236"/>
      <c r="S631" s="236"/>
      <c r="T631" s="236"/>
      <c r="U631" s="236"/>
      <c r="V631" s="236"/>
      <c r="W631" s="237"/>
      <c r="X631" s="237"/>
      <c r="Y631" s="237"/>
      <c r="Z631" s="237"/>
      <c r="AA631" s="237"/>
      <c r="AB631" s="237"/>
      <c r="AC631" s="237"/>
      <c r="AD631" s="237"/>
      <c r="AE631" s="237"/>
      <c r="AF631" s="237"/>
      <c r="AG631" s="237"/>
      <c r="AH631" s="237"/>
      <c r="AI631" s="308"/>
      <c r="AJ631" s="308"/>
      <c r="AK631" s="308"/>
      <c r="AL631" s="308"/>
      <c r="AM631" s="98"/>
      <c r="AN631" s="98"/>
      <c r="AO631" s="98"/>
    </row>
    <row r="632" ht="14.25" customHeight="1">
      <c r="A632" s="179"/>
      <c r="B632" s="98"/>
      <c r="C632" s="98"/>
      <c r="D632" s="98"/>
      <c r="E632" s="98"/>
      <c r="F632" s="235"/>
      <c r="G632" s="235"/>
      <c r="H632" s="236"/>
      <c r="I632" s="236"/>
      <c r="J632" s="236"/>
      <c r="K632" s="236"/>
      <c r="L632" s="236"/>
      <c r="M632" s="236"/>
      <c r="N632" s="236"/>
      <c r="O632" s="236"/>
      <c r="P632" s="236"/>
      <c r="Q632" s="236"/>
      <c r="R632" s="236"/>
      <c r="S632" s="236"/>
      <c r="T632" s="236"/>
      <c r="U632" s="236"/>
      <c r="V632" s="236"/>
      <c r="W632" s="237"/>
      <c r="X632" s="237"/>
      <c r="Y632" s="237"/>
      <c r="Z632" s="237"/>
      <c r="AA632" s="237"/>
      <c r="AB632" s="237"/>
      <c r="AC632" s="237"/>
      <c r="AD632" s="237"/>
      <c r="AE632" s="237"/>
      <c r="AF632" s="237"/>
      <c r="AG632" s="237"/>
      <c r="AH632" s="237"/>
      <c r="AI632" s="308"/>
      <c r="AJ632" s="308"/>
      <c r="AK632" s="308"/>
      <c r="AL632" s="308"/>
      <c r="AM632" s="98"/>
      <c r="AN632" s="98"/>
      <c r="AO632" s="98"/>
    </row>
    <row r="633" ht="14.25" customHeight="1">
      <c r="A633" s="179"/>
      <c r="B633" s="98"/>
      <c r="C633" s="98"/>
      <c r="D633" s="98"/>
      <c r="E633" s="98"/>
      <c r="F633" s="235"/>
      <c r="G633" s="235"/>
      <c r="H633" s="236"/>
      <c r="I633" s="236"/>
      <c r="J633" s="236"/>
      <c r="K633" s="236"/>
      <c r="L633" s="236"/>
      <c r="M633" s="236"/>
      <c r="N633" s="236"/>
      <c r="O633" s="236"/>
      <c r="P633" s="236"/>
      <c r="Q633" s="236"/>
      <c r="R633" s="236"/>
      <c r="S633" s="236"/>
      <c r="T633" s="236"/>
      <c r="U633" s="236"/>
      <c r="V633" s="236"/>
      <c r="W633" s="237"/>
      <c r="X633" s="237"/>
      <c r="Y633" s="237"/>
      <c r="Z633" s="237"/>
      <c r="AA633" s="237"/>
      <c r="AB633" s="237"/>
      <c r="AC633" s="237"/>
      <c r="AD633" s="237"/>
      <c r="AE633" s="237"/>
      <c r="AF633" s="237"/>
      <c r="AG633" s="237"/>
      <c r="AH633" s="237"/>
      <c r="AI633" s="308"/>
      <c r="AJ633" s="308"/>
      <c r="AK633" s="308"/>
      <c r="AL633" s="308"/>
      <c r="AM633" s="98"/>
      <c r="AN633" s="98"/>
      <c r="AO633" s="98"/>
    </row>
    <row r="634" ht="14.25" customHeight="1">
      <c r="A634" s="179"/>
      <c r="B634" s="98"/>
      <c r="C634" s="98"/>
      <c r="D634" s="98"/>
      <c r="E634" s="98"/>
      <c r="F634" s="235"/>
      <c r="G634" s="235"/>
      <c r="H634" s="236"/>
      <c r="I634" s="236"/>
      <c r="J634" s="236"/>
      <c r="K634" s="236"/>
      <c r="L634" s="236"/>
      <c r="M634" s="236"/>
      <c r="N634" s="236"/>
      <c r="O634" s="236"/>
      <c r="P634" s="236"/>
      <c r="Q634" s="236"/>
      <c r="R634" s="236"/>
      <c r="S634" s="236"/>
      <c r="T634" s="236"/>
      <c r="U634" s="236"/>
      <c r="V634" s="236"/>
      <c r="W634" s="237"/>
      <c r="X634" s="237"/>
      <c r="Y634" s="237"/>
      <c r="Z634" s="237"/>
      <c r="AA634" s="237"/>
      <c r="AB634" s="237"/>
      <c r="AC634" s="237"/>
      <c r="AD634" s="237"/>
      <c r="AE634" s="237"/>
      <c r="AF634" s="237"/>
      <c r="AG634" s="237"/>
      <c r="AH634" s="237"/>
      <c r="AI634" s="308"/>
      <c r="AJ634" s="308"/>
      <c r="AK634" s="308"/>
      <c r="AL634" s="308"/>
      <c r="AM634" s="98"/>
      <c r="AN634" s="98"/>
      <c r="AO634" s="98"/>
    </row>
    <row r="635" ht="14.25" customHeight="1">
      <c r="A635" s="179"/>
      <c r="B635" s="98"/>
      <c r="C635" s="98"/>
      <c r="D635" s="98"/>
      <c r="E635" s="98"/>
      <c r="F635" s="235"/>
      <c r="G635" s="235"/>
      <c r="H635" s="236"/>
      <c r="I635" s="236"/>
      <c r="J635" s="236"/>
      <c r="K635" s="236"/>
      <c r="L635" s="236"/>
      <c r="M635" s="236"/>
      <c r="N635" s="236"/>
      <c r="O635" s="236"/>
      <c r="P635" s="236"/>
      <c r="Q635" s="236"/>
      <c r="R635" s="236"/>
      <c r="S635" s="236"/>
      <c r="T635" s="236"/>
      <c r="U635" s="236"/>
      <c r="V635" s="236"/>
      <c r="W635" s="237"/>
      <c r="X635" s="237"/>
      <c r="Y635" s="237"/>
      <c r="Z635" s="237"/>
      <c r="AA635" s="237"/>
      <c r="AB635" s="237"/>
      <c r="AC635" s="237"/>
      <c r="AD635" s="237"/>
      <c r="AE635" s="237"/>
      <c r="AF635" s="237"/>
      <c r="AG635" s="237"/>
      <c r="AH635" s="237"/>
      <c r="AI635" s="308"/>
      <c r="AJ635" s="308"/>
      <c r="AK635" s="308"/>
      <c r="AL635" s="308"/>
      <c r="AM635" s="98"/>
      <c r="AN635" s="98"/>
      <c r="AO635" s="98"/>
    </row>
    <row r="636" ht="14.25" customHeight="1">
      <c r="A636" s="179"/>
      <c r="B636" s="98"/>
      <c r="C636" s="98"/>
      <c r="D636" s="98"/>
      <c r="E636" s="98"/>
      <c r="F636" s="235"/>
      <c r="G636" s="235"/>
      <c r="H636" s="236"/>
      <c r="I636" s="236"/>
      <c r="J636" s="236"/>
      <c r="K636" s="236"/>
      <c r="L636" s="236"/>
      <c r="M636" s="236"/>
      <c r="N636" s="236"/>
      <c r="O636" s="236"/>
      <c r="P636" s="236"/>
      <c r="Q636" s="236"/>
      <c r="R636" s="236"/>
      <c r="S636" s="236"/>
      <c r="T636" s="236"/>
      <c r="U636" s="236"/>
      <c r="V636" s="236"/>
      <c r="W636" s="237"/>
      <c r="X636" s="237"/>
      <c r="Y636" s="237"/>
      <c r="Z636" s="237"/>
      <c r="AA636" s="237"/>
      <c r="AB636" s="237"/>
      <c r="AC636" s="237"/>
      <c r="AD636" s="237"/>
      <c r="AE636" s="237"/>
      <c r="AF636" s="237"/>
      <c r="AG636" s="237"/>
      <c r="AH636" s="237"/>
      <c r="AI636" s="308"/>
      <c r="AJ636" s="308"/>
      <c r="AK636" s="308"/>
      <c r="AL636" s="308"/>
      <c r="AM636" s="98"/>
      <c r="AN636" s="98"/>
      <c r="AO636" s="98"/>
    </row>
    <row r="637" ht="14.25" customHeight="1">
      <c r="A637" s="179"/>
      <c r="B637" s="98"/>
      <c r="C637" s="98"/>
      <c r="D637" s="98"/>
      <c r="E637" s="98"/>
      <c r="F637" s="235"/>
      <c r="G637" s="235"/>
      <c r="H637" s="236"/>
      <c r="I637" s="236"/>
      <c r="J637" s="236"/>
      <c r="K637" s="236"/>
      <c r="L637" s="236"/>
      <c r="M637" s="236"/>
      <c r="N637" s="236"/>
      <c r="O637" s="236"/>
      <c r="P637" s="236"/>
      <c r="Q637" s="236"/>
      <c r="R637" s="236"/>
      <c r="S637" s="236"/>
      <c r="T637" s="236"/>
      <c r="U637" s="236"/>
      <c r="V637" s="236"/>
      <c r="W637" s="237"/>
      <c r="X637" s="237"/>
      <c r="Y637" s="237"/>
      <c r="Z637" s="237"/>
      <c r="AA637" s="237"/>
      <c r="AB637" s="237"/>
      <c r="AC637" s="237"/>
      <c r="AD637" s="237"/>
      <c r="AE637" s="237"/>
      <c r="AF637" s="237"/>
      <c r="AG637" s="237"/>
      <c r="AH637" s="237"/>
      <c r="AI637" s="308"/>
      <c r="AJ637" s="308"/>
      <c r="AK637" s="308"/>
      <c r="AL637" s="308"/>
      <c r="AM637" s="98"/>
      <c r="AN637" s="98"/>
      <c r="AO637" s="98"/>
    </row>
    <row r="638" ht="14.25" customHeight="1">
      <c r="A638" s="179"/>
      <c r="B638" s="98"/>
      <c r="C638" s="98"/>
      <c r="D638" s="98"/>
      <c r="E638" s="98"/>
      <c r="F638" s="235"/>
      <c r="G638" s="235"/>
      <c r="H638" s="236"/>
      <c r="I638" s="236"/>
      <c r="J638" s="236"/>
      <c r="K638" s="236"/>
      <c r="L638" s="236"/>
      <c r="M638" s="236"/>
      <c r="N638" s="236"/>
      <c r="O638" s="236"/>
      <c r="P638" s="236"/>
      <c r="Q638" s="236"/>
      <c r="R638" s="236"/>
      <c r="S638" s="236"/>
      <c r="T638" s="236"/>
      <c r="U638" s="236"/>
      <c r="V638" s="236"/>
      <c r="W638" s="237"/>
      <c r="X638" s="237"/>
      <c r="Y638" s="237"/>
      <c r="Z638" s="237"/>
      <c r="AA638" s="237"/>
      <c r="AB638" s="237"/>
      <c r="AC638" s="237"/>
      <c r="AD638" s="237"/>
      <c r="AE638" s="237"/>
      <c r="AF638" s="237"/>
      <c r="AG638" s="237"/>
      <c r="AH638" s="237"/>
      <c r="AI638" s="308"/>
      <c r="AJ638" s="308"/>
      <c r="AK638" s="308"/>
      <c r="AL638" s="308"/>
      <c r="AM638" s="98"/>
      <c r="AN638" s="98"/>
      <c r="AO638" s="98"/>
    </row>
    <row r="639" ht="14.25" customHeight="1">
      <c r="A639" s="179"/>
      <c r="B639" s="98"/>
      <c r="C639" s="98"/>
      <c r="D639" s="98"/>
      <c r="E639" s="98"/>
      <c r="F639" s="235"/>
      <c r="G639" s="235"/>
      <c r="H639" s="236"/>
      <c r="I639" s="236"/>
      <c r="J639" s="236"/>
      <c r="K639" s="236"/>
      <c r="L639" s="236"/>
      <c r="M639" s="236"/>
      <c r="N639" s="236"/>
      <c r="O639" s="236"/>
      <c r="P639" s="236"/>
      <c r="Q639" s="236"/>
      <c r="R639" s="236"/>
      <c r="S639" s="236"/>
      <c r="T639" s="236"/>
      <c r="U639" s="236"/>
      <c r="V639" s="236"/>
      <c r="W639" s="237"/>
      <c r="X639" s="237"/>
      <c r="Y639" s="237"/>
      <c r="Z639" s="237"/>
      <c r="AA639" s="237"/>
      <c r="AB639" s="237"/>
      <c r="AC639" s="237"/>
      <c r="AD639" s="237"/>
      <c r="AE639" s="237"/>
      <c r="AF639" s="237"/>
      <c r="AG639" s="237"/>
      <c r="AH639" s="237"/>
      <c r="AI639" s="308"/>
      <c r="AJ639" s="308"/>
      <c r="AK639" s="308"/>
      <c r="AL639" s="308"/>
      <c r="AM639" s="98"/>
      <c r="AN639" s="98"/>
      <c r="AO639" s="98"/>
    </row>
    <row r="640" ht="14.25" customHeight="1">
      <c r="A640" s="179"/>
      <c r="B640" s="98"/>
      <c r="C640" s="98"/>
      <c r="D640" s="98"/>
      <c r="E640" s="98"/>
      <c r="F640" s="235"/>
      <c r="G640" s="235"/>
      <c r="H640" s="236"/>
      <c r="I640" s="236"/>
      <c r="J640" s="236"/>
      <c r="K640" s="236"/>
      <c r="L640" s="236"/>
      <c r="M640" s="236"/>
      <c r="N640" s="236"/>
      <c r="O640" s="236"/>
      <c r="P640" s="236"/>
      <c r="Q640" s="236"/>
      <c r="R640" s="236"/>
      <c r="S640" s="236"/>
      <c r="T640" s="236"/>
      <c r="U640" s="236"/>
      <c r="V640" s="236"/>
      <c r="W640" s="237"/>
      <c r="X640" s="237"/>
      <c r="Y640" s="237"/>
      <c r="Z640" s="237"/>
      <c r="AA640" s="237"/>
      <c r="AB640" s="237"/>
      <c r="AC640" s="237"/>
      <c r="AD640" s="237"/>
      <c r="AE640" s="237"/>
      <c r="AF640" s="237"/>
      <c r="AG640" s="237"/>
      <c r="AH640" s="237"/>
      <c r="AI640" s="308"/>
      <c r="AJ640" s="308"/>
      <c r="AK640" s="308"/>
      <c r="AL640" s="308"/>
      <c r="AM640" s="98"/>
      <c r="AN640" s="98"/>
      <c r="AO640" s="98"/>
    </row>
    <row r="641" ht="14.25" customHeight="1">
      <c r="A641" s="179"/>
      <c r="B641" s="98"/>
      <c r="C641" s="98"/>
      <c r="D641" s="98"/>
      <c r="E641" s="98"/>
      <c r="F641" s="235"/>
      <c r="G641" s="235"/>
      <c r="H641" s="236"/>
      <c r="I641" s="236"/>
      <c r="J641" s="236"/>
      <c r="K641" s="236"/>
      <c r="L641" s="236"/>
      <c r="M641" s="236"/>
      <c r="N641" s="236"/>
      <c r="O641" s="236"/>
      <c r="P641" s="236"/>
      <c r="Q641" s="236"/>
      <c r="R641" s="236"/>
      <c r="S641" s="236"/>
      <c r="T641" s="236"/>
      <c r="U641" s="236"/>
      <c r="V641" s="236"/>
      <c r="W641" s="237"/>
      <c r="X641" s="237"/>
      <c r="Y641" s="237"/>
      <c r="Z641" s="237"/>
      <c r="AA641" s="237"/>
      <c r="AB641" s="237"/>
      <c r="AC641" s="237"/>
      <c r="AD641" s="237"/>
      <c r="AE641" s="237"/>
      <c r="AF641" s="237"/>
      <c r="AG641" s="237"/>
      <c r="AH641" s="237"/>
      <c r="AI641" s="308"/>
      <c r="AJ641" s="308"/>
      <c r="AK641" s="308"/>
      <c r="AL641" s="308"/>
      <c r="AM641" s="98"/>
      <c r="AN641" s="98"/>
      <c r="AO641" s="98"/>
    </row>
    <row r="642" ht="14.25" customHeight="1">
      <c r="A642" s="179"/>
      <c r="B642" s="98"/>
      <c r="C642" s="98"/>
      <c r="D642" s="98"/>
      <c r="E642" s="98"/>
      <c r="F642" s="235"/>
      <c r="G642" s="235"/>
      <c r="H642" s="236"/>
      <c r="I642" s="236"/>
      <c r="J642" s="236"/>
      <c r="K642" s="236"/>
      <c r="L642" s="236"/>
      <c r="M642" s="236"/>
      <c r="N642" s="236"/>
      <c r="O642" s="236"/>
      <c r="P642" s="236"/>
      <c r="Q642" s="236"/>
      <c r="R642" s="236"/>
      <c r="S642" s="236"/>
      <c r="T642" s="236"/>
      <c r="U642" s="236"/>
      <c r="V642" s="236"/>
      <c r="W642" s="237"/>
      <c r="X642" s="237"/>
      <c r="Y642" s="237"/>
      <c r="Z642" s="237"/>
      <c r="AA642" s="237"/>
      <c r="AB642" s="237"/>
      <c r="AC642" s="237"/>
      <c r="AD642" s="237"/>
      <c r="AE642" s="237"/>
      <c r="AF642" s="237"/>
      <c r="AG642" s="237"/>
      <c r="AH642" s="237"/>
      <c r="AI642" s="308"/>
      <c r="AJ642" s="308"/>
      <c r="AK642" s="308"/>
      <c r="AL642" s="308"/>
      <c r="AM642" s="98"/>
      <c r="AN642" s="98"/>
      <c r="AO642" s="98"/>
    </row>
    <row r="643" ht="14.25" customHeight="1">
      <c r="A643" s="179"/>
      <c r="B643" s="98"/>
      <c r="C643" s="98"/>
      <c r="D643" s="98"/>
      <c r="E643" s="98"/>
      <c r="F643" s="235"/>
      <c r="G643" s="235"/>
      <c r="H643" s="236"/>
      <c r="I643" s="236"/>
      <c r="J643" s="236"/>
      <c r="K643" s="236"/>
      <c r="L643" s="236"/>
      <c r="M643" s="236"/>
      <c r="N643" s="236"/>
      <c r="O643" s="236"/>
      <c r="P643" s="236"/>
      <c r="Q643" s="236"/>
      <c r="R643" s="236"/>
      <c r="S643" s="236"/>
      <c r="T643" s="236"/>
      <c r="U643" s="236"/>
      <c r="V643" s="236"/>
      <c r="W643" s="237"/>
      <c r="X643" s="237"/>
      <c r="Y643" s="237"/>
      <c r="Z643" s="237"/>
      <c r="AA643" s="237"/>
      <c r="AB643" s="237"/>
      <c r="AC643" s="237"/>
      <c r="AD643" s="237"/>
      <c r="AE643" s="237"/>
      <c r="AF643" s="237"/>
      <c r="AG643" s="237"/>
      <c r="AH643" s="237"/>
      <c r="AI643" s="308"/>
      <c r="AJ643" s="308"/>
      <c r="AK643" s="308"/>
      <c r="AL643" s="308"/>
      <c r="AM643" s="98"/>
      <c r="AN643" s="98"/>
      <c r="AO643" s="98"/>
    </row>
    <row r="644" ht="14.25" customHeight="1">
      <c r="A644" s="179"/>
      <c r="B644" s="98"/>
      <c r="C644" s="98"/>
      <c r="D644" s="98"/>
      <c r="E644" s="98"/>
      <c r="F644" s="235"/>
      <c r="G644" s="235"/>
      <c r="H644" s="236"/>
      <c r="I644" s="236"/>
      <c r="J644" s="236"/>
      <c r="K644" s="236"/>
      <c r="L644" s="236"/>
      <c r="M644" s="236"/>
      <c r="N644" s="236"/>
      <c r="O644" s="236"/>
      <c r="P644" s="236"/>
      <c r="Q644" s="236"/>
      <c r="R644" s="236"/>
      <c r="S644" s="236"/>
      <c r="T644" s="236"/>
      <c r="U644" s="236"/>
      <c r="V644" s="236"/>
      <c r="W644" s="237"/>
      <c r="X644" s="237"/>
      <c r="Y644" s="237"/>
      <c r="Z644" s="237"/>
      <c r="AA644" s="237"/>
      <c r="AB644" s="237"/>
      <c r="AC644" s="237"/>
      <c r="AD644" s="237"/>
      <c r="AE644" s="237"/>
      <c r="AF644" s="237"/>
      <c r="AG644" s="237"/>
      <c r="AH644" s="237"/>
      <c r="AI644" s="308"/>
      <c r="AJ644" s="308"/>
      <c r="AK644" s="308"/>
      <c r="AL644" s="308"/>
      <c r="AM644" s="98"/>
      <c r="AN644" s="98"/>
      <c r="AO644" s="98"/>
    </row>
    <row r="645" ht="14.25" customHeight="1">
      <c r="A645" s="179"/>
      <c r="B645" s="98"/>
      <c r="C645" s="98"/>
      <c r="D645" s="98"/>
      <c r="E645" s="98"/>
      <c r="F645" s="235"/>
      <c r="G645" s="235"/>
      <c r="H645" s="236"/>
      <c r="I645" s="236"/>
      <c r="J645" s="236"/>
      <c r="K645" s="236"/>
      <c r="L645" s="236"/>
      <c r="M645" s="236"/>
      <c r="N645" s="236"/>
      <c r="O645" s="236"/>
      <c r="P645" s="236"/>
      <c r="Q645" s="236"/>
      <c r="R645" s="236"/>
      <c r="S645" s="236"/>
      <c r="T645" s="236"/>
      <c r="U645" s="236"/>
      <c r="V645" s="236"/>
      <c r="W645" s="237"/>
      <c r="X645" s="237"/>
      <c r="Y645" s="237"/>
      <c r="Z645" s="237"/>
      <c r="AA645" s="237"/>
      <c r="AB645" s="237"/>
      <c r="AC645" s="237"/>
      <c r="AD645" s="237"/>
      <c r="AE645" s="237"/>
      <c r="AF645" s="237"/>
      <c r="AG645" s="237"/>
      <c r="AH645" s="237"/>
      <c r="AI645" s="308"/>
      <c r="AJ645" s="308"/>
      <c r="AK645" s="308"/>
      <c r="AL645" s="308"/>
      <c r="AM645" s="98"/>
      <c r="AN645" s="98"/>
      <c r="AO645" s="98"/>
    </row>
    <row r="646" ht="14.25" customHeight="1">
      <c r="A646" s="179"/>
      <c r="B646" s="98"/>
      <c r="C646" s="98"/>
      <c r="D646" s="98"/>
      <c r="E646" s="98"/>
      <c r="F646" s="235"/>
      <c r="G646" s="235"/>
      <c r="H646" s="236"/>
      <c r="I646" s="236"/>
      <c r="J646" s="236"/>
      <c r="K646" s="236"/>
      <c r="L646" s="236"/>
      <c r="M646" s="236"/>
      <c r="N646" s="236"/>
      <c r="O646" s="236"/>
      <c r="P646" s="236"/>
      <c r="Q646" s="236"/>
      <c r="R646" s="236"/>
      <c r="S646" s="236"/>
      <c r="T646" s="236"/>
      <c r="U646" s="236"/>
      <c r="V646" s="236"/>
      <c r="W646" s="237"/>
      <c r="X646" s="237"/>
      <c r="Y646" s="237"/>
      <c r="Z646" s="237"/>
      <c r="AA646" s="237"/>
      <c r="AB646" s="237"/>
      <c r="AC646" s="237"/>
      <c r="AD646" s="237"/>
      <c r="AE646" s="237"/>
      <c r="AF646" s="237"/>
      <c r="AG646" s="237"/>
      <c r="AH646" s="237"/>
      <c r="AI646" s="308"/>
      <c r="AJ646" s="308"/>
      <c r="AK646" s="308"/>
      <c r="AL646" s="308"/>
      <c r="AM646" s="98"/>
      <c r="AN646" s="98"/>
      <c r="AO646" s="98"/>
    </row>
    <row r="647" ht="14.25" customHeight="1">
      <c r="A647" s="179"/>
      <c r="B647" s="98"/>
      <c r="C647" s="98"/>
      <c r="D647" s="98"/>
      <c r="E647" s="98"/>
      <c r="F647" s="235"/>
      <c r="G647" s="235"/>
      <c r="H647" s="236"/>
      <c r="I647" s="236"/>
      <c r="J647" s="236"/>
      <c r="K647" s="236"/>
      <c r="L647" s="236"/>
      <c r="M647" s="236"/>
      <c r="N647" s="236"/>
      <c r="O647" s="236"/>
      <c r="P647" s="236"/>
      <c r="Q647" s="236"/>
      <c r="R647" s="236"/>
      <c r="S647" s="236"/>
      <c r="T647" s="236"/>
      <c r="U647" s="236"/>
      <c r="V647" s="236"/>
      <c r="W647" s="237"/>
      <c r="X647" s="237"/>
      <c r="Y647" s="237"/>
      <c r="Z647" s="237"/>
      <c r="AA647" s="237"/>
      <c r="AB647" s="237"/>
      <c r="AC647" s="237"/>
      <c r="AD647" s="237"/>
      <c r="AE647" s="237"/>
      <c r="AF647" s="237"/>
      <c r="AG647" s="237"/>
      <c r="AH647" s="237"/>
      <c r="AI647" s="308"/>
      <c r="AJ647" s="308"/>
      <c r="AK647" s="308"/>
      <c r="AL647" s="308"/>
      <c r="AM647" s="98"/>
      <c r="AN647" s="98"/>
      <c r="AO647" s="98"/>
    </row>
    <row r="648" ht="14.25" customHeight="1">
      <c r="A648" s="179"/>
      <c r="B648" s="98"/>
      <c r="C648" s="98"/>
      <c r="D648" s="98"/>
      <c r="E648" s="98"/>
      <c r="F648" s="235"/>
      <c r="G648" s="235"/>
      <c r="H648" s="236"/>
      <c r="I648" s="236"/>
      <c r="J648" s="236"/>
      <c r="K648" s="236"/>
      <c r="L648" s="236"/>
      <c r="M648" s="236"/>
      <c r="N648" s="236"/>
      <c r="O648" s="236"/>
      <c r="P648" s="236"/>
      <c r="Q648" s="236"/>
      <c r="R648" s="236"/>
      <c r="S648" s="236"/>
      <c r="T648" s="236"/>
      <c r="U648" s="236"/>
      <c r="V648" s="236"/>
      <c r="W648" s="237"/>
      <c r="X648" s="237"/>
      <c r="Y648" s="237"/>
      <c r="Z648" s="237"/>
      <c r="AA648" s="237"/>
      <c r="AB648" s="237"/>
      <c r="AC648" s="237"/>
      <c r="AD648" s="237"/>
      <c r="AE648" s="237"/>
      <c r="AF648" s="237"/>
      <c r="AG648" s="237"/>
      <c r="AH648" s="237"/>
      <c r="AI648" s="308"/>
      <c r="AJ648" s="308"/>
      <c r="AK648" s="308"/>
      <c r="AL648" s="308"/>
      <c r="AM648" s="98"/>
      <c r="AN648" s="98"/>
      <c r="AO648" s="98"/>
    </row>
    <row r="649" ht="14.25" customHeight="1">
      <c r="A649" s="179"/>
      <c r="B649" s="98"/>
      <c r="C649" s="98"/>
      <c r="D649" s="98"/>
      <c r="E649" s="98"/>
      <c r="F649" s="235"/>
      <c r="G649" s="235"/>
      <c r="H649" s="236"/>
      <c r="I649" s="236"/>
      <c r="J649" s="236"/>
      <c r="K649" s="236"/>
      <c r="L649" s="236"/>
      <c r="M649" s="236"/>
      <c r="N649" s="236"/>
      <c r="O649" s="236"/>
      <c r="P649" s="236"/>
      <c r="Q649" s="236"/>
      <c r="R649" s="236"/>
      <c r="S649" s="236"/>
      <c r="T649" s="236"/>
      <c r="U649" s="236"/>
      <c r="V649" s="236"/>
      <c r="W649" s="237"/>
      <c r="X649" s="237"/>
      <c r="Y649" s="237"/>
      <c r="Z649" s="237"/>
      <c r="AA649" s="237"/>
      <c r="AB649" s="237"/>
      <c r="AC649" s="237"/>
      <c r="AD649" s="237"/>
      <c r="AE649" s="237"/>
      <c r="AF649" s="237"/>
      <c r="AG649" s="237"/>
      <c r="AH649" s="237"/>
      <c r="AI649" s="308"/>
      <c r="AJ649" s="308"/>
      <c r="AK649" s="308"/>
      <c r="AL649" s="308"/>
      <c r="AM649" s="98"/>
      <c r="AN649" s="98"/>
      <c r="AO649" s="98"/>
    </row>
    <row r="650" ht="14.25" customHeight="1">
      <c r="A650" s="179"/>
      <c r="B650" s="98"/>
      <c r="C650" s="98"/>
      <c r="D650" s="98"/>
      <c r="E650" s="98"/>
      <c r="F650" s="235"/>
      <c r="G650" s="235"/>
      <c r="H650" s="236"/>
      <c r="I650" s="236"/>
      <c r="J650" s="236"/>
      <c r="K650" s="236"/>
      <c r="L650" s="236"/>
      <c r="M650" s="236"/>
      <c r="N650" s="236"/>
      <c r="O650" s="236"/>
      <c r="P650" s="236"/>
      <c r="Q650" s="236"/>
      <c r="R650" s="236"/>
      <c r="S650" s="236"/>
      <c r="T650" s="236"/>
      <c r="U650" s="236"/>
      <c r="V650" s="236"/>
      <c r="W650" s="237"/>
      <c r="X650" s="237"/>
      <c r="Y650" s="237"/>
      <c r="Z650" s="237"/>
      <c r="AA650" s="237"/>
      <c r="AB650" s="237"/>
      <c r="AC650" s="237"/>
      <c r="AD650" s="237"/>
      <c r="AE650" s="237"/>
      <c r="AF650" s="237"/>
      <c r="AG650" s="237"/>
      <c r="AH650" s="237"/>
      <c r="AI650" s="308"/>
      <c r="AJ650" s="308"/>
      <c r="AK650" s="308"/>
      <c r="AL650" s="308"/>
      <c r="AM650" s="98"/>
      <c r="AN650" s="98"/>
      <c r="AO650" s="98"/>
    </row>
    <row r="651" ht="14.25" customHeight="1">
      <c r="A651" s="179"/>
      <c r="B651" s="98"/>
      <c r="C651" s="98"/>
      <c r="D651" s="98"/>
      <c r="E651" s="98"/>
      <c r="F651" s="235"/>
      <c r="G651" s="235"/>
      <c r="H651" s="236"/>
      <c r="I651" s="236"/>
      <c r="J651" s="236"/>
      <c r="K651" s="236"/>
      <c r="L651" s="236"/>
      <c r="M651" s="236"/>
      <c r="N651" s="236"/>
      <c r="O651" s="236"/>
      <c r="P651" s="236"/>
      <c r="Q651" s="236"/>
      <c r="R651" s="236"/>
      <c r="S651" s="236"/>
      <c r="T651" s="236"/>
      <c r="U651" s="236"/>
      <c r="V651" s="236"/>
      <c r="W651" s="237"/>
      <c r="X651" s="237"/>
      <c r="Y651" s="237"/>
      <c r="Z651" s="237"/>
      <c r="AA651" s="237"/>
      <c r="AB651" s="237"/>
      <c r="AC651" s="237"/>
      <c r="AD651" s="237"/>
      <c r="AE651" s="237"/>
      <c r="AF651" s="237"/>
      <c r="AG651" s="237"/>
      <c r="AH651" s="237"/>
      <c r="AI651" s="308"/>
      <c r="AJ651" s="308"/>
      <c r="AK651" s="308"/>
      <c r="AL651" s="308"/>
      <c r="AM651" s="98"/>
      <c r="AN651" s="98"/>
      <c r="AO651" s="98"/>
    </row>
    <row r="652" ht="14.25" customHeight="1">
      <c r="A652" s="179"/>
      <c r="B652" s="98"/>
      <c r="C652" s="98"/>
      <c r="D652" s="98"/>
      <c r="E652" s="98"/>
      <c r="F652" s="235"/>
      <c r="G652" s="235"/>
      <c r="H652" s="236"/>
      <c r="I652" s="236"/>
      <c r="J652" s="236"/>
      <c r="K652" s="236"/>
      <c r="L652" s="236"/>
      <c r="M652" s="236"/>
      <c r="N652" s="236"/>
      <c r="O652" s="236"/>
      <c r="P652" s="236"/>
      <c r="Q652" s="236"/>
      <c r="R652" s="236"/>
      <c r="S652" s="236"/>
      <c r="T652" s="236"/>
      <c r="U652" s="236"/>
      <c r="V652" s="236"/>
      <c r="W652" s="237"/>
      <c r="X652" s="237"/>
      <c r="Y652" s="237"/>
      <c r="Z652" s="237"/>
      <c r="AA652" s="237"/>
      <c r="AB652" s="237"/>
      <c r="AC652" s="237"/>
      <c r="AD652" s="237"/>
      <c r="AE652" s="237"/>
      <c r="AF652" s="237"/>
      <c r="AG652" s="237"/>
      <c r="AH652" s="237"/>
      <c r="AI652" s="308"/>
      <c r="AJ652" s="308"/>
      <c r="AK652" s="308"/>
      <c r="AL652" s="308"/>
      <c r="AM652" s="98"/>
      <c r="AN652" s="98"/>
      <c r="AO652" s="98"/>
    </row>
    <row r="653" ht="14.25" customHeight="1">
      <c r="A653" s="179"/>
      <c r="B653" s="98"/>
      <c r="C653" s="98"/>
      <c r="D653" s="98"/>
      <c r="E653" s="98"/>
      <c r="F653" s="235"/>
      <c r="G653" s="235"/>
      <c r="H653" s="236"/>
      <c r="I653" s="236"/>
      <c r="J653" s="236"/>
      <c r="K653" s="236"/>
      <c r="L653" s="236"/>
      <c r="M653" s="236"/>
      <c r="N653" s="236"/>
      <c r="O653" s="236"/>
      <c r="P653" s="236"/>
      <c r="Q653" s="236"/>
      <c r="R653" s="236"/>
      <c r="S653" s="236"/>
      <c r="T653" s="236"/>
      <c r="U653" s="236"/>
      <c r="V653" s="236"/>
      <c r="W653" s="237"/>
      <c r="X653" s="237"/>
      <c r="Y653" s="237"/>
      <c r="Z653" s="237"/>
      <c r="AA653" s="237"/>
      <c r="AB653" s="237"/>
      <c r="AC653" s="237"/>
      <c r="AD653" s="237"/>
      <c r="AE653" s="237"/>
      <c r="AF653" s="237"/>
      <c r="AG653" s="237"/>
      <c r="AH653" s="237"/>
      <c r="AI653" s="308"/>
      <c r="AJ653" s="308"/>
      <c r="AK653" s="308"/>
      <c r="AL653" s="308"/>
      <c r="AM653" s="98"/>
      <c r="AN653" s="98"/>
      <c r="AO653" s="98"/>
    </row>
    <row r="654" ht="14.25" customHeight="1">
      <c r="A654" s="179"/>
      <c r="B654" s="98"/>
      <c r="C654" s="98"/>
      <c r="D654" s="98"/>
      <c r="E654" s="98"/>
      <c r="F654" s="235"/>
      <c r="G654" s="235"/>
      <c r="H654" s="236"/>
      <c r="I654" s="236"/>
      <c r="J654" s="236"/>
      <c r="K654" s="236"/>
      <c r="L654" s="236"/>
      <c r="M654" s="236"/>
      <c r="N654" s="236"/>
      <c r="O654" s="236"/>
      <c r="P654" s="236"/>
      <c r="Q654" s="236"/>
      <c r="R654" s="236"/>
      <c r="S654" s="236"/>
      <c r="T654" s="236"/>
      <c r="U654" s="236"/>
      <c r="V654" s="236"/>
      <c r="W654" s="237"/>
      <c r="X654" s="237"/>
      <c r="Y654" s="237"/>
      <c r="Z654" s="237"/>
      <c r="AA654" s="237"/>
      <c r="AB654" s="237"/>
      <c r="AC654" s="237"/>
      <c r="AD654" s="237"/>
      <c r="AE654" s="237"/>
      <c r="AF654" s="237"/>
      <c r="AG654" s="237"/>
      <c r="AH654" s="237"/>
      <c r="AI654" s="308"/>
      <c r="AJ654" s="308"/>
      <c r="AK654" s="308"/>
      <c r="AL654" s="308"/>
      <c r="AM654" s="98"/>
      <c r="AN654" s="98"/>
      <c r="AO654" s="98"/>
    </row>
    <row r="655" ht="14.25" customHeight="1">
      <c r="A655" s="179"/>
      <c r="B655" s="98"/>
      <c r="C655" s="98"/>
      <c r="D655" s="98"/>
      <c r="E655" s="98"/>
      <c r="F655" s="235"/>
      <c r="G655" s="235"/>
      <c r="H655" s="236"/>
      <c r="I655" s="236"/>
      <c r="J655" s="236"/>
      <c r="K655" s="236"/>
      <c r="L655" s="236"/>
      <c r="M655" s="236"/>
      <c r="N655" s="236"/>
      <c r="O655" s="236"/>
      <c r="P655" s="236"/>
      <c r="Q655" s="236"/>
      <c r="R655" s="236"/>
      <c r="S655" s="236"/>
      <c r="T655" s="236"/>
      <c r="U655" s="236"/>
      <c r="V655" s="236"/>
      <c r="W655" s="237"/>
      <c r="X655" s="237"/>
      <c r="Y655" s="237"/>
      <c r="Z655" s="237"/>
      <c r="AA655" s="237"/>
      <c r="AB655" s="237"/>
      <c r="AC655" s="237"/>
      <c r="AD655" s="237"/>
      <c r="AE655" s="237"/>
      <c r="AF655" s="237"/>
      <c r="AG655" s="237"/>
      <c r="AH655" s="237"/>
      <c r="AI655" s="308"/>
      <c r="AJ655" s="308"/>
      <c r="AK655" s="308"/>
      <c r="AL655" s="308"/>
      <c r="AM655" s="98"/>
      <c r="AN655" s="98"/>
      <c r="AO655" s="98"/>
    </row>
    <row r="656" ht="14.25" customHeight="1">
      <c r="A656" s="179"/>
      <c r="B656" s="98"/>
      <c r="C656" s="98"/>
      <c r="D656" s="98"/>
      <c r="E656" s="98"/>
      <c r="F656" s="235"/>
      <c r="G656" s="235"/>
      <c r="H656" s="236"/>
      <c r="I656" s="236"/>
      <c r="J656" s="236"/>
      <c r="K656" s="236"/>
      <c r="L656" s="236"/>
      <c r="M656" s="236"/>
      <c r="N656" s="236"/>
      <c r="O656" s="236"/>
      <c r="P656" s="236"/>
      <c r="Q656" s="236"/>
      <c r="R656" s="236"/>
      <c r="S656" s="236"/>
      <c r="T656" s="236"/>
      <c r="U656" s="236"/>
      <c r="V656" s="236"/>
      <c r="W656" s="237"/>
      <c r="X656" s="237"/>
      <c r="Y656" s="237"/>
      <c r="Z656" s="237"/>
      <c r="AA656" s="237"/>
      <c r="AB656" s="237"/>
      <c r="AC656" s="237"/>
      <c r="AD656" s="237"/>
      <c r="AE656" s="237"/>
      <c r="AF656" s="237"/>
      <c r="AG656" s="237"/>
      <c r="AH656" s="237"/>
      <c r="AI656" s="308"/>
      <c r="AJ656" s="308"/>
      <c r="AK656" s="308"/>
      <c r="AL656" s="308"/>
      <c r="AM656" s="98"/>
      <c r="AN656" s="98"/>
      <c r="AO656" s="98"/>
    </row>
    <row r="657" ht="14.25" customHeight="1">
      <c r="A657" s="179"/>
      <c r="B657" s="98"/>
      <c r="C657" s="98"/>
      <c r="D657" s="98"/>
      <c r="E657" s="98"/>
      <c r="F657" s="235"/>
      <c r="G657" s="235"/>
      <c r="H657" s="236"/>
      <c r="I657" s="236"/>
      <c r="J657" s="236"/>
      <c r="K657" s="236"/>
      <c r="L657" s="236"/>
      <c r="M657" s="236"/>
      <c r="N657" s="236"/>
      <c r="O657" s="236"/>
      <c r="P657" s="236"/>
      <c r="Q657" s="236"/>
      <c r="R657" s="236"/>
      <c r="S657" s="236"/>
      <c r="T657" s="236"/>
      <c r="U657" s="236"/>
      <c r="V657" s="236"/>
      <c r="W657" s="237"/>
      <c r="X657" s="237"/>
      <c r="Y657" s="237"/>
      <c r="Z657" s="237"/>
      <c r="AA657" s="237"/>
      <c r="AB657" s="237"/>
      <c r="AC657" s="237"/>
      <c r="AD657" s="237"/>
      <c r="AE657" s="237"/>
      <c r="AF657" s="237"/>
      <c r="AG657" s="237"/>
      <c r="AH657" s="237"/>
      <c r="AI657" s="308"/>
      <c r="AJ657" s="308"/>
      <c r="AK657" s="308"/>
      <c r="AL657" s="308"/>
      <c r="AM657" s="98"/>
      <c r="AN657" s="98"/>
      <c r="AO657" s="98"/>
    </row>
    <row r="658" ht="14.25" customHeight="1">
      <c r="A658" s="179"/>
      <c r="B658" s="98"/>
      <c r="C658" s="98"/>
      <c r="D658" s="98"/>
      <c r="E658" s="98"/>
      <c r="F658" s="235"/>
      <c r="G658" s="235"/>
      <c r="H658" s="236"/>
      <c r="I658" s="236"/>
      <c r="J658" s="236"/>
      <c r="K658" s="236"/>
      <c r="L658" s="236"/>
      <c r="M658" s="236"/>
      <c r="N658" s="236"/>
      <c r="O658" s="236"/>
      <c r="P658" s="236"/>
      <c r="Q658" s="236"/>
      <c r="R658" s="236"/>
      <c r="S658" s="236"/>
      <c r="T658" s="236"/>
      <c r="U658" s="236"/>
      <c r="V658" s="236"/>
      <c r="W658" s="237"/>
      <c r="X658" s="237"/>
      <c r="Y658" s="237"/>
      <c r="Z658" s="237"/>
      <c r="AA658" s="237"/>
      <c r="AB658" s="237"/>
      <c r="AC658" s="237"/>
      <c r="AD658" s="237"/>
      <c r="AE658" s="237"/>
      <c r="AF658" s="237"/>
      <c r="AG658" s="237"/>
      <c r="AH658" s="237"/>
      <c r="AI658" s="308"/>
      <c r="AJ658" s="308"/>
      <c r="AK658" s="308"/>
      <c r="AL658" s="308"/>
      <c r="AM658" s="98"/>
      <c r="AN658" s="98"/>
      <c r="AO658" s="98"/>
    </row>
    <row r="659" ht="14.25" customHeight="1">
      <c r="A659" s="179"/>
      <c r="B659" s="98"/>
      <c r="C659" s="98"/>
      <c r="D659" s="98"/>
      <c r="E659" s="98"/>
      <c r="F659" s="235"/>
      <c r="G659" s="235"/>
      <c r="H659" s="236"/>
      <c r="I659" s="236"/>
      <c r="J659" s="236"/>
      <c r="K659" s="236"/>
      <c r="L659" s="236"/>
      <c r="M659" s="236"/>
      <c r="N659" s="236"/>
      <c r="O659" s="236"/>
      <c r="P659" s="236"/>
      <c r="Q659" s="236"/>
      <c r="R659" s="236"/>
      <c r="S659" s="236"/>
      <c r="T659" s="236"/>
      <c r="U659" s="236"/>
      <c r="V659" s="236"/>
      <c r="W659" s="237"/>
      <c r="X659" s="237"/>
      <c r="Y659" s="237"/>
      <c r="Z659" s="237"/>
      <c r="AA659" s="237"/>
      <c r="AB659" s="237"/>
      <c r="AC659" s="237"/>
      <c r="AD659" s="237"/>
      <c r="AE659" s="237"/>
      <c r="AF659" s="237"/>
      <c r="AG659" s="237"/>
      <c r="AH659" s="237"/>
      <c r="AI659" s="308"/>
      <c r="AJ659" s="308"/>
      <c r="AK659" s="308"/>
      <c r="AL659" s="308"/>
      <c r="AM659" s="98"/>
      <c r="AN659" s="98"/>
      <c r="AO659" s="98"/>
    </row>
    <row r="660" ht="14.25" customHeight="1">
      <c r="A660" s="179"/>
      <c r="B660" s="98"/>
      <c r="C660" s="98"/>
      <c r="D660" s="98"/>
      <c r="E660" s="98"/>
      <c r="F660" s="235"/>
      <c r="G660" s="235"/>
      <c r="H660" s="236"/>
      <c r="I660" s="236"/>
      <c r="J660" s="236"/>
      <c r="K660" s="236"/>
      <c r="L660" s="236"/>
      <c r="M660" s="236"/>
      <c r="N660" s="236"/>
      <c r="O660" s="236"/>
      <c r="P660" s="236"/>
      <c r="Q660" s="236"/>
      <c r="R660" s="236"/>
      <c r="S660" s="236"/>
      <c r="T660" s="236"/>
      <c r="U660" s="236"/>
      <c r="V660" s="236"/>
      <c r="W660" s="237"/>
      <c r="X660" s="237"/>
      <c r="Y660" s="237"/>
      <c r="Z660" s="237"/>
      <c r="AA660" s="237"/>
      <c r="AB660" s="237"/>
      <c r="AC660" s="237"/>
      <c r="AD660" s="237"/>
      <c r="AE660" s="237"/>
      <c r="AF660" s="237"/>
      <c r="AG660" s="237"/>
      <c r="AH660" s="237"/>
      <c r="AI660" s="308"/>
      <c r="AJ660" s="308"/>
      <c r="AK660" s="308"/>
      <c r="AL660" s="308"/>
      <c r="AM660" s="98"/>
      <c r="AN660" s="98"/>
      <c r="AO660" s="98"/>
    </row>
    <row r="661" ht="14.25" customHeight="1">
      <c r="A661" s="179"/>
      <c r="B661" s="98"/>
      <c r="C661" s="98"/>
      <c r="D661" s="98"/>
      <c r="E661" s="98"/>
      <c r="F661" s="235"/>
      <c r="G661" s="235"/>
      <c r="H661" s="236"/>
      <c r="I661" s="236"/>
      <c r="J661" s="236"/>
      <c r="K661" s="236"/>
      <c r="L661" s="236"/>
      <c r="M661" s="236"/>
      <c r="N661" s="236"/>
      <c r="O661" s="236"/>
      <c r="P661" s="236"/>
      <c r="Q661" s="236"/>
      <c r="R661" s="236"/>
      <c r="S661" s="236"/>
      <c r="T661" s="236"/>
      <c r="U661" s="236"/>
      <c r="V661" s="236"/>
      <c r="W661" s="237"/>
      <c r="X661" s="237"/>
      <c r="Y661" s="237"/>
      <c r="Z661" s="237"/>
      <c r="AA661" s="237"/>
      <c r="AB661" s="237"/>
      <c r="AC661" s="237"/>
      <c r="AD661" s="237"/>
      <c r="AE661" s="237"/>
      <c r="AF661" s="237"/>
      <c r="AG661" s="237"/>
      <c r="AH661" s="237"/>
      <c r="AI661" s="308"/>
      <c r="AJ661" s="308"/>
      <c r="AK661" s="308"/>
      <c r="AL661" s="308"/>
      <c r="AM661" s="98"/>
      <c r="AN661" s="98"/>
      <c r="AO661" s="98"/>
    </row>
    <row r="662" ht="14.25" customHeight="1">
      <c r="A662" s="179"/>
      <c r="B662" s="98"/>
      <c r="C662" s="98"/>
      <c r="D662" s="98"/>
      <c r="E662" s="98"/>
      <c r="F662" s="235"/>
      <c r="G662" s="235"/>
      <c r="H662" s="236"/>
      <c r="I662" s="236"/>
      <c r="J662" s="236"/>
      <c r="K662" s="236"/>
      <c r="L662" s="236"/>
      <c r="M662" s="236"/>
      <c r="N662" s="236"/>
      <c r="O662" s="236"/>
      <c r="P662" s="236"/>
      <c r="Q662" s="236"/>
      <c r="R662" s="236"/>
      <c r="S662" s="236"/>
      <c r="T662" s="236"/>
      <c r="U662" s="236"/>
      <c r="V662" s="236"/>
      <c r="W662" s="237"/>
      <c r="X662" s="237"/>
      <c r="Y662" s="237"/>
      <c r="Z662" s="237"/>
      <c r="AA662" s="237"/>
      <c r="AB662" s="237"/>
      <c r="AC662" s="237"/>
      <c r="AD662" s="237"/>
      <c r="AE662" s="237"/>
      <c r="AF662" s="237"/>
      <c r="AG662" s="237"/>
      <c r="AH662" s="237"/>
      <c r="AI662" s="308"/>
      <c r="AJ662" s="308"/>
      <c r="AK662" s="308"/>
      <c r="AL662" s="308"/>
      <c r="AM662" s="98"/>
      <c r="AN662" s="98"/>
      <c r="AO662" s="98"/>
    </row>
    <row r="663" ht="14.25" customHeight="1">
      <c r="A663" s="179"/>
      <c r="B663" s="98"/>
      <c r="C663" s="98"/>
      <c r="D663" s="98"/>
      <c r="E663" s="98"/>
      <c r="F663" s="235"/>
      <c r="G663" s="235"/>
      <c r="H663" s="236"/>
      <c r="I663" s="236"/>
      <c r="J663" s="236"/>
      <c r="K663" s="236"/>
      <c r="L663" s="236"/>
      <c r="M663" s="236"/>
      <c r="N663" s="236"/>
      <c r="O663" s="236"/>
      <c r="P663" s="236"/>
      <c r="Q663" s="236"/>
      <c r="R663" s="236"/>
      <c r="S663" s="236"/>
      <c r="T663" s="236"/>
      <c r="U663" s="236"/>
      <c r="V663" s="236"/>
      <c r="W663" s="237"/>
      <c r="X663" s="237"/>
      <c r="Y663" s="237"/>
      <c r="Z663" s="237"/>
      <c r="AA663" s="237"/>
      <c r="AB663" s="237"/>
      <c r="AC663" s="237"/>
      <c r="AD663" s="237"/>
      <c r="AE663" s="237"/>
      <c r="AF663" s="237"/>
      <c r="AG663" s="237"/>
      <c r="AH663" s="237"/>
      <c r="AI663" s="308"/>
      <c r="AJ663" s="308"/>
      <c r="AK663" s="308"/>
      <c r="AL663" s="308"/>
      <c r="AM663" s="98"/>
      <c r="AN663" s="98"/>
      <c r="AO663" s="98"/>
    </row>
    <row r="664" ht="14.25" customHeight="1">
      <c r="A664" s="179"/>
      <c r="B664" s="98"/>
      <c r="C664" s="98"/>
      <c r="D664" s="98"/>
      <c r="E664" s="98"/>
      <c r="F664" s="235"/>
      <c r="G664" s="235"/>
      <c r="H664" s="236"/>
      <c r="I664" s="236"/>
      <c r="J664" s="236"/>
      <c r="K664" s="236"/>
      <c r="L664" s="236"/>
      <c r="M664" s="236"/>
      <c r="N664" s="236"/>
      <c r="O664" s="236"/>
      <c r="P664" s="236"/>
      <c r="Q664" s="236"/>
      <c r="R664" s="236"/>
      <c r="S664" s="236"/>
      <c r="T664" s="236"/>
      <c r="U664" s="236"/>
      <c r="V664" s="236"/>
      <c r="W664" s="237"/>
      <c r="X664" s="237"/>
      <c r="Y664" s="237"/>
      <c r="Z664" s="237"/>
      <c r="AA664" s="237"/>
      <c r="AB664" s="237"/>
      <c r="AC664" s="237"/>
      <c r="AD664" s="237"/>
      <c r="AE664" s="237"/>
      <c r="AF664" s="237"/>
      <c r="AG664" s="237"/>
      <c r="AH664" s="237"/>
      <c r="AI664" s="308"/>
      <c r="AJ664" s="308"/>
      <c r="AK664" s="308"/>
      <c r="AL664" s="308"/>
      <c r="AM664" s="98"/>
      <c r="AN664" s="98"/>
      <c r="AO664" s="98"/>
    </row>
    <row r="665" ht="14.25" customHeight="1">
      <c r="A665" s="179"/>
      <c r="B665" s="98"/>
      <c r="C665" s="98"/>
      <c r="D665" s="98"/>
      <c r="E665" s="98"/>
      <c r="F665" s="235"/>
      <c r="G665" s="235"/>
      <c r="H665" s="236"/>
      <c r="I665" s="236"/>
      <c r="J665" s="236"/>
      <c r="K665" s="236"/>
      <c r="L665" s="236"/>
      <c r="M665" s="236"/>
      <c r="N665" s="236"/>
      <c r="O665" s="236"/>
      <c r="P665" s="236"/>
      <c r="Q665" s="236"/>
      <c r="R665" s="236"/>
      <c r="S665" s="236"/>
      <c r="T665" s="236"/>
      <c r="U665" s="236"/>
      <c r="V665" s="236"/>
      <c r="W665" s="237"/>
      <c r="X665" s="237"/>
      <c r="Y665" s="237"/>
      <c r="Z665" s="237"/>
      <c r="AA665" s="237"/>
      <c r="AB665" s="237"/>
      <c r="AC665" s="237"/>
      <c r="AD665" s="237"/>
      <c r="AE665" s="237"/>
      <c r="AF665" s="237"/>
      <c r="AG665" s="237"/>
      <c r="AH665" s="237"/>
      <c r="AI665" s="308"/>
      <c r="AJ665" s="308"/>
      <c r="AK665" s="308"/>
      <c r="AL665" s="308"/>
      <c r="AM665" s="98"/>
      <c r="AN665" s="98"/>
      <c r="AO665" s="98"/>
    </row>
    <row r="666" ht="14.25" customHeight="1">
      <c r="A666" s="179"/>
      <c r="B666" s="98"/>
      <c r="C666" s="98"/>
      <c r="D666" s="98"/>
      <c r="E666" s="98"/>
      <c r="F666" s="235"/>
      <c r="G666" s="235"/>
      <c r="H666" s="236"/>
      <c r="I666" s="236"/>
      <c r="J666" s="236"/>
      <c r="K666" s="236"/>
      <c r="L666" s="236"/>
      <c r="M666" s="236"/>
      <c r="N666" s="236"/>
      <c r="O666" s="236"/>
      <c r="P666" s="236"/>
      <c r="Q666" s="236"/>
      <c r="R666" s="236"/>
      <c r="S666" s="236"/>
      <c r="T666" s="236"/>
      <c r="U666" s="236"/>
      <c r="V666" s="236"/>
      <c r="W666" s="237"/>
      <c r="X666" s="237"/>
      <c r="Y666" s="237"/>
      <c r="Z666" s="237"/>
      <c r="AA666" s="237"/>
      <c r="AB666" s="237"/>
      <c r="AC666" s="237"/>
      <c r="AD666" s="237"/>
      <c r="AE666" s="237"/>
      <c r="AF666" s="237"/>
      <c r="AG666" s="237"/>
      <c r="AH666" s="237"/>
      <c r="AI666" s="308"/>
      <c r="AJ666" s="308"/>
      <c r="AK666" s="308"/>
      <c r="AL666" s="308"/>
      <c r="AM666" s="98"/>
      <c r="AN666" s="98"/>
      <c r="AO666" s="98"/>
    </row>
    <row r="667" ht="14.25" customHeight="1">
      <c r="A667" s="179"/>
      <c r="B667" s="98"/>
      <c r="C667" s="98"/>
      <c r="D667" s="98"/>
      <c r="E667" s="98"/>
      <c r="F667" s="235"/>
      <c r="G667" s="235"/>
      <c r="H667" s="236"/>
      <c r="I667" s="236"/>
      <c r="J667" s="236"/>
      <c r="K667" s="236"/>
      <c r="L667" s="236"/>
      <c r="M667" s="236"/>
      <c r="N667" s="236"/>
      <c r="O667" s="236"/>
      <c r="P667" s="236"/>
      <c r="Q667" s="236"/>
      <c r="R667" s="236"/>
      <c r="S667" s="236"/>
      <c r="T667" s="236"/>
      <c r="U667" s="236"/>
      <c r="V667" s="236"/>
      <c r="W667" s="237"/>
      <c r="X667" s="237"/>
      <c r="Y667" s="237"/>
      <c r="Z667" s="237"/>
      <c r="AA667" s="237"/>
      <c r="AB667" s="237"/>
      <c r="AC667" s="237"/>
      <c r="AD667" s="237"/>
      <c r="AE667" s="237"/>
      <c r="AF667" s="237"/>
      <c r="AG667" s="237"/>
      <c r="AH667" s="237"/>
      <c r="AI667" s="308"/>
      <c r="AJ667" s="308"/>
      <c r="AK667" s="308"/>
      <c r="AL667" s="308"/>
      <c r="AM667" s="98"/>
      <c r="AN667" s="98"/>
      <c r="AO667" s="98"/>
    </row>
    <row r="668" ht="14.25" customHeight="1">
      <c r="A668" s="179"/>
      <c r="B668" s="98"/>
      <c r="C668" s="98"/>
      <c r="D668" s="98"/>
      <c r="E668" s="98"/>
      <c r="F668" s="235"/>
      <c r="G668" s="235"/>
      <c r="H668" s="236"/>
      <c r="I668" s="236"/>
      <c r="J668" s="236"/>
      <c r="K668" s="236"/>
      <c r="L668" s="236"/>
      <c r="M668" s="236"/>
      <c r="N668" s="236"/>
      <c r="O668" s="236"/>
      <c r="P668" s="236"/>
      <c r="Q668" s="236"/>
      <c r="R668" s="236"/>
      <c r="S668" s="236"/>
      <c r="T668" s="236"/>
      <c r="U668" s="236"/>
      <c r="V668" s="236"/>
      <c r="W668" s="237"/>
      <c r="X668" s="237"/>
      <c r="Y668" s="237"/>
      <c r="Z668" s="237"/>
      <c r="AA668" s="237"/>
      <c r="AB668" s="237"/>
      <c r="AC668" s="237"/>
      <c r="AD668" s="237"/>
      <c r="AE668" s="237"/>
      <c r="AF668" s="237"/>
      <c r="AG668" s="237"/>
      <c r="AH668" s="237"/>
      <c r="AI668" s="308"/>
      <c r="AJ668" s="308"/>
      <c r="AK668" s="308"/>
      <c r="AL668" s="308"/>
      <c r="AM668" s="98"/>
      <c r="AN668" s="98"/>
      <c r="AO668" s="98"/>
    </row>
    <row r="669" ht="14.25" customHeight="1">
      <c r="A669" s="179"/>
      <c r="B669" s="98"/>
      <c r="C669" s="98"/>
      <c r="D669" s="98"/>
      <c r="E669" s="98"/>
      <c r="F669" s="235"/>
      <c r="G669" s="235"/>
      <c r="H669" s="236"/>
      <c r="I669" s="236"/>
      <c r="J669" s="236"/>
      <c r="K669" s="236"/>
      <c r="L669" s="236"/>
      <c r="M669" s="236"/>
      <c r="N669" s="236"/>
      <c r="O669" s="236"/>
      <c r="P669" s="236"/>
      <c r="Q669" s="236"/>
      <c r="R669" s="236"/>
      <c r="S669" s="236"/>
      <c r="T669" s="236"/>
      <c r="U669" s="236"/>
      <c r="V669" s="236"/>
      <c r="W669" s="237"/>
      <c r="X669" s="237"/>
      <c r="Y669" s="237"/>
      <c r="Z669" s="237"/>
      <c r="AA669" s="237"/>
      <c r="AB669" s="237"/>
      <c r="AC669" s="237"/>
      <c r="AD669" s="237"/>
      <c r="AE669" s="237"/>
      <c r="AF669" s="237"/>
      <c r="AG669" s="237"/>
      <c r="AH669" s="237"/>
      <c r="AI669" s="308"/>
      <c r="AJ669" s="308"/>
      <c r="AK669" s="308"/>
      <c r="AL669" s="308"/>
      <c r="AM669" s="98"/>
      <c r="AN669" s="98"/>
      <c r="AO669" s="98"/>
    </row>
    <row r="670" ht="14.25" customHeight="1">
      <c r="A670" s="179"/>
      <c r="B670" s="98"/>
      <c r="C670" s="98"/>
      <c r="D670" s="98"/>
      <c r="E670" s="98"/>
      <c r="F670" s="235"/>
      <c r="G670" s="235"/>
      <c r="H670" s="236"/>
      <c r="I670" s="236"/>
      <c r="J670" s="236"/>
      <c r="K670" s="236"/>
      <c r="L670" s="236"/>
      <c r="M670" s="236"/>
      <c r="N670" s="236"/>
      <c r="O670" s="236"/>
      <c r="P670" s="236"/>
      <c r="Q670" s="236"/>
      <c r="R670" s="236"/>
      <c r="S670" s="236"/>
      <c r="T670" s="236"/>
      <c r="U670" s="236"/>
      <c r="V670" s="236"/>
      <c r="W670" s="237"/>
      <c r="X670" s="237"/>
      <c r="Y670" s="237"/>
      <c r="Z670" s="237"/>
      <c r="AA670" s="237"/>
      <c r="AB670" s="237"/>
      <c r="AC670" s="237"/>
      <c r="AD670" s="237"/>
      <c r="AE670" s="237"/>
      <c r="AF670" s="237"/>
      <c r="AG670" s="237"/>
      <c r="AH670" s="237"/>
      <c r="AI670" s="308"/>
      <c r="AJ670" s="308"/>
      <c r="AK670" s="308"/>
      <c r="AL670" s="308"/>
      <c r="AM670" s="98"/>
      <c r="AN670" s="98"/>
      <c r="AO670" s="98"/>
    </row>
    <row r="671" ht="14.25" customHeight="1">
      <c r="A671" s="179"/>
      <c r="B671" s="98"/>
      <c r="C671" s="98"/>
      <c r="D671" s="98"/>
      <c r="E671" s="98"/>
      <c r="F671" s="235"/>
      <c r="G671" s="235"/>
      <c r="H671" s="236"/>
      <c r="I671" s="236"/>
      <c r="J671" s="236"/>
      <c r="K671" s="236"/>
      <c r="L671" s="236"/>
      <c r="M671" s="236"/>
      <c r="N671" s="236"/>
      <c r="O671" s="236"/>
      <c r="P671" s="236"/>
      <c r="Q671" s="236"/>
      <c r="R671" s="236"/>
      <c r="S671" s="236"/>
      <c r="T671" s="236"/>
      <c r="U671" s="236"/>
      <c r="V671" s="236"/>
      <c r="W671" s="237"/>
      <c r="X671" s="237"/>
      <c r="Y671" s="237"/>
      <c r="Z671" s="237"/>
      <c r="AA671" s="237"/>
      <c r="AB671" s="237"/>
      <c r="AC671" s="237"/>
      <c r="AD671" s="237"/>
      <c r="AE671" s="237"/>
      <c r="AF671" s="237"/>
      <c r="AG671" s="237"/>
      <c r="AH671" s="237"/>
      <c r="AI671" s="308"/>
      <c r="AJ671" s="308"/>
      <c r="AK671" s="308"/>
      <c r="AL671" s="308"/>
      <c r="AM671" s="98"/>
      <c r="AN671" s="98"/>
      <c r="AO671" s="98"/>
    </row>
    <row r="672" ht="14.25" customHeight="1">
      <c r="A672" s="179"/>
      <c r="B672" s="98"/>
      <c r="C672" s="98"/>
      <c r="D672" s="98"/>
      <c r="E672" s="98"/>
      <c r="F672" s="235"/>
      <c r="G672" s="235"/>
      <c r="H672" s="236"/>
      <c r="I672" s="236"/>
      <c r="J672" s="236"/>
      <c r="K672" s="236"/>
      <c r="L672" s="236"/>
      <c r="M672" s="236"/>
      <c r="N672" s="236"/>
      <c r="O672" s="236"/>
      <c r="P672" s="236"/>
      <c r="Q672" s="236"/>
      <c r="R672" s="236"/>
      <c r="S672" s="236"/>
      <c r="T672" s="236"/>
      <c r="U672" s="236"/>
      <c r="V672" s="236"/>
      <c r="W672" s="237"/>
      <c r="X672" s="237"/>
      <c r="Y672" s="237"/>
      <c r="Z672" s="237"/>
      <c r="AA672" s="237"/>
      <c r="AB672" s="237"/>
      <c r="AC672" s="237"/>
      <c r="AD672" s="237"/>
      <c r="AE672" s="237"/>
      <c r="AF672" s="237"/>
      <c r="AG672" s="237"/>
      <c r="AH672" s="237"/>
      <c r="AI672" s="308"/>
      <c r="AJ672" s="308"/>
      <c r="AK672" s="308"/>
      <c r="AL672" s="308"/>
      <c r="AM672" s="98"/>
      <c r="AN672" s="98"/>
      <c r="AO672" s="98"/>
    </row>
    <row r="673" ht="14.25" customHeight="1">
      <c r="A673" s="179"/>
      <c r="B673" s="98"/>
      <c r="C673" s="98"/>
      <c r="D673" s="98"/>
      <c r="E673" s="98"/>
      <c r="F673" s="235"/>
      <c r="G673" s="235"/>
      <c r="H673" s="236"/>
      <c r="I673" s="236"/>
      <c r="J673" s="236"/>
      <c r="K673" s="236"/>
      <c r="L673" s="236"/>
      <c r="M673" s="236"/>
      <c r="N673" s="236"/>
      <c r="O673" s="236"/>
      <c r="P673" s="236"/>
      <c r="Q673" s="236"/>
      <c r="R673" s="236"/>
      <c r="S673" s="236"/>
      <c r="T673" s="236"/>
      <c r="U673" s="236"/>
      <c r="V673" s="236"/>
      <c r="W673" s="237"/>
      <c r="X673" s="237"/>
      <c r="Y673" s="237"/>
      <c r="Z673" s="237"/>
      <c r="AA673" s="237"/>
      <c r="AB673" s="237"/>
      <c r="AC673" s="237"/>
      <c r="AD673" s="237"/>
      <c r="AE673" s="237"/>
      <c r="AF673" s="237"/>
      <c r="AG673" s="237"/>
      <c r="AH673" s="237"/>
      <c r="AI673" s="308"/>
      <c r="AJ673" s="308"/>
      <c r="AK673" s="308"/>
      <c r="AL673" s="308"/>
      <c r="AM673" s="98"/>
      <c r="AN673" s="98"/>
      <c r="AO673" s="98"/>
    </row>
    <row r="674" ht="14.25" customHeight="1">
      <c r="A674" s="179"/>
      <c r="B674" s="98"/>
      <c r="C674" s="98"/>
      <c r="D674" s="98"/>
      <c r="E674" s="98"/>
      <c r="F674" s="235"/>
      <c r="G674" s="235"/>
      <c r="H674" s="236"/>
      <c r="I674" s="236"/>
      <c r="J674" s="236"/>
      <c r="K674" s="236"/>
      <c r="L674" s="236"/>
      <c r="M674" s="236"/>
      <c r="N674" s="236"/>
      <c r="O674" s="236"/>
      <c r="P674" s="236"/>
      <c r="Q674" s="236"/>
      <c r="R674" s="236"/>
      <c r="S674" s="236"/>
      <c r="T674" s="236"/>
      <c r="U674" s="236"/>
      <c r="V674" s="236"/>
      <c r="W674" s="237"/>
      <c r="X674" s="237"/>
      <c r="Y674" s="237"/>
      <c r="Z674" s="237"/>
      <c r="AA674" s="237"/>
      <c r="AB674" s="237"/>
      <c r="AC674" s="237"/>
      <c r="AD674" s="237"/>
      <c r="AE674" s="237"/>
      <c r="AF674" s="237"/>
      <c r="AG674" s="237"/>
      <c r="AH674" s="237"/>
      <c r="AI674" s="308"/>
      <c r="AJ674" s="308"/>
      <c r="AK674" s="308"/>
      <c r="AL674" s="308"/>
      <c r="AM674" s="98"/>
      <c r="AN674" s="98"/>
      <c r="AO674" s="98"/>
    </row>
    <row r="675" ht="14.25" customHeight="1">
      <c r="A675" s="179"/>
      <c r="B675" s="98"/>
      <c r="C675" s="98"/>
      <c r="D675" s="98"/>
      <c r="E675" s="98"/>
      <c r="F675" s="235"/>
      <c r="G675" s="235"/>
      <c r="H675" s="236"/>
      <c r="I675" s="236"/>
      <c r="J675" s="236"/>
      <c r="K675" s="236"/>
      <c r="L675" s="236"/>
      <c r="M675" s="236"/>
      <c r="N675" s="236"/>
      <c r="O675" s="236"/>
      <c r="P675" s="236"/>
      <c r="Q675" s="236"/>
      <c r="R675" s="236"/>
      <c r="S675" s="236"/>
      <c r="T675" s="236"/>
      <c r="U675" s="236"/>
      <c r="V675" s="236"/>
      <c r="W675" s="237"/>
      <c r="X675" s="237"/>
      <c r="Y675" s="237"/>
      <c r="Z675" s="237"/>
      <c r="AA675" s="237"/>
      <c r="AB675" s="237"/>
      <c r="AC675" s="237"/>
      <c r="AD675" s="237"/>
      <c r="AE675" s="237"/>
      <c r="AF675" s="237"/>
      <c r="AG675" s="237"/>
      <c r="AH675" s="237"/>
      <c r="AI675" s="308"/>
      <c r="AJ675" s="308"/>
      <c r="AK675" s="308"/>
      <c r="AL675" s="308"/>
      <c r="AM675" s="98"/>
      <c r="AN675" s="98"/>
      <c r="AO675" s="98"/>
    </row>
    <row r="676" ht="14.25" customHeight="1">
      <c r="A676" s="179"/>
      <c r="B676" s="98"/>
      <c r="C676" s="98"/>
      <c r="D676" s="98"/>
      <c r="E676" s="98"/>
      <c r="F676" s="235"/>
      <c r="G676" s="235"/>
      <c r="H676" s="236"/>
      <c r="I676" s="236"/>
      <c r="J676" s="236"/>
      <c r="K676" s="236"/>
      <c r="L676" s="236"/>
      <c r="M676" s="236"/>
      <c r="N676" s="236"/>
      <c r="O676" s="236"/>
      <c r="P676" s="236"/>
      <c r="Q676" s="236"/>
      <c r="R676" s="236"/>
      <c r="S676" s="236"/>
      <c r="T676" s="236"/>
      <c r="U676" s="236"/>
      <c r="V676" s="236"/>
      <c r="W676" s="237"/>
      <c r="X676" s="237"/>
      <c r="Y676" s="237"/>
      <c r="Z676" s="237"/>
      <c r="AA676" s="237"/>
      <c r="AB676" s="237"/>
      <c r="AC676" s="237"/>
      <c r="AD676" s="237"/>
      <c r="AE676" s="237"/>
      <c r="AF676" s="237"/>
      <c r="AG676" s="237"/>
      <c r="AH676" s="237"/>
      <c r="AI676" s="308"/>
      <c r="AJ676" s="308"/>
      <c r="AK676" s="308"/>
      <c r="AL676" s="308"/>
      <c r="AM676" s="98"/>
      <c r="AN676" s="98"/>
      <c r="AO676" s="98"/>
    </row>
    <row r="677" ht="14.25" customHeight="1">
      <c r="A677" s="179"/>
      <c r="B677" s="98"/>
      <c r="C677" s="98"/>
      <c r="D677" s="98"/>
      <c r="E677" s="98"/>
      <c r="F677" s="235"/>
      <c r="G677" s="235"/>
      <c r="H677" s="236"/>
      <c r="I677" s="236"/>
      <c r="J677" s="236"/>
      <c r="K677" s="236"/>
      <c r="L677" s="236"/>
      <c r="M677" s="236"/>
      <c r="N677" s="236"/>
      <c r="O677" s="236"/>
      <c r="P677" s="236"/>
      <c r="Q677" s="236"/>
      <c r="R677" s="236"/>
      <c r="S677" s="236"/>
      <c r="T677" s="236"/>
      <c r="U677" s="236"/>
      <c r="V677" s="236"/>
      <c r="W677" s="237"/>
      <c r="X677" s="237"/>
      <c r="Y677" s="237"/>
      <c r="Z677" s="237"/>
      <c r="AA677" s="237"/>
      <c r="AB677" s="237"/>
      <c r="AC677" s="237"/>
      <c r="AD677" s="237"/>
      <c r="AE677" s="237"/>
      <c r="AF677" s="237"/>
      <c r="AG677" s="237"/>
      <c r="AH677" s="237"/>
      <c r="AI677" s="308"/>
      <c r="AJ677" s="308"/>
      <c r="AK677" s="308"/>
      <c r="AL677" s="308"/>
      <c r="AM677" s="98"/>
      <c r="AN677" s="98"/>
      <c r="AO677" s="98"/>
    </row>
    <row r="678" ht="14.25" customHeight="1">
      <c r="A678" s="179"/>
      <c r="B678" s="98"/>
      <c r="C678" s="98"/>
      <c r="D678" s="98"/>
      <c r="E678" s="98"/>
      <c r="F678" s="235"/>
      <c r="G678" s="235"/>
      <c r="H678" s="236"/>
      <c r="I678" s="236"/>
      <c r="J678" s="236"/>
      <c r="K678" s="236"/>
      <c r="L678" s="236"/>
      <c r="M678" s="236"/>
      <c r="N678" s="236"/>
      <c r="O678" s="236"/>
      <c r="P678" s="236"/>
      <c r="Q678" s="236"/>
      <c r="R678" s="236"/>
      <c r="S678" s="236"/>
      <c r="T678" s="236"/>
      <c r="U678" s="236"/>
      <c r="V678" s="236"/>
      <c r="W678" s="237"/>
      <c r="X678" s="237"/>
      <c r="Y678" s="237"/>
      <c r="Z678" s="237"/>
      <c r="AA678" s="237"/>
      <c r="AB678" s="237"/>
      <c r="AC678" s="237"/>
      <c r="AD678" s="237"/>
      <c r="AE678" s="237"/>
      <c r="AF678" s="237"/>
      <c r="AG678" s="237"/>
      <c r="AH678" s="237"/>
      <c r="AI678" s="308"/>
      <c r="AJ678" s="308"/>
      <c r="AK678" s="308"/>
      <c r="AL678" s="308"/>
      <c r="AM678" s="98"/>
      <c r="AN678" s="98"/>
      <c r="AO678" s="98"/>
    </row>
    <row r="679" ht="14.25" customHeight="1">
      <c r="A679" s="179"/>
      <c r="B679" s="98"/>
      <c r="C679" s="98"/>
      <c r="D679" s="98"/>
      <c r="E679" s="98"/>
      <c r="F679" s="235"/>
      <c r="G679" s="235"/>
      <c r="H679" s="236"/>
      <c r="I679" s="236"/>
      <c r="J679" s="236"/>
      <c r="K679" s="236"/>
      <c r="L679" s="236"/>
      <c r="M679" s="236"/>
      <c r="N679" s="236"/>
      <c r="O679" s="236"/>
      <c r="P679" s="236"/>
      <c r="Q679" s="236"/>
      <c r="R679" s="236"/>
      <c r="S679" s="236"/>
      <c r="T679" s="236"/>
      <c r="U679" s="236"/>
      <c r="V679" s="236"/>
      <c r="W679" s="237"/>
      <c r="X679" s="237"/>
      <c r="Y679" s="237"/>
      <c r="Z679" s="237"/>
      <c r="AA679" s="237"/>
      <c r="AB679" s="237"/>
      <c r="AC679" s="237"/>
      <c r="AD679" s="237"/>
      <c r="AE679" s="237"/>
      <c r="AF679" s="237"/>
      <c r="AG679" s="237"/>
      <c r="AH679" s="237"/>
      <c r="AI679" s="308"/>
      <c r="AJ679" s="308"/>
      <c r="AK679" s="308"/>
      <c r="AL679" s="308"/>
      <c r="AM679" s="98"/>
      <c r="AN679" s="98"/>
      <c r="AO679" s="98"/>
    </row>
    <row r="680" ht="14.25" customHeight="1">
      <c r="A680" s="179"/>
      <c r="B680" s="98"/>
      <c r="C680" s="98"/>
      <c r="D680" s="98"/>
      <c r="E680" s="98"/>
      <c r="F680" s="235"/>
      <c r="G680" s="235"/>
      <c r="H680" s="236"/>
      <c r="I680" s="236"/>
      <c r="J680" s="236"/>
      <c r="K680" s="236"/>
      <c r="L680" s="236"/>
      <c r="M680" s="236"/>
      <c r="N680" s="236"/>
      <c r="O680" s="236"/>
      <c r="P680" s="236"/>
      <c r="Q680" s="236"/>
      <c r="R680" s="236"/>
      <c r="S680" s="236"/>
      <c r="T680" s="236"/>
      <c r="U680" s="236"/>
      <c r="V680" s="236"/>
      <c r="W680" s="237"/>
      <c r="X680" s="237"/>
      <c r="Y680" s="237"/>
      <c r="Z680" s="237"/>
      <c r="AA680" s="237"/>
      <c r="AB680" s="237"/>
      <c r="AC680" s="237"/>
      <c r="AD680" s="237"/>
      <c r="AE680" s="237"/>
      <c r="AF680" s="237"/>
      <c r="AG680" s="237"/>
      <c r="AH680" s="237"/>
      <c r="AI680" s="308"/>
      <c r="AJ680" s="308"/>
      <c r="AK680" s="308"/>
      <c r="AL680" s="308"/>
      <c r="AM680" s="98"/>
      <c r="AN680" s="98"/>
      <c r="AO680" s="98"/>
    </row>
    <row r="681" ht="14.25" customHeight="1">
      <c r="A681" s="179"/>
      <c r="B681" s="98"/>
      <c r="C681" s="98"/>
      <c r="D681" s="98"/>
      <c r="E681" s="98"/>
      <c r="F681" s="235"/>
      <c r="G681" s="235"/>
      <c r="H681" s="236"/>
      <c r="I681" s="236"/>
      <c r="J681" s="236"/>
      <c r="K681" s="236"/>
      <c r="L681" s="236"/>
      <c r="M681" s="236"/>
      <c r="N681" s="236"/>
      <c r="O681" s="236"/>
      <c r="P681" s="236"/>
      <c r="Q681" s="236"/>
      <c r="R681" s="236"/>
      <c r="S681" s="236"/>
      <c r="T681" s="236"/>
      <c r="U681" s="236"/>
      <c r="V681" s="236"/>
      <c r="W681" s="237"/>
      <c r="X681" s="237"/>
      <c r="Y681" s="237"/>
      <c r="Z681" s="237"/>
      <c r="AA681" s="237"/>
      <c r="AB681" s="237"/>
      <c r="AC681" s="237"/>
      <c r="AD681" s="237"/>
      <c r="AE681" s="237"/>
      <c r="AF681" s="237"/>
      <c r="AG681" s="237"/>
      <c r="AH681" s="237"/>
      <c r="AI681" s="308"/>
      <c r="AJ681" s="308"/>
      <c r="AK681" s="308"/>
      <c r="AL681" s="308"/>
      <c r="AM681" s="98"/>
      <c r="AN681" s="98"/>
      <c r="AO681" s="98"/>
    </row>
    <row r="682" ht="14.25" customHeight="1">
      <c r="A682" s="179"/>
      <c r="B682" s="98"/>
      <c r="C682" s="98"/>
      <c r="D682" s="98"/>
      <c r="E682" s="98"/>
      <c r="F682" s="235"/>
      <c r="G682" s="235"/>
      <c r="H682" s="236"/>
      <c r="I682" s="236"/>
      <c r="J682" s="236"/>
      <c r="K682" s="236"/>
      <c r="L682" s="236"/>
      <c r="M682" s="236"/>
      <c r="N682" s="236"/>
      <c r="O682" s="236"/>
      <c r="P682" s="236"/>
      <c r="Q682" s="236"/>
      <c r="R682" s="236"/>
      <c r="S682" s="236"/>
      <c r="T682" s="236"/>
      <c r="U682" s="236"/>
      <c r="V682" s="236"/>
      <c r="W682" s="237"/>
      <c r="X682" s="237"/>
      <c r="Y682" s="237"/>
      <c r="Z682" s="237"/>
      <c r="AA682" s="237"/>
      <c r="AB682" s="237"/>
      <c r="AC682" s="237"/>
      <c r="AD682" s="237"/>
      <c r="AE682" s="237"/>
      <c r="AF682" s="237"/>
      <c r="AG682" s="237"/>
      <c r="AH682" s="237"/>
      <c r="AI682" s="308"/>
      <c r="AJ682" s="308"/>
      <c r="AK682" s="308"/>
      <c r="AL682" s="308"/>
      <c r="AM682" s="98"/>
      <c r="AN682" s="98"/>
      <c r="AO682" s="98"/>
    </row>
    <row r="683" ht="14.25" customHeight="1">
      <c r="A683" s="179"/>
      <c r="B683" s="98"/>
      <c r="C683" s="98"/>
      <c r="D683" s="98"/>
      <c r="E683" s="98"/>
      <c r="F683" s="235"/>
      <c r="G683" s="235"/>
      <c r="H683" s="236"/>
      <c r="I683" s="236"/>
      <c r="J683" s="236"/>
      <c r="K683" s="236"/>
      <c r="L683" s="236"/>
      <c r="M683" s="236"/>
      <c r="N683" s="236"/>
      <c r="O683" s="236"/>
      <c r="P683" s="236"/>
      <c r="Q683" s="236"/>
      <c r="R683" s="236"/>
      <c r="S683" s="236"/>
      <c r="T683" s="236"/>
      <c r="U683" s="236"/>
      <c r="V683" s="236"/>
      <c r="W683" s="237"/>
      <c r="X683" s="237"/>
      <c r="Y683" s="237"/>
      <c r="Z683" s="237"/>
      <c r="AA683" s="237"/>
      <c r="AB683" s="237"/>
      <c r="AC683" s="237"/>
      <c r="AD683" s="237"/>
      <c r="AE683" s="237"/>
      <c r="AF683" s="237"/>
      <c r="AG683" s="237"/>
      <c r="AH683" s="237"/>
      <c r="AI683" s="308"/>
      <c r="AJ683" s="308"/>
      <c r="AK683" s="308"/>
      <c r="AL683" s="308"/>
      <c r="AM683" s="98"/>
      <c r="AN683" s="98"/>
      <c r="AO683" s="98"/>
    </row>
    <row r="684" ht="14.25" customHeight="1">
      <c r="A684" s="179"/>
      <c r="B684" s="98"/>
      <c r="C684" s="98"/>
      <c r="D684" s="98"/>
      <c r="E684" s="98"/>
      <c r="F684" s="235"/>
      <c r="G684" s="235"/>
      <c r="H684" s="236"/>
      <c r="I684" s="236"/>
      <c r="J684" s="236"/>
      <c r="K684" s="236"/>
      <c r="L684" s="236"/>
      <c r="M684" s="236"/>
      <c r="N684" s="236"/>
      <c r="O684" s="236"/>
      <c r="P684" s="236"/>
      <c r="Q684" s="236"/>
      <c r="R684" s="236"/>
      <c r="S684" s="236"/>
      <c r="T684" s="236"/>
      <c r="U684" s="236"/>
      <c r="V684" s="236"/>
      <c r="W684" s="237"/>
      <c r="X684" s="237"/>
      <c r="Y684" s="237"/>
      <c r="Z684" s="237"/>
      <c r="AA684" s="237"/>
      <c r="AB684" s="237"/>
      <c r="AC684" s="237"/>
      <c r="AD684" s="237"/>
      <c r="AE684" s="237"/>
      <c r="AF684" s="237"/>
      <c r="AG684" s="237"/>
      <c r="AH684" s="237"/>
      <c r="AI684" s="308"/>
      <c r="AJ684" s="308"/>
      <c r="AK684" s="308"/>
      <c r="AL684" s="308"/>
      <c r="AM684" s="98"/>
      <c r="AN684" s="98"/>
      <c r="AO684" s="98"/>
    </row>
    <row r="685" ht="14.25" customHeight="1">
      <c r="A685" s="179"/>
      <c r="B685" s="98"/>
      <c r="C685" s="98"/>
      <c r="D685" s="98"/>
      <c r="E685" s="98"/>
      <c r="F685" s="235"/>
      <c r="G685" s="235"/>
      <c r="H685" s="236"/>
      <c r="I685" s="236"/>
      <c r="J685" s="236"/>
      <c r="K685" s="236"/>
      <c r="L685" s="236"/>
      <c r="M685" s="236"/>
      <c r="N685" s="236"/>
      <c r="O685" s="236"/>
      <c r="P685" s="236"/>
      <c r="Q685" s="236"/>
      <c r="R685" s="236"/>
      <c r="S685" s="236"/>
      <c r="T685" s="236"/>
      <c r="U685" s="236"/>
      <c r="V685" s="236"/>
      <c r="W685" s="237"/>
      <c r="X685" s="237"/>
      <c r="Y685" s="237"/>
      <c r="Z685" s="237"/>
      <c r="AA685" s="237"/>
      <c r="AB685" s="237"/>
      <c r="AC685" s="237"/>
      <c r="AD685" s="237"/>
      <c r="AE685" s="237"/>
      <c r="AF685" s="237"/>
      <c r="AG685" s="237"/>
      <c r="AH685" s="237"/>
      <c r="AI685" s="308"/>
      <c r="AJ685" s="308"/>
      <c r="AK685" s="308"/>
      <c r="AL685" s="308"/>
      <c r="AM685" s="98"/>
      <c r="AN685" s="98"/>
      <c r="AO685" s="98"/>
    </row>
    <row r="686" ht="14.25" customHeight="1">
      <c r="A686" s="179"/>
      <c r="B686" s="98"/>
      <c r="C686" s="98"/>
      <c r="D686" s="98"/>
      <c r="E686" s="98"/>
      <c r="F686" s="235"/>
      <c r="G686" s="235"/>
      <c r="H686" s="236"/>
      <c r="I686" s="236"/>
      <c r="J686" s="236"/>
      <c r="K686" s="236"/>
      <c r="L686" s="236"/>
      <c r="M686" s="236"/>
      <c r="N686" s="236"/>
      <c r="O686" s="236"/>
      <c r="P686" s="236"/>
      <c r="Q686" s="236"/>
      <c r="R686" s="236"/>
      <c r="S686" s="236"/>
      <c r="T686" s="236"/>
      <c r="U686" s="236"/>
      <c r="V686" s="236"/>
      <c r="W686" s="237"/>
      <c r="X686" s="237"/>
      <c r="Y686" s="237"/>
      <c r="Z686" s="237"/>
      <c r="AA686" s="237"/>
      <c r="AB686" s="237"/>
      <c r="AC686" s="237"/>
      <c r="AD686" s="237"/>
      <c r="AE686" s="237"/>
      <c r="AF686" s="237"/>
      <c r="AG686" s="237"/>
      <c r="AH686" s="237"/>
      <c r="AI686" s="308"/>
      <c r="AJ686" s="308"/>
      <c r="AK686" s="308"/>
      <c r="AL686" s="308"/>
      <c r="AM686" s="98"/>
      <c r="AN686" s="98"/>
      <c r="AO686" s="98"/>
    </row>
    <row r="687" ht="14.25" customHeight="1">
      <c r="A687" s="179"/>
      <c r="B687" s="98"/>
      <c r="C687" s="98"/>
      <c r="D687" s="98"/>
      <c r="E687" s="98"/>
      <c r="F687" s="235"/>
      <c r="G687" s="235"/>
      <c r="H687" s="236"/>
      <c r="I687" s="236"/>
      <c r="J687" s="236"/>
      <c r="K687" s="236"/>
      <c r="L687" s="236"/>
      <c r="M687" s="236"/>
      <c r="N687" s="236"/>
      <c r="O687" s="236"/>
      <c r="P687" s="236"/>
      <c r="Q687" s="236"/>
      <c r="R687" s="236"/>
      <c r="S687" s="236"/>
      <c r="T687" s="236"/>
      <c r="U687" s="236"/>
      <c r="V687" s="236"/>
      <c r="W687" s="237"/>
      <c r="X687" s="237"/>
      <c r="Y687" s="237"/>
      <c r="Z687" s="237"/>
      <c r="AA687" s="237"/>
      <c r="AB687" s="237"/>
      <c r="AC687" s="237"/>
      <c r="AD687" s="237"/>
      <c r="AE687" s="237"/>
      <c r="AF687" s="237"/>
      <c r="AG687" s="237"/>
      <c r="AH687" s="237"/>
      <c r="AI687" s="308"/>
      <c r="AJ687" s="308"/>
      <c r="AK687" s="308"/>
      <c r="AL687" s="308"/>
      <c r="AM687" s="98"/>
      <c r="AN687" s="98"/>
      <c r="AO687" s="98"/>
    </row>
    <row r="688" ht="14.25" customHeight="1">
      <c r="A688" s="179"/>
      <c r="B688" s="98"/>
      <c r="C688" s="98"/>
      <c r="D688" s="98"/>
      <c r="E688" s="98"/>
      <c r="F688" s="235"/>
      <c r="G688" s="235"/>
      <c r="H688" s="236"/>
      <c r="I688" s="236"/>
      <c r="J688" s="236"/>
      <c r="K688" s="236"/>
      <c r="L688" s="236"/>
      <c r="M688" s="236"/>
      <c r="N688" s="236"/>
      <c r="O688" s="236"/>
      <c r="P688" s="236"/>
      <c r="Q688" s="236"/>
      <c r="R688" s="236"/>
      <c r="S688" s="236"/>
      <c r="T688" s="236"/>
      <c r="U688" s="236"/>
      <c r="V688" s="236"/>
      <c r="W688" s="237"/>
      <c r="X688" s="237"/>
      <c r="Y688" s="237"/>
      <c r="Z688" s="237"/>
      <c r="AA688" s="237"/>
      <c r="AB688" s="237"/>
      <c r="AC688" s="237"/>
      <c r="AD688" s="237"/>
      <c r="AE688" s="237"/>
      <c r="AF688" s="237"/>
      <c r="AG688" s="237"/>
      <c r="AH688" s="237"/>
      <c r="AI688" s="308"/>
      <c r="AJ688" s="308"/>
      <c r="AK688" s="308"/>
      <c r="AL688" s="308"/>
      <c r="AM688" s="98"/>
      <c r="AN688" s="98"/>
      <c r="AO688" s="98"/>
    </row>
    <row r="689" ht="14.25" customHeight="1">
      <c r="A689" s="179"/>
      <c r="B689" s="98"/>
      <c r="C689" s="98"/>
      <c r="D689" s="98"/>
      <c r="E689" s="98"/>
      <c r="F689" s="235"/>
      <c r="G689" s="235"/>
      <c r="H689" s="236"/>
      <c r="I689" s="236"/>
      <c r="J689" s="236"/>
      <c r="K689" s="236"/>
      <c r="L689" s="236"/>
      <c r="M689" s="236"/>
      <c r="N689" s="236"/>
      <c r="O689" s="236"/>
      <c r="P689" s="236"/>
      <c r="Q689" s="236"/>
      <c r="R689" s="236"/>
      <c r="S689" s="236"/>
      <c r="T689" s="236"/>
      <c r="U689" s="236"/>
      <c r="V689" s="236"/>
      <c r="W689" s="237"/>
      <c r="X689" s="237"/>
      <c r="Y689" s="237"/>
      <c r="Z689" s="237"/>
      <c r="AA689" s="237"/>
      <c r="AB689" s="237"/>
      <c r="AC689" s="237"/>
      <c r="AD689" s="237"/>
      <c r="AE689" s="237"/>
      <c r="AF689" s="237"/>
      <c r="AG689" s="237"/>
      <c r="AH689" s="237"/>
      <c r="AI689" s="308"/>
      <c r="AJ689" s="308"/>
      <c r="AK689" s="308"/>
      <c r="AL689" s="308"/>
      <c r="AM689" s="98"/>
      <c r="AN689" s="98"/>
      <c r="AO689" s="98"/>
    </row>
    <row r="690" ht="14.25" customHeight="1">
      <c r="A690" s="179"/>
      <c r="B690" s="98"/>
      <c r="C690" s="98"/>
      <c r="D690" s="98"/>
      <c r="E690" s="98"/>
      <c r="F690" s="235"/>
      <c r="G690" s="235"/>
      <c r="H690" s="236"/>
      <c r="I690" s="236"/>
      <c r="J690" s="236"/>
      <c r="K690" s="236"/>
      <c r="L690" s="236"/>
      <c r="M690" s="236"/>
      <c r="N690" s="236"/>
      <c r="O690" s="236"/>
      <c r="P690" s="236"/>
      <c r="Q690" s="236"/>
      <c r="R690" s="236"/>
      <c r="S690" s="236"/>
      <c r="T690" s="236"/>
      <c r="U690" s="236"/>
      <c r="V690" s="236"/>
      <c r="W690" s="237"/>
      <c r="X690" s="237"/>
      <c r="Y690" s="237"/>
      <c r="Z690" s="237"/>
      <c r="AA690" s="237"/>
      <c r="AB690" s="237"/>
      <c r="AC690" s="237"/>
      <c r="AD690" s="237"/>
      <c r="AE690" s="237"/>
      <c r="AF690" s="237"/>
      <c r="AG690" s="237"/>
      <c r="AH690" s="237"/>
      <c r="AI690" s="308"/>
      <c r="AJ690" s="308"/>
      <c r="AK690" s="308"/>
      <c r="AL690" s="308"/>
      <c r="AM690" s="98"/>
      <c r="AN690" s="98"/>
      <c r="AO690" s="98"/>
    </row>
    <row r="691" ht="14.25" customHeight="1">
      <c r="A691" s="179"/>
      <c r="B691" s="98"/>
      <c r="C691" s="98"/>
      <c r="D691" s="98"/>
      <c r="E691" s="98"/>
      <c r="F691" s="235"/>
      <c r="G691" s="235"/>
      <c r="H691" s="236"/>
      <c r="I691" s="236"/>
      <c r="J691" s="236"/>
      <c r="K691" s="236"/>
      <c r="L691" s="236"/>
      <c r="M691" s="236"/>
      <c r="N691" s="236"/>
      <c r="O691" s="236"/>
      <c r="P691" s="236"/>
      <c r="Q691" s="236"/>
      <c r="R691" s="236"/>
      <c r="S691" s="236"/>
      <c r="T691" s="236"/>
      <c r="U691" s="236"/>
      <c r="V691" s="236"/>
      <c r="W691" s="237"/>
      <c r="X691" s="237"/>
      <c r="Y691" s="237"/>
      <c r="Z691" s="237"/>
      <c r="AA691" s="237"/>
      <c r="AB691" s="237"/>
      <c r="AC691" s="237"/>
      <c r="AD691" s="237"/>
      <c r="AE691" s="237"/>
      <c r="AF691" s="237"/>
      <c r="AG691" s="237"/>
      <c r="AH691" s="237"/>
      <c r="AI691" s="308"/>
      <c r="AJ691" s="308"/>
      <c r="AK691" s="308"/>
      <c r="AL691" s="308"/>
      <c r="AM691" s="98"/>
      <c r="AN691" s="98"/>
      <c r="AO691" s="98"/>
    </row>
    <row r="692" ht="14.25" customHeight="1">
      <c r="A692" s="179"/>
      <c r="B692" s="98"/>
      <c r="C692" s="98"/>
      <c r="D692" s="98"/>
      <c r="E692" s="98"/>
      <c r="F692" s="235"/>
      <c r="G692" s="235"/>
      <c r="H692" s="236"/>
      <c r="I692" s="236"/>
      <c r="J692" s="236"/>
      <c r="K692" s="236"/>
      <c r="L692" s="236"/>
      <c r="M692" s="236"/>
      <c r="N692" s="236"/>
      <c r="O692" s="236"/>
      <c r="P692" s="236"/>
      <c r="Q692" s="236"/>
      <c r="R692" s="236"/>
      <c r="S692" s="236"/>
      <c r="T692" s="236"/>
      <c r="U692" s="236"/>
      <c r="V692" s="236"/>
      <c r="W692" s="237"/>
      <c r="X692" s="237"/>
      <c r="Y692" s="237"/>
      <c r="Z692" s="237"/>
      <c r="AA692" s="237"/>
      <c r="AB692" s="237"/>
      <c r="AC692" s="237"/>
      <c r="AD692" s="237"/>
      <c r="AE692" s="237"/>
      <c r="AF692" s="237"/>
      <c r="AG692" s="237"/>
      <c r="AH692" s="237"/>
      <c r="AI692" s="308"/>
      <c r="AJ692" s="308"/>
      <c r="AK692" s="308"/>
      <c r="AL692" s="308"/>
      <c r="AM692" s="98"/>
      <c r="AN692" s="98"/>
      <c r="AO692" s="98"/>
    </row>
    <row r="693" ht="14.25" customHeight="1">
      <c r="A693" s="179"/>
      <c r="B693" s="98"/>
      <c r="C693" s="98"/>
      <c r="D693" s="98"/>
      <c r="E693" s="98"/>
      <c r="F693" s="235"/>
      <c r="G693" s="235"/>
      <c r="H693" s="236"/>
      <c r="I693" s="236"/>
      <c r="J693" s="236"/>
      <c r="K693" s="236"/>
      <c r="L693" s="236"/>
      <c r="M693" s="236"/>
      <c r="N693" s="236"/>
      <c r="O693" s="236"/>
      <c r="P693" s="236"/>
      <c r="Q693" s="236"/>
      <c r="R693" s="236"/>
      <c r="S693" s="236"/>
      <c r="T693" s="236"/>
      <c r="U693" s="236"/>
      <c r="V693" s="236"/>
      <c r="W693" s="237"/>
      <c r="X693" s="237"/>
      <c r="Y693" s="237"/>
      <c r="Z693" s="237"/>
      <c r="AA693" s="237"/>
      <c r="AB693" s="237"/>
      <c r="AC693" s="237"/>
      <c r="AD693" s="237"/>
      <c r="AE693" s="237"/>
      <c r="AF693" s="237"/>
      <c r="AG693" s="237"/>
      <c r="AH693" s="237"/>
      <c r="AI693" s="308"/>
      <c r="AJ693" s="308"/>
      <c r="AK693" s="308"/>
      <c r="AL693" s="308"/>
      <c r="AM693" s="98"/>
      <c r="AN693" s="98"/>
      <c r="AO693" s="98"/>
    </row>
    <row r="694" ht="14.25" customHeight="1">
      <c r="A694" s="179"/>
      <c r="B694" s="98"/>
      <c r="C694" s="98"/>
      <c r="D694" s="98"/>
      <c r="E694" s="98"/>
      <c r="F694" s="235"/>
      <c r="G694" s="235"/>
      <c r="H694" s="236"/>
      <c r="I694" s="236"/>
      <c r="J694" s="236"/>
      <c r="K694" s="236"/>
      <c r="L694" s="236"/>
      <c r="M694" s="236"/>
      <c r="N694" s="236"/>
      <c r="O694" s="236"/>
      <c r="P694" s="236"/>
      <c r="Q694" s="236"/>
      <c r="R694" s="236"/>
      <c r="S694" s="236"/>
      <c r="T694" s="236"/>
      <c r="U694" s="236"/>
      <c r="V694" s="236"/>
      <c r="W694" s="237"/>
      <c r="X694" s="237"/>
      <c r="Y694" s="237"/>
      <c r="Z694" s="237"/>
      <c r="AA694" s="237"/>
      <c r="AB694" s="237"/>
      <c r="AC694" s="237"/>
      <c r="AD694" s="237"/>
      <c r="AE694" s="237"/>
      <c r="AF694" s="237"/>
      <c r="AG694" s="237"/>
      <c r="AH694" s="237"/>
      <c r="AI694" s="308"/>
      <c r="AJ694" s="308"/>
      <c r="AK694" s="308"/>
      <c r="AL694" s="308"/>
      <c r="AM694" s="98"/>
      <c r="AN694" s="98"/>
      <c r="AO694" s="98"/>
    </row>
    <row r="695" ht="14.25" customHeight="1">
      <c r="A695" s="179"/>
      <c r="B695" s="98"/>
      <c r="C695" s="98"/>
      <c r="D695" s="98"/>
      <c r="E695" s="98"/>
      <c r="F695" s="235"/>
      <c r="G695" s="235"/>
      <c r="H695" s="236"/>
      <c r="I695" s="236"/>
      <c r="J695" s="236"/>
      <c r="K695" s="236"/>
      <c r="L695" s="236"/>
      <c r="M695" s="236"/>
      <c r="N695" s="236"/>
      <c r="O695" s="236"/>
      <c r="P695" s="236"/>
      <c r="Q695" s="236"/>
      <c r="R695" s="236"/>
      <c r="S695" s="236"/>
      <c r="T695" s="236"/>
      <c r="U695" s="236"/>
      <c r="V695" s="236"/>
      <c r="W695" s="237"/>
      <c r="X695" s="237"/>
      <c r="Y695" s="237"/>
      <c r="Z695" s="237"/>
      <c r="AA695" s="237"/>
      <c r="AB695" s="237"/>
      <c r="AC695" s="237"/>
      <c r="AD695" s="237"/>
      <c r="AE695" s="237"/>
      <c r="AF695" s="237"/>
      <c r="AG695" s="237"/>
      <c r="AH695" s="237"/>
      <c r="AI695" s="308"/>
      <c r="AJ695" s="308"/>
      <c r="AK695" s="308"/>
      <c r="AL695" s="308"/>
      <c r="AM695" s="98"/>
      <c r="AN695" s="98"/>
      <c r="AO695" s="98"/>
    </row>
    <row r="696" ht="14.25" customHeight="1">
      <c r="A696" s="179"/>
      <c r="B696" s="98"/>
      <c r="C696" s="98"/>
      <c r="D696" s="98"/>
      <c r="E696" s="98"/>
      <c r="F696" s="235"/>
      <c r="G696" s="235"/>
      <c r="H696" s="236"/>
      <c r="I696" s="236"/>
      <c r="J696" s="236"/>
      <c r="K696" s="236"/>
      <c r="L696" s="236"/>
      <c r="M696" s="236"/>
      <c r="N696" s="236"/>
      <c r="O696" s="236"/>
      <c r="P696" s="236"/>
      <c r="Q696" s="236"/>
      <c r="R696" s="236"/>
      <c r="S696" s="236"/>
      <c r="T696" s="236"/>
      <c r="U696" s="236"/>
      <c r="V696" s="236"/>
      <c r="W696" s="237"/>
      <c r="X696" s="237"/>
      <c r="Y696" s="237"/>
      <c r="Z696" s="237"/>
      <c r="AA696" s="237"/>
      <c r="AB696" s="237"/>
      <c r="AC696" s="237"/>
      <c r="AD696" s="237"/>
      <c r="AE696" s="237"/>
      <c r="AF696" s="237"/>
      <c r="AG696" s="237"/>
      <c r="AH696" s="237"/>
      <c r="AI696" s="308"/>
      <c r="AJ696" s="308"/>
      <c r="AK696" s="308"/>
      <c r="AL696" s="308"/>
      <c r="AM696" s="98"/>
      <c r="AN696" s="98"/>
      <c r="AO696" s="98"/>
    </row>
    <row r="697" ht="14.25" customHeight="1">
      <c r="A697" s="179"/>
      <c r="B697" s="98"/>
      <c r="C697" s="98"/>
      <c r="D697" s="98"/>
      <c r="E697" s="98"/>
      <c r="F697" s="235"/>
      <c r="G697" s="235"/>
      <c r="H697" s="236"/>
      <c r="I697" s="236"/>
      <c r="J697" s="236"/>
      <c r="K697" s="236"/>
      <c r="L697" s="236"/>
      <c r="M697" s="236"/>
      <c r="N697" s="236"/>
      <c r="O697" s="236"/>
      <c r="P697" s="236"/>
      <c r="Q697" s="236"/>
      <c r="R697" s="236"/>
      <c r="S697" s="236"/>
      <c r="T697" s="236"/>
      <c r="U697" s="236"/>
      <c r="V697" s="236"/>
      <c r="W697" s="237"/>
      <c r="X697" s="237"/>
      <c r="Y697" s="237"/>
      <c r="Z697" s="237"/>
      <c r="AA697" s="237"/>
      <c r="AB697" s="237"/>
      <c r="AC697" s="237"/>
      <c r="AD697" s="237"/>
      <c r="AE697" s="237"/>
      <c r="AF697" s="237"/>
      <c r="AG697" s="237"/>
      <c r="AH697" s="237"/>
      <c r="AI697" s="308"/>
      <c r="AJ697" s="308"/>
      <c r="AK697" s="308"/>
      <c r="AL697" s="308"/>
      <c r="AM697" s="98"/>
      <c r="AN697" s="98"/>
      <c r="AO697" s="98"/>
    </row>
    <row r="698" ht="14.25" customHeight="1">
      <c r="A698" s="179"/>
      <c r="B698" s="98"/>
      <c r="C698" s="98"/>
      <c r="D698" s="98"/>
      <c r="E698" s="98"/>
      <c r="F698" s="235"/>
      <c r="G698" s="235"/>
      <c r="H698" s="236"/>
      <c r="I698" s="236"/>
      <c r="J698" s="236"/>
      <c r="K698" s="236"/>
      <c r="L698" s="236"/>
      <c r="M698" s="236"/>
      <c r="N698" s="236"/>
      <c r="O698" s="236"/>
      <c r="P698" s="236"/>
      <c r="Q698" s="236"/>
      <c r="R698" s="236"/>
      <c r="S698" s="236"/>
      <c r="T698" s="236"/>
      <c r="U698" s="236"/>
      <c r="V698" s="236"/>
      <c r="W698" s="237"/>
      <c r="X698" s="237"/>
      <c r="Y698" s="237"/>
      <c r="Z698" s="237"/>
      <c r="AA698" s="237"/>
      <c r="AB698" s="237"/>
      <c r="AC698" s="237"/>
      <c r="AD698" s="237"/>
      <c r="AE698" s="237"/>
      <c r="AF698" s="237"/>
      <c r="AG698" s="237"/>
      <c r="AH698" s="237"/>
      <c r="AI698" s="308"/>
      <c r="AJ698" s="308"/>
      <c r="AK698" s="308"/>
      <c r="AL698" s="308"/>
      <c r="AM698" s="98"/>
      <c r="AN698" s="98"/>
      <c r="AO698" s="98"/>
    </row>
    <row r="699" ht="14.25" customHeight="1">
      <c r="A699" s="179"/>
      <c r="B699" s="98"/>
      <c r="C699" s="98"/>
      <c r="D699" s="98"/>
      <c r="E699" s="98"/>
      <c r="F699" s="235"/>
      <c r="G699" s="235"/>
      <c r="H699" s="236"/>
      <c r="I699" s="236"/>
      <c r="J699" s="236"/>
      <c r="K699" s="236"/>
      <c r="L699" s="236"/>
      <c r="M699" s="236"/>
      <c r="N699" s="236"/>
      <c r="O699" s="236"/>
      <c r="P699" s="236"/>
      <c r="Q699" s="236"/>
      <c r="R699" s="236"/>
      <c r="S699" s="236"/>
      <c r="T699" s="236"/>
      <c r="U699" s="236"/>
      <c r="V699" s="236"/>
      <c r="W699" s="237"/>
      <c r="X699" s="237"/>
      <c r="Y699" s="237"/>
      <c r="Z699" s="237"/>
      <c r="AA699" s="237"/>
      <c r="AB699" s="237"/>
      <c r="AC699" s="237"/>
      <c r="AD699" s="237"/>
      <c r="AE699" s="237"/>
      <c r="AF699" s="237"/>
      <c r="AG699" s="237"/>
      <c r="AH699" s="237"/>
      <c r="AI699" s="308"/>
      <c r="AJ699" s="308"/>
      <c r="AK699" s="308"/>
      <c r="AL699" s="308"/>
      <c r="AM699" s="98"/>
      <c r="AN699" s="98"/>
      <c r="AO699" s="98"/>
    </row>
    <row r="700" ht="14.25" customHeight="1">
      <c r="A700" s="179"/>
      <c r="B700" s="98"/>
      <c r="C700" s="98"/>
      <c r="D700" s="98"/>
      <c r="E700" s="98"/>
      <c r="F700" s="235"/>
      <c r="G700" s="235"/>
      <c r="H700" s="236"/>
      <c r="I700" s="236"/>
      <c r="J700" s="236"/>
      <c r="K700" s="236"/>
      <c r="L700" s="236"/>
      <c r="M700" s="236"/>
      <c r="N700" s="236"/>
      <c r="O700" s="236"/>
      <c r="P700" s="236"/>
      <c r="Q700" s="236"/>
      <c r="R700" s="236"/>
      <c r="S700" s="236"/>
      <c r="T700" s="236"/>
      <c r="U700" s="236"/>
      <c r="V700" s="236"/>
      <c r="W700" s="237"/>
      <c r="X700" s="237"/>
      <c r="Y700" s="237"/>
      <c r="Z700" s="237"/>
      <c r="AA700" s="237"/>
      <c r="AB700" s="237"/>
      <c r="AC700" s="237"/>
      <c r="AD700" s="237"/>
      <c r="AE700" s="237"/>
      <c r="AF700" s="237"/>
      <c r="AG700" s="237"/>
      <c r="AH700" s="237"/>
      <c r="AI700" s="308"/>
      <c r="AJ700" s="308"/>
      <c r="AK700" s="308"/>
      <c r="AL700" s="308"/>
      <c r="AM700" s="98"/>
      <c r="AN700" s="98"/>
      <c r="AO700" s="98"/>
    </row>
    <row r="701" ht="14.25" customHeight="1">
      <c r="A701" s="179"/>
      <c r="B701" s="98"/>
      <c r="C701" s="98"/>
      <c r="D701" s="98"/>
      <c r="E701" s="98"/>
      <c r="F701" s="235"/>
      <c r="G701" s="235"/>
      <c r="H701" s="236"/>
      <c r="I701" s="236"/>
      <c r="J701" s="236"/>
      <c r="K701" s="236"/>
      <c r="L701" s="236"/>
      <c r="M701" s="236"/>
      <c r="N701" s="236"/>
      <c r="O701" s="236"/>
      <c r="P701" s="236"/>
      <c r="Q701" s="236"/>
      <c r="R701" s="236"/>
      <c r="S701" s="236"/>
      <c r="T701" s="236"/>
      <c r="U701" s="236"/>
      <c r="V701" s="236"/>
      <c r="W701" s="237"/>
      <c r="X701" s="237"/>
      <c r="Y701" s="237"/>
      <c r="Z701" s="237"/>
      <c r="AA701" s="237"/>
      <c r="AB701" s="237"/>
      <c r="AC701" s="237"/>
      <c r="AD701" s="237"/>
      <c r="AE701" s="237"/>
      <c r="AF701" s="237"/>
      <c r="AG701" s="237"/>
      <c r="AH701" s="237"/>
      <c r="AI701" s="308"/>
      <c r="AJ701" s="308"/>
      <c r="AK701" s="308"/>
      <c r="AL701" s="308"/>
      <c r="AM701" s="98"/>
      <c r="AN701" s="98"/>
      <c r="AO701" s="98"/>
    </row>
    <row r="702" ht="14.25" customHeight="1">
      <c r="A702" s="179"/>
      <c r="B702" s="98"/>
      <c r="C702" s="98"/>
      <c r="D702" s="98"/>
      <c r="E702" s="98"/>
      <c r="F702" s="235"/>
      <c r="G702" s="235"/>
      <c r="H702" s="236"/>
      <c r="I702" s="236"/>
      <c r="J702" s="236"/>
      <c r="K702" s="236"/>
      <c r="L702" s="236"/>
      <c r="M702" s="236"/>
      <c r="N702" s="236"/>
      <c r="O702" s="236"/>
      <c r="P702" s="236"/>
      <c r="Q702" s="236"/>
      <c r="R702" s="236"/>
      <c r="S702" s="236"/>
      <c r="T702" s="236"/>
      <c r="U702" s="236"/>
      <c r="V702" s="236"/>
      <c r="W702" s="237"/>
      <c r="X702" s="237"/>
      <c r="Y702" s="237"/>
      <c r="Z702" s="237"/>
      <c r="AA702" s="237"/>
      <c r="AB702" s="237"/>
      <c r="AC702" s="237"/>
      <c r="AD702" s="237"/>
      <c r="AE702" s="237"/>
      <c r="AF702" s="237"/>
      <c r="AG702" s="237"/>
      <c r="AH702" s="237"/>
      <c r="AI702" s="308"/>
      <c r="AJ702" s="308"/>
      <c r="AK702" s="308"/>
      <c r="AL702" s="308"/>
      <c r="AM702" s="98"/>
      <c r="AN702" s="98"/>
      <c r="AO702" s="98"/>
    </row>
    <row r="703" ht="14.25" customHeight="1">
      <c r="A703" s="179"/>
      <c r="B703" s="98"/>
      <c r="C703" s="98"/>
      <c r="D703" s="98"/>
      <c r="E703" s="98"/>
      <c r="F703" s="235"/>
      <c r="G703" s="235"/>
      <c r="H703" s="236"/>
      <c r="I703" s="236"/>
      <c r="J703" s="236"/>
      <c r="K703" s="236"/>
      <c r="L703" s="236"/>
      <c r="M703" s="236"/>
      <c r="N703" s="236"/>
      <c r="O703" s="236"/>
      <c r="P703" s="236"/>
      <c r="Q703" s="236"/>
      <c r="R703" s="236"/>
      <c r="S703" s="236"/>
      <c r="T703" s="236"/>
      <c r="U703" s="236"/>
      <c r="V703" s="236"/>
      <c r="W703" s="237"/>
      <c r="X703" s="237"/>
      <c r="Y703" s="237"/>
      <c r="Z703" s="237"/>
      <c r="AA703" s="237"/>
      <c r="AB703" s="237"/>
      <c r="AC703" s="237"/>
      <c r="AD703" s="237"/>
      <c r="AE703" s="237"/>
      <c r="AF703" s="237"/>
      <c r="AG703" s="237"/>
      <c r="AH703" s="237"/>
      <c r="AI703" s="308"/>
      <c r="AJ703" s="308"/>
      <c r="AK703" s="308"/>
      <c r="AL703" s="308"/>
      <c r="AM703" s="98"/>
      <c r="AN703" s="98"/>
      <c r="AO703" s="98"/>
    </row>
    <row r="704" ht="14.25" customHeight="1">
      <c r="A704" s="179"/>
      <c r="B704" s="98"/>
      <c r="C704" s="98"/>
      <c r="D704" s="98"/>
      <c r="E704" s="98"/>
      <c r="F704" s="235"/>
      <c r="G704" s="235"/>
      <c r="H704" s="236"/>
      <c r="I704" s="236"/>
      <c r="J704" s="236"/>
      <c r="K704" s="236"/>
      <c r="L704" s="236"/>
      <c r="M704" s="236"/>
      <c r="N704" s="236"/>
      <c r="O704" s="236"/>
      <c r="P704" s="236"/>
      <c r="Q704" s="236"/>
      <c r="R704" s="236"/>
      <c r="S704" s="236"/>
      <c r="T704" s="236"/>
      <c r="U704" s="236"/>
      <c r="V704" s="236"/>
      <c r="W704" s="237"/>
      <c r="X704" s="237"/>
      <c r="Y704" s="237"/>
      <c r="Z704" s="237"/>
      <c r="AA704" s="237"/>
      <c r="AB704" s="237"/>
      <c r="AC704" s="237"/>
      <c r="AD704" s="237"/>
      <c r="AE704" s="237"/>
      <c r="AF704" s="237"/>
      <c r="AG704" s="237"/>
      <c r="AH704" s="237"/>
      <c r="AI704" s="308"/>
      <c r="AJ704" s="308"/>
      <c r="AK704" s="308"/>
      <c r="AL704" s="308"/>
      <c r="AM704" s="98"/>
      <c r="AN704" s="98"/>
      <c r="AO704" s="98"/>
    </row>
    <row r="705" ht="14.25" customHeight="1">
      <c r="A705" s="179"/>
      <c r="B705" s="98"/>
      <c r="C705" s="98"/>
      <c r="D705" s="98"/>
      <c r="E705" s="98"/>
      <c r="F705" s="235"/>
      <c r="G705" s="235"/>
      <c r="H705" s="236"/>
      <c r="I705" s="236"/>
      <c r="J705" s="236"/>
      <c r="K705" s="236"/>
      <c r="L705" s="236"/>
      <c r="M705" s="236"/>
      <c r="N705" s="236"/>
      <c r="O705" s="236"/>
      <c r="P705" s="236"/>
      <c r="Q705" s="236"/>
      <c r="R705" s="236"/>
      <c r="S705" s="236"/>
      <c r="T705" s="236"/>
      <c r="U705" s="236"/>
      <c r="V705" s="236"/>
      <c r="W705" s="237"/>
      <c r="X705" s="237"/>
      <c r="Y705" s="237"/>
      <c r="Z705" s="237"/>
      <c r="AA705" s="237"/>
      <c r="AB705" s="237"/>
      <c r="AC705" s="237"/>
      <c r="AD705" s="237"/>
      <c r="AE705" s="237"/>
      <c r="AF705" s="237"/>
      <c r="AG705" s="237"/>
      <c r="AH705" s="237"/>
      <c r="AI705" s="308"/>
      <c r="AJ705" s="308"/>
      <c r="AK705" s="308"/>
      <c r="AL705" s="308"/>
      <c r="AM705" s="98"/>
      <c r="AN705" s="98"/>
      <c r="AO705" s="98"/>
    </row>
    <row r="706" ht="14.25" customHeight="1">
      <c r="A706" s="179"/>
      <c r="B706" s="98"/>
      <c r="C706" s="98"/>
      <c r="D706" s="98"/>
      <c r="E706" s="98"/>
      <c r="F706" s="235"/>
      <c r="G706" s="235"/>
      <c r="H706" s="236"/>
      <c r="I706" s="236"/>
      <c r="J706" s="236"/>
      <c r="K706" s="236"/>
      <c r="L706" s="236"/>
      <c r="M706" s="236"/>
      <c r="N706" s="236"/>
      <c r="O706" s="236"/>
      <c r="P706" s="236"/>
      <c r="Q706" s="236"/>
      <c r="R706" s="236"/>
      <c r="S706" s="236"/>
      <c r="T706" s="236"/>
      <c r="U706" s="236"/>
      <c r="V706" s="236"/>
      <c r="W706" s="237"/>
      <c r="X706" s="237"/>
      <c r="Y706" s="237"/>
      <c r="Z706" s="237"/>
      <c r="AA706" s="237"/>
      <c r="AB706" s="237"/>
      <c r="AC706" s="237"/>
      <c r="AD706" s="237"/>
      <c r="AE706" s="237"/>
      <c r="AF706" s="237"/>
      <c r="AG706" s="237"/>
      <c r="AH706" s="237"/>
      <c r="AI706" s="308"/>
      <c r="AJ706" s="308"/>
      <c r="AK706" s="308"/>
      <c r="AL706" s="308"/>
      <c r="AM706" s="98"/>
      <c r="AN706" s="98"/>
      <c r="AO706" s="98"/>
    </row>
    <row r="707" ht="14.25" customHeight="1">
      <c r="A707" s="179"/>
      <c r="B707" s="98"/>
      <c r="C707" s="98"/>
      <c r="D707" s="98"/>
      <c r="E707" s="98"/>
      <c r="F707" s="235"/>
      <c r="G707" s="235"/>
      <c r="H707" s="236"/>
      <c r="I707" s="236"/>
      <c r="J707" s="236"/>
      <c r="K707" s="236"/>
      <c r="L707" s="236"/>
      <c r="M707" s="236"/>
      <c r="N707" s="236"/>
      <c r="O707" s="236"/>
      <c r="P707" s="236"/>
      <c r="Q707" s="236"/>
      <c r="R707" s="236"/>
      <c r="S707" s="236"/>
      <c r="T707" s="236"/>
      <c r="U707" s="236"/>
      <c r="V707" s="236"/>
      <c r="W707" s="237"/>
      <c r="X707" s="237"/>
      <c r="Y707" s="237"/>
      <c r="Z707" s="237"/>
      <c r="AA707" s="237"/>
      <c r="AB707" s="237"/>
      <c r="AC707" s="237"/>
      <c r="AD707" s="237"/>
      <c r="AE707" s="237"/>
      <c r="AF707" s="237"/>
      <c r="AG707" s="237"/>
      <c r="AH707" s="237"/>
      <c r="AI707" s="308"/>
      <c r="AJ707" s="308"/>
      <c r="AK707" s="308"/>
      <c r="AL707" s="308"/>
      <c r="AM707" s="98"/>
      <c r="AN707" s="98"/>
      <c r="AO707" s="98"/>
    </row>
    <row r="708" ht="14.25" customHeight="1">
      <c r="A708" s="179"/>
      <c r="B708" s="98"/>
      <c r="C708" s="98"/>
      <c r="D708" s="98"/>
      <c r="E708" s="98"/>
      <c r="F708" s="235"/>
      <c r="G708" s="235"/>
      <c r="H708" s="236"/>
      <c r="I708" s="236"/>
      <c r="J708" s="236"/>
      <c r="K708" s="236"/>
      <c r="L708" s="236"/>
      <c r="M708" s="236"/>
      <c r="N708" s="236"/>
      <c r="O708" s="236"/>
      <c r="P708" s="236"/>
      <c r="Q708" s="236"/>
      <c r="R708" s="236"/>
      <c r="S708" s="236"/>
      <c r="T708" s="236"/>
      <c r="U708" s="236"/>
      <c r="V708" s="236"/>
      <c r="W708" s="237"/>
      <c r="X708" s="237"/>
      <c r="Y708" s="237"/>
      <c r="Z708" s="237"/>
      <c r="AA708" s="237"/>
      <c r="AB708" s="237"/>
      <c r="AC708" s="237"/>
      <c r="AD708" s="237"/>
      <c r="AE708" s="237"/>
      <c r="AF708" s="237"/>
      <c r="AG708" s="237"/>
      <c r="AH708" s="237"/>
      <c r="AI708" s="308"/>
      <c r="AJ708" s="308"/>
      <c r="AK708" s="308"/>
      <c r="AL708" s="308"/>
      <c r="AM708" s="98"/>
      <c r="AN708" s="98"/>
      <c r="AO708" s="98"/>
    </row>
    <row r="709" ht="14.25" customHeight="1">
      <c r="A709" s="179"/>
      <c r="B709" s="98"/>
      <c r="C709" s="98"/>
      <c r="D709" s="98"/>
      <c r="E709" s="98"/>
      <c r="F709" s="235"/>
      <c r="G709" s="235"/>
      <c r="H709" s="236"/>
      <c r="I709" s="236"/>
      <c r="J709" s="236"/>
      <c r="K709" s="236"/>
      <c r="L709" s="236"/>
      <c r="M709" s="236"/>
      <c r="N709" s="236"/>
      <c r="O709" s="236"/>
      <c r="P709" s="236"/>
      <c r="Q709" s="236"/>
      <c r="R709" s="236"/>
      <c r="S709" s="236"/>
      <c r="T709" s="236"/>
      <c r="U709" s="236"/>
      <c r="V709" s="236"/>
      <c r="W709" s="237"/>
      <c r="X709" s="237"/>
      <c r="Y709" s="237"/>
      <c r="Z709" s="237"/>
      <c r="AA709" s="237"/>
      <c r="AB709" s="237"/>
      <c r="AC709" s="237"/>
      <c r="AD709" s="237"/>
      <c r="AE709" s="237"/>
      <c r="AF709" s="237"/>
      <c r="AG709" s="237"/>
      <c r="AH709" s="237"/>
      <c r="AI709" s="308"/>
      <c r="AJ709" s="308"/>
      <c r="AK709" s="308"/>
      <c r="AL709" s="308"/>
      <c r="AM709" s="98"/>
      <c r="AN709" s="98"/>
      <c r="AO709" s="98"/>
    </row>
    <row r="710" ht="14.25" customHeight="1">
      <c r="A710" s="179"/>
      <c r="B710" s="98"/>
      <c r="C710" s="98"/>
      <c r="D710" s="98"/>
      <c r="E710" s="98"/>
      <c r="F710" s="235"/>
      <c r="G710" s="235"/>
      <c r="H710" s="236"/>
      <c r="I710" s="236"/>
      <c r="J710" s="236"/>
      <c r="K710" s="236"/>
      <c r="L710" s="236"/>
      <c r="M710" s="236"/>
      <c r="N710" s="236"/>
      <c r="O710" s="236"/>
      <c r="P710" s="236"/>
      <c r="Q710" s="236"/>
      <c r="R710" s="236"/>
      <c r="S710" s="236"/>
      <c r="T710" s="236"/>
      <c r="U710" s="236"/>
      <c r="V710" s="236"/>
      <c r="W710" s="237"/>
      <c r="X710" s="237"/>
      <c r="Y710" s="237"/>
      <c r="Z710" s="237"/>
      <c r="AA710" s="237"/>
      <c r="AB710" s="237"/>
      <c r="AC710" s="237"/>
      <c r="AD710" s="237"/>
      <c r="AE710" s="237"/>
      <c r="AF710" s="237"/>
      <c r="AG710" s="237"/>
      <c r="AH710" s="237"/>
      <c r="AI710" s="308"/>
      <c r="AJ710" s="308"/>
      <c r="AK710" s="308"/>
      <c r="AL710" s="308"/>
      <c r="AM710" s="98"/>
      <c r="AN710" s="98"/>
      <c r="AO710" s="98"/>
    </row>
    <row r="711" ht="14.25" customHeight="1">
      <c r="A711" s="179"/>
      <c r="B711" s="98"/>
      <c r="C711" s="98"/>
      <c r="D711" s="98"/>
      <c r="E711" s="98"/>
      <c r="F711" s="235"/>
      <c r="G711" s="235"/>
      <c r="H711" s="236"/>
      <c r="I711" s="236"/>
      <c r="J711" s="236"/>
      <c r="K711" s="236"/>
      <c r="L711" s="236"/>
      <c r="M711" s="236"/>
      <c r="N711" s="236"/>
      <c r="O711" s="236"/>
      <c r="P711" s="236"/>
      <c r="Q711" s="236"/>
      <c r="R711" s="236"/>
      <c r="S711" s="236"/>
      <c r="T711" s="236"/>
      <c r="U711" s="236"/>
      <c r="V711" s="236"/>
      <c r="W711" s="237"/>
      <c r="X711" s="237"/>
      <c r="Y711" s="237"/>
      <c r="Z711" s="237"/>
      <c r="AA711" s="237"/>
      <c r="AB711" s="237"/>
      <c r="AC711" s="237"/>
      <c r="AD711" s="237"/>
      <c r="AE711" s="237"/>
      <c r="AF711" s="237"/>
      <c r="AG711" s="237"/>
      <c r="AH711" s="237"/>
      <c r="AI711" s="308"/>
      <c r="AJ711" s="308"/>
      <c r="AK711" s="308"/>
      <c r="AL711" s="308"/>
      <c r="AM711" s="98"/>
      <c r="AN711" s="98"/>
      <c r="AO711" s="98"/>
    </row>
    <row r="712" ht="14.25" customHeight="1">
      <c r="A712" s="179"/>
      <c r="B712" s="98"/>
      <c r="C712" s="98"/>
      <c r="D712" s="98"/>
      <c r="E712" s="98"/>
      <c r="F712" s="235"/>
      <c r="G712" s="235"/>
      <c r="H712" s="236"/>
      <c r="I712" s="236"/>
      <c r="J712" s="236"/>
      <c r="K712" s="236"/>
      <c r="L712" s="236"/>
      <c r="M712" s="236"/>
      <c r="N712" s="236"/>
      <c r="O712" s="236"/>
      <c r="P712" s="236"/>
      <c r="Q712" s="236"/>
      <c r="R712" s="236"/>
      <c r="S712" s="236"/>
      <c r="T712" s="236"/>
      <c r="U712" s="236"/>
      <c r="V712" s="236"/>
      <c r="W712" s="237"/>
      <c r="X712" s="237"/>
      <c r="Y712" s="237"/>
      <c r="Z712" s="237"/>
      <c r="AA712" s="237"/>
      <c r="AB712" s="237"/>
      <c r="AC712" s="237"/>
      <c r="AD712" s="237"/>
      <c r="AE712" s="237"/>
      <c r="AF712" s="237"/>
      <c r="AG712" s="237"/>
      <c r="AH712" s="237"/>
      <c r="AI712" s="308"/>
      <c r="AJ712" s="308"/>
      <c r="AK712" s="308"/>
      <c r="AL712" s="308"/>
      <c r="AM712" s="98"/>
      <c r="AN712" s="98"/>
      <c r="AO712" s="98"/>
    </row>
    <row r="713" ht="14.25" customHeight="1">
      <c r="A713" s="179"/>
      <c r="B713" s="98"/>
      <c r="C713" s="98"/>
      <c r="D713" s="98"/>
      <c r="E713" s="98"/>
      <c r="F713" s="235"/>
      <c r="G713" s="235"/>
      <c r="H713" s="236"/>
      <c r="I713" s="236"/>
      <c r="J713" s="236"/>
      <c r="K713" s="236"/>
      <c r="L713" s="236"/>
      <c r="M713" s="236"/>
      <c r="N713" s="236"/>
      <c r="O713" s="236"/>
      <c r="P713" s="236"/>
      <c r="Q713" s="236"/>
      <c r="R713" s="236"/>
      <c r="S713" s="236"/>
      <c r="T713" s="236"/>
      <c r="U713" s="236"/>
      <c r="V713" s="236"/>
      <c r="W713" s="237"/>
      <c r="X713" s="237"/>
      <c r="Y713" s="237"/>
      <c r="Z713" s="237"/>
      <c r="AA713" s="237"/>
      <c r="AB713" s="237"/>
      <c r="AC713" s="237"/>
      <c r="AD713" s="237"/>
      <c r="AE713" s="237"/>
      <c r="AF713" s="237"/>
      <c r="AG713" s="237"/>
      <c r="AH713" s="237"/>
      <c r="AI713" s="308"/>
      <c r="AJ713" s="308"/>
      <c r="AK713" s="308"/>
      <c r="AL713" s="308"/>
      <c r="AM713" s="98"/>
      <c r="AN713" s="98"/>
      <c r="AO713" s="98"/>
    </row>
    <row r="714" ht="14.25" customHeight="1">
      <c r="A714" s="179"/>
      <c r="B714" s="98"/>
      <c r="C714" s="98"/>
      <c r="D714" s="98"/>
      <c r="E714" s="98"/>
      <c r="F714" s="235"/>
      <c r="G714" s="235"/>
      <c r="H714" s="236"/>
      <c r="I714" s="236"/>
      <c r="J714" s="236"/>
      <c r="K714" s="236"/>
      <c r="L714" s="236"/>
      <c r="M714" s="236"/>
      <c r="N714" s="236"/>
      <c r="O714" s="236"/>
      <c r="P714" s="236"/>
      <c r="Q714" s="236"/>
      <c r="R714" s="236"/>
      <c r="S714" s="236"/>
      <c r="T714" s="236"/>
      <c r="U714" s="236"/>
      <c r="V714" s="236"/>
      <c r="W714" s="237"/>
      <c r="X714" s="237"/>
      <c r="Y714" s="237"/>
      <c r="Z714" s="237"/>
      <c r="AA714" s="237"/>
      <c r="AB714" s="237"/>
      <c r="AC714" s="237"/>
      <c r="AD714" s="237"/>
      <c r="AE714" s="237"/>
      <c r="AF714" s="237"/>
      <c r="AG714" s="237"/>
      <c r="AH714" s="237"/>
      <c r="AI714" s="308"/>
      <c r="AJ714" s="308"/>
      <c r="AK714" s="308"/>
      <c r="AL714" s="308"/>
      <c r="AM714" s="98"/>
      <c r="AN714" s="98"/>
      <c r="AO714" s="98"/>
    </row>
    <row r="715" ht="14.25" customHeight="1">
      <c r="A715" s="179"/>
      <c r="B715" s="98"/>
      <c r="C715" s="98"/>
      <c r="D715" s="98"/>
      <c r="E715" s="98"/>
      <c r="F715" s="235"/>
      <c r="G715" s="235"/>
      <c r="H715" s="236"/>
      <c r="I715" s="236"/>
      <c r="J715" s="236"/>
      <c r="K715" s="236"/>
      <c r="L715" s="236"/>
      <c r="M715" s="236"/>
      <c r="N715" s="236"/>
      <c r="O715" s="236"/>
      <c r="P715" s="236"/>
      <c r="Q715" s="236"/>
      <c r="R715" s="236"/>
      <c r="S715" s="236"/>
      <c r="T715" s="236"/>
      <c r="U715" s="236"/>
      <c r="V715" s="236"/>
      <c r="W715" s="237"/>
      <c r="X715" s="237"/>
      <c r="Y715" s="237"/>
      <c r="Z715" s="237"/>
      <c r="AA715" s="237"/>
      <c r="AB715" s="237"/>
      <c r="AC715" s="237"/>
      <c r="AD715" s="237"/>
      <c r="AE715" s="237"/>
      <c r="AF715" s="237"/>
      <c r="AG715" s="237"/>
      <c r="AH715" s="237"/>
      <c r="AI715" s="308"/>
      <c r="AJ715" s="308"/>
      <c r="AK715" s="308"/>
      <c r="AL715" s="308"/>
      <c r="AM715" s="98"/>
      <c r="AN715" s="98"/>
      <c r="AO715" s="98"/>
    </row>
    <row r="716" ht="14.25" customHeight="1">
      <c r="A716" s="179"/>
      <c r="B716" s="98"/>
      <c r="C716" s="98"/>
      <c r="D716" s="98"/>
      <c r="E716" s="98"/>
      <c r="F716" s="235"/>
      <c r="G716" s="235"/>
      <c r="H716" s="236"/>
      <c r="I716" s="236"/>
      <c r="J716" s="236"/>
      <c r="K716" s="236"/>
      <c r="L716" s="236"/>
      <c r="M716" s="236"/>
      <c r="N716" s="236"/>
      <c r="O716" s="236"/>
      <c r="P716" s="236"/>
      <c r="Q716" s="236"/>
      <c r="R716" s="236"/>
      <c r="S716" s="236"/>
      <c r="T716" s="236"/>
      <c r="U716" s="236"/>
      <c r="V716" s="236"/>
      <c r="W716" s="237"/>
      <c r="X716" s="237"/>
      <c r="Y716" s="237"/>
      <c r="Z716" s="237"/>
      <c r="AA716" s="237"/>
      <c r="AB716" s="237"/>
      <c r="AC716" s="237"/>
      <c r="AD716" s="237"/>
      <c r="AE716" s="237"/>
      <c r="AF716" s="237"/>
      <c r="AG716" s="237"/>
      <c r="AH716" s="237"/>
      <c r="AI716" s="308"/>
      <c r="AJ716" s="308"/>
      <c r="AK716" s="308"/>
      <c r="AL716" s="308"/>
      <c r="AM716" s="98"/>
      <c r="AN716" s="98"/>
      <c r="AO716" s="98"/>
    </row>
    <row r="717" ht="14.25" customHeight="1">
      <c r="A717" s="179"/>
      <c r="B717" s="98"/>
      <c r="C717" s="98"/>
      <c r="D717" s="98"/>
      <c r="E717" s="98"/>
      <c r="F717" s="235"/>
      <c r="G717" s="235"/>
      <c r="H717" s="236"/>
      <c r="I717" s="236"/>
      <c r="J717" s="236"/>
      <c r="K717" s="236"/>
      <c r="L717" s="236"/>
      <c r="M717" s="236"/>
      <c r="N717" s="236"/>
      <c r="O717" s="236"/>
      <c r="P717" s="236"/>
      <c r="Q717" s="236"/>
      <c r="R717" s="236"/>
      <c r="S717" s="236"/>
      <c r="T717" s="236"/>
      <c r="U717" s="236"/>
      <c r="V717" s="236"/>
      <c r="W717" s="237"/>
      <c r="X717" s="237"/>
      <c r="Y717" s="237"/>
      <c r="Z717" s="237"/>
      <c r="AA717" s="237"/>
      <c r="AB717" s="237"/>
      <c r="AC717" s="237"/>
      <c r="AD717" s="237"/>
      <c r="AE717" s="237"/>
      <c r="AF717" s="237"/>
      <c r="AG717" s="237"/>
      <c r="AH717" s="237"/>
      <c r="AI717" s="308"/>
      <c r="AJ717" s="308"/>
      <c r="AK717" s="308"/>
      <c r="AL717" s="308"/>
      <c r="AM717" s="98"/>
      <c r="AN717" s="98"/>
      <c r="AO717" s="98"/>
    </row>
    <row r="718" ht="14.25" customHeight="1">
      <c r="A718" s="179"/>
      <c r="B718" s="98"/>
      <c r="C718" s="98"/>
      <c r="D718" s="98"/>
      <c r="E718" s="98"/>
      <c r="F718" s="235"/>
      <c r="G718" s="235"/>
      <c r="H718" s="236"/>
      <c r="I718" s="236"/>
      <c r="J718" s="236"/>
      <c r="K718" s="236"/>
      <c r="L718" s="236"/>
      <c r="M718" s="236"/>
      <c r="N718" s="236"/>
      <c r="O718" s="236"/>
      <c r="P718" s="236"/>
      <c r="Q718" s="236"/>
      <c r="R718" s="236"/>
      <c r="S718" s="236"/>
      <c r="T718" s="236"/>
      <c r="U718" s="236"/>
      <c r="V718" s="236"/>
      <c r="W718" s="237"/>
      <c r="X718" s="237"/>
      <c r="Y718" s="237"/>
      <c r="Z718" s="237"/>
      <c r="AA718" s="237"/>
      <c r="AB718" s="237"/>
      <c r="AC718" s="237"/>
      <c r="AD718" s="237"/>
      <c r="AE718" s="237"/>
      <c r="AF718" s="237"/>
      <c r="AG718" s="237"/>
      <c r="AH718" s="237"/>
      <c r="AI718" s="308"/>
      <c r="AJ718" s="308"/>
      <c r="AK718" s="308"/>
      <c r="AL718" s="308"/>
      <c r="AM718" s="98"/>
      <c r="AN718" s="98"/>
      <c r="AO718" s="98"/>
    </row>
    <row r="719" ht="14.25" customHeight="1">
      <c r="A719" s="179"/>
      <c r="B719" s="98"/>
      <c r="C719" s="98"/>
      <c r="D719" s="98"/>
      <c r="E719" s="98"/>
      <c r="F719" s="235"/>
      <c r="G719" s="235"/>
      <c r="H719" s="236"/>
      <c r="I719" s="236"/>
      <c r="J719" s="236"/>
      <c r="K719" s="236"/>
      <c r="L719" s="236"/>
      <c r="M719" s="236"/>
      <c r="N719" s="236"/>
      <c r="O719" s="236"/>
      <c r="P719" s="236"/>
      <c r="Q719" s="236"/>
      <c r="R719" s="236"/>
      <c r="S719" s="236"/>
      <c r="T719" s="236"/>
      <c r="U719" s="236"/>
      <c r="V719" s="236"/>
      <c r="W719" s="237"/>
      <c r="X719" s="237"/>
      <c r="Y719" s="237"/>
      <c r="Z719" s="237"/>
      <c r="AA719" s="237"/>
      <c r="AB719" s="237"/>
      <c r="AC719" s="237"/>
      <c r="AD719" s="237"/>
      <c r="AE719" s="237"/>
      <c r="AF719" s="237"/>
      <c r="AG719" s="237"/>
      <c r="AH719" s="237"/>
      <c r="AI719" s="308"/>
      <c r="AJ719" s="308"/>
      <c r="AK719" s="308"/>
      <c r="AL719" s="308"/>
      <c r="AM719" s="98"/>
      <c r="AN719" s="98"/>
      <c r="AO719" s="98"/>
    </row>
    <row r="720" ht="14.25" customHeight="1">
      <c r="A720" s="179"/>
      <c r="B720" s="98"/>
      <c r="C720" s="98"/>
      <c r="D720" s="98"/>
      <c r="E720" s="98"/>
      <c r="F720" s="235"/>
      <c r="G720" s="235"/>
      <c r="H720" s="236"/>
      <c r="I720" s="236"/>
      <c r="J720" s="236"/>
      <c r="K720" s="236"/>
      <c r="L720" s="236"/>
      <c r="M720" s="236"/>
      <c r="N720" s="236"/>
      <c r="O720" s="236"/>
      <c r="P720" s="236"/>
      <c r="Q720" s="236"/>
      <c r="R720" s="236"/>
      <c r="S720" s="236"/>
      <c r="T720" s="236"/>
      <c r="U720" s="236"/>
      <c r="V720" s="236"/>
      <c r="W720" s="237"/>
      <c r="X720" s="237"/>
      <c r="Y720" s="237"/>
      <c r="Z720" s="237"/>
      <c r="AA720" s="237"/>
      <c r="AB720" s="237"/>
      <c r="AC720" s="237"/>
      <c r="AD720" s="237"/>
      <c r="AE720" s="237"/>
      <c r="AF720" s="237"/>
      <c r="AG720" s="237"/>
      <c r="AH720" s="237"/>
      <c r="AI720" s="308"/>
      <c r="AJ720" s="308"/>
      <c r="AK720" s="308"/>
      <c r="AL720" s="308"/>
      <c r="AM720" s="98"/>
      <c r="AN720" s="98"/>
      <c r="AO720" s="98"/>
    </row>
    <row r="721" ht="14.25" customHeight="1">
      <c r="A721" s="179"/>
      <c r="B721" s="98"/>
      <c r="C721" s="98"/>
      <c r="D721" s="98"/>
      <c r="E721" s="98"/>
      <c r="F721" s="235"/>
      <c r="G721" s="235"/>
      <c r="H721" s="236"/>
      <c r="I721" s="236"/>
      <c r="J721" s="236"/>
      <c r="K721" s="236"/>
      <c r="L721" s="236"/>
      <c r="M721" s="236"/>
      <c r="N721" s="236"/>
      <c r="O721" s="236"/>
      <c r="P721" s="236"/>
      <c r="Q721" s="236"/>
      <c r="R721" s="236"/>
      <c r="S721" s="236"/>
      <c r="T721" s="236"/>
      <c r="U721" s="236"/>
      <c r="V721" s="236"/>
      <c r="W721" s="237"/>
      <c r="X721" s="237"/>
      <c r="Y721" s="237"/>
      <c r="Z721" s="237"/>
      <c r="AA721" s="237"/>
      <c r="AB721" s="237"/>
      <c r="AC721" s="237"/>
      <c r="AD721" s="237"/>
      <c r="AE721" s="237"/>
      <c r="AF721" s="237"/>
      <c r="AG721" s="237"/>
      <c r="AH721" s="237"/>
      <c r="AI721" s="308"/>
      <c r="AJ721" s="308"/>
      <c r="AK721" s="308"/>
      <c r="AL721" s="308"/>
      <c r="AM721" s="98"/>
      <c r="AN721" s="98"/>
      <c r="AO721" s="98"/>
    </row>
    <row r="722" ht="14.25" customHeight="1">
      <c r="A722" s="179"/>
      <c r="B722" s="98"/>
      <c r="C722" s="98"/>
      <c r="D722" s="98"/>
      <c r="E722" s="98"/>
      <c r="F722" s="235"/>
      <c r="G722" s="235"/>
      <c r="H722" s="236"/>
      <c r="I722" s="236"/>
      <c r="J722" s="236"/>
      <c r="K722" s="236"/>
      <c r="L722" s="236"/>
      <c r="M722" s="236"/>
      <c r="N722" s="236"/>
      <c r="O722" s="236"/>
      <c r="P722" s="236"/>
      <c r="Q722" s="236"/>
      <c r="R722" s="236"/>
      <c r="S722" s="236"/>
      <c r="T722" s="236"/>
      <c r="U722" s="236"/>
      <c r="V722" s="236"/>
      <c r="W722" s="237"/>
      <c r="X722" s="237"/>
      <c r="Y722" s="237"/>
      <c r="Z722" s="237"/>
      <c r="AA722" s="237"/>
      <c r="AB722" s="237"/>
      <c r="AC722" s="237"/>
      <c r="AD722" s="237"/>
      <c r="AE722" s="237"/>
      <c r="AF722" s="237"/>
      <c r="AG722" s="237"/>
      <c r="AH722" s="237"/>
      <c r="AI722" s="308"/>
      <c r="AJ722" s="308"/>
      <c r="AK722" s="308"/>
      <c r="AL722" s="308"/>
      <c r="AM722" s="98"/>
      <c r="AN722" s="98"/>
      <c r="AO722" s="98"/>
    </row>
    <row r="723" ht="14.25" customHeight="1">
      <c r="A723" s="179"/>
      <c r="B723" s="98"/>
      <c r="C723" s="98"/>
      <c r="D723" s="98"/>
      <c r="E723" s="98"/>
      <c r="F723" s="235"/>
      <c r="G723" s="235"/>
      <c r="H723" s="236"/>
      <c r="I723" s="236"/>
      <c r="J723" s="236"/>
      <c r="K723" s="236"/>
      <c r="L723" s="236"/>
      <c r="M723" s="236"/>
      <c r="N723" s="236"/>
      <c r="O723" s="236"/>
      <c r="P723" s="236"/>
      <c r="Q723" s="236"/>
      <c r="R723" s="236"/>
      <c r="S723" s="236"/>
      <c r="T723" s="236"/>
      <c r="U723" s="236"/>
      <c r="V723" s="236"/>
      <c r="W723" s="237"/>
      <c r="X723" s="237"/>
      <c r="Y723" s="237"/>
      <c r="Z723" s="237"/>
      <c r="AA723" s="237"/>
      <c r="AB723" s="237"/>
      <c r="AC723" s="237"/>
      <c r="AD723" s="237"/>
      <c r="AE723" s="237"/>
      <c r="AF723" s="237"/>
      <c r="AG723" s="237"/>
      <c r="AH723" s="237"/>
      <c r="AI723" s="308"/>
      <c r="AJ723" s="308"/>
      <c r="AK723" s="308"/>
      <c r="AL723" s="308"/>
      <c r="AM723" s="98"/>
      <c r="AN723" s="98"/>
      <c r="AO723" s="98"/>
    </row>
    <row r="724" ht="14.25" customHeight="1">
      <c r="A724" s="179"/>
      <c r="B724" s="98"/>
      <c r="C724" s="98"/>
      <c r="D724" s="98"/>
      <c r="E724" s="98"/>
      <c r="F724" s="235"/>
      <c r="G724" s="235"/>
      <c r="H724" s="236"/>
      <c r="I724" s="236"/>
      <c r="J724" s="236"/>
      <c r="K724" s="236"/>
      <c r="L724" s="236"/>
      <c r="M724" s="236"/>
      <c r="N724" s="236"/>
      <c r="O724" s="236"/>
      <c r="P724" s="236"/>
      <c r="Q724" s="236"/>
      <c r="R724" s="236"/>
      <c r="S724" s="236"/>
      <c r="T724" s="236"/>
      <c r="U724" s="236"/>
      <c r="V724" s="236"/>
      <c r="W724" s="237"/>
      <c r="X724" s="237"/>
      <c r="Y724" s="237"/>
      <c r="Z724" s="237"/>
      <c r="AA724" s="237"/>
      <c r="AB724" s="237"/>
      <c r="AC724" s="237"/>
      <c r="AD724" s="237"/>
      <c r="AE724" s="237"/>
      <c r="AF724" s="237"/>
      <c r="AG724" s="237"/>
      <c r="AH724" s="237"/>
      <c r="AI724" s="308"/>
      <c r="AJ724" s="308"/>
      <c r="AK724" s="308"/>
      <c r="AL724" s="308"/>
      <c r="AM724" s="98"/>
      <c r="AN724" s="98"/>
      <c r="AO724" s="98"/>
    </row>
    <row r="725" ht="14.25" customHeight="1">
      <c r="A725" s="179"/>
      <c r="B725" s="98"/>
      <c r="C725" s="98"/>
      <c r="D725" s="98"/>
      <c r="E725" s="98"/>
      <c r="F725" s="235"/>
      <c r="G725" s="235"/>
      <c r="H725" s="236"/>
      <c r="I725" s="236"/>
      <c r="J725" s="236"/>
      <c r="K725" s="236"/>
      <c r="L725" s="236"/>
      <c r="M725" s="236"/>
      <c r="N725" s="236"/>
      <c r="O725" s="236"/>
      <c r="P725" s="236"/>
      <c r="Q725" s="236"/>
      <c r="R725" s="236"/>
      <c r="S725" s="236"/>
      <c r="T725" s="236"/>
      <c r="U725" s="236"/>
      <c r="V725" s="236"/>
      <c r="W725" s="237"/>
      <c r="X725" s="237"/>
      <c r="Y725" s="237"/>
      <c r="Z725" s="237"/>
      <c r="AA725" s="237"/>
      <c r="AB725" s="237"/>
      <c r="AC725" s="237"/>
      <c r="AD725" s="237"/>
      <c r="AE725" s="237"/>
      <c r="AF725" s="237"/>
      <c r="AG725" s="237"/>
      <c r="AH725" s="237"/>
      <c r="AI725" s="308"/>
      <c r="AJ725" s="308"/>
      <c r="AK725" s="308"/>
      <c r="AL725" s="308"/>
      <c r="AM725" s="98"/>
      <c r="AN725" s="98"/>
      <c r="AO725" s="98"/>
    </row>
    <row r="726" ht="14.25" customHeight="1">
      <c r="A726" s="179"/>
      <c r="B726" s="98"/>
      <c r="C726" s="98"/>
      <c r="D726" s="98"/>
      <c r="E726" s="98"/>
      <c r="F726" s="235"/>
      <c r="G726" s="235"/>
      <c r="H726" s="236"/>
      <c r="I726" s="236"/>
      <c r="J726" s="236"/>
      <c r="K726" s="236"/>
      <c r="L726" s="236"/>
      <c r="M726" s="236"/>
      <c r="N726" s="236"/>
      <c r="O726" s="236"/>
      <c r="P726" s="236"/>
      <c r="Q726" s="236"/>
      <c r="R726" s="236"/>
      <c r="S726" s="236"/>
      <c r="T726" s="236"/>
      <c r="U726" s="236"/>
      <c r="V726" s="236"/>
      <c r="W726" s="237"/>
      <c r="X726" s="237"/>
      <c r="Y726" s="237"/>
      <c r="Z726" s="237"/>
      <c r="AA726" s="237"/>
      <c r="AB726" s="237"/>
      <c r="AC726" s="237"/>
      <c r="AD726" s="237"/>
      <c r="AE726" s="237"/>
      <c r="AF726" s="237"/>
      <c r="AG726" s="237"/>
      <c r="AH726" s="237"/>
      <c r="AI726" s="308"/>
      <c r="AJ726" s="308"/>
      <c r="AK726" s="308"/>
      <c r="AL726" s="308"/>
      <c r="AM726" s="98"/>
      <c r="AN726" s="98"/>
      <c r="AO726" s="98"/>
    </row>
    <row r="727" ht="14.25" customHeight="1">
      <c r="A727" s="179"/>
      <c r="B727" s="98"/>
      <c r="C727" s="98"/>
      <c r="D727" s="98"/>
      <c r="E727" s="98"/>
      <c r="F727" s="235"/>
      <c r="G727" s="235"/>
      <c r="H727" s="236"/>
      <c r="I727" s="236"/>
      <c r="J727" s="236"/>
      <c r="K727" s="236"/>
      <c r="L727" s="236"/>
      <c r="M727" s="236"/>
      <c r="N727" s="236"/>
      <c r="O727" s="236"/>
      <c r="P727" s="236"/>
      <c r="Q727" s="236"/>
      <c r="R727" s="236"/>
      <c r="S727" s="236"/>
      <c r="T727" s="236"/>
      <c r="U727" s="236"/>
      <c r="V727" s="236"/>
      <c r="W727" s="237"/>
      <c r="X727" s="237"/>
      <c r="Y727" s="237"/>
      <c r="Z727" s="237"/>
      <c r="AA727" s="237"/>
      <c r="AB727" s="237"/>
      <c r="AC727" s="237"/>
      <c r="AD727" s="237"/>
      <c r="AE727" s="237"/>
      <c r="AF727" s="237"/>
      <c r="AG727" s="237"/>
      <c r="AH727" s="237"/>
      <c r="AI727" s="308"/>
      <c r="AJ727" s="308"/>
      <c r="AK727" s="308"/>
      <c r="AL727" s="308"/>
      <c r="AM727" s="98"/>
      <c r="AN727" s="98"/>
      <c r="AO727" s="98"/>
    </row>
    <row r="728" ht="14.25" customHeight="1">
      <c r="A728" s="179"/>
      <c r="B728" s="98"/>
      <c r="C728" s="98"/>
      <c r="D728" s="98"/>
      <c r="E728" s="98"/>
      <c r="F728" s="235"/>
      <c r="G728" s="235"/>
      <c r="H728" s="236"/>
      <c r="I728" s="236"/>
      <c r="J728" s="236"/>
      <c r="K728" s="236"/>
      <c r="L728" s="236"/>
      <c r="M728" s="236"/>
      <c r="N728" s="236"/>
      <c r="O728" s="236"/>
      <c r="P728" s="236"/>
      <c r="Q728" s="236"/>
      <c r="R728" s="236"/>
      <c r="S728" s="236"/>
      <c r="T728" s="236"/>
      <c r="U728" s="236"/>
      <c r="V728" s="236"/>
      <c r="W728" s="237"/>
      <c r="X728" s="237"/>
      <c r="Y728" s="237"/>
      <c r="Z728" s="237"/>
      <c r="AA728" s="237"/>
      <c r="AB728" s="237"/>
      <c r="AC728" s="237"/>
      <c r="AD728" s="237"/>
      <c r="AE728" s="237"/>
      <c r="AF728" s="237"/>
      <c r="AG728" s="237"/>
      <c r="AH728" s="237"/>
      <c r="AI728" s="308"/>
      <c r="AJ728" s="308"/>
      <c r="AK728" s="308"/>
      <c r="AL728" s="308"/>
      <c r="AM728" s="98"/>
      <c r="AN728" s="98"/>
      <c r="AO728" s="98"/>
    </row>
    <row r="729" ht="14.25" customHeight="1">
      <c r="A729" s="179"/>
      <c r="B729" s="98"/>
      <c r="C729" s="98"/>
      <c r="D729" s="98"/>
      <c r="E729" s="98"/>
      <c r="F729" s="235"/>
      <c r="G729" s="235"/>
      <c r="H729" s="236"/>
      <c r="I729" s="236"/>
      <c r="J729" s="236"/>
      <c r="K729" s="236"/>
      <c r="L729" s="236"/>
      <c r="M729" s="236"/>
      <c r="N729" s="236"/>
      <c r="O729" s="236"/>
      <c r="P729" s="236"/>
      <c r="Q729" s="236"/>
      <c r="R729" s="236"/>
      <c r="S729" s="236"/>
      <c r="T729" s="236"/>
      <c r="U729" s="236"/>
      <c r="V729" s="236"/>
      <c r="W729" s="237"/>
      <c r="X729" s="237"/>
      <c r="Y729" s="237"/>
      <c r="Z729" s="237"/>
      <c r="AA729" s="237"/>
      <c r="AB729" s="237"/>
      <c r="AC729" s="237"/>
      <c r="AD729" s="237"/>
      <c r="AE729" s="237"/>
      <c r="AF729" s="237"/>
      <c r="AG729" s="237"/>
      <c r="AH729" s="237"/>
      <c r="AI729" s="308"/>
      <c r="AJ729" s="308"/>
      <c r="AK729" s="308"/>
      <c r="AL729" s="308"/>
      <c r="AM729" s="98"/>
      <c r="AN729" s="98"/>
      <c r="AO729" s="98"/>
    </row>
    <row r="730" ht="14.25" customHeight="1">
      <c r="A730" s="179"/>
      <c r="B730" s="98"/>
      <c r="C730" s="98"/>
      <c r="D730" s="98"/>
      <c r="E730" s="98"/>
      <c r="F730" s="235"/>
      <c r="G730" s="235"/>
      <c r="H730" s="236"/>
      <c r="I730" s="236"/>
      <c r="J730" s="236"/>
      <c r="K730" s="236"/>
      <c r="L730" s="236"/>
      <c r="M730" s="236"/>
      <c r="N730" s="236"/>
      <c r="O730" s="236"/>
      <c r="P730" s="236"/>
      <c r="Q730" s="236"/>
      <c r="R730" s="236"/>
      <c r="S730" s="236"/>
      <c r="T730" s="236"/>
      <c r="U730" s="236"/>
      <c r="V730" s="236"/>
      <c r="W730" s="237"/>
      <c r="X730" s="237"/>
      <c r="Y730" s="237"/>
      <c r="Z730" s="237"/>
      <c r="AA730" s="237"/>
      <c r="AB730" s="237"/>
      <c r="AC730" s="237"/>
      <c r="AD730" s="237"/>
      <c r="AE730" s="237"/>
      <c r="AF730" s="237"/>
      <c r="AG730" s="237"/>
      <c r="AH730" s="237"/>
      <c r="AI730" s="308"/>
      <c r="AJ730" s="308"/>
      <c r="AK730" s="308"/>
      <c r="AL730" s="308"/>
      <c r="AM730" s="98"/>
      <c r="AN730" s="98"/>
      <c r="AO730" s="98"/>
    </row>
    <row r="731" ht="14.25" customHeight="1">
      <c r="A731" s="179"/>
      <c r="B731" s="98"/>
      <c r="C731" s="98"/>
      <c r="D731" s="98"/>
      <c r="E731" s="98"/>
      <c r="F731" s="235"/>
      <c r="G731" s="235"/>
      <c r="H731" s="236"/>
      <c r="I731" s="236"/>
      <c r="J731" s="236"/>
      <c r="K731" s="236"/>
      <c r="L731" s="236"/>
      <c r="M731" s="236"/>
      <c r="N731" s="236"/>
      <c r="O731" s="236"/>
      <c r="P731" s="236"/>
      <c r="Q731" s="236"/>
      <c r="R731" s="236"/>
      <c r="S731" s="236"/>
      <c r="T731" s="236"/>
      <c r="U731" s="236"/>
      <c r="V731" s="236"/>
      <c r="W731" s="237"/>
      <c r="X731" s="237"/>
      <c r="Y731" s="237"/>
      <c r="Z731" s="237"/>
      <c r="AA731" s="237"/>
      <c r="AB731" s="237"/>
      <c r="AC731" s="237"/>
      <c r="AD731" s="237"/>
      <c r="AE731" s="237"/>
      <c r="AF731" s="237"/>
      <c r="AG731" s="237"/>
      <c r="AH731" s="237"/>
      <c r="AI731" s="308"/>
      <c r="AJ731" s="308"/>
      <c r="AK731" s="308"/>
      <c r="AL731" s="308"/>
      <c r="AM731" s="98"/>
      <c r="AN731" s="98"/>
      <c r="AO731" s="98"/>
    </row>
    <row r="732" ht="14.25" customHeight="1">
      <c r="A732" s="179"/>
      <c r="B732" s="98"/>
      <c r="C732" s="98"/>
      <c r="D732" s="98"/>
      <c r="E732" s="98"/>
      <c r="F732" s="235"/>
      <c r="G732" s="235"/>
      <c r="H732" s="236"/>
      <c r="I732" s="236"/>
      <c r="J732" s="236"/>
      <c r="K732" s="236"/>
      <c r="L732" s="236"/>
      <c r="M732" s="236"/>
      <c r="N732" s="236"/>
      <c r="O732" s="236"/>
      <c r="P732" s="236"/>
      <c r="Q732" s="236"/>
      <c r="R732" s="236"/>
      <c r="S732" s="236"/>
      <c r="T732" s="236"/>
      <c r="U732" s="236"/>
      <c r="V732" s="236"/>
      <c r="W732" s="237"/>
      <c r="X732" s="237"/>
      <c r="Y732" s="237"/>
      <c r="Z732" s="237"/>
      <c r="AA732" s="237"/>
      <c r="AB732" s="237"/>
      <c r="AC732" s="237"/>
      <c r="AD732" s="237"/>
      <c r="AE732" s="237"/>
      <c r="AF732" s="237"/>
      <c r="AG732" s="237"/>
      <c r="AH732" s="237"/>
      <c r="AI732" s="308"/>
      <c r="AJ732" s="308"/>
      <c r="AK732" s="308"/>
      <c r="AL732" s="308"/>
      <c r="AM732" s="98"/>
      <c r="AN732" s="98"/>
      <c r="AO732" s="98"/>
    </row>
    <row r="733" ht="14.25" customHeight="1">
      <c r="A733" s="179"/>
      <c r="B733" s="98"/>
      <c r="C733" s="98"/>
      <c r="D733" s="98"/>
      <c r="E733" s="98"/>
      <c r="F733" s="235"/>
      <c r="G733" s="235"/>
      <c r="H733" s="236"/>
      <c r="I733" s="236"/>
      <c r="J733" s="236"/>
      <c r="K733" s="236"/>
      <c r="L733" s="236"/>
      <c r="M733" s="236"/>
      <c r="N733" s="236"/>
      <c r="O733" s="236"/>
      <c r="P733" s="236"/>
      <c r="Q733" s="236"/>
      <c r="R733" s="236"/>
      <c r="S733" s="236"/>
      <c r="T733" s="236"/>
      <c r="U733" s="236"/>
      <c r="V733" s="236"/>
      <c r="W733" s="237"/>
      <c r="X733" s="237"/>
      <c r="Y733" s="237"/>
      <c r="Z733" s="237"/>
      <c r="AA733" s="237"/>
      <c r="AB733" s="237"/>
      <c r="AC733" s="237"/>
      <c r="AD733" s="237"/>
      <c r="AE733" s="237"/>
      <c r="AF733" s="237"/>
      <c r="AG733" s="237"/>
      <c r="AH733" s="237"/>
      <c r="AI733" s="308"/>
      <c r="AJ733" s="308"/>
      <c r="AK733" s="308"/>
      <c r="AL733" s="308"/>
      <c r="AM733" s="98"/>
      <c r="AN733" s="98"/>
      <c r="AO733" s="98"/>
    </row>
    <row r="734" ht="14.25" customHeight="1">
      <c r="A734" s="179"/>
      <c r="B734" s="98"/>
      <c r="C734" s="98"/>
      <c r="D734" s="98"/>
      <c r="E734" s="98"/>
      <c r="F734" s="235"/>
      <c r="G734" s="235"/>
      <c r="H734" s="236"/>
      <c r="I734" s="236"/>
      <c r="J734" s="236"/>
      <c r="K734" s="236"/>
      <c r="L734" s="236"/>
      <c r="M734" s="236"/>
      <c r="N734" s="236"/>
      <c r="O734" s="236"/>
      <c r="P734" s="236"/>
      <c r="Q734" s="236"/>
      <c r="R734" s="236"/>
      <c r="S734" s="236"/>
      <c r="T734" s="236"/>
      <c r="U734" s="236"/>
      <c r="V734" s="236"/>
      <c r="W734" s="237"/>
      <c r="X734" s="237"/>
      <c r="Y734" s="237"/>
      <c r="Z734" s="237"/>
      <c r="AA734" s="237"/>
      <c r="AB734" s="237"/>
      <c r="AC734" s="237"/>
      <c r="AD734" s="237"/>
      <c r="AE734" s="237"/>
      <c r="AF734" s="237"/>
      <c r="AG734" s="237"/>
      <c r="AH734" s="237"/>
      <c r="AI734" s="308"/>
      <c r="AJ734" s="308"/>
      <c r="AK734" s="308"/>
      <c r="AL734" s="308"/>
      <c r="AM734" s="98"/>
      <c r="AN734" s="98"/>
      <c r="AO734" s="98"/>
    </row>
    <row r="735" ht="14.25" customHeight="1">
      <c r="A735" s="179"/>
      <c r="B735" s="98"/>
      <c r="C735" s="98"/>
      <c r="D735" s="98"/>
      <c r="E735" s="98"/>
      <c r="F735" s="235"/>
      <c r="G735" s="235"/>
      <c r="H735" s="236"/>
      <c r="I735" s="236"/>
      <c r="J735" s="236"/>
      <c r="K735" s="236"/>
      <c r="L735" s="236"/>
      <c r="M735" s="236"/>
      <c r="N735" s="236"/>
      <c r="O735" s="236"/>
      <c r="P735" s="236"/>
      <c r="Q735" s="236"/>
      <c r="R735" s="236"/>
      <c r="S735" s="236"/>
      <c r="T735" s="236"/>
      <c r="U735" s="236"/>
      <c r="V735" s="236"/>
      <c r="W735" s="237"/>
      <c r="X735" s="237"/>
      <c r="Y735" s="237"/>
      <c r="Z735" s="237"/>
      <c r="AA735" s="237"/>
      <c r="AB735" s="237"/>
      <c r="AC735" s="237"/>
      <c r="AD735" s="237"/>
      <c r="AE735" s="237"/>
      <c r="AF735" s="237"/>
      <c r="AG735" s="237"/>
      <c r="AH735" s="237"/>
      <c r="AI735" s="308"/>
      <c r="AJ735" s="308"/>
      <c r="AK735" s="308"/>
      <c r="AL735" s="308"/>
      <c r="AM735" s="98"/>
      <c r="AN735" s="98"/>
      <c r="AO735" s="98"/>
    </row>
    <row r="736" ht="14.25" customHeight="1">
      <c r="A736" s="179"/>
      <c r="B736" s="98"/>
      <c r="C736" s="98"/>
      <c r="D736" s="98"/>
      <c r="E736" s="98"/>
      <c r="F736" s="235"/>
      <c r="G736" s="235"/>
      <c r="H736" s="236"/>
      <c r="I736" s="236"/>
      <c r="J736" s="236"/>
      <c r="K736" s="236"/>
      <c r="L736" s="236"/>
      <c r="M736" s="236"/>
      <c r="N736" s="236"/>
      <c r="O736" s="236"/>
      <c r="P736" s="236"/>
      <c r="Q736" s="236"/>
      <c r="R736" s="236"/>
      <c r="S736" s="236"/>
      <c r="T736" s="236"/>
      <c r="U736" s="236"/>
      <c r="V736" s="236"/>
      <c r="W736" s="237"/>
      <c r="X736" s="237"/>
      <c r="Y736" s="237"/>
      <c r="Z736" s="237"/>
      <c r="AA736" s="237"/>
      <c r="AB736" s="237"/>
      <c r="AC736" s="237"/>
      <c r="AD736" s="237"/>
      <c r="AE736" s="237"/>
      <c r="AF736" s="237"/>
      <c r="AG736" s="237"/>
      <c r="AH736" s="237"/>
      <c r="AI736" s="308"/>
      <c r="AJ736" s="308"/>
      <c r="AK736" s="308"/>
      <c r="AL736" s="308"/>
      <c r="AM736" s="98"/>
      <c r="AN736" s="98"/>
      <c r="AO736" s="98"/>
    </row>
    <row r="737" ht="14.25" customHeight="1">
      <c r="A737" s="179"/>
      <c r="B737" s="98"/>
      <c r="C737" s="98"/>
      <c r="D737" s="98"/>
      <c r="E737" s="98"/>
      <c r="F737" s="235"/>
      <c r="G737" s="235"/>
      <c r="H737" s="236"/>
      <c r="I737" s="236"/>
      <c r="J737" s="236"/>
      <c r="K737" s="236"/>
      <c r="L737" s="236"/>
      <c r="M737" s="236"/>
      <c r="N737" s="236"/>
      <c r="O737" s="236"/>
      <c r="P737" s="236"/>
      <c r="Q737" s="236"/>
      <c r="R737" s="236"/>
      <c r="S737" s="236"/>
      <c r="T737" s="236"/>
      <c r="U737" s="236"/>
      <c r="V737" s="236"/>
      <c r="W737" s="237"/>
      <c r="X737" s="237"/>
      <c r="Y737" s="237"/>
      <c r="Z737" s="237"/>
      <c r="AA737" s="237"/>
      <c r="AB737" s="237"/>
      <c r="AC737" s="237"/>
      <c r="AD737" s="237"/>
      <c r="AE737" s="237"/>
      <c r="AF737" s="237"/>
      <c r="AG737" s="237"/>
      <c r="AH737" s="237"/>
      <c r="AI737" s="308"/>
      <c r="AJ737" s="308"/>
      <c r="AK737" s="308"/>
      <c r="AL737" s="308"/>
      <c r="AM737" s="98"/>
      <c r="AN737" s="98"/>
      <c r="AO737" s="98"/>
    </row>
    <row r="738" ht="14.25" customHeight="1">
      <c r="A738" s="179"/>
      <c r="B738" s="98"/>
      <c r="C738" s="98"/>
      <c r="D738" s="98"/>
      <c r="E738" s="98"/>
      <c r="F738" s="235"/>
      <c r="G738" s="235"/>
      <c r="H738" s="236"/>
      <c r="I738" s="236"/>
      <c r="J738" s="236"/>
      <c r="K738" s="236"/>
      <c r="L738" s="236"/>
      <c r="M738" s="236"/>
      <c r="N738" s="236"/>
      <c r="O738" s="236"/>
      <c r="P738" s="236"/>
      <c r="Q738" s="236"/>
      <c r="R738" s="236"/>
      <c r="S738" s="236"/>
      <c r="T738" s="236"/>
      <c r="U738" s="236"/>
      <c r="V738" s="236"/>
      <c r="W738" s="237"/>
      <c r="X738" s="237"/>
      <c r="Y738" s="237"/>
      <c r="Z738" s="237"/>
      <c r="AA738" s="237"/>
      <c r="AB738" s="237"/>
      <c r="AC738" s="237"/>
      <c r="AD738" s="237"/>
      <c r="AE738" s="237"/>
      <c r="AF738" s="237"/>
      <c r="AG738" s="237"/>
      <c r="AH738" s="237"/>
      <c r="AI738" s="308"/>
      <c r="AJ738" s="308"/>
      <c r="AK738" s="308"/>
      <c r="AL738" s="308"/>
      <c r="AM738" s="98"/>
      <c r="AN738" s="98"/>
      <c r="AO738" s="98"/>
    </row>
    <row r="739" ht="14.25" customHeight="1">
      <c r="A739" s="179"/>
      <c r="B739" s="98"/>
      <c r="C739" s="98"/>
      <c r="D739" s="98"/>
      <c r="E739" s="98"/>
      <c r="F739" s="235"/>
      <c r="G739" s="235"/>
      <c r="H739" s="236"/>
      <c r="I739" s="236"/>
      <c r="J739" s="236"/>
      <c r="K739" s="236"/>
      <c r="L739" s="236"/>
      <c r="M739" s="236"/>
      <c r="N739" s="236"/>
      <c r="O739" s="236"/>
      <c r="P739" s="236"/>
      <c r="Q739" s="236"/>
      <c r="R739" s="236"/>
      <c r="S739" s="236"/>
      <c r="T739" s="236"/>
      <c r="U739" s="236"/>
      <c r="V739" s="236"/>
      <c r="W739" s="237"/>
      <c r="X739" s="237"/>
      <c r="Y739" s="237"/>
      <c r="Z739" s="237"/>
      <c r="AA739" s="237"/>
      <c r="AB739" s="237"/>
      <c r="AC739" s="237"/>
      <c r="AD739" s="237"/>
      <c r="AE739" s="237"/>
      <c r="AF739" s="237"/>
      <c r="AG739" s="237"/>
      <c r="AH739" s="237"/>
      <c r="AI739" s="308"/>
      <c r="AJ739" s="308"/>
      <c r="AK739" s="308"/>
      <c r="AL739" s="308"/>
      <c r="AM739" s="98"/>
      <c r="AN739" s="98"/>
      <c r="AO739" s="98"/>
    </row>
    <row r="740" ht="14.25" customHeight="1">
      <c r="A740" s="179"/>
      <c r="B740" s="98"/>
      <c r="C740" s="98"/>
      <c r="D740" s="98"/>
      <c r="E740" s="98"/>
      <c r="F740" s="235"/>
      <c r="G740" s="235"/>
      <c r="H740" s="236"/>
      <c r="I740" s="236"/>
      <c r="J740" s="236"/>
      <c r="K740" s="236"/>
      <c r="L740" s="236"/>
      <c r="M740" s="236"/>
      <c r="N740" s="236"/>
      <c r="O740" s="236"/>
      <c r="P740" s="236"/>
      <c r="Q740" s="236"/>
      <c r="R740" s="236"/>
      <c r="S740" s="236"/>
      <c r="T740" s="236"/>
      <c r="U740" s="236"/>
      <c r="V740" s="236"/>
      <c r="W740" s="237"/>
      <c r="X740" s="237"/>
      <c r="Y740" s="237"/>
      <c r="Z740" s="237"/>
      <c r="AA740" s="237"/>
      <c r="AB740" s="237"/>
      <c r="AC740" s="237"/>
      <c r="AD740" s="237"/>
      <c r="AE740" s="237"/>
      <c r="AF740" s="237"/>
      <c r="AG740" s="237"/>
      <c r="AH740" s="237"/>
      <c r="AI740" s="308"/>
      <c r="AJ740" s="308"/>
      <c r="AK740" s="308"/>
      <c r="AL740" s="308"/>
      <c r="AM740" s="98"/>
      <c r="AN740" s="98"/>
      <c r="AO740" s="98"/>
    </row>
    <row r="741" ht="14.25" customHeight="1">
      <c r="A741" s="179"/>
      <c r="B741" s="98"/>
      <c r="C741" s="98"/>
      <c r="D741" s="98"/>
      <c r="E741" s="98"/>
      <c r="F741" s="235"/>
      <c r="G741" s="235"/>
      <c r="H741" s="236"/>
      <c r="I741" s="236"/>
      <c r="J741" s="236"/>
      <c r="K741" s="236"/>
      <c r="L741" s="236"/>
      <c r="M741" s="236"/>
      <c r="N741" s="236"/>
      <c r="O741" s="236"/>
      <c r="P741" s="236"/>
      <c r="Q741" s="236"/>
      <c r="R741" s="236"/>
      <c r="S741" s="236"/>
      <c r="T741" s="236"/>
      <c r="U741" s="236"/>
      <c r="V741" s="236"/>
      <c r="W741" s="237"/>
      <c r="X741" s="237"/>
      <c r="Y741" s="237"/>
      <c r="Z741" s="237"/>
      <c r="AA741" s="237"/>
      <c r="AB741" s="237"/>
      <c r="AC741" s="237"/>
      <c r="AD741" s="237"/>
      <c r="AE741" s="237"/>
      <c r="AF741" s="237"/>
      <c r="AG741" s="237"/>
      <c r="AH741" s="237"/>
      <c r="AI741" s="308"/>
      <c r="AJ741" s="308"/>
      <c r="AK741" s="308"/>
      <c r="AL741" s="308"/>
      <c r="AM741" s="98"/>
      <c r="AN741" s="98"/>
      <c r="AO741" s="98"/>
    </row>
    <row r="742" ht="14.25" customHeight="1">
      <c r="A742" s="179"/>
      <c r="B742" s="98"/>
      <c r="C742" s="98"/>
      <c r="D742" s="98"/>
      <c r="E742" s="98"/>
      <c r="F742" s="235"/>
      <c r="G742" s="235"/>
      <c r="H742" s="236"/>
      <c r="I742" s="236"/>
      <c r="J742" s="236"/>
      <c r="K742" s="236"/>
      <c r="L742" s="236"/>
      <c r="M742" s="236"/>
      <c r="N742" s="236"/>
      <c r="O742" s="236"/>
      <c r="P742" s="236"/>
      <c r="Q742" s="236"/>
      <c r="R742" s="236"/>
      <c r="S742" s="236"/>
      <c r="T742" s="236"/>
      <c r="U742" s="236"/>
      <c r="V742" s="236"/>
      <c r="W742" s="237"/>
      <c r="X742" s="237"/>
      <c r="Y742" s="237"/>
      <c r="Z742" s="237"/>
      <c r="AA742" s="237"/>
      <c r="AB742" s="237"/>
      <c r="AC742" s="237"/>
      <c r="AD742" s="237"/>
      <c r="AE742" s="237"/>
      <c r="AF742" s="237"/>
      <c r="AG742" s="237"/>
      <c r="AH742" s="237"/>
      <c r="AI742" s="308"/>
      <c r="AJ742" s="308"/>
      <c r="AK742" s="308"/>
      <c r="AL742" s="308"/>
      <c r="AM742" s="98"/>
      <c r="AN742" s="98"/>
      <c r="AO742" s="98"/>
    </row>
    <row r="743" ht="14.25" customHeight="1">
      <c r="A743" s="179"/>
      <c r="B743" s="98"/>
      <c r="C743" s="98"/>
      <c r="D743" s="98"/>
      <c r="E743" s="98"/>
      <c r="F743" s="235"/>
      <c r="G743" s="235"/>
      <c r="H743" s="236"/>
      <c r="I743" s="236"/>
      <c r="J743" s="236"/>
      <c r="K743" s="236"/>
      <c r="L743" s="236"/>
      <c r="M743" s="236"/>
      <c r="N743" s="236"/>
      <c r="O743" s="236"/>
      <c r="P743" s="236"/>
      <c r="Q743" s="236"/>
      <c r="R743" s="236"/>
      <c r="S743" s="236"/>
      <c r="T743" s="236"/>
      <c r="U743" s="236"/>
      <c r="V743" s="236"/>
      <c r="W743" s="237"/>
      <c r="X743" s="237"/>
      <c r="Y743" s="237"/>
      <c r="Z743" s="237"/>
      <c r="AA743" s="237"/>
      <c r="AB743" s="237"/>
      <c r="AC743" s="237"/>
      <c r="AD743" s="237"/>
      <c r="AE743" s="237"/>
      <c r="AF743" s="237"/>
      <c r="AG743" s="237"/>
      <c r="AH743" s="237"/>
      <c r="AI743" s="308"/>
      <c r="AJ743" s="308"/>
      <c r="AK743" s="308"/>
      <c r="AL743" s="308"/>
      <c r="AM743" s="98"/>
      <c r="AN743" s="98"/>
      <c r="AO743" s="98"/>
    </row>
    <row r="744" ht="14.25" customHeight="1">
      <c r="A744" s="179"/>
      <c r="B744" s="98"/>
      <c r="C744" s="98"/>
      <c r="D744" s="98"/>
      <c r="E744" s="98"/>
      <c r="F744" s="235"/>
      <c r="G744" s="235"/>
      <c r="H744" s="236"/>
      <c r="I744" s="236"/>
      <c r="J744" s="236"/>
      <c r="K744" s="236"/>
      <c r="L744" s="236"/>
      <c r="M744" s="236"/>
      <c r="N744" s="236"/>
      <c r="O744" s="236"/>
      <c r="P744" s="236"/>
      <c r="Q744" s="236"/>
      <c r="R744" s="236"/>
      <c r="S744" s="236"/>
      <c r="T744" s="236"/>
      <c r="U744" s="236"/>
      <c r="V744" s="236"/>
      <c r="W744" s="237"/>
      <c r="X744" s="237"/>
      <c r="Y744" s="237"/>
      <c r="Z744" s="237"/>
      <c r="AA744" s="237"/>
      <c r="AB744" s="237"/>
      <c r="AC744" s="237"/>
      <c r="AD744" s="237"/>
      <c r="AE744" s="237"/>
      <c r="AF744" s="237"/>
      <c r="AG744" s="237"/>
      <c r="AH744" s="237"/>
      <c r="AI744" s="308"/>
      <c r="AJ744" s="308"/>
      <c r="AK744" s="308"/>
      <c r="AL744" s="308"/>
      <c r="AM744" s="98"/>
      <c r="AN744" s="98"/>
      <c r="AO744" s="98"/>
    </row>
    <row r="745" ht="14.25" customHeight="1">
      <c r="A745" s="179"/>
      <c r="B745" s="98"/>
      <c r="C745" s="98"/>
      <c r="D745" s="98"/>
      <c r="E745" s="98"/>
      <c r="F745" s="235"/>
      <c r="G745" s="235"/>
      <c r="H745" s="236"/>
      <c r="I745" s="236"/>
      <c r="J745" s="236"/>
      <c r="K745" s="236"/>
      <c r="L745" s="236"/>
      <c r="M745" s="236"/>
      <c r="N745" s="236"/>
      <c r="O745" s="236"/>
      <c r="P745" s="236"/>
      <c r="Q745" s="236"/>
      <c r="R745" s="236"/>
      <c r="S745" s="236"/>
      <c r="T745" s="236"/>
      <c r="U745" s="236"/>
      <c r="V745" s="236"/>
      <c r="W745" s="237"/>
      <c r="X745" s="237"/>
      <c r="Y745" s="237"/>
      <c r="Z745" s="237"/>
      <c r="AA745" s="237"/>
      <c r="AB745" s="237"/>
      <c r="AC745" s="237"/>
      <c r="AD745" s="237"/>
      <c r="AE745" s="237"/>
      <c r="AF745" s="237"/>
      <c r="AG745" s="237"/>
      <c r="AH745" s="237"/>
      <c r="AI745" s="308"/>
      <c r="AJ745" s="308"/>
      <c r="AK745" s="308"/>
      <c r="AL745" s="308"/>
      <c r="AM745" s="98"/>
      <c r="AN745" s="98"/>
      <c r="AO745" s="98"/>
    </row>
    <row r="746" ht="14.25" customHeight="1">
      <c r="A746" s="179"/>
      <c r="B746" s="98"/>
      <c r="C746" s="98"/>
      <c r="D746" s="98"/>
      <c r="E746" s="98"/>
      <c r="F746" s="235"/>
      <c r="G746" s="235"/>
      <c r="H746" s="236"/>
      <c r="I746" s="236"/>
      <c r="J746" s="236"/>
      <c r="K746" s="236"/>
      <c r="L746" s="236"/>
      <c r="M746" s="236"/>
      <c r="N746" s="236"/>
      <c r="O746" s="236"/>
      <c r="P746" s="236"/>
      <c r="Q746" s="236"/>
      <c r="R746" s="236"/>
      <c r="S746" s="236"/>
      <c r="T746" s="236"/>
      <c r="U746" s="236"/>
      <c r="V746" s="236"/>
      <c r="W746" s="237"/>
      <c r="X746" s="237"/>
      <c r="Y746" s="237"/>
      <c r="Z746" s="237"/>
      <c r="AA746" s="237"/>
      <c r="AB746" s="237"/>
      <c r="AC746" s="237"/>
      <c r="AD746" s="237"/>
      <c r="AE746" s="237"/>
      <c r="AF746" s="237"/>
      <c r="AG746" s="237"/>
      <c r="AH746" s="237"/>
      <c r="AI746" s="308"/>
      <c r="AJ746" s="308"/>
      <c r="AK746" s="308"/>
      <c r="AL746" s="308"/>
      <c r="AM746" s="98"/>
      <c r="AN746" s="98"/>
      <c r="AO746" s="98"/>
    </row>
    <row r="747" ht="14.25" customHeight="1">
      <c r="A747" s="179"/>
      <c r="B747" s="98"/>
      <c r="C747" s="98"/>
      <c r="D747" s="98"/>
      <c r="E747" s="98"/>
      <c r="F747" s="235"/>
      <c r="G747" s="235"/>
      <c r="H747" s="236"/>
      <c r="I747" s="236"/>
      <c r="J747" s="236"/>
      <c r="K747" s="236"/>
      <c r="L747" s="236"/>
      <c r="M747" s="236"/>
      <c r="N747" s="236"/>
      <c r="O747" s="236"/>
      <c r="P747" s="236"/>
      <c r="Q747" s="236"/>
      <c r="R747" s="236"/>
      <c r="S747" s="236"/>
      <c r="T747" s="236"/>
      <c r="U747" s="236"/>
      <c r="V747" s="236"/>
      <c r="W747" s="237"/>
      <c r="X747" s="237"/>
      <c r="Y747" s="237"/>
      <c r="Z747" s="237"/>
      <c r="AA747" s="237"/>
      <c r="AB747" s="237"/>
      <c r="AC747" s="237"/>
      <c r="AD747" s="237"/>
      <c r="AE747" s="237"/>
      <c r="AF747" s="237"/>
      <c r="AG747" s="237"/>
      <c r="AH747" s="237"/>
      <c r="AI747" s="308"/>
      <c r="AJ747" s="308"/>
      <c r="AK747" s="308"/>
      <c r="AL747" s="308"/>
      <c r="AM747" s="98"/>
      <c r="AN747" s="98"/>
      <c r="AO747" s="98"/>
    </row>
    <row r="748" ht="14.25" customHeight="1">
      <c r="A748" s="179"/>
      <c r="B748" s="98"/>
      <c r="C748" s="98"/>
      <c r="D748" s="98"/>
      <c r="E748" s="98"/>
      <c r="F748" s="235"/>
      <c r="G748" s="235"/>
      <c r="H748" s="236"/>
      <c r="I748" s="236"/>
      <c r="J748" s="236"/>
      <c r="K748" s="236"/>
      <c r="L748" s="236"/>
      <c r="M748" s="236"/>
      <c r="N748" s="236"/>
      <c r="O748" s="236"/>
      <c r="P748" s="236"/>
      <c r="Q748" s="236"/>
      <c r="R748" s="236"/>
      <c r="S748" s="236"/>
      <c r="T748" s="236"/>
      <c r="U748" s="236"/>
      <c r="V748" s="236"/>
      <c r="W748" s="237"/>
      <c r="X748" s="237"/>
      <c r="Y748" s="237"/>
      <c r="Z748" s="237"/>
      <c r="AA748" s="237"/>
      <c r="AB748" s="237"/>
      <c r="AC748" s="237"/>
      <c r="AD748" s="237"/>
      <c r="AE748" s="237"/>
      <c r="AF748" s="237"/>
      <c r="AG748" s="237"/>
      <c r="AH748" s="237"/>
      <c r="AI748" s="308"/>
      <c r="AJ748" s="308"/>
      <c r="AK748" s="308"/>
      <c r="AL748" s="308"/>
      <c r="AM748" s="98"/>
      <c r="AN748" s="98"/>
      <c r="AO748" s="98"/>
    </row>
    <row r="749" ht="14.25" customHeight="1">
      <c r="A749" s="179"/>
      <c r="B749" s="98"/>
      <c r="C749" s="98"/>
      <c r="D749" s="98"/>
      <c r="E749" s="98"/>
      <c r="F749" s="235"/>
      <c r="G749" s="235"/>
      <c r="H749" s="236"/>
      <c r="I749" s="236"/>
      <c r="J749" s="236"/>
      <c r="K749" s="236"/>
      <c r="L749" s="236"/>
      <c r="M749" s="236"/>
      <c r="N749" s="236"/>
      <c r="O749" s="236"/>
      <c r="P749" s="236"/>
      <c r="Q749" s="236"/>
      <c r="R749" s="236"/>
      <c r="S749" s="236"/>
      <c r="T749" s="236"/>
      <c r="U749" s="236"/>
      <c r="V749" s="236"/>
      <c r="W749" s="237"/>
      <c r="X749" s="237"/>
      <c r="Y749" s="237"/>
      <c r="Z749" s="237"/>
      <c r="AA749" s="237"/>
      <c r="AB749" s="237"/>
      <c r="AC749" s="237"/>
      <c r="AD749" s="237"/>
      <c r="AE749" s="237"/>
      <c r="AF749" s="237"/>
      <c r="AG749" s="237"/>
      <c r="AH749" s="237"/>
      <c r="AI749" s="308"/>
      <c r="AJ749" s="308"/>
      <c r="AK749" s="308"/>
      <c r="AL749" s="308"/>
      <c r="AM749" s="98"/>
      <c r="AN749" s="98"/>
      <c r="AO749" s="98"/>
    </row>
    <row r="750" ht="14.25" customHeight="1">
      <c r="A750" s="179"/>
      <c r="B750" s="98"/>
      <c r="C750" s="98"/>
      <c r="D750" s="98"/>
      <c r="E750" s="98"/>
      <c r="F750" s="235"/>
      <c r="G750" s="235"/>
      <c r="H750" s="236"/>
      <c r="I750" s="236"/>
      <c r="J750" s="236"/>
      <c r="K750" s="236"/>
      <c r="L750" s="236"/>
      <c r="M750" s="236"/>
      <c r="N750" s="236"/>
      <c r="O750" s="236"/>
      <c r="P750" s="236"/>
      <c r="Q750" s="236"/>
      <c r="R750" s="236"/>
      <c r="S750" s="236"/>
      <c r="T750" s="236"/>
      <c r="U750" s="236"/>
      <c r="V750" s="236"/>
      <c r="W750" s="237"/>
      <c r="X750" s="237"/>
      <c r="Y750" s="237"/>
      <c r="Z750" s="237"/>
      <c r="AA750" s="237"/>
      <c r="AB750" s="237"/>
      <c r="AC750" s="237"/>
      <c r="AD750" s="237"/>
      <c r="AE750" s="237"/>
      <c r="AF750" s="237"/>
      <c r="AG750" s="237"/>
      <c r="AH750" s="237"/>
      <c r="AI750" s="308"/>
      <c r="AJ750" s="308"/>
      <c r="AK750" s="308"/>
      <c r="AL750" s="308"/>
      <c r="AM750" s="98"/>
      <c r="AN750" s="98"/>
      <c r="AO750" s="98"/>
    </row>
    <row r="751" ht="14.25" customHeight="1">
      <c r="A751" s="179"/>
      <c r="B751" s="98"/>
      <c r="C751" s="98"/>
      <c r="D751" s="98"/>
      <c r="E751" s="98"/>
      <c r="F751" s="235"/>
      <c r="G751" s="235"/>
      <c r="H751" s="236"/>
      <c r="I751" s="236"/>
      <c r="J751" s="236"/>
      <c r="K751" s="236"/>
      <c r="L751" s="236"/>
      <c r="M751" s="236"/>
      <c r="N751" s="236"/>
      <c r="O751" s="236"/>
      <c r="P751" s="236"/>
      <c r="Q751" s="236"/>
      <c r="R751" s="236"/>
      <c r="S751" s="236"/>
      <c r="T751" s="236"/>
      <c r="U751" s="236"/>
      <c r="V751" s="236"/>
      <c r="W751" s="237"/>
      <c r="X751" s="237"/>
      <c r="Y751" s="237"/>
      <c r="Z751" s="237"/>
      <c r="AA751" s="237"/>
      <c r="AB751" s="237"/>
      <c r="AC751" s="237"/>
      <c r="AD751" s="237"/>
      <c r="AE751" s="237"/>
      <c r="AF751" s="237"/>
      <c r="AG751" s="237"/>
      <c r="AH751" s="237"/>
      <c r="AI751" s="308"/>
      <c r="AJ751" s="308"/>
      <c r="AK751" s="308"/>
      <c r="AL751" s="308"/>
      <c r="AM751" s="98"/>
      <c r="AN751" s="98"/>
      <c r="AO751" s="98"/>
    </row>
    <row r="752" ht="14.25" customHeight="1">
      <c r="A752" s="179"/>
      <c r="B752" s="98"/>
      <c r="C752" s="98"/>
      <c r="D752" s="98"/>
      <c r="E752" s="98"/>
      <c r="F752" s="235"/>
      <c r="G752" s="235"/>
      <c r="H752" s="236"/>
      <c r="I752" s="236"/>
      <c r="J752" s="236"/>
      <c r="K752" s="236"/>
      <c r="L752" s="236"/>
      <c r="M752" s="236"/>
      <c r="N752" s="236"/>
      <c r="O752" s="236"/>
      <c r="P752" s="236"/>
      <c r="Q752" s="236"/>
      <c r="R752" s="236"/>
      <c r="S752" s="236"/>
      <c r="T752" s="236"/>
      <c r="U752" s="236"/>
      <c r="V752" s="236"/>
      <c r="W752" s="237"/>
      <c r="X752" s="237"/>
      <c r="Y752" s="237"/>
      <c r="Z752" s="237"/>
      <c r="AA752" s="237"/>
      <c r="AB752" s="237"/>
      <c r="AC752" s="237"/>
      <c r="AD752" s="237"/>
      <c r="AE752" s="237"/>
      <c r="AF752" s="237"/>
      <c r="AG752" s="237"/>
      <c r="AH752" s="237"/>
      <c r="AI752" s="308"/>
      <c r="AJ752" s="308"/>
      <c r="AK752" s="308"/>
      <c r="AL752" s="308"/>
      <c r="AM752" s="98"/>
      <c r="AN752" s="98"/>
      <c r="AO752" s="98"/>
    </row>
    <row r="753" ht="14.25" customHeight="1">
      <c r="A753" s="179"/>
      <c r="B753" s="98"/>
      <c r="C753" s="98"/>
      <c r="D753" s="98"/>
      <c r="E753" s="98"/>
      <c r="F753" s="235"/>
      <c r="G753" s="235"/>
      <c r="H753" s="236"/>
      <c r="I753" s="236"/>
      <c r="J753" s="236"/>
      <c r="K753" s="236"/>
      <c r="L753" s="236"/>
      <c r="M753" s="236"/>
      <c r="N753" s="236"/>
      <c r="O753" s="236"/>
      <c r="P753" s="236"/>
      <c r="Q753" s="236"/>
      <c r="R753" s="236"/>
      <c r="S753" s="236"/>
      <c r="T753" s="236"/>
      <c r="U753" s="236"/>
      <c r="V753" s="236"/>
      <c r="W753" s="237"/>
      <c r="X753" s="237"/>
      <c r="Y753" s="237"/>
      <c r="Z753" s="237"/>
      <c r="AA753" s="237"/>
      <c r="AB753" s="237"/>
      <c r="AC753" s="237"/>
      <c r="AD753" s="237"/>
      <c r="AE753" s="237"/>
      <c r="AF753" s="237"/>
      <c r="AG753" s="237"/>
      <c r="AH753" s="237"/>
      <c r="AI753" s="308"/>
      <c r="AJ753" s="308"/>
      <c r="AK753" s="308"/>
      <c r="AL753" s="308"/>
      <c r="AM753" s="98"/>
      <c r="AN753" s="98"/>
      <c r="AO753" s="98"/>
    </row>
    <row r="754" ht="14.25" customHeight="1">
      <c r="A754" s="179"/>
      <c r="B754" s="98"/>
      <c r="C754" s="98"/>
      <c r="D754" s="98"/>
      <c r="E754" s="98"/>
      <c r="F754" s="235"/>
      <c r="G754" s="235"/>
      <c r="H754" s="236"/>
      <c r="I754" s="236"/>
      <c r="J754" s="236"/>
      <c r="K754" s="236"/>
      <c r="L754" s="236"/>
      <c r="M754" s="236"/>
      <c r="N754" s="236"/>
      <c r="O754" s="236"/>
      <c r="P754" s="236"/>
      <c r="Q754" s="236"/>
      <c r="R754" s="236"/>
      <c r="S754" s="236"/>
      <c r="T754" s="236"/>
      <c r="U754" s="236"/>
      <c r="V754" s="236"/>
      <c r="W754" s="237"/>
      <c r="X754" s="237"/>
      <c r="Y754" s="237"/>
      <c r="Z754" s="237"/>
      <c r="AA754" s="237"/>
      <c r="AB754" s="237"/>
      <c r="AC754" s="237"/>
      <c r="AD754" s="237"/>
      <c r="AE754" s="237"/>
      <c r="AF754" s="237"/>
      <c r="AG754" s="237"/>
      <c r="AH754" s="237"/>
      <c r="AI754" s="308"/>
      <c r="AJ754" s="308"/>
      <c r="AK754" s="308"/>
      <c r="AL754" s="308"/>
      <c r="AM754" s="98"/>
      <c r="AN754" s="98"/>
      <c r="AO754" s="98"/>
    </row>
    <row r="755" ht="14.25" customHeight="1">
      <c r="A755" s="179"/>
      <c r="B755" s="98"/>
      <c r="C755" s="98"/>
      <c r="D755" s="98"/>
      <c r="E755" s="98"/>
      <c r="F755" s="235"/>
      <c r="G755" s="235"/>
      <c r="H755" s="236"/>
      <c r="I755" s="236"/>
      <c r="J755" s="236"/>
      <c r="K755" s="236"/>
      <c r="L755" s="236"/>
      <c r="M755" s="236"/>
      <c r="N755" s="236"/>
      <c r="O755" s="236"/>
      <c r="P755" s="236"/>
      <c r="Q755" s="236"/>
      <c r="R755" s="236"/>
      <c r="S755" s="236"/>
      <c r="T755" s="236"/>
      <c r="U755" s="236"/>
      <c r="V755" s="236"/>
      <c r="W755" s="237"/>
      <c r="X755" s="237"/>
      <c r="Y755" s="237"/>
      <c r="Z755" s="237"/>
      <c r="AA755" s="237"/>
      <c r="AB755" s="237"/>
      <c r="AC755" s="237"/>
      <c r="AD755" s="237"/>
      <c r="AE755" s="237"/>
      <c r="AF755" s="237"/>
      <c r="AG755" s="237"/>
      <c r="AH755" s="237"/>
      <c r="AI755" s="308"/>
      <c r="AJ755" s="308"/>
      <c r="AK755" s="308"/>
      <c r="AL755" s="308"/>
      <c r="AM755" s="98"/>
      <c r="AN755" s="98"/>
      <c r="AO755" s="98"/>
    </row>
    <row r="756" ht="14.25" customHeight="1">
      <c r="A756" s="179"/>
      <c r="B756" s="98"/>
      <c r="C756" s="98"/>
      <c r="D756" s="98"/>
      <c r="E756" s="98"/>
      <c r="F756" s="235"/>
      <c r="G756" s="235"/>
      <c r="H756" s="236"/>
      <c r="I756" s="236"/>
      <c r="J756" s="236"/>
      <c r="K756" s="236"/>
      <c r="L756" s="236"/>
      <c r="M756" s="236"/>
      <c r="N756" s="236"/>
      <c r="O756" s="236"/>
      <c r="P756" s="236"/>
      <c r="Q756" s="236"/>
      <c r="R756" s="236"/>
      <c r="S756" s="236"/>
      <c r="T756" s="236"/>
      <c r="U756" s="236"/>
      <c r="V756" s="236"/>
      <c r="W756" s="237"/>
      <c r="X756" s="237"/>
      <c r="Y756" s="237"/>
      <c r="Z756" s="237"/>
      <c r="AA756" s="237"/>
      <c r="AB756" s="237"/>
      <c r="AC756" s="237"/>
      <c r="AD756" s="237"/>
      <c r="AE756" s="237"/>
      <c r="AF756" s="237"/>
      <c r="AG756" s="237"/>
      <c r="AH756" s="237"/>
      <c r="AI756" s="308"/>
      <c r="AJ756" s="308"/>
      <c r="AK756" s="308"/>
      <c r="AL756" s="308"/>
      <c r="AM756" s="98"/>
      <c r="AN756" s="98"/>
      <c r="AO756" s="98"/>
    </row>
    <row r="757" ht="14.25" customHeight="1">
      <c r="A757" s="179"/>
      <c r="B757" s="98"/>
      <c r="C757" s="98"/>
      <c r="D757" s="98"/>
      <c r="E757" s="98"/>
      <c r="F757" s="235"/>
      <c r="G757" s="235"/>
      <c r="H757" s="236"/>
      <c r="I757" s="236"/>
      <c r="J757" s="236"/>
      <c r="K757" s="236"/>
      <c r="L757" s="236"/>
      <c r="M757" s="236"/>
      <c r="N757" s="236"/>
      <c r="O757" s="236"/>
      <c r="P757" s="236"/>
      <c r="Q757" s="236"/>
      <c r="R757" s="236"/>
      <c r="S757" s="236"/>
      <c r="T757" s="236"/>
      <c r="U757" s="236"/>
      <c r="V757" s="236"/>
      <c r="W757" s="237"/>
      <c r="X757" s="237"/>
      <c r="Y757" s="237"/>
      <c r="Z757" s="237"/>
      <c r="AA757" s="237"/>
      <c r="AB757" s="237"/>
      <c r="AC757" s="237"/>
      <c r="AD757" s="237"/>
      <c r="AE757" s="237"/>
      <c r="AF757" s="237"/>
      <c r="AG757" s="237"/>
      <c r="AH757" s="237"/>
      <c r="AI757" s="308"/>
      <c r="AJ757" s="308"/>
      <c r="AK757" s="308"/>
      <c r="AL757" s="308"/>
      <c r="AM757" s="98"/>
      <c r="AN757" s="98"/>
      <c r="AO757" s="98"/>
    </row>
    <row r="758" ht="14.25" customHeight="1">
      <c r="A758" s="179"/>
      <c r="B758" s="98"/>
      <c r="C758" s="98"/>
      <c r="D758" s="98"/>
      <c r="E758" s="98"/>
      <c r="F758" s="235"/>
      <c r="G758" s="235"/>
      <c r="H758" s="236"/>
      <c r="I758" s="236"/>
      <c r="J758" s="236"/>
      <c r="K758" s="236"/>
      <c r="L758" s="236"/>
      <c r="M758" s="236"/>
      <c r="N758" s="236"/>
      <c r="O758" s="236"/>
      <c r="P758" s="236"/>
      <c r="Q758" s="236"/>
      <c r="R758" s="236"/>
      <c r="S758" s="236"/>
      <c r="T758" s="236"/>
      <c r="U758" s="236"/>
      <c r="V758" s="236"/>
      <c r="W758" s="237"/>
      <c r="X758" s="237"/>
      <c r="Y758" s="237"/>
      <c r="Z758" s="237"/>
      <c r="AA758" s="237"/>
      <c r="AB758" s="237"/>
      <c r="AC758" s="237"/>
      <c r="AD758" s="237"/>
      <c r="AE758" s="237"/>
      <c r="AF758" s="237"/>
      <c r="AG758" s="237"/>
      <c r="AH758" s="237"/>
      <c r="AI758" s="308"/>
      <c r="AJ758" s="308"/>
      <c r="AK758" s="308"/>
      <c r="AL758" s="308"/>
      <c r="AM758" s="98"/>
      <c r="AN758" s="98"/>
      <c r="AO758" s="98"/>
    </row>
    <row r="759" ht="14.25" customHeight="1">
      <c r="A759" s="179"/>
      <c r="B759" s="98"/>
      <c r="C759" s="98"/>
      <c r="D759" s="98"/>
      <c r="E759" s="98"/>
      <c r="F759" s="235"/>
      <c r="G759" s="235"/>
      <c r="H759" s="236"/>
      <c r="I759" s="236"/>
      <c r="J759" s="236"/>
      <c r="K759" s="236"/>
      <c r="L759" s="236"/>
      <c r="M759" s="236"/>
      <c r="N759" s="236"/>
      <c r="O759" s="236"/>
      <c r="P759" s="236"/>
      <c r="Q759" s="236"/>
      <c r="R759" s="236"/>
      <c r="S759" s="236"/>
      <c r="T759" s="236"/>
      <c r="U759" s="236"/>
      <c r="V759" s="236"/>
      <c r="W759" s="237"/>
      <c r="X759" s="237"/>
      <c r="Y759" s="237"/>
      <c r="Z759" s="237"/>
      <c r="AA759" s="237"/>
      <c r="AB759" s="237"/>
      <c r="AC759" s="237"/>
      <c r="AD759" s="237"/>
      <c r="AE759" s="237"/>
      <c r="AF759" s="237"/>
      <c r="AG759" s="237"/>
      <c r="AH759" s="237"/>
      <c r="AI759" s="308"/>
      <c r="AJ759" s="308"/>
      <c r="AK759" s="308"/>
      <c r="AL759" s="308"/>
      <c r="AM759" s="98"/>
      <c r="AN759" s="98"/>
      <c r="AO759" s="98"/>
    </row>
    <row r="760" ht="14.25" customHeight="1">
      <c r="A760" s="179"/>
      <c r="B760" s="98"/>
      <c r="C760" s="98"/>
      <c r="D760" s="98"/>
      <c r="E760" s="98"/>
      <c r="F760" s="235"/>
      <c r="G760" s="235"/>
      <c r="H760" s="236"/>
      <c r="I760" s="236"/>
      <c r="J760" s="236"/>
      <c r="K760" s="236"/>
      <c r="L760" s="236"/>
      <c r="M760" s="236"/>
      <c r="N760" s="236"/>
      <c r="O760" s="236"/>
      <c r="P760" s="236"/>
      <c r="Q760" s="236"/>
      <c r="R760" s="236"/>
      <c r="S760" s="236"/>
      <c r="T760" s="236"/>
      <c r="U760" s="236"/>
      <c r="V760" s="236"/>
      <c r="W760" s="237"/>
      <c r="X760" s="237"/>
      <c r="Y760" s="237"/>
      <c r="Z760" s="237"/>
      <c r="AA760" s="237"/>
      <c r="AB760" s="237"/>
      <c r="AC760" s="237"/>
      <c r="AD760" s="237"/>
      <c r="AE760" s="237"/>
      <c r="AF760" s="237"/>
      <c r="AG760" s="237"/>
      <c r="AH760" s="237"/>
      <c r="AI760" s="308"/>
      <c r="AJ760" s="308"/>
      <c r="AK760" s="308"/>
      <c r="AL760" s="308"/>
      <c r="AM760" s="98"/>
      <c r="AN760" s="98"/>
      <c r="AO760" s="98"/>
    </row>
    <row r="761" ht="14.25" customHeight="1">
      <c r="A761" s="179"/>
      <c r="B761" s="98"/>
      <c r="C761" s="98"/>
      <c r="D761" s="98"/>
      <c r="E761" s="98"/>
      <c r="F761" s="235"/>
      <c r="G761" s="235"/>
      <c r="H761" s="236"/>
      <c r="I761" s="236"/>
      <c r="J761" s="236"/>
      <c r="K761" s="236"/>
      <c r="L761" s="236"/>
      <c r="M761" s="236"/>
      <c r="N761" s="236"/>
      <c r="O761" s="236"/>
      <c r="P761" s="236"/>
      <c r="Q761" s="236"/>
      <c r="R761" s="236"/>
      <c r="S761" s="236"/>
      <c r="T761" s="236"/>
      <c r="U761" s="236"/>
      <c r="V761" s="236"/>
      <c r="W761" s="237"/>
      <c r="X761" s="237"/>
      <c r="Y761" s="237"/>
      <c r="Z761" s="237"/>
      <c r="AA761" s="237"/>
      <c r="AB761" s="237"/>
      <c r="AC761" s="237"/>
      <c r="AD761" s="237"/>
      <c r="AE761" s="237"/>
      <c r="AF761" s="237"/>
      <c r="AG761" s="237"/>
      <c r="AH761" s="237"/>
      <c r="AI761" s="308"/>
      <c r="AJ761" s="308"/>
      <c r="AK761" s="308"/>
      <c r="AL761" s="308"/>
      <c r="AM761" s="98"/>
      <c r="AN761" s="98"/>
      <c r="AO761" s="98"/>
    </row>
    <row r="762" ht="14.25" customHeight="1">
      <c r="A762" s="179"/>
      <c r="B762" s="98"/>
      <c r="C762" s="98"/>
      <c r="D762" s="98"/>
      <c r="E762" s="98"/>
      <c r="F762" s="235"/>
      <c r="G762" s="235"/>
      <c r="H762" s="236"/>
      <c r="I762" s="236"/>
      <c r="J762" s="236"/>
      <c r="K762" s="236"/>
      <c r="L762" s="236"/>
      <c r="M762" s="236"/>
      <c r="N762" s="236"/>
      <c r="O762" s="236"/>
      <c r="P762" s="236"/>
      <c r="Q762" s="236"/>
      <c r="R762" s="236"/>
      <c r="S762" s="236"/>
      <c r="T762" s="236"/>
      <c r="U762" s="236"/>
      <c r="V762" s="236"/>
      <c r="W762" s="237"/>
      <c r="X762" s="237"/>
      <c r="Y762" s="237"/>
      <c r="Z762" s="237"/>
      <c r="AA762" s="237"/>
      <c r="AB762" s="237"/>
      <c r="AC762" s="237"/>
      <c r="AD762" s="237"/>
      <c r="AE762" s="237"/>
      <c r="AF762" s="237"/>
      <c r="AG762" s="237"/>
      <c r="AH762" s="237"/>
      <c r="AI762" s="308"/>
      <c r="AJ762" s="308"/>
      <c r="AK762" s="308"/>
      <c r="AL762" s="308"/>
      <c r="AM762" s="98"/>
      <c r="AN762" s="98"/>
      <c r="AO762" s="98"/>
    </row>
    <row r="763" ht="14.25" customHeight="1">
      <c r="A763" s="179"/>
      <c r="B763" s="98"/>
      <c r="C763" s="98"/>
      <c r="D763" s="98"/>
      <c r="E763" s="98"/>
      <c r="F763" s="235"/>
      <c r="G763" s="235"/>
      <c r="H763" s="236"/>
      <c r="I763" s="236"/>
      <c r="J763" s="236"/>
      <c r="K763" s="236"/>
      <c r="L763" s="236"/>
      <c r="M763" s="236"/>
      <c r="N763" s="236"/>
      <c r="O763" s="236"/>
      <c r="P763" s="236"/>
      <c r="Q763" s="236"/>
      <c r="R763" s="236"/>
      <c r="S763" s="236"/>
      <c r="T763" s="236"/>
      <c r="U763" s="236"/>
      <c r="V763" s="236"/>
      <c r="W763" s="237"/>
      <c r="X763" s="237"/>
      <c r="Y763" s="237"/>
      <c r="Z763" s="237"/>
      <c r="AA763" s="237"/>
      <c r="AB763" s="237"/>
      <c r="AC763" s="237"/>
      <c r="AD763" s="237"/>
      <c r="AE763" s="237"/>
      <c r="AF763" s="237"/>
      <c r="AG763" s="237"/>
      <c r="AH763" s="237"/>
      <c r="AI763" s="308"/>
      <c r="AJ763" s="308"/>
      <c r="AK763" s="308"/>
      <c r="AL763" s="308"/>
      <c r="AM763" s="98"/>
      <c r="AN763" s="98"/>
      <c r="AO763" s="98"/>
    </row>
    <row r="764" ht="14.25" customHeight="1">
      <c r="A764" s="179"/>
      <c r="B764" s="98"/>
      <c r="C764" s="98"/>
      <c r="D764" s="98"/>
      <c r="E764" s="98"/>
      <c r="F764" s="235"/>
      <c r="G764" s="235"/>
      <c r="H764" s="236"/>
      <c r="I764" s="236"/>
      <c r="J764" s="236"/>
      <c r="K764" s="236"/>
      <c r="L764" s="236"/>
      <c r="M764" s="236"/>
      <c r="N764" s="236"/>
      <c r="O764" s="236"/>
      <c r="P764" s="236"/>
      <c r="Q764" s="236"/>
      <c r="R764" s="236"/>
      <c r="S764" s="236"/>
      <c r="T764" s="236"/>
      <c r="U764" s="236"/>
      <c r="V764" s="236"/>
      <c r="W764" s="237"/>
      <c r="X764" s="237"/>
      <c r="Y764" s="237"/>
      <c r="Z764" s="237"/>
      <c r="AA764" s="237"/>
      <c r="AB764" s="237"/>
      <c r="AC764" s="237"/>
      <c r="AD764" s="237"/>
      <c r="AE764" s="237"/>
      <c r="AF764" s="237"/>
      <c r="AG764" s="237"/>
      <c r="AH764" s="237"/>
      <c r="AI764" s="308"/>
      <c r="AJ764" s="308"/>
      <c r="AK764" s="308"/>
      <c r="AL764" s="308"/>
      <c r="AM764" s="98"/>
      <c r="AN764" s="98"/>
      <c r="AO764" s="98"/>
    </row>
    <row r="765" ht="14.25" customHeight="1">
      <c r="A765" s="179"/>
      <c r="B765" s="98"/>
      <c r="C765" s="98"/>
      <c r="D765" s="98"/>
      <c r="E765" s="98"/>
      <c r="F765" s="235"/>
      <c r="G765" s="235"/>
      <c r="H765" s="236"/>
      <c r="I765" s="236"/>
      <c r="J765" s="236"/>
      <c r="K765" s="236"/>
      <c r="L765" s="236"/>
      <c r="M765" s="236"/>
      <c r="N765" s="236"/>
      <c r="O765" s="236"/>
      <c r="P765" s="236"/>
      <c r="Q765" s="236"/>
      <c r="R765" s="236"/>
      <c r="S765" s="236"/>
      <c r="T765" s="236"/>
      <c r="U765" s="236"/>
      <c r="V765" s="236"/>
      <c r="W765" s="237"/>
      <c r="X765" s="237"/>
      <c r="Y765" s="237"/>
      <c r="Z765" s="237"/>
      <c r="AA765" s="237"/>
      <c r="AB765" s="237"/>
      <c r="AC765" s="237"/>
      <c r="AD765" s="237"/>
      <c r="AE765" s="237"/>
      <c r="AF765" s="237"/>
      <c r="AG765" s="237"/>
      <c r="AH765" s="237"/>
      <c r="AI765" s="308"/>
      <c r="AJ765" s="308"/>
      <c r="AK765" s="308"/>
      <c r="AL765" s="308"/>
      <c r="AM765" s="98"/>
      <c r="AN765" s="98"/>
      <c r="AO765" s="98"/>
    </row>
    <row r="766" ht="14.25" customHeight="1">
      <c r="A766" s="179"/>
      <c r="B766" s="98"/>
      <c r="C766" s="98"/>
      <c r="D766" s="98"/>
      <c r="E766" s="98"/>
      <c r="F766" s="235"/>
      <c r="G766" s="235"/>
      <c r="H766" s="236"/>
      <c r="I766" s="236"/>
      <c r="J766" s="236"/>
      <c r="K766" s="236"/>
      <c r="L766" s="236"/>
      <c r="M766" s="236"/>
      <c r="N766" s="236"/>
      <c r="O766" s="236"/>
      <c r="P766" s="236"/>
      <c r="Q766" s="236"/>
      <c r="R766" s="236"/>
      <c r="S766" s="236"/>
      <c r="T766" s="236"/>
      <c r="U766" s="236"/>
      <c r="V766" s="236"/>
      <c r="W766" s="237"/>
      <c r="X766" s="237"/>
      <c r="Y766" s="237"/>
      <c r="Z766" s="237"/>
      <c r="AA766" s="237"/>
      <c r="AB766" s="237"/>
      <c r="AC766" s="237"/>
      <c r="AD766" s="237"/>
      <c r="AE766" s="237"/>
      <c r="AF766" s="237"/>
      <c r="AG766" s="237"/>
      <c r="AH766" s="237"/>
      <c r="AI766" s="308"/>
      <c r="AJ766" s="308"/>
      <c r="AK766" s="308"/>
      <c r="AL766" s="308"/>
      <c r="AM766" s="98"/>
      <c r="AN766" s="98"/>
      <c r="AO766" s="98"/>
    </row>
    <row r="767" ht="14.25" customHeight="1">
      <c r="A767" s="179"/>
      <c r="B767" s="98"/>
      <c r="C767" s="98"/>
      <c r="D767" s="98"/>
      <c r="E767" s="98"/>
      <c r="F767" s="235"/>
      <c r="G767" s="235"/>
      <c r="H767" s="236"/>
      <c r="I767" s="236"/>
      <c r="J767" s="236"/>
      <c r="K767" s="236"/>
      <c r="L767" s="236"/>
      <c r="M767" s="236"/>
      <c r="N767" s="236"/>
      <c r="O767" s="236"/>
      <c r="P767" s="236"/>
      <c r="Q767" s="236"/>
      <c r="R767" s="236"/>
      <c r="S767" s="236"/>
      <c r="T767" s="236"/>
      <c r="U767" s="236"/>
      <c r="V767" s="236"/>
      <c r="W767" s="237"/>
      <c r="X767" s="237"/>
      <c r="Y767" s="237"/>
      <c r="Z767" s="237"/>
      <c r="AA767" s="237"/>
      <c r="AB767" s="237"/>
      <c r="AC767" s="237"/>
      <c r="AD767" s="237"/>
      <c r="AE767" s="237"/>
      <c r="AF767" s="237"/>
      <c r="AG767" s="237"/>
      <c r="AH767" s="237"/>
      <c r="AI767" s="308"/>
      <c r="AJ767" s="308"/>
      <c r="AK767" s="308"/>
      <c r="AL767" s="308"/>
      <c r="AM767" s="98"/>
      <c r="AN767" s="98"/>
      <c r="AO767" s="98"/>
    </row>
    <row r="768" ht="14.25" customHeight="1">
      <c r="A768" s="179"/>
      <c r="B768" s="98"/>
      <c r="C768" s="98"/>
      <c r="D768" s="98"/>
      <c r="E768" s="98"/>
      <c r="F768" s="235"/>
      <c r="G768" s="235"/>
      <c r="H768" s="236"/>
      <c r="I768" s="236"/>
      <c r="J768" s="236"/>
      <c r="K768" s="236"/>
      <c r="L768" s="236"/>
      <c r="M768" s="236"/>
      <c r="N768" s="236"/>
      <c r="O768" s="236"/>
      <c r="P768" s="236"/>
      <c r="Q768" s="236"/>
      <c r="R768" s="236"/>
      <c r="S768" s="236"/>
      <c r="T768" s="236"/>
      <c r="U768" s="236"/>
      <c r="V768" s="236"/>
      <c r="W768" s="237"/>
      <c r="X768" s="237"/>
      <c r="Y768" s="237"/>
      <c r="Z768" s="237"/>
      <c r="AA768" s="237"/>
      <c r="AB768" s="237"/>
      <c r="AC768" s="237"/>
      <c r="AD768" s="237"/>
      <c r="AE768" s="237"/>
      <c r="AF768" s="237"/>
      <c r="AG768" s="237"/>
      <c r="AH768" s="237"/>
      <c r="AI768" s="308"/>
      <c r="AJ768" s="308"/>
      <c r="AK768" s="308"/>
      <c r="AL768" s="308"/>
      <c r="AM768" s="98"/>
      <c r="AN768" s="98"/>
      <c r="AO768" s="98"/>
    </row>
    <row r="769" ht="14.25" customHeight="1">
      <c r="A769" s="179"/>
      <c r="B769" s="98"/>
      <c r="C769" s="98"/>
      <c r="D769" s="98"/>
      <c r="E769" s="98"/>
      <c r="F769" s="235"/>
      <c r="G769" s="235"/>
      <c r="H769" s="236"/>
      <c r="I769" s="236"/>
      <c r="J769" s="236"/>
      <c r="K769" s="236"/>
      <c r="L769" s="236"/>
      <c r="M769" s="236"/>
      <c r="N769" s="236"/>
      <c r="O769" s="236"/>
      <c r="P769" s="236"/>
      <c r="Q769" s="236"/>
      <c r="R769" s="236"/>
      <c r="S769" s="236"/>
      <c r="T769" s="236"/>
      <c r="U769" s="236"/>
      <c r="V769" s="236"/>
      <c r="W769" s="237"/>
      <c r="X769" s="237"/>
      <c r="Y769" s="237"/>
      <c r="Z769" s="237"/>
      <c r="AA769" s="237"/>
      <c r="AB769" s="237"/>
      <c r="AC769" s="237"/>
      <c r="AD769" s="237"/>
      <c r="AE769" s="237"/>
      <c r="AF769" s="237"/>
      <c r="AG769" s="237"/>
      <c r="AH769" s="237"/>
      <c r="AI769" s="308"/>
      <c r="AJ769" s="308"/>
      <c r="AK769" s="308"/>
      <c r="AL769" s="308"/>
      <c r="AM769" s="98"/>
      <c r="AN769" s="98"/>
      <c r="AO769" s="98"/>
    </row>
    <row r="770" ht="14.25" customHeight="1">
      <c r="A770" s="179"/>
      <c r="B770" s="98"/>
      <c r="C770" s="98"/>
      <c r="D770" s="98"/>
      <c r="E770" s="98"/>
      <c r="F770" s="235"/>
      <c r="G770" s="235"/>
      <c r="H770" s="236"/>
      <c r="I770" s="236"/>
      <c r="J770" s="236"/>
      <c r="K770" s="236"/>
      <c r="L770" s="236"/>
      <c r="M770" s="236"/>
      <c r="N770" s="236"/>
      <c r="O770" s="236"/>
      <c r="P770" s="236"/>
      <c r="Q770" s="236"/>
      <c r="R770" s="236"/>
      <c r="S770" s="236"/>
      <c r="T770" s="236"/>
      <c r="U770" s="236"/>
      <c r="V770" s="236"/>
      <c r="W770" s="237"/>
      <c r="X770" s="237"/>
      <c r="Y770" s="237"/>
      <c r="Z770" s="237"/>
      <c r="AA770" s="237"/>
      <c r="AB770" s="237"/>
      <c r="AC770" s="237"/>
      <c r="AD770" s="237"/>
      <c r="AE770" s="237"/>
      <c r="AF770" s="237"/>
      <c r="AG770" s="237"/>
      <c r="AH770" s="237"/>
      <c r="AI770" s="308"/>
      <c r="AJ770" s="308"/>
      <c r="AK770" s="308"/>
      <c r="AL770" s="308"/>
      <c r="AM770" s="98"/>
      <c r="AN770" s="98"/>
      <c r="AO770" s="98"/>
    </row>
    <row r="771" ht="14.25" customHeight="1">
      <c r="A771" s="179"/>
      <c r="B771" s="98"/>
      <c r="C771" s="98"/>
      <c r="D771" s="98"/>
      <c r="E771" s="98"/>
      <c r="F771" s="235"/>
      <c r="G771" s="235"/>
      <c r="H771" s="236"/>
      <c r="I771" s="236"/>
      <c r="J771" s="236"/>
      <c r="K771" s="236"/>
      <c r="L771" s="236"/>
      <c r="M771" s="236"/>
      <c r="N771" s="236"/>
      <c r="O771" s="236"/>
      <c r="P771" s="236"/>
      <c r="Q771" s="236"/>
      <c r="R771" s="236"/>
      <c r="S771" s="236"/>
      <c r="T771" s="236"/>
      <c r="U771" s="236"/>
      <c r="V771" s="236"/>
      <c r="W771" s="237"/>
      <c r="X771" s="237"/>
      <c r="Y771" s="237"/>
      <c r="Z771" s="237"/>
      <c r="AA771" s="237"/>
      <c r="AB771" s="237"/>
      <c r="AC771" s="237"/>
      <c r="AD771" s="237"/>
      <c r="AE771" s="237"/>
      <c r="AF771" s="237"/>
      <c r="AG771" s="237"/>
      <c r="AH771" s="237"/>
      <c r="AI771" s="308"/>
      <c r="AJ771" s="308"/>
      <c r="AK771" s="308"/>
      <c r="AL771" s="308"/>
      <c r="AM771" s="98"/>
      <c r="AN771" s="98"/>
      <c r="AO771" s="98"/>
    </row>
    <row r="772" ht="14.25" customHeight="1">
      <c r="A772" s="179"/>
      <c r="B772" s="98"/>
      <c r="C772" s="98"/>
      <c r="D772" s="98"/>
      <c r="E772" s="98"/>
      <c r="F772" s="235"/>
      <c r="G772" s="235"/>
      <c r="H772" s="236"/>
      <c r="I772" s="236"/>
      <c r="J772" s="236"/>
      <c r="K772" s="236"/>
      <c r="L772" s="236"/>
      <c r="M772" s="236"/>
      <c r="N772" s="236"/>
      <c r="O772" s="236"/>
      <c r="P772" s="236"/>
      <c r="Q772" s="236"/>
      <c r="R772" s="236"/>
      <c r="S772" s="236"/>
      <c r="T772" s="236"/>
      <c r="U772" s="236"/>
      <c r="V772" s="236"/>
      <c r="W772" s="237"/>
      <c r="X772" s="237"/>
      <c r="Y772" s="237"/>
      <c r="Z772" s="237"/>
      <c r="AA772" s="237"/>
      <c r="AB772" s="237"/>
      <c r="AC772" s="237"/>
      <c r="AD772" s="237"/>
      <c r="AE772" s="237"/>
      <c r="AF772" s="237"/>
      <c r="AG772" s="237"/>
      <c r="AH772" s="237"/>
      <c r="AI772" s="308"/>
      <c r="AJ772" s="308"/>
      <c r="AK772" s="308"/>
      <c r="AL772" s="308"/>
      <c r="AM772" s="98"/>
      <c r="AN772" s="98"/>
      <c r="AO772" s="98"/>
    </row>
    <row r="773" ht="14.25" customHeight="1">
      <c r="A773" s="179"/>
      <c r="B773" s="98"/>
      <c r="C773" s="98"/>
      <c r="D773" s="98"/>
      <c r="E773" s="98"/>
      <c r="F773" s="235"/>
      <c r="G773" s="235"/>
      <c r="H773" s="236"/>
      <c r="I773" s="236"/>
      <c r="J773" s="236"/>
      <c r="K773" s="236"/>
      <c r="L773" s="236"/>
      <c r="M773" s="236"/>
      <c r="N773" s="236"/>
      <c r="O773" s="236"/>
      <c r="P773" s="236"/>
      <c r="Q773" s="236"/>
      <c r="R773" s="236"/>
      <c r="S773" s="236"/>
      <c r="T773" s="236"/>
      <c r="U773" s="236"/>
      <c r="V773" s="236"/>
      <c r="W773" s="237"/>
      <c r="X773" s="237"/>
      <c r="Y773" s="237"/>
      <c r="Z773" s="237"/>
      <c r="AA773" s="237"/>
      <c r="AB773" s="237"/>
      <c r="AC773" s="237"/>
      <c r="AD773" s="237"/>
      <c r="AE773" s="237"/>
      <c r="AF773" s="237"/>
      <c r="AG773" s="237"/>
      <c r="AH773" s="237"/>
      <c r="AI773" s="308"/>
      <c r="AJ773" s="308"/>
      <c r="AK773" s="308"/>
      <c r="AL773" s="308"/>
      <c r="AM773" s="98"/>
      <c r="AN773" s="98"/>
      <c r="AO773" s="98"/>
    </row>
    <row r="774" ht="14.25" customHeight="1">
      <c r="A774" s="179"/>
      <c r="B774" s="98"/>
      <c r="C774" s="98"/>
      <c r="D774" s="98"/>
      <c r="E774" s="98"/>
      <c r="F774" s="235"/>
      <c r="G774" s="235"/>
      <c r="H774" s="236"/>
      <c r="I774" s="236"/>
      <c r="J774" s="236"/>
      <c r="K774" s="236"/>
      <c r="L774" s="236"/>
      <c r="M774" s="236"/>
      <c r="N774" s="236"/>
      <c r="O774" s="236"/>
      <c r="P774" s="236"/>
      <c r="Q774" s="236"/>
      <c r="R774" s="236"/>
      <c r="S774" s="236"/>
      <c r="T774" s="236"/>
      <c r="U774" s="236"/>
      <c r="V774" s="236"/>
      <c r="W774" s="237"/>
      <c r="X774" s="237"/>
      <c r="Y774" s="237"/>
      <c r="Z774" s="237"/>
      <c r="AA774" s="237"/>
      <c r="AB774" s="237"/>
      <c r="AC774" s="237"/>
      <c r="AD774" s="237"/>
      <c r="AE774" s="237"/>
      <c r="AF774" s="237"/>
      <c r="AG774" s="237"/>
      <c r="AH774" s="237"/>
      <c r="AI774" s="308"/>
      <c r="AJ774" s="308"/>
      <c r="AK774" s="308"/>
      <c r="AL774" s="308"/>
      <c r="AM774" s="98"/>
      <c r="AN774" s="98"/>
      <c r="AO774" s="98"/>
    </row>
    <row r="775" ht="14.25" customHeight="1">
      <c r="A775" s="179"/>
      <c r="B775" s="98"/>
      <c r="C775" s="98"/>
      <c r="D775" s="98"/>
      <c r="E775" s="98"/>
      <c r="F775" s="235"/>
      <c r="G775" s="235"/>
      <c r="H775" s="236"/>
      <c r="I775" s="236"/>
      <c r="J775" s="236"/>
      <c r="K775" s="236"/>
      <c r="L775" s="236"/>
      <c r="M775" s="236"/>
      <c r="N775" s="236"/>
      <c r="O775" s="236"/>
      <c r="P775" s="236"/>
      <c r="Q775" s="236"/>
      <c r="R775" s="236"/>
      <c r="S775" s="236"/>
      <c r="T775" s="236"/>
      <c r="U775" s="236"/>
      <c r="V775" s="236"/>
      <c r="W775" s="237"/>
      <c r="X775" s="237"/>
      <c r="Y775" s="237"/>
      <c r="Z775" s="237"/>
      <c r="AA775" s="237"/>
      <c r="AB775" s="237"/>
      <c r="AC775" s="237"/>
      <c r="AD775" s="237"/>
      <c r="AE775" s="237"/>
      <c r="AF775" s="237"/>
      <c r="AG775" s="237"/>
      <c r="AH775" s="237"/>
      <c r="AI775" s="308"/>
      <c r="AJ775" s="308"/>
      <c r="AK775" s="308"/>
      <c r="AL775" s="308"/>
      <c r="AM775" s="98"/>
      <c r="AN775" s="98"/>
      <c r="AO775" s="98"/>
    </row>
    <row r="776" ht="14.25" customHeight="1">
      <c r="A776" s="179"/>
      <c r="B776" s="98"/>
      <c r="C776" s="98"/>
      <c r="D776" s="98"/>
      <c r="E776" s="98"/>
      <c r="F776" s="235"/>
      <c r="G776" s="235"/>
      <c r="H776" s="236"/>
      <c r="I776" s="236"/>
      <c r="J776" s="236"/>
      <c r="K776" s="236"/>
      <c r="L776" s="236"/>
      <c r="M776" s="236"/>
      <c r="N776" s="236"/>
      <c r="O776" s="236"/>
      <c r="P776" s="236"/>
      <c r="Q776" s="236"/>
      <c r="R776" s="236"/>
      <c r="S776" s="236"/>
      <c r="T776" s="236"/>
      <c r="U776" s="236"/>
      <c r="V776" s="236"/>
      <c r="W776" s="237"/>
      <c r="X776" s="237"/>
      <c r="Y776" s="237"/>
      <c r="Z776" s="237"/>
      <c r="AA776" s="237"/>
      <c r="AB776" s="237"/>
      <c r="AC776" s="237"/>
      <c r="AD776" s="237"/>
      <c r="AE776" s="237"/>
      <c r="AF776" s="237"/>
      <c r="AG776" s="237"/>
      <c r="AH776" s="237"/>
      <c r="AI776" s="308"/>
      <c r="AJ776" s="308"/>
      <c r="AK776" s="308"/>
      <c r="AL776" s="308"/>
      <c r="AM776" s="98"/>
      <c r="AN776" s="98"/>
      <c r="AO776" s="98"/>
    </row>
    <row r="777" ht="14.25" customHeight="1">
      <c r="A777" s="179"/>
      <c r="B777" s="98"/>
      <c r="C777" s="98"/>
      <c r="D777" s="98"/>
      <c r="E777" s="98"/>
      <c r="F777" s="235"/>
      <c r="G777" s="235"/>
      <c r="H777" s="236"/>
      <c r="I777" s="236"/>
      <c r="J777" s="236"/>
      <c r="K777" s="236"/>
      <c r="L777" s="236"/>
      <c r="M777" s="236"/>
      <c r="N777" s="236"/>
      <c r="O777" s="236"/>
      <c r="P777" s="236"/>
      <c r="Q777" s="236"/>
      <c r="R777" s="236"/>
      <c r="S777" s="236"/>
      <c r="T777" s="236"/>
      <c r="U777" s="236"/>
      <c r="V777" s="236"/>
      <c r="W777" s="237"/>
      <c r="X777" s="237"/>
      <c r="Y777" s="237"/>
      <c r="Z777" s="237"/>
      <c r="AA777" s="237"/>
      <c r="AB777" s="237"/>
      <c r="AC777" s="237"/>
      <c r="AD777" s="237"/>
      <c r="AE777" s="237"/>
      <c r="AF777" s="237"/>
      <c r="AG777" s="237"/>
      <c r="AH777" s="237"/>
      <c r="AI777" s="308"/>
      <c r="AJ777" s="308"/>
      <c r="AK777" s="308"/>
      <c r="AL777" s="308"/>
      <c r="AM777" s="98"/>
      <c r="AN777" s="98"/>
      <c r="AO777" s="98"/>
    </row>
    <row r="778" ht="14.25" customHeight="1">
      <c r="A778" s="179"/>
      <c r="B778" s="98"/>
      <c r="C778" s="98"/>
      <c r="D778" s="98"/>
      <c r="E778" s="98"/>
      <c r="F778" s="235"/>
      <c r="G778" s="235"/>
      <c r="H778" s="236"/>
      <c r="I778" s="236"/>
      <c r="J778" s="236"/>
      <c r="K778" s="236"/>
      <c r="L778" s="236"/>
      <c r="M778" s="236"/>
      <c r="N778" s="236"/>
      <c r="O778" s="236"/>
      <c r="P778" s="236"/>
      <c r="Q778" s="236"/>
      <c r="R778" s="236"/>
      <c r="S778" s="236"/>
      <c r="T778" s="236"/>
      <c r="U778" s="236"/>
      <c r="V778" s="236"/>
      <c r="W778" s="237"/>
      <c r="X778" s="237"/>
      <c r="Y778" s="237"/>
      <c r="Z778" s="237"/>
      <c r="AA778" s="237"/>
      <c r="AB778" s="237"/>
      <c r="AC778" s="237"/>
      <c r="AD778" s="237"/>
      <c r="AE778" s="237"/>
      <c r="AF778" s="237"/>
      <c r="AG778" s="237"/>
      <c r="AH778" s="237"/>
      <c r="AI778" s="308"/>
      <c r="AJ778" s="308"/>
      <c r="AK778" s="308"/>
      <c r="AL778" s="308"/>
      <c r="AM778" s="98"/>
      <c r="AN778" s="98"/>
      <c r="AO778" s="98"/>
    </row>
    <row r="779" ht="14.25" customHeight="1">
      <c r="A779" s="179"/>
      <c r="B779" s="98"/>
      <c r="C779" s="98"/>
      <c r="D779" s="98"/>
      <c r="E779" s="98"/>
      <c r="F779" s="235"/>
      <c r="G779" s="235"/>
      <c r="H779" s="236"/>
      <c r="I779" s="236"/>
      <c r="J779" s="236"/>
      <c r="K779" s="236"/>
      <c r="L779" s="236"/>
      <c r="M779" s="236"/>
      <c r="N779" s="236"/>
      <c r="O779" s="236"/>
      <c r="P779" s="236"/>
      <c r="Q779" s="236"/>
      <c r="R779" s="236"/>
      <c r="S779" s="236"/>
      <c r="T779" s="236"/>
      <c r="U779" s="236"/>
      <c r="V779" s="236"/>
      <c r="W779" s="237"/>
      <c r="X779" s="237"/>
      <c r="Y779" s="237"/>
      <c r="Z779" s="237"/>
      <c r="AA779" s="237"/>
      <c r="AB779" s="237"/>
      <c r="AC779" s="237"/>
      <c r="AD779" s="237"/>
      <c r="AE779" s="237"/>
      <c r="AF779" s="237"/>
      <c r="AG779" s="237"/>
      <c r="AH779" s="237"/>
      <c r="AI779" s="308"/>
      <c r="AJ779" s="308"/>
      <c r="AK779" s="308"/>
      <c r="AL779" s="308"/>
      <c r="AM779" s="98"/>
      <c r="AN779" s="98"/>
      <c r="AO779" s="98"/>
    </row>
    <row r="780" ht="14.25" customHeight="1">
      <c r="A780" s="179"/>
      <c r="B780" s="98"/>
      <c r="C780" s="98"/>
      <c r="D780" s="98"/>
      <c r="E780" s="98"/>
      <c r="F780" s="235"/>
      <c r="G780" s="235"/>
      <c r="H780" s="236"/>
      <c r="I780" s="236"/>
      <c r="J780" s="236"/>
      <c r="K780" s="236"/>
      <c r="L780" s="236"/>
      <c r="M780" s="236"/>
      <c r="N780" s="236"/>
      <c r="O780" s="236"/>
      <c r="P780" s="236"/>
      <c r="Q780" s="236"/>
      <c r="R780" s="236"/>
      <c r="S780" s="236"/>
      <c r="T780" s="236"/>
      <c r="U780" s="236"/>
      <c r="V780" s="236"/>
      <c r="W780" s="237"/>
      <c r="X780" s="237"/>
      <c r="Y780" s="237"/>
      <c r="Z780" s="237"/>
      <c r="AA780" s="237"/>
      <c r="AB780" s="237"/>
      <c r="AC780" s="237"/>
      <c r="AD780" s="237"/>
      <c r="AE780" s="237"/>
      <c r="AF780" s="237"/>
      <c r="AG780" s="237"/>
      <c r="AH780" s="237"/>
      <c r="AI780" s="308"/>
      <c r="AJ780" s="308"/>
      <c r="AK780" s="308"/>
      <c r="AL780" s="308"/>
      <c r="AM780" s="98"/>
      <c r="AN780" s="98"/>
      <c r="AO780" s="98"/>
    </row>
    <row r="781" ht="14.25" customHeight="1">
      <c r="A781" s="179"/>
      <c r="B781" s="98"/>
      <c r="C781" s="98"/>
      <c r="D781" s="98"/>
      <c r="E781" s="98"/>
      <c r="F781" s="235"/>
      <c r="G781" s="235"/>
      <c r="H781" s="236"/>
      <c r="I781" s="236"/>
      <c r="J781" s="236"/>
      <c r="K781" s="236"/>
      <c r="L781" s="236"/>
      <c r="M781" s="236"/>
      <c r="N781" s="236"/>
      <c r="O781" s="236"/>
      <c r="P781" s="236"/>
      <c r="Q781" s="236"/>
      <c r="R781" s="236"/>
      <c r="S781" s="236"/>
      <c r="T781" s="236"/>
      <c r="U781" s="236"/>
      <c r="V781" s="236"/>
      <c r="W781" s="237"/>
      <c r="X781" s="237"/>
      <c r="Y781" s="237"/>
      <c r="Z781" s="237"/>
      <c r="AA781" s="237"/>
      <c r="AB781" s="237"/>
      <c r="AC781" s="237"/>
      <c r="AD781" s="237"/>
      <c r="AE781" s="237"/>
      <c r="AF781" s="237"/>
      <c r="AG781" s="237"/>
      <c r="AH781" s="237"/>
      <c r="AI781" s="308"/>
      <c r="AJ781" s="308"/>
      <c r="AK781" s="308"/>
      <c r="AL781" s="308"/>
      <c r="AM781" s="98"/>
      <c r="AN781" s="98"/>
      <c r="AO781" s="98"/>
    </row>
    <row r="782" ht="14.25" customHeight="1">
      <c r="A782" s="179"/>
      <c r="B782" s="98"/>
      <c r="C782" s="98"/>
      <c r="D782" s="98"/>
      <c r="E782" s="98"/>
      <c r="F782" s="235"/>
      <c r="G782" s="235"/>
      <c r="H782" s="236"/>
      <c r="I782" s="236"/>
      <c r="J782" s="236"/>
      <c r="K782" s="236"/>
      <c r="L782" s="236"/>
      <c r="M782" s="236"/>
      <c r="N782" s="236"/>
      <c r="O782" s="236"/>
      <c r="P782" s="236"/>
      <c r="Q782" s="236"/>
      <c r="R782" s="236"/>
      <c r="S782" s="236"/>
      <c r="T782" s="236"/>
      <c r="U782" s="236"/>
      <c r="V782" s="236"/>
      <c r="W782" s="237"/>
      <c r="X782" s="237"/>
      <c r="Y782" s="237"/>
      <c r="Z782" s="237"/>
      <c r="AA782" s="237"/>
      <c r="AB782" s="237"/>
      <c r="AC782" s="237"/>
      <c r="AD782" s="237"/>
      <c r="AE782" s="237"/>
      <c r="AF782" s="237"/>
      <c r="AG782" s="237"/>
      <c r="AH782" s="237"/>
      <c r="AI782" s="308"/>
      <c r="AJ782" s="308"/>
      <c r="AK782" s="308"/>
      <c r="AL782" s="308"/>
      <c r="AM782" s="98"/>
      <c r="AN782" s="98"/>
      <c r="AO782" s="98"/>
    </row>
    <row r="783" ht="14.25" customHeight="1">
      <c r="A783" s="179"/>
      <c r="B783" s="98"/>
      <c r="C783" s="98"/>
      <c r="D783" s="98"/>
      <c r="E783" s="98"/>
      <c r="F783" s="235"/>
      <c r="G783" s="235"/>
      <c r="H783" s="236"/>
      <c r="I783" s="236"/>
      <c r="J783" s="236"/>
      <c r="K783" s="236"/>
      <c r="L783" s="236"/>
      <c r="M783" s="236"/>
      <c r="N783" s="236"/>
      <c r="O783" s="236"/>
      <c r="P783" s="236"/>
      <c r="Q783" s="236"/>
      <c r="R783" s="236"/>
      <c r="S783" s="236"/>
      <c r="T783" s="236"/>
      <c r="U783" s="236"/>
      <c r="V783" s="236"/>
      <c r="W783" s="237"/>
      <c r="X783" s="237"/>
      <c r="Y783" s="237"/>
      <c r="Z783" s="237"/>
      <c r="AA783" s="237"/>
      <c r="AB783" s="237"/>
      <c r="AC783" s="237"/>
      <c r="AD783" s="237"/>
      <c r="AE783" s="237"/>
      <c r="AF783" s="237"/>
      <c r="AG783" s="237"/>
      <c r="AH783" s="237"/>
      <c r="AI783" s="308"/>
      <c r="AJ783" s="308"/>
      <c r="AK783" s="308"/>
      <c r="AL783" s="308"/>
      <c r="AM783" s="98"/>
      <c r="AN783" s="98"/>
      <c r="AO783" s="98"/>
    </row>
    <row r="784" ht="14.25" customHeight="1">
      <c r="A784" s="179"/>
      <c r="B784" s="98"/>
      <c r="C784" s="98"/>
      <c r="D784" s="98"/>
      <c r="E784" s="98"/>
      <c r="F784" s="235"/>
      <c r="G784" s="235"/>
      <c r="H784" s="236"/>
      <c r="I784" s="236"/>
      <c r="J784" s="236"/>
      <c r="K784" s="236"/>
      <c r="L784" s="236"/>
      <c r="M784" s="236"/>
      <c r="N784" s="236"/>
      <c r="O784" s="236"/>
      <c r="P784" s="236"/>
      <c r="Q784" s="236"/>
      <c r="R784" s="236"/>
      <c r="S784" s="236"/>
      <c r="T784" s="236"/>
      <c r="U784" s="236"/>
      <c r="V784" s="236"/>
      <c r="W784" s="237"/>
      <c r="X784" s="237"/>
      <c r="Y784" s="237"/>
      <c r="Z784" s="237"/>
      <c r="AA784" s="237"/>
      <c r="AB784" s="237"/>
      <c r="AC784" s="237"/>
      <c r="AD784" s="237"/>
      <c r="AE784" s="237"/>
      <c r="AF784" s="237"/>
      <c r="AG784" s="237"/>
      <c r="AH784" s="237"/>
      <c r="AI784" s="308"/>
      <c r="AJ784" s="308"/>
      <c r="AK784" s="308"/>
      <c r="AL784" s="308"/>
      <c r="AM784" s="98"/>
      <c r="AN784" s="98"/>
      <c r="AO784" s="98"/>
    </row>
    <row r="785" ht="14.25" customHeight="1">
      <c r="A785" s="179"/>
      <c r="B785" s="98"/>
      <c r="C785" s="98"/>
      <c r="D785" s="98"/>
      <c r="E785" s="98"/>
      <c r="F785" s="235"/>
      <c r="G785" s="235"/>
      <c r="H785" s="236"/>
      <c r="I785" s="236"/>
      <c r="J785" s="236"/>
      <c r="K785" s="236"/>
      <c r="L785" s="236"/>
      <c r="M785" s="236"/>
      <c r="N785" s="236"/>
      <c r="O785" s="236"/>
      <c r="P785" s="236"/>
      <c r="Q785" s="236"/>
      <c r="R785" s="236"/>
      <c r="S785" s="236"/>
      <c r="T785" s="236"/>
      <c r="U785" s="236"/>
      <c r="V785" s="236"/>
      <c r="W785" s="237"/>
      <c r="X785" s="237"/>
      <c r="Y785" s="237"/>
      <c r="Z785" s="237"/>
      <c r="AA785" s="237"/>
      <c r="AB785" s="237"/>
      <c r="AC785" s="237"/>
      <c r="AD785" s="237"/>
      <c r="AE785" s="237"/>
      <c r="AF785" s="237"/>
      <c r="AG785" s="237"/>
      <c r="AH785" s="237"/>
      <c r="AI785" s="308"/>
      <c r="AJ785" s="308"/>
      <c r="AK785" s="308"/>
      <c r="AL785" s="308"/>
      <c r="AM785" s="98"/>
      <c r="AN785" s="98"/>
      <c r="AO785" s="98"/>
    </row>
    <row r="786" ht="14.25" customHeight="1">
      <c r="A786" s="179"/>
      <c r="B786" s="98"/>
      <c r="C786" s="98"/>
      <c r="D786" s="98"/>
      <c r="E786" s="98"/>
      <c r="F786" s="235"/>
      <c r="G786" s="235"/>
      <c r="H786" s="236"/>
      <c r="I786" s="236"/>
      <c r="J786" s="236"/>
      <c r="K786" s="236"/>
      <c r="L786" s="236"/>
      <c r="M786" s="236"/>
      <c r="N786" s="236"/>
      <c r="O786" s="236"/>
      <c r="P786" s="236"/>
      <c r="Q786" s="236"/>
      <c r="R786" s="236"/>
      <c r="S786" s="236"/>
      <c r="T786" s="236"/>
      <c r="U786" s="236"/>
      <c r="V786" s="236"/>
      <c r="W786" s="237"/>
      <c r="X786" s="237"/>
      <c r="Y786" s="237"/>
      <c r="Z786" s="237"/>
      <c r="AA786" s="237"/>
      <c r="AB786" s="237"/>
      <c r="AC786" s="237"/>
      <c r="AD786" s="237"/>
      <c r="AE786" s="237"/>
      <c r="AF786" s="237"/>
      <c r="AG786" s="237"/>
      <c r="AH786" s="237"/>
      <c r="AI786" s="308"/>
      <c r="AJ786" s="308"/>
      <c r="AK786" s="308"/>
      <c r="AL786" s="308"/>
      <c r="AM786" s="98"/>
      <c r="AN786" s="98"/>
      <c r="AO786" s="98"/>
    </row>
    <row r="787" ht="14.25" customHeight="1">
      <c r="A787" s="179"/>
      <c r="B787" s="98"/>
      <c r="C787" s="98"/>
      <c r="D787" s="98"/>
      <c r="E787" s="98"/>
      <c r="F787" s="235"/>
      <c r="G787" s="235"/>
      <c r="H787" s="236"/>
      <c r="I787" s="236"/>
      <c r="J787" s="236"/>
      <c r="K787" s="236"/>
      <c r="L787" s="236"/>
      <c r="M787" s="236"/>
      <c r="N787" s="236"/>
      <c r="O787" s="236"/>
      <c r="P787" s="236"/>
      <c r="Q787" s="236"/>
      <c r="R787" s="236"/>
      <c r="S787" s="236"/>
      <c r="T787" s="236"/>
      <c r="U787" s="236"/>
      <c r="V787" s="236"/>
      <c r="W787" s="237"/>
      <c r="X787" s="237"/>
      <c r="Y787" s="237"/>
      <c r="Z787" s="237"/>
      <c r="AA787" s="237"/>
      <c r="AB787" s="237"/>
      <c r="AC787" s="237"/>
      <c r="AD787" s="237"/>
      <c r="AE787" s="237"/>
      <c r="AF787" s="237"/>
      <c r="AG787" s="237"/>
      <c r="AH787" s="237"/>
      <c r="AI787" s="308"/>
      <c r="AJ787" s="308"/>
      <c r="AK787" s="308"/>
      <c r="AL787" s="308"/>
      <c r="AM787" s="98"/>
      <c r="AN787" s="98"/>
      <c r="AO787" s="98"/>
    </row>
    <row r="788" ht="14.25" customHeight="1">
      <c r="A788" s="179"/>
      <c r="B788" s="98"/>
      <c r="C788" s="98"/>
      <c r="D788" s="98"/>
      <c r="E788" s="98"/>
      <c r="F788" s="235"/>
      <c r="G788" s="235"/>
      <c r="H788" s="236"/>
      <c r="I788" s="236"/>
      <c r="J788" s="236"/>
      <c r="K788" s="236"/>
      <c r="L788" s="236"/>
      <c r="M788" s="236"/>
      <c r="N788" s="236"/>
      <c r="O788" s="236"/>
      <c r="P788" s="236"/>
      <c r="Q788" s="236"/>
      <c r="R788" s="236"/>
      <c r="S788" s="236"/>
      <c r="T788" s="236"/>
      <c r="U788" s="236"/>
      <c r="V788" s="236"/>
      <c r="W788" s="237"/>
      <c r="X788" s="237"/>
      <c r="Y788" s="237"/>
      <c r="Z788" s="237"/>
      <c r="AA788" s="237"/>
      <c r="AB788" s="237"/>
      <c r="AC788" s="237"/>
      <c r="AD788" s="237"/>
      <c r="AE788" s="237"/>
      <c r="AF788" s="237"/>
      <c r="AG788" s="237"/>
      <c r="AH788" s="237"/>
      <c r="AI788" s="308"/>
      <c r="AJ788" s="308"/>
      <c r="AK788" s="308"/>
      <c r="AL788" s="308"/>
      <c r="AM788" s="98"/>
      <c r="AN788" s="98"/>
      <c r="AO788" s="98"/>
    </row>
    <row r="789" ht="14.25" customHeight="1">
      <c r="A789" s="179"/>
      <c r="B789" s="98"/>
      <c r="C789" s="98"/>
      <c r="D789" s="98"/>
      <c r="E789" s="98"/>
      <c r="F789" s="235"/>
      <c r="G789" s="235"/>
      <c r="H789" s="236"/>
      <c r="I789" s="236"/>
      <c r="J789" s="236"/>
      <c r="K789" s="236"/>
      <c r="L789" s="236"/>
      <c r="M789" s="236"/>
      <c r="N789" s="236"/>
      <c r="O789" s="236"/>
      <c r="P789" s="236"/>
      <c r="Q789" s="236"/>
      <c r="R789" s="236"/>
      <c r="S789" s="236"/>
      <c r="T789" s="236"/>
      <c r="U789" s="236"/>
      <c r="V789" s="236"/>
      <c r="W789" s="237"/>
      <c r="X789" s="237"/>
      <c r="Y789" s="237"/>
      <c r="Z789" s="237"/>
      <c r="AA789" s="237"/>
      <c r="AB789" s="237"/>
      <c r="AC789" s="237"/>
      <c r="AD789" s="237"/>
      <c r="AE789" s="237"/>
      <c r="AF789" s="237"/>
      <c r="AG789" s="237"/>
      <c r="AH789" s="237"/>
      <c r="AI789" s="308"/>
      <c r="AJ789" s="308"/>
      <c r="AK789" s="308"/>
      <c r="AL789" s="308"/>
      <c r="AM789" s="98"/>
      <c r="AN789" s="98"/>
      <c r="AO789" s="98"/>
    </row>
    <row r="790" ht="14.25" customHeight="1">
      <c r="A790" s="179"/>
      <c r="B790" s="98"/>
      <c r="C790" s="98"/>
      <c r="D790" s="98"/>
      <c r="E790" s="98"/>
      <c r="F790" s="235"/>
      <c r="G790" s="235"/>
      <c r="H790" s="236"/>
      <c r="I790" s="236"/>
      <c r="J790" s="236"/>
      <c r="K790" s="236"/>
      <c r="L790" s="236"/>
      <c r="M790" s="236"/>
      <c r="N790" s="236"/>
      <c r="O790" s="236"/>
      <c r="P790" s="236"/>
      <c r="Q790" s="236"/>
      <c r="R790" s="236"/>
      <c r="S790" s="236"/>
      <c r="T790" s="236"/>
      <c r="U790" s="236"/>
      <c r="V790" s="236"/>
      <c r="W790" s="237"/>
      <c r="X790" s="237"/>
      <c r="Y790" s="237"/>
      <c r="Z790" s="237"/>
      <c r="AA790" s="237"/>
      <c r="AB790" s="237"/>
      <c r="AC790" s="237"/>
      <c r="AD790" s="237"/>
      <c r="AE790" s="237"/>
      <c r="AF790" s="237"/>
      <c r="AG790" s="237"/>
      <c r="AH790" s="237"/>
      <c r="AI790" s="308"/>
      <c r="AJ790" s="308"/>
      <c r="AK790" s="308"/>
      <c r="AL790" s="308"/>
      <c r="AM790" s="98"/>
      <c r="AN790" s="98"/>
      <c r="AO790" s="98"/>
    </row>
    <row r="791" ht="14.25" customHeight="1">
      <c r="A791" s="179"/>
      <c r="B791" s="98"/>
      <c r="C791" s="98"/>
      <c r="D791" s="98"/>
      <c r="E791" s="98"/>
      <c r="F791" s="235"/>
      <c r="G791" s="235"/>
      <c r="H791" s="236"/>
      <c r="I791" s="236"/>
      <c r="J791" s="236"/>
      <c r="K791" s="236"/>
      <c r="L791" s="236"/>
      <c r="M791" s="236"/>
      <c r="N791" s="236"/>
      <c r="O791" s="236"/>
      <c r="P791" s="236"/>
      <c r="Q791" s="236"/>
      <c r="R791" s="236"/>
      <c r="S791" s="236"/>
      <c r="T791" s="236"/>
      <c r="U791" s="236"/>
      <c r="V791" s="236"/>
      <c r="W791" s="237"/>
      <c r="X791" s="237"/>
      <c r="Y791" s="237"/>
      <c r="Z791" s="237"/>
      <c r="AA791" s="237"/>
      <c r="AB791" s="237"/>
      <c r="AC791" s="237"/>
      <c r="AD791" s="237"/>
      <c r="AE791" s="237"/>
      <c r="AF791" s="237"/>
      <c r="AG791" s="237"/>
      <c r="AH791" s="237"/>
      <c r="AI791" s="308"/>
      <c r="AJ791" s="308"/>
      <c r="AK791" s="308"/>
      <c r="AL791" s="308"/>
      <c r="AM791" s="98"/>
      <c r="AN791" s="98"/>
      <c r="AO791" s="98"/>
    </row>
    <row r="792" ht="14.25" customHeight="1">
      <c r="A792" s="179"/>
      <c r="B792" s="98"/>
      <c r="C792" s="98"/>
      <c r="D792" s="98"/>
      <c r="E792" s="98"/>
      <c r="F792" s="235"/>
      <c r="G792" s="235"/>
      <c r="H792" s="236"/>
      <c r="I792" s="236"/>
      <c r="J792" s="236"/>
      <c r="K792" s="236"/>
      <c r="L792" s="236"/>
      <c r="M792" s="236"/>
      <c r="N792" s="236"/>
      <c r="O792" s="236"/>
      <c r="P792" s="236"/>
      <c r="Q792" s="236"/>
      <c r="R792" s="236"/>
      <c r="S792" s="236"/>
      <c r="T792" s="236"/>
      <c r="U792" s="236"/>
      <c r="V792" s="236"/>
      <c r="W792" s="237"/>
      <c r="X792" s="237"/>
      <c r="Y792" s="237"/>
      <c r="Z792" s="237"/>
      <c r="AA792" s="237"/>
      <c r="AB792" s="237"/>
      <c r="AC792" s="237"/>
      <c r="AD792" s="237"/>
      <c r="AE792" s="237"/>
      <c r="AF792" s="237"/>
      <c r="AG792" s="237"/>
      <c r="AH792" s="237"/>
      <c r="AI792" s="308"/>
      <c r="AJ792" s="308"/>
      <c r="AK792" s="308"/>
      <c r="AL792" s="308"/>
      <c r="AM792" s="98"/>
      <c r="AN792" s="98"/>
      <c r="AO792" s="98"/>
    </row>
    <row r="793" ht="14.25" customHeight="1">
      <c r="A793" s="179"/>
      <c r="B793" s="98"/>
      <c r="C793" s="98"/>
      <c r="D793" s="98"/>
      <c r="E793" s="98"/>
      <c r="F793" s="235"/>
      <c r="G793" s="235"/>
      <c r="H793" s="236"/>
      <c r="I793" s="236"/>
      <c r="J793" s="236"/>
      <c r="K793" s="236"/>
      <c r="L793" s="236"/>
      <c r="M793" s="236"/>
      <c r="N793" s="236"/>
      <c r="O793" s="236"/>
      <c r="P793" s="236"/>
      <c r="Q793" s="236"/>
      <c r="R793" s="236"/>
      <c r="S793" s="236"/>
      <c r="T793" s="236"/>
      <c r="U793" s="236"/>
      <c r="V793" s="236"/>
      <c r="W793" s="237"/>
      <c r="X793" s="237"/>
      <c r="Y793" s="237"/>
      <c r="Z793" s="237"/>
      <c r="AA793" s="237"/>
      <c r="AB793" s="237"/>
      <c r="AC793" s="237"/>
      <c r="AD793" s="237"/>
      <c r="AE793" s="237"/>
      <c r="AF793" s="237"/>
      <c r="AG793" s="237"/>
      <c r="AH793" s="237"/>
      <c r="AI793" s="308"/>
      <c r="AJ793" s="308"/>
      <c r="AK793" s="308"/>
      <c r="AL793" s="308"/>
      <c r="AM793" s="98"/>
      <c r="AN793" s="98"/>
      <c r="AO793" s="98"/>
    </row>
    <row r="794" ht="14.25" customHeight="1">
      <c r="A794" s="179"/>
      <c r="B794" s="98"/>
      <c r="C794" s="98"/>
      <c r="D794" s="98"/>
      <c r="E794" s="98"/>
      <c r="F794" s="235"/>
      <c r="G794" s="235"/>
      <c r="H794" s="236"/>
      <c r="I794" s="236"/>
      <c r="J794" s="236"/>
      <c r="K794" s="236"/>
      <c r="L794" s="236"/>
      <c r="M794" s="236"/>
      <c r="N794" s="236"/>
      <c r="O794" s="236"/>
      <c r="P794" s="236"/>
      <c r="Q794" s="236"/>
      <c r="R794" s="236"/>
      <c r="S794" s="236"/>
      <c r="T794" s="236"/>
      <c r="U794" s="236"/>
      <c r="V794" s="236"/>
      <c r="W794" s="237"/>
      <c r="X794" s="237"/>
      <c r="Y794" s="237"/>
      <c r="Z794" s="237"/>
      <c r="AA794" s="237"/>
      <c r="AB794" s="237"/>
      <c r="AC794" s="237"/>
      <c r="AD794" s="237"/>
      <c r="AE794" s="237"/>
      <c r="AF794" s="237"/>
      <c r="AG794" s="237"/>
      <c r="AH794" s="237"/>
      <c r="AI794" s="308"/>
      <c r="AJ794" s="308"/>
      <c r="AK794" s="308"/>
      <c r="AL794" s="308"/>
      <c r="AM794" s="98"/>
      <c r="AN794" s="98"/>
      <c r="AO794" s="98"/>
    </row>
    <row r="795" ht="14.25" customHeight="1">
      <c r="A795" s="179"/>
      <c r="B795" s="98"/>
      <c r="C795" s="98"/>
      <c r="D795" s="98"/>
      <c r="E795" s="98"/>
      <c r="F795" s="235"/>
      <c r="G795" s="235"/>
      <c r="H795" s="236"/>
      <c r="I795" s="236"/>
      <c r="J795" s="236"/>
      <c r="K795" s="236"/>
      <c r="L795" s="236"/>
      <c r="M795" s="236"/>
      <c r="N795" s="236"/>
      <c r="O795" s="236"/>
      <c r="P795" s="236"/>
      <c r="Q795" s="236"/>
      <c r="R795" s="236"/>
      <c r="S795" s="236"/>
      <c r="T795" s="236"/>
      <c r="U795" s="236"/>
      <c r="V795" s="236"/>
      <c r="W795" s="237"/>
      <c r="X795" s="237"/>
      <c r="Y795" s="237"/>
      <c r="Z795" s="237"/>
      <c r="AA795" s="237"/>
      <c r="AB795" s="237"/>
      <c r="AC795" s="237"/>
      <c r="AD795" s="237"/>
      <c r="AE795" s="237"/>
      <c r="AF795" s="237"/>
      <c r="AG795" s="237"/>
      <c r="AH795" s="237"/>
      <c r="AI795" s="308"/>
      <c r="AJ795" s="308"/>
      <c r="AK795" s="308"/>
      <c r="AL795" s="308"/>
      <c r="AM795" s="98"/>
      <c r="AN795" s="98"/>
      <c r="AO795" s="98"/>
    </row>
    <row r="796" ht="14.25" customHeight="1">
      <c r="A796" s="179"/>
      <c r="B796" s="98"/>
      <c r="C796" s="98"/>
      <c r="D796" s="98"/>
      <c r="E796" s="98"/>
      <c r="F796" s="235"/>
      <c r="G796" s="235"/>
      <c r="H796" s="236"/>
      <c r="I796" s="236"/>
      <c r="J796" s="236"/>
      <c r="K796" s="236"/>
      <c r="L796" s="236"/>
      <c r="M796" s="236"/>
      <c r="N796" s="236"/>
      <c r="O796" s="236"/>
      <c r="P796" s="236"/>
      <c r="Q796" s="236"/>
      <c r="R796" s="236"/>
      <c r="S796" s="236"/>
      <c r="T796" s="236"/>
      <c r="U796" s="236"/>
      <c r="V796" s="236"/>
      <c r="W796" s="237"/>
      <c r="X796" s="237"/>
      <c r="Y796" s="237"/>
      <c r="Z796" s="237"/>
      <c r="AA796" s="237"/>
      <c r="AB796" s="237"/>
      <c r="AC796" s="237"/>
      <c r="AD796" s="237"/>
      <c r="AE796" s="237"/>
      <c r="AF796" s="237"/>
      <c r="AG796" s="237"/>
      <c r="AH796" s="237"/>
      <c r="AI796" s="308"/>
      <c r="AJ796" s="308"/>
      <c r="AK796" s="308"/>
      <c r="AL796" s="308"/>
      <c r="AM796" s="98"/>
      <c r="AN796" s="98"/>
      <c r="AO796" s="98"/>
    </row>
    <row r="797" ht="14.25" customHeight="1">
      <c r="A797" s="179"/>
      <c r="B797" s="98"/>
      <c r="C797" s="98"/>
      <c r="D797" s="98"/>
      <c r="E797" s="98"/>
      <c r="F797" s="235"/>
      <c r="G797" s="235"/>
      <c r="H797" s="236"/>
      <c r="I797" s="236"/>
      <c r="J797" s="236"/>
      <c r="K797" s="236"/>
      <c r="L797" s="236"/>
      <c r="M797" s="236"/>
      <c r="N797" s="236"/>
      <c r="O797" s="236"/>
      <c r="P797" s="236"/>
      <c r="Q797" s="236"/>
      <c r="R797" s="236"/>
      <c r="S797" s="236"/>
      <c r="T797" s="236"/>
      <c r="U797" s="236"/>
      <c r="V797" s="236"/>
      <c r="W797" s="237"/>
      <c r="X797" s="237"/>
      <c r="Y797" s="237"/>
      <c r="Z797" s="237"/>
      <c r="AA797" s="237"/>
      <c r="AB797" s="237"/>
      <c r="AC797" s="237"/>
      <c r="AD797" s="237"/>
      <c r="AE797" s="237"/>
      <c r="AF797" s="237"/>
      <c r="AG797" s="237"/>
      <c r="AH797" s="237"/>
      <c r="AI797" s="308"/>
      <c r="AJ797" s="308"/>
      <c r="AK797" s="308"/>
      <c r="AL797" s="308"/>
      <c r="AM797" s="98"/>
      <c r="AN797" s="98"/>
      <c r="AO797" s="98"/>
    </row>
    <row r="798" ht="14.25" customHeight="1">
      <c r="A798" s="179"/>
      <c r="B798" s="98"/>
      <c r="C798" s="98"/>
      <c r="D798" s="98"/>
      <c r="E798" s="98"/>
      <c r="F798" s="235"/>
      <c r="G798" s="235"/>
      <c r="H798" s="236"/>
      <c r="I798" s="236"/>
      <c r="J798" s="236"/>
      <c r="K798" s="236"/>
      <c r="L798" s="236"/>
      <c r="M798" s="236"/>
      <c r="N798" s="236"/>
      <c r="O798" s="236"/>
      <c r="P798" s="236"/>
      <c r="Q798" s="236"/>
      <c r="R798" s="236"/>
      <c r="S798" s="236"/>
      <c r="T798" s="236"/>
      <c r="U798" s="236"/>
      <c r="V798" s="236"/>
      <c r="W798" s="237"/>
      <c r="X798" s="237"/>
      <c r="Y798" s="237"/>
      <c r="Z798" s="237"/>
      <c r="AA798" s="237"/>
      <c r="AB798" s="237"/>
      <c r="AC798" s="237"/>
      <c r="AD798" s="237"/>
      <c r="AE798" s="237"/>
      <c r="AF798" s="237"/>
      <c r="AG798" s="237"/>
      <c r="AH798" s="237"/>
      <c r="AI798" s="308"/>
      <c r="AJ798" s="308"/>
      <c r="AK798" s="308"/>
      <c r="AL798" s="308"/>
      <c r="AM798" s="98"/>
      <c r="AN798" s="98"/>
      <c r="AO798" s="98"/>
    </row>
    <row r="799" ht="14.25" customHeight="1">
      <c r="A799" s="179"/>
      <c r="B799" s="98"/>
      <c r="C799" s="98"/>
      <c r="D799" s="98"/>
      <c r="E799" s="98"/>
      <c r="F799" s="235"/>
      <c r="G799" s="235"/>
      <c r="H799" s="236"/>
      <c r="I799" s="236"/>
      <c r="J799" s="236"/>
      <c r="K799" s="236"/>
      <c r="L799" s="236"/>
      <c r="M799" s="236"/>
      <c r="N799" s="236"/>
      <c r="O799" s="236"/>
      <c r="P799" s="236"/>
      <c r="Q799" s="236"/>
      <c r="R799" s="236"/>
      <c r="S799" s="236"/>
      <c r="T799" s="236"/>
      <c r="U799" s="236"/>
      <c r="V799" s="236"/>
      <c r="W799" s="237"/>
      <c r="X799" s="237"/>
      <c r="Y799" s="237"/>
      <c r="Z799" s="237"/>
      <c r="AA799" s="237"/>
      <c r="AB799" s="237"/>
      <c r="AC799" s="237"/>
      <c r="AD799" s="237"/>
      <c r="AE799" s="237"/>
      <c r="AF799" s="237"/>
      <c r="AG799" s="237"/>
      <c r="AH799" s="237"/>
      <c r="AI799" s="308"/>
      <c r="AJ799" s="308"/>
      <c r="AK799" s="308"/>
      <c r="AL799" s="308"/>
      <c r="AM799" s="98"/>
      <c r="AN799" s="98"/>
      <c r="AO799" s="98"/>
    </row>
    <row r="800" ht="14.25" customHeight="1">
      <c r="A800" s="179"/>
      <c r="B800" s="98"/>
      <c r="C800" s="98"/>
      <c r="D800" s="98"/>
      <c r="E800" s="98"/>
      <c r="F800" s="235"/>
      <c r="G800" s="235"/>
      <c r="H800" s="236"/>
      <c r="I800" s="236"/>
      <c r="J800" s="236"/>
      <c r="K800" s="236"/>
      <c r="L800" s="236"/>
      <c r="M800" s="236"/>
      <c r="N800" s="236"/>
      <c r="O800" s="236"/>
      <c r="P800" s="236"/>
      <c r="Q800" s="236"/>
      <c r="R800" s="236"/>
      <c r="S800" s="236"/>
      <c r="T800" s="236"/>
      <c r="U800" s="236"/>
      <c r="V800" s="236"/>
      <c r="W800" s="237"/>
      <c r="X800" s="237"/>
      <c r="Y800" s="237"/>
      <c r="Z800" s="237"/>
      <c r="AA800" s="237"/>
      <c r="AB800" s="237"/>
      <c r="AC800" s="237"/>
      <c r="AD800" s="237"/>
      <c r="AE800" s="237"/>
      <c r="AF800" s="237"/>
      <c r="AG800" s="237"/>
      <c r="AH800" s="237"/>
      <c r="AI800" s="308"/>
      <c r="AJ800" s="308"/>
      <c r="AK800" s="308"/>
      <c r="AL800" s="308"/>
      <c r="AM800" s="98"/>
      <c r="AN800" s="98"/>
      <c r="AO800" s="98"/>
    </row>
    <row r="801" ht="14.25" customHeight="1">
      <c r="A801" s="179"/>
      <c r="B801" s="98"/>
      <c r="C801" s="98"/>
      <c r="D801" s="98"/>
      <c r="E801" s="98"/>
      <c r="F801" s="235"/>
      <c r="G801" s="235"/>
      <c r="H801" s="236"/>
      <c r="I801" s="236"/>
      <c r="J801" s="236"/>
      <c r="K801" s="236"/>
      <c r="L801" s="236"/>
      <c r="M801" s="236"/>
      <c r="N801" s="236"/>
      <c r="O801" s="236"/>
      <c r="P801" s="236"/>
      <c r="Q801" s="236"/>
      <c r="R801" s="236"/>
      <c r="S801" s="236"/>
      <c r="T801" s="236"/>
      <c r="U801" s="236"/>
      <c r="V801" s="236"/>
      <c r="W801" s="237"/>
      <c r="X801" s="237"/>
      <c r="Y801" s="237"/>
      <c r="Z801" s="237"/>
      <c r="AA801" s="237"/>
      <c r="AB801" s="237"/>
      <c r="AC801" s="237"/>
      <c r="AD801" s="237"/>
      <c r="AE801" s="237"/>
      <c r="AF801" s="237"/>
      <c r="AG801" s="237"/>
      <c r="AH801" s="237"/>
      <c r="AI801" s="308"/>
      <c r="AJ801" s="308"/>
      <c r="AK801" s="308"/>
      <c r="AL801" s="308"/>
      <c r="AM801" s="98"/>
      <c r="AN801" s="98"/>
      <c r="AO801" s="98"/>
    </row>
    <row r="802" ht="14.25" customHeight="1">
      <c r="A802" s="179"/>
      <c r="B802" s="98"/>
      <c r="C802" s="98"/>
      <c r="D802" s="98"/>
      <c r="E802" s="98"/>
      <c r="F802" s="235"/>
      <c r="G802" s="235"/>
      <c r="H802" s="236"/>
      <c r="I802" s="236"/>
      <c r="J802" s="236"/>
      <c r="K802" s="236"/>
      <c r="L802" s="236"/>
      <c r="M802" s="236"/>
      <c r="N802" s="236"/>
      <c r="O802" s="236"/>
      <c r="P802" s="236"/>
      <c r="Q802" s="236"/>
      <c r="R802" s="236"/>
      <c r="S802" s="236"/>
      <c r="T802" s="236"/>
      <c r="U802" s="236"/>
      <c r="V802" s="236"/>
      <c r="W802" s="237"/>
      <c r="X802" s="237"/>
      <c r="Y802" s="237"/>
      <c r="Z802" s="237"/>
      <c r="AA802" s="237"/>
      <c r="AB802" s="237"/>
      <c r="AC802" s="237"/>
      <c r="AD802" s="237"/>
      <c r="AE802" s="237"/>
      <c r="AF802" s="237"/>
      <c r="AG802" s="237"/>
      <c r="AH802" s="237"/>
      <c r="AI802" s="308"/>
      <c r="AJ802" s="308"/>
      <c r="AK802" s="308"/>
      <c r="AL802" s="308"/>
      <c r="AM802" s="98"/>
      <c r="AN802" s="98"/>
      <c r="AO802" s="98"/>
    </row>
    <row r="803" ht="14.25" customHeight="1">
      <c r="A803" s="179"/>
      <c r="B803" s="98"/>
      <c r="C803" s="98"/>
      <c r="D803" s="98"/>
      <c r="E803" s="98"/>
      <c r="F803" s="235"/>
      <c r="G803" s="235"/>
      <c r="H803" s="236"/>
      <c r="I803" s="236"/>
      <c r="J803" s="236"/>
      <c r="K803" s="236"/>
      <c r="L803" s="236"/>
      <c r="M803" s="236"/>
      <c r="N803" s="236"/>
      <c r="O803" s="236"/>
      <c r="P803" s="236"/>
      <c r="Q803" s="236"/>
      <c r="R803" s="236"/>
      <c r="S803" s="236"/>
      <c r="T803" s="236"/>
      <c r="U803" s="236"/>
      <c r="V803" s="236"/>
      <c r="W803" s="237"/>
      <c r="X803" s="237"/>
      <c r="Y803" s="237"/>
      <c r="Z803" s="237"/>
      <c r="AA803" s="237"/>
      <c r="AB803" s="237"/>
      <c r="AC803" s="237"/>
      <c r="AD803" s="237"/>
      <c r="AE803" s="237"/>
      <c r="AF803" s="237"/>
      <c r="AG803" s="237"/>
      <c r="AH803" s="237"/>
      <c r="AI803" s="308"/>
      <c r="AJ803" s="308"/>
      <c r="AK803" s="308"/>
      <c r="AL803" s="308"/>
      <c r="AM803" s="98"/>
      <c r="AN803" s="98"/>
      <c r="AO803" s="98"/>
    </row>
    <row r="804" ht="14.25" customHeight="1">
      <c r="A804" s="179"/>
      <c r="B804" s="98"/>
      <c r="C804" s="98"/>
      <c r="D804" s="98"/>
      <c r="E804" s="98"/>
      <c r="F804" s="235"/>
      <c r="G804" s="235"/>
      <c r="H804" s="236"/>
      <c r="I804" s="236"/>
      <c r="J804" s="236"/>
      <c r="K804" s="236"/>
      <c r="L804" s="236"/>
      <c r="M804" s="236"/>
      <c r="N804" s="236"/>
      <c r="O804" s="236"/>
      <c r="P804" s="236"/>
      <c r="Q804" s="236"/>
      <c r="R804" s="236"/>
      <c r="S804" s="236"/>
      <c r="T804" s="236"/>
      <c r="U804" s="236"/>
      <c r="V804" s="236"/>
      <c r="W804" s="237"/>
      <c r="X804" s="237"/>
      <c r="Y804" s="237"/>
      <c r="Z804" s="237"/>
      <c r="AA804" s="237"/>
      <c r="AB804" s="237"/>
      <c r="AC804" s="237"/>
      <c r="AD804" s="237"/>
      <c r="AE804" s="237"/>
      <c r="AF804" s="237"/>
      <c r="AG804" s="237"/>
      <c r="AH804" s="237"/>
      <c r="AI804" s="308"/>
      <c r="AJ804" s="308"/>
      <c r="AK804" s="308"/>
      <c r="AL804" s="308"/>
      <c r="AM804" s="98"/>
      <c r="AN804" s="98"/>
      <c r="AO804" s="98"/>
    </row>
    <row r="805" ht="14.25" customHeight="1">
      <c r="A805" s="179"/>
      <c r="B805" s="98"/>
      <c r="C805" s="98"/>
      <c r="D805" s="98"/>
      <c r="E805" s="98"/>
      <c r="F805" s="235"/>
      <c r="G805" s="235"/>
      <c r="H805" s="236"/>
      <c r="I805" s="236"/>
      <c r="J805" s="236"/>
      <c r="K805" s="236"/>
      <c r="L805" s="236"/>
      <c r="M805" s="236"/>
      <c r="N805" s="236"/>
      <c r="O805" s="236"/>
      <c r="P805" s="236"/>
      <c r="Q805" s="236"/>
      <c r="R805" s="236"/>
      <c r="S805" s="236"/>
      <c r="T805" s="236"/>
      <c r="U805" s="236"/>
      <c r="V805" s="236"/>
      <c r="W805" s="237"/>
      <c r="X805" s="237"/>
      <c r="Y805" s="237"/>
      <c r="Z805" s="237"/>
      <c r="AA805" s="237"/>
      <c r="AB805" s="237"/>
      <c r="AC805" s="237"/>
      <c r="AD805" s="237"/>
      <c r="AE805" s="237"/>
      <c r="AF805" s="237"/>
      <c r="AG805" s="237"/>
      <c r="AH805" s="237"/>
      <c r="AI805" s="308"/>
      <c r="AJ805" s="308"/>
      <c r="AK805" s="308"/>
      <c r="AL805" s="308"/>
      <c r="AM805" s="98"/>
      <c r="AN805" s="98"/>
      <c r="AO805" s="98"/>
    </row>
    <row r="806" ht="14.25" customHeight="1">
      <c r="A806" s="179"/>
      <c r="B806" s="98"/>
      <c r="C806" s="98"/>
      <c r="D806" s="98"/>
      <c r="E806" s="98"/>
      <c r="F806" s="235"/>
      <c r="G806" s="235"/>
      <c r="H806" s="236"/>
      <c r="I806" s="236"/>
      <c r="J806" s="236"/>
      <c r="K806" s="236"/>
      <c r="L806" s="236"/>
      <c r="M806" s="236"/>
      <c r="N806" s="236"/>
      <c r="O806" s="236"/>
      <c r="P806" s="236"/>
      <c r="Q806" s="236"/>
      <c r="R806" s="236"/>
      <c r="S806" s="236"/>
      <c r="T806" s="236"/>
      <c r="U806" s="236"/>
      <c r="V806" s="236"/>
      <c r="W806" s="237"/>
      <c r="X806" s="237"/>
      <c r="Y806" s="237"/>
      <c r="Z806" s="237"/>
      <c r="AA806" s="237"/>
      <c r="AB806" s="237"/>
      <c r="AC806" s="237"/>
      <c r="AD806" s="237"/>
      <c r="AE806" s="237"/>
      <c r="AF806" s="237"/>
      <c r="AG806" s="237"/>
      <c r="AH806" s="237"/>
      <c r="AI806" s="308"/>
      <c r="AJ806" s="308"/>
      <c r="AK806" s="308"/>
      <c r="AL806" s="308"/>
      <c r="AM806" s="98"/>
      <c r="AN806" s="98"/>
      <c r="AO806" s="98"/>
    </row>
    <row r="807" ht="14.25" customHeight="1">
      <c r="A807" s="179"/>
      <c r="B807" s="98"/>
      <c r="C807" s="98"/>
      <c r="D807" s="98"/>
      <c r="E807" s="98"/>
      <c r="F807" s="235"/>
      <c r="G807" s="235"/>
      <c r="H807" s="236"/>
      <c r="I807" s="236"/>
      <c r="J807" s="236"/>
      <c r="K807" s="236"/>
      <c r="L807" s="236"/>
      <c r="M807" s="236"/>
      <c r="N807" s="236"/>
      <c r="O807" s="236"/>
      <c r="P807" s="236"/>
      <c r="Q807" s="236"/>
      <c r="R807" s="236"/>
      <c r="S807" s="236"/>
      <c r="T807" s="236"/>
      <c r="U807" s="236"/>
      <c r="V807" s="236"/>
      <c r="W807" s="237"/>
      <c r="X807" s="237"/>
      <c r="Y807" s="237"/>
      <c r="Z807" s="237"/>
      <c r="AA807" s="237"/>
      <c r="AB807" s="237"/>
      <c r="AC807" s="237"/>
      <c r="AD807" s="237"/>
      <c r="AE807" s="237"/>
      <c r="AF807" s="237"/>
      <c r="AG807" s="237"/>
      <c r="AH807" s="237"/>
      <c r="AI807" s="308"/>
      <c r="AJ807" s="308"/>
      <c r="AK807" s="308"/>
      <c r="AL807" s="308"/>
      <c r="AM807" s="98"/>
      <c r="AN807" s="98"/>
      <c r="AO807" s="98"/>
    </row>
    <row r="808" ht="14.25" customHeight="1">
      <c r="A808" s="179"/>
      <c r="B808" s="98"/>
      <c r="C808" s="98"/>
      <c r="D808" s="98"/>
      <c r="E808" s="98"/>
      <c r="F808" s="235"/>
      <c r="G808" s="235"/>
      <c r="H808" s="236"/>
      <c r="I808" s="236"/>
      <c r="J808" s="236"/>
      <c r="K808" s="236"/>
      <c r="L808" s="236"/>
      <c r="M808" s="236"/>
      <c r="N808" s="236"/>
      <c r="O808" s="236"/>
      <c r="P808" s="236"/>
      <c r="Q808" s="236"/>
      <c r="R808" s="236"/>
      <c r="S808" s="236"/>
      <c r="T808" s="236"/>
      <c r="U808" s="236"/>
      <c r="V808" s="236"/>
      <c r="W808" s="237"/>
      <c r="X808" s="237"/>
      <c r="Y808" s="237"/>
      <c r="Z808" s="237"/>
      <c r="AA808" s="237"/>
      <c r="AB808" s="237"/>
      <c r="AC808" s="237"/>
      <c r="AD808" s="237"/>
      <c r="AE808" s="237"/>
      <c r="AF808" s="237"/>
      <c r="AG808" s="237"/>
      <c r="AH808" s="237"/>
      <c r="AI808" s="308"/>
      <c r="AJ808" s="308"/>
      <c r="AK808" s="308"/>
      <c r="AL808" s="308"/>
      <c r="AM808" s="98"/>
      <c r="AN808" s="98"/>
      <c r="AO808" s="98"/>
    </row>
    <row r="809" ht="14.25" customHeight="1">
      <c r="A809" s="179"/>
      <c r="B809" s="98"/>
      <c r="C809" s="98"/>
      <c r="D809" s="98"/>
      <c r="E809" s="98"/>
      <c r="F809" s="235"/>
      <c r="G809" s="235"/>
      <c r="H809" s="236"/>
      <c r="I809" s="236"/>
      <c r="J809" s="236"/>
      <c r="K809" s="236"/>
      <c r="L809" s="236"/>
      <c r="M809" s="236"/>
      <c r="N809" s="236"/>
      <c r="O809" s="236"/>
      <c r="P809" s="236"/>
      <c r="Q809" s="236"/>
      <c r="R809" s="236"/>
      <c r="S809" s="236"/>
      <c r="T809" s="236"/>
      <c r="U809" s="236"/>
      <c r="V809" s="236"/>
      <c r="W809" s="237"/>
      <c r="X809" s="237"/>
      <c r="Y809" s="237"/>
      <c r="Z809" s="237"/>
      <c r="AA809" s="237"/>
      <c r="AB809" s="237"/>
      <c r="AC809" s="237"/>
      <c r="AD809" s="237"/>
      <c r="AE809" s="237"/>
      <c r="AF809" s="237"/>
      <c r="AG809" s="237"/>
      <c r="AH809" s="237"/>
      <c r="AI809" s="308"/>
      <c r="AJ809" s="308"/>
      <c r="AK809" s="308"/>
      <c r="AL809" s="308"/>
      <c r="AM809" s="98"/>
      <c r="AN809" s="98"/>
      <c r="AO809" s="98"/>
    </row>
    <row r="810" ht="14.25" customHeight="1">
      <c r="A810" s="179"/>
      <c r="B810" s="98"/>
      <c r="C810" s="98"/>
      <c r="D810" s="98"/>
      <c r="E810" s="98"/>
      <c r="F810" s="235"/>
      <c r="G810" s="235"/>
      <c r="H810" s="236"/>
      <c r="I810" s="236"/>
      <c r="J810" s="236"/>
      <c r="K810" s="236"/>
      <c r="L810" s="236"/>
      <c r="M810" s="236"/>
      <c r="N810" s="236"/>
      <c r="O810" s="236"/>
      <c r="P810" s="236"/>
      <c r="Q810" s="236"/>
      <c r="R810" s="236"/>
      <c r="S810" s="236"/>
      <c r="T810" s="236"/>
      <c r="U810" s="236"/>
      <c r="V810" s="236"/>
      <c r="W810" s="237"/>
      <c r="X810" s="237"/>
      <c r="Y810" s="237"/>
      <c r="Z810" s="237"/>
      <c r="AA810" s="237"/>
      <c r="AB810" s="237"/>
      <c r="AC810" s="237"/>
      <c r="AD810" s="237"/>
      <c r="AE810" s="237"/>
      <c r="AF810" s="237"/>
      <c r="AG810" s="237"/>
      <c r="AH810" s="237"/>
      <c r="AI810" s="308"/>
      <c r="AJ810" s="308"/>
      <c r="AK810" s="308"/>
      <c r="AL810" s="308"/>
      <c r="AM810" s="98"/>
      <c r="AN810" s="98"/>
      <c r="AO810" s="98"/>
    </row>
    <row r="811" ht="14.25" customHeight="1">
      <c r="A811" s="179"/>
      <c r="B811" s="98"/>
      <c r="C811" s="98"/>
      <c r="D811" s="98"/>
      <c r="E811" s="98"/>
      <c r="F811" s="235"/>
      <c r="G811" s="235"/>
      <c r="H811" s="236"/>
      <c r="I811" s="236"/>
      <c r="J811" s="236"/>
      <c r="K811" s="236"/>
      <c r="L811" s="236"/>
      <c r="M811" s="236"/>
      <c r="N811" s="236"/>
      <c r="O811" s="236"/>
      <c r="P811" s="236"/>
      <c r="Q811" s="236"/>
      <c r="R811" s="236"/>
      <c r="S811" s="236"/>
      <c r="T811" s="236"/>
      <c r="U811" s="236"/>
      <c r="V811" s="236"/>
      <c r="W811" s="237"/>
      <c r="X811" s="237"/>
      <c r="Y811" s="237"/>
      <c r="Z811" s="237"/>
      <c r="AA811" s="237"/>
      <c r="AB811" s="237"/>
      <c r="AC811" s="237"/>
      <c r="AD811" s="237"/>
      <c r="AE811" s="237"/>
      <c r="AF811" s="237"/>
      <c r="AG811" s="237"/>
      <c r="AH811" s="237"/>
      <c r="AI811" s="308"/>
      <c r="AJ811" s="308"/>
      <c r="AK811" s="308"/>
      <c r="AL811" s="308"/>
      <c r="AM811" s="98"/>
      <c r="AN811" s="98"/>
      <c r="AO811" s="98"/>
    </row>
    <row r="812" ht="14.25" customHeight="1">
      <c r="A812" s="179"/>
      <c r="B812" s="98"/>
      <c r="C812" s="98"/>
      <c r="D812" s="98"/>
      <c r="E812" s="98"/>
      <c r="F812" s="235"/>
      <c r="G812" s="235"/>
      <c r="H812" s="236"/>
      <c r="I812" s="236"/>
      <c r="J812" s="236"/>
      <c r="K812" s="236"/>
      <c r="L812" s="236"/>
      <c r="M812" s="236"/>
      <c r="N812" s="236"/>
      <c r="O812" s="236"/>
      <c r="P812" s="236"/>
      <c r="Q812" s="236"/>
      <c r="R812" s="236"/>
      <c r="S812" s="236"/>
      <c r="T812" s="236"/>
      <c r="U812" s="236"/>
      <c r="V812" s="236"/>
      <c r="W812" s="237"/>
      <c r="X812" s="237"/>
      <c r="Y812" s="237"/>
      <c r="Z812" s="237"/>
      <c r="AA812" s="237"/>
      <c r="AB812" s="237"/>
      <c r="AC812" s="237"/>
      <c r="AD812" s="237"/>
      <c r="AE812" s="237"/>
      <c r="AF812" s="237"/>
      <c r="AG812" s="237"/>
      <c r="AH812" s="237"/>
      <c r="AI812" s="308"/>
      <c r="AJ812" s="308"/>
      <c r="AK812" s="308"/>
      <c r="AL812" s="308"/>
      <c r="AM812" s="98"/>
      <c r="AN812" s="98"/>
      <c r="AO812" s="98"/>
    </row>
    <row r="813" ht="14.25" customHeight="1">
      <c r="A813" s="179"/>
      <c r="B813" s="98"/>
      <c r="C813" s="98"/>
      <c r="D813" s="98"/>
      <c r="E813" s="98"/>
      <c r="F813" s="235"/>
      <c r="G813" s="235"/>
      <c r="H813" s="236"/>
      <c r="I813" s="236"/>
      <c r="J813" s="236"/>
      <c r="K813" s="236"/>
      <c r="L813" s="236"/>
      <c r="M813" s="236"/>
      <c r="N813" s="236"/>
      <c r="O813" s="236"/>
      <c r="P813" s="236"/>
      <c r="Q813" s="236"/>
      <c r="R813" s="236"/>
      <c r="S813" s="236"/>
      <c r="T813" s="236"/>
      <c r="U813" s="236"/>
      <c r="V813" s="236"/>
      <c r="W813" s="237"/>
      <c r="X813" s="237"/>
      <c r="Y813" s="237"/>
      <c r="Z813" s="237"/>
      <c r="AA813" s="237"/>
      <c r="AB813" s="237"/>
      <c r="AC813" s="237"/>
      <c r="AD813" s="237"/>
      <c r="AE813" s="237"/>
      <c r="AF813" s="237"/>
      <c r="AG813" s="237"/>
      <c r="AH813" s="237"/>
      <c r="AI813" s="308"/>
      <c r="AJ813" s="308"/>
      <c r="AK813" s="308"/>
      <c r="AL813" s="308"/>
      <c r="AM813" s="98"/>
      <c r="AN813" s="98"/>
      <c r="AO813" s="98"/>
    </row>
    <row r="814" ht="14.25" customHeight="1">
      <c r="A814" s="179"/>
      <c r="B814" s="98"/>
      <c r="C814" s="98"/>
      <c r="D814" s="98"/>
      <c r="E814" s="98"/>
      <c r="F814" s="235"/>
      <c r="G814" s="235"/>
      <c r="H814" s="236"/>
      <c r="I814" s="236"/>
      <c r="J814" s="236"/>
      <c r="K814" s="236"/>
      <c r="L814" s="236"/>
      <c r="M814" s="236"/>
      <c r="N814" s="236"/>
      <c r="O814" s="236"/>
      <c r="P814" s="236"/>
      <c r="Q814" s="236"/>
      <c r="R814" s="236"/>
      <c r="S814" s="236"/>
      <c r="T814" s="236"/>
      <c r="U814" s="236"/>
      <c r="V814" s="236"/>
      <c r="W814" s="237"/>
      <c r="X814" s="237"/>
      <c r="Y814" s="237"/>
      <c r="Z814" s="237"/>
      <c r="AA814" s="237"/>
      <c r="AB814" s="237"/>
      <c r="AC814" s="237"/>
      <c r="AD814" s="237"/>
      <c r="AE814" s="237"/>
      <c r="AF814" s="237"/>
      <c r="AG814" s="237"/>
      <c r="AH814" s="237"/>
      <c r="AI814" s="308"/>
      <c r="AJ814" s="308"/>
      <c r="AK814" s="308"/>
      <c r="AL814" s="308"/>
      <c r="AM814" s="98"/>
      <c r="AN814" s="98"/>
      <c r="AO814" s="98"/>
    </row>
    <row r="815" ht="14.25" customHeight="1">
      <c r="A815" s="179"/>
      <c r="B815" s="98"/>
      <c r="C815" s="98"/>
      <c r="D815" s="98"/>
      <c r="E815" s="98"/>
      <c r="F815" s="235"/>
      <c r="G815" s="235"/>
      <c r="H815" s="236"/>
      <c r="I815" s="236"/>
      <c r="J815" s="236"/>
      <c r="K815" s="236"/>
      <c r="L815" s="236"/>
      <c r="M815" s="236"/>
      <c r="N815" s="236"/>
      <c r="O815" s="236"/>
      <c r="P815" s="236"/>
      <c r="Q815" s="236"/>
      <c r="R815" s="236"/>
      <c r="S815" s="236"/>
      <c r="T815" s="236"/>
      <c r="U815" s="236"/>
      <c r="V815" s="236"/>
      <c r="W815" s="237"/>
      <c r="X815" s="237"/>
      <c r="Y815" s="237"/>
      <c r="Z815" s="237"/>
      <c r="AA815" s="237"/>
      <c r="AB815" s="237"/>
      <c r="AC815" s="237"/>
      <c r="AD815" s="237"/>
      <c r="AE815" s="237"/>
      <c r="AF815" s="237"/>
      <c r="AG815" s="237"/>
      <c r="AH815" s="237"/>
      <c r="AI815" s="308"/>
      <c r="AJ815" s="308"/>
      <c r="AK815" s="308"/>
      <c r="AL815" s="308"/>
      <c r="AM815" s="98"/>
      <c r="AN815" s="98"/>
      <c r="AO815" s="98"/>
    </row>
    <row r="816" ht="14.25" customHeight="1">
      <c r="A816" s="179"/>
      <c r="B816" s="98"/>
      <c r="C816" s="98"/>
      <c r="D816" s="98"/>
      <c r="E816" s="98"/>
      <c r="F816" s="235"/>
      <c r="G816" s="235"/>
      <c r="H816" s="236"/>
      <c r="I816" s="236"/>
      <c r="J816" s="236"/>
      <c r="K816" s="236"/>
      <c r="L816" s="236"/>
      <c r="M816" s="236"/>
      <c r="N816" s="236"/>
      <c r="O816" s="236"/>
      <c r="P816" s="236"/>
      <c r="Q816" s="236"/>
      <c r="R816" s="236"/>
      <c r="S816" s="236"/>
      <c r="T816" s="236"/>
      <c r="U816" s="236"/>
      <c r="V816" s="236"/>
      <c r="W816" s="237"/>
      <c r="X816" s="237"/>
      <c r="Y816" s="237"/>
      <c r="Z816" s="237"/>
      <c r="AA816" s="237"/>
      <c r="AB816" s="237"/>
      <c r="AC816" s="237"/>
      <c r="AD816" s="237"/>
      <c r="AE816" s="237"/>
      <c r="AF816" s="237"/>
      <c r="AG816" s="237"/>
      <c r="AH816" s="237"/>
      <c r="AI816" s="308"/>
      <c r="AJ816" s="308"/>
      <c r="AK816" s="308"/>
      <c r="AL816" s="308"/>
      <c r="AM816" s="98"/>
      <c r="AN816" s="98"/>
      <c r="AO816" s="98"/>
    </row>
    <row r="817" ht="14.25" customHeight="1">
      <c r="A817" s="179"/>
      <c r="B817" s="98"/>
      <c r="C817" s="98"/>
      <c r="D817" s="98"/>
      <c r="E817" s="98"/>
      <c r="F817" s="235"/>
      <c r="G817" s="235"/>
      <c r="H817" s="236"/>
      <c r="I817" s="236"/>
      <c r="J817" s="236"/>
      <c r="K817" s="236"/>
      <c r="L817" s="236"/>
      <c r="M817" s="236"/>
      <c r="N817" s="236"/>
      <c r="O817" s="236"/>
      <c r="P817" s="236"/>
      <c r="Q817" s="236"/>
      <c r="R817" s="236"/>
      <c r="S817" s="236"/>
      <c r="T817" s="236"/>
      <c r="U817" s="236"/>
      <c r="V817" s="236"/>
      <c r="W817" s="237"/>
      <c r="X817" s="237"/>
      <c r="Y817" s="237"/>
      <c r="Z817" s="237"/>
      <c r="AA817" s="237"/>
      <c r="AB817" s="237"/>
      <c r="AC817" s="237"/>
      <c r="AD817" s="237"/>
      <c r="AE817" s="237"/>
      <c r="AF817" s="237"/>
      <c r="AG817" s="237"/>
      <c r="AH817" s="237"/>
      <c r="AI817" s="308"/>
      <c r="AJ817" s="308"/>
      <c r="AK817" s="308"/>
      <c r="AL817" s="308"/>
      <c r="AM817" s="98"/>
      <c r="AN817" s="98"/>
      <c r="AO817" s="98"/>
    </row>
    <row r="818" ht="14.25" customHeight="1">
      <c r="A818" s="179"/>
      <c r="B818" s="98"/>
      <c r="C818" s="98"/>
      <c r="D818" s="98"/>
      <c r="E818" s="98"/>
      <c r="F818" s="235"/>
      <c r="G818" s="235"/>
      <c r="H818" s="236"/>
      <c r="I818" s="236"/>
      <c r="J818" s="236"/>
      <c r="K818" s="236"/>
      <c r="L818" s="236"/>
      <c r="M818" s="236"/>
      <c r="N818" s="236"/>
      <c r="O818" s="236"/>
      <c r="P818" s="236"/>
      <c r="Q818" s="236"/>
      <c r="R818" s="236"/>
      <c r="S818" s="236"/>
      <c r="T818" s="236"/>
      <c r="U818" s="236"/>
      <c r="V818" s="236"/>
      <c r="W818" s="237"/>
      <c r="X818" s="237"/>
      <c r="Y818" s="237"/>
      <c r="Z818" s="237"/>
      <c r="AA818" s="237"/>
      <c r="AB818" s="237"/>
      <c r="AC818" s="237"/>
      <c r="AD818" s="237"/>
      <c r="AE818" s="237"/>
      <c r="AF818" s="237"/>
      <c r="AG818" s="237"/>
      <c r="AH818" s="237"/>
      <c r="AI818" s="308"/>
      <c r="AJ818" s="308"/>
      <c r="AK818" s="308"/>
      <c r="AL818" s="308"/>
      <c r="AM818" s="98"/>
      <c r="AN818" s="98"/>
      <c r="AO818" s="98"/>
    </row>
    <row r="819" ht="14.25" customHeight="1">
      <c r="A819" s="179"/>
      <c r="B819" s="98"/>
      <c r="C819" s="98"/>
      <c r="D819" s="98"/>
      <c r="E819" s="98"/>
      <c r="F819" s="235"/>
      <c r="G819" s="235"/>
      <c r="H819" s="236"/>
      <c r="I819" s="236"/>
      <c r="J819" s="236"/>
      <c r="K819" s="236"/>
      <c r="L819" s="236"/>
      <c r="M819" s="236"/>
      <c r="N819" s="236"/>
      <c r="O819" s="236"/>
      <c r="P819" s="236"/>
      <c r="Q819" s="236"/>
      <c r="R819" s="236"/>
      <c r="S819" s="236"/>
      <c r="T819" s="236"/>
      <c r="U819" s="236"/>
      <c r="V819" s="236"/>
      <c r="W819" s="237"/>
      <c r="X819" s="237"/>
      <c r="Y819" s="237"/>
      <c r="Z819" s="237"/>
      <c r="AA819" s="237"/>
      <c r="AB819" s="237"/>
      <c r="AC819" s="237"/>
      <c r="AD819" s="237"/>
      <c r="AE819" s="237"/>
      <c r="AF819" s="237"/>
      <c r="AG819" s="237"/>
      <c r="AH819" s="237"/>
      <c r="AI819" s="308"/>
      <c r="AJ819" s="308"/>
      <c r="AK819" s="308"/>
      <c r="AL819" s="308"/>
      <c r="AM819" s="98"/>
      <c r="AN819" s="98"/>
      <c r="AO819" s="98"/>
    </row>
    <row r="820" ht="14.25" customHeight="1">
      <c r="A820" s="179"/>
      <c r="B820" s="98"/>
      <c r="C820" s="98"/>
      <c r="D820" s="98"/>
      <c r="E820" s="98"/>
      <c r="F820" s="235"/>
      <c r="G820" s="235"/>
      <c r="H820" s="236"/>
      <c r="I820" s="236"/>
      <c r="J820" s="236"/>
      <c r="K820" s="236"/>
      <c r="L820" s="236"/>
      <c r="M820" s="236"/>
      <c r="N820" s="236"/>
      <c r="O820" s="236"/>
      <c r="P820" s="236"/>
      <c r="Q820" s="236"/>
      <c r="R820" s="236"/>
      <c r="S820" s="236"/>
      <c r="T820" s="236"/>
      <c r="U820" s="236"/>
      <c r="V820" s="236"/>
      <c r="W820" s="237"/>
      <c r="X820" s="237"/>
      <c r="Y820" s="237"/>
      <c r="Z820" s="237"/>
      <c r="AA820" s="237"/>
      <c r="AB820" s="237"/>
      <c r="AC820" s="237"/>
      <c r="AD820" s="237"/>
      <c r="AE820" s="237"/>
      <c r="AF820" s="237"/>
      <c r="AG820" s="237"/>
      <c r="AH820" s="237"/>
      <c r="AI820" s="308"/>
      <c r="AJ820" s="308"/>
      <c r="AK820" s="308"/>
      <c r="AL820" s="308"/>
      <c r="AM820" s="98"/>
      <c r="AN820" s="98"/>
      <c r="AO820" s="98"/>
    </row>
    <row r="821" ht="14.25" customHeight="1">
      <c r="A821" s="179"/>
      <c r="B821" s="98"/>
      <c r="C821" s="98"/>
      <c r="D821" s="98"/>
      <c r="E821" s="98"/>
      <c r="F821" s="235"/>
      <c r="G821" s="235"/>
      <c r="H821" s="236"/>
      <c r="I821" s="236"/>
      <c r="J821" s="236"/>
      <c r="K821" s="236"/>
      <c r="L821" s="236"/>
      <c r="M821" s="236"/>
      <c r="N821" s="236"/>
      <c r="O821" s="236"/>
      <c r="P821" s="236"/>
      <c r="Q821" s="236"/>
      <c r="R821" s="236"/>
      <c r="S821" s="236"/>
      <c r="T821" s="236"/>
      <c r="U821" s="236"/>
      <c r="V821" s="236"/>
      <c r="W821" s="237"/>
      <c r="X821" s="237"/>
      <c r="Y821" s="237"/>
      <c r="Z821" s="237"/>
      <c r="AA821" s="237"/>
      <c r="AB821" s="237"/>
      <c r="AC821" s="237"/>
      <c r="AD821" s="237"/>
      <c r="AE821" s="237"/>
      <c r="AF821" s="237"/>
      <c r="AG821" s="237"/>
      <c r="AH821" s="237"/>
      <c r="AI821" s="308"/>
      <c r="AJ821" s="308"/>
      <c r="AK821" s="308"/>
      <c r="AL821" s="308"/>
      <c r="AM821" s="98"/>
      <c r="AN821" s="98"/>
      <c r="AO821" s="98"/>
    </row>
    <row r="822" ht="14.25" customHeight="1">
      <c r="A822" s="179"/>
      <c r="B822" s="98"/>
      <c r="C822" s="98"/>
      <c r="D822" s="98"/>
      <c r="E822" s="98"/>
      <c r="F822" s="235"/>
      <c r="G822" s="235"/>
      <c r="H822" s="236"/>
      <c r="I822" s="236"/>
      <c r="J822" s="236"/>
      <c r="K822" s="236"/>
      <c r="L822" s="236"/>
      <c r="M822" s="236"/>
      <c r="N822" s="236"/>
      <c r="O822" s="236"/>
      <c r="P822" s="236"/>
      <c r="Q822" s="236"/>
      <c r="R822" s="236"/>
      <c r="S822" s="236"/>
      <c r="T822" s="236"/>
      <c r="U822" s="236"/>
      <c r="V822" s="236"/>
      <c r="W822" s="237"/>
      <c r="X822" s="237"/>
      <c r="Y822" s="237"/>
      <c r="Z822" s="237"/>
      <c r="AA822" s="237"/>
      <c r="AB822" s="237"/>
      <c r="AC822" s="237"/>
      <c r="AD822" s="237"/>
      <c r="AE822" s="237"/>
      <c r="AF822" s="237"/>
      <c r="AG822" s="237"/>
      <c r="AH822" s="237"/>
      <c r="AI822" s="308"/>
      <c r="AJ822" s="308"/>
      <c r="AK822" s="308"/>
      <c r="AL822" s="308"/>
      <c r="AM822" s="98"/>
      <c r="AN822" s="98"/>
      <c r="AO822" s="98"/>
    </row>
    <row r="823" ht="14.25" customHeight="1">
      <c r="A823" s="179"/>
      <c r="B823" s="98"/>
      <c r="C823" s="98"/>
      <c r="D823" s="98"/>
      <c r="E823" s="98"/>
      <c r="F823" s="235"/>
      <c r="G823" s="235"/>
      <c r="H823" s="236"/>
      <c r="I823" s="236"/>
      <c r="J823" s="236"/>
      <c r="K823" s="236"/>
      <c r="L823" s="236"/>
      <c r="M823" s="236"/>
      <c r="N823" s="236"/>
      <c r="O823" s="236"/>
      <c r="P823" s="236"/>
      <c r="Q823" s="236"/>
      <c r="R823" s="236"/>
      <c r="S823" s="236"/>
      <c r="T823" s="236"/>
      <c r="U823" s="236"/>
      <c r="V823" s="236"/>
      <c r="W823" s="237"/>
      <c r="X823" s="237"/>
      <c r="Y823" s="237"/>
      <c r="Z823" s="237"/>
      <c r="AA823" s="237"/>
      <c r="AB823" s="237"/>
      <c r="AC823" s="237"/>
      <c r="AD823" s="237"/>
      <c r="AE823" s="237"/>
      <c r="AF823" s="237"/>
      <c r="AG823" s="237"/>
      <c r="AH823" s="237"/>
      <c r="AI823" s="308"/>
      <c r="AJ823" s="308"/>
      <c r="AK823" s="308"/>
      <c r="AL823" s="308"/>
      <c r="AM823" s="98"/>
      <c r="AN823" s="98"/>
      <c r="AO823" s="98"/>
    </row>
    <row r="824" ht="14.25" customHeight="1">
      <c r="A824" s="179"/>
      <c r="B824" s="98"/>
      <c r="C824" s="98"/>
      <c r="D824" s="98"/>
      <c r="E824" s="98"/>
      <c r="F824" s="235"/>
      <c r="G824" s="235"/>
      <c r="H824" s="236"/>
      <c r="I824" s="236"/>
      <c r="J824" s="236"/>
      <c r="K824" s="236"/>
      <c r="L824" s="236"/>
      <c r="M824" s="236"/>
      <c r="N824" s="236"/>
      <c r="O824" s="236"/>
      <c r="P824" s="236"/>
      <c r="Q824" s="236"/>
      <c r="R824" s="236"/>
      <c r="S824" s="236"/>
      <c r="T824" s="236"/>
      <c r="U824" s="236"/>
      <c r="V824" s="236"/>
      <c r="W824" s="237"/>
      <c r="X824" s="237"/>
      <c r="Y824" s="237"/>
      <c r="Z824" s="237"/>
      <c r="AA824" s="237"/>
      <c r="AB824" s="237"/>
      <c r="AC824" s="237"/>
      <c r="AD824" s="237"/>
      <c r="AE824" s="237"/>
      <c r="AF824" s="237"/>
      <c r="AG824" s="237"/>
      <c r="AH824" s="237"/>
      <c r="AI824" s="308"/>
      <c r="AJ824" s="308"/>
      <c r="AK824" s="308"/>
      <c r="AL824" s="308"/>
      <c r="AM824" s="98"/>
      <c r="AN824" s="98"/>
      <c r="AO824" s="98"/>
    </row>
    <row r="825" ht="14.25" customHeight="1">
      <c r="A825" s="179"/>
      <c r="B825" s="98"/>
      <c r="C825" s="98"/>
      <c r="D825" s="98"/>
      <c r="E825" s="98"/>
      <c r="F825" s="235"/>
      <c r="G825" s="235"/>
      <c r="H825" s="236"/>
      <c r="I825" s="236"/>
      <c r="J825" s="236"/>
      <c r="K825" s="236"/>
      <c r="L825" s="236"/>
      <c r="M825" s="236"/>
      <c r="N825" s="236"/>
      <c r="O825" s="236"/>
      <c r="P825" s="236"/>
      <c r="Q825" s="236"/>
      <c r="R825" s="236"/>
      <c r="S825" s="236"/>
      <c r="T825" s="236"/>
      <c r="U825" s="236"/>
      <c r="V825" s="236"/>
      <c r="W825" s="237"/>
      <c r="X825" s="237"/>
      <c r="Y825" s="237"/>
      <c r="Z825" s="237"/>
      <c r="AA825" s="237"/>
      <c r="AB825" s="237"/>
      <c r="AC825" s="237"/>
      <c r="AD825" s="237"/>
      <c r="AE825" s="237"/>
      <c r="AF825" s="237"/>
      <c r="AG825" s="237"/>
      <c r="AH825" s="237"/>
      <c r="AI825" s="308"/>
      <c r="AJ825" s="308"/>
      <c r="AK825" s="308"/>
      <c r="AL825" s="308"/>
      <c r="AM825" s="98"/>
      <c r="AN825" s="98"/>
      <c r="AO825" s="98"/>
    </row>
    <row r="826" ht="14.25" customHeight="1">
      <c r="A826" s="179"/>
      <c r="B826" s="98"/>
      <c r="C826" s="98"/>
      <c r="D826" s="98"/>
      <c r="E826" s="98"/>
      <c r="F826" s="235"/>
      <c r="G826" s="235"/>
      <c r="H826" s="236"/>
      <c r="I826" s="236"/>
      <c r="J826" s="236"/>
      <c r="K826" s="236"/>
      <c r="L826" s="236"/>
      <c r="M826" s="236"/>
      <c r="N826" s="236"/>
      <c r="O826" s="236"/>
      <c r="P826" s="236"/>
      <c r="Q826" s="236"/>
      <c r="R826" s="236"/>
      <c r="S826" s="236"/>
      <c r="T826" s="236"/>
      <c r="U826" s="236"/>
      <c r="V826" s="236"/>
      <c r="W826" s="237"/>
      <c r="X826" s="237"/>
      <c r="Y826" s="237"/>
      <c r="Z826" s="237"/>
      <c r="AA826" s="237"/>
      <c r="AB826" s="237"/>
      <c r="AC826" s="237"/>
      <c r="AD826" s="237"/>
      <c r="AE826" s="237"/>
      <c r="AF826" s="237"/>
      <c r="AG826" s="237"/>
      <c r="AH826" s="237"/>
      <c r="AI826" s="308"/>
      <c r="AJ826" s="308"/>
      <c r="AK826" s="308"/>
      <c r="AL826" s="308"/>
      <c r="AM826" s="98"/>
      <c r="AN826" s="98"/>
      <c r="AO826" s="98"/>
    </row>
    <row r="827" ht="14.25" customHeight="1">
      <c r="A827" s="179"/>
      <c r="B827" s="98"/>
      <c r="C827" s="98"/>
      <c r="D827" s="98"/>
      <c r="E827" s="98"/>
      <c r="F827" s="235"/>
      <c r="G827" s="235"/>
      <c r="H827" s="236"/>
      <c r="I827" s="236"/>
      <c r="J827" s="236"/>
      <c r="K827" s="236"/>
      <c r="L827" s="236"/>
      <c r="M827" s="236"/>
      <c r="N827" s="236"/>
      <c r="O827" s="236"/>
      <c r="P827" s="236"/>
      <c r="Q827" s="236"/>
      <c r="R827" s="236"/>
      <c r="S827" s="236"/>
      <c r="T827" s="236"/>
      <c r="U827" s="236"/>
      <c r="V827" s="236"/>
      <c r="W827" s="237"/>
      <c r="X827" s="237"/>
      <c r="Y827" s="237"/>
      <c r="Z827" s="237"/>
      <c r="AA827" s="237"/>
      <c r="AB827" s="237"/>
      <c r="AC827" s="237"/>
      <c r="AD827" s="237"/>
      <c r="AE827" s="237"/>
      <c r="AF827" s="237"/>
      <c r="AG827" s="237"/>
      <c r="AH827" s="237"/>
      <c r="AI827" s="308"/>
      <c r="AJ827" s="308"/>
      <c r="AK827" s="308"/>
      <c r="AL827" s="308"/>
      <c r="AM827" s="98"/>
      <c r="AN827" s="98"/>
      <c r="AO827" s="98"/>
    </row>
    <row r="828" ht="14.25" customHeight="1">
      <c r="A828" s="179"/>
      <c r="B828" s="98"/>
      <c r="C828" s="98"/>
      <c r="D828" s="98"/>
      <c r="E828" s="98"/>
      <c r="F828" s="235"/>
      <c r="G828" s="235"/>
      <c r="H828" s="236"/>
      <c r="I828" s="236"/>
      <c r="J828" s="236"/>
      <c r="K828" s="236"/>
      <c r="L828" s="236"/>
      <c r="M828" s="236"/>
      <c r="N828" s="236"/>
      <c r="O828" s="236"/>
      <c r="P828" s="236"/>
      <c r="Q828" s="236"/>
      <c r="R828" s="236"/>
      <c r="S828" s="236"/>
      <c r="T828" s="236"/>
      <c r="U828" s="236"/>
      <c r="V828" s="236"/>
      <c r="W828" s="237"/>
      <c r="X828" s="237"/>
      <c r="Y828" s="237"/>
      <c r="Z828" s="237"/>
      <c r="AA828" s="237"/>
      <c r="AB828" s="237"/>
      <c r="AC828" s="237"/>
      <c r="AD828" s="237"/>
      <c r="AE828" s="237"/>
      <c r="AF828" s="237"/>
      <c r="AG828" s="237"/>
      <c r="AH828" s="237"/>
      <c r="AI828" s="308"/>
      <c r="AJ828" s="308"/>
      <c r="AK828" s="308"/>
      <c r="AL828" s="308"/>
      <c r="AM828" s="98"/>
      <c r="AN828" s="98"/>
      <c r="AO828" s="98"/>
    </row>
    <row r="829" ht="14.25" customHeight="1">
      <c r="A829" s="179"/>
      <c r="B829" s="98"/>
      <c r="C829" s="98"/>
      <c r="D829" s="98"/>
      <c r="E829" s="98"/>
      <c r="F829" s="235"/>
      <c r="G829" s="235"/>
      <c r="H829" s="236"/>
      <c r="I829" s="236"/>
      <c r="J829" s="236"/>
      <c r="K829" s="236"/>
      <c r="L829" s="236"/>
      <c r="M829" s="236"/>
      <c r="N829" s="236"/>
      <c r="O829" s="236"/>
      <c r="P829" s="236"/>
      <c r="Q829" s="236"/>
      <c r="R829" s="236"/>
      <c r="S829" s="236"/>
      <c r="T829" s="236"/>
      <c r="U829" s="236"/>
      <c r="V829" s="236"/>
      <c r="W829" s="237"/>
      <c r="X829" s="237"/>
      <c r="Y829" s="237"/>
      <c r="Z829" s="237"/>
      <c r="AA829" s="237"/>
      <c r="AB829" s="237"/>
      <c r="AC829" s="237"/>
      <c r="AD829" s="237"/>
      <c r="AE829" s="237"/>
      <c r="AF829" s="237"/>
      <c r="AG829" s="237"/>
      <c r="AH829" s="237"/>
      <c r="AI829" s="308"/>
      <c r="AJ829" s="308"/>
      <c r="AK829" s="308"/>
      <c r="AL829" s="308"/>
      <c r="AM829" s="98"/>
      <c r="AN829" s="98"/>
      <c r="AO829" s="98"/>
    </row>
    <row r="830" ht="14.25" customHeight="1">
      <c r="A830" s="179"/>
      <c r="B830" s="98"/>
      <c r="C830" s="98"/>
      <c r="D830" s="98"/>
      <c r="E830" s="98"/>
      <c r="F830" s="235"/>
      <c r="G830" s="235"/>
      <c r="H830" s="236"/>
      <c r="I830" s="236"/>
      <c r="J830" s="236"/>
      <c r="K830" s="236"/>
      <c r="L830" s="236"/>
      <c r="M830" s="236"/>
      <c r="N830" s="236"/>
      <c r="O830" s="236"/>
      <c r="P830" s="236"/>
      <c r="Q830" s="236"/>
      <c r="R830" s="236"/>
      <c r="S830" s="236"/>
      <c r="T830" s="236"/>
      <c r="U830" s="236"/>
      <c r="V830" s="236"/>
      <c r="W830" s="237"/>
      <c r="X830" s="237"/>
      <c r="Y830" s="237"/>
      <c r="Z830" s="237"/>
      <c r="AA830" s="237"/>
      <c r="AB830" s="237"/>
      <c r="AC830" s="237"/>
      <c r="AD830" s="237"/>
      <c r="AE830" s="237"/>
      <c r="AF830" s="237"/>
      <c r="AG830" s="237"/>
      <c r="AH830" s="237"/>
      <c r="AI830" s="308"/>
      <c r="AJ830" s="308"/>
      <c r="AK830" s="308"/>
      <c r="AL830" s="308"/>
      <c r="AM830" s="98"/>
      <c r="AN830" s="98"/>
      <c r="AO830" s="98"/>
    </row>
    <row r="831" ht="14.25" customHeight="1">
      <c r="A831" s="179"/>
      <c r="B831" s="98"/>
      <c r="C831" s="98"/>
      <c r="D831" s="98"/>
      <c r="E831" s="98"/>
      <c r="F831" s="235"/>
      <c r="G831" s="235"/>
      <c r="H831" s="236"/>
      <c r="I831" s="236"/>
      <c r="J831" s="236"/>
      <c r="K831" s="236"/>
      <c r="L831" s="236"/>
      <c r="M831" s="236"/>
      <c r="N831" s="236"/>
      <c r="O831" s="236"/>
      <c r="P831" s="236"/>
      <c r="Q831" s="236"/>
      <c r="R831" s="236"/>
      <c r="S831" s="236"/>
      <c r="T831" s="236"/>
      <c r="U831" s="236"/>
      <c r="V831" s="236"/>
      <c r="W831" s="237"/>
      <c r="X831" s="237"/>
      <c r="Y831" s="237"/>
      <c r="Z831" s="237"/>
      <c r="AA831" s="237"/>
      <c r="AB831" s="237"/>
      <c r="AC831" s="237"/>
      <c r="AD831" s="237"/>
      <c r="AE831" s="237"/>
      <c r="AF831" s="237"/>
      <c r="AG831" s="237"/>
      <c r="AH831" s="237"/>
      <c r="AI831" s="308"/>
      <c r="AJ831" s="308"/>
      <c r="AK831" s="308"/>
      <c r="AL831" s="308"/>
      <c r="AM831" s="98"/>
      <c r="AN831" s="98"/>
      <c r="AO831" s="98"/>
    </row>
    <row r="832" ht="14.25" customHeight="1">
      <c r="A832" s="179"/>
      <c r="B832" s="98"/>
      <c r="C832" s="98"/>
      <c r="D832" s="98"/>
      <c r="E832" s="98"/>
      <c r="F832" s="235"/>
      <c r="G832" s="235"/>
      <c r="H832" s="236"/>
      <c r="I832" s="236"/>
      <c r="J832" s="236"/>
      <c r="K832" s="236"/>
      <c r="L832" s="236"/>
      <c r="M832" s="236"/>
      <c r="N832" s="236"/>
      <c r="O832" s="236"/>
      <c r="P832" s="236"/>
      <c r="Q832" s="236"/>
      <c r="R832" s="236"/>
      <c r="S832" s="236"/>
      <c r="T832" s="236"/>
      <c r="U832" s="236"/>
      <c r="V832" s="236"/>
      <c r="W832" s="237"/>
      <c r="X832" s="237"/>
      <c r="Y832" s="237"/>
      <c r="Z832" s="237"/>
      <c r="AA832" s="237"/>
      <c r="AB832" s="237"/>
      <c r="AC832" s="237"/>
      <c r="AD832" s="237"/>
      <c r="AE832" s="237"/>
      <c r="AF832" s="237"/>
      <c r="AG832" s="237"/>
      <c r="AH832" s="237"/>
      <c r="AI832" s="308"/>
      <c r="AJ832" s="308"/>
      <c r="AK832" s="308"/>
      <c r="AL832" s="308"/>
      <c r="AM832" s="98"/>
      <c r="AN832" s="98"/>
      <c r="AO832" s="98"/>
    </row>
    <row r="833" ht="14.25" customHeight="1">
      <c r="A833" s="179"/>
      <c r="B833" s="98"/>
      <c r="C833" s="98"/>
      <c r="D833" s="98"/>
      <c r="E833" s="98"/>
      <c r="F833" s="235"/>
      <c r="G833" s="235"/>
      <c r="H833" s="236"/>
      <c r="I833" s="236"/>
      <c r="J833" s="236"/>
      <c r="K833" s="236"/>
      <c r="L833" s="236"/>
      <c r="M833" s="236"/>
      <c r="N833" s="236"/>
      <c r="O833" s="236"/>
      <c r="P833" s="236"/>
      <c r="Q833" s="236"/>
      <c r="R833" s="236"/>
      <c r="S833" s="236"/>
      <c r="T833" s="236"/>
      <c r="U833" s="236"/>
      <c r="V833" s="236"/>
      <c r="W833" s="237"/>
      <c r="X833" s="237"/>
      <c r="Y833" s="237"/>
      <c r="Z833" s="237"/>
      <c r="AA833" s="237"/>
      <c r="AB833" s="237"/>
      <c r="AC833" s="237"/>
      <c r="AD833" s="237"/>
      <c r="AE833" s="237"/>
      <c r="AF833" s="237"/>
      <c r="AG833" s="237"/>
      <c r="AH833" s="237"/>
      <c r="AI833" s="308"/>
      <c r="AJ833" s="308"/>
      <c r="AK833" s="308"/>
      <c r="AL833" s="308"/>
      <c r="AM833" s="98"/>
      <c r="AN833" s="98"/>
      <c r="AO833" s="98"/>
    </row>
    <row r="834" ht="14.25" customHeight="1">
      <c r="A834" s="179"/>
      <c r="B834" s="98"/>
      <c r="C834" s="98"/>
      <c r="D834" s="98"/>
      <c r="E834" s="98"/>
      <c r="F834" s="235"/>
      <c r="G834" s="235"/>
      <c r="H834" s="236"/>
      <c r="I834" s="236"/>
      <c r="J834" s="236"/>
      <c r="K834" s="236"/>
      <c r="L834" s="236"/>
      <c r="M834" s="236"/>
      <c r="N834" s="236"/>
      <c r="O834" s="236"/>
      <c r="P834" s="236"/>
      <c r="Q834" s="236"/>
      <c r="R834" s="236"/>
      <c r="S834" s="236"/>
      <c r="T834" s="236"/>
      <c r="U834" s="236"/>
      <c r="V834" s="236"/>
      <c r="W834" s="237"/>
      <c r="X834" s="237"/>
      <c r="Y834" s="237"/>
      <c r="Z834" s="237"/>
      <c r="AA834" s="237"/>
      <c r="AB834" s="237"/>
      <c r="AC834" s="237"/>
      <c r="AD834" s="237"/>
      <c r="AE834" s="237"/>
      <c r="AF834" s="237"/>
      <c r="AG834" s="237"/>
      <c r="AH834" s="237"/>
      <c r="AI834" s="308"/>
      <c r="AJ834" s="308"/>
      <c r="AK834" s="308"/>
      <c r="AL834" s="308"/>
      <c r="AM834" s="98"/>
      <c r="AN834" s="98"/>
      <c r="AO834" s="98"/>
    </row>
    <row r="835" ht="14.25" customHeight="1">
      <c r="A835" s="179"/>
      <c r="B835" s="98"/>
      <c r="C835" s="98"/>
      <c r="D835" s="98"/>
      <c r="E835" s="98"/>
      <c r="F835" s="235"/>
      <c r="G835" s="235"/>
      <c r="H835" s="236"/>
      <c r="I835" s="236"/>
      <c r="J835" s="236"/>
      <c r="K835" s="236"/>
      <c r="L835" s="236"/>
      <c r="M835" s="236"/>
      <c r="N835" s="236"/>
      <c r="O835" s="236"/>
      <c r="P835" s="236"/>
      <c r="Q835" s="236"/>
      <c r="R835" s="236"/>
      <c r="S835" s="236"/>
      <c r="T835" s="236"/>
      <c r="U835" s="236"/>
      <c r="V835" s="236"/>
      <c r="W835" s="237"/>
      <c r="X835" s="237"/>
      <c r="Y835" s="237"/>
      <c r="Z835" s="237"/>
      <c r="AA835" s="237"/>
      <c r="AB835" s="237"/>
      <c r="AC835" s="237"/>
      <c r="AD835" s="237"/>
      <c r="AE835" s="237"/>
      <c r="AF835" s="237"/>
      <c r="AG835" s="237"/>
      <c r="AH835" s="237"/>
      <c r="AI835" s="308"/>
      <c r="AJ835" s="308"/>
      <c r="AK835" s="308"/>
      <c r="AL835" s="308"/>
      <c r="AM835" s="98"/>
      <c r="AN835" s="98"/>
      <c r="AO835" s="98"/>
    </row>
    <row r="836" ht="14.25" customHeight="1">
      <c r="A836" s="179"/>
      <c r="B836" s="98"/>
      <c r="C836" s="98"/>
      <c r="D836" s="98"/>
      <c r="E836" s="98"/>
      <c r="F836" s="235"/>
      <c r="G836" s="235"/>
      <c r="H836" s="236"/>
      <c r="I836" s="236"/>
      <c r="J836" s="236"/>
      <c r="K836" s="236"/>
      <c r="L836" s="236"/>
      <c r="M836" s="236"/>
      <c r="N836" s="236"/>
      <c r="O836" s="236"/>
      <c r="P836" s="236"/>
      <c r="Q836" s="236"/>
      <c r="R836" s="236"/>
      <c r="S836" s="236"/>
      <c r="T836" s="236"/>
      <c r="U836" s="236"/>
      <c r="V836" s="236"/>
      <c r="W836" s="237"/>
      <c r="X836" s="237"/>
      <c r="Y836" s="237"/>
      <c r="Z836" s="237"/>
      <c r="AA836" s="237"/>
      <c r="AB836" s="237"/>
      <c r="AC836" s="237"/>
      <c r="AD836" s="237"/>
      <c r="AE836" s="237"/>
      <c r="AF836" s="237"/>
      <c r="AG836" s="237"/>
      <c r="AH836" s="237"/>
      <c r="AI836" s="308"/>
      <c r="AJ836" s="308"/>
      <c r="AK836" s="308"/>
      <c r="AL836" s="308"/>
      <c r="AM836" s="98"/>
      <c r="AN836" s="98"/>
      <c r="AO836" s="98"/>
    </row>
    <row r="837" ht="14.25" customHeight="1">
      <c r="A837" s="179"/>
      <c r="B837" s="98"/>
      <c r="C837" s="98"/>
      <c r="D837" s="98"/>
      <c r="E837" s="98"/>
      <c r="F837" s="235"/>
      <c r="G837" s="235"/>
      <c r="H837" s="236"/>
      <c r="I837" s="236"/>
      <c r="J837" s="236"/>
      <c r="K837" s="236"/>
      <c r="L837" s="236"/>
      <c r="M837" s="236"/>
      <c r="N837" s="236"/>
      <c r="O837" s="236"/>
      <c r="P837" s="236"/>
      <c r="Q837" s="236"/>
      <c r="R837" s="236"/>
      <c r="S837" s="236"/>
      <c r="T837" s="236"/>
      <c r="U837" s="236"/>
      <c r="V837" s="236"/>
      <c r="W837" s="237"/>
      <c r="X837" s="237"/>
      <c r="Y837" s="237"/>
      <c r="Z837" s="237"/>
      <c r="AA837" s="237"/>
      <c r="AB837" s="237"/>
      <c r="AC837" s="237"/>
      <c r="AD837" s="237"/>
      <c r="AE837" s="237"/>
      <c r="AF837" s="237"/>
      <c r="AG837" s="237"/>
      <c r="AH837" s="237"/>
      <c r="AI837" s="308"/>
      <c r="AJ837" s="308"/>
      <c r="AK837" s="308"/>
      <c r="AL837" s="308"/>
      <c r="AM837" s="98"/>
      <c r="AN837" s="98"/>
      <c r="AO837" s="98"/>
    </row>
    <row r="838" ht="14.25" customHeight="1">
      <c r="A838" s="179"/>
      <c r="B838" s="98"/>
      <c r="C838" s="98"/>
      <c r="D838" s="98"/>
      <c r="E838" s="98"/>
      <c r="F838" s="235"/>
      <c r="G838" s="235"/>
      <c r="H838" s="236"/>
      <c r="I838" s="236"/>
      <c r="J838" s="236"/>
      <c r="K838" s="236"/>
      <c r="L838" s="236"/>
      <c r="M838" s="236"/>
      <c r="N838" s="236"/>
      <c r="O838" s="236"/>
      <c r="P838" s="236"/>
      <c r="Q838" s="236"/>
      <c r="R838" s="236"/>
      <c r="S838" s="236"/>
      <c r="T838" s="236"/>
      <c r="U838" s="236"/>
      <c r="V838" s="236"/>
      <c r="W838" s="237"/>
      <c r="X838" s="237"/>
      <c r="Y838" s="237"/>
      <c r="Z838" s="237"/>
      <c r="AA838" s="237"/>
      <c r="AB838" s="237"/>
      <c r="AC838" s="237"/>
      <c r="AD838" s="237"/>
      <c r="AE838" s="237"/>
      <c r="AF838" s="237"/>
      <c r="AG838" s="237"/>
      <c r="AH838" s="237"/>
      <c r="AI838" s="308"/>
      <c r="AJ838" s="308"/>
      <c r="AK838" s="308"/>
      <c r="AL838" s="308"/>
      <c r="AM838" s="98"/>
      <c r="AN838" s="98"/>
      <c r="AO838" s="98"/>
    </row>
    <row r="839" ht="14.25" customHeight="1">
      <c r="A839" s="179"/>
      <c r="B839" s="98"/>
      <c r="C839" s="98"/>
      <c r="D839" s="98"/>
      <c r="E839" s="98"/>
      <c r="F839" s="235"/>
      <c r="G839" s="235"/>
      <c r="H839" s="236"/>
      <c r="I839" s="236"/>
      <c r="J839" s="236"/>
      <c r="K839" s="236"/>
      <c r="L839" s="236"/>
      <c r="M839" s="236"/>
      <c r="N839" s="236"/>
      <c r="O839" s="236"/>
      <c r="P839" s="236"/>
      <c r="Q839" s="236"/>
      <c r="R839" s="236"/>
      <c r="S839" s="236"/>
      <c r="T839" s="236"/>
      <c r="U839" s="236"/>
      <c r="V839" s="236"/>
      <c r="W839" s="237"/>
      <c r="X839" s="237"/>
      <c r="Y839" s="237"/>
      <c r="Z839" s="237"/>
      <c r="AA839" s="237"/>
      <c r="AB839" s="237"/>
      <c r="AC839" s="237"/>
      <c r="AD839" s="237"/>
      <c r="AE839" s="237"/>
      <c r="AF839" s="237"/>
      <c r="AG839" s="237"/>
      <c r="AH839" s="237"/>
      <c r="AI839" s="308"/>
      <c r="AJ839" s="308"/>
      <c r="AK839" s="308"/>
      <c r="AL839" s="308"/>
      <c r="AM839" s="98"/>
      <c r="AN839" s="98"/>
      <c r="AO839" s="98"/>
    </row>
    <row r="840" ht="14.25" customHeight="1">
      <c r="A840" s="179"/>
      <c r="B840" s="98"/>
      <c r="C840" s="98"/>
      <c r="D840" s="98"/>
      <c r="E840" s="98"/>
      <c r="F840" s="235"/>
      <c r="G840" s="235"/>
      <c r="H840" s="236"/>
      <c r="I840" s="236"/>
      <c r="J840" s="236"/>
      <c r="K840" s="236"/>
      <c r="L840" s="236"/>
      <c r="M840" s="236"/>
      <c r="N840" s="236"/>
      <c r="O840" s="236"/>
      <c r="P840" s="236"/>
      <c r="Q840" s="236"/>
      <c r="R840" s="236"/>
      <c r="S840" s="236"/>
      <c r="T840" s="236"/>
      <c r="U840" s="236"/>
      <c r="V840" s="236"/>
      <c r="W840" s="237"/>
      <c r="X840" s="237"/>
      <c r="Y840" s="237"/>
      <c r="Z840" s="237"/>
      <c r="AA840" s="237"/>
      <c r="AB840" s="237"/>
      <c r="AC840" s="237"/>
      <c r="AD840" s="237"/>
      <c r="AE840" s="237"/>
      <c r="AF840" s="237"/>
      <c r="AG840" s="237"/>
      <c r="AH840" s="237"/>
      <c r="AI840" s="308"/>
      <c r="AJ840" s="308"/>
      <c r="AK840" s="308"/>
      <c r="AL840" s="308"/>
      <c r="AM840" s="98"/>
      <c r="AN840" s="98"/>
      <c r="AO840" s="98"/>
    </row>
    <row r="841" ht="14.25" customHeight="1">
      <c r="A841" s="179"/>
      <c r="B841" s="98"/>
      <c r="C841" s="98"/>
      <c r="D841" s="98"/>
      <c r="E841" s="98"/>
      <c r="F841" s="235"/>
      <c r="G841" s="235"/>
      <c r="H841" s="236"/>
      <c r="I841" s="236"/>
      <c r="J841" s="236"/>
      <c r="K841" s="236"/>
      <c r="L841" s="236"/>
      <c r="M841" s="236"/>
      <c r="N841" s="236"/>
      <c r="O841" s="236"/>
      <c r="P841" s="236"/>
      <c r="Q841" s="236"/>
      <c r="R841" s="236"/>
      <c r="S841" s="236"/>
      <c r="T841" s="236"/>
      <c r="U841" s="236"/>
      <c r="V841" s="236"/>
      <c r="W841" s="237"/>
      <c r="X841" s="237"/>
      <c r="Y841" s="237"/>
      <c r="Z841" s="237"/>
      <c r="AA841" s="237"/>
      <c r="AB841" s="237"/>
      <c r="AC841" s="237"/>
      <c r="AD841" s="237"/>
      <c r="AE841" s="237"/>
      <c r="AF841" s="237"/>
      <c r="AG841" s="237"/>
      <c r="AH841" s="237"/>
      <c r="AI841" s="308"/>
      <c r="AJ841" s="308"/>
      <c r="AK841" s="308"/>
      <c r="AL841" s="308"/>
      <c r="AM841" s="98"/>
      <c r="AN841" s="98"/>
      <c r="AO841" s="98"/>
    </row>
    <row r="842" ht="14.25" customHeight="1">
      <c r="A842" s="179"/>
      <c r="B842" s="98"/>
      <c r="C842" s="98"/>
      <c r="D842" s="98"/>
      <c r="E842" s="98"/>
      <c r="F842" s="235"/>
      <c r="G842" s="235"/>
      <c r="H842" s="236"/>
      <c r="I842" s="236"/>
      <c r="J842" s="236"/>
      <c r="K842" s="236"/>
      <c r="L842" s="236"/>
      <c r="M842" s="236"/>
      <c r="N842" s="236"/>
      <c r="O842" s="236"/>
      <c r="P842" s="236"/>
      <c r="Q842" s="236"/>
      <c r="R842" s="236"/>
      <c r="S842" s="236"/>
      <c r="T842" s="236"/>
      <c r="U842" s="236"/>
      <c r="V842" s="236"/>
      <c r="W842" s="237"/>
      <c r="X842" s="237"/>
      <c r="Y842" s="237"/>
      <c r="Z842" s="237"/>
      <c r="AA842" s="237"/>
      <c r="AB842" s="237"/>
      <c r="AC842" s="237"/>
      <c r="AD842" s="237"/>
      <c r="AE842" s="237"/>
      <c r="AF842" s="237"/>
      <c r="AG842" s="237"/>
      <c r="AH842" s="237"/>
      <c r="AI842" s="308"/>
      <c r="AJ842" s="308"/>
      <c r="AK842" s="308"/>
      <c r="AL842" s="308"/>
      <c r="AM842" s="98"/>
      <c r="AN842" s="98"/>
      <c r="AO842" s="98"/>
    </row>
    <row r="843" ht="14.25" customHeight="1">
      <c r="A843" s="179"/>
      <c r="B843" s="98"/>
      <c r="C843" s="98"/>
      <c r="D843" s="98"/>
      <c r="E843" s="98"/>
      <c r="F843" s="235"/>
      <c r="G843" s="235"/>
      <c r="H843" s="236"/>
      <c r="I843" s="236"/>
      <c r="J843" s="236"/>
      <c r="K843" s="236"/>
      <c r="L843" s="236"/>
      <c r="M843" s="236"/>
      <c r="N843" s="236"/>
      <c r="O843" s="236"/>
      <c r="P843" s="236"/>
      <c r="Q843" s="236"/>
      <c r="R843" s="236"/>
      <c r="S843" s="236"/>
      <c r="T843" s="236"/>
      <c r="U843" s="236"/>
      <c r="V843" s="236"/>
      <c r="W843" s="237"/>
      <c r="X843" s="237"/>
      <c r="Y843" s="237"/>
      <c r="Z843" s="237"/>
      <c r="AA843" s="237"/>
      <c r="AB843" s="237"/>
      <c r="AC843" s="237"/>
      <c r="AD843" s="237"/>
      <c r="AE843" s="237"/>
      <c r="AF843" s="237"/>
      <c r="AG843" s="237"/>
      <c r="AH843" s="237"/>
      <c r="AI843" s="308"/>
      <c r="AJ843" s="308"/>
      <c r="AK843" s="308"/>
      <c r="AL843" s="308"/>
      <c r="AM843" s="98"/>
      <c r="AN843" s="98"/>
      <c r="AO843" s="98"/>
    </row>
    <row r="844" ht="14.25" customHeight="1">
      <c r="A844" s="179"/>
      <c r="B844" s="98"/>
      <c r="C844" s="98"/>
      <c r="D844" s="98"/>
      <c r="E844" s="98"/>
      <c r="F844" s="235"/>
      <c r="G844" s="235"/>
      <c r="H844" s="236"/>
      <c r="I844" s="236"/>
      <c r="J844" s="236"/>
      <c r="K844" s="236"/>
      <c r="L844" s="236"/>
      <c r="M844" s="236"/>
      <c r="N844" s="236"/>
      <c r="O844" s="236"/>
      <c r="P844" s="236"/>
      <c r="Q844" s="236"/>
      <c r="R844" s="236"/>
      <c r="S844" s="236"/>
      <c r="T844" s="236"/>
      <c r="U844" s="236"/>
      <c r="V844" s="236"/>
      <c r="W844" s="237"/>
      <c r="X844" s="237"/>
      <c r="Y844" s="237"/>
      <c r="Z844" s="237"/>
      <c r="AA844" s="237"/>
      <c r="AB844" s="237"/>
      <c r="AC844" s="237"/>
      <c r="AD844" s="237"/>
      <c r="AE844" s="237"/>
      <c r="AF844" s="237"/>
      <c r="AG844" s="237"/>
      <c r="AH844" s="237"/>
      <c r="AI844" s="308"/>
      <c r="AJ844" s="308"/>
      <c r="AK844" s="308"/>
      <c r="AL844" s="308"/>
      <c r="AM844" s="98"/>
      <c r="AN844" s="98"/>
      <c r="AO844" s="98"/>
    </row>
    <row r="845" ht="14.25" customHeight="1">
      <c r="A845" s="179"/>
      <c r="B845" s="98"/>
      <c r="C845" s="98"/>
      <c r="D845" s="98"/>
      <c r="E845" s="98"/>
      <c r="F845" s="235"/>
      <c r="G845" s="235"/>
      <c r="H845" s="236"/>
      <c r="I845" s="236"/>
      <c r="J845" s="236"/>
      <c r="K845" s="236"/>
      <c r="L845" s="236"/>
      <c r="M845" s="236"/>
      <c r="N845" s="236"/>
      <c r="O845" s="236"/>
      <c r="P845" s="236"/>
      <c r="Q845" s="236"/>
      <c r="R845" s="236"/>
      <c r="S845" s="236"/>
      <c r="T845" s="236"/>
      <c r="U845" s="236"/>
      <c r="V845" s="236"/>
      <c r="W845" s="237"/>
      <c r="X845" s="237"/>
      <c r="Y845" s="237"/>
      <c r="Z845" s="237"/>
      <c r="AA845" s="237"/>
      <c r="AB845" s="237"/>
      <c r="AC845" s="237"/>
      <c r="AD845" s="237"/>
      <c r="AE845" s="237"/>
      <c r="AF845" s="237"/>
      <c r="AG845" s="237"/>
      <c r="AH845" s="237"/>
      <c r="AI845" s="308"/>
      <c r="AJ845" s="308"/>
      <c r="AK845" s="308"/>
      <c r="AL845" s="308"/>
      <c r="AM845" s="98"/>
      <c r="AN845" s="98"/>
      <c r="AO845" s="98"/>
    </row>
    <row r="846" ht="14.25" customHeight="1">
      <c r="A846" s="179"/>
      <c r="B846" s="98"/>
      <c r="C846" s="98"/>
      <c r="D846" s="98"/>
      <c r="E846" s="98"/>
      <c r="F846" s="235"/>
      <c r="G846" s="235"/>
      <c r="H846" s="236"/>
      <c r="I846" s="236"/>
      <c r="J846" s="236"/>
      <c r="K846" s="236"/>
      <c r="L846" s="236"/>
      <c r="M846" s="236"/>
      <c r="N846" s="236"/>
      <c r="O846" s="236"/>
      <c r="P846" s="236"/>
      <c r="Q846" s="236"/>
      <c r="R846" s="236"/>
      <c r="S846" s="236"/>
      <c r="T846" s="236"/>
      <c r="U846" s="236"/>
      <c r="V846" s="236"/>
      <c r="W846" s="237"/>
      <c r="X846" s="237"/>
      <c r="Y846" s="237"/>
      <c r="Z846" s="237"/>
      <c r="AA846" s="237"/>
      <c r="AB846" s="237"/>
      <c r="AC846" s="237"/>
      <c r="AD846" s="237"/>
      <c r="AE846" s="237"/>
      <c r="AF846" s="237"/>
      <c r="AG846" s="237"/>
      <c r="AH846" s="237"/>
      <c r="AI846" s="308"/>
      <c r="AJ846" s="308"/>
      <c r="AK846" s="308"/>
      <c r="AL846" s="308"/>
      <c r="AM846" s="98"/>
      <c r="AN846" s="98"/>
      <c r="AO846" s="98"/>
    </row>
    <row r="847" ht="14.25" customHeight="1">
      <c r="A847" s="179"/>
      <c r="B847" s="98"/>
      <c r="C847" s="98"/>
      <c r="D847" s="98"/>
      <c r="E847" s="98"/>
      <c r="F847" s="235"/>
      <c r="G847" s="235"/>
      <c r="H847" s="236"/>
      <c r="I847" s="236"/>
      <c r="J847" s="236"/>
      <c r="K847" s="236"/>
      <c r="L847" s="236"/>
      <c r="M847" s="236"/>
      <c r="N847" s="236"/>
      <c r="O847" s="236"/>
      <c r="P847" s="236"/>
      <c r="Q847" s="236"/>
      <c r="R847" s="236"/>
      <c r="S847" s="236"/>
      <c r="T847" s="236"/>
      <c r="U847" s="236"/>
      <c r="V847" s="236"/>
      <c r="W847" s="237"/>
      <c r="X847" s="237"/>
      <c r="Y847" s="237"/>
      <c r="Z847" s="237"/>
      <c r="AA847" s="237"/>
      <c r="AB847" s="237"/>
      <c r="AC847" s="237"/>
      <c r="AD847" s="237"/>
      <c r="AE847" s="237"/>
      <c r="AF847" s="237"/>
      <c r="AG847" s="237"/>
      <c r="AH847" s="237"/>
      <c r="AI847" s="308"/>
      <c r="AJ847" s="308"/>
      <c r="AK847" s="308"/>
      <c r="AL847" s="308"/>
      <c r="AM847" s="98"/>
      <c r="AN847" s="98"/>
      <c r="AO847" s="98"/>
    </row>
    <row r="848" ht="14.25" customHeight="1">
      <c r="A848" s="179"/>
      <c r="B848" s="98"/>
      <c r="C848" s="98"/>
      <c r="D848" s="98"/>
      <c r="E848" s="98"/>
      <c r="F848" s="235"/>
      <c r="G848" s="235"/>
      <c r="H848" s="236"/>
      <c r="I848" s="236"/>
      <c r="J848" s="236"/>
      <c r="K848" s="236"/>
      <c r="L848" s="236"/>
      <c r="M848" s="236"/>
      <c r="N848" s="236"/>
      <c r="O848" s="236"/>
      <c r="P848" s="236"/>
      <c r="Q848" s="236"/>
      <c r="R848" s="236"/>
      <c r="S848" s="236"/>
      <c r="T848" s="236"/>
      <c r="U848" s="236"/>
      <c r="V848" s="236"/>
      <c r="W848" s="237"/>
      <c r="X848" s="237"/>
      <c r="Y848" s="237"/>
      <c r="Z848" s="237"/>
      <c r="AA848" s="237"/>
      <c r="AB848" s="237"/>
      <c r="AC848" s="237"/>
      <c r="AD848" s="237"/>
      <c r="AE848" s="237"/>
      <c r="AF848" s="237"/>
      <c r="AG848" s="237"/>
      <c r="AH848" s="237"/>
      <c r="AI848" s="308"/>
      <c r="AJ848" s="308"/>
      <c r="AK848" s="308"/>
      <c r="AL848" s="308"/>
      <c r="AM848" s="98"/>
      <c r="AN848" s="98"/>
      <c r="AO848" s="98"/>
    </row>
    <row r="849" ht="14.25" customHeight="1">
      <c r="A849" s="179"/>
      <c r="B849" s="98"/>
      <c r="C849" s="98"/>
      <c r="D849" s="98"/>
      <c r="E849" s="98"/>
      <c r="F849" s="235"/>
      <c r="G849" s="235"/>
      <c r="H849" s="236"/>
      <c r="I849" s="236"/>
      <c r="J849" s="236"/>
      <c r="K849" s="236"/>
      <c r="L849" s="236"/>
      <c r="M849" s="236"/>
      <c r="N849" s="236"/>
      <c r="O849" s="236"/>
      <c r="P849" s="236"/>
      <c r="Q849" s="236"/>
      <c r="R849" s="236"/>
      <c r="S849" s="236"/>
      <c r="T849" s="236"/>
      <c r="U849" s="236"/>
      <c r="V849" s="236"/>
      <c r="W849" s="237"/>
      <c r="X849" s="237"/>
      <c r="Y849" s="237"/>
      <c r="Z849" s="237"/>
      <c r="AA849" s="237"/>
      <c r="AB849" s="237"/>
      <c r="AC849" s="237"/>
      <c r="AD849" s="237"/>
      <c r="AE849" s="237"/>
      <c r="AF849" s="237"/>
      <c r="AG849" s="237"/>
      <c r="AH849" s="237"/>
      <c r="AI849" s="308"/>
      <c r="AJ849" s="308"/>
      <c r="AK849" s="308"/>
      <c r="AL849" s="308"/>
      <c r="AM849" s="98"/>
      <c r="AN849" s="98"/>
      <c r="AO849" s="98"/>
    </row>
    <row r="850" ht="14.25" customHeight="1">
      <c r="A850" s="179"/>
      <c r="B850" s="98"/>
      <c r="C850" s="98"/>
      <c r="D850" s="98"/>
      <c r="E850" s="98"/>
      <c r="F850" s="235"/>
      <c r="G850" s="235"/>
      <c r="H850" s="236"/>
      <c r="I850" s="236"/>
      <c r="J850" s="236"/>
      <c r="K850" s="236"/>
      <c r="L850" s="236"/>
      <c r="M850" s="236"/>
      <c r="N850" s="236"/>
      <c r="O850" s="236"/>
      <c r="P850" s="236"/>
      <c r="Q850" s="236"/>
      <c r="R850" s="236"/>
      <c r="S850" s="236"/>
      <c r="T850" s="236"/>
      <c r="U850" s="236"/>
      <c r="V850" s="236"/>
      <c r="W850" s="237"/>
      <c r="X850" s="237"/>
      <c r="Y850" s="237"/>
      <c r="Z850" s="237"/>
      <c r="AA850" s="237"/>
      <c r="AB850" s="237"/>
      <c r="AC850" s="237"/>
      <c r="AD850" s="237"/>
      <c r="AE850" s="237"/>
      <c r="AF850" s="237"/>
      <c r="AG850" s="237"/>
      <c r="AH850" s="237"/>
      <c r="AI850" s="308"/>
      <c r="AJ850" s="308"/>
      <c r="AK850" s="308"/>
      <c r="AL850" s="308"/>
      <c r="AM850" s="98"/>
      <c r="AN850" s="98"/>
      <c r="AO850" s="98"/>
    </row>
    <row r="851" ht="14.25" customHeight="1">
      <c r="A851" s="179"/>
      <c r="B851" s="98"/>
      <c r="C851" s="98"/>
      <c r="D851" s="98"/>
      <c r="E851" s="98"/>
      <c r="F851" s="235"/>
      <c r="G851" s="235"/>
      <c r="H851" s="236"/>
      <c r="I851" s="236"/>
      <c r="J851" s="236"/>
      <c r="K851" s="236"/>
      <c r="L851" s="236"/>
      <c r="M851" s="236"/>
      <c r="N851" s="236"/>
      <c r="O851" s="236"/>
      <c r="P851" s="236"/>
      <c r="Q851" s="236"/>
      <c r="R851" s="236"/>
      <c r="S851" s="236"/>
      <c r="T851" s="236"/>
      <c r="U851" s="236"/>
      <c r="V851" s="236"/>
      <c r="W851" s="237"/>
      <c r="X851" s="237"/>
      <c r="Y851" s="237"/>
      <c r="Z851" s="237"/>
      <c r="AA851" s="237"/>
      <c r="AB851" s="237"/>
      <c r="AC851" s="237"/>
      <c r="AD851" s="237"/>
      <c r="AE851" s="237"/>
      <c r="AF851" s="237"/>
      <c r="AG851" s="237"/>
      <c r="AH851" s="237"/>
      <c r="AI851" s="308"/>
      <c r="AJ851" s="308"/>
      <c r="AK851" s="308"/>
      <c r="AL851" s="308"/>
      <c r="AM851" s="98"/>
      <c r="AN851" s="98"/>
      <c r="AO851" s="98"/>
    </row>
    <row r="852" ht="14.25" customHeight="1">
      <c r="A852" s="179"/>
      <c r="B852" s="98"/>
      <c r="C852" s="98"/>
      <c r="D852" s="98"/>
      <c r="E852" s="98"/>
      <c r="F852" s="235"/>
      <c r="G852" s="235"/>
      <c r="H852" s="236"/>
      <c r="I852" s="236"/>
      <c r="J852" s="236"/>
      <c r="K852" s="236"/>
      <c r="L852" s="236"/>
      <c r="M852" s="236"/>
      <c r="N852" s="236"/>
      <c r="O852" s="236"/>
      <c r="P852" s="236"/>
      <c r="Q852" s="236"/>
      <c r="R852" s="236"/>
      <c r="S852" s="236"/>
      <c r="T852" s="236"/>
      <c r="U852" s="236"/>
      <c r="V852" s="236"/>
      <c r="W852" s="237"/>
      <c r="X852" s="237"/>
      <c r="Y852" s="237"/>
      <c r="Z852" s="237"/>
      <c r="AA852" s="237"/>
      <c r="AB852" s="237"/>
      <c r="AC852" s="237"/>
      <c r="AD852" s="237"/>
      <c r="AE852" s="237"/>
      <c r="AF852" s="237"/>
      <c r="AG852" s="237"/>
      <c r="AH852" s="237"/>
      <c r="AI852" s="308"/>
      <c r="AJ852" s="308"/>
      <c r="AK852" s="308"/>
      <c r="AL852" s="308"/>
      <c r="AM852" s="98"/>
      <c r="AN852" s="98"/>
      <c r="AO852" s="98"/>
    </row>
    <row r="853" ht="14.25" customHeight="1">
      <c r="A853" s="179"/>
      <c r="B853" s="98"/>
      <c r="C853" s="98"/>
      <c r="D853" s="98"/>
      <c r="E853" s="98"/>
      <c r="F853" s="235"/>
      <c r="G853" s="235"/>
      <c r="H853" s="236"/>
      <c r="I853" s="236"/>
      <c r="J853" s="236"/>
      <c r="K853" s="236"/>
      <c r="L853" s="236"/>
      <c r="M853" s="236"/>
      <c r="N853" s="236"/>
      <c r="O853" s="236"/>
      <c r="P853" s="236"/>
      <c r="Q853" s="236"/>
      <c r="R853" s="236"/>
      <c r="S853" s="236"/>
      <c r="T853" s="236"/>
      <c r="U853" s="236"/>
      <c r="V853" s="236"/>
      <c r="W853" s="237"/>
      <c r="X853" s="237"/>
      <c r="Y853" s="237"/>
      <c r="Z853" s="237"/>
      <c r="AA853" s="237"/>
      <c r="AB853" s="237"/>
      <c r="AC853" s="237"/>
      <c r="AD853" s="237"/>
      <c r="AE853" s="237"/>
      <c r="AF853" s="237"/>
      <c r="AG853" s="237"/>
      <c r="AH853" s="237"/>
      <c r="AI853" s="308"/>
      <c r="AJ853" s="308"/>
      <c r="AK853" s="308"/>
      <c r="AL853" s="308"/>
      <c r="AM853" s="98"/>
      <c r="AN853" s="98"/>
      <c r="AO853" s="98"/>
    </row>
    <row r="854" ht="14.25" customHeight="1">
      <c r="A854" s="179"/>
      <c r="B854" s="98"/>
      <c r="C854" s="98"/>
      <c r="D854" s="98"/>
      <c r="E854" s="98"/>
      <c r="F854" s="235"/>
      <c r="G854" s="235"/>
      <c r="H854" s="236"/>
      <c r="I854" s="236"/>
      <c r="J854" s="236"/>
      <c r="K854" s="236"/>
      <c r="L854" s="236"/>
      <c r="M854" s="236"/>
      <c r="N854" s="236"/>
      <c r="O854" s="236"/>
      <c r="P854" s="236"/>
      <c r="Q854" s="236"/>
      <c r="R854" s="236"/>
      <c r="S854" s="236"/>
      <c r="T854" s="236"/>
      <c r="U854" s="236"/>
      <c r="V854" s="236"/>
      <c r="W854" s="237"/>
      <c r="X854" s="237"/>
      <c r="Y854" s="237"/>
      <c r="Z854" s="237"/>
      <c r="AA854" s="237"/>
      <c r="AB854" s="237"/>
      <c r="AC854" s="237"/>
      <c r="AD854" s="237"/>
      <c r="AE854" s="237"/>
      <c r="AF854" s="237"/>
      <c r="AG854" s="237"/>
      <c r="AH854" s="237"/>
      <c r="AI854" s="308"/>
      <c r="AJ854" s="308"/>
      <c r="AK854" s="308"/>
      <c r="AL854" s="308"/>
      <c r="AM854" s="98"/>
      <c r="AN854" s="98"/>
      <c r="AO854" s="98"/>
    </row>
    <row r="855" ht="14.25" customHeight="1">
      <c r="A855" s="179"/>
      <c r="B855" s="98"/>
      <c r="C855" s="98"/>
      <c r="D855" s="98"/>
      <c r="E855" s="98"/>
      <c r="F855" s="235"/>
      <c r="G855" s="235"/>
      <c r="H855" s="236"/>
      <c r="I855" s="236"/>
      <c r="J855" s="236"/>
      <c r="K855" s="236"/>
      <c r="L855" s="236"/>
      <c r="M855" s="236"/>
      <c r="N855" s="236"/>
      <c r="O855" s="236"/>
      <c r="P855" s="236"/>
      <c r="Q855" s="236"/>
      <c r="R855" s="236"/>
      <c r="S855" s="236"/>
      <c r="T855" s="236"/>
      <c r="U855" s="236"/>
      <c r="V855" s="236"/>
      <c r="W855" s="237"/>
      <c r="X855" s="237"/>
      <c r="Y855" s="237"/>
      <c r="Z855" s="237"/>
      <c r="AA855" s="237"/>
      <c r="AB855" s="237"/>
      <c r="AC855" s="237"/>
      <c r="AD855" s="237"/>
      <c r="AE855" s="237"/>
      <c r="AF855" s="237"/>
      <c r="AG855" s="237"/>
      <c r="AH855" s="237"/>
      <c r="AI855" s="308"/>
      <c r="AJ855" s="308"/>
      <c r="AK855" s="308"/>
      <c r="AL855" s="308"/>
      <c r="AM855" s="98"/>
      <c r="AN855" s="98"/>
      <c r="AO855" s="98"/>
    </row>
    <row r="856" ht="14.25" customHeight="1">
      <c r="A856" s="179"/>
      <c r="B856" s="98"/>
      <c r="C856" s="98"/>
      <c r="D856" s="98"/>
      <c r="E856" s="98"/>
      <c r="F856" s="235"/>
      <c r="G856" s="235"/>
      <c r="H856" s="236"/>
      <c r="I856" s="236"/>
      <c r="J856" s="236"/>
      <c r="K856" s="236"/>
      <c r="L856" s="236"/>
      <c r="M856" s="236"/>
      <c r="N856" s="236"/>
      <c r="O856" s="236"/>
      <c r="P856" s="236"/>
      <c r="Q856" s="236"/>
      <c r="R856" s="236"/>
      <c r="S856" s="236"/>
      <c r="T856" s="236"/>
      <c r="U856" s="236"/>
      <c r="V856" s="236"/>
      <c r="W856" s="237"/>
      <c r="X856" s="237"/>
      <c r="Y856" s="237"/>
      <c r="Z856" s="237"/>
      <c r="AA856" s="237"/>
      <c r="AB856" s="237"/>
      <c r="AC856" s="237"/>
      <c r="AD856" s="237"/>
      <c r="AE856" s="237"/>
      <c r="AF856" s="237"/>
      <c r="AG856" s="237"/>
      <c r="AH856" s="237"/>
      <c r="AI856" s="308"/>
      <c r="AJ856" s="308"/>
      <c r="AK856" s="308"/>
      <c r="AL856" s="308"/>
      <c r="AM856" s="98"/>
      <c r="AN856" s="98"/>
      <c r="AO856" s="98"/>
    </row>
    <row r="857" ht="14.25" customHeight="1">
      <c r="A857" s="179"/>
      <c r="B857" s="98"/>
      <c r="C857" s="98"/>
      <c r="D857" s="98"/>
      <c r="E857" s="98"/>
      <c r="F857" s="235"/>
      <c r="G857" s="235"/>
      <c r="H857" s="236"/>
      <c r="I857" s="236"/>
      <c r="J857" s="236"/>
      <c r="K857" s="236"/>
      <c r="L857" s="236"/>
      <c r="M857" s="236"/>
      <c r="N857" s="236"/>
      <c r="O857" s="236"/>
      <c r="P857" s="236"/>
      <c r="Q857" s="236"/>
      <c r="R857" s="236"/>
      <c r="S857" s="236"/>
      <c r="T857" s="236"/>
      <c r="U857" s="236"/>
      <c r="V857" s="236"/>
      <c r="W857" s="237"/>
      <c r="X857" s="237"/>
      <c r="Y857" s="237"/>
      <c r="Z857" s="237"/>
      <c r="AA857" s="237"/>
      <c r="AB857" s="237"/>
      <c r="AC857" s="237"/>
      <c r="AD857" s="237"/>
      <c r="AE857" s="237"/>
      <c r="AF857" s="237"/>
      <c r="AG857" s="237"/>
      <c r="AH857" s="237"/>
      <c r="AI857" s="308"/>
      <c r="AJ857" s="308"/>
      <c r="AK857" s="308"/>
      <c r="AL857" s="308"/>
      <c r="AM857" s="98"/>
      <c r="AN857" s="98"/>
      <c r="AO857" s="98"/>
    </row>
    <row r="858" ht="14.25" customHeight="1">
      <c r="A858" s="179"/>
      <c r="B858" s="98"/>
      <c r="C858" s="98"/>
      <c r="D858" s="98"/>
      <c r="E858" s="98"/>
      <c r="F858" s="235"/>
      <c r="G858" s="235"/>
      <c r="H858" s="236"/>
      <c r="I858" s="236"/>
      <c r="J858" s="236"/>
      <c r="K858" s="236"/>
      <c r="L858" s="236"/>
      <c r="M858" s="236"/>
      <c r="N858" s="236"/>
      <c r="O858" s="236"/>
      <c r="P858" s="236"/>
      <c r="Q858" s="236"/>
      <c r="R858" s="236"/>
      <c r="S858" s="236"/>
      <c r="T858" s="236"/>
      <c r="U858" s="236"/>
      <c r="V858" s="236"/>
      <c r="W858" s="237"/>
      <c r="X858" s="237"/>
      <c r="Y858" s="237"/>
      <c r="Z858" s="237"/>
      <c r="AA858" s="237"/>
      <c r="AB858" s="237"/>
      <c r="AC858" s="237"/>
      <c r="AD858" s="237"/>
      <c r="AE858" s="237"/>
      <c r="AF858" s="237"/>
      <c r="AG858" s="237"/>
      <c r="AH858" s="237"/>
      <c r="AI858" s="308"/>
      <c r="AJ858" s="308"/>
      <c r="AK858" s="308"/>
      <c r="AL858" s="308"/>
      <c r="AM858" s="98"/>
      <c r="AN858" s="98"/>
      <c r="AO858" s="98"/>
    </row>
    <row r="859" ht="14.25" customHeight="1">
      <c r="A859" s="179"/>
      <c r="B859" s="98"/>
      <c r="C859" s="98"/>
      <c r="D859" s="98"/>
      <c r="E859" s="98"/>
      <c r="F859" s="235"/>
      <c r="G859" s="235"/>
      <c r="H859" s="236"/>
      <c r="I859" s="236"/>
      <c r="J859" s="236"/>
      <c r="K859" s="236"/>
      <c r="L859" s="236"/>
      <c r="M859" s="236"/>
      <c r="N859" s="236"/>
      <c r="O859" s="236"/>
      <c r="P859" s="236"/>
      <c r="Q859" s="236"/>
      <c r="R859" s="236"/>
      <c r="S859" s="236"/>
      <c r="T859" s="236"/>
      <c r="U859" s="236"/>
      <c r="V859" s="236"/>
      <c r="W859" s="237"/>
      <c r="X859" s="237"/>
      <c r="Y859" s="237"/>
      <c r="Z859" s="237"/>
      <c r="AA859" s="237"/>
      <c r="AB859" s="237"/>
      <c r="AC859" s="237"/>
      <c r="AD859" s="237"/>
      <c r="AE859" s="237"/>
      <c r="AF859" s="237"/>
      <c r="AG859" s="237"/>
      <c r="AH859" s="237"/>
      <c r="AI859" s="308"/>
      <c r="AJ859" s="308"/>
      <c r="AK859" s="308"/>
      <c r="AL859" s="308"/>
      <c r="AM859" s="98"/>
      <c r="AN859" s="98"/>
      <c r="AO859" s="98"/>
    </row>
    <row r="860" ht="14.25" customHeight="1">
      <c r="A860" s="179"/>
      <c r="B860" s="98"/>
      <c r="C860" s="98"/>
      <c r="D860" s="98"/>
      <c r="E860" s="98"/>
      <c r="F860" s="235"/>
      <c r="G860" s="235"/>
      <c r="H860" s="236"/>
      <c r="I860" s="236"/>
      <c r="J860" s="236"/>
      <c r="K860" s="236"/>
      <c r="L860" s="236"/>
      <c r="M860" s="236"/>
      <c r="N860" s="236"/>
      <c r="O860" s="236"/>
      <c r="P860" s="236"/>
      <c r="Q860" s="236"/>
      <c r="R860" s="236"/>
      <c r="S860" s="236"/>
      <c r="T860" s="236"/>
      <c r="U860" s="236"/>
      <c r="V860" s="236"/>
      <c r="W860" s="237"/>
      <c r="X860" s="237"/>
      <c r="Y860" s="237"/>
      <c r="Z860" s="237"/>
      <c r="AA860" s="237"/>
      <c r="AB860" s="237"/>
      <c r="AC860" s="237"/>
      <c r="AD860" s="237"/>
      <c r="AE860" s="237"/>
      <c r="AF860" s="237"/>
      <c r="AG860" s="237"/>
      <c r="AH860" s="237"/>
      <c r="AI860" s="308"/>
      <c r="AJ860" s="308"/>
      <c r="AK860" s="308"/>
      <c r="AL860" s="308"/>
      <c r="AM860" s="98"/>
      <c r="AN860" s="98"/>
      <c r="AO860" s="98"/>
    </row>
    <row r="861" ht="14.25" customHeight="1">
      <c r="A861" s="179"/>
      <c r="B861" s="98"/>
      <c r="C861" s="98"/>
      <c r="D861" s="98"/>
      <c r="E861" s="98"/>
      <c r="F861" s="235"/>
      <c r="G861" s="235"/>
      <c r="H861" s="236"/>
      <c r="I861" s="236"/>
      <c r="J861" s="236"/>
      <c r="K861" s="236"/>
      <c r="L861" s="236"/>
      <c r="M861" s="236"/>
      <c r="N861" s="236"/>
      <c r="O861" s="236"/>
      <c r="P861" s="236"/>
      <c r="Q861" s="236"/>
      <c r="R861" s="236"/>
      <c r="S861" s="236"/>
      <c r="T861" s="236"/>
      <c r="U861" s="236"/>
      <c r="V861" s="236"/>
      <c r="W861" s="237"/>
      <c r="X861" s="237"/>
      <c r="Y861" s="237"/>
      <c r="Z861" s="237"/>
      <c r="AA861" s="237"/>
      <c r="AB861" s="237"/>
      <c r="AC861" s="237"/>
      <c r="AD861" s="237"/>
      <c r="AE861" s="237"/>
      <c r="AF861" s="237"/>
      <c r="AG861" s="237"/>
      <c r="AH861" s="237"/>
      <c r="AI861" s="308"/>
      <c r="AJ861" s="308"/>
      <c r="AK861" s="308"/>
      <c r="AL861" s="308"/>
      <c r="AM861" s="98"/>
      <c r="AN861" s="98"/>
      <c r="AO861" s="98"/>
    </row>
    <row r="862" ht="14.25" customHeight="1">
      <c r="A862" s="179"/>
      <c r="B862" s="98"/>
      <c r="C862" s="98"/>
      <c r="D862" s="98"/>
      <c r="E862" s="98"/>
      <c r="F862" s="235"/>
      <c r="G862" s="235"/>
      <c r="H862" s="236"/>
      <c r="I862" s="236"/>
      <c r="J862" s="236"/>
      <c r="K862" s="236"/>
      <c r="L862" s="236"/>
      <c r="M862" s="236"/>
      <c r="N862" s="236"/>
      <c r="O862" s="236"/>
      <c r="P862" s="236"/>
      <c r="Q862" s="236"/>
      <c r="R862" s="236"/>
      <c r="S862" s="236"/>
      <c r="T862" s="236"/>
      <c r="U862" s="236"/>
      <c r="V862" s="236"/>
      <c r="W862" s="237"/>
      <c r="X862" s="237"/>
      <c r="Y862" s="237"/>
      <c r="Z862" s="237"/>
      <c r="AA862" s="237"/>
      <c r="AB862" s="237"/>
      <c r="AC862" s="237"/>
      <c r="AD862" s="237"/>
      <c r="AE862" s="237"/>
      <c r="AF862" s="237"/>
      <c r="AG862" s="237"/>
      <c r="AH862" s="237"/>
      <c r="AI862" s="308"/>
      <c r="AJ862" s="308"/>
      <c r="AK862" s="308"/>
      <c r="AL862" s="308"/>
      <c r="AM862" s="98"/>
      <c r="AN862" s="98"/>
      <c r="AO862" s="98"/>
    </row>
    <row r="863" ht="14.25" customHeight="1">
      <c r="A863" s="179"/>
      <c r="B863" s="98"/>
      <c r="C863" s="98"/>
      <c r="D863" s="98"/>
      <c r="E863" s="98"/>
      <c r="F863" s="235"/>
      <c r="G863" s="235"/>
      <c r="H863" s="236"/>
      <c r="I863" s="236"/>
      <c r="J863" s="236"/>
      <c r="K863" s="236"/>
      <c r="L863" s="236"/>
      <c r="M863" s="236"/>
      <c r="N863" s="236"/>
      <c r="O863" s="236"/>
      <c r="P863" s="236"/>
      <c r="Q863" s="236"/>
      <c r="R863" s="236"/>
      <c r="S863" s="236"/>
      <c r="T863" s="236"/>
      <c r="U863" s="236"/>
      <c r="V863" s="236"/>
      <c r="W863" s="237"/>
      <c r="X863" s="237"/>
      <c r="Y863" s="237"/>
      <c r="Z863" s="237"/>
      <c r="AA863" s="237"/>
      <c r="AB863" s="237"/>
      <c r="AC863" s="237"/>
      <c r="AD863" s="237"/>
      <c r="AE863" s="237"/>
      <c r="AF863" s="237"/>
      <c r="AG863" s="237"/>
      <c r="AH863" s="237"/>
      <c r="AI863" s="308"/>
      <c r="AJ863" s="308"/>
      <c r="AK863" s="308"/>
      <c r="AL863" s="308"/>
      <c r="AM863" s="98"/>
      <c r="AN863" s="98"/>
      <c r="AO863" s="98"/>
    </row>
    <row r="864" ht="14.25" customHeight="1">
      <c r="A864" s="179"/>
      <c r="B864" s="98"/>
      <c r="C864" s="98"/>
      <c r="D864" s="98"/>
      <c r="E864" s="98"/>
      <c r="F864" s="235"/>
      <c r="G864" s="235"/>
      <c r="H864" s="236"/>
      <c r="I864" s="236"/>
      <c r="J864" s="236"/>
      <c r="K864" s="236"/>
      <c r="L864" s="236"/>
      <c r="M864" s="236"/>
      <c r="N864" s="236"/>
      <c r="O864" s="236"/>
      <c r="P864" s="236"/>
      <c r="Q864" s="236"/>
      <c r="R864" s="236"/>
      <c r="S864" s="236"/>
      <c r="T864" s="236"/>
      <c r="U864" s="236"/>
      <c r="V864" s="236"/>
      <c r="W864" s="237"/>
      <c r="X864" s="237"/>
      <c r="Y864" s="237"/>
      <c r="Z864" s="237"/>
      <c r="AA864" s="237"/>
      <c r="AB864" s="237"/>
      <c r="AC864" s="237"/>
      <c r="AD864" s="237"/>
      <c r="AE864" s="237"/>
      <c r="AF864" s="237"/>
      <c r="AG864" s="237"/>
      <c r="AH864" s="237"/>
      <c r="AI864" s="308"/>
      <c r="AJ864" s="308"/>
      <c r="AK864" s="308"/>
      <c r="AL864" s="308"/>
      <c r="AM864" s="98"/>
      <c r="AN864" s="98"/>
      <c r="AO864" s="98"/>
    </row>
    <row r="865" ht="14.25" customHeight="1">
      <c r="A865" s="179"/>
      <c r="B865" s="98"/>
      <c r="C865" s="98"/>
      <c r="D865" s="98"/>
      <c r="E865" s="98"/>
      <c r="F865" s="235"/>
      <c r="G865" s="235"/>
      <c r="H865" s="236"/>
      <c r="I865" s="236"/>
      <c r="J865" s="236"/>
      <c r="K865" s="236"/>
      <c r="L865" s="236"/>
      <c r="M865" s="236"/>
      <c r="N865" s="236"/>
      <c r="O865" s="236"/>
      <c r="P865" s="236"/>
      <c r="Q865" s="236"/>
      <c r="R865" s="236"/>
      <c r="S865" s="236"/>
      <c r="T865" s="236"/>
      <c r="U865" s="236"/>
      <c r="V865" s="236"/>
      <c r="W865" s="237"/>
      <c r="X865" s="237"/>
      <c r="Y865" s="237"/>
      <c r="Z865" s="237"/>
      <c r="AA865" s="237"/>
      <c r="AB865" s="237"/>
      <c r="AC865" s="237"/>
      <c r="AD865" s="237"/>
      <c r="AE865" s="237"/>
      <c r="AF865" s="237"/>
      <c r="AG865" s="237"/>
      <c r="AH865" s="237"/>
      <c r="AI865" s="308"/>
      <c r="AJ865" s="308"/>
      <c r="AK865" s="308"/>
      <c r="AL865" s="308"/>
      <c r="AM865" s="98"/>
      <c r="AN865" s="98"/>
      <c r="AO865" s="98"/>
    </row>
    <row r="866" ht="14.25" customHeight="1">
      <c r="A866" s="179"/>
      <c r="B866" s="98"/>
      <c r="C866" s="98"/>
      <c r="D866" s="98"/>
      <c r="E866" s="98"/>
      <c r="F866" s="235"/>
      <c r="G866" s="235"/>
      <c r="H866" s="236"/>
      <c r="I866" s="236"/>
      <c r="J866" s="236"/>
      <c r="K866" s="236"/>
      <c r="L866" s="236"/>
      <c r="M866" s="236"/>
      <c r="N866" s="236"/>
      <c r="O866" s="236"/>
      <c r="P866" s="236"/>
      <c r="Q866" s="236"/>
      <c r="R866" s="236"/>
      <c r="S866" s="236"/>
      <c r="T866" s="236"/>
      <c r="U866" s="236"/>
      <c r="V866" s="236"/>
      <c r="W866" s="237"/>
      <c r="X866" s="237"/>
      <c r="Y866" s="237"/>
      <c r="Z866" s="237"/>
      <c r="AA866" s="237"/>
      <c r="AB866" s="237"/>
      <c r="AC866" s="237"/>
      <c r="AD866" s="237"/>
      <c r="AE866" s="237"/>
      <c r="AF866" s="237"/>
      <c r="AG866" s="237"/>
      <c r="AH866" s="237"/>
      <c r="AI866" s="308"/>
      <c r="AJ866" s="308"/>
      <c r="AK866" s="308"/>
      <c r="AL866" s="308"/>
      <c r="AM866" s="98"/>
      <c r="AN866" s="98"/>
      <c r="AO866" s="98"/>
    </row>
    <row r="867" ht="14.25" customHeight="1">
      <c r="A867" s="179"/>
      <c r="B867" s="98"/>
      <c r="C867" s="98"/>
      <c r="D867" s="98"/>
      <c r="E867" s="98"/>
      <c r="F867" s="235"/>
      <c r="G867" s="235"/>
      <c r="H867" s="236"/>
      <c r="I867" s="236"/>
      <c r="J867" s="236"/>
      <c r="K867" s="236"/>
      <c r="L867" s="236"/>
      <c r="M867" s="236"/>
      <c r="N867" s="236"/>
      <c r="O867" s="236"/>
      <c r="P867" s="236"/>
      <c r="Q867" s="236"/>
      <c r="R867" s="236"/>
      <c r="S867" s="236"/>
      <c r="T867" s="236"/>
      <c r="U867" s="236"/>
      <c r="V867" s="236"/>
      <c r="W867" s="237"/>
      <c r="X867" s="237"/>
      <c r="Y867" s="237"/>
      <c r="Z867" s="237"/>
      <c r="AA867" s="237"/>
      <c r="AB867" s="237"/>
      <c r="AC867" s="237"/>
      <c r="AD867" s="237"/>
      <c r="AE867" s="237"/>
      <c r="AF867" s="237"/>
      <c r="AG867" s="237"/>
      <c r="AH867" s="237"/>
      <c r="AI867" s="308"/>
      <c r="AJ867" s="308"/>
      <c r="AK867" s="308"/>
      <c r="AL867" s="308"/>
      <c r="AM867" s="98"/>
      <c r="AN867" s="98"/>
      <c r="AO867" s="98"/>
    </row>
    <row r="868" ht="14.25" customHeight="1">
      <c r="A868" s="179"/>
      <c r="B868" s="98"/>
      <c r="C868" s="98"/>
      <c r="D868" s="98"/>
      <c r="E868" s="98"/>
      <c r="F868" s="235"/>
      <c r="G868" s="235"/>
      <c r="H868" s="236"/>
      <c r="I868" s="236"/>
      <c r="J868" s="236"/>
      <c r="K868" s="236"/>
      <c r="L868" s="236"/>
      <c r="M868" s="236"/>
      <c r="N868" s="236"/>
      <c r="O868" s="236"/>
      <c r="P868" s="236"/>
      <c r="Q868" s="236"/>
      <c r="R868" s="236"/>
      <c r="S868" s="236"/>
      <c r="T868" s="236"/>
      <c r="U868" s="236"/>
      <c r="V868" s="236"/>
      <c r="W868" s="237"/>
      <c r="X868" s="237"/>
      <c r="Y868" s="237"/>
      <c r="Z868" s="237"/>
      <c r="AA868" s="237"/>
      <c r="AB868" s="237"/>
      <c r="AC868" s="237"/>
      <c r="AD868" s="237"/>
      <c r="AE868" s="237"/>
      <c r="AF868" s="237"/>
      <c r="AG868" s="237"/>
      <c r="AH868" s="237"/>
      <c r="AI868" s="308"/>
      <c r="AJ868" s="308"/>
      <c r="AK868" s="308"/>
      <c r="AL868" s="308"/>
      <c r="AM868" s="98"/>
      <c r="AN868" s="98"/>
      <c r="AO868" s="98"/>
    </row>
    <row r="869" ht="14.25" customHeight="1">
      <c r="A869" s="179"/>
      <c r="B869" s="98"/>
      <c r="C869" s="98"/>
      <c r="D869" s="98"/>
      <c r="E869" s="98"/>
      <c r="F869" s="235"/>
      <c r="G869" s="235"/>
      <c r="H869" s="236"/>
      <c r="I869" s="236"/>
      <c r="J869" s="236"/>
      <c r="K869" s="236"/>
      <c r="L869" s="236"/>
      <c r="M869" s="236"/>
      <c r="N869" s="236"/>
      <c r="O869" s="236"/>
      <c r="P869" s="236"/>
      <c r="Q869" s="236"/>
      <c r="R869" s="236"/>
      <c r="S869" s="236"/>
      <c r="T869" s="236"/>
      <c r="U869" s="236"/>
      <c r="V869" s="236"/>
      <c r="W869" s="237"/>
      <c r="X869" s="237"/>
      <c r="Y869" s="237"/>
      <c r="Z869" s="237"/>
      <c r="AA869" s="237"/>
      <c r="AB869" s="237"/>
      <c r="AC869" s="237"/>
      <c r="AD869" s="237"/>
      <c r="AE869" s="237"/>
      <c r="AF869" s="237"/>
      <c r="AG869" s="237"/>
      <c r="AH869" s="237"/>
      <c r="AI869" s="308"/>
      <c r="AJ869" s="308"/>
      <c r="AK869" s="308"/>
      <c r="AL869" s="308"/>
      <c r="AM869" s="98"/>
      <c r="AN869" s="98"/>
      <c r="AO869" s="98"/>
    </row>
    <row r="870" ht="14.25" customHeight="1">
      <c r="A870" s="179"/>
      <c r="B870" s="98"/>
      <c r="C870" s="98"/>
      <c r="D870" s="98"/>
      <c r="E870" s="98"/>
      <c r="F870" s="235"/>
      <c r="G870" s="235"/>
      <c r="H870" s="236"/>
      <c r="I870" s="236"/>
      <c r="J870" s="236"/>
      <c r="K870" s="236"/>
      <c r="L870" s="236"/>
      <c r="M870" s="236"/>
      <c r="N870" s="236"/>
      <c r="O870" s="236"/>
      <c r="P870" s="236"/>
      <c r="Q870" s="236"/>
      <c r="R870" s="236"/>
      <c r="S870" s="236"/>
      <c r="T870" s="236"/>
      <c r="U870" s="236"/>
      <c r="V870" s="236"/>
      <c r="W870" s="237"/>
      <c r="X870" s="237"/>
      <c r="Y870" s="237"/>
      <c r="Z870" s="237"/>
      <c r="AA870" s="237"/>
      <c r="AB870" s="237"/>
      <c r="AC870" s="237"/>
      <c r="AD870" s="237"/>
      <c r="AE870" s="237"/>
      <c r="AF870" s="237"/>
      <c r="AG870" s="237"/>
      <c r="AH870" s="237"/>
      <c r="AI870" s="308"/>
      <c r="AJ870" s="308"/>
      <c r="AK870" s="308"/>
      <c r="AL870" s="308"/>
      <c r="AM870" s="98"/>
      <c r="AN870" s="98"/>
      <c r="AO870" s="98"/>
    </row>
    <row r="871" ht="14.25" customHeight="1">
      <c r="A871" s="179"/>
      <c r="B871" s="98"/>
      <c r="C871" s="98"/>
      <c r="D871" s="98"/>
      <c r="E871" s="98"/>
      <c r="F871" s="235"/>
      <c r="G871" s="235"/>
      <c r="H871" s="236"/>
      <c r="I871" s="236"/>
      <c r="J871" s="236"/>
      <c r="K871" s="236"/>
      <c r="L871" s="236"/>
      <c r="M871" s="236"/>
      <c r="N871" s="236"/>
      <c r="O871" s="236"/>
      <c r="P871" s="236"/>
      <c r="Q871" s="236"/>
      <c r="R871" s="236"/>
      <c r="S871" s="236"/>
      <c r="T871" s="236"/>
      <c r="U871" s="236"/>
      <c r="V871" s="236"/>
      <c r="W871" s="237"/>
      <c r="X871" s="237"/>
      <c r="Y871" s="237"/>
      <c r="Z871" s="237"/>
      <c r="AA871" s="237"/>
      <c r="AB871" s="237"/>
      <c r="AC871" s="237"/>
      <c r="AD871" s="237"/>
      <c r="AE871" s="237"/>
      <c r="AF871" s="237"/>
      <c r="AG871" s="237"/>
      <c r="AH871" s="237"/>
      <c r="AI871" s="308"/>
      <c r="AJ871" s="308"/>
      <c r="AK871" s="308"/>
      <c r="AL871" s="308"/>
      <c r="AM871" s="98"/>
      <c r="AN871" s="98"/>
      <c r="AO871" s="98"/>
    </row>
    <row r="872" ht="14.25" customHeight="1">
      <c r="A872" s="179"/>
      <c r="B872" s="98"/>
      <c r="C872" s="98"/>
      <c r="D872" s="98"/>
      <c r="E872" s="98"/>
      <c r="F872" s="235"/>
      <c r="G872" s="235"/>
      <c r="H872" s="236"/>
      <c r="I872" s="236"/>
      <c r="J872" s="236"/>
      <c r="K872" s="236"/>
      <c r="L872" s="236"/>
      <c r="M872" s="236"/>
      <c r="N872" s="236"/>
      <c r="O872" s="236"/>
      <c r="P872" s="236"/>
      <c r="Q872" s="236"/>
      <c r="R872" s="236"/>
      <c r="S872" s="236"/>
      <c r="T872" s="236"/>
      <c r="U872" s="236"/>
      <c r="V872" s="236"/>
      <c r="W872" s="237"/>
      <c r="X872" s="237"/>
      <c r="Y872" s="237"/>
      <c r="Z872" s="237"/>
      <c r="AA872" s="237"/>
      <c r="AB872" s="237"/>
      <c r="AC872" s="237"/>
      <c r="AD872" s="237"/>
      <c r="AE872" s="237"/>
      <c r="AF872" s="237"/>
      <c r="AG872" s="237"/>
      <c r="AH872" s="237"/>
      <c r="AI872" s="308"/>
      <c r="AJ872" s="308"/>
      <c r="AK872" s="308"/>
      <c r="AL872" s="308"/>
      <c r="AM872" s="98"/>
      <c r="AN872" s="98"/>
      <c r="AO872" s="98"/>
    </row>
    <row r="873" ht="14.25" customHeight="1">
      <c r="A873" s="179"/>
      <c r="B873" s="98"/>
      <c r="C873" s="98"/>
      <c r="D873" s="98"/>
      <c r="E873" s="98"/>
      <c r="F873" s="235"/>
      <c r="G873" s="235"/>
      <c r="H873" s="236"/>
      <c r="I873" s="236"/>
      <c r="J873" s="236"/>
      <c r="K873" s="236"/>
      <c r="L873" s="236"/>
      <c r="M873" s="236"/>
      <c r="N873" s="236"/>
      <c r="O873" s="236"/>
      <c r="P873" s="236"/>
      <c r="Q873" s="236"/>
      <c r="R873" s="236"/>
      <c r="S873" s="236"/>
      <c r="T873" s="236"/>
      <c r="U873" s="236"/>
      <c r="V873" s="236"/>
      <c r="W873" s="237"/>
      <c r="X873" s="237"/>
      <c r="Y873" s="237"/>
      <c r="Z873" s="237"/>
      <c r="AA873" s="237"/>
      <c r="AB873" s="237"/>
      <c r="AC873" s="237"/>
      <c r="AD873" s="237"/>
      <c r="AE873" s="237"/>
      <c r="AF873" s="237"/>
      <c r="AG873" s="237"/>
      <c r="AH873" s="237"/>
      <c r="AI873" s="308"/>
      <c r="AJ873" s="308"/>
      <c r="AK873" s="308"/>
      <c r="AL873" s="308"/>
      <c r="AM873" s="98"/>
      <c r="AN873" s="98"/>
      <c r="AO873" s="98"/>
    </row>
    <row r="874" ht="14.25" customHeight="1">
      <c r="A874" s="179"/>
      <c r="B874" s="98"/>
      <c r="C874" s="98"/>
      <c r="D874" s="98"/>
      <c r="E874" s="98"/>
      <c r="F874" s="235"/>
      <c r="G874" s="235"/>
      <c r="H874" s="236"/>
      <c r="I874" s="236"/>
      <c r="J874" s="236"/>
      <c r="K874" s="236"/>
      <c r="L874" s="236"/>
      <c r="M874" s="236"/>
      <c r="N874" s="236"/>
      <c r="O874" s="236"/>
      <c r="P874" s="236"/>
      <c r="Q874" s="236"/>
      <c r="R874" s="236"/>
      <c r="S874" s="236"/>
      <c r="T874" s="236"/>
      <c r="U874" s="236"/>
      <c r="V874" s="236"/>
      <c r="W874" s="237"/>
      <c r="X874" s="237"/>
      <c r="Y874" s="237"/>
      <c r="Z874" s="237"/>
      <c r="AA874" s="237"/>
      <c r="AB874" s="237"/>
      <c r="AC874" s="237"/>
      <c r="AD874" s="237"/>
      <c r="AE874" s="237"/>
      <c r="AF874" s="237"/>
      <c r="AG874" s="237"/>
      <c r="AH874" s="237"/>
      <c r="AI874" s="308"/>
      <c r="AJ874" s="308"/>
      <c r="AK874" s="308"/>
      <c r="AL874" s="308"/>
      <c r="AM874" s="98"/>
      <c r="AN874" s="98"/>
      <c r="AO874" s="98"/>
    </row>
    <row r="875" ht="14.25" customHeight="1">
      <c r="A875" s="179"/>
      <c r="B875" s="98"/>
      <c r="C875" s="98"/>
      <c r="D875" s="98"/>
      <c r="E875" s="98"/>
      <c r="F875" s="235"/>
      <c r="G875" s="235"/>
      <c r="H875" s="236"/>
      <c r="I875" s="236"/>
      <c r="J875" s="236"/>
      <c r="K875" s="236"/>
      <c r="L875" s="236"/>
      <c r="M875" s="236"/>
      <c r="N875" s="236"/>
      <c r="O875" s="236"/>
      <c r="P875" s="236"/>
      <c r="Q875" s="236"/>
      <c r="R875" s="236"/>
      <c r="S875" s="236"/>
      <c r="T875" s="236"/>
      <c r="U875" s="236"/>
      <c r="V875" s="236"/>
      <c r="W875" s="237"/>
      <c r="X875" s="237"/>
      <c r="Y875" s="237"/>
      <c r="Z875" s="237"/>
      <c r="AA875" s="237"/>
      <c r="AB875" s="237"/>
      <c r="AC875" s="237"/>
      <c r="AD875" s="237"/>
      <c r="AE875" s="237"/>
      <c r="AF875" s="237"/>
      <c r="AG875" s="237"/>
      <c r="AH875" s="237"/>
      <c r="AI875" s="308"/>
      <c r="AJ875" s="308"/>
      <c r="AK875" s="308"/>
      <c r="AL875" s="308"/>
      <c r="AM875" s="98"/>
      <c r="AN875" s="98"/>
      <c r="AO875" s="98"/>
    </row>
    <row r="876" ht="14.25" customHeight="1">
      <c r="A876" s="179"/>
      <c r="B876" s="98"/>
      <c r="C876" s="98"/>
      <c r="D876" s="98"/>
      <c r="E876" s="98"/>
      <c r="F876" s="235"/>
      <c r="G876" s="235"/>
      <c r="H876" s="236"/>
      <c r="I876" s="236"/>
      <c r="J876" s="236"/>
      <c r="K876" s="236"/>
      <c r="L876" s="236"/>
      <c r="M876" s="236"/>
      <c r="N876" s="236"/>
      <c r="O876" s="236"/>
      <c r="P876" s="236"/>
      <c r="Q876" s="236"/>
      <c r="R876" s="236"/>
      <c r="S876" s="236"/>
      <c r="T876" s="236"/>
      <c r="U876" s="236"/>
      <c r="V876" s="236"/>
      <c r="W876" s="237"/>
      <c r="X876" s="237"/>
      <c r="Y876" s="237"/>
      <c r="Z876" s="237"/>
      <c r="AA876" s="237"/>
      <c r="AB876" s="237"/>
      <c r="AC876" s="237"/>
      <c r="AD876" s="237"/>
      <c r="AE876" s="237"/>
      <c r="AF876" s="237"/>
      <c r="AG876" s="237"/>
      <c r="AH876" s="237"/>
      <c r="AI876" s="308"/>
      <c r="AJ876" s="308"/>
      <c r="AK876" s="308"/>
      <c r="AL876" s="308"/>
      <c r="AM876" s="98"/>
      <c r="AN876" s="98"/>
      <c r="AO876" s="98"/>
    </row>
    <row r="877" ht="14.25" customHeight="1">
      <c r="A877" s="179"/>
      <c r="B877" s="98"/>
      <c r="C877" s="98"/>
      <c r="D877" s="98"/>
      <c r="E877" s="98"/>
      <c r="F877" s="235"/>
      <c r="G877" s="235"/>
      <c r="H877" s="236"/>
      <c r="I877" s="236"/>
      <c r="J877" s="236"/>
      <c r="K877" s="236"/>
      <c r="L877" s="236"/>
      <c r="M877" s="236"/>
      <c r="N877" s="236"/>
      <c r="O877" s="236"/>
      <c r="P877" s="236"/>
      <c r="Q877" s="236"/>
      <c r="R877" s="236"/>
      <c r="S877" s="236"/>
      <c r="T877" s="236"/>
      <c r="U877" s="236"/>
      <c r="V877" s="236"/>
      <c r="W877" s="237"/>
      <c r="X877" s="237"/>
      <c r="Y877" s="237"/>
      <c r="Z877" s="237"/>
      <c r="AA877" s="237"/>
      <c r="AB877" s="237"/>
      <c r="AC877" s="237"/>
      <c r="AD877" s="237"/>
      <c r="AE877" s="237"/>
      <c r="AF877" s="237"/>
      <c r="AG877" s="237"/>
      <c r="AH877" s="237"/>
      <c r="AI877" s="308"/>
      <c r="AJ877" s="308"/>
      <c r="AK877" s="308"/>
      <c r="AL877" s="308"/>
      <c r="AM877" s="98"/>
      <c r="AN877" s="98"/>
      <c r="AO877" s="98"/>
    </row>
    <row r="878" ht="14.25" customHeight="1">
      <c r="A878" s="179"/>
      <c r="B878" s="98"/>
      <c r="C878" s="98"/>
      <c r="D878" s="98"/>
      <c r="E878" s="98"/>
      <c r="F878" s="235"/>
      <c r="G878" s="235"/>
      <c r="H878" s="236"/>
      <c r="I878" s="236"/>
      <c r="J878" s="236"/>
      <c r="K878" s="236"/>
      <c r="L878" s="236"/>
      <c r="M878" s="236"/>
      <c r="N878" s="236"/>
      <c r="O878" s="236"/>
      <c r="P878" s="236"/>
      <c r="Q878" s="236"/>
      <c r="R878" s="236"/>
      <c r="S878" s="236"/>
      <c r="T878" s="236"/>
      <c r="U878" s="236"/>
      <c r="V878" s="236"/>
      <c r="W878" s="237"/>
      <c r="X878" s="237"/>
      <c r="Y878" s="237"/>
      <c r="Z878" s="237"/>
      <c r="AA878" s="237"/>
      <c r="AB878" s="237"/>
      <c r="AC878" s="237"/>
      <c r="AD878" s="237"/>
      <c r="AE878" s="237"/>
      <c r="AF878" s="237"/>
      <c r="AG878" s="237"/>
      <c r="AH878" s="237"/>
      <c r="AI878" s="308"/>
      <c r="AJ878" s="308"/>
      <c r="AK878" s="308"/>
      <c r="AL878" s="308"/>
      <c r="AM878" s="98"/>
      <c r="AN878" s="98"/>
      <c r="AO878" s="98"/>
    </row>
    <row r="879" ht="14.25" customHeight="1">
      <c r="A879" s="179"/>
      <c r="B879" s="98"/>
      <c r="C879" s="98"/>
      <c r="D879" s="98"/>
      <c r="E879" s="98"/>
      <c r="F879" s="235"/>
      <c r="G879" s="235"/>
      <c r="H879" s="236"/>
      <c r="I879" s="236"/>
      <c r="J879" s="236"/>
      <c r="K879" s="236"/>
      <c r="L879" s="236"/>
      <c r="M879" s="236"/>
      <c r="N879" s="236"/>
      <c r="O879" s="236"/>
      <c r="P879" s="236"/>
      <c r="Q879" s="236"/>
      <c r="R879" s="236"/>
      <c r="S879" s="236"/>
      <c r="T879" s="236"/>
      <c r="U879" s="236"/>
      <c r="V879" s="236"/>
      <c r="W879" s="237"/>
      <c r="X879" s="237"/>
      <c r="Y879" s="237"/>
      <c r="Z879" s="237"/>
      <c r="AA879" s="237"/>
      <c r="AB879" s="237"/>
      <c r="AC879" s="237"/>
      <c r="AD879" s="237"/>
      <c r="AE879" s="237"/>
      <c r="AF879" s="237"/>
      <c r="AG879" s="237"/>
      <c r="AH879" s="237"/>
      <c r="AI879" s="308"/>
      <c r="AJ879" s="308"/>
      <c r="AK879" s="308"/>
      <c r="AL879" s="308"/>
      <c r="AM879" s="98"/>
      <c r="AN879" s="98"/>
      <c r="AO879" s="98"/>
    </row>
    <row r="880" ht="14.25" customHeight="1">
      <c r="A880" s="179"/>
      <c r="B880" s="98"/>
      <c r="C880" s="98"/>
      <c r="D880" s="98"/>
      <c r="E880" s="98"/>
      <c r="F880" s="235"/>
      <c r="G880" s="235"/>
      <c r="H880" s="236"/>
      <c r="I880" s="236"/>
      <c r="J880" s="236"/>
      <c r="K880" s="236"/>
      <c r="L880" s="236"/>
      <c r="M880" s="236"/>
      <c r="N880" s="236"/>
      <c r="O880" s="236"/>
      <c r="P880" s="236"/>
      <c r="Q880" s="236"/>
      <c r="R880" s="236"/>
      <c r="S880" s="236"/>
      <c r="T880" s="236"/>
      <c r="U880" s="236"/>
      <c r="V880" s="236"/>
      <c r="W880" s="237"/>
      <c r="X880" s="237"/>
      <c r="Y880" s="237"/>
      <c r="Z880" s="237"/>
      <c r="AA880" s="237"/>
      <c r="AB880" s="237"/>
      <c r="AC880" s="237"/>
      <c r="AD880" s="237"/>
      <c r="AE880" s="237"/>
      <c r="AF880" s="237"/>
      <c r="AG880" s="237"/>
      <c r="AH880" s="237"/>
      <c r="AI880" s="308"/>
      <c r="AJ880" s="308"/>
      <c r="AK880" s="308"/>
      <c r="AL880" s="308"/>
      <c r="AM880" s="98"/>
      <c r="AN880" s="98"/>
      <c r="AO880" s="98"/>
    </row>
    <row r="881" ht="14.25" customHeight="1">
      <c r="A881" s="179"/>
      <c r="B881" s="98"/>
      <c r="C881" s="98"/>
      <c r="D881" s="98"/>
      <c r="E881" s="98"/>
      <c r="F881" s="235"/>
      <c r="G881" s="235"/>
      <c r="H881" s="236"/>
      <c r="I881" s="236"/>
      <c r="J881" s="236"/>
      <c r="K881" s="236"/>
      <c r="L881" s="236"/>
      <c r="M881" s="236"/>
      <c r="N881" s="236"/>
      <c r="O881" s="236"/>
      <c r="P881" s="236"/>
      <c r="Q881" s="236"/>
      <c r="R881" s="236"/>
      <c r="S881" s="236"/>
      <c r="T881" s="236"/>
      <c r="U881" s="236"/>
      <c r="V881" s="236"/>
      <c r="W881" s="237"/>
      <c r="X881" s="237"/>
      <c r="Y881" s="237"/>
      <c r="Z881" s="237"/>
      <c r="AA881" s="237"/>
      <c r="AB881" s="237"/>
      <c r="AC881" s="237"/>
      <c r="AD881" s="237"/>
      <c r="AE881" s="237"/>
      <c r="AF881" s="237"/>
      <c r="AG881" s="237"/>
      <c r="AH881" s="237"/>
      <c r="AI881" s="308"/>
      <c r="AJ881" s="308"/>
      <c r="AK881" s="308"/>
      <c r="AL881" s="308"/>
      <c r="AM881" s="98"/>
      <c r="AN881" s="98"/>
      <c r="AO881" s="98"/>
    </row>
    <row r="882" ht="14.25" customHeight="1">
      <c r="A882" s="179"/>
      <c r="B882" s="98"/>
      <c r="C882" s="98"/>
      <c r="D882" s="98"/>
      <c r="E882" s="98"/>
      <c r="F882" s="235"/>
      <c r="G882" s="235"/>
      <c r="H882" s="236"/>
      <c r="I882" s="236"/>
      <c r="J882" s="236"/>
      <c r="K882" s="236"/>
      <c r="L882" s="236"/>
      <c r="M882" s="236"/>
      <c r="N882" s="236"/>
      <c r="O882" s="236"/>
      <c r="P882" s="236"/>
      <c r="Q882" s="236"/>
      <c r="R882" s="236"/>
      <c r="S882" s="236"/>
      <c r="T882" s="236"/>
      <c r="U882" s="236"/>
      <c r="V882" s="236"/>
      <c r="W882" s="237"/>
      <c r="X882" s="237"/>
      <c r="Y882" s="237"/>
      <c r="Z882" s="237"/>
      <c r="AA882" s="237"/>
      <c r="AB882" s="237"/>
      <c r="AC882" s="237"/>
      <c r="AD882" s="237"/>
      <c r="AE882" s="237"/>
      <c r="AF882" s="237"/>
      <c r="AG882" s="237"/>
      <c r="AH882" s="237"/>
      <c r="AI882" s="308"/>
      <c r="AJ882" s="308"/>
      <c r="AK882" s="308"/>
      <c r="AL882" s="308"/>
      <c r="AM882" s="98"/>
      <c r="AN882" s="98"/>
      <c r="AO882" s="98"/>
    </row>
    <row r="883" ht="14.25" customHeight="1">
      <c r="A883" s="179"/>
      <c r="B883" s="98"/>
      <c r="C883" s="98"/>
      <c r="D883" s="98"/>
      <c r="E883" s="98"/>
      <c r="F883" s="235"/>
      <c r="G883" s="235"/>
      <c r="H883" s="236"/>
      <c r="I883" s="236"/>
      <c r="J883" s="236"/>
      <c r="K883" s="236"/>
      <c r="L883" s="236"/>
      <c r="M883" s="236"/>
      <c r="N883" s="236"/>
      <c r="O883" s="236"/>
      <c r="P883" s="236"/>
      <c r="Q883" s="236"/>
      <c r="R883" s="236"/>
      <c r="S883" s="236"/>
      <c r="T883" s="236"/>
      <c r="U883" s="236"/>
      <c r="V883" s="236"/>
      <c r="W883" s="237"/>
      <c r="X883" s="237"/>
      <c r="Y883" s="237"/>
      <c r="Z883" s="237"/>
      <c r="AA883" s="237"/>
      <c r="AB883" s="237"/>
      <c r="AC883" s="237"/>
      <c r="AD883" s="237"/>
      <c r="AE883" s="237"/>
      <c r="AF883" s="237"/>
      <c r="AG883" s="237"/>
      <c r="AH883" s="237"/>
      <c r="AI883" s="308"/>
      <c r="AJ883" s="308"/>
      <c r="AK883" s="308"/>
      <c r="AL883" s="308"/>
      <c r="AM883" s="98"/>
      <c r="AN883" s="98"/>
      <c r="AO883" s="98"/>
    </row>
    <row r="884" ht="14.25" customHeight="1">
      <c r="A884" s="179"/>
      <c r="B884" s="98"/>
      <c r="C884" s="98"/>
      <c r="D884" s="98"/>
      <c r="E884" s="98"/>
      <c r="F884" s="235"/>
      <c r="G884" s="235"/>
      <c r="H884" s="236"/>
      <c r="I884" s="236"/>
      <c r="J884" s="236"/>
      <c r="K884" s="236"/>
      <c r="L884" s="236"/>
      <c r="M884" s="236"/>
      <c r="N884" s="236"/>
      <c r="O884" s="236"/>
      <c r="P884" s="236"/>
      <c r="Q884" s="236"/>
      <c r="R884" s="236"/>
      <c r="S884" s="236"/>
      <c r="T884" s="236"/>
      <c r="U884" s="236"/>
      <c r="V884" s="236"/>
      <c r="W884" s="237"/>
      <c r="X884" s="237"/>
      <c r="Y884" s="237"/>
      <c r="Z884" s="237"/>
      <c r="AA884" s="237"/>
      <c r="AB884" s="237"/>
      <c r="AC884" s="237"/>
      <c r="AD884" s="237"/>
      <c r="AE884" s="237"/>
      <c r="AF884" s="237"/>
      <c r="AG884" s="237"/>
      <c r="AH884" s="237"/>
      <c r="AI884" s="308"/>
      <c r="AJ884" s="308"/>
      <c r="AK884" s="308"/>
      <c r="AL884" s="308"/>
      <c r="AM884" s="98"/>
      <c r="AN884" s="98"/>
      <c r="AO884" s="98"/>
    </row>
    <row r="885" ht="14.25" customHeight="1">
      <c r="A885" s="179"/>
      <c r="B885" s="98"/>
      <c r="C885" s="98"/>
      <c r="D885" s="98"/>
      <c r="E885" s="98"/>
      <c r="F885" s="235"/>
      <c r="G885" s="235"/>
      <c r="H885" s="236"/>
      <c r="I885" s="236"/>
      <c r="J885" s="236"/>
      <c r="K885" s="236"/>
      <c r="L885" s="236"/>
      <c r="M885" s="236"/>
      <c r="N885" s="236"/>
      <c r="O885" s="236"/>
      <c r="P885" s="236"/>
      <c r="Q885" s="236"/>
      <c r="R885" s="236"/>
      <c r="S885" s="236"/>
      <c r="T885" s="236"/>
      <c r="U885" s="236"/>
      <c r="V885" s="236"/>
      <c r="W885" s="237"/>
      <c r="X885" s="237"/>
      <c r="Y885" s="237"/>
      <c r="Z885" s="237"/>
      <c r="AA885" s="237"/>
      <c r="AB885" s="237"/>
      <c r="AC885" s="237"/>
      <c r="AD885" s="237"/>
      <c r="AE885" s="237"/>
      <c r="AF885" s="237"/>
      <c r="AG885" s="237"/>
      <c r="AH885" s="237"/>
      <c r="AI885" s="308"/>
      <c r="AJ885" s="308"/>
      <c r="AK885" s="308"/>
      <c r="AL885" s="308"/>
      <c r="AM885" s="98"/>
      <c r="AN885" s="98"/>
      <c r="AO885" s="98"/>
    </row>
    <row r="886" ht="14.25" customHeight="1">
      <c r="A886" s="179"/>
      <c r="B886" s="98"/>
      <c r="C886" s="98"/>
      <c r="D886" s="98"/>
      <c r="E886" s="98"/>
      <c r="F886" s="235"/>
      <c r="G886" s="235"/>
      <c r="H886" s="236"/>
      <c r="I886" s="236"/>
      <c r="J886" s="236"/>
      <c r="K886" s="236"/>
      <c r="L886" s="236"/>
      <c r="M886" s="236"/>
      <c r="N886" s="236"/>
      <c r="O886" s="236"/>
      <c r="P886" s="236"/>
      <c r="Q886" s="236"/>
      <c r="R886" s="236"/>
      <c r="S886" s="236"/>
      <c r="T886" s="236"/>
      <c r="U886" s="236"/>
      <c r="V886" s="236"/>
      <c r="W886" s="237"/>
      <c r="X886" s="237"/>
      <c r="Y886" s="237"/>
      <c r="Z886" s="237"/>
      <c r="AA886" s="237"/>
      <c r="AB886" s="237"/>
      <c r="AC886" s="237"/>
      <c r="AD886" s="237"/>
      <c r="AE886" s="237"/>
      <c r="AF886" s="237"/>
      <c r="AG886" s="237"/>
      <c r="AH886" s="237"/>
      <c r="AI886" s="308"/>
      <c r="AJ886" s="308"/>
      <c r="AK886" s="308"/>
      <c r="AL886" s="308"/>
      <c r="AM886" s="98"/>
      <c r="AN886" s="98"/>
      <c r="AO886" s="98"/>
    </row>
    <row r="887" ht="14.25" customHeight="1">
      <c r="A887" s="179"/>
      <c r="B887" s="98"/>
      <c r="C887" s="98"/>
      <c r="D887" s="98"/>
      <c r="E887" s="98"/>
      <c r="F887" s="235"/>
      <c r="G887" s="235"/>
      <c r="H887" s="236"/>
      <c r="I887" s="236"/>
      <c r="J887" s="236"/>
      <c r="K887" s="236"/>
      <c r="L887" s="236"/>
      <c r="M887" s="236"/>
      <c r="N887" s="236"/>
      <c r="O887" s="236"/>
      <c r="P887" s="236"/>
      <c r="Q887" s="236"/>
      <c r="R887" s="236"/>
      <c r="S887" s="236"/>
      <c r="T887" s="236"/>
      <c r="U887" s="236"/>
      <c r="V887" s="236"/>
      <c r="W887" s="237"/>
      <c r="X887" s="237"/>
      <c r="Y887" s="237"/>
      <c r="Z887" s="237"/>
      <c r="AA887" s="237"/>
      <c r="AB887" s="237"/>
      <c r="AC887" s="237"/>
      <c r="AD887" s="237"/>
      <c r="AE887" s="237"/>
      <c r="AF887" s="237"/>
      <c r="AG887" s="237"/>
      <c r="AH887" s="237"/>
      <c r="AI887" s="308"/>
      <c r="AJ887" s="308"/>
      <c r="AK887" s="308"/>
      <c r="AL887" s="308"/>
      <c r="AM887" s="98"/>
      <c r="AN887" s="98"/>
      <c r="AO887" s="98"/>
    </row>
    <row r="888" ht="14.25" customHeight="1">
      <c r="A888" s="179"/>
      <c r="B888" s="98"/>
      <c r="C888" s="98"/>
      <c r="D888" s="98"/>
      <c r="E888" s="98"/>
      <c r="F888" s="235"/>
      <c r="G888" s="235"/>
      <c r="H888" s="236"/>
      <c r="I888" s="236"/>
      <c r="J888" s="236"/>
      <c r="K888" s="236"/>
      <c r="L888" s="236"/>
      <c r="M888" s="236"/>
      <c r="N888" s="236"/>
      <c r="O888" s="236"/>
      <c r="P888" s="236"/>
      <c r="Q888" s="236"/>
      <c r="R888" s="236"/>
      <c r="S888" s="236"/>
      <c r="T888" s="236"/>
      <c r="U888" s="236"/>
      <c r="V888" s="236"/>
      <c r="W888" s="237"/>
      <c r="X888" s="237"/>
      <c r="Y888" s="237"/>
      <c r="Z888" s="237"/>
      <c r="AA888" s="237"/>
      <c r="AB888" s="237"/>
      <c r="AC888" s="237"/>
      <c r="AD888" s="237"/>
      <c r="AE888" s="237"/>
      <c r="AF888" s="237"/>
      <c r="AG888" s="237"/>
      <c r="AH888" s="237"/>
      <c r="AI888" s="308"/>
      <c r="AJ888" s="308"/>
      <c r="AK888" s="308"/>
      <c r="AL888" s="308"/>
      <c r="AM888" s="98"/>
      <c r="AN888" s="98"/>
      <c r="AO888" s="98"/>
    </row>
    <row r="889" ht="14.25" customHeight="1">
      <c r="A889" s="179"/>
      <c r="B889" s="98"/>
      <c r="C889" s="98"/>
      <c r="D889" s="98"/>
      <c r="E889" s="98"/>
      <c r="F889" s="235"/>
      <c r="G889" s="235"/>
      <c r="H889" s="236"/>
      <c r="I889" s="236"/>
      <c r="J889" s="236"/>
      <c r="K889" s="236"/>
      <c r="L889" s="236"/>
      <c r="M889" s="236"/>
      <c r="N889" s="236"/>
      <c r="O889" s="236"/>
      <c r="P889" s="236"/>
      <c r="Q889" s="236"/>
      <c r="R889" s="236"/>
      <c r="S889" s="236"/>
      <c r="T889" s="236"/>
      <c r="U889" s="236"/>
      <c r="V889" s="236"/>
      <c r="W889" s="237"/>
      <c r="X889" s="237"/>
      <c r="Y889" s="237"/>
      <c r="Z889" s="237"/>
      <c r="AA889" s="237"/>
      <c r="AB889" s="237"/>
      <c r="AC889" s="237"/>
      <c r="AD889" s="237"/>
      <c r="AE889" s="237"/>
      <c r="AF889" s="237"/>
      <c r="AG889" s="237"/>
      <c r="AH889" s="237"/>
      <c r="AI889" s="308"/>
      <c r="AJ889" s="308"/>
      <c r="AK889" s="308"/>
      <c r="AL889" s="308"/>
      <c r="AM889" s="98"/>
      <c r="AN889" s="98"/>
      <c r="AO889" s="98"/>
    </row>
    <row r="890" ht="14.25" customHeight="1">
      <c r="A890" s="179"/>
      <c r="B890" s="98"/>
      <c r="C890" s="98"/>
      <c r="D890" s="98"/>
      <c r="E890" s="98"/>
      <c r="F890" s="235"/>
      <c r="G890" s="235"/>
      <c r="H890" s="236"/>
      <c r="I890" s="236"/>
      <c r="J890" s="236"/>
      <c r="K890" s="236"/>
      <c r="L890" s="236"/>
      <c r="M890" s="236"/>
      <c r="N890" s="236"/>
      <c r="O890" s="236"/>
      <c r="P890" s="236"/>
      <c r="Q890" s="236"/>
      <c r="R890" s="236"/>
      <c r="S890" s="236"/>
      <c r="T890" s="236"/>
      <c r="U890" s="236"/>
      <c r="V890" s="236"/>
      <c r="W890" s="237"/>
      <c r="X890" s="237"/>
      <c r="Y890" s="237"/>
      <c r="Z890" s="237"/>
      <c r="AA890" s="237"/>
      <c r="AB890" s="237"/>
      <c r="AC890" s="237"/>
      <c r="AD890" s="237"/>
      <c r="AE890" s="237"/>
      <c r="AF890" s="237"/>
      <c r="AG890" s="237"/>
      <c r="AH890" s="237"/>
      <c r="AI890" s="308"/>
      <c r="AJ890" s="308"/>
      <c r="AK890" s="308"/>
      <c r="AL890" s="308"/>
      <c r="AM890" s="98"/>
      <c r="AN890" s="98"/>
      <c r="AO890" s="98"/>
    </row>
    <row r="891" ht="14.25" customHeight="1">
      <c r="A891" s="179"/>
      <c r="B891" s="98"/>
      <c r="C891" s="98"/>
      <c r="D891" s="98"/>
      <c r="E891" s="98"/>
      <c r="F891" s="235"/>
      <c r="G891" s="235"/>
      <c r="H891" s="236"/>
      <c r="I891" s="236"/>
      <c r="J891" s="236"/>
      <c r="K891" s="236"/>
      <c r="L891" s="236"/>
      <c r="M891" s="236"/>
      <c r="N891" s="236"/>
      <c r="O891" s="236"/>
      <c r="P891" s="236"/>
      <c r="Q891" s="236"/>
      <c r="R891" s="236"/>
      <c r="S891" s="236"/>
      <c r="T891" s="236"/>
      <c r="U891" s="236"/>
      <c r="V891" s="236"/>
      <c r="W891" s="237"/>
      <c r="X891" s="237"/>
      <c r="Y891" s="237"/>
      <c r="Z891" s="237"/>
      <c r="AA891" s="237"/>
      <c r="AB891" s="237"/>
      <c r="AC891" s="237"/>
      <c r="AD891" s="237"/>
      <c r="AE891" s="237"/>
      <c r="AF891" s="237"/>
      <c r="AG891" s="237"/>
      <c r="AH891" s="237"/>
      <c r="AI891" s="308"/>
      <c r="AJ891" s="308"/>
      <c r="AK891" s="308"/>
      <c r="AL891" s="308"/>
      <c r="AM891" s="98"/>
      <c r="AN891" s="98"/>
      <c r="AO891" s="98"/>
    </row>
    <row r="892" ht="14.25" customHeight="1">
      <c r="A892" s="179"/>
      <c r="B892" s="98"/>
      <c r="C892" s="98"/>
      <c r="D892" s="98"/>
      <c r="E892" s="98"/>
      <c r="F892" s="235"/>
      <c r="G892" s="235"/>
      <c r="H892" s="236"/>
      <c r="I892" s="236"/>
      <c r="J892" s="236"/>
      <c r="K892" s="236"/>
      <c r="L892" s="236"/>
      <c r="M892" s="236"/>
      <c r="N892" s="236"/>
      <c r="O892" s="236"/>
      <c r="P892" s="236"/>
      <c r="Q892" s="236"/>
      <c r="R892" s="236"/>
      <c r="S892" s="236"/>
      <c r="T892" s="236"/>
      <c r="U892" s="236"/>
      <c r="V892" s="236"/>
      <c r="W892" s="237"/>
      <c r="X892" s="237"/>
      <c r="Y892" s="237"/>
      <c r="Z892" s="237"/>
      <c r="AA892" s="237"/>
      <c r="AB892" s="237"/>
      <c r="AC892" s="237"/>
      <c r="AD892" s="237"/>
      <c r="AE892" s="237"/>
      <c r="AF892" s="237"/>
      <c r="AG892" s="237"/>
      <c r="AH892" s="237"/>
      <c r="AI892" s="308"/>
      <c r="AJ892" s="308"/>
      <c r="AK892" s="308"/>
      <c r="AL892" s="308"/>
      <c r="AM892" s="98"/>
      <c r="AN892" s="98"/>
      <c r="AO892" s="98"/>
    </row>
    <row r="893" ht="14.25" customHeight="1">
      <c r="A893" s="179"/>
      <c r="B893" s="98"/>
      <c r="C893" s="98"/>
      <c r="D893" s="98"/>
      <c r="E893" s="98"/>
      <c r="F893" s="235"/>
      <c r="G893" s="235"/>
      <c r="H893" s="236"/>
      <c r="I893" s="236"/>
      <c r="J893" s="236"/>
      <c r="K893" s="236"/>
      <c r="L893" s="236"/>
      <c r="M893" s="236"/>
      <c r="N893" s="236"/>
      <c r="O893" s="236"/>
      <c r="P893" s="236"/>
      <c r="Q893" s="236"/>
      <c r="R893" s="236"/>
      <c r="S893" s="236"/>
      <c r="T893" s="236"/>
      <c r="U893" s="236"/>
      <c r="V893" s="236"/>
      <c r="W893" s="237"/>
      <c r="X893" s="237"/>
      <c r="Y893" s="237"/>
      <c r="Z893" s="237"/>
      <c r="AA893" s="237"/>
      <c r="AB893" s="237"/>
      <c r="AC893" s="237"/>
      <c r="AD893" s="237"/>
      <c r="AE893" s="237"/>
      <c r="AF893" s="237"/>
      <c r="AG893" s="237"/>
      <c r="AH893" s="237"/>
      <c r="AI893" s="308"/>
      <c r="AJ893" s="308"/>
      <c r="AK893" s="308"/>
      <c r="AL893" s="308"/>
      <c r="AM893" s="98"/>
      <c r="AN893" s="98"/>
      <c r="AO893" s="98"/>
    </row>
    <row r="894" ht="14.25" customHeight="1">
      <c r="A894" s="179"/>
      <c r="B894" s="98"/>
      <c r="C894" s="98"/>
      <c r="D894" s="98"/>
      <c r="E894" s="98"/>
      <c r="F894" s="235"/>
      <c r="G894" s="235"/>
      <c r="H894" s="236"/>
      <c r="I894" s="236"/>
      <c r="J894" s="236"/>
      <c r="K894" s="236"/>
      <c r="L894" s="236"/>
      <c r="M894" s="236"/>
      <c r="N894" s="236"/>
      <c r="O894" s="236"/>
      <c r="P894" s="236"/>
      <c r="Q894" s="236"/>
      <c r="R894" s="236"/>
      <c r="S894" s="236"/>
      <c r="T894" s="236"/>
      <c r="U894" s="236"/>
      <c r="V894" s="236"/>
      <c r="W894" s="237"/>
      <c r="X894" s="237"/>
      <c r="Y894" s="237"/>
      <c r="Z894" s="237"/>
      <c r="AA894" s="237"/>
      <c r="AB894" s="237"/>
      <c r="AC894" s="237"/>
      <c r="AD894" s="237"/>
      <c r="AE894" s="237"/>
      <c r="AF894" s="237"/>
      <c r="AG894" s="237"/>
      <c r="AH894" s="237"/>
      <c r="AI894" s="308"/>
      <c r="AJ894" s="308"/>
      <c r="AK894" s="308"/>
      <c r="AL894" s="308"/>
      <c r="AM894" s="98"/>
      <c r="AN894" s="98"/>
      <c r="AO894" s="98"/>
    </row>
    <row r="895" ht="14.25" customHeight="1">
      <c r="A895" s="179"/>
      <c r="B895" s="98"/>
      <c r="C895" s="98"/>
      <c r="D895" s="98"/>
      <c r="E895" s="98"/>
      <c r="F895" s="235"/>
      <c r="G895" s="235"/>
      <c r="H895" s="236"/>
      <c r="I895" s="236"/>
      <c r="J895" s="236"/>
      <c r="K895" s="236"/>
      <c r="L895" s="236"/>
      <c r="M895" s="236"/>
      <c r="N895" s="236"/>
      <c r="O895" s="236"/>
      <c r="P895" s="236"/>
      <c r="Q895" s="236"/>
      <c r="R895" s="236"/>
      <c r="S895" s="236"/>
      <c r="T895" s="236"/>
      <c r="U895" s="236"/>
      <c r="V895" s="236"/>
      <c r="W895" s="237"/>
      <c r="X895" s="237"/>
      <c r="Y895" s="237"/>
      <c r="Z895" s="237"/>
      <c r="AA895" s="237"/>
      <c r="AB895" s="237"/>
      <c r="AC895" s="237"/>
      <c r="AD895" s="237"/>
      <c r="AE895" s="237"/>
      <c r="AF895" s="237"/>
      <c r="AG895" s="237"/>
      <c r="AH895" s="237"/>
      <c r="AI895" s="308"/>
      <c r="AJ895" s="308"/>
      <c r="AK895" s="308"/>
      <c r="AL895" s="308"/>
      <c r="AM895" s="98"/>
      <c r="AN895" s="98"/>
      <c r="AO895" s="98"/>
    </row>
    <row r="896" ht="14.25" customHeight="1">
      <c r="A896" s="179"/>
      <c r="B896" s="98"/>
      <c r="C896" s="98"/>
      <c r="D896" s="98"/>
      <c r="E896" s="98"/>
      <c r="F896" s="235"/>
      <c r="G896" s="235"/>
      <c r="H896" s="236"/>
      <c r="I896" s="236"/>
      <c r="J896" s="236"/>
      <c r="K896" s="236"/>
      <c r="L896" s="236"/>
      <c r="M896" s="236"/>
      <c r="N896" s="236"/>
      <c r="O896" s="236"/>
      <c r="P896" s="236"/>
      <c r="Q896" s="236"/>
      <c r="R896" s="236"/>
      <c r="S896" s="236"/>
      <c r="T896" s="236"/>
      <c r="U896" s="236"/>
      <c r="V896" s="236"/>
      <c r="W896" s="237"/>
      <c r="X896" s="237"/>
      <c r="Y896" s="237"/>
      <c r="Z896" s="237"/>
      <c r="AA896" s="237"/>
      <c r="AB896" s="237"/>
      <c r="AC896" s="237"/>
      <c r="AD896" s="237"/>
      <c r="AE896" s="237"/>
      <c r="AF896" s="237"/>
      <c r="AG896" s="237"/>
      <c r="AH896" s="237"/>
      <c r="AI896" s="308"/>
      <c r="AJ896" s="308"/>
      <c r="AK896" s="308"/>
      <c r="AL896" s="308"/>
      <c r="AM896" s="98"/>
      <c r="AN896" s="98"/>
      <c r="AO896" s="98"/>
    </row>
    <row r="897" ht="14.25" customHeight="1">
      <c r="A897" s="179"/>
      <c r="B897" s="98"/>
      <c r="C897" s="98"/>
      <c r="D897" s="98"/>
      <c r="E897" s="98"/>
      <c r="F897" s="235"/>
      <c r="G897" s="235"/>
      <c r="H897" s="236"/>
      <c r="I897" s="236"/>
      <c r="J897" s="236"/>
      <c r="K897" s="236"/>
      <c r="L897" s="236"/>
      <c r="M897" s="236"/>
      <c r="N897" s="236"/>
      <c r="O897" s="236"/>
      <c r="P897" s="236"/>
      <c r="Q897" s="236"/>
      <c r="R897" s="236"/>
      <c r="S897" s="236"/>
      <c r="T897" s="236"/>
      <c r="U897" s="236"/>
      <c r="V897" s="236"/>
      <c r="W897" s="237"/>
      <c r="X897" s="237"/>
      <c r="Y897" s="237"/>
      <c r="Z897" s="237"/>
      <c r="AA897" s="237"/>
      <c r="AB897" s="237"/>
      <c r="AC897" s="237"/>
      <c r="AD897" s="237"/>
      <c r="AE897" s="237"/>
      <c r="AF897" s="237"/>
      <c r="AG897" s="237"/>
      <c r="AH897" s="237"/>
      <c r="AI897" s="308"/>
      <c r="AJ897" s="308"/>
      <c r="AK897" s="308"/>
      <c r="AL897" s="308"/>
      <c r="AM897" s="98"/>
      <c r="AN897" s="98"/>
      <c r="AO897" s="98"/>
    </row>
    <row r="898" ht="14.25" customHeight="1">
      <c r="A898" s="179"/>
      <c r="B898" s="98"/>
      <c r="C898" s="98"/>
      <c r="D898" s="98"/>
      <c r="E898" s="98"/>
      <c r="F898" s="235"/>
      <c r="G898" s="235"/>
      <c r="H898" s="236"/>
      <c r="I898" s="236"/>
      <c r="J898" s="236"/>
      <c r="K898" s="236"/>
      <c r="L898" s="236"/>
      <c r="M898" s="236"/>
      <c r="N898" s="236"/>
      <c r="O898" s="236"/>
      <c r="P898" s="236"/>
      <c r="Q898" s="236"/>
      <c r="R898" s="236"/>
      <c r="S898" s="236"/>
      <c r="T898" s="236"/>
      <c r="U898" s="236"/>
      <c r="V898" s="236"/>
      <c r="W898" s="237"/>
      <c r="X898" s="237"/>
      <c r="Y898" s="237"/>
      <c r="Z898" s="237"/>
      <c r="AA898" s="237"/>
      <c r="AB898" s="237"/>
      <c r="AC898" s="237"/>
      <c r="AD898" s="237"/>
      <c r="AE898" s="237"/>
      <c r="AF898" s="237"/>
      <c r="AG898" s="237"/>
      <c r="AH898" s="237"/>
      <c r="AI898" s="308"/>
      <c r="AJ898" s="308"/>
      <c r="AK898" s="308"/>
      <c r="AL898" s="308"/>
      <c r="AM898" s="98"/>
      <c r="AN898" s="98"/>
      <c r="AO898" s="98"/>
    </row>
    <row r="899" ht="14.25" customHeight="1">
      <c r="A899" s="179"/>
      <c r="B899" s="98"/>
      <c r="C899" s="98"/>
      <c r="D899" s="98"/>
      <c r="E899" s="98"/>
      <c r="F899" s="235"/>
      <c r="G899" s="235"/>
      <c r="H899" s="236"/>
      <c r="I899" s="236"/>
      <c r="J899" s="236"/>
      <c r="K899" s="236"/>
      <c r="L899" s="236"/>
      <c r="M899" s="236"/>
      <c r="N899" s="236"/>
      <c r="O899" s="236"/>
      <c r="P899" s="236"/>
      <c r="Q899" s="236"/>
      <c r="R899" s="236"/>
      <c r="S899" s="236"/>
      <c r="T899" s="236"/>
      <c r="U899" s="236"/>
      <c r="V899" s="236"/>
      <c r="W899" s="237"/>
      <c r="X899" s="237"/>
      <c r="Y899" s="237"/>
      <c r="Z899" s="237"/>
      <c r="AA899" s="237"/>
      <c r="AB899" s="237"/>
      <c r="AC899" s="237"/>
      <c r="AD899" s="237"/>
      <c r="AE899" s="237"/>
      <c r="AF899" s="237"/>
      <c r="AG899" s="237"/>
      <c r="AH899" s="237"/>
      <c r="AI899" s="308"/>
      <c r="AJ899" s="308"/>
      <c r="AK899" s="308"/>
      <c r="AL899" s="308"/>
      <c r="AM899" s="98"/>
      <c r="AN899" s="98"/>
      <c r="AO899" s="98"/>
    </row>
    <row r="900" ht="14.25" customHeight="1">
      <c r="A900" s="179"/>
      <c r="B900" s="98"/>
      <c r="C900" s="98"/>
      <c r="D900" s="98"/>
      <c r="E900" s="98"/>
      <c r="F900" s="235"/>
      <c r="G900" s="235"/>
      <c r="H900" s="236"/>
      <c r="I900" s="236"/>
      <c r="J900" s="236"/>
      <c r="K900" s="236"/>
      <c r="L900" s="236"/>
      <c r="M900" s="236"/>
      <c r="N900" s="236"/>
      <c r="O900" s="236"/>
      <c r="P900" s="236"/>
      <c r="Q900" s="236"/>
      <c r="R900" s="236"/>
      <c r="S900" s="236"/>
      <c r="T900" s="236"/>
      <c r="U900" s="236"/>
      <c r="V900" s="236"/>
      <c r="W900" s="237"/>
      <c r="X900" s="237"/>
      <c r="Y900" s="237"/>
      <c r="Z900" s="237"/>
      <c r="AA900" s="237"/>
      <c r="AB900" s="237"/>
      <c r="AC900" s="237"/>
      <c r="AD900" s="237"/>
      <c r="AE900" s="237"/>
      <c r="AF900" s="237"/>
      <c r="AG900" s="237"/>
      <c r="AH900" s="237"/>
      <c r="AI900" s="308"/>
      <c r="AJ900" s="308"/>
      <c r="AK900" s="308"/>
      <c r="AL900" s="308"/>
      <c r="AM900" s="98"/>
      <c r="AN900" s="98"/>
      <c r="AO900" s="98"/>
    </row>
    <row r="901" ht="14.25" customHeight="1">
      <c r="A901" s="179"/>
      <c r="B901" s="98"/>
      <c r="C901" s="98"/>
      <c r="D901" s="98"/>
      <c r="E901" s="98"/>
      <c r="F901" s="235"/>
      <c r="G901" s="235"/>
      <c r="H901" s="236"/>
      <c r="I901" s="236"/>
      <c r="J901" s="236"/>
      <c r="K901" s="236"/>
      <c r="L901" s="236"/>
      <c r="M901" s="236"/>
      <c r="N901" s="236"/>
      <c r="O901" s="236"/>
      <c r="P901" s="236"/>
      <c r="Q901" s="236"/>
      <c r="R901" s="236"/>
      <c r="S901" s="236"/>
      <c r="T901" s="236"/>
      <c r="U901" s="236"/>
      <c r="V901" s="236"/>
      <c r="W901" s="237"/>
      <c r="X901" s="237"/>
      <c r="Y901" s="237"/>
      <c r="Z901" s="237"/>
      <c r="AA901" s="237"/>
      <c r="AB901" s="237"/>
      <c r="AC901" s="237"/>
      <c r="AD901" s="237"/>
      <c r="AE901" s="237"/>
      <c r="AF901" s="237"/>
      <c r="AG901" s="237"/>
      <c r="AH901" s="237"/>
      <c r="AI901" s="308"/>
      <c r="AJ901" s="308"/>
      <c r="AK901" s="308"/>
      <c r="AL901" s="308"/>
      <c r="AM901" s="98"/>
      <c r="AN901" s="98"/>
      <c r="AO901" s="98"/>
    </row>
    <row r="902" ht="14.25" customHeight="1">
      <c r="A902" s="179"/>
      <c r="B902" s="98"/>
      <c r="C902" s="98"/>
      <c r="D902" s="98"/>
      <c r="E902" s="98"/>
      <c r="F902" s="235"/>
      <c r="G902" s="235"/>
      <c r="H902" s="236"/>
      <c r="I902" s="236"/>
      <c r="J902" s="236"/>
      <c r="K902" s="236"/>
      <c r="L902" s="236"/>
      <c r="M902" s="236"/>
      <c r="N902" s="236"/>
      <c r="O902" s="236"/>
      <c r="P902" s="236"/>
      <c r="Q902" s="236"/>
      <c r="R902" s="236"/>
      <c r="S902" s="236"/>
      <c r="T902" s="236"/>
      <c r="U902" s="236"/>
      <c r="V902" s="236"/>
      <c r="W902" s="237"/>
      <c r="X902" s="237"/>
      <c r="Y902" s="237"/>
      <c r="Z902" s="237"/>
      <c r="AA902" s="237"/>
      <c r="AB902" s="237"/>
      <c r="AC902" s="237"/>
      <c r="AD902" s="237"/>
      <c r="AE902" s="237"/>
      <c r="AF902" s="237"/>
      <c r="AG902" s="237"/>
      <c r="AH902" s="237"/>
      <c r="AI902" s="308"/>
      <c r="AJ902" s="308"/>
      <c r="AK902" s="308"/>
      <c r="AL902" s="308"/>
      <c r="AM902" s="98"/>
      <c r="AN902" s="98"/>
      <c r="AO902" s="98"/>
    </row>
    <row r="903" ht="14.25" customHeight="1">
      <c r="A903" s="179"/>
      <c r="B903" s="98"/>
      <c r="C903" s="98"/>
      <c r="D903" s="98"/>
      <c r="E903" s="98"/>
      <c r="F903" s="235"/>
      <c r="G903" s="235"/>
      <c r="H903" s="236"/>
      <c r="I903" s="236"/>
      <c r="J903" s="236"/>
      <c r="K903" s="236"/>
      <c r="L903" s="236"/>
      <c r="M903" s="236"/>
      <c r="N903" s="236"/>
      <c r="O903" s="236"/>
      <c r="P903" s="236"/>
      <c r="Q903" s="236"/>
      <c r="R903" s="236"/>
      <c r="S903" s="236"/>
      <c r="T903" s="236"/>
      <c r="U903" s="236"/>
      <c r="V903" s="236"/>
      <c r="W903" s="237"/>
      <c r="X903" s="237"/>
      <c r="Y903" s="237"/>
      <c r="Z903" s="237"/>
      <c r="AA903" s="237"/>
      <c r="AB903" s="237"/>
      <c r="AC903" s="237"/>
      <c r="AD903" s="237"/>
      <c r="AE903" s="237"/>
      <c r="AF903" s="237"/>
      <c r="AG903" s="237"/>
      <c r="AH903" s="237"/>
      <c r="AI903" s="308"/>
      <c r="AJ903" s="308"/>
      <c r="AK903" s="308"/>
      <c r="AL903" s="308"/>
      <c r="AM903" s="98"/>
      <c r="AN903" s="98"/>
      <c r="AO903" s="98"/>
    </row>
    <row r="904" ht="14.25" customHeight="1">
      <c r="A904" s="179"/>
      <c r="B904" s="98"/>
      <c r="C904" s="98"/>
      <c r="D904" s="98"/>
      <c r="E904" s="98"/>
      <c r="F904" s="235"/>
      <c r="G904" s="235"/>
      <c r="H904" s="236"/>
      <c r="I904" s="236"/>
      <c r="J904" s="236"/>
      <c r="K904" s="236"/>
      <c r="L904" s="236"/>
      <c r="M904" s="236"/>
      <c r="N904" s="236"/>
      <c r="O904" s="236"/>
      <c r="P904" s="236"/>
      <c r="Q904" s="236"/>
      <c r="R904" s="236"/>
      <c r="S904" s="236"/>
      <c r="T904" s="236"/>
      <c r="U904" s="236"/>
      <c r="V904" s="236"/>
      <c r="W904" s="237"/>
      <c r="X904" s="237"/>
      <c r="Y904" s="237"/>
      <c r="Z904" s="237"/>
      <c r="AA904" s="237"/>
      <c r="AB904" s="237"/>
      <c r="AC904" s="237"/>
      <c r="AD904" s="237"/>
      <c r="AE904" s="237"/>
      <c r="AF904" s="237"/>
      <c r="AG904" s="237"/>
      <c r="AH904" s="237"/>
      <c r="AI904" s="308"/>
      <c r="AJ904" s="308"/>
      <c r="AK904" s="308"/>
      <c r="AL904" s="308"/>
      <c r="AM904" s="98"/>
      <c r="AN904" s="98"/>
      <c r="AO904" s="98"/>
    </row>
    <row r="905" ht="14.25" customHeight="1">
      <c r="A905" s="179"/>
      <c r="B905" s="98"/>
      <c r="C905" s="98"/>
      <c r="D905" s="98"/>
      <c r="E905" s="98"/>
      <c r="F905" s="235"/>
      <c r="G905" s="235"/>
      <c r="H905" s="236"/>
      <c r="I905" s="236"/>
      <c r="J905" s="236"/>
      <c r="K905" s="236"/>
      <c r="L905" s="236"/>
      <c r="M905" s="236"/>
      <c r="N905" s="236"/>
      <c r="O905" s="236"/>
      <c r="P905" s="236"/>
      <c r="Q905" s="236"/>
      <c r="R905" s="236"/>
      <c r="S905" s="236"/>
      <c r="T905" s="236"/>
      <c r="U905" s="236"/>
      <c r="V905" s="236"/>
      <c r="W905" s="237"/>
      <c r="X905" s="237"/>
      <c r="Y905" s="237"/>
      <c r="Z905" s="237"/>
      <c r="AA905" s="237"/>
      <c r="AB905" s="237"/>
      <c r="AC905" s="237"/>
      <c r="AD905" s="237"/>
      <c r="AE905" s="237"/>
      <c r="AF905" s="237"/>
      <c r="AG905" s="237"/>
      <c r="AH905" s="237"/>
      <c r="AI905" s="308"/>
      <c r="AJ905" s="308"/>
      <c r="AK905" s="308"/>
      <c r="AL905" s="308"/>
      <c r="AM905" s="98"/>
      <c r="AN905" s="98"/>
      <c r="AO905" s="98"/>
    </row>
    <row r="906" ht="14.25" customHeight="1">
      <c r="A906" s="179"/>
      <c r="B906" s="98"/>
      <c r="C906" s="98"/>
      <c r="D906" s="98"/>
      <c r="E906" s="98"/>
      <c r="F906" s="235"/>
      <c r="G906" s="235"/>
      <c r="H906" s="236"/>
      <c r="I906" s="236"/>
      <c r="J906" s="236"/>
      <c r="K906" s="236"/>
      <c r="L906" s="236"/>
      <c r="M906" s="236"/>
      <c r="N906" s="236"/>
      <c r="O906" s="236"/>
      <c r="P906" s="236"/>
      <c r="Q906" s="236"/>
      <c r="R906" s="236"/>
      <c r="S906" s="236"/>
      <c r="T906" s="236"/>
      <c r="U906" s="236"/>
      <c r="V906" s="236"/>
      <c r="W906" s="237"/>
      <c r="X906" s="237"/>
      <c r="Y906" s="237"/>
      <c r="Z906" s="237"/>
      <c r="AA906" s="237"/>
      <c r="AB906" s="237"/>
      <c r="AC906" s="237"/>
      <c r="AD906" s="237"/>
      <c r="AE906" s="237"/>
      <c r="AF906" s="237"/>
      <c r="AG906" s="237"/>
      <c r="AH906" s="237"/>
      <c r="AI906" s="308"/>
      <c r="AJ906" s="308"/>
      <c r="AK906" s="308"/>
      <c r="AL906" s="308"/>
      <c r="AM906" s="98"/>
      <c r="AN906" s="98"/>
      <c r="AO906" s="98"/>
    </row>
    <row r="907" ht="14.25" customHeight="1">
      <c r="A907" s="179"/>
      <c r="B907" s="98"/>
      <c r="C907" s="98"/>
      <c r="D907" s="98"/>
      <c r="E907" s="98"/>
      <c r="F907" s="235"/>
      <c r="G907" s="235"/>
      <c r="H907" s="236"/>
      <c r="I907" s="236"/>
      <c r="J907" s="236"/>
      <c r="K907" s="236"/>
      <c r="L907" s="236"/>
      <c r="M907" s="236"/>
      <c r="N907" s="236"/>
      <c r="O907" s="236"/>
      <c r="P907" s="236"/>
      <c r="Q907" s="236"/>
      <c r="R907" s="236"/>
      <c r="S907" s="236"/>
      <c r="T907" s="236"/>
      <c r="U907" s="236"/>
      <c r="V907" s="236"/>
      <c r="W907" s="237"/>
      <c r="X907" s="237"/>
      <c r="Y907" s="237"/>
      <c r="Z907" s="237"/>
      <c r="AA907" s="237"/>
      <c r="AB907" s="237"/>
      <c r="AC907" s="237"/>
      <c r="AD907" s="237"/>
      <c r="AE907" s="237"/>
      <c r="AF907" s="237"/>
      <c r="AG907" s="237"/>
      <c r="AH907" s="237"/>
      <c r="AI907" s="308"/>
      <c r="AJ907" s="308"/>
      <c r="AK907" s="308"/>
      <c r="AL907" s="308"/>
      <c r="AM907" s="98"/>
      <c r="AN907" s="98"/>
      <c r="AO907" s="98"/>
    </row>
    <row r="908" ht="14.25" customHeight="1">
      <c r="A908" s="179"/>
      <c r="B908" s="98"/>
      <c r="C908" s="98"/>
      <c r="D908" s="98"/>
      <c r="E908" s="98"/>
      <c r="F908" s="235"/>
      <c r="G908" s="235"/>
      <c r="H908" s="236"/>
      <c r="I908" s="236"/>
      <c r="J908" s="236"/>
      <c r="K908" s="236"/>
      <c r="L908" s="236"/>
      <c r="M908" s="236"/>
      <c r="N908" s="236"/>
      <c r="O908" s="236"/>
      <c r="P908" s="236"/>
      <c r="Q908" s="236"/>
      <c r="R908" s="236"/>
      <c r="S908" s="236"/>
      <c r="T908" s="236"/>
      <c r="U908" s="236"/>
      <c r="V908" s="236"/>
      <c r="W908" s="237"/>
      <c r="X908" s="237"/>
      <c r="Y908" s="237"/>
      <c r="Z908" s="237"/>
      <c r="AA908" s="237"/>
      <c r="AB908" s="237"/>
      <c r="AC908" s="237"/>
      <c r="AD908" s="237"/>
      <c r="AE908" s="237"/>
      <c r="AF908" s="237"/>
      <c r="AG908" s="237"/>
      <c r="AH908" s="237"/>
      <c r="AI908" s="308"/>
      <c r="AJ908" s="308"/>
      <c r="AK908" s="308"/>
      <c r="AL908" s="308"/>
      <c r="AM908" s="98"/>
      <c r="AN908" s="98"/>
      <c r="AO908" s="98"/>
    </row>
    <row r="909" ht="14.25" customHeight="1">
      <c r="A909" s="179"/>
      <c r="B909" s="98"/>
      <c r="C909" s="98"/>
      <c r="D909" s="98"/>
      <c r="E909" s="98"/>
      <c r="F909" s="235"/>
      <c r="G909" s="235"/>
      <c r="H909" s="236"/>
      <c r="I909" s="236"/>
      <c r="J909" s="236"/>
      <c r="K909" s="236"/>
      <c r="L909" s="236"/>
      <c r="M909" s="236"/>
      <c r="N909" s="236"/>
      <c r="O909" s="236"/>
      <c r="P909" s="236"/>
      <c r="Q909" s="236"/>
      <c r="R909" s="236"/>
      <c r="S909" s="236"/>
      <c r="T909" s="236"/>
      <c r="U909" s="236"/>
      <c r="V909" s="236"/>
      <c r="W909" s="237"/>
      <c r="X909" s="237"/>
      <c r="Y909" s="237"/>
      <c r="Z909" s="237"/>
      <c r="AA909" s="237"/>
      <c r="AB909" s="237"/>
      <c r="AC909" s="237"/>
      <c r="AD909" s="237"/>
      <c r="AE909" s="237"/>
      <c r="AF909" s="237"/>
      <c r="AG909" s="237"/>
      <c r="AH909" s="237"/>
      <c r="AI909" s="308"/>
      <c r="AJ909" s="308"/>
      <c r="AK909" s="308"/>
      <c r="AL909" s="308"/>
      <c r="AM909" s="98"/>
      <c r="AN909" s="98"/>
      <c r="AO909" s="98"/>
    </row>
    <row r="910" ht="14.25" customHeight="1">
      <c r="A910" s="179"/>
      <c r="B910" s="98"/>
      <c r="C910" s="98"/>
      <c r="D910" s="98"/>
      <c r="E910" s="98"/>
      <c r="F910" s="235"/>
      <c r="G910" s="235"/>
      <c r="H910" s="236"/>
      <c r="I910" s="236"/>
      <c r="J910" s="236"/>
      <c r="K910" s="236"/>
      <c r="L910" s="236"/>
      <c r="M910" s="236"/>
      <c r="N910" s="236"/>
      <c r="O910" s="236"/>
      <c r="P910" s="236"/>
      <c r="Q910" s="236"/>
      <c r="R910" s="236"/>
      <c r="S910" s="236"/>
      <c r="T910" s="236"/>
      <c r="U910" s="236"/>
      <c r="V910" s="236"/>
      <c r="W910" s="237"/>
      <c r="X910" s="237"/>
      <c r="Y910" s="237"/>
      <c r="Z910" s="237"/>
      <c r="AA910" s="237"/>
      <c r="AB910" s="237"/>
      <c r="AC910" s="237"/>
      <c r="AD910" s="237"/>
      <c r="AE910" s="237"/>
      <c r="AF910" s="237"/>
      <c r="AG910" s="237"/>
      <c r="AH910" s="237"/>
      <c r="AI910" s="308"/>
      <c r="AJ910" s="308"/>
      <c r="AK910" s="308"/>
      <c r="AL910" s="308"/>
      <c r="AM910" s="98"/>
      <c r="AN910" s="98"/>
      <c r="AO910" s="98"/>
    </row>
    <row r="911" ht="14.25" customHeight="1">
      <c r="A911" s="179"/>
      <c r="B911" s="98"/>
      <c r="C911" s="98"/>
      <c r="D911" s="98"/>
      <c r="E911" s="98"/>
      <c r="F911" s="235"/>
      <c r="G911" s="235"/>
      <c r="H911" s="236"/>
      <c r="I911" s="236"/>
      <c r="J911" s="236"/>
      <c r="K911" s="236"/>
      <c r="L911" s="236"/>
      <c r="M911" s="236"/>
      <c r="N911" s="236"/>
      <c r="O911" s="236"/>
      <c r="P911" s="236"/>
      <c r="Q911" s="236"/>
      <c r="R911" s="236"/>
      <c r="S911" s="236"/>
      <c r="T911" s="236"/>
      <c r="U911" s="236"/>
      <c r="V911" s="236"/>
      <c r="W911" s="237"/>
      <c r="X911" s="237"/>
      <c r="Y911" s="237"/>
      <c r="Z911" s="237"/>
      <c r="AA911" s="237"/>
      <c r="AB911" s="237"/>
      <c r="AC911" s="237"/>
      <c r="AD911" s="237"/>
      <c r="AE911" s="237"/>
      <c r="AF911" s="237"/>
      <c r="AG911" s="237"/>
      <c r="AH911" s="237"/>
      <c r="AI911" s="308"/>
      <c r="AJ911" s="308"/>
      <c r="AK911" s="308"/>
      <c r="AL911" s="308"/>
      <c r="AM911" s="98"/>
      <c r="AN911" s="98"/>
      <c r="AO911" s="98"/>
    </row>
    <row r="912" ht="14.25" customHeight="1">
      <c r="A912" s="179"/>
      <c r="B912" s="98"/>
      <c r="C912" s="98"/>
      <c r="D912" s="98"/>
      <c r="E912" s="98"/>
      <c r="F912" s="235"/>
      <c r="G912" s="235"/>
      <c r="H912" s="236"/>
      <c r="I912" s="236"/>
      <c r="J912" s="236"/>
      <c r="K912" s="236"/>
      <c r="L912" s="236"/>
      <c r="M912" s="236"/>
      <c r="N912" s="236"/>
      <c r="O912" s="236"/>
      <c r="P912" s="236"/>
      <c r="Q912" s="236"/>
      <c r="R912" s="236"/>
      <c r="S912" s="236"/>
      <c r="T912" s="236"/>
      <c r="U912" s="236"/>
      <c r="V912" s="236"/>
      <c r="W912" s="237"/>
      <c r="X912" s="237"/>
      <c r="Y912" s="237"/>
      <c r="Z912" s="237"/>
      <c r="AA912" s="237"/>
      <c r="AB912" s="237"/>
      <c r="AC912" s="237"/>
      <c r="AD912" s="237"/>
      <c r="AE912" s="237"/>
      <c r="AF912" s="237"/>
      <c r="AG912" s="237"/>
      <c r="AH912" s="237"/>
      <c r="AI912" s="308"/>
      <c r="AJ912" s="308"/>
      <c r="AK912" s="308"/>
      <c r="AL912" s="308"/>
      <c r="AM912" s="98"/>
      <c r="AN912" s="98"/>
      <c r="AO912" s="98"/>
    </row>
    <row r="913" ht="14.25" customHeight="1">
      <c r="A913" s="179"/>
      <c r="B913" s="98"/>
      <c r="C913" s="98"/>
      <c r="D913" s="98"/>
      <c r="E913" s="98"/>
      <c r="F913" s="235"/>
      <c r="G913" s="235"/>
      <c r="H913" s="236"/>
      <c r="I913" s="236"/>
      <c r="J913" s="236"/>
      <c r="K913" s="236"/>
      <c r="L913" s="236"/>
      <c r="M913" s="236"/>
      <c r="N913" s="236"/>
      <c r="O913" s="236"/>
      <c r="P913" s="236"/>
      <c r="Q913" s="236"/>
      <c r="R913" s="236"/>
      <c r="S913" s="236"/>
      <c r="T913" s="236"/>
      <c r="U913" s="236"/>
      <c r="V913" s="236"/>
      <c r="W913" s="237"/>
      <c r="X913" s="237"/>
      <c r="Y913" s="237"/>
      <c r="Z913" s="237"/>
      <c r="AA913" s="237"/>
      <c r="AB913" s="237"/>
      <c r="AC913" s="237"/>
      <c r="AD913" s="237"/>
      <c r="AE913" s="237"/>
      <c r="AF913" s="237"/>
      <c r="AG913" s="237"/>
      <c r="AH913" s="237"/>
      <c r="AI913" s="308"/>
      <c r="AJ913" s="308"/>
      <c r="AK913" s="308"/>
      <c r="AL913" s="308"/>
      <c r="AM913" s="98"/>
      <c r="AN913" s="98"/>
      <c r="AO913" s="98"/>
    </row>
    <row r="914" ht="14.25" customHeight="1">
      <c r="A914" s="179"/>
      <c r="B914" s="98"/>
      <c r="C914" s="98"/>
      <c r="D914" s="98"/>
      <c r="E914" s="98"/>
      <c r="F914" s="235"/>
      <c r="G914" s="235"/>
      <c r="H914" s="236"/>
      <c r="I914" s="236"/>
      <c r="J914" s="236"/>
      <c r="K914" s="236"/>
      <c r="L914" s="236"/>
      <c r="M914" s="236"/>
      <c r="N914" s="236"/>
      <c r="O914" s="236"/>
      <c r="P914" s="236"/>
      <c r="Q914" s="236"/>
      <c r="R914" s="236"/>
      <c r="S914" s="236"/>
      <c r="T914" s="236"/>
      <c r="U914" s="236"/>
      <c r="V914" s="236"/>
      <c r="W914" s="237"/>
      <c r="X914" s="237"/>
      <c r="Y914" s="237"/>
      <c r="Z914" s="237"/>
      <c r="AA914" s="237"/>
      <c r="AB914" s="237"/>
      <c r="AC914" s="237"/>
      <c r="AD914" s="237"/>
      <c r="AE914" s="237"/>
      <c r="AF914" s="237"/>
      <c r="AG914" s="237"/>
      <c r="AH914" s="237"/>
      <c r="AI914" s="308"/>
      <c r="AJ914" s="308"/>
      <c r="AK914" s="308"/>
      <c r="AL914" s="308"/>
      <c r="AM914" s="98"/>
      <c r="AN914" s="98"/>
      <c r="AO914" s="98"/>
    </row>
    <row r="915" ht="14.25" customHeight="1">
      <c r="A915" s="179"/>
      <c r="B915" s="98"/>
      <c r="C915" s="98"/>
      <c r="D915" s="98"/>
      <c r="E915" s="98"/>
      <c r="F915" s="235"/>
      <c r="G915" s="235"/>
      <c r="H915" s="236"/>
      <c r="I915" s="236"/>
      <c r="J915" s="236"/>
      <c r="K915" s="236"/>
      <c r="L915" s="236"/>
      <c r="M915" s="236"/>
      <c r="N915" s="236"/>
      <c r="O915" s="236"/>
      <c r="P915" s="236"/>
      <c r="Q915" s="236"/>
      <c r="R915" s="236"/>
      <c r="S915" s="236"/>
      <c r="T915" s="236"/>
      <c r="U915" s="236"/>
      <c r="V915" s="236"/>
      <c r="W915" s="237"/>
      <c r="X915" s="237"/>
      <c r="Y915" s="237"/>
      <c r="Z915" s="237"/>
      <c r="AA915" s="237"/>
      <c r="AB915" s="237"/>
      <c r="AC915" s="237"/>
      <c r="AD915" s="237"/>
      <c r="AE915" s="237"/>
      <c r="AF915" s="237"/>
      <c r="AG915" s="237"/>
      <c r="AH915" s="237"/>
      <c r="AI915" s="308"/>
      <c r="AJ915" s="308"/>
      <c r="AK915" s="308"/>
      <c r="AL915" s="308"/>
      <c r="AM915" s="98"/>
      <c r="AN915" s="98"/>
      <c r="AO915" s="98"/>
    </row>
    <row r="916" ht="14.25" customHeight="1">
      <c r="A916" s="179"/>
      <c r="B916" s="98"/>
      <c r="C916" s="98"/>
      <c r="D916" s="98"/>
      <c r="E916" s="98"/>
      <c r="F916" s="235"/>
      <c r="G916" s="235"/>
      <c r="H916" s="236"/>
      <c r="I916" s="236"/>
      <c r="J916" s="236"/>
      <c r="K916" s="236"/>
      <c r="L916" s="236"/>
      <c r="M916" s="236"/>
      <c r="N916" s="236"/>
      <c r="O916" s="236"/>
      <c r="P916" s="236"/>
      <c r="Q916" s="236"/>
      <c r="R916" s="236"/>
      <c r="S916" s="236"/>
      <c r="T916" s="236"/>
      <c r="U916" s="236"/>
      <c r="V916" s="236"/>
      <c r="W916" s="237"/>
      <c r="X916" s="237"/>
      <c r="Y916" s="237"/>
      <c r="Z916" s="237"/>
      <c r="AA916" s="237"/>
      <c r="AB916" s="237"/>
      <c r="AC916" s="237"/>
      <c r="AD916" s="237"/>
      <c r="AE916" s="237"/>
      <c r="AF916" s="237"/>
      <c r="AG916" s="237"/>
      <c r="AH916" s="237"/>
      <c r="AI916" s="308"/>
      <c r="AJ916" s="308"/>
      <c r="AK916" s="308"/>
      <c r="AL916" s="308"/>
      <c r="AM916" s="98"/>
      <c r="AN916" s="98"/>
      <c r="AO916" s="98"/>
    </row>
    <row r="917" ht="14.25" customHeight="1">
      <c r="A917" s="179"/>
      <c r="B917" s="98"/>
      <c r="C917" s="98"/>
      <c r="D917" s="98"/>
      <c r="E917" s="98"/>
      <c r="F917" s="235"/>
      <c r="G917" s="235"/>
      <c r="H917" s="236"/>
      <c r="I917" s="236"/>
      <c r="J917" s="236"/>
      <c r="K917" s="236"/>
      <c r="L917" s="236"/>
      <c r="M917" s="236"/>
      <c r="N917" s="236"/>
      <c r="O917" s="236"/>
      <c r="P917" s="236"/>
      <c r="Q917" s="236"/>
      <c r="R917" s="236"/>
      <c r="S917" s="236"/>
      <c r="T917" s="236"/>
      <c r="U917" s="236"/>
      <c r="V917" s="236"/>
      <c r="W917" s="237"/>
      <c r="X917" s="237"/>
      <c r="Y917" s="237"/>
      <c r="Z917" s="237"/>
      <c r="AA917" s="237"/>
      <c r="AB917" s="237"/>
      <c r="AC917" s="237"/>
      <c r="AD917" s="237"/>
      <c r="AE917" s="237"/>
      <c r="AF917" s="237"/>
      <c r="AG917" s="237"/>
      <c r="AH917" s="237"/>
      <c r="AI917" s="308"/>
      <c r="AJ917" s="308"/>
      <c r="AK917" s="308"/>
      <c r="AL917" s="308"/>
      <c r="AM917" s="98"/>
      <c r="AN917" s="98"/>
      <c r="AO917" s="98"/>
    </row>
    <row r="918" ht="14.25" customHeight="1">
      <c r="A918" s="179"/>
      <c r="B918" s="98"/>
      <c r="C918" s="98"/>
      <c r="D918" s="98"/>
      <c r="E918" s="98"/>
      <c r="F918" s="235"/>
      <c r="G918" s="235"/>
      <c r="H918" s="236"/>
      <c r="I918" s="236"/>
      <c r="J918" s="236"/>
      <c r="K918" s="236"/>
      <c r="L918" s="236"/>
      <c r="M918" s="236"/>
      <c r="N918" s="236"/>
      <c r="O918" s="236"/>
      <c r="P918" s="236"/>
      <c r="Q918" s="236"/>
      <c r="R918" s="236"/>
      <c r="S918" s="236"/>
      <c r="T918" s="236"/>
      <c r="U918" s="236"/>
      <c r="V918" s="236"/>
      <c r="W918" s="237"/>
      <c r="X918" s="237"/>
      <c r="Y918" s="237"/>
      <c r="Z918" s="237"/>
      <c r="AA918" s="237"/>
      <c r="AB918" s="237"/>
      <c r="AC918" s="237"/>
      <c r="AD918" s="237"/>
      <c r="AE918" s="237"/>
      <c r="AF918" s="237"/>
      <c r="AG918" s="237"/>
      <c r="AH918" s="237"/>
      <c r="AI918" s="308"/>
      <c r="AJ918" s="308"/>
      <c r="AK918" s="308"/>
      <c r="AL918" s="308"/>
      <c r="AM918" s="98"/>
      <c r="AN918" s="98"/>
      <c r="AO918" s="98"/>
    </row>
    <row r="919" ht="14.25" customHeight="1">
      <c r="A919" s="179"/>
      <c r="B919" s="98"/>
      <c r="C919" s="98"/>
      <c r="D919" s="98"/>
      <c r="E919" s="98"/>
      <c r="F919" s="235"/>
      <c r="G919" s="235"/>
      <c r="H919" s="236"/>
      <c r="I919" s="236"/>
      <c r="J919" s="236"/>
      <c r="K919" s="236"/>
      <c r="L919" s="236"/>
      <c r="M919" s="236"/>
      <c r="N919" s="236"/>
      <c r="O919" s="236"/>
      <c r="P919" s="236"/>
      <c r="Q919" s="236"/>
      <c r="R919" s="236"/>
      <c r="S919" s="236"/>
      <c r="T919" s="236"/>
      <c r="U919" s="236"/>
      <c r="V919" s="236"/>
      <c r="W919" s="237"/>
      <c r="X919" s="237"/>
      <c r="Y919" s="237"/>
      <c r="Z919" s="237"/>
      <c r="AA919" s="237"/>
      <c r="AB919" s="237"/>
      <c r="AC919" s="237"/>
      <c r="AD919" s="237"/>
      <c r="AE919" s="237"/>
      <c r="AF919" s="237"/>
      <c r="AG919" s="237"/>
      <c r="AH919" s="237"/>
      <c r="AI919" s="308"/>
      <c r="AJ919" s="308"/>
      <c r="AK919" s="308"/>
      <c r="AL919" s="308"/>
      <c r="AM919" s="98"/>
      <c r="AN919" s="98"/>
      <c r="AO919" s="98"/>
    </row>
    <row r="920" ht="14.25" customHeight="1">
      <c r="A920" s="179"/>
      <c r="B920" s="98"/>
      <c r="C920" s="98"/>
      <c r="D920" s="98"/>
      <c r="E920" s="98"/>
      <c r="F920" s="235"/>
      <c r="G920" s="235"/>
      <c r="H920" s="236"/>
      <c r="I920" s="236"/>
      <c r="J920" s="236"/>
      <c r="K920" s="236"/>
      <c r="L920" s="236"/>
      <c r="M920" s="236"/>
      <c r="N920" s="236"/>
      <c r="O920" s="236"/>
      <c r="P920" s="236"/>
      <c r="Q920" s="236"/>
      <c r="R920" s="236"/>
      <c r="S920" s="236"/>
      <c r="T920" s="236"/>
      <c r="U920" s="236"/>
      <c r="V920" s="236"/>
      <c r="W920" s="237"/>
      <c r="X920" s="237"/>
      <c r="Y920" s="237"/>
      <c r="Z920" s="237"/>
      <c r="AA920" s="237"/>
      <c r="AB920" s="237"/>
      <c r="AC920" s="237"/>
      <c r="AD920" s="237"/>
      <c r="AE920" s="237"/>
      <c r="AF920" s="237"/>
      <c r="AG920" s="237"/>
      <c r="AH920" s="237"/>
      <c r="AI920" s="308"/>
      <c r="AJ920" s="308"/>
      <c r="AK920" s="308"/>
      <c r="AL920" s="308"/>
      <c r="AM920" s="98"/>
      <c r="AN920" s="98"/>
      <c r="AO920" s="98"/>
    </row>
    <row r="921" ht="14.25" customHeight="1">
      <c r="A921" s="179"/>
      <c r="B921" s="98"/>
      <c r="C921" s="98"/>
      <c r="D921" s="98"/>
      <c r="E921" s="98"/>
      <c r="F921" s="235"/>
      <c r="G921" s="235"/>
      <c r="H921" s="236"/>
      <c r="I921" s="236"/>
      <c r="J921" s="236"/>
      <c r="K921" s="236"/>
      <c r="L921" s="236"/>
      <c r="M921" s="236"/>
      <c r="N921" s="236"/>
      <c r="O921" s="236"/>
      <c r="P921" s="236"/>
      <c r="Q921" s="236"/>
      <c r="R921" s="236"/>
      <c r="S921" s="236"/>
      <c r="T921" s="236"/>
      <c r="U921" s="236"/>
      <c r="V921" s="236"/>
      <c r="W921" s="237"/>
      <c r="X921" s="237"/>
      <c r="Y921" s="237"/>
      <c r="Z921" s="237"/>
      <c r="AA921" s="237"/>
      <c r="AB921" s="237"/>
      <c r="AC921" s="237"/>
      <c r="AD921" s="237"/>
      <c r="AE921" s="237"/>
      <c r="AF921" s="237"/>
      <c r="AG921" s="237"/>
      <c r="AH921" s="237"/>
      <c r="AI921" s="308"/>
      <c r="AJ921" s="308"/>
      <c r="AK921" s="308"/>
      <c r="AL921" s="308"/>
      <c r="AM921" s="98"/>
      <c r="AN921" s="98"/>
      <c r="AO921" s="98"/>
    </row>
    <row r="922" ht="14.25" customHeight="1">
      <c r="A922" s="179"/>
      <c r="B922" s="98"/>
      <c r="C922" s="98"/>
      <c r="D922" s="98"/>
      <c r="E922" s="98"/>
      <c r="F922" s="235"/>
      <c r="G922" s="235"/>
      <c r="H922" s="236"/>
      <c r="I922" s="236"/>
      <c r="J922" s="236"/>
      <c r="K922" s="236"/>
      <c r="L922" s="236"/>
      <c r="M922" s="236"/>
      <c r="N922" s="236"/>
      <c r="O922" s="236"/>
      <c r="P922" s="236"/>
      <c r="Q922" s="236"/>
      <c r="R922" s="236"/>
      <c r="S922" s="236"/>
      <c r="T922" s="236"/>
      <c r="U922" s="236"/>
      <c r="V922" s="236"/>
      <c r="W922" s="237"/>
      <c r="X922" s="237"/>
      <c r="Y922" s="237"/>
      <c r="Z922" s="237"/>
      <c r="AA922" s="237"/>
      <c r="AB922" s="237"/>
      <c r="AC922" s="237"/>
      <c r="AD922" s="237"/>
      <c r="AE922" s="237"/>
      <c r="AF922" s="237"/>
      <c r="AG922" s="237"/>
      <c r="AH922" s="237"/>
      <c r="AI922" s="308"/>
      <c r="AJ922" s="308"/>
      <c r="AK922" s="308"/>
      <c r="AL922" s="308"/>
      <c r="AM922" s="98"/>
      <c r="AN922" s="98"/>
      <c r="AO922" s="98"/>
    </row>
    <row r="923" ht="14.25" customHeight="1">
      <c r="A923" s="179"/>
      <c r="B923" s="98"/>
      <c r="C923" s="98"/>
      <c r="D923" s="98"/>
      <c r="E923" s="98"/>
      <c r="F923" s="235"/>
      <c r="G923" s="235"/>
      <c r="H923" s="236"/>
      <c r="I923" s="236"/>
      <c r="J923" s="236"/>
      <c r="K923" s="236"/>
      <c r="L923" s="236"/>
      <c r="M923" s="236"/>
      <c r="N923" s="236"/>
      <c r="O923" s="236"/>
      <c r="P923" s="236"/>
      <c r="Q923" s="236"/>
      <c r="R923" s="236"/>
      <c r="S923" s="236"/>
      <c r="T923" s="236"/>
      <c r="U923" s="236"/>
      <c r="V923" s="236"/>
      <c r="W923" s="237"/>
      <c r="X923" s="237"/>
      <c r="Y923" s="237"/>
      <c r="Z923" s="237"/>
      <c r="AA923" s="237"/>
      <c r="AB923" s="237"/>
      <c r="AC923" s="237"/>
      <c r="AD923" s="237"/>
      <c r="AE923" s="237"/>
      <c r="AF923" s="237"/>
      <c r="AG923" s="237"/>
      <c r="AH923" s="237"/>
      <c r="AI923" s="308"/>
      <c r="AJ923" s="308"/>
      <c r="AK923" s="308"/>
      <c r="AL923" s="308"/>
      <c r="AM923" s="98"/>
      <c r="AN923" s="98"/>
      <c r="AO923" s="98"/>
    </row>
    <row r="924" ht="14.25" customHeight="1">
      <c r="A924" s="179"/>
      <c r="B924" s="98"/>
      <c r="C924" s="98"/>
      <c r="D924" s="98"/>
      <c r="E924" s="98"/>
      <c r="F924" s="235"/>
      <c r="G924" s="235"/>
      <c r="H924" s="236"/>
      <c r="I924" s="236"/>
      <c r="J924" s="236"/>
      <c r="K924" s="236"/>
      <c r="L924" s="236"/>
      <c r="M924" s="236"/>
      <c r="N924" s="236"/>
      <c r="O924" s="236"/>
      <c r="P924" s="236"/>
      <c r="Q924" s="236"/>
      <c r="R924" s="236"/>
      <c r="S924" s="236"/>
      <c r="T924" s="236"/>
      <c r="U924" s="236"/>
      <c r="V924" s="236"/>
      <c r="W924" s="237"/>
      <c r="X924" s="237"/>
      <c r="Y924" s="237"/>
      <c r="Z924" s="237"/>
      <c r="AA924" s="237"/>
      <c r="AB924" s="237"/>
      <c r="AC924" s="237"/>
      <c r="AD924" s="237"/>
      <c r="AE924" s="237"/>
      <c r="AF924" s="237"/>
      <c r="AG924" s="237"/>
      <c r="AH924" s="237"/>
      <c r="AI924" s="308"/>
      <c r="AJ924" s="308"/>
      <c r="AK924" s="308"/>
      <c r="AL924" s="308"/>
      <c r="AM924" s="98"/>
      <c r="AN924" s="98"/>
      <c r="AO924" s="98"/>
    </row>
    <row r="925" ht="14.25" customHeight="1">
      <c r="A925" s="179"/>
      <c r="B925" s="98"/>
      <c r="C925" s="98"/>
      <c r="D925" s="98"/>
      <c r="E925" s="98"/>
      <c r="F925" s="235"/>
      <c r="G925" s="235"/>
      <c r="H925" s="236"/>
      <c r="I925" s="236"/>
      <c r="J925" s="236"/>
      <c r="K925" s="236"/>
      <c r="L925" s="236"/>
      <c r="M925" s="236"/>
      <c r="N925" s="236"/>
      <c r="O925" s="236"/>
      <c r="P925" s="236"/>
      <c r="Q925" s="236"/>
      <c r="R925" s="236"/>
      <c r="S925" s="236"/>
      <c r="T925" s="236"/>
      <c r="U925" s="236"/>
      <c r="V925" s="236"/>
      <c r="W925" s="237"/>
      <c r="X925" s="237"/>
      <c r="Y925" s="237"/>
      <c r="Z925" s="237"/>
      <c r="AA925" s="237"/>
      <c r="AB925" s="237"/>
      <c r="AC925" s="237"/>
      <c r="AD925" s="237"/>
      <c r="AE925" s="237"/>
      <c r="AF925" s="237"/>
      <c r="AG925" s="237"/>
      <c r="AH925" s="237"/>
      <c r="AI925" s="308"/>
      <c r="AJ925" s="308"/>
      <c r="AK925" s="308"/>
      <c r="AL925" s="308"/>
      <c r="AM925" s="98"/>
      <c r="AN925" s="98"/>
      <c r="AO925" s="98"/>
    </row>
    <row r="926" ht="14.25" customHeight="1">
      <c r="A926" s="179"/>
      <c r="B926" s="98"/>
      <c r="C926" s="98"/>
      <c r="D926" s="98"/>
      <c r="E926" s="98"/>
      <c r="F926" s="235"/>
      <c r="G926" s="235"/>
      <c r="H926" s="236"/>
      <c r="I926" s="236"/>
      <c r="J926" s="236"/>
      <c r="K926" s="236"/>
      <c r="L926" s="236"/>
      <c r="M926" s="236"/>
      <c r="N926" s="236"/>
      <c r="O926" s="236"/>
      <c r="P926" s="236"/>
      <c r="Q926" s="236"/>
      <c r="R926" s="236"/>
      <c r="S926" s="236"/>
      <c r="T926" s="236"/>
      <c r="U926" s="236"/>
      <c r="V926" s="236"/>
      <c r="W926" s="237"/>
      <c r="X926" s="237"/>
      <c r="Y926" s="237"/>
      <c r="Z926" s="237"/>
      <c r="AA926" s="237"/>
      <c r="AB926" s="237"/>
      <c r="AC926" s="237"/>
      <c r="AD926" s="237"/>
      <c r="AE926" s="237"/>
      <c r="AF926" s="237"/>
      <c r="AG926" s="237"/>
      <c r="AH926" s="237"/>
      <c r="AI926" s="308"/>
      <c r="AJ926" s="308"/>
      <c r="AK926" s="308"/>
      <c r="AL926" s="308"/>
      <c r="AM926" s="98"/>
      <c r="AN926" s="98"/>
      <c r="AO926" s="98"/>
    </row>
    <row r="927" ht="14.25" customHeight="1">
      <c r="A927" s="179"/>
      <c r="B927" s="98"/>
      <c r="C927" s="98"/>
      <c r="D927" s="98"/>
      <c r="E927" s="98"/>
      <c r="F927" s="235"/>
      <c r="G927" s="235"/>
      <c r="H927" s="236"/>
      <c r="I927" s="236"/>
      <c r="J927" s="236"/>
      <c r="K927" s="236"/>
      <c r="L927" s="236"/>
      <c r="M927" s="236"/>
      <c r="N927" s="236"/>
      <c r="O927" s="236"/>
      <c r="P927" s="236"/>
      <c r="Q927" s="236"/>
      <c r="R927" s="236"/>
      <c r="S927" s="236"/>
      <c r="T927" s="236"/>
      <c r="U927" s="236"/>
      <c r="V927" s="236"/>
      <c r="W927" s="237"/>
      <c r="X927" s="237"/>
      <c r="Y927" s="237"/>
      <c r="Z927" s="237"/>
      <c r="AA927" s="237"/>
      <c r="AB927" s="237"/>
      <c r="AC927" s="237"/>
      <c r="AD927" s="237"/>
      <c r="AE927" s="237"/>
      <c r="AF927" s="237"/>
      <c r="AG927" s="237"/>
      <c r="AH927" s="237"/>
      <c r="AI927" s="308"/>
      <c r="AJ927" s="308"/>
      <c r="AK927" s="308"/>
      <c r="AL927" s="308"/>
      <c r="AM927" s="98"/>
      <c r="AN927" s="98"/>
      <c r="AO927" s="98"/>
    </row>
    <row r="928" ht="14.25" customHeight="1">
      <c r="A928" s="179"/>
      <c r="B928" s="98"/>
      <c r="C928" s="98"/>
      <c r="D928" s="98"/>
      <c r="E928" s="98"/>
      <c r="F928" s="235"/>
      <c r="G928" s="235"/>
      <c r="H928" s="236"/>
      <c r="I928" s="236"/>
      <c r="J928" s="236"/>
      <c r="K928" s="236"/>
      <c r="L928" s="236"/>
      <c r="M928" s="236"/>
      <c r="N928" s="236"/>
      <c r="O928" s="236"/>
      <c r="P928" s="236"/>
      <c r="Q928" s="236"/>
      <c r="R928" s="236"/>
      <c r="S928" s="236"/>
      <c r="T928" s="236"/>
      <c r="U928" s="236"/>
      <c r="V928" s="236"/>
      <c r="W928" s="237"/>
      <c r="X928" s="237"/>
      <c r="Y928" s="237"/>
      <c r="Z928" s="237"/>
      <c r="AA928" s="237"/>
      <c r="AB928" s="237"/>
      <c r="AC928" s="237"/>
      <c r="AD928" s="237"/>
      <c r="AE928" s="237"/>
      <c r="AF928" s="237"/>
      <c r="AG928" s="237"/>
      <c r="AH928" s="237"/>
      <c r="AI928" s="308"/>
      <c r="AJ928" s="308"/>
      <c r="AK928" s="308"/>
      <c r="AL928" s="308"/>
      <c r="AM928" s="98"/>
      <c r="AN928" s="98"/>
      <c r="AO928" s="98"/>
    </row>
    <row r="929" ht="14.25" customHeight="1">
      <c r="A929" s="179"/>
      <c r="B929" s="98"/>
      <c r="C929" s="98"/>
      <c r="D929" s="98"/>
      <c r="E929" s="98"/>
      <c r="F929" s="235"/>
      <c r="G929" s="235"/>
      <c r="H929" s="236"/>
      <c r="I929" s="236"/>
      <c r="J929" s="236"/>
      <c r="K929" s="236"/>
      <c r="L929" s="236"/>
      <c r="M929" s="236"/>
      <c r="N929" s="236"/>
      <c r="O929" s="236"/>
      <c r="P929" s="236"/>
      <c r="Q929" s="236"/>
      <c r="R929" s="236"/>
      <c r="S929" s="236"/>
      <c r="T929" s="236"/>
      <c r="U929" s="236"/>
      <c r="V929" s="236"/>
      <c r="W929" s="237"/>
      <c r="X929" s="237"/>
      <c r="Y929" s="237"/>
      <c r="Z929" s="237"/>
      <c r="AA929" s="237"/>
      <c r="AB929" s="237"/>
      <c r="AC929" s="237"/>
      <c r="AD929" s="237"/>
      <c r="AE929" s="237"/>
      <c r="AF929" s="237"/>
      <c r="AG929" s="237"/>
      <c r="AH929" s="237"/>
      <c r="AI929" s="308"/>
      <c r="AJ929" s="308"/>
      <c r="AK929" s="308"/>
      <c r="AL929" s="308"/>
      <c r="AM929" s="98"/>
      <c r="AN929" s="98"/>
      <c r="AO929" s="98"/>
    </row>
    <row r="930" ht="14.25" customHeight="1">
      <c r="A930" s="179"/>
      <c r="B930" s="98"/>
      <c r="C930" s="98"/>
      <c r="D930" s="98"/>
      <c r="E930" s="98"/>
      <c r="F930" s="235"/>
      <c r="G930" s="235"/>
      <c r="H930" s="236"/>
      <c r="I930" s="236"/>
      <c r="J930" s="236"/>
      <c r="K930" s="236"/>
      <c r="L930" s="236"/>
      <c r="M930" s="236"/>
      <c r="N930" s="236"/>
      <c r="O930" s="236"/>
      <c r="P930" s="236"/>
      <c r="Q930" s="236"/>
      <c r="R930" s="236"/>
      <c r="S930" s="236"/>
      <c r="T930" s="236"/>
      <c r="U930" s="236"/>
      <c r="V930" s="236"/>
      <c r="W930" s="237"/>
      <c r="X930" s="237"/>
      <c r="Y930" s="237"/>
      <c r="Z930" s="237"/>
      <c r="AA930" s="237"/>
      <c r="AB930" s="237"/>
      <c r="AC930" s="237"/>
      <c r="AD930" s="237"/>
      <c r="AE930" s="237"/>
      <c r="AF930" s="237"/>
      <c r="AG930" s="237"/>
      <c r="AH930" s="237"/>
      <c r="AI930" s="308"/>
      <c r="AJ930" s="308"/>
      <c r="AK930" s="308"/>
      <c r="AL930" s="308"/>
      <c r="AM930" s="98"/>
      <c r="AN930" s="98"/>
      <c r="AO930" s="98"/>
    </row>
    <row r="931" ht="14.25" customHeight="1">
      <c r="A931" s="179"/>
      <c r="B931" s="98"/>
      <c r="C931" s="98"/>
      <c r="D931" s="98"/>
      <c r="E931" s="98"/>
      <c r="F931" s="235"/>
      <c r="G931" s="235"/>
      <c r="H931" s="236"/>
      <c r="I931" s="236"/>
      <c r="J931" s="236"/>
      <c r="K931" s="236"/>
      <c r="L931" s="236"/>
      <c r="M931" s="236"/>
      <c r="N931" s="236"/>
      <c r="O931" s="236"/>
      <c r="P931" s="236"/>
      <c r="Q931" s="236"/>
      <c r="R931" s="236"/>
      <c r="S931" s="236"/>
      <c r="T931" s="236"/>
      <c r="U931" s="236"/>
      <c r="V931" s="236"/>
      <c r="W931" s="237"/>
      <c r="X931" s="237"/>
      <c r="Y931" s="237"/>
      <c r="Z931" s="237"/>
      <c r="AA931" s="237"/>
      <c r="AB931" s="237"/>
      <c r="AC931" s="237"/>
      <c r="AD931" s="237"/>
      <c r="AE931" s="237"/>
      <c r="AF931" s="237"/>
      <c r="AG931" s="237"/>
      <c r="AH931" s="237"/>
      <c r="AI931" s="308"/>
      <c r="AJ931" s="308"/>
      <c r="AK931" s="308"/>
      <c r="AL931" s="308"/>
      <c r="AM931" s="98"/>
      <c r="AN931" s="98"/>
      <c r="AO931" s="98"/>
    </row>
    <row r="932" ht="14.25" customHeight="1">
      <c r="A932" s="179"/>
      <c r="B932" s="98"/>
      <c r="C932" s="98"/>
      <c r="D932" s="98"/>
      <c r="E932" s="98"/>
      <c r="F932" s="235"/>
      <c r="G932" s="235"/>
      <c r="H932" s="236"/>
      <c r="I932" s="236"/>
      <c r="J932" s="236"/>
      <c r="K932" s="236"/>
      <c r="L932" s="236"/>
      <c r="M932" s="236"/>
      <c r="N932" s="236"/>
      <c r="O932" s="236"/>
      <c r="P932" s="236"/>
      <c r="Q932" s="236"/>
      <c r="R932" s="236"/>
      <c r="S932" s="236"/>
      <c r="T932" s="236"/>
      <c r="U932" s="236"/>
      <c r="V932" s="236"/>
      <c r="W932" s="237"/>
      <c r="X932" s="237"/>
      <c r="Y932" s="237"/>
      <c r="Z932" s="237"/>
      <c r="AA932" s="237"/>
      <c r="AB932" s="237"/>
      <c r="AC932" s="237"/>
      <c r="AD932" s="237"/>
      <c r="AE932" s="237"/>
      <c r="AF932" s="237"/>
      <c r="AG932" s="237"/>
      <c r="AH932" s="237"/>
      <c r="AI932" s="308"/>
      <c r="AJ932" s="308"/>
      <c r="AK932" s="308"/>
      <c r="AL932" s="308"/>
      <c r="AM932" s="98"/>
      <c r="AN932" s="98"/>
      <c r="AO932" s="98"/>
    </row>
    <row r="933" ht="14.25" customHeight="1">
      <c r="A933" s="179"/>
      <c r="B933" s="98"/>
      <c r="C933" s="98"/>
      <c r="D933" s="98"/>
      <c r="E933" s="98"/>
      <c r="F933" s="235"/>
      <c r="G933" s="235"/>
      <c r="H933" s="236"/>
      <c r="I933" s="236"/>
      <c r="J933" s="236"/>
      <c r="K933" s="236"/>
      <c r="L933" s="236"/>
      <c r="M933" s="236"/>
      <c r="N933" s="236"/>
      <c r="O933" s="236"/>
      <c r="P933" s="236"/>
      <c r="Q933" s="236"/>
      <c r="R933" s="236"/>
      <c r="S933" s="236"/>
      <c r="T933" s="236"/>
      <c r="U933" s="236"/>
      <c r="V933" s="236"/>
      <c r="W933" s="237"/>
      <c r="X933" s="237"/>
      <c r="Y933" s="237"/>
      <c r="Z933" s="237"/>
      <c r="AA933" s="237"/>
      <c r="AB933" s="237"/>
      <c r="AC933" s="237"/>
      <c r="AD933" s="237"/>
      <c r="AE933" s="237"/>
      <c r="AF933" s="237"/>
      <c r="AG933" s="237"/>
      <c r="AH933" s="237"/>
      <c r="AI933" s="308"/>
      <c r="AJ933" s="308"/>
      <c r="AK933" s="308"/>
      <c r="AL933" s="308"/>
      <c r="AM933" s="98"/>
      <c r="AN933" s="98"/>
      <c r="AO933" s="98"/>
    </row>
    <row r="934" ht="14.25" customHeight="1">
      <c r="A934" s="179"/>
      <c r="B934" s="98"/>
      <c r="C934" s="98"/>
      <c r="D934" s="98"/>
      <c r="E934" s="98"/>
      <c r="F934" s="235"/>
      <c r="G934" s="235"/>
      <c r="H934" s="236"/>
      <c r="I934" s="236"/>
      <c r="J934" s="236"/>
      <c r="K934" s="236"/>
      <c r="L934" s="236"/>
      <c r="M934" s="236"/>
      <c r="N934" s="236"/>
      <c r="O934" s="236"/>
      <c r="P934" s="236"/>
      <c r="Q934" s="236"/>
      <c r="R934" s="236"/>
      <c r="S934" s="236"/>
      <c r="T934" s="236"/>
      <c r="U934" s="236"/>
      <c r="V934" s="236"/>
      <c r="W934" s="237"/>
      <c r="X934" s="237"/>
      <c r="Y934" s="237"/>
      <c r="Z934" s="237"/>
      <c r="AA934" s="237"/>
      <c r="AB934" s="237"/>
      <c r="AC934" s="237"/>
      <c r="AD934" s="237"/>
      <c r="AE934" s="237"/>
      <c r="AF934" s="237"/>
      <c r="AG934" s="237"/>
      <c r="AH934" s="237"/>
      <c r="AI934" s="308"/>
      <c r="AJ934" s="308"/>
      <c r="AK934" s="308"/>
      <c r="AL934" s="308"/>
      <c r="AM934" s="98"/>
      <c r="AN934" s="98"/>
      <c r="AO934" s="98"/>
    </row>
    <row r="935" ht="14.25" customHeight="1">
      <c r="A935" s="179"/>
      <c r="B935" s="98"/>
      <c r="C935" s="98"/>
      <c r="D935" s="98"/>
      <c r="E935" s="98"/>
      <c r="F935" s="235"/>
      <c r="G935" s="235"/>
      <c r="H935" s="236"/>
      <c r="I935" s="236"/>
      <c r="J935" s="236"/>
      <c r="K935" s="236"/>
      <c r="L935" s="236"/>
      <c r="M935" s="236"/>
      <c r="N935" s="236"/>
      <c r="O935" s="236"/>
      <c r="P935" s="236"/>
      <c r="Q935" s="236"/>
      <c r="R935" s="236"/>
      <c r="S935" s="236"/>
      <c r="T935" s="236"/>
      <c r="U935" s="236"/>
      <c r="V935" s="236"/>
      <c r="W935" s="237"/>
      <c r="X935" s="237"/>
      <c r="Y935" s="237"/>
      <c r="Z935" s="237"/>
      <c r="AA935" s="237"/>
      <c r="AB935" s="237"/>
      <c r="AC935" s="237"/>
      <c r="AD935" s="237"/>
      <c r="AE935" s="237"/>
      <c r="AF935" s="237"/>
      <c r="AG935" s="237"/>
      <c r="AH935" s="237"/>
      <c r="AI935" s="308"/>
      <c r="AJ935" s="308"/>
      <c r="AK935" s="308"/>
      <c r="AL935" s="308"/>
      <c r="AM935" s="98"/>
      <c r="AN935" s="98"/>
      <c r="AO935" s="98"/>
    </row>
    <row r="936" ht="14.25" customHeight="1">
      <c r="A936" s="179"/>
      <c r="B936" s="98"/>
      <c r="C936" s="98"/>
      <c r="D936" s="98"/>
      <c r="E936" s="98"/>
      <c r="F936" s="235"/>
      <c r="G936" s="235"/>
      <c r="H936" s="236"/>
      <c r="I936" s="236"/>
      <c r="J936" s="236"/>
      <c r="K936" s="236"/>
      <c r="L936" s="236"/>
      <c r="M936" s="236"/>
      <c r="N936" s="236"/>
      <c r="O936" s="236"/>
      <c r="P936" s="236"/>
      <c r="Q936" s="236"/>
      <c r="R936" s="236"/>
      <c r="S936" s="236"/>
      <c r="T936" s="236"/>
      <c r="U936" s="236"/>
      <c r="V936" s="236"/>
      <c r="W936" s="237"/>
      <c r="X936" s="237"/>
      <c r="Y936" s="237"/>
      <c r="Z936" s="237"/>
      <c r="AA936" s="237"/>
      <c r="AB936" s="237"/>
      <c r="AC936" s="237"/>
      <c r="AD936" s="237"/>
      <c r="AE936" s="237"/>
      <c r="AF936" s="237"/>
      <c r="AG936" s="237"/>
      <c r="AH936" s="237"/>
      <c r="AI936" s="308"/>
      <c r="AJ936" s="308"/>
      <c r="AK936" s="308"/>
      <c r="AL936" s="308"/>
      <c r="AM936" s="98"/>
      <c r="AN936" s="98"/>
      <c r="AO936" s="98"/>
    </row>
    <row r="937" ht="14.25" customHeight="1">
      <c r="A937" s="179"/>
      <c r="B937" s="98"/>
      <c r="C937" s="98"/>
      <c r="D937" s="98"/>
      <c r="E937" s="98"/>
      <c r="F937" s="235"/>
      <c r="G937" s="235"/>
      <c r="H937" s="236"/>
      <c r="I937" s="236"/>
      <c r="J937" s="236"/>
      <c r="K937" s="236"/>
      <c r="L937" s="236"/>
      <c r="M937" s="236"/>
      <c r="N937" s="236"/>
      <c r="O937" s="236"/>
      <c r="P937" s="236"/>
      <c r="Q937" s="236"/>
      <c r="R937" s="236"/>
      <c r="S937" s="236"/>
      <c r="T937" s="236"/>
      <c r="U937" s="236"/>
      <c r="V937" s="236"/>
      <c r="W937" s="237"/>
      <c r="X937" s="237"/>
      <c r="Y937" s="237"/>
      <c r="Z937" s="237"/>
      <c r="AA937" s="237"/>
      <c r="AB937" s="237"/>
      <c r="AC937" s="237"/>
      <c r="AD937" s="237"/>
      <c r="AE937" s="237"/>
      <c r="AF937" s="237"/>
      <c r="AG937" s="237"/>
      <c r="AH937" s="237"/>
      <c r="AI937" s="308"/>
      <c r="AJ937" s="308"/>
      <c r="AK937" s="308"/>
      <c r="AL937" s="308"/>
      <c r="AM937" s="98"/>
      <c r="AN937" s="98"/>
      <c r="AO937" s="98"/>
    </row>
    <row r="938" ht="14.25" customHeight="1">
      <c r="A938" s="179"/>
      <c r="B938" s="98"/>
      <c r="C938" s="98"/>
      <c r="D938" s="98"/>
      <c r="E938" s="98"/>
      <c r="F938" s="235"/>
      <c r="G938" s="235"/>
      <c r="H938" s="236"/>
      <c r="I938" s="236"/>
      <c r="J938" s="236"/>
      <c r="K938" s="236"/>
      <c r="L938" s="236"/>
      <c r="M938" s="236"/>
      <c r="N938" s="236"/>
      <c r="O938" s="236"/>
      <c r="P938" s="236"/>
      <c r="Q938" s="236"/>
      <c r="R938" s="236"/>
      <c r="S938" s="236"/>
      <c r="T938" s="236"/>
      <c r="U938" s="236"/>
      <c r="V938" s="236"/>
      <c r="W938" s="237"/>
      <c r="X938" s="237"/>
      <c r="Y938" s="237"/>
      <c r="Z938" s="237"/>
      <c r="AA938" s="237"/>
      <c r="AB938" s="237"/>
      <c r="AC938" s="237"/>
      <c r="AD938" s="237"/>
      <c r="AE938" s="237"/>
      <c r="AF938" s="237"/>
      <c r="AG938" s="237"/>
      <c r="AH938" s="237"/>
      <c r="AI938" s="308"/>
      <c r="AJ938" s="308"/>
      <c r="AK938" s="308"/>
      <c r="AL938" s="308"/>
      <c r="AM938" s="98"/>
      <c r="AN938" s="98"/>
      <c r="AO938" s="98"/>
    </row>
    <row r="939" ht="14.25" customHeight="1">
      <c r="A939" s="179"/>
      <c r="B939" s="98"/>
      <c r="C939" s="98"/>
      <c r="D939" s="98"/>
      <c r="E939" s="98"/>
      <c r="F939" s="235"/>
      <c r="G939" s="235"/>
      <c r="H939" s="236"/>
      <c r="I939" s="236"/>
      <c r="J939" s="236"/>
      <c r="K939" s="236"/>
      <c r="L939" s="236"/>
      <c r="M939" s="236"/>
      <c r="N939" s="236"/>
      <c r="O939" s="236"/>
      <c r="P939" s="236"/>
      <c r="Q939" s="236"/>
      <c r="R939" s="236"/>
      <c r="S939" s="236"/>
      <c r="T939" s="236"/>
      <c r="U939" s="236"/>
      <c r="V939" s="236"/>
      <c r="W939" s="237"/>
      <c r="X939" s="237"/>
      <c r="Y939" s="237"/>
      <c r="Z939" s="237"/>
      <c r="AA939" s="237"/>
      <c r="AB939" s="237"/>
      <c r="AC939" s="237"/>
      <c r="AD939" s="237"/>
      <c r="AE939" s="237"/>
      <c r="AF939" s="237"/>
      <c r="AG939" s="237"/>
      <c r="AH939" s="237"/>
      <c r="AI939" s="308"/>
      <c r="AJ939" s="308"/>
      <c r="AK939" s="308"/>
      <c r="AL939" s="308"/>
      <c r="AM939" s="98"/>
      <c r="AN939" s="98"/>
      <c r="AO939" s="98"/>
    </row>
    <row r="940" ht="14.25" customHeight="1">
      <c r="A940" s="179"/>
      <c r="B940" s="98"/>
      <c r="C940" s="98"/>
      <c r="D940" s="98"/>
      <c r="E940" s="98"/>
      <c r="F940" s="235"/>
      <c r="G940" s="235"/>
      <c r="H940" s="236"/>
      <c r="I940" s="236"/>
      <c r="J940" s="236"/>
      <c r="K940" s="236"/>
      <c r="L940" s="236"/>
      <c r="M940" s="236"/>
      <c r="N940" s="236"/>
      <c r="O940" s="236"/>
      <c r="P940" s="236"/>
      <c r="Q940" s="236"/>
      <c r="R940" s="236"/>
      <c r="S940" s="236"/>
      <c r="T940" s="236"/>
      <c r="U940" s="236"/>
      <c r="V940" s="236"/>
      <c r="W940" s="237"/>
      <c r="X940" s="237"/>
      <c r="Y940" s="237"/>
      <c r="Z940" s="237"/>
      <c r="AA940" s="237"/>
      <c r="AB940" s="237"/>
      <c r="AC940" s="237"/>
      <c r="AD940" s="237"/>
      <c r="AE940" s="237"/>
      <c r="AF940" s="237"/>
      <c r="AG940" s="237"/>
      <c r="AH940" s="237"/>
      <c r="AI940" s="308"/>
      <c r="AJ940" s="308"/>
      <c r="AK940" s="308"/>
      <c r="AL940" s="308"/>
      <c r="AM940" s="98"/>
      <c r="AN940" s="98"/>
      <c r="AO940" s="98"/>
    </row>
    <row r="941" ht="14.25" customHeight="1">
      <c r="A941" s="179"/>
      <c r="B941" s="98"/>
      <c r="C941" s="98"/>
      <c r="D941" s="98"/>
      <c r="E941" s="98"/>
      <c r="F941" s="235"/>
      <c r="G941" s="235"/>
      <c r="H941" s="236"/>
      <c r="I941" s="236"/>
      <c r="J941" s="236"/>
      <c r="K941" s="236"/>
      <c r="L941" s="236"/>
      <c r="M941" s="236"/>
      <c r="N941" s="236"/>
      <c r="O941" s="236"/>
      <c r="P941" s="236"/>
      <c r="Q941" s="236"/>
      <c r="R941" s="236"/>
      <c r="S941" s="236"/>
      <c r="T941" s="236"/>
      <c r="U941" s="236"/>
      <c r="V941" s="236"/>
      <c r="W941" s="237"/>
      <c r="X941" s="237"/>
      <c r="Y941" s="237"/>
      <c r="Z941" s="237"/>
      <c r="AA941" s="237"/>
      <c r="AB941" s="237"/>
      <c r="AC941" s="237"/>
      <c r="AD941" s="237"/>
      <c r="AE941" s="237"/>
      <c r="AF941" s="237"/>
      <c r="AG941" s="237"/>
      <c r="AH941" s="237"/>
      <c r="AI941" s="308"/>
      <c r="AJ941" s="308"/>
      <c r="AK941" s="308"/>
      <c r="AL941" s="308"/>
      <c r="AM941" s="98"/>
      <c r="AN941" s="98"/>
      <c r="AO941" s="98"/>
    </row>
    <row r="942" ht="14.25" customHeight="1">
      <c r="A942" s="179"/>
      <c r="B942" s="98"/>
      <c r="C942" s="98"/>
      <c r="D942" s="98"/>
      <c r="E942" s="98"/>
      <c r="F942" s="235"/>
      <c r="G942" s="235"/>
      <c r="H942" s="236"/>
      <c r="I942" s="236"/>
      <c r="J942" s="236"/>
      <c r="K942" s="236"/>
      <c r="L942" s="236"/>
      <c r="M942" s="236"/>
      <c r="N942" s="236"/>
      <c r="O942" s="236"/>
      <c r="P942" s="236"/>
      <c r="Q942" s="236"/>
      <c r="R942" s="236"/>
      <c r="S942" s="236"/>
      <c r="T942" s="236"/>
      <c r="U942" s="236"/>
      <c r="V942" s="236"/>
      <c r="W942" s="237"/>
      <c r="X942" s="237"/>
      <c r="Y942" s="237"/>
      <c r="Z942" s="237"/>
      <c r="AA942" s="237"/>
      <c r="AB942" s="237"/>
      <c r="AC942" s="237"/>
      <c r="AD942" s="237"/>
      <c r="AE942" s="237"/>
      <c r="AF942" s="237"/>
      <c r="AG942" s="237"/>
      <c r="AH942" s="237"/>
      <c r="AI942" s="308"/>
      <c r="AJ942" s="308"/>
      <c r="AK942" s="308"/>
      <c r="AL942" s="308"/>
      <c r="AM942" s="98"/>
      <c r="AN942" s="98"/>
      <c r="AO942" s="98"/>
    </row>
    <row r="943" ht="14.25" customHeight="1">
      <c r="A943" s="179"/>
      <c r="B943" s="98"/>
      <c r="C943" s="98"/>
      <c r="D943" s="98"/>
      <c r="E943" s="98"/>
      <c r="F943" s="235"/>
      <c r="G943" s="235"/>
      <c r="H943" s="236"/>
      <c r="I943" s="236"/>
      <c r="J943" s="236"/>
      <c r="K943" s="236"/>
      <c r="L943" s="236"/>
      <c r="M943" s="236"/>
      <c r="N943" s="236"/>
      <c r="O943" s="236"/>
      <c r="P943" s="236"/>
      <c r="Q943" s="236"/>
      <c r="R943" s="236"/>
      <c r="S943" s="236"/>
      <c r="T943" s="236"/>
      <c r="U943" s="236"/>
      <c r="V943" s="236"/>
      <c r="W943" s="237"/>
      <c r="X943" s="237"/>
      <c r="Y943" s="237"/>
      <c r="Z943" s="237"/>
      <c r="AA943" s="237"/>
      <c r="AB943" s="237"/>
      <c r="AC943" s="237"/>
      <c r="AD943" s="237"/>
      <c r="AE943" s="237"/>
      <c r="AF943" s="237"/>
      <c r="AG943" s="237"/>
      <c r="AH943" s="237"/>
      <c r="AI943" s="308"/>
      <c r="AJ943" s="308"/>
      <c r="AK943" s="308"/>
      <c r="AL943" s="308"/>
      <c r="AM943" s="98"/>
      <c r="AN943" s="98"/>
      <c r="AO943" s="98"/>
    </row>
    <row r="944" ht="14.25" customHeight="1">
      <c r="A944" s="179"/>
      <c r="B944" s="98"/>
      <c r="C944" s="98"/>
      <c r="D944" s="98"/>
      <c r="E944" s="98"/>
      <c r="F944" s="235"/>
      <c r="G944" s="235"/>
      <c r="H944" s="236"/>
      <c r="I944" s="236"/>
      <c r="J944" s="236"/>
      <c r="K944" s="236"/>
      <c r="L944" s="236"/>
      <c r="M944" s="236"/>
      <c r="N944" s="236"/>
      <c r="O944" s="236"/>
      <c r="P944" s="236"/>
      <c r="Q944" s="236"/>
      <c r="R944" s="236"/>
      <c r="S944" s="236"/>
      <c r="T944" s="236"/>
      <c r="U944" s="236"/>
      <c r="V944" s="236"/>
      <c r="W944" s="237"/>
      <c r="X944" s="237"/>
      <c r="Y944" s="237"/>
      <c r="Z944" s="237"/>
      <c r="AA944" s="237"/>
      <c r="AB944" s="237"/>
      <c r="AC944" s="237"/>
      <c r="AD944" s="237"/>
      <c r="AE944" s="237"/>
      <c r="AF944" s="237"/>
      <c r="AG944" s="237"/>
      <c r="AH944" s="237"/>
      <c r="AI944" s="308"/>
      <c r="AJ944" s="308"/>
      <c r="AK944" s="308"/>
      <c r="AL944" s="308"/>
      <c r="AM944" s="98"/>
      <c r="AN944" s="98"/>
      <c r="AO944" s="98"/>
    </row>
    <row r="945" ht="14.25" customHeight="1">
      <c r="A945" s="179"/>
      <c r="B945" s="98"/>
      <c r="C945" s="98"/>
      <c r="D945" s="98"/>
      <c r="E945" s="98"/>
      <c r="F945" s="235"/>
      <c r="G945" s="235"/>
      <c r="H945" s="236"/>
      <c r="I945" s="236"/>
      <c r="J945" s="236"/>
      <c r="K945" s="236"/>
      <c r="L945" s="236"/>
      <c r="M945" s="236"/>
      <c r="N945" s="236"/>
      <c r="O945" s="236"/>
      <c r="P945" s="236"/>
      <c r="Q945" s="236"/>
      <c r="R945" s="236"/>
      <c r="S945" s="236"/>
      <c r="T945" s="236"/>
      <c r="U945" s="236"/>
      <c r="V945" s="236"/>
      <c r="W945" s="237"/>
      <c r="X945" s="237"/>
      <c r="Y945" s="237"/>
      <c r="Z945" s="237"/>
      <c r="AA945" s="237"/>
      <c r="AB945" s="237"/>
      <c r="AC945" s="237"/>
      <c r="AD945" s="237"/>
      <c r="AE945" s="237"/>
      <c r="AF945" s="237"/>
      <c r="AG945" s="237"/>
      <c r="AH945" s="237"/>
      <c r="AI945" s="308"/>
      <c r="AJ945" s="308"/>
      <c r="AK945" s="308"/>
      <c r="AL945" s="308"/>
      <c r="AM945" s="98"/>
      <c r="AN945" s="98"/>
      <c r="AO945" s="98"/>
    </row>
    <row r="946" ht="14.25" customHeight="1">
      <c r="A946" s="179"/>
      <c r="B946" s="98"/>
      <c r="C946" s="98"/>
      <c r="D946" s="98"/>
      <c r="E946" s="98"/>
      <c r="F946" s="235"/>
      <c r="G946" s="235"/>
      <c r="H946" s="236"/>
      <c r="I946" s="236"/>
      <c r="J946" s="236"/>
      <c r="K946" s="236"/>
      <c r="L946" s="236"/>
      <c r="M946" s="236"/>
      <c r="N946" s="236"/>
      <c r="O946" s="236"/>
      <c r="P946" s="236"/>
      <c r="Q946" s="236"/>
      <c r="R946" s="236"/>
      <c r="S946" s="236"/>
      <c r="T946" s="236"/>
      <c r="U946" s="236"/>
      <c r="V946" s="236"/>
      <c r="W946" s="237"/>
      <c r="X946" s="237"/>
      <c r="Y946" s="237"/>
      <c r="Z946" s="237"/>
      <c r="AA946" s="237"/>
      <c r="AB946" s="237"/>
      <c r="AC946" s="237"/>
      <c r="AD946" s="237"/>
      <c r="AE946" s="237"/>
      <c r="AF946" s="237"/>
      <c r="AG946" s="237"/>
      <c r="AH946" s="237"/>
      <c r="AI946" s="308"/>
      <c r="AJ946" s="308"/>
      <c r="AK946" s="308"/>
      <c r="AL946" s="308"/>
      <c r="AM946" s="98"/>
      <c r="AN946" s="98"/>
      <c r="AO946" s="98"/>
    </row>
    <row r="947" ht="14.25" customHeight="1">
      <c r="A947" s="179"/>
      <c r="B947" s="98"/>
      <c r="C947" s="98"/>
      <c r="D947" s="98"/>
      <c r="E947" s="98"/>
      <c r="F947" s="235"/>
      <c r="G947" s="235"/>
      <c r="H947" s="236"/>
      <c r="I947" s="236"/>
      <c r="J947" s="236"/>
      <c r="K947" s="236"/>
      <c r="L947" s="236"/>
      <c r="M947" s="236"/>
      <c r="N947" s="236"/>
      <c r="O947" s="236"/>
      <c r="P947" s="236"/>
      <c r="Q947" s="236"/>
      <c r="R947" s="236"/>
      <c r="S947" s="236"/>
      <c r="T947" s="236"/>
      <c r="U947" s="236"/>
      <c r="V947" s="236"/>
      <c r="W947" s="237"/>
      <c r="X947" s="237"/>
      <c r="Y947" s="237"/>
      <c r="Z947" s="237"/>
      <c r="AA947" s="237"/>
      <c r="AB947" s="237"/>
      <c r="AC947" s="237"/>
      <c r="AD947" s="237"/>
      <c r="AE947" s="237"/>
      <c r="AF947" s="237"/>
      <c r="AG947" s="237"/>
      <c r="AH947" s="237"/>
      <c r="AI947" s="308"/>
      <c r="AJ947" s="308"/>
      <c r="AK947" s="308"/>
      <c r="AL947" s="308"/>
      <c r="AM947" s="98"/>
      <c r="AN947" s="98"/>
      <c r="AO947" s="98"/>
    </row>
    <row r="948" ht="14.25" customHeight="1">
      <c r="A948" s="179"/>
      <c r="B948" s="98"/>
      <c r="C948" s="98"/>
      <c r="D948" s="98"/>
      <c r="E948" s="98"/>
      <c r="F948" s="235"/>
      <c r="G948" s="235"/>
      <c r="H948" s="236"/>
      <c r="I948" s="236"/>
      <c r="J948" s="236"/>
      <c r="K948" s="236"/>
      <c r="L948" s="236"/>
      <c r="M948" s="236"/>
      <c r="N948" s="236"/>
      <c r="O948" s="236"/>
      <c r="P948" s="236"/>
      <c r="Q948" s="236"/>
      <c r="R948" s="236"/>
      <c r="S948" s="236"/>
      <c r="T948" s="236"/>
      <c r="U948" s="236"/>
      <c r="V948" s="236"/>
      <c r="W948" s="237"/>
      <c r="X948" s="237"/>
      <c r="Y948" s="237"/>
      <c r="Z948" s="237"/>
      <c r="AA948" s="237"/>
      <c r="AB948" s="237"/>
      <c r="AC948" s="237"/>
      <c r="AD948" s="237"/>
      <c r="AE948" s="237"/>
      <c r="AF948" s="237"/>
      <c r="AG948" s="237"/>
      <c r="AH948" s="237"/>
      <c r="AI948" s="308"/>
      <c r="AJ948" s="308"/>
      <c r="AK948" s="308"/>
      <c r="AL948" s="308"/>
      <c r="AM948" s="98"/>
      <c r="AN948" s="98"/>
      <c r="AO948" s="98"/>
    </row>
    <row r="949" ht="14.25" customHeight="1">
      <c r="A949" s="179"/>
      <c r="B949" s="98"/>
      <c r="C949" s="98"/>
      <c r="D949" s="98"/>
      <c r="E949" s="98"/>
      <c r="F949" s="235"/>
      <c r="G949" s="235"/>
      <c r="H949" s="236"/>
      <c r="I949" s="236"/>
      <c r="J949" s="236"/>
      <c r="K949" s="236"/>
      <c r="L949" s="236"/>
      <c r="M949" s="236"/>
      <c r="N949" s="236"/>
      <c r="O949" s="236"/>
      <c r="P949" s="236"/>
      <c r="Q949" s="236"/>
      <c r="R949" s="236"/>
      <c r="S949" s="236"/>
      <c r="T949" s="236"/>
      <c r="U949" s="236"/>
      <c r="V949" s="236"/>
      <c r="W949" s="237"/>
      <c r="X949" s="237"/>
      <c r="Y949" s="237"/>
      <c r="Z949" s="237"/>
      <c r="AA949" s="237"/>
      <c r="AB949" s="237"/>
      <c r="AC949" s="237"/>
      <c r="AD949" s="237"/>
      <c r="AE949" s="237"/>
      <c r="AF949" s="237"/>
      <c r="AG949" s="237"/>
      <c r="AH949" s="237"/>
      <c r="AI949" s="308"/>
      <c r="AJ949" s="308"/>
      <c r="AK949" s="308"/>
      <c r="AL949" s="308"/>
      <c r="AM949" s="98"/>
      <c r="AN949" s="98"/>
      <c r="AO949" s="98"/>
    </row>
    <row r="950" ht="14.25" customHeight="1">
      <c r="A950" s="179"/>
      <c r="B950" s="98"/>
      <c r="C950" s="98"/>
      <c r="D950" s="98"/>
      <c r="E950" s="98"/>
      <c r="F950" s="235"/>
      <c r="G950" s="235"/>
      <c r="H950" s="236"/>
      <c r="I950" s="236"/>
      <c r="J950" s="236"/>
      <c r="K950" s="236"/>
      <c r="L950" s="236"/>
      <c r="M950" s="236"/>
      <c r="N950" s="236"/>
      <c r="O950" s="236"/>
      <c r="P950" s="236"/>
      <c r="Q950" s="236"/>
      <c r="R950" s="236"/>
      <c r="S950" s="236"/>
      <c r="T950" s="236"/>
      <c r="U950" s="236"/>
      <c r="V950" s="236"/>
      <c r="W950" s="237"/>
      <c r="X950" s="237"/>
      <c r="Y950" s="237"/>
      <c r="Z950" s="237"/>
      <c r="AA950" s="237"/>
      <c r="AB950" s="237"/>
      <c r="AC950" s="237"/>
      <c r="AD950" s="237"/>
      <c r="AE950" s="237"/>
      <c r="AF950" s="237"/>
      <c r="AG950" s="237"/>
      <c r="AH950" s="237"/>
      <c r="AI950" s="308"/>
      <c r="AJ950" s="308"/>
      <c r="AK950" s="308"/>
      <c r="AL950" s="308"/>
      <c r="AM950" s="98"/>
      <c r="AN950" s="98"/>
      <c r="AO950" s="98"/>
    </row>
    <row r="951" ht="14.25" customHeight="1">
      <c r="A951" s="179"/>
      <c r="B951" s="98"/>
      <c r="C951" s="98"/>
      <c r="D951" s="98"/>
      <c r="E951" s="98"/>
      <c r="F951" s="235"/>
      <c r="G951" s="235"/>
      <c r="H951" s="236"/>
      <c r="I951" s="236"/>
      <c r="J951" s="236"/>
      <c r="K951" s="236"/>
      <c r="L951" s="236"/>
      <c r="M951" s="236"/>
      <c r="N951" s="236"/>
      <c r="O951" s="236"/>
      <c r="P951" s="236"/>
      <c r="Q951" s="236"/>
      <c r="R951" s="236"/>
      <c r="S951" s="236"/>
      <c r="T951" s="236"/>
      <c r="U951" s="236"/>
      <c r="V951" s="236"/>
      <c r="W951" s="237"/>
      <c r="X951" s="237"/>
      <c r="Y951" s="237"/>
      <c r="Z951" s="237"/>
      <c r="AA951" s="237"/>
      <c r="AB951" s="237"/>
      <c r="AC951" s="237"/>
      <c r="AD951" s="237"/>
      <c r="AE951" s="237"/>
      <c r="AF951" s="237"/>
      <c r="AG951" s="237"/>
      <c r="AH951" s="237"/>
      <c r="AI951" s="308"/>
      <c r="AJ951" s="308"/>
      <c r="AK951" s="308"/>
      <c r="AL951" s="308"/>
      <c r="AM951" s="98"/>
      <c r="AN951" s="98"/>
      <c r="AO951" s="98"/>
    </row>
    <row r="952" ht="14.25" customHeight="1">
      <c r="A952" s="179"/>
      <c r="B952" s="98"/>
      <c r="C952" s="98"/>
      <c r="D952" s="98"/>
      <c r="E952" s="98"/>
      <c r="F952" s="235"/>
      <c r="G952" s="235"/>
      <c r="H952" s="236"/>
      <c r="I952" s="236"/>
      <c r="J952" s="236"/>
      <c r="K952" s="236"/>
      <c r="L952" s="236"/>
      <c r="M952" s="236"/>
      <c r="N952" s="236"/>
      <c r="O952" s="236"/>
      <c r="P952" s="236"/>
      <c r="Q952" s="236"/>
      <c r="R952" s="236"/>
      <c r="S952" s="236"/>
      <c r="T952" s="236"/>
      <c r="U952" s="236"/>
      <c r="V952" s="236"/>
      <c r="W952" s="237"/>
      <c r="X952" s="237"/>
      <c r="Y952" s="237"/>
      <c r="Z952" s="237"/>
      <c r="AA952" s="237"/>
      <c r="AB952" s="237"/>
      <c r="AC952" s="237"/>
      <c r="AD952" s="237"/>
      <c r="AE952" s="237"/>
      <c r="AF952" s="237"/>
      <c r="AG952" s="237"/>
      <c r="AH952" s="237"/>
      <c r="AI952" s="308"/>
      <c r="AJ952" s="308"/>
      <c r="AK952" s="308"/>
      <c r="AL952" s="308"/>
      <c r="AM952" s="98"/>
      <c r="AN952" s="98"/>
      <c r="AO952" s="98"/>
    </row>
    <row r="953" ht="14.25" customHeight="1">
      <c r="A953" s="179"/>
      <c r="B953" s="98"/>
      <c r="C953" s="98"/>
      <c r="D953" s="98"/>
      <c r="E953" s="98"/>
      <c r="F953" s="235"/>
      <c r="G953" s="235"/>
      <c r="H953" s="236"/>
      <c r="I953" s="236"/>
      <c r="J953" s="236"/>
      <c r="K953" s="236"/>
      <c r="L953" s="236"/>
      <c r="M953" s="236"/>
      <c r="N953" s="236"/>
      <c r="O953" s="236"/>
      <c r="P953" s="236"/>
      <c r="Q953" s="236"/>
      <c r="R953" s="236"/>
      <c r="S953" s="236"/>
      <c r="T953" s="236"/>
      <c r="U953" s="236"/>
      <c r="V953" s="236"/>
      <c r="W953" s="237"/>
      <c r="X953" s="237"/>
      <c r="Y953" s="237"/>
      <c r="Z953" s="237"/>
      <c r="AA953" s="237"/>
      <c r="AB953" s="237"/>
      <c r="AC953" s="237"/>
      <c r="AD953" s="237"/>
      <c r="AE953" s="237"/>
      <c r="AF953" s="237"/>
      <c r="AG953" s="237"/>
      <c r="AH953" s="237"/>
      <c r="AI953" s="308"/>
      <c r="AJ953" s="308"/>
      <c r="AK953" s="308"/>
      <c r="AL953" s="308"/>
      <c r="AM953" s="98"/>
      <c r="AN953" s="98"/>
      <c r="AO953" s="98"/>
    </row>
    <row r="954" ht="14.25" customHeight="1">
      <c r="A954" s="179"/>
      <c r="B954" s="98"/>
      <c r="C954" s="98"/>
      <c r="D954" s="98"/>
      <c r="E954" s="98"/>
      <c r="F954" s="235"/>
      <c r="G954" s="235"/>
      <c r="H954" s="236"/>
      <c r="I954" s="236"/>
      <c r="J954" s="236"/>
      <c r="K954" s="236"/>
      <c r="L954" s="236"/>
      <c r="M954" s="236"/>
      <c r="N954" s="236"/>
      <c r="O954" s="236"/>
      <c r="P954" s="236"/>
      <c r="Q954" s="236"/>
      <c r="R954" s="236"/>
      <c r="S954" s="236"/>
      <c r="T954" s="236"/>
      <c r="U954" s="236"/>
      <c r="V954" s="236"/>
      <c r="W954" s="237"/>
      <c r="X954" s="237"/>
      <c r="Y954" s="237"/>
      <c r="Z954" s="237"/>
      <c r="AA954" s="237"/>
      <c r="AB954" s="237"/>
      <c r="AC954" s="237"/>
      <c r="AD954" s="237"/>
      <c r="AE954" s="237"/>
      <c r="AF954" s="237"/>
      <c r="AG954" s="237"/>
      <c r="AH954" s="237"/>
      <c r="AI954" s="308"/>
      <c r="AJ954" s="308"/>
      <c r="AK954" s="308"/>
      <c r="AL954" s="308"/>
      <c r="AM954" s="98"/>
      <c r="AN954" s="98"/>
      <c r="AO954" s="98"/>
    </row>
    <row r="955" ht="14.25" customHeight="1">
      <c r="A955" s="179"/>
      <c r="B955" s="98"/>
      <c r="C955" s="98"/>
      <c r="D955" s="98"/>
      <c r="E955" s="98"/>
      <c r="F955" s="235"/>
      <c r="G955" s="235"/>
      <c r="H955" s="236"/>
      <c r="I955" s="236"/>
      <c r="J955" s="236"/>
      <c r="K955" s="236"/>
      <c r="L955" s="236"/>
      <c r="M955" s="236"/>
      <c r="N955" s="236"/>
      <c r="O955" s="236"/>
      <c r="P955" s="236"/>
      <c r="Q955" s="236"/>
      <c r="R955" s="236"/>
      <c r="S955" s="236"/>
      <c r="T955" s="236"/>
      <c r="U955" s="236"/>
      <c r="V955" s="236"/>
      <c r="W955" s="237"/>
      <c r="X955" s="237"/>
      <c r="Y955" s="237"/>
      <c r="Z955" s="237"/>
      <c r="AA955" s="237"/>
      <c r="AB955" s="237"/>
      <c r="AC955" s="237"/>
      <c r="AD955" s="237"/>
      <c r="AE955" s="237"/>
      <c r="AF955" s="237"/>
      <c r="AG955" s="237"/>
      <c r="AH955" s="237"/>
      <c r="AI955" s="308"/>
      <c r="AJ955" s="308"/>
      <c r="AK955" s="308"/>
      <c r="AL955" s="308"/>
      <c r="AM955" s="98"/>
      <c r="AN955" s="98"/>
      <c r="AO955" s="98"/>
    </row>
    <row r="956" ht="14.25" customHeight="1">
      <c r="A956" s="179"/>
      <c r="B956" s="98"/>
      <c r="C956" s="98"/>
      <c r="D956" s="98"/>
      <c r="E956" s="98"/>
      <c r="F956" s="235"/>
      <c r="G956" s="235"/>
      <c r="H956" s="236"/>
      <c r="I956" s="236"/>
      <c r="J956" s="236"/>
      <c r="K956" s="236"/>
      <c r="L956" s="236"/>
      <c r="M956" s="236"/>
      <c r="N956" s="236"/>
      <c r="O956" s="236"/>
      <c r="P956" s="236"/>
      <c r="Q956" s="236"/>
      <c r="R956" s="236"/>
      <c r="S956" s="236"/>
      <c r="T956" s="236"/>
      <c r="U956" s="236"/>
      <c r="V956" s="236"/>
      <c r="W956" s="237"/>
      <c r="X956" s="237"/>
      <c r="Y956" s="237"/>
      <c r="Z956" s="237"/>
      <c r="AA956" s="237"/>
      <c r="AB956" s="237"/>
      <c r="AC956" s="237"/>
      <c r="AD956" s="237"/>
      <c r="AE956" s="237"/>
      <c r="AF956" s="237"/>
      <c r="AG956" s="237"/>
      <c r="AH956" s="237"/>
      <c r="AI956" s="308"/>
      <c r="AJ956" s="308"/>
      <c r="AK956" s="308"/>
      <c r="AL956" s="308"/>
      <c r="AM956" s="98"/>
      <c r="AN956" s="98"/>
      <c r="AO956" s="98"/>
    </row>
    <row r="957" ht="14.25" customHeight="1">
      <c r="A957" s="179"/>
      <c r="B957" s="98"/>
      <c r="C957" s="98"/>
      <c r="D957" s="98"/>
      <c r="E957" s="98"/>
      <c r="F957" s="235"/>
      <c r="G957" s="235"/>
      <c r="H957" s="236"/>
      <c r="I957" s="236"/>
      <c r="J957" s="236"/>
      <c r="K957" s="236"/>
      <c r="L957" s="236"/>
      <c r="M957" s="236"/>
      <c r="N957" s="236"/>
      <c r="O957" s="236"/>
      <c r="P957" s="236"/>
      <c r="Q957" s="236"/>
      <c r="R957" s="236"/>
      <c r="S957" s="236"/>
      <c r="T957" s="236"/>
      <c r="U957" s="236"/>
      <c r="V957" s="236"/>
      <c r="W957" s="237"/>
      <c r="X957" s="237"/>
      <c r="Y957" s="237"/>
      <c r="Z957" s="237"/>
      <c r="AA957" s="237"/>
      <c r="AB957" s="237"/>
      <c r="AC957" s="237"/>
      <c r="AD957" s="237"/>
      <c r="AE957" s="237"/>
      <c r="AF957" s="237"/>
      <c r="AG957" s="237"/>
      <c r="AH957" s="237"/>
      <c r="AI957" s="308"/>
      <c r="AJ957" s="308"/>
      <c r="AK957" s="308"/>
      <c r="AL957" s="308"/>
      <c r="AM957" s="98"/>
      <c r="AN957" s="98"/>
      <c r="AO957" s="98"/>
    </row>
    <row r="958" ht="14.25" customHeight="1">
      <c r="A958" s="179"/>
      <c r="B958" s="98"/>
      <c r="C958" s="98"/>
      <c r="D958" s="98"/>
      <c r="E958" s="98"/>
      <c r="F958" s="235"/>
      <c r="G958" s="235"/>
      <c r="H958" s="236"/>
      <c r="I958" s="236"/>
      <c r="J958" s="236"/>
      <c r="K958" s="236"/>
      <c r="L958" s="236"/>
      <c r="M958" s="236"/>
      <c r="N958" s="236"/>
      <c r="O958" s="236"/>
      <c r="P958" s="236"/>
      <c r="Q958" s="236"/>
      <c r="R958" s="236"/>
      <c r="S958" s="236"/>
      <c r="T958" s="236"/>
      <c r="U958" s="236"/>
      <c r="V958" s="236"/>
      <c r="W958" s="237"/>
      <c r="X958" s="237"/>
      <c r="Y958" s="237"/>
      <c r="Z958" s="237"/>
      <c r="AA958" s="237"/>
      <c r="AB958" s="237"/>
      <c r="AC958" s="237"/>
      <c r="AD958" s="237"/>
      <c r="AE958" s="237"/>
      <c r="AF958" s="237"/>
      <c r="AG958" s="237"/>
      <c r="AH958" s="237"/>
      <c r="AI958" s="308"/>
      <c r="AJ958" s="308"/>
      <c r="AK958" s="308"/>
      <c r="AL958" s="308"/>
      <c r="AM958" s="98"/>
      <c r="AN958" s="98"/>
      <c r="AO958" s="98"/>
    </row>
    <row r="959" ht="14.25" customHeight="1">
      <c r="A959" s="179"/>
      <c r="B959" s="98"/>
      <c r="C959" s="98"/>
      <c r="D959" s="98"/>
      <c r="E959" s="98"/>
      <c r="F959" s="235"/>
      <c r="G959" s="235"/>
      <c r="H959" s="236"/>
      <c r="I959" s="236"/>
      <c r="J959" s="236"/>
      <c r="K959" s="236"/>
      <c r="L959" s="236"/>
      <c r="M959" s="236"/>
      <c r="N959" s="236"/>
      <c r="O959" s="236"/>
      <c r="P959" s="236"/>
      <c r="Q959" s="236"/>
      <c r="R959" s="236"/>
      <c r="S959" s="236"/>
      <c r="T959" s="236"/>
      <c r="U959" s="236"/>
      <c r="V959" s="236"/>
      <c r="W959" s="237"/>
      <c r="X959" s="237"/>
      <c r="Y959" s="237"/>
      <c r="Z959" s="237"/>
      <c r="AA959" s="237"/>
      <c r="AB959" s="237"/>
      <c r="AC959" s="237"/>
      <c r="AD959" s="237"/>
      <c r="AE959" s="237"/>
      <c r="AF959" s="237"/>
      <c r="AG959" s="237"/>
      <c r="AH959" s="237"/>
      <c r="AI959" s="308"/>
      <c r="AJ959" s="308"/>
      <c r="AK959" s="308"/>
      <c r="AL959" s="308"/>
      <c r="AM959" s="98"/>
      <c r="AN959" s="98"/>
      <c r="AO959" s="98"/>
    </row>
    <row r="960" ht="14.25" customHeight="1">
      <c r="A960" s="179"/>
      <c r="B960" s="98"/>
      <c r="C960" s="98"/>
      <c r="D960" s="98"/>
      <c r="E960" s="98"/>
      <c r="F960" s="235"/>
      <c r="G960" s="235"/>
      <c r="H960" s="236"/>
      <c r="I960" s="236"/>
      <c r="J960" s="236"/>
      <c r="K960" s="236"/>
      <c r="L960" s="236"/>
      <c r="M960" s="236"/>
      <c r="N960" s="236"/>
      <c r="O960" s="236"/>
      <c r="P960" s="236"/>
      <c r="Q960" s="236"/>
      <c r="R960" s="236"/>
      <c r="S960" s="236"/>
      <c r="T960" s="236"/>
      <c r="U960" s="236"/>
      <c r="V960" s="236"/>
      <c r="W960" s="237"/>
      <c r="X960" s="237"/>
      <c r="Y960" s="237"/>
      <c r="Z960" s="237"/>
      <c r="AA960" s="237"/>
      <c r="AB960" s="237"/>
      <c r="AC960" s="237"/>
      <c r="AD960" s="237"/>
      <c r="AE960" s="237"/>
      <c r="AF960" s="237"/>
      <c r="AG960" s="237"/>
      <c r="AH960" s="237"/>
      <c r="AI960" s="308"/>
      <c r="AJ960" s="308"/>
      <c r="AK960" s="308"/>
      <c r="AL960" s="308"/>
      <c r="AM960" s="98"/>
      <c r="AN960" s="98"/>
      <c r="AO960" s="98"/>
    </row>
    <row r="961" ht="14.25" customHeight="1">
      <c r="A961" s="179"/>
      <c r="B961" s="98"/>
      <c r="C961" s="98"/>
      <c r="D961" s="98"/>
      <c r="E961" s="98"/>
      <c r="F961" s="235"/>
      <c r="G961" s="235"/>
      <c r="H961" s="236"/>
      <c r="I961" s="236"/>
      <c r="J961" s="236"/>
      <c r="K961" s="236"/>
      <c r="L961" s="236"/>
      <c r="M961" s="236"/>
      <c r="N961" s="236"/>
      <c r="O961" s="236"/>
      <c r="P961" s="236"/>
      <c r="Q961" s="236"/>
      <c r="R961" s="236"/>
      <c r="S961" s="236"/>
      <c r="T961" s="236"/>
      <c r="U961" s="236"/>
      <c r="V961" s="236"/>
      <c r="W961" s="237"/>
      <c r="X961" s="237"/>
      <c r="Y961" s="237"/>
      <c r="Z961" s="237"/>
      <c r="AA961" s="237"/>
      <c r="AB961" s="237"/>
      <c r="AC961" s="237"/>
      <c r="AD961" s="237"/>
      <c r="AE961" s="237"/>
      <c r="AF961" s="237"/>
      <c r="AG961" s="237"/>
      <c r="AH961" s="237"/>
      <c r="AI961" s="308"/>
      <c r="AJ961" s="308"/>
      <c r="AK961" s="308"/>
      <c r="AL961" s="308"/>
      <c r="AM961" s="98"/>
      <c r="AN961" s="98"/>
      <c r="AO961" s="98"/>
    </row>
    <row r="962" ht="14.25" customHeight="1">
      <c r="A962" s="179"/>
      <c r="B962" s="98"/>
      <c r="C962" s="98"/>
      <c r="D962" s="98"/>
      <c r="E962" s="98"/>
      <c r="F962" s="235"/>
      <c r="G962" s="235"/>
      <c r="H962" s="236"/>
      <c r="I962" s="236"/>
      <c r="J962" s="236"/>
      <c r="K962" s="236"/>
      <c r="L962" s="236"/>
      <c r="M962" s="236"/>
      <c r="N962" s="236"/>
      <c r="O962" s="236"/>
      <c r="P962" s="236"/>
      <c r="Q962" s="236"/>
      <c r="R962" s="236"/>
      <c r="S962" s="236"/>
      <c r="T962" s="236"/>
      <c r="U962" s="236"/>
      <c r="V962" s="236"/>
      <c r="W962" s="237"/>
      <c r="X962" s="237"/>
      <c r="Y962" s="237"/>
      <c r="Z962" s="237"/>
      <c r="AA962" s="237"/>
      <c r="AB962" s="237"/>
      <c r="AC962" s="237"/>
      <c r="AD962" s="237"/>
      <c r="AE962" s="237"/>
      <c r="AF962" s="237"/>
      <c r="AG962" s="237"/>
      <c r="AH962" s="237"/>
      <c r="AI962" s="308"/>
      <c r="AJ962" s="308"/>
      <c r="AK962" s="308"/>
      <c r="AL962" s="308"/>
      <c r="AM962" s="98"/>
      <c r="AN962" s="98"/>
      <c r="AO962" s="98"/>
    </row>
    <row r="963" ht="14.25" customHeight="1">
      <c r="A963" s="179"/>
      <c r="B963" s="98"/>
      <c r="C963" s="98"/>
      <c r="D963" s="98"/>
      <c r="E963" s="98"/>
      <c r="F963" s="235"/>
      <c r="G963" s="235"/>
      <c r="H963" s="236"/>
      <c r="I963" s="236"/>
      <c r="J963" s="236"/>
      <c r="K963" s="236"/>
      <c r="L963" s="236"/>
      <c r="M963" s="236"/>
      <c r="N963" s="236"/>
      <c r="O963" s="236"/>
      <c r="P963" s="236"/>
      <c r="Q963" s="236"/>
      <c r="R963" s="236"/>
      <c r="S963" s="236"/>
      <c r="T963" s="236"/>
      <c r="U963" s="236"/>
      <c r="V963" s="236"/>
      <c r="W963" s="237"/>
      <c r="X963" s="237"/>
      <c r="Y963" s="237"/>
      <c r="Z963" s="237"/>
      <c r="AA963" s="237"/>
      <c r="AB963" s="237"/>
      <c r="AC963" s="237"/>
      <c r="AD963" s="237"/>
      <c r="AE963" s="237"/>
      <c r="AF963" s="237"/>
      <c r="AG963" s="237"/>
      <c r="AH963" s="237"/>
      <c r="AI963" s="308"/>
      <c r="AJ963" s="308"/>
      <c r="AK963" s="308"/>
      <c r="AL963" s="308"/>
      <c r="AM963" s="98"/>
      <c r="AN963" s="98"/>
      <c r="AO963" s="98"/>
    </row>
    <row r="964" ht="14.25" customHeight="1">
      <c r="A964" s="179"/>
      <c r="B964" s="98"/>
      <c r="C964" s="98"/>
      <c r="D964" s="98"/>
      <c r="E964" s="98"/>
      <c r="F964" s="235"/>
      <c r="G964" s="235"/>
      <c r="H964" s="236"/>
      <c r="I964" s="236"/>
      <c r="J964" s="236"/>
      <c r="K964" s="236"/>
      <c r="L964" s="236"/>
      <c r="M964" s="236"/>
      <c r="N964" s="236"/>
      <c r="O964" s="236"/>
      <c r="P964" s="236"/>
      <c r="Q964" s="236"/>
      <c r="R964" s="236"/>
      <c r="S964" s="236"/>
      <c r="T964" s="236"/>
      <c r="U964" s="236"/>
      <c r="V964" s="236"/>
      <c r="W964" s="237"/>
      <c r="X964" s="237"/>
      <c r="Y964" s="237"/>
      <c r="Z964" s="237"/>
      <c r="AA964" s="237"/>
      <c r="AB964" s="237"/>
      <c r="AC964" s="237"/>
      <c r="AD964" s="237"/>
      <c r="AE964" s="237"/>
      <c r="AF964" s="237"/>
      <c r="AG964" s="237"/>
      <c r="AH964" s="237"/>
      <c r="AI964" s="308"/>
      <c r="AJ964" s="308"/>
      <c r="AK964" s="308"/>
      <c r="AL964" s="308"/>
      <c r="AM964" s="98"/>
      <c r="AN964" s="98"/>
      <c r="AO964" s="98"/>
    </row>
    <row r="965" ht="14.25" customHeight="1">
      <c r="A965" s="179"/>
      <c r="B965" s="98"/>
      <c r="C965" s="98"/>
      <c r="D965" s="98"/>
      <c r="E965" s="98"/>
      <c r="F965" s="235"/>
      <c r="G965" s="235"/>
      <c r="H965" s="236"/>
      <c r="I965" s="236"/>
      <c r="J965" s="236"/>
      <c r="K965" s="236"/>
      <c r="L965" s="236"/>
      <c r="M965" s="236"/>
      <c r="N965" s="236"/>
      <c r="O965" s="236"/>
      <c r="P965" s="236"/>
      <c r="Q965" s="236"/>
      <c r="R965" s="236"/>
      <c r="S965" s="236"/>
      <c r="T965" s="236"/>
      <c r="U965" s="236"/>
      <c r="V965" s="236"/>
      <c r="W965" s="237"/>
      <c r="X965" s="237"/>
      <c r="Y965" s="237"/>
      <c r="Z965" s="237"/>
      <c r="AA965" s="237"/>
      <c r="AB965" s="237"/>
      <c r="AC965" s="237"/>
      <c r="AD965" s="237"/>
      <c r="AE965" s="237"/>
      <c r="AF965" s="237"/>
      <c r="AG965" s="237"/>
      <c r="AH965" s="237"/>
      <c r="AI965" s="308"/>
      <c r="AJ965" s="308"/>
      <c r="AK965" s="308"/>
      <c r="AL965" s="308"/>
      <c r="AM965" s="98"/>
      <c r="AN965" s="98"/>
      <c r="AO965" s="98"/>
    </row>
    <row r="966" ht="14.25" customHeight="1">
      <c r="A966" s="179"/>
      <c r="B966" s="98"/>
      <c r="C966" s="98"/>
      <c r="D966" s="98"/>
      <c r="E966" s="98"/>
      <c r="F966" s="235"/>
      <c r="G966" s="235"/>
      <c r="H966" s="236"/>
      <c r="I966" s="236"/>
      <c r="J966" s="236"/>
      <c r="K966" s="236"/>
      <c r="L966" s="236"/>
      <c r="M966" s="236"/>
      <c r="N966" s="236"/>
      <c r="O966" s="236"/>
      <c r="P966" s="236"/>
      <c r="Q966" s="236"/>
      <c r="R966" s="236"/>
      <c r="S966" s="236"/>
      <c r="T966" s="236"/>
      <c r="U966" s="236"/>
      <c r="V966" s="236"/>
      <c r="W966" s="237"/>
      <c r="X966" s="237"/>
      <c r="Y966" s="237"/>
      <c r="Z966" s="237"/>
      <c r="AA966" s="237"/>
      <c r="AB966" s="237"/>
      <c r="AC966" s="237"/>
      <c r="AD966" s="237"/>
      <c r="AE966" s="237"/>
      <c r="AF966" s="237"/>
      <c r="AG966" s="237"/>
      <c r="AH966" s="237"/>
      <c r="AI966" s="308"/>
      <c r="AJ966" s="308"/>
      <c r="AK966" s="308"/>
      <c r="AL966" s="308"/>
      <c r="AM966" s="98"/>
      <c r="AN966" s="98"/>
      <c r="AO966" s="98"/>
    </row>
    <row r="967" ht="14.25" customHeight="1">
      <c r="A967" s="179"/>
      <c r="B967" s="98"/>
      <c r="C967" s="98"/>
      <c r="D967" s="98"/>
      <c r="E967" s="98"/>
      <c r="F967" s="235"/>
      <c r="G967" s="235"/>
      <c r="H967" s="236"/>
      <c r="I967" s="236"/>
      <c r="J967" s="236"/>
      <c r="K967" s="236"/>
      <c r="L967" s="236"/>
      <c r="M967" s="236"/>
      <c r="N967" s="236"/>
      <c r="O967" s="236"/>
      <c r="P967" s="236"/>
      <c r="Q967" s="236"/>
      <c r="R967" s="236"/>
      <c r="S967" s="236"/>
      <c r="T967" s="236"/>
      <c r="U967" s="236"/>
      <c r="V967" s="236"/>
      <c r="W967" s="237"/>
      <c r="X967" s="237"/>
      <c r="Y967" s="237"/>
      <c r="Z967" s="237"/>
      <c r="AA967" s="237"/>
      <c r="AB967" s="237"/>
      <c r="AC967" s="237"/>
      <c r="AD967" s="237"/>
      <c r="AE967" s="237"/>
      <c r="AF967" s="237"/>
      <c r="AG967" s="237"/>
      <c r="AH967" s="237"/>
      <c r="AI967" s="308"/>
      <c r="AJ967" s="308"/>
      <c r="AK967" s="308"/>
      <c r="AL967" s="308"/>
      <c r="AM967" s="98"/>
      <c r="AN967" s="98"/>
      <c r="AO967" s="98"/>
    </row>
    <row r="968" ht="14.25" customHeight="1">
      <c r="A968" s="179"/>
      <c r="B968" s="98"/>
      <c r="C968" s="98"/>
      <c r="D968" s="98"/>
      <c r="E968" s="98"/>
      <c r="F968" s="235"/>
      <c r="G968" s="235"/>
      <c r="H968" s="236"/>
      <c r="I968" s="236"/>
      <c r="J968" s="236"/>
      <c r="K968" s="236"/>
      <c r="L968" s="236"/>
      <c r="M968" s="236"/>
      <c r="N968" s="236"/>
      <c r="O968" s="236"/>
      <c r="P968" s="236"/>
      <c r="Q968" s="236"/>
      <c r="R968" s="236"/>
      <c r="S968" s="236"/>
      <c r="T968" s="236"/>
      <c r="U968" s="236"/>
      <c r="V968" s="236"/>
      <c r="W968" s="237"/>
      <c r="X968" s="237"/>
      <c r="Y968" s="237"/>
      <c r="Z968" s="237"/>
      <c r="AA968" s="237"/>
      <c r="AB968" s="237"/>
      <c r="AC968" s="237"/>
      <c r="AD968" s="237"/>
      <c r="AE968" s="237"/>
      <c r="AF968" s="237"/>
      <c r="AG968" s="237"/>
      <c r="AH968" s="237"/>
      <c r="AI968" s="308"/>
      <c r="AJ968" s="308"/>
      <c r="AK968" s="308"/>
      <c r="AL968" s="308"/>
      <c r="AM968" s="98"/>
      <c r="AN968" s="98"/>
      <c r="AO968" s="98"/>
    </row>
    <row r="969" ht="14.25" customHeight="1">
      <c r="A969" s="179"/>
      <c r="B969" s="98"/>
      <c r="C969" s="98"/>
      <c r="D969" s="98"/>
      <c r="E969" s="98"/>
      <c r="F969" s="235"/>
      <c r="G969" s="235"/>
      <c r="H969" s="236"/>
      <c r="I969" s="236"/>
      <c r="J969" s="236"/>
      <c r="K969" s="236"/>
      <c r="L969" s="236"/>
      <c r="M969" s="236"/>
      <c r="N969" s="236"/>
      <c r="O969" s="236"/>
      <c r="P969" s="236"/>
      <c r="Q969" s="236"/>
      <c r="R969" s="236"/>
      <c r="S969" s="236"/>
      <c r="T969" s="236"/>
      <c r="U969" s="236"/>
      <c r="V969" s="236"/>
      <c r="W969" s="237"/>
      <c r="X969" s="237"/>
      <c r="Y969" s="237"/>
      <c r="Z969" s="237"/>
      <c r="AA969" s="237"/>
      <c r="AB969" s="237"/>
      <c r="AC969" s="237"/>
      <c r="AD969" s="237"/>
      <c r="AE969" s="237"/>
      <c r="AF969" s="237"/>
      <c r="AG969" s="237"/>
      <c r="AH969" s="237"/>
      <c r="AI969" s="308"/>
      <c r="AJ969" s="308"/>
      <c r="AK969" s="308"/>
      <c r="AL969" s="308"/>
      <c r="AM969" s="98"/>
      <c r="AN969" s="98"/>
      <c r="AO969" s="98"/>
    </row>
    <row r="970" ht="14.25" customHeight="1">
      <c r="A970" s="179"/>
      <c r="B970" s="98"/>
      <c r="C970" s="98"/>
      <c r="D970" s="98"/>
      <c r="E970" s="98"/>
      <c r="F970" s="235"/>
      <c r="G970" s="235"/>
      <c r="H970" s="236"/>
      <c r="I970" s="236"/>
      <c r="J970" s="236"/>
      <c r="K970" s="236"/>
      <c r="L970" s="236"/>
      <c r="M970" s="236"/>
      <c r="N970" s="236"/>
      <c r="O970" s="236"/>
      <c r="P970" s="236"/>
      <c r="Q970" s="236"/>
      <c r="R970" s="236"/>
      <c r="S970" s="236"/>
      <c r="T970" s="236"/>
      <c r="U970" s="236"/>
      <c r="V970" s="236"/>
      <c r="W970" s="237"/>
      <c r="X970" s="237"/>
      <c r="Y970" s="237"/>
      <c r="Z970" s="237"/>
      <c r="AA970" s="237"/>
      <c r="AB970" s="237"/>
      <c r="AC970" s="237"/>
      <c r="AD970" s="237"/>
      <c r="AE970" s="237"/>
      <c r="AF970" s="237"/>
      <c r="AG970" s="237"/>
      <c r="AH970" s="237"/>
      <c r="AI970" s="308"/>
      <c r="AJ970" s="308"/>
      <c r="AK970" s="308"/>
      <c r="AL970" s="308"/>
      <c r="AM970" s="98"/>
      <c r="AN970" s="98"/>
      <c r="AO970" s="98"/>
    </row>
    <row r="971" ht="14.25" customHeight="1">
      <c r="A971" s="179"/>
      <c r="B971" s="98"/>
      <c r="C971" s="98"/>
      <c r="D971" s="98"/>
      <c r="E971" s="98"/>
      <c r="F971" s="235"/>
      <c r="G971" s="235"/>
      <c r="H971" s="236"/>
      <c r="I971" s="236"/>
      <c r="J971" s="236"/>
      <c r="K971" s="236"/>
      <c r="L971" s="236"/>
      <c r="M971" s="236"/>
      <c r="N971" s="236"/>
      <c r="O971" s="236"/>
      <c r="P971" s="236"/>
      <c r="Q971" s="236"/>
      <c r="R971" s="236"/>
      <c r="S971" s="236"/>
      <c r="T971" s="236"/>
      <c r="U971" s="236"/>
      <c r="V971" s="236"/>
      <c r="W971" s="237"/>
      <c r="X971" s="237"/>
      <c r="Y971" s="237"/>
      <c r="Z971" s="237"/>
      <c r="AA971" s="237"/>
      <c r="AB971" s="237"/>
      <c r="AC971" s="237"/>
      <c r="AD971" s="237"/>
      <c r="AE971" s="237"/>
      <c r="AF971" s="237"/>
      <c r="AG971" s="237"/>
      <c r="AH971" s="237"/>
      <c r="AI971" s="308"/>
      <c r="AJ971" s="308"/>
      <c r="AK971" s="308"/>
      <c r="AL971" s="308"/>
      <c r="AM971" s="98"/>
      <c r="AN971" s="98"/>
      <c r="AO971" s="98"/>
    </row>
    <row r="972" ht="14.25" customHeight="1">
      <c r="A972" s="179"/>
      <c r="B972" s="98"/>
      <c r="C972" s="98"/>
      <c r="D972" s="98"/>
      <c r="E972" s="98"/>
      <c r="F972" s="235"/>
      <c r="G972" s="235"/>
      <c r="H972" s="236"/>
      <c r="I972" s="236"/>
      <c r="J972" s="236"/>
      <c r="K972" s="236"/>
      <c r="L972" s="236"/>
      <c r="M972" s="236"/>
      <c r="N972" s="236"/>
      <c r="O972" s="236"/>
      <c r="P972" s="236"/>
      <c r="Q972" s="236"/>
      <c r="R972" s="236"/>
      <c r="S972" s="236"/>
      <c r="T972" s="236"/>
      <c r="U972" s="236"/>
      <c r="V972" s="236"/>
      <c r="W972" s="237"/>
      <c r="X972" s="237"/>
      <c r="Y972" s="237"/>
      <c r="Z972" s="237"/>
      <c r="AA972" s="237"/>
      <c r="AB972" s="237"/>
      <c r="AC972" s="237"/>
      <c r="AD972" s="237"/>
      <c r="AE972" s="237"/>
      <c r="AF972" s="237"/>
      <c r="AG972" s="237"/>
      <c r="AH972" s="237"/>
      <c r="AI972" s="308"/>
      <c r="AJ972" s="308"/>
      <c r="AK972" s="308"/>
      <c r="AL972" s="308"/>
      <c r="AM972" s="98"/>
      <c r="AN972" s="98"/>
      <c r="AO972" s="98"/>
    </row>
    <row r="973" ht="14.25" customHeight="1">
      <c r="A973" s="179"/>
      <c r="B973" s="98"/>
      <c r="C973" s="98"/>
      <c r="D973" s="98"/>
      <c r="E973" s="98"/>
      <c r="F973" s="235"/>
      <c r="G973" s="235"/>
      <c r="H973" s="236"/>
      <c r="I973" s="236"/>
      <c r="J973" s="236"/>
      <c r="K973" s="236"/>
      <c r="L973" s="236"/>
      <c r="M973" s="236"/>
      <c r="N973" s="236"/>
      <c r="O973" s="236"/>
      <c r="P973" s="236"/>
      <c r="Q973" s="236"/>
      <c r="R973" s="236"/>
      <c r="S973" s="236"/>
      <c r="T973" s="236"/>
      <c r="U973" s="236"/>
      <c r="V973" s="236"/>
      <c r="W973" s="237"/>
      <c r="X973" s="237"/>
      <c r="Y973" s="237"/>
      <c r="Z973" s="237"/>
      <c r="AA973" s="237"/>
      <c r="AB973" s="237"/>
      <c r="AC973" s="237"/>
      <c r="AD973" s="237"/>
      <c r="AE973" s="237"/>
      <c r="AF973" s="237"/>
      <c r="AG973" s="237"/>
      <c r="AH973" s="237"/>
      <c r="AI973" s="308"/>
      <c r="AJ973" s="308"/>
      <c r="AK973" s="308"/>
      <c r="AL973" s="308"/>
      <c r="AM973" s="98"/>
      <c r="AN973" s="98"/>
      <c r="AO973" s="98"/>
    </row>
    <row r="974" ht="14.25" customHeight="1">
      <c r="A974" s="179"/>
      <c r="B974" s="98"/>
      <c r="C974" s="98"/>
      <c r="D974" s="98"/>
      <c r="E974" s="98"/>
      <c r="F974" s="235"/>
      <c r="G974" s="235"/>
      <c r="H974" s="236"/>
      <c r="I974" s="236"/>
      <c r="J974" s="236"/>
      <c r="K974" s="236"/>
      <c r="L974" s="236"/>
      <c r="M974" s="236"/>
      <c r="N974" s="236"/>
      <c r="O974" s="236"/>
      <c r="P974" s="236"/>
      <c r="Q974" s="236"/>
      <c r="R974" s="236"/>
      <c r="S974" s="236"/>
      <c r="T974" s="236"/>
      <c r="U974" s="236"/>
      <c r="V974" s="236"/>
      <c r="W974" s="237"/>
      <c r="X974" s="237"/>
      <c r="Y974" s="237"/>
      <c r="Z974" s="237"/>
      <c r="AA974" s="237"/>
      <c r="AB974" s="237"/>
      <c r="AC974" s="237"/>
      <c r="AD974" s="237"/>
      <c r="AE974" s="237"/>
      <c r="AF974" s="237"/>
      <c r="AG974" s="237"/>
      <c r="AH974" s="237"/>
      <c r="AI974" s="308"/>
      <c r="AJ974" s="308"/>
      <c r="AK974" s="308"/>
      <c r="AL974" s="308"/>
      <c r="AM974" s="98"/>
      <c r="AN974" s="98"/>
      <c r="AO974" s="98"/>
    </row>
    <row r="975" ht="14.25" customHeight="1">
      <c r="A975" s="179"/>
      <c r="B975" s="98"/>
      <c r="C975" s="98"/>
      <c r="D975" s="98"/>
      <c r="E975" s="98"/>
      <c r="F975" s="235"/>
      <c r="G975" s="235"/>
      <c r="H975" s="236"/>
      <c r="I975" s="236"/>
      <c r="J975" s="236"/>
      <c r="K975" s="236"/>
      <c r="L975" s="236"/>
      <c r="M975" s="236"/>
      <c r="N975" s="236"/>
      <c r="O975" s="236"/>
      <c r="P975" s="236"/>
      <c r="Q975" s="236"/>
      <c r="R975" s="236"/>
      <c r="S975" s="236"/>
      <c r="T975" s="236"/>
      <c r="U975" s="236"/>
      <c r="V975" s="236"/>
      <c r="W975" s="237"/>
      <c r="X975" s="237"/>
      <c r="Y975" s="237"/>
      <c r="Z975" s="237"/>
      <c r="AA975" s="237"/>
      <c r="AB975" s="237"/>
      <c r="AC975" s="237"/>
      <c r="AD975" s="237"/>
      <c r="AE975" s="237"/>
      <c r="AF975" s="237"/>
      <c r="AG975" s="237"/>
      <c r="AH975" s="237"/>
      <c r="AI975" s="308"/>
      <c r="AJ975" s="308"/>
      <c r="AK975" s="308"/>
      <c r="AL975" s="308"/>
      <c r="AM975" s="98"/>
      <c r="AN975" s="98"/>
      <c r="AO975" s="98"/>
    </row>
    <row r="976" ht="14.25" customHeight="1">
      <c r="A976" s="179"/>
      <c r="B976" s="98"/>
      <c r="C976" s="98"/>
      <c r="D976" s="98"/>
      <c r="E976" s="98"/>
      <c r="F976" s="235"/>
      <c r="G976" s="235"/>
      <c r="H976" s="236"/>
      <c r="I976" s="236"/>
      <c r="J976" s="236"/>
      <c r="K976" s="236"/>
      <c r="L976" s="236"/>
      <c r="M976" s="236"/>
      <c r="N976" s="236"/>
      <c r="O976" s="236"/>
      <c r="P976" s="236"/>
      <c r="Q976" s="236"/>
      <c r="R976" s="236"/>
      <c r="S976" s="236"/>
      <c r="T976" s="236"/>
      <c r="U976" s="236"/>
      <c r="V976" s="236"/>
      <c r="W976" s="237"/>
      <c r="X976" s="237"/>
      <c r="Y976" s="237"/>
      <c r="Z976" s="237"/>
      <c r="AA976" s="237"/>
      <c r="AB976" s="237"/>
      <c r="AC976" s="237"/>
      <c r="AD976" s="237"/>
      <c r="AE976" s="237"/>
      <c r="AF976" s="237"/>
      <c r="AG976" s="237"/>
      <c r="AH976" s="237"/>
      <c r="AI976" s="308"/>
      <c r="AJ976" s="308"/>
      <c r="AK976" s="308"/>
      <c r="AL976" s="308"/>
      <c r="AM976" s="98"/>
      <c r="AN976" s="98"/>
      <c r="AO976" s="98"/>
    </row>
    <row r="977" ht="14.25" customHeight="1">
      <c r="A977" s="179"/>
      <c r="B977" s="98"/>
      <c r="C977" s="98"/>
      <c r="D977" s="98"/>
      <c r="E977" s="98"/>
      <c r="F977" s="235"/>
      <c r="G977" s="235"/>
      <c r="H977" s="236"/>
      <c r="I977" s="236"/>
      <c r="J977" s="236"/>
      <c r="K977" s="236"/>
      <c r="L977" s="236"/>
      <c r="M977" s="236"/>
      <c r="N977" s="236"/>
      <c r="O977" s="236"/>
      <c r="P977" s="236"/>
      <c r="Q977" s="236"/>
      <c r="R977" s="236"/>
      <c r="S977" s="236"/>
      <c r="T977" s="236"/>
      <c r="U977" s="236"/>
      <c r="V977" s="236"/>
      <c r="W977" s="237"/>
      <c r="X977" s="237"/>
      <c r="Y977" s="237"/>
      <c r="Z977" s="237"/>
      <c r="AA977" s="237"/>
      <c r="AB977" s="237"/>
      <c r="AC977" s="237"/>
      <c r="AD977" s="237"/>
      <c r="AE977" s="237"/>
      <c r="AF977" s="237"/>
      <c r="AG977" s="237"/>
      <c r="AH977" s="237"/>
      <c r="AI977" s="308"/>
      <c r="AJ977" s="308"/>
      <c r="AK977" s="308"/>
      <c r="AL977" s="308"/>
      <c r="AM977" s="98"/>
      <c r="AN977" s="98"/>
      <c r="AO977" s="98"/>
    </row>
    <row r="978" ht="14.25" customHeight="1">
      <c r="A978" s="179"/>
      <c r="B978" s="98"/>
      <c r="C978" s="98"/>
      <c r="D978" s="98"/>
      <c r="E978" s="98"/>
      <c r="F978" s="235"/>
      <c r="G978" s="235"/>
      <c r="H978" s="236"/>
      <c r="I978" s="236"/>
      <c r="J978" s="236"/>
      <c r="K978" s="236"/>
      <c r="L978" s="236"/>
      <c r="M978" s="236"/>
      <c r="N978" s="236"/>
      <c r="O978" s="236"/>
      <c r="P978" s="236"/>
      <c r="Q978" s="236"/>
      <c r="R978" s="236"/>
      <c r="S978" s="236"/>
      <c r="T978" s="236"/>
      <c r="U978" s="236"/>
      <c r="V978" s="236"/>
      <c r="W978" s="237"/>
      <c r="X978" s="237"/>
      <c r="Y978" s="237"/>
      <c r="Z978" s="237"/>
      <c r="AA978" s="237"/>
      <c r="AB978" s="237"/>
      <c r="AC978" s="237"/>
      <c r="AD978" s="237"/>
      <c r="AE978" s="237"/>
      <c r="AF978" s="237"/>
      <c r="AG978" s="237"/>
      <c r="AH978" s="237"/>
      <c r="AI978" s="308"/>
      <c r="AJ978" s="308"/>
      <c r="AK978" s="308"/>
      <c r="AL978" s="308"/>
      <c r="AM978" s="98"/>
      <c r="AN978" s="98"/>
      <c r="AO978" s="98"/>
    </row>
    <row r="979" ht="14.25" customHeight="1">
      <c r="A979" s="179"/>
      <c r="B979" s="98"/>
      <c r="C979" s="98"/>
      <c r="D979" s="98"/>
      <c r="E979" s="98"/>
      <c r="F979" s="235"/>
      <c r="G979" s="235"/>
      <c r="H979" s="236"/>
      <c r="I979" s="236"/>
      <c r="J979" s="236"/>
      <c r="K979" s="236"/>
      <c r="L979" s="236"/>
      <c r="M979" s="236"/>
      <c r="N979" s="236"/>
      <c r="O979" s="236"/>
      <c r="P979" s="236"/>
      <c r="Q979" s="236"/>
      <c r="R979" s="236"/>
      <c r="S979" s="236"/>
      <c r="T979" s="236"/>
      <c r="U979" s="236"/>
      <c r="V979" s="236"/>
      <c r="W979" s="237"/>
      <c r="X979" s="237"/>
      <c r="Y979" s="237"/>
      <c r="Z979" s="237"/>
      <c r="AA979" s="237"/>
      <c r="AB979" s="237"/>
      <c r="AC979" s="237"/>
      <c r="AD979" s="237"/>
      <c r="AE979" s="237"/>
      <c r="AF979" s="237"/>
      <c r="AG979" s="237"/>
      <c r="AH979" s="237"/>
      <c r="AI979" s="308"/>
      <c r="AJ979" s="308"/>
      <c r="AK979" s="308"/>
      <c r="AL979" s="308"/>
      <c r="AM979" s="98"/>
      <c r="AN979" s="98"/>
      <c r="AO979" s="98"/>
    </row>
    <row r="980" ht="14.25" customHeight="1">
      <c r="A980" s="179"/>
      <c r="B980" s="98"/>
      <c r="C980" s="98"/>
      <c r="D980" s="98"/>
      <c r="E980" s="98"/>
      <c r="F980" s="235"/>
      <c r="G980" s="235"/>
      <c r="H980" s="236"/>
      <c r="I980" s="236"/>
      <c r="J980" s="236"/>
      <c r="K980" s="236"/>
      <c r="L980" s="236"/>
      <c r="M980" s="236"/>
      <c r="N980" s="236"/>
      <c r="O980" s="236"/>
      <c r="P980" s="236"/>
      <c r="Q980" s="236"/>
      <c r="R980" s="236"/>
      <c r="S980" s="236"/>
      <c r="T980" s="236"/>
      <c r="U980" s="236"/>
      <c r="V980" s="236"/>
      <c r="W980" s="237"/>
      <c r="X980" s="237"/>
      <c r="Y980" s="237"/>
      <c r="Z980" s="237"/>
      <c r="AA980" s="237"/>
      <c r="AB980" s="237"/>
      <c r="AC980" s="237"/>
      <c r="AD980" s="237"/>
      <c r="AE980" s="237"/>
      <c r="AF980" s="237"/>
      <c r="AG980" s="237"/>
      <c r="AH980" s="237"/>
      <c r="AI980" s="308"/>
      <c r="AJ980" s="308"/>
      <c r="AK980" s="308"/>
      <c r="AL980" s="308"/>
      <c r="AM980" s="98"/>
      <c r="AN980" s="98"/>
      <c r="AO980" s="98"/>
    </row>
    <row r="981" ht="14.25" customHeight="1">
      <c r="A981" s="179"/>
      <c r="B981" s="98"/>
      <c r="C981" s="98"/>
      <c r="D981" s="98"/>
      <c r="E981" s="98"/>
      <c r="F981" s="235"/>
      <c r="G981" s="235"/>
      <c r="H981" s="236"/>
      <c r="I981" s="236"/>
      <c r="J981" s="236"/>
      <c r="K981" s="236"/>
      <c r="L981" s="236"/>
      <c r="M981" s="236"/>
      <c r="N981" s="236"/>
      <c r="O981" s="236"/>
      <c r="P981" s="236"/>
      <c r="Q981" s="236"/>
      <c r="R981" s="236"/>
      <c r="S981" s="236"/>
      <c r="T981" s="236"/>
      <c r="U981" s="236"/>
      <c r="V981" s="236"/>
      <c r="W981" s="237"/>
      <c r="X981" s="237"/>
      <c r="Y981" s="237"/>
      <c r="Z981" s="237"/>
      <c r="AA981" s="237"/>
      <c r="AB981" s="237"/>
      <c r="AC981" s="237"/>
      <c r="AD981" s="237"/>
      <c r="AE981" s="237"/>
      <c r="AF981" s="237"/>
      <c r="AG981" s="237"/>
      <c r="AH981" s="237"/>
      <c r="AI981" s="308"/>
      <c r="AJ981" s="308"/>
      <c r="AK981" s="308"/>
      <c r="AL981" s="308"/>
      <c r="AM981" s="98"/>
      <c r="AN981" s="98"/>
      <c r="AO981" s="98"/>
    </row>
    <row r="982" ht="14.25" customHeight="1">
      <c r="A982" s="179"/>
      <c r="B982" s="98"/>
      <c r="C982" s="98"/>
      <c r="D982" s="98"/>
      <c r="E982" s="98"/>
      <c r="F982" s="235"/>
      <c r="G982" s="235"/>
      <c r="H982" s="236"/>
      <c r="I982" s="236"/>
      <c r="J982" s="236"/>
      <c r="K982" s="236"/>
      <c r="L982" s="236"/>
      <c r="M982" s="236"/>
      <c r="N982" s="236"/>
      <c r="O982" s="236"/>
      <c r="P982" s="236"/>
      <c r="Q982" s="236"/>
      <c r="R982" s="236"/>
      <c r="S982" s="236"/>
      <c r="T982" s="236"/>
      <c r="U982" s="236"/>
      <c r="V982" s="236"/>
      <c r="W982" s="237"/>
      <c r="X982" s="237"/>
      <c r="Y982" s="237"/>
      <c r="Z982" s="237"/>
      <c r="AA982" s="237"/>
      <c r="AB982" s="237"/>
      <c r="AC982" s="237"/>
      <c r="AD982" s="237"/>
      <c r="AE982" s="237"/>
      <c r="AF982" s="237"/>
      <c r="AG982" s="237"/>
      <c r="AH982" s="237"/>
      <c r="AI982" s="308"/>
      <c r="AJ982" s="308"/>
      <c r="AK982" s="308"/>
      <c r="AL982" s="308"/>
      <c r="AM982" s="98"/>
      <c r="AN982" s="98"/>
      <c r="AO982" s="98"/>
    </row>
    <row r="983" ht="14.25" customHeight="1">
      <c r="A983" s="179"/>
      <c r="B983" s="98"/>
      <c r="C983" s="98"/>
      <c r="D983" s="98"/>
      <c r="E983" s="98"/>
      <c r="F983" s="235"/>
      <c r="G983" s="235"/>
      <c r="H983" s="236"/>
      <c r="I983" s="236"/>
      <c r="J983" s="236"/>
      <c r="K983" s="236"/>
      <c r="L983" s="236"/>
      <c r="M983" s="236"/>
      <c r="N983" s="236"/>
      <c r="O983" s="236"/>
      <c r="P983" s="236"/>
      <c r="Q983" s="236"/>
      <c r="R983" s="236"/>
      <c r="S983" s="236"/>
      <c r="T983" s="236"/>
      <c r="U983" s="236"/>
      <c r="V983" s="236"/>
      <c r="W983" s="237"/>
      <c r="X983" s="237"/>
      <c r="Y983" s="237"/>
      <c r="Z983" s="237"/>
      <c r="AA983" s="237"/>
      <c r="AB983" s="237"/>
      <c r="AC983" s="237"/>
      <c r="AD983" s="237"/>
      <c r="AE983" s="237"/>
      <c r="AF983" s="237"/>
      <c r="AG983" s="237"/>
      <c r="AH983" s="237"/>
      <c r="AI983" s="308"/>
      <c r="AJ983" s="308"/>
      <c r="AK983" s="308"/>
      <c r="AL983" s="308"/>
      <c r="AM983" s="98"/>
      <c r="AN983" s="98"/>
      <c r="AO983" s="98"/>
    </row>
    <row r="984" ht="14.25" customHeight="1">
      <c r="A984" s="179"/>
      <c r="B984" s="98"/>
      <c r="C984" s="98"/>
      <c r="D984" s="98"/>
      <c r="E984" s="98"/>
      <c r="F984" s="235"/>
      <c r="G984" s="235"/>
      <c r="H984" s="236"/>
      <c r="I984" s="236"/>
      <c r="J984" s="236"/>
      <c r="K984" s="236"/>
      <c r="L984" s="236"/>
      <c r="M984" s="236"/>
      <c r="N984" s="236"/>
      <c r="O984" s="236"/>
      <c r="P984" s="236"/>
      <c r="Q984" s="236"/>
      <c r="R984" s="236"/>
      <c r="S984" s="236"/>
      <c r="T984" s="236"/>
      <c r="U984" s="236"/>
      <c r="V984" s="236"/>
      <c r="W984" s="237"/>
      <c r="X984" s="237"/>
      <c r="Y984" s="237"/>
      <c r="Z984" s="237"/>
      <c r="AA984" s="237"/>
      <c r="AB984" s="237"/>
      <c r="AC984" s="237"/>
      <c r="AD984" s="237"/>
      <c r="AE984" s="237"/>
      <c r="AF984" s="237"/>
      <c r="AG984" s="237"/>
      <c r="AH984" s="237"/>
      <c r="AI984" s="308"/>
      <c r="AJ984" s="308"/>
      <c r="AK984" s="308"/>
      <c r="AL984" s="308"/>
      <c r="AM984" s="98"/>
      <c r="AN984" s="98"/>
      <c r="AO984" s="98"/>
    </row>
    <row r="985" ht="14.25" customHeight="1">
      <c r="A985" s="179"/>
      <c r="B985" s="98"/>
      <c r="C985" s="98"/>
      <c r="D985" s="98"/>
      <c r="E985" s="98"/>
      <c r="F985" s="235"/>
      <c r="G985" s="235"/>
      <c r="H985" s="236"/>
      <c r="I985" s="236"/>
      <c r="J985" s="236"/>
      <c r="K985" s="236"/>
      <c r="L985" s="236"/>
      <c r="M985" s="236"/>
      <c r="N985" s="236"/>
      <c r="O985" s="236"/>
      <c r="P985" s="236"/>
      <c r="Q985" s="236"/>
      <c r="R985" s="236"/>
      <c r="S985" s="236"/>
      <c r="T985" s="236"/>
      <c r="U985" s="236"/>
      <c r="V985" s="236"/>
      <c r="W985" s="237"/>
      <c r="X985" s="237"/>
      <c r="Y985" s="237"/>
      <c r="Z985" s="237"/>
      <c r="AA985" s="237"/>
      <c r="AB985" s="237"/>
      <c r="AC985" s="237"/>
      <c r="AD985" s="237"/>
      <c r="AE985" s="237"/>
      <c r="AF985" s="237"/>
      <c r="AG985" s="237"/>
      <c r="AH985" s="237"/>
      <c r="AI985" s="308"/>
      <c r="AJ985" s="308"/>
      <c r="AK985" s="308"/>
      <c r="AL985" s="308"/>
      <c r="AM985" s="98"/>
      <c r="AN985" s="98"/>
      <c r="AO985" s="98"/>
    </row>
    <row r="986" ht="14.25" customHeight="1">
      <c r="A986" s="179"/>
      <c r="B986" s="98"/>
      <c r="C986" s="98"/>
      <c r="D986" s="98"/>
      <c r="E986" s="98"/>
      <c r="F986" s="235"/>
      <c r="G986" s="235"/>
      <c r="H986" s="236"/>
      <c r="I986" s="236"/>
      <c r="J986" s="236"/>
      <c r="K986" s="236"/>
      <c r="L986" s="236"/>
      <c r="M986" s="236"/>
      <c r="N986" s="236"/>
      <c r="O986" s="236"/>
      <c r="P986" s="236"/>
      <c r="Q986" s="236"/>
      <c r="R986" s="236"/>
      <c r="S986" s="236"/>
      <c r="T986" s="236"/>
      <c r="U986" s="236"/>
      <c r="V986" s="236"/>
      <c r="W986" s="237"/>
      <c r="X986" s="237"/>
      <c r="Y986" s="237"/>
      <c r="Z986" s="237"/>
      <c r="AA986" s="237"/>
      <c r="AB986" s="237"/>
      <c r="AC986" s="237"/>
      <c r="AD986" s="237"/>
      <c r="AE986" s="237"/>
      <c r="AF986" s="237"/>
      <c r="AG986" s="237"/>
      <c r="AH986" s="237"/>
      <c r="AI986" s="308"/>
      <c r="AJ986" s="308"/>
      <c r="AK986" s="308"/>
      <c r="AL986" s="308"/>
      <c r="AM986" s="98"/>
      <c r="AN986" s="98"/>
      <c r="AO986" s="98"/>
    </row>
    <row r="987" ht="14.25" customHeight="1">
      <c r="A987" s="179"/>
      <c r="B987" s="98"/>
      <c r="C987" s="98"/>
      <c r="D987" s="98"/>
      <c r="E987" s="98"/>
      <c r="F987" s="235"/>
      <c r="G987" s="235"/>
      <c r="H987" s="236"/>
      <c r="I987" s="236"/>
      <c r="J987" s="236"/>
      <c r="K987" s="236"/>
      <c r="L987" s="236"/>
      <c r="M987" s="236"/>
      <c r="N987" s="236"/>
      <c r="O987" s="236"/>
      <c r="P987" s="236"/>
      <c r="Q987" s="236"/>
      <c r="R987" s="236"/>
      <c r="S987" s="236"/>
      <c r="T987" s="236"/>
      <c r="U987" s="236"/>
      <c r="V987" s="236"/>
      <c r="W987" s="237"/>
      <c r="X987" s="237"/>
      <c r="Y987" s="237"/>
      <c r="Z987" s="237"/>
      <c r="AA987" s="237"/>
      <c r="AB987" s="237"/>
      <c r="AC987" s="237"/>
      <c r="AD987" s="237"/>
      <c r="AE987" s="237"/>
      <c r="AF987" s="237"/>
      <c r="AG987" s="237"/>
      <c r="AH987" s="237"/>
      <c r="AI987" s="308"/>
      <c r="AJ987" s="308"/>
      <c r="AK987" s="308"/>
      <c r="AL987" s="308"/>
      <c r="AM987" s="98"/>
      <c r="AN987" s="98"/>
      <c r="AO987" s="98"/>
    </row>
    <row r="988" ht="14.25" customHeight="1">
      <c r="A988" s="179"/>
      <c r="B988" s="98"/>
      <c r="C988" s="98"/>
      <c r="D988" s="98"/>
      <c r="E988" s="98"/>
      <c r="F988" s="235"/>
      <c r="G988" s="235"/>
      <c r="H988" s="236"/>
      <c r="I988" s="236"/>
      <c r="J988" s="236"/>
      <c r="K988" s="236"/>
      <c r="L988" s="236"/>
      <c r="M988" s="236"/>
      <c r="N988" s="236"/>
      <c r="O988" s="236"/>
      <c r="P988" s="236"/>
      <c r="Q988" s="236"/>
      <c r="R988" s="236"/>
      <c r="S988" s="236"/>
      <c r="T988" s="236"/>
      <c r="U988" s="236"/>
      <c r="V988" s="236"/>
      <c r="W988" s="237"/>
      <c r="X988" s="237"/>
      <c r="Y988" s="237"/>
      <c r="Z988" s="237"/>
      <c r="AA988" s="237"/>
      <c r="AB988" s="237"/>
      <c r="AC988" s="237"/>
      <c r="AD988" s="237"/>
      <c r="AE988" s="237"/>
      <c r="AF988" s="237"/>
      <c r="AG988" s="237"/>
      <c r="AH988" s="237"/>
      <c r="AI988" s="308"/>
      <c r="AJ988" s="308"/>
      <c r="AK988" s="308"/>
      <c r="AL988" s="308"/>
      <c r="AM988" s="98"/>
      <c r="AN988" s="98"/>
      <c r="AO988" s="98"/>
    </row>
    <row r="989" ht="14.25" customHeight="1">
      <c r="A989" s="179"/>
      <c r="B989" s="98"/>
      <c r="C989" s="98"/>
      <c r="D989" s="98"/>
      <c r="E989" s="98"/>
      <c r="F989" s="235"/>
      <c r="G989" s="235"/>
      <c r="H989" s="236"/>
      <c r="I989" s="236"/>
      <c r="J989" s="236"/>
      <c r="K989" s="236"/>
      <c r="L989" s="236"/>
      <c r="M989" s="236"/>
      <c r="N989" s="236"/>
      <c r="O989" s="236"/>
      <c r="P989" s="236"/>
      <c r="Q989" s="236"/>
      <c r="R989" s="236"/>
      <c r="S989" s="236"/>
      <c r="T989" s="236"/>
      <c r="U989" s="236"/>
      <c r="V989" s="236"/>
      <c r="W989" s="237"/>
      <c r="X989" s="237"/>
      <c r="Y989" s="237"/>
      <c r="Z989" s="237"/>
      <c r="AA989" s="237"/>
      <c r="AB989" s="237"/>
      <c r="AC989" s="237"/>
      <c r="AD989" s="237"/>
      <c r="AE989" s="237"/>
      <c r="AF989" s="237"/>
      <c r="AG989" s="237"/>
      <c r="AH989" s="237"/>
      <c r="AI989" s="308"/>
      <c r="AJ989" s="308"/>
      <c r="AK989" s="308"/>
      <c r="AL989" s="308"/>
      <c r="AM989" s="98"/>
      <c r="AN989" s="98"/>
      <c r="AO989" s="98"/>
    </row>
    <row r="990" ht="14.25" customHeight="1">
      <c r="A990" s="179"/>
      <c r="B990" s="98"/>
      <c r="C990" s="98"/>
      <c r="D990" s="98"/>
      <c r="E990" s="98"/>
      <c r="F990" s="235"/>
      <c r="G990" s="235"/>
      <c r="H990" s="236"/>
      <c r="I990" s="236"/>
      <c r="J990" s="236"/>
      <c r="K990" s="236"/>
      <c r="L990" s="236"/>
      <c r="M990" s="236"/>
      <c r="N990" s="236"/>
      <c r="O990" s="236"/>
      <c r="P990" s="236"/>
      <c r="Q990" s="236"/>
      <c r="R990" s="236"/>
      <c r="S990" s="236"/>
      <c r="T990" s="236"/>
      <c r="U990" s="236"/>
      <c r="V990" s="236"/>
      <c r="W990" s="237"/>
      <c r="X990" s="237"/>
      <c r="Y990" s="237"/>
      <c r="Z990" s="237"/>
      <c r="AA990" s="237"/>
      <c r="AB990" s="237"/>
      <c r="AC990" s="237"/>
      <c r="AD990" s="237"/>
      <c r="AE990" s="237"/>
      <c r="AF990" s="237"/>
      <c r="AG990" s="237"/>
      <c r="AH990" s="237"/>
      <c r="AI990" s="308"/>
      <c r="AJ990" s="308"/>
      <c r="AK990" s="308"/>
      <c r="AL990" s="308"/>
      <c r="AM990" s="98"/>
      <c r="AN990" s="98"/>
      <c r="AO990" s="98"/>
    </row>
    <row r="991" ht="14.25" customHeight="1">
      <c r="A991" s="179"/>
      <c r="B991" s="98"/>
      <c r="C991" s="98"/>
      <c r="D991" s="98"/>
      <c r="E991" s="98"/>
      <c r="F991" s="235"/>
      <c r="G991" s="235"/>
      <c r="H991" s="236"/>
      <c r="I991" s="236"/>
      <c r="J991" s="236"/>
      <c r="K991" s="236"/>
      <c r="L991" s="236"/>
      <c r="M991" s="236"/>
      <c r="N991" s="236"/>
      <c r="O991" s="236"/>
      <c r="P991" s="236"/>
      <c r="Q991" s="236"/>
      <c r="R991" s="236"/>
      <c r="S991" s="236"/>
      <c r="T991" s="236"/>
      <c r="U991" s="236"/>
      <c r="V991" s="236"/>
      <c r="W991" s="237"/>
      <c r="X991" s="237"/>
      <c r="Y991" s="237"/>
      <c r="Z991" s="237"/>
      <c r="AA991" s="237"/>
      <c r="AB991" s="237"/>
      <c r="AC991" s="237"/>
      <c r="AD991" s="237"/>
      <c r="AE991" s="237"/>
      <c r="AF991" s="237"/>
      <c r="AG991" s="237"/>
      <c r="AH991" s="237"/>
      <c r="AI991" s="308"/>
      <c r="AJ991" s="308"/>
      <c r="AK991" s="308"/>
      <c r="AL991" s="308"/>
      <c r="AM991" s="98"/>
      <c r="AN991" s="98"/>
      <c r="AO991" s="98"/>
    </row>
    <row r="992" ht="14.25" customHeight="1">
      <c r="A992" s="179"/>
      <c r="B992" s="98"/>
      <c r="C992" s="98"/>
      <c r="D992" s="98"/>
      <c r="E992" s="98"/>
      <c r="F992" s="235"/>
      <c r="G992" s="235"/>
      <c r="H992" s="236"/>
      <c r="I992" s="236"/>
      <c r="J992" s="236"/>
      <c r="K992" s="236"/>
      <c r="L992" s="236"/>
      <c r="M992" s="236"/>
      <c r="N992" s="236"/>
      <c r="O992" s="236"/>
      <c r="P992" s="236"/>
      <c r="Q992" s="236"/>
      <c r="R992" s="236"/>
      <c r="S992" s="236"/>
      <c r="T992" s="236"/>
      <c r="U992" s="236"/>
      <c r="V992" s="236"/>
      <c r="W992" s="237"/>
      <c r="X992" s="237"/>
      <c r="Y992" s="237"/>
      <c r="Z992" s="237"/>
      <c r="AA992" s="237"/>
      <c r="AB992" s="237"/>
      <c r="AC992" s="237"/>
      <c r="AD992" s="237"/>
      <c r="AE992" s="237"/>
      <c r="AF992" s="237"/>
      <c r="AG992" s="237"/>
      <c r="AH992" s="237"/>
      <c r="AI992" s="308"/>
      <c r="AJ992" s="308"/>
      <c r="AK992" s="308"/>
      <c r="AL992" s="308"/>
      <c r="AM992" s="98"/>
      <c r="AN992" s="98"/>
      <c r="AO992" s="98"/>
    </row>
    <row r="993" ht="14.25" customHeight="1">
      <c r="A993" s="179"/>
      <c r="B993" s="98"/>
      <c r="C993" s="98"/>
      <c r="D993" s="98"/>
      <c r="E993" s="98"/>
      <c r="F993" s="235"/>
      <c r="G993" s="235"/>
      <c r="H993" s="236"/>
      <c r="I993" s="236"/>
      <c r="J993" s="236"/>
      <c r="K993" s="236"/>
      <c r="L993" s="236"/>
      <c r="M993" s="236"/>
      <c r="N993" s="236"/>
      <c r="O993" s="236"/>
      <c r="P993" s="236"/>
      <c r="Q993" s="236"/>
      <c r="R993" s="236"/>
      <c r="S993" s="236"/>
      <c r="T993" s="236"/>
      <c r="U993" s="236"/>
      <c r="V993" s="236"/>
      <c r="W993" s="237"/>
      <c r="X993" s="237"/>
      <c r="Y993" s="237"/>
      <c r="Z993" s="237"/>
      <c r="AA993" s="237"/>
      <c r="AB993" s="237"/>
      <c r="AC993" s="237"/>
      <c r="AD993" s="237"/>
      <c r="AE993" s="237"/>
      <c r="AF993" s="237"/>
      <c r="AG993" s="237"/>
      <c r="AH993" s="237"/>
      <c r="AI993" s="308"/>
      <c r="AJ993" s="308"/>
      <c r="AK993" s="308"/>
      <c r="AL993" s="308"/>
      <c r="AM993" s="98"/>
      <c r="AN993" s="98"/>
      <c r="AO993" s="98"/>
    </row>
    <row r="994" ht="14.25" customHeight="1">
      <c r="A994" s="179"/>
      <c r="B994" s="98"/>
      <c r="C994" s="98"/>
      <c r="D994" s="98"/>
      <c r="E994" s="98"/>
      <c r="F994" s="235"/>
      <c r="G994" s="235"/>
      <c r="H994" s="236"/>
      <c r="I994" s="236"/>
      <c r="J994" s="236"/>
      <c r="K994" s="236"/>
      <c r="L994" s="236"/>
      <c r="M994" s="236"/>
      <c r="N994" s="236"/>
      <c r="O994" s="236"/>
      <c r="P994" s="236"/>
      <c r="Q994" s="236"/>
      <c r="R994" s="236"/>
      <c r="S994" s="236"/>
      <c r="T994" s="236"/>
      <c r="U994" s="236"/>
      <c r="V994" s="236"/>
      <c r="W994" s="237"/>
      <c r="X994" s="237"/>
      <c r="Y994" s="237"/>
      <c r="Z994" s="237"/>
      <c r="AA994" s="237"/>
      <c r="AB994" s="237"/>
      <c r="AC994" s="237"/>
      <c r="AD994" s="237"/>
      <c r="AE994" s="237"/>
      <c r="AF994" s="237"/>
      <c r="AG994" s="237"/>
      <c r="AH994" s="237"/>
      <c r="AI994" s="308"/>
      <c r="AJ994" s="308"/>
      <c r="AK994" s="308"/>
      <c r="AL994" s="308"/>
      <c r="AM994" s="98"/>
      <c r="AN994" s="98"/>
      <c r="AO994" s="98"/>
    </row>
    <row r="995" ht="14.25" customHeight="1">
      <c r="A995" s="179"/>
      <c r="B995" s="98"/>
      <c r="C995" s="98"/>
      <c r="D995" s="98"/>
      <c r="E995" s="98"/>
      <c r="F995" s="235"/>
      <c r="G995" s="235"/>
      <c r="H995" s="236"/>
      <c r="I995" s="236"/>
      <c r="J995" s="236"/>
      <c r="K995" s="236"/>
      <c r="L995" s="236"/>
      <c r="M995" s="236"/>
      <c r="N995" s="236"/>
      <c r="O995" s="236"/>
      <c r="P995" s="236"/>
      <c r="Q995" s="236"/>
      <c r="R995" s="236"/>
      <c r="S995" s="236"/>
      <c r="T995" s="236"/>
      <c r="U995" s="236"/>
      <c r="V995" s="236"/>
      <c r="W995" s="237"/>
      <c r="X995" s="237"/>
      <c r="Y995" s="237"/>
      <c r="Z995" s="237"/>
      <c r="AA995" s="237"/>
      <c r="AB995" s="237"/>
      <c r="AC995" s="237"/>
      <c r="AD995" s="237"/>
      <c r="AE995" s="237"/>
      <c r="AF995" s="237"/>
      <c r="AG995" s="237"/>
      <c r="AH995" s="237"/>
      <c r="AI995" s="308"/>
      <c r="AJ995" s="308"/>
      <c r="AK995" s="308"/>
      <c r="AL995" s="308"/>
      <c r="AM995" s="98"/>
      <c r="AN995" s="98"/>
      <c r="AO995" s="98"/>
    </row>
    <row r="996" ht="14.25" customHeight="1">
      <c r="A996" s="179"/>
      <c r="B996" s="98"/>
      <c r="C996" s="98"/>
      <c r="D996" s="98"/>
      <c r="E996" s="98"/>
      <c r="F996" s="235"/>
      <c r="G996" s="235"/>
      <c r="H996" s="236"/>
      <c r="I996" s="236"/>
      <c r="J996" s="236"/>
      <c r="K996" s="236"/>
      <c r="L996" s="236"/>
      <c r="M996" s="236"/>
      <c r="N996" s="236"/>
      <c r="O996" s="236"/>
      <c r="P996" s="236"/>
      <c r="Q996" s="236"/>
      <c r="R996" s="236"/>
      <c r="S996" s="236"/>
      <c r="T996" s="236"/>
      <c r="U996" s="236"/>
      <c r="V996" s="236"/>
      <c r="W996" s="237"/>
      <c r="X996" s="237"/>
      <c r="Y996" s="237"/>
      <c r="Z996" s="237"/>
      <c r="AA996" s="237"/>
      <c r="AB996" s="237"/>
      <c r="AC996" s="237"/>
      <c r="AD996" s="237"/>
      <c r="AE996" s="237"/>
      <c r="AF996" s="237"/>
      <c r="AG996" s="237"/>
      <c r="AH996" s="237"/>
      <c r="AI996" s="308"/>
      <c r="AJ996" s="308"/>
      <c r="AK996" s="308"/>
      <c r="AL996" s="308"/>
      <c r="AM996" s="98"/>
      <c r="AN996" s="98"/>
      <c r="AO996" s="98"/>
    </row>
    <row r="997" ht="14.25" customHeight="1">
      <c r="A997" s="179"/>
      <c r="B997" s="98"/>
      <c r="C997" s="98"/>
      <c r="D997" s="98"/>
      <c r="E997" s="98"/>
      <c r="F997" s="235"/>
      <c r="G997" s="235"/>
      <c r="H997" s="236"/>
      <c r="I997" s="236"/>
      <c r="J997" s="236"/>
      <c r="K997" s="236"/>
      <c r="L997" s="236"/>
      <c r="M997" s="236"/>
      <c r="N997" s="236"/>
      <c r="O997" s="236"/>
      <c r="P997" s="236"/>
      <c r="Q997" s="236"/>
      <c r="R997" s="236"/>
      <c r="S997" s="236"/>
      <c r="T997" s="236"/>
      <c r="U997" s="236"/>
      <c r="V997" s="236"/>
      <c r="W997" s="237"/>
      <c r="X997" s="237"/>
      <c r="Y997" s="237"/>
      <c r="Z997" s="237"/>
      <c r="AA997" s="237"/>
      <c r="AB997" s="237"/>
      <c r="AC997" s="237"/>
      <c r="AD997" s="237"/>
      <c r="AE997" s="237"/>
      <c r="AF997" s="237"/>
      <c r="AG997" s="237"/>
      <c r="AH997" s="237"/>
      <c r="AI997" s="308"/>
      <c r="AJ997" s="308"/>
      <c r="AK997" s="308"/>
      <c r="AL997" s="308"/>
      <c r="AM997" s="98"/>
      <c r="AN997" s="98"/>
      <c r="AO997" s="98"/>
    </row>
    <row r="998" ht="14.25" customHeight="1">
      <c r="A998" s="179"/>
      <c r="B998" s="98"/>
      <c r="C998" s="98"/>
      <c r="D998" s="98"/>
      <c r="E998" s="98"/>
      <c r="F998" s="235"/>
      <c r="G998" s="235"/>
      <c r="H998" s="236"/>
      <c r="I998" s="236"/>
      <c r="J998" s="236"/>
      <c r="K998" s="236"/>
      <c r="L998" s="236"/>
      <c r="M998" s="236"/>
      <c r="N998" s="236"/>
      <c r="O998" s="236"/>
      <c r="P998" s="236"/>
      <c r="Q998" s="236"/>
      <c r="R998" s="236"/>
      <c r="S998" s="236"/>
      <c r="T998" s="236"/>
      <c r="U998" s="236"/>
      <c r="V998" s="236"/>
      <c r="W998" s="237"/>
      <c r="X998" s="237"/>
      <c r="Y998" s="237"/>
      <c r="Z998" s="237"/>
      <c r="AA998" s="237"/>
      <c r="AB998" s="237"/>
      <c r="AC998" s="237"/>
      <c r="AD998" s="237"/>
      <c r="AE998" s="237"/>
      <c r="AF998" s="237"/>
      <c r="AG998" s="237"/>
      <c r="AH998" s="237"/>
      <c r="AI998" s="308"/>
      <c r="AJ998" s="308"/>
      <c r="AK998" s="308"/>
      <c r="AL998" s="308"/>
      <c r="AM998" s="98"/>
      <c r="AN998" s="98"/>
      <c r="AO998" s="98"/>
    </row>
    <row r="999" ht="14.25" customHeight="1">
      <c r="A999" s="179"/>
      <c r="B999" s="98"/>
      <c r="C999" s="98"/>
      <c r="D999" s="98"/>
      <c r="E999" s="98"/>
      <c r="F999" s="235"/>
      <c r="G999" s="235"/>
      <c r="H999" s="236"/>
      <c r="I999" s="236"/>
      <c r="J999" s="236"/>
      <c r="K999" s="236"/>
      <c r="L999" s="236"/>
      <c r="M999" s="236"/>
      <c r="N999" s="236"/>
      <c r="O999" s="236"/>
      <c r="P999" s="236"/>
      <c r="Q999" s="236"/>
      <c r="R999" s="236"/>
      <c r="S999" s="236"/>
      <c r="T999" s="236"/>
      <c r="U999" s="236"/>
      <c r="V999" s="236"/>
      <c r="W999" s="237"/>
      <c r="X999" s="237"/>
      <c r="Y999" s="237"/>
      <c r="Z999" s="237"/>
      <c r="AA999" s="237"/>
      <c r="AB999" s="237"/>
      <c r="AC999" s="237"/>
      <c r="AD999" s="237"/>
      <c r="AE999" s="237"/>
      <c r="AF999" s="237"/>
      <c r="AG999" s="237"/>
      <c r="AH999" s="237"/>
      <c r="AI999" s="308"/>
      <c r="AJ999" s="308"/>
      <c r="AK999" s="308"/>
      <c r="AL999" s="308"/>
      <c r="AM999" s="98"/>
      <c r="AN999" s="98"/>
      <c r="AO999" s="98"/>
    </row>
    <row r="1000" ht="14.25" customHeight="1">
      <c r="A1000" s="179"/>
      <c r="B1000" s="98"/>
      <c r="C1000" s="98"/>
      <c r="D1000" s="98"/>
      <c r="E1000" s="98"/>
      <c r="F1000" s="235"/>
      <c r="G1000" s="235"/>
      <c r="H1000" s="236"/>
      <c r="I1000" s="236"/>
      <c r="J1000" s="236"/>
      <c r="K1000" s="236"/>
      <c r="L1000" s="236"/>
      <c r="M1000" s="236"/>
      <c r="N1000" s="236"/>
      <c r="O1000" s="236"/>
      <c r="P1000" s="236"/>
      <c r="Q1000" s="236"/>
      <c r="R1000" s="236"/>
      <c r="S1000" s="236"/>
      <c r="T1000" s="236"/>
      <c r="U1000" s="236"/>
      <c r="V1000" s="236"/>
      <c r="W1000" s="237"/>
      <c r="X1000" s="237"/>
      <c r="Y1000" s="237"/>
      <c r="Z1000" s="237"/>
      <c r="AA1000" s="237"/>
      <c r="AB1000" s="237"/>
      <c r="AC1000" s="237"/>
      <c r="AD1000" s="237"/>
      <c r="AE1000" s="237"/>
      <c r="AF1000" s="237"/>
      <c r="AG1000" s="237"/>
      <c r="AH1000" s="237"/>
      <c r="AI1000" s="308"/>
      <c r="AJ1000" s="308"/>
      <c r="AK1000" s="308"/>
      <c r="AL1000" s="308"/>
      <c r="AM1000" s="98"/>
      <c r="AN1000" s="98"/>
      <c r="AO1000" s="98"/>
    </row>
  </sheetData>
  <mergeCells count="1">
    <mergeCell ref="A1:E1"/>
  </mergeCells>
  <conditionalFormatting sqref="A35:E37 G35:AM37">
    <cfRule type="expression" dxfId="0" priority="1">
      <formula>NOT(ISERROR(SEARCH("warning",A35)))</formula>
    </cfRule>
  </conditionalFormatting>
  <conditionalFormatting sqref="A1:AM34 A38:AM55 A57:AM66 A68:AM85 A87:AM96 A99:AM122 A124:AM182 A185:AM1000 E56:AM56 E67:AM67 E86:AM86 E98:AM98 E123:AM123 E183:AM184">
    <cfRule type="expression" dxfId="0" priority="2">
      <formula>NOT(ISERROR(SEARCH("warning",A1)))</formula>
    </cfRule>
  </conditionalFormatting>
  <conditionalFormatting sqref="C211:G211">
    <cfRule type="expression" dxfId="0" priority="3">
      <formula>ISNUMBER(SEARCH("warning",$B$211))</formula>
    </cfRule>
  </conditionalFormatting>
  <conditionalFormatting sqref="D124:G124">
    <cfRule type="expression" dxfId="0" priority="4">
      <formula>ISNUMBER(SEARCH("warning",$C$124))</formula>
    </cfRule>
  </conditionalFormatting>
  <conditionalFormatting sqref="D146:G146">
    <cfRule type="expression" dxfId="0" priority="5">
      <formula>ISNUMBER(SEARCH("warning",$C$146))</formula>
    </cfRule>
  </conditionalFormatting>
  <conditionalFormatting sqref="D190:G190">
    <cfRule type="expression" dxfId="0" priority="6">
      <formula>ISNUMBER(SEARCH("warning",$C$190))</formula>
    </cfRule>
  </conditionalFormatting>
  <conditionalFormatting sqref="F35">
    <cfRule type="expression" dxfId="0" priority="7">
      <formula>NOT(ISERROR(SEARCH("warning",F35)))</formula>
    </cfRule>
  </conditionalFormatting>
  <conditionalFormatting sqref="F37">
    <cfRule type="expression" dxfId="0" priority="8">
      <formula>NOT(ISERROR(SEARCH("warning",F37)))</formula>
    </cfRule>
  </conditionalFormatting>
  <conditionalFormatting sqref="H125:AH131">
    <cfRule type="expression" dxfId="0" priority="9">
      <formula>AND(ISBLANK(H$125)=FALSE(),COUNTA(H$126:H$131)&gt;0,ABS(H$125-SUM(H$126:H$131))/H$125&gt;10^-3)</formula>
    </cfRule>
  </conditionalFormatting>
  <conditionalFormatting sqref="H147:AH152">
    <cfRule type="expression" dxfId="0" priority="10">
      <formula>AND(ISBLANK(H$147)=FALSE(),COUNTA(H$148:H$152)&gt;0,ABS(H$147-SUM(H$148:H$152))/H$147&gt;10^-3)</formula>
    </cfRule>
  </conditionalFormatting>
  <conditionalFormatting sqref="H191:AH194">
    <cfRule type="expression" dxfId="0" priority="11">
      <formula>AND(ISBLANK(H$191)=FALSE(),COUNTA(H$192:H$194)=3,ABS(H$191-SUM(H$192:H$194))/H$191&gt;10^-3)</formula>
    </cfRule>
  </conditionalFormatting>
  <conditionalFormatting sqref="H212:AH218">
    <cfRule type="expression" dxfId="0" priority="12">
      <formula>AND(ISBLANK(H$212)=FALSE(),COUNTA(H$213:H$218)&gt;0,ABS(H$212-SUM(H$213:H$218))/H$212&gt;10^-3)</formula>
    </cfRule>
  </conditionalFormatting>
  <conditionalFormatting sqref="H230:AM263">
    <cfRule type="colorScale" priority="13">
      <colorScale>
        <cfvo type="formula" val="0"/>
        <cfvo type="formula" val="0.5"/>
        <cfvo type="formula" val="1"/>
        <color rgb="FFFF9999"/>
        <color rgb="FFFFF2CC"/>
        <color rgb="FF91EF98"/>
      </colorScale>
    </cfRule>
  </conditionalFormatting>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8D0F4"/>
    <pageSetUpPr/>
  </sheetPr>
  <sheetViews>
    <sheetView showGridLines="0" workbookViewId="0"/>
  </sheetViews>
  <sheetFormatPr customHeight="1" defaultColWidth="14.43" defaultRowHeight="15.0" outlineLevelCol="1" outlineLevelRow="3"/>
  <cols>
    <col customWidth="1" min="1" max="4" width="2.43"/>
    <col customWidth="1" min="5" max="5" width="88.43"/>
    <col customWidth="1" min="6" max="6" width="17.43"/>
    <col customWidth="1" min="7" max="7" width="13.57"/>
    <col customWidth="1" hidden="1" min="8" max="14" width="10.57" outlineLevel="1"/>
    <col customWidth="1" hidden="1" min="15" max="15" width="12.57" outlineLevel="1"/>
    <col customWidth="1" hidden="1" min="16" max="22" width="10.57" outlineLevel="1"/>
    <col customWidth="1" min="23" max="23" width="10.57"/>
    <col customWidth="1" hidden="1" min="24" max="27" width="10.57" outlineLevel="1"/>
    <col customWidth="1" min="28" max="34" width="10.57"/>
    <col customWidth="1" min="35" max="70" width="119.43"/>
  </cols>
  <sheetData>
    <row r="1" ht="14.25" customHeight="1">
      <c r="A1" s="309" t="s">
        <v>49</v>
      </c>
      <c r="B1" s="22"/>
      <c r="C1" s="22"/>
      <c r="D1" s="22"/>
      <c r="E1" s="23"/>
      <c r="F1" s="62" t="s">
        <v>50</v>
      </c>
      <c r="G1" s="62" t="s">
        <v>51</v>
      </c>
      <c r="H1" s="62">
        <v>2000.0</v>
      </c>
      <c r="I1" s="62">
        <v>2001.0</v>
      </c>
      <c r="J1" s="62">
        <v>2002.0</v>
      </c>
      <c r="K1" s="62">
        <v>2003.0</v>
      </c>
      <c r="L1" s="62">
        <v>2004.0</v>
      </c>
      <c r="M1" s="62">
        <v>2005.0</v>
      </c>
      <c r="N1" s="62">
        <v>2006.0</v>
      </c>
      <c r="O1" s="62">
        <v>2007.0</v>
      </c>
      <c r="P1" s="62">
        <v>2008.0</v>
      </c>
      <c r="Q1" s="62">
        <v>2009.0</v>
      </c>
      <c r="R1" s="62">
        <v>2010.0</v>
      </c>
      <c r="S1" s="62">
        <v>2011.0</v>
      </c>
      <c r="T1" s="62">
        <v>2012.0</v>
      </c>
      <c r="U1" s="62">
        <v>2013.0</v>
      </c>
      <c r="V1" s="62">
        <v>2014.0</v>
      </c>
      <c r="W1" s="62">
        <f>ReferenceYear</f>
        <v>2015</v>
      </c>
      <c r="X1" s="62">
        <v>2016.0</v>
      </c>
      <c r="Y1" s="62">
        <v>2017.0</v>
      </c>
      <c r="Z1" s="62">
        <v>2018.0</v>
      </c>
      <c r="AA1" s="62">
        <v>2019.0</v>
      </c>
      <c r="AB1" s="62">
        <f>IFERROR(IF(W1+5&lt;=TargetYear,W1+5,""),"")</f>
        <v>2020</v>
      </c>
      <c r="AC1" s="62">
        <f>IFERROR(IF(AB1+5&lt;=TargetYear,AB1+5,""),"")</f>
        <v>2025</v>
      </c>
      <c r="AD1" s="62">
        <f>IFERROR(IF(AC1+5&lt;=TargetYear,AC1+5,""),"")</f>
        <v>2030</v>
      </c>
      <c r="AE1" s="62">
        <f>IFERROR(IF(AD1+5&lt;=TargetYear,AD1+5,""),"")</f>
        <v>2035</v>
      </c>
      <c r="AF1" s="62">
        <f>IFERROR(IF(AE1+5&lt;=TargetYear,AE1+5,""),"")</f>
        <v>2040</v>
      </c>
      <c r="AG1" s="62">
        <f>IFERROR(IF(AF1+5&lt;=TargetYear,AF1+5,""),"")</f>
        <v>2045</v>
      </c>
      <c r="AH1" s="62">
        <f>IFERROR(IF(AG1+5&lt;=TargetYear,AG1+5,""),"")</f>
        <v>2050</v>
      </c>
      <c r="AI1" s="62" t="s">
        <v>640</v>
      </c>
      <c r="AJ1" s="310"/>
      <c r="AK1" s="310"/>
      <c r="AL1" s="310"/>
      <c r="AM1" s="310"/>
      <c r="AN1" s="310"/>
      <c r="AO1" s="310"/>
      <c r="AP1" s="310"/>
      <c r="AQ1" s="310"/>
      <c r="AR1" s="310"/>
      <c r="AS1" s="310"/>
      <c r="AT1" s="310"/>
      <c r="AU1" s="310"/>
      <c r="AV1" s="310"/>
      <c r="AW1" s="310"/>
      <c r="AX1" s="310"/>
      <c r="AY1" s="310"/>
      <c r="AZ1" s="310"/>
      <c r="BA1" s="310"/>
      <c r="BB1" s="310"/>
      <c r="BC1" s="310"/>
      <c r="BD1" s="310"/>
      <c r="BE1" s="310"/>
      <c r="BF1" s="310"/>
      <c r="BG1" s="310"/>
      <c r="BH1" s="310"/>
      <c r="BI1" s="310"/>
      <c r="BJ1" s="310"/>
      <c r="BK1" s="310"/>
      <c r="BL1" s="310"/>
      <c r="BM1" s="310"/>
      <c r="BN1" s="310"/>
      <c r="BO1" s="310"/>
      <c r="BP1" s="310"/>
      <c r="BQ1" s="310"/>
      <c r="BR1" s="310"/>
    </row>
    <row r="2" ht="14.25" customHeight="1">
      <c r="A2" s="311" t="s">
        <v>250</v>
      </c>
      <c r="B2" s="217"/>
      <c r="C2" s="217"/>
      <c r="D2" s="217"/>
      <c r="E2" s="217"/>
      <c r="F2" s="217"/>
      <c r="G2" s="217"/>
      <c r="H2" s="239"/>
      <c r="I2" s="239"/>
      <c r="J2" s="239"/>
      <c r="K2" s="239"/>
      <c r="L2" s="239"/>
      <c r="M2" s="239"/>
      <c r="N2" s="239"/>
      <c r="O2" s="239"/>
      <c r="P2" s="239"/>
      <c r="Q2" s="239"/>
      <c r="R2" s="239"/>
      <c r="S2" s="239"/>
      <c r="T2" s="239"/>
      <c r="U2" s="239"/>
      <c r="V2" s="239"/>
      <c r="W2" s="240"/>
      <c r="X2" s="240"/>
      <c r="Y2" s="240"/>
      <c r="Z2" s="240"/>
      <c r="AA2" s="240"/>
      <c r="AB2" s="240"/>
      <c r="AC2" s="240"/>
      <c r="AD2" s="240"/>
      <c r="AE2" s="240"/>
      <c r="AF2" s="240"/>
      <c r="AG2" s="240"/>
      <c r="AH2" s="240"/>
      <c r="AI2" s="312"/>
      <c r="AJ2" s="313"/>
      <c r="AK2" s="313"/>
      <c r="AL2" s="313"/>
      <c r="AM2" s="313"/>
      <c r="AN2" s="313"/>
      <c r="AO2" s="313"/>
      <c r="AP2" s="313"/>
      <c r="AQ2" s="313"/>
      <c r="AR2" s="313"/>
      <c r="AS2" s="313"/>
      <c r="AT2" s="313"/>
      <c r="AU2" s="313"/>
      <c r="AV2" s="313"/>
      <c r="AW2" s="313"/>
      <c r="AX2" s="313"/>
      <c r="AY2" s="313"/>
      <c r="AZ2" s="313"/>
      <c r="BA2" s="313"/>
      <c r="BB2" s="313"/>
      <c r="BC2" s="313"/>
      <c r="BD2" s="313"/>
      <c r="BE2" s="313"/>
      <c r="BF2" s="313"/>
      <c r="BG2" s="313"/>
      <c r="BH2" s="313"/>
      <c r="BI2" s="313"/>
      <c r="BJ2" s="313"/>
      <c r="BK2" s="313"/>
      <c r="BL2" s="313"/>
      <c r="BM2" s="313"/>
      <c r="BN2" s="313"/>
      <c r="BO2" s="313"/>
      <c r="BP2" s="313"/>
      <c r="BQ2" s="313"/>
      <c r="BR2" s="313"/>
    </row>
    <row r="3" ht="14.25" customHeight="1">
      <c r="A3" s="314" t="s">
        <v>256</v>
      </c>
      <c r="B3" s="246"/>
      <c r="C3" s="246"/>
      <c r="D3" s="246"/>
      <c r="E3" s="162"/>
      <c r="F3" s="162"/>
      <c r="G3" s="162"/>
      <c r="H3" s="178"/>
      <c r="I3" s="178"/>
      <c r="J3" s="178"/>
      <c r="K3" s="178"/>
      <c r="L3" s="178"/>
      <c r="M3" s="178"/>
      <c r="N3" s="178"/>
      <c r="O3" s="178"/>
      <c r="P3" s="178"/>
      <c r="Q3" s="178"/>
      <c r="R3" s="178"/>
      <c r="S3" s="178"/>
      <c r="T3" s="178"/>
      <c r="U3" s="178"/>
      <c r="V3" s="178"/>
      <c r="W3" s="178"/>
      <c r="X3" s="178"/>
      <c r="Y3" s="178"/>
      <c r="Z3" s="178"/>
      <c r="AA3" s="178"/>
      <c r="AB3" s="178"/>
      <c r="AC3" s="178"/>
      <c r="AD3" s="178"/>
      <c r="AE3" s="178"/>
      <c r="AF3" s="178"/>
      <c r="AG3" s="178"/>
      <c r="AH3" s="178"/>
      <c r="AI3" s="162"/>
      <c r="AJ3" s="315"/>
      <c r="AK3" s="315"/>
      <c r="AL3" s="315"/>
      <c r="AM3" s="315"/>
      <c r="AN3" s="315"/>
      <c r="AO3" s="315"/>
      <c r="AP3" s="315"/>
      <c r="AQ3" s="315"/>
      <c r="AR3" s="315"/>
      <c r="AS3" s="315"/>
      <c r="AT3" s="315"/>
      <c r="AU3" s="315"/>
      <c r="AV3" s="315"/>
      <c r="AW3" s="315"/>
      <c r="AX3" s="315"/>
      <c r="AY3" s="315"/>
      <c r="AZ3" s="315"/>
      <c r="BA3" s="315"/>
      <c r="BB3" s="315"/>
      <c r="BC3" s="315"/>
      <c r="BD3" s="315"/>
      <c r="BE3" s="315"/>
      <c r="BF3" s="315"/>
      <c r="BG3" s="315"/>
      <c r="BH3" s="315"/>
      <c r="BI3" s="315"/>
      <c r="BJ3" s="315"/>
      <c r="BK3" s="315"/>
      <c r="BL3" s="315"/>
      <c r="BM3" s="315"/>
      <c r="BN3" s="315"/>
      <c r="BO3" s="315"/>
      <c r="BP3" s="315"/>
      <c r="BQ3" s="315"/>
      <c r="BR3" s="315"/>
    </row>
    <row r="4" ht="13.5" customHeight="1" outlineLevel="2">
      <c r="A4" s="195"/>
      <c r="B4" s="201"/>
      <c r="C4" s="246"/>
      <c r="D4" s="201"/>
      <c r="E4" s="316" t="s">
        <v>641</v>
      </c>
      <c r="F4" s="316"/>
      <c r="G4" s="316" t="s">
        <v>642</v>
      </c>
      <c r="H4" s="317" t="str">
        <f>IF(ABS(men-nbrlpr)&lt;10^-5,"Yes","Warning: nbrlpr &lt;&gt;men")</f>
        <v>Warning: nbrlpr &lt;&gt;men</v>
      </c>
      <c r="I4" s="317" t="str">
        <f>IF(ABS(men-nbrlpr)&lt;10^-5,"Yes","Warning: nbrlpr &lt;&gt;men")</f>
        <v>Warning: nbrlpr &lt;&gt;men</v>
      </c>
      <c r="J4" s="317" t="str">
        <f>IF(ABS(men-nbrlpr)&lt;10^-5,"Yes","Warning: nbrlpr &lt;&gt;men")</f>
        <v>Warning: nbrlpr &lt;&gt;men</v>
      </c>
      <c r="K4" s="317" t="str">
        <f>IF(ABS(men-nbrlpr)&lt;10^-5,"Yes","Warning: nbrlpr &lt;&gt;men")</f>
        <v>Warning: nbrlpr &lt;&gt;men</v>
      </c>
      <c r="L4" s="317" t="str">
        <f>IF(ABS(men-nbrlpr)&lt;10^-5,"Yes","Warning: nbrlpr &lt;&gt;men")</f>
        <v>Warning: nbrlpr &lt;&gt;men</v>
      </c>
      <c r="M4" s="317" t="str">
        <f>IF(ABS(men-nbrlpr)&lt;10^-5,"Yes","Warning: nbrlpr &lt;&gt;men")</f>
        <v>Warning: nbrlpr &lt;&gt;men</v>
      </c>
      <c r="N4" s="317" t="str">
        <f>IF(ABS(men-nbrlpr)&lt;10^-5,"Yes","Warning: nbrlpr &lt;&gt;men")</f>
        <v>Warning: nbrlpr &lt;&gt;men</v>
      </c>
      <c r="O4" s="317" t="str">
        <f>IF(ABS(men-nbrlpr)&lt;10^-5,"Yes","Warning: nbrlpr &lt;&gt;men")</f>
        <v>Warning: nbrlpr &lt;&gt;men</v>
      </c>
      <c r="P4" s="317" t="str">
        <f>IF(ABS(men-nbrlpr)&lt;10^-5,"Yes","Warning: nbrlpr &lt;&gt;men")</f>
        <v>Warning: nbrlpr &lt;&gt;men</v>
      </c>
      <c r="Q4" s="317" t="str">
        <f>IF(ABS(men-nbrlpr)&lt;10^-5,"Yes","Warning: nbrlpr &lt;&gt;men")</f>
        <v>Warning: nbrlpr &lt;&gt;men</v>
      </c>
      <c r="R4" s="317" t="str">
        <f>IF(ABS(men-nbrlpr)&lt;10^-5,"Yes","Warning: nbrlpr &lt;&gt;men")</f>
        <v>Warning: nbrlpr &lt;&gt;men</v>
      </c>
      <c r="S4" s="317" t="str">
        <f>IF(ABS(men-nbrlpr)&lt;10^-5,"Yes","Warning: nbrlpr &lt;&gt;men")</f>
        <v>Warning: nbrlpr &lt;&gt;men</v>
      </c>
      <c r="T4" s="317" t="str">
        <f>IF(ABS(men-nbrlpr)&lt;10^-5,"Yes","Warning: nbrlpr &lt;&gt;men")</f>
        <v>Warning: nbrlpr &lt;&gt;men</v>
      </c>
      <c r="U4" s="317" t="str">
        <f>IF(ABS(men-nbrlpr)&lt;10^-5,"Yes","Warning: nbrlpr &lt;&gt;men")</f>
        <v>Warning: nbrlpr &lt;&gt;men</v>
      </c>
      <c r="V4" s="317" t="str">
        <f>IF(ABS(men-nbrlpr)&lt;10^-5,"Yes","Warning: nbrlpr &lt;&gt;men")</f>
        <v>Warning: nbrlpr &lt;&gt;men</v>
      </c>
      <c r="W4" s="317" t="str">
        <f>IF(ABS(men-nbrlpr)&lt;10^-5,"Yes","Warning: nbrlpr &lt;&gt;men")</f>
        <v>Yes</v>
      </c>
      <c r="X4" s="317" t="str">
        <f>IF(ABS(men-nbrlpr)&lt;10^-5,"Yes","Warning: nbrlpr &lt;&gt;men")</f>
        <v>Yes</v>
      </c>
      <c r="Y4" s="317" t="str">
        <f>IF(ABS(men-nbrlpr)&lt;10^-5,"Yes","Warning: nbrlpr &lt;&gt;men")</f>
        <v>Yes</v>
      </c>
      <c r="Z4" s="317" t="str">
        <f>IF(ABS(men-nbrlpr)&lt;10^-5,"Yes","Warning: nbrlpr &lt;&gt;men")</f>
        <v>Yes</v>
      </c>
      <c r="AA4" s="317" t="str">
        <f>IF(ABS(men-nbrlpr)&lt;10^-5,"Yes","Warning: nbrlpr &lt;&gt;men")</f>
        <v>Yes</v>
      </c>
      <c r="AB4" s="317" t="str">
        <f>IF(ABS(men-nbrlpr)&lt;10^-5,"Yes","Warning: nbrlpr &lt;&gt;men")</f>
        <v>Yes</v>
      </c>
      <c r="AC4" s="317" t="str">
        <f>IF(ABS(men-nbrlpr)&lt;10^-5,"Yes","Warning: nbrlpr &lt;&gt;men")</f>
        <v>Yes</v>
      </c>
      <c r="AD4" s="317" t="str">
        <f>IF(ABS(men-nbrlpr)&lt;10^-5,"Yes","Warning: nbrlpr &lt;&gt;men")</f>
        <v>Yes</v>
      </c>
      <c r="AE4" s="317" t="str">
        <f>IF(ABS(men-nbrlpr)&lt;10^-5,"Yes","Warning: nbrlpr &lt;&gt;men")</f>
        <v>Yes</v>
      </c>
      <c r="AF4" s="317" t="str">
        <f>IF(ABS(men-nbrlpr)&lt;10^-5,"Yes","Warning: nbrlpr &lt;&gt;men")</f>
        <v>Yes</v>
      </c>
      <c r="AG4" s="317" t="str">
        <f>IF(ABS(men-nbrlpr)&lt;10^-5,"Yes","Warning: nbrlpr &lt;&gt;men")</f>
        <v>Yes</v>
      </c>
      <c r="AH4" s="317" t="str">
        <f>IF(ABS(men-nbrlpr)&lt;10^-5,"Yes","Warning: nbrlpr &lt;&gt;men")</f>
        <v>Yes</v>
      </c>
      <c r="AI4" s="125"/>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row>
    <row r="5" ht="14.25" customHeight="1" outlineLevel="1">
      <c r="A5" s="195"/>
      <c r="B5" s="201"/>
      <c r="C5" s="201"/>
      <c r="D5" s="201"/>
      <c r="E5" s="273" t="s">
        <v>643</v>
      </c>
      <c r="F5" s="123" t="s">
        <v>264</v>
      </c>
      <c r="G5" s="123" t="s">
        <v>644</v>
      </c>
      <c r="H5" s="274">
        <f>totsurlex*(1-trvcumres)</f>
        <v>525.0793885</v>
      </c>
      <c r="I5" s="274">
        <f>totsurlex*(1-trvcumres)</f>
        <v>528.8587902</v>
      </c>
      <c r="J5" s="274">
        <f>totsurlex*(1-trvcumres)</f>
        <v>534.6661976</v>
      </c>
      <c r="K5" s="274">
        <f>totsurlex*(1-trvcumres)</f>
        <v>539.30006</v>
      </c>
      <c r="L5" s="274">
        <f>totsurlex*(1-trvcumres)</f>
        <v>535.5194175</v>
      </c>
      <c r="M5" s="274">
        <f>totsurlex*(1-trvcumres)</f>
        <v>549.9833725</v>
      </c>
      <c r="N5" s="274">
        <f>totsurlex*(1-trvcumres)</f>
        <v>553.5858127</v>
      </c>
      <c r="O5" s="274">
        <f>totsurlex*(1-trvcumres)</f>
        <v>560.1425224</v>
      </c>
      <c r="P5" s="274">
        <f>totsurlex*(1-trvcumres)</f>
        <v>566.8049188</v>
      </c>
      <c r="Q5" s="274">
        <f>totsurlex*(1-trvcumres)</f>
        <v>576.2107701</v>
      </c>
      <c r="R5" s="274">
        <f>totsurlex*(1-trvcumres)</f>
        <v>582.48344</v>
      </c>
      <c r="S5" s="274">
        <f>totsurlex*(1-trvcumres)</f>
        <v>595.20084</v>
      </c>
      <c r="T5" s="274">
        <f>totsurlex*(1-trvcumres)</f>
        <v>600.166822</v>
      </c>
      <c r="U5" s="274">
        <f>totsurlex*(1-trvcumres)</f>
        <v>604.410899</v>
      </c>
      <c r="V5" s="274">
        <f>totsurlex*(1-trvcumres)</f>
        <v>608.126392</v>
      </c>
      <c r="W5" s="274">
        <f>totsurlex*(1-trvcumres)</f>
        <v>542.9001308</v>
      </c>
      <c r="X5" s="274">
        <f>totsurlex*(1-trvcumres)</f>
        <v>0</v>
      </c>
      <c r="Y5" s="274">
        <f>totsurlex*(1-trvcumres)</f>
        <v>0</v>
      </c>
      <c r="Z5" s="274">
        <f>totsurlex*(1-trvcumres)</f>
        <v>0</v>
      </c>
      <c r="AA5" s="274">
        <f>totsurlex*(1-trvcumres)</f>
        <v>0</v>
      </c>
      <c r="AB5" s="274">
        <f>totsurlex*(1-trvcumres)</f>
        <v>541.4162614</v>
      </c>
      <c r="AC5" s="274">
        <f>totsurlex*(1-trvcumres)</f>
        <v>522.6692287</v>
      </c>
      <c r="AD5" s="274">
        <f>totsurlex*(1-trvcumres)</f>
        <v>441.0735358</v>
      </c>
      <c r="AE5" s="274">
        <f>totsurlex*(1-trvcumres)</f>
        <v>361.7879238</v>
      </c>
      <c r="AF5" s="274">
        <f>totsurlex*(1-trvcumres)</f>
        <v>265.9732496</v>
      </c>
      <c r="AG5" s="274">
        <f>totsurlex*(1-trvcumres)</f>
        <v>182.6055946</v>
      </c>
      <c r="AH5" s="274">
        <f>totsurlex*(1-trvcumres)</f>
        <v>120.505727</v>
      </c>
      <c r="AI5" s="318"/>
      <c r="AJ5" s="319"/>
      <c r="AK5" s="319"/>
      <c r="AL5" s="319"/>
      <c r="AM5" s="319"/>
      <c r="AN5" s="319"/>
      <c r="AO5" s="319"/>
      <c r="AP5" s="319"/>
      <c r="AQ5" s="319"/>
      <c r="AR5" s="319"/>
      <c r="AS5" s="319"/>
      <c r="AT5" s="319"/>
      <c r="AU5" s="319"/>
      <c r="AV5" s="319"/>
      <c r="AW5" s="319"/>
      <c r="AX5" s="319"/>
      <c r="AY5" s="319"/>
      <c r="AZ5" s="319"/>
      <c r="BA5" s="319"/>
      <c r="BB5" s="319"/>
      <c r="BC5" s="319"/>
      <c r="BD5" s="319"/>
      <c r="BE5" s="319"/>
      <c r="BF5" s="319"/>
      <c r="BG5" s="319"/>
      <c r="BH5" s="319"/>
      <c r="BI5" s="319"/>
      <c r="BJ5" s="319"/>
      <c r="BK5" s="319"/>
      <c r="BL5" s="319"/>
      <c r="BM5" s="319"/>
      <c r="BN5" s="319"/>
      <c r="BO5" s="319"/>
      <c r="BP5" s="319"/>
      <c r="BQ5" s="319"/>
      <c r="BR5" s="319"/>
    </row>
    <row r="6" ht="14.25" customHeight="1" outlineLevel="1">
      <c r="A6" s="195"/>
      <c r="B6" s="201"/>
      <c r="C6" s="201"/>
      <c r="D6" s="201"/>
      <c r="E6" s="273" t="s">
        <v>645</v>
      </c>
      <c r="F6" s="123" t="s">
        <v>264</v>
      </c>
      <c r="G6" s="123" t="s">
        <v>646</v>
      </c>
      <c r="H6" s="274">
        <f>totsurlex*trvcumres</f>
        <v>0</v>
      </c>
      <c r="I6" s="274">
        <f>totsurlex*trvcumres</f>
        <v>0</v>
      </c>
      <c r="J6" s="274">
        <f>totsurlex*trvcumres</f>
        <v>0</v>
      </c>
      <c r="K6" s="274">
        <f>totsurlex*trvcumres</f>
        <v>0</v>
      </c>
      <c r="L6" s="274">
        <f>totsurlex*trvcumres</f>
        <v>0</v>
      </c>
      <c r="M6" s="274">
        <f>totsurlex*trvcumres</f>
        <v>0</v>
      </c>
      <c r="N6" s="274">
        <f>totsurlex*trvcumres</f>
        <v>0</v>
      </c>
      <c r="O6" s="274">
        <f>totsurlex*trvcumres</f>
        <v>0</v>
      </c>
      <c r="P6" s="274">
        <f>totsurlex*trvcumres</f>
        <v>0</v>
      </c>
      <c r="Q6" s="274">
        <f>totsurlex*trvcumres</f>
        <v>0</v>
      </c>
      <c r="R6" s="274">
        <f>totsurlex*trvcumres</f>
        <v>0</v>
      </c>
      <c r="S6" s="274">
        <f>totsurlex*trvcumres</f>
        <v>0</v>
      </c>
      <c r="T6" s="274">
        <f>totsurlex*trvcumres</f>
        <v>0</v>
      </c>
      <c r="U6" s="274">
        <f>totsurlex*trvcumres</f>
        <v>0</v>
      </c>
      <c r="V6" s="274">
        <f>totsurlex*trvcumres</f>
        <v>0</v>
      </c>
      <c r="W6" s="274">
        <f>totsurlex*trvcumres</f>
        <v>0</v>
      </c>
      <c r="X6" s="274">
        <f>totsurlex*trvcumres</f>
        <v>0</v>
      </c>
      <c r="Y6" s="274">
        <f>totsurlex*trvcumres</f>
        <v>0</v>
      </c>
      <c r="Z6" s="274">
        <f>totsurlex*trvcumres</f>
        <v>0</v>
      </c>
      <c r="AA6" s="274">
        <f>totsurlex*trvcumres</f>
        <v>0</v>
      </c>
      <c r="AB6" s="274">
        <f>totsurlex*trvcumres</f>
        <v>16.5352945</v>
      </c>
      <c r="AC6" s="274">
        <f>totsurlex*trvcumres</f>
        <v>67.5477722</v>
      </c>
      <c r="AD6" s="274">
        <f>totsurlex*trvcumres</f>
        <v>141.359098</v>
      </c>
      <c r="AE6" s="274">
        <f>totsurlex*trvcumres</f>
        <v>237.8743365</v>
      </c>
      <c r="AF6" s="274">
        <f>totsurlex*trvcumres</f>
        <v>331.8346624</v>
      </c>
      <c r="AG6" s="274">
        <f>totsurlex*trvcumres</f>
        <v>418.1111138</v>
      </c>
      <c r="AH6" s="274">
        <f>totsurlex*trvcumres</f>
        <v>482.0229079</v>
      </c>
      <c r="AI6" s="318"/>
      <c r="AJ6" s="319"/>
      <c r="AK6" s="319"/>
      <c r="AL6" s="319"/>
      <c r="AM6" s="319"/>
      <c r="AN6" s="319"/>
      <c r="AO6" s="319"/>
      <c r="AP6" s="319"/>
      <c r="AQ6" s="319"/>
      <c r="AR6" s="319"/>
      <c r="AS6" s="319"/>
      <c r="AT6" s="319"/>
      <c r="AU6" s="319"/>
      <c r="AV6" s="319"/>
      <c r="AW6" s="319"/>
      <c r="AX6" s="319"/>
      <c r="AY6" s="319"/>
      <c r="AZ6" s="319"/>
      <c r="BA6" s="319"/>
      <c r="BB6" s="319"/>
      <c r="BC6" s="319"/>
      <c r="BD6" s="319"/>
      <c r="BE6" s="319"/>
      <c r="BF6" s="319"/>
      <c r="BG6" s="319"/>
      <c r="BH6" s="319"/>
      <c r="BI6" s="319"/>
      <c r="BJ6" s="319"/>
      <c r="BK6" s="319"/>
      <c r="BL6" s="319"/>
      <c r="BM6" s="319"/>
      <c r="BN6" s="319"/>
      <c r="BO6" s="319"/>
      <c r="BP6" s="319"/>
      <c r="BQ6" s="319"/>
      <c r="BR6" s="319"/>
    </row>
    <row r="7" ht="14.25" customHeight="1">
      <c r="A7" s="314" t="s">
        <v>647</v>
      </c>
      <c r="B7" s="246"/>
      <c r="C7" s="246"/>
      <c r="D7" s="282"/>
      <c r="E7" s="162"/>
      <c r="F7" s="162"/>
      <c r="G7" s="162"/>
      <c r="H7" s="178"/>
      <c r="I7" s="178"/>
      <c r="J7" s="178"/>
      <c r="K7" s="178"/>
      <c r="L7" s="178"/>
      <c r="M7" s="178"/>
      <c r="N7" s="178"/>
      <c r="O7" s="178"/>
      <c r="P7" s="178"/>
      <c r="Q7" s="178"/>
      <c r="R7" s="178"/>
      <c r="S7" s="178"/>
      <c r="T7" s="178"/>
      <c r="U7" s="178"/>
      <c r="V7" s="178"/>
      <c r="W7" s="178"/>
      <c r="X7" s="178"/>
      <c r="Y7" s="178"/>
      <c r="Z7" s="178"/>
      <c r="AA7" s="178"/>
      <c r="AB7" s="178"/>
      <c r="AC7" s="178"/>
      <c r="AD7" s="178"/>
      <c r="AE7" s="178"/>
      <c r="AF7" s="178"/>
      <c r="AG7" s="178"/>
      <c r="AH7" s="178"/>
      <c r="AI7" s="162"/>
      <c r="AJ7" s="315"/>
      <c r="AK7" s="315"/>
      <c r="AL7" s="315"/>
      <c r="AM7" s="315"/>
      <c r="AN7" s="315"/>
      <c r="AO7" s="315"/>
      <c r="AP7" s="315"/>
      <c r="AQ7" s="315"/>
      <c r="AR7" s="315"/>
      <c r="AS7" s="315"/>
      <c r="AT7" s="315"/>
      <c r="AU7" s="315"/>
      <c r="AV7" s="315"/>
      <c r="AW7" s="315"/>
      <c r="AX7" s="315"/>
      <c r="AY7" s="315"/>
      <c r="AZ7" s="315"/>
      <c r="BA7" s="315"/>
      <c r="BB7" s="315"/>
      <c r="BC7" s="315"/>
      <c r="BD7" s="315"/>
      <c r="BE7" s="315"/>
      <c r="BF7" s="315"/>
      <c r="BG7" s="315"/>
      <c r="BH7" s="315"/>
      <c r="BI7" s="315"/>
      <c r="BJ7" s="315"/>
      <c r="BK7" s="315"/>
      <c r="BL7" s="315"/>
      <c r="BM7" s="315"/>
      <c r="BN7" s="315"/>
      <c r="BO7" s="315"/>
      <c r="BP7" s="315"/>
      <c r="BQ7" s="315"/>
      <c r="BR7" s="315"/>
    </row>
    <row r="8" ht="13.5" customHeight="1" outlineLevel="2">
      <c r="A8" s="195"/>
      <c r="B8" s="201"/>
      <c r="C8" s="246"/>
      <c r="D8" s="201"/>
      <c r="E8" s="316" t="s">
        <v>648</v>
      </c>
      <c r="F8" s="320" t="str">
        <f>IF(COUNTA(psulnotoccfres)=0,"Row not filled in by partner",IF(SUMPRODUCT(psulnotoccfres*ProspectiveYears)=0,"Prospective data not filled in by partner","Ok"))</f>
        <v>Row not filled in by partner</v>
      </c>
      <c r="G8" s="320"/>
      <c r="H8" s="317" t="str">
        <f>IF(ISBLANK(psulnotoccfres),"Not filled in","Ok")</f>
        <v>Not filled in</v>
      </c>
      <c r="I8" s="317" t="str">
        <f>IF(ISBLANK(psulnotoccfres),"Not filled in","Ok")</f>
        <v>Not filled in</v>
      </c>
      <c r="J8" s="317" t="str">
        <f>IF(ISBLANK(psulnotoccfres),"Not filled in","Ok")</f>
        <v>Not filled in</v>
      </c>
      <c r="K8" s="317" t="str">
        <f>IF(ISBLANK(psulnotoccfres),"Not filled in","Ok")</f>
        <v>Not filled in</v>
      </c>
      <c r="L8" s="317" t="str">
        <f>IF(ISBLANK(psulnotoccfres),"Not filled in","Ok")</f>
        <v>Not filled in</v>
      </c>
      <c r="M8" s="317" t="str">
        <f>IF(ISBLANK(psulnotoccfres),"Not filled in","Ok")</f>
        <v>Not filled in</v>
      </c>
      <c r="N8" s="317" t="str">
        <f>IF(ISBLANK(psulnotoccfres),"Not filled in","Ok")</f>
        <v>Not filled in</v>
      </c>
      <c r="O8" s="317" t="str">
        <f>IF(ISBLANK(psulnotoccfres),"Not filled in","Ok")</f>
        <v>Not filled in</v>
      </c>
      <c r="P8" s="317" t="str">
        <f>IF(ISBLANK(psulnotoccfres),"Not filled in","Ok")</f>
        <v>Not filled in</v>
      </c>
      <c r="Q8" s="317" t="str">
        <f>IF(ISBLANK(psulnotoccfres),"Not filled in","Ok")</f>
        <v>Not filled in</v>
      </c>
      <c r="R8" s="317" t="str">
        <f>IF(ISBLANK(psulnotoccfres),"Not filled in","Ok")</f>
        <v>Not filled in</v>
      </c>
      <c r="S8" s="317" t="str">
        <f>IF(ISBLANK(psulnotoccfres),"Not filled in","Ok")</f>
        <v>Not filled in</v>
      </c>
      <c r="T8" s="317" t="str">
        <f>IF(ISBLANK(psulnotoccfres),"Not filled in","Ok")</f>
        <v>Not filled in</v>
      </c>
      <c r="U8" s="317" t="str">
        <f>IF(ISBLANK(psulnotoccfres),"Not filled in","Ok")</f>
        <v>Not filled in</v>
      </c>
      <c r="V8" s="317" t="str">
        <f>IF(ISBLANK(psulnotoccfres),"Not filled in","Ok")</f>
        <v>Not filled in</v>
      </c>
      <c r="W8" s="317" t="str">
        <f>IF(ISBLANK(psulnotoccfres),"Not filled in","Ok")</f>
        <v>Not filled in</v>
      </c>
      <c r="X8" s="317" t="str">
        <f>IF(ISBLANK(psulnotoccfres),"Not filled in","Ok")</f>
        <v>Not filled in</v>
      </c>
      <c r="Y8" s="317" t="str">
        <f>IF(ISBLANK(psulnotoccfres),"Not filled in","Ok")</f>
        <v>Not filled in</v>
      </c>
      <c r="Z8" s="317" t="str">
        <f>IF(ISBLANK(psulnotoccfres),"Not filled in","Ok")</f>
        <v>Not filled in</v>
      </c>
      <c r="AA8" s="317" t="str">
        <f>IF(ISBLANK(psulnotoccfres),"Not filled in","Ok")</f>
        <v>Not filled in</v>
      </c>
      <c r="AB8" s="317" t="str">
        <f>IF(ISBLANK(psulnotoccfres),"Not filled in","Ok")</f>
        <v>Not filled in</v>
      </c>
      <c r="AC8" s="317" t="str">
        <f>IF(ISBLANK(psulnotoccfres),"Not filled in","Ok")</f>
        <v>Not filled in</v>
      </c>
      <c r="AD8" s="317" t="str">
        <f>IF(ISBLANK(psulnotoccfres),"Not filled in","Ok")</f>
        <v>Not filled in</v>
      </c>
      <c r="AE8" s="317" t="str">
        <f>IF(ISBLANK(psulnotoccfres),"Not filled in","Ok")</f>
        <v>Not filled in</v>
      </c>
      <c r="AF8" s="317" t="str">
        <f>IF(ISBLANK(psulnotoccfres),"Not filled in","Ok")</f>
        <v>Not filled in</v>
      </c>
      <c r="AG8" s="317" t="str">
        <f>IF(ISBLANK(psulnotoccfres),"Not filled in","Ok")</f>
        <v>Not filled in</v>
      </c>
      <c r="AH8" s="317" t="str">
        <f>IF(ISBLANK(psulnotoccfres),"Not filled in","Ok")</f>
        <v>Not filled in</v>
      </c>
      <c r="AI8" s="321" t="str">
        <f>IF($F$8="Ok","The values relating to heat uses below take into account the additional FEC for secondary or vacant dwellings (psulnotoccfres)",IF($F$8="Row partly filled in by partner","Warning: The values relating to heat uses below take into account the additional FEC for secondary or vacant dwellings (psulnotoccfres) only for certain years.","Warning: The values relating to heat uses below do not take into account the additional FEC for secondary or vacant dwellings (psulnotoccfres)."))</f>
        <v>Warning: The values relating to heat uses below do not take into account the additional FEC for secondary or vacant dwellings (psulnotoccfres).</v>
      </c>
      <c r="AJ8" s="322"/>
      <c r="AK8" s="322"/>
      <c r="AL8" s="322"/>
      <c r="AM8" s="322"/>
      <c r="AN8" s="322"/>
      <c r="AO8" s="322"/>
      <c r="AP8" s="322"/>
      <c r="AQ8" s="322"/>
      <c r="AR8" s="322"/>
      <c r="AS8" s="322"/>
      <c r="AT8" s="322"/>
      <c r="AU8" s="322"/>
      <c r="AV8" s="322"/>
      <c r="AW8" s="322"/>
      <c r="AX8" s="322"/>
      <c r="AY8" s="322"/>
      <c r="AZ8" s="322"/>
      <c r="BA8" s="322"/>
      <c r="BB8" s="322"/>
      <c r="BC8" s="322"/>
      <c r="BD8" s="322"/>
      <c r="BE8" s="322"/>
      <c r="BF8" s="322"/>
      <c r="BG8" s="322"/>
      <c r="BH8" s="322"/>
      <c r="BI8" s="322"/>
      <c r="BJ8" s="322"/>
      <c r="BK8" s="322"/>
      <c r="BL8" s="322"/>
      <c r="BM8" s="322"/>
      <c r="BN8" s="322"/>
      <c r="BO8" s="322"/>
      <c r="BP8" s="322"/>
      <c r="BQ8" s="322"/>
      <c r="BR8" s="322"/>
    </row>
    <row r="9" ht="13.5" customHeight="1" outlineLevel="2">
      <c r="A9" s="195"/>
      <c r="B9" s="201"/>
      <c r="C9" s="246"/>
      <c r="D9" s="201"/>
      <c r="E9" s="316" t="s">
        <v>649</v>
      </c>
      <c r="F9" s="316"/>
      <c r="G9" s="316" t="s">
        <v>650</v>
      </c>
      <c r="H9" s="317" t="str">
        <f>IF(AND(ISBLANK(eelex),ISBLANK(eelrv),ISBLANK(eelpn)),IF(ISBLANK(cutocsurchc),"Missing data","NoDis"),"Dis")</f>
        <v>Dis</v>
      </c>
      <c r="I9" s="317" t="str">
        <f>IF(AND(ISBLANK(eelex),ISBLANK(eelrv),ISBLANK(eelpn)),IF(ISBLANK(cutocsurchc),"Missing data","NoDis"),"Dis")</f>
        <v>Dis</v>
      </c>
      <c r="J9" s="317" t="str">
        <f>IF(AND(ISBLANK(eelex),ISBLANK(eelrv),ISBLANK(eelpn)),IF(ISBLANK(cutocsurchc),"Missing data","NoDis"),"Dis")</f>
        <v>Dis</v>
      </c>
      <c r="K9" s="317" t="str">
        <f>IF(AND(ISBLANK(eelex),ISBLANK(eelrv),ISBLANK(eelpn)),IF(ISBLANK(cutocsurchc),"Missing data","NoDis"),"Dis")</f>
        <v>Dis</v>
      </c>
      <c r="L9" s="317" t="str">
        <f>IF(AND(ISBLANK(eelex),ISBLANK(eelrv),ISBLANK(eelpn)),IF(ISBLANK(cutocsurchc),"Missing data","NoDis"),"Dis")</f>
        <v>Dis</v>
      </c>
      <c r="M9" s="317" t="str">
        <f>IF(AND(ISBLANK(eelex),ISBLANK(eelrv),ISBLANK(eelpn)),IF(ISBLANK(cutocsurchc),"Missing data","NoDis"),"Dis")</f>
        <v>Dis</v>
      </c>
      <c r="N9" s="317" t="str">
        <f>IF(AND(ISBLANK(eelex),ISBLANK(eelrv),ISBLANK(eelpn)),IF(ISBLANK(cutocsurchc),"Missing data","NoDis"),"Dis")</f>
        <v>Dis</v>
      </c>
      <c r="O9" s="317" t="str">
        <f>IF(AND(ISBLANK(eelex),ISBLANK(eelrv),ISBLANK(eelpn)),IF(ISBLANK(cutocsurchc),"Missing data","NoDis"),"Dis")</f>
        <v>Dis</v>
      </c>
      <c r="P9" s="317" t="str">
        <f>IF(AND(ISBLANK(eelex),ISBLANK(eelrv),ISBLANK(eelpn)),IF(ISBLANK(cutocsurchc),"Missing data","NoDis"),"Dis")</f>
        <v>Dis</v>
      </c>
      <c r="Q9" s="317" t="str">
        <f>IF(AND(ISBLANK(eelex),ISBLANK(eelrv),ISBLANK(eelpn)),IF(ISBLANK(cutocsurchc),"Missing data","NoDis"),"Dis")</f>
        <v>Dis</v>
      </c>
      <c r="R9" s="317" t="str">
        <f>IF(AND(ISBLANK(eelex),ISBLANK(eelrv),ISBLANK(eelpn)),IF(ISBLANK(cutocsurchc),"Missing data","NoDis"),"Dis")</f>
        <v>Dis</v>
      </c>
      <c r="S9" s="317" t="str">
        <f>IF(AND(ISBLANK(eelex),ISBLANK(eelrv),ISBLANK(eelpn)),IF(ISBLANK(cutocsurchc),"Missing data","NoDis"),"Dis")</f>
        <v>Dis</v>
      </c>
      <c r="T9" s="317" t="str">
        <f>IF(AND(ISBLANK(eelex),ISBLANK(eelrv),ISBLANK(eelpn)),IF(ISBLANK(cutocsurchc),"Missing data","NoDis"),"Dis")</f>
        <v>Dis</v>
      </c>
      <c r="U9" s="317" t="str">
        <f>IF(AND(ISBLANK(eelex),ISBLANK(eelrv),ISBLANK(eelpn)),IF(ISBLANK(cutocsurchc),"Missing data","NoDis"),"Dis")</f>
        <v>Dis</v>
      </c>
      <c r="V9" s="317" t="str">
        <f>IF(AND(ISBLANK(eelex),ISBLANK(eelrv),ISBLANK(eelpn)),IF(ISBLANK(cutocsurchc),"Missing data","NoDis"),"Dis")</f>
        <v>Dis</v>
      </c>
      <c r="W9" s="317" t="str">
        <f>IF(AND(ISBLANK(eelex),ISBLANK(eelrv),ISBLANK(eelpn)),IF(ISBLANK(cutocsurchc),"Missing data","NoDis"),"Dis")</f>
        <v>Dis</v>
      </c>
      <c r="X9" s="317" t="str">
        <f>IF(AND(ISBLANK(eelex),ISBLANK(eelrv),ISBLANK(eelpn)),IF(ISBLANK(cutocsurchc),"Missing data","NoDis"),"Dis")</f>
        <v>Dis</v>
      </c>
      <c r="Y9" s="317" t="str">
        <f>IF(AND(ISBLANK(eelex),ISBLANK(eelrv),ISBLANK(eelpn)),IF(ISBLANK(cutocsurchc),"Missing data","NoDis"),"Dis")</f>
        <v>Dis</v>
      </c>
      <c r="Z9" s="317" t="str">
        <f>IF(AND(ISBLANK(eelex),ISBLANK(eelrv),ISBLANK(eelpn)),IF(ISBLANK(cutocsurchc),"Missing data","NoDis"),"Dis")</f>
        <v>Dis</v>
      </c>
      <c r="AA9" s="317" t="str">
        <f>IF(AND(ISBLANK(eelex),ISBLANK(eelrv),ISBLANK(eelpn)),IF(ISBLANK(cutocsurchc),"Missing data","NoDis"),"Dis")</f>
        <v>Dis</v>
      </c>
      <c r="AB9" s="317" t="str">
        <f>IF(AND(ISBLANK(eelex),ISBLANK(eelrv),ISBLANK(eelpn)),IF(ISBLANK(cutocsurchc),"Missing data","NoDis"),"Dis")</f>
        <v>Dis</v>
      </c>
      <c r="AC9" s="317" t="str">
        <f>IF(AND(ISBLANK(eelex),ISBLANK(eelrv),ISBLANK(eelpn)),IF(ISBLANK(cutocsurchc),"Missing data","NoDis"),"Dis")</f>
        <v>Dis</v>
      </c>
      <c r="AD9" s="317" t="str">
        <f>IF(AND(ISBLANK(eelex),ISBLANK(eelrv),ISBLANK(eelpn)),IF(ISBLANK(cutocsurchc),"Missing data","NoDis"),"Dis")</f>
        <v>Dis</v>
      </c>
      <c r="AE9" s="317" t="str">
        <f>IF(AND(ISBLANK(eelex),ISBLANK(eelrv),ISBLANK(eelpn)),IF(ISBLANK(cutocsurchc),"Missing data","NoDis"),"Dis")</f>
        <v>Dis</v>
      </c>
      <c r="AF9" s="317" t="str">
        <f>IF(AND(ISBLANK(eelex),ISBLANK(eelrv),ISBLANK(eelpn)),IF(ISBLANK(cutocsurchc),"Missing data","NoDis"),"Dis")</f>
        <v>Dis</v>
      </c>
      <c r="AG9" s="317" t="str">
        <f>IF(AND(ISBLANK(eelex),ISBLANK(eelrv),ISBLANK(eelpn)),IF(ISBLANK(cutocsurchc),"Missing data","NoDis"),"Dis")</f>
        <v>Dis</v>
      </c>
      <c r="AH9" s="317" t="str">
        <f>IF(AND(ISBLANK(eelex),ISBLANK(eelrv),ISBLANK(eelpn)),IF(ISBLANK(cutocsurchc),"Missing data","NoDis"),"Dis")</f>
        <v>Dis</v>
      </c>
      <c r="AI9" s="318"/>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c r="BH9" s="319"/>
      <c r="BI9" s="319"/>
      <c r="BJ9" s="319"/>
      <c r="BK9" s="319"/>
      <c r="BL9" s="319"/>
      <c r="BM9" s="319"/>
      <c r="BN9" s="319"/>
      <c r="BO9" s="319"/>
      <c r="BP9" s="319"/>
      <c r="BQ9" s="319"/>
      <c r="BR9" s="319"/>
    </row>
    <row r="10" ht="14.25" customHeight="1" outlineLevel="2">
      <c r="A10" s="195"/>
      <c r="B10" s="246" t="s">
        <v>651</v>
      </c>
      <c r="C10" s="246"/>
      <c r="D10" s="323"/>
      <c r="E10" s="323"/>
      <c r="F10" s="162"/>
      <c r="G10" s="162"/>
      <c r="H10" s="178"/>
      <c r="I10" s="178"/>
      <c r="J10" s="178"/>
      <c r="K10" s="178"/>
      <c r="L10" s="178"/>
      <c r="M10" s="178"/>
      <c r="N10" s="178"/>
      <c r="O10" s="178"/>
      <c r="P10" s="178"/>
      <c r="Q10" s="178"/>
      <c r="R10" s="178"/>
      <c r="S10" s="178"/>
      <c r="T10" s="178"/>
      <c r="U10" s="178"/>
      <c r="V10" s="178"/>
      <c r="W10" s="178"/>
      <c r="X10" s="178"/>
      <c r="Y10" s="178"/>
      <c r="Z10" s="178"/>
      <c r="AA10" s="178"/>
      <c r="AB10" s="178"/>
      <c r="AC10" s="178"/>
      <c r="AD10" s="178"/>
      <c r="AE10" s="178"/>
      <c r="AF10" s="178"/>
      <c r="AG10" s="178"/>
      <c r="AH10" s="178"/>
      <c r="AI10" s="162"/>
      <c r="AJ10" s="315"/>
      <c r="AK10" s="315"/>
      <c r="AL10" s="315"/>
      <c r="AM10" s="315"/>
      <c r="AN10" s="315"/>
      <c r="AO10" s="315"/>
      <c r="AP10" s="315"/>
      <c r="AQ10" s="315"/>
      <c r="AR10" s="315"/>
      <c r="AS10" s="315"/>
      <c r="AT10" s="315"/>
      <c r="AU10" s="315"/>
      <c r="AV10" s="315"/>
      <c r="AW10" s="315"/>
      <c r="AX10" s="315"/>
      <c r="AY10" s="315"/>
      <c r="AZ10" s="315"/>
      <c r="BA10" s="315"/>
      <c r="BB10" s="315"/>
      <c r="BC10" s="315"/>
      <c r="BD10" s="315"/>
      <c r="BE10" s="315"/>
      <c r="BF10" s="315"/>
      <c r="BG10" s="315"/>
      <c r="BH10" s="315"/>
      <c r="BI10" s="315"/>
      <c r="BJ10" s="315"/>
      <c r="BK10" s="315"/>
      <c r="BL10" s="315"/>
      <c r="BM10" s="315"/>
      <c r="BN10" s="315"/>
      <c r="BO10" s="315"/>
      <c r="BP10" s="315"/>
      <c r="BQ10" s="315"/>
      <c r="BR10" s="315"/>
    </row>
    <row r="11" ht="14.25" customHeight="1" outlineLevel="3">
      <c r="A11" s="195"/>
      <c r="B11" s="201"/>
      <c r="C11" s="201"/>
      <c r="D11" s="201"/>
      <c r="E11" s="273" t="s">
        <v>652</v>
      </c>
      <c r="F11" s="123" t="s">
        <v>135</v>
      </c>
      <c r="G11" s="123" t="s">
        <v>653</v>
      </c>
      <c r="H11" s="274">
        <f>M*caltotsurlex*k*eelex/T</f>
        <v>49.70802589</v>
      </c>
      <c r="I11" s="274">
        <f>M*caltotsurlex*k*eelex/T</f>
        <v>52.54072337</v>
      </c>
      <c r="J11" s="274">
        <f>M*caltotsurlex*k*eelex/T</f>
        <v>49.11719065</v>
      </c>
      <c r="K11" s="274">
        <f>M*caltotsurlex*k*eelex/T</f>
        <v>52.778846</v>
      </c>
      <c r="L11" s="274">
        <f>M*caltotsurlex*k*eelex/T</f>
        <v>54.29755118</v>
      </c>
      <c r="M11" s="274">
        <f>M*caltotsurlex*k*eelex/T</f>
        <v>53.28765858</v>
      </c>
      <c r="N11" s="274">
        <f>M*caltotsurlex*k*eelex/T</f>
        <v>46.07063789</v>
      </c>
      <c r="O11" s="274">
        <f>M*caltotsurlex*k*eelex/T</f>
        <v>41.31094863</v>
      </c>
      <c r="P11" s="274">
        <f>M*caltotsurlex*k*eelex/T</f>
        <v>46.35216795</v>
      </c>
      <c r="Q11" s="274">
        <f>M*caltotsurlex*k*eelex/T</f>
        <v>42.47880152</v>
      </c>
      <c r="R11" s="274">
        <f>M*caltotsurlex*k*eelex/T</f>
        <v>50.29862203</v>
      </c>
      <c r="S11" s="274">
        <f>M*caltotsurlex*k*eelex/T</f>
        <v>39.39961528</v>
      </c>
      <c r="T11" s="274">
        <f>M*caltotsurlex*k*eelex/T</f>
        <v>42.60223451</v>
      </c>
      <c r="U11" s="274">
        <f>M*caltotsurlex*k*eelex/T</f>
        <v>48.45447689</v>
      </c>
      <c r="V11" s="274">
        <f>M*caltotsurlex*k*eelex/T</f>
        <v>37.03290166</v>
      </c>
      <c r="W11" s="274">
        <f>M*caltotsurlex*k*eelex/T</f>
        <v>48.61371756</v>
      </c>
      <c r="X11" s="274">
        <f>M*caltotsurlex*k*eelex/T</f>
        <v>0</v>
      </c>
      <c r="Y11" s="274">
        <f>M*caltotsurlex*k*eelex/T</f>
        <v>0</v>
      </c>
      <c r="Z11" s="274">
        <f>M*caltotsurlex*k*eelex/T</f>
        <v>0</v>
      </c>
      <c r="AA11" s="274">
        <f>M*caltotsurlex*k*eelex/T</f>
        <v>0</v>
      </c>
      <c r="AB11" s="274">
        <f>M*caltotsurlex*k*eelex/T</f>
        <v>48.48084523</v>
      </c>
      <c r="AC11" s="274">
        <f>M*caltotsurlex*k*eelex/T</f>
        <v>45.76046095</v>
      </c>
      <c r="AD11" s="274">
        <f>M*caltotsurlex*k*eelex/T</f>
        <v>37.86888219</v>
      </c>
      <c r="AE11" s="274">
        <f>M*caltotsurlex*k*eelex/T</f>
        <v>30.36714651</v>
      </c>
      <c r="AF11" s="274">
        <f>M*caltotsurlex*k*eelex/T</f>
        <v>21.80627312</v>
      </c>
      <c r="AG11" s="274">
        <f>M*caltotsurlex*k*eelex/T</f>
        <v>14.53930446</v>
      </c>
      <c r="AH11" s="274">
        <f>M*caltotsurlex*k*eelex/T</f>
        <v>9.075818961</v>
      </c>
      <c r="AI11" s="318"/>
      <c r="AJ11" s="319"/>
      <c r="AK11" s="319"/>
      <c r="AL11" s="319"/>
      <c r="AM11" s="319"/>
      <c r="AN11" s="319"/>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row>
    <row r="12" ht="14.25" customHeight="1" outlineLevel="3">
      <c r="A12" s="195"/>
      <c r="B12" s="201"/>
      <c r="C12" s="201"/>
      <c r="D12" s="201"/>
      <c r="E12" s="273" t="s">
        <v>654</v>
      </c>
      <c r="F12" s="123" t="s">
        <v>135</v>
      </c>
      <c r="G12" s="123" t="s">
        <v>655</v>
      </c>
      <c r="H12" s="274">
        <f>M*caltotsurlrv*k*eelrv/T</f>
        <v>0</v>
      </c>
      <c r="I12" s="274">
        <f>M*caltotsurlrv*k*eelrv/T</f>
        <v>0</v>
      </c>
      <c r="J12" s="274">
        <f>M*caltotsurlrv*k*eelrv/T</f>
        <v>0</v>
      </c>
      <c r="K12" s="274">
        <f>M*caltotsurlrv*k*eelrv/T</f>
        <v>0</v>
      </c>
      <c r="L12" s="274">
        <f>M*caltotsurlrv*k*eelrv/T</f>
        <v>0</v>
      </c>
      <c r="M12" s="274">
        <f>M*caltotsurlrv*k*eelrv/T</f>
        <v>0</v>
      </c>
      <c r="N12" s="274">
        <f>M*caltotsurlrv*k*eelrv/T</f>
        <v>0</v>
      </c>
      <c r="O12" s="274">
        <f>M*caltotsurlrv*k*eelrv/T</f>
        <v>0</v>
      </c>
      <c r="P12" s="274">
        <f>M*caltotsurlrv*k*eelrv/T</f>
        <v>0</v>
      </c>
      <c r="Q12" s="274">
        <f>M*caltotsurlrv*k*eelrv/T</f>
        <v>0</v>
      </c>
      <c r="R12" s="274">
        <f>M*caltotsurlrv*k*eelrv/T</f>
        <v>0</v>
      </c>
      <c r="S12" s="274">
        <f>M*caltotsurlrv*k*eelrv/T</f>
        <v>0</v>
      </c>
      <c r="T12" s="274">
        <f>M*caltotsurlrv*k*eelrv/T</f>
        <v>0</v>
      </c>
      <c r="U12" s="274">
        <f>M*caltotsurlrv*k*eelrv/T</f>
        <v>0</v>
      </c>
      <c r="V12" s="274">
        <f>M*caltotsurlrv*k*eelrv/T</f>
        <v>0</v>
      </c>
      <c r="W12" s="274">
        <f>M*caltotsurlrv*k*eelrv/T</f>
        <v>0</v>
      </c>
      <c r="X12" s="274">
        <f>M*caltotsurlrv*k*eelrv/T</f>
        <v>0</v>
      </c>
      <c r="Y12" s="274">
        <f>M*caltotsurlrv*k*eelrv/T</f>
        <v>0</v>
      </c>
      <c r="Z12" s="274">
        <f>M*caltotsurlrv*k*eelrv/T</f>
        <v>0</v>
      </c>
      <c r="AA12" s="274">
        <f>M*caltotsurlrv*k*eelrv/T</f>
        <v>0</v>
      </c>
      <c r="AB12" s="274">
        <f>M*caltotsurlrv*k*eelrv/T</f>
        <v>0.7440882526</v>
      </c>
      <c r="AC12" s="274">
        <f>M*caltotsurlrv*k*eelrv/T</f>
        <v>3.039649749</v>
      </c>
      <c r="AD12" s="274">
        <f>M*caltotsurlrv*k*eelrv/T</f>
        <v>6.361159409</v>
      </c>
      <c r="AE12" s="274">
        <f>M*caltotsurlrv*k*eelrv/T</f>
        <v>10.70434514</v>
      </c>
      <c r="AF12" s="274">
        <f>M*caltotsurlrv*k*eelrv/T</f>
        <v>14.93255981</v>
      </c>
      <c r="AG12" s="274">
        <f>M*caltotsurlrv*k*eelrv/T</f>
        <v>18.81500012</v>
      </c>
      <c r="AH12" s="274">
        <f>M*caltotsurlrv*k*eelrv/T</f>
        <v>21.69103086</v>
      </c>
      <c r="AI12" s="318"/>
      <c r="AJ12" s="319"/>
      <c r="AK12" s="319"/>
      <c r="AL12" s="319"/>
      <c r="AM12" s="319"/>
      <c r="AN12" s="319"/>
      <c r="AO12" s="319"/>
      <c r="AP12" s="319"/>
      <c r="AQ12" s="319"/>
      <c r="AR12" s="319"/>
      <c r="AS12" s="319"/>
      <c r="AT12" s="319"/>
      <c r="AU12" s="319"/>
      <c r="AV12" s="319"/>
      <c r="AW12" s="319"/>
      <c r="AX12" s="319"/>
      <c r="AY12" s="319"/>
      <c r="AZ12" s="319"/>
      <c r="BA12" s="319"/>
      <c r="BB12" s="319"/>
      <c r="BC12" s="319"/>
      <c r="BD12" s="319"/>
      <c r="BE12" s="319"/>
      <c r="BF12" s="319"/>
      <c r="BG12" s="319"/>
      <c r="BH12" s="319"/>
      <c r="BI12" s="319"/>
      <c r="BJ12" s="319"/>
      <c r="BK12" s="319"/>
      <c r="BL12" s="319"/>
      <c r="BM12" s="319"/>
      <c r="BN12" s="319"/>
      <c r="BO12" s="319"/>
      <c r="BP12" s="319"/>
      <c r="BQ12" s="319"/>
      <c r="BR12" s="319"/>
    </row>
    <row r="13" ht="14.25" customHeight="1" outlineLevel="3">
      <c r="A13" s="195"/>
      <c r="B13" s="201"/>
      <c r="C13" s="201"/>
      <c r="D13" s="201"/>
      <c r="E13" s="273" t="s">
        <v>656</v>
      </c>
      <c r="F13" s="249" t="s">
        <v>135</v>
      </c>
      <c r="G13" s="123" t="s">
        <v>657</v>
      </c>
      <c r="H13" s="274">
        <f>M*totsurlpn*k*eelpn/T</f>
        <v>0</v>
      </c>
      <c r="I13" s="274">
        <f>M*totsurlpn*k*eelpn/T</f>
        <v>0</v>
      </c>
      <c r="J13" s="274">
        <f>M*totsurlpn*k*eelpn/T</f>
        <v>0</v>
      </c>
      <c r="K13" s="274">
        <f>M*totsurlpn*k*eelpn/T</f>
        <v>0</v>
      </c>
      <c r="L13" s="274">
        <f>M*totsurlpn*k*eelpn/T</f>
        <v>0</v>
      </c>
      <c r="M13" s="274">
        <f>M*totsurlpn*k*eelpn/T</f>
        <v>0</v>
      </c>
      <c r="N13" s="274">
        <f>M*totsurlpn*k*eelpn/T</f>
        <v>0</v>
      </c>
      <c r="O13" s="274">
        <f>M*totsurlpn*k*eelpn/T</f>
        <v>0</v>
      </c>
      <c r="P13" s="274">
        <f>M*totsurlpn*k*eelpn/T</f>
        <v>0</v>
      </c>
      <c r="Q13" s="274">
        <f>M*totsurlpn*k*eelpn/T</f>
        <v>0</v>
      </c>
      <c r="R13" s="274">
        <f>M*totsurlpn*k*eelpn/T</f>
        <v>0</v>
      </c>
      <c r="S13" s="274">
        <f>M*totsurlpn*k*eelpn/T</f>
        <v>0</v>
      </c>
      <c r="T13" s="274">
        <f>M*totsurlpn*k*eelpn/T</f>
        <v>0</v>
      </c>
      <c r="U13" s="274">
        <f>M*totsurlpn*k*eelpn/T</f>
        <v>0</v>
      </c>
      <c r="V13" s="274">
        <f>M*totsurlpn*k*eelpn/T</f>
        <v>0</v>
      </c>
      <c r="W13" s="274">
        <f>M*totsurlpn*k*eelpn/T</f>
        <v>0.06789489</v>
      </c>
      <c r="X13" s="274">
        <f>M*totsurlpn*k*eelpn/T</f>
        <v>0.07506054</v>
      </c>
      <c r="Y13" s="274">
        <f>M*totsurlpn*k*eelpn/T</f>
        <v>0</v>
      </c>
      <c r="Z13" s="274">
        <f>M*totsurlpn*k*eelpn/T</f>
        <v>0</v>
      </c>
      <c r="AA13" s="274">
        <f>M*totsurlpn*k*eelpn/T</f>
        <v>0</v>
      </c>
      <c r="AB13" s="274">
        <f>M*totsurlpn*k*eelpn/T</f>
        <v>0.049875</v>
      </c>
      <c r="AC13" s="274">
        <f>M*totsurlpn*k*eelpn/T</f>
        <v>0.034875</v>
      </c>
      <c r="AD13" s="274">
        <f>M*totsurlpn*k*eelpn/T</f>
        <v>0.0273</v>
      </c>
      <c r="AE13" s="274">
        <f>M*totsurlpn*k*eelpn/T</f>
        <v>0.0267</v>
      </c>
      <c r="AF13" s="274">
        <f>M*totsurlpn*k*eelpn/T</f>
        <v>0.022185</v>
      </c>
      <c r="AG13" s="274">
        <f>M*totsurlpn*k*eelpn/T</f>
        <v>0.01935</v>
      </c>
      <c r="AH13" s="274">
        <f>M*totsurlpn*k*eelpn/T</f>
        <v>0.019125</v>
      </c>
      <c r="AI13" s="318"/>
      <c r="AJ13" s="319"/>
      <c r="AK13" s="319"/>
      <c r="AL13" s="319"/>
      <c r="AM13" s="319"/>
      <c r="AN13" s="319"/>
      <c r="AO13" s="319"/>
      <c r="AP13" s="319"/>
      <c r="AQ13" s="319"/>
      <c r="AR13" s="319"/>
      <c r="AS13" s="319"/>
      <c r="AT13" s="319"/>
      <c r="AU13" s="319"/>
      <c r="AV13" s="319"/>
      <c r="AW13" s="319"/>
      <c r="AX13" s="319"/>
      <c r="AY13" s="319"/>
      <c r="AZ13" s="319"/>
      <c r="BA13" s="319"/>
      <c r="BB13" s="319"/>
      <c r="BC13" s="319"/>
      <c r="BD13" s="319"/>
      <c r="BE13" s="319"/>
      <c r="BF13" s="319"/>
      <c r="BG13" s="319"/>
      <c r="BH13" s="319"/>
      <c r="BI13" s="319"/>
      <c r="BJ13" s="319"/>
      <c r="BK13" s="319"/>
      <c r="BL13" s="319"/>
      <c r="BM13" s="319"/>
      <c r="BN13" s="319"/>
      <c r="BO13" s="319"/>
      <c r="BP13" s="319"/>
      <c r="BQ13" s="319"/>
      <c r="BR13" s="319"/>
    </row>
    <row r="14" ht="14.25" customHeight="1" outlineLevel="3">
      <c r="A14" s="195"/>
      <c r="B14" s="201"/>
      <c r="C14" s="201"/>
      <c r="D14" s="201"/>
      <c r="E14" s="273" t="str">
        <f>"TOTAL Final USEFUL energy consumption for space heating in the residential sector"&amp;IF($F$8="Ok"," (secondary and vacant dwellings included)"," (secondary and vacant dwellings not or partially included)")</f>
        <v>TOTAL Final USEFUL energy consumption for space heating in the residential sector (secondary and vacant dwellings not or partially included)</v>
      </c>
      <c r="F14" s="123" t="s">
        <v>135</v>
      </c>
      <c r="G14" s="123" t="s">
        <v>658</v>
      </c>
      <c r="H14" s="274">
        <f>IF(crdeereschf="Dis",SUM(H11:H13),IF(crdeereschf="NoDis",k*cutocsurchc*M*(totsurlex+totsurlpn)/T,))*(1+psulnotoccfres)</f>
        <v>49.70802589</v>
      </c>
      <c r="I14" s="274">
        <f>IF(crdeereschf="Dis",SUM(I11:I13),IF(crdeereschf="NoDis",k*cutocsurchc*M*(totsurlex+totsurlpn)/T,))*(1+psulnotoccfres)</f>
        <v>52.54072337</v>
      </c>
      <c r="J14" s="274">
        <f>IF(crdeereschf="Dis",SUM(J11:J13),IF(crdeereschf="NoDis",k*cutocsurchc*M*(totsurlex+totsurlpn)/T,))*(1+psulnotoccfres)</f>
        <v>49.11719065</v>
      </c>
      <c r="K14" s="274">
        <f>IF(crdeereschf="Dis",SUM(K11:K13),IF(crdeereschf="NoDis",k*cutocsurchc*M*(totsurlex+totsurlpn)/T,))*(1+psulnotoccfres)</f>
        <v>52.778846</v>
      </c>
      <c r="L14" s="274">
        <f>IF(crdeereschf="Dis",SUM(L11:L13),IF(crdeereschf="NoDis",k*cutocsurchc*M*(totsurlex+totsurlpn)/T,))*(1+psulnotoccfres)</f>
        <v>54.29755118</v>
      </c>
      <c r="M14" s="274">
        <f>IF(crdeereschf="Dis",SUM(M11:M13),IF(crdeereschf="NoDis",k*cutocsurchc*M*(totsurlex+totsurlpn)/T,))*(1+psulnotoccfres)</f>
        <v>53.28765858</v>
      </c>
      <c r="N14" s="274">
        <f>IF(crdeereschf="Dis",SUM(N11:N13),IF(crdeereschf="NoDis",k*cutocsurchc*M*(totsurlex+totsurlpn)/T,))*(1+psulnotoccfres)</f>
        <v>46.07063789</v>
      </c>
      <c r="O14" s="274">
        <f>IF(crdeereschf="Dis",SUM(O11:O13),IF(crdeereschf="NoDis",k*cutocsurchc*M*(totsurlex+totsurlpn)/T,))*(1+psulnotoccfres)</f>
        <v>41.31094863</v>
      </c>
      <c r="P14" s="274">
        <f>IF(crdeereschf="Dis",SUM(P11:P13),IF(crdeereschf="NoDis",k*cutocsurchc*M*(totsurlex+totsurlpn)/T,))*(1+psulnotoccfres)</f>
        <v>46.35216795</v>
      </c>
      <c r="Q14" s="274">
        <f>IF(crdeereschf="Dis",SUM(Q11:Q13),IF(crdeereschf="NoDis",k*cutocsurchc*M*(totsurlex+totsurlpn)/T,))*(1+psulnotoccfres)</f>
        <v>42.47880152</v>
      </c>
      <c r="R14" s="274">
        <f>IF(crdeereschf="Dis",SUM(R11:R13),IF(crdeereschf="NoDis",k*cutocsurchc*M*(totsurlex+totsurlpn)/T,))*(1+psulnotoccfres)</f>
        <v>50.29862203</v>
      </c>
      <c r="S14" s="274">
        <f>IF(crdeereschf="Dis",SUM(S11:S13),IF(crdeereschf="NoDis",k*cutocsurchc*M*(totsurlex+totsurlpn)/T,))*(1+psulnotoccfres)</f>
        <v>39.39961528</v>
      </c>
      <c r="T14" s="274">
        <f>IF(crdeereschf="Dis",SUM(T11:T13),IF(crdeereschf="NoDis",k*cutocsurchc*M*(totsurlex+totsurlpn)/T,))*(1+psulnotoccfres)</f>
        <v>42.60223451</v>
      </c>
      <c r="U14" s="274">
        <f>IF(crdeereschf="Dis",SUM(U11:U13),IF(crdeereschf="NoDis",k*cutocsurchc*M*(totsurlex+totsurlpn)/T,))*(1+psulnotoccfres)</f>
        <v>48.45447689</v>
      </c>
      <c r="V14" s="274">
        <f>IF(crdeereschf="Dis",SUM(V11:V13),IF(crdeereschf="NoDis",k*cutocsurchc*M*(totsurlex+totsurlpn)/T,))*(1+psulnotoccfres)</f>
        <v>37.03290166</v>
      </c>
      <c r="W14" s="274">
        <f>IF(crdeereschf="Dis",SUM(W11:W13),IF(crdeereschf="NoDis",k*cutocsurchc*M*(totsurlex+totsurlpn)/T,))*(1+psulnotoccfres)</f>
        <v>48.68161245</v>
      </c>
      <c r="X14" s="274">
        <f>IF(crdeereschf="Dis",SUM(X11:X13),IF(crdeereschf="NoDis",k*cutocsurchc*M*(totsurlex+totsurlpn)/T,))*(1+psulnotoccfres)</f>
        <v>0.07506054</v>
      </c>
      <c r="Y14" s="274">
        <f>IF(crdeereschf="Dis",SUM(Y11:Y13),IF(crdeereschf="NoDis",k*cutocsurchc*M*(totsurlex+totsurlpn)/T,))*(1+psulnotoccfres)</f>
        <v>0</v>
      </c>
      <c r="Z14" s="274">
        <f>IF(crdeereschf="Dis",SUM(Z11:Z13),IF(crdeereschf="NoDis",k*cutocsurchc*M*(totsurlex+totsurlpn)/T,))*(1+psulnotoccfres)</f>
        <v>0</v>
      </c>
      <c r="AA14" s="274">
        <f>IF(crdeereschf="Dis",SUM(AA11:AA13),IF(crdeereschf="NoDis",k*cutocsurchc*M*(totsurlex+totsurlpn)/T,))*(1+psulnotoccfres)</f>
        <v>0</v>
      </c>
      <c r="AB14" s="274">
        <f>IF(crdeereschf="Dis",SUM(AB11:AB13),IF(crdeereschf="NoDis",k*cutocsurchc*M*(totsurlex+totsurlpn)/T,))*(1+psulnotoccfres)</f>
        <v>49.27480848</v>
      </c>
      <c r="AC14" s="274">
        <f>IF(crdeereschf="Dis",SUM(AC11:AC13),IF(crdeereschf="NoDis",k*cutocsurchc*M*(totsurlex+totsurlpn)/T,))*(1+psulnotoccfres)</f>
        <v>48.8349857</v>
      </c>
      <c r="AD14" s="274">
        <f>IF(crdeereschf="Dis",SUM(AD11:AD13),IF(crdeereschf="NoDis",k*cutocsurchc*M*(totsurlex+totsurlpn)/T,))*(1+psulnotoccfres)</f>
        <v>44.2573416</v>
      </c>
      <c r="AE14" s="274">
        <f>IF(crdeereschf="Dis",SUM(AE11:AE13),IF(crdeereschf="NoDis",k*cutocsurchc*M*(totsurlex+totsurlpn)/T,))*(1+psulnotoccfres)</f>
        <v>41.09819166</v>
      </c>
      <c r="AF14" s="274">
        <f>IF(crdeereschf="Dis",SUM(AF11:AF13),IF(crdeereschf="NoDis",k*cutocsurchc*M*(totsurlex+totsurlpn)/T,))*(1+psulnotoccfres)</f>
        <v>36.76101793</v>
      </c>
      <c r="AG14" s="274">
        <f>IF(crdeereschf="Dis",SUM(AG11:AG13),IF(crdeereschf="NoDis",k*cutocsurchc*M*(totsurlex+totsurlpn)/T,))*(1+psulnotoccfres)</f>
        <v>33.37365458</v>
      </c>
      <c r="AH14" s="274">
        <f>IF(crdeereschf="Dis",SUM(AH11:AH13),IF(crdeereschf="NoDis",k*cutocsurchc*M*(totsurlex+totsurlpn)/T,))*(1+psulnotoccfres)</f>
        <v>30.78597482</v>
      </c>
      <c r="AI14" s="318"/>
      <c r="AJ14" s="319"/>
      <c r="AK14" s="319"/>
      <c r="AL14" s="319"/>
      <c r="AM14" s="319"/>
      <c r="AN14" s="319"/>
      <c r="AO14" s="319"/>
      <c r="AP14" s="319"/>
      <c r="AQ14" s="319"/>
      <c r="AR14" s="319"/>
      <c r="AS14" s="319"/>
      <c r="AT14" s="319"/>
      <c r="AU14" s="319"/>
      <c r="AV14" s="319"/>
      <c r="AW14" s="319"/>
      <c r="AX14" s="319"/>
      <c r="AY14" s="319"/>
      <c r="AZ14" s="319"/>
      <c r="BA14" s="319"/>
      <c r="BB14" s="319"/>
      <c r="BC14" s="319"/>
      <c r="BD14" s="319"/>
      <c r="BE14" s="319"/>
      <c r="BF14" s="319"/>
      <c r="BG14" s="319"/>
      <c r="BH14" s="319"/>
      <c r="BI14" s="319"/>
      <c r="BJ14" s="319"/>
      <c r="BK14" s="319"/>
      <c r="BL14" s="319"/>
      <c r="BM14" s="319"/>
      <c r="BN14" s="319"/>
      <c r="BO14" s="319"/>
      <c r="BP14" s="319"/>
      <c r="BQ14" s="319"/>
      <c r="BR14" s="319"/>
    </row>
    <row r="15" ht="13.5" customHeight="1" outlineLevel="2">
      <c r="A15" s="195"/>
      <c r="B15" s="246" t="s">
        <v>659</v>
      </c>
      <c r="C15" s="246"/>
      <c r="D15" s="201"/>
      <c r="E15" s="162"/>
      <c r="F15" s="162"/>
      <c r="G15" s="162"/>
      <c r="H15" s="178"/>
      <c r="I15" s="178"/>
      <c r="J15" s="178"/>
      <c r="K15" s="178"/>
      <c r="L15" s="178"/>
      <c r="M15" s="178"/>
      <c r="N15" s="178"/>
      <c r="O15" s="178"/>
      <c r="P15" s="178"/>
      <c r="Q15" s="178"/>
      <c r="R15" s="178"/>
      <c r="S15" s="178"/>
      <c r="T15" s="178"/>
      <c r="U15" s="178"/>
      <c r="V15" s="178"/>
      <c r="W15" s="178"/>
      <c r="X15" s="178"/>
      <c r="Y15" s="178"/>
      <c r="Z15" s="178"/>
      <c r="AA15" s="178"/>
      <c r="AB15" s="178"/>
      <c r="AC15" s="178"/>
      <c r="AD15" s="178"/>
      <c r="AE15" s="178"/>
      <c r="AF15" s="178"/>
      <c r="AG15" s="178"/>
      <c r="AH15" s="178"/>
      <c r="AI15" s="162"/>
      <c r="AJ15" s="315"/>
      <c r="AK15" s="315"/>
      <c r="AL15" s="315"/>
      <c r="AM15" s="315"/>
      <c r="AN15" s="315"/>
      <c r="AO15" s="315"/>
      <c r="AP15" s="315"/>
      <c r="AQ15" s="315"/>
      <c r="AR15" s="315"/>
      <c r="AS15" s="315"/>
      <c r="AT15" s="315"/>
      <c r="AU15" s="315"/>
      <c r="AV15" s="315"/>
      <c r="AW15" s="315"/>
      <c r="AX15" s="315"/>
      <c r="AY15" s="315"/>
      <c r="AZ15" s="315"/>
      <c r="BA15" s="315"/>
      <c r="BB15" s="315"/>
      <c r="BC15" s="315"/>
      <c r="BD15" s="315"/>
      <c r="BE15" s="315"/>
      <c r="BF15" s="315"/>
      <c r="BG15" s="315"/>
      <c r="BH15" s="315"/>
      <c r="BI15" s="315"/>
      <c r="BJ15" s="315"/>
      <c r="BK15" s="315"/>
      <c r="BL15" s="315"/>
      <c r="BM15" s="315"/>
      <c r="BN15" s="315"/>
      <c r="BO15" s="315"/>
      <c r="BP15" s="315"/>
      <c r="BQ15" s="315"/>
      <c r="BR15" s="315"/>
    </row>
    <row r="16" ht="14.25" customHeight="1" outlineLevel="3">
      <c r="A16" s="195"/>
      <c r="B16" s="201"/>
      <c r="C16" s="201"/>
      <c r="D16" s="201"/>
      <c r="E16" s="299" t="str">
        <f>"TOTAL FEC for space heating in the residential sector"&amp;IF($F$8="Ok"," (secondary and vacant dwellings included)"," (secondary and vacant dwellings not or partially included)")</f>
        <v>TOTAL FEC for space heating in the residential sector (secondary and vacant dwellings not or partially included)</v>
      </c>
      <c r="F16" s="249" t="s">
        <v>135</v>
      </c>
      <c r="G16" s="123" t="s">
        <v>355</v>
      </c>
      <c r="H16" s="274">
        <f t="shared" ref="H16:AH16" si="1">SUM(H17:H24)</f>
        <v>0</v>
      </c>
      <c r="I16" s="274">
        <f t="shared" si="1"/>
        <v>0</v>
      </c>
      <c r="J16" s="274">
        <f t="shared" si="1"/>
        <v>0</v>
      </c>
      <c r="K16" s="274">
        <f t="shared" si="1"/>
        <v>0</v>
      </c>
      <c r="L16" s="274">
        <f t="shared" si="1"/>
        <v>0</v>
      </c>
      <c r="M16" s="274">
        <f t="shared" si="1"/>
        <v>0</v>
      </c>
      <c r="N16" s="274">
        <f t="shared" si="1"/>
        <v>0</v>
      </c>
      <c r="O16" s="274">
        <f t="shared" si="1"/>
        <v>0</v>
      </c>
      <c r="P16" s="274">
        <f t="shared" si="1"/>
        <v>0</v>
      </c>
      <c r="Q16" s="274">
        <f t="shared" si="1"/>
        <v>0</v>
      </c>
      <c r="R16" s="274">
        <f t="shared" si="1"/>
        <v>0</v>
      </c>
      <c r="S16" s="274">
        <f t="shared" si="1"/>
        <v>0</v>
      </c>
      <c r="T16" s="274">
        <f t="shared" si="1"/>
        <v>0</v>
      </c>
      <c r="U16" s="274">
        <f t="shared" si="1"/>
        <v>0</v>
      </c>
      <c r="V16" s="274">
        <f t="shared" si="1"/>
        <v>0</v>
      </c>
      <c r="W16" s="274">
        <f t="shared" si="1"/>
        <v>71.24087605</v>
      </c>
      <c r="X16" s="274">
        <f t="shared" si="1"/>
        <v>0</v>
      </c>
      <c r="Y16" s="274">
        <f t="shared" si="1"/>
        <v>0</v>
      </c>
      <c r="Z16" s="274">
        <f t="shared" si="1"/>
        <v>0</v>
      </c>
      <c r="AA16" s="274">
        <f t="shared" si="1"/>
        <v>0</v>
      </c>
      <c r="AB16" s="274">
        <f t="shared" si="1"/>
        <v>68.87416021</v>
      </c>
      <c r="AC16" s="274">
        <f t="shared" si="1"/>
        <v>63.46924284</v>
      </c>
      <c r="AD16" s="274">
        <f t="shared" si="1"/>
        <v>53.35506174</v>
      </c>
      <c r="AE16" s="274">
        <f t="shared" si="1"/>
        <v>47.37452921</v>
      </c>
      <c r="AF16" s="274">
        <f t="shared" si="1"/>
        <v>41.57755692</v>
      </c>
      <c r="AG16" s="274">
        <f t="shared" si="1"/>
        <v>36.47695226</v>
      </c>
      <c r="AH16" s="274">
        <f t="shared" si="1"/>
        <v>32.90811914</v>
      </c>
      <c r="AI16" s="318"/>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row>
    <row r="17" ht="14.25" customHeight="1" outlineLevel="3">
      <c r="A17" s="195"/>
      <c r="B17" s="201"/>
      <c r="C17" s="201"/>
      <c r="D17" s="201"/>
      <c r="E17" s="273" t="str">
        <f>"FEC from solid fossil fuels (coal ...) for space heating in the residential sector"&amp;IF($F$8="Ok"," (secondary and vacant dwellings included)"," (secondary and vacant dwellings not or partially included)")</f>
        <v>FEC from solid fossil fuels (coal ...) for space heating in the residential sector (secondary and vacant dwellings not or partially included)</v>
      </c>
      <c r="F17" s="249" t="s">
        <v>135</v>
      </c>
      <c r="G17" s="123" t="s">
        <v>356</v>
      </c>
      <c r="H17" s="274" t="str">
        <f>IFERROR(caltoccureschf*(nbrlprcms/SUMPRODUCT(HousingStockPerCarriers*(Years=H$1)))*(1/ceereschfcms),)</f>
        <v/>
      </c>
      <c r="I17" s="274" t="str">
        <f>IFERROR(caltoccureschf*(nbrlprcms/SUMPRODUCT(HousingStockPerCarriers*(Years=I$1)))*(1/ceereschfcms),)</f>
        <v/>
      </c>
      <c r="J17" s="274" t="str">
        <f>IFERROR(caltoccureschf*(nbrlprcms/SUMPRODUCT(HousingStockPerCarriers*(Years=J$1)))*(1/ceereschfcms),)</f>
        <v/>
      </c>
      <c r="K17" s="274" t="str">
        <f>IFERROR(caltoccureschf*(nbrlprcms/SUMPRODUCT(HousingStockPerCarriers*(Years=K$1)))*(1/ceereschfcms),)</f>
        <v/>
      </c>
      <c r="L17" s="274" t="str">
        <f>IFERROR(caltoccureschf*(nbrlprcms/SUMPRODUCT(HousingStockPerCarriers*(Years=L$1)))*(1/ceereschfcms),)</f>
        <v/>
      </c>
      <c r="M17" s="274" t="str">
        <f>IFERROR(caltoccureschf*(nbrlprcms/SUMPRODUCT(HousingStockPerCarriers*(Years=M$1)))*(1/ceereschfcms),)</f>
        <v/>
      </c>
      <c r="N17" s="274" t="str">
        <f>IFERROR(caltoccureschf*(nbrlprcms/SUMPRODUCT(HousingStockPerCarriers*(Years=N$1)))*(1/ceereschfcms),)</f>
        <v/>
      </c>
      <c r="O17" s="274" t="str">
        <f>IFERROR(caltoccureschf*(nbrlprcms/SUMPRODUCT(HousingStockPerCarriers*(Years=O$1)))*(1/ceereschfcms),)</f>
        <v/>
      </c>
      <c r="P17" s="274" t="str">
        <f>IFERROR(caltoccureschf*(nbrlprcms/SUMPRODUCT(HousingStockPerCarriers*(Years=P$1)))*(1/ceereschfcms),)</f>
        <v/>
      </c>
      <c r="Q17" s="274" t="str">
        <f>IFERROR(caltoccureschf*(nbrlprcms/SUMPRODUCT(HousingStockPerCarriers*(Years=Q$1)))*(1/ceereschfcms),)</f>
        <v/>
      </c>
      <c r="R17" s="274" t="str">
        <f>IFERROR(caltoccureschf*(nbrlprcms/SUMPRODUCT(HousingStockPerCarriers*(Years=R$1)))*(1/ceereschfcms),)</f>
        <v/>
      </c>
      <c r="S17" s="274" t="str">
        <f>IFERROR(caltoccureschf*(nbrlprcms/SUMPRODUCT(HousingStockPerCarriers*(Years=S$1)))*(1/ceereschfcms),)</f>
        <v/>
      </c>
      <c r="T17" s="274" t="str">
        <f>IFERROR(caltoccureschf*(nbrlprcms/SUMPRODUCT(HousingStockPerCarriers*(Years=T$1)))*(1/ceereschfcms),)</f>
        <v/>
      </c>
      <c r="U17" s="274" t="str">
        <f>IFERROR(caltoccureschf*(nbrlprcms/SUMPRODUCT(HousingStockPerCarriers*(Years=U$1)))*(1/ceereschfcms),)</f>
        <v/>
      </c>
      <c r="V17" s="274" t="str">
        <f>IFERROR(caltoccureschf*(nbrlprcms/SUMPRODUCT(HousingStockPerCarriers*(Years=V$1)))*(1/ceereschfcms),)</f>
        <v/>
      </c>
      <c r="W17" s="274">
        <f>IFERROR(caltoccureschf*(nbrlprcms/SUMPRODUCT(HousingStockPerCarriers*(Years=W$1)))*(1/ceereschfcms),)</f>
        <v>1.0952</v>
      </c>
      <c r="X17" s="274" t="str">
        <f>IFERROR(caltoccureschf*(nbrlprcms/SUMPRODUCT(HousingStockPerCarriers*(Years=X$1)))*(1/ceereschfcms),)</f>
        <v/>
      </c>
      <c r="Y17" s="274" t="str">
        <f>IFERROR(caltoccureschf*(nbrlprcms/SUMPRODUCT(HousingStockPerCarriers*(Years=Y$1)))*(1/ceereschfcms),)</f>
        <v/>
      </c>
      <c r="Z17" s="274" t="str">
        <f>IFERROR(caltoccureschf*(nbrlprcms/SUMPRODUCT(HousingStockPerCarriers*(Years=Z$1)))*(1/ceereschfcms),)</f>
        <v/>
      </c>
      <c r="AA17" s="274" t="str">
        <f>IFERROR(caltoccureschf*(nbrlprcms/SUMPRODUCT(HousingStockPerCarriers*(Years=AA$1)))*(1/ceereschfcms),)</f>
        <v/>
      </c>
      <c r="AB17" s="274">
        <f>IFERROR(caltoccureschf*(nbrlprcms/SUMPRODUCT(HousingStockPerCarriers*(Years=AB$1)))*(1/ceereschfcms),)</f>
        <v>0.891550824</v>
      </c>
      <c r="AC17" s="274">
        <f>IFERROR(caltoccureschf*(nbrlprcms/SUMPRODUCT(HousingStockPerCarriers*(Years=AC$1)))*(1/ceereschfcms),)</f>
        <v>0.1713892634</v>
      </c>
      <c r="AD17" s="274">
        <f>IFERROR(caltoccureschf*(nbrlprcms/SUMPRODUCT(HousingStockPerCarriers*(Years=AD$1)))*(1/ceereschfcms),)</f>
        <v>0</v>
      </c>
      <c r="AE17" s="274">
        <f>IFERROR(caltoccureschf*(nbrlprcms/SUMPRODUCT(HousingStockPerCarriers*(Years=AE$1)))*(1/ceereschfcms),)</f>
        <v>0</v>
      </c>
      <c r="AF17" s="274">
        <f>IFERROR(caltoccureschf*(nbrlprcms/SUMPRODUCT(HousingStockPerCarriers*(Years=AF$1)))*(1/ceereschfcms),)</f>
        <v>0</v>
      </c>
      <c r="AG17" s="274">
        <f>IFERROR(caltoccureschf*(nbrlprcms/SUMPRODUCT(HousingStockPerCarriers*(Years=AG$1)))*(1/ceereschfcms),)</f>
        <v>0</v>
      </c>
      <c r="AH17" s="274">
        <f>IFERROR(caltoccureschf*(nbrlprcms/SUMPRODUCT(HousingStockPerCarriers*(Years=AH$1)))*(1/ceereschfcms),)</f>
        <v>0</v>
      </c>
      <c r="AI17" s="318"/>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row>
    <row r="18" ht="14.25" customHeight="1" outlineLevel="3">
      <c r="A18" s="195"/>
      <c r="B18" s="201"/>
      <c r="C18" s="201"/>
      <c r="D18" s="201"/>
      <c r="E18" s="273" t="str">
        <f>"FEC from solid biomass for space heating in the residential sector"&amp;IF($F$8="Ok"," (secondary and vacant dwellings included)"," (secondary and vacant dwellings not or partially included)")</f>
        <v>FEC from solid biomass for space heating in the residential sector (secondary and vacant dwellings not or partially included)</v>
      </c>
      <c r="F18" s="123" t="s">
        <v>135</v>
      </c>
      <c r="G18" s="123" t="s">
        <v>357</v>
      </c>
      <c r="H18" s="274" t="str">
        <f>IFERROR(caltoccureschf*(nbrlprboi/SUMPRODUCT(HousingStockPerCarriers*(Years=H$1)))*(1/ceereschfboi),)</f>
        <v/>
      </c>
      <c r="I18" s="274" t="str">
        <f>IFERROR(caltoccureschf*(nbrlprboi/SUMPRODUCT(HousingStockPerCarriers*(Years=I$1)))*(1/ceereschfboi),)</f>
        <v/>
      </c>
      <c r="J18" s="274" t="str">
        <f>IFERROR(caltoccureschf*(nbrlprboi/SUMPRODUCT(HousingStockPerCarriers*(Years=J$1)))*(1/ceereschfboi),)</f>
        <v/>
      </c>
      <c r="K18" s="274" t="str">
        <f>IFERROR(caltoccureschf*(nbrlprboi/SUMPRODUCT(HousingStockPerCarriers*(Years=K$1)))*(1/ceereschfboi),)</f>
        <v/>
      </c>
      <c r="L18" s="274" t="str">
        <f>IFERROR(caltoccureschf*(nbrlprboi/SUMPRODUCT(HousingStockPerCarriers*(Years=L$1)))*(1/ceereschfboi),)</f>
        <v/>
      </c>
      <c r="M18" s="274" t="str">
        <f>IFERROR(caltoccureschf*(nbrlprboi/SUMPRODUCT(HousingStockPerCarriers*(Years=M$1)))*(1/ceereschfboi),)</f>
        <v/>
      </c>
      <c r="N18" s="274" t="str">
        <f>IFERROR(caltoccureschf*(nbrlprboi/SUMPRODUCT(HousingStockPerCarriers*(Years=N$1)))*(1/ceereschfboi),)</f>
        <v/>
      </c>
      <c r="O18" s="274" t="str">
        <f>IFERROR(caltoccureschf*(nbrlprboi/SUMPRODUCT(HousingStockPerCarriers*(Years=O$1)))*(1/ceereschfboi),)</f>
        <v/>
      </c>
      <c r="P18" s="274" t="str">
        <f>IFERROR(caltoccureschf*(nbrlprboi/SUMPRODUCT(HousingStockPerCarriers*(Years=P$1)))*(1/ceereschfboi),)</f>
        <v/>
      </c>
      <c r="Q18" s="274" t="str">
        <f>IFERROR(caltoccureschf*(nbrlprboi/SUMPRODUCT(HousingStockPerCarriers*(Years=Q$1)))*(1/ceereschfboi),)</f>
        <v/>
      </c>
      <c r="R18" s="274" t="str">
        <f>IFERROR(caltoccureschf*(nbrlprboi/SUMPRODUCT(HousingStockPerCarriers*(Years=R$1)))*(1/ceereschfboi),)</f>
        <v/>
      </c>
      <c r="S18" s="274" t="str">
        <f>IFERROR(caltoccureschf*(nbrlprboi/SUMPRODUCT(HousingStockPerCarriers*(Years=S$1)))*(1/ceereschfboi),)</f>
        <v/>
      </c>
      <c r="T18" s="274" t="str">
        <f>IFERROR(caltoccureschf*(nbrlprboi/SUMPRODUCT(HousingStockPerCarriers*(Years=T$1)))*(1/ceereschfboi),)</f>
        <v/>
      </c>
      <c r="U18" s="274" t="str">
        <f>IFERROR(caltoccureschf*(nbrlprboi/SUMPRODUCT(HousingStockPerCarriers*(Years=U$1)))*(1/ceereschfboi),)</f>
        <v/>
      </c>
      <c r="V18" s="274" t="str">
        <f>IFERROR(caltoccureschf*(nbrlprboi/SUMPRODUCT(HousingStockPerCarriers*(Years=V$1)))*(1/ceereschfboi),)</f>
        <v/>
      </c>
      <c r="W18" s="274">
        <f>IFERROR(caltoccureschf*(nbrlprboi/SUMPRODUCT(HousingStockPerCarriers*(Years=W$1)))*(1/ceereschfboi),)</f>
        <v>6.2033</v>
      </c>
      <c r="X18" s="274" t="str">
        <f>IFERROR(caltoccureschf*(nbrlprboi/SUMPRODUCT(HousingStockPerCarriers*(Years=X$1)))*(1/ceereschfboi),)</f>
        <v/>
      </c>
      <c r="Y18" s="274" t="str">
        <f>IFERROR(caltoccureschf*(nbrlprboi/SUMPRODUCT(HousingStockPerCarriers*(Years=Y$1)))*(1/ceereschfboi),)</f>
        <v/>
      </c>
      <c r="Z18" s="274" t="str">
        <f>IFERROR(caltoccureschf*(nbrlprboi/SUMPRODUCT(HousingStockPerCarriers*(Years=Z$1)))*(1/ceereschfboi),)</f>
        <v/>
      </c>
      <c r="AA18" s="274" t="str">
        <f>IFERROR(caltoccureschf*(nbrlprboi/SUMPRODUCT(HousingStockPerCarriers*(Years=AA$1)))*(1/ceereschfboi),)</f>
        <v/>
      </c>
      <c r="AB18" s="274">
        <f>IFERROR(caltoccureschf*(nbrlprboi/SUMPRODUCT(HousingStockPerCarriers*(Years=AB$1)))*(1/ceereschfboi),)</f>
        <v>6.115025333</v>
      </c>
      <c r="AC18" s="274">
        <f>IFERROR(caltoccureschf*(nbrlprboi/SUMPRODUCT(HousingStockPerCarriers*(Years=AC$1)))*(1/ceereschfboi),)</f>
        <v>5.861512807</v>
      </c>
      <c r="AD18" s="274">
        <f>IFERROR(caltoccureschf*(nbrlprboi/SUMPRODUCT(HousingStockPerCarriers*(Years=AD$1)))*(1/ceereschfboi),)</f>
        <v>5.283598899</v>
      </c>
      <c r="AE18" s="274">
        <f>IFERROR(caltoccureschf*(nbrlprboi/SUMPRODUCT(HousingStockPerCarriers*(Years=AE$1)))*(1/ceereschfboi),)</f>
        <v>4.753221383</v>
      </c>
      <c r="AF18" s="274">
        <f>IFERROR(caltoccureschf*(nbrlprboi/SUMPRODUCT(HousingStockPerCarriers*(Years=AF$1)))*(1/ceereschfboi),)</f>
        <v>4.256904498</v>
      </c>
      <c r="AG18" s="274">
        <f>IFERROR(caltoccureschf*(nbrlprboi/SUMPRODUCT(HousingStockPerCarriers*(Years=AG$1)))*(1/ceereschfboi),)</f>
        <v>3.838382095</v>
      </c>
      <c r="AH18" s="274">
        <f>IFERROR(caltoccureschf*(nbrlprboi/SUMPRODUCT(HousingStockPerCarriers*(Years=AH$1)))*(1/ceereschfboi),)</f>
        <v>3.518397122</v>
      </c>
      <c r="AI18" s="318"/>
      <c r="AJ18" s="319"/>
      <c r="AK18" s="319"/>
      <c r="AL18" s="319"/>
      <c r="AM18" s="319"/>
      <c r="AN18" s="319"/>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row>
    <row r="19" ht="14.25" customHeight="1" outlineLevel="3">
      <c r="A19" s="195"/>
      <c r="B19" s="201"/>
      <c r="C19" s="201"/>
      <c r="D19" s="201"/>
      <c r="E19" s="273" t="str">
        <f>"FEC from oil for space heating in the residential sector"&amp;IF($F$8="Ok"," (secondary and vacant dwellings included)"," (secondary and vacant dwellings not or partially included)")</f>
        <v>FEC from oil for space heating in the residential sector (secondary and vacant dwellings not or partially included)</v>
      </c>
      <c r="F19" s="123" t="s">
        <v>135</v>
      </c>
      <c r="G19" s="123" t="s">
        <v>358</v>
      </c>
      <c r="H19" s="274" t="str">
        <f>IFERROR(caltoccureschf*(nbrlprpet/SUMPRODUCT(HousingStockPerCarriers*(Years=H$1)))*(1/ceereschfpet),)</f>
        <v/>
      </c>
      <c r="I19" s="274" t="str">
        <f>IFERROR(caltoccureschf*(nbrlprpet/SUMPRODUCT(HousingStockPerCarriers*(Years=I$1)))*(1/ceereschfpet),)</f>
        <v/>
      </c>
      <c r="J19" s="274" t="str">
        <f>IFERROR(caltoccureschf*(nbrlprpet/SUMPRODUCT(HousingStockPerCarriers*(Years=J$1)))*(1/ceereschfpet),)</f>
        <v/>
      </c>
      <c r="K19" s="274" t="str">
        <f>IFERROR(caltoccureschf*(nbrlprpet/SUMPRODUCT(HousingStockPerCarriers*(Years=K$1)))*(1/ceereschfpet),)</f>
        <v/>
      </c>
      <c r="L19" s="274" t="str">
        <f>IFERROR(caltoccureschf*(nbrlprpet/SUMPRODUCT(HousingStockPerCarriers*(Years=L$1)))*(1/ceereschfpet),)</f>
        <v/>
      </c>
      <c r="M19" s="274" t="str">
        <f>IFERROR(caltoccureschf*(nbrlprpet/SUMPRODUCT(HousingStockPerCarriers*(Years=M$1)))*(1/ceereschfpet),)</f>
        <v/>
      </c>
      <c r="N19" s="274" t="str">
        <f>IFERROR(caltoccureschf*(nbrlprpet/SUMPRODUCT(HousingStockPerCarriers*(Years=N$1)))*(1/ceereschfpet),)</f>
        <v/>
      </c>
      <c r="O19" s="274" t="str">
        <f>IFERROR(caltoccureschf*(nbrlprpet/SUMPRODUCT(HousingStockPerCarriers*(Years=O$1)))*(1/ceereschfpet),)</f>
        <v/>
      </c>
      <c r="P19" s="274" t="str">
        <f>IFERROR(caltoccureschf*(nbrlprpet/SUMPRODUCT(HousingStockPerCarriers*(Years=P$1)))*(1/ceereschfpet),)</f>
        <v/>
      </c>
      <c r="Q19" s="274" t="str">
        <f>IFERROR(caltoccureschf*(nbrlprpet/SUMPRODUCT(HousingStockPerCarriers*(Years=Q$1)))*(1/ceereschfpet),)</f>
        <v/>
      </c>
      <c r="R19" s="274" t="str">
        <f>IFERROR(caltoccureschf*(nbrlprpet/SUMPRODUCT(HousingStockPerCarriers*(Years=R$1)))*(1/ceereschfpet),)</f>
        <v/>
      </c>
      <c r="S19" s="274" t="str">
        <f>IFERROR(caltoccureschf*(nbrlprpet/SUMPRODUCT(HousingStockPerCarriers*(Years=S$1)))*(1/ceereschfpet),)</f>
        <v/>
      </c>
      <c r="T19" s="274" t="str">
        <f>IFERROR(caltoccureschf*(nbrlprpet/SUMPRODUCT(HousingStockPerCarriers*(Years=T$1)))*(1/ceereschfpet),)</f>
        <v/>
      </c>
      <c r="U19" s="274" t="str">
        <f>IFERROR(caltoccureschf*(nbrlprpet/SUMPRODUCT(HousingStockPerCarriers*(Years=U$1)))*(1/ceereschfpet),)</f>
        <v/>
      </c>
      <c r="V19" s="274" t="str">
        <f>IFERROR(caltoccureschf*(nbrlprpet/SUMPRODUCT(HousingStockPerCarriers*(Years=V$1)))*(1/ceereschfpet),)</f>
        <v/>
      </c>
      <c r="W19" s="274">
        <f>IFERROR(caltoccureschf*(nbrlprpet/SUMPRODUCT(HousingStockPerCarriers*(Years=W$1)))*(1/ceereschfpet),)</f>
        <v>29.185</v>
      </c>
      <c r="X19" s="274" t="str">
        <f>IFERROR(caltoccureschf*(nbrlprpet/SUMPRODUCT(HousingStockPerCarriers*(Years=X$1)))*(1/ceereschfpet),)</f>
        <v/>
      </c>
      <c r="Y19" s="274" t="str">
        <f>IFERROR(caltoccureschf*(nbrlprpet/SUMPRODUCT(HousingStockPerCarriers*(Years=Y$1)))*(1/ceereschfpet),)</f>
        <v/>
      </c>
      <c r="Z19" s="274" t="str">
        <f>IFERROR(caltoccureschf*(nbrlprpet/SUMPRODUCT(HousingStockPerCarriers*(Years=Z$1)))*(1/ceereschfpet),)</f>
        <v/>
      </c>
      <c r="AA19" s="274" t="str">
        <f>IFERROR(caltoccureschf*(nbrlprpet/SUMPRODUCT(HousingStockPerCarriers*(Years=AA$1)))*(1/ceereschfpet),)</f>
        <v/>
      </c>
      <c r="AB19" s="274">
        <f>IFERROR(caltoccureschf*(nbrlprpet/SUMPRODUCT(HousingStockPerCarriers*(Years=AB$1)))*(1/ceereschfpet),)</f>
        <v>25.4698392</v>
      </c>
      <c r="AC19" s="274">
        <f>IFERROR(caltoccureschf*(nbrlprpet/SUMPRODUCT(HousingStockPerCarriers*(Years=AC$1)))*(1/ceereschfpet),)</f>
        <v>17.69780437</v>
      </c>
      <c r="AD19" s="274">
        <f>IFERROR(caltoccureschf*(nbrlprpet/SUMPRODUCT(HousingStockPerCarriers*(Years=AD$1)))*(1/ceereschfpet),)</f>
        <v>6.323998683</v>
      </c>
      <c r="AE19" s="274">
        <f>IFERROR(caltoccureschf*(nbrlprpet/SUMPRODUCT(HousingStockPerCarriers*(Years=AE$1)))*(1/ceereschfpet),)</f>
        <v>2.893789232</v>
      </c>
      <c r="AF19" s="274">
        <f>IFERROR(caltoccureschf*(nbrlprpet/SUMPRODUCT(HousingStockPerCarriers*(Years=AF$1)))*(1/ceereschfpet),)</f>
        <v>2.551667039</v>
      </c>
      <c r="AG19" s="274">
        <f>IFERROR(caltoccureschf*(nbrlprpet/SUMPRODUCT(HousingStockPerCarriers*(Years=AG$1)))*(1/ceereschfpet),)</f>
        <v>0.4569648639</v>
      </c>
      <c r="AH19" s="274">
        <f>IFERROR(caltoccureschf*(nbrlprpet/SUMPRODUCT(HousingStockPerCarriers*(Years=AH$1)))*(1/ceereschfpet),)</f>
        <v>0</v>
      </c>
      <c r="AI19" s="318"/>
      <c r="AJ19" s="319"/>
      <c r="AK19" s="319"/>
      <c r="AL19" s="319"/>
      <c r="AM19" s="319"/>
      <c r="AN19" s="319"/>
      <c r="AO19" s="319"/>
      <c r="AP19" s="319"/>
      <c r="AQ19" s="319"/>
      <c r="AR19" s="319"/>
      <c r="AS19" s="319"/>
      <c r="AT19" s="319"/>
      <c r="AU19" s="319"/>
      <c r="AV19" s="319"/>
      <c r="AW19" s="319"/>
      <c r="AX19" s="319"/>
      <c r="AY19" s="319"/>
      <c r="AZ19" s="319"/>
      <c r="BA19" s="319"/>
      <c r="BB19" s="319"/>
      <c r="BC19" s="319"/>
      <c r="BD19" s="319"/>
      <c r="BE19" s="319"/>
      <c r="BF19" s="319"/>
      <c r="BG19" s="319"/>
      <c r="BH19" s="319"/>
      <c r="BI19" s="319"/>
      <c r="BJ19" s="319"/>
      <c r="BK19" s="319"/>
      <c r="BL19" s="319"/>
      <c r="BM19" s="319"/>
      <c r="BN19" s="319"/>
      <c r="BO19" s="319"/>
      <c r="BP19" s="319"/>
      <c r="BQ19" s="319"/>
      <c r="BR19" s="319"/>
    </row>
    <row r="20" ht="14.25" customHeight="1" outlineLevel="3">
      <c r="A20" s="195"/>
      <c r="B20" s="201"/>
      <c r="C20" s="201"/>
      <c r="D20" s="201"/>
      <c r="E20" s="273" t="str">
        <f>"FEC from gas grid / gas consumed locally for space heating in the residential sector"&amp;IF($F$8="Ok"," (secondary and vacant dwellings included)"," (secondary and vacant dwellings not or partially included)")</f>
        <v>FEC from gas grid / gas consumed locally for space heating in the residential sector (secondary and vacant dwellings not or partially included)</v>
      </c>
      <c r="F20" s="123" t="s">
        <v>135</v>
      </c>
      <c r="G20" s="123" t="s">
        <v>359</v>
      </c>
      <c r="H20" s="274" t="str">
        <f>IFERROR(caltoccureschf*(nbrlprgaz/SUMPRODUCT(HousingStockPerCarriers*(Years=H$1)))*(1/ceereschfgaz),)</f>
        <v/>
      </c>
      <c r="I20" s="274" t="str">
        <f>IFERROR(caltoccureschf*(nbrlprgaz/SUMPRODUCT(HousingStockPerCarriers*(Years=I$1)))*(1/ceereschfgaz),)</f>
        <v/>
      </c>
      <c r="J20" s="274" t="str">
        <f>IFERROR(caltoccureschf*(nbrlprgaz/SUMPRODUCT(HousingStockPerCarriers*(Years=J$1)))*(1/ceereschfgaz),)</f>
        <v/>
      </c>
      <c r="K20" s="274" t="str">
        <f>IFERROR(caltoccureschf*(nbrlprgaz/SUMPRODUCT(HousingStockPerCarriers*(Years=K$1)))*(1/ceereschfgaz),)</f>
        <v/>
      </c>
      <c r="L20" s="274" t="str">
        <f>IFERROR(caltoccureschf*(nbrlprgaz/SUMPRODUCT(HousingStockPerCarriers*(Years=L$1)))*(1/ceereschfgaz),)</f>
        <v/>
      </c>
      <c r="M20" s="274" t="str">
        <f>IFERROR(caltoccureschf*(nbrlprgaz/SUMPRODUCT(HousingStockPerCarriers*(Years=M$1)))*(1/ceereschfgaz),)</f>
        <v/>
      </c>
      <c r="N20" s="274" t="str">
        <f>IFERROR(caltoccureschf*(nbrlprgaz/SUMPRODUCT(HousingStockPerCarriers*(Years=N$1)))*(1/ceereschfgaz),)</f>
        <v/>
      </c>
      <c r="O20" s="274" t="str">
        <f>IFERROR(caltoccureschf*(nbrlprgaz/SUMPRODUCT(HousingStockPerCarriers*(Years=O$1)))*(1/ceereschfgaz),)</f>
        <v/>
      </c>
      <c r="P20" s="274" t="str">
        <f>IFERROR(caltoccureschf*(nbrlprgaz/SUMPRODUCT(HousingStockPerCarriers*(Years=P$1)))*(1/ceereschfgaz),)</f>
        <v/>
      </c>
      <c r="Q20" s="274" t="str">
        <f>IFERROR(caltoccureschf*(nbrlprgaz/SUMPRODUCT(HousingStockPerCarriers*(Years=Q$1)))*(1/ceereschfgaz),)</f>
        <v/>
      </c>
      <c r="R20" s="274" t="str">
        <f>IFERROR(caltoccureschf*(nbrlprgaz/SUMPRODUCT(HousingStockPerCarriers*(Years=R$1)))*(1/ceereschfgaz),)</f>
        <v/>
      </c>
      <c r="S20" s="274" t="str">
        <f>IFERROR(caltoccureschf*(nbrlprgaz/SUMPRODUCT(HousingStockPerCarriers*(Years=S$1)))*(1/ceereschfgaz),)</f>
        <v/>
      </c>
      <c r="T20" s="274" t="str">
        <f>IFERROR(caltoccureschf*(nbrlprgaz/SUMPRODUCT(HousingStockPerCarriers*(Years=T$1)))*(1/ceereschfgaz),)</f>
        <v/>
      </c>
      <c r="U20" s="274" t="str">
        <f>IFERROR(caltoccureschf*(nbrlprgaz/SUMPRODUCT(HousingStockPerCarriers*(Years=U$1)))*(1/ceereschfgaz),)</f>
        <v/>
      </c>
      <c r="V20" s="274" t="str">
        <f>IFERROR(caltoccureschf*(nbrlprgaz/SUMPRODUCT(HousingStockPerCarriers*(Years=V$1)))*(1/ceereschfgaz),)</f>
        <v/>
      </c>
      <c r="W20" s="274">
        <f>IFERROR(caltoccureschf*(nbrlprgaz/SUMPRODUCT(HousingStockPerCarriers*(Years=W$1)))*(1/ceereschfgaz),)</f>
        <v>31.4048</v>
      </c>
      <c r="X20" s="274" t="str">
        <f>IFERROR(caltoccureschf*(nbrlprgaz/SUMPRODUCT(HousingStockPerCarriers*(Years=X$1)))*(1/ceereschfgaz),)</f>
        <v/>
      </c>
      <c r="Y20" s="274" t="str">
        <f>IFERROR(caltoccureschf*(nbrlprgaz/SUMPRODUCT(HousingStockPerCarriers*(Years=Y$1)))*(1/ceereschfgaz),)</f>
        <v/>
      </c>
      <c r="Z20" s="274" t="str">
        <f>IFERROR(caltoccureschf*(nbrlprgaz/SUMPRODUCT(HousingStockPerCarriers*(Years=Z$1)))*(1/ceereschfgaz),)</f>
        <v/>
      </c>
      <c r="AA20" s="274" t="str">
        <f>IFERROR(caltoccureschf*(nbrlprgaz/SUMPRODUCT(HousingStockPerCarriers*(Years=AA$1)))*(1/ceereschfgaz),)</f>
        <v/>
      </c>
      <c r="AB20" s="274">
        <f>IFERROR(caltoccureschf*(nbrlprgaz/SUMPRODUCT(HousingStockPerCarriers*(Years=AB$1)))*(1/ceereschfgaz),)</f>
        <v>27.83153089</v>
      </c>
      <c r="AC20" s="274">
        <f>IFERROR(caltoccureschf*(nbrlprgaz/SUMPRODUCT(HousingStockPerCarriers*(Years=AC$1)))*(1/ceereschfgaz),)</f>
        <v>20.6391296</v>
      </c>
      <c r="AD20" s="274">
        <f>IFERROR(caltoccureschf*(nbrlprgaz/SUMPRODUCT(HousingStockPerCarriers*(Years=AD$1)))*(1/ceereschfgaz),)</f>
        <v>15.37083013</v>
      </c>
      <c r="AE20" s="274">
        <f>IFERROR(caltoccureschf*(nbrlprgaz/SUMPRODUCT(HousingStockPerCarriers*(Years=AE$1)))*(1/ceereschfgaz),)</f>
        <v>10.30250897</v>
      </c>
      <c r="AF20" s="274">
        <f>IFERROR(caltoccureschf*(nbrlprgaz/SUMPRODUCT(HousingStockPerCarriers*(Years=AF$1)))*(1/ceereschfgaz),)</f>
        <v>6.554336092</v>
      </c>
      <c r="AG20" s="274">
        <f>IFERROR(caltoccureschf*(nbrlprgaz/SUMPRODUCT(HousingStockPerCarriers*(Years=AG$1)))*(1/ceereschfgaz),)</f>
        <v>3.345280343</v>
      </c>
      <c r="AH20" s="274">
        <f>IFERROR(caltoccureschf*(nbrlprgaz/SUMPRODUCT(HousingStockPerCarriers*(Years=AH$1)))*(1/ceereschfgaz),)</f>
        <v>0.8209593285</v>
      </c>
      <c r="AI20" s="318"/>
      <c r="AJ20" s="319"/>
      <c r="AK20" s="319"/>
      <c r="AL20" s="319"/>
      <c r="AM20" s="319"/>
      <c r="AN20" s="319"/>
      <c r="AO20" s="319"/>
      <c r="AP20" s="319"/>
      <c r="AQ20" s="319"/>
      <c r="AR20" s="319"/>
      <c r="AS20" s="319"/>
      <c r="AT20" s="319"/>
      <c r="AU20" s="319"/>
      <c r="AV20" s="319"/>
      <c r="AW20" s="319"/>
      <c r="AX20" s="319"/>
      <c r="AY20" s="319"/>
      <c r="AZ20" s="319"/>
      <c r="BA20" s="319"/>
      <c r="BB20" s="319"/>
      <c r="BC20" s="319"/>
      <c r="BD20" s="319"/>
      <c r="BE20" s="319"/>
      <c r="BF20" s="319"/>
      <c r="BG20" s="319"/>
      <c r="BH20" s="319"/>
      <c r="BI20" s="319"/>
      <c r="BJ20" s="319"/>
      <c r="BK20" s="319"/>
      <c r="BL20" s="319"/>
      <c r="BM20" s="319"/>
      <c r="BN20" s="319"/>
      <c r="BO20" s="319"/>
      <c r="BP20" s="319"/>
      <c r="BQ20" s="319"/>
      <c r="BR20" s="319"/>
    </row>
    <row r="21" ht="14.25" customHeight="1" outlineLevel="3">
      <c r="A21" s="195"/>
      <c r="B21" s="201"/>
      <c r="C21" s="201"/>
      <c r="D21" s="201"/>
      <c r="E21" s="273" t="str">
        <f>"Final electricity consumption for space heating in the residential sector"&amp;IF($F$8="Ok"," (secondary and vacant dwellings included)"," (secondary and vacant dwellings not or partially included)")</f>
        <v>Final electricity consumption for space heating in the residential sector (secondary and vacant dwellings not or partially included)</v>
      </c>
      <c r="F21" s="123" t="s">
        <v>135</v>
      </c>
      <c r="G21" s="123" t="s">
        <v>360</v>
      </c>
      <c r="H21" s="274" t="str">
        <f>IFERROR(caltoccureschf*((nbrlprele/SUMPRODUCT(HousingStockPerCarriers*(Years=H$1)))*(1/ceereschfele)+(nbrlprpac/SUMPRODUCT(HousingStockPerCarriers*(Years=H$1)))*(1/ceereschfpac)),)</f>
        <v/>
      </c>
      <c r="I21" s="274" t="str">
        <f>IFERROR(caltoccureschf*((nbrlprele/SUMPRODUCT(HousingStockPerCarriers*(Years=I$1)))*(1/ceereschfele)+(nbrlprpac/SUMPRODUCT(HousingStockPerCarriers*(Years=I$1)))*(1/ceereschfpac)),)</f>
        <v/>
      </c>
      <c r="J21" s="274" t="str">
        <f>IFERROR(caltoccureschf*((nbrlprele/SUMPRODUCT(HousingStockPerCarriers*(Years=J$1)))*(1/ceereschfele)+(nbrlprpac/SUMPRODUCT(HousingStockPerCarriers*(Years=J$1)))*(1/ceereschfpac)),)</f>
        <v/>
      </c>
      <c r="K21" s="274" t="str">
        <f>IFERROR(caltoccureschf*((nbrlprele/SUMPRODUCT(HousingStockPerCarriers*(Years=K$1)))*(1/ceereschfele)+(nbrlprpac/SUMPRODUCT(HousingStockPerCarriers*(Years=K$1)))*(1/ceereschfpac)),)</f>
        <v/>
      </c>
      <c r="L21" s="274" t="str">
        <f>IFERROR(caltoccureschf*((nbrlprele/SUMPRODUCT(HousingStockPerCarriers*(Years=L$1)))*(1/ceereschfele)+(nbrlprpac/SUMPRODUCT(HousingStockPerCarriers*(Years=L$1)))*(1/ceereschfpac)),)</f>
        <v/>
      </c>
      <c r="M21" s="274" t="str">
        <f>IFERROR(caltoccureschf*((nbrlprele/SUMPRODUCT(HousingStockPerCarriers*(Years=M$1)))*(1/ceereschfele)+(nbrlprpac/SUMPRODUCT(HousingStockPerCarriers*(Years=M$1)))*(1/ceereschfpac)),)</f>
        <v/>
      </c>
      <c r="N21" s="274" t="str">
        <f>IFERROR(caltoccureschf*((nbrlprele/SUMPRODUCT(HousingStockPerCarriers*(Years=N$1)))*(1/ceereschfele)+(nbrlprpac/SUMPRODUCT(HousingStockPerCarriers*(Years=N$1)))*(1/ceereschfpac)),)</f>
        <v/>
      </c>
      <c r="O21" s="274" t="str">
        <f>IFERROR(caltoccureschf*((nbrlprele/SUMPRODUCT(HousingStockPerCarriers*(Years=O$1)))*(1/ceereschfele)+(nbrlprpac/SUMPRODUCT(HousingStockPerCarriers*(Years=O$1)))*(1/ceereschfpac)),)</f>
        <v/>
      </c>
      <c r="P21" s="274" t="str">
        <f>IFERROR(caltoccureschf*((nbrlprele/SUMPRODUCT(HousingStockPerCarriers*(Years=P$1)))*(1/ceereschfele)+(nbrlprpac/SUMPRODUCT(HousingStockPerCarriers*(Years=P$1)))*(1/ceereschfpac)),)</f>
        <v/>
      </c>
      <c r="Q21" s="274" t="str">
        <f>IFERROR(caltoccureschf*((nbrlprele/SUMPRODUCT(HousingStockPerCarriers*(Years=Q$1)))*(1/ceereschfele)+(nbrlprpac/SUMPRODUCT(HousingStockPerCarriers*(Years=Q$1)))*(1/ceereschfpac)),)</f>
        <v/>
      </c>
      <c r="R21" s="274" t="str">
        <f>IFERROR(caltoccureschf*((nbrlprele/SUMPRODUCT(HousingStockPerCarriers*(Years=R$1)))*(1/ceereschfele)+(nbrlprpac/SUMPRODUCT(HousingStockPerCarriers*(Years=R$1)))*(1/ceereschfpac)),)</f>
        <v/>
      </c>
      <c r="S21" s="274" t="str">
        <f>IFERROR(caltoccureschf*((nbrlprele/SUMPRODUCT(HousingStockPerCarriers*(Years=S$1)))*(1/ceereschfele)+(nbrlprpac/SUMPRODUCT(HousingStockPerCarriers*(Years=S$1)))*(1/ceereschfpac)),)</f>
        <v/>
      </c>
      <c r="T21" s="274" t="str">
        <f>IFERROR(caltoccureschf*((nbrlprele/SUMPRODUCT(HousingStockPerCarriers*(Years=T$1)))*(1/ceereschfele)+(nbrlprpac/SUMPRODUCT(HousingStockPerCarriers*(Years=T$1)))*(1/ceereschfpac)),)</f>
        <v/>
      </c>
      <c r="U21" s="274" t="str">
        <f>IFERROR(caltoccureschf*((nbrlprele/SUMPRODUCT(HousingStockPerCarriers*(Years=U$1)))*(1/ceereschfele)+(nbrlprpac/SUMPRODUCT(HousingStockPerCarriers*(Years=U$1)))*(1/ceereschfpac)),)</f>
        <v/>
      </c>
      <c r="V21" s="274" t="str">
        <f>IFERROR(caltoccureschf*((nbrlprele/SUMPRODUCT(HousingStockPerCarriers*(Years=V$1)))*(1/ceereschfele)+(nbrlprpac/SUMPRODUCT(HousingStockPerCarriers*(Years=V$1)))*(1/ceereschfpac)),)</f>
        <v/>
      </c>
      <c r="W21" s="274">
        <f>IFERROR(caltoccureschf*((nbrlprele/SUMPRODUCT(HousingStockPerCarriers*(Years=W$1)))*(1/ceereschfele)+(nbrlprpac/SUMPRODUCT(HousingStockPerCarriers*(Years=W$1)))*(1/ceereschfpac)),)</f>
        <v>2.0951</v>
      </c>
      <c r="X21" s="274" t="str">
        <f>IFERROR(caltoccureschf*((nbrlprele/SUMPRODUCT(HousingStockPerCarriers*(Years=X$1)))*(1/ceereschfele)+(nbrlprpac/SUMPRODUCT(HousingStockPerCarriers*(Years=X$1)))*(1/ceereschfpac)),)</f>
        <v/>
      </c>
      <c r="Y21" s="274" t="str">
        <f>IFERROR(caltoccureschf*((nbrlprele/SUMPRODUCT(HousingStockPerCarriers*(Years=Y$1)))*(1/ceereschfele)+(nbrlprpac/SUMPRODUCT(HousingStockPerCarriers*(Years=Y$1)))*(1/ceereschfpac)),)</f>
        <v/>
      </c>
      <c r="Z21" s="274" t="str">
        <f>IFERROR(caltoccureschf*((nbrlprele/SUMPRODUCT(HousingStockPerCarriers*(Years=Z$1)))*(1/ceereschfele)+(nbrlprpac/SUMPRODUCT(HousingStockPerCarriers*(Years=Z$1)))*(1/ceereschfpac)),)</f>
        <v/>
      </c>
      <c r="AA21" s="274" t="str">
        <f>IFERROR(caltoccureschf*((nbrlprele/SUMPRODUCT(HousingStockPerCarriers*(Years=AA$1)))*(1/ceereschfele)+(nbrlprpac/SUMPRODUCT(HousingStockPerCarriers*(Years=AA$1)))*(1/ceereschfpac)),)</f>
        <v/>
      </c>
      <c r="AB21" s="274">
        <f>IFERROR(caltoccureschf*((nbrlprele/SUMPRODUCT(HousingStockPerCarriers*(Years=AB$1)))*(1/ceereschfele)+(nbrlprpac/SUMPRODUCT(HousingStockPerCarriers*(Years=AB$1)))*(1/ceereschfpac)),)</f>
        <v>4.311941838</v>
      </c>
      <c r="AC21" s="274">
        <f>IFERROR(caltoccureschf*((nbrlprele/SUMPRODUCT(HousingStockPerCarriers*(Years=AC$1)))*(1/ceereschfele)+(nbrlprpac/SUMPRODUCT(HousingStockPerCarriers*(Years=AC$1)))*(1/ceereschfpac)),)</f>
        <v>6.757608102</v>
      </c>
      <c r="AD21" s="274">
        <f>IFERROR(caltoccureschf*((nbrlprele/SUMPRODUCT(HousingStockPerCarriers*(Years=AD$1)))*(1/ceereschfele)+(nbrlprpac/SUMPRODUCT(HousingStockPerCarriers*(Years=AD$1)))*(1/ceereschfpac)),)</f>
        <v>8.717727578</v>
      </c>
      <c r="AE21" s="274">
        <f>IFERROR(caltoccureschf*((nbrlprele/SUMPRODUCT(HousingStockPerCarriers*(Years=AE$1)))*(1/ceereschfele)+(nbrlprpac/SUMPRODUCT(HousingStockPerCarriers*(Years=AE$1)))*(1/ceereschfpac)),)</f>
        <v>9.064857732</v>
      </c>
      <c r="AF21" s="274">
        <f>IFERROR(caltoccureschf*((nbrlprele/SUMPRODUCT(HousingStockPerCarriers*(Years=AF$1)))*(1/ceereschfele)+(nbrlprpac/SUMPRODUCT(HousingStockPerCarriers*(Years=AF$1)))*(1/ceereschfpac)),)</f>
        <v>7.955168157</v>
      </c>
      <c r="AG21" s="274">
        <f>IFERROR(caltoccureschf*((nbrlprele/SUMPRODUCT(HousingStockPerCarriers*(Years=AG$1)))*(1/ceereschfele)+(nbrlprpac/SUMPRODUCT(HousingStockPerCarriers*(Years=AG$1)))*(1/ceereschfpac)),)</f>
        <v>7.634031207</v>
      </c>
      <c r="AH21" s="274">
        <f>IFERROR(caltoccureschf*((nbrlprele/SUMPRODUCT(HousingStockPerCarriers*(Years=AH$1)))*(1/ceereschfele)+(nbrlprpac/SUMPRODUCT(HousingStockPerCarriers*(Years=AH$1)))*(1/ceereschfpac)),)</f>
        <v>7.086993597</v>
      </c>
      <c r="AI21" s="318" t="s">
        <v>660</v>
      </c>
      <c r="AJ21" s="319"/>
      <c r="AK21" s="319"/>
      <c r="AL21" s="319"/>
      <c r="AM21" s="319"/>
      <c r="AN21" s="319"/>
      <c r="AO21" s="319"/>
      <c r="AP21" s="319"/>
      <c r="AQ21" s="319"/>
      <c r="AR21" s="319"/>
      <c r="AS21" s="319"/>
      <c r="AT21" s="319"/>
      <c r="AU21" s="319"/>
      <c r="AV21" s="319"/>
      <c r="AW21" s="319"/>
      <c r="AX21" s="319"/>
      <c r="AY21" s="319"/>
      <c r="AZ21" s="319"/>
      <c r="BA21" s="319"/>
      <c r="BB21" s="319"/>
      <c r="BC21" s="319"/>
      <c r="BD21" s="319"/>
      <c r="BE21" s="319"/>
      <c r="BF21" s="319"/>
      <c r="BG21" s="319"/>
      <c r="BH21" s="319"/>
      <c r="BI21" s="319"/>
      <c r="BJ21" s="319"/>
      <c r="BK21" s="319"/>
      <c r="BL21" s="319"/>
      <c r="BM21" s="319"/>
      <c r="BN21" s="319"/>
      <c r="BO21" s="319"/>
      <c r="BP21" s="319"/>
      <c r="BQ21" s="319"/>
      <c r="BR21" s="319"/>
    </row>
    <row r="22" ht="14.25" customHeight="1" outlineLevel="3">
      <c r="A22" s="195"/>
      <c r="B22" s="201"/>
      <c r="C22" s="201"/>
      <c r="D22" s="201"/>
      <c r="E22" s="273" t="str">
        <f>"FEC from heating networks for space heating in the residential sector"&amp;IF($F$8="Ok"," (secondary and vacant dwellings included)"," (secondary and vacant dwellings not or partially included)")</f>
        <v>FEC from heating networks for space heating in the residential sector (secondary and vacant dwellings not or partially included)</v>
      </c>
      <c r="F22" s="123" t="s">
        <v>135</v>
      </c>
      <c r="G22" s="123" t="s">
        <v>361</v>
      </c>
      <c r="H22" s="274" t="str">
        <f>IFERROR(caltoccureschf*(nbrlprvap/SUMPRODUCT(HousingStockPerCarriers*(Years=H$1)))*(1/ceereschfvap),)</f>
        <v/>
      </c>
      <c r="I22" s="274" t="str">
        <f>IFERROR(caltoccureschf*(nbrlprvap/SUMPRODUCT(HousingStockPerCarriers*(Years=I$1)))*(1/ceereschfvap),)</f>
        <v/>
      </c>
      <c r="J22" s="274" t="str">
        <f>IFERROR(caltoccureschf*(nbrlprvap/SUMPRODUCT(HousingStockPerCarriers*(Years=J$1)))*(1/ceereschfvap),)</f>
        <v/>
      </c>
      <c r="K22" s="274" t="str">
        <f>IFERROR(caltoccureschf*(nbrlprvap/SUMPRODUCT(HousingStockPerCarriers*(Years=K$1)))*(1/ceereschfvap),)</f>
        <v/>
      </c>
      <c r="L22" s="274" t="str">
        <f>IFERROR(caltoccureschf*(nbrlprvap/SUMPRODUCT(HousingStockPerCarriers*(Years=L$1)))*(1/ceereschfvap),)</f>
        <v/>
      </c>
      <c r="M22" s="274" t="str">
        <f>IFERROR(caltoccureschf*(nbrlprvap/SUMPRODUCT(HousingStockPerCarriers*(Years=M$1)))*(1/ceereschfvap),)</f>
        <v/>
      </c>
      <c r="N22" s="274" t="str">
        <f>IFERROR(caltoccureschf*(nbrlprvap/SUMPRODUCT(HousingStockPerCarriers*(Years=N$1)))*(1/ceereschfvap),)</f>
        <v/>
      </c>
      <c r="O22" s="274" t="str">
        <f>IFERROR(caltoccureschf*(nbrlprvap/SUMPRODUCT(HousingStockPerCarriers*(Years=O$1)))*(1/ceereschfvap),)</f>
        <v/>
      </c>
      <c r="P22" s="274" t="str">
        <f>IFERROR(caltoccureschf*(nbrlprvap/SUMPRODUCT(HousingStockPerCarriers*(Years=P$1)))*(1/ceereschfvap),)</f>
        <v/>
      </c>
      <c r="Q22" s="274" t="str">
        <f>IFERROR(caltoccureschf*(nbrlprvap/SUMPRODUCT(HousingStockPerCarriers*(Years=Q$1)))*(1/ceereschfvap),)</f>
        <v/>
      </c>
      <c r="R22" s="274" t="str">
        <f>IFERROR(caltoccureschf*(nbrlprvap/SUMPRODUCT(HousingStockPerCarriers*(Years=R$1)))*(1/ceereschfvap),)</f>
        <v/>
      </c>
      <c r="S22" s="274" t="str">
        <f>IFERROR(caltoccureschf*(nbrlprvap/SUMPRODUCT(HousingStockPerCarriers*(Years=S$1)))*(1/ceereschfvap),)</f>
        <v/>
      </c>
      <c r="T22" s="274" t="str">
        <f>IFERROR(caltoccureschf*(nbrlprvap/SUMPRODUCT(HousingStockPerCarriers*(Years=T$1)))*(1/ceereschfvap),)</f>
        <v/>
      </c>
      <c r="U22" s="274" t="str">
        <f>IFERROR(caltoccureschf*(nbrlprvap/SUMPRODUCT(HousingStockPerCarriers*(Years=U$1)))*(1/ceereschfvap),)</f>
        <v/>
      </c>
      <c r="V22" s="274" t="str">
        <f>IFERROR(caltoccureschf*(nbrlprvap/SUMPRODUCT(HousingStockPerCarriers*(Years=V$1)))*(1/ceereschfvap),)</f>
        <v/>
      </c>
      <c r="W22" s="274">
        <f>IFERROR(caltoccureschf*(nbrlprvap/SUMPRODUCT(HousingStockPerCarriers*(Years=W$1)))*(1/ceereschfvap),)</f>
        <v>0.023</v>
      </c>
      <c r="X22" s="274" t="str">
        <f>IFERROR(caltoccureschf*(nbrlprvap/SUMPRODUCT(HousingStockPerCarriers*(Years=X$1)))*(1/ceereschfvap),)</f>
        <v/>
      </c>
      <c r="Y22" s="274" t="str">
        <f>IFERROR(caltoccureschf*(nbrlprvap/SUMPRODUCT(HousingStockPerCarriers*(Years=Y$1)))*(1/ceereschfvap),)</f>
        <v/>
      </c>
      <c r="Z22" s="274" t="str">
        <f>IFERROR(caltoccureschf*(nbrlprvap/SUMPRODUCT(HousingStockPerCarriers*(Years=Z$1)))*(1/ceereschfvap),)</f>
        <v/>
      </c>
      <c r="AA22" s="274" t="str">
        <f>IFERROR(caltoccureschf*(nbrlprvap/SUMPRODUCT(HousingStockPerCarriers*(Years=AA$1)))*(1/ceereschfvap),)</f>
        <v/>
      </c>
      <c r="AB22" s="274">
        <f>IFERROR(caltoccureschf*(nbrlprvap/SUMPRODUCT(HousingStockPerCarriers*(Years=AB$1)))*(1/ceereschfvap),)</f>
        <v>0.03471535977</v>
      </c>
      <c r="AC22" s="274">
        <f>IFERROR(caltoccureschf*(nbrlprvap/SUMPRODUCT(HousingStockPerCarriers*(Years=AC$1)))*(1/ceereschfvap),)</f>
        <v>4.232502989</v>
      </c>
      <c r="AD22" s="274">
        <f>IFERROR(caltoccureschf*(nbrlprvap/SUMPRODUCT(HousingStockPerCarriers*(Years=AD$1)))*(1/ceereschfvap),)</f>
        <v>5.759129699</v>
      </c>
      <c r="AE22" s="274">
        <f>IFERROR(caltoccureschf*(nbrlprvap/SUMPRODUCT(HousingStockPerCarriers*(Years=AE$1)))*(1/ceereschfvap),)</f>
        <v>6.817615377</v>
      </c>
      <c r="AF22" s="274">
        <f>IFERROR(caltoccureschf*(nbrlprvap/SUMPRODUCT(HousingStockPerCarriers*(Years=AF$1)))*(1/ceereschfvap),)</f>
        <v>7.599328382</v>
      </c>
      <c r="AG22" s="274">
        <f>IFERROR(caltoccureschf*(nbrlprvap/SUMPRODUCT(HousingStockPerCarriers*(Years=AG$1)))*(1/ceereschfvap),)</f>
        <v>8.133461134</v>
      </c>
      <c r="AH22" s="274">
        <f>IFERROR(caltoccureschf*(nbrlprvap/SUMPRODUCT(HousingStockPerCarriers*(Years=AH$1)))*(1/ceereschfvap),)</f>
        <v>8.551659672</v>
      </c>
      <c r="AI22" s="318"/>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row>
    <row r="23" ht="14.25" customHeight="1" outlineLevel="3">
      <c r="A23" s="195"/>
      <c r="B23" s="201"/>
      <c r="C23" s="201"/>
      <c r="D23" s="201"/>
      <c r="E23" s="273" t="str">
        <f>"Final energy consumption from ambient heat (heat pumps…) for space heating in the residential sector"&amp;IF($F$8="Ok"," (secondary and vacant dwellings included)"," (secondary and vacant dwellings not or partially included)")</f>
        <v>Final energy consumption from ambient heat (heat pumps…) for space heating in the residential sector (secondary and vacant dwellings not or partially included)</v>
      </c>
      <c r="F23" s="123" t="s">
        <v>135</v>
      </c>
      <c r="G23" s="123" t="s">
        <v>362</v>
      </c>
      <c r="H23" s="274" t="str">
        <f>IFERROR(caltoccureschf*(nbrlprpac/SUMPRODUCT(HousingStockPerCarriers*(Years=H$1)))*(1-1/ceereschfpac),)</f>
        <v/>
      </c>
      <c r="I23" s="274" t="str">
        <f>IFERROR(caltoccureschf*(nbrlprpac/SUMPRODUCT(HousingStockPerCarriers*(Years=I$1)))*(1-1/ceereschfpac),)</f>
        <v/>
      </c>
      <c r="J23" s="274" t="str">
        <f>IFERROR(caltoccureschf*(nbrlprpac/SUMPRODUCT(HousingStockPerCarriers*(Years=J$1)))*(1-1/ceereschfpac),)</f>
        <v/>
      </c>
      <c r="K23" s="274" t="str">
        <f>IFERROR(caltoccureschf*(nbrlprpac/SUMPRODUCT(HousingStockPerCarriers*(Years=K$1)))*(1-1/ceereschfpac),)</f>
        <v/>
      </c>
      <c r="L23" s="274" t="str">
        <f>IFERROR(caltoccureschf*(nbrlprpac/SUMPRODUCT(HousingStockPerCarriers*(Years=L$1)))*(1-1/ceereschfpac),)</f>
        <v/>
      </c>
      <c r="M23" s="274" t="str">
        <f>IFERROR(caltoccureschf*(nbrlprpac/SUMPRODUCT(HousingStockPerCarriers*(Years=M$1)))*(1-1/ceereschfpac),)</f>
        <v/>
      </c>
      <c r="N23" s="274" t="str">
        <f>IFERROR(caltoccureschf*(nbrlprpac/SUMPRODUCT(HousingStockPerCarriers*(Years=N$1)))*(1-1/ceereschfpac),)</f>
        <v/>
      </c>
      <c r="O23" s="274" t="str">
        <f>IFERROR(caltoccureschf*(nbrlprpac/SUMPRODUCT(HousingStockPerCarriers*(Years=O$1)))*(1-1/ceereschfpac),)</f>
        <v/>
      </c>
      <c r="P23" s="274" t="str">
        <f>IFERROR(caltoccureschf*(nbrlprpac/SUMPRODUCT(HousingStockPerCarriers*(Years=P$1)))*(1-1/ceereschfpac),)</f>
        <v/>
      </c>
      <c r="Q23" s="274" t="str">
        <f>IFERROR(caltoccureschf*(nbrlprpac/SUMPRODUCT(HousingStockPerCarriers*(Years=Q$1)))*(1-1/ceereschfpac),)</f>
        <v/>
      </c>
      <c r="R23" s="274" t="str">
        <f>IFERROR(caltoccureschf*(nbrlprpac/SUMPRODUCT(HousingStockPerCarriers*(Years=R$1)))*(1-1/ceereschfpac),)</f>
        <v/>
      </c>
      <c r="S23" s="274" t="str">
        <f>IFERROR(caltoccureschf*(nbrlprpac/SUMPRODUCT(HousingStockPerCarriers*(Years=S$1)))*(1-1/ceereschfpac),)</f>
        <v/>
      </c>
      <c r="T23" s="274" t="str">
        <f>IFERROR(caltoccureschf*(nbrlprpac/SUMPRODUCT(HousingStockPerCarriers*(Years=T$1)))*(1-1/ceereschfpac),)</f>
        <v/>
      </c>
      <c r="U23" s="274" t="str">
        <f>IFERROR(caltoccureschf*(nbrlprpac/SUMPRODUCT(HousingStockPerCarriers*(Years=U$1)))*(1-1/ceereschfpac),)</f>
        <v/>
      </c>
      <c r="V23" s="274" t="str">
        <f>IFERROR(caltoccureschf*(nbrlprpac/SUMPRODUCT(HousingStockPerCarriers*(Years=V$1)))*(1-1/ceereschfpac),)</f>
        <v/>
      </c>
      <c r="W23" s="274">
        <f>IFERROR(caltoccureschf*(nbrlprpac/SUMPRODUCT(HousingStockPerCarriers*(Years=W$1)))*(1-1/ceereschfpac),)</f>
        <v>1.23447605</v>
      </c>
      <c r="X23" s="274" t="str">
        <f>IFERROR(caltoccureschf*(nbrlprpac/SUMPRODUCT(HousingStockPerCarriers*(Years=X$1)))*(1-1/ceereschfpac),)</f>
        <v/>
      </c>
      <c r="Y23" s="274" t="str">
        <f>IFERROR(caltoccureschf*(nbrlprpac/SUMPRODUCT(HousingStockPerCarriers*(Years=Y$1)))*(1-1/ceereschfpac),)</f>
        <v/>
      </c>
      <c r="Z23" s="274" t="str">
        <f>IFERROR(caltoccureschf*(nbrlprpac/SUMPRODUCT(HousingStockPerCarriers*(Years=Z$1)))*(1-1/ceereschfpac),)</f>
        <v/>
      </c>
      <c r="AA23" s="274" t="str">
        <f>IFERROR(caltoccureschf*(nbrlprpac/SUMPRODUCT(HousingStockPerCarriers*(Years=AA$1)))*(1-1/ceereschfpac),)</f>
        <v/>
      </c>
      <c r="AB23" s="274">
        <f>IFERROR(caltoccureschf*(nbrlprpac/SUMPRODUCT(HousingStockPerCarriers*(Years=AB$1)))*(1-1/ceereschfpac),)</f>
        <v>4.219556762</v>
      </c>
      <c r="AC23" s="274">
        <f>IFERROR(caltoccureschf*(nbrlprpac/SUMPRODUCT(HousingStockPerCarriers*(Years=AC$1)))*(1-1/ceereschfpac),)</f>
        <v>8.109295711</v>
      </c>
      <c r="AD23" s="274">
        <f>IFERROR(caltoccureschf*(nbrlprpac/SUMPRODUCT(HousingStockPerCarriers*(Years=AD$1)))*(1-1/ceereschfpac),)</f>
        <v>11.89977675</v>
      </c>
      <c r="AE23" s="274">
        <f>IFERROR(caltoccureschf*(nbrlprpac/SUMPRODUCT(HousingStockPerCarriers*(Years=AE$1)))*(1-1/ceereschfpac),)</f>
        <v>13.54253651</v>
      </c>
      <c r="AF23" s="274">
        <f>IFERROR(caltoccureschf*(nbrlprpac/SUMPRODUCT(HousingStockPerCarriers*(Years=AF$1)))*(1-1/ceereschfpac),)</f>
        <v>12.66015275</v>
      </c>
      <c r="AG23" s="274">
        <f>IFERROR(caltoccureschf*(nbrlprpac/SUMPRODUCT(HousingStockPerCarriers*(Years=AG$1)))*(1-1/ceereschfpac),)</f>
        <v>13.06883262</v>
      </c>
      <c r="AH23" s="274">
        <f>IFERROR(caltoccureschf*(nbrlprpac/SUMPRODUCT(HousingStockPerCarriers*(Years=AH$1)))*(1-1/ceereschfpac),)</f>
        <v>12.93010942</v>
      </c>
      <c r="AI23" s="318" t="s">
        <v>661</v>
      </c>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row>
    <row r="24" ht="14.25" customHeight="1" outlineLevel="3">
      <c r="A24" s="195"/>
      <c r="B24" s="201"/>
      <c r="C24" s="201"/>
      <c r="D24" s="201"/>
      <c r="E24" s="273" t="str">
        <f>"FEC from thermal solar for space heating in the residential sector"&amp;IF($F$8="Ok"," (secondary and vacant dwellings included)"," (secondary and vacant dwellings not or partially included)")</f>
        <v>FEC from thermal solar for space heating in the residential sector (secondary and vacant dwellings not or partially included)</v>
      </c>
      <c r="F24" s="123" t="s">
        <v>135</v>
      </c>
      <c r="G24" s="123" t="s">
        <v>363</v>
      </c>
      <c r="H24" s="274">
        <f>k*csereschfsth*k*nbrlprsth*surlog*(1+psulnotoccfres)/T</f>
        <v>0</v>
      </c>
      <c r="I24" s="274">
        <f>k*csereschfsth*k*nbrlprsth*surlog*(1+psulnotoccfres)/T</f>
        <v>0</v>
      </c>
      <c r="J24" s="274">
        <f>k*csereschfsth*k*nbrlprsth*surlog*(1+psulnotoccfres)/T</f>
        <v>0</v>
      </c>
      <c r="K24" s="274">
        <f>k*csereschfsth*k*nbrlprsth*surlog*(1+psulnotoccfres)/T</f>
        <v>0</v>
      </c>
      <c r="L24" s="274">
        <f>k*csereschfsth*k*nbrlprsth*surlog*(1+psulnotoccfres)/T</f>
        <v>0</v>
      </c>
      <c r="M24" s="274">
        <f>k*csereschfsth*k*nbrlprsth*surlog*(1+psulnotoccfres)/T</f>
        <v>0</v>
      </c>
      <c r="N24" s="274">
        <f>k*csereschfsth*k*nbrlprsth*surlog*(1+psulnotoccfres)/T</f>
        <v>0</v>
      </c>
      <c r="O24" s="274">
        <f>k*csereschfsth*k*nbrlprsth*surlog*(1+psulnotoccfres)/T</f>
        <v>0</v>
      </c>
      <c r="P24" s="274">
        <f>k*csereschfsth*k*nbrlprsth*surlog*(1+psulnotoccfres)/T</f>
        <v>0</v>
      </c>
      <c r="Q24" s="274">
        <f>k*csereschfsth*k*nbrlprsth*surlog*(1+psulnotoccfres)/T</f>
        <v>0</v>
      </c>
      <c r="R24" s="274">
        <f>k*csereschfsth*k*nbrlprsth*surlog*(1+psulnotoccfres)/T</f>
        <v>0</v>
      </c>
      <c r="S24" s="274">
        <f>k*csereschfsth*k*nbrlprsth*surlog*(1+psulnotoccfres)/T</f>
        <v>0</v>
      </c>
      <c r="T24" s="274">
        <f>k*csereschfsth*k*nbrlprsth*surlog*(1+psulnotoccfres)/T</f>
        <v>0</v>
      </c>
      <c r="U24" s="274">
        <f>k*csereschfsth*k*nbrlprsth*surlog*(1+psulnotoccfres)/T</f>
        <v>0</v>
      </c>
      <c r="V24" s="274">
        <f>k*csereschfsth*k*nbrlprsth*surlog*(1+psulnotoccfres)/T</f>
        <v>0</v>
      </c>
      <c r="W24" s="274">
        <f>k*csereschfsth*k*nbrlprsth*surlog*(1+psulnotoccfres)/T</f>
        <v>0</v>
      </c>
      <c r="X24" s="274">
        <f>k*csereschfsth*k*nbrlprsth*surlog*(1+psulnotoccfres)/T</f>
        <v>0</v>
      </c>
      <c r="Y24" s="274">
        <f>k*csereschfsth*k*nbrlprsth*surlog*(1+psulnotoccfres)/T</f>
        <v>0</v>
      </c>
      <c r="Z24" s="274">
        <f>k*csereschfsth*k*nbrlprsth*surlog*(1+psulnotoccfres)/T</f>
        <v>0</v>
      </c>
      <c r="AA24" s="274">
        <f>k*csereschfsth*k*nbrlprsth*surlog*(1+psulnotoccfres)/T</f>
        <v>0</v>
      </c>
      <c r="AB24" s="274">
        <f>k*csereschfsth*k*nbrlprsth*surlog*(1+psulnotoccfres)/T</f>
        <v>0</v>
      </c>
      <c r="AC24" s="274">
        <f>k*csereschfsth*k*nbrlprsth*surlog*(1+psulnotoccfres)/T</f>
        <v>0</v>
      </c>
      <c r="AD24" s="274">
        <f>k*csereschfsth*k*nbrlprsth*surlog*(1+psulnotoccfres)/T</f>
        <v>0</v>
      </c>
      <c r="AE24" s="274">
        <f>k*csereschfsth*k*nbrlprsth*surlog*(1+psulnotoccfres)/T</f>
        <v>0</v>
      </c>
      <c r="AF24" s="274">
        <f>k*csereschfsth*k*nbrlprsth*surlog*(1+psulnotoccfres)/T</f>
        <v>0</v>
      </c>
      <c r="AG24" s="274">
        <f>k*csereschfsth*k*nbrlprsth*surlog*(1+psulnotoccfres)/T</f>
        <v>0</v>
      </c>
      <c r="AH24" s="274">
        <f>k*csereschfsth*k*nbrlprsth*surlog*(1+psulnotoccfres)/T</f>
        <v>0</v>
      </c>
      <c r="AI24" s="318"/>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row>
    <row r="25" ht="14.25" customHeight="1" outlineLevel="3">
      <c r="A25" s="100"/>
      <c r="B25" s="100"/>
      <c r="C25" s="100"/>
      <c r="D25" s="100"/>
      <c r="E25" s="273" t="s">
        <v>662</v>
      </c>
      <c r="F25" s="123" t="s">
        <v>365</v>
      </c>
      <c r="G25" s="123" t="s">
        <v>366</v>
      </c>
      <c r="H25" s="274">
        <f>IFERROR(G*caltoccfreschf/(k*pop*(1-pophmen)),)</f>
        <v>0</v>
      </c>
      <c r="I25" s="274">
        <f>IFERROR(G*caltoccfreschf/(k*pop*(1-pophmen)),)</f>
        <v>0</v>
      </c>
      <c r="J25" s="274">
        <f>IFERROR(G*caltoccfreschf/(k*pop*(1-pophmen)),)</f>
        <v>0</v>
      </c>
      <c r="K25" s="274">
        <f>IFERROR(G*caltoccfreschf/(k*pop*(1-pophmen)),)</f>
        <v>0</v>
      </c>
      <c r="L25" s="274">
        <f>IFERROR(G*caltoccfreschf/(k*pop*(1-pophmen)),)</f>
        <v>0</v>
      </c>
      <c r="M25" s="274">
        <f>IFERROR(G*caltoccfreschf/(k*pop*(1-pophmen)),)</f>
        <v>0</v>
      </c>
      <c r="N25" s="274">
        <f>IFERROR(G*caltoccfreschf/(k*pop*(1-pophmen)),)</f>
        <v>0</v>
      </c>
      <c r="O25" s="274">
        <f>IFERROR(G*caltoccfreschf/(k*pop*(1-pophmen)),)</f>
        <v>0</v>
      </c>
      <c r="P25" s="274">
        <f>IFERROR(G*caltoccfreschf/(k*pop*(1-pophmen)),)</f>
        <v>0</v>
      </c>
      <c r="Q25" s="274">
        <f>IFERROR(G*caltoccfreschf/(k*pop*(1-pophmen)),)</f>
        <v>0</v>
      </c>
      <c r="R25" s="274">
        <f>IFERROR(G*caltoccfreschf/(k*pop*(1-pophmen)),)</f>
        <v>0</v>
      </c>
      <c r="S25" s="274">
        <f>IFERROR(G*caltoccfreschf/(k*pop*(1-pophmen)),)</f>
        <v>0</v>
      </c>
      <c r="T25" s="274">
        <f>IFERROR(G*caltoccfreschf/(k*pop*(1-pophmen)),)</f>
        <v>0</v>
      </c>
      <c r="U25" s="274">
        <f>IFERROR(G*caltoccfreschf/(k*pop*(1-pophmen)),)</f>
        <v>0</v>
      </c>
      <c r="V25" s="274">
        <f>IFERROR(G*caltoccfreschf/(k*pop*(1-pophmen)),)</f>
        <v>0</v>
      </c>
      <c r="W25" s="274">
        <f>IFERROR(G*caltoccfreschf/(k*pop*(1-pophmen)),)</f>
        <v>6502.814294</v>
      </c>
      <c r="X25" s="274">
        <f>IFERROR(G*caltoccfreschf/(k*pop*(1-pophmen)),)</f>
        <v>0</v>
      </c>
      <c r="Y25" s="274">
        <f>IFERROR(G*caltoccfreschf/(k*pop*(1-pophmen)),)</f>
        <v>0</v>
      </c>
      <c r="Z25" s="274">
        <f>IFERROR(G*caltoccfreschf/(k*pop*(1-pophmen)),)</f>
        <v>0</v>
      </c>
      <c r="AA25" s="274">
        <f>IFERROR(G*caltoccfreschf/(k*pop*(1-pophmen)),)</f>
        <v>0</v>
      </c>
      <c r="AB25" s="274">
        <f>IFERROR(G*caltoccfreschf/(k*pop*(1-pophmen)),)</f>
        <v>6107.614778</v>
      </c>
      <c r="AC25" s="274">
        <f>IFERROR(G*caltoccfreschf/(k*pop*(1-pophmen)),)</f>
        <v>5375.209333</v>
      </c>
      <c r="AD25" s="274">
        <f>IFERROR(G*caltoccfreschf/(k*pop*(1-pophmen)),)</f>
        <v>4645.037749</v>
      </c>
      <c r="AE25" s="274">
        <f>IFERROR(G*caltoccfreschf/(k*pop*(1-pophmen)),)</f>
        <v>4050.222026</v>
      </c>
      <c r="AF25" s="274">
        <f>IFERROR(G*caltoccfreschf/(k*pop*(1-pophmen)),)</f>
        <v>3616.348662</v>
      </c>
      <c r="AG25" s="274">
        <f>IFERROR(G*caltoccfreschf/(k*pop*(1-pophmen)),)</f>
        <v>3174.464661</v>
      </c>
      <c r="AH25" s="274">
        <f>IFERROR(G*caltoccfreschf/(k*pop*(1-pophmen)),)</f>
        <v>2867.35651</v>
      </c>
      <c r="AI25" s="204"/>
      <c r="AJ25" s="300"/>
      <c r="AK25" s="300"/>
      <c r="AL25" s="300"/>
      <c r="AM25" s="300"/>
      <c r="AN25" s="300"/>
      <c r="AO25" s="300"/>
      <c r="AP25" s="300"/>
      <c r="AQ25" s="300"/>
      <c r="AR25" s="300"/>
      <c r="AS25" s="300"/>
      <c r="AT25" s="300"/>
      <c r="AU25" s="300"/>
      <c r="AV25" s="300"/>
      <c r="AW25" s="300"/>
      <c r="AX25" s="300"/>
      <c r="AY25" s="300"/>
      <c r="AZ25" s="300"/>
      <c r="BA25" s="300"/>
      <c r="BB25" s="300"/>
      <c r="BC25" s="300"/>
      <c r="BD25" s="300"/>
      <c r="BE25" s="300"/>
      <c r="BF25" s="300"/>
      <c r="BG25" s="300"/>
      <c r="BH25" s="300"/>
      <c r="BI25" s="300"/>
      <c r="BJ25" s="300"/>
      <c r="BK25" s="300"/>
      <c r="BL25" s="300"/>
      <c r="BM25" s="300"/>
      <c r="BN25" s="300"/>
      <c r="BO25" s="300"/>
      <c r="BP25" s="300"/>
      <c r="BQ25" s="300"/>
      <c r="BR25" s="300"/>
    </row>
    <row r="26" ht="13.5" customHeight="1" outlineLevel="2">
      <c r="A26" s="195"/>
      <c r="B26" s="246" t="s">
        <v>663</v>
      </c>
      <c r="C26" s="246"/>
      <c r="D26" s="201"/>
      <c r="E26" s="162"/>
      <c r="F26" s="162"/>
      <c r="G26" s="162"/>
      <c r="H26" s="178"/>
      <c r="I26" s="178"/>
      <c r="J26" s="178"/>
      <c r="K26" s="178"/>
      <c r="L26" s="178"/>
      <c r="M26" s="178"/>
      <c r="N26" s="178"/>
      <c r="O26" s="178"/>
      <c r="P26" s="178"/>
      <c r="Q26" s="178"/>
      <c r="R26" s="178"/>
      <c r="S26" s="178"/>
      <c r="T26" s="178"/>
      <c r="U26" s="178"/>
      <c r="V26" s="178"/>
      <c r="W26" s="178"/>
      <c r="X26" s="178"/>
      <c r="Y26" s="178"/>
      <c r="Z26" s="178"/>
      <c r="AA26" s="178"/>
      <c r="AB26" s="178"/>
      <c r="AC26" s="178"/>
      <c r="AD26" s="178"/>
      <c r="AE26" s="178"/>
      <c r="AF26" s="178"/>
      <c r="AG26" s="178"/>
      <c r="AH26" s="178"/>
      <c r="AI26" s="162"/>
      <c r="AJ26" s="315"/>
      <c r="AK26" s="315"/>
      <c r="AL26" s="315"/>
      <c r="AM26" s="315"/>
      <c r="AN26" s="315"/>
      <c r="AO26" s="315"/>
      <c r="AP26" s="315"/>
      <c r="AQ26" s="315"/>
      <c r="AR26" s="315"/>
      <c r="AS26" s="315"/>
      <c r="AT26" s="315"/>
      <c r="AU26" s="315"/>
      <c r="AV26" s="315"/>
      <c r="AW26" s="315"/>
      <c r="AX26" s="315"/>
      <c r="AY26" s="315"/>
      <c r="AZ26" s="315"/>
      <c r="BA26" s="315"/>
      <c r="BB26" s="315"/>
      <c r="BC26" s="315"/>
      <c r="BD26" s="315"/>
      <c r="BE26" s="315"/>
      <c r="BF26" s="315"/>
      <c r="BG26" s="315"/>
      <c r="BH26" s="315"/>
      <c r="BI26" s="315"/>
      <c r="BJ26" s="315"/>
      <c r="BK26" s="315"/>
      <c r="BL26" s="315"/>
      <c r="BM26" s="315"/>
      <c r="BN26" s="315"/>
      <c r="BO26" s="315"/>
      <c r="BP26" s="315"/>
      <c r="BQ26" s="315"/>
      <c r="BR26" s="315"/>
    </row>
    <row r="27" ht="14.25" customHeight="1" outlineLevel="3">
      <c r="A27" s="195"/>
      <c r="B27" s="201"/>
      <c r="C27" s="201"/>
      <c r="D27" s="201"/>
      <c r="E27" s="324" t="s">
        <v>664</v>
      </c>
      <c r="F27" s="123" t="s">
        <v>264</v>
      </c>
      <c r="G27" s="206"/>
      <c r="H27" s="206"/>
      <c r="I27" s="206"/>
      <c r="J27" s="206"/>
      <c r="K27" s="206"/>
      <c r="L27" s="206"/>
      <c r="M27" s="206"/>
      <c r="N27" s="206"/>
      <c r="O27" s="206"/>
      <c r="P27" s="206"/>
      <c r="Q27" s="206"/>
      <c r="R27" s="206"/>
      <c r="S27" s="206"/>
      <c r="T27" s="206"/>
      <c r="U27" s="206"/>
      <c r="V27" s="206"/>
      <c r="W27" s="8"/>
      <c r="X27" s="8"/>
      <c r="Y27" s="8"/>
      <c r="Z27" s="8"/>
      <c r="AA27" s="8"/>
      <c r="AB27" s="274">
        <f>Residential!W17+Residential!W21*5</f>
        <v>565.5317608</v>
      </c>
      <c r="AC27" s="274">
        <f>Residential!AB17+Residential!AB21*5</f>
        <v>574.5765559</v>
      </c>
      <c r="AD27" s="274">
        <f>Residential!AC17+Residential!AC21*5</f>
        <v>601.8420009</v>
      </c>
      <c r="AE27" s="274">
        <f>Residential!AD17+Residential!AD21*5</f>
        <v>591.5326338</v>
      </c>
      <c r="AF27" s="274">
        <f>Residential!AE17+Residential!AE21*5</f>
        <v>608.5622603</v>
      </c>
      <c r="AG27" s="274">
        <f>Residential!AF17+Residential!AF21*5</f>
        <v>605.2029119</v>
      </c>
      <c r="AH27" s="274">
        <f>Residential!AG17+Residential!AG21*5</f>
        <v>607.1667085</v>
      </c>
      <c r="AI27" s="318"/>
      <c r="AJ27" s="319"/>
      <c r="AK27" s="319"/>
      <c r="AL27" s="319"/>
      <c r="AM27" s="319"/>
      <c r="AN27" s="319"/>
      <c r="AO27" s="319"/>
      <c r="AP27" s="319"/>
      <c r="AQ27" s="319"/>
      <c r="AR27" s="319"/>
      <c r="AS27" s="319"/>
      <c r="AT27" s="319"/>
      <c r="AU27" s="319"/>
      <c r="AV27" s="319"/>
      <c r="AW27" s="319"/>
      <c r="AX27" s="319"/>
      <c r="AY27" s="319"/>
      <c r="AZ27" s="319"/>
      <c r="BA27" s="319"/>
      <c r="BB27" s="319"/>
      <c r="BC27" s="319"/>
      <c r="BD27" s="319"/>
      <c r="BE27" s="319"/>
      <c r="BF27" s="319"/>
      <c r="BG27" s="319"/>
      <c r="BH27" s="319"/>
      <c r="BI27" s="319"/>
      <c r="BJ27" s="319"/>
      <c r="BK27" s="319"/>
      <c r="BL27" s="319"/>
      <c r="BM27" s="319"/>
      <c r="BN27" s="319"/>
      <c r="BO27" s="319"/>
      <c r="BP27" s="319"/>
      <c r="BQ27" s="319"/>
      <c r="BR27" s="319"/>
    </row>
    <row r="28" ht="14.25" customHeight="1" outlineLevel="3">
      <c r="A28" s="195"/>
      <c r="B28" s="201"/>
      <c r="C28" s="201"/>
      <c r="D28" s="201"/>
      <c r="E28" s="324" t="s">
        <v>665</v>
      </c>
      <c r="F28" s="123" t="s">
        <v>294</v>
      </c>
      <c r="G28" s="206"/>
      <c r="H28" s="206"/>
      <c r="I28" s="206"/>
      <c r="J28" s="206"/>
      <c r="K28" s="206"/>
      <c r="L28" s="206"/>
      <c r="M28" s="206"/>
      <c r="N28" s="206"/>
      <c r="O28" s="206"/>
      <c r="P28" s="206"/>
      <c r="Q28" s="206"/>
      <c r="R28" s="206"/>
      <c r="S28" s="206"/>
      <c r="T28" s="206"/>
      <c r="U28" s="206"/>
      <c r="V28" s="206"/>
      <c r="W28" s="8"/>
      <c r="X28" s="8"/>
      <c r="Y28" s="8"/>
      <c r="Z28" s="8"/>
      <c r="AA28" s="8"/>
      <c r="AB28" s="274">
        <f t="shared" ref="AB28:AH28" si="2">(AB27-AB5-AB6)/5</f>
        <v>1.516040973</v>
      </c>
      <c r="AC28" s="274">
        <f t="shared" si="2"/>
        <v>-3.128088999</v>
      </c>
      <c r="AD28" s="274">
        <f t="shared" si="2"/>
        <v>3.881873437</v>
      </c>
      <c r="AE28" s="274">
        <f t="shared" si="2"/>
        <v>-1.625925312</v>
      </c>
      <c r="AF28" s="274">
        <f t="shared" si="2"/>
        <v>2.150869676</v>
      </c>
      <c r="AG28" s="274">
        <f t="shared" si="2"/>
        <v>0.8972406912</v>
      </c>
      <c r="AH28" s="274">
        <f t="shared" si="2"/>
        <v>0.9276147142</v>
      </c>
      <c r="AI28" s="318"/>
      <c r="AJ28" s="319"/>
      <c r="AK28" s="319"/>
      <c r="AL28" s="319"/>
      <c r="AM28" s="319"/>
      <c r="AN28" s="319"/>
      <c r="AO28" s="319"/>
      <c r="AP28" s="319"/>
      <c r="AQ28" s="319"/>
      <c r="AR28" s="319"/>
      <c r="AS28" s="319"/>
      <c r="AT28" s="319"/>
      <c r="AU28" s="319"/>
      <c r="AV28" s="319"/>
      <c r="AW28" s="319"/>
      <c r="AX28" s="319"/>
      <c r="AY28" s="319"/>
      <c r="AZ28" s="319"/>
      <c r="BA28" s="319"/>
      <c r="BB28" s="319"/>
      <c r="BC28" s="319"/>
      <c r="BD28" s="319"/>
      <c r="BE28" s="319"/>
      <c r="BF28" s="319"/>
      <c r="BG28" s="319"/>
      <c r="BH28" s="319"/>
      <c r="BI28" s="319"/>
      <c r="BJ28" s="319"/>
      <c r="BK28" s="319"/>
      <c r="BL28" s="319"/>
      <c r="BM28" s="319"/>
      <c r="BN28" s="319"/>
      <c r="BO28" s="319"/>
      <c r="BP28" s="319"/>
      <c r="BQ28" s="319"/>
      <c r="BR28" s="319"/>
    </row>
    <row r="29" ht="13.5" customHeight="1" outlineLevel="2">
      <c r="A29" s="195"/>
      <c r="B29" s="246" t="s">
        <v>666</v>
      </c>
      <c r="C29" s="246"/>
      <c r="D29" s="201"/>
      <c r="E29" s="162"/>
      <c r="F29" s="162"/>
      <c r="G29" s="162"/>
      <c r="H29" s="178"/>
      <c r="I29" s="178"/>
      <c r="J29" s="178"/>
      <c r="K29" s="178"/>
      <c r="L29" s="178"/>
      <c r="M29" s="178"/>
      <c r="N29" s="178"/>
      <c r="O29" s="178"/>
      <c r="P29" s="178"/>
      <c r="Q29" s="178"/>
      <c r="R29" s="178"/>
      <c r="S29" s="178"/>
      <c r="T29" s="178"/>
      <c r="U29" s="178"/>
      <c r="V29" s="178"/>
      <c r="W29" s="8"/>
      <c r="X29" s="8"/>
      <c r="Y29" s="8"/>
      <c r="Z29" s="8"/>
      <c r="AA29" s="8"/>
      <c r="AB29" s="178"/>
      <c r="AC29" s="178"/>
      <c r="AD29" s="178"/>
      <c r="AE29" s="178"/>
      <c r="AF29" s="178"/>
      <c r="AG29" s="178"/>
      <c r="AH29" s="178"/>
      <c r="AI29" s="162"/>
      <c r="AJ29" s="315"/>
      <c r="AK29" s="315"/>
      <c r="AL29" s="315"/>
      <c r="AM29" s="315"/>
      <c r="AN29" s="315"/>
      <c r="AO29" s="315"/>
      <c r="AP29" s="315"/>
      <c r="AQ29" s="315"/>
      <c r="AR29" s="315"/>
      <c r="AS29" s="315"/>
      <c r="AT29" s="315"/>
      <c r="AU29" s="315"/>
      <c r="AV29" s="315"/>
      <c r="AW29" s="315"/>
      <c r="AX29" s="315"/>
      <c r="AY29" s="315"/>
      <c r="AZ29" s="315"/>
      <c r="BA29" s="315"/>
      <c r="BB29" s="315"/>
      <c r="BC29" s="315"/>
      <c r="BD29" s="315"/>
      <c r="BE29" s="315"/>
      <c r="BF29" s="315"/>
      <c r="BG29" s="315"/>
      <c r="BH29" s="315"/>
      <c r="BI29" s="315"/>
      <c r="BJ29" s="315"/>
      <c r="BK29" s="315"/>
      <c r="BL29" s="315"/>
      <c r="BM29" s="315"/>
      <c r="BN29" s="315"/>
      <c r="BO29" s="315"/>
      <c r="BP29" s="315"/>
      <c r="BQ29" s="315"/>
      <c r="BR29" s="315"/>
    </row>
    <row r="30" ht="14.25" customHeight="1" outlineLevel="3">
      <c r="A30" s="100"/>
      <c r="B30" s="100"/>
      <c r="C30" s="100"/>
      <c r="D30" s="100"/>
      <c r="E30" s="324" t="s">
        <v>667</v>
      </c>
      <c r="F30" s="123" t="s">
        <v>135</v>
      </c>
      <c r="G30" s="206"/>
      <c r="H30" s="207"/>
      <c r="I30" s="207"/>
      <c r="J30" s="207"/>
      <c r="K30" s="207"/>
      <c r="L30" s="207"/>
      <c r="M30" s="207"/>
      <c r="N30" s="207"/>
      <c r="O30" s="207"/>
      <c r="P30" s="207"/>
      <c r="Q30" s="207"/>
      <c r="R30" s="207"/>
      <c r="S30" s="207"/>
      <c r="T30" s="207"/>
      <c r="U30" s="207"/>
      <c r="V30" s="207"/>
      <c r="W30" s="8"/>
      <c r="X30" s="8"/>
      <c r="Y30" s="8"/>
      <c r="Z30" s="8"/>
      <c r="AA30" s="8"/>
      <c r="AB30" s="274">
        <f>($W$13)*5*(1-trvcumres)</f>
        <v>0.3294138812</v>
      </c>
      <c r="AC30" s="274">
        <f>($W$13+SUM($AB13:AB13))*5*(1-trvcumres)</f>
        <v>0.5214581881</v>
      </c>
      <c r="AD30" s="274">
        <f>($W$13+SUM($AB13:AC13))*5*(1-trvcumres)</f>
        <v>0.5779863408</v>
      </c>
      <c r="AE30" s="274">
        <f>($W$13+SUM($AB13:AD13))*5*(1-trvcumres)</f>
        <v>0.5428212885</v>
      </c>
      <c r="AF30" s="274">
        <f>($W$13+SUM($AB13:AE13))*5*(1-trvcumres)</f>
        <v>0.4596962653</v>
      </c>
      <c r="AG30" s="274">
        <f>($W$13+SUM($AB13:AF13))*5*(1-trvcumres)</f>
        <v>0.3477980348</v>
      </c>
      <c r="AH30" s="274">
        <f>($W$13+SUM($AB13:AG13))*5*(1-trvcumres)</f>
        <v>0.24817989</v>
      </c>
      <c r="AI30" s="318"/>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row>
    <row r="31" ht="14.25" customHeight="1" outlineLevel="3">
      <c r="A31" s="100"/>
      <c r="B31" s="100"/>
      <c r="C31" s="100"/>
      <c r="D31" s="100"/>
      <c r="E31" s="324" t="s">
        <v>668</v>
      </c>
      <c r="F31" s="123" t="s">
        <v>135</v>
      </c>
      <c r="G31" s="206"/>
      <c r="H31" s="207"/>
      <c r="I31" s="207"/>
      <c r="J31" s="207"/>
      <c r="K31" s="207"/>
      <c r="L31" s="207"/>
      <c r="M31" s="207"/>
      <c r="N31" s="207"/>
      <c r="O31" s="207"/>
      <c r="P31" s="207"/>
      <c r="Q31" s="207"/>
      <c r="R31" s="207"/>
      <c r="S31" s="207"/>
      <c r="T31" s="207"/>
      <c r="U31" s="207"/>
      <c r="V31" s="207"/>
      <c r="W31" s="274">
        <f>calcureslexchf-W30</f>
        <v>48.61371756</v>
      </c>
      <c r="X31" s="8"/>
      <c r="Y31" s="8"/>
      <c r="Z31" s="8"/>
      <c r="AA31" s="8"/>
      <c r="AB31" s="274">
        <f>calcureslexchf-AB30</f>
        <v>48.15143134</v>
      </c>
      <c r="AC31" s="274">
        <f>calcureslexchf-AC30</f>
        <v>45.23900276</v>
      </c>
      <c r="AD31" s="274">
        <f>calcureslexchf-AD30</f>
        <v>37.29089585</v>
      </c>
      <c r="AE31" s="274">
        <f>calcureslexchf-AE30</f>
        <v>29.82432523</v>
      </c>
      <c r="AF31" s="274">
        <f>calcureslexchf-AF30</f>
        <v>21.34657685</v>
      </c>
      <c r="AG31" s="274">
        <f>calcureslexchf-AG30</f>
        <v>14.19150643</v>
      </c>
      <c r="AH31" s="274">
        <f>calcureslexchf-AH30</f>
        <v>8.827639071</v>
      </c>
      <c r="AI31" s="318"/>
      <c r="AJ31" s="319"/>
      <c r="AK31" s="319"/>
      <c r="AL31" s="319"/>
      <c r="AM31" s="319"/>
      <c r="AN31" s="319"/>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row>
    <row r="32" ht="14.25" customHeight="1" outlineLevel="3">
      <c r="A32" s="195"/>
      <c r="B32" s="201"/>
      <c r="C32" s="201"/>
      <c r="D32" s="201"/>
      <c r="E32" s="324" t="s">
        <v>669</v>
      </c>
      <c r="F32" s="123" t="s">
        <v>264</v>
      </c>
      <c r="G32" s="206"/>
      <c r="H32" s="207"/>
      <c r="I32" s="207"/>
      <c r="J32" s="207"/>
      <c r="K32" s="207"/>
      <c r="L32" s="207"/>
      <c r="M32" s="207"/>
      <c r="N32" s="207"/>
      <c r="O32" s="207"/>
      <c r="P32" s="207"/>
      <c r="Q32" s="207"/>
      <c r="R32" s="207"/>
      <c r="S32" s="207"/>
      <c r="T32" s="207"/>
      <c r="U32" s="207"/>
      <c r="V32" s="207"/>
      <c r="W32" s="8"/>
      <c r="X32" s="8"/>
      <c r="Y32" s="8"/>
      <c r="Z32" s="8"/>
      <c r="AA32" s="8"/>
      <c r="AB32" s="274">
        <f>IFERROR(__xludf.DUMMYFUNCTION("MIN(Residential!$W$21*5*(1-SINGLE(trvcumres)),SINGLE(caltotsurlex))"),21.960925414393152)</f>
        <v>21.96092541</v>
      </c>
      <c r="AC32" s="274">
        <f>IFERROR(__xludf.DUMMYFUNCTION("MIN((Residential!$W$21+SUM(Residential!$AB21:AB21))*5*(1-SINGLE(trvcumres)),SINGLE(caltotsurlex))"),34.763879204425216)</f>
        <v>34.7638792</v>
      </c>
      <c r="AD32" s="274">
        <f>IFERROR(__xludf.DUMMYFUNCTION("MIN((Residential!$W$21+SUM(Residential!$AB21:AC21))*5*(1-SINGLE(trvcumres)),SINGLE(caltotsurlex))"),38.532422721348674)</f>
        <v>38.53242272</v>
      </c>
      <c r="AE32" s="274">
        <f>IFERROR(__xludf.DUMMYFUNCTION("MIN((Residential!$W$21+SUM(Residential!$AB21:AD21))*5*(1-SINGLE(trvcumres)),SINGLE(caltotsurlex))"),36.18808589751255)</f>
        <v>36.1880859</v>
      </c>
      <c r="AF32" s="274">
        <f>IFERROR(__xludf.DUMMYFUNCTION("MIN((Residential!$W$21+SUM(Residential!$AB21:AE21))*5*(1-SINGLE(trvcumres)),SINGLE(caltotsurlex))"),30.646417688963336)</f>
        <v>30.64641769</v>
      </c>
      <c r="AG32" s="274">
        <f>IFERROR(__xludf.DUMMYFUNCTION("MIN((Residential!$W$21+SUM(Residential!$AB21:AF21))*5*(1-SINGLE(trvcumres)),SINGLE(caltotsurlex))"),23.186535653371394)</f>
        <v>23.18653565</v>
      </c>
      <c r="AH32" s="274">
        <f>IFERROR(__xludf.DUMMYFUNCTION("MIN((Residential!$W$21+SUM(Residential!$AB21:AG21))*5*(1-SINGLE(trvcumres)),SINGLE(caltotsurlex))"),16.545325999999996)</f>
        <v>16.545326</v>
      </c>
      <c r="AI32" s="318"/>
      <c r="AJ32" s="319"/>
      <c r="AK32" s="319"/>
      <c r="AL32" s="319"/>
      <c r="AM32" s="319"/>
      <c r="AN32" s="319"/>
      <c r="AO32" s="319"/>
      <c r="AP32" s="319"/>
      <c r="AQ32" s="319"/>
      <c r="AR32" s="319"/>
      <c r="AS32" s="319"/>
      <c r="AT32" s="319"/>
      <c r="AU32" s="319"/>
      <c r="AV32" s="319"/>
      <c r="AW32" s="319"/>
      <c r="AX32" s="319"/>
      <c r="AY32" s="319"/>
      <c r="AZ32" s="319"/>
      <c r="BA32" s="319"/>
      <c r="BB32" s="319"/>
      <c r="BC32" s="319"/>
      <c r="BD32" s="319"/>
      <c r="BE32" s="319"/>
      <c r="BF32" s="319"/>
      <c r="BG32" s="319"/>
      <c r="BH32" s="319"/>
      <c r="BI32" s="319"/>
      <c r="BJ32" s="319"/>
      <c r="BK32" s="319"/>
      <c r="BL32" s="319"/>
      <c r="BM32" s="319"/>
      <c r="BN32" s="319"/>
      <c r="BO32" s="319"/>
      <c r="BP32" s="319"/>
      <c r="BQ32" s="319"/>
      <c r="BR32" s="319"/>
    </row>
    <row r="33" ht="14.25" customHeight="1" outlineLevel="3">
      <c r="A33" s="195"/>
      <c r="B33" s="201"/>
      <c r="C33" s="201"/>
      <c r="D33" s="201"/>
      <c r="E33" s="324" t="s">
        <v>670</v>
      </c>
      <c r="F33" s="123" t="s">
        <v>264</v>
      </c>
      <c r="G33" s="206"/>
      <c r="H33" s="207"/>
      <c r="I33" s="207"/>
      <c r="J33" s="207"/>
      <c r="K33" s="207"/>
      <c r="L33" s="207"/>
      <c r="M33" s="207"/>
      <c r="N33" s="207"/>
      <c r="O33" s="207"/>
      <c r="P33" s="207"/>
      <c r="Q33" s="207"/>
      <c r="R33" s="207"/>
      <c r="S33" s="207"/>
      <c r="T33" s="207"/>
      <c r="U33" s="207"/>
      <c r="V33" s="207"/>
      <c r="W33" s="274">
        <f>caltotsurlex-W32</f>
        <v>542.9001308</v>
      </c>
      <c r="X33" s="8"/>
      <c r="Y33" s="8"/>
      <c r="Z33" s="8"/>
      <c r="AA33" s="8"/>
      <c r="AB33" s="274">
        <f>caltotsurlex-AB32</f>
        <v>519.455336</v>
      </c>
      <c r="AC33" s="274">
        <f>caltotsurlex-AC32</f>
        <v>487.9053495</v>
      </c>
      <c r="AD33" s="274">
        <f>caltotsurlex-AD32</f>
        <v>402.5411131</v>
      </c>
      <c r="AE33" s="274">
        <f>caltotsurlex-AE32</f>
        <v>325.5998379</v>
      </c>
      <c r="AF33" s="274">
        <f>caltotsurlex-AF32</f>
        <v>235.3268319</v>
      </c>
      <c r="AG33" s="274">
        <f>caltotsurlex-AG32</f>
        <v>159.419059</v>
      </c>
      <c r="AH33" s="274">
        <f>caltotsurlex-AH32</f>
        <v>103.960401</v>
      </c>
      <c r="AI33" s="318"/>
      <c r="AJ33" s="319"/>
      <c r="AK33" s="319"/>
      <c r="AL33" s="319"/>
      <c r="AM33" s="319"/>
      <c r="AN33" s="319"/>
      <c r="AO33" s="319"/>
      <c r="AP33" s="319"/>
      <c r="AQ33" s="319"/>
      <c r="AR33" s="319"/>
      <c r="AS33" s="319"/>
      <c r="AT33" s="319"/>
      <c r="AU33" s="319"/>
      <c r="AV33" s="319"/>
      <c r="AW33" s="319"/>
      <c r="AX33" s="319"/>
      <c r="AY33" s="319"/>
      <c r="AZ33" s="319"/>
      <c r="BA33" s="319"/>
      <c r="BB33" s="319"/>
      <c r="BC33" s="319"/>
      <c r="BD33" s="319"/>
      <c r="BE33" s="319"/>
      <c r="BF33" s="319"/>
      <c r="BG33" s="319"/>
      <c r="BH33" s="319"/>
      <c r="BI33" s="319"/>
      <c r="BJ33" s="319"/>
      <c r="BK33" s="319"/>
      <c r="BL33" s="319"/>
      <c r="BM33" s="319"/>
      <c r="BN33" s="319"/>
      <c r="BO33" s="319"/>
      <c r="BP33" s="319"/>
      <c r="BQ33" s="319"/>
      <c r="BR33" s="319"/>
    </row>
    <row r="34" ht="14.25" customHeight="1" outlineLevel="3">
      <c r="A34" s="100"/>
      <c r="B34" s="100"/>
      <c r="C34" s="100"/>
      <c r="D34" s="100"/>
      <c r="E34" s="324" t="s">
        <v>671</v>
      </c>
      <c r="F34" s="123" t="s">
        <v>303</v>
      </c>
      <c r="G34" s="206"/>
      <c r="H34" s="207"/>
      <c r="I34" s="207"/>
      <c r="J34" s="207"/>
      <c r="K34" s="207"/>
      <c r="L34" s="207"/>
      <c r="M34" s="207"/>
      <c r="N34" s="207"/>
      <c r="O34" s="207"/>
      <c r="P34" s="207"/>
      <c r="Q34" s="207"/>
      <c r="R34" s="207"/>
      <c r="S34" s="207"/>
      <c r="T34" s="207"/>
      <c r="U34" s="207"/>
      <c r="V34" s="207"/>
      <c r="W34" s="8"/>
      <c r="X34" s="8"/>
      <c r="Y34" s="8"/>
      <c r="Z34" s="8"/>
      <c r="AA34" s="8"/>
      <c r="AB34" s="274">
        <f t="shared" ref="AB34:AH34" si="3">IF(AB32&lt;&gt;0,k*AB30/AB32,"")</f>
        <v>15</v>
      </c>
      <c r="AC34" s="274">
        <f t="shared" si="3"/>
        <v>15</v>
      </c>
      <c r="AD34" s="274">
        <f t="shared" si="3"/>
        <v>15</v>
      </c>
      <c r="AE34" s="274">
        <f t="shared" si="3"/>
        <v>15</v>
      </c>
      <c r="AF34" s="274">
        <f t="shared" si="3"/>
        <v>15</v>
      </c>
      <c r="AG34" s="274">
        <f t="shared" si="3"/>
        <v>15</v>
      </c>
      <c r="AH34" s="274">
        <f t="shared" si="3"/>
        <v>15</v>
      </c>
      <c r="AI34" s="318"/>
      <c r="AJ34" s="319"/>
      <c r="AK34" s="319"/>
      <c r="AL34" s="319"/>
      <c r="AM34" s="319"/>
      <c r="AN34" s="319"/>
      <c r="AO34" s="319"/>
      <c r="AP34" s="319"/>
      <c r="AQ34" s="319"/>
      <c r="AR34" s="319"/>
      <c r="AS34" s="319"/>
      <c r="AT34" s="319"/>
      <c r="AU34" s="319"/>
      <c r="AV34" s="319"/>
      <c r="AW34" s="319"/>
      <c r="AX34" s="319"/>
      <c r="AY34" s="319"/>
      <c r="AZ34" s="319"/>
      <c r="BA34" s="319"/>
      <c r="BB34" s="319"/>
      <c r="BC34" s="319"/>
      <c r="BD34" s="319"/>
      <c r="BE34" s="319"/>
      <c r="BF34" s="319"/>
      <c r="BG34" s="319"/>
      <c r="BH34" s="319"/>
      <c r="BI34" s="319"/>
      <c r="BJ34" s="319"/>
      <c r="BK34" s="319"/>
      <c r="BL34" s="319"/>
      <c r="BM34" s="319"/>
      <c r="BN34" s="319"/>
      <c r="BO34" s="319"/>
      <c r="BP34" s="319"/>
      <c r="BQ34" s="319"/>
      <c r="BR34" s="319"/>
    </row>
    <row r="35" ht="14.25" customHeight="1" outlineLevel="3">
      <c r="A35" s="100"/>
      <c r="B35" s="100"/>
      <c r="C35" s="100"/>
      <c r="D35" s="100"/>
      <c r="E35" s="324" t="s">
        <v>672</v>
      </c>
      <c r="F35" s="123" t="s">
        <v>303</v>
      </c>
      <c r="G35" s="206"/>
      <c r="H35" s="207"/>
      <c r="I35" s="207"/>
      <c r="J35" s="207"/>
      <c r="K35" s="207"/>
      <c r="L35" s="207"/>
      <c r="M35" s="207"/>
      <c r="N35" s="207"/>
      <c r="O35" s="207"/>
      <c r="P35" s="207"/>
      <c r="Q35" s="207"/>
      <c r="R35" s="207"/>
      <c r="S35" s="207"/>
      <c r="T35" s="207"/>
      <c r="U35" s="207"/>
      <c r="V35" s="207"/>
      <c r="W35" s="274">
        <f>IF(W33&lt;&gt;0,k*W31/W33,"")</f>
        <v>89.54449409</v>
      </c>
      <c r="X35" s="8"/>
      <c r="Y35" s="8"/>
      <c r="Z35" s="8"/>
      <c r="AA35" s="8"/>
      <c r="AB35" s="274">
        <f t="shared" ref="AB35:AH35" si="4">IF(AB33&lt;&gt;0,k*AB31/AB33,"")</f>
        <v>92.69599907</v>
      </c>
      <c r="AC35" s="274">
        <f t="shared" si="4"/>
        <v>92.72085826</v>
      </c>
      <c r="AD35" s="274">
        <f t="shared" si="4"/>
        <v>92.63872594</v>
      </c>
      <c r="AE35" s="274">
        <f t="shared" si="4"/>
        <v>91.59809604</v>
      </c>
      <c r="AF35" s="274">
        <f t="shared" si="4"/>
        <v>90.71033967</v>
      </c>
      <c r="AG35" s="274">
        <f t="shared" si="4"/>
        <v>89.02013671</v>
      </c>
      <c r="AH35" s="274">
        <f t="shared" si="4"/>
        <v>84.91347655</v>
      </c>
      <c r="AI35" s="318"/>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row>
    <row r="36" ht="13.5" customHeight="1" outlineLevel="2">
      <c r="A36" s="195"/>
      <c r="B36" s="246" t="s">
        <v>673</v>
      </c>
      <c r="C36" s="246"/>
      <c r="D36" s="201"/>
      <c r="E36" s="162"/>
      <c r="F36" s="162"/>
      <c r="G36" s="162"/>
      <c r="H36" s="178"/>
      <c r="I36" s="178"/>
      <c r="J36" s="178"/>
      <c r="K36" s="178"/>
      <c r="L36" s="178"/>
      <c r="M36" s="178"/>
      <c r="N36" s="178"/>
      <c r="O36" s="178"/>
      <c r="P36" s="178"/>
      <c r="Q36" s="178"/>
      <c r="R36" s="178"/>
      <c r="S36" s="178"/>
      <c r="T36" s="178"/>
      <c r="U36" s="178"/>
      <c r="V36" s="178"/>
      <c r="W36" s="178"/>
      <c r="X36" s="178"/>
      <c r="Y36" s="178"/>
      <c r="Z36" s="178"/>
      <c r="AA36" s="178"/>
      <c r="AB36" s="178"/>
      <c r="AC36" s="178"/>
      <c r="AD36" s="178"/>
      <c r="AE36" s="178"/>
      <c r="AF36" s="178"/>
      <c r="AG36" s="178"/>
      <c r="AH36" s="178"/>
      <c r="AI36" s="162"/>
      <c r="AJ36" s="315"/>
      <c r="AK36" s="315"/>
      <c r="AL36" s="315"/>
      <c r="AM36" s="315"/>
      <c r="AN36" s="315"/>
      <c r="AO36" s="315"/>
      <c r="AP36" s="315"/>
      <c r="AQ36" s="315"/>
      <c r="AR36" s="315"/>
      <c r="AS36" s="315"/>
      <c r="AT36" s="315"/>
      <c r="AU36" s="315"/>
      <c r="AV36" s="315"/>
      <c r="AW36" s="315"/>
      <c r="AX36" s="315"/>
      <c r="AY36" s="315"/>
      <c r="AZ36" s="315"/>
      <c r="BA36" s="315"/>
      <c r="BB36" s="315"/>
      <c r="BC36" s="315"/>
      <c r="BD36" s="315"/>
      <c r="BE36" s="315"/>
      <c r="BF36" s="315"/>
      <c r="BG36" s="315"/>
      <c r="BH36" s="315"/>
      <c r="BI36" s="315"/>
      <c r="BJ36" s="315"/>
      <c r="BK36" s="315"/>
      <c r="BL36" s="315"/>
      <c r="BM36" s="315"/>
      <c r="BN36" s="315"/>
      <c r="BO36" s="315"/>
      <c r="BP36" s="315"/>
      <c r="BQ36" s="315"/>
      <c r="BR36" s="315"/>
    </row>
    <row r="37" ht="13.5" customHeight="1" outlineLevel="2">
      <c r="A37" s="195"/>
      <c r="B37" s="201"/>
      <c r="C37" s="246"/>
      <c r="D37" s="201"/>
      <c r="E37" s="316" t="s">
        <v>674</v>
      </c>
      <c r="F37" s="325" t="s">
        <v>369</v>
      </c>
      <c r="G37" s="162"/>
      <c r="H37" s="178"/>
      <c r="I37" s="178"/>
      <c r="J37" s="178"/>
      <c r="K37" s="178"/>
      <c r="L37" s="178"/>
      <c r="M37" s="178"/>
      <c r="N37" s="178"/>
      <c r="O37" s="178"/>
      <c r="P37" s="178"/>
      <c r="Q37" s="178"/>
      <c r="R37" s="178"/>
      <c r="S37" s="178"/>
      <c r="T37" s="178"/>
      <c r="U37" s="178"/>
      <c r="V37" s="178"/>
      <c r="W37" s="178"/>
      <c r="X37" s="178"/>
      <c r="Y37" s="178"/>
      <c r="Z37" s="178"/>
      <c r="AA37" s="178"/>
      <c r="AB37" s="178"/>
      <c r="AC37" s="178"/>
      <c r="AD37" s="178"/>
      <c r="AE37" s="178"/>
      <c r="AF37" s="178"/>
      <c r="AG37" s="178"/>
      <c r="AH37" s="178"/>
      <c r="AI37" s="162"/>
      <c r="AJ37" s="315"/>
      <c r="AK37" s="315"/>
      <c r="AL37" s="315"/>
      <c r="AM37" s="315"/>
      <c r="AN37" s="315"/>
      <c r="AO37" s="315"/>
      <c r="AP37" s="315"/>
      <c r="AQ37" s="315"/>
      <c r="AR37" s="315"/>
      <c r="AS37" s="315"/>
      <c r="AT37" s="315"/>
      <c r="AU37" s="315"/>
      <c r="AV37" s="315"/>
      <c r="AW37" s="315"/>
      <c r="AX37" s="315"/>
      <c r="AY37" s="315"/>
      <c r="AZ37" s="315"/>
      <c r="BA37" s="315"/>
      <c r="BB37" s="315"/>
      <c r="BC37" s="315"/>
      <c r="BD37" s="315"/>
      <c r="BE37" s="315"/>
      <c r="BF37" s="315"/>
      <c r="BG37" s="315"/>
      <c r="BH37" s="315"/>
      <c r="BI37" s="315"/>
      <c r="BJ37" s="315"/>
      <c r="BK37" s="315"/>
      <c r="BL37" s="315"/>
      <c r="BM37" s="315"/>
      <c r="BN37" s="315"/>
      <c r="BO37" s="315"/>
      <c r="BP37" s="315"/>
      <c r="BQ37" s="315"/>
      <c r="BR37" s="315"/>
    </row>
    <row r="38" ht="14.25" customHeight="1" outlineLevel="3">
      <c r="A38" s="326"/>
      <c r="B38" s="100"/>
      <c r="C38" s="201"/>
      <c r="D38" s="201"/>
      <c r="E38" s="316" t="s">
        <v>675</v>
      </c>
      <c r="F38" s="123" t="s">
        <v>261</v>
      </c>
      <c r="G38" s="123" t="s">
        <v>676</v>
      </c>
      <c r="H38" s="276">
        <f>(caltoccfreschf-IF($F37="toccfreschf",toccfreschf,toccfreschc))/IF($F37="toccfreschf",toccfreschf,toccfreschc)</f>
        <v>-1</v>
      </c>
      <c r="I38" s="276">
        <f>(caltoccfreschf-IF($F37="toccfreschf",toccfreschf,toccfreschc))/IF($F37="toccfreschf",toccfreschf,toccfreschc)</f>
        <v>-1</v>
      </c>
      <c r="J38" s="276">
        <f>(caltoccfreschf-IF($F37="toccfreschf",toccfreschf,toccfreschc))/IF($F37="toccfreschf",toccfreschf,toccfreschc)</f>
        <v>-1</v>
      </c>
      <c r="K38" s="276">
        <f>(caltoccfreschf-IF($F37="toccfreschf",toccfreschf,toccfreschc))/IF($F37="toccfreschf",toccfreschf,toccfreschc)</f>
        <v>-1</v>
      </c>
      <c r="L38" s="276">
        <f>(caltoccfreschf-IF($F37="toccfreschf",toccfreschf,toccfreschc))/IF($F37="toccfreschf",toccfreschf,toccfreschc)</f>
        <v>-1</v>
      </c>
      <c r="M38" s="276">
        <f>(caltoccfreschf-IF($F37="toccfreschf",toccfreschf,toccfreschc))/IF($F37="toccfreschf",toccfreschf,toccfreschc)</f>
        <v>-1</v>
      </c>
      <c r="N38" s="276">
        <f>(caltoccfreschf-IF($F37="toccfreschf",toccfreschf,toccfreschc))/IF($F37="toccfreschf",toccfreschf,toccfreschc)</f>
        <v>-1</v>
      </c>
      <c r="O38" s="276">
        <f>(caltoccfreschf-IF($F37="toccfreschf",toccfreschf,toccfreschc))/IF($F37="toccfreschf",toccfreschf,toccfreschc)</f>
        <v>-1</v>
      </c>
      <c r="P38" s="276">
        <f>(caltoccfreschf-IF($F37="toccfreschf",toccfreschf,toccfreschc))/IF($F37="toccfreschf",toccfreschf,toccfreschc)</f>
        <v>-1</v>
      </c>
      <c r="Q38" s="276">
        <f>(caltoccfreschf-IF($F37="toccfreschf",toccfreschf,toccfreschc))/IF($F37="toccfreschf",toccfreschf,toccfreschc)</f>
        <v>-1</v>
      </c>
      <c r="R38" s="276">
        <f>(caltoccfreschf-IF($F37="toccfreschf",toccfreschf,toccfreschc))/IF($F37="toccfreschf",toccfreschf,toccfreschc)</f>
        <v>-1</v>
      </c>
      <c r="S38" s="276">
        <f>(caltoccfreschf-IF($F37="toccfreschf",toccfreschf,toccfreschc))/IF($F37="toccfreschf",toccfreschf,toccfreschc)</f>
        <v>-1</v>
      </c>
      <c r="T38" s="276">
        <f>(caltoccfreschf-IF($F37="toccfreschf",toccfreschf,toccfreschc))/IF($F37="toccfreschf",toccfreschf,toccfreschc)</f>
        <v>-1</v>
      </c>
      <c r="U38" s="276">
        <f>(caltoccfreschf-IF($F37="toccfreschf",toccfreschf,toccfreschc))/IF($F37="toccfreschf",toccfreschf,toccfreschc)</f>
        <v>-1</v>
      </c>
      <c r="V38" s="276">
        <f>(caltoccfreschf-IF($F37="toccfreschf",toccfreschf,toccfreschc))/IF($F37="toccfreschf",toccfreschf,toccfreschc)</f>
        <v>-1</v>
      </c>
      <c r="W38" s="276">
        <f>(caltoccfreschf-IF($F37="toccfreschf",toccfreschf,toccfreschc))/IF($F37="toccfreschf",toccfreschf,toccfreschc)</f>
        <v>0</v>
      </c>
      <c r="X38" s="276">
        <f>(caltoccfreschf-IF($F37="toccfreschf",toccfreschf,toccfreschc))/IF($F37="toccfreschf",toccfreschf,toccfreschc)</f>
        <v>-1</v>
      </c>
      <c r="Y38" s="276">
        <f>(caltoccfreschf-IF($F37="toccfreschf",toccfreschf,toccfreschc))/IF($F37="toccfreschf",toccfreschf,toccfreschc)</f>
        <v>-1</v>
      </c>
      <c r="Z38" s="276">
        <f>(caltoccfreschf-IF($F37="toccfreschf",toccfreschf,toccfreschc))/IF($F37="toccfreschf",toccfreschf,toccfreschc)</f>
        <v>-1</v>
      </c>
      <c r="AA38" s="276" t="str">
        <f>(caltoccfreschf-IF($F37="toccfreschf",toccfreschf,toccfreschc))/IF($F37="toccfreschf",toccfreschf,toccfreschc)</f>
        <v>#DIV/0!</v>
      </c>
      <c r="AB38" s="276" t="str">
        <f>(caltoccfreschf-IF($F37="toccfreschf",toccfreschf,toccfreschc))/IF($F37="toccfreschf",toccfreschf,toccfreschc)</f>
        <v>#DIV/0!</v>
      </c>
      <c r="AC38" s="276" t="str">
        <f>(caltoccfreschf-IF($F37="toccfreschf",toccfreschf,toccfreschc))/IF($F37="toccfreschf",toccfreschf,toccfreschc)</f>
        <v>#DIV/0!</v>
      </c>
      <c r="AD38" s="276" t="str">
        <f>(caltoccfreschf-IF($F37="toccfreschf",toccfreschf,toccfreschc))/IF($F37="toccfreschf",toccfreschf,toccfreschc)</f>
        <v>#DIV/0!</v>
      </c>
      <c r="AE38" s="276" t="str">
        <f>(caltoccfreschf-IF($F37="toccfreschf",toccfreschf,toccfreschc))/IF($F37="toccfreschf",toccfreschf,toccfreschc)</f>
        <v>#DIV/0!</v>
      </c>
      <c r="AF38" s="276" t="str">
        <f>(caltoccfreschf-IF($F37="toccfreschf",toccfreschf,toccfreschc))/IF($F37="toccfreschf",toccfreschf,toccfreschc)</f>
        <v>#DIV/0!</v>
      </c>
      <c r="AG38" s="276" t="str">
        <f>(caltoccfreschf-IF($F37="toccfreschf",toccfreschf,toccfreschc))/IF($F37="toccfreschf",toccfreschf,toccfreschc)</f>
        <v>#DIV/0!</v>
      </c>
      <c r="AH38" s="276" t="str">
        <f>(caltoccfreschf-IF($F37="toccfreschf",toccfreschf,toccfreschc))/IF($F37="toccfreschf",toccfreschf,toccfreschc)</f>
        <v>#DIV/0!</v>
      </c>
      <c r="AI38" s="125"/>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row>
    <row r="39" ht="14.25" customHeight="1" outlineLevel="3">
      <c r="A39" s="326"/>
      <c r="B39" s="201"/>
      <c r="C39" s="201"/>
      <c r="D39" s="201"/>
      <c r="E39" s="316" t="s">
        <v>677</v>
      </c>
      <c r="F39" s="123" t="s">
        <v>261</v>
      </c>
      <c r="G39" s="123" t="s">
        <v>678</v>
      </c>
      <c r="H39" s="276">
        <f>(calcmscfreschf-cmscfreschf)/cmscfreschf</f>
        <v>-1</v>
      </c>
      <c r="I39" s="276">
        <f>(calcmscfreschf-cmscfreschf)/cmscfreschf</f>
        <v>-1</v>
      </c>
      <c r="J39" s="276">
        <f>(calcmscfreschf-cmscfreschf)/cmscfreschf</f>
        <v>-1</v>
      </c>
      <c r="K39" s="276">
        <f>(calcmscfreschf-cmscfreschf)/cmscfreschf</f>
        <v>-1</v>
      </c>
      <c r="L39" s="276">
        <f>(calcmscfreschf-cmscfreschf)/cmscfreschf</f>
        <v>-1</v>
      </c>
      <c r="M39" s="276">
        <f>(calcmscfreschf-cmscfreschf)/cmscfreschf</f>
        <v>-1</v>
      </c>
      <c r="N39" s="276">
        <f>(calcmscfreschf-cmscfreschf)/cmscfreschf</f>
        <v>-1</v>
      </c>
      <c r="O39" s="276">
        <f>(calcmscfreschf-cmscfreschf)/cmscfreschf</f>
        <v>-1</v>
      </c>
      <c r="P39" s="276">
        <f>(calcmscfreschf-cmscfreschf)/cmscfreschf</f>
        <v>-1</v>
      </c>
      <c r="Q39" s="276">
        <f>(calcmscfreschf-cmscfreschf)/cmscfreschf</f>
        <v>-1</v>
      </c>
      <c r="R39" s="276">
        <f>(calcmscfreschf-cmscfreschf)/cmscfreschf</f>
        <v>-1</v>
      </c>
      <c r="S39" s="276">
        <f>(calcmscfreschf-cmscfreschf)/cmscfreschf</f>
        <v>-1</v>
      </c>
      <c r="T39" s="276">
        <f>(calcmscfreschf-cmscfreschf)/cmscfreschf</f>
        <v>-1</v>
      </c>
      <c r="U39" s="276">
        <f>(calcmscfreschf-cmscfreschf)/cmscfreschf</f>
        <v>-1</v>
      </c>
      <c r="V39" s="276">
        <f>(calcmscfreschf-cmscfreschf)/cmscfreschf</f>
        <v>-1</v>
      </c>
      <c r="W39" s="276">
        <f>(calcmscfreschf-cmscfreschf)/cmscfreschf</f>
        <v>0</v>
      </c>
      <c r="X39" s="276">
        <f>(calcmscfreschf-cmscfreschf)/cmscfreschf</f>
        <v>-1</v>
      </c>
      <c r="Y39" s="276">
        <f>(calcmscfreschf-cmscfreschf)/cmscfreschf</f>
        <v>-1</v>
      </c>
      <c r="Z39" s="276" t="str">
        <f>(calcmscfreschf-cmscfreschf)/cmscfreschf</f>
        <v>#DIV/0!</v>
      </c>
      <c r="AA39" s="276" t="str">
        <f>(calcmscfreschf-cmscfreschf)/cmscfreschf</f>
        <v>#DIV/0!</v>
      </c>
      <c r="AB39" s="276" t="str">
        <f>(calcmscfreschf-cmscfreschf)/cmscfreschf</f>
        <v>#DIV/0!</v>
      </c>
      <c r="AC39" s="276" t="str">
        <f>(calcmscfreschf-cmscfreschf)/cmscfreschf</f>
        <v>#DIV/0!</v>
      </c>
      <c r="AD39" s="276" t="str">
        <f>(calcmscfreschf-cmscfreschf)/cmscfreschf</f>
        <v>#DIV/0!</v>
      </c>
      <c r="AE39" s="276" t="str">
        <f>(calcmscfreschf-cmscfreschf)/cmscfreschf</f>
        <v>#DIV/0!</v>
      </c>
      <c r="AF39" s="276" t="str">
        <f>(calcmscfreschf-cmscfreschf)/cmscfreschf</f>
        <v>#DIV/0!</v>
      </c>
      <c r="AG39" s="276" t="str">
        <f>(calcmscfreschf-cmscfreschf)/cmscfreschf</f>
        <v>#DIV/0!</v>
      </c>
      <c r="AH39" s="276" t="str">
        <f>(calcmscfreschf-cmscfreschf)/cmscfreschf</f>
        <v>#DIV/0!</v>
      </c>
      <c r="AI39" s="125"/>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row>
    <row r="40" ht="14.25" customHeight="1" outlineLevel="3">
      <c r="A40" s="326"/>
      <c r="B40" s="201"/>
      <c r="C40" s="201"/>
      <c r="D40" s="201"/>
      <c r="E40" s="316" t="s">
        <v>679</v>
      </c>
      <c r="F40" s="123" t="s">
        <v>261</v>
      </c>
      <c r="G40" s="123" t="s">
        <v>680</v>
      </c>
      <c r="H40" s="276" t="str">
        <f>(calenccfreschf-enccfreschf)/enccfreschf</f>
        <v>#DIV/0!</v>
      </c>
      <c r="I40" s="276" t="str">
        <f>(calenccfreschf-enccfreschf)/enccfreschf</f>
        <v>#DIV/0!</v>
      </c>
      <c r="J40" s="276" t="str">
        <f>(calenccfreschf-enccfreschf)/enccfreschf</f>
        <v>#DIV/0!</v>
      </c>
      <c r="K40" s="276" t="str">
        <f>(calenccfreschf-enccfreschf)/enccfreschf</f>
        <v>#DIV/0!</v>
      </c>
      <c r="L40" s="276" t="str">
        <f>(calenccfreschf-enccfreschf)/enccfreschf</f>
        <v>#DIV/0!</v>
      </c>
      <c r="M40" s="276" t="str">
        <f>(calenccfreschf-enccfreschf)/enccfreschf</f>
        <v>#DIV/0!</v>
      </c>
      <c r="N40" s="276" t="str">
        <f>(calenccfreschf-enccfreschf)/enccfreschf</f>
        <v>#DIV/0!</v>
      </c>
      <c r="O40" s="276" t="str">
        <f>(calenccfreschf-enccfreschf)/enccfreschf</f>
        <v>#DIV/0!</v>
      </c>
      <c r="P40" s="276" t="str">
        <f>(calenccfreschf-enccfreschf)/enccfreschf</f>
        <v>#DIV/0!</v>
      </c>
      <c r="Q40" s="276" t="str">
        <f>(calenccfreschf-enccfreschf)/enccfreschf</f>
        <v>#DIV/0!</v>
      </c>
      <c r="R40" s="276">
        <f>(calenccfreschf-enccfreschf)/enccfreschf</f>
        <v>-1</v>
      </c>
      <c r="S40" s="276">
        <f>(calenccfreschf-enccfreschf)/enccfreschf</f>
        <v>-1</v>
      </c>
      <c r="T40" s="276">
        <f>(calenccfreschf-enccfreschf)/enccfreschf</f>
        <v>-1</v>
      </c>
      <c r="U40" s="276">
        <f>(calenccfreschf-enccfreschf)/enccfreschf</f>
        <v>-1</v>
      </c>
      <c r="V40" s="276">
        <f>(calenccfreschf-enccfreschf)/enccfreschf</f>
        <v>-1</v>
      </c>
      <c r="W40" s="276">
        <f>(calenccfreschf-enccfreschf)/enccfreschf</f>
        <v>0</v>
      </c>
      <c r="X40" s="276">
        <f>(calenccfreschf-enccfreschf)/enccfreschf</f>
        <v>-1</v>
      </c>
      <c r="Y40" s="276">
        <f>(calenccfreschf-enccfreschf)/enccfreschf</f>
        <v>-1</v>
      </c>
      <c r="Z40" s="276" t="str">
        <f>(calenccfreschf-enccfreschf)/enccfreschf</f>
        <v>#DIV/0!</v>
      </c>
      <c r="AA40" s="276" t="str">
        <f>(calenccfreschf-enccfreschf)/enccfreschf</f>
        <v>#DIV/0!</v>
      </c>
      <c r="AB40" s="276" t="str">
        <f>(calenccfreschf-enccfreschf)/enccfreschf</f>
        <v>#DIV/0!</v>
      </c>
      <c r="AC40" s="276" t="str">
        <f>(calenccfreschf-enccfreschf)/enccfreschf</f>
        <v>#DIV/0!</v>
      </c>
      <c r="AD40" s="276" t="str">
        <f>(calenccfreschf-enccfreschf)/enccfreschf</f>
        <v>#DIV/0!</v>
      </c>
      <c r="AE40" s="276" t="str">
        <f>(calenccfreschf-enccfreschf)/enccfreschf</f>
        <v>#DIV/0!</v>
      </c>
      <c r="AF40" s="276" t="str">
        <f>(calenccfreschf-enccfreschf)/enccfreschf</f>
        <v>#DIV/0!</v>
      </c>
      <c r="AG40" s="276" t="str">
        <f>(calenccfreschf-enccfreschf)/enccfreschf</f>
        <v>#DIV/0!</v>
      </c>
      <c r="AH40" s="276" t="str">
        <f>(calenccfreschf-enccfreschf)/enccfreschf</f>
        <v>#DIV/0!</v>
      </c>
      <c r="AI40" s="125"/>
      <c r="AJ40" s="127"/>
      <c r="AK40" s="127"/>
      <c r="AL40" s="127"/>
      <c r="AM40" s="127"/>
      <c r="AN40" s="127"/>
      <c r="AO40" s="127"/>
      <c r="AP40" s="127"/>
      <c r="AQ40" s="127"/>
      <c r="AR40" s="127"/>
      <c r="AS40" s="127"/>
      <c r="AT40" s="127"/>
      <c r="AU40" s="127"/>
      <c r="AV40" s="127"/>
      <c r="AW40" s="127"/>
      <c r="AX40" s="127"/>
      <c r="AY40" s="127"/>
      <c r="AZ40" s="127"/>
      <c r="BA40" s="127"/>
      <c r="BB40" s="127"/>
      <c r="BC40" s="127"/>
      <c r="BD40" s="127"/>
      <c r="BE40" s="127"/>
      <c r="BF40" s="127"/>
      <c r="BG40" s="127"/>
      <c r="BH40" s="127"/>
      <c r="BI40" s="127"/>
      <c r="BJ40" s="127"/>
      <c r="BK40" s="127"/>
      <c r="BL40" s="127"/>
      <c r="BM40" s="127"/>
      <c r="BN40" s="127"/>
      <c r="BO40" s="127"/>
      <c r="BP40" s="127"/>
      <c r="BQ40" s="127"/>
      <c r="BR40" s="127"/>
    </row>
    <row r="41" ht="14.25" customHeight="1" outlineLevel="3">
      <c r="A41" s="326"/>
      <c r="B41" s="201"/>
      <c r="C41" s="201"/>
      <c r="D41" s="201"/>
      <c r="E41" s="316" t="s">
        <v>681</v>
      </c>
      <c r="F41" s="123" t="s">
        <v>261</v>
      </c>
      <c r="G41" s="123" t="s">
        <v>682</v>
      </c>
      <c r="H41" s="276">
        <f>(calpetcfreschf-petcfreschf)/petcfreschf</f>
        <v>-1</v>
      </c>
      <c r="I41" s="276">
        <f>(calpetcfreschf-petcfreschf)/petcfreschf</f>
        <v>-1</v>
      </c>
      <c r="J41" s="276">
        <f>(calpetcfreschf-petcfreschf)/petcfreschf</f>
        <v>-1</v>
      </c>
      <c r="K41" s="276">
        <f>(calpetcfreschf-petcfreschf)/petcfreschf</f>
        <v>-1</v>
      </c>
      <c r="L41" s="276">
        <f>(calpetcfreschf-petcfreschf)/petcfreschf</f>
        <v>-1</v>
      </c>
      <c r="M41" s="276">
        <f>(calpetcfreschf-petcfreschf)/petcfreschf</f>
        <v>-1</v>
      </c>
      <c r="N41" s="276">
        <f>(calpetcfreschf-petcfreschf)/petcfreschf</f>
        <v>-1</v>
      </c>
      <c r="O41" s="276">
        <f>(calpetcfreschf-petcfreschf)/petcfreschf</f>
        <v>-1</v>
      </c>
      <c r="P41" s="276">
        <f>(calpetcfreschf-petcfreschf)/petcfreschf</f>
        <v>-1</v>
      </c>
      <c r="Q41" s="276">
        <f>(calpetcfreschf-petcfreschf)/petcfreschf</f>
        <v>-1</v>
      </c>
      <c r="R41" s="276">
        <f>(calpetcfreschf-petcfreschf)/petcfreschf</f>
        <v>-1</v>
      </c>
      <c r="S41" s="276">
        <f>(calpetcfreschf-petcfreschf)/petcfreschf</f>
        <v>-1</v>
      </c>
      <c r="T41" s="276">
        <f>(calpetcfreschf-petcfreschf)/petcfreschf</f>
        <v>-1</v>
      </c>
      <c r="U41" s="276">
        <f>(calpetcfreschf-petcfreschf)/petcfreschf</f>
        <v>-1</v>
      </c>
      <c r="V41" s="276">
        <f>(calpetcfreschf-petcfreschf)/petcfreschf</f>
        <v>-1</v>
      </c>
      <c r="W41" s="276">
        <f>(calpetcfreschf-petcfreschf)/petcfreschf</f>
        <v>0</v>
      </c>
      <c r="X41" s="276">
        <f>(calpetcfreschf-petcfreschf)/petcfreschf</f>
        <v>-1</v>
      </c>
      <c r="Y41" s="276">
        <f>(calpetcfreschf-petcfreschf)/petcfreschf</f>
        <v>-1</v>
      </c>
      <c r="Z41" s="276" t="str">
        <f>(calpetcfreschf-petcfreschf)/petcfreschf</f>
        <v>#DIV/0!</v>
      </c>
      <c r="AA41" s="276" t="str">
        <f>(calpetcfreschf-petcfreschf)/petcfreschf</f>
        <v>#DIV/0!</v>
      </c>
      <c r="AB41" s="276" t="str">
        <f>(calpetcfreschf-petcfreschf)/petcfreschf</f>
        <v>#DIV/0!</v>
      </c>
      <c r="AC41" s="276" t="str">
        <f>(calpetcfreschf-petcfreschf)/petcfreschf</f>
        <v>#DIV/0!</v>
      </c>
      <c r="AD41" s="276" t="str">
        <f>(calpetcfreschf-petcfreschf)/petcfreschf</f>
        <v>#DIV/0!</v>
      </c>
      <c r="AE41" s="276" t="str">
        <f>(calpetcfreschf-petcfreschf)/petcfreschf</f>
        <v>#DIV/0!</v>
      </c>
      <c r="AF41" s="276" t="str">
        <f>(calpetcfreschf-petcfreschf)/petcfreschf</f>
        <v>#DIV/0!</v>
      </c>
      <c r="AG41" s="276" t="str">
        <f>(calpetcfreschf-petcfreschf)/petcfreschf</f>
        <v>#DIV/0!</v>
      </c>
      <c r="AH41" s="276" t="str">
        <f>(calpetcfreschf-petcfreschf)/petcfreschf</f>
        <v>#DIV/0!</v>
      </c>
      <c r="AI41" s="125"/>
      <c r="AJ41" s="127"/>
      <c r="AK41" s="127"/>
      <c r="AL41" s="127"/>
      <c r="AM41" s="127"/>
      <c r="AN41" s="127"/>
      <c r="AO41" s="127"/>
      <c r="AP41" s="127"/>
      <c r="AQ41" s="127"/>
      <c r="AR41" s="127"/>
      <c r="AS41" s="127"/>
      <c r="AT41" s="127"/>
      <c r="AU41" s="127"/>
      <c r="AV41" s="127"/>
      <c r="AW41" s="127"/>
      <c r="AX41" s="127"/>
      <c r="AY41" s="127"/>
      <c r="AZ41" s="127"/>
      <c r="BA41" s="127"/>
      <c r="BB41" s="127"/>
      <c r="BC41" s="127"/>
      <c r="BD41" s="127"/>
      <c r="BE41" s="127"/>
      <c r="BF41" s="127"/>
      <c r="BG41" s="127"/>
      <c r="BH41" s="127"/>
      <c r="BI41" s="127"/>
      <c r="BJ41" s="127"/>
      <c r="BK41" s="127"/>
      <c r="BL41" s="127"/>
      <c r="BM41" s="127"/>
      <c r="BN41" s="127"/>
      <c r="BO41" s="127"/>
      <c r="BP41" s="127"/>
      <c r="BQ41" s="127"/>
      <c r="BR41" s="127"/>
    </row>
    <row r="42" ht="14.25" customHeight="1" outlineLevel="3">
      <c r="A42" s="326"/>
      <c r="B42" s="201"/>
      <c r="C42" s="201"/>
      <c r="D42" s="201"/>
      <c r="E42" s="316" t="s">
        <v>683</v>
      </c>
      <c r="F42" s="123" t="s">
        <v>261</v>
      </c>
      <c r="G42" s="123" t="s">
        <v>684</v>
      </c>
      <c r="H42" s="276" t="str">
        <f>(calgazcfreschf-gazcfreschf)/gazcfreschf</f>
        <v>#DIV/0!</v>
      </c>
      <c r="I42" s="276" t="str">
        <f>(calgazcfreschf-gazcfreschf)/gazcfreschf</f>
        <v>#DIV/0!</v>
      </c>
      <c r="J42" s="276" t="str">
        <f>(calgazcfreschf-gazcfreschf)/gazcfreschf</f>
        <v>#DIV/0!</v>
      </c>
      <c r="K42" s="276" t="str">
        <f>(calgazcfreschf-gazcfreschf)/gazcfreschf</f>
        <v>#DIV/0!</v>
      </c>
      <c r="L42" s="276" t="str">
        <f>(calgazcfreschf-gazcfreschf)/gazcfreschf</f>
        <v>#DIV/0!</v>
      </c>
      <c r="M42" s="276" t="str">
        <f>(calgazcfreschf-gazcfreschf)/gazcfreschf</f>
        <v>#DIV/0!</v>
      </c>
      <c r="N42" s="276" t="str">
        <f>(calgazcfreschf-gazcfreschf)/gazcfreschf</f>
        <v>#DIV/0!</v>
      </c>
      <c r="O42" s="276" t="str">
        <f>(calgazcfreschf-gazcfreschf)/gazcfreschf</f>
        <v>#DIV/0!</v>
      </c>
      <c r="P42" s="276" t="str">
        <f>(calgazcfreschf-gazcfreschf)/gazcfreschf</f>
        <v>#DIV/0!</v>
      </c>
      <c r="Q42" s="276" t="str">
        <f>(calgazcfreschf-gazcfreschf)/gazcfreschf</f>
        <v>#DIV/0!</v>
      </c>
      <c r="R42" s="276">
        <f>(calgazcfreschf-gazcfreschf)/gazcfreschf</f>
        <v>-1</v>
      </c>
      <c r="S42" s="276">
        <f>(calgazcfreschf-gazcfreschf)/gazcfreschf</f>
        <v>-1</v>
      </c>
      <c r="T42" s="276">
        <f>(calgazcfreschf-gazcfreschf)/gazcfreschf</f>
        <v>-1</v>
      </c>
      <c r="U42" s="276">
        <f>(calgazcfreschf-gazcfreschf)/gazcfreschf</f>
        <v>-1</v>
      </c>
      <c r="V42" s="276">
        <f>(calgazcfreschf-gazcfreschf)/gazcfreschf</f>
        <v>-1</v>
      </c>
      <c r="W42" s="276">
        <f>(calgazcfreschf-gazcfreschf)/gazcfreschf</f>
        <v>0</v>
      </c>
      <c r="X42" s="276">
        <f>(calgazcfreschf-gazcfreschf)/gazcfreschf</f>
        <v>-1</v>
      </c>
      <c r="Y42" s="276">
        <f>(calgazcfreschf-gazcfreschf)/gazcfreschf</f>
        <v>-1</v>
      </c>
      <c r="Z42" s="276" t="str">
        <f>(calgazcfreschf-gazcfreschf)/gazcfreschf</f>
        <v>#DIV/0!</v>
      </c>
      <c r="AA42" s="276" t="str">
        <f>(calgazcfreschf-gazcfreschf)/gazcfreschf</f>
        <v>#DIV/0!</v>
      </c>
      <c r="AB42" s="276" t="str">
        <f>(calgazcfreschf-gazcfreschf)/gazcfreschf</f>
        <v>#DIV/0!</v>
      </c>
      <c r="AC42" s="276" t="str">
        <f>(calgazcfreschf-gazcfreschf)/gazcfreschf</f>
        <v>#DIV/0!</v>
      </c>
      <c r="AD42" s="276" t="str">
        <f>(calgazcfreschf-gazcfreschf)/gazcfreschf</f>
        <v>#DIV/0!</v>
      </c>
      <c r="AE42" s="276" t="str">
        <f>(calgazcfreschf-gazcfreschf)/gazcfreschf</f>
        <v>#DIV/0!</v>
      </c>
      <c r="AF42" s="276" t="str">
        <f>(calgazcfreschf-gazcfreschf)/gazcfreschf</f>
        <v>#DIV/0!</v>
      </c>
      <c r="AG42" s="276" t="str">
        <f>(calgazcfreschf-gazcfreschf)/gazcfreschf</f>
        <v>#DIV/0!</v>
      </c>
      <c r="AH42" s="276" t="str">
        <f>(calgazcfreschf-gazcfreschf)/gazcfreschf</f>
        <v>#DIV/0!</v>
      </c>
      <c r="AI42" s="125"/>
      <c r="AJ42" s="127"/>
      <c r="AK42" s="127"/>
      <c r="AL42" s="127"/>
      <c r="AM42" s="127"/>
      <c r="AN42" s="127"/>
      <c r="AO42" s="127"/>
      <c r="AP42" s="127"/>
      <c r="AQ42" s="127"/>
      <c r="AR42" s="127"/>
      <c r="AS42" s="127"/>
      <c r="AT42" s="127"/>
      <c r="AU42" s="127"/>
      <c r="AV42" s="127"/>
      <c r="AW42" s="127"/>
      <c r="AX42" s="127"/>
      <c r="AY42" s="127"/>
      <c r="AZ42" s="127"/>
      <c r="BA42" s="127"/>
      <c r="BB42" s="127"/>
      <c r="BC42" s="127"/>
      <c r="BD42" s="127"/>
      <c r="BE42" s="127"/>
      <c r="BF42" s="127"/>
      <c r="BG42" s="127"/>
      <c r="BH42" s="127"/>
      <c r="BI42" s="127"/>
      <c r="BJ42" s="127"/>
      <c r="BK42" s="127"/>
      <c r="BL42" s="127"/>
      <c r="BM42" s="127"/>
      <c r="BN42" s="127"/>
      <c r="BO42" s="127"/>
      <c r="BP42" s="127"/>
      <c r="BQ42" s="127"/>
      <c r="BR42" s="127"/>
    </row>
    <row r="43" ht="14.25" customHeight="1" outlineLevel="3">
      <c r="A43" s="326"/>
      <c r="B43" s="201"/>
      <c r="C43" s="201"/>
      <c r="D43" s="201"/>
      <c r="E43" s="316" t="s">
        <v>685</v>
      </c>
      <c r="F43" s="123" t="s">
        <v>261</v>
      </c>
      <c r="G43" s="123" t="s">
        <v>686</v>
      </c>
      <c r="H43" s="276" t="str">
        <f>(calelccfreschf-elccfreschf)/elccfreschf</f>
        <v>#DIV/0!</v>
      </c>
      <c r="I43" s="276" t="str">
        <f>(calelccfreschf-elccfreschf)/elccfreschf</f>
        <v>#DIV/0!</v>
      </c>
      <c r="J43" s="276" t="str">
        <f>(calelccfreschf-elccfreschf)/elccfreschf</f>
        <v>#DIV/0!</v>
      </c>
      <c r="K43" s="276" t="str">
        <f>(calelccfreschf-elccfreschf)/elccfreschf</f>
        <v>#DIV/0!</v>
      </c>
      <c r="L43" s="276" t="str">
        <f>(calelccfreschf-elccfreschf)/elccfreschf</f>
        <v>#DIV/0!</v>
      </c>
      <c r="M43" s="276" t="str">
        <f>(calelccfreschf-elccfreschf)/elccfreschf</f>
        <v>#DIV/0!</v>
      </c>
      <c r="N43" s="276" t="str">
        <f>(calelccfreschf-elccfreschf)/elccfreschf</f>
        <v>#DIV/0!</v>
      </c>
      <c r="O43" s="276" t="str">
        <f>(calelccfreschf-elccfreschf)/elccfreschf</f>
        <v>#DIV/0!</v>
      </c>
      <c r="P43" s="276" t="str">
        <f>(calelccfreschf-elccfreschf)/elccfreschf</f>
        <v>#DIV/0!</v>
      </c>
      <c r="Q43" s="276" t="str">
        <f>(calelccfreschf-elccfreschf)/elccfreschf</f>
        <v>#DIV/0!</v>
      </c>
      <c r="R43" s="276">
        <f>(calelccfreschf-elccfreschf)/elccfreschf</f>
        <v>-1</v>
      </c>
      <c r="S43" s="276">
        <f>(calelccfreschf-elccfreschf)/elccfreschf</f>
        <v>-1</v>
      </c>
      <c r="T43" s="276">
        <f>(calelccfreschf-elccfreschf)/elccfreschf</f>
        <v>-1</v>
      </c>
      <c r="U43" s="276">
        <f>(calelccfreschf-elccfreschf)/elccfreschf</f>
        <v>-1</v>
      </c>
      <c r="V43" s="276">
        <f>(calelccfreschf-elccfreschf)/elccfreschf</f>
        <v>-1</v>
      </c>
      <c r="W43" s="276">
        <f>(calelccfreschf-elccfreschf)/elccfreschf</f>
        <v>0</v>
      </c>
      <c r="X43" s="276">
        <f>(calelccfreschf-elccfreschf)/elccfreschf</f>
        <v>-1</v>
      </c>
      <c r="Y43" s="276">
        <f>(calelccfreschf-elccfreschf)/elccfreschf</f>
        <v>-1</v>
      </c>
      <c r="Z43" s="276" t="str">
        <f>(calelccfreschf-elccfreschf)/elccfreschf</f>
        <v>#DIV/0!</v>
      </c>
      <c r="AA43" s="276" t="str">
        <f>(calelccfreschf-elccfreschf)/elccfreschf</f>
        <v>#DIV/0!</v>
      </c>
      <c r="AB43" s="276" t="str">
        <f>(calelccfreschf-elccfreschf)/elccfreschf</f>
        <v>#DIV/0!</v>
      </c>
      <c r="AC43" s="276" t="str">
        <f>(calelccfreschf-elccfreschf)/elccfreschf</f>
        <v>#DIV/0!</v>
      </c>
      <c r="AD43" s="276" t="str">
        <f>(calelccfreschf-elccfreschf)/elccfreschf</f>
        <v>#DIV/0!</v>
      </c>
      <c r="AE43" s="276" t="str">
        <f>(calelccfreschf-elccfreschf)/elccfreschf</f>
        <v>#DIV/0!</v>
      </c>
      <c r="AF43" s="276" t="str">
        <f>(calelccfreschf-elccfreschf)/elccfreschf</f>
        <v>#DIV/0!</v>
      </c>
      <c r="AG43" s="276" t="str">
        <f>(calelccfreschf-elccfreschf)/elccfreschf</f>
        <v>#DIV/0!</v>
      </c>
      <c r="AH43" s="276" t="str">
        <f>(calelccfreschf-elccfreschf)/elccfreschf</f>
        <v>#DIV/0!</v>
      </c>
      <c r="AI43" s="125"/>
      <c r="AJ43" s="127"/>
      <c r="AK43" s="127"/>
      <c r="AL43" s="127"/>
      <c r="AM43" s="127"/>
      <c r="AN43" s="127"/>
      <c r="AO43" s="127"/>
      <c r="AP43" s="127"/>
      <c r="AQ43" s="127"/>
      <c r="AR43" s="127"/>
      <c r="AS43" s="127"/>
      <c r="AT43" s="127"/>
      <c r="AU43" s="127"/>
      <c r="AV43" s="127"/>
      <c r="AW43" s="127"/>
      <c r="AX43" s="127"/>
      <c r="AY43" s="127"/>
      <c r="AZ43" s="127"/>
      <c r="BA43" s="127"/>
      <c r="BB43" s="127"/>
      <c r="BC43" s="127"/>
      <c r="BD43" s="127"/>
      <c r="BE43" s="127"/>
      <c r="BF43" s="127"/>
      <c r="BG43" s="127"/>
      <c r="BH43" s="127"/>
      <c r="BI43" s="127"/>
      <c r="BJ43" s="127"/>
      <c r="BK43" s="127"/>
      <c r="BL43" s="127"/>
      <c r="BM43" s="127"/>
      <c r="BN43" s="127"/>
      <c r="BO43" s="127"/>
      <c r="BP43" s="127"/>
      <c r="BQ43" s="127"/>
      <c r="BR43" s="127"/>
    </row>
    <row r="44" ht="14.25" customHeight="1" outlineLevel="3">
      <c r="A44" s="326"/>
      <c r="B44" s="201"/>
      <c r="C44" s="201"/>
      <c r="D44" s="201"/>
      <c r="E44" s="316" t="s">
        <v>687</v>
      </c>
      <c r="F44" s="123" t="s">
        <v>261</v>
      </c>
      <c r="G44" s="123" t="s">
        <v>688</v>
      </c>
      <c r="H44" s="276" t="str">
        <f>(calvapcfreschf-vapcfreschf)/vapcfreschf</f>
        <v>#DIV/0!</v>
      </c>
      <c r="I44" s="276" t="str">
        <f>(calvapcfreschf-vapcfreschf)/vapcfreschf</f>
        <v>#DIV/0!</v>
      </c>
      <c r="J44" s="276" t="str">
        <f>(calvapcfreschf-vapcfreschf)/vapcfreschf</f>
        <v>#DIV/0!</v>
      </c>
      <c r="K44" s="276" t="str">
        <f>(calvapcfreschf-vapcfreschf)/vapcfreschf</f>
        <v>#DIV/0!</v>
      </c>
      <c r="L44" s="276" t="str">
        <f>(calvapcfreschf-vapcfreschf)/vapcfreschf</f>
        <v>#DIV/0!</v>
      </c>
      <c r="M44" s="276" t="str">
        <f>(calvapcfreschf-vapcfreschf)/vapcfreschf</f>
        <v>#DIV/0!</v>
      </c>
      <c r="N44" s="276" t="str">
        <f>(calvapcfreschf-vapcfreschf)/vapcfreschf</f>
        <v>#DIV/0!</v>
      </c>
      <c r="O44" s="276" t="str">
        <f>(calvapcfreschf-vapcfreschf)/vapcfreschf</f>
        <v>#DIV/0!</v>
      </c>
      <c r="P44" s="276" t="str">
        <f>(calvapcfreschf-vapcfreschf)/vapcfreschf</f>
        <v>#DIV/0!</v>
      </c>
      <c r="Q44" s="276" t="str">
        <f>(calvapcfreschf-vapcfreschf)/vapcfreschf</f>
        <v>#DIV/0!</v>
      </c>
      <c r="R44" s="276">
        <f>(calvapcfreschf-vapcfreschf)/vapcfreschf</f>
        <v>-1</v>
      </c>
      <c r="S44" s="276">
        <f>(calvapcfreschf-vapcfreschf)/vapcfreschf</f>
        <v>-1</v>
      </c>
      <c r="T44" s="276">
        <f>(calvapcfreschf-vapcfreschf)/vapcfreschf</f>
        <v>-1</v>
      </c>
      <c r="U44" s="276">
        <f>(calvapcfreschf-vapcfreschf)/vapcfreschf</f>
        <v>-1</v>
      </c>
      <c r="V44" s="276">
        <f>(calvapcfreschf-vapcfreschf)/vapcfreschf</f>
        <v>-1</v>
      </c>
      <c r="W44" s="276">
        <f>(calvapcfreschf-vapcfreschf)/vapcfreschf</f>
        <v>0</v>
      </c>
      <c r="X44" s="276">
        <f>(calvapcfreschf-vapcfreschf)/vapcfreschf</f>
        <v>-1</v>
      </c>
      <c r="Y44" s="276">
        <f>(calvapcfreschf-vapcfreschf)/vapcfreschf</f>
        <v>-1</v>
      </c>
      <c r="Z44" s="276" t="str">
        <f>(calvapcfreschf-vapcfreschf)/vapcfreschf</f>
        <v>#DIV/0!</v>
      </c>
      <c r="AA44" s="276" t="str">
        <f>(calvapcfreschf-vapcfreschf)/vapcfreschf</f>
        <v>#DIV/0!</v>
      </c>
      <c r="AB44" s="276" t="str">
        <f>(calvapcfreschf-vapcfreschf)/vapcfreschf</f>
        <v>#DIV/0!</v>
      </c>
      <c r="AC44" s="276" t="str">
        <f>(calvapcfreschf-vapcfreschf)/vapcfreschf</f>
        <v>#DIV/0!</v>
      </c>
      <c r="AD44" s="276" t="str">
        <f>(calvapcfreschf-vapcfreschf)/vapcfreschf</f>
        <v>#DIV/0!</v>
      </c>
      <c r="AE44" s="276" t="str">
        <f>(calvapcfreschf-vapcfreschf)/vapcfreschf</f>
        <v>#DIV/0!</v>
      </c>
      <c r="AF44" s="276" t="str">
        <f>(calvapcfreschf-vapcfreschf)/vapcfreschf</f>
        <v>#DIV/0!</v>
      </c>
      <c r="AG44" s="276" t="str">
        <f>(calvapcfreschf-vapcfreschf)/vapcfreschf</f>
        <v>#DIV/0!</v>
      </c>
      <c r="AH44" s="276" t="str">
        <f>(calvapcfreschf-vapcfreschf)/vapcfreschf</f>
        <v>#DIV/0!</v>
      </c>
      <c r="AI44" s="125"/>
      <c r="AJ44" s="127"/>
      <c r="AK44" s="127"/>
      <c r="AL44" s="127"/>
      <c r="AM44" s="127"/>
      <c r="AN44" s="127"/>
      <c r="AO44" s="127"/>
      <c r="AP44" s="127"/>
      <c r="AQ44" s="127"/>
      <c r="AR44" s="127"/>
      <c r="AS44" s="127"/>
      <c r="AT44" s="127"/>
      <c r="AU44" s="127"/>
      <c r="AV44" s="127"/>
      <c r="AW44" s="127"/>
      <c r="AX44" s="127"/>
      <c r="AY44" s="127"/>
      <c r="AZ44" s="127"/>
      <c r="BA44" s="127"/>
      <c r="BB44" s="127"/>
      <c r="BC44" s="127"/>
      <c r="BD44" s="127"/>
      <c r="BE44" s="127"/>
      <c r="BF44" s="127"/>
      <c r="BG44" s="127"/>
      <c r="BH44" s="127"/>
      <c r="BI44" s="127"/>
      <c r="BJ44" s="127"/>
      <c r="BK44" s="127"/>
      <c r="BL44" s="127"/>
      <c r="BM44" s="127"/>
      <c r="BN44" s="127"/>
      <c r="BO44" s="127"/>
      <c r="BP44" s="127"/>
      <c r="BQ44" s="127"/>
      <c r="BR44" s="127"/>
    </row>
    <row r="45" ht="14.25" customHeight="1" outlineLevel="3">
      <c r="A45" s="326"/>
      <c r="B45" s="201"/>
      <c r="C45" s="201"/>
      <c r="D45" s="201"/>
      <c r="E45" s="316" t="s">
        <v>689</v>
      </c>
      <c r="F45" s="123" t="s">
        <v>261</v>
      </c>
      <c r="G45" s="123" t="s">
        <v>690</v>
      </c>
      <c r="H45" s="276" t="str">
        <f>(calpaccfreschf-paccfreschf)/paccfreschf</f>
        <v>#DIV/0!</v>
      </c>
      <c r="I45" s="276" t="str">
        <f>(calpaccfreschf-paccfreschf)/paccfreschf</f>
        <v>#DIV/0!</v>
      </c>
      <c r="J45" s="276" t="str">
        <f>(calpaccfreschf-paccfreschf)/paccfreschf</f>
        <v>#DIV/0!</v>
      </c>
      <c r="K45" s="276" t="str">
        <f>(calpaccfreschf-paccfreschf)/paccfreschf</f>
        <v>#DIV/0!</v>
      </c>
      <c r="L45" s="276" t="str">
        <f>(calpaccfreschf-paccfreschf)/paccfreschf</f>
        <v>#DIV/0!</v>
      </c>
      <c r="M45" s="276" t="str">
        <f>(calpaccfreschf-paccfreschf)/paccfreschf</f>
        <v>#DIV/0!</v>
      </c>
      <c r="N45" s="276" t="str">
        <f>(calpaccfreschf-paccfreschf)/paccfreschf</f>
        <v>#DIV/0!</v>
      </c>
      <c r="O45" s="276" t="str">
        <f>(calpaccfreschf-paccfreschf)/paccfreschf</f>
        <v>#DIV/0!</v>
      </c>
      <c r="P45" s="276" t="str">
        <f>(calpaccfreschf-paccfreschf)/paccfreschf</f>
        <v>#DIV/0!</v>
      </c>
      <c r="Q45" s="276" t="str">
        <f>(calpaccfreschf-paccfreschf)/paccfreschf</f>
        <v>#DIV/0!</v>
      </c>
      <c r="R45" s="276" t="str">
        <f>(calpaccfreschf-paccfreschf)/paccfreschf</f>
        <v>#DIV/0!</v>
      </c>
      <c r="S45" s="276" t="str">
        <f>(calpaccfreschf-paccfreschf)/paccfreschf</f>
        <v>#DIV/0!</v>
      </c>
      <c r="T45" s="276" t="str">
        <f>(calpaccfreschf-paccfreschf)/paccfreschf</f>
        <v>#DIV/0!</v>
      </c>
      <c r="U45" s="276" t="str">
        <f>(calpaccfreschf-paccfreschf)/paccfreschf</f>
        <v>#DIV/0!</v>
      </c>
      <c r="V45" s="276" t="str">
        <f>(calpaccfreschf-paccfreschf)/paccfreschf</f>
        <v>#DIV/0!</v>
      </c>
      <c r="W45" s="276">
        <f>(calpaccfreschf-paccfreschf)/paccfreschf</f>
        <v>0</v>
      </c>
      <c r="X45" s="276" t="str">
        <f>(calpaccfreschf-paccfreschf)/paccfreschf</f>
        <v>#DIV/0!</v>
      </c>
      <c r="Y45" s="276" t="str">
        <f>(calpaccfreschf-paccfreschf)/paccfreschf</f>
        <v>#DIV/0!</v>
      </c>
      <c r="Z45" s="276" t="str">
        <f>(calpaccfreschf-paccfreschf)/paccfreschf</f>
        <v>#DIV/0!</v>
      </c>
      <c r="AA45" s="276" t="str">
        <f>(calpaccfreschf-paccfreschf)/paccfreschf</f>
        <v>#DIV/0!</v>
      </c>
      <c r="AB45" s="276" t="str">
        <f>(calpaccfreschf-paccfreschf)/paccfreschf</f>
        <v>#DIV/0!</v>
      </c>
      <c r="AC45" s="276" t="str">
        <f>(calpaccfreschf-paccfreschf)/paccfreschf</f>
        <v>#DIV/0!</v>
      </c>
      <c r="AD45" s="276" t="str">
        <f>(calpaccfreschf-paccfreschf)/paccfreschf</f>
        <v>#DIV/0!</v>
      </c>
      <c r="AE45" s="276" t="str">
        <f>(calpaccfreschf-paccfreschf)/paccfreschf</f>
        <v>#DIV/0!</v>
      </c>
      <c r="AF45" s="276" t="str">
        <f>(calpaccfreschf-paccfreschf)/paccfreschf</f>
        <v>#DIV/0!</v>
      </c>
      <c r="AG45" s="276" t="str">
        <f>(calpaccfreschf-paccfreschf)/paccfreschf</f>
        <v>#DIV/0!</v>
      </c>
      <c r="AH45" s="276" t="str">
        <f>(calpaccfreschf-paccfreschf)/paccfreschf</f>
        <v>#DIV/0!</v>
      </c>
      <c r="AI45" s="125"/>
      <c r="AJ45" s="127"/>
      <c r="AK45" s="127"/>
      <c r="AL45" s="127"/>
      <c r="AM45" s="127"/>
      <c r="AN45" s="127"/>
      <c r="AO45" s="127"/>
      <c r="AP45" s="127"/>
      <c r="AQ45" s="127"/>
      <c r="AR45" s="127"/>
      <c r="AS45" s="127"/>
      <c r="AT45" s="127"/>
      <c r="AU45" s="127"/>
      <c r="AV45" s="127"/>
      <c r="AW45" s="127"/>
      <c r="AX45" s="127"/>
      <c r="AY45" s="127"/>
      <c r="AZ45" s="127"/>
      <c r="BA45" s="127"/>
      <c r="BB45" s="127"/>
      <c r="BC45" s="127"/>
      <c r="BD45" s="127"/>
      <c r="BE45" s="127"/>
      <c r="BF45" s="127"/>
      <c r="BG45" s="127"/>
      <c r="BH45" s="127"/>
      <c r="BI45" s="127"/>
      <c r="BJ45" s="127"/>
      <c r="BK45" s="127"/>
      <c r="BL45" s="127"/>
      <c r="BM45" s="127"/>
      <c r="BN45" s="127"/>
      <c r="BO45" s="127"/>
      <c r="BP45" s="127"/>
      <c r="BQ45" s="127"/>
      <c r="BR45" s="127"/>
    </row>
    <row r="46" ht="14.25" customHeight="1" outlineLevel="3">
      <c r="A46" s="326"/>
      <c r="B46" s="201"/>
      <c r="C46" s="201"/>
      <c r="D46" s="201"/>
      <c r="E46" s="316" t="s">
        <v>691</v>
      </c>
      <c r="F46" s="123" t="s">
        <v>261</v>
      </c>
      <c r="G46" s="123" t="s">
        <v>692</v>
      </c>
      <c r="H46" s="276">
        <f>(calcmscfreschf-cmscfreschf)/cmscfreschf</f>
        <v>-1</v>
      </c>
      <c r="I46" s="276">
        <f>(calcmscfreschf-cmscfreschf)/cmscfreschf</f>
        <v>-1</v>
      </c>
      <c r="J46" s="276">
        <f>(calcmscfreschf-cmscfreschf)/cmscfreschf</f>
        <v>-1</v>
      </c>
      <c r="K46" s="276">
        <f>(calcmscfreschf-cmscfreschf)/cmscfreschf</f>
        <v>-1</v>
      </c>
      <c r="L46" s="276">
        <f>(calcmscfreschf-cmscfreschf)/cmscfreschf</f>
        <v>-1</v>
      </c>
      <c r="M46" s="276">
        <f>(calcmscfreschf-cmscfreschf)/cmscfreschf</f>
        <v>-1</v>
      </c>
      <c r="N46" s="276">
        <f>(calcmscfreschf-cmscfreschf)/cmscfreschf</f>
        <v>-1</v>
      </c>
      <c r="O46" s="276">
        <f>(calcmscfreschf-cmscfreschf)/cmscfreschf</f>
        <v>-1</v>
      </c>
      <c r="P46" s="276">
        <f>(calcmscfreschf-cmscfreschf)/cmscfreschf</f>
        <v>-1</v>
      </c>
      <c r="Q46" s="276">
        <f>(calcmscfreschf-cmscfreschf)/cmscfreschf</f>
        <v>-1</v>
      </c>
      <c r="R46" s="276">
        <f>(calcmscfreschf-cmscfreschf)/cmscfreschf</f>
        <v>-1</v>
      </c>
      <c r="S46" s="276">
        <f>(calcmscfreschf-cmscfreschf)/cmscfreschf</f>
        <v>-1</v>
      </c>
      <c r="T46" s="276">
        <f>(calcmscfreschf-cmscfreschf)/cmscfreschf</f>
        <v>-1</v>
      </c>
      <c r="U46" s="276">
        <f>(calcmscfreschf-cmscfreschf)/cmscfreschf</f>
        <v>-1</v>
      </c>
      <c r="V46" s="276">
        <f>(calcmscfreschf-cmscfreschf)/cmscfreschf</f>
        <v>-1</v>
      </c>
      <c r="W46" s="276">
        <f>(calcmscfreschf-cmscfreschf)/cmscfreschf</f>
        <v>0</v>
      </c>
      <c r="X46" s="276">
        <f>(calcmscfreschf-cmscfreschf)/cmscfreschf</f>
        <v>-1</v>
      </c>
      <c r="Y46" s="276">
        <f>(calcmscfreschf-cmscfreschf)/cmscfreschf</f>
        <v>-1</v>
      </c>
      <c r="Z46" s="276" t="str">
        <f>(calcmscfreschf-cmscfreschf)/cmscfreschf</f>
        <v>#DIV/0!</v>
      </c>
      <c r="AA46" s="276" t="str">
        <f>(calcmscfreschf-cmscfreschf)/cmscfreschf</f>
        <v>#DIV/0!</v>
      </c>
      <c r="AB46" s="276" t="str">
        <f>(calcmscfreschf-cmscfreschf)/cmscfreschf</f>
        <v>#DIV/0!</v>
      </c>
      <c r="AC46" s="276" t="str">
        <f>(calcmscfreschf-cmscfreschf)/cmscfreschf</f>
        <v>#DIV/0!</v>
      </c>
      <c r="AD46" s="276" t="str">
        <f>(calcmscfreschf-cmscfreschf)/cmscfreschf</f>
        <v>#DIV/0!</v>
      </c>
      <c r="AE46" s="276" t="str">
        <f>(calcmscfreschf-cmscfreschf)/cmscfreschf</f>
        <v>#DIV/0!</v>
      </c>
      <c r="AF46" s="276" t="str">
        <f>(calcmscfreschf-cmscfreschf)/cmscfreschf</f>
        <v>#DIV/0!</v>
      </c>
      <c r="AG46" s="276" t="str">
        <f>(calcmscfreschf-cmscfreschf)/cmscfreschf</f>
        <v>#DIV/0!</v>
      </c>
      <c r="AH46" s="276" t="str">
        <f>(calcmscfreschf-cmscfreschf)/cmscfreschf</f>
        <v>#DIV/0!</v>
      </c>
      <c r="AI46" s="125"/>
      <c r="AJ46" s="127"/>
      <c r="AK46" s="127"/>
      <c r="AL46" s="127"/>
      <c r="AM46" s="127"/>
      <c r="AN46" s="127"/>
      <c r="AO46" s="127"/>
      <c r="AP46" s="127"/>
      <c r="AQ46" s="127"/>
      <c r="AR46" s="127"/>
      <c r="AS46" s="127"/>
      <c r="AT46" s="127"/>
      <c r="AU46" s="127"/>
      <c r="AV46" s="127"/>
      <c r="AW46" s="127"/>
      <c r="AX46" s="127"/>
      <c r="AY46" s="127"/>
      <c r="AZ46" s="127"/>
      <c r="BA46" s="127"/>
      <c r="BB46" s="127"/>
      <c r="BC46" s="127"/>
      <c r="BD46" s="127"/>
      <c r="BE46" s="127"/>
      <c r="BF46" s="127"/>
      <c r="BG46" s="127"/>
      <c r="BH46" s="127"/>
      <c r="BI46" s="127"/>
      <c r="BJ46" s="127"/>
      <c r="BK46" s="127"/>
      <c r="BL46" s="127"/>
      <c r="BM46" s="127"/>
      <c r="BN46" s="127"/>
      <c r="BO46" s="127"/>
      <c r="BP46" s="127"/>
      <c r="BQ46" s="127"/>
      <c r="BR46" s="127"/>
    </row>
    <row r="47" ht="13.5" customHeight="1" outlineLevel="2">
      <c r="A47" s="195"/>
      <c r="B47" s="246" t="s">
        <v>693</v>
      </c>
      <c r="C47" s="246"/>
      <c r="D47" s="201"/>
      <c r="E47" s="162"/>
      <c r="F47" s="178"/>
      <c r="G47" s="178"/>
      <c r="H47" s="178"/>
      <c r="I47" s="178"/>
      <c r="J47" s="178"/>
      <c r="K47" s="178"/>
      <c r="L47" s="178"/>
      <c r="M47" s="178"/>
      <c r="N47" s="178"/>
      <c r="O47" s="178"/>
      <c r="P47" s="178"/>
      <c r="Q47" s="178"/>
      <c r="R47" s="178"/>
      <c r="S47" s="178"/>
      <c r="T47" s="178"/>
      <c r="U47" s="178"/>
      <c r="V47" s="178"/>
      <c r="W47" s="178"/>
      <c r="X47" s="178"/>
      <c r="Y47" s="178"/>
      <c r="Z47" s="178"/>
      <c r="AA47" s="178"/>
      <c r="AB47" s="178"/>
      <c r="AC47" s="178"/>
      <c r="AD47" s="178"/>
      <c r="AE47" s="178"/>
      <c r="AF47" s="178"/>
      <c r="AG47" s="178"/>
      <c r="AH47" s="178"/>
      <c r="AI47" s="162"/>
      <c r="AJ47" s="315"/>
      <c r="AK47" s="315"/>
      <c r="AL47" s="315"/>
      <c r="AM47" s="315"/>
      <c r="AN47" s="315"/>
      <c r="AO47" s="315"/>
      <c r="AP47" s="315"/>
      <c r="AQ47" s="315"/>
      <c r="AR47" s="315"/>
      <c r="AS47" s="315"/>
      <c r="AT47" s="315"/>
      <c r="AU47" s="315"/>
      <c r="AV47" s="315"/>
      <c r="AW47" s="315"/>
      <c r="AX47" s="315"/>
      <c r="AY47" s="315"/>
      <c r="AZ47" s="315"/>
      <c r="BA47" s="315"/>
      <c r="BB47" s="315"/>
      <c r="BC47" s="315"/>
      <c r="BD47" s="315"/>
      <c r="BE47" s="315"/>
      <c r="BF47" s="315"/>
      <c r="BG47" s="315"/>
      <c r="BH47" s="315"/>
      <c r="BI47" s="315"/>
      <c r="BJ47" s="315"/>
      <c r="BK47" s="315"/>
      <c r="BL47" s="315"/>
      <c r="BM47" s="315"/>
      <c r="BN47" s="315"/>
      <c r="BO47" s="315"/>
      <c r="BP47" s="315"/>
      <c r="BQ47" s="315"/>
      <c r="BR47" s="315"/>
    </row>
    <row r="48" ht="13.5" customHeight="1" outlineLevel="2">
      <c r="A48" s="195"/>
      <c r="B48" s="201"/>
      <c r="C48" s="246"/>
      <c r="D48" s="201"/>
      <c r="E48" s="327" t="s">
        <v>694</v>
      </c>
      <c r="F48" s="328" t="str">
        <f t="array" ref="F48">IF(SUMPRODUCT(caltoccfreschf*(Years=ProspectiveYears))=0,"Use of partner's results","")</f>
        <v/>
      </c>
      <c r="G48" s="329" t="s">
        <v>695</v>
      </c>
      <c r="H48" s="317">
        <f>IF(F48="Use of partner's results",1,0)</f>
        <v>0</v>
      </c>
      <c r="I48" s="178"/>
      <c r="J48" s="178"/>
      <c r="K48" s="178"/>
      <c r="L48" s="178"/>
      <c r="M48" s="178"/>
      <c r="N48" s="178"/>
      <c r="O48" s="178"/>
      <c r="P48" s="178"/>
      <c r="Q48" s="178"/>
      <c r="R48" s="178"/>
      <c r="S48" s="178"/>
      <c r="T48" s="178"/>
      <c r="U48" s="178"/>
      <c r="V48" s="178"/>
      <c r="W48" s="178"/>
      <c r="X48" s="178"/>
      <c r="Y48" s="178"/>
      <c r="Z48" s="178"/>
      <c r="AA48" s="178"/>
      <c r="AB48" s="178"/>
      <c r="AC48" s="178"/>
      <c r="AD48" s="178"/>
      <c r="AE48" s="178"/>
      <c r="AF48" s="178"/>
      <c r="AG48" s="178"/>
      <c r="AH48" s="178"/>
      <c r="AI48" s="162"/>
      <c r="AJ48" s="315"/>
      <c r="AK48" s="315"/>
      <c r="AL48" s="315"/>
      <c r="AM48" s="315"/>
      <c r="AN48" s="315"/>
      <c r="AO48" s="315"/>
      <c r="AP48" s="315"/>
      <c r="AQ48" s="315"/>
      <c r="AR48" s="315"/>
      <c r="AS48" s="315"/>
      <c r="AT48" s="315"/>
      <c r="AU48" s="315"/>
      <c r="AV48" s="315"/>
      <c r="AW48" s="315"/>
      <c r="AX48" s="315"/>
      <c r="AY48" s="315"/>
      <c r="AZ48" s="315"/>
      <c r="BA48" s="315"/>
      <c r="BB48" s="315"/>
      <c r="BC48" s="315"/>
      <c r="BD48" s="315"/>
      <c r="BE48" s="315"/>
      <c r="BF48" s="315"/>
      <c r="BG48" s="315"/>
      <c r="BH48" s="315"/>
      <c r="BI48" s="315"/>
      <c r="BJ48" s="315"/>
      <c r="BK48" s="315"/>
      <c r="BL48" s="315"/>
      <c r="BM48" s="315"/>
      <c r="BN48" s="315"/>
      <c r="BO48" s="315"/>
      <c r="BP48" s="315"/>
      <c r="BQ48" s="315"/>
      <c r="BR48" s="315"/>
    </row>
    <row r="49" ht="14.25" customHeight="1">
      <c r="A49" s="314" t="s">
        <v>696</v>
      </c>
      <c r="B49" s="246"/>
      <c r="C49" s="246"/>
      <c r="D49" s="201"/>
      <c r="E49" s="162"/>
      <c r="F49" s="162"/>
      <c r="G49" s="162"/>
      <c r="H49" s="178"/>
      <c r="I49" s="178"/>
      <c r="J49" s="178"/>
      <c r="K49" s="178"/>
      <c r="L49" s="178"/>
      <c r="M49" s="178"/>
      <c r="N49" s="178"/>
      <c r="O49" s="178"/>
      <c r="P49" s="178"/>
      <c r="Q49" s="178"/>
      <c r="R49" s="178"/>
      <c r="S49" s="178"/>
      <c r="T49" s="178"/>
      <c r="U49" s="178"/>
      <c r="V49" s="178"/>
      <c r="W49" s="178"/>
      <c r="X49" s="178"/>
      <c r="Y49" s="178"/>
      <c r="Z49" s="178"/>
      <c r="AA49" s="178"/>
      <c r="AB49" s="178"/>
      <c r="AC49" s="178"/>
      <c r="AD49" s="178"/>
      <c r="AE49" s="178"/>
      <c r="AF49" s="178"/>
      <c r="AG49" s="178"/>
      <c r="AH49" s="178"/>
      <c r="AI49" s="162"/>
      <c r="AJ49" s="315"/>
      <c r="AK49" s="315"/>
      <c r="AL49" s="315"/>
      <c r="AM49" s="315"/>
      <c r="AN49" s="315"/>
      <c r="AO49" s="315"/>
      <c r="AP49" s="315"/>
      <c r="AQ49" s="315"/>
      <c r="AR49" s="315"/>
      <c r="AS49" s="315"/>
      <c r="AT49" s="315"/>
      <c r="AU49" s="315"/>
      <c r="AV49" s="315"/>
      <c r="AW49" s="315"/>
      <c r="AX49" s="315"/>
      <c r="AY49" s="315"/>
      <c r="AZ49" s="315"/>
      <c r="BA49" s="315"/>
      <c r="BB49" s="315"/>
      <c r="BC49" s="315"/>
      <c r="BD49" s="315"/>
      <c r="BE49" s="315"/>
      <c r="BF49" s="315"/>
      <c r="BG49" s="315"/>
      <c r="BH49" s="315"/>
      <c r="BI49" s="315"/>
      <c r="BJ49" s="315"/>
      <c r="BK49" s="315"/>
      <c r="BL49" s="315"/>
      <c r="BM49" s="315"/>
      <c r="BN49" s="315"/>
      <c r="BO49" s="315"/>
      <c r="BP49" s="315"/>
      <c r="BQ49" s="315"/>
      <c r="BR49" s="315"/>
    </row>
    <row r="50" ht="13.5" customHeight="1" outlineLevel="2">
      <c r="A50" s="195"/>
      <c r="B50" s="201"/>
      <c r="C50" s="246"/>
      <c r="D50" s="201"/>
      <c r="E50" s="316" t="s">
        <v>697</v>
      </c>
      <c r="F50" s="316"/>
      <c r="G50" s="316" t="s">
        <v>698</v>
      </c>
      <c r="H50" s="317" t="str">
        <f>IF(AND(ISBLANK(teqclilex),ISBLANK(teqclilrv),ISBLANK(teqclilpn)),"NoDis","Dis")</f>
        <v>NoDis</v>
      </c>
      <c r="I50" s="317" t="str">
        <f>IF(AND(ISBLANK(teqclilex),ISBLANK(teqclilrv),ISBLANK(teqclilpn)),"NoDis","Dis")</f>
        <v>NoDis</v>
      </c>
      <c r="J50" s="317" t="str">
        <f>IF(AND(ISBLANK(teqclilex),ISBLANK(teqclilrv),ISBLANK(teqclilpn)),"NoDis","Dis")</f>
        <v>NoDis</v>
      </c>
      <c r="K50" s="317" t="str">
        <f>IF(AND(ISBLANK(teqclilex),ISBLANK(teqclilrv),ISBLANK(teqclilpn)),"NoDis","Dis")</f>
        <v>NoDis</v>
      </c>
      <c r="L50" s="317" t="str">
        <f>IF(AND(ISBLANK(teqclilex),ISBLANK(teqclilrv),ISBLANK(teqclilpn)),"NoDis","Dis")</f>
        <v>NoDis</v>
      </c>
      <c r="M50" s="317" t="str">
        <f>IF(AND(ISBLANK(teqclilex),ISBLANK(teqclilrv),ISBLANK(teqclilpn)),"NoDis","Dis")</f>
        <v>NoDis</v>
      </c>
      <c r="N50" s="317" t="str">
        <f>IF(AND(ISBLANK(teqclilex),ISBLANK(teqclilrv),ISBLANK(teqclilpn)),"NoDis","Dis")</f>
        <v>NoDis</v>
      </c>
      <c r="O50" s="317" t="str">
        <f>IF(AND(ISBLANK(teqclilex),ISBLANK(teqclilrv),ISBLANK(teqclilpn)),"NoDis","Dis")</f>
        <v>NoDis</v>
      </c>
      <c r="P50" s="317" t="str">
        <f>IF(AND(ISBLANK(teqclilex),ISBLANK(teqclilrv),ISBLANK(teqclilpn)),"NoDis","Dis")</f>
        <v>NoDis</v>
      </c>
      <c r="Q50" s="317" t="str">
        <f>IF(AND(ISBLANK(teqclilex),ISBLANK(teqclilrv),ISBLANK(teqclilpn)),"NoDis","Dis")</f>
        <v>NoDis</v>
      </c>
      <c r="R50" s="317" t="str">
        <f>IF(AND(ISBLANK(teqclilex),ISBLANK(teqclilrv),ISBLANK(teqclilpn)),"NoDis","Dis")</f>
        <v>NoDis</v>
      </c>
      <c r="S50" s="317" t="str">
        <f>IF(AND(ISBLANK(teqclilex),ISBLANK(teqclilrv),ISBLANK(teqclilpn)),"NoDis","Dis")</f>
        <v>NoDis</v>
      </c>
      <c r="T50" s="317" t="str">
        <f>IF(AND(ISBLANK(teqclilex),ISBLANK(teqclilrv),ISBLANK(teqclilpn)),"NoDis","Dis")</f>
        <v>NoDis</v>
      </c>
      <c r="U50" s="317" t="str">
        <f>IF(AND(ISBLANK(teqclilex),ISBLANK(teqclilrv),ISBLANK(teqclilpn)),"NoDis","Dis")</f>
        <v>NoDis</v>
      </c>
      <c r="V50" s="317" t="str">
        <f>IF(AND(ISBLANK(teqclilex),ISBLANK(teqclilrv),ISBLANK(teqclilpn)),"NoDis","Dis")</f>
        <v>NoDis</v>
      </c>
      <c r="W50" s="317" t="str">
        <f>IF(AND(ISBLANK(teqclilex),ISBLANK(teqclilrv),ISBLANK(teqclilpn)),"NoDis","Dis")</f>
        <v>NoDis</v>
      </c>
      <c r="X50" s="317" t="str">
        <f>IF(AND(ISBLANK(teqclilex),ISBLANK(teqclilrv),ISBLANK(teqclilpn)),"NoDis","Dis")</f>
        <v>NoDis</v>
      </c>
      <c r="Y50" s="317" t="str">
        <f>IF(AND(ISBLANK(teqclilex),ISBLANK(teqclilrv),ISBLANK(teqclilpn)),"NoDis","Dis")</f>
        <v>NoDis</v>
      </c>
      <c r="Z50" s="317" t="str">
        <f>IF(AND(ISBLANK(teqclilex),ISBLANK(teqclilrv),ISBLANK(teqclilpn)),"NoDis","Dis")</f>
        <v>NoDis</v>
      </c>
      <c r="AA50" s="317" t="str">
        <f>IF(AND(ISBLANK(teqclilex),ISBLANK(teqclilrv),ISBLANK(teqclilpn)),"NoDis","Dis")</f>
        <v>NoDis</v>
      </c>
      <c r="AB50" s="317" t="str">
        <f>IF(AND(ISBLANK(teqclilex),ISBLANK(teqclilrv),ISBLANK(teqclilpn)),"NoDis","Dis")</f>
        <v>NoDis</v>
      </c>
      <c r="AC50" s="317" t="str">
        <f>IF(AND(ISBLANK(teqclilex),ISBLANK(teqclilrv),ISBLANK(teqclilpn)),"NoDis","Dis")</f>
        <v>NoDis</v>
      </c>
      <c r="AD50" s="317" t="str">
        <f>IF(AND(ISBLANK(teqclilex),ISBLANK(teqclilrv),ISBLANK(teqclilpn)),"NoDis","Dis")</f>
        <v>NoDis</v>
      </c>
      <c r="AE50" s="317" t="str">
        <f>IF(AND(ISBLANK(teqclilex),ISBLANK(teqclilrv),ISBLANK(teqclilpn)),"NoDis","Dis")</f>
        <v>NoDis</v>
      </c>
      <c r="AF50" s="317" t="str">
        <f>IF(AND(ISBLANK(teqclilex),ISBLANK(teqclilrv),ISBLANK(teqclilpn)),"NoDis","Dis")</f>
        <v>NoDis</v>
      </c>
      <c r="AG50" s="317" t="str">
        <f>IF(AND(ISBLANK(teqclilex),ISBLANK(teqclilrv),ISBLANK(teqclilpn)),"NoDis","Dis")</f>
        <v>NoDis</v>
      </c>
      <c r="AH50" s="317" t="str">
        <f>IF(AND(ISBLANK(teqclilex),ISBLANK(teqclilrv),ISBLANK(teqclilpn)),"NoDis","Dis")</f>
        <v>NoDis</v>
      </c>
      <c r="AI50" s="125"/>
      <c r="AJ50" s="127"/>
      <c r="AK50" s="127"/>
      <c r="AL50" s="127"/>
      <c r="AM50" s="127"/>
      <c r="AN50" s="127"/>
      <c r="AO50" s="127"/>
      <c r="AP50" s="127"/>
      <c r="AQ50" s="127"/>
      <c r="AR50" s="127"/>
      <c r="AS50" s="127"/>
      <c r="AT50" s="127"/>
      <c r="AU50" s="127"/>
      <c r="AV50" s="127"/>
      <c r="AW50" s="127"/>
      <c r="AX50" s="127"/>
      <c r="AY50" s="127"/>
      <c r="AZ50" s="127"/>
      <c r="BA50" s="127"/>
      <c r="BB50" s="127"/>
      <c r="BC50" s="127"/>
      <c r="BD50" s="127"/>
      <c r="BE50" s="127"/>
      <c r="BF50" s="127"/>
      <c r="BG50" s="127"/>
      <c r="BH50" s="127"/>
      <c r="BI50" s="127"/>
      <c r="BJ50" s="127"/>
      <c r="BK50" s="127"/>
      <c r="BL50" s="127"/>
      <c r="BM50" s="127"/>
      <c r="BN50" s="127"/>
      <c r="BO50" s="127"/>
      <c r="BP50" s="127"/>
      <c r="BQ50" s="127"/>
      <c r="BR50" s="127"/>
    </row>
    <row r="51" ht="13.5" customHeight="1" outlineLevel="2">
      <c r="A51" s="195"/>
      <c r="B51" s="201"/>
      <c r="C51" s="246"/>
      <c r="D51" s="201"/>
      <c r="E51" s="316" t="s">
        <v>699</v>
      </c>
      <c r="F51" s="316"/>
      <c r="G51" s="316" t="s">
        <v>700</v>
      </c>
      <c r="H51" s="317" t="str">
        <f>IF(AND(ISBLANK(cfmlexcli),ISBLANK(cfmlrvcli),ISBLANK(cfmlpncli)),"NoDis","Dis")</f>
        <v>NoDis</v>
      </c>
      <c r="I51" s="317" t="str">
        <f>IF(AND(ISBLANK(cfmlexcli),ISBLANK(cfmlrvcli),ISBLANK(cfmlpncli)),"NoDis","Dis")</f>
        <v>NoDis</v>
      </c>
      <c r="J51" s="317" t="str">
        <f>IF(AND(ISBLANK(cfmlexcli),ISBLANK(cfmlrvcli),ISBLANK(cfmlpncli)),"NoDis","Dis")</f>
        <v>NoDis</v>
      </c>
      <c r="K51" s="317" t="str">
        <f>IF(AND(ISBLANK(cfmlexcli),ISBLANK(cfmlrvcli),ISBLANK(cfmlpncli)),"NoDis","Dis")</f>
        <v>NoDis</v>
      </c>
      <c r="L51" s="317" t="str">
        <f>IF(AND(ISBLANK(cfmlexcli),ISBLANK(cfmlrvcli),ISBLANK(cfmlpncli)),"NoDis","Dis")</f>
        <v>NoDis</v>
      </c>
      <c r="M51" s="317" t="str">
        <f>IF(AND(ISBLANK(cfmlexcli),ISBLANK(cfmlrvcli),ISBLANK(cfmlpncli)),"NoDis","Dis")</f>
        <v>NoDis</v>
      </c>
      <c r="N51" s="317" t="str">
        <f>IF(AND(ISBLANK(cfmlexcli),ISBLANK(cfmlrvcli),ISBLANK(cfmlpncli)),"NoDis","Dis")</f>
        <v>NoDis</v>
      </c>
      <c r="O51" s="317" t="str">
        <f>IF(AND(ISBLANK(cfmlexcli),ISBLANK(cfmlrvcli),ISBLANK(cfmlpncli)),"NoDis","Dis")</f>
        <v>NoDis</v>
      </c>
      <c r="P51" s="317" t="str">
        <f>IF(AND(ISBLANK(cfmlexcli),ISBLANK(cfmlrvcli),ISBLANK(cfmlpncli)),"NoDis","Dis")</f>
        <v>NoDis</v>
      </c>
      <c r="Q51" s="317" t="str">
        <f>IF(AND(ISBLANK(cfmlexcli),ISBLANK(cfmlrvcli),ISBLANK(cfmlpncli)),"NoDis","Dis")</f>
        <v>NoDis</v>
      </c>
      <c r="R51" s="317" t="str">
        <f>IF(AND(ISBLANK(cfmlexcli),ISBLANK(cfmlrvcli),ISBLANK(cfmlpncli)),"NoDis","Dis")</f>
        <v>NoDis</v>
      </c>
      <c r="S51" s="317" t="str">
        <f>IF(AND(ISBLANK(cfmlexcli),ISBLANK(cfmlrvcli),ISBLANK(cfmlpncli)),"NoDis","Dis")</f>
        <v>NoDis</v>
      </c>
      <c r="T51" s="317" t="str">
        <f>IF(AND(ISBLANK(cfmlexcli),ISBLANK(cfmlrvcli),ISBLANK(cfmlpncli)),"NoDis","Dis")</f>
        <v>NoDis</v>
      </c>
      <c r="U51" s="317" t="str">
        <f>IF(AND(ISBLANK(cfmlexcli),ISBLANK(cfmlrvcli),ISBLANK(cfmlpncli)),"NoDis","Dis")</f>
        <v>NoDis</v>
      </c>
      <c r="V51" s="317" t="str">
        <f>IF(AND(ISBLANK(cfmlexcli),ISBLANK(cfmlrvcli),ISBLANK(cfmlpncli)),"NoDis","Dis")</f>
        <v>NoDis</v>
      </c>
      <c r="W51" s="317" t="str">
        <f>IF(AND(ISBLANK(cfmlexcli),ISBLANK(cfmlrvcli),ISBLANK(cfmlpncli)),"NoDis","Dis")</f>
        <v>NoDis</v>
      </c>
      <c r="X51" s="317" t="str">
        <f>IF(AND(ISBLANK(cfmlexcli),ISBLANK(cfmlrvcli),ISBLANK(cfmlpncli)),"NoDis","Dis")</f>
        <v>NoDis</v>
      </c>
      <c r="Y51" s="317" t="str">
        <f>IF(AND(ISBLANK(cfmlexcli),ISBLANK(cfmlrvcli),ISBLANK(cfmlpncli)),"NoDis","Dis")</f>
        <v>NoDis</v>
      </c>
      <c r="Z51" s="317" t="str">
        <f>IF(AND(ISBLANK(cfmlexcli),ISBLANK(cfmlrvcli),ISBLANK(cfmlpncli)),"NoDis","Dis")</f>
        <v>NoDis</v>
      </c>
      <c r="AA51" s="317" t="str">
        <f>IF(AND(ISBLANK(cfmlexcli),ISBLANK(cfmlrvcli),ISBLANK(cfmlpncli)),"NoDis","Dis")</f>
        <v>NoDis</v>
      </c>
      <c r="AB51" s="317" t="str">
        <f>IF(AND(ISBLANK(cfmlexcli),ISBLANK(cfmlrvcli),ISBLANK(cfmlpncli)),"NoDis","Dis")</f>
        <v>NoDis</v>
      </c>
      <c r="AC51" s="317" t="str">
        <f>IF(AND(ISBLANK(cfmlexcli),ISBLANK(cfmlrvcli),ISBLANK(cfmlpncli)),"NoDis","Dis")</f>
        <v>NoDis</v>
      </c>
      <c r="AD51" s="317" t="str">
        <f>IF(AND(ISBLANK(cfmlexcli),ISBLANK(cfmlrvcli),ISBLANK(cfmlpncli)),"NoDis","Dis")</f>
        <v>NoDis</v>
      </c>
      <c r="AE51" s="317" t="str">
        <f>IF(AND(ISBLANK(cfmlexcli),ISBLANK(cfmlrvcli),ISBLANK(cfmlpncli)),"NoDis","Dis")</f>
        <v>NoDis</v>
      </c>
      <c r="AF51" s="317" t="str">
        <f>IF(AND(ISBLANK(cfmlexcli),ISBLANK(cfmlrvcli),ISBLANK(cfmlpncli)),"NoDis","Dis")</f>
        <v>NoDis</v>
      </c>
      <c r="AG51" s="317" t="str">
        <f>IF(AND(ISBLANK(cfmlexcli),ISBLANK(cfmlrvcli),ISBLANK(cfmlpncli)),"NoDis","Dis")</f>
        <v>NoDis</v>
      </c>
      <c r="AH51" s="317" t="str">
        <f>IF(AND(ISBLANK(cfmlexcli),ISBLANK(cfmlrvcli),ISBLANK(cfmlpncli)),"NoDis","Dis")</f>
        <v>NoDis</v>
      </c>
      <c r="AI51" s="125"/>
      <c r="AJ51" s="127"/>
      <c r="AK51" s="127"/>
      <c r="AL51" s="127"/>
      <c r="AM51" s="127"/>
      <c r="AN51" s="127"/>
      <c r="AO51" s="127"/>
      <c r="AP51" s="127"/>
      <c r="AQ51" s="127"/>
      <c r="AR51" s="127"/>
      <c r="AS51" s="127"/>
      <c r="AT51" s="127"/>
      <c r="AU51" s="127"/>
      <c r="AV51" s="127"/>
      <c r="AW51" s="127"/>
      <c r="AX51" s="127"/>
      <c r="AY51" s="127"/>
      <c r="AZ51" s="127"/>
      <c r="BA51" s="127"/>
      <c r="BB51" s="127"/>
      <c r="BC51" s="127"/>
      <c r="BD51" s="127"/>
      <c r="BE51" s="127"/>
      <c r="BF51" s="127"/>
      <c r="BG51" s="127"/>
      <c r="BH51" s="127"/>
      <c r="BI51" s="127"/>
      <c r="BJ51" s="127"/>
      <c r="BK51" s="127"/>
      <c r="BL51" s="127"/>
      <c r="BM51" s="127"/>
      <c r="BN51" s="127"/>
      <c r="BO51" s="127"/>
      <c r="BP51" s="127"/>
      <c r="BQ51" s="127"/>
      <c r="BR51" s="127"/>
    </row>
    <row r="52" ht="13.5" customHeight="1" outlineLevel="2">
      <c r="A52" s="195"/>
      <c r="B52" s="201"/>
      <c r="C52" s="246"/>
      <c r="D52" s="201"/>
      <c r="E52" s="316" t="s">
        <v>701</v>
      </c>
      <c r="F52" s="316"/>
      <c r="G52" s="316" t="s">
        <v>702</v>
      </c>
      <c r="H52" s="317" t="str">
        <f>IF(ROUNDUP(cfmresclidw,-2)&gt;200,"Ok","Warning: input values concern all dwellings and not only equipped dweelings")</f>
        <v>Ok</v>
      </c>
      <c r="I52" s="317" t="str">
        <f>IF(ROUNDUP(cfmresclidw,-2)&gt;200,"Ok","Warning: input values concern all dwellings and not only equipped dweelings")</f>
        <v>Ok</v>
      </c>
      <c r="J52" s="317" t="str">
        <f>IF(ROUNDUP(cfmresclidw,-2)&gt;200,"Ok","Warning: input values concern all dwellings and not only equipped dweelings")</f>
        <v>Ok</v>
      </c>
      <c r="K52" s="317" t="str">
        <f>IF(ROUNDUP(cfmresclidw,-2)&gt;200,"Ok","Warning: input values concern all dwellings and not only equipped dweelings")</f>
        <v>Ok</v>
      </c>
      <c r="L52" s="317" t="str">
        <f>IF(ROUNDUP(cfmresclidw,-2)&gt;200,"Ok","Warning: input values concern all dwellings and not only equipped dweelings")</f>
        <v>Ok</v>
      </c>
      <c r="M52" s="317" t="str">
        <f>IF(ROUNDUP(cfmresclidw,-2)&gt;200,"Ok","Warning: input values concern all dwellings and not only equipped dweelings")</f>
        <v>Ok</v>
      </c>
      <c r="N52" s="317" t="str">
        <f>IF(ROUNDUP(cfmresclidw,-2)&gt;200,"Ok","Warning: input values concern all dwellings and not only equipped dweelings")</f>
        <v>Ok</v>
      </c>
      <c r="O52" s="317" t="str">
        <f>IF(ROUNDUP(cfmresclidw,-2)&gt;200,"Ok","Warning: input values concern all dwellings and not only equipped dweelings")</f>
        <v>Ok</v>
      </c>
      <c r="P52" s="317" t="str">
        <f>IF(ROUNDUP(cfmresclidw,-2)&gt;200,"Ok","Warning: input values concern all dwellings and not only equipped dweelings")</f>
        <v>Ok</v>
      </c>
      <c r="Q52" s="317" t="str">
        <f>IF(ROUNDUP(cfmresclidw,-2)&gt;200,"Ok","Warning: input values concern all dwellings and not only equipped dweelings")</f>
        <v>Ok</v>
      </c>
      <c r="R52" s="317" t="str">
        <f>IF(ROUNDUP(cfmresclidw,-2)&gt;200,"Ok","Warning: input values concern all dwellings and not only equipped dweelings")</f>
        <v>Ok</v>
      </c>
      <c r="S52" s="317" t="str">
        <f>IF(ROUNDUP(cfmresclidw,-2)&gt;200,"Ok","Warning: input values concern all dwellings and not only equipped dweelings")</f>
        <v>Ok</v>
      </c>
      <c r="T52" s="317" t="str">
        <f>IF(ROUNDUP(cfmresclidw,-2)&gt;200,"Ok","Warning: input values concern all dwellings and not only equipped dweelings")</f>
        <v>Ok</v>
      </c>
      <c r="U52" s="317" t="str">
        <f>IF(ROUNDUP(cfmresclidw,-2)&gt;200,"Ok","Warning: input values concern all dwellings and not only equipped dweelings")</f>
        <v>Ok</v>
      </c>
      <c r="V52" s="317" t="str">
        <f>IF(ROUNDUP(cfmresclidw,-2)&gt;200,"Ok","Warning: input values concern all dwellings and not only equipped dweelings")</f>
        <v>Ok</v>
      </c>
      <c r="W52" s="317" t="str">
        <f>IF(ROUNDUP(cfmresclidw,-2)&gt;200,"Ok","Warning: input values concern all dwellings and not only equipped dweelings")</f>
        <v>Ok</v>
      </c>
      <c r="X52" s="317" t="str">
        <f>IF(ROUNDUP(cfmresclidw,-2)&gt;200,"Ok","Warning: input values concern all dwellings and not only equipped dweelings")</f>
        <v>Warning: input values concern all dwellings and not only equipped dweelings</v>
      </c>
      <c r="Y52" s="317" t="str">
        <f>IF(ROUNDUP(cfmresclidw,-2)&gt;200,"Ok","Warning: input values concern all dwellings and not only equipped dweelings")</f>
        <v>Warning: input values concern all dwellings and not only equipped dweelings</v>
      </c>
      <c r="Z52" s="317" t="str">
        <f>IF(ROUNDUP(cfmresclidw,-2)&gt;200,"Ok","Warning: input values concern all dwellings and not only equipped dweelings")</f>
        <v>Warning: input values concern all dwellings and not only equipped dweelings</v>
      </c>
      <c r="AA52" s="317" t="str">
        <f>IF(ROUNDUP(cfmresclidw,-2)&gt;200,"Ok","Warning: input values concern all dwellings and not only equipped dweelings")</f>
        <v>Warning: input values concern all dwellings and not only equipped dweelings</v>
      </c>
      <c r="AB52" s="317" t="str">
        <f>IF(ROUNDUP(cfmresclidw,-2)&gt;200,"Ok","Warning: input values concern all dwellings and not only equipped dweelings")</f>
        <v>Ok</v>
      </c>
      <c r="AC52" s="317" t="str">
        <f>IF(ROUNDUP(cfmresclidw,-2)&gt;200,"Ok","Warning: input values concern all dwellings and not only equipped dweelings")</f>
        <v>Ok</v>
      </c>
      <c r="AD52" s="317" t="str">
        <f>IF(ROUNDUP(cfmresclidw,-2)&gt;200,"Ok","Warning: input values concern all dwellings and not only equipped dweelings")</f>
        <v>Ok</v>
      </c>
      <c r="AE52" s="317" t="str">
        <f>IF(ROUNDUP(cfmresclidw,-2)&gt;200,"Ok","Warning: input values concern all dwellings and not only equipped dweelings")</f>
        <v>Ok</v>
      </c>
      <c r="AF52" s="317" t="str">
        <f>IF(ROUNDUP(cfmresclidw,-2)&gt;200,"Ok","Warning: input values concern all dwellings and not only equipped dweelings")</f>
        <v>Ok</v>
      </c>
      <c r="AG52" s="317" t="str">
        <f>IF(ROUNDUP(cfmresclidw,-2)&gt;200,"Ok","Warning: input values concern all dwellings and not only equipped dweelings")</f>
        <v>Ok</v>
      </c>
      <c r="AH52" s="317" t="str">
        <f>IF(ROUNDUP(cfmresclidw,-2)&gt;200,"Ok","Warning: input values concern all dwellings and not only equipped dweelings")</f>
        <v>Ok</v>
      </c>
      <c r="AI52" s="125"/>
      <c r="AJ52" s="127"/>
      <c r="AK52" s="127"/>
      <c r="AL52" s="127"/>
      <c r="AM52" s="127"/>
      <c r="AN52" s="127"/>
      <c r="AO52" s="127"/>
      <c r="AP52" s="127"/>
      <c r="AQ52" s="127"/>
      <c r="AR52" s="127"/>
      <c r="AS52" s="127"/>
      <c r="AT52" s="127"/>
      <c r="AU52" s="127"/>
      <c r="AV52" s="127"/>
      <c r="AW52" s="127"/>
      <c r="AX52" s="127"/>
      <c r="AY52" s="127"/>
      <c r="AZ52" s="127"/>
      <c r="BA52" s="127"/>
      <c r="BB52" s="127"/>
      <c r="BC52" s="127"/>
      <c r="BD52" s="127"/>
      <c r="BE52" s="127"/>
      <c r="BF52" s="127"/>
      <c r="BG52" s="127"/>
      <c r="BH52" s="127"/>
      <c r="BI52" s="127"/>
      <c r="BJ52" s="127"/>
      <c r="BK52" s="127"/>
      <c r="BL52" s="127"/>
      <c r="BM52" s="127"/>
      <c r="BN52" s="127"/>
      <c r="BO52" s="127"/>
      <c r="BP52" s="127"/>
      <c r="BQ52" s="127"/>
      <c r="BR52" s="127"/>
    </row>
    <row r="53" ht="14.25" customHeight="1" outlineLevel="3">
      <c r="A53" s="195"/>
      <c r="B53" s="201"/>
      <c r="C53" s="201"/>
      <c r="D53" s="201"/>
      <c r="E53" s="273" t="s">
        <v>703</v>
      </c>
      <c r="F53" s="123" t="s">
        <v>135</v>
      </c>
      <c r="G53" s="123" t="s">
        <v>704</v>
      </c>
      <c r="H53" s="274" t="str">
        <f>IFERROR(IF(ccicfmdw="Ok",cfmresclidw,cfmresclidw/teqcli),)</f>
        <v>#REF!</v>
      </c>
      <c r="I53" s="274" t="str">
        <f>IFERROR(IF(ccicfmdw="Ok",cfmresclidw,cfmresclidw/teqcli),)</f>
        <v>#REF!</v>
      </c>
      <c r="J53" s="274" t="str">
        <f>IFERROR(IF(ccicfmdw="Ok",cfmresclidw,cfmresclidw/teqcli),)</f>
        <v>#REF!</v>
      </c>
      <c r="K53" s="274" t="str">
        <f>IFERROR(IF(ccicfmdw="Ok",cfmresclidw,cfmresclidw/teqcli),)</f>
        <v>#REF!</v>
      </c>
      <c r="L53" s="274" t="str">
        <f>IFERROR(IF(ccicfmdw="Ok",cfmresclidw,cfmresclidw/teqcli),)</f>
        <v>#REF!</v>
      </c>
      <c r="M53" s="274" t="str">
        <f>IFERROR(IF(ccicfmdw="Ok",cfmresclidw,cfmresclidw/teqcli),)</f>
        <v>#REF!</v>
      </c>
      <c r="N53" s="274" t="str">
        <f>IFERROR(IF(ccicfmdw="Ok",cfmresclidw,cfmresclidw/teqcli),)</f>
        <v>#REF!</v>
      </c>
      <c r="O53" s="274" t="str">
        <f>IFERROR(IF(ccicfmdw="Ok",cfmresclidw,cfmresclidw/teqcli),)</f>
        <v>#REF!</v>
      </c>
      <c r="P53" s="274" t="str">
        <f>IFERROR(IF(ccicfmdw="Ok",cfmresclidw,cfmresclidw/teqcli),)</f>
        <v>#REF!</v>
      </c>
      <c r="Q53" s="274" t="str">
        <f>IFERROR(IF(ccicfmdw="Ok",cfmresclidw,cfmresclidw/teqcli),)</f>
        <v>#REF!</v>
      </c>
      <c r="R53" s="274" t="str">
        <f>IFERROR(IF(ccicfmdw="Ok",cfmresclidw,cfmresclidw/teqcli),)</f>
        <v>#REF!</v>
      </c>
      <c r="S53" s="274" t="str">
        <f>IFERROR(IF(ccicfmdw="Ok",cfmresclidw,cfmresclidw/teqcli),)</f>
        <v>#REF!</v>
      </c>
      <c r="T53" s="274" t="str">
        <f>IFERROR(IF(ccicfmdw="Ok",cfmresclidw,cfmresclidw/teqcli),)</f>
        <v>#REF!</v>
      </c>
      <c r="U53" s="274" t="str">
        <f>IFERROR(IF(ccicfmdw="Ok",cfmresclidw,cfmresclidw/teqcli),)</f>
        <v>#REF!</v>
      </c>
      <c r="V53" s="274" t="str">
        <f>IFERROR(IF(ccicfmdw="Ok",cfmresclidw,cfmresclidw/teqcli),)</f>
        <v>#REF!</v>
      </c>
      <c r="W53" s="274" t="str">
        <f>IFERROR(IF(ccicfmdw="Ok",cfmresclidw,cfmresclidw/teqcli),)</f>
        <v>#REF!</v>
      </c>
      <c r="X53" s="274">
        <f>IFERROR(IF(ccicfmdw="Ok",cfmresclidw,cfmresclidw/teqcli),)</f>
        <v>0</v>
      </c>
      <c r="Y53" s="274">
        <f>IFERROR(IF(ccicfmdw="Ok",cfmresclidw,cfmresclidw/teqcli),)</f>
        <v>0</v>
      </c>
      <c r="Z53" s="274" t="str">
        <f>IFERROR(IF(ccicfmdw="Ok",cfmresclidw,cfmresclidw/teqcli),)</f>
        <v/>
      </c>
      <c r="AA53" s="274" t="str">
        <f>IFERROR(IF(ccicfmdw="Ok",cfmresclidw,cfmresclidw/teqcli),)</f>
        <v/>
      </c>
      <c r="AB53" s="274" t="str">
        <f>IFERROR(IF(ccicfmdw="Ok",cfmresclidw,cfmresclidw/teqcli),)</f>
        <v>#REF!</v>
      </c>
      <c r="AC53" s="274" t="str">
        <f>IFERROR(IF(ccicfmdw="Ok",cfmresclidw,cfmresclidw/teqcli),)</f>
        <v>#REF!</v>
      </c>
      <c r="AD53" s="274" t="str">
        <f>IFERROR(IF(ccicfmdw="Ok",cfmresclidw,cfmresclidw/teqcli),)</f>
        <v>#REF!</v>
      </c>
      <c r="AE53" s="274" t="str">
        <f>IFERROR(IF(ccicfmdw="Ok",cfmresclidw,cfmresclidw/teqcli),)</f>
        <v>#REF!</v>
      </c>
      <c r="AF53" s="274" t="str">
        <f>IFERROR(IF(ccicfmdw="Ok",cfmresclidw,cfmresclidw/teqcli),)</f>
        <v>#REF!</v>
      </c>
      <c r="AG53" s="274" t="str">
        <f>IFERROR(IF(ccicfmdw="Ok",cfmresclidw,cfmresclidw/teqcli),)</f>
        <v>#REF!</v>
      </c>
      <c r="AH53" s="274">
        <f>IFERROR(IF(ccicfmdw="Ok",cfmresclidw,cfmresclidw/teqcli),)</f>
        <v>1504.210922</v>
      </c>
      <c r="AI53" s="318">
        <v>1524.40068317386</v>
      </c>
      <c r="AJ53" s="319">
        <v>1534.98920246285</v>
      </c>
      <c r="AK53" s="319">
        <v>1544.85180743392</v>
      </c>
      <c r="AL53" s="319">
        <v>1580.54639703097</v>
      </c>
      <c r="AM53" s="319">
        <v>1575.49361595951</v>
      </c>
      <c r="AN53" s="319">
        <v>1590.06839460133</v>
      </c>
      <c r="AO53" s="319">
        <v>1610.72827076256</v>
      </c>
      <c r="AP53" s="319">
        <v>1698.18980989822</v>
      </c>
      <c r="AQ53" s="319">
        <v>1749.62650691499</v>
      </c>
      <c r="AR53" s="319">
        <v>1762.32621490599</v>
      </c>
      <c r="AS53" s="319">
        <v>1753.65224698257</v>
      </c>
      <c r="AT53" s="319">
        <v>1767.10097216141</v>
      </c>
      <c r="AU53" s="319">
        <v>1747.49928476424</v>
      </c>
      <c r="AV53" s="319">
        <v>1739.57851821229</v>
      </c>
      <c r="AW53" s="319">
        <v>1816.9168719381</v>
      </c>
      <c r="AX53" s="319"/>
      <c r="AY53" s="319"/>
      <c r="AZ53" s="319"/>
      <c r="BA53" s="319"/>
      <c r="BB53" s="319">
        <v>1800.0</v>
      </c>
      <c r="BC53" s="319">
        <v>1800.0</v>
      </c>
      <c r="BD53" s="319">
        <v>1800.0</v>
      </c>
      <c r="BE53" s="319">
        <v>1800.0</v>
      </c>
      <c r="BF53" s="319">
        <v>1800.0</v>
      </c>
      <c r="BG53" s="319">
        <v>1800.0</v>
      </c>
      <c r="BH53" s="319">
        <v>1800.0</v>
      </c>
      <c r="BI53" s="319"/>
      <c r="BJ53" s="319"/>
      <c r="BK53" s="319"/>
      <c r="BL53" s="319"/>
      <c r="BM53" s="319"/>
      <c r="BN53" s="319"/>
      <c r="BO53" s="319"/>
      <c r="BP53" s="319"/>
      <c r="BQ53" s="319"/>
      <c r="BR53" s="319"/>
    </row>
    <row r="54" ht="14.25" customHeight="1" outlineLevel="2">
      <c r="A54" s="195"/>
      <c r="B54" s="246" t="s">
        <v>705</v>
      </c>
      <c r="C54" s="323"/>
      <c r="D54" s="323"/>
      <c r="E54" s="323"/>
      <c r="F54" s="162"/>
      <c r="G54" s="162"/>
      <c r="H54" s="178"/>
      <c r="I54" s="178"/>
      <c r="J54" s="178"/>
      <c r="K54" s="178"/>
      <c r="L54" s="178"/>
      <c r="M54" s="178"/>
      <c r="N54" s="178"/>
      <c r="O54" s="178"/>
      <c r="P54" s="178"/>
      <c r="Q54" s="178"/>
      <c r="R54" s="178"/>
      <c r="S54" s="178"/>
      <c r="T54" s="178"/>
      <c r="U54" s="178"/>
      <c r="V54" s="178"/>
      <c r="W54" s="178"/>
      <c r="X54" s="178"/>
      <c r="Y54" s="178"/>
      <c r="Z54" s="178"/>
      <c r="AA54" s="178"/>
      <c r="AB54" s="178"/>
      <c r="AC54" s="178"/>
      <c r="AD54" s="178"/>
      <c r="AE54" s="178"/>
      <c r="AF54" s="178"/>
      <c r="AG54" s="178"/>
      <c r="AH54" s="178"/>
      <c r="AI54" s="162"/>
      <c r="AJ54" s="315"/>
      <c r="AK54" s="315"/>
      <c r="AL54" s="315"/>
      <c r="AM54" s="315"/>
      <c r="AN54" s="315"/>
      <c r="AO54" s="315"/>
      <c r="AP54" s="315"/>
      <c r="AQ54" s="315"/>
      <c r="AR54" s="315"/>
      <c r="AS54" s="315"/>
      <c r="AT54" s="315"/>
      <c r="AU54" s="315"/>
      <c r="AV54" s="315"/>
      <c r="AW54" s="315"/>
      <c r="AX54" s="315"/>
      <c r="AY54" s="315"/>
      <c r="AZ54" s="315"/>
      <c r="BA54" s="315"/>
      <c r="BB54" s="315"/>
      <c r="BC54" s="315"/>
      <c r="BD54" s="315"/>
      <c r="BE54" s="315"/>
      <c r="BF54" s="315"/>
      <c r="BG54" s="315"/>
      <c r="BH54" s="315"/>
      <c r="BI54" s="315"/>
      <c r="BJ54" s="315"/>
      <c r="BK54" s="315"/>
      <c r="BL54" s="315"/>
      <c r="BM54" s="315"/>
      <c r="BN54" s="315"/>
      <c r="BO54" s="315"/>
      <c r="BP54" s="315"/>
      <c r="BQ54" s="315"/>
      <c r="BR54" s="315"/>
    </row>
    <row r="55" ht="14.25" customHeight="1" outlineLevel="3">
      <c r="A55" s="195"/>
      <c r="B55" s="201"/>
      <c r="C55" s="201"/>
      <c r="D55" s="201"/>
      <c r="E55" s="273" t="s">
        <v>706</v>
      </c>
      <c r="F55" s="123" t="s">
        <v>135</v>
      </c>
      <c r="G55" s="123" t="s">
        <v>707</v>
      </c>
      <c r="H55" s="274">
        <f>M*caltotsurlex*teqclilex*k*cfmlexcli/T</f>
        <v>0</v>
      </c>
      <c r="I55" s="274">
        <f>M*caltotsurlex*teqclilex*k*cfmlexcli/T</f>
        <v>0</v>
      </c>
      <c r="J55" s="274">
        <f>M*caltotsurlex*teqclilex*k*cfmlexcli/T</f>
        <v>0</v>
      </c>
      <c r="K55" s="274">
        <f>M*caltotsurlex*teqclilex*k*cfmlexcli/T</f>
        <v>0</v>
      </c>
      <c r="L55" s="274">
        <f>M*caltotsurlex*teqclilex*k*cfmlexcli/T</f>
        <v>0</v>
      </c>
      <c r="M55" s="274">
        <f>M*caltotsurlex*teqclilex*k*cfmlexcli/T</f>
        <v>0</v>
      </c>
      <c r="N55" s="274">
        <f>M*caltotsurlex*teqclilex*k*cfmlexcli/T</f>
        <v>0</v>
      </c>
      <c r="O55" s="274">
        <f>M*caltotsurlex*teqclilex*k*cfmlexcli/T</f>
        <v>0</v>
      </c>
      <c r="P55" s="274">
        <f>M*caltotsurlex*teqclilex*k*cfmlexcli/T</f>
        <v>0</v>
      </c>
      <c r="Q55" s="274">
        <f>M*caltotsurlex*teqclilex*k*cfmlexcli/T</f>
        <v>0</v>
      </c>
      <c r="R55" s="274">
        <f>M*caltotsurlex*teqclilex*k*cfmlexcli/T</f>
        <v>0</v>
      </c>
      <c r="S55" s="274">
        <f>M*caltotsurlex*teqclilex*k*cfmlexcli/T</f>
        <v>0</v>
      </c>
      <c r="T55" s="274">
        <f>M*caltotsurlex*teqclilex*k*cfmlexcli/T</f>
        <v>0</v>
      </c>
      <c r="U55" s="274">
        <f>M*caltotsurlex*teqclilex*k*cfmlexcli/T</f>
        <v>0</v>
      </c>
      <c r="V55" s="274">
        <f>M*caltotsurlex*teqclilex*k*cfmlexcli/T</f>
        <v>0</v>
      </c>
      <c r="W55" s="274">
        <f>M*caltotsurlex*teqclilex*k*cfmlexcli/T</f>
        <v>0</v>
      </c>
      <c r="X55" s="274">
        <f>M*caltotsurlex*teqclilex*k*cfmlexcli/T</f>
        <v>0</v>
      </c>
      <c r="Y55" s="274">
        <f>M*caltotsurlex*teqclilex*k*cfmlexcli/T</f>
        <v>0</v>
      </c>
      <c r="Z55" s="274">
        <f>M*caltotsurlex*teqclilex*k*cfmlexcli/T</f>
        <v>0</v>
      </c>
      <c r="AA55" s="274">
        <f>M*caltotsurlex*teqclilex*k*cfmlexcli/T</f>
        <v>0</v>
      </c>
      <c r="AB55" s="274">
        <f>M*caltotsurlex*teqclilex*k*cfmlexcli/T</f>
        <v>0</v>
      </c>
      <c r="AC55" s="274">
        <f>M*caltotsurlex*teqclilex*k*cfmlexcli/T</f>
        <v>0</v>
      </c>
      <c r="AD55" s="274">
        <f>M*caltotsurlex*teqclilex*k*cfmlexcli/T</f>
        <v>0</v>
      </c>
      <c r="AE55" s="274">
        <f>M*caltotsurlex*teqclilex*k*cfmlexcli/T</f>
        <v>0</v>
      </c>
      <c r="AF55" s="274">
        <f>M*caltotsurlex*teqclilex*k*cfmlexcli/T</f>
        <v>0</v>
      </c>
      <c r="AG55" s="274">
        <f>M*caltotsurlex*teqclilex*k*cfmlexcli/T</f>
        <v>0</v>
      </c>
      <c r="AH55" s="274">
        <f>M*caltotsurlex*teqclilex*k*cfmlexcli/T</f>
        <v>0</v>
      </c>
      <c r="AI55" s="318"/>
      <c r="AJ55" s="319"/>
      <c r="AK55" s="319"/>
      <c r="AL55" s="319"/>
      <c r="AM55" s="319"/>
      <c r="AN55" s="319"/>
      <c r="AO55" s="319"/>
      <c r="AP55" s="319"/>
      <c r="AQ55" s="319"/>
      <c r="AR55" s="319"/>
      <c r="AS55" s="319"/>
      <c r="AT55" s="319"/>
      <c r="AU55" s="319"/>
      <c r="AV55" s="319"/>
      <c r="AW55" s="319"/>
      <c r="AX55" s="319"/>
      <c r="AY55" s="319"/>
      <c r="AZ55" s="319"/>
      <c r="BA55" s="319"/>
      <c r="BB55" s="319"/>
      <c r="BC55" s="319"/>
      <c r="BD55" s="319"/>
      <c r="BE55" s="319"/>
      <c r="BF55" s="319"/>
      <c r="BG55" s="319"/>
      <c r="BH55" s="319"/>
      <c r="BI55" s="319"/>
      <c r="BJ55" s="319"/>
      <c r="BK55" s="319"/>
      <c r="BL55" s="319"/>
      <c r="BM55" s="319"/>
      <c r="BN55" s="319"/>
      <c r="BO55" s="319"/>
      <c r="BP55" s="319"/>
      <c r="BQ55" s="319"/>
      <c r="BR55" s="319"/>
    </row>
    <row r="56" ht="14.25" customHeight="1" outlineLevel="3">
      <c r="A56" s="195"/>
      <c r="B56" s="201"/>
      <c r="C56" s="201"/>
      <c r="D56" s="201"/>
      <c r="E56" s="273" t="s">
        <v>708</v>
      </c>
      <c r="F56" s="123" t="s">
        <v>135</v>
      </c>
      <c r="G56" s="123" t="s">
        <v>709</v>
      </c>
      <c r="H56" s="274">
        <f>M*caltotsurlrv*teqclilrv*k*cfmlrvcli/T</f>
        <v>0</v>
      </c>
      <c r="I56" s="274">
        <f>M*caltotsurlrv*teqclilrv*k*cfmlrvcli/T</f>
        <v>0</v>
      </c>
      <c r="J56" s="274">
        <f>M*caltotsurlrv*teqclilrv*k*cfmlrvcli/T</f>
        <v>0</v>
      </c>
      <c r="K56" s="274">
        <f>M*caltotsurlrv*teqclilrv*k*cfmlrvcli/T</f>
        <v>0</v>
      </c>
      <c r="L56" s="274">
        <f>M*caltotsurlrv*teqclilrv*k*cfmlrvcli/T</f>
        <v>0</v>
      </c>
      <c r="M56" s="274">
        <f>M*caltotsurlrv*teqclilrv*k*cfmlrvcli/T</f>
        <v>0</v>
      </c>
      <c r="N56" s="274">
        <f>M*caltotsurlrv*teqclilrv*k*cfmlrvcli/T</f>
        <v>0</v>
      </c>
      <c r="O56" s="274">
        <f>M*caltotsurlrv*teqclilrv*k*cfmlrvcli/T</f>
        <v>0</v>
      </c>
      <c r="P56" s="274">
        <f>M*caltotsurlrv*teqclilrv*k*cfmlrvcli/T</f>
        <v>0</v>
      </c>
      <c r="Q56" s="274">
        <f>M*caltotsurlrv*teqclilrv*k*cfmlrvcli/T</f>
        <v>0</v>
      </c>
      <c r="R56" s="274">
        <f>M*caltotsurlrv*teqclilrv*k*cfmlrvcli/T</f>
        <v>0</v>
      </c>
      <c r="S56" s="274">
        <f>M*caltotsurlrv*teqclilrv*k*cfmlrvcli/T</f>
        <v>0</v>
      </c>
      <c r="T56" s="274">
        <f>M*caltotsurlrv*teqclilrv*k*cfmlrvcli/T</f>
        <v>0</v>
      </c>
      <c r="U56" s="274">
        <f>M*caltotsurlrv*teqclilrv*k*cfmlrvcli/T</f>
        <v>0</v>
      </c>
      <c r="V56" s="274">
        <f>M*caltotsurlrv*teqclilrv*k*cfmlrvcli/T</f>
        <v>0</v>
      </c>
      <c r="W56" s="274">
        <f>M*caltotsurlrv*teqclilrv*k*cfmlrvcli/T</f>
        <v>0</v>
      </c>
      <c r="X56" s="274">
        <f>M*caltotsurlrv*teqclilrv*k*cfmlrvcli/T</f>
        <v>0</v>
      </c>
      <c r="Y56" s="274">
        <f>M*caltotsurlrv*teqclilrv*k*cfmlrvcli/T</f>
        <v>0</v>
      </c>
      <c r="Z56" s="274">
        <f>M*caltotsurlrv*teqclilrv*k*cfmlrvcli/T</f>
        <v>0</v>
      </c>
      <c r="AA56" s="274">
        <f>M*caltotsurlrv*teqclilrv*k*cfmlrvcli/T</f>
        <v>0</v>
      </c>
      <c r="AB56" s="274">
        <f>M*caltotsurlrv*teqclilrv*k*cfmlrvcli/T</f>
        <v>0</v>
      </c>
      <c r="AC56" s="274">
        <f>M*caltotsurlrv*teqclilrv*k*cfmlrvcli/T</f>
        <v>0</v>
      </c>
      <c r="AD56" s="274">
        <f>M*caltotsurlrv*teqclilrv*k*cfmlrvcli/T</f>
        <v>0</v>
      </c>
      <c r="AE56" s="274">
        <f>M*caltotsurlrv*teqclilrv*k*cfmlrvcli/T</f>
        <v>0</v>
      </c>
      <c r="AF56" s="274">
        <f>M*caltotsurlrv*teqclilrv*k*cfmlrvcli/T</f>
        <v>0</v>
      </c>
      <c r="AG56" s="274">
        <f>M*caltotsurlrv*teqclilrv*k*cfmlrvcli/T</f>
        <v>0</v>
      </c>
      <c r="AH56" s="274">
        <f>M*caltotsurlrv*teqclilrv*k*cfmlrvcli/T</f>
        <v>0</v>
      </c>
      <c r="AI56" s="318"/>
      <c r="AJ56" s="319"/>
      <c r="AK56" s="319"/>
      <c r="AL56" s="319"/>
      <c r="AM56" s="319"/>
      <c r="AN56" s="319"/>
      <c r="AO56" s="319"/>
      <c r="AP56" s="319"/>
      <c r="AQ56" s="319"/>
      <c r="AR56" s="319"/>
      <c r="AS56" s="319"/>
      <c r="AT56" s="319"/>
      <c r="AU56" s="319"/>
      <c r="AV56" s="319"/>
      <c r="AW56" s="319"/>
      <c r="AX56" s="319"/>
      <c r="AY56" s="319"/>
      <c r="AZ56" s="319"/>
      <c r="BA56" s="319"/>
      <c r="BB56" s="319"/>
      <c r="BC56" s="319"/>
      <c r="BD56" s="319"/>
      <c r="BE56" s="319"/>
      <c r="BF56" s="319"/>
      <c r="BG56" s="319"/>
      <c r="BH56" s="319"/>
      <c r="BI56" s="319"/>
      <c r="BJ56" s="319"/>
      <c r="BK56" s="319"/>
      <c r="BL56" s="319"/>
      <c r="BM56" s="319"/>
      <c r="BN56" s="319"/>
      <c r="BO56" s="319"/>
      <c r="BP56" s="319"/>
      <c r="BQ56" s="319"/>
      <c r="BR56" s="319"/>
    </row>
    <row r="57" ht="14.25" customHeight="1" outlineLevel="3">
      <c r="A57" s="195"/>
      <c r="B57" s="201"/>
      <c r="C57" s="201"/>
      <c r="D57" s="201"/>
      <c r="E57" s="273" t="s">
        <v>710</v>
      </c>
      <c r="F57" s="249" t="s">
        <v>135</v>
      </c>
      <c r="G57" s="123" t="s">
        <v>711</v>
      </c>
      <c r="H57" s="274">
        <f>M*totsurlpn*teqclilpn*k*cfmlpncli/T</f>
        <v>0</v>
      </c>
      <c r="I57" s="274">
        <f>M*totsurlpn*teqclilpn*k*cfmlpncli/T</f>
        <v>0</v>
      </c>
      <c r="J57" s="274">
        <f>M*totsurlpn*teqclilpn*k*cfmlpncli/T</f>
        <v>0</v>
      </c>
      <c r="K57" s="274">
        <f>M*totsurlpn*teqclilpn*k*cfmlpncli/T</f>
        <v>0</v>
      </c>
      <c r="L57" s="274">
        <f>M*totsurlpn*teqclilpn*k*cfmlpncli/T</f>
        <v>0</v>
      </c>
      <c r="M57" s="274">
        <f>M*totsurlpn*teqclilpn*k*cfmlpncli/T</f>
        <v>0</v>
      </c>
      <c r="N57" s="274">
        <f>M*totsurlpn*teqclilpn*k*cfmlpncli/T</f>
        <v>0</v>
      </c>
      <c r="O57" s="274">
        <f>M*totsurlpn*teqclilpn*k*cfmlpncli/T</f>
        <v>0</v>
      </c>
      <c r="P57" s="274">
        <f>M*totsurlpn*teqclilpn*k*cfmlpncli/T</f>
        <v>0</v>
      </c>
      <c r="Q57" s="274">
        <f>M*totsurlpn*teqclilpn*k*cfmlpncli/T</f>
        <v>0</v>
      </c>
      <c r="R57" s="274">
        <f>M*totsurlpn*teqclilpn*k*cfmlpncli/T</f>
        <v>0</v>
      </c>
      <c r="S57" s="274">
        <f>M*totsurlpn*teqclilpn*k*cfmlpncli/T</f>
        <v>0</v>
      </c>
      <c r="T57" s="274">
        <f>M*totsurlpn*teqclilpn*k*cfmlpncli/T</f>
        <v>0</v>
      </c>
      <c r="U57" s="274">
        <f>M*totsurlpn*teqclilpn*k*cfmlpncli/T</f>
        <v>0</v>
      </c>
      <c r="V57" s="274">
        <f>M*totsurlpn*teqclilpn*k*cfmlpncli/T</f>
        <v>0</v>
      </c>
      <c r="W57" s="274">
        <f>M*totsurlpn*teqclilpn*k*cfmlpncli/T</f>
        <v>0</v>
      </c>
      <c r="X57" s="274">
        <f>M*totsurlpn*teqclilpn*k*cfmlpncli/T</f>
        <v>0</v>
      </c>
      <c r="Y57" s="274">
        <f>M*totsurlpn*teqclilpn*k*cfmlpncli/T</f>
        <v>0</v>
      </c>
      <c r="Z57" s="274">
        <f>M*totsurlpn*teqclilpn*k*cfmlpncli/T</f>
        <v>0</v>
      </c>
      <c r="AA57" s="274">
        <f>M*totsurlpn*teqclilpn*k*cfmlpncli/T</f>
        <v>0</v>
      </c>
      <c r="AB57" s="274">
        <f>M*totsurlpn*teqclilpn*k*cfmlpncli/T</f>
        <v>0</v>
      </c>
      <c r="AC57" s="274">
        <f>M*totsurlpn*teqclilpn*k*cfmlpncli/T</f>
        <v>0</v>
      </c>
      <c r="AD57" s="274">
        <f>M*totsurlpn*teqclilpn*k*cfmlpncli/T</f>
        <v>0</v>
      </c>
      <c r="AE57" s="274">
        <f>M*totsurlpn*teqclilpn*k*cfmlpncli/T</f>
        <v>0</v>
      </c>
      <c r="AF57" s="274">
        <f>M*totsurlpn*teqclilpn*k*cfmlpncli/T</f>
        <v>0</v>
      </c>
      <c r="AG57" s="274">
        <f>M*totsurlpn*teqclilpn*k*cfmlpncli/T</f>
        <v>0</v>
      </c>
      <c r="AH57" s="274">
        <f>M*totsurlpn*teqclilpn*k*cfmlpncli/T</f>
        <v>0</v>
      </c>
      <c r="AI57" s="318"/>
      <c r="AJ57" s="319"/>
      <c r="AK57" s="319"/>
      <c r="AL57" s="319"/>
      <c r="AM57" s="319"/>
      <c r="AN57" s="319"/>
      <c r="AO57" s="319"/>
      <c r="AP57" s="319"/>
      <c r="AQ57" s="319"/>
      <c r="AR57" s="319"/>
      <c r="AS57" s="319"/>
      <c r="AT57" s="319"/>
      <c r="AU57" s="319"/>
      <c r="AV57" s="319"/>
      <c r="AW57" s="319"/>
      <c r="AX57" s="319"/>
      <c r="AY57" s="319"/>
      <c r="AZ57" s="319"/>
      <c r="BA57" s="319"/>
      <c r="BB57" s="319"/>
      <c r="BC57" s="319"/>
      <c r="BD57" s="319"/>
      <c r="BE57" s="319"/>
      <c r="BF57" s="319"/>
      <c r="BG57" s="319"/>
      <c r="BH57" s="319"/>
      <c r="BI57" s="319"/>
      <c r="BJ57" s="319"/>
      <c r="BK57" s="319"/>
      <c r="BL57" s="319"/>
      <c r="BM57" s="319"/>
      <c r="BN57" s="319"/>
      <c r="BO57" s="319"/>
      <c r="BP57" s="319"/>
      <c r="BQ57" s="319"/>
      <c r="BR57" s="319"/>
    </row>
    <row r="58" ht="14.25" customHeight="1" outlineLevel="3">
      <c r="A58" s="195"/>
      <c r="B58" s="201"/>
      <c r="C58" s="201"/>
      <c r="D58" s="201"/>
      <c r="E58" s="273" t="s">
        <v>712</v>
      </c>
      <c r="F58" s="123" t="s">
        <v>135</v>
      </c>
      <c r="G58" s="123" t="s">
        <v>713</v>
      </c>
      <c r="H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I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J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K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L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M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N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O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P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Q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R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S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T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U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V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W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X58" s="330">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0</v>
      </c>
      <c r="Y58" s="330">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0</v>
      </c>
      <c r="Z58" s="330">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0</v>
      </c>
      <c r="AA58" s="330">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0</v>
      </c>
      <c r="AB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AC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AD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AE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AF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AG58" s="330" t="str">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#REF!</v>
      </c>
      <c r="AH58" s="330">
        <f>IF(AND(crdeqrrescli="NoDis",crdclnrescli="NoDis"),teqcli*IF(ISBLANK(cfmrescli),k*nbrlpr*k*calcfmresclidw,M*totsurlog*k*cfmrescli)/T,IF(crdeqrrescli="NoDis",teqcli*M*k*(caltotsurlex*cfmlexcli+caltotsurlrv*cfmlrvcli+totsurlpn*cfmlpncli)/T,IF(crdclnrescli="NoDis",IF(ISBLANK(cfmrescli),(teqclilex*nbrlex+teqclilrv*trvcumres*nbrlex+teqclilpn*nbrlpn)*k*k*calcfmresclidw/T,(teqclilex*caltotsurlex+teqclilrv*caltotsurlrv+teqclilpn*totsurlpn)*M*k*cfmrescli)/T,calcureslexcli+calcureslrvcli+calcureslpncli)))</f>
        <v>1.645936158</v>
      </c>
      <c r="AI58" s="318"/>
      <c r="AJ58" s="319"/>
      <c r="AK58" s="319"/>
      <c r="AL58" s="319"/>
      <c r="AM58" s="319"/>
      <c r="AN58" s="319"/>
      <c r="AO58" s="319"/>
      <c r="AP58" s="319"/>
      <c r="AQ58" s="319"/>
      <c r="AR58" s="319"/>
      <c r="AS58" s="319"/>
      <c r="AT58" s="319"/>
      <c r="AU58" s="319"/>
      <c r="AV58" s="319"/>
      <c r="AW58" s="319"/>
      <c r="AX58" s="319"/>
      <c r="AY58" s="319"/>
      <c r="AZ58" s="319"/>
      <c r="BA58" s="319"/>
      <c r="BB58" s="319"/>
      <c r="BC58" s="319"/>
      <c r="BD58" s="319"/>
      <c r="BE58" s="319"/>
      <c r="BF58" s="319"/>
      <c r="BG58" s="319"/>
      <c r="BH58" s="319"/>
      <c r="BI58" s="319"/>
      <c r="BJ58" s="319"/>
      <c r="BK58" s="319"/>
      <c r="BL58" s="319"/>
      <c r="BM58" s="319"/>
      <c r="BN58" s="319"/>
      <c r="BO58" s="319"/>
      <c r="BP58" s="319"/>
      <c r="BQ58" s="319"/>
      <c r="BR58" s="319"/>
    </row>
    <row r="59" ht="14.25" customHeight="1" outlineLevel="2">
      <c r="A59" s="195"/>
      <c r="B59" s="246" t="s">
        <v>714</v>
      </c>
      <c r="C59" s="323"/>
      <c r="D59" s="323"/>
      <c r="E59" s="323"/>
      <c r="F59" s="162"/>
      <c r="G59" s="162"/>
      <c r="H59" s="178"/>
      <c r="I59" s="178"/>
      <c r="J59" s="178"/>
      <c r="K59" s="178"/>
      <c r="L59" s="178"/>
      <c r="M59" s="178"/>
      <c r="N59" s="178"/>
      <c r="O59" s="178"/>
      <c r="P59" s="178"/>
      <c r="Q59" s="178"/>
      <c r="R59" s="178"/>
      <c r="S59" s="178"/>
      <c r="T59" s="178"/>
      <c r="U59" s="178"/>
      <c r="V59" s="178"/>
      <c r="W59" s="178"/>
      <c r="X59" s="178"/>
      <c r="Y59" s="178"/>
      <c r="Z59" s="178"/>
      <c r="AA59" s="178"/>
      <c r="AB59" s="178"/>
      <c r="AC59" s="178"/>
      <c r="AD59" s="178"/>
      <c r="AE59" s="178"/>
      <c r="AF59" s="178"/>
      <c r="AG59" s="178"/>
      <c r="AH59" s="178"/>
      <c r="AI59" s="162"/>
      <c r="AJ59" s="315"/>
      <c r="AK59" s="315"/>
      <c r="AL59" s="315"/>
      <c r="AM59" s="315"/>
      <c r="AN59" s="315"/>
      <c r="AO59" s="315"/>
      <c r="AP59" s="315"/>
      <c r="AQ59" s="315"/>
      <c r="AR59" s="315"/>
      <c r="AS59" s="315"/>
      <c r="AT59" s="315"/>
      <c r="AU59" s="315"/>
      <c r="AV59" s="315"/>
      <c r="AW59" s="315"/>
      <c r="AX59" s="315"/>
      <c r="AY59" s="315"/>
      <c r="AZ59" s="315"/>
      <c r="BA59" s="315"/>
      <c r="BB59" s="315"/>
      <c r="BC59" s="315"/>
      <c r="BD59" s="315"/>
      <c r="BE59" s="315"/>
      <c r="BF59" s="315"/>
      <c r="BG59" s="315"/>
      <c r="BH59" s="315"/>
      <c r="BI59" s="315"/>
      <c r="BJ59" s="315"/>
      <c r="BK59" s="315"/>
      <c r="BL59" s="315"/>
      <c r="BM59" s="315"/>
      <c r="BN59" s="315"/>
      <c r="BO59" s="315"/>
      <c r="BP59" s="315"/>
      <c r="BQ59" s="315"/>
      <c r="BR59" s="315"/>
    </row>
    <row r="60" ht="14.25" customHeight="1" outlineLevel="3">
      <c r="A60" s="195"/>
      <c r="B60" s="201"/>
      <c r="C60" s="201"/>
      <c r="D60" s="201"/>
      <c r="E60" s="299" t="s">
        <v>715</v>
      </c>
      <c r="F60" s="123" t="s">
        <v>135</v>
      </c>
      <c r="G60" s="123" t="s">
        <v>414</v>
      </c>
      <c r="H60" s="274" t="str">
        <f>calelccfrescli+calvapcfrescli+calsthcfrescli</f>
        <v>#REF!</v>
      </c>
      <c r="I60" s="274" t="str">
        <f>calelccfrescli+calvapcfrescli+calsthcfrescli</f>
        <v>#REF!</v>
      </c>
      <c r="J60" s="274" t="str">
        <f>calelccfrescli+calvapcfrescli+calsthcfrescli</f>
        <v>#REF!</v>
      </c>
      <c r="K60" s="274" t="str">
        <f>calelccfrescli+calvapcfrescli+calsthcfrescli</f>
        <v>#REF!</v>
      </c>
      <c r="L60" s="274" t="str">
        <f>calelccfrescli+calvapcfrescli+calsthcfrescli</f>
        <v>#REF!</v>
      </c>
      <c r="M60" s="274" t="str">
        <f>calelccfrescli+calvapcfrescli+calsthcfrescli</f>
        <v>#REF!</v>
      </c>
      <c r="N60" s="274" t="str">
        <f>calelccfrescli+calvapcfrescli+calsthcfrescli</f>
        <v>#REF!</v>
      </c>
      <c r="O60" s="274" t="str">
        <f>calelccfrescli+calvapcfrescli+calsthcfrescli</f>
        <v>#REF!</v>
      </c>
      <c r="P60" s="274" t="str">
        <f>calelccfrescli+calvapcfrescli+calsthcfrescli</f>
        <v>#REF!</v>
      </c>
      <c r="Q60" s="274" t="str">
        <f>calelccfrescli+calvapcfrescli+calsthcfrescli</f>
        <v>#REF!</v>
      </c>
      <c r="R60" s="274" t="str">
        <f>calelccfrescli+calvapcfrescli+calsthcfrescli</f>
        <v>#REF!</v>
      </c>
      <c r="S60" s="274" t="str">
        <f>calelccfrescli+calvapcfrescli+calsthcfrescli</f>
        <v>#REF!</v>
      </c>
      <c r="T60" s="274" t="str">
        <f>calelccfrescli+calvapcfrescli+calsthcfrescli</f>
        <v>#REF!</v>
      </c>
      <c r="U60" s="274" t="str">
        <f>calelccfrescli+calvapcfrescli+calsthcfrescli</f>
        <v>#REF!</v>
      </c>
      <c r="V60" s="274" t="str">
        <f>calelccfrescli+calvapcfrescli+calsthcfrescli</f>
        <v>#REF!</v>
      </c>
      <c r="W60" s="274" t="str">
        <f>calelccfrescli+calvapcfrescli+calsthcfrescli</f>
        <v>#REF!</v>
      </c>
      <c r="X60" s="274" t="str">
        <f>calelccfrescli+calvapcfrescli+calsthcfrescli</f>
        <v>#REF!</v>
      </c>
      <c r="Y60" s="274" t="str">
        <f>calelccfrescli+calvapcfrescli+calsthcfrescli</f>
        <v>#REF!</v>
      </c>
      <c r="Z60" s="274" t="str">
        <f>calelccfrescli+calvapcfrescli+calsthcfrescli</f>
        <v>#REF!</v>
      </c>
      <c r="AA60" s="274" t="str">
        <f>calelccfrescli+calvapcfrescli+calsthcfrescli</f>
        <v>#REF!</v>
      </c>
      <c r="AB60" s="274" t="str">
        <f>calelccfrescli+calvapcfrescli+calsthcfrescli</f>
        <v>#REF!</v>
      </c>
      <c r="AC60" s="274" t="str">
        <f>calelccfrescli+calvapcfrescli+calsthcfrescli</f>
        <v>#REF!</v>
      </c>
      <c r="AD60" s="274" t="str">
        <f>calelccfrescli+calvapcfrescli+calsthcfrescli</f>
        <v>#REF!</v>
      </c>
      <c r="AE60" s="274" t="str">
        <f>calelccfrescli+calvapcfrescli+calsthcfrescli</f>
        <v>#REF!</v>
      </c>
      <c r="AF60" s="274" t="str">
        <f>calelccfrescli+calvapcfrescli+calsthcfrescli</f>
        <v>#REF!</v>
      </c>
      <c r="AG60" s="274" t="str">
        <f>calelccfrescli+calvapcfrescli+calsthcfrescli</f>
        <v>#REF!</v>
      </c>
      <c r="AH60" s="274" t="str">
        <f>calelccfrescli+calvapcfrescli+calsthcfrescli</f>
        <v>#REF!</v>
      </c>
      <c r="AI60" s="318"/>
      <c r="AJ60" s="319"/>
      <c r="AK60" s="319"/>
      <c r="AL60" s="319"/>
      <c r="AM60" s="319"/>
      <c r="AN60" s="319"/>
      <c r="AO60" s="319"/>
      <c r="AP60" s="319"/>
      <c r="AQ60" s="319"/>
      <c r="AR60" s="319"/>
      <c r="AS60" s="319"/>
      <c r="AT60" s="319"/>
      <c r="AU60" s="319"/>
      <c r="AV60" s="319"/>
      <c r="AW60" s="319"/>
      <c r="AX60" s="319"/>
      <c r="AY60" s="319"/>
      <c r="AZ60" s="319"/>
      <c r="BA60" s="319"/>
      <c r="BB60" s="319"/>
      <c r="BC60" s="319"/>
      <c r="BD60" s="319"/>
      <c r="BE60" s="319"/>
      <c r="BF60" s="319"/>
      <c r="BG60" s="319"/>
      <c r="BH60" s="319"/>
      <c r="BI60" s="319"/>
      <c r="BJ60" s="319"/>
      <c r="BK60" s="319"/>
      <c r="BL60" s="319"/>
      <c r="BM60" s="319"/>
      <c r="BN60" s="319"/>
      <c r="BO60" s="319"/>
      <c r="BP60" s="319"/>
      <c r="BQ60" s="319"/>
      <c r="BR60" s="319"/>
    </row>
    <row r="61" ht="13.5" customHeight="1" outlineLevel="3">
      <c r="A61" s="195"/>
      <c r="B61" s="331"/>
      <c r="C61" s="246" t="s">
        <v>716</v>
      </c>
      <c r="D61" s="201"/>
      <c r="E61" s="162"/>
      <c r="F61" s="178"/>
      <c r="G61" s="178"/>
      <c r="H61" s="178"/>
      <c r="I61" s="178"/>
      <c r="J61" s="178"/>
      <c r="K61" s="178"/>
      <c r="L61" s="178"/>
      <c r="M61" s="178"/>
      <c r="N61" s="178"/>
      <c r="O61" s="178"/>
      <c r="P61" s="178"/>
      <c r="Q61" s="178"/>
      <c r="R61" s="178"/>
      <c r="S61" s="178"/>
      <c r="T61" s="178"/>
      <c r="U61" s="178"/>
      <c r="V61" s="178"/>
      <c r="W61" s="178"/>
      <c r="X61" s="178"/>
      <c r="Y61" s="178"/>
      <c r="Z61" s="178"/>
      <c r="AA61" s="178"/>
      <c r="AB61" s="178"/>
      <c r="AC61" s="178"/>
      <c r="AD61" s="178"/>
      <c r="AE61" s="178"/>
      <c r="AF61" s="178"/>
      <c r="AG61" s="178"/>
      <c r="AH61" s="178"/>
      <c r="AI61" s="162"/>
      <c r="AJ61" s="315"/>
      <c r="AK61" s="315"/>
      <c r="AL61" s="315"/>
      <c r="AM61" s="315"/>
      <c r="AN61" s="315"/>
      <c r="AO61" s="315"/>
      <c r="AP61" s="315"/>
      <c r="AQ61" s="315"/>
      <c r="AR61" s="315"/>
      <c r="AS61" s="315"/>
      <c r="AT61" s="315"/>
      <c r="AU61" s="315"/>
      <c r="AV61" s="315"/>
      <c r="AW61" s="315"/>
      <c r="AX61" s="315"/>
      <c r="AY61" s="315"/>
      <c r="AZ61" s="315"/>
      <c r="BA61" s="315"/>
      <c r="BB61" s="315"/>
      <c r="BC61" s="315"/>
      <c r="BD61" s="315"/>
      <c r="BE61" s="315"/>
      <c r="BF61" s="315"/>
      <c r="BG61" s="315"/>
      <c r="BH61" s="315"/>
      <c r="BI61" s="315"/>
      <c r="BJ61" s="315"/>
      <c r="BK61" s="315"/>
      <c r="BL61" s="315"/>
      <c r="BM61" s="315"/>
      <c r="BN61" s="315"/>
      <c r="BO61" s="315"/>
      <c r="BP61" s="315"/>
      <c r="BQ61" s="315"/>
      <c r="BR61" s="315"/>
    </row>
    <row r="62" ht="13.5" customHeight="1" outlineLevel="3">
      <c r="A62" s="195"/>
      <c r="B62" s="201"/>
      <c r="C62" s="246"/>
      <c r="D62" s="201"/>
      <c r="E62" s="327" t="s">
        <v>717</v>
      </c>
      <c r="F62" s="328" t="str">
        <f t="array" ref="F62">IF(OR(SUMPRODUCT(caltoccurescli*(Years=ProspectiveYears))=0,SUMPRODUCT(ceerescli*(Years=ProspectiveYears))=0),"Use of partner's results","")</f>
        <v>#REF!</v>
      </c>
      <c r="G62" s="329" t="s">
        <v>718</v>
      </c>
      <c r="H62" s="317" t="str">
        <f>IF(F62="Use of partner's results",1,0)</f>
        <v>#REF!</v>
      </c>
      <c r="I62" s="178"/>
      <c r="J62" s="178"/>
      <c r="K62" s="178"/>
      <c r="L62" s="178"/>
      <c r="M62" s="178"/>
      <c r="N62" s="178"/>
      <c r="O62" s="178"/>
      <c r="P62" s="178"/>
      <c r="Q62" s="178"/>
      <c r="R62" s="178"/>
      <c r="S62" s="178"/>
      <c r="T62" s="178"/>
      <c r="U62" s="178"/>
      <c r="V62" s="178"/>
      <c r="W62" s="178"/>
      <c r="X62" s="178"/>
      <c r="Y62" s="178"/>
      <c r="Z62" s="178"/>
      <c r="AA62" s="178"/>
      <c r="AB62" s="178"/>
      <c r="AC62" s="178"/>
      <c r="AD62" s="178"/>
      <c r="AE62" s="178"/>
      <c r="AF62" s="178"/>
      <c r="AG62" s="178"/>
      <c r="AH62" s="178"/>
      <c r="AI62" s="162"/>
      <c r="AJ62" s="315"/>
      <c r="AK62" s="315"/>
      <c r="AL62" s="315"/>
      <c r="AM62" s="315"/>
      <c r="AN62" s="315"/>
      <c r="AO62" s="315"/>
      <c r="AP62" s="315"/>
      <c r="AQ62" s="315"/>
      <c r="AR62" s="315"/>
      <c r="AS62" s="315"/>
      <c r="AT62" s="315"/>
      <c r="AU62" s="315"/>
      <c r="AV62" s="315"/>
      <c r="AW62" s="315"/>
      <c r="AX62" s="315"/>
      <c r="AY62" s="315"/>
      <c r="AZ62" s="315"/>
      <c r="BA62" s="315"/>
      <c r="BB62" s="315"/>
      <c r="BC62" s="315"/>
      <c r="BD62" s="315"/>
      <c r="BE62" s="315"/>
      <c r="BF62" s="315"/>
      <c r="BG62" s="315"/>
      <c r="BH62" s="315"/>
      <c r="BI62" s="315"/>
      <c r="BJ62" s="315"/>
      <c r="BK62" s="315"/>
      <c r="BL62" s="315"/>
      <c r="BM62" s="315"/>
      <c r="BN62" s="315"/>
      <c r="BO62" s="315"/>
      <c r="BP62" s="315"/>
      <c r="BQ62" s="315"/>
      <c r="BR62" s="315"/>
    </row>
    <row r="63" ht="14.25" customHeight="1" outlineLevel="3">
      <c r="A63" s="195"/>
      <c r="B63" s="201"/>
      <c r="C63" s="201"/>
      <c r="D63" s="201"/>
      <c r="E63" s="273" t="s">
        <v>420</v>
      </c>
      <c r="F63" s="123" t="s">
        <v>135</v>
      </c>
      <c r="G63" s="123" t="s">
        <v>719</v>
      </c>
      <c r="H63" s="274" t="str">
        <f>IF(crdalirescli=1,elccfrescli,IFERROR(caltoccurescli/ceerescli,))*(1+psulnotoccfres)</f>
        <v>#REF!</v>
      </c>
      <c r="I63" s="274" t="str">
        <f>IF(crdalirescli=1,elccfrescli,IFERROR(caltoccurescli/ceerescli,))*(1+psulnotoccfres)</f>
        <v>#REF!</v>
      </c>
      <c r="J63" s="274" t="str">
        <f>IF(crdalirescli=1,elccfrescli,IFERROR(caltoccurescli/ceerescli,))*(1+psulnotoccfres)</f>
        <v>#REF!</v>
      </c>
      <c r="K63" s="274" t="str">
        <f>IF(crdalirescli=1,elccfrescli,IFERROR(caltoccurescli/ceerescli,))*(1+psulnotoccfres)</f>
        <v>#REF!</v>
      </c>
      <c r="L63" s="274" t="str">
        <f>IF(crdalirescli=1,elccfrescli,IFERROR(caltoccurescli/ceerescli,))*(1+psulnotoccfres)</f>
        <v>#REF!</v>
      </c>
      <c r="M63" s="274" t="str">
        <f>IF(crdalirescli=1,elccfrescli,IFERROR(caltoccurescli/ceerescli,))*(1+psulnotoccfres)</f>
        <v>#REF!</v>
      </c>
      <c r="N63" s="274" t="str">
        <f>IF(crdalirescli=1,elccfrescli,IFERROR(caltoccurescli/ceerescli,))*(1+psulnotoccfres)</f>
        <v>#REF!</v>
      </c>
      <c r="O63" s="274" t="str">
        <f>IF(crdalirescli=1,elccfrescli,IFERROR(caltoccurescli/ceerescli,))*(1+psulnotoccfres)</f>
        <v>#REF!</v>
      </c>
      <c r="P63" s="274" t="str">
        <f>IF(crdalirescli=1,elccfrescli,IFERROR(caltoccurescli/ceerescli,))*(1+psulnotoccfres)</f>
        <v>#REF!</v>
      </c>
      <c r="Q63" s="274" t="str">
        <f>IF(crdalirescli=1,elccfrescli,IFERROR(caltoccurescli/ceerescli,))*(1+psulnotoccfres)</f>
        <v>#REF!</v>
      </c>
      <c r="R63" s="274" t="str">
        <f>IF(crdalirescli=1,elccfrescli,IFERROR(caltoccurescli/ceerescli,))*(1+psulnotoccfres)</f>
        <v>#REF!</v>
      </c>
      <c r="S63" s="274" t="str">
        <f>IF(crdalirescli=1,elccfrescli,IFERROR(caltoccurescli/ceerescli,))*(1+psulnotoccfres)</f>
        <v>#REF!</v>
      </c>
      <c r="T63" s="274" t="str">
        <f>IF(crdalirescli=1,elccfrescli,IFERROR(caltoccurescli/ceerescli,))*(1+psulnotoccfres)</f>
        <v>#REF!</v>
      </c>
      <c r="U63" s="274" t="str">
        <f>IF(crdalirescli=1,elccfrescli,IFERROR(caltoccurescli/ceerescli,))*(1+psulnotoccfres)</f>
        <v>#REF!</v>
      </c>
      <c r="V63" s="274" t="str">
        <f>IF(crdalirescli=1,elccfrescli,IFERROR(caltoccurescli/ceerescli,))*(1+psulnotoccfres)</f>
        <v>#REF!</v>
      </c>
      <c r="W63" s="274" t="str">
        <f>IF(crdalirescli=1,elccfrescli,IFERROR(caltoccurescli/ceerescli,))*(1+psulnotoccfres)</f>
        <v>#REF!</v>
      </c>
      <c r="X63" s="274" t="str">
        <f>IF(crdalirescli=1,elccfrescli,IFERROR(caltoccurescli/ceerescli,))*(1+psulnotoccfres)</f>
        <v>#REF!</v>
      </c>
      <c r="Y63" s="274" t="str">
        <f>IF(crdalirescli=1,elccfrescli,IFERROR(caltoccurescli/ceerescli,))*(1+psulnotoccfres)</f>
        <v>#REF!</v>
      </c>
      <c r="Z63" s="274" t="str">
        <f>IF(crdalirescli=1,elccfrescli,IFERROR(caltoccurescli/ceerescli,))*(1+psulnotoccfres)</f>
        <v>#REF!</v>
      </c>
      <c r="AA63" s="274" t="str">
        <f>IF(crdalirescli=1,elccfrescli,IFERROR(caltoccurescli/ceerescli,))*(1+psulnotoccfres)</f>
        <v>#REF!</v>
      </c>
      <c r="AB63" s="274" t="str">
        <f>IF(crdalirescli=1,elccfrescli,IFERROR(caltoccurescli/ceerescli,))*(1+psulnotoccfres)</f>
        <v>#REF!</v>
      </c>
      <c r="AC63" s="274" t="str">
        <f>IF(crdalirescli=1,elccfrescli,IFERROR(caltoccurescli/ceerescli,))*(1+psulnotoccfres)</f>
        <v>#REF!</v>
      </c>
      <c r="AD63" s="274" t="str">
        <f>IF(crdalirescli=1,elccfrescli,IFERROR(caltoccurescli/ceerescli,))*(1+psulnotoccfres)</f>
        <v>#REF!</v>
      </c>
      <c r="AE63" s="274" t="str">
        <f>IF(crdalirescli=1,elccfrescli,IFERROR(caltoccurescli/ceerescli,))*(1+psulnotoccfres)</f>
        <v>#REF!</v>
      </c>
      <c r="AF63" s="274" t="str">
        <f>IF(crdalirescli=1,elccfrescli,IFERROR(caltoccurescli/ceerescli,))*(1+psulnotoccfres)</f>
        <v>#REF!</v>
      </c>
      <c r="AG63" s="274" t="str">
        <f>IF(crdalirescli=1,elccfrescli,IFERROR(caltoccurescli/ceerescli,))*(1+psulnotoccfres)</f>
        <v>#REF!</v>
      </c>
      <c r="AH63" s="274" t="str">
        <f>IF(crdalirescli=1,elccfrescli,IFERROR(caltoccurescli/ceerescli,))*(1+psulnotoccfres)</f>
        <v>#REF!</v>
      </c>
      <c r="AI63" s="318"/>
      <c r="AJ63" s="319"/>
      <c r="AK63" s="319"/>
      <c r="AL63" s="319"/>
      <c r="AM63" s="319"/>
      <c r="AN63" s="319"/>
      <c r="AO63" s="319"/>
      <c r="AP63" s="319"/>
      <c r="AQ63" s="319"/>
      <c r="AR63" s="319"/>
      <c r="AS63" s="319"/>
      <c r="AT63" s="319"/>
      <c r="AU63" s="319"/>
      <c r="AV63" s="319"/>
      <c r="AW63" s="319"/>
      <c r="AX63" s="319"/>
      <c r="AY63" s="319"/>
      <c r="AZ63" s="319"/>
      <c r="BA63" s="319"/>
      <c r="BB63" s="319"/>
      <c r="BC63" s="319"/>
      <c r="BD63" s="319"/>
      <c r="BE63" s="319"/>
      <c r="BF63" s="319"/>
      <c r="BG63" s="319"/>
      <c r="BH63" s="319"/>
      <c r="BI63" s="319"/>
      <c r="BJ63" s="319"/>
      <c r="BK63" s="319"/>
      <c r="BL63" s="319"/>
      <c r="BM63" s="319"/>
      <c r="BN63" s="319"/>
      <c r="BO63" s="319"/>
      <c r="BP63" s="319"/>
      <c r="BQ63" s="319"/>
      <c r="BR63" s="319"/>
    </row>
    <row r="64" ht="14.25" hidden="1" customHeight="1" outlineLevel="3">
      <c r="A64" s="195"/>
      <c r="B64" s="201"/>
      <c r="C64" s="201"/>
      <c r="D64" s="201"/>
      <c r="E64" s="273" t="s">
        <v>720</v>
      </c>
      <c r="F64" s="123" t="s">
        <v>135</v>
      </c>
      <c r="G64" s="123" t="s">
        <v>721</v>
      </c>
      <c r="H64" s="274" t="str">
        <f>calelccfrescli*(1+ceerescli)</f>
        <v>#REF!</v>
      </c>
      <c r="I64" s="274" t="str">
        <f>calelccfrescli*(1+ceerescli)</f>
        <v>#REF!</v>
      </c>
      <c r="J64" s="274" t="str">
        <f>calelccfrescli*(1+ceerescli)</f>
        <v>#REF!</v>
      </c>
      <c r="K64" s="274" t="str">
        <f>calelccfrescli*(1+ceerescli)</f>
        <v>#REF!</v>
      </c>
      <c r="L64" s="274" t="str">
        <f>calelccfrescli*(1+ceerescli)</f>
        <v>#REF!</v>
      </c>
      <c r="M64" s="274" t="str">
        <f>calelccfrescli*(1+ceerescli)</f>
        <v>#REF!</v>
      </c>
      <c r="N64" s="274" t="str">
        <f>calelccfrescli*(1+ceerescli)</f>
        <v>#REF!</v>
      </c>
      <c r="O64" s="274" t="str">
        <f>calelccfrescli*(1+ceerescli)</f>
        <v>#REF!</v>
      </c>
      <c r="P64" s="274" t="str">
        <f>calelccfrescli*(1+ceerescli)</f>
        <v>#REF!</v>
      </c>
      <c r="Q64" s="274" t="str">
        <f>calelccfrescli*(1+ceerescli)</f>
        <v>#REF!</v>
      </c>
      <c r="R64" s="274" t="str">
        <f>calelccfrescli*(1+ceerescli)</f>
        <v>#REF!</v>
      </c>
      <c r="S64" s="274" t="str">
        <f>calelccfrescli*(1+ceerescli)</f>
        <v>#REF!</v>
      </c>
      <c r="T64" s="274" t="str">
        <f>calelccfrescli*(1+ceerescli)</f>
        <v>#REF!</v>
      </c>
      <c r="U64" s="274" t="str">
        <f>calelccfrescli*(1+ceerescli)</f>
        <v>#REF!</v>
      </c>
      <c r="V64" s="274" t="str">
        <f>calelccfrescli*(1+ceerescli)</f>
        <v>#REF!</v>
      </c>
      <c r="W64" s="274" t="str">
        <f>calelccfrescli*(1+ceerescli)</f>
        <v>#REF!</v>
      </c>
      <c r="X64" s="274" t="str">
        <f>calelccfrescli*(1+ceerescli)</f>
        <v>#REF!</v>
      </c>
      <c r="Y64" s="274" t="str">
        <f>calelccfrescli*(1+ceerescli)</f>
        <v>#REF!</v>
      </c>
      <c r="Z64" s="274" t="str">
        <f>calelccfrescli*(1+ceerescli)</f>
        <v>#REF!</v>
      </c>
      <c r="AA64" s="274" t="str">
        <f>calelccfrescli*(1+ceerescli)</f>
        <v>#REF!</v>
      </c>
      <c r="AB64" s="274" t="str">
        <f>calelccfrescli*(1+ceerescli)</f>
        <v>#REF!</v>
      </c>
      <c r="AC64" s="274" t="str">
        <f>calelccfrescli*(1+ceerescli)</f>
        <v>#REF!</v>
      </c>
      <c r="AD64" s="274" t="str">
        <f>calelccfrescli*(1+ceerescli)</f>
        <v>#REF!</v>
      </c>
      <c r="AE64" s="274" t="str">
        <f>calelccfrescli*(1+ceerescli)</f>
        <v>#REF!</v>
      </c>
      <c r="AF64" s="274" t="str">
        <f>calelccfrescli*(1+ceerescli)</f>
        <v>#REF!</v>
      </c>
      <c r="AG64" s="274" t="str">
        <f>calelccfrescli*(1+ceerescli)</f>
        <v>#REF!</v>
      </c>
      <c r="AH64" s="274" t="str">
        <f>calelccfrescli*(1+ceerescli)</f>
        <v>#REF!</v>
      </c>
      <c r="AI64" s="318" t="s">
        <v>722</v>
      </c>
      <c r="AJ64" s="319"/>
      <c r="AK64" s="319"/>
      <c r="AL64" s="319"/>
      <c r="AM64" s="319"/>
      <c r="AN64" s="319"/>
      <c r="AO64" s="319"/>
      <c r="AP64" s="319"/>
      <c r="AQ64" s="319"/>
      <c r="AR64" s="319"/>
      <c r="AS64" s="319"/>
      <c r="AT64" s="319"/>
      <c r="AU64" s="319"/>
      <c r="AV64" s="319"/>
      <c r="AW64" s="319"/>
      <c r="AX64" s="319"/>
      <c r="AY64" s="319"/>
      <c r="AZ64" s="319"/>
      <c r="BA64" s="319"/>
      <c r="BB64" s="319"/>
      <c r="BC64" s="319"/>
      <c r="BD64" s="319"/>
      <c r="BE64" s="319"/>
      <c r="BF64" s="319"/>
      <c r="BG64" s="319"/>
      <c r="BH64" s="319"/>
      <c r="BI64" s="319"/>
      <c r="BJ64" s="319"/>
      <c r="BK64" s="319"/>
      <c r="BL64" s="319"/>
      <c r="BM64" s="319"/>
      <c r="BN64" s="319"/>
      <c r="BO64" s="319"/>
      <c r="BP64" s="319"/>
      <c r="BQ64" s="319"/>
      <c r="BR64" s="319"/>
    </row>
    <row r="65" ht="14.25" customHeight="1" outlineLevel="3">
      <c r="A65" s="195"/>
      <c r="B65" s="201"/>
      <c r="C65" s="201"/>
      <c r="D65" s="201"/>
      <c r="E65" s="273" t="str">
        <f>"Final energy consumption from cooling network for cooling in the residential sector"&amp;IF($F$8="Ok"," (secondary and vacant dwellings included)"," (secondary and vacant dwellings not or partially included)")</f>
        <v>Final energy consumption from cooling network for cooling in the residential sector (secondary and vacant dwellings not or partially included)</v>
      </c>
      <c r="F65" s="123" t="s">
        <v>135</v>
      </c>
      <c r="G65" s="123" t="s">
        <v>723</v>
      </c>
      <c r="H65" s="274">
        <f>vapcfrescli*(1+psulnotoccfres)</f>
        <v>0</v>
      </c>
      <c r="I65" s="274">
        <f>vapcfrescli*(1+psulnotoccfres)</f>
        <v>0</v>
      </c>
      <c r="J65" s="274">
        <f>vapcfrescli*(1+psulnotoccfres)</f>
        <v>0</v>
      </c>
      <c r="K65" s="274">
        <f>vapcfrescli*(1+psulnotoccfres)</f>
        <v>0</v>
      </c>
      <c r="L65" s="274">
        <f>vapcfrescli*(1+psulnotoccfres)</f>
        <v>0</v>
      </c>
      <c r="M65" s="274">
        <f>vapcfrescli*(1+psulnotoccfres)</f>
        <v>0</v>
      </c>
      <c r="N65" s="274">
        <f>vapcfrescli*(1+psulnotoccfres)</f>
        <v>0</v>
      </c>
      <c r="O65" s="274">
        <f>vapcfrescli*(1+psulnotoccfres)</f>
        <v>0</v>
      </c>
      <c r="P65" s="274">
        <f>vapcfrescli*(1+psulnotoccfres)</f>
        <v>0</v>
      </c>
      <c r="Q65" s="274">
        <f>vapcfrescli*(1+psulnotoccfres)</f>
        <v>0</v>
      </c>
      <c r="R65" s="274">
        <f>vapcfrescli*(1+psulnotoccfres)</f>
        <v>0</v>
      </c>
      <c r="S65" s="274">
        <f>vapcfrescli*(1+psulnotoccfres)</f>
        <v>0</v>
      </c>
      <c r="T65" s="274">
        <f>vapcfrescli*(1+psulnotoccfres)</f>
        <v>0</v>
      </c>
      <c r="U65" s="274">
        <f>vapcfrescli*(1+psulnotoccfres)</f>
        <v>0</v>
      </c>
      <c r="V65" s="274">
        <f>vapcfrescli*(1+psulnotoccfres)</f>
        <v>0</v>
      </c>
      <c r="W65" s="274">
        <f>vapcfrescli*(1+psulnotoccfres)</f>
        <v>0</v>
      </c>
      <c r="X65" s="274">
        <f>vapcfrescli*(1+psulnotoccfres)</f>
        <v>0</v>
      </c>
      <c r="Y65" s="274">
        <f>vapcfrescli*(1+psulnotoccfres)</f>
        <v>0</v>
      </c>
      <c r="Z65" s="274">
        <f>vapcfrescli*(1+psulnotoccfres)</f>
        <v>0</v>
      </c>
      <c r="AA65" s="274">
        <f>vapcfrescli*(1+psulnotoccfres)</f>
        <v>0</v>
      </c>
      <c r="AB65" s="274">
        <f>vapcfrescli*(1+psulnotoccfres)</f>
        <v>0</v>
      </c>
      <c r="AC65" s="274">
        <f>vapcfrescli*(1+psulnotoccfres)</f>
        <v>0</v>
      </c>
      <c r="AD65" s="274">
        <f>vapcfrescli*(1+psulnotoccfres)</f>
        <v>0</v>
      </c>
      <c r="AE65" s="274">
        <f>vapcfrescli*(1+psulnotoccfres)</f>
        <v>0</v>
      </c>
      <c r="AF65" s="274">
        <f>vapcfrescli*(1+psulnotoccfres)</f>
        <v>0</v>
      </c>
      <c r="AG65" s="274">
        <f>vapcfrescli*(1+psulnotoccfres)</f>
        <v>0</v>
      </c>
      <c r="AH65" s="274">
        <f>vapcfrescli*(1+psulnotoccfres)</f>
        <v>0</v>
      </c>
      <c r="AI65" s="125"/>
      <c r="AJ65" s="127"/>
      <c r="AK65" s="127"/>
      <c r="AL65" s="127"/>
      <c r="AM65" s="127"/>
      <c r="AN65" s="127"/>
      <c r="AO65" s="127"/>
      <c r="AP65" s="127"/>
      <c r="AQ65" s="127"/>
      <c r="AR65" s="127"/>
      <c r="AS65" s="127"/>
      <c r="AT65" s="127"/>
      <c r="AU65" s="127"/>
      <c r="AV65" s="127"/>
      <c r="AW65" s="127"/>
      <c r="AX65" s="127"/>
      <c r="AY65" s="127"/>
      <c r="AZ65" s="127"/>
      <c r="BA65" s="127"/>
      <c r="BB65" s="127"/>
      <c r="BC65" s="127"/>
      <c r="BD65" s="127"/>
      <c r="BE65" s="127"/>
      <c r="BF65" s="127"/>
      <c r="BG65" s="127"/>
      <c r="BH65" s="127"/>
      <c r="BI65" s="127"/>
      <c r="BJ65" s="127"/>
      <c r="BK65" s="127"/>
      <c r="BL65" s="127"/>
      <c r="BM65" s="127"/>
      <c r="BN65" s="127"/>
      <c r="BO65" s="127"/>
      <c r="BP65" s="127"/>
      <c r="BQ65" s="127"/>
      <c r="BR65" s="127"/>
    </row>
    <row r="66" ht="14.25" customHeight="1" outlineLevel="3">
      <c r="A66" s="195"/>
      <c r="B66" s="201"/>
      <c r="C66" s="201"/>
      <c r="D66" s="201"/>
      <c r="E66" s="273" t="str">
        <f>"Final energy consumption from thermal solar for cooling in the residential sector"&amp;IF($F$8="Ok"," (secondary and vacant dwellings included)"," (secondary and vacant dwellings not or partially included)")</f>
        <v>Final energy consumption from thermal solar for cooling in the residential sector (secondary and vacant dwellings not or partially included)</v>
      </c>
      <c r="F66" s="123" t="s">
        <v>135</v>
      </c>
      <c r="G66" s="123" t="s">
        <v>724</v>
      </c>
      <c r="H66" s="274">
        <f>sthcfrescli*(1+psulnotoccfres)</f>
        <v>0</v>
      </c>
      <c r="I66" s="274">
        <f>sthcfrescli*(1+psulnotoccfres)</f>
        <v>0</v>
      </c>
      <c r="J66" s="274">
        <f>sthcfrescli*(1+psulnotoccfres)</f>
        <v>0</v>
      </c>
      <c r="K66" s="274">
        <f>sthcfrescli*(1+psulnotoccfres)</f>
        <v>0</v>
      </c>
      <c r="L66" s="274">
        <f>sthcfrescli*(1+psulnotoccfres)</f>
        <v>0</v>
      </c>
      <c r="M66" s="274">
        <f>sthcfrescli*(1+psulnotoccfres)</f>
        <v>0</v>
      </c>
      <c r="N66" s="274">
        <f>sthcfrescli*(1+psulnotoccfres)</f>
        <v>0</v>
      </c>
      <c r="O66" s="274">
        <f>sthcfrescli*(1+psulnotoccfres)</f>
        <v>0</v>
      </c>
      <c r="P66" s="274">
        <f>sthcfrescli*(1+psulnotoccfres)</f>
        <v>0</v>
      </c>
      <c r="Q66" s="274">
        <f>sthcfrescli*(1+psulnotoccfres)</f>
        <v>0</v>
      </c>
      <c r="R66" s="274">
        <f>sthcfrescli*(1+psulnotoccfres)</f>
        <v>0</v>
      </c>
      <c r="S66" s="274">
        <f>sthcfrescli*(1+psulnotoccfres)</f>
        <v>0</v>
      </c>
      <c r="T66" s="274">
        <f>sthcfrescli*(1+psulnotoccfres)</f>
        <v>0</v>
      </c>
      <c r="U66" s="274">
        <f>sthcfrescli*(1+psulnotoccfres)</f>
        <v>0</v>
      </c>
      <c r="V66" s="274">
        <f>sthcfrescli*(1+psulnotoccfres)</f>
        <v>0</v>
      </c>
      <c r="W66" s="274">
        <f>sthcfrescli*(1+psulnotoccfres)</f>
        <v>0</v>
      </c>
      <c r="X66" s="274">
        <f>sthcfrescli*(1+psulnotoccfres)</f>
        <v>0</v>
      </c>
      <c r="Y66" s="274">
        <f>sthcfrescli*(1+psulnotoccfres)</f>
        <v>0</v>
      </c>
      <c r="Z66" s="274">
        <f>sthcfrescli*(1+psulnotoccfres)</f>
        <v>0</v>
      </c>
      <c r="AA66" s="274">
        <f>sthcfrescli*(1+psulnotoccfres)</f>
        <v>0</v>
      </c>
      <c r="AB66" s="274">
        <f>sthcfrescli*(1+psulnotoccfres)</f>
        <v>0</v>
      </c>
      <c r="AC66" s="274">
        <f>sthcfrescli*(1+psulnotoccfres)</f>
        <v>0</v>
      </c>
      <c r="AD66" s="274">
        <f>sthcfrescli*(1+psulnotoccfres)</f>
        <v>0</v>
      </c>
      <c r="AE66" s="274">
        <f>sthcfrescli*(1+psulnotoccfres)</f>
        <v>0</v>
      </c>
      <c r="AF66" s="274">
        <f>sthcfrescli*(1+psulnotoccfres)</f>
        <v>0</v>
      </c>
      <c r="AG66" s="274">
        <f>sthcfrescli*(1+psulnotoccfres)</f>
        <v>0</v>
      </c>
      <c r="AH66" s="274">
        <f>sthcfrescli*(1+psulnotoccfres)</f>
        <v>0</v>
      </c>
      <c r="AI66" s="125"/>
      <c r="AJ66" s="127"/>
      <c r="AK66" s="127"/>
      <c r="AL66" s="127"/>
      <c r="AM66" s="127"/>
      <c r="AN66" s="127"/>
      <c r="AO66" s="127"/>
      <c r="AP66" s="127"/>
      <c r="AQ66" s="127"/>
      <c r="AR66" s="127"/>
      <c r="AS66" s="127"/>
      <c r="AT66" s="127"/>
      <c r="AU66" s="127"/>
      <c r="AV66" s="127"/>
      <c r="AW66" s="127"/>
      <c r="AX66" s="127"/>
      <c r="AY66" s="127"/>
      <c r="AZ66" s="127"/>
      <c r="BA66" s="127"/>
      <c r="BB66" s="127"/>
      <c r="BC66" s="127"/>
      <c r="BD66" s="127"/>
      <c r="BE66" s="127"/>
      <c r="BF66" s="127"/>
      <c r="BG66" s="127"/>
      <c r="BH66" s="127"/>
      <c r="BI66" s="127"/>
      <c r="BJ66" s="127"/>
      <c r="BK66" s="127"/>
      <c r="BL66" s="127"/>
      <c r="BM66" s="127"/>
      <c r="BN66" s="127"/>
      <c r="BO66" s="127"/>
      <c r="BP66" s="127"/>
      <c r="BQ66" s="127"/>
      <c r="BR66" s="127"/>
    </row>
    <row r="67" ht="13.5" customHeight="1" outlineLevel="2">
      <c r="A67" s="195"/>
      <c r="B67" s="246" t="s">
        <v>673</v>
      </c>
      <c r="C67" s="246"/>
      <c r="D67" s="201"/>
      <c r="E67" s="162"/>
      <c r="F67" s="162"/>
      <c r="G67" s="162"/>
      <c r="H67" s="178"/>
      <c r="I67" s="178"/>
      <c r="J67" s="178"/>
      <c r="K67" s="178"/>
      <c r="L67" s="178"/>
      <c r="M67" s="178"/>
      <c r="N67" s="178"/>
      <c r="O67" s="178"/>
      <c r="P67" s="178"/>
      <c r="Q67" s="178"/>
      <c r="R67" s="178"/>
      <c r="S67" s="178"/>
      <c r="T67" s="178"/>
      <c r="U67" s="178"/>
      <c r="V67" s="178"/>
      <c r="W67" s="178"/>
      <c r="X67" s="178"/>
      <c r="Y67" s="178"/>
      <c r="Z67" s="178"/>
      <c r="AA67" s="178"/>
      <c r="AB67" s="178"/>
      <c r="AC67" s="178"/>
      <c r="AD67" s="178"/>
      <c r="AE67" s="178"/>
      <c r="AF67" s="178"/>
      <c r="AG67" s="178"/>
      <c r="AH67" s="178"/>
      <c r="AI67" s="162"/>
      <c r="AJ67" s="315"/>
      <c r="AK67" s="315"/>
      <c r="AL67" s="315"/>
      <c r="AM67" s="315"/>
      <c r="AN67" s="315"/>
      <c r="AO67" s="315"/>
      <c r="AP67" s="315"/>
      <c r="AQ67" s="315"/>
      <c r="AR67" s="315"/>
      <c r="AS67" s="315"/>
      <c r="AT67" s="315"/>
      <c r="AU67" s="315"/>
      <c r="AV67" s="315"/>
      <c r="AW67" s="315"/>
      <c r="AX67" s="315"/>
      <c r="AY67" s="315"/>
      <c r="AZ67" s="315"/>
      <c r="BA67" s="315"/>
      <c r="BB67" s="315"/>
      <c r="BC67" s="315"/>
      <c r="BD67" s="315"/>
      <c r="BE67" s="315"/>
      <c r="BF67" s="315"/>
      <c r="BG67" s="315"/>
      <c r="BH67" s="315"/>
      <c r="BI67" s="315"/>
      <c r="BJ67" s="315"/>
      <c r="BK67" s="315"/>
      <c r="BL67" s="315"/>
      <c r="BM67" s="315"/>
      <c r="BN67" s="315"/>
      <c r="BO67" s="315"/>
      <c r="BP67" s="315"/>
      <c r="BQ67" s="315"/>
      <c r="BR67" s="315"/>
    </row>
    <row r="68" ht="14.25" customHeight="1" outlineLevel="3">
      <c r="A68" s="326"/>
      <c r="B68" s="100"/>
      <c r="C68" s="201"/>
      <c r="D68" s="201"/>
      <c r="E68" s="316" t="s">
        <v>725</v>
      </c>
      <c r="F68" s="123" t="s">
        <v>261</v>
      </c>
      <c r="G68" s="123" t="s">
        <v>726</v>
      </c>
      <c r="H68" s="276" t="str">
        <f>(calelccfrescli-elccfrescli)/elccfrescli</f>
        <v>#REF!</v>
      </c>
      <c r="I68" s="276" t="str">
        <f>(calelccfrescli-elccfrescli)/elccfrescli</f>
        <v>#REF!</v>
      </c>
      <c r="J68" s="276" t="str">
        <f>(calelccfrescli-elccfrescli)/elccfrescli</f>
        <v>#REF!</v>
      </c>
      <c r="K68" s="276" t="str">
        <f>(calelccfrescli-elccfrescli)/elccfrescli</f>
        <v>#REF!</v>
      </c>
      <c r="L68" s="276" t="str">
        <f>(calelccfrescli-elccfrescli)/elccfrescli</f>
        <v>#REF!</v>
      </c>
      <c r="M68" s="276" t="str">
        <f>(calelccfrescli-elccfrescli)/elccfrescli</f>
        <v>#REF!</v>
      </c>
      <c r="N68" s="276" t="str">
        <f>(calelccfrescli-elccfrescli)/elccfrescli</f>
        <v>#REF!</v>
      </c>
      <c r="O68" s="276" t="str">
        <f>(calelccfrescli-elccfrescli)/elccfrescli</f>
        <v>#REF!</v>
      </c>
      <c r="P68" s="276" t="str">
        <f>(calelccfrescli-elccfrescli)/elccfrescli</f>
        <v>#REF!</v>
      </c>
      <c r="Q68" s="276" t="str">
        <f>(calelccfrescli-elccfrescli)/elccfrescli</f>
        <v>#REF!</v>
      </c>
      <c r="R68" s="276" t="str">
        <f>(calelccfrescli-elccfrescli)/elccfrescli</f>
        <v>#REF!</v>
      </c>
      <c r="S68" s="276" t="str">
        <f>(calelccfrescli-elccfrescli)/elccfrescli</f>
        <v>#REF!</v>
      </c>
      <c r="T68" s="276" t="str">
        <f>(calelccfrescli-elccfrescli)/elccfrescli</f>
        <v>#REF!</v>
      </c>
      <c r="U68" s="276" t="str">
        <f>(calelccfrescli-elccfrescli)/elccfrescli</f>
        <v>#REF!</v>
      </c>
      <c r="V68" s="276" t="str">
        <f>(calelccfrescli-elccfrescli)/elccfrescli</f>
        <v>#REF!</v>
      </c>
      <c r="W68" s="276" t="str">
        <f>(calelccfrescli-elccfrescli)/elccfrescli</f>
        <v>#REF!</v>
      </c>
      <c r="X68" s="276" t="str">
        <f>(calelccfrescli-elccfrescli)/elccfrescli</f>
        <v>#REF!</v>
      </c>
      <c r="Y68" s="276" t="str">
        <f>(calelccfrescli-elccfrescli)/elccfrescli</f>
        <v>#REF!</v>
      </c>
      <c r="Z68" s="276" t="str">
        <f>(calelccfrescli-elccfrescli)/elccfrescli</f>
        <v>#REF!</v>
      </c>
      <c r="AA68" s="276" t="str">
        <f>(calelccfrescli-elccfrescli)/elccfrescli</f>
        <v>#REF!</v>
      </c>
      <c r="AB68" s="276" t="str">
        <f>(calelccfrescli-elccfrescli)/elccfrescli</f>
        <v>#REF!</v>
      </c>
      <c r="AC68" s="276" t="str">
        <f>(calelccfrescli-elccfrescli)/elccfrescli</f>
        <v>#REF!</v>
      </c>
      <c r="AD68" s="276" t="str">
        <f>(calelccfrescli-elccfrescli)/elccfrescli</f>
        <v>#REF!</v>
      </c>
      <c r="AE68" s="276" t="str">
        <f>(calelccfrescli-elccfrescli)/elccfrescli</f>
        <v>#REF!</v>
      </c>
      <c r="AF68" s="276" t="str">
        <f>(calelccfrescli-elccfrescli)/elccfrescli</f>
        <v>#REF!</v>
      </c>
      <c r="AG68" s="276" t="str">
        <f>(calelccfrescli-elccfrescli)/elccfrescli</f>
        <v>#REF!</v>
      </c>
      <c r="AH68" s="276" t="str">
        <f>(calelccfrescli-elccfrescli)/elccfrescli</f>
        <v>#REF!</v>
      </c>
      <c r="AI68" s="125"/>
      <c r="AJ68" s="127"/>
      <c r="AK68" s="127"/>
      <c r="AL68" s="127"/>
      <c r="AM68" s="127"/>
      <c r="AN68" s="127"/>
      <c r="AO68" s="127"/>
      <c r="AP68" s="127"/>
      <c r="AQ68" s="127"/>
      <c r="AR68" s="127"/>
      <c r="AS68" s="127"/>
      <c r="AT68" s="127"/>
      <c r="AU68" s="127"/>
      <c r="AV68" s="127"/>
      <c r="AW68" s="127"/>
      <c r="AX68" s="127"/>
      <c r="AY68" s="127"/>
      <c r="AZ68" s="127"/>
      <c r="BA68" s="127"/>
      <c r="BB68" s="127"/>
      <c r="BC68" s="127"/>
      <c r="BD68" s="127"/>
      <c r="BE68" s="127"/>
      <c r="BF68" s="127"/>
      <c r="BG68" s="127"/>
      <c r="BH68" s="127"/>
      <c r="BI68" s="127"/>
      <c r="BJ68" s="127"/>
      <c r="BK68" s="127"/>
      <c r="BL68" s="127"/>
      <c r="BM68" s="127"/>
      <c r="BN68" s="127"/>
      <c r="BO68" s="127"/>
      <c r="BP68" s="127"/>
      <c r="BQ68" s="127"/>
      <c r="BR68" s="127"/>
    </row>
    <row r="69" ht="13.5" customHeight="1">
      <c r="A69" s="314" t="s">
        <v>727</v>
      </c>
      <c r="B69" s="246"/>
      <c r="C69" s="282"/>
      <c r="D69" s="283"/>
      <c r="E69" s="162"/>
      <c r="F69" s="162"/>
      <c r="G69" s="162"/>
      <c r="H69" s="178"/>
      <c r="I69" s="178"/>
      <c r="J69" s="178"/>
      <c r="K69" s="178"/>
      <c r="L69" s="178"/>
      <c r="M69" s="178"/>
      <c r="N69" s="178"/>
      <c r="O69" s="178"/>
      <c r="P69" s="178"/>
      <c r="Q69" s="178"/>
      <c r="R69" s="178"/>
      <c r="S69" s="178"/>
      <c r="T69" s="178"/>
      <c r="U69" s="178"/>
      <c r="V69" s="178"/>
      <c r="W69" s="178"/>
      <c r="X69" s="178"/>
      <c r="Y69" s="178"/>
      <c r="Z69" s="178"/>
      <c r="AA69" s="178"/>
      <c r="AB69" s="178"/>
      <c r="AC69" s="178"/>
      <c r="AD69" s="178"/>
      <c r="AE69" s="178"/>
      <c r="AF69" s="178"/>
      <c r="AG69" s="178"/>
      <c r="AH69" s="178"/>
      <c r="AI69" s="162"/>
      <c r="AJ69" s="315"/>
      <c r="AK69" s="315"/>
      <c r="AL69" s="315"/>
      <c r="AM69" s="315"/>
      <c r="AN69" s="315"/>
      <c r="AO69" s="315"/>
      <c r="AP69" s="315"/>
      <c r="AQ69" s="315"/>
      <c r="AR69" s="315"/>
      <c r="AS69" s="315"/>
      <c r="AT69" s="315"/>
      <c r="AU69" s="315"/>
      <c r="AV69" s="315"/>
      <c r="AW69" s="315"/>
      <c r="AX69" s="315"/>
      <c r="AY69" s="315"/>
      <c r="AZ69" s="315"/>
      <c r="BA69" s="315"/>
      <c r="BB69" s="315"/>
      <c r="BC69" s="315"/>
      <c r="BD69" s="315"/>
      <c r="BE69" s="315"/>
      <c r="BF69" s="315"/>
      <c r="BG69" s="315"/>
      <c r="BH69" s="315"/>
      <c r="BI69" s="315"/>
      <c r="BJ69" s="315"/>
      <c r="BK69" s="315"/>
      <c r="BL69" s="315"/>
      <c r="BM69" s="315"/>
      <c r="BN69" s="315"/>
      <c r="BO69" s="315"/>
      <c r="BP69" s="315"/>
      <c r="BQ69" s="315"/>
      <c r="BR69" s="315"/>
    </row>
    <row r="70" ht="14.25" customHeight="1" outlineLevel="2">
      <c r="A70" s="195"/>
      <c r="B70" s="246" t="s">
        <v>728</v>
      </c>
      <c r="C70" s="246"/>
      <c r="D70" s="201"/>
      <c r="E70" s="162"/>
      <c r="F70" s="162"/>
      <c r="G70" s="162"/>
      <c r="H70" s="178"/>
      <c r="I70" s="178"/>
      <c r="J70" s="178"/>
      <c r="K70" s="178"/>
      <c r="L70" s="178"/>
      <c r="M70" s="178"/>
      <c r="N70" s="178"/>
      <c r="O70" s="178"/>
      <c r="P70" s="178"/>
      <c r="Q70" s="178"/>
      <c r="R70" s="178"/>
      <c r="S70" s="178"/>
      <c r="T70" s="178"/>
      <c r="U70" s="178"/>
      <c r="V70" s="178"/>
      <c r="W70" s="178"/>
      <c r="X70" s="178"/>
      <c r="Y70" s="178"/>
      <c r="Z70" s="178"/>
      <c r="AA70" s="178"/>
      <c r="AB70" s="178"/>
      <c r="AC70" s="178"/>
      <c r="AD70" s="178"/>
      <c r="AE70" s="178"/>
      <c r="AF70" s="178"/>
      <c r="AG70" s="178"/>
      <c r="AH70" s="178"/>
      <c r="AI70" s="162"/>
      <c r="AJ70" s="315"/>
      <c r="AK70" s="315"/>
      <c r="AL70" s="315"/>
      <c r="AM70" s="315"/>
      <c r="AN70" s="315"/>
      <c r="AO70" s="315"/>
      <c r="AP70" s="315"/>
      <c r="AQ70" s="315"/>
      <c r="AR70" s="315"/>
      <c r="AS70" s="315"/>
      <c r="AT70" s="315"/>
      <c r="AU70" s="315"/>
      <c r="AV70" s="315"/>
      <c r="AW70" s="315"/>
      <c r="AX70" s="315"/>
      <c r="AY70" s="315"/>
      <c r="AZ70" s="315"/>
      <c r="BA70" s="315"/>
      <c r="BB70" s="315"/>
      <c r="BC70" s="315"/>
      <c r="BD70" s="315"/>
      <c r="BE70" s="315"/>
      <c r="BF70" s="315"/>
      <c r="BG70" s="315"/>
      <c r="BH70" s="315"/>
      <c r="BI70" s="315"/>
      <c r="BJ70" s="315"/>
      <c r="BK70" s="315"/>
      <c r="BL70" s="315"/>
      <c r="BM70" s="315"/>
      <c r="BN70" s="315"/>
      <c r="BO70" s="315"/>
      <c r="BP70" s="315"/>
      <c r="BQ70" s="315"/>
      <c r="BR70" s="315"/>
    </row>
    <row r="71" ht="14.25" customHeight="1" outlineLevel="3">
      <c r="A71" s="195"/>
      <c r="B71" s="100"/>
      <c r="C71" s="268"/>
      <c r="D71" s="201"/>
      <c r="E71" s="287" t="s">
        <v>729</v>
      </c>
      <c r="F71" s="249" t="s">
        <v>135</v>
      </c>
      <c r="G71" s="249" t="s">
        <v>469</v>
      </c>
      <c r="H71" s="260">
        <f>toccfresecs</f>
        <v>11.8138</v>
      </c>
      <c r="I71" s="181">
        <f>toccfresecs</f>
        <v>11.5724</v>
      </c>
      <c r="J71" s="181">
        <f>toccfresecs</f>
        <v>11.5478</v>
      </c>
      <c r="K71" s="181">
        <f>toccfresecs</f>
        <v>11.3855</v>
      </c>
      <c r="L71" s="181">
        <f>toccfresecs</f>
        <v>11.2373</v>
      </c>
      <c r="M71" s="181">
        <f>toccfresecs</f>
        <v>11.7598</v>
      </c>
      <c r="N71" s="181">
        <f>toccfresecs</f>
        <v>11.0741</v>
      </c>
      <c r="O71" s="181">
        <f>toccfresecs</f>
        <v>10.9415</v>
      </c>
      <c r="P71" s="181">
        <f>toccfresecs</f>
        <v>10.672</v>
      </c>
      <c r="Q71" s="181">
        <f>toccfresecs</f>
        <v>10.377</v>
      </c>
      <c r="R71" s="181">
        <f>toccfresecs</f>
        <v>10.4302</v>
      </c>
      <c r="S71" s="181">
        <f>toccfresecs</f>
        <v>10.556</v>
      </c>
      <c r="T71" s="181">
        <f>toccfresecs</f>
        <v>10.6461</v>
      </c>
      <c r="U71" s="181">
        <f>toccfresecs</f>
        <v>10.7497</v>
      </c>
      <c r="V71" s="181">
        <f>toccfresecs</f>
        <v>10.8195</v>
      </c>
      <c r="W71" s="182">
        <f>toccfresecs</f>
        <v>10.46406039</v>
      </c>
      <c r="X71" s="181">
        <f>toccfresecs</f>
        <v>10.9733</v>
      </c>
      <c r="Y71" s="181">
        <f>toccfresecs</f>
        <v>11.0344</v>
      </c>
      <c r="Z71" s="181">
        <f>toccfresecs</f>
        <v>11.166</v>
      </c>
      <c r="AA71" s="181" t="str">
        <f>toccfresecs</f>
        <v/>
      </c>
      <c r="AB71" s="182">
        <f>toccfresecs</f>
        <v>9.318691349</v>
      </c>
      <c r="AC71" s="182">
        <f>toccfresecs</f>
        <v>8.505519569</v>
      </c>
      <c r="AD71" s="182">
        <f>toccfresecs</f>
        <v>7.302527531</v>
      </c>
      <c r="AE71" s="182">
        <f>toccfresecs</f>
        <v>6.598809703</v>
      </c>
      <c r="AF71" s="182">
        <f>toccfresecs</f>
        <v>5.771537571</v>
      </c>
      <c r="AG71" s="182">
        <f>toccfresecs</f>
        <v>5.146146174</v>
      </c>
      <c r="AH71" s="184">
        <f>toccfresecs</f>
        <v>4.610689159</v>
      </c>
      <c r="AI71" s="125"/>
      <c r="AJ71" s="127"/>
      <c r="AK71" s="127"/>
      <c r="AL71" s="127"/>
      <c r="AM71" s="127"/>
      <c r="AN71" s="127"/>
      <c r="AO71" s="127"/>
      <c r="AP71" s="127"/>
      <c r="AQ71" s="127"/>
      <c r="AR71" s="127"/>
      <c r="AS71" s="127"/>
      <c r="AT71" s="127"/>
      <c r="AU71" s="127"/>
      <c r="AV71" s="127"/>
      <c r="AW71" s="127"/>
      <c r="AX71" s="127"/>
      <c r="AY71" s="127"/>
      <c r="AZ71" s="127"/>
      <c r="BA71" s="127"/>
      <c r="BB71" s="127"/>
      <c r="BC71" s="127"/>
      <c r="BD71" s="127"/>
      <c r="BE71" s="127"/>
      <c r="BF71" s="127"/>
      <c r="BG71" s="127"/>
      <c r="BH71" s="127"/>
      <c r="BI71" s="127"/>
      <c r="BJ71" s="127"/>
      <c r="BK71" s="127"/>
      <c r="BL71" s="127"/>
      <c r="BM71" s="127"/>
      <c r="BN71" s="127"/>
      <c r="BO71" s="127"/>
      <c r="BP71" s="127"/>
      <c r="BQ71" s="127"/>
      <c r="BR71" s="127"/>
    </row>
    <row r="72" ht="14.25" customHeight="1" outlineLevel="3">
      <c r="A72" s="195"/>
      <c r="B72" s="100"/>
      <c r="C72" s="268"/>
      <c r="D72" s="201"/>
      <c r="E72" s="270" t="s">
        <v>470</v>
      </c>
      <c r="F72" s="249" t="s">
        <v>135</v>
      </c>
      <c r="G72" s="249" t="s">
        <v>471</v>
      </c>
      <c r="H72" s="260">
        <f>cmscfresecs</f>
        <v>0.003</v>
      </c>
      <c r="I72" s="181">
        <f>cmscfresecs</f>
        <v>0.0029</v>
      </c>
      <c r="J72" s="181">
        <f>cmscfresecs</f>
        <v>0.0029</v>
      </c>
      <c r="K72" s="181">
        <f>cmscfresecs</f>
        <v>0.0028</v>
      </c>
      <c r="L72" s="181">
        <f>cmscfresecs</f>
        <v>0.0028</v>
      </c>
      <c r="M72" s="181">
        <f>cmscfresecs</f>
        <v>0.0029</v>
      </c>
      <c r="N72" s="181">
        <f>cmscfresecs</f>
        <v>0.0028</v>
      </c>
      <c r="O72" s="181">
        <f>cmscfresecs</f>
        <v>0.0027</v>
      </c>
      <c r="P72" s="181">
        <f>cmscfresecs</f>
        <v>0.0027</v>
      </c>
      <c r="Q72" s="181">
        <f>cmscfresecs</f>
        <v>0.0026</v>
      </c>
      <c r="R72" s="181">
        <f>cmscfresecs</f>
        <v>0.0026</v>
      </c>
      <c r="S72" s="181">
        <f>cmscfresecs</f>
        <v>0.0026</v>
      </c>
      <c r="T72" s="181">
        <f>cmscfresecs</f>
        <v>0.0027</v>
      </c>
      <c r="U72" s="181">
        <f>cmscfresecs</f>
        <v>0.0027</v>
      </c>
      <c r="V72" s="181">
        <f>cmscfresecs</f>
        <v>0.0027</v>
      </c>
      <c r="W72" s="182">
        <f>cmscfresecs</f>
        <v>0</v>
      </c>
      <c r="X72" s="181">
        <f>cmscfresecs</f>
        <v>0.0027</v>
      </c>
      <c r="Y72" s="181">
        <f>cmscfresecs</f>
        <v>0.0027</v>
      </c>
      <c r="Z72" s="181" t="str">
        <f>cmscfresecs</f>
        <v/>
      </c>
      <c r="AA72" s="181" t="str">
        <f>cmscfresecs</f>
        <v/>
      </c>
      <c r="AB72" s="182">
        <f>cmscfresecs</f>
        <v>0</v>
      </c>
      <c r="AC72" s="182">
        <f>cmscfresecs</f>
        <v>0</v>
      </c>
      <c r="AD72" s="182">
        <f>cmscfresecs</f>
        <v>0</v>
      </c>
      <c r="AE72" s="182">
        <f>cmscfresecs</f>
        <v>0</v>
      </c>
      <c r="AF72" s="182">
        <f>cmscfresecs</f>
        <v>0</v>
      </c>
      <c r="AG72" s="182">
        <f>cmscfresecs</f>
        <v>0</v>
      </c>
      <c r="AH72" s="184">
        <f>cmscfresecs</f>
        <v>0</v>
      </c>
      <c r="AI72" s="125"/>
      <c r="AJ72" s="127"/>
      <c r="AK72" s="127"/>
      <c r="AL72" s="127"/>
      <c r="AM72" s="127"/>
      <c r="AN72" s="127"/>
      <c r="AO72" s="127"/>
      <c r="AP72" s="127"/>
      <c r="AQ72" s="127"/>
      <c r="AR72" s="127"/>
      <c r="AS72" s="127"/>
      <c r="AT72" s="127"/>
      <c r="AU72" s="127"/>
      <c r="AV72" s="127"/>
      <c r="AW72" s="127"/>
      <c r="AX72" s="127"/>
      <c r="AY72" s="127"/>
      <c r="AZ72" s="127"/>
      <c r="BA72" s="127"/>
      <c r="BB72" s="127"/>
      <c r="BC72" s="127"/>
      <c r="BD72" s="127"/>
      <c r="BE72" s="127"/>
      <c r="BF72" s="127"/>
      <c r="BG72" s="127"/>
      <c r="BH72" s="127"/>
      <c r="BI72" s="127"/>
      <c r="BJ72" s="127"/>
      <c r="BK72" s="127"/>
      <c r="BL72" s="127"/>
      <c r="BM72" s="127"/>
      <c r="BN72" s="127"/>
      <c r="BO72" s="127"/>
      <c r="BP72" s="127"/>
      <c r="BQ72" s="127"/>
      <c r="BR72" s="127"/>
    </row>
    <row r="73" ht="14.25" customHeight="1" outlineLevel="3">
      <c r="A73" s="195"/>
      <c r="B73" s="100"/>
      <c r="C73" s="268"/>
      <c r="D73" s="201"/>
      <c r="E73" s="270" t="s">
        <v>472</v>
      </c>
      <c r="F73" s="249" t="s">
        <v>135</v>
      </c>
      <c r="G73" s="249" t="s">
        <v>473</v>
      </c>
      <c r="H73" s="260" t="str">
        <f>enccfresecs</f>
        <v/>
      </c>
      <c r="I73" s="181" t="str">
        <f>enccfresecs</f>
        <v/>
      </c>
      <c r="J73" s="181" t="str">
        <f>enccfresecs</f>
        <v/>
      </c>
      <c r="K73" s="181" t="str">
        <f>enccfresecs</f>
        <v/>
      </c>
      <c r="L73" s="181" t="str">
        <f>enccfresecs</f>
        <v/>
      </c>
      <c r="M73" s="181" t="str">
        <f>enccfresecs</f>
        <v/>
      </c>
      <c r="N73" s="181" t="str">
        <f>enccfresecs</f>
        <v/>
      </c>
      <c r="O73" s="181" t="str">
        <f>enccfresecs</f>
        <v/>
      </c>
      <c r="P73" s="181" t="str">
        <f>enccfresecs</f>
        <v/>
      </c>
      <c r="Q73" s="181" t="str">
        <f>enccfresecs</f>
        <v/>
      </c>
      <c r="R73" s="181">
        <f>enccfresecs</f>
        <v>0.1533</v>
      </c>
      <c r="S73" s="181">
        <f>enccfresecs</f>
        <v>0.1738</v>
      </c>
      <c r="T73" s="181">
        <f>enccfresecs</f>
        <v>0.1836</v>
      </c>
      <c r="U73" s="181">
        <f>enccfresecs</f>
        <v>0.227</v>
      </c>
      <c r="V73" s="181">
        <f>enccfresecs</f>
        <v>0.2484</v>
      </c>
      <c r="W73" s="182">
        <f>enccfresecs</f>
        <v>0.5482226009</v>
      </c>
      <c r="X73" s="181">
        <f>enccfresecs</f>
        <v>0.2909</v>
      </c>
      <c r="Y73" s="181">
        <f>enccfresecs</f>
        <v>0.3005</v>
      </c>
      <c r="Z73" s="181" t="str">
        <f>enccfresecs</f>
        <v/>
      </c>
      <c r="AA73" s="181" t="str">
        <f>enccfresecs</f>
        <v/>
      </c>
      <c r="AB73" s="182">
        <f>enccfresecs</f>
        <v>0.5635526911</v>
      </c>
      <c r="AC73" s="182">
        <f>enccfresecs</f>
        <v>0.584834921</v>
      </c>
      <c r="AD73" s="182">
        <f>enccfresecs</f>
        <v>0.5598744632</v>
      </c>
      <c r="AE73" s="182">
        <f>enccfresecs</f>
        <v>0.5427939506</v>
      </c>
      <c r="AF73" s="182">
        <f>enccfresecs</f>
        <v>0.4909375141</v>
      </c>
      <c r="AG73" s="182">
        <f>enccfresecs</f>
        <v>0.4444101984</v>
      </c>
      <c r="AH73" s="184">
        <f>enccfresecs</f>
        <v>0.3976447821</v>
      </c>
      <c r="AI73" s="125"/>
      <c r="AJ73" s="127"/>
      <c r="AK73" s="127"/>
      <c r="AL73" s="127"/>
      <c r="AM73" s="127"/>
      <c r="AN73" s="127"/>
      <c r="AO73" s="127"/>
      <c r="AP73" s="127"/>
      <c r="AQ73" s="127"/>
      <c r="AR73" s="127"/>
      <c r="AS73" s="127"/>
      <c r="AT73" s="127"/>
      <c r="AU73" s="127"/>
      <c r="AV73" s="127"/>
      <c r="AW73" s="127"/>
      <c r="AX73" s="127"/>
      <c r="AY73" s="127"/>
      <c r="AZ73" s="127"/>
      <c r="BA73" s="127"/>
      <c r="BB73" s="127"/>
      <c r="BC73" s="127"/>
      <c r="BD73" s="127"/>
      <c r="BE73" s="127"/>
      <c r="BF73" s="127"/>
      <c r="BG73" s="127"/>
      <c r="BH73" s="127"/>
      <c r="BI73" s="127"/>
      <c r="BJ73" s="127"/>
      <c r="BK73" s="127"/>
      <c r="BL73" s="127"/>
      <c r="BM73" s="127"/>
      <c r="BN73" s="127"/>
      <c r="BO73" s="127"/>
      <c r="BP73" s="127"/>
      <c r="BQ73" s="127"/>
      <c r="BR73" s="127"/>
    </row>
    <row r="74" ht="14.25" customHeight="1" outlineLevel="3">
      <c r="A74" s="195"/>
      <c r="B74" s="100"/>
      <c r="C74" s="268"/>
      <c r="D74" s="201"/>
      <c r="E74" s="270" t="s">
        <v>474</v>
      </c>
      <c r="F74" s="249" t="s">
        <v>135</v>
      </c>
      <c r="G74" s="249" t="s">
        <v>475</v>
      </c>
      <c r="H74" s="260">
        <f>petcfresecs</f>
        <v>2.0887</v>
      </c>
      <c r="I74" s="181">
        <f>petcfresecs</f>
        <v>2.0461</v>
      </c>
      <c r="J74" s="181">
        <f>petcfresecs</f>
        <v>2.0417</v>
      </c>
      <c r="K74" s="181">
        <f>petcfresecs</f>
        <v>2.013</v>
      </c>
      <c r="L74" s="181">
        <f>petcfresecs</f>
        <v>1.9868</v>
      </c>
      <c r="M74" s="181">
        <f>petcfresecs</f>
        <v>2.0792</v>
      </c>
      <c r="N74" s="181">
        <f>petcfresecs</f>
        <v>1.958</v>
      </c>
      <c r="O74" s="181">
        <f>petcfresecs</f>
        <v>1.9345</v>
      </c>
      <c r="P74" s="181">
        <f>petcfresecs</f>
        <v>1.8869</v>
      </c>
      <c r="Q74" s="181">
        <f>petcfresecs</f>
        <v>1.8347</v>
      </c>
      <c r="R74" s="181">
        <f>petcfresecs</f>
        <v>1.8441</v>
      </c>
      <c r="S74" s="181">
        <f>petcfresecs</f>
        <v>1.863</v>
      </c>
      <c r="T74" s="181">
        <f>petcfresecs</f>
        <v>1.8775</v>
      </c>
      <c r="U74" s="181">
        <f>petcfresecs</f>
        <v>1.8883</v>
      </c>
      <c r="V74" s="181">
        <f>petcfresecs</f>
        <v>1.8969</v>
      </c>
      <c r="W74" s="182">
        <f>petcfresecs</f>
        <v>4.053438932</v>
      </c>
      <c r="X74" s="181">
        <f>petcfresecs</f>
        <v>1.9169</v>
      </c>
      <c r="Y74" s="181">
        <f>petcfresecs</f>
        <v>1.9264</v>
      </c>
      <c r="Z74" s="181" t="str">
        <f>petcfresecs</f>
        <v/>
      </c>
      <c r="AA74" s="181" t="str">
        <f>petcfresecs</f>
        <v/>
      </c>
      <c r="AB74" s="182">
        <f>petcfresecs</f>
        <v>3.183801733</v>
      </c>
      <c r="AC74" s="182">
        <f>petcfresecs</f>
        <v>2.466236674</v>
      </c>
      <c r="AD74" s="182">
        <f>petcfresecs</f>
        <v>1.711082191</v>
      </c>
      <c r="AE74" s="182">
        <f>petcfresecs</f>
        <v>1.137536066</v>
      </c>
      <c r="AF74" s="182">
        <f>petcfresecs</f>
        <v>0.6319321905</v>
      </c>
      <c r="AG74" s="182">
        <f>petcfresecs</f>
        <v>0.2652148854</v>
      </c>
      <c r="AH74" s="184">
        <f>petcfresecs</f>
        <v>0</v>
      </c>
      <c r="AI74" s="125"/>
      <c r="AJ74" s="127"/>
      <c r="AK74" s="127"/>
      <c r="AL74" s="127"/>
      <c r="AM74" s="127"/>
      <c r="AN74" s="127"/>
      <c r="AO74" s="127"/>
      <c r="AP74" s="127"/>
      <c r="AQ74" s="127"/>
      <c r="AR74" s="127"/>
      <c r="AS74" s="127"/>
      <c r="AT74" s="127"/>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row>
    <row r="75" ht="14.25" customHeight="1" outlineLevel="3">
      <c r="A75" s="195"/>
      <c r="B75" s="100"/>
      <c r="C75" s="268"/>
      <c r="D75" s="201"/>
      <c r="E75" s="270" t="s">
        <v>476</v>
      </c>
      <c r="F75" s="249" t="s">
        <v>135</v>
      </c>
      <c r="G75" s="249" t="s">
        <v>477</v>
      </c>
      <c r="H75" s="260" t="str">
        <f>gazcfresecs</f>
        <v/>
      </c>
      <c r="I75" s="181" t="str">
        <f>gazcfresecs</f>
        <v/>
      </c>
      <c r="J75" s="181" t="str">
        <f>gazcfresecs</f>
        <v/>
      </c>
      <c r="K75" s="181" t="str">
        <f>gazcfresecs</f>
        <v/>
      </c>
      <c r="L75" s="181" t="str">
        <f>gazcfresecs</f>
        <v/>
      </c>
      <c r="M75" s="181" t="str">
        <f>gazcfresecs</f>
        <v/>
      </c>
      <c r="N75" s="181" t="str">
        <f>gazcfresecs</f>
        <v/>
      </c>
      <c r="O75" s="181" t="str">
        <f>gazcfresecs</f>
        <v/>
      </c>
      <c r="P75" s="181" t="str">
        <f>gazcfresecs</f>
        <v/>
      </c>
      <c r="Q75" s="181" t="str">
        <f>gazcfresecs</f>
        <v/>
      </c>
      <c r="R75" s="181">
        <f>gazcfresecs</f>
        <v>5.1984</v>
      </c>
      <c r="S75" s="181">
        <f>gazcfresecs</f>
        <v>5.2517</v>
      </c>
      <c r="T75" s="181">
        <f>gazcfresecs</f>
        <v>5.2923</v>
      </c>
      <c r="U75" s="181">
        <f>gazcfresecs</f>
        <v>5.3228</v>
      </c>
      <c r="V75" s="181">
        <f>gazcfresecs</f>
        <v>5.3472</v>
      </c>
      <c r="W75" s="182">
        <f>gazcfresecs</f>
        <v>4.616752563</v>
      </c>
      <c r="X75" s="181">
        <f>gazcfresecs</f>
        <v>5.4035</v>
      </c>
      <c r="Y75" s="181">
        <f>gazcfresecs</f>
        <v>5.4294</v>
      </c>
      <c r="Z75" s="181" t="str">
        <f>gazcfresecs</f>
        <v/>
      </c>
      <c r="AA75" s="181" t="str">
        <f>gazcfresecs</f>
        <v/>
      </c>
      <c r="AB75" s="182">
        <f>gazcfresecs</f>
        <v>3.588422445</v>
      </c>
      <c r="AC75" s="182">
        <f>gazcfresecs</f>
        <v>2.772879145</v>
      </c>
      <c r="AD75" s="182">
        <f>gazcfresecs</f>
        <v>1.931976624</v>
      </c>
      <c r="AE75" s="182">
        <f>gazcfresecs</f>
        <v>1.324073593</v>
      </c>
      <c r="AF75" s="182">
        <f>gazcfresecs</f>
        <v>0.7780246427</v>
      </c>
      <c r="AG75" s="182">
        <f>gazcfresecs</f>
        <v>0.3787418667</v>
      </c>
      <c r="AH75" s="184">
        <f>gazcfresecs</f>
        <v>0.08615636946</v>
      </c>
      <c r="AI75" s="125"/>
      <c r="AJ75" s="127"/>
      <c r="AK75" s="127"/>
      <c r="AL75" s="127"/>
      <c r="AM75" s="127"/>
      <c r="AN75" s="127"/>
      <c r="AO75" s="127"/>
      <c r="AP75" s="127"/>
      <c r="AQ75" s="127"/>
      <c r="AR75" s="127"/>
      <c r="AS75" s="127"/>
      <c r="AT75" s="127"/>
      <c r="AU75" s="127"/>
      <c r="AV75" s="127"/>
      <c r="AW75" s="127"/>
      <c r="AX75" s="127"/>
      <c r="AY75" s="127"/>
      <c r="AZ75" s="127"/>
      <c r="BA75" s="127"/>
      <c r="BB75" s="127"/>
      <c r="BC75" s="127"/>
      <c r="BD75" s="127"/>
      <c r="BE75" s="127"/>
      <c r="BF75" s="127"/>
      <c r="BG75" s="127"/>
      <c r="BH75" s="127"/>
      <c r="BI75" s="127"/>
      <c r="BJ75" s="127"/>
      <c r="BK75" s="127"/>
      <c r="BL75" s="127"/>
      <c r="BM75" s="127"/>
      <c r="BN75" s="127"/>
      <c r="BO75" s="127"/>
      <c r="BP75" s="127"/>
      <c r="BQ75" s="127"/>
      <c r="BR75" s="127"/>
    </row>
    <row r="76" ht="14.25" customHeight="1" outlineLevel="3">
      <c r="A76" s="195"/>
      <c r="B76" s="100"/>
      <c r="C76" s="268"/>
      <c r="D76" s="201"/>
      <c r="E76" s="270" t="s">
        <v>478</v>
      </c>
      <c r="F76" s="249" t="s">
        <v>135</v>
      </c>
      <c r="G76" s="249" t="s">
        <v>479</v>
      </c>
      <c r="H76" s="260" t="str">
        <f>elccfresecs</f>
        <v/>
      </c>
      <c r="I76" s="181" t="str">
        <f>elccfresecs</f>
        <v/>
      </c>
      <c r="J76" s="181" t="str">
        <f>elccfresecs</f>
        <v/>
      </c>
      <c r="K76" s="181" t="str">
        <f>elccfresecs</f>
        <v/>
      </c>
      <c r="L76" s="181" t="str">
        <f>elccfresecs</f>
        <v/>
      </c>
      <c r="M76" s="181" t="str">
        <f>elccfresecs</f>
        <v/>
      </c>
      <c r="N76" s="181" t="str">
        <f>elccfresecs</f>
        <v/>
      </c>
      <c r="O76" s="181" t="str">
        <f>elccfresecs</f>
        <v/>
      </c>
      <c r="P76" s="181" t="str">
        <f>elccfresecs</f>
        <v/>
      </c>
      <c r="Q76" s="181" t="str">
        <f>elccfresecs</f>
        <v/>
      </c>
      <c r="R76" s="181">
        <f>elccfresecs</f>
        <v>3.2318</v>
      </c>
      <c r="S76" s="181">
        <f>elccfresecs</f>
        <v>3.2649</v>
      </c>
      <c r="T76" s="181">
        <f>elccfresecs</f>
        <v>3.2901</v>
      </c>
      <c r="U76" s="181">
        <f>elccfresecs</f>
        <v>3.309</v>
      </c>
      <c r="V76" s="181">
        <f>elccfresecs</f>
        <v>3.3243</v>
      </c>
      <c r="W76" s="182">
        <f>elccfresecs</f>
        <v>0.9986811275</v>
      </c>
      <c r="X76" s="181">
        <f>elccfresecs</f>
        <v>3.3593</v>
      </c>
      <c r="Y76" s="181">
        <f>elccfresecs</f>
        <v>3.3754</v>
      </c>
      <c r="Z76" s="181" t="str">
        <f>elccfresecs</f>
        <v/>
      </c>
      <c r="AA76" s="181" t="str">
        <f>elccfresecs</f>
        <v/>
      </c>
      <c r="AB76" s="182">
        <f>elccfresecs</f>
        <v>1.085403103</v>
      </c>
      <c r="AC76" s="182">
        <f>elccfresecs</f>
        <v>1.156535353</v>
      </c>
      <c r="AD76" s="182">
        <f>elccfresecs</f>
        <v>1.11912758</v>
      </c>
      <c r="AE76" s="182">
        <f>elccfresecs</f>
        <v>1.085074885</v>
      </c>
      <c r="AF76" s="182">
        <f>elccfresecs</f>
        <v>0.974001457</v>
      </c>
      <c r="AG76" s="182">
        <f>elccfresecs</f>
        <v>0.8699966524</v>
      </c>
      <c r="AH76" s="184">
        <f>elccfresecs</f>
        <v>0.764637779</v>
      </c>
      <c r="AI76" s="125" t="s">
        <v>730</v>
      </c>
      <c r="AJ76" s="127"/>
      <c r="AK76" s="127"/>
      <c r="AL76" s="127"/>
      <c r="AM76" s="127"/>
      <c r="AN76" s="127"/>
      <c r="AO76" s="127"/>
      <c r="AP76" s="127"/>
      <c r="AQ76" s="127"/>
      <c r="AR76" s="127"/>
      <c r="AS76" s="127"/>
      <c r="AT76" s="127"/>
      <c r="AU76" s="127"/>
      <c r="AV76" s="127"/>
      <c r="AW76" s="127"/>
      <c r="AX76" s="127"/>
      <c r="AY76" s="127"/>
      <c r="AZ76" s="127"/>
      <c r="BA76" s="127"/>
      <c r="BB76" s="127"/>
      <c r="BC76" s="127"/>
      <c r="BD76" s="127"/>
      <c r="BE76" s="127"/>
      <c r="BF76" s="127"/>
      <c r="BG76" s="127"/>
      <c r="BH76" s="127"/>
      <c r="BI76" s="127"/>
      <c r="BJ76" s="127"/>
      <c r="BK76" s="127"/>
      <c r="BL76" s="127"/>
      <c r="BM76" s="127"/>
      <c r="BN76" s="127"/>
      <c r="BO76" s="127"/>
      <c r="BP76" s="127"/>
      <c r="BQ76" s="127"/>
      <c r="BR76" s="127"/>
    </row>
    <row r="77" ht="14.25" customHeight="1" outlineLevel="3">
      <c r="A77" s="195"/>
      <c r="B77" s="100"/>
      <c r="C77" s="268"/>
      <c r="D77" s="201"/>
      <c r="E77" s="291" t="s">
        <v>480</v>
      </c>
      <c r="F77" s="123" t="s">
        <v>135</v>
      </c>
      <c r="G77" s="292" t="s">
        <v>481</v>
      </c>
      <c r="H77" s="260" t="str">
        <f>vapcfresecs</f>
        <v/>
      </c>
      <c r="I77" s="181" t="str">
        <f>vapcfresecs</f>
        <v/>
      </c>
      <c r="J77" s="181" t="str">
        <f>vapcfresecs</f>
        <v/>
      </c>
      <c r="K77" s="181" t="str">
        <f>vapcfresecs</f>
        <v/>
      </c>
      <c r="L77" s="181" t="str">
        <f>vapcfresecs</f>
        <v/>
      </c>
      <c r="M77" s="181" t="str">
        <f>vapcfresecs</f>
        <v/>
      </c>
      <c r="N77" s="181" t="str">
        <f>vapcfresecs</f>
        <v/>
      </c>
      <c r="O77" s="181" t="str">
        <f>vapcfresecs</f>
        <v/>
      </c>
      <c r="P77" s="181" t="str">
        <f>vapcfresecs</f>
        <v/>
      </c>
      <c r="Q77" s="181" t="str">
        <f>vapcfresecs</f>
        <v/>
      </c>
      <c r="R77" s="181" t="str">
        <f>vapcfresecs</f>
        <v/>
      </c>
      <c r="S77" s="181" t="str">
        <f>vapcfresecs</f>
        <v/>
      </c>
      <c r="T77" s="181" t="str">
        <f>vapcfresecs</f>
        <v/>
      </c>
      <c r="U77" s="181" t="str">
        <f>vapcfresecs</f>
        <v/>
      </c>
      <c r="V77" s="181" t="str">
        <f>vapcfresecs</f>
        <v/>
      </c>
      <c r="W77" s="182">
        <f>vapcfresecs</f>
        <v>0.002270261018</v>
      </c>
      <c r="X77" s="181" t="str">
        <f>vapcfresecs</f>
        <v/>
      </c>
      <c r="Y77" s="181" t="str">
        <f>vapcfresecs</f>
        <v/>
      </c>
      <c r="Z77" s="181" t="str">
        <f>vapcfresecs</f>
        <v/>
      </c>
      <c r="AA77" s="181" t="str">
        <f>vapcfresecs</f>
        <v/>
      </c>
      <c r="AB77" s="182">
        <f>vapcfresecs</f>
        <v>0.2653826128</v>
      </c>
      <c r="AC77" s="182">
        <f>vapcfresecs</f>
        <v>0.5083320802</v>
      </c>
      <c r="AD77" s="182">
        <f>vapcfresecs</f>
        <v>0.6824031991</v>
      </c>
      <c r="AE77" s="182">
        <f>vapcfresecs</f>
        <v>0.8319719289</v>
      </c>
      <c r="AF77" s="182">
        <f>vapcfresecs</f>
        <v>0.8933129928</v>
      </c>
      <c r="AG77" s="182">
        <f>vapcfresecs</f>
        <v>0.9268089239</v>
      </c>
      <c r="AH77" s="184">
        <f>vapcfresecs</f>
        <v>0.9284091537</v>
      </c>
      <c r="AI77" s="125"/>
      <c r="AJ77" s="127"/>
      <c r="AK77" s="127"/>
      <c r="AL77" s="127"/>
      <c r="AM77" s="127"/>
      <c r="AN77" s="127"/>
      <c r="AO77" s="127"/>
      <c r="AP77" s="127"/>
      <c r="AQ77" s="127"/>
      <c r="AR77" s="127"/>
      <c r="AS77" s="127"/>
      <c r="AT77" s="127"/>
      <c r="AU77" s="127"/>
      <c r="AV77" s="127"/>
      <c r="AW77" s="127"/>
      <c r="AX77" s="127"/>
      <c r="AY77" s="127"/>
      <c r="AZ77" s="127"/>
      <c r="BA77" s="127"/>
      <c r="BB77" s="127"/>
      <c r="BC77" s="127"/>
      <c r="BD77" s="127"/>
      <c r="BE77" s="127"/>
      <c r="BF77" s="127"/>
      <c r="BG77" s="127"/>
      <c r="BH77" s="127"/>
      <c r="BI77" s="127"/>
      <c r="BJ77" s="127"/>
      <c r="BK77" s="127"/>
      <c r="BL77" s="127"/>
      <c r="BM77" s="127"/>
      <c r="BN77" s="127"/>
      <c r="BO77" s="127"/>
      <c r="BP77" s="127"/>
      <c r="BQ77" s="127"/>
      <c r="BR77" s="127"/>
    </row>
    <row r="78" ht="14.25" customHeight="1" outlineLevel="3">
      <c r="A78" s="195"/>
      <c r="B78" s="100"/>
      <c r="C78" s="268"/>
      <c r="D78" s="201"/>
      <c r="E78" s="122" t="s">
        <v>482</v>
      </c>
      <c r="F78" s="123" t="s">
        <v>135</v>
      </c>
      <c r="G78" s="123" t="s">
        <v>483</v>
      </c>
      <c r="H78" s="260" t="str">
        <f>paccfresecs</f>
        <v/>
      </c>
      <c r="I78" s="181" t="str">
        <f>paccfresecs</f>
        <v/>
      </c>
      <c r="J78" s="181" t="str">
        <f>paccfresecs</f>
        <v/>
      </c>
      <c r="K78" s="181" t="str">
        <f>paccfresecs</f>
        <v/>
      </c>
      <c r="L78" s="181" t="str">
        <f>paccfresecs</f>
        <v/>
      </c>
      <c r="M78" s="181" t="str">
        <f>paccfresecs</f>
        <v/>
      </c>
      <c r="N78" s="181" t="str">
        <f>paccfresecs</f>
        <v/>
      </c>
      <c r="O78" s="181" t="str">
        <f>paccfresecs</f>
        <v/>
      </c>
      <c r="P78" s="181" t="str">
        <f>paccfresecs</f>
        <v/>
      </c>
      <c r="Q78" s="181" t="str">
        <f>paccfresecs</f>
        <v/>
      </c>
      <c r="R78" s="181" t="str">
        <f>paccfresecs</f>
        <v/>
      </c>
      <c r="S78" s="181" t="str">
        <f>paccfresecs</f>
        <v/>
      </c>
      <c r="T78" s="181" t="str">
        <f>paccfresecs</f>
        <v/>
      </c>
      <c r="U78" s="181" t="str">
        <f>paccfresecs</f>
        <v/>
      </c>
      <c r="V78" s="181" t="str">
        <f>paccfresecs</f>
        <v/>
      </c>
      <c r="W78" s="182">
        <f>paccfresecs</f>
        <v>0</v>
      </c>
      <c r="X78" s="181" t="str">
        <f>paccfresecs</f>
        <v/>
      </c>
      <c r="Y78" s="181" t="str">
        <f>paccfresecs</f>
        <v/>
      </c>
      <c r="Z78" s="181" t="str">
        <f>paccfresecs</f>
        <v/>
      </c>
      <c r="AA78" s="181" t="str">
        <f>paccfresecs</f>
        <v/>
      </c>
      <c r="AB78" s="182">
        <f>paccfresecs</f>
        <v>0.3253382138</v>
      </c>
      <c r="AC78" s="182">
        <f>paccfresecs</f>
        <v>0.6496068753</v>
      </c>
      <c r="AD78" s="182">
        <f>paccfresecs</f>
        <v>0.902362648</v>
      </c>
      <c r="AE78" s="182">
        <f>paccfresecs</f>
        <v>1.133237884</v>
      </c>
      <c r="AF78" s="182">
        <f>paccfresecs</f>
        <v>1.249054554</v>
      </c>
      <c r="AG78" s="182">
        <f>paccfresecs</f>
        <v>1.32649687</v>
      </c>
      <c r="AH78" s="184">
        <f>paccfresecs</f>
        <v>1.356962819</v>
      </c>
      <c r="AI78" s="125" t="s">
        <v>661</v>
      </c>
      <c r="AJ78" s="127"/>
      <c r="AK78" s="127"/>
      <c r="AL78" s="127"/>
      <c r="AM78" s="127"/>
      <c r="AN78" s="127"/>
      <c r="AO78" s="127"/>
      <c r="AP78" s="127"/>
      <c r="AQ78" s="127"/>
      <c r="AR78" s="127"/>
      <c r="AS78" s="127"/>
      <c r="AT78" s="127"/>
      <c r="AU78" s="127"/>
      <c r="AV78" s="127"/>
      <c r="AW78" s="127"/>
      <c r="AX78" s="127"/>
      <c r="AY78" s="127"/>
      <c r="AZ78" s="127"/>
      <c r="BA78" s="127"/>
      <c r="BB78" s="127"/>
      <c r="BC78" s="127"/>
      <c r="BD78" s="127"/>
      <c r="BE78" s="127"/>
      <c r="BF78" s="127"/>
      <c r="BG78" s="127"/>
      <c r="BH78" s="127"/>
      <c r="BI78" s="127"/>
      <c r="BJ78" s="127"/>
      <c r="BK78" s="127"/>
      <c r="BL78" s="127"/>
      <c r="BM78" s="127"/>
      <c r="BN78" s="127"/>
      <c r="BO78" s="127"/>
      <c r="BP78" s="127"/>
      <c r="BQ78" s="127"/>
      <c r="BR78" s="127"/>
    </row>
    <row r="79" ht="14.25" customHeight="1" outlineLevel="3">
      <c r="A79" s="195"/>
      <c r="B79" s="100"/>
      <c r="C79" s="268"/>
      <c r="D79" s="201"/>
      <c r="E79" s="291" t="s">
        <v>484</v>
      </c>
      <c r="F79" s="123" t="s">
        <v>135</v>
      </c>
      <c r="G79" s="292" t="s">
        <v>485</v>
      </c>
      <c r="H79" s="260" t="str">
        <f>sthcfresecs</f>
        <v/>
      </c>
      <c r="I79" s="181" t="str">
        <f>sthcfresecs</f>
        <v/>
      </c>
      <c r="J79" s="181" t="str">
        <f>sthcfresecs</f>
        <v/>
      </c>
      <c r="K79" s="181" t="str">
        <f>sthcfresecs</f>
        <v/>
      </c>
      <c r="L79" s="181" t="str">
        <f>sthcfresecs</f>
        <v/>
      </c>
      <c r="M79" s="181" t="str">
        <f>sthcfresecs</f>
        <v/>
      </c>
      <c r="N79" s="181" t="str">
        <f>sthcfresecs</f>
        <v/>
      </c>
      <c r="O79" s="181" t="str">
        <f>sthcfresecs</f>
        <v/>
      </c>
      <c r="P79" s="181" t="str">
        <f>sthcfresecs</f>
        <v/>
      </c>
      <c r="Q79" s="181" t="str">
        <f>sthcfresecs</f>
        <v/>
      </c>
      <c r="R79" s="181" t="str">
        <f>sthcfresecs</f>
        <v/>
      </c>
      <c r="S79" s="181" t="str">
        <f>sthcfresecs</f>
        <v/>
      </c>
      <c r="T79" s="181" t="str">
        <f>sthcfresecs</f>
        <v/>
      </c>
      <c r="U79" s="181" t="str">
        <f>sthcfresecs</f>
        <v/>
      </c>
      <c r="V79" s="181" t="str">
        <f>sthcfresecs</f>
        <v/>
      </c>
      <c r="W79" s="182">
        <f>sthcfresecs</f>
        <v>0.2446949059</v>
      </c>
      <c r="X79" s="181" t="str">
        <f>sthcfresecs</f>
        <v/>
      </c>
      <c r="Y79" s="181" t="str">
        <f>sthcfresecs</f>
        <v/>
      </c>
      <c r="Z79" s="181" t="str">
        <f>sthcfresecs</f>
        <v/>
      </c>
      <c r="AA79" s="181" t="str">
        <f>sthcfresecs</f>
        <v/>
      </c>
      <c r="AB79" s="182">
        <f>sthcfresecs</f>
        <v>0.3067905493</v>
      </c>
      <c r="AC79" s="182">
        <f>sthcfresecs</f>
        <v>0.3670945209</v>
      </c>
      <c r="AD79" s="182">
        <f>sthcfresecs</f>
        <v>0.3957008262</v>
      </c>
      <c r="AE79" s="182">
        <f>sthcfresecs</f>
        <v>0.5441213965</v>
      </c>
      <c r="AF79" s="182">
        <f>sthcfresecs</f>
        <v>0.7542742198</v>
      </c>
      <c r="AG79" s="182">
        <f>sthcfresecs</f>
        <v>0.9344767776</v>
      </c>
      <c r="AH79" s="184">
        <f>sthcfresecs</f>
        <v>1.076878256</v>
      </c>
      <c r="AI79" s="125"/>
      <c r="AJ79" s="127"/>
      <c r="AK79" s="127"/>
      <c r="AL79" s="127"/>
      <c r="AM79" s="127"/>
      <c r="AN79" s="127"/>
      <c r="AO79" s="127"/>
      <c r="AP79" s="127"/>
      <c r="AQ79" s="127"/>
      <c r="AR79" s="127"/>
      <c r="AS79" s="127"/>
      <c r="AT79" s="127"/>
      <c r="AU79" s="127"/>
      <c r="AV79" s="127"/>
      <c r="AW79" s="127"/>
      <c r="AX79" s="127"/>
      <c r="AY79" s="127"/>
      <c r="AZ79" s="127"/>
      <c r="BA79" s="127"/>
      <c r="BB79" s="127"/>
      <c r="BC79" s="127"/>
      <c r="BD79" s="127"/>
      <c r="BE79" s="127"/>
      <c r="BF79" s="127"/>
      <c r="BG79" s="127"/>
      <c r="BH79" s="127"/>
      <c r="BI79" s="127"/>
      <c r="BJ79" s="127"/>
      <c r="BK79" s="127"/>
      <c r="BL79" s="127"/>
      <c r="BM79" s="127"/>
      <c r="BN79" s="127"/>
      <c r="BO79" s="127"/>
      <c r="BP79" s="127"/>
      <c r="BQ79" s="127"/>
      <c r="BR79" s="127"/>
    </row>
    <row r="80" ht="14.25" customHeight="1" outlineLevel="1">
      <c r="A80" s="332" t="s">
        <v>731</v>
      </c>
      <c r="B80" s="246"/>
      <c r="C80" s="246"/>
      <c r="D80" s="201"/>
      <c r="E80" s="162"/>
      <c r="F80" s="162"/>
      <c r="G80" s="162"/>
      <c r="H80" s="178"/>
      <c r="I80" s="178"/>
      <c r="J80" s="178"/>
      <c r="K80" s="178"/>
      <c r="L80" s="178"/>
      <c r="M80" s="178"/>
      <c r="N80" s="178"/>
      <c r="O80" s="178"/>
      <c r="P80" s="178"/>
      <c r="Q80" s="178"/>
      <c r="R80" s="178"/>
      <c r="S80" s="178"/>
      <c r="T80" s="178"/>
      <c r="U80" s="178"/>
      <c r="V80" s="178"/>
      <c r="W80" s="178"/>
      <c r="X80" s="178"/>
      <c r="Y80" s="178"/>
      <c r="Z80" s="178"/>
      <c r="AA80" s="178"/>
      <c r="AB80" s="178"/>
      <c r="AC80" s="178"/>
      <c r="AD80" s="178"/>
      <c r="AE80" s="178"/>
      <c r="AF80" s="178"/>
      <c r="AG80" s="178"/>
      <c r="AH80" s="178"/>
      <c r="AI80" s="162"/>
      <c r="AJ80" s="315"/>
      <c r="AK80" s="315"/>
      <c r="AL80" s="315"/>
      <c r="AM80" s="315"/>
      <c r="AN80" s="315"/>
      <c r="AO80" s="315"/>
      <c r="AP80" s="315"/>
      <c r="AQ80" s="315"/>
      <c r="AR80" s="315"/>
      <c r="AS80" s="315"/>
      <c r="AT80" s="315"/>
      <c r="AU80" s="315"/>
      <c r="AV80" s="315"/>
      <c r="AW80" s="315"/>
      <c r="AX80" s="315"/>
      <c r="AY80" s="315"/>
      <c r="AZ80" s="315"/>
      <c r="BA80" s="315"/>
      <c r="BB80" s="315"/>
      <c r="BC80" s="315"/>
      <c r="BD80" s="315"/>
      <c r="BE80" s="315"/>
      <c r="BF80" s="315"/>
      <c r="BG80" s="315"/>
      <c r="BH80" s="315"/>
      <c r="BI80" s="315"/>
      <c r="BJ80" s="315"/>
      <c r="BK80" s="315"/>
      <c r="BL80" s="315"/>
      <c r="BM80" s="315"/>
      <c r="BN80" s="315"/>
      <c r="BO80" s="315"/>
      <c r="BP80" s="315"/>
      <c r="BQ80" s="315"/>
      <c r="BR80" s="315"/>
    </row>
    <row r="81" ht="14.25" customHeight="1" outlineLevel="2">
      <c r="A81" s="195"/>
      <c r="B81" s="246" t="s">
        <v>732</v>
      </c>
      <c r="C81" s="246"/>
      <c r="D81" s="201"/>
      <c r="E81" s="162"/>
      <c r="F81" s="162"/>
      <c r="G81" s="162"/>
      <c r="H81" s="178"/>
      <c r="I81" s="178"/>
      <c r="J81" s="178"/>
      <c r="K81" s="178"/>
      <c r="L81" s="178"/>
      <c r="M81" s="178"/>
      <c r="N81" s="178"/>
      <c r="O81" s="178"/>
      <c r="P81" s="178"/>
      <c r="Q81" s="178"/>
      <c r="R81" s="178"/>
      <c r="S81" s="178"/>
      <c r="T81" s="178"/>
      <c r="U81" s="178"/>
      <c r="V81" s="178"/>
      <c r="W81" s="178"/>
      <c r="X81" s="178"/>
      <c r="Y81" s="178"/>
      <c r="Z81" s="178"/>
      <c r="AA81" s="178"/>
      <c r="AB81" s="178"/>
      <c r="AC81" s="178"/>
      <c r="AD81" s="178"/>
      <c r="AE81" s="178"/>
      <c r="AF81" s="178"/>
      <c r="AG81" s="178"/>
      <c r="AH81" s="178"/>
      <c r="AI81" s="162"/>
      <c r="AJ81" s="315"/>
      <c r="AK81" s="315"/>
      <c r="AL81" s="315"/>
      <c r="AM81" s="315"/>
      <c r="AN81" s="315"/>
      <c r="AO81" s="315"/>
      <c r="AP81" s="315"/>
      <c r="AQ81" s="315"/>
      <c r="AR81" s="315"/>
      <c r="AS81" s="315"/>
      <c r="AT81" s="315"/>
      <c r="AU81" s="315"/>
      <c r="AV81" s="315"/>
      <c r="AW81" s="315"/>
      <c r="AX81" s="315"/>
      <c r="AY81" s="315"/>
      <c r="AZ81" s="315"/>
      <c r="BA81" s="315"/>
      <c r="BB81" s="315"/>
      <c r="BC81" s="315"/>
      <c r="BD81" s="315"/>
      <c r="BE81" s="315"/>
      <c r="BF81" s="315"/>
      <c r="BG81" s="315"/>
      <c r="BH81" s="315"/>
      <c r="BI81" s="315"/>
      <c r="BJ81" s="315"/>
      <c r="BK81" s="315"/>
      <c r="BL81" s="315"/>
      <c r="BM81" s="315"/>
      <c r="BN81" s="315"/>
      <c r="BO81" s="315"/>
      <c r="BP81" s="315"/>
      <c r="BQ81" s="315"/>
      <c r="BR81" s="315"/>
    </row>
    <row r="82" ht="14.25" customHeight="1" outlineLevel="3">
      <c r="A82" s="195"/>
      <c r="B82" s="201"/>
      <c r="C82" s="295"/>
      <c r="D82" s="201"/>
      <c r="E82" s="287" t="s">
        <v>733</v>
      </c>
      <c r="F82" s="249" t="s">
        <v>135</v>
      </c>
      <c r="G82" s="249" t="s">
        <v>506</v>
      </c>
      <c r="H82" s="260">
        <f>toccfrescui</f>
        <v>1.6585</v>
      </c>
      <c r="I82" s="181">
        <f>toccfrescui</f>
        <v>1.5859</v>
      </c>
      <c r="J82" s="181">
        <f>toccfrescui</f>
        <v>1.5684</v>
      </c>
      <c r="K82" s="181">
        <f>toccfrescui</f>
        <v>1.5698</v>
      </c>
      <c r="L82" s="181">
        <f>toccfrescui</f>
        <v>1.5927</v>
      </c>
      <c r="M82" s="181">
        <f>toccfrescui</f>
        <v>1.5733</v>
      </c>
      <c r="N82" s="181">
        <f>toccfrescui</f>
        <v>1.6349</v>
      </c>
      <c r="O82" s="181">
        <f>toccfrescui</f>
        <v>1.6037</v>
      </c>
      <c r="P82" s="181">
        <f>toccfrescui</f>
        <v>1.5003</v>
      </c>
      <c r="Q82" s="181">
        <f>toccfrescui</f>
        <v>1.5315</v>
      </c>
      <c r="R82" s="181">
        <f>toccfrescui</f>
        <v>1.5356</v>
      </c>
      <c r="S82" s="181">
        <f>toccfrescui</f>
        <v>1.5487</v>
      </c>
      <c r="T82" s="181">
        <f>toccfrescui</f>
        <v>1.5612</v>
      </c>
      <c r="U82" s="181">
        <f>toccfrescui</f>
        <v>1.569</v>
      </c>
      <c r="V82" s="181">
        <f>toccfrescui</f>
        <v>1.5754</v>
      </c>
      <c r="W82" s="182">
        <f>toccfrescui</f>
        <v>1.5855</v>
      </c>
      <c r="X82" s="181">
        <f>toccfrescui</f>
        <v>1.5934</v>
      </c>
      <c r="Y82" s="181">
        <f>toccfrescui</f>
        <v>1.6025</v>
      </c>
      <c r="Z82" s="181">
        <f>toccfrescui</f>
        <v>1.605</v>
      </c>
      <c r="AA82" s="181" t="str">
        <f>toccfrescui</f>
        <v/>
      </c>
      <c r="AB82" s="182">
        <f>toccfrescui</f>
        <v>1.599956855</v>
      </c>
      <c r="AC82" s="182">
        <f>toccfrescui</f>
        <v>1.60698037</v>
      </c>
      <c r="AD82" s="182">
        <f>toccfrescui</f>
        <v>1.637883839</v>
      </c>
      <c r="AE82" s="182">
        <f>toccfrescui</f>
        <v>1.644246318</v>
      </c>
      <c r="AF82" s="182">
        <f>toccfrescui</f>
        <v>1.650424377</v>
      </c>
      <c r="AG82" s="182">
        <f>toccfrescui</f>
        <v>1.680432093</v>
      </c>
      <c r="AH82" s="184">
        <f>toccfrescui</f>
        <v>1.686004954</v>
      </c>
      <c r="AI82" s="125"/>
      <c r="AJ82" s="127"/>
      <c r="AK82" s="127"/>
      <c r="AL82" s="127"/>
      <c r="AM82" s="127"/>
      <c r="AN82" s="127"/>
      <c r="AO82" s="127"/>
      <c r="AP82" s="127"/>
      <c r="AQ82" s="127"/>
      <c r="AR82" s="127"/>
      <c r="AS82" s="127"/>
      <c r="AT82" s="127"/>
      <c r="AU82" s="127"/>
      <c r="AV82" s="127"/>
      <c r="AW82" s="127"/>
      <c r="AX82" s="127"/>
      <c r="AY82" s="127"/>
      <c r="AZ82" s="127"/>
      <c r="BA82" s="127"/>
      <c r="BB82" s="127"/>
      <c r="BC82" s="127"/>
      <c r="BD82" s="127"/>
      <c r="BE82" s="127"/>
      <c r="BF82" s="127"/>
      <c r="BG82" s="127"/>
      <c r="BH82" s="127"/>
      <c r="BI82" s="127"/>
      <c r="BJ82" s="127"/>
      <c r="BK82" s="127"/>
      <c r="BL82" s="127"/>
      <c r="BM82" s="127"/>
      <c r="BN82" s="127"/>
      <c r="BO82" s="127"/>
      <c r="BP82" s="127"/>
      <c r="BQ82" s="127"/>
      <c r="BR82" s="127"/>
    </row>
    <row r="83" ht="14.25" customHeight="1" outlineLevel="3">
      <c r="A83" s="195"/>
      <c r="B83" s="201"/>
      <c r="C83" s="295"/>
      <c r="D83" s="201"/>
      <c r="E83" s="270" t="s">
        <v>507</v>
      </c>
      <c r="F83" s="249" t="s">
        <v>135</v>
      </c>
      <c r="G83" s="249" t="s">
        <v>508</v>
      </c>
      <c r="H83" s="260">
        <f>cmscfrescui</f>
        <v>0</v>
      </c>
      <c r="I83" s="181">
        <f>cmscfrescui</f>
        <v>0</v>
      </c>
      <c r="J83" s="181">
        <f>cmscfrescui</f>
        <v>0</v>
      </c>
      <c r="K83" s="181">
        <f>cmscfrescui</f>
        <v>0</v>
      </c>
      <c r="L83" s="181">
        <f>cmscfrescui</f>
        <v>0</v>
      </c>
      <c r="M83" s="181">
        <f>cmscfrescui</f>
        <v>0</v>
      </c>
      <c r="N83" s="181">
        <f>cmscfrescui</f>
        <v>0</v>
      </c>
      <c r="O83" s="181">
        <f>cmscfrescui</f>
        <v>0</v>
      </c>
      <c r="P83" s="181">
        <f>cmscfrescui</f>
        <v>0</v>
      </c>
      <c r="Q83" s="181">
        <f>cmscfrescui</f>
        <v>0</v>
      </c>
      <c r="R83" s="181">
        <f>cmscfrescui</f>
        <v>0</v>
      </c>
      <c r="S83" s="181">
        <f>cmscfrescui</f>
        <v>0</v>
      </c>
      <c r="T83" s="181">
        <f>cmscfrescui</f>
        <v>0</v>
      </c>
      <c r="U83" s="181">
        <f>cmscfrescui</f>
        <v>0</v>
      </c>
      <c r="V83" s="181">
        <f>cmscfrescui</f>
        <v>0</v>
      </c>
      <c r="W83" s="182">
        <f>cmscfrescui</f>
        <v>0</v>
      </c>
      <c r="X83" s="181">
        <f>cmscfrescui</f>
        <v>0</v>
      </c>
      <c r="Y83" s="181">
        <f>cmscfrescui</f>
        <v>0</v>
      </c>
      <c r="Z83" s="181" t="str">
        <f>cmscfrescui</f>
        <v/>
      </c>
      <c r="AA83" s="181" t="str">
        <f>cmscfrescui</f>
        <v/>
      </c>
      <c r="AB83" s="182" t="str">
        <f>cmscfrescui</f>
        <v/>
      </c>
      <c r="AC83" s="182" t="str">
        <f>cmscfrescui</f>
        <v/>
      </c>
      <c r="AD83" s="182" t="str">
        <f>cmscfrescui</f>
        <v/>
      </c>
      <c r="AE83" s="182" t="str">
        <f>cmscfrescui</f>
        <v/>
      </c>
      <c r="AF83" s="182" t="str">
        <f>cmscfrescui</f>
        <v/>
      </c>
      <c r="AG83" s="182" t="str">
        <f>cmscfrescui</f>
        <v/>
      </c>
      <c r="AH83" s="184" t="str">
        <f>cmscfrescui</f>
        <v/>
      </c>
      <c r="AI83" s="125"/>
      <c r="AJ83" s="127"/>
      <c r="AK83" s="127"/>
      <c r="AL83" s="127"/>
      <c r="AM83" s="127"/>
      <c r="AN83" s="127"/>
      <c r="AO83" s="127"/>
      <c r="AP83" s="127"/>
      <c r="AQ83" s="127"/>
      <c r="AR83" s="127"/>
      <c r="AS83" s="127"/>
      <c r="AT83" s="127"/>
      <c r="AU83" s="127"/>
      <c r="AV83" s="127"/>
      <c r="AW83" s="127"/>
      <c r="AX83" s="127"/>
      <c r="AY83" s="127"/>
      <c r="AZ83" s="127"/>
      <c r="BA83" s="127"/>
      <c r="BB83" s="127"/>
      <c r="BC83" s="127"/>
      <c r="BD83" s="127"/>
      <c r="BE83" s="127"/>
      <c r="BF83" s="127"/>
      <c r="BG83" s="127"/>
      <c r="BH83" s="127"/>
      <c r="BI83" s="127"/>
      <c r="BJ83" s="127"/>
      <c r="BK83" s="127"/>
      <c r="BL83" s="127"/>
      <c r="BM83" s="127"/>
      <c r="BN83" s="127"/>
      <c r="BO83" s="127"/>
      <c r="BP83" s="127"/>
      <c r="BQ83" s="127"/>
      <c r="BR83" s="127"/>
    </row>
    <row r="84" ht="14.25" customHeight="1" outlineLevel="3">
      <c r="A84" s="195"/>
      <c r="B84" s="201"/>
      <c r="C84" s="295"/>
      <c r="D84" s="201"/>
      <c r="E84" s="270" t="s">
        <v>509</v>
      </c>
      <c r="F84" s="249" t="s">
        <v>135</v>
      </c>
      <c r="G84" s="249" t="s">
        <v>510</v>
      </c>
      <c r="H84" s="260" t="str">
        <f>enccfrescui</f>
        <v/>
      </c>
      <c r="I84" s="181" t="str">
        <f>enccfrescui</f>
        <v/>
      </c>
      <c r="J84" s="181" t="str">
        <f>enccfrescui</f>
        <v/>
      </c>
      <c r="K84" s="181" t="str">
        <f>enccfrescui</f>
        <v/>
      </c>
      <c r="L84" s="181" t="str">
        <f>enccfrescui</f>
        <v/>
      </c>
      <c r="M84" s="181" t="str">
        <f>enccfrescui</f>
        <v/>
      </c>
      <c r="N84" s="181" t="str">
        <f>enccfrescui</f>
        <v/>
      </c>
      <c r="O84" s="181" t="str">
        <f>enccfrescui</f>
        <v/>
      </c>
      <c r="P84" s="181" t="str">
        <f>enccfrescui</f>
        <v/>
      </c>
      <c r="Q84" s="181" t="str">
        <f>enccfrescui</f>
        <v/>
      </c>
      <c r="R84" s="181">
        <f>enccfrescui</f>
        <v>0</v>
      </c>
      <c r="S84" s="181">
        <f>enccfrescui</f>
        <v>0</v>
      </c>
      <c r="T84" s="181">
        <f>enccfrescui</f>
        <v>0</v>
      </c>
      <c r="U84" s="181">
        <f>enccfrescui</f>
        <v>0</v>
      </c>
      <c r="V84" s="181">
        <f>enccfrescui</f>
        <v>0</v>
      </c>
      <c r="W84" s="182">
        <f>enccfrescui</f>
        <v>0</v>
      </c>
      <c r="X84" s="181">
        <f>enccfrescui</f>
        <v>0</v>
      </c>
      <c r="Y84" s="181">
        <f>enccfrescui</f>
        <v>0</v>
      </c>
      <c r="Z84" s="181" t="str">
        <f>enccfrescui</f>
        <v/>
      </c>
      <c r="AA84" s="181" t="str">
        <f>enccfrescui</f>
        <v/>
      </c>
      <c r="AB84" s="182" t="str">
        <f>enccfrescui</f>
        <v/>
      </c>
      <c r="AC84" s="182" t="str">
        <f>enccfrescui</f>
        <v/>
      </c>
      <c r="AD84" s="182" t="str">
        <f>enccfrescui</f>
        <v/>
      </c>
      <c r="AE84" s="182" t="str">
        <f>enccfrescui</f>
        <v/>
      </c>
      <c r="AF84" s="182" t="str">
        <f>enccfrescui</f>
        <v/>
      </c>
      <c r="AG84" s="182" t="str">
        <f>enccfrescui</f>
        <v/>
      </c>
      <c r="AH84" s="184" t="str">
        <f>enccfrescui</f>
        <v/>
      </c>
      <c r="AI84" s="125"/>
      <c r="AJ84" s="127"/>
      <c r="AK84" s="127"/>
      <c r="AL84" s="127"/>
      <c r="AM84" s="127"/>
      <c r="AN84" s="127"/>
      <c r="AO84" s="127"/>
      <c r="AP84" s="127"/>
      <c r="AQ84" s="127"/>
      <c r="AR84" s="127"/>
      <c r="AS84" s="127"/>
      <c r="AT84" s="127"/>
      <c r="AU84" s="127"/>
      <c r="AV84" s="127"/>
      <c r="AW84" s="127"/>
      <c r="AX84" s="127"/>
      <c r="AY84" s="127"/>
      <c r="AZ84" s="127"/>
      <c r="BA84" s="127"/>
      <c r="BB84" s="127"/>
      <c r="BC84" s="127"/>
      <c r="BD84" s="127"/>
      <c r="BE84" s="127"/>
      <c r="BF84" s="127"/>
      <c r="BG84" s="127"/>
      <c r="BH84" s="127"/>
      <c r="BI84" s="127"/>
      <c r="BJ84" s="127"/>
      <c r="BK84" s="127"/>
      <c r="BL84" s="127"/>
      <c r="BM84" s="127"/>
      <c r="BN84" s="127"/>
      <c r="BO84" s="127"/>
      <c r="BP84" s="127"/>
      <c r="BQ84" s="127"/>
      <c r="BR84" s="127"/>
    </row>
    <row r="85" ht="14.25" customHeight="1" outlineLevel="3">
      <c r="A85" s="195"/>
      <c r="B85" s="201"/>
      <c r="C85" s="295"/>
      <c r="D85" s="201"/>
      <c r="E85" s="270" t="s">
        <v>511</v>
      </c>
      <c r="F85" s="249" t="s">
        <v>135</v>
      </c>
      <c r="G85" s="249" t="s">
        <v>512</v>
      </c>
      <c r="H85" s="260">
        <f>petcfrescui</f>
        <v>0.1103</v>
      </c>
      <c r="I85" s="181">
        <f>petcfrescui</f>
        <v>0.1054</v>
      </c>
      <c r="J85" s="181">
        <f>petcfrescui</f>
        <v>0.1043</v>
      </c>
      <c r="K85" s="181">
        <f>petcfrescui</f>
        <v>0.1044</v>
      </c>
      <c r="L85" s="181">
        <f>petcfrescui</f>
        <v>0.1059</v>
      </c>
      <c r="M85" s="181">
        <f>petcfrescui</f>
        <v>0.1046</v>
      </c>
      <c r="N85" s="181">
        <f>petcfrescui</f>
        <v>0.1087</v>
      </c>
      <c r="O85" s="181">
        <f>petcfrescui</f>
        <v>0.1066</v>
      </c>
      <c r="P85" s="181">
        <f>petcfrescui</f>
        <v>0.0997</v>
      </c>
      <c r="Q85" s="181">
        <f>petcfrescui</f>
        <v>0.1018</v>
      </c>
      <c r="R85" s="181">
        <f>petcfrescui</f>
        <v>0.1021</v>
      </c>
      <c r="S85" s="181">
        <f>petcfrescui</f>
        <v>0.103</v>
      </c>
      <c r="T85" s="181">
        <f>petcfrescui</f>
        <v>0.1038</v>
      </c>
      <c r="U85" s="181">
        <f>petcfrescui</f>
        <v>0.1043</v>
      </c>
      <c r="V85" s="181">
        <f>petcfrescui</f>
        <v>0.1048</v>
      </c>
      <c r="W85" s="182">
        <f>petcfrescui</f>
        <v>0.1054</v>
      </c>
      <c r="X85" s="181">
        <f>petcfrescui</f>
        <v>0.106</v>
      </c>
      <c r="Y85" s="181">
        <f>petcfrescui</f>
        <v>0.1065</v>
      </c>
      <c r="Z85" s="181" t="str">
        <f>petcfrescui</f>
        <v/>
      </c>
      <c r="AA85" s="181" t="str">
        <f>petcfrescui</f>
        <v/>
      </c>
      <c r="AB85" s="182">
        <f>petcfrescui</f>
        <v>0.1063677636</v>
      </c>
      <c r="AC85" s="182">
        <f>petcfrescui</f>
        <v>0.1068346985</v>
      </c>
      <c r="AD85" s="182">
        <f>petcfrescui</f>
        <v>0.1</v>
      </c>
      <c r="AE85" s="182">
        <f>petcfrescui</f>
        <v>0.07</v>
      </c>
      <c r="AF85" s="182">
        <f>petcfrescui</f>
        <v>0.02</v>
      </c>
      <c r="AG85" s="182">
        <f>petcfrescui</f>
        <v>0</v>
      </c>
      <c r="AH85" s="184">
        <f>petcfrescui</f>
        <v>0</v>
      </c>
      <c r="AI85" s="125"/>
      <c r="AJ85" s="127"/>
      <c r="AK85" s="127"/>
      <c r="AL85" s="127"/>
      <c r="AM85" s="127"/>
      <c r="AN85" s="127"/>
      <c r="AO85" s="127"/>
      <c r="AP85" s="127"/>
      <c r="AQ85" s="127"/>
      <c r="AR85" s="127"/>
      <c r="AS85" s="127"/>
      <c r="AT85" s="127"/>
      <c r="AU85" s="127"/>
      <c r="AV85" s="127"/>
      <c r="AW85" s="127"/>
      <c r="AX85" s="127"/>
      <c r="AY85" s="127"/>
      <c r="AZ85" s="127"/>
      <c r="BA85" s="127"/>
      <c r="BB85" s="127"/>
      <c r="BC85" s="127"/>
      <c r="BD85" s="127"/>
      <c r="BE85" s="127"/>
      <c r="BF85" s="127"/>
      <c r="BG85" s="127"/>
      <c r="BH85" s="127"/>
      <c r="BI85" s="127"/>
      <c r="BJ85" s="127"/>
      <c r="BK85" s="127"/>
      <c r="BL85" s="127"/>
      <c r="BM85" s="127"/>
      <c r="BN85" s="127"/>
      <c r="BO85" s="127"/>
      <c r="BP85" s="127"/>
      <c r="BQ85" s="127"/>
      <c r="BR85" s="127"/>
    </row>
    <row r="86" ht="14.25" customHeight="1" outlineLevel="3">
      <c r="A86" s="195"/>
      <c r="B86" s="201"/>
      <c r="C86" s="295"/>
      <c r="D86" s="201"/>
      <c r="E86" s="270" t="s">
        <v>513</v>
      </c>
      <c r="F86" s="249" t="s">
        <v>135</v>
      </c>
      <c r="G86" s="249" t="s">
        <v>514</v>
      </c>
      <c r="H86" s="260" t="str">
        <f>gazcfrescui</f>
        <v/>
      </c>
      <c r="I86" s="181" t="str">
        <f>gazcfrescui</f>
        <v/>
      </c>
      <c r="J86" s="181" t="str">
        <f>gazcfrescui</f>
        <v/>
      </c>
      <c r="K86" s="181" t="str">
        <f>gazcfrescui</f>
        <v/>
      </c>
      <c r="L86" s="181" t="str">
        <f>gazcfrescui</f>
        <v/>
      </c>
      <c r="M86" s="181" t="str">
        <f>gazcfrescui</f>
        <v/>
      </c>
      <c r="N86" s="181" t="str">
        <f>gazcfrescui</f>
        <v/>
      </c>
      <c r="O86" s="181" t="str">
        <f>gazcfrescui</f>
        <v/>
      </c>
      <c r="P86" s="181" t="str">
        <f>gazcfrescui</f>
        <v/>
      </c>
      <c r="Q86" s="181" t="str">
        <f>gazcfrescui</f>
        <v/>
      </c>
      <c r="R86" s="181">
        <f>gazcfrescui</f>
        <v>0.5013</v>
      </c>
      <c r="S86" s="181">
        <f>gazcfrescui</f>
        <v>0.5056</v>
      </c>
      <c r="T86" s="181">
        <f>gazcfrescui</f>
        <v>0.5096</v>
      </c>
      <c r="U86" s="181">
        <f>gazcfrescui</f>
        <v>0.5122</v>
      </c>
      <c r="V86" s="181">
        <f>gazcfrescui</f>
        <v>0.5143</v>
      </c>
      <c r="W86" s="182">
        <f>gazcfrescui</f>
        <v>0.5175</v>
      </c>
      <c r="X86" s="181">
        <f>gazcfrescui</f>
        <v>0.5202</v>
      </c>
      <c r="Y86" s="181">
        <f>gazcfrescui</f>
        <v>0.5231</v>
      </c>
      <c r="Z86" s="181" t="str">
        <f>gazcfrescui</f>
        <v/>
      </c>
      <c r="AA86" s="181" t="str">
        <f>gazcfrescui</f>
        <v/>
      </c>
      <c r="AB86" s="182">
        <f>gazcfrescui</f>
        <v>0.5222515909</v>
      </c>
      <c r="AC86" s="182">
        <f>gazcfrescui</f>
        <v>0.5245441791</v>
      </c>
      <c r="AD86" s="182">
        <f>gazcfrescui</f>
        <v>0.5</v>
      </c>
      <c r="AE86" s="182">
        <f>gazcfrescui</f>
        <v>0.3</v>
      </c>
      <c r="AF86" s="182">
        <f>gazcfrescui</f>
        <v>0.1</v>
      </c>
      <c r="AG86" s="182">
        <f>gazcfrescui</f>
        <v>0</v>
      </c>
      <c r="AH86" s="184">
        <f>gazcfrescui</f>
        <v>0</v>
      </c>
      <c r="AI86" s="125"/>
      <c r="AJ86" s="127"/>
      <c r="AK86" s="127"/>
      <c r="AL86" s="127"/>
      <c r="AM86" s="127"/>
      <c r="AN86" s="127"/>
      <c r="AO86" s="127"/>
      <c r="AP86" s="127"/>
      <c r="AQ86" s="127"/>
      <c r="AR86" s="127"/>
      <c r="AS86" s="127"/>
      <c r="AT86" s="127"/>
      <c r="AU86" s="127"/>
      <c r="AV86" s="127"/>
      <c r="AW86" s="127"/>
      <c r="AX86" s="127"/>
      <c r="AY86" s="127"/>
      <c r="AZ86" s="127"/>
      <c r="BA86" s="127"/>
      <c r="BB86" s="127"/>
      <c r="BC86" s="127"/>
      <c r="BD86" s="127"/>
      <c r="BE86" s="127"/>
      <c r="BF86" s="127"/>
      <c r="BG86" s="127"/>
      <c r="BH86" s="127"/>
      <c r="BI86" s="127"/>
      <c r="BJ86" s="127"/>
      <c r="BK86" s="127"/>
      <c r="BL86" s="127"/>
      <c r="BM86" s="127"/>
      <c r="BN86" s="127"/>
      <c r="BO86" s="127"/>
      <c r="BP86" s="127"/>
      <c r="BQ86" s="127"/>
      <c r="BR86" s="127"/>
    </row>
    <row r="87" ht="14.25" customHeight="1" outlineLevel="3">
      <c r="A87" s="195"/>
      <c r="B87" s="201"/>
      <c r="C87" s="295"/>
      <c r="D87" s="201"/>
      <c r="E87" s="122" t="s">
        <v>515</v>
      </c>
      <c r="F87" s="123" t="s">
        <v>135</v>
      </c>
      <c r="G87" s="123" t="s">
        <v>516</v>
      </c>
      <c r="H87" s="260" t="str">
        <f>elccfrescui</f>
        <v/>
      </c>
      <c r="I87" s="181" t="str">
        <f>elccfrescui</f>
        <v/>
      </c>
      <c r="J87" s="181" t="str">
        <f>elccfrescui</f>
        <v/>
      </c>
      <c r="K87" s="181" t="str">
        <f>elccfrescui</f>
        <v/>
      </c>
      <c r="L87" s="181" t="str">
        <f>elccfrescui</f>
        <v/>
      </c>
      <c r="M87" s="181" t="str">
        <f>elccfrescui</f>
        <v/>
      </c>
      <c r="N87" s="181" t="str">
        <f>elccfrescui</f>
        <v/>
      </c>
      <c r="O87" s="181" t="str">
        <f>elccfrescui</f>
        <v/>
      </c>
      <c r="P87" s="181" t="str">
        <f>elccfrescui</f>
        <v/>
      </c>
      <c r="Q87" s="181" t="str">
        <f>elccfrescui</f>
        <v/>
      </c>
      <c r="R87" s="181">
        <f>elccfrescui</f>
        <v>0.9322</v>
      </c>
      <c r="S87" s="181">
        <f>elccfrescui</f>
        <v>0.9401</v>
      </c>
      <c r="T87" s="181">
        <f>elccfrescui</f>
        <v>0.9478</v>
      </c>
      <c r="U87" s="181">
        <f>elccfrescui</f>
        <v>0.9525</v>
      </c>
      <c r="V87" s="181">
        <f>elccfrescui</f>
        <v>0.9564</v>
      </c>
      <c r="W87" s="182">
        <f>elccfrescui</f>
        <v>0.9625</v>
      </c>
      <c r="X87" s="181">
        <f>elccfrescui</f>
        <v>0.9673</v>
      </c>
      <c r="Y87" s="181">
        <f>elccfrescui</f>
        <v>0.9729</v>
      </c>
      <c r="Z87" s="181" t="str">
        <f>elccfrescui</f>
        <v/>
      </c>
      <c r="AA87" s="181" t="str">
        <f>elccfrescui</f>
        <v/>
      </c>
      <c r="AB87" s="182">
        <f>elccfrescui</f>
        <v>0.9713375</v>
      </c>
      <c r="AC87" s="182">
        <f>elccfrescui</f>
        <v>0.9756014925</v>
      </c>
      <c r="AD87" s="182">
        <f>elccfrescui</f>
        <v>1.037883839</v>
      </c>
      <c r="AE87" s="182">
        <f>elccfrescui</f>
        <v>1.274246318</v>
      </c>
      <c r="AF87" s="182">
        <f>elccfrescui</f>
        <v>1.530424377</v>
      </c>
      <c r="AG87" s="182">
        <f>elccfrescui</f>
        <v>1.680432093</v>
      </c>
      <c r="AH87" s="184">
        <f>elccfrescui</f>
        <v>1.686004954</v>
      </c>
      <c r="AI87" s="125"/>
      <c r="AJ87" s="127"/>
      <c r="AK87" s="127"/>
      <c r="AL87" s="127"/>
      <c r="AM87" s="127"/>
      <c r="AN87" s="127"/>
      <c r="AO87" s="127"/>
      <c r="AP87" s="127"/>
      <c r="AQ87" s="127"/>
      <c r="AR87" s="127"/>
      <c r="AS87" s="127"/>
      <c r="AT87" s="127"/>
      <c r="AU87" s="127"/>
      <c r="AV87" s="127"/>
      <c r="AW87" s="127"/>
      <c r="AX87" s="127"/>
      <c r="AY87" s="127"/>
      <c r="AZ87" s="127"/>
      <c r="BA87" s="127"/>
      <c r="BB87" s="127"/>
      <c r="BC87" s="127"/>
      <c r="BD87" s="127"/>
      <c r="BE87" s="127"/>
      <c r="BF87" s="127"/>
      <c r="BG87" s="127"/>
      <c r="BH87" s="127"/>
      <c r="BI87" s="127"/>
      <c r="BJ87" s="127"/>
      <c r="BK87" s="127"/>
      <c r="BL87" s="127"/>
      <c r="BM87" s="127"/>
      <c r="BN87" s="127"/>
      <c r="BO87" s="127"/>
      <c r="BP87" s="127"/>
      <c r="BQ87" s="127"/>
      <c r="BR87" s="127"/>
    </row>
    <row r="88" ht="14.25" customHeight="1">
      <c r="A88" s="314" t="s">
        <v>635</v>
      </c>
      <c r="B88" s="246"/>
      <c r="C88" s="246"/>
      <c r="D88" s="201"/>
      <c r="E88" s="162"/>
      <c r="F88" s="162"/>
      <c r="G88" s="162"/>
      <c r="H88" s="178"/>
      <c r="I88" s="178"/>
      <c r="J88" s="178"/>
      <c r="K88" s="178"/>
      <c r="L88" s="178"/>
      <c r="M88" s="178"/>
      <c r="N88" s="178"/>
      <c r="O88" s="178"/>
      <c r="P88" s="178"/>
      <c r="Q88" s="178"/>
      <c r="R88" s="178"/>
      <c r="S88" s="178"/>
      <c r="T88" s="178"/>
      <c r="U88" s="178"/>
      <c r="V88" s="178"/>
      <c r="W88" s="178"/>
      <c r="X88" s="178"/>
      <c r="Y88" s="178"/>
      <c r="Z88" s="178"/>
      <c r="AA88" s="178"/>
      <c r="AB88" s="178"/>
      <c r="AC88" s="178"/>
      <c r="AD88" s="178"/>
      <c r="AE88" s="178"/>
      <c r="AF88" s="178"/>
      <c r="AG88" s="178"/>
      <c r="AH88" s="178"/>
      <c r="AI88" s="162"/>
      <c r="AJ88" s="315"/>
      <c r="AK88" s="315"/>
      <c r="AL88" s="315"/>
      <c r="AM88" s="315"/>
      <c r="AN88" s="315"/>
      <c r="AO88" s="315"/>
      <c r="AP88" s="315"/>
      <c r="AQ88" s="315"/>
      <c r="AR88" s="315"/>
      <c r="AS88" s="315"/>
      <c r="AT88" s="315"/>
      <c r="AU88" s="315"/>
      <c r="AV88" s="315"/>
      <c r="AW88" s="315"/>
      <c r="AX88" s="315"/>
      <c r="AY88" s="315"/>
      <c r="AZ88" s="315"/>
      <c r="BA88" s="315"/>
      <c r="BB88" s="315"/>
      <c r="BC88" s="315"/>
      <c r="BD88" s="315"/>
      <c r="BE88" s="315"/>
      <c r="BF88" s="315"/>
      <c r="BG88" s="315"/>
      <c r="BH88" s="315"/>
      <c r="BI88" s="315"/>
      <c r="BJ88" s="315"/>
      <c r="BK88" s="315"/>
      <c r="BL88" s="315"/>
      <c r="BM88" s="315"/>
      <c r="BN88" s="315"/>
      <c r="BO88" s="315"/>
      <c r="BP88" s="315"/>
      <c r="BQ88" s="315"/>
      <c r="BR88" s="315"/>
    </row>
    <row r="89" ht="14.25" customHeight="1">
      <c r="A89" s="195"/>
      <c r="B89" s="246" t="s">
        <v>636</v>
      </c>
      <c r="C89" s="246"/>
      <c r="D89" s="201"/>
      <c r="E89" s="162"/>
      <c r="F89" s="162"/>
      <c r="G89" s="162"/>
      <c r="H89" s="178"/>
      <c r="I89" s="178"/>
      <c r="J89" s="178"/>
      <c r="K89" s="178"/>
      <c r="L89" s="178"/>
      <c r="M89" s="178"/>
      <c r="N89" s="178"/>
      <c r="O89" s="178"/>
      <c r="P89" s="178"/>
      <c r="Q89" s="178"/>
      <c r="R89" s="178"/>
      <c r="S89" s="178"/>
      <c r="T89" s="178"/>
      <c r="U89" s="178"/>
      <c r="V89" s="178"/>
      <c r="W89" s="178"/>
      <c r="X89" s="178"/>
      <c r="Y89" s="178"/>
      <c r="Z89" s="178"/>
      <c r="AA89" s="178"/>
      <c r="AB89" s="178"/>
      <c r="AC89" s="178"/>
      <c r="AD89" s="178"/>
      <c r="AE89" s="178"/>
      <c r="AF89" s="178"/>
      <c r="AG89" s="178"/>
      <c r="AH89" s="178"/>
      <c r="AI89" s="162"/>
      <c r="AJ89" s="315"/>
      <c r="AK89" s="315"/>
      <c r="AL89" s="315"/>
      <c r="AM89" s="315"/>
      <c r="AN89" s="315"/>
      <c r="AO89" s="315"/>
      <c r="AP89" s="315"/>
      <c r="AQ89" s="315"/>
      <c r="AR89" s="315"/>
      <c r="AS89" s="315"/>
      <c r="AT89" s="315"/>
      <c r="AU89" s="315"/>
      <c r="AV89" s="315"/>
      <c r="AW89" s="315"/>
      <c r="AX89" s="315"/>
      <c r="AY89" s="315"/>
      <c r="AZ89" s="315"/>
      <c r="BA89" s="315"/>
      <c r="BB89" s="315"/>
      <c r="BC89" s="315"/>
      <c r="BD89" s="315"/>
      <c r="BE89" s="315"/>
      <c r="BF89" s="315"/>
      <c r="BG89" s="315"/>
      <c r="BH89" s="315"/>
      <c r="BI89" s="315"/>
      <c r="BJ89" s="315"/>
      <c r="BK89" s="315"/>
      <c r="BL89" s="315"/>
      <c r="BM89" s="315"/>
      <c r="BN89" s="315"/>
      <c r="BO89" s="315"/>
      <c r="BP89" s="315"/>
      <c r="BQ89" s="315"/>
      <c r="BR89" s="315"/>
    </row>
    <row r="90" ht="14.25" customHeight="1">
      <c r="A90" s="195"/>
      <c r="B90" s="201"/>
      <c r="C90" s="246" t="s">
        <v>734</v>
      </c>
      <c r="D90" s="201"/>
      <c r="E90" s="162"/>
      <c r="F90" s="162"/>
      <c r="G90" s="162"/>
      <c r="H90" s="178"/>
      <c r="I90" s="178"/>
      <c r="J90" s="178"/>
      <c r="K90" s="178"/>
      <c r="L90" s="178"/>
      <c r="M90" s="178"/>
      <c r="N90" s="178"/>
      <c r="O90" s="178"/>
      <c r="P90" s="178"/>
      <c r="Q90" s="178"/>
      <c r="R90" s="178"/>
      <c r="S90" s="178"/>
      <c r="T90" s="178"/>
      <c r="U90" s="178"/>
      <c r="V90" s="178"/>
      <c r="W90" s="178"/>
      <c r="X90" s="178"/>
      <c r="Y90" s="178"/>
      <c r="Z90" s="178"/>
      <c r="AA90" s="178"/>
      <c r="AB90" s="178"/>
      <c r="AC90" s="178"/>
      <c r="AD90" s="178"/>
      <c r="AE90" s="178"/>
      <c r="AF90" s="178"/>
      <c r="AG90" s="178"/>
      <c r="AH90" s="178"/>
      <c r="AI90" s="162"/>
      <c r="AJ90" s="315"/>
      <c r="AK90" s="315"/>
      <c r="AL90" s="315"/>
      <c r="AM90" s="315"/>
      <c r="AN90" s="315"/>
      <c r="AO90" s="315"/>
      <c r="AP90" s="315"/>
      <c r="AQ90" s="315"/>
      <c r="AR90" s="315"/>
      <c r="AS90" s="315"/>
      <c r="AT90" s="315"/>
      <c r="AU90" s="315"/>
      <c r="AV90" s="315"/>
      <c r="AW90" s="315"/>
      <c r="AX90" s="315"/>
      <c r="AY90" s="315"/>
      <c r="AZ90" s="315"/>
      <c r="BA90" s="315"/>
      <c r="BB90" s="315"/>
      <c r="BC90" s="315"/>
      <c r="BD90" s="315"/>
      <c r="BE90" s="315"/>
      <c r="BF90" s="315"/>
      <c r="BG90" s="315"/>
      <c r="BH90" s="315"/>
      <c r="BI90" s="315"/>
      <c r="BJ90" s="315"/>
      <c r="BK90" s="315"/>
      <c r="BL90" s="315"/>
      <c r="BM90" s="315"/>
      <c r="BN90" s="315"/>
      <c r="BO90" s="315"/>
      <c r="BP90" s="315"/>
      <c r="BQ90" s="315"/>
      <c r="BR90" s="315"/>
    </row>
    <row r="91" ht="13.5" customHeight="1" outlineLevel="1">
      <c r="A91" s="195"/>
      <c r="B91" s="201"/>
      <c r="C91" s="246"/>
      <c r="D91" s="201"/>
      <c r="E91" s="316" t="s">
        <v>735</v>
      </c>
      <c r="F91" s="316"/>
      <c r="G91" s="316" t="s">
        <v>736</v>
      </c>
      <c r="H91" s="317" t="str">
        <f>IF(ISBLANK(cselelgt),IF(ISBLANK(cutocreslgtm2),"NoDis","&gt; /m2"),"&gt; /dw")</f>
        <v>NoDis</v>
      </c>
      <c r="I91" s="317" t="str">
        <f>IF(ISBLANK(cselelgt),IF(ISBLANK(cutocreslgtm2),"NoDis","&gt; /m2"),"&gt; /dw")</f>
        <v>NoDis</v>
      </c>
      <c r="J91" s="317" t="str">
        <f>IF(ISBLANK(cselelgt),IF(ISBLANK(cutocreslgtm2),"NoDis","&gt; /m2"),"&gt; /dw")</f>
        <v>NoDis</v>
      </c>
      <c r="K91" s="317" t="str">
        <f>IF(ISBLANK(cselelgt),IF(ISBLANK(cutocreslgtm2),"NoDis","&gt; /m2"),"&gt; /dw")</f>
        <v>NoDis</v>
      </c>
      <c r="L91" s="317" t="str">
        <f>IF(ISBLANK(cselelgt),IF(ISBLANK(cutocreslgtm2),"NoDis","&gt; /m2"),"&gt; /dw")</f>
        <v>NoDis</v>
      </c>
      <c r="M91" s="317" t="str">
        <f>IF(ISBLANK(cselelgt),IF(ISBLANK(cutocreslgtm2),"NoDis","&gt; /m2"),"&gt; /dw")</f>
        <v>NoDis</v>
      </c>
      <c r="N91" s="317" t="str">
        <f>IF(ISBLANK(cselelgt),IF(ISBLANK(cutocreslgtm2),"NoDis","&gt; /m2"),"&gt; /dw")</f>
        <v>NoDis</v>
      </c>
      <c r="O91" s="317" t="str">
        <f>IF(ISBLANK(cselelgt),IF(ISBLANK(cutocreslgtm2),"NoDis","&gt; /m2"),"&gt; /dw")</f>
        <v>NoDis</v>
      </c>
      <c r="P91" s="317" t="str">
        <f>IF(ISBLANK(cselelgt),IF(ISBLANK(cutocreslgtm2),"NoDis","&gt; /m2"),"&gt; /dw")</f>
        <v>NoDis</v>
      </c>
      <c r="Q91" s="317" t="str">
        <f>IF(ISBLANK(cselelgt),IF(ISBLANK(cutocreslgtm2),"NoDis","&gt; /m2"),"&gt; /dw")</f>
        <v>NoDis</v>
      </c>
      <c r="R91" s="317" t="str">
        <f>IF(ISBLANK(cselelgt),IF(ISBLANK(cutocreslgtm2),"NoDis","&gt; /m2"),"&gt; /dw")</f>
        <v>&gt; /dw</v>
      </c>
      <c r="S91" s="317" t="str">
        <f>IF(ISBLANK(cselelgt),IF(ISBLANK(cutocreslgtm2),"NoDis","&gt; /m2"),"&gt; /dw")</f>
        <v>&gt; /dw</v>
      </c>
      <c r="T91" s="317" t="str">
        <f>IF(ISBLANK(cselelgt),IF(ISBLANK(cutocreslgtm2),"NoDis","&gt; /m2"),"&gt; /dw")</f>
        <v>&gt; /dw</v>
      </c>
      <c r="U91" s="317" t="str">
        <f>IF(ISBLANK(cselelgt),IF(ISBLANK(cutocreslgtm2),"NoDis","&gt; /m2"),"&gt; /dw")</f>
        <v>&gt; /dw</v>
      </c>
      <c r="V91" s="317" t="str">
        <f>IF(ISBLANK(cselelgt),IF(ISBLANK(cutocreslgtm2),"NoDis","&gt; /m2"),"&gt; /dw")</f>
        <v>&gt; /dw</v>
      </c>
      <c r="W91" s="317" t="str">
        <f>IF(ISBLANK(cselelgt),IF(ISBLANK(cutocreslgtm2),"NoDis","&gt; /m2"),"&gt; /dw")</f>
        <v>&gt; /dw</v>
      </c>
      <c r="X91" s="317" t="str">
        <f>IF(ISBLANK(cselelgt),IF(ISBLANK(cutocreslgtm2),"NoDis","&gt; /m2"),"&gt; /dw")</f>
        <v>NoDis</v>
      </c>
      <c r="Y91" s="317" t="str">
        <f>IF(ISBLANK(cselelgt),IF(ISBLANK(cutocreslgtm2),"NoDis","&gt; /m2"),"&gt; /dw")</f>
        <v>NoDis</v>
      </c>
      <c r="Z91" s="317" t="str">
        <f>IF(ISBLANK(cselelgt),IF(ISBLANK(cutocreslgtm2),"NoDis","&gt; /m2"),"&gt; /dw")</f>
        <v>NoDis</v>
      </c>
      <c r="AA91" s="317" t="str">
        <f>IF(ISBLANK(cselelgt),IF(ISBLANK(cutocreslgtm2),"NoDis","&gt; /m2"),"&gt; /dw")</f>
        <v>NoDis</v>
      </c>
      <c r="AB91" s="317" t="str">
        <f>IF(ISBLANK(cselelgt),IF(ISBLANK(cutocreslgtm2),"NoDis","&gt; /m2"),"&gt; /dw")</f>
        <v>NoDis</v>
      </c>
      <c r="AC91" s="317" t="str">
        <f>IF(ISBLANK(cselelgt),IF(ISBLANK(cutocreslgtm2),"NoDis","&gt; /m2"),"&gt; /dw")</f>
        <v>NoDis</v>
      </c>
      <c r="AD91" s="317" t="str">
        <f>IF(ISBLANK(cselelgt),IF(ISBLANK(cutocreslgtm2),"NoDis","&gt; /m2"),"&gt; /dw")</f>
        <v>NoDis</v>
      </c>
      <c r="AE91" s="317" t="str">
        <f>IF(ISBLANK(cselelgt),IF(ISBLANK(cutocreslgtm2),"NoDis","&gt; /m2"),"&gt; /dw")</f>
        <v>NoDis</v>
      </c>
      <c r="AF91" s="317" t="str">
        <f>IF(ISBLANK(cselelgt),IF(ISBLANK(cutocreslgtm2),"NoDis","&gt; /m2"),"&gt; /dw")</f>
        <v>NoDis</v>
      </c>
      <c r="AG91" s="317" t="str">
        <f>IF(ISBLANK(cselelgt),IF(ISBLANK(cutocreslgtm2),"NoDis","&gt; /m2"),"&gt; /dw")</f>
        <v>NoDis</v>
      </c>
      <c r="AH91" s="317" t="str">
        <f>IF(ISBLANK(cselelgt),IF(ISBLANK(cutocreslgtm2),"NoDis","&gt; /m2"),"&gt; /dw")</f>
        <v>NoDis</v>
      </c>
      <c r="AI91" s="125"/>
      <c r="AJ91" s="127"/>
      <c r="AK91" s="127"/>
      <c r="AL91" s="127"/>
      <c r="AM91" s="127"/>
      <c r="AN91" s="127"/>
      <c r="AO91" s="127"/>
      <c r="AP91" s="127"/>
      <c r="AQ91" s="127"/>
      <c r="AR91" s="127"/>
      <c r="AS91" s="127"/>
      <c r="AT91" s="127"/>
      <c r="AU91" s="127"/>
      <c r="AV91" s="127"/>
      <c r="AW91" s="127"/>
      <c r="AX91" s="127"/>
      <c r="AY91" s="127"/>
      <c r="AZ91" s="127"/>
      <c r="BA91" s="127"/>
      <c r="BB91" s="127"/>
      <c r="BC91" s="127"/>
      <c r="BD91" s="127"/>
      <c r="BE91" s="127"/>
      <c r="BF91" s="127"/>
      <c r="BG91" s="127"/>
      <c r="BH91" s="127"/>
      <c r="BI91" s="127"/>
      <c r="BJ91" s="127"/>
      <c r="BK91" s="127"/>
      <c r="BL91" s="127"/>
      <c r="BM91" s="127"/>
      <c r="BN91" s="127"/>
      <c r="BO91" s="127"/>
      <c r="BP91" s="127"/>
      <c r="BQ91" s="127"/>
      <c r="BR91" s="127"/>
    </row>
    <row r="92" ht="13.5" customHeight="1" outlineLevel="1">
      <c r="A92" s="195"/>
      <c r="B92" s="201"/>
      <c r="C92" s="246"/>
      <c r="D92" s="201"/>
      <c r="E92" s="316" t="s">
        <v>737</v>
      </c>
      <c r="F92" s="333" t="str">
        <f>IFERROR(__xludf.DUMMYFUNCTION("ARRAY_CONSTRAIN(ARRAYFORMULA(IF(ISBLANK(SINGLE(dumreslgt)),""not filled in"",IF(SUMPRODUCT(dumreslgt*(Years=2015))=100,""RY = 100 &gt; OK"",""RY &lt;&gt; 100 &gt; WARNING""))), 1, 1)"),"RY = 100 &gt; OK")</f>
        <v>RY = 100 &gt; OK</v>
      </c>
      <c r="G92" s="334"/>
      <c r="H92" s="178"/>
      <c r="I92" s="178"/>
      <c r="J92" s="178"/>
      <c r="K92" s="178"/>
      <c r="L92" s="178"/>
      <c r="M92" s="178"/>
      <c r="N92" s="178"/>
      <c r="O92" s="178"/>
      <c r="P92" s="178"/>
      <c r="Q92" s="178"/>
      <c r="R92" s="178"/>
      <c r="S92" s="178"/>
      <c r="T92" s="178"/>
      <c r="U92" s="178"/>
      <c r="V92" s="178"/>
      <c r="W92" s="178"/>
      <c r="X92" s="178"/>
      <c r="Y92" s="178"/>
      <c r="Z92" s="178"/>
      <c r="AA92" s="178"/>
      <c r="AB92" s="178"/>
      <c r="AC92" s="178"/>
      <c r="AD92" s="178"/>
      <c r="AE92" s="178"/>
      <c r="AF92" s="178"/>
      <c r="AG92" s="178"/>
      <c r="AH92" s="178"/>
      <c r="AI92" s="321" t="str">
        <f>IF($F92="RY = 100 &gt; OK","The base year for the energy sufficiency assumptions is 2015.","Warning: the base year for the energy sufficiency assumptions is not 2015!")</f>
        <v>The base year for the energy sufficiency assumptions is 2015.</v>
      </c>
      <c r="AJ92" s="322"/>
      <c r="AK92" s="322"/>
      <c r="AL92" s="322"/>
      <c r="AM92" s="322"/>
      <c r="AN92" s="322"/>
      <c r="AO92" s="322"/>
      <c r="AP92" s="322"/>
      <c r="AQ92" s="322"/>
      <c r="AR92" s="322"/>
      <c r="AS92" s="322"/>
      <c r="AT92" s="322"/>
      <c r="AU92" s="322"/>
      <c r="AV92" s="322"/>
      <c r="AW92" s="322"/>
      <c r="AX92" s="322"/>
      <c r="AY92" s="322"/>
      <c r="AZ92" s="322"/>
      <c r="BA92" s="322"/>
      <c r="BB92" s="322"/>
      <c r="BC92" s="322"/>
      <c r="BD92" s="322"/>
      <c r="BE92" s="322"/>
      <c r="BF92" s="322"/>
      <c r="BG92" s="322"/>
      <c r="BH92" s="322"/>
      <c r="BI92" s="322"/>
      <c r="BJ92" s="322"/>
      <c r="BK92" s="322"/>
      <c r="BL92" s="322"/>
      <c r="BM92" s="322"/>
      <c r="BN92" s="322"/>
      <c r="BO92" s="322"/>
      <c r="BP92" s="322"/>
      <c r="BQ92" s="322"/>
      <c r="BR92" s="322"/>
    </row>
    <row r="93" ht="14.25" customHeight="1" outlineLevel="1">
      <c r="A93" s="195"/>
      <c r="B93" s="201"/>
      <c r="C93" s="201"/>
      <c r="D93" s="201"/>
      <c r="E93" s="273" t="s">
        <v>577</v>
      </c>
      <c r="F93" s="249" t="s">
        <v>135</v>
      </c>
      <c r="G93" s="249" t="s">
        <v>578</v>
      </c>
      <c r="H93" s="274" t="str">
        <f>IF(crdlgt="NoDis",elccfreslgt,IF(crdlgt="&gt; /dw",k*cselelgt*k*nbrlpr,k*cutocreslgtm2*M*totsurlog)/T*dumreslgt/100)</f>
        <v/>
      </c>
      <c r="I93" s="274" t="str">
        <f>IF(crdlgt="NoDis",elccfreslgt,IF(crdlgt="&gt; /dw",k*cselelgt*k*nbrlpr,k*cutocreslgtm2*M*totsurlog)/T*dumreslgt/100)</f>
        <v/>
      </c>
      <c r="J93" s="274" t="str">
        <f>IF(crdlgt="NoDis",elccfreslgt,IF(crdlgt="&gt; /dw",k*cselelgt*k*nbrlpr,k*cutocreslgtm2*M*totsurlog)/T*dumreslgt/100)</f>
        <v/>
      </c>
      <c r="K93" s="274" t="str">
        <f>IF(crdlgt="NoDis",elccfreslgt,IF(crdlgt="&gt; /dw",k*cselelgt*k*nbrlpr,k*cutocreslgtm2*M*totsurlog)/T*dumreslgt/100)</f>
        <v/>
      </c>
      <c r="L93" s="274" t="str">
        <f>IF(crdlgt="NoDis",elccfreslgt,IF(crdlgt="&gt; /dw",k*cselelgt*k*nbrlpr,k*cutocreslgtm2*M*totsurlog)/T*dumreslgt/100)</f>
        <v/>
      </c>
      <c r="M93" s="274" t="str">
        <f>IF(crdlgt="NoDis",elccfreslgt,IF(crdlgt="&gt; /dw",k*cselelgt*k*nbrlpr,k*cutocreslgtm2*M*totsurlog)/T*dumreslgt/100)</f>
        <v/>
      </c>
      <c r="N93" s="274" t="str">
        <f>IF(crdlgt="NoDis",elccfreslgt,IF(crdlgt="&gt; /dw",k*cselelgt*k*nbrlpr,k*cutocreslgtm2*M*totsurlog)/T*dumreslgt/100)</f>
        <v/>
      </c>
      <c r="O93" s="274" t="str">
        <f>IF(crdlgt="NoDis",elccfreslgt,IF(crdlgt="&gt; /dw",k*cselelgt*k*nbrlpr,k*cutocreslgtm2*M*totsurlog)/T*dumreslgt/100)</f>
        <v/>
      </c>
      <c r="P93" s="274" t="str">
        <f>IF(crdlgt="NoDis",elccfreslgt,IF(crdlgt="&gt; /dw",k*cselelgt*k*nbrlpr,k*cutocreslgtm2*M*totsurlog)/T*dumreslgt/100)</f>
        <v/>
      </c>
      <c r="Q93" s="274" t="str">
        <f>IF(crdlgt="NoDis",elccfreslgt,IF(crdlgt="&gt; /dw",k*cselelgt*k*nbrlpr,k*cutocreslgtm2*M*totsurlog)/T*dumreslgt/100)</f>
        <v/>
      </c>
      <c r="R93" s="274">
        <f>IF(crdlgt="NoDis",elccfreslgt,IF(crdlgt="&gt; /dw",k*cselelgt*k*nbrlpr,k*cutocreslgtm2*M*totsurlog)/T*dumreslgt/100)</f>
        <v>0</v>
      </c>
      <c r="S93" s="274">
        <f>IF(crdlgt="NoDis",elccfreslgt,IF(crdlgt="&gt; /dw",k*cselelgt*k*nbrlpr,k*cutocreslgtm2*M*totsurlog)/T*dumreslgt/100)</f>
        <v>0</v>
      </c>
      <c r="T93" s="274">
        <f>IF(crdlgt="NoDis",elccfreslgt,IF(crdlgt="&gt; /dw",k*cselelgt*k*nbrlpr,k*cutocreslgtm2*M*totsurlog)/T*dumreslgt/100)</f>
        <v>0</v>
      </c>
      <c r="U93" s="274">
        <f>IF(crdlgt="NoDis",elccfreslgt,IF(crdlgt="&gt; /dw",k*cselelgt*k*nbrlpr,k*cutocreslgtm2*M*totsurlog)/T*dumreslgt/100)</f>
        <v>0</v>
      </c>
      <c r="V93" s="274">
        <f>IF(crdlgt="NoDis",elccfreslgt,IF(crdlgt="&gt; /dw",k*cselelgt*k*nbrlpr,k*cutocreslgtm2*M*totsurlog)/T*dumreslgt/100)</f>
        <v>0</v>
      </c>
      <c r="W93" s="274">
        <f>IF(crdlgt="NoDis",elccfreslgt,IF(crdlgt="&gt; /dw",k*cselelgt*k*nbrlpr,k*cutocreslgtm2*M*totsurlog)/T*dumreslgt/100)</f>
        <v>0.9502367645</v>
      </c>
      <c r="X93" s="274" t="str">
        <f>IF(crdlgt="NoDis",elccfreslgt,IF(crdlgt="&gt; /dw",k*cselelgt*k*nbrlpr,k*cutocreslgtm2*M*totsurlog)/T*dumreslgt/100)</f>
        <v/>
      </c>
      <c r="Y93" s="274" t="str">
        <f>IF(crdlgt="NoDis",elccfreslgt,IF(crdlgt="&gt; /dw",k*cselelgt*k*nbrlpr,k*cutocreslgtm2*M*totsurlog)/T*dumreslgt/100)</f>
        <v/>
      </c>
      <c r="Z93" s="274" t="str">
        <f>IF(crdlgt="NoDis",elccfreslgt,IF(crdlgt="&gt; /dw",k*cselelgt*k*nbrlpr,k*cutocreslgtm2*M*totsurlog)/T*dumreslgt/100)</f>
        <v/>
      </c>
      <c r="AA93" s="274" t="str">
        <f>IF(crdlgt="NoDis",elccfreslgt,IF(crdlgt="&gt; /dw",k*cselelgt*k*nbrlpr,k*cutocreslgtm2*M*totsurlog)/T*dumreslgt/100)</f>
        <v/>
      </c>
      <c r="AB93" s="274" t="str">
        <f>IF(crdlgt="NoDis",elccfreslgt,IF(crdlgt="&gt; /dw",k*cselelgt*k*nbrlpr,k*cutocreslgtm2*M*totsurlog)/T*dumreslgt/100)</f>
        <v/>
      </c>
      <c r="AC93" s="274" t="str">
        <f>IF(crdlgt="NoDis",elccfreslgt,IF(crdlgt="&gt; /dw",k*cselelgt*k*nbrlpr,k*cutocreslgtm2*M*totsurlog)/T*dumreslgt/100)</f>
        <v/>
      </c>
      <c r="AD93" s="274" t="str">
        <f>IF(crdlgt="NoDis",elccfreslgt,IF(crdlgt="&gt; /dw",k*cselelgt*k*nbrlpr,k*cutocreslgtm2*M*totsurlog)/T*dumreslgt/100)</f>
        <v/>
      </c>
      <c r="AE93" s="274" t="str">
        <f>IF(crdlgt="NoDis",elccfreslgt,IF(crdlgt="&gt; /dw",k*cselelgt*k*nbrlpr,k*cutocreslgtm2*M*totsurlog)/T*dumreslgt/100)</f>
        <v/>
      </c>
      <c r="AF93" s="274" t="str">
        <f>IF(crdlgt="NoDis",elccfreslgt,IF(crdlgt="&gt; /dw",k*cselelgt*k*nbrlpr,k*cutocreslgtm2*M*totsurlog)/T*dumreslgt/100)</f>
        <v/>
      </c>
      <c r="AG93" s="274" t="str">
        <f>IF(crdlgt="NoDis",elccfreslgt,IF(crdlgt="&gt; /dw",k*cselelgt*k*nbrlpr,k*cutocreslgtm2*M*totsurlog)/T*dumreslgt/100)</f>
        <v/>
      </c>
      <c r="AH93" s="274" t="str">
        <f>IF(crdlgt="NoDis",elccfreslgt,IF(crdlgt="&gt; /dw",k*cselelgt*k*nbrlpr,k*cutocreslgtm2*M*totsurlog)/T*dumreslgt/100)</f>
        <v/>
      </c>
      <c r="AI93" s="125"/>
      <c r="AJ93" s="127"/>
      <c r="AK93" s="127"/>
      <c r="AL93" s="127"/>
      <c r="AM93" s="127"/>
      <c r="AN93" s="127"/>
      <c r="AO93" s="127"/>
      <c r="AP93" s="127"/>
      <c r="AQ93" s="127"/>
      <c r="AR93" s="127"/>
      <c r="AS93" s="127"/>
      <c r="AT93" s="127"/>
      <c r="AU93" s="127"/>
      <c r="AV93" s="127"/>
      <c r="AW93" s="127"/>
      <c r="AX93" s="127"/>
      <c r="AY93" s="127"/>
      <c r="AZ93" s="127"/>
      <c r="BA93" s="127"/>
      <c r="BB93" s="127"/>
      <c r="BC93" s="127"/>
      <c r="BD93" s="127"/>
      <c r="BE93" s="127"/>
      <c r="BF93" s="127"/>
      <c r="BG93" s="127"/>
      <c r="BH93" s="127"/>
      <c r="BI93" s="127"/>
      <c r="BJ93" s="127"/>
      <c r="BK93" s="127"/>
      <c r="BL93" s="127"/>
      <c r="BM93" s="127"/>
      <c r="BN93" s="127"/>
      <c r="BO93" s="127"/>
      <c r="BP93" s="127"/>
      <c r="BQ93" s="127"/>
      <c r="BR93" s="127"/>
    </row>
    <row r="94" ht="13.5" customHeight="1" outlineLevel="1">
      <c r="A94" s="195"/>
      <c r="B94" s="201"/>
      <c r="C94" s="246"/>
      <c r="D94" s="201"/>
      <c r="E94" s="316" t="s">
        <v>738</v>
      </c>
      <c r="F94" s="316"/>
      <c r="G94" s="316" t="s">
        <v>739</v>
      </c>
      <c r="H94" s="317" t="str">
        <f>IF(OR(ISBLANK(cselerfg),ISBLANK(cselecgl),ISBLANK(cselelvl),ISBLANK(cselelvv),ISBLANK(cselescl),ISBLANK(teqrfg),ISBLANK(teqcgl),ISBLANK(teqlvl),ISBLANK(teqlvv),ISBLANK(teqscl),ISBLANK(cseletvs)),"NoDis","Dis")</f>
        <v>NoDis</v>
      </c>
      <c r="I94" s="317" t="str">
        <f>IF(OR(ISBLANK(cselerfg),ISBLANK(cselecgl),ISBLANK(cselelvl),ISBLANK(cselelvv),ISBLANK(cselescl),ISBLANK(teqrfg),ISBLANK(teqcgl),ISBLANK(teqlvl),ISBLANK(teqlvv),ISBLANK(teqscl),ISBLANK(cseletvs)),"NoDis","Dis")</f>
        <v>NoDis</v>
      </c>
      <c r="J94" s="317" t="str">
        <f>IF(OR(ISBLANK(cselerfg),ISBLANK(cselecgl),ISBLANK(cselelvl),ISBLANK(cselelvv),ISBLANK(cselescl),ISBLANK(teqrfg),ISBLANK(teqcgl),ISBLANK(teqlvl),ISBLANK(teqlvv),ISBLANK(teqscl),ISBLANK(cseletvs)),"NoDis","Dis")</f>
        <v>NoDis</v>
      </c>
      <c r="K94" s="317" t="str">
        <f>IF(OR(ISBLANK(cselerfg),ISBLANK(cselecgl),ISBLANK(cselelvl),ISBLANK(cselelvv),ISBLANK(cselescl),ISBLANK(teqrfg),ISBLANK(teqcgl),ISBLANK(teqlvl),ISBLANK(teqlvv),ISBLANK(teqscl),ISBLANK(cseletvs)),"NoDis","Dis")</f>
        <v>NoDis</v>
      </c>
      <c r="L94" s="317" t="str">
        <f>IF(OR(ISBLANK(cselerfg),ISBLANK(cselecgl),ISBLANK(cselelvl),ISBLANK(cselelvv),ISBLANK(cselescl),ISBLANK(teqrfg),ISBLANK(teqcgl),ISBLANK(teqlvl),ISBLANK(teqlvv),ISBLANK(teqscl),ISBLANK(cseletvs)),"NoDis","Dis")</f>
        <v>NoDis</v>
      </c>
      <c r="M94" s="317" t="str">
        <f>IF(OR(ISBLANK(cselerfg),ISBLANK(cselecgl),ISBLANK(cselelvl),ISBLANK(cselelvv),ISBLANK(cselescl),ISBLANK(teqrfg),ISBLANK(teqcgl),ISBLANK(teqlvl),ISBLANK(teqlvv),ISBLANK(teqscl),ISBLANK(cseletvs)),"NoDis","Dis")</f>
        <v>NoDis</v>
      </c>
      <c r="N94" s="317" t="str">
        <f>IF(OR(ISBLANK(cselerfg),ISBLANK(cselecgl),ISBLANK(cselelvl),ISBLANK(cselelvv),ISBLANK(cselescl),ISBLANK(teqrfg),ISBLANK(teqcgl),ISBLANK(teqlvl),ISBLANK(teqlvv),ISBLANK(teqscl),ISBLANK(cseletvs)),"NoDis","Dis")</f>
        <v>NoDis</v>
      </c>
      <c r="O94" s="317" t="str">
        <f>IF(OR(ISBLANK(cselerfg),ISBLANK(cselecgl),ISBLANK(cselelvl),ISBLANK(cselelvv),ISBLANK(cselescl),ISBLANK(teqrfg),ISBLANK(teqcgl),ISBLANK(teqlvl),ISBLANK(teqlvv),ISBLANK(teqscl),ISBLANK(cseletvs)),"NoDis","Dis")</f>
        <v>NoDis</v>
      </c>
      <c r="P94" s="317" t="str">
        <f>IF(OR(ISBLANK(cselerfg),ISBLANK(cselecgl),ISBLANK(cselelvl),ISBLANK(cselelvv),ISBLANK(cselescl),ISBLANK(teqrfg),ISBLANK(teqcgl),ISBLANK(teqlvl),ISBLANK(teqlvv),ISBLANK(teqscl),ISBLANK(cseletvs)),"NoDis","Dis")</f>
        <v>NoDis</v>
      </c>
      <c r="Q94" s="317" t="str">
        <f>IF(OR(ISBLANK(cselerfg),ISBLANK(cselecgl),ISBLANK(cselelvl),ISBLANK(cselelvv),ISBLANK(cselescl),ISBLANK(teqrfg),ISBLANK(teqcgl),ISBLANK(teqlvl),ISBLANK(teqlvv),ISBLANK(teqscl),ISBLANK(cseletvs)),"NoDis","Dis")</f>
        <v>NoDis</v>
      </c>
      <c r="R94" s="317" t="str">
        <f>IF(OR(ISBLANK(cselerfg),ISBLANK(cselecgl),ISBLANK(cselelvl),ISBLANK(cselelvv),ISBLANK(cselescl),ISBLANK(teqrfg),ISBLANK(teqcgl),ISBLANK(teqlvl),ISBLANK(teqlvv),ISBLANK(teqscl),ISBLANK(cseletvs)),"NoDis","Dis")</f>
        <v>Dis</v>
      </c>
      <c r="S94" s="317" t="str">
        <f>IF(OR(ISBLANK(cselerfg),ISBLANK(cselecgl),ISBLANK(cselelvl),ISBLANK(cselelvv),ISBLANK(cselescl),ISBLANK(teqrfg),ISBLANK(teqcgl),ISBLANK(teqlvl),ISBLANK(teqlvv),ISBLANK(teqscl),ISBLANK(cseletvs)),"NoDis","Dis")</f>
        <v>Dis</v>
      </c>
      <c r="T94" s="317" t="str">
        <f>IF(OR(ISBLANK(cselerfg),ISBLANK(cselecgl),ISBLANK(cselelvl),ISBLANK(cselelvv),ISBLANK(cselescl),ISBLANK(teqrfg),ISBLANK(teqcgl),ISBLANK(teqlvl),ISBLANK(teqlvv),ISBLANK(teqscl),ISBLANK(cseletvs)),"NoDis","Dis")</f>
        <v>Dis</v>
      </c>
      <c r="U94" s="317" t="str">
        <f>IF(OR(ISBLANK(cselerfg),ISBLANK(cselecgl),ISBLANK(cselelvl),ISBLANK(cselelvv),ISBLANK(cselescl),ISBLANK(teqrfg),ISBLANK(teqcgl),ISBLANK(teqlvl),ISBLANK(teqlvv),ISBLANK(teqscl),ISBLANK(cseletvs)),"NoDis","Dis")</f>
        <v>Dis</v>
      </c>
      <c r="V94" s="317" t="str">
        <f>IF(OR(ISBLANK(cselerfg),ISBLANK(cselecgl),ISBLANK(cselelvl),ISBLANK(cselelvv),ISBLANK(cselescl),ISBLANK(teqrfg),ISBLANK(teqcgl),ISBLANK(teqlvl),ISBLANK(teqlvv),ISBLANK(teqscl),ISBLANK(cseletvs)),"NoDis","Dis")</f>
        <v>Dis</v>
      </c>
      <c r="W94" s="317" t="str">
        <f>IF(OR(ISBLANK(cselerfg),ISBLANK(cselecgl),ISBLANK(cselelvl),ISBLANK(cselelvv),ISBLANK(cselescl),ISBLANK(teqrfg),ISBLANK(teqcgl),ISBLANK(teqlvl),ISBLANK(teqlvv),ISBLANK(teqscl),ISBLANK(cseletvs)),"NoDis","Dis")</f>
        <v>Dis</v>
      </c>
      <c r="X94" s="317" t="str">
        <f>IF(OR(ISBLANK(cselerfg),ISBLANK(cselecgl),ISBLANK(cselelvl),ISBLANK(cselelvv),ISBLANK(cselescl),ISBLANK(teqrfg),ISBLANK(teqcgl),ISBLANK(teqlvl),ISBLANK(teqlvv),ISBLANK(teqscl),ISBLANK(cseletvs)),"NoDis","Dis")</f>
        <v>NoDis</v>
      </c>
      <c r="Y94" s="317" t="str">
        <f>IF(OR(ISBLANK(cselerfg),ISBLANK(cselecgl),ISBLANK(cselelvl),ISBLANK(cselelvv),ISBLANK(cselescl),ISBLANK(teqrfg),ISBLANK(teqcgl),ISBLANK(teqlvl),ISBLANK(teqlvv),ISBLANK(teqscl),ISBLANK(cseletvs)),"NoDis","Dis")</f>
        <v>NoDis</v>
      </c>
      <c r="Z94" s="317" t="str">
        <f>IF(OR(ISBLANK(cselerfg),ISBLANK(cselecgl),ISBLANK(cselelvl),ISBLANK(cselelvv),ISBLANK(cselescl),ISBLANK(teqrfg),ISBLANK(teqcgl),ISBLANK(teqlvl),ISBLANK(teqlvv),ISBLANK(teqscl),ISBLANK(cseletvs)),"NoDis","Dis")</f>
        <v>NoDis</v>
      </c>
      <c r="AA94" s="317" t="str">
        <f>IF(OR(ISBLANK(cselerfg),ISBLANK(cselecgl),ISBLANK(cselelvl),ISBLANK(cselelvv),ISBLANK(cselescl),ISBLANK(teqrfg),ISBLANK(teqcgl),ISBLANK(teqlvl),ISBLANK(teqlvv),ISBLANK(teqscl),ISBLANK(cseletvs)),"NoDis","Dis")</f>
        <v>NoDis</v>
      </c>
      <c r="AB94" s="317" t="str">
        <f>IF(OR(ISBLANK(cselerfg),ISBLANK(cselecgl),ISBLANK(cselelvl),ISBLANK(cselelvv),ISBLANK(cselescl),ISBLANK(teqrfg),ISBLANK(teqcgl),ISBLANK(teqlvl),ISBLANK(teqlvv),ISBLANK(teqscl),ISBLANK(cseletvs)),"NoDis","Dis")</f>
        <v>NoDis</v>
      </c>
      <c r="AC94" s="317" t="str">
        <f>IF(OR(ISBLANK(cselerfg),ISBLANK(cselecgl),ISBLANK(cselelvl),ISBLANK(cselelvv),ISBLANK(cselescl),ISBLANK(teqrfg),ISBLANK(teqcgl),ISBLANK(teqlvl),ISBLANK(teqlvv),ISBLANK(teqscl),ISBLANK(cseletvs)),"NoDis","Dis")</f>
        <v>NoDis</v>
      </c>
      <c r="AD94" s="317" t="str">
        <f>IF(OR(ISBLANK(cselerfg),ISBLANK(cselecgl),ISBLANK(cselelvl),ISBLANK(cselelvv),ISBLANK(cselescl),ISBLANK(teqrfg),ISBLANK(teqcgl),ISBLANK(teqlvl),ISBLANK(teqlvv),ISBLANK(teqscl),ISBLANK(cseletvs)),"NoDis","Dis")</f>
        <v>NoDis</v>
      </c>
      <c r="AE94" s="317" t="str">
        <f>IF(OR(ISBLANK(cselerfg),ISBLANK(cselecgl),ISBLANK(cselelvl),ISBLANK(cselelvv),ISBLANK(cselescl),ISBLANK(teqrfg),ISBLANK(teqcgl),ISBLANK(teqlvl),ISBLANK(teqlvv),ISBLANK(teqscl),ISBLANK(cseletvs)),"NoDis","Dis")</f>
        <v>NoDis</v>
      </c>
      <c r="AF94" s="317" t="str">
        <f>IF(OR(ISBLANK(cselerfg),ISBLANK(cselecgl),ISBLANK(cselelvl),ISBLANK(cselelvv),ISBLANK(cselescl),ISBLANK(teqrfg),ISBLANK(teqcgl),ISBLANK(teqlvl),ISBLANK(teqlvv),ISBLANK(teqscl),ISBLANK(cseletvs)),"NoDis","Dis")</f>
        <v>NoDis</v>
      </c>
      <c r="AG94" s="317" t="str">
        <f>IF(OR(ISBLANK(cselerfg),ISBLANK(cselecgl),ISBLANK(cselelvl),ISBLANK(cselelvv),ISBLANK(cselescl),ISBLANK(teqrfg),ISBLANK(teqcgl),ISBLANK(teqlvl),ISBLANK(teqlvv),ISBLANK(teqscl),ISBLANK(cseletvs)),"NoDis","Dis")</f>
        <v>NoDis</v>
      </c>
      <c r="AH94" s="317" t="str">
        <f>IF(OR(ISBLANK(cselerfg),ISBLANK(cselecgl),ISBLANK(cselelvl),ISBLANK(cselelvv),ISBLANK(cselescl),ISBLANK(teqrfg),ISBLANK(teqcgl),ISBLANK(teqlvl),ISBLANK(teqlvv),ISBLANK(teqscl),ISBLANK(cseletvs)),"NoDis","Dis")</f>
        <v>NoDis</v>
      </c>
      <c r="AI94" s="125"/>
      <c r="AJ94" s="127"/>
      <c r="AK94" s="127"/>
      <c r="AL94" s="127"/>
      <c r="AM94" s="127"/>
      <c r="AN94" s="127"/>
      <c r="AO94" s="127"/>
      <c r="AP94" s="127"/>
      <c r="AQ94" s="127"/>
      <c r="AR94" s="127"/>
      <c r="AS94" s="127"/>
      <c r="AT94" s="127"/>
      <c r="AU94" s="127"/>
      <c r="AV94" s="127"/>
      <c r="AW94" s="127"/>
      <c r="AX94" s="127"/>
      <c r="AY94" s="127"/>
      <c r="AZ94" s="127"/>
      <c r="BA94" s="127"/>
      <c r="BB94" s="127"/>
      <c r="BC94" s="127"/>
      <c r="BD94" s="127"/>
      <c r="BE94" s="127"/>
      <c r="BF94" s="127"/>
      <c r="BG94" s="127"/>
      <c r="BH94" s="127"/>
      <c r="BI94" s="127"/>
      <c r="BJ94" s="127"/>
      <c r="BK94" s="127"/>
      <c r="BL94" s="127"/>
      <c r="BM94" s="127"/>
      <c r="BN94" s="127"/>
      <c r="BO94" s="127"/>
      <c r="BP94" s="127"/>
      <c r="BQ94" s="127"/>
      <c r="BR94" s="127"/>
    </row>
    <row r="95" ht="13.5" customHeight="1" outlineLevel="1">
      <c r="A95" s="195"/>
      <c r="B95" s="201"/>
      <c r="C95" s="246"/>
      <c r="D95" s="201"/>
      <c r="E95" s="316" t="s">
        <v>740</v>
      </c>
      <c r="F95" s="333" t="str">
        <f>IFERROR(__xludf.DUMMYFUNCTION("ARRAY_CONSTRAIN(ARRAYFORMULA(IF(ISBLANK(SINGLE(lumreslvl)),""not filled in"",IF(SUMPRODUCT(lumreslvl*(Years=2015))=100,""RY = 100 &gt; OK"",""RY &lt;&gt; 100 &gt; WARNING""))), 1, 1)"),"RY = 100 &gt; OK")</f>
        <v>RY = 100 &gt; OK</v>
      </c>
      <c r="G95" s="334"/>
      <c r="H95" s="178"/>
      <c r="I95" s="178"/>
      <c r="J95" s="178"/>
      <c r="K95" s="178"/>
      <c r="L95" s="178"/>
      <c r="M95" s="178"/>
      <c r="N95" s="178"/>
      <c r="O95" s="178"/>
      <c r="P95" s="178"/>
      <c r="Q95" s="178"/>
      <c r="R95" s="178"/>
      <c r="S95" s="178"/>
      <c r="T95" s="178"/>
      <c r="U95" s="178"/>
      <c r="V95" s="178"/>
      <c r="W95" s="178"/>
      <c r="X95" s="178"/>
      <c r="Y95" s="178"/>
      <c r="Z95" s="178"/>
      <c r="AA95" s="178"/>
      <c r="AB95" s="178"/>
      <c r="AC95" s="178"/>
      <c r="AD95" s="178"/>
      <c r="AE95" s="178"/>
      <c r="AF95" s="178"/>
      <c r="AG95" s="178"/>
      <c r="AH95" s="178"/>
      <c r="AI95" s="321" t="str">
        <f t="shared" ref="AI95:AI98" si="5">IF($F95="RY = 100 &gt; OK","The base year for the energy sufficiency assumptions is 2015.","Warning: the base year for the energy sufficiency assumptions is not 2015!")</f>
        <v>The base year for the energy sufficiency assumptions is 2015.</v>
      </c>
      <c r="AJ95" s="322"/>
      <c r="AK95" s="322"/>
      <c r="AL95" s="322"/>
      <c r="AM95" s="322"/>
      <c r="AN95" s="322"/>
      <c r="AO95" s="322"/>
      <c r="AP95" s="322"/>
      <c r="AQ95" s="322"/>
      <c r="AR95" s="322"/>
      <c r="AS95" s="322"/>
      <c r="AT95" s="322"/>
      <c r="AU95" s="322"/>
      <c r="AV95" s="322"/>
      <c r="AW95" s="322"/>
      <c r="AX95" s="322"/>
      <c r="AY95" s="322"/>
      <c r="AZ95" s="322"/>
      <c r="BA95" s="322"/>
      <c r="BB95" s="322"/>
      <c r="BC95" s="322"/>
      <c r="BD95" s="322"/>
      <c r="BE95" s="322"/>
      <c r="BF95" s="322"/>
      <c r="BG95" s="322"/>
      <c r="BH95" s="322"/>
      <c r="BI95" s="322"/>
      <c r="BJ95" s="322"/>
      <c r="BK95" s="322"/>
      <c r="BL95" s="322"/>
      <c r="BM95" s="322"/>
      <c r="BN95" s="322"/>
      <c r="BO95" s="322"/>
      <c r="BP95" s="322"/>
      <c r="BQ95" s="322"/>
      <c r="BR95" s="322"/>
    </row>
    <row r="96" ht="13.5" customHeight="1" outlineLevel="1">
      <c r="A96" s="195"/>
      <c r="B96" s="201"/>
      <c r="C96" s="246"/>
      <c r="D96" s="201"/>
      <c r="E96" s="316" t="s">
        <v>741</v>
      </c>
      <c r="F96" s="333" t="str">
        <f>IFERROR(__xludf.DUMMYFUNCTION("ARRAY_CONSTRAIN(ARRAYFORMULA(IF(ISBLANK(SINGLE(lumreslvv)),""not filled in"",IF(SUMPRODUCT(lumreslvv*(Years=2015))=100,""RY = 100 &gt; OK"",""RY &lt;&gt; 100 &gt; WARNING""))), 1, 1)"),"RY = 100 &gt; OK")</f>
        <v>RY = 100 &gt; OK</v>
      </c>
      <c r="G96" s="334"/>
      <c r="H96" s="178"/>
      <c r="I96" s="178"/>
      <c r="J96" s="178"/>
      <c r="K96" s="178"/>
      <c r="L96" s="178"/>
      <c r="M96" s="178"/>
      <c r="N96" s="178"/>
      <c r="O96" s="178"/>
      <c r="P96" s="178"/>
      <c r="Q96" s="178"/>
      <c r="R96" s="178"/>
      <c r="S96" s="178"/>
      <c r="T96" s="178"/>
      <c r="U96" s="178"/>
      <c r="V96" s="178"/>
      <c r="W96" s="178"/>
      <c r="X96" s="178"/>
      <c r="Y96" s="178"/>
      <c r="Z96" s="178"/>
      <c r="AA96" s="178"/>
      <c r="AB96" s="178"/>
      <c r="AC96" s="178"/>
      <c r="AD96" s="178"/>
      <c r="AE96" s="178"/>
      <c r="AF96" s="178"/>
      <c r="AG96" s="178"/>
      <c r="AH96" s="178"/>
      <c r="AI96" s="321" t="str">
        <f t="shared" si="5"/>
        <v>The base year for the energy sufficiency assumptions is 2015.</v>
      </c>
      <c r="AJ96" s="322"/>
      <c r="AK96" s="322"/>
      <c r="AL96" s="322"/>
      <c r="AM96" s="322"/>
      <c r="AN96" s="322"/>
      <c r="AO96" s="322"/>
      <c r="AP96" s="322"/>
      <c r="AQ96" s="322"/>
      <c r="AR96" s="322"/>
      <c r="AS96" s="322"/>
      <c r="AT96" s="322"/>
      <c r="AU96" s="322"/>
      <c r="AV96" s="322"/>
      <c r="AW96" s="322"/>
      <c r="AX96" s="322"/>
      <c r="AY96" s="322"/>
      <c r="AZ96" s="322"/>
      <c r="BA96" s="322"/>
      <c r="BB96" s="322"/>
      <c r="BC96" s="322"/>
      <c r="BD96" s="322"/>
      <c r="BE96" s="322"/>
      <c r="BF96" s="322"/>
      <c r="BG96" s="322"/>
      <c r="BH96" s="322"/>
      <c r="BI96" s="322"/>
      <c r="BJ96" s="322"/>
      <c r="BK96" s="322"/>
      <c r="BL96" s="322"/>
      <c r="BM96" s="322"/>
      <c r="BN96" s="322"/>
      <c r="BO96" s="322"/>
      <c r="BP96" s="322"/>
      <c r="BQ96" s="322"/>
      <c r="BR96" s="322"/>
    </row>
    <row r="97" ht="13.5" customHeight="1" outlineLevel="1">
      <c r="A97" s="195"/>
      <c r="B97" s="201"/>
      <c r="C97" s="246"/>
      <c r="D97" s="201"/>
      <c r="E97" s="316" t="s">
        <v>742</v>
      </c>
      <c r="F97" s="333" t="str">
        <f>IFERROR(__xludf.DUMMYFUNCTION("ARRAY_CONSTRAIN(ARRAYFORMULA(IF(ISBLANK(SINGLE(lumresscl)),""not filled in"",IF(SUMPRODUCT(lumresscl*(Years=2015))=100,""RY = 100 &gt; OK"",""RY &lt;&gt; 100 &gt; WARNING""))), 1, 1)"),"RY = 100 &gt; OK")</f>
        <v>RY = 100 &gt; OK</v>
      </c>
      <c r="G97" s="334"/>
      <c r="H97" s="178"/>
      <c r="I97" s="178"/>
      <c r="J97" s="178"/>
      <c r="K97" s="178"/>
      <c r="L97" s="178"/>
      <c r="M97" s="178"/>
      <c r="N97" s="178"/>
      <c r="O97" s="178"/>
      <c r="P97" s="178"/>
      <c r="Q97" s="178"/>
      <c r="R97" s="178"/>
      <c r="S97" s="178"/>
      <c r="T97" s="178"/>
      <c r="U97" s="178"/>
      <c r="V97" s="178"/>
      <c r="W97" s="178"/>
      <c r="X97" s="178"/>
      <c r="Y97" s="178"/>
      <c r="Z97" s="178"/>
      <c r="AA97" s="178"/>
      <c r="AB97" s="178"/>
      <c r="AC97" s="178"/>
      <c r="AD97" s="178"/>
      <c r="AE97" s="178"/>
      <c r="AF97" s="178"/>
      <c r="AG97" s="178"/>
      <c r="AH97" s="178"/>
      <c r="AI97" s="321" t="str">
        <f t="shared" si="5"/>
        <v>The base year for the energy sufficiency assumptions is 2015.</v>
      </c>
      <c r="AJ97" s="322"/>
      <c r="AK97" s="322"/>
      <c r="AL97" s="322"/>
      <c r="AM97" s="322"/>
      <c r="AN97" s="322"/>
      <c r="AO97" s="322"/>
      <c r="AP97" s="322"/>
      <c r="AQ97" s="322"/>
      <c r="AR97" s="322"/>
      <c r="AS97" s="322"/>
      <c r="AT97" s="322"/>
      <c r="AU97" s="322"/>
      <c r="AV97" s="322"/>
      <c r="AW97" s="322"/>
      <c r="AX97" s="322"/>
      <c r="AY97" s="322"/>
      <c r="AZ97" s="322"/>
      <c r="BA97" s="322"/>
      <c r="BB97" s="322"/>
      <c r="BC97" s="322"/>
      <c r="BD97" s="322"/>
      <c r="BE97" s="322"/>
      <c r="BF97" s="322"/>
      <c r="BG97" s="322"/>
      <c r="BH97" s="322"/>
      <c r="BI97" s="322"/>
      <c r="BJ97" s="322"/>
      <c r="BK97" s="322"/>
      <c r="BL97" s="322"/>
      <c r="BM97" s="322"/>
      <c r="BN97" s="322"/>
      <c r="BO97" s="322"/>
      <c r="BP97" s="322"/>
      <c r="BQ97" s="322"/>
      <c r="BR97" s="322"/>
    </row>
    <row r="98" ht="13.5" customHeight="1" outlineLevel="1">
      <c r="A98" s="195"/>
      <c r="B98" s="201"/>
      <c r="C98" s="246"/>
      <c r="D98" s="201"/>
      <c r="E98" s="316" t="s">
        <v>743</v>
      </c>
      <c r="F98" s="333" t="str">
        <f>IFERROR(__xludf.DUMMYFUNCTION("ARRAY_CONSTRAIN(ARRAYFORMULA(IF(ISBLANK(SINGLE(dumrestvs)),""not filled in"",IF(SUMPRODUCT(dumrestvs*(Years=2015))=100,""RY = 100 &gt; OK"",""RY &lt;&gt; 100 &gt; WARNING""))), 1, 1)"),"RY = 100 &gt; OK")</f>
        <v>RY = 100 &gt; OK</v>
      </c>
      <c r="G98" s="334"/>
      <c r="H98" s="178"/>
      <c r="I98" s="178"/>
      <c r="J98" s="178"/>
      <c r="K98" s="178"/>
      <c r="L98" s="178"/>
      <c r="M98" s="178"/>
      <c r="N98" s="178"/>
      <c r="O98" s="178"/>
      <c r="P98" s="178"/>
      <c r="Q98" s="178"/>
      <c r="R98" s="178"/>
      <c r="S98" s="178"/>
      <c r="T98" s="178"/>
      <c r="U98" s="178"/>
      <c r="V98" s="178"/>
      <c r="W98" s="178"/>
      <c r="X98" s="178"/>
      <c r="Y98" s="178"/>
      <c r="Z98" s="178"/>
      <c r="AA98" s="178"/>
      <c r="AB98" s="178"/>
      <c r="AC98" s="178"/>
      <c r="AD98" s="178"/>
      <c r="AE98" s="178"/>
      <c r="AF98" s="178"/>
      <c r="AG98" s="178"/>
      <c r="AH98" s="178"/>
      <c r="AI98" s="321" t="str">
        <f t="shared" si="5"/>
        <v>The base year for the energy sufficiency assumptions is 2015.</v>
      </c>
      <c r="AJ98" s="322"/>
      <c r="AK98" s="322"/>
      <c r="AL98" s="322"/>
      <c r="AM98" s="322"/>
      <c r="AN98" s="322"/>
      <c r="AO98" s="322"/>
      <c r="AP98" s="322"/>
      <c r="AQ98" s="322"/>
      <c r="AR98" s="322"/>
      <c r="AS98" s="322"/>
      <c r="AT98" s="322"/>
      <c r="AU98" s="322"/>
      <c r="AV98" s="322"/>
      <c r="AW98" s="322"/>
      <c r="AX98" s="322"/>
      <c r="AY98" s="322"/>
      <c r="AZ98" s="322"/>
      <c r="BA98" s="322"/>
      <c r="BB98" s="322"/>
      <c r="BC98" s="322"/>
      <c r="BD98" s="322"/>
      <c r="BE98" s="322"/>
      <c r="BF98" s="322"/>
      <c r="BG98" s="322"/>
      <c r="BH98" s="322"/>
      <c r="BI98" s="322"/>
      <c r="BJ98" s="322"/>
      <c r="BK98" s="322"/>
      <c r="BL98" s="322"/>
      <c r="BM98" s="322"/>
      <c r="BN98" s="322"/>
      <c r="BO98" s="322"/>
      <c r="BP98" s="322"/>
      <c r="BQ98" s="322"/>
      <c r="BR98" s="322"/>
    </row>
    <row r="99" ht="14.25" customHeight="1" outlineLevel="1">
      <c r="A99" s="195"/>
      <c r="B99" s="201"/>
      <c r="C99" s="246"/>
      <c r="D99" s="201"/>
      <c r="E99" s="273" t="s">
        <v>744</v>
      </c>
      <c r="F99" s="249" t="s">
        <v>135</v>
      </c>
      <c r="G99" s="249" t="s">
        <v>745</v>
      </c>
      <c r="H99" s="274">
        <f>k*cselerfg*teqrfg*k*men/T</f>
        <v>0</v>
      </c>
      <c r="I99" s="274">
        <f>k*cselerfg*teqrfg*k*men/T</f>
        <v>0</v>
      </c>
      <c r="J99" s="274">
        <f>k*cselerfg*teqrfg*k*men/T</f>
        <v>0</v>
      </c>
      <c r="K99" s="274">
        <f>k*cselerfg*teqrfg*k*men/T</f>
        <v>0</v>
      </c>
      <c r="L99" s="274">
        <f>k*cselerfg*teqrfg*k*men/T</f>
        <v>0</v>
      </c>
      <c r="M99" s="274">
        <f>k*cselerfg*teqrfg*k*men/T</f>
        <v>0</v>
      </c>
      <c r="N99" s="274">
        <f>k*cselerfg*teqrfg*k*men/T</f>
        <v>0</v>
      </c>
      <c r="O99" s="274">
        <f>k*cselerfg*teqrfg*k*men/T</f>
        <v>0</v>
      </c>
      <c r="P99" s="274">
        <f>k*cselerfg*teqrfg*k*men/T</f>
        <v>0</v>
      </c>
      <c r="Q99" s="274">
        <f>k*cselerfg*teqrfg*k*men/T</f>
        <v>0</v>
      </c>
      <c r="R99" s="274">
        <f>k*cselerfg*teqrfg*k*men/T</f>
        <v>1.195027059</v>
      </c>
      <c r="S99" s="274">
        <f>k*cselerfg*teqrfg*k*men/T</f>
        <v>1.138293852</v>
      </c>
      <c r="T99" s="274">
        <f>k*cselerfg*teqrfg*k*men/T</f>
        <v>1.078348101</v>
      </c>
      <c r="U99" s="274">
        <f>k*cselerfg*teqrfg*k*men/T</f>
        <v>1.044318873</v>
      </c>
      <c r="V99" s="274">
        <f>k*cselerfg*teqrfg*k*men/T</f>
        <v>1.026434909</v>
      </c>
      <c r="W99" s="274">
        <f>k*cselerfg*teqrfg*k*men/T</f>
        <v>1.022524341</v>
      </c>
      <c r="X99" s="274">
        <f>k*cselerfg*teqrfg*k*men/T</f>
        <v>0</v>
      </c>
      <c r="Y99" s="274">
        <f>k*cselerfg*teqrfg*k*men/T</f>
        <v>0</v>
      </c>
      <c r="Z99" s="274">
        <f>k*cselerfg*teqrfg*k*men/T</f>
        <v>0</v>
      </c>
      <c r="AA99" s="274">
        <f>k*cselerfg*teqrfg*k*men/T</f>
        <v>0</v>
      </c>
      <c r="AB99" s="274">
        <f>k*cselerfg*teqrfg*k*men/T</f>
        <v>0</v>
      </c>
      <c r="AC99" s="274">
        <f>k*cselerfg*teqrfg*k*men/T</f>
        <v>0</v>
      </c>
      <c r="AD99" s="274">
        <f>k*cselerfg*teqrfg*k*men/T</f>
        <v>0</v>
      </c>
      <c r="AE99" s="274">
        <f>k*cselerfg*teqrfg*k*men/T</f>
        <v>0</v>
      </c>
      <c r="AF99" s="274">
        <f>k*cselerfg*teqrfg*k*men/T</f>
        <v>0</v>
      </c>
      <c r="AG99" s="274">
        <f>k*cselerfg*teqrfg*k*men/T</f>
        <v>0</v>
      </c>
      <c r="AH99" s="274">
        <f>k*cselerfg*teqrfg*k*men/T</f>
        <v>0</v>
      </c>
      <c r="AI99" s="125"/>
      <c r="AJ99" s="127"/>
      <c r="AK99" s="127"/>
      <c r="AL99" s="127"/>
      <c r="AM99" s="127"/>
      <c r="AN99" s="127"/>
      <c r="AO99" s="127"/>
      <c r="AP99" s="127"/>
      <c r="AQ99" s="127"/>
      <c r="AR99" s="127"/>
      <c r="AS99" s="127"/>
      <c r="AT99" s="127"/>
      <c r="AU99" s="127"/>
      <c r="AV99" s="127"/>
      <c r="AW99" s="127"/>
      <c r="AX99" s="127"/>
      <c r="AY99" s="127"/>
      <c r="AZ99" s="127"/>
      <c r="BA99" s="127"/>
      <c r="BB99" s="127"/>
      <c r="BC99" s="127"/>
      <c r="BD99" s="127"/>
      <c r="BE99" s="127"/>
      <c r="BF99" s="127"/>
      <c r="BG99" s="127"/>
      <c r="BH99" s="127"/>
      <c r="BI99" s="127"/>
      <c r="BJ99" s="127"/>
      <c r="BK99" s="127"/>
      <c r="BL99" s="127"/>
      <c r="BM99" s="127"/>
      <c r="BN99" s="127"/>
      <c r="BO99" s="127"/>
      <c r="BP99" s="127"/>
      <c r="BQ99" s="127"/>
      <c r="BR99" s="127"/>
    </row>
    <row r="100" ht="14.25" customHeight="1" outlineLevel="1">
      <c r="A100" s="195"/>
      <c r="B100" s="201"/>
      <c r="C100" s="246"/>
      <c r="D100" s="201"/>
      <c r="E100" s="273" t="s">
        <v>746</v>
      </c>
      <c r="F100" s="249" t="s">
        <v>135</v>
      </c>
      <c r="G100" s="249" t="s">
        <v>747</v>
      </c>
      <c r="H100" s="274">
        <f>k*cselecgl*teqcgl*k*men/T</f>
        <v>0</v>
      </c>
      <c r="I100" s="274">
        <f>k*cselecgl*teqcgl*k*men/T</f>
        <v>0</v>
      </c>
      <c r="J100" s="274">
        <f>k*cselecgl*teqcgl*k*men/T</f>
        <v>0</v>
      </c>
      <c r="K100" s="274">
        <f>k*cselecgl*teqcgl*k*men/T</f>
        <v>0</v>
      </c>
      <c r="L100" s="274">
        <f>k*cselecgl*teqcgl*k*men/T</f>
        <v>0</v>
      </c>
      <c r="M100" s="274">
        <f>k*cselecgl*teqcgl*k*men/T</f>
        <v>0</v>
      </c>
      <c r="N100" s="274">
        <f>k*cselecgl*teqcgl*k*men/T</f>
        <v>0</v>
      </c>
      <c r="O100" s="274">
        <f>k*cselecgl*teqcgl*k*men/T</f>
        <v>0</v>
      </c>
      <c r="P100" s="274">
        <f>k*cselecgl*teqcgl*k*men/T</f>
        <v>0</v>
      </c>
      <c r="Q100" s="274">
        <f>k*cselecgl*teqcgl*k*men/T</f>
        <v>0</v>
      </c>
      <c r="R100" s="274">
        <f>k*cselecgl*teqcgl*k*men/T</f>
        <v>0.4408219869</v>
      </c>
      <c r="S100" s="274">
        <f>k*cselecgl*teqcgl*k*men/T</f>
        <v>0.4372082504</v>
      </c>
      <c r="T100" s="274">
        <f>k*cselecgl*teqcgl*k*men/T</f>
        <v>0.4280674497</v>
      </c>
      <c r="U100" s="274">
        <f>k*cselecgl*teqcgl*k*men/T</f>
        <v>0.4152428618</v>
      </c>
      <c r="V100" s="274">
        <f>k*cselecgl*teqcgl*k*men/T</f>
        <v>0.4084561364</v>
      </c>
      <c r="W100" s="274">
        <f>k*cselecgl*teqcgl*k*men/T</f>
        <v>0.4107239217</v>
      </c>
      <c r="X100" s="274">
        <f>k*cselecgl*teqcgl*k*men/T</f>
        <v>0</v>
      </c>
      <c r="Y100" s="274">
        <f>k*cselecgl*teqcgl*k*men/T</f>
        <v>0</v>
      </c>
      <c r="Z100" s="274">
        <f>k*cselecgl*teqcgl*k*men/T</f>
        <v>0</v>
      </c>
      <c r="AA100" s="274">
        <f>k*cselecgl*teqcgl*k*men/T</f>
        <v>0</v>
      </c>
      <c r="AB100" s="274">
        <f>k*cselecgl*teqcgl*k*men/T</f>
        <v>0</v>
      </c>
      <c r="AC100" s="274">
        <f>k*cselecgl*teqcgl*k*men/T</f>
        <v>0</v>
      </c>
      <c r="AD100" s="274">
        <f>k*cselecgl*teqcgl*k*men/T</f>
        <v>0</v>
      </c>
      <c r="AE100" s="274">
        <f>k*cselecgl*teqcgl*k*men/T</f>
        <v>0</v>
      </c>
      <c r="AF100" s="274">
        <f>k*cselecgl*teqcgl*k*men/T</f>
        <v>0</v>
      </c>
      <c r="AG100" s="274">
        <f>k*cselecgl*teqcgl*k*men/T</f>
        <v>0</v>
      </c>
      <c r="AH100" s="274">
        <f>k*cselecgl*teqcgl*k*men/T</f>
        <v>0</v>
      </c>
      <c r="AI100" s="125"/>
      <c r="AJ100" s="127"/>
      <c r="AK100" s="127"/>
      <c r="AL100" s="127"/>
      <c r="AM100" s="127"/>
      <c r="AN100" s="127"/>
      <c r="AO100" s="127"/>
      <c r="AP100" s="127"/>
      <c r="AQ100" s="127"/>
      <c r="AR100" s="127"/>
      <c r="AS100" s="127"/>
      <c r="AT100" s="127"/>
      <c r="AU100" s="127"/>
      <c r="AV100" s="127"/>
      <c r="AW100" s="127"/>
      <c r="AX100" s="127"/>
      <c r="AY100" s="127"/>
      <c r="AZ100" s="127"/>
      <c r="BA100" s="127"/>
      <c r="BB100" s="127"/>
      <c r="BC100" s="127"/>
      <c r="BD100" s="127"/>
      <c r="BE100" s="127"/>
      <c r="BF100" s="127"/>
      <c r="BG100" s="127"/>
      <c r="BH100" s="127"/>
      <c r="BI100" s="127"/>
      <c r="BJ100" s="127"/>
      <c r="BK100" s="127"/>
      <c r="BL100" s="127"/>
      <c r="BM100" s="127"/>
      <c r="BN100" s="127"/>
      <c r="BO100" s="127"/>
      <c r="BP100" s="127"/>
      <c r="BQ100" s="127"/>
      <c r="BR100" s="127"/>
    </row>
    <row r="101" ht="14.25" customHeight="1" outlineLevel="1">
      <c r="A101" s="195"/>
      <c r="B101" s="201"/>
      <c r="C101" s="246"/>
      <c r="D101" s="201"/>
      <c r="E101" s="273" t="s">
        <v>748</v>
      </c>
      <c r="F101" s="249" t="s">
        <v>135</v>
      </c>
      <c r="G101" s="249" t="s">
        <v>749</v>
      </c>
      <c r="H101" s="274">
        <f>k*cselelvl*teqlvl*k*men*lumreslvl/100/T</f>
        <v>0</v>
      </c>
      <c r="I101" s="274">
        <f>k*cselelvl*teqlvl*k*men*lumreslvl/100/T</f>
        <v>0</v>
      </c>
      <c r="J101" s="274">
        <f>k*cselelvl*teqlvl*k*men*lumreslvl/100/T</f>
        <v>0</v>
      </c>
      <c r="K101" s="274">
        <f>k*cselelvl*teqlvl*k*men*lumreslvl/100/T</f>
        <v>0</v>
      </c>
      <c r="L101" s="274">
        <f>k*cselelvl*teqlvl*k*men*lumreslvl/100/T</f>
        <v>0</v>
      </c>
      <c r="M101" s="274">
        <f>k*cselelvl*teqlvl*k*men*lumreslvl/100/T</f>
        <v>0</v>
      </c>
      <c r="N101" s="274">
        <f>k*cselelvl*teqlvl*k*men*lumreslvl/100/T</f>
        <v>0</v>
      </c>
      <c r="O101" s="274">
        <f>k*cselelvl*teqlvl*k*men*lumreslvl/100/T</f>
        <v>0</v>
      </c>
      <c r="P101" s="274">
        <f>k*cselelvl*teqlvl*k*men*lumreslvl/100/T</f>
        <v>0</v>
      </c>
      <c r="Q101" s="274">
        <f>k*cselelvl*teqlvl*k*men*lumreslvl/100/T</f>
        <v>0</v>
      </c>
      <c r="R101" s="274">
        <f>k*cselelvl*teqlvl*k*men*lumreslvl/100/T</f>
        <v>0</v>
      </c>
      <c r="S101" s="274">
        <f>k*cselelvl*teqlvl*k*men*lumreslvl/100/T</f>
        <v>0</v>
      </c>
      <c r="T101" s="274">
        <f>k*cselelvl*teqlvl*k*men*lumreslvl/100/T</f>
        <v>0</v>
      </c>
      <c r="U101" s="274">
        <f>k*cselelvl*teqlvl*k*men*lumreslvl/100/T</f>
        <v>0</v>
      </c>
      <c r="V101" s="274">
        <f>k*cselelvl*teqlvl*k*men*lumreslvl/100/T</f>
        <v>0</v>
      </c>
      <c r="W101" s="274">
        <f>k*cselelvl*teqlvl*k*men*lumreslvl/100/T</f>
        <v>0.7780122988</v>
      </c>
      <c r="X101" s="274">
        <f>k*cselelvl*teqlvl*k*men*lumreslvl/100/T</f>
        <v>0</v>
      </c>
      <c r="Y101" s="274">
        <f>k*cselelvl*teqlvl*k*men*lumreslvl/100/T</f>
        <v>0</v>
      </c>
      <c r="Z101" s="274">
        <f>k*cselelvl*teqlvl*k*men*lumreslvl/100/T</f>
        <v>0</v>
      </c>
      <c r="AA101" s="274">
        <f>k*cselelvl*teqlvl*k*men*lumreslvl/100/T</f>
        <v>0</v>
      </c>
      <c r="AB101" s="274">
        <f>k*cselelvl*teqlvl*k*men*lumreslvl/100/T</f>
        <v>0</v>
      </c>
      <c r="AC101" s="274">
        <f>k*cselelvl*teqlvl*k*men*lumreslvl/100/T</f>
        <v>0</v>
      </c>
      <c r="AD101" s="274">
        <f>k*cselelvl*teqlvl*k*men*lumreslvl/100/T</f>
        <v>0</v>
      </c>
      <c r="AE101" s="274">
        <f>k*cselelvl*teqlvl*k*men*lumreslvl/100/T</f>
        <v>0</v>
      </c>
      <c r="AF101" s="274">
        <f>k*cselelvl*teqlvl*k*men*lumreslvl/100/T</f>
        <v>0</v>
      </c>
      <c r="AG101" s="274">
        <f>k*cselelvl*teqlvl*k*men*lumreslvl/100/T</f>
        <v>0</v>
      </c>
      <c r="AH101" s="274">
        <f>k*cselelvl*teqlvl*k*men*lumreslvl/100/T</f>
        <v>0</v>
      </c>
      <c r="AI101" s="125"/>
      <c r="AJ101" s="127"/>
      <c r="AK101" s="127"/>
      <c r="AL101" s="127"/>
      <c r="AM101" s="127"/>
      <c r="AN101" s="127"/>
      <c r="AO101" s="127"/>
      <c r="AP101" s="127"/>
      <c r="AQ101" s="127"/>
      <c r="AR101" s="127"/>
      <c r="AS101" s="127"/>
      <c r="AT101" s="127"/>
      <c r="AU101" s="127"/>
      <c r="AV101" s="127"/>
      <c r="AW101" s="127"/>
      <c r="AX101" s="127"/>
      <c r="AY101" s="127"/>
      <c r="AZ101" s="127"/>
      <c r="BA101" s="127"/>
      <c r="BB101" s="127"/>
      <c r="BC101" s="127"/>
      <c r="BD101" s="127"/>
      <c r="BE101" s="127"/>
      <c r="BF101" s="127"/>
      <c r="BG101" s="127"/>
      <c r="BH101" s="127"/>
      <c r="BI101" s="127"/>
      <c r="BJ101" s="127"/>
      <c r="BK101" s="127"/>
      <c r="BL101" s="127"/>
      <c r="BM101" s="127"/>
      <c r="BN101" s="127"/>
      <c r="BO101" s="127"/>
      <c r="BP101" s="127"/>
      <c r="BQ101" s="127"/>
      <c r="BR101" s="127"/>
    </row>
    <row r="102" ht="14.25" customHeight="1" outlineLevel="1">
      <c r="A102" s="195"/>
      <c r="B102" s="201"/>
      <c r="C102" s="246"/>
      <c r="D102" s="201"/>
      <c r="E102" s="273" t="s">
        <v>750</v>
      </c>
      <c r="F102" s="249" t="s">
        <v>135</v>
      </c>
      <c r="G102" s="249" t="s">
        <v>751</v>
      </c>
      <c r="H102" s="274">
        <f>k*cselelvv*teqlvv*k*men*lumreslvv/100/T</f>
        <v>0</v>
      </c>
      <c r="I102" s="274">
        <f>k*cselelvv*teqlvv*k*men*lumreslvv/100/T</f>
        <v>0</v>
      </c>
      <c r="J102" s="274">
        <f>k*cselelvv*teqlvv*k*men*lumreslvv/100/T</f>
        <v>0</v>
      </c>
      <c r="K102" s="274">
        <f>k*cselelvv*teqlvv*k*men*lumreslvv/100/T</f>
        <v>0</v>
      </c>
      <c r="L102" s="274">
        <f>k*cselelvv*teqlvv*k*men*lumreslvv/100/T</f>
        <v>0</v>
      </c>
      <c r="M102" s="274">
        <f>k*cselelvv*teqlvv*k*men*lumreslvv/100/T</f>
        <v>0</v>
      </c>
      <c r="N102" s="274">
        <f>k*cselelvv*teqlvv*k*men*lumreslvv/100/T</f>
        <v>0</v>
      </c>
      <c r="O102" s="274">
        <f>k*cselelvv*teqlvv*k*men*lumreslvv/100/T</f>
        <v>0</v>
      </c>
      <c r="P102" s="274">
        <f>k*cselelvv*teqlvv*k*men*lumreslvv/100/T</f>
        <v>0</v>
      </c>
      <c r="Q102" s="274">
        <f>k*cselelvv*teqlvv*k*men*lumreslvv/100/T</f>
        <v>0</v>
      </c>
      <c r="R102" s="274">
        <f>k*cselelvv*teqlvv*k*men*lumreslvv/100/T</f>
        <v>0</v>
      </c>
      <c r="S102" s="274">
        <f>k*cselelvv*teqlvv*k*men*lumreslvv/100/T</f>
        <v>0</v>
      </c>
      <c r="T102" s="274">
        <f>k*cselelvv*teqlvv*k*men*lumreslvv/100/T</f>
        <v>0</v>
      </c>
      <c r="U102" s="274">
        <f>k*cselelvv*teqlvv*k*men*lumreslvv/100/T</f>
        <v>0</v>
      </c>
      <c r="V102" s="274">
        <f>k*cselelvv*teqlvv*k*men*lumreslvv/100/T</f>
        <v>0</v>
      </c>
      <c r="W102" s="274">
        <f>k*cselelvv*teqlvv*k*men*lumreslvv/100/T</f>
        <v>0.7507267428</v>
      </c>
      <c r="X102" s="274">
        <f>k*cselelvv*teqlvv*k*men*lumreslvv/100/T</f>
        <v>0</v>
      </c>
      <c r="Y102" s="274">
        <f>k*cselelvv*teqlvv*k*men*lumreslvv/100/T</f>
        <v>0</v>
      </c>
      <c r="Z102" s="274">
        <f>k*cselelvv*teqlvv*k*men*lumreslvv/100/T</f>
        <v>0</v>
      </c>
      <c r="AA102" s="274">
        <f>k*cselelvv*teqlvv*k*men*lumreslvv/100/T</f>
        <v>0</v>
      </c>
      <c r="AB102" s="274">
        <f>k*cselelvv*teqlvv*k*men*lumreslvv/100/T</f>
        <v>0</v>
      </c>
      <c r="AC102" s="274">
        <f>k*cselelvv*teqlvv*k*men*lumreslvv/100/T</f>
        <v>0</v>
      </c>
      <c r="AD102" s="274">
        <f>k*cselelvv*teqlvv*k*men*lumreslvv/100/T</f>
        <v>0</v>
      </c>
      <c r="AE102" s="274">
        <f>k*cselelvv*teqlvv*k*men*lumreslvv/100/T</f>
        <v>0</v>
      </c>
      <c r="AF102" s="274">
        <f>k*cselelvv*teqlvv*k*men*lumreslvv/100/T</f>
        <v>0</v>
      </c>
      <c r="AG102" s="274">
        <f>k*cselelvv*teqlvv*k*men*lumreslvv/100/T</f>
        <v>0</v>
      </c>
      <c r="AH102" s="274">
        <f>k*cselelvv*teqlvv*k*men*lumreslvv/100/T</f>
        <v>0</v>
      </c>
      <c r="AI102" s="125"/>
      <c r="AJ102" s="127"/>
      <c r="AK102" s="127"/>
      <c r="AL102" s="127"/>
      <c r="AM102" s="127"/>
      <c r="AN102" s="127"/>
      <c r="AO102" s="127"/>
      <c r="AP102" s="127"/>
      <c r="AQ102" s="127"/>
      <c r="AR102" s="127"/>
      <c r="AS102" s="127"/>
      <c r="AT102" s="127"/>
      <c r="AU102" s="127"/>
      <c r="AV102" s="127"/>
      <c r="AW102" s="127"/>
      <c r="AX102" s="127"/>
      <c r="AY102" s="127"/>
      <c r="AZ102" s="127"/>
      <c r="BA102" s="127"/>
      <c r="BB102" s="127"/>
      <c r="BC102" s="127"/>
      <c r="BD102" s="127"/>
      <c r="BE102" s="127"/>
      <c r="BF102" s="127"/>
      <c r="BG102" s="127"/>
      <c r="BH102" s="127"/>
      <c r="BI102" s="127"/>
      <c r="BJ102" s="127"/>
      <c r="BK102" s="127"/>
      <c r="BL102" s="127"/>
      <c r="BM102" s="127"/>
      <c r="BN102" s="127"/>
      <c r="BO102" s="127"/>
      <c r="BP102" s="127"/>
      <c r="BQ102" s="127"/>
      <c r="BR102" s="127"/>
    </row>
    <row r="103" ht="14.25" customHeight="1" outlineLevel="1">
      <c r="A103" s="195"/>
      <c r="B103" s="201"/>
      <c r="C103" s="246"/>
      <c r="D103" s="201"/>
      <c r="E103" s="273" t="s">
        <v>752</v>
      </c>
      <c r="F103" s="249" t="s">
        <v>135</v>
      </c>
      <c r="G103" s="249" t="s">
        <v>753</v>
      </c>
      <c r="H103" s="274">
        <f>k*cselescl*teqscl*k*men*lumresscl/100/T</f>
        <v>0</v>
      </c>
      <c r="I103" s="274">
        <f>k*cselescl*teqscl*k*men*lumresscl/100/T</f>
        <v>0</v>
      </c>
      <c r="J103" s="274">
        <f>k*cselescl*teqscl*k*men*lumresscl/100/T</f>
        <v>0</v>
      </c>
      <c r="K103" s="274">
        <f>k*cselescl*teqscl*k*men*lumresscl/100/T</f>
        <v>0</v>
      </c>
      <c r="L103" s="274">
        <f>k*cselescl*teqscl*k*men*lumresscl/100/T</f>
        <v>0</v>
      </c>
      <c r="M103" s="274">
        <f>k*cselescl*teqscl*k*men*lumresscl/100/T</f>
        <v>0</v>
      </c>
      <c r="N103" s="274">
        <f>k*cselescl*teqscl*k*men*lumresscl/100/T</f>
        <v>0</v>
      </c>
      <c r="O103" s="274">
        <f>k*cselescl*teqscl*k*men*lumresscl/100/T</f>
        <v>0</v>
      </c>
      <c r="P103" s="274">
        <f>k*cselescl*teqscl*k*men*lumresscl/100/T</f>
        <v>0</v>
      </c>
      <c r="Q103" s="274">
        <f>k*cselescl*teqscl*k*men*lumresscl/100/T</f>
        <v>0</v>
      </c>
      <c r="R103" s="274">
        <f>k*cselescl*teqscl*k*men*lumresscl/100/T</f>
        <v>0</v>
      </c>
      <c r="S103" s="274">
        <f>k*cselescl*teqscl*k*men*lumresscl/100/T</f>
        <v>0</v>
      </c>
      <c r="T103" s="274">
        <f>k*cselescl*teqscl*k*men*lumresscl/100/T</f>
        <v>0</v>
      </c>
      <c r="U103" s="274">
        <f>k*cselescl*teqscl*k*men*lumresscl/100/T</f>
        <v>0</v>
      </c>
      <c r="V103" s="274">
        <f>k*cselescl*teqscl*k*men*lumresscl/100/T</f>
        <v>0</v>
      </c>
      <c r="W103" s="274">
        <f>k*cselescl*teqscl*k*men*lumresscl/100/T</f>
        <v>1.07697489</v>
      </c>
      <c r="X103" s="274">
        <f>k*cselescl*teqscl*k*men*lumresscl/100/T</f>
        <v>0</v>
      </c>
      <c r="Y103" s="274">
        <f>k*cselescl*teqscl*k*men*lumresscl/100/T</f>
        <v>0</v>
      </c>
      <c r="Z103" s="274">
        <f>k*cselescl*teqscl*k*men*lumresscl/100/T</f>
        <v>0</v>
      </c>
      <c r="AA103" s="274">
        <f>k*cselescl*teqscl*k*men*lumresscl/100/T</f>
        <v>0</v>
      </c>
      <c r="AB103" s="274">
        <f>k*cselescl*teqscl*k*men*lumresscl/100/T</f>
        <v>0</v>
      </c>
      <c r="AC103" s="274">
        <f>k*cselescl*teqscl*k*men*lumresscl/100/T</f>
        <v>0</v>
      </c>
      <c r="AD103" s="274">
        <f>k*cselescl*teqscl*k*men*lumresscl/100/T</f>
        <v>0</v>
      </c>
      <c r="AE103" s="274">
        <f>k*cselescl*teqscl*k*men*lumresscl/100/T</f>
        <v>0</v>
      </c>
      <c r="AF103" s="274">
        <f>k*cselescl*teqscl*k*men*lumresscl/100/T</f>
        <v>0</v>
      </c>
      <c r="AG103" s="274">
        <f>k*cselescl*teqscl*k*men*lumresscl/100/T</f>
        <v>0</v>
      </c>
      <c r="AH103" s="274">
        <f>k*cselescl*teqscl*k*men*lumresscl/100/T</f>
        <v>0</v>
      </c>
      <c r="AI103" s="125"/>
      <c r="AJ103" s="127"/>
      <c r="AK103" s="127"/>
      <c r="AL103" s="127"/>
      <c r="AM103" s="127"/>
      <c r="AN103" s="127"/>
      <c r="AO103" s="127"/>
      <c r="AP103" s="127"/>
      <c r="AQ103" s="127"/>
      <c r="AR103" s="127"/>
      <c r="AS103" s="127"/>
      <c r="AT103" s="127"/>
      <c r="AU103" s="127"/>
      <c r="AV103" s="127"/>
      <c r="AW103" s="127"/>
      <c r="AX103" s="127"/>
      <c r="AY103" s="127"/>
      <c r="AZ103" s="127"/>
      <c r="BA103" s="127"/>
      <c r="BB103" s="127"/>
      <c r="BC103" s="127"/>
      <c r="BD103" s="127"/>
      <c r="BE103" s="127"/>
      <c r="BF103" s="127"/>
      <c r="BG103" s="127"/>
      <c r="BH103" s="127"/>
      <c r="BI103" s="127"/>
      <c r="BJ103" s="127"/>
      <c r="BK103" s="127"/>
      <c r="BL103" s="127"/>
      <c r="BM103" s="127"/>
      <c r="BN103" s="127"/>
      <c r="BO103" s="127"/>
      <c r="BP103" s="127"/>
      <c r="BQ103" s="127"/>
      <c r="BR103" s="127"/>
    </row>
    <row r="104" ht="14.25" customHeight="1" outlineLevel="1">
      <c r="A104" s="195"/>
      <c r="B104" s="201"/>
      <c r="C104" s="246"/>
      <c r="D104" s="201"/>
      <c r="E104" s="273" t="s">
        <v>754</v>
      </c>
      <c r="F104" s="249" t="s">
        <v>135</v>
      </c>
      <c r="G104" s="249" t="s">
        <v>755</v>
      </c>
      <c r="H104" s="274">
        <f>k*cseletvs*teqtvsmult*k*men*dumrestvs/100/T</f>
        <v>0</v>
      </c>
      <c r="I104" s="274">
        <f>k*cseletvs*teqtvsmult*k*men*dumrestvs/100/T</f>
        <v>0</v>
      </c>
      <c r="J104" s="274">
        <f>k*cseletvs*teqtvsmult*k*men*dumrestvs/100/T</f>
        <v>0</v>
      </c>
      <c r="K104" s="274">
        <f>k*cseletvs*teqtvsmult*k*men*dumrestvs/100/T</f>
        <v>0</v>
      </c>
      <c r="L104" s="274">
        <f>k*cseletvs*teqtvsmult*k*men*dumrestvs/100/T</f>
        <v>0</v>
      </c>
      <c r="M104" s="274">
        <f>k*cseletvs*teqtvsmult*k*men*dumrestvs/100/T</f>
        <v>0</v>
      </c>
      <c r="N104" s="274">
        <f>k*cseletvs*teqtvsmult*k*men*dumrestvs/100/T</f>
        <v>0</v>
      </c>
      <c r="O104" s="274">
        <f>k*cseletvs*teqtvsmult*k*men*dumrestvs/100/T</f>
        <v>0</v>
      </c>
      <c r="P104" s="274">
        <f>k*cseletvs*teqtvsmult*k*men*dumrestvs/100/T</f>
        <v>0</v>
      </c>
      <c r="Q104" s="274">
        <f>k*cseletvs*teqtvsmult*k*men*dumrestvs/100/T</f>
        <v>0</v>
      </c>
      <c r="R104" s="274">
        <f>k*cseletvs*teqtvsmult*k*men*dumrestvs/100/T</f>
        <v>0</v>
      </c>
      <c r="S104" s="274">
        <f>k*cseletvs*teqtvsmult*k*men*dumrestvs/100/T</f>
        <v>0</v>
      </c>
      <c r="T104" s="274">
        <f>k*cseletvs*teqtvsmult*k*men*dumrestvs/100/T</f>
        <v>0</v>
      </c>
      <c r="U104" s="274">
        <f>k*cseletvs*teqtvsmult*k*men*dumrestvs/100/T</f>
        <v>0</v>
      </c>
      <c r="V104" s="274">
        <f>k*cseletvs*teqtvsmult*k*men*dumrestvs/100/T</f>
        <v>0</v>
      </c>
      <c r="W104" s="274">
        <f>k*cseletvs*teqtvsmult*k*men*dumrestvs/100/T</f>
        <v>1.931245349</v>
      </c>
      <c r="X104" s="274">
        <f>k*cseletvs*teqtvsmult*k*men*dumrestvs/100/T</f>
        <v>0</v>
      </c>
      <c r="Y104" s="274">
        <f>k*cseletvs*teqtvsmult*k*men*dumrestvs/100/T</f>
        <v>0</v>
      </c>
      <c r="Z104" s="274">
        <f>k*cseletvs*teqtvsmult*k*men*dumrestvs/100/T</f>
        <v>0</v>
      </c>
      <c r="AA104" s="274">
        <f>k*cseletvs*teqtvsmult*k*men*dumrestvs/100/T</f>
        <v>0</v>
      </c>
      <c r="AB104" s="274">
        <f>k*cseletvs*teqtvsmult*k*men*dumrestvs/100/T</f>
        <v>0</v>
      </c>
      <c r="AC104" s="274">
        <f>k*cseletvs*teqtvsmult*k*men*dumrestvs/100/T</f>
        <v>0</v>
      </c>
      <c r="AD104" s="274">
        <f>k*cseletvs*teqtvsmult*k*men*dumrestvs/100/T</f>
        <v>0</v>
      </c>
      <c r="AE104" s="274">
        <f>k*cseletvs*teqtvsmult*k*men*dumrestvs/100/T</f>
        <v>0</v>
      </c>
      <c r="AF104" s="274">
        <f>k*cseletvs*teqtvsmult*k*men*dumrestvs/100/T</f>
        <v>0</v>
      </c>
      <c r="AG104" s="274">
        <f>k*cseletvs*teqtvsmult*k*men*dumrestvs/100/T</f>
        <v>0</v>
      </c>
      <c r="AH104" s="274">
        <f>k*cseletvs*teqtvsmult*k*men*dumrestvs/100/T</f>
        <v>0</v>
      </c>
      <c r="AI104" s="125"/>
      <c r="AJ104" s="127"/>
      <c r="AK104" s="127"/>
      <c r="AL104" s="127"/>
      <c r="AM104" s="127"/>
      <c r="AN104" s="127"/>
      <c r="AO104" s="127"/>
      <c r="AP104" s="127"/>
      <c r="AQ104" s="127"/>
      <c r="AR104" s="127"/>
      <c r="AS104" s="127"/>
      <c r="AT104" s="127"/>
      <c r="AU104" s="127"/>
      <c r="AV104" s="127"/>
      <c r="AW104" s="127"/>
      <c r="AX104" s="127"/>
      <c r="AY104" s="127"/>
      <c r="AZ104" s="127"/>
      <c r="BA104" s="127"/>
      <c r="BB104" s="127"/>
      <c r="BC104" s="127"/>
      <c r="BD104" s="127"/>
      <c r="BE104" s="127"/>
      <c r="BF104" s="127"/>
      <c r="BG104" s="127"/>
      <c r="BH104" s="127"/>
      <c r="BI104" s="127"/>
      <c r="BJ104" s="127"/>
      <c r="BK104" s="127"/>
      <c r="BL104" s="127"/>
      <c r="BM104" s="127"/>
      <c r="BN104" s="127"/>
      <c r="BO104" s="127"/>
      <c r="BP104" s="127"/>
      <c r="BQ104" s="127"/>
      <c r="BR104" s="127"/>
    </row>
    <row r="105" ht="14.25" customHeight="1" outlineLevel="1">
      <c r="A105" s="195"/>
      <c r="B105" s="201"/>
      <c r="C105" s="201"/>
      <c r="D105" s="201"/>
      <c r="E105" s="273" t="s">
        <v>756</v>
      </c>
      <c r="F105" s="249" t="s">
        <v>135</v>
      </c>
      <c r="G105" s="249" t="s">
        <v>580</v>
      </c>
      <c r="H105" s="274" t="str">
        <f>IF(crdlar="Dis",SUM(H99:H104),elecfreslar)</f>
        <v/>
      </c>
      <c r="I105" s="274" t="str">
        <f>IF(crdlar="Dis",SUM(I99:I104),elecfreslar)</f>
        <v/>
      </c>
      <c r="J105" s="274" t="str">
        <f>IF(crdlar="Dis",SUM(J99:J104),elecfreslar)</f>
        <v/>
      </c>
      <c r="K105" s="274" t="str">
        <f>IF(crdlar="Dis",SUM(K99:K104),elecfreslar)</f>
        <v/>
      </c>
      <c r="L105" s="274" t="str">
        <f>IF(crdlar="Dis",SUM(L99:L104),elecfreslar)</f>
        <v/>
      </c>
      <c r="M105" s="274" t="str">
        <f>IF(crdlar="Dis",SUM(M99:M104),elecfreslar)</f>
        <v/>
      </c>
      <c r="N105" s="274" t="str">
        <f>IF(crdlar="Dis",SUM(N99:N104),elecfreslar)</f>
        <v/>
      </c>
      <c r="O105" s="274" t="str">
        <f>IF(crdlar="Dis",SUM(O99:O104),elecfreslar)</f>
        <v/>
      </c>
      <c r="P105" s="274" t="str">
        <f>IF(crdlar="Dis",SUM(P99:P104),elecfreslar)</f>
        <v/>
      </c>
      <c r="Q105" s="274" t="str">
        <f>IF(crdlar="Dis",SUM(Q99:Q104),elecfreslar)</f>
        <v/>
      </c>
      <c r="R105" s="274">
        <f>IF(crdlar="Dis",SUM(R99:R104),elecfreslar)</f>
        <v>1.635849046</v>
      </c>
      <c r="S105" s="274">
        <f>IF(crdlar="Dis",SUM(S99:S104),elecfreslar)</f>
        <v>1.575502103</v>
      </c>
      <c r="T105" s="274">
        <f>IF(crdlar="Dis",SUM(T99:T104),elecfreslar)</f>
        <v>1.506415551</v>
      </c>
      <c r="U105" s="274">
        <f>IF(crdlar="Dis",SUM(U99:U104),elecfreslar)</f>
        <v>1.459561735</v>
      </c>
      <c r="V105" s="274">
        <f>IF(crdlar="Dis",SUM(V99:V104),elecfreslar)</f>
        <v>1.434891046</v>
      </c>
      <c r="W105" s="274">
        <f>IF(crdlar="Dis",SUM(W99:W104),elecfreslar)</f>
        <v>5.970207543</v>
      </c>
      <c r="X105" s="274" t="str">
        <f>IF(crdlar="Dis",SUM(X99:X104),elecfreslar)</f>
        <v/>
      </c>
      <c r="Y105" s="274" t="str">
        <f>IF(crdlar="Dis",SUM(Y99:Y104),elecfreslar)</f>
        <v/>
      </c>
      <c r="Z105" s="274" t="str">
        <f>IF(crdlar="Dis",SUM(Z99:Z104),elecfreslar)</f>
        <v/>
      </c>
      <c r="AA105" s="274" t="str">
        <f>IF(crdlar="Dis",SUM(AA99:AA104),elecfreslar)</f>
        <v/>
      </c>
      <c r="AB105" s="274" t="str">
        <f>IF(crdlar="Dis",SUM(AB99:AB104),elecfreslar)</f>
        <v/>
      </c>
      <c r="AC105" s="274" t="str">
        <f>IF(crdlar="Dis",SUM(AC99:AC104),elecfreslar)</f>
        <v/>
      </c>
      <c r="AD105" s="274" t="str">
        <f>IF(crdlar="Dis",SUM(AD99:AD104),elecfreslar)</f>
        <v/>
      </c>
      <c r="AE105" s="274" t="str">
        <f>IF(crdlar="Dis",SUM(AE99:AE104),elecfreslar)</f>
        <v/>
      </c>
      <c r="AF105" s="274" t="str">
        <f>IF(crdlar="Dis",SUM(AF99:AF104),elecfreslar)</f>
        <v/>
      </c>
      <c r="AG105" s="274" t="str">
        <f>IF(crdlar="Dis",SUM(AG99:AG104),elecfreslar)</f>
        <v/>
      </c>
      <c r="AH105" s="274" t="str">
        <f>IF(crdlar="Dis",SUM(AH99:AH104),elecfreslar)</f>
        <v/>
      </c>
      <c r="AI105" s="125"/>
      <c r="AJ105" s="127"/>
      <c r="AK105" s="127"/>
      <c r="AL105" s="127"/>
      <c r="AM105" s="127"/>
      <c r="AN105" s="127"/>
      <c r="AO105" s="127"/>
      <c r="AP105" s="127"/>
      <c r="AQ105" s="127"/>
      <c r="AR105" s="127"/>
      <c r="AS105" s="127"/>
      <c r="AT105" s="127"/>
      <c r="AU105" s="127"/>
      <c r="AV105" s="127"/>
      <c r="AW105" s="127"/>
      <c r="AX105" s="127"/>
      <c r="AY105" s="127"/>
      <c r="AZ105" s="127"/>
      <c r="BA105" s="127"/>
      <c r="BB105" s="127"/>
      <c r="BC105" s="127"/>
      <c r="BD105" s="127"/>
      <c r="BE105" s="127"/>
      <c r="BF105" s="127"/>
      <c r="BG105" s="127"/>
      <c r="BH105" s="127"/>
      <c r="BI105" s="127"/>
      <c r="BJ105" s="127"/>
      <c r="BK105" s="127"/>
      <c r="BL105" s="127"/>
      <c r="BM105" s="127"/>
      <c r="BN105" s="127"/>
      <c r="BO105" s="127"/>
      <c r="BP105" s="127"/>
      <c r="BQ105" s="127"/>
      <c r="BR105" s="127"/>
    </row>
    <row r="106" ht="13.5" customHeight="1" outlineLevel="1">
      <c r="A106" s="195"/>
      <c r="B106" s="201"/>
      <c r="C106" s="246"/>
      <c r="D106" s="201"/>
      <c r="E106" s="316" t="s">
        <v>757</v>
      </c>
      <c r="F106" s="316"/>
      <c r="G106" s="316" t="s">
        <v>758</v>
      </c>
      <c r="H106" s="317" t="str">
        <f>IF(OR(ISBLANK(cseleite),ISBLANK(cseleoea),ISBLANK(teqtvsmult),ISBLANK(teqite),ISBLANK(teqoea)),"NoDis","Dis")</f>
        <v>NoDis</v>
      </c>
      <c r="I106" s="317" t="str">
        <f>IF(OR(ISBLANK(cseleite),ISBLANK(cseleoea),ISBLANK(teqtvsmult),ISBLANK(teqite),ISBLANK(teqoea)),"NoDis","Dis")</f>
        <v>NoDis</v>
      </c>
      <c r="J106" s="317" t="str">
        <f>IF(OR(ISBLANK(cseleite),ISBLANK(cseleoea),ISBLANK(teqtvsmult),ISBLANK(teqite),ISBLANK(teqoea)),"NoDis","Dis")</f>
        <v>NoDis</v>
      </c>
      <c r="K106" s="317" t="str">
        <f>IF(OR(ISBLANK(cseleite),ISBLANK(cseleoea),ISBLANK(teqtvsmult),ISBLANK(teqite),ISBLANK(teqoea)),"NoDis","Dis")</f>
        <v>NoDis</v>
      </c>
      <c r="L106" s="317" t="str">
        <f>IF(OR(ISBLANK(cseleite),ISBLANK(cseleoea),ISBLANK(teqtvsmult),ISBLANK(teqite),ISBLANK(teqoea)),"NoDis","Dis")</f>
        <v>NoDis</v>
      </c>
      <c r="M106" s="317" t="str">
        <f>IF(OR(ISBLANK(cseleite),ISBLANK(cseleoea),ISBLANK(teqtvsmult),ISBLANK(teqite),ISBLANK(teqoea)),"NoDis","Dis")</f>
        <v>NoDis</v>
      </c>
      <c r="N106" s="317" t="str">
        <f>IF(OR(ISBLANK(cseleite),ISBLANK(cseleoea),ISBLANK(teqtvsmult),ISBLANK(teqite),ISBLANK(teqoea)),"NoDis","Dis")</f>
        <v>NoDis</v>
      </c>
      <c r="O106" s="317" t="str">
        <f>IF(OR(ISBLANK(cseleite),ISBLANK(cseleoea),ISBLANK(teqtvsmult),ISBLANK(teqite),ISBLANK(teqoea)),"NoDis","Dis")</f>
        <v>NoDis</v>
      </c>
      <c r="P106" s="317" t="str">
        <f>IF(OR(ISBLANK(cseleite),ISBLANK(cseleoea),ISBLANK(teqtvsmult),ISBLANK(teqite),ISBLANK(teqoea)),"NoDis","Dis")</f>
        <v>NoDis</v>
      </c>
      <c r="Q106" s="317" t="str">
        <f>IF(OR(ISBLANK(cseleite),ISBLANK(cseleoea),ISBLANK(teqtvsmult),ISBLANK(teqite),ISBLANK(teqoea)),"NoDis","Dis")</f>
        <v>NoDis</v>
      </c>
      <c r="R106" s="317" t="str">
        <f>IF(OR(ISBLANK(cseleite),ISBLANK(cseleoea),ISBLANK(teqtvsmult),ISBLANK(teqite),ISBLANK(teqoea)),"NoDis","Dis")</f>
        <v>NoDis</v>
      </c>
      <c r="S106" s="317" t="str">
        <f>IF(OR(ISBLANK(cseleite),ISBLANK(cseleoea),ISBLANK(teqtvsmult),ISBLANK(teqite),ISBLANK(teqoea)),"NoDis","Dis")</f>
        <v>NoDis</v>
      </c>
      <c r="T106" s="317" t="str">
        <f>IF(OR(ISBLANK(cseleite),ISBLANK(cseleoea),ISBLANK(teqtvsmult),ISBLANK(teqite),ISBLANK(teqoea)),"NoDis","Dis")</f>
        <v>NoDis</v>
      </c>
      <c r="U106" s="317" t="str">
        <f>IF(OR(ISBLANK(cseleite),ISBLANK(cseleoea),ISBLANK(teqtvsmult),ISBLANK(teqite),ISBLANK(teqoea)),"NoDis","Dis")</f>
        <v>NoDis</v>
      </c>
      <c r="V106" s="317" t="str">
        <f>IF(OR(ISBLANK(cseleite),ISBLANK(cseleoea),ISBLANK(teqtvsmult),ISBLANK(teqite),ISBLANK(teqoea)),"NoDis","Dis")</f>
        <v>NoDis</v>
      </c>
      <c r="W106" s="317" t="str">
        <f>IF(OR(ISBLANK(cseleite),ISBLANK(cseleoea),ISBLANK(teqtvsmult),ISBLANK(teqite),ISBLANK(teqoea)),"NoDis","Dis")</f>
        <v>NoDis</v>
      </c>
      <c r="X106" s="317" t="str">
        <f>IF(OR(ISBLANK(cseleite),ISBLANK(cseleoea),ISBLANK(teqtvsmult),ISBLANK(teqite),ISBLANK(teqoea)),"NoDis","Dis")</f>
        <v>NoDis</v>
      </c>
      <c r="Y106" s="317" t="str">
        <f>IF(OR(ISBLANK(cseleite),ISBLANK(cseleoea),ISBLANK(teqtvsmult),ISBLANK(teqite),ISBLANK(teqoea)),"NoDis","Dis")</f>
        <v>NoDis</v>
      </c>
      <c r="Z106" s="317" t="str">
        <f>IF(OR(ISBLANK(cseleite),ISBLANK(cseleoea),ISBLANK(teqtvsmult),ISBLANK(teqite),ISBLANK(teqoea)),"NoDis","Dis")</f>
        <v>NoDis</v>
      </c>
      <c r="AA106" s="317" t="str">
        <f>IF(OR(ISBLANK(cseleite),ISBLANK(cseleoea),ISBLANK(teqtvsmult),ISBLANK(teqite),ISBLANK(teqoea)),"NoDis","Dis")</f>
        <v>NoDis</v>
      </c>
      <c r="AB106" s="317" t="str">
        <f>IF(OR(ISBLANK(cseleite),ISBLANK(cseleoea),ISBLANK(teqtvsmult),ISBLANK(teqite),ISBLANK(teqoea)),"NoDis","Dis")</f>
        <v>NoDis</v>
      </c>
      <c r="AC106" s="317" t="str">
        <f>IF(OR(ISBLANK(cseleite),ISBLANK(cseleoea),ISBLANK(teqtvsmult),ISBLANK(teqite),ISBLANK(teqoea)),"NoDis","Dis")</f>
        <v>NoDis</v>
      </c>
      <c r="AD106" s="317" t="str">
        <f>IF(OR(ISBLANK(cseleite),ISBLANK(cseleoea),ISBLANK(teqtvsmult),ISBLANK(teqite),ISBLANK(teqoea)),"NoDis","Dis")</f>
        <v>NoDis</v>
      </c>
      <c r="AE106" s="317" t="str">
        <f>IF(OR(ISBLANK(cseleite),ISBLANK(cseleoea),ISBLANK(teqtvsmult),ISBLANK(teqite),ISBLANK(teqoea)),"NoDis","Dis")</f>
        <v>NoDis</v>
      </c>
      <c r="AF106" s="317" t="str">
        <f>IF(OR(ISBLANK(cseleite),ISBLANK(cseleoea),ISBLANK(teqtvsmult),ISBLANK(teqite),ISBLANK(teqoea)),"NoDis","Dis")</f>
        <v>NoDis</v>
      </c>
      <c r="AG106" s="317" t="str">
        <f>IF(OR(ISBLANK(cseleite),ISBLANK(cseleoea),ISBLANK(teqtvsmult),ISBLANK(teqite),ISBLANK(teqoea)),"NoDis","Dis")</f>
        <v>NoDis</v>
      </c>
      <c r="AH106" s="317" t="str">
        <f>IF(OR(ISBLANK(cseleite),ISBLANK(cseleoea),ISBLANK(teqtvsmult),ISBLANK(teqite),ISBLANK(teqoea)),"NoDis","Dis")</f>
        <v>NoDis</v>
      </c>
      <c r="AI106" s="125"/>
      <c r="AJ106" s="127"/>
      <c r="AK106" s="127"/>
      <c r="AL106" s="127"/>
      <c r="AM106" s="127"/>
      <c r="AN106" s="127"/>
      <c r="AO106" s="127"/>
      <c r="AP106" s="127"/>
      <c r="AQ106" s="127"/>
      <c r="AR106" s="127"/>
      <c r="AS106" s="127"/>
      <c r="AT106" s="127"/>
      <c r="AU106" s="127"/>
      <c r="AV106" s="127"/>
      <c r="AW106" s="127"/>
      <c r="AX106" s="127"/>
      <c r="AY106" s="127"/>
      <c r="AZ106" s="127"/>
      <c r="BA106" s="127"/>
      <c r="BB106" s="127"/>
      <c r="BC106" s="127"/>
      <c r="BD106" s="127"/>
      <c r="BE106" s="127"/>
      <c r="BF106" s="127"/>
      <c r="BG106" s="127"/>
      <c r="BH106" s="127"/>
      <c r="BI106" s="127"/>
      <c r="BJ106" s="127"/>
      <c r="BK106" s="127"/>
      <c r="BL106" s="127"/>
      <c r="BM106" s="127"/>
      <c r="BN106" s="127"/>
      <c r="BO106" s="127"/>
      <c r="BP106" s="127"/>
      <c r="BQ106" s="127"/>
      <c r="BR106" s="127"/>
    </row>
    <row r="107" ht="13.5" customHeight="1" outlineLevel="1">
      <c r="A107" s="195"/>
      <c r="B107" s="201"/>
      <c r="C107" s="246"/>
      <c r="D107" s="201"/>
      <c r="E107" s="316" t="s">
        <v>759</v>
      </c>
      <c r="F107" s="333" t="str">
        <f>IFERROR(__xludf.DUMMYFUNCTION("ARRAY_CONSTRAIN(ARRAYFORMULA(IF(ISBLANK(SINGLE(dumresite)),""not filled in"",IF(SUMPRODUCT(dumresite*(Years=2015))=100,""RY = 100 &gt; OK"",""RY &lt;&gt; 100 &gt; WARNING""))), 1, 1)"),"RY = 100 &gt; OK")</f>
        <v>RY = 100 &gt; OK</v>
      </c>
      <c r="G107" s="334"/>
      <c r="H107" s="178"/>
      <c r="I107" s="178"/>
      <c r="J107" s="178"/>
      <c r="K107" s="178"/>
      <c r="L107" s="178"/>
      <c r="M107" s="178"/>
      <c r="N107" s="178"/>
      <c r="O107" s="178"/>
      <c r="P107" s="178"/>
      <c r="Q107" s="178"/>
      <c r="R107" s="178"/>
      <c r="S107" s="178"/>
      <c r="T107" s="178"/>
      <c r="U107" s="178"/>
      <c r="V107" s="178"/>
      <c r="W107" s="178"/>
      <c r="X107" s="178"/>
      <c r="Y107" s="178"/>
      <c r="Z107" s="178"/>
      <c r="AA107" s="178"/>
      <c r="AB107" s="178"/>
      <c r="AC107" s="178"/>
      <c r="AD107" s="178"/>
      <c r="AE107" s="178"/>
      <c r="AF107" s="178"/>
      <c r="AG107" s="178"/>
      <c r="AH107" s="178"/>
      <c r="AI107" s="321" t="str">
        <f t="shared" ref="AI107:AI108" si="6">IF($F107="RY = 100 &gt; OK","The base year for the energy sufficiency assumptions is 2015.","Warning: the base year for the energy sufficiency assumptions is not 2015!")</f>
        <v>The base year for the energy sufficiency assumptions is 2015.</v>
      </c>
      <c r="AJ107" s="322"/>
      <c r="AK107" s="322"/>
      <c r="AL107" s="322"/>
      <c r="AM107" s="322"/>
      <c r="AN107" s="322"/>
      <c r="AO107" s="322"/>
      <c r="AP107" s="322"/>
      <c r="AQ107" s="322"/>
      <c r="AR107" s="322"/>
      <c r="AS107" s="322"/>
      <c r="AT107" s="322"/>
      <c r="AU107" s="322"/>
      <c r="AV107" s="322"/>
      <c r="AW107" s="322"/>
      <c r="AX107" s="322"/>
      <c r="AY107" s="322"/>
      <c r="AZ107" s="322"/>
      <c r="BA107" s="322"/>
      <c r="BB107" s="322"/>
      <c r="BC107" s="322"/>
      <c r="BD107" s="322"/>
      <c r="BE107" s="322"/>
      <c r="BF107" s="322"/>
      <c r="BG107" s="322"/>
      <c r="BH107" s="322"/>
      <c r="BI107" s="322"/>
      <c r="BJ107" s="322"/>
      <c r="BK107" s="322"/>
      <c r="BL107" s="322"/>
      <c r="BM107" s="322"/>
      <c r="BN107" s="322"/>
      <c r="BO107" s="322"/>
      <c r="BP107" s="322"/>
      <c r="BQ107" s="322"/>
      <c r="BR107" s="322"/>
    </row>
    <row r="108" ht="13.5" customHeight="1" outlineLevel="1">
      <c r="A108" s="195"/>
      <c r="B108" s="201"/>
      <c r="C108" s="246"/>
      <c r="D108" s="201"/>
      <c r="E108" s="316" t="s">
        <v>760</v>
      </c>
      <c r="F108" s="333" t="str">
        <f>IFERROR(__xludf.DUMMYFUNCTION("ARRAY_CONSTRAIN(ARRAYFORMULA(IF(ISBLANK(SINGLE(dumresoea)),""not filled in"",IF(SUMPRODUCT(dumresoea*(Years=2015))=100,""RY = 100 &gt; OK"",""RY &lt;&gt; 100 &gt; WARNING""))), 1, 1)"),"RY = 100 &gt; OK")</f>
        <v>RY = 100 &gt; OK</v>
      </c>
      <c r="G108" s="334"/>
      <c r="H108" s="178"/>
      <c r="I108" s="178"/>
      <c r="J108" s="178"/>
      <c r="K108" s="178"/>
      <c r="L108" s="178"/>
      <c r="M108" s="178"/>
      <c r="N108" s="178"/>
      <c r="O108" s="178"/>
      <c r="P108" s="178"/>
      <c r="Q108" s="178"/>
      <c r="R108" s="178"/>
      <c r="S108" s="178"/>
      <c r="T108" s="178"/>
      <c r="U108" s="178"/>
      <c r="V108" s="178"/>
      <c r="W108" s="178"/>
      <c r="X108" s="178"/>
      <c r="Y108" s="178"/>
      <c r="Z108" s="178"/>
      <c r="AA108" s="178"/>
      <c r="AB108" s="178"/>
      <c r="AC108" s="178"/>
      <c r="AD108" s="178"/>
      <c r="AE108" s="178"/>
      <c r="AF108" s="178"/>
      <c r="AG108" s="178"/>
      <c r="AH108" s="178"/>
      <c r="AI108" s="321" t="str">
        <f t="shared" si="6"/>
        <v>The base year for the energy sufficiency assumptions is 2015.</v>
      </c>
      <c r="AJ108" s="322"/>
      <c r="AK108" s="322"/>
      <c r="AL108" s="322"/>
      <c r="AM108" s="322"/>
      <c r="AN108" s="322"/>
      <c r="AO108" s="322"/>
      <c r="AP108" s="322"/>
      <c r="AQ108" s="322"/>
      <c r="AR108" s="322"/>
      <c r="AS108" s="322"/>
      <c r="AT108" s="322"/>
      <c r="AU108" s="322"/>
      <c r="AV108" s="322"/>
      <c r="AW108" s="322"/>
      <c r="AX108" s="322"/>
      <c r="AY108" s="322"/>
      <c r="AZ108" s="322"/>
      <c r="BA108" s="322"/>
      <c r="BB108" s="322"/>
      <c r="BC108" s="322"/>
      <c r="BD108" s="322"/>
      <c r="BE108" s="322"/>
      <c r="BF108" s="322"/>
      <c r="BG108" s="322"/>
      <c r="BH108" s="322"/>
      <c r="BI108" s="322"/>
      <c r="BJ108" s="322"/>
      <c r="BK108" s="322"/>
      <c r="BL108" s="322"/>
      <c r="BM108" s="322"/>
      <c r="BN108" s="322"/>
      <c r="BO108" s="322"/>
      <c r="BP108" s="322"/>
      <c r="BQ108" s="322"/>
      <c r="BR108" s="322"/>
    </row>
    <row r="109" ht="14.25" customHeight="1" outlineLevel="1">
      <c r="A109" s="195"/>
      <c r="B109" s="201"/>
      <c r="C109" s="246"/>
      <c r="D109" s="201"/>
      <c r="E109" s="273" t="s">
        <v>761</v>
      </c>
      <c r="F109" s="249" t="s">
        <v>135</v>
      </c>
      <c r="G109" s="249" t="s">
        <v>762</v>
      </c>
      <c r="H109" s="274">
        <f>k*cseleite*teqite*k*men*dumresite/100/T</f>
        <v>0</v>
      </c>
      <c r="I109" s="274">
        <f>k*cseleite*teqite*k*men*dumresite/100/T</f>
        <v>0</v>
      </c>
      <c r="J109" s="274">
        <f>k*cseleite*teqite*k*men*dumresite/100/T</f>
        <v>0</v>
      </c>
      <c r="K109" s="274">
        <f>k*cseleite*teqite*k*men*dumresite/100/T</f>
        <v>0</v>
      </c>
      <c r="L109" s="274">
        <f>k*cseleite*teqite*k*men*dumresite/100/T</f>
        <v>0</v>
      </c>
      <c r="M109" s="274">
        <f>k*cseleite*teqite*k*men*dumresite/100/T</f>
        <v>0</v>
      </c>
      <c r="N109" s="274">
        <f>k*cseleite*teqite*k*men*dumresite/100/T</f>
        <v>0</v>
      </c>
      <c r="O109" s="274">
        <f>k*cseleite*teqite*k*men*dumresite/100/T</f>
        <v>0</v>
      </c>
      <c r="P109" s="274">
        <f>k*cseleite*teqite*k*men*dumresite/100/T</f>
        <v>0</v>
      </c>
      <c r="Q109" s="274">
        <f>k*cseleite*teqite*k*men*dumresite/100/T</f>
        <v>0</v>
      </c>
      <c r="R109" s="274">
        <f>k*cseleite*teqite*k*men*dumresite/100/T</f>
        <v>0</v>
      </c>
      <c r="S109" s="274">
        <f>k*cseleite*teqite*k*men*dumresite/100/T</f>
        <v>0</v>
      </c>
      <c r="T109" s="274">
        <f>k*cseleite*teqite*k*men*dumresite/100/T</f>
        <v>0</v>
      </c>
      <c r="U109" s="274">
        <f>k*cseleite*teqite*k*men*dumresite/100/T</f>
        <v>0</v>
      </c>
      <c r="V109" s="274">
        <f>k*cseleite*teqite*k*men*dumresite/100/T</f>
        <v>0</v>
      </c>
      <c r="W109" s="274">
        <f>k*cseleite*teqite*k*men*dumresite/100/T</f>
        <v>0</v>
      </c>
      <c r="X109" s="274">
        <f>k*cseleite*teqite*k*men*dumresite/100/T</f>
        <v>0</v>
      </c>
      <c r="Y109" s="274">
        <f>k*cseleite*teqite*k*men*dumresite/100/T</f>
        <v>0</v>
      </c>
      <c r="Z109" s="274">
        <f>k*cseleite*teqite*k*men*dumresite/100/T</f>
        <v>0</v>
      </c>
      <c r="AA109" s="274">
        <f>k*cseleite*teqite*k*men*dumresite/100/T</f>
        <v>0</v>
      </c>
      <c r="AB109" s="274">
        <f>k*cseleite*teqite*k*men*dumresite/100/T</f>
        <v>0</v>
      </c>
      <c r="AC109" s="274">
        <f>k*cseleite*teqite*k*men*dumresite/100/T</f>
        <v>0</v>
      </c>
      <c r="AD109" s="274">
        <f>k*cseleite*teqite*k*men*dumresite/100/T</f>
        <v>0</v>
      </c>
      <c r="AE109" s="274">
        <f>k*cseleite*teqite*k*men*dumresite/100/T</f>
        <v>0</v>
      </c>
      <c r="AF109" s="274">
        <f>k*cseleite*teqite*k*men*dumresite/100/T</f>
        <v>0</v>
      </c>
      <c r="AG109" s="274">
        <f>k*cseleite*teqite*k*men*dumresite/100/T</f>
        <v>0</v>
      </c>
      <c r="AH109" s="274">
        <f>k*cseleite*teqite*k*men*dumresite/100/T</f>
        <v>0</v>
      </c>
      <c r="AI109" s="125"/>
      <c r="AJ109" s="127"/>
      <c r="AK109" s="127"/>
      <c r="AL109" s="127"/>
      <c r="AM109" s="127"/>
      <c r="AN109" s="127"/>
      <c r="AO109" s="127"/>
      <c r="AP109" s="127"/>
      <c r="AQ109" s="127"/>
      <c r="AR109" s="127"/>
      <c r="AS109" s="127"/>
      <c r="AT109" s="127"/>
      <c r="AU109" s="127"/>
      <c r="AV109" s="127"/>
      <c r="AW109" s="127"/>
      <c r="AX109" s="127"/>
      <c r="AY109" s="127"/>
      <c r="AZ109" s="127"/>
      <c r="BA109" s="127"/>
      <c r="BB109" s="127"/>
      <c r="BC109" s="127"/>
      <c r="BD109" s="127"/>
      <c r="BE109" s="127"/>
      <c r="BF109" s="127"/>
      <c r="BG109" s="127"/>
      <c r="BH109" s="127"/>
      <c r="BI109" s="127"/>
      <c r="BJ109" s="127"/>
      <c r="BK109" s="127"/>
      <c r="BL109" s="127"/>
      <c r="BM109" s="127"/>
      <c r="BN109" s="127"/>
      <c r="BO109" s="127"/>
      <c r="BP109" s="127"/>
      <c r="BQ109" s="127"/>
      <c r="BR109" s="127"/>
    </row>
    <row r="110" ht="14.25" customHeight="1" outlineLevel="1">
      <c r="A110" s="195"/>
      <c r="B110" s="201"/>
      <c r="C110" s="246"/>
      <c r="D110" s="201"/>
      <c r="E110" s="273" t="s">
        <v>763</v>
      </c>
      <c r="F110" s="249" t="s">
        <v>135</v>
      </c>
      <c r="G110" s="249" t="s">
        <v>764</v>
      </c>
      <c r="H110" s="274">
        <f>k*cseleoea*teqoea*k*men*dumresoea/100/T</f>
        <v>0</v>
      </c>
      <c r="I110" s="274">
        <f>k*cseleoea*teqoea*k*men*dumresoea/100/T</f>
        <v>0</v>
      </c>
      <c r="J110" s="274">
        <f>k*cseleoea*teqoea*k*men*dumresoea/100/T</f>
        <v>0</v>
      </c>
      <c r="K110" s="274">
        <f>k*cseleoea*teqoea*k*men*dumresoea/100/T</f>
        <v>0</v>
      </c>
      <c r="L110" s="274">
        <f>k*cseleoea*teqoea*k*men*dumresoea/100/T</f>
        <v>0</v>
      </c>
      <c r="M110" s="274">
        <f>k*cseleoea*teqoea*k*men*dumresoea/100/T</f>
        <v>0</v>
      </c>
      <c r="N110" s="274">
        <f>k*cseleoea*teqoea*k*men*dumresoea/100/T</f>
        <v>0</v>
      </c>
      <c r="O110" s="274">
        <f>k*cseleoea*teqoea*k*men*dumresoea/100/T</f>
        <v>0</v>
      </c>
      <c r="P110" s="274">
        <f>k*cseleoea*teqoea*k*men*dumresoea/100/T</f>
        <v>0</v>
      </c>
      <c r="Q110" s="274">
        <f>k*cseleoea*teqoea*k*men*dumresoea/100/T</f>
        <v>0</v>
      </c>
      <c r="R110" s="274">
        <f>k*cseleoea*teqoea*k*men*dumresoea/100/T</f>
        <v>0</v>
      </c>
      <c r="S110" s="274">
        <f>k*cseleoea*teqoea*k*men*dumresoea/100/T</f>
        <v>0</v>
      </c>
      <c r="T110" s="274">
        <f>k*cseleoea*teqoea*k*men*dumresoea/100/T</f>
        <v>0</v>
      </c>
      <c r="U110" s="274">
        <f>k*cseleoea*teqoea*k*men*dumresoea/100/T</f>
        <v>0</v>
      </c>
      <c r="V110" s="274">
        <f>k*cseleoea*teqoea*k*men*dumresoea/100/T</f>
        <v>0</v>
      </c>
      <c r="W110" s="274">
        <f>k*cseleoea*teqoea*k*men*dumresoea/100/T</f>
        <v>0</v>
      </c>
      <c r="X110" s="274">
        <f>k*cseleoea*teqoea*k*men*dumresoea/100/T</f>
        <v>0</v>
      </c>
      <c r="Y110" s="274">
        <f>k*cseleoea*teqoea*k*men*dumresoea/100/T</f>
        <v>0</v>
      </c>
      <c r="Z110" s="274">
        <f>k*cseleoea*teqoea*k*men*dumresoea/100/T</f>
        <v>0</v>
      </c>
      <c r="AA110" s="274">
        <f>k*cseleoea*teqoea*k*men*dumresoea/100/T</f>
        <v>0</v>
      </c>
      <c r="AB110" s="274">
        <f>k*cseleoea*teqoea*k*men*dumresoea/100/T</f>
        <v>0</v>
      </c>
      <c r="AC110" s="274">
        <f>k*cseleoea*teqoea*k*men*dumresoea/100/T</f>
        <v>0</v>
      </c>
      <c r="AD110" s="274">
        <f>k*cseleoea*teqoea*k*men*dumresoea/100/T</f>
        <v>0</v>
      </c>
      <c r="AE110" s="274">
        <f>k*cseleoea*teqoea*k*men*dumresoea/100/T</f>
        <v>0</v>
      </c>
      <c r="AF110" s="274">
        <f>k*cseleoea*teqoea*k*men*dumresoea/100/T</f>
        <v>0</v>
      </c>
      <c r="AG110" s="274">
        <f>k*cseleoea*teqoea*k*men*dumresoea/100/T</f>
        <v>0</v>
      </c>
      <c r="AH110" s="274">
        <f>k*cseleoea*teqoea*k*men*dumresoea/100/T</f>
        <v>0</v>
      </c>
      <c r="AI110" s="125"/>
      <c r="AJ110" s="127"/>
      <c r="AK110" s="127"/>
      <c r="AL110" s="127"/>
      <c r="AM110" s="127"/>
      <c r="AN110" s="127"/>
      <c r="AO110" s="127"/>
      <c r="AP110" s="127"/>
      <c r="AQ110" s="127"/>
      <c r="AR110" s="127"/>
      <c r="AS110" s="127"/>
      <c r="AT110" s="127"/>
      <c r="AU110" s="127"/>
      <c r="AV110" s="127"/>
      <c r="AW110" s="127"/>
      <c r="AX110" s="127"/>
      <c r="AY110" s="127"/>
      <c r="AZ110" s="127"/>
      <c r="BA110" s="127"/>
      <c r="BB110" s="127"/>
      <c r="BC110" s="127"/>
      <c r="BD110" s="127"/>
      <c r="BE110" s="127"/>
      <c r="BF110" s="127"/>
      <c r="BG110" s="127"/>
      <c r="BH110" s="127"/>
      <c r="BI110" s="127"/>
      <c r="BJ110" s="127"/>
      <c r="BK110" s="127"/>
      <c r="BL110" s="127"/>
      <c r="BM110" s="127"/>
      <c r="BN110" s="127"/>
      <c r="BO110" s="127"/>
      <c r="BP110" s="127"/>
      <c r="BQ110" s="127"/>
      <c r="BR110" s="127"/>
    </row>
    <row r="111" ht="14.25" customHeight="1" outlineLevel="1">
      <c r="A111" s="195"/>
      <c r="B111" s="201"/>
      <c r="C111" s="201"/>
      <c r="D111" s="201"/>
      <c r="E111" s="273" t="s">
        <v>765</v>
      </c>
      <c r="F111" s="123" t="s">
        <v>135</v>
      </c>
      <c r="G111" s="123" t="s">
        <v>582</v>
      </c>
      <c r="H111" s="274" t="str">
        <f>IF(crdsma="Dis",SUM(H109:H110),elecfressma)</f>
        <v/>
      </c>
      <c r="I111" s="274" t="str">
        <f>IF(crdsma="Dis",SUM(I109:I110),elecfressma)</f>
        <v/>
      </c>
      <c r="J111" s="274" t="str">
        <f>IF(crdsma="Dis",SUM(J109:J110),elecfressma)</f>
        <v/>
      </c>
      <c r="K111" s="274" t="str">
        <f>IF(crdsma="Dis",SUM(K109:K110),elecfressma)</f>
        <v/>
      </c>
      <c r="L111" s="274" t="str">
        <f>IF(crdsma="Dis",SUM(L109:L110),elecfressma)</f>
        <v/>
      </c>
      <c r="M111" s="274" t="str">
        <f>IF(crdsma="Dis",SUM(M109:M110),elecfressma)</f>
        <v/>
      </c>
      <c r="N111" s="274" t="str">
        <f>IF(crdsma="Dis",SUM(N109:N110),elecfressma)</f>
        <v/>
      </c>
      <c r="O111" s="274" t="str">
        <f>IF(crdsma="Dis",SUM(O109:O110),elecfressma)</f>
        <v/>
      </c>
      <c r="P111" s="274" t="str">
        <f>IF(crdsma="Dis",SUM(P109:P110),elecfressma)</f>
        <v/>
      </c>
      <c r="Q111" s="274" t="str">
        <f>IF(crdsma="Dis",SUM(Q109:Q110),elecfressma)</f>
        <v/>
      </c>
      <c r="R111" s="274" t="str">
        <f>IF(crdsma="Dis",SUM(R109:R110),elecfressma)</f>
        <v/>
      </c>
      <c r="S111" s="274" t="str">
        <f>IF(crdsma="Dis",SUM(S109:S110),elecfressma)</f>
        <v/>
      </c>
      <c r="T111" s="274" t="str">
        <f>IF(crdsma="Dis",SUM(T109:T110),elecfressma)</f>
        <v/>
      </c>
      <c r="U111" s="274" t="str">
        <f>IF(crdsma="Dis",SUM(U109:U110),elecfressma)</f>
        <v/>
      </c>
      <c r="V111" s="274" t="str">
        <f>IF(crdsma="Dis",SUM(V109:V110),elecfressma)</f>
        <v/>
      </c>
      <c r="W111" s="274" t="str">
        <f>IF(crdsma="Dis",SUM(W109:W110),elecfressma)</f>
        <v/>
      </c>
      <c r="X111" s="274" t="str">
        <f>IF(crdsma="Dis",SUM(X109:X110),elecfressma)</f>
        <v/>
      </c>
      <c r="Y111" s="274" t="str">
        <f>IF(crdsma="Dis",SUM(Y109:Y110),elecfressma)</f>
        <v/>
      </c>
      <c r="Z111" s="274" t="str">
        <f>IF(crdsma="Dis",SUM(Z109:Z110),elecfressma)</f>
        <v/>
      </c>
      <c r="AA111" s="274" t="str">
        <f>IF(crdsma="Dis",SUM(AA109:AA110),elecfressma)</f>
        <v/>
      </c>
      <c r="AB111" s="274" t="str">
        <f>IF(crdsma="Dis",SUM(AB109:AB110),elecfressma)</f>
        <v/>
      </c>
      <c r="AC111" s="274" t="str">
        <f>IF(crdsma="Dis",SUM(AC109:AC110),elecfressma)</f>
        <v/>
      </c>
      <c r="AD111" s="274" t="str">
        <f>IF(crdsma="Dis",SUM(AD109:AD110),elecfressma)</f>
        <v/>
      </c>
      <c r="AE111" s="274" t="str">
        <f>IF(crdsma="Dis",SUM(AE109:AE110),elecfressma)</f>
        <v/>
      </c>
      <c r="AF111" s="274" t="str">
        <f>IF(crdsma="Dis",SUM(AF109:AF110),elecfressma)</f>
        <v/>
      </c>
      <c r="AG111" s="274" t="str">
        <f>IF(crdsma="Dis",SUM(AG109:AG110),elecfressma)</f>
        <v/>
      </c>
      <c r="AH111" s="274" t="str">
        <f>IF(crdsma="Dis",SUM(AH109:AH110),elecfressma)</f>
        <v/>
      </c>
      <c r="AI111" s="125"/>
      <c r="AJ111" s="127"/>
      <c r="AK111" s="127"/>
      <c r="AL111" s="127"/>
      <c r="AM111" s="127"/>
      <c r="AN111" s="127"/>
      <c r="AO111" s="127"/>
      <c r="AP111" s="127"/>
      <c r="AQ111" s="127"/>
      <c r="AR111" s="127"/>
      <c r="AS111" s="127"/>
      <c r="AT111" s="127"/>
      <c r="AU111" s="127"/>
      <c r="AV111" s="127"/>
      <c r="AW111" s="127"/>
      <c r="AX111" s="127"/>
      <c r="AY111" s="127"/>
      <c r="AZ111" s="127"/>
      <c r="BA111" s="127"/>
      <c r="BB111" s="127"/>
      <c r="BC111" s="127"/>
      <c r="BD111" s="127"/>
      <c r="BE111" s="127"/>
      <c r="BF111" s="127"/>
      <c r="BG111" s="127"/>
      <c r="BH111" s="127"/>
      <c r="BI111" s="127"/>
      <c r="BJ111" s="127"/>
      <c r="BK111" s="127"/>
      <c r="BL111" s="127"/>
      <c r="BM111" s="127"/>
      <c r="BN111" s="127"/>
      <c r="BO111" s="127"/>
      <c r="BP111" s="127"/>
      <c r="BQ111" s="127"/>
      <c r="BR111" s="127"/>
    </row>
    <row r="112" ht="14.25" customHeight="1" outlineLevel="1">
      <c r="A112" s="195"/>
      <c r="B112" s="201"/>
      <c r="C112" s="201"/>
      <c r="D112" s="201"/>
      <c r="E112" s="299" t="s">
        <v>766</v>
      </c>
      <c r="F112" s="123" t="s">
        <v>135</v>
      </c>
      <c r="G112" s="123" t="s">
        <v>576</v>
      </c>
      <c r="H112" s="274">
        <f>calelccfreslgt+calelecfreslar+calelecfressma</f>
        <v>0</v>
      </c>
      <c r="I112" s="274">
        <f>calelccfreslgt+calelecfreslar+calelecfressma</f>
        <v>0</v>
      </c>
      <c r="J112" s="274">
        <f>calelccfreslgt+calelecfreslar+calelecfressma</f>
        <v>0</v>
      </c>
      <c r="K112" s="274">
        <f>calelccfreslgt+calelecfreslar+calelecfressma</f>
        <v>0</v>
      </c>
      <c r="L112" s="274">
        <f>calelccfreslgt+calelecfreslar+calelecfressma</f>
        <v>0</v>
      </c>
      <c r="M112" s="274">
        <f>calelccfreslgt+calelecfreslar+calelecfressma</f>
        <v>0</v>
      </c>
      <c r="N112" s="274">
        <f>calelccfreslgt+calelecfreslar+calelecfressma</f>
        <v>0</v>
      </c>
      <c r="O112" s="274">
        <f>calelccfreslgt+calelecfreslar+calelecfressma</f>
        <v>0</v>
      </c>
      <c r="P112" s="274">
        <f>calelccfreslgt+calelecfreslar+calelecfressma</f>
        <v>0</v>
      </c>
      <c r="Q112" s="274">
        <f>calelccfreslgt+calelecfreslar+calelecfressma</f>
        <v>0</v>
      </c>
      <c r="R112" s="274">
        <f>calelccfreslgt+calelecfreslar+calelecfressma</f>
        <v>1.635849046</v>
      </c>
      <c r="S112" s="274">
        <f>calelccfreslgt+calelecfreslar+calelecfressma</f>
        <v>1.575502103</v>
      </c>
      <c r="T112" s="274">
        <f>calelccfreslgt+calelecfreslar+calelecfressma</f>
        <v>1.506415551</v>
      </c>
      <c r="U112" s="274">
        <f>calelccfreslgt+calelecfreslar+calelecfressma</f>
        <v>1.459561735</v>
      </c>
      <c r="V112" s="274">
        <f>calelccfreslgt+calelecfreslar+calelecfressma</f>
        <v>1.434891046</v>
      </c>
      <c r="W112" s="274">
        <f>calelccfreslgt+calelecfreslar+calelecfressma</f>
        <v>6.920444308</v>
      </c>
      <c r="X112" s="274">
        <f>calelccfreslgt+calelecfreslar+calelecfressma</f>
        <v>0</v>
      </c>
      <c r="Y112" s="274">
        <f>calelccfreslgt+calelecfreslar+calelecfressma</f>
        <v>0</v>
      </c>
      <c r="Z112" s="274">
        <f>calelccfreslgt+calelecfreslar+calelecfressma</f>
        <v>0</v>
      </c>
      <c r="AA112" s="274">
        <f>calelccfreslgt+calelecfreslar+calelecfressma</f>
        <v>0</v>
      </c>
      <c r="AB112" s="274">
        <f>calelccfreslgt+calelecfreslar+calelecfressma</f>
        <v>0</v>
      </c>
      <c r="AC112" s="274">
        <f>calelccfreslgt+calelecfreslar+calelecfressma</f>
        <v>0</v>
      </c>
      <c r="AD112" s="274">
        <f>calelccfreslgt+calelecfreslar+calelecfressma</f>
        <v>0</v>
      </c>
      <c r="AE112" s="274">
        <f>calelccfreslgt+calelecfreslar+calelecfressma</f>
        <v>0</v>
      </c>
      <c r="AF112" s="274">
        <f>calelccfreslgt+calelecfreslar+calelecfressma</f>
        <v>0</v>
      </c>
      <c r="AG112" s="274">
        <f>calelccfreslgt+calelecfreslar+calelecfressma</f>
        <v>0</v>
      </c>
      <c r="AH112" s="274">
        <f>calelccfreslgt+calelecfreslar+calelecfressma</f>
        <v>0</v>
      </c>
      <c r="AI112" s="125"/>
      <c r="AJ112" s="127"/>
      <c r="AK112" s="127"/>
      <c r="AL112" s="127"/>
      <c r="AM112" s="127"/>
      <c r="AN112" s="127"/>
      <c r="AO112" s="127"/>
      <c r="AP112" s="127"/>
      <c r="AQ112" s="127"/>
      <c r="AR112" s="127"/>
      <c r="AS112" s="127"/>
      <c r="AT112" s="127"/>
      <c r="AU112" s="127"/>
      <c r="AV112" s="127"/>
      <c r="AW112" s="127"/>
      <c r="AX112" s="127"/>
      <c r="AY112" s="127"/>
      <c r="AZ112" s="127"/>
      <c r="BA112" s="127"/>
      <c r="BB112" s="127"/>
      <c r="BC112" s="127"/>
      <c r="BD112" s="127"/>
      <c r="BE112" s="127"/>
      <c r="BF112" s="127"/>
      <c r="BG112" s="127"/>
      <c r="BH112" s="127"/>
      <c r="BI112" s="127"/>
      <c r="BJ112" s="127"/>
      <c r="BK112" s="127"/>
      <c r="BL112" s="127"/>
      <c r="BM112" s="127"/>
      <c r="BN112" s="127"/>
      <c r="BO112" s="127"/>
      <c r="BP112" s="127"/>
      <c r="BQ112" s="127"/>
      <c r="BR112" s="127"/>
    </row>
    <row r="113" ht="13.5" customHeight="1" outlineLevel="2">
      <c r="A113" s="195"/>
      <c r="B113" s="246"/>
      <c r="C113" s="246" t="s">
        <v>767</v>
      </c>
      <c r="D113" s="201"/>
      <c r="E113" s="162"/>
      <c r="F113" s="178"/>
      <c r="G113" s="178"/>
      <c r="H113" s="178"/>
      <c r="I113" s="178"/>
      <c r="J113" s="178"/>
      <c r="K113" s="178"/>
      <c r="L113" s="178"/>
      <c r="M113" s="178"/>
      <c r="N113" s="178"/>
      <c r="O113" s="178"/>
      <c r="P113" s="178"/>
      <c r="Q113" s="178"/>
      <c r="R113" s="178"/>
      <c r="S113" s="178"/>
      <c r="T113" s="178"/>
      <c r="U113" s="178"/>
      <c r="V113" s="178"/>
      <c r="W113" s="178"/>
      <c r="X113" s="178"/>
      <c r="Y113" s="178"/>
      <c r="Z113" s="178"/>
      <c r="AA113" s="178"/>
      <c r="AB113" s="178"/>
      <c r="AC113" s="178"/>
      <c r="AD113" s="178"/>
      <c r="AE113" s="178"/>
      <c r="AF113" s="178"/>
      <c r="AG113" s="178"/>
      <c r="AH113" s="178"/>
      <c r="AI113" s="162"/>
      <c r="AJ113" s="315"/>
      <c r="AK113" s="315"/>
      <c r="AL113" s="315"/>
      <c r="AM113" s="315"/>
      <c r="AN113" s="315"/>
      <c r="AO113" s="315"/>
      <c r="AP113" s="315"/>
      <c r="AQ113" s="315"/>
      <c r="AR113" s="315"/>
      <c r="AS113" s="315"/>
      <c r="AT113" s="315"/>
      <c r="AU113" s="315"/>
      <c r="AV113" s="315"/>
      <c r="AW113" s="315"/>
      <c r="AX113" s="315"/>
      <c r="AY113" s="315"/>
      <c r="AZ113" s="315"/>
      <c r="BA113" s="315"/>
      <c r="BB113" s="315"/>
      <c r="BC113" s="315"/>
      <c r="BD113" s="315"/>
      <c r="BE113" s="315"/>
      <c r="BF113" s="315"/>
      <c r="BG113" s="315"/>
      <c r="BH113" s="315"/>
      <c r="BI113" s="315"/>
      <c r="BJ113" s="315"/>
      <c r="BK113" s="315"/>
      <c r="BL113" s="315"/>
      <c r="BM113" s="315"/>
      <c r="BN113" s="315"/>
      <c r="BO113" s="315"/>
      <c r="BP113" s="315"/>
      <c r="BQ113" s="315"/>
      <c r="BR113" s="315"/>
    </row>
    <row r="114" ht="13.5" customHeight="1" outlineLevel="3">
      <c r="A114" s="195"/>
      <c r="B114" s="201"/>
      <c r="C114" s="246"/>
      <c r="D114" s="201"/>
      <c r="E114" s="327" t="s">
        <v>768</v>
      </c>
      <c r="F114" s="328" t="str">
        <f t="array" ref="F114">IF(AND(OR(SUMPRODUCT(calelccfreslgt*(Years=ProspectiveYears))=0,SUMPRODUCT(calelecfressma*(Years=ProspectiveYears))=0,SUMPRODUCT(calelecfreslar*(Years=ProspectiveYears))=0),SUMPRODUCT(elecfresels*(Years=ProspectiveYears))&lt;&gt;0),"Use of partner's results","")</f>
        <v>Use of partner's results</v>
      </c>
      <c r="G114" s="329" t="s">
        <v>769</v>
      </c>
      <c r="H114" s="317">
        <f>IF(F114="Use of partner's results",1,0)</f>
        <v>1</v>
      </c>
      <c r="I114" s="178"/>
      <c r="J114" s="178"/>
      <c r="K114" s="178"/>
      <c r="L114" s="178"/>
      <c r="M114" s="178"/>
      <c r="N114" s="178"/>
      <c r="O114" s="178"/>
      <c r="P114" s="178"/>
      <c r="Q114" s="178"/>
      <c r="R114" s="178"/>
      <c r="S114" s="178"/>
      <c r="T114" s="178"/>
      <c r="U114" s="178"/>
      <c r="V114" s="178"/>
      <c r="W114" s="178"/>
      <c r="X114" s="178"/>
      <c r="Y114" s="178"/>
      <c r="Z114" s="178"/>
      <c r="AA114" s="178"/>
      <c r="AB114" s="178"/>
      <c r="AC114" s="178"/>
      <c r="AD114" s="178"/>
      <c r="AE114" s="178"/>
      <c r="AF114" s="178"/>
      <c r="AG114" s="178"/>
      <c r="AH114" s="178"/>
      <c r="AI114" s="162"/>
      <c r="AJ114" s="315"/>
      <c r="AK114" s="315"/>
      <c r="AL114" s="315"/>
      <c r="AM114" s="315"/>
      <c r="AN114" s="315"/>
      <c r="AO114" s="315"/>
      <c r="AP114" s="315"/>
      <c r="AQ114" s="315"/>
      <c r="AR114" s="315"/>
      <c r="AS114" s="315"/>
      <c r="AT114" s="315"/>
      <c r="AU114" s="315"/>
      <c r="AV114" s="315"/>
      <c r="AW114" s="315"/>
      <c r="AX114" s="315"/>
      <c r="AY114" s="315"/>
      <c r="AZ114" s="315"/>
      <c r="BA114" s="315"/>
      <c r="BB114" s="315"/>
      <c r="BC114" s="315"/>
      <c r="BD114" s="315"/>
      <c r="BE114" s="315"/>
      <c r="BF114" s="315"/>
      <c r="BG114" s="315"/>
      <c r="BH114" s="315"/>
      <c r="BI114" s="315"/>
      <c r="BJ114" s="315"/>
      <c r="BK114" s="315"/>
      <c r="BL114" s="315"/>
      <c r="BM114" s="315"/>
      <c r="BN114" s="315"/>
      <c r="BO114" s="315"/>
      <c r="BP114" s="315"/>
      <c r="BQ114" s="315"/>
      <c r="BR114" s="315"/>
    </row>
    <row r="115" ht="14.25" customHeight="1">
      <c r="A115" s="195"/>
      <c r="B115" s="201"/>
      <c r="C115" s="246" t="s">
        <v>770</v>
      </c>
      <c r="D115" s="201"/>
      <c r="E115" s="162"/>
      <c r="F115" s="162"/>
      <c r="G115" s="162"/>
      <c r="H115" s="178"/>
      <c r="I115" s="178"/>
      <c r="J115" s="178"/>
      <c r="K115" s="178"/>
      <c r="L115" s="178"/>
      <c r="M115" s="178"/>
      <c r="N115" s="178"/>
      <c r="O115" s="178"/>
      <c r="P115" s="178"/>
      <c r="Q115" s="178"/>
      <c r="R115" s="178"/>
      <c r="S115" s="178"/>
      <c r="T115" s="178"/>
      <c r="U115" s="178"/>
      <c r="V115" s="178"/>
      <c r="W115" s="178"/>
      <c r="X115" s="178"/>
      <c r="Y115" s="178"/>
      <c r="Z115" s="178"/>
      <c r="AA115" s="178"/>
      <c r="AB115" s="178"/>
      <c r="AC115" s="178"/>
      <c r="AD115" s="178"/>
      <c r="AE115" s="178"/>
      <c r="AF115" s="178"/>
      <c r="AG115" s="178"/>
      <c r="AH115" s="178"/>
      <c r="AI115" s="162"/>
      <c r="AJ115" s="315"/>
      <c r="AK115" s="315"/>
      <c r="AL115" s="315"/>
      <c r="AM115" s="315"/>
      <c r="AN115" s="315"/>
      <c r="AO115" s="315"/>
      <c r="AP115" s="315"/>
      <c r="AQ115" s="315"/>
      <c r="AR115" s="315"/>
      <c r="AS115" s="315"/>
      <c r="AT115" s="315"/>
      <c r="AU115" s="315"/>
      <c r="AV115" s="315"/>
      <c r="AW115" s="315"/>
      <c r="AX115" s="315"/>
      <c r="AY115" s="315"/>
      <c r="AZ115" s="315"/>
      <c r="BA115" s="315"/>
      <c r="BB115" s="315"/>
      <c r="BC115" s="315"/>
      <c r="BD115" s="315"/>
      <c r="BE115" s="315"/>
      <c r="BF115" s="315"/>
      <c r="BG115" s="315"/>
      <c r="BH115" s="315"/>
      <c r="BI115" s="315"/>
      <c r="BJ115" s="315"/>
      <c r="BK115" s="315"/>
      <c r="BL115" s="315"/>
      <c r="BM115" s="315"/>
      <c r="BN115" s="315"/>
      <c r="BO115" s="315"/>
      <c r="BP115" s="315"/>
      <c r="BQ115" s="315"/>
      <c r="BR115" s="315"/>
    </row>
    <row r="116" ht="14.25" customHeight="1" outlineLevel="1">
      <c r="A116" s="195"/>
      <c r="B116" s="201"/>
      <c r="C116" s="201"/>
      <c r="D116" s="201"/>
      <c r="E116" s="316" t="s">
        <v>771</v>
      </c>
      <c r="F116" s="123" t="s">
        <v>261</v>
      </c>
      <c r="G116" s="249" t="s">
        <v>772</v>
      </c>
      <c r="H116" s="276" t="str">
        <f>((caltotelccfresdom+elccfresbmg)-elecfresels)/elecfresels</f>
        <v>#DIV/0!</v>
      </c>
      <c r="I116" s="276" t="str">
        <f>((caltotelccfresdom+elccfresbmg)-elecfresels)/elecfresels</f>
        <v>#DIV/0!</v>
      </c>
      <c r="J116" s="276" t="str">
        <f>((caltotelccfresdom+elccfresbmg)-elecfresels)/elecfresels</f>
        <v>#DIV/0!</v>
      </c>
      <c r="K116" s="276" t="str">
        <f>((caltotelccfresdom+elccfresbmg)-elecfresels)/elecfresels</f>
        <v>#DIV/0!</v>
      </c>
      <c r="L116" s="276" t="str">
        <f>((caltotelccfresdom+elccfresbmg)-elecfresels)/elecfresels</f>
        <v>#DIV/0!</v>
      </c>
      <c r="M116" s="276" t="str">
        <f>((caltotelccfresdom+elccfresbmg)-elecfresels)/elecfresels</f>
        <v>#DIV/0!</v>
      </c>
      <c r="N116" s="276" t="str">
        <f>((caltotelccfresdom+elccfresbmg)-elecfresels)/elecfresels</f>
        <v>#DIV/0!</v>
      </c>
      <c r="O116" s="276" t="str">
        <f>((caltotelccfresdom+elccfresbmg)-elecfresels)/elecfresels</f>
        <v>#DIV/0!</v>
      </c>
      <c r="P116" s="276" t="str">
        <f>((caltotelccfresdom+elccfresbmg)-elecfresels)/elecfresels</f>
        <v>#DIV/0!</v>
      </c>
      <c r="Q116" s="276" t="str">
        <f>((caltotelccfresdom+elccfresbmg)-elecfresels)/elecfresels</f>
        <v>#DIV/0!</v>
      </c>
      <c r="R116" s="276">
        <f>((caltotelccfresdom+elccfresbmg)-elecfresels)/elecfresels</f>
        <v>-0.8774029628</v>
      </c>
      <c r="S116" s="276">
        <f>((caltotelccfresdom+elccfresbmg)-elecfresels)/elecfresels</f>
        <v>-0.8782173531</v>
      </c>
      <c r="T116" s="276">
        <f>((caltotelccfresdom+elccfresbmg)-elecfresels)/elecfresels</f>
        <v>-0.8871843906</v>
      </c>
      <c r="U116" s="276">
        <f>((caltotelccfresdom+elccfresbmg)-elecfresels)/elecfresels</f>
        <v>-0.8875088259</v>
      </c>
      <c r="V116" s="276">
        <f>((caltotelccfresdom+elccfresbmg)-elecfresels)/elecfresels</f>
        <v>-0.8869746248</v>
      </c>
      <c r="W116" s="276">
        <f>((caltotelccfresdom+elccfresbmg)-elecfresels)/elecfresels</f>
        <v>-0.4418051196</v>
      </c>
      <c r="X116" s="276" t="str">
        <f>((caltotelccfresdom+elccfresbmg)-elecfresels)/elecfresels</f>
        <v>#DIV/0!</v>
      </c>
      <c r="Y116" s="276" t="str">
        <f>((caltotelccfresdom+elccfresbmg)-elecfresels)/elecfresels</f>
        <v>#DIV/0!</v>
      </c>
      <c r="Z116" s="276" t="str">
        <f>((caltotelccfresdom+elccfresbmg)-elecfresels)/elecfresels</f>
        <v>#DIV/0!</v>
      </c>
      <c r="AA116" s="276" t="str">
        <f>((caltotelccfresdom+elccfresbmg)-elecfresels)/elecfresels</f>
        <v>#DIV/0!</v>
      </c>
      <c r="AB116" s="276">
        <f>((caltotelccfresdom+elccfresbmg)-elecfresels)/elecfresels</f>
        <v>-1</v>
      </c>
      <c r="AC116" s="276">
        <f>((caltotelccfresdom+elccfresbmg)-elecfresels)/elecfresels</f>
        <v>-1</v>
      </c>
      <c r="AD116" s="276">
        <f>((caltotelccfresdom+elccfresbmg)-elecfresels)/elecfresels</f>
        <v>-1</v>
      </c>
      <c r="AE116" s="276">
        <f>((caltotelccfresdom+elccfresbmg)-elecfresels)/elecfresels</f>
        <v>-1</v>
      </c>
      <c r="AF116" s="276">
        <f>((caltotelccfresdom+elccfresbmg)-elecfresels)/elecfresels</f>
        <v>-1</v>
      </c>
      <c r="AG116" s="276">
        <f>((caltotelccfresdom+elccfresbmg)-elecfresels)/elecfresels</f>
        <v>-1</v>
      </c>
      <c r="AH116" s="276">
        <f>((caltotelccfresdom+elccfresbmg)-elecfresels)/elecfresels</f>
        <v>-1</v>
      </c>
      <c r="AI116" s="125"/>
      <c r="AJ116" s="127"/>
      <c r="AK116" s="127"/>
      <c r="AL116" s="127"/>
      <c r="AM116" s="127"/>
      <c r="AN116" s="127"/>
      <c r="AO116" s="127"/>
      <c r="AP116" s="127"/>
      <c r="AQ116" s="127"/>
      <c r="AR116" s="127"/>
      <c r="AS116" s="127"/>
      <c r="AT116" s="127"/>
      <c r="AU116" s="127"/>
      <c r="AV116" s="127"/>
      <c r="AW116" s="127"/>
      <c r="AX116" s="127"/>
      <c r="AY116" s="127"/>
      <c r="AZ116" s="127"/>
      <c r="BA116" s="127"/>
      <c r="BB116" s="127"/>
      <c r="BC116" s="127"/>
      <c r="BD116" s="127"/>
      <c r="BE116" s="127"/>
      <c r="BF116" s="127"/>
      <c r="BG116" s="127"/>
      <c r="BH116" s="127"/>
      <c r="BI116" s="127"/>
      <c r="BJ116" s="127"/>
      <c r="BK116" s="127"/>
      <c r="BL116" s="127"/>
      <c r="BM116" s="127"/>
      <c r="BN116" s="127"/>
      <c r="BO116" s="127"/>
      <c r="BP116" s="127"/>
      <c r="BQ116" s="127"/>
      <c r="BR116" s="127"/>
    </row>
    <row r="117" ht="14.25" customHeight="1" outlineLevel="1">
      <c r="A117" s="195"/>
      <c r="B117" s="201"/>
      <c r="C117" s="201"/>
      <c r="D117" s="201"/>
      <c r="E117" s="316" t="s">
        <v>773</v>
      </c>
      <c r="F117" s="123" t="s">
        <v>261</v>
      </c>
      <c r="G117" s="249" t="s">
        <v>774</v>
      </c>
      <c r="H117" s="276" t="str">
        <f>(calelccfreslgt-elccfreslgt)/elccfreslgt</f>
        <v>#DIV/0!</v>
      </c>
      <c r="I117" s="276" t="str">
        <f>(calelccfreslgt-elccfreslgt)/elccfreslgt</f>
        <v>#DIV/0!</v>
      </c>
      <c r="J117" s="276" t="str">
        <f>(calelccfreslgt-elccfreslgt)/elccfreslgt</f>
        <v>#DIV/0!</v>
      </c>
      <c r="K117" s="276" t="str">
        <f>(calelccfreslgt-elccfreslgt)/elccfreslgt</f>
        <v>#DIV/0!</v>
      </c>
      <c r="L117" s="276" t="str">
        <f>(calelccfreslgt-elccfreslgt)/elccfreslgt</f>
        <v>#DIV/0!</v>
      </c>
      <c r="M117" s="276" t="str">
        <f>(calelccfreslgt-elccfreslgt)/elccfreslgt</f>
        <v>#DIV/0!</v>
      </c>
      <c r="N117" s="276" t="str">
        <f>(calelccfreslgt-elccfreslgt)/elccfreslgt</f>
        <v>#DIV/0!</v>
      </c>
      <c r="O117" s="276" t="str">
        <f>(calelccfreslgt-elccfreslgt)/elccfreslgt</f>
        <v>#DIV/0!</v>
      </c>
      <c r="P117" s="276" t="str">
        <f>(calelccfreslgt-elccfreslgt)/elccfreslgt</f>
        <v>#DIV/0!</v>
      </c>
      <c r="Q117" s="276" t="str">
        <f>(calelccfreslgt-elccfreslgt)/elccfreslgt</f>
        <v>#DIV/0!</v>
      </c>
      <c r="R117" s="276" t="str">
        <f>(calelccfreslgt-elccfreslgt)/elccfreslgt</f>
        <v>#DIV/0!</v>
      </c>
      <c r="S117" s="276" t="str">
        <f>(calelccfreslgt-elccfreslgt)/elccfreslgt</f>
        <v>#DIV/0!</v>
      </c>
      <c r="T117" s="276" t="str">
        <f>(calelccfreslgt-elccfreslgt)/elccfreslgt</f>
        <v>#DIV/0!</v>
      </c>
      <c r="U117" s="276" t="str">
        <f>(calelccfreslgt-elccfreslgt)/elccfreslgt</f>
        <v>#DIV/0!</v>
      </c>
      <c r="V117" s="276" t="str">
        <f>(calelccfreslgt-elccfreslgt)/elccfreslgt</f>
        <v>#DIV/0!</v>
      </c>
      <c r="W117" s="276">
        <f>(calelccfreslgt-elccfreslgt)/elccfreslgt</f>
        <v>0.0375777438</v>
      </c>
      <c r="X117" s="276" t="str">
        <f>(calelccfreslgt-elccfreslgt)/elccfreslgt</f>
        <v>#DIV/0!</v>
      </c>
      <c r="Y117" s="276" t="str">
        <f>(calelccfreslgt-elccfreslgt)/elccfreslgt</f>
        <v>#DIV/0!</v>
      </c>
      <c r="Z117" s="276" t="str">
        <f>(calelccfreslgt-elccfreslgt)/elccfreslgt</f>
        <v>#DIV/0!</v>
      </c>
      <c r="AA117" s="276" t="str">
        <f>(calelccfreslgt-elccfreslgt)/elccfreslgt</f>
        <v>#DIV/0!</v>
      </c>
      <c r="AB117" s="276" t="str">
        <f>(calelccfreslgt-elccfreslgt)/elccfreslgt</f>
        <v>#DIV/0!</v>
      </c>
      <c r="AC117" s="276" t="str">
        <f>(calelccfreslgt-elccfreslgt)/elccfreslgt</f>
        <v>#DIV/0!</v>
      </c>
      <c r="AD117" s="276" t="str">
        <f>(calelccfreslgt-elccfreslgt)/elccfreslgt</f>
        <v>#DIV/0!</v>
      </c>
      <c r="AE117" s="276" t="str">
        <f>(calelccfreslgt-elccfreslgt)/elccfreslgt</f>
        <v>#DIV/0!</v>
      </c>
      <c r="AF117" s="276" t="str">
        <f>(calelccfreslgt-elccfreslgt)/elccfreslgt</f>
        <v>#DIV/0!</v>
      </c>
      <c r="AG117" s="276" t="str">
        <f>(calelccfreslgt-elccfreslgt)/elccfreslgt</f>
        <v>#DIV/0!</v>
      </c>
      <c r="AH117" s="276" t="str">
        <f>(calelccfreslgt-elccfreslgt)/elccfreslgt</f>
        <v>#DIV/0!</v>
      </c>
      <c r="AI117" s="125"/>
      <c r="AJ117" s="127"/>
      <c r="AK117" s="127"/>
      <c r="AL117" s="127"/>
      <c r="AM117" s="127"/>
      <c r="AN117" s="127"/>
      <c r="AO117" s="127"/>
      <c r="AP117" s="127"/>
      <c r="AQ117" s="127"/>
      <c r="AR117" s="127"/>
      <c r="AS117" s="127"/>
      <c r="AT117" s="127"/>
      <c r="AU117" s="127"/>
      <c r="AV117" s="127"/>
      <c r="AW117" s="127"/>
      <c r="AX117" s="127"/>
      <c r="AY117" s="127"/>
      <c r="AZ117" s="127"/>
      <c r="BA117" s="127"/>
      <c r="BB117" s="127"/>
      <c r="BC117" s="127"/>
      <c r="BD117" s="127"/>
      <c r="BE117" s="127"/>
      <c r="BF117" s="127"/>
      <c r="BG117" s="127"/>
      <c r="BH117" s="127"/>
      <c r="BI117" s="127"/>
      <c r="BJ117" s="127"/>
      <c r="BK117" s="127"/>
      <c r="BL117" s="127"/>
      <c r="BM117" s="127"/>
      <c r="BN117" s="127"/>
      <c r="BO117" s="127"/>
      <c r="BP117" s="127"/>
      <c r="BQ117" s="127"/>
      <c r="BR117" s="127"/>
    </row>
    <row r="118" ht="14.25" customHeight="1" outlineLevel="1">
      <c r="A118" s="195"/>
      <c r="B118" s="201"/>
      <c r="C118" s="201"/>
      <c r="D118" s="201"/>
      <c r="E118" s="316" t="s">
        <v>775</v>
      </c>
      <c r="F118" s="123" t="s">
        <v>261</v>
      </c>
      <c r="G118" s="249" t="s">
        <v>776</v>
      </c>
      <c r="H118" s="276" t="str">
        <f>(calelecfreslar-elecfreslar)/elecfreslar</f>
        <v>#DIV/0!</v>
      </c>
      <c r="I118" s="276" t="str">
        <f>(calelecfreslar-elecfreslar)/elecfreslar</f>
        <v>#DIV/0!</v>
      </c>
      <c r="J118" s="276" t="str">
        <f>(calelecfreslar-elecfreslar)/elecfreslar</f>
        <v>#DIV/0!</v>
      </c>
      <c r="K118" s="276" t="str">
        <f>(calelecfreslar-elecfreslar)/elecfreslar</f>
        <v>#DIV/0!</v>
      </c>
      <c r="L118" s="276" t="str">
        <f>(calelecfreslar-elecfreslar)/elecfreslar</f>
        <v>#DIV/0!</v>
      </c>
      <c r="M118" s="276" t="str">
        <f>(calelecfreslar-elecfreslar)/elecfreslar</f>
        <v>#DIV/0!</v>
      </c>
      <c r="N118" s="276" t="str">
        <f>(calelecfreslar-elecfreslar)/elecfreslar</f>
        <v>#DIV/0!</v>
      </c>
      <c r="O118" s="276" t="str">
        <f>(calelecfreslar-elecfreslar)/elecfreslar</f>
        <v>#DIV/0!</v>
      </c>
      <c r="P118" s="276" t="str">
        <f>(calelecfreslar-elecfreslar)/elecfreslar</f>
        <v>#DIV/0!</v>
      </c>
      <c r="Q118" s="276" t="str">
        <f>(calelecfreslar-elecfreslar)/elecfreslar</f>
        <v>#DIV/0!</v>
      </c>
      <c r="R118" s="276" t="str">
        <f>(calelecfreslar-elecfreslar)/elecfreslar</f>
        <v>#DIV/0!</v>
      </c>
      <c r="S118" s="276" t="str">
        <f>(calelecfreslar-elecfreslar)/elecfreslar</f>
        <v>#DIV/0!</v>
      </c>
      <c r="T118" s="276" t="str">
        <f>(calelecfreslar-elecfreslar)/elecfreslar</f>
        <v>#DIV/0!</v>
      </c>
      <c r="U118" s="276" t="str">
        <f>(calelecfreslar-elecfreslar)/elecfreslar</f>
        <v>#DIV/0!</v>
      </c>
      <c r="V118" s="276" t="str">
        <f>(calelecfreslar-elecfreslar)/elecfreslar</f>
        <v>#DIV/0!</v>
      </c>
      <c r="W118" s="276">
        <f>(calelecfreslar-elecfreslar)/elecfreslar</f>
        <v>0.0375777438</v>
      </c>
      <c r="X118" s="276" t="str">
        <f>(calelecfreslar-elecfreslar)/elecfreslar</f>
        <v>#DIV/0!</v>
      </c>
      <c r="Y118" s="276" t="str">
        <f>(calelecfreslar-elecfreslar)/elecfreslar</f>
        <v>#DIV/0!</v>
      </c>
      <c r="Z118" s="276" t="str">
        <f>(calelecfreslar-elecfreslar)/elecfreslar</f>
        <v>#DIV/0!</v>
      </c>
      <c r="AA118" s="276" t="str">
        <f>(calelecfreslar-elecfreslar)/elecfreslar</f>
        <v>#DIV/0!</v>
      </c>
      <c r="AB118" s="276" t="str">
        <f>(calelecfreslar-elecfreslar)/elecfreslar</f>
        <v>#DIV/0!</v>
      </c>
      <c r="AC118" s="276" t="str">
        <f>(calelecfreslar-elecfreslar)/elecfreslar</f>
        <v>#DIV/0!</v>
      </c>
      <c r="AD118" s="276" t="str">
        <f>(calelecfreslar-elecfreslar)/elecfreslar</f>
        <v>#DIV/0!</v>
      </c>
      <c r="AE118" s="276" t="str">
        <f>(calelecfreslar-elecfreslar)/elecfreslar</f>
        <v>#DIV/0!</v>
      </c>
      <c r="AF118" s="276" t="str">
        <f>(calelecfreslar-elecfreslar)/elecfreslar</f>
        <v>#DIV/0!</v>
      </c>
      <c r="AG118" s="276" t="str">
        <f>(calelecfreslar-elecfreslar)/elecfreslar</f>
        <v>#DIV/0!</v>
      </c>
      <c r="AH118" s="276" t="str">
        <f>(calelecfreslar-elecfreslar)/elecfreslar</f>
        <v>#DIV/0!</v>
      </c>
      <c r="AI118" s="125"/>
      <c r="AJ118" s="127"/>
      <c r="AK118" s="127"/>
      <c r="AL118" s="127"/>
      <c r="AM118" s="127"/>
      <c r="AN118" s="127"/>
      <c r="AO118" s="127"/>
      <c r="AP118" s="127"/>
      <c r="AQ118" s="127"/>
      <c r="AR118" s="127"/>
      <c r="AS118" s="127"/>
      <c r="AT118" s="127"/>
      <c r="AU118" s="127"/>
      <c r="AV118" s="127"/>
      <c r="AW118" s="127"/>
      <c r="AX118" s="127"/>
      <c r="AY118" s="127"/>
      <c r="AZ118" s="127"/>
      <c r="BA118" s="127"/>
      <c r="BB118" s="127"/>
      <c r="BC118" s="127"/>
      <c r="BD118" s="127"/>
      <c r="BE118" s="127"/>
      <c r="BF118" s="127"/>
      <c r="BG118" s="127"/>
      <c r="BH118" s="127"/>
      <c r="BI118" s="127"/>
      <c r="BJ118" s="127"/>
      <c r="BK118" s="127"/>
      <c r="BL118" s="127"/>
      <c r="BM118" s="127"/>
      <c r="BN118" s="127"/>
      <c r="BO118" s="127"/>
      <c r="BP118" s="127"/>
      <c r="BQ118" s="127"/>
      <c r="BR118" s="127"/>
    </row>
    <row r="119" ht="14.25" customHeight="1" outlineLevel="1">
      <c r="A119" s="195"/>
      <c r="B119" s="201"/>
      <c r="C119" s="201"/>
      <c r="D119" s="201"/>
      <c r="E119" s="316" t="s">
        <v>777</v>
      </c>
      <c r="F119" s="123" t="s">
        <v>261</v>
      </c>
      <c r="G119" s="123" t="s">
        <v>778</v>
      </c>
      <c r="H119" s="276" t="str">
        <f>(calelecfressma-elecfressma)/elecfressma</f>
        <v>#DIV/0!</v>
      </c>
      <c r="I119" s="276" t="str">
        <f>(calelecfressma-elecfressma)/elecfressma</f>
        <v>#DIV/0!</v>
      </c>
      <c r="J119" s="276" t="str">
        <f>(calelecfressma-elecfressma)/elecfressma</f>
        <v>#DIV/0!</v>
      </c>
      <c r="K119" s="276" t="str">
        <f>(calelecfressma-elecfressma)/elecfressma</f>
        <v>#DIV/0!</v>
      </c>
      <c r="L119" s="276" t="str">
        <f>(calelecfressma-elecfressma)/elecfressma</f>
        <v>#DIV/0!</v>
      </c>
      <c r="M119" s="276" t="str">
        <f>(calelecfressma-elecfressma)/elecfressma</f>
        <v>#DIV/0!</v>
      </c>
      <c r="N119" s="276" t="str">
        <f>(calelecfressma-elecfressma)/elecfressma</f>
        <v>#DIV/0!</v>
      </c>
      <c r="O119" s="276" t="str">
        <f>(calelecfressma-elecfressma)/elecfressma</f>
        <v>#DIV/0!</v>
      </c>
      <c r="P119" s="276" t="str">
        <f>(calelecfressma-elecfressma)/elecfressma</f>
        <v>#DIV/0!</v>
      </c>
      <c r="Q119" s="276" t="str">
        <f>(calelecfressma-elecfressma)/elecfressma</f>
        <v>#DIV/0!</v>
      </c>
      <c r="R119" s="276" t="str">
        <f>(calelecfressma-elecfressma)/elecfressma</f>
        <v>#DIV/0!</v>
      </c>
      <c r="S119" s="276" t="str">
        <f>(calelecfressma-elecfressma)/elecfressma</f>
        <v>#DIV/0!</v>
      </c>
      <c r="T119" s="276" t="str">
        <f>(calelecfressma-elecfressma)/elecfressma</f>
        <v>#DIV/0!</v>
      </c>
      <c r="U119" s="276" t="str">
        <f>(calelecfressma-elecfressma)/elecfressma</f>
        <v>#DIV/0!</v>
      </c>
      <c r="V119" s="276" t="str">
        <f>(calelecfressma-elecfressma)/elecfressma</f>
        <v>#DIV/0!</v>
      </c>
      <c r="W119" s="276" t="str">
        <f>(calelecfressma-elecfressma)/elecfressma</f>
        <v>#DIV/0!</v>
      </c>
      <c r="X119" s="276" t="str">
        <f>(calelecfressma-elecfressma)/elecfressma</f>
        <v>#DIV/0!</v>
      </c>
      <c r="Y119" s="276" t="str">
        <f>(calelecfressma-elecfressma)/elecfressma</f>
        <v>#DIV/0!</v>
      </c>
      <c r="Z119" s="276" t="str">
        <f>(calelecfressma-elecfressma)/elecfressma</f>
        <v>#DIV/0!</v>
      </c>
      <c r="AA119" s="276" t="str">
        <f>(calelecfressma-elecfressma)/elecfressma</f>
        <v>#DIV/0!</v>
      </c>
      <c r="AB119" s="276" t="str">
        <f>(calelecfressma-elecfressma)/elecfressma</f>
        <v>#DIV/0!</v>
      </c>
      <c r="AC119" s="276" t="str">
        <f>(calelecfressma-elecfressma)/elecfressma</f>
        <v>#DIV/0!</v>
      </c>
      <c r="AD119" s="276" t="str">
        <f>(calelecfressma-elecfressma)/elecfressma</f>
        <v>#DIV/0!</v>
      </c>
      <c r="AE119" s="276" t="str">
        <f>(calelecfressma-elecfressma)/elecfressma</f>
        <v>#DIV/0!</v>
      </c>
      <c r="AF119" s="276" t="str">
        <f>(calelecfressma-elecfressma)/elecfressma</f>
        <v>#DIV/0!</v>
      </c>
      <c r="AG119" s="276" t="str">
        <f>(calelecfressma-elecfressma)/elecfressma</f>
        <v>#DIV/0!</v>
      </c>
      <c r="AH119" s="276" t="str">
        <f>(calelecfressma-elecfressma)/elecfressma</f>
        <v>#DIV/0!</v>
      </c>
      <c r="AI119" s="125"/>
      <c r="AJ119" s="127"/>
      <c r="AK119" s="127"/>
      <c r="AL119" s="127"/>
      <c r="AM119" s="127"/>
      <c r="AN119" s="127"/>
      <c r="AO119" s="127"/>
      <c r="AP119" s="127"/>
      <c r="AQ119" s="127"/>
      <c r="AR119" s="127"/>
      <c r="AS119" s="127"/>
      <c r="AT119" s="127"/>
      <c r="AU119" s="127"/>
      <c r="AV119" s="127"/>
      <c r="AW119" s="127"/>
      <c r="AX119" s="127"/>
      <c r="AY119" s="127"/>
      <c r="AZ119" s="127"/>
      <c r="BA119" s="127"/>
      <c r="BB119" s="127"/>
      <c r="BC119" s="127"/>
      <c r="BD119" s="127"/>
      <c r="BE119" s="127"/>
      <c r="BF119" s="127"/>
      <c r="BG119" s="127"/>
      <c r="BH119" s="127"/>
      <c r="BI119" s="127"/>
      <c r="BJ119" s="127"/>
      <c r="BK119" s="127"/>
      <c r="BL119" s="127"/>
      <c r="BM119" s="127"/>
      <c r="BN119" s="127"/>
      <c r="BO119" s="127"/>
      <c r="BP119" s="127"/>
      <c r="BQ119" s="127"/>
      <c r="BR119" s="127"/>
    </row>
    <row r="120" ht="14.25" customHeight="1">
      <c r="A120" s="335"/>
      <c r="B120" s="246" t="s">
        <v>779</v>
      </c>
      <c r="C120" s="246"/>
      <c r="D120" s="201"/>
      <c r="E120" s="162"/>
      <c r="F120" s="162"/>
      <c r="G120" s="162"/>
      <c r="H120" s="178"/>
      <c r="I120" s="178"/>
      <c r="J120" s="178"/>
      <c r="K120" s="178"/>
      <c r="L120" s="178"/>
      <c r="M120" s="178"/>
      <c r="N120" s="178"/>
      <c r="O120" s="178"/>
      <c r="P120" s="178"/>
      <c r="Q120" s="178"/>
      <c r="R120" s="178"/>
      <c r="S120" s="178"/>
      <c r="T120" s="178"/>
      <c r="U120" s="178"/>
      <c r="V120" s="178"/>
      <c r="W120" s="178"/>
      <c r="X120" s="178"/>
      <c r="Y120" s="178"/>
      <c r="Z120" s="178"/>
      <c r="AA120" s="178"/>
      <c r="AB120" s="178"/>
      <c r="AC120" s="178"/>
      <c r="AD120" s="178"/>
      <c r="AE120" s="178"/>
      <c r="AF120" s="178"/>
      <c r="AG120" s="178"/>
      <c r="AH120" s="178"/>
      <c r="AI120" s="162"/>
      <c r="AJ120" s="315"/>
      <c r="AK120" s="315"/>
      <c r="AL120" s="315"/>
      <c r="AM120" s="315"/>
      <c r="AN120" s="315"/>
      <c r="AO120" s="315"/>
      <c r="AP120" s="315"/>
      <c r="AQ120" s="315"/>
      <c r="AR120" s="315"/>
      <c r="AS120" s="315"/>
      <c r="AT120" s="315"/>
      <c r="AU120" s="315"/>
      <c r="AV120" s="315"/>
      <c r="AW120" s="315"/>
      <c r="AX120" s="315"/>
      <c r="AY120" s="315"/>
      <c r="AZ120" s="315"/>
      <c r="BA120" s="315"/>
      <c r="BB120" s="315"/>
      <c r="BC120" s="315"/>
      <c r="BD120" s="315"/>
      <c r="BE120" s="315"/>
      <c r="BF120" s="315"/>
      <c r="BG120" s="315"/>
      <c r="BH120" s="315"/>
      <c r="BI120" s="315"/>
      <c r="BJ120" s="315"/>
      <c r="BK120" s="315"/>
      <c r="BL120" s="315"/>
      <c r="BM120" s="315"/>
      <c r="BN120" s="315"/>
      <c r="BO120" s="315"/>
      <c r="BP120" s="315"/>
      <c r="BQ120" s="315"/>
      <c r="BR120" s="315"/>
    </row>
    <row r="121" ht="14.25" customHeight="1" outlineLevel="2">
      <c r="A121" s="336"/>
      <c r="B121" s="201"/>
      <c r="C121" s="201"/>
      <c r="D121" s="201"/>
      <c r="E121" s="122" t="s">
        <v>780</v>
      </c>
      <c r="F121" s="123" t="s">
        <v>135</v>
      </c>
      <c r="G121" s="123" t="s">
        <v>597</v>
      </c>
      <c r="H121" s="260" t="str">
        <f>elccfresbmg</f>
        <v/>
      </c>
      <c r="I121" s="260" t="str">
        <f>elccfresbmg</f>
        <v/>
      </c>
      <c r="J121" s="260" t="str">
        <f>elccfresbmg</f>
        <v/>
      </c>
      <c r="K121" s="260" t="str">
        <f>elccfresbmg</f>
        <v/>
      </c>
      <c r="L121" s="260" t="str">
        <f>elccfresbmg</f>
        <v/>
      </c>
      <c r="M121" s="260" t="str">
        <f>elccfresbmg</f>
        <v/>
      </c>
      <c r="N121" s="260" t="str">
        <f>elccfresbmg</f>
        <v/>
      </c>
      <c r="O121" s="260" t="str">
        <f>elccfresbmg</f>
        <v/>
      </c>
      <c r="P121" s="260" t="str">
        <f>elccfresbmg</f>
        <v/>
      </c>
      <c r="Q121" s="260" t="str">
        <f>elccfresbmg</f>
        <v/>
      </c>
      <c r="R121" s="260" t="str">
        <f>elccfresbmg</f>
        <v/>
      </c>
      <c r="S121" s="260" t="str">
        <f>elccfresbmg</f>
        <v/>
      </c>
      <c r="T121" s="260" t="str">
        <f>elccfresbmg</f>
        <v/>
      </c>
      <c r="U121" s="260" t="str">
        <f>elccfresbmg</f>
        <v/>
      </c>
      <c r="V121" s="260" t="str">
        <f>elccfresbmg</f>
        <v/>
      </c>
      <c r="W121" s="182" t="str">
        <f>elccfresbmg</f>
        <v/>
      </c>
      <c r="X121" s="260" t="str">
        <f>elccfresbmg</f>
        <v/>
      </c>
      <c r="Y121" s="260" t="str">
        <f>elccfresbmg</f>
        <v/>
      </c>
      <c r="Z121" s="260" t="str">
        <f>elccfresbmg</f>
        <v/>
      </c>
      <c r="AA121" s="260" t="str">
        <f>elccfresbmg</f>
        <v/>
      </c>
      <c r="AB121" s="182" t="str">
        <f>elccfresbmg</f>
        <v/>
      </c>
      <c r="AC121" s="182" t="str">
        <f>elccfresbmg</f>
        <v/>
      </c>
      <c r="AD121" s="182" t="str">
        <f>elccfresbmg</f>
        <v/>
      </c>
      <c r="AE121" s="182" t="str">
        <f>elccfresbmg</f>
        <v/>
      </c>
      <c r="AF121" s="182" t="str">
        <f>elccfresbmg</f>
        <v/>
      </c>
      <c r="AG121" s="182" t="str">
        <f>elccfresbmg</f>
        <v/>
      </c>
      <c r="AH121" s="182" t="str">
        <f>elccfresbmg</f>
        <v/>
      </c>
      <c r="AI121" s="125"/>
      <c r="AJ121" s="127"/>
      <c r="AK121" s="127"/>
      <c r="AL121" s="127"/>
      <c r="AM121" s="127"/>
      <c r="AN121" s="127"/>
      <c r="AO121" s="127"/>
      <c r="AP121" s="127"/>
      <c r="AQ121" s="127"/>
      <c r="AR121" s="127"/>
      <c r="AS121" s="127"/>
      <c r="AT121" s="127"/>
      <c r="AU121" s="127"/>
      <c r="AV121" s="127"/>
      <c r="AW121" s="127"/>
      <c r="AX121" s="127"/>
      <c r="AY121" s="127"/>
      <c r="AZ121" s="127"/>
      <c r="BA121" s="127"/>
      <c r="BB121" s="127"/>
      <c r="BC121" s="127"/>
      <c r="BD121" s="127"/>
      <c r="BE121" s="127"/>
      <c r="BF121" s="127"/>
      <c r="BG121" s="127"/>
      <c r="BH121" s="127"/>
      <c r="BI121" s="127"/>
      <c r="BJ121" s="127"/>
      <c r="BK121" s="127"/>
      <c r="BL121" s="127"/>
      <c r="BM121" s="127"/>
      <c r="BN121" s="127"/>
      <c r="BO121" s="127"/>
      <c r="BP121" s="127"/>
      <c r="BQ121" s="127"/>
      <c r="BR121" s="127"/>
    </row>
    <row r="122" ht="14.25" customHeight="1">
      <c r="A122" s="314" t="s">
        <v>598</v>
      </c>
      <c r="B122" s="246"/>
      <c r="C122" s="246"/>
      <c r="D122" s="201"/>
      <c r="E122" s="162"/>
      <c r="F122" s="162"/>
      <c r="G122" s="162"/>
      <c r="H122" s="178"/>
      <c r="I122" s="178"/>
      <c r="J122" s="178"/>
      <c r="K122" s="178"/>
      <c r="L122" s="178"/>
      <c r="M122" s="178"/>
      <c r="N122" s="178"/>
      <c r="O122" s="178"/>
      <c r="P122" s="178"/>
      <c r="Q122" s="178"/>
      <c r="R122" s="178"/>
      <c r="S122" s="178"/>
      <c r="T122" s="178"/>
      <c r="U122" s="178"/>
      <c r="V122" s="178"/>
      <c r="W122" s="178"/>
      <c r="X122" s="178"/>
      <c r="Y122" s="178"/>
      <c r="Z122" s="178"/>
      <c r="AA122" s="178"/>
      <c r="AB122" s="178"/>
      <c r="AC122" s="178"/>
      <c r="AD122" s="178"/>
      <c r="AE122" s="178"/>
      <c r="AF122" s="178"/>
      <c r="AG122" s="178"/>
      <c r="AH122" s="178"/>
      <c r="AI122" s="162"/>
      <c r="AJ122" s="315"/>
      <c r="AK122" s="315"/>
      <c r="AL122" s="315"/>
      <c r="AM122" s="315"/>
      <c r="AN122" s="315"/>
      <c r="AO122" s="315"/>
      <c r="AP122" s="315"/>
      <c r="AQ122" s="315"/>
      <c r="AR122" s="315"/>
      <c r="AS122" s="315"/>
      <c r="AT122" s="315"/>
      <c r="AU122" s="315"/>
      <c r="AV122" s="315"/>
      <c r="AW122" s="315"/>
      <c r="AX122" s="315"/>
      <c r="AY122" s="315"/>
      <c r="AZ122" s="315"/>
      <c r="BA122" s="315"/>
      <c r="BB122" s="315"/>
      <c r="BC122" s="315"/>
      <c r="BD122" s="315"/>
      <c r="BE122" s="315"/>
      <c r="BF122" s="315"/>
      <c r="BG122" s="315"/>
      <c r="BH122" s="315"/>
      <c r="BI122" s="315"/>
      <c r="BJ122" s="315"/>
      <c r="BK122" s="315"/>
      <c r="BL122" s="315"/>
      <c r="BM122" s="315"/>
      <c r="BN122" s="315"/>
      <c r="BO122" s="315"/>
      <c r="BP122" s="315"/>
      <c r="BQ122" s="315"/>
      <c r="BR122" s="315"/>
    </row>
    <row r="123" ht="14.25" customHeight="1">
      <c r="A123" s="314"/>
      <c r="B123" s="246" t="s">
        <v>781</v>
      </c>
      <c r="C123" s="246"/>
      <c r="D123" s="201"/>
      <c r="E123" s="162"/>
      <c r="F123" s="162"/>
      <c r="G123" s="162"/>
      <c r="H123" s="178"/>
      <c r="I123" s="178"/>
      <c r="J123" s="178"/>
      <c r="K123" s="178"/>
      <c r="L123" s="178"/>
      <c r="M123" s="178"/>
      <c r="N123" s="178"/>
      <c r="O123" s="178"/>
      <c r="P123" s="178"/>
      <c r="Q123" s="178"/>
      <c r="R123" s="178"/>
      <c r="S123" s="178"/>
      <c r="T123" s="178"/>
      <c r="U123" s="178"/>
      <c r="V123" s="178"/>
      <c r="W123" s="178"/>
      <c r="X123" s="178"/>
      <c r="Y123" s="178"/>
      <c r="Z123" s="178"/>
      <c r="AA123" s="178"/>
      <c r="AB123" s="178"/>
      <c r="AC123" s="178"/>
      <c r="AD123" s="178"/>
      <c r="AE123" s="178"/>
      <c r="AF123" s="178"/>
      <c r="AG123" s="178"/>
      <c r="AH123" s="178"/>
      <c r="AI123" s="162"/>
      <c r="AJ123" s="315"/>
      <c r="AK123" s="315"/>
      <c r="AL123" s="315"/>
      <c r="AM123" s="315"/>
      <c r="AN123" s="315"/>
      <c r="AO123" s="315"/>
      <c r="AP123" s="315"/>
      <c r="AQ123" s="315"/>
      <c r="AR123" s="315"/>
      <c r="AS123" s="315"/>
      <c r="AT123" s="315"/>
      <c r="AU123" s="315"/>
      <c r="AV123" s="315"/>
      <c r="AW123" s="315"/>
      <c r="AX123" s="315"/>
      <c r="AY123" s="315"/>
      <c r="AZ123" s="315"/>
      <c r="BA123" s="315"/>
      <c r="BB123" s="315"/>
      <c r="BC123" s="315"/>
      <c r="BD123" s="315"/>
      <c r="BE123" s="315"/>
      <c r="BF123" s="315"/>
      <c r="BG123" s="315"/>
      <c r="BH123" s="315"/>
      <c r="BI123" s="315"/>
      <c r="BJ123" s="315"/>
      <c r="BK123" s="315"/>
      <c r="BL123" s="315"/>
      <c r="BM123" s="315"/>
      <c r="BN123" s="315"/>
      <c r="BO123" s="315"/>
      <c r="BP123" s="315"/>
      <c r="BQ123" s="315"/>
      <c r="BR123" s="315"/>
    </row>
    <row r="124" ht="14.25" customHeight="1" outlineLevel="3">
      <c r="A124" s="326"/>
      <c r="B124" s="100"/>
      <c r="C124" s="201"/>
      <c r="D124" s="201"/>
      <c r="E124" s="299" t="str">
        <f>"Total FEC in the residential sector"&amp;IF($F$8="Ok"," (secondary and vacant dwellings included)"," (secondary and vacant dwellings not or partially included)")</f>
        <v>Total FEC in the residential sector (secondary and vacant dwellings not or partially included)</v>
      </c>
      <c r="F124" s="123" t="s">
        <v>135</v>
      </c>
      <c r="G124" s="123" t="s">
        <v>600</v>
      </c>
      <c r="H124" s="274" t="str">
        <f t="shared" ref="H124:AH124" si="7">SUM(H125:H132)</f>
        <v>#REF!</v>
      </c>
      <c r="I124" s="274" t="str">
        <f t="shared" si="7"/>
        <v>#REF!</v>
      </c>
      <c r="J124" s="274" t="str">
        <f t="shared" si="7"/>
        <v>#REF!</v>
      </c>
      <c r="K124" s="274" t="str">
        <f t="shared" si="7"/>
        <v>#REF!</v>
      </c>
      <c r="L124" s="274" t="str">
        <f t="shared" si="7"/>
        <v>#REF!</v>
      </c>
      <c r="M124" s="274" t="str">
        <f t="shared" si="7"/>
        <v>#REF!</v>
      </c>
      <c r="N124" s="274" t="str">
        <f t="shared" si="7"/>
        <v>#REF!</v>
      </c>
      <c r="O124" s="274" t="str">
        <f t="shared" si="7"/>
        <v>#REF!</v>
      </c>
      <c r="P124" s="274" t="str">
        <f t="shared" si="7"/>
        <v>#REF!</v>
      </c>
      <c r="Q124" s="274" t="str">
        <f t="shared" si="7"/>
        <v>#REF!</v>
      </c>
      <c r="R124" s="274" t="str">
        <f t="shared" si="7"/>
        <v>#REF!</v>
      </c>
      <c r="S124" s="274" t="str">
        <f t="shared" si="7"/>
        <v>#REF!</v>
      </c>
      <c r="T124" s="274" t="str">
        <f t="shared" si="7"/>
        <v>#REF!</v>
      </c>
      <c r="U124" s="274" t="str">
        <f t="shared" si="7"/>
        <v>#REF!</v>
      </c>
      <c r="V124" s="274" t="str">
        <f t="shared" si="7"/>
        <v>#REF!</v>
      </c>
      <c r="W124" s="274" t="str">
        <f t="shared" si="7"/>
        <v>#REF!</v>
      </c>
      <c r="X124" s="274" t="str">
        <f t="shared" si="7"/>
        <v>#REF!</v>
      </c>
      <c r="Y124" s="274" t="str">
        <f t="shared" si="7"/>
        <v>#REF!</v>
      </c>
      <c r="Z124" s="274" t="str">
        <f t="shared" si="7"/>
        <v>#REF!</v>
      </c>
      <c r="AA124" s="274" t="str">
        <f t="shared" si="7"/>
        <v>#REF!</v>
      </c>
      <c r="AB124" s="274" t="str">
        <f t="shared" si="7"/>
        <v>#REF!</v>
      </c>
      <c r="AC124" s="274" t="str">
        <f t="shared" si="7"/>
        <v>#REF!</v>
      </c>
      <c r="AD124" s="274" t="str">
        <f t="shared" si="7"/>
        <v>#REF!</v>
      </c>
      <c r="AE124" s="274" t="str">
        <f t="shared" si="7"/>
        <v>#REF!</v>
      </c>
      <c r="AF124" s="274" t="str">
        <f t="shared" si="7"/>
        <v>#REF!</v>
      </c>
      <c r="AG124" s="274" t="str">
        <f t="shared" si="7"/>
        <v>#REF!</v>
      </c>
      <c r="AH124" s="274" t="str">
        <f t="shared" si="7"/>
        <v>#REF!</v>
      </c>
      <c r="AI124" s="125"/>
      <c r="AJ124" s="127"/>
      <c r="AK124" s="127"/>
      <c r="AL124" s="127"/>
      <c r="AM124" s="127"/>
      <c r="AN124" s="127"/>
      <c r="AO124" s="127"/>
      <c r="AP124" s="127"/>
      <c r="AQ124" s="127"/>
      <c r="AR124" s="127"/>
      <c r="AS124" s="127"/>
      <c r="AT124" s="127"/>
      <c r="AU124" s="127"/>
      <c r="AV124" s="127"/>
      <c r="AW124" s="127"/>
      <c r="AX124" s="127"/>
      <c r="AY124" s="127"/>
      <c r="AZ124" s="127"/>
      <c r="BA124" s="127"/>
      <c r="BB124" s="127"/>
      <c r="BC124" s="127"/>
      <c r="BD124" s="127"/>
      <c r="BE124" s="127"/>
      <c r="BF124" s="127"/>
      <c r="BG124" s="127"/>
      <c r="BH124" s="127"/>
      <c r="BI124" s="127"/>
      <c r="BJ124" s="127"/>
      <c r="BK124" s="127"/>
      <c r="BL124" s="127"/>
      <c r="BM124" s="127"/>
      <c r="BN124" s="127"/>
      <c r="BO124" s="127"/>
      <c r="BP124" s="127"/>
      <c r="BQ124" s="127"/>
      <c r="BR124" s="127"/>
    </row>
    <row r="125" ht="14.25" customHeight="1" outlineLevel="3">
      <c r="A125" s="326"/>
      <c r="B125" s="201"/>
      <c r="C125" s="201"/>
      <c r="D125" s="201"/>
      <c r="E125" s="273" t="str">
        <f>"FEC from solid fossil fuels (coal ...) in the residential sector"&amp;IF($F$8="Ok"," (secondary and vacant dwellings included)"," (secondary and vacant dwellings not or partially included)")</f>
        <v>FEC from solid fossil fuels (coal ...) in the residential sector (secondary and vacant dwellings not or partially included)</v>
      </c>
      <c r="F125" s="123" t="s">
        <v>135</v>
      </c>
      <c r="G125" s="123" t="s">
        <v>601</v>
      </c>
      <c r="H125" s="274">
        <f>IF(crdalireschf=1,cmscfreschf,calcmscfreschf)+cmscfresecs+cmscfrescui</f>
        <v>0.003</v>
      </c>
      <c r="I125" s="274">
        <f>IF(crdalireschf=1,cmscfreschf,calcmscfreschf)+cmscfresecs+cmscfrescui</f>
        <v>0.0029</v>
      </c>
      <c r="J125" s="274">
        <f>IF(crdalireschf=1,cmscfreschf,calcmscfreschf)+cmscfresecs+cmscfrescui</f>
        <v>0.0029</v>
      </c>
      <c r="K125" s="274">
        <f>IF(crdalireschf=1,cmscfreschf,calcmscfreschf)+cmscfresecs+cmscfrescui</f>
        <v>0.0028</v>
      </c>
      <c r="L125" s="274">
        <f>IF(crdalireschf=1,cmscfreschf,calcmscfreschf)+cmscfresecs+cmscfrescui</f>
        <v>0.0028</v>
      </c>
      <c r="M125" s="274">
        <f>IF(crdalireschf=1,cmscfreschf,calcmscfreschf)+cmscfresecs+cmscfrescui</f>
        <v>0.0029</v>
      </c>
      <c r="N125" s="274">
        <f>IF(crdalireschf=1,cmscfreschf,calcmscfreschf)+cmscfresecs+cmscfrescui</f>
        <v>0.0028</v>
      </c>
      <c r="O125" s="274">
        <f>IF(crdalireschf=1,cmscfreschf,calcmscfreschf)+cmscfresecs+cmscfrescui</f>
        <v>0.0027</v>
      </c>
      <c r="P125" s="274">
        <f>IF(crdalireschf=1,cmscfreschf,calcmscfreschf)+cmscfresecs+cmscfrescui</f>
        <v>0.0027</v>
      </c>
      <c r="Q125" s="274">
        <f>IF(crdalireschf=1,cmscfreschf,calcmscfreschf)+cmscfresecs+cmscfrescui</f>
        <v>0.0026</v>
      </c>
      <c r="R125" s="274">
        <f>IF(crdalireschf=1,cmscfreschf,calcmscfreschf)+cmscfresecs+cmscfrescui</f>
        <v>0.0026</v>
      </c>
      <c r="S125" s="274">
        <f>IF(crdalireschf=1,cmscfreschf,calcmscfreschf)+cmscfresecs+cmscfrescui</f>
        <v>0.0026</v>
      </c>
      <c r="T125" s="274">
        <f>IF(crdalireschf=1,cmscfreschf,calcmscfreschf)+cmscfresecs+cmscfrescui</f>
        <v>0.0027</v>
      </c>
      <c r="U125" s="274">
        <f>IF(crdalireschf=1,cmscfreschf,calcmscfreschf)+cmscfresecs+cmscfrescui</f>
        <v>0.0027</v>
      </c>
      <c r="V125" s="274">
        <f>IF(crdalireschf=1,cmscfreschf,calcmscfreschf)+cmscfresecs+cmscfrescui</f>
        <v>0.0027</v>
      </c>
      <c r="W125" s="274">
        <f>IF(crdalireschf=1,cmscfreschf,calcmscfreschf)+cmscfresecs+cmscfrescui</f>
        <v>1.0952</v>
      </c>
      <c r="X125" s="274">
        <f>IF(crdalireschf=1,cmscfreschf,calcmscfreschf)+cmscfresecs+cmscfrescui</f>
        <v>0.0027</v>
      </c>
      <c r="Y125" s="274">
        <f>IF(crdalireschf=1,cmscfreschf,calcmscfreschf)+cmscfresecs+cmscfrescui</f>
        <v>0.0027</v>
      </c>
      <c r="Z125" s="274">
        <f>IF(crdalireschf=1,cmscfreschf,calcmscfreschf)+cmscfresecs+cmscfrescui</f>
        <v>0</v>
      </c>
      <c r="AA125" s="274">
        <f>IF(crdalireschf=1,cmscfreschf,calcmscfreschf)+cmscfresecs+cmscfrescui</f>
        <v>0</v>
      </c>
      <c r="AB125" s="274">
        <f>IF(crdalireschf=1,cmscfreschf,calcmscfreschf)+cmscfresecs+cmscfrescui</f>
        <v>0.891550824</v>
      </c>
      <c r="AC125" s="274">
        <f>IF(crdalireschf=1,cmscfreschf,calcmscfreschf)+cmscfresecs+cmscfrescui</f>
        <v>0.1713892634</v>
      </c>
      <c r="AD125" s="274">
        <f>IF(crdalireschf=1,cmscfreschf,calcmscfreschf)+cmscfresecs+cmscfrescui</f>
        <v>0</v>
      </c>
      <c r="AE125" s="274">
        <f>IF(crdalireschf=1,cmscfreschf,calcmscfreschf)+cmscfresecs+cmscfrescui</f>
        <v>0</v>
      </c>
      <c r="AF125" s="274">
        <f>IF(crdalireschf=1,cmscfreschf,calcmscfreschf)+cmscfresecs+cmscfrescui</f>
        <v>0</v>
      </c>
      <c r="AG125" s="274">
        <f>IF(crdalireschf=1,cmscfreschf,calcmscfreschf)+cmscfresecs+cmscfrescui</f>
        <v>0</v>
      </c>
      <c r="AH125" s="274">
        <f>IF(crdalireschf=1,cmscfreschf,calcmscfreschf)+cmscfresecs+cmscfrescui</f>
        <v>0</v>
      </c>
      <c r="AI125" s="125"/>
      <c r="AJ125" s="127"/>
      <c r="AK125" s="127"/>
      <c r="AL125" s="127"/>
      <c r="AM125" s="127"/>
      <c r="AN125" s="127"/>
      <c r="AO125" s="127"/>
      <c r="AP125" s="127"/>
      <c r="AQ125" s="127"/>
      <c r="AR125" s="127"/>
      <c r="AS125" s="127"/>
      <c r="AT125" s="127"/>
      <c r="AU125" s="127"/>
      <c r="AV125" s="127"/>
      <c r="AW125" s="127"/>
      <c r="AX125" s="127"/>
      <c r="AY125" s="127"/>
      <c r="AZ125" s="127"/>
      <c r="BA125" s="127"/>
      <c r="BB125" s="127"/>
      <c r="BC125" s="127"/>
      <c r="BD125" s="127"/>
      <c r="BE125" s="127"/>
      <c r="BF125" s="127"/>
      <c r="BG125" s="127"/>
      <c r="BH125" s="127"/>
      <c r="BI125" s="127"/>
      <c r="BJ125" s="127"/>
      <c r="BK125" s="127"/>
      <c r="BL125" s="127"/>
      <c r="BM125" s="127"/>
      <c r="BN125" s="127"/>
      <c r="BO125" s="127"/>
      <c r="BP125" s="127"/>
      <c r="BQ125" s="127"/>
      <c r="BR125" s="127"/>
    </row>
    <row r="126" ht="14.25" customHeight="1" outlineLevel="3">
      <c r="A126" s="326"/>
      <c r="B126" s="201"/>
      <c r="C126" s="201"/>
      <c r="D126" s="201"/>
      <c r="E126" s="273" t="str">
        <f>"FEC from solid biomass in the residential sector"&amp;IF($F$8="Ok"," (secondary and vacant dwellings included)"," (secondary and vacant dwellings not or partially included)")</f>
        <v>FEC from solid biomass in the residential sector (secondary and vacant dwellings not or partially included)</v>
      </c>
      <c r="F126" s="123" t="s">
        <v>135</v>
      </c>
      <c r="G126" s="123" t="s">
        <v>602</v>
      </c>
      <c r="H126" s="274">
        <f>IF(crdalireschf=1,enccfreschf,calenccfreschf)+enccfresecs+enccfrescui</f>
        <v>0</v>
      </c>
      <c r="I126" s="274">
        <f>IF(crdalireschf=1,enccfreschf,calenccfreschf)+enccfresecs+enccfrescui</f>
        <v>0</v>
      </c>
      <c r="J126" s="274">
        <f>IF(crdalireschf=1,enccfreschf,calenccfreschf)+enccfresecs+enccfrescui</f>
        <v>0</v>
      </c>
      <c r="K126" s="274">
        <f>IF(crdalireschf=1,enccfreschf,calenccfreschf)+enccfresecs+enccfrescui</f>
        <v>0</v>
      </c>
      <c r="L126" s="274">
        <f>IF(crdalireschf=1,enccfreschf,calenccfreschf)+enccfresecs+enccfrescui</f>
        <v>0</v>
      </c>
      <c r="M126" s="274">
        <f>IF(crdalireschf=1,enccfreschf,calenccfreschf)+enccfresecs+enccfrescui</f>
        <v>0</v>
      </c>
      <c r="N126" s="274">
        <f>IF(crdalireschf=1,enccfreschf,calenccfreschf)+enccfresecs+enccfrescui</f>
        <v>0</v>
      </c>
      <c r="O126" s="274">
        <f>IF(crdalireschf=1,enccfreschf,calenccfreschf)+enccfresecs+enccfrescui</f>
        <v>0</v>
      </c>
      <c r="P126" s="274">
        <f>IF(crdalireschf=1,enccfreschf,calenccfreschf)+enccfresecs+enccfrescui</f>
        <v>0</v>
      </c>
      <c r="Q126" s="274">
        <f>IF(crdalireschf=1,enccfreschf,calenccfreschf)+enccfresecs+enccfrescui</f>
        <v>0</v>
      </c>
      <c r="R126" s="274">
        <f>IF(crdalireschf=1,enccfreschf,calenccfreschf)+enccfresecs+enccfrescui</f>
        <v>0.1533</v>
      </c>
      <c r="S126" s="274">
        <f>IF(crdalireschf=1,enccfreschf,calenccfreschf)+enccfresecs+enccfrescui</f>
        <v>0.1738</v>
      </c>
      <c r="T126" s="274">
        <f>IF(crdalireschf=1,enccfreschf,calenccfreschf)+enccfresecs+enccfrescui</f>
        <v>0.1836</v>
      </c>
      <c r="U126" s="274">
        <f>IF(crdalireschf=1,enccfreschf,calenccfreschf)+enccfresecs+enccfrescui</f>
        <v>0.227</v>
      </c>
      <c r="V126" s="274">
        <f>IF(crdalireschf=1,enccfreschf,calenccfreschf)+enccfresecs+enccfrescui</f>
        <v>0.2484</v>
      </c>
      <c r="W126" s="274">
        <f>IF(crdalireschf=1,enccfreschf,calenccfreschf)+enccfresecs+enccfrescui</f>
        <v>6.751522601</v>
      </c>
      <c r="X126" s="274">
        <f>IF(crdalireschf=1,enccfreschf,calenccfreschf)+enccfresecs+enccfrescui</f>
        <v>0.2909</v>
      </c>
      <c r="Y126" s="274">
        <f>IF(crdalireschf=1,enccfreschf,calenccfreschf)+enccfresecs+enccfrescui</f>
        <v>0.3005</v>
      </c>
      <c r="Z126" s="274">
        <f>IF(crdalireschf=1,enccfreschf,calenccfreschf)+enccfresecs+enccfrescui</f>
        <v>0</v>
      </c>
      <c r="AA126" s="274">
        <f>IF(crdalireschf=1,enccfreschf,calenccfreschf)+enccfresecs+enccfrescui</f>
        <v>0</v>
      </c>
      <c r="AB126" s="274">
        <f>IF(crdalireschf=1,enccfreschf,calenccfreschf)+enccfresecs+enccfrescui</f>
        <v>6.678578024</v>
      </c>
      <c r="AC126" s="274">
        <f>IF(crdalireschf=1,enccfreschf,calenccfreschf)+enccfresecs+enccfrescui</f>
        <v>6.446347728</v>
      </c>
      <c r="AD126" s="274">
        <f>IF(crdalireschf=1,enccfreschf,calenccfreschf)+enccfresecs+enccfrescui</f>
        <v>5.843473363</v>
      </c>
      <c r="AE126" s="274">
        <f>IF(crdalireschf=1,enccfreschf,calenccfreschf)+enccfresecs+enccfrescui</f>
        <v>5.296015334</v>
      </c>
      <c r="AF126" s="274">
        <f>IF(crdalireschf=1,enccfreschf,calenccfreschf)+enccfresecs+enccfrescui</f>
        <v>4.747842012</v>
      </c>
      <c r="AG126" s="274">
        <f>IF(crdalireschf=1,enccfreschf,calenccfreschf)+enccfresecs+enccfrescui</f>
        <v>4.282792293</v>
      </c>
      <c r="AH126" s="274">
        <f>IF(crdalireschf=1,enccfreschf,calenccfreschf)+enccfresecs+enccfrescui</f>
        <v>3.916041904</v>
      </c>
      <c r="AI126" s="125"/>
      <c r="AJ126" s="127"/>
      <c r="AK126" s="127"/>
      <c r="AL126" s="127"/>
      <c r="AM126" s="127"/>
      <c r="AN126" s="127"/>
      <c r="AO126" s="127"/>
      <c r="AP126" s="127"/>
      <c r="AQ126" s="127"/>
      <c r="AR126" s="127"/>
      <c r="AS126" s="127"/>
      <c r="AT126" s="127"/>
      <c r="AU126" s="127"/>
      <c r="AV126" s="127"/>
      <c r="AW126" s="127"/>
      <c r="AX126" s="127"/>
      <c r="AY126" s="127"/>
      <c r="AZ126" s="127"/>
      <c r="BA126" s="127"/>
      <c r="BB126" s="127"/>
      <c r="BC126" s="127"/>
      <c r="BD126" s="127"/>
      <c r="BE126" s="127"/>
      <c r="BF126" s="127"/>
      <c r="BG126" s="127"/>
      <c r="BH126" s="127"/>
      <c r="BI126" s="127"/>
      <c r="BJ126" s="127"/>
      <c r="BK126" s="127"/>
      <c r="BL126" s="127"/>
      <c r="BM126" s="127"/>
      <c r="BN126" s="127"/>
      <c r="BO126" s="127"/>
      <c r="BP126" s="127"/>
      <c r="BQ126" s="127"/>
      <c r="BR126" s="127"/>
    </row>
    <row r="127" ht="14.25" customHeight="1" outlineLevel="3">
      <c r="A127" s="326"/>
      <c r="B127" s="201"/>
      <c r="C127" s="201"/>
      <c r="D127" s="201"/>
      <c r="E127" s="273" t="str">
        <f>"FEC from oil in the residential sector"&amp;IF($F$8="Ok"," (secondary and vacant dwellings included)"," (secondary and vacant dwellings not or partially included)")</f>
        <v>FEC from oil in the residential sector (secondary and vacant dwellings not or partially included)</v>
      </c>
      <c r="F127" s="123" t="s">
        <v>135</v>
      </c>
      <c r="G127" s="123" t="s">
        <v>603</v>
      </c>
      <c r="H127" s="274">
        <f>IF(crdalireschf=1,petcfreschf,calpetcfreschf)+petcfresecs+petcfrescui</f>
        <v>2.199</v>
      </c>
      <c r="I127" s="274">
        <f>IF(crdalireschf=1,petcfreschf,calpetcfreschf)+petcfresecs+petcfrescui</f>
        <v>2.1515</v>
      </c>
      <c r="J127" s="274">
        <f>IF(crdalireschf=1,petcfreschf,calpetcfreschf)+petcfresecs+petcfrescui</f>
        <v>2.146</v>
      </c>
      <c r="K127" s="274">
        <f>IF(crdalireschf=1,petcfreschf,calpetcfreschf)+petcfresecs+petcfrescui</f>
        <v>2.1174</v>
      </c>
      <c r="L127" s="274">
        <f>IF(crdalireschf=1,petcfreschf,calpetcfreschf)+petcfresecs+petcfrescui</f>
        <v>2.0927</v>
      </c>
      <c r="M127" s="274">
        <f>IF(crdalireschf=1,petcfreschf,calpetcfreschf)+petcfresecs+petcfrescui</f>
        <v>2.1838</v>
      </c>
      <c r="N127" s="274">
        <f>IF(crdalireschf=1,petcfreschf,calpetcfreschf)+petcfresecs+petcfrescui</f>
        <v>2.0667</v>
      </c>
      <c r="O127" s="274">
        <f>IF(crdalireschf=1,petcfreschf,calpetcfreschf)+petcfresecs+petcfrescui</f>
        <v>2.0411</v>
      </c>
      <c r="P127" s="274">
        <f>IF(crdalireschf=1,petcfreschf,calpetcfreschf)+petcfresecs+petcfrescui</f>
        <v>1.9866</v>
      </c>
      <c r="Q127" s="274">
        <f>IF(crdalireschf=1,petcfreschf,calpetcfreschf)+petcfresecs+petcfrescui</f>
        <v>1.9365</v>
      </c>
      <c r="R127" s="274">
        <f>IF(crdalireschf=1,petcfreschf,calpetcfreschf)+petcfresecs+petcfrescui</f>
        <v>1.9462</v>
      </c>
      <c r="S127" s="274">
        <f>IF(crdalireschf=1,petcfreschf,calpetcfreschf)+petcfresecs+petcfrescui</f>
        <v>1.966</v>
      </c>
      <c r="T127" s="274">
        <f>IF(crdalireschf=1,petcfreschf,calpetcfreschf)+petcfresecs+petcfrescui</f>
        <v>1.9813</v>
      </c>
      <c r="U127" s="274">
        <f>IF(crdalireschf=1,petcfreschf,calpetcfreschf)+petcfresecs+petcfrescui</f>
        <v>1.9926</v>
      </c>
      <c r="V127" s="274">
        <f>IF(crdalireschf=1,petcfreschf,calpetcfreschf)+petcfresecs+petcfrescui</f>
        <v>2.0017</v>
      </c>
      <c r="W127" s="274">
        <f>IF(crdalireschf=1,petcfreschf,calpetcfreschf)+petcfresecs+petcfrescui</f>
        <v>33.34383893</v>
      </c>
      <c r="X127" s="274">
        <f>IF(crdalireschf=1,petcfreschf,calpetcfreschf)+petcfresecs+petcfrescui</f>
        <v>2.0229</v>
      </c>
      <c r="Y127" s="274">
        <f>IF(crdalireschf=1,petcfreschf,calpetcfreschf)+petcfresecs+petcfrescui</f>
        <v>2.0329</v>
      </c>
      <c r="Z127" s="274">
        <f>IF(crdalireschf=1,petcfreschf,calpetcfreschf)+petcfresecs+petcfrescui</f>
        <v>0</v>
      </c>
      <c r="AA127" s="274">
        <f>IF(crdalireschf=1,petcfreschf,calpetcfreschf)+petcfresecs+petcfrescui</f>
        <v>0</v>
      </c>
      <c r="AB127" s="274">
        <f>IF(crdalireschf=1,petcfreschf,calpetcfreschf)+petcfresecs+petcfrescui</f>
        <v>28.7600087</v>
      </c>
      <c r="AC127" s="274">
        <f>IF(crdalireschf=1,petcfreschf,calpetcfreschf)+petcfresecs+petcfrescui</f>
        <v>20.27087574</v>
      </c>
      <c r="AD127" s="274">
        <f>IF(crdalireschf=1,petcfreschf,calpetcfreschf)+petcfresecs+petcfrescui</f>
        <v>8.135080873</v>
      </c>
      <c r="AE127" s="274">
        <f>IF(crdalireschf=1,petcfreschf,calpetcfreschf)+petcfresecs+petcfrescui</f>
        <v>4.101325297</v>
      </c>
      <c r="AF127" s="274">
        <f>IF(crdalireschf=1,petcfreschf,calpetcfreschf)+petcfresecs+petcfrescui</f>
        <v>3.20359923</v>
      </c>
      <c r="AG127" s="274">
        <f>IF(crdalireschf=1,petcfreschf,calpetcfreschf)+petcfresecs+petcfrescui</f>
        <v>0.7221797493</v>
      </c>
      <c r="AH127" s="274">
        <f>IF(crdalireschf=1,petcfreschf,calpetcfreschf)+petcfresecs+petcfrescui</f>
        <v>0</v>
      </c>
      <c r="AI127" s="125"/>
      <c r="AJ127" s="127"/>
      <c r="AK127" s="127"/>
      <c r="AL127" s="127"/>
      <c r="AM127" s="127"/>
      <c r="AN127" s="127"/>
      <c r="AO127" s="127"/>
      <c r="AP127" s="127"/>
      <c r="AQ127" s="127"/>
      <c r="AR127" s="127"/>
      <c r="AS127" s="127"/>
      <c r="AT127" s="127"/>
      <c r="AU127" s="127"/>
      <c r="AV127" s="127"/>
      <c r="AW127" s="127"/>
      <c r="AX127" s="127"/>
      <c r="AY127" s="127"/>
      <c r="AZ127" s="127"/>
      <c r="BA127" s="127"/>
      <c r="BB127" s="127"/>
      <c r="BC127" s="127"/>
      <c r="BD127" s="127"/>
      <c r="BE127" s="127"/>
      <c r="BF127" s="127"/>
      <c r="BG127" s="127"/>
      <c r="BH127" s="127"/>
      <c r="BI127" s="127"/>
      <c r="BJ127" s="127"/>
      <c r="BK127" s="127"/>
      <c r="BL127" s="127"/>
      <c r="BM127" s="127"/>
      <c r="BN127" s="127"/>
      <c r="BO127" s="127"/>
      <c r="BP127" s="127"/>
      <c r="BQ127" s="127"/>
      <c r="BR127" s="127"/>
    </row>
    <row r="128" ht="14.25" customHeight="1" outlineLevel="3">
      <c r="A128" s="326"/>
      <c r="B128" s="201"/>
      <c r="C128" s="201"/>
      <c r="D128" s="201"/>
      <c r="E128" s="273" t="str">
        <f>"FEC from gas grid / gas consumed locally in the residential sector"&amp;IF($F$8="Ok"," (secondary and vacant dwellings included)"," (secondary and vacant dwellings not or partially included)")</f>
        <v>FEC from gas grid / gas consumed locally in the residential sector (secondary and vacant dwellings not or partially included)</v>
      </c>
      <c r="F128" s="123" t="s">
        <v>135</v>
      </c>
      <c r="G128" s="123" t="s">
        <v>604</v>
      </c>
      <c r="H128" s="274">
        <f>IF(crdalireschf=1,gazcfreschf,calgazcfreschf)+gazcfresecs+gazcfrescui</f>
        <v>0</v>
      </c>
      <c r="I128" s="274">
        <f>IF(crdalireschf=1,gazcfreschf,calgazcfreschf)+gazcfresecs+gazcfrescui</f>
        <v>0</v>
      </c>
      <c r="J128" s="274">
        <f>IF(crdalireschf=1,gazcfreschf,calgazcfreschf)+gazcfresecs+gazcfrescui</f>
        <v>0</v>
      </c>
      <c r="K128" s="274">
        <f>IF(crdalireschf=1,gazcfreschf,calgazcfreschf)+gazcfresecs+gazcfrescui</f>
        <v>0</v>
      </c>
      <c r="L128" s="274">
        <f>IF(crdalireschf=1,gazcfreschf,calgazcfreschf)+gazcfresecs+gazcfrescui</f>
        <v>0</v>
      </c>
      <c r="M128" s="274">
        <f>IF(crdalireschf=1,gazcfreschf,calgazcfreschf)+gazcfresecs+gazcfrescui</f>
        <v>0</v>
      </c>
      <c r="N128" s="274">
        <f>IF(crdalireschf=1,gazcfreschf,calgazcfreschf)+gazcfresecs+gazcfrescui</f>
        <v>0</v>
      </c>
      <c r="O128" s="274">
        <f>IF(crdalireschf=1,gazcfreschf,calgazcfreschf)+gazcfresecs+gazcfrescui</f>
        <v>0</v>
      </c>
      <c r="P128" s="274">
        <f>IF(crdalireschf=1,gazcfreschf,calgazcfreschf)+gazcfresecs+gazcfrescui</f>
        <v>0</v>
      </c>
      <c r="Q128" s="274">
        <f>IF(crdalireschf=1,gazcfreschf,calgazcfreschf)+gazcfresecs+gazcfrescui</f>
        <v>0</v>
      </c>
      <c r="R128" s="274">
        <f>IF(crdalireschf=1,gazcfreschf,calgazcfreschf)+gazcfresecs+gazcfrescui</f>
        <v>5.6997</v>
      </c>
      <c r="S128" s="274">
        <f>IF(crdalireschf=1,gazcfreschf,calgazcfreschf)+gazcfresecs+gazcfrescui</f>
        <v>5.7573</v>
      </c>
      <c r="T128" s="274">
        <f>IF(crdalireschf=1,gazcfreschf,calgazcfreschf)+gazcfresecs+gazcfrescui</f>
        <v>5.8019</v>
      </c>
      <c r="U128" s="274">
        <f>IF(crdalireschf=1,gazcfreschf,calgazcfreschf)+gazcfresecs+gazcfrescui</f>
        <v>5.835</v>
      </c>
      <c r="V128" s="274">
        <f>IF(crdalireschf=1,gazcfreschf,calgazcfreschf)+gazcfresecs+gazcfrescui</f>
        <v>5.8615</v>
      </c>
      <c r="W128" s="274">
        <f>IF(crdalireschf=1,gazcfreschf,calgazcfreschf)+gazcfresecs+gazcfrescui</f>
        <v>36.53905256</v>
      </c>
      <c r="X128" s="274">
        <f>IF(crdalireschf=1,gazcfreschf,calgazcfreschf)+gazcfresecs+gazcfrescui</f>
        <v>5.9237</v>
      </c>
      <c r="Y128" s="274">
        <f>IF(crdalireschf=1,gazcfreschf,calgazcfreschf)+gazcfresecs+gazcfrescui</f>
        <v>5.9525</v>
      </c>
      <c r="Z128" s="274">
        <f>IF(crdalireschf=1,gazcfreschf,calgazcfreschf)+gazcfresecs+gazcfrescui</f>
        <v>0</v>
      </c>
      <c r="AA128" s="274">
        <f>IF(crdalireschf=1,gazcfreschf,calgazcfreschf)+gazcfresecs+gazcfrescui</f>
        <v>0</v>
      </c>
      <c r="AB128" s="274">
        <f>IF(crdalireschf=1,gazcfreschf,calgazcfreschf)+gazcfresecs+gazcfrescui</f>
        <v>31.94220493</v>
      </c>
      <c r="AC128" s="274">
        <f>IF(crdalireschf=1,gazcfreschf,calgazcfreschf)+gazcfresecs+gazcfrescui</f>
        <v>23.93655293</v>
      </c>
      <c r="AD128" s="274">
        <f>IF(crdalireschf=1,gazcfreschf,calgazcfreschf)+gazcfresecs+gazcfrescui</f>
        <v>17.80280676</v>
      </c>
      <c r="AE128" s="274">
        <f>IF(crdalireschf=1,gazcfreschf,calgazcfreschf)+gazcfresecs+gazcfrescui</f>
        <v>11.92658257</v>
      </c>
      <c r="AF128" s="274">
        <f>IF(crdalireschf=1,gazcfreschf,calgazcfreschf)+gazcfresecs+gazcfrescui</f>
        <v>7.432360735</v>
      </c>
      <c r="AG128" s="274">
        <f>IF(crdalireschf=1,gazcfreschf,calgazcfreschf)+gazcfresecs+gazcfrescui</f>
        <v>3.72402221</v>
      </c>
      <c r="AH128" s="274">
        <f>IF(crdalireschf=1,gazcfreschf,calgazcfreschf)+gazcfresecs+gazcfrescui</f>
        <v>0.9071156979</v>
      </c>
      <c r="AI128" s="125"/>
      <c r="AJ128" s="127"/>
      <c r="AK128" s="127"/>
      <c r="AL128" s="127"/>
      <c r="AM128" s="127"/>
      <c r="AN128" s="127"/>
      <c r="AO128" s="127"/>
      <c r="AP128" s="127"/>
      <c r="AQ128" s="127"/>
      <c r="AR128" s="127"/>
      <c r="AS128" s="127"/>
      <c r="AT128" s="127"/>
      <c r="AU128" s="127"/>
      <c r="AV128" s="127"/>
      <c r="AW128" s="127"/>
      <c r="AX128" s="127"/>
      <c r="AY128" s="127"/>
      <c r="AZ128" s="127"/>
      <c r="BA128" s="127"/>
      <c r="BB128" s="127"/>
      <c r="BC128" s="127"/>
      <c r="BD128" s="127"/>
      <c r="BE128" s="127"/>
      <c r="BF128" s="127"/>
      <c r="BG128" s="127"/>
      <c r="BH128" s="127"/>
      <c r="BI128" s="127"/>
      <c r="BJ128" s="127"/>
      <c r="BK128" s="127"/>
      <c r="BL128" s="127"/>
      <c r="BM128" s="127"/>
      <c r="BN128" s="127"/>
      <c r="BO128" s="127"/>
      <c r="BP128" s="127"/>
      <c r="BQ128" s="127"/>
      <c r="BR128" s="127"/>
    </row>
    <row r="129" ht="14.25" customHeight="1" outlineLevel="3">
      <c r="A129" s="326"/>
      <c r="B129" s="201"/>
      <c r="C129" s="201"/>
      <c r="D129" s="201"/>
      <c r="E129" s="273" t="str">
        <f>"Final electricity consumption in the residential sector"&amp;IF($F$8="Ok"," (secondary and vacant dwellings included)"," (secondary and vacant dwellings not or partially included)")</f>
        <v>Final electricity consumption in the residential sector (secondary and vacant dwellings not or partially included)</v>
      </c>
      <c r="F129" s="123" t="s">
        <v>135</v>
      </c>
      <c r="G129" s="123" t="s">
        <v>605</v>
      </c>
      <c r="H129" s="274" t="str">
        <f>IF(crdalireschf=1,elccfreschf,calelccfreschf)+calelccfrescli+elccfresecs+elccfrescui+IF(crdaliresels=1,elecfresels,caltotelccfresdom)+elccfresbmg</f>
        <v>#REF!</v>
      </c>
      <c r="I129" s="274" t="str">
        <f>IF(crdalireschf=1,elccfreschf,calelccfreschf)+calelccfrescli+elccfresecs+elccfrescui+IF(crdaliresels=1,elecfresels,caltotelccfresdom)+elccfresbmg</f>
        <v>#REF!</v>
      </c>
      <c r="J129" s="274" t="str">
        <f>IF(crdalireschf=1,elccfreschf,calelccfreschf)+calelccfrescli+elccfresecs+elccfrescui+IF(crdaliresels=1,elecfresels,caltotelccfresdom)+elccfresbmg</f>
        <v>#REF!</v>
      </c>
      <c r="K129" s="274" t="str">
        <f>IF(crdalireschf=1,elccfreschf,calelccfreschf)+calelccfrescli+elccfresecs+elccfrescui+IF(crdaliresels=1,elecfresels,caltotelccfresdom)+elccfresbmg</f>
        <v>#REF!</v>
      </c>
      <c r="L129" s="274" t="str">
        <f>IF(crdalireschf=1,elccfreschf,calelccfreschf)+calelccfrescli+elccfresecs+elccfrescui+IF(crdaliresels=1,elecfresels,caltotelccfresdom)+elccfresbmg</f>
        <v>#REF!</v>
      </c>
      <c r="M129" s="274" t="str">
        <f>IF(crdalireschf=1,elccfreschf,calelccfreschf)+calelccfrescli+elccfresecs+elccfrescui+IF(crdaliresels=1,elecfresels,caltotelccfresdom)+elccfresbmg</f>
        <v>#REF!</v>
      </c>
      <c r="N129" s="274" t="str">
        <f>IF(crdalireschf=1,elccfreschf,calelccfreschf)+calelccfrescli+elccfresecs+elccfrescui+IF(crdaliresels=1,elecfresels,caltotelccfresdom)+elccfresbmg</f>
        <v>#REF!</v>
      </c>
      <c r="O129" s="274" t="str">
        <f>IF(crdalireschf=1,elccfreschf,calelccfreschf)+calelccfrescli+elccfresecs+elccfrescui+IF(crdaliresels=1,elecfresels,caltotelccfresdom)+elccfresbmg</f>
        <v>#REF!</v>
      </c>
      <c r="P129" s="274" t="str">
        <f>IF(crdalireschf=1,elccfreschf,calelccfreschf)+calelccfrescli+elccfresecs+elccfrescui+IF(crdaliresels=1,elecfresels,caltotelccfresdom)+elccfresbmg</f>
        <v>#REF!</v>
      </c>
      <c r="Q129" s="274" t="str">
        <f>IF(crdalireschf=1,elccfreschf,calelccfreschf)+calelccfrescli+elccfresecs+elccfrescui+IF(crdaliresels=1,elecfresels,caltotelccfresdom)+elccfresbmg</f>
        <v>#REF!</v>
      </c>
      <c r="R129" s="274" t="str">
        <f>IF(crdalireschf=1,elccfreschf,calelccfreschf)+calelccfrescli+elccfresecs+elccfrescui+IF(crdaliresels=1,elecfresels,caltotelccfresdom)+elccfresbmg</f>
        <v>#REF!</v>
      </c>
      <c r="S129" s="274" t="str">
        <f>IF(crdalireschf=1,elccfreschf,calelccfreschf)+calelccfrescli+elccfresecs+elccfrescui+IF(crdaliresels=1,elecfresels,caltotelccfresdom)+elccfresbmg</f>
        <v>#REF!</v>
      </c>
      <c r="T129" s="274" t="str">
        <f>IF(crdalireschf=1,elccfreschf,calelccfreschf)+calelccfrescli+elccfresecs+elccfrescui+IF(crdaliresels=1,elecfresels,caltotelccfresdom)+elccfresbmg</f>
        <v>#REF!</v>
      </c>
      <c r="U129" s="274" t="str">
        <f>IF(crdalireschf=1,elccfreschf,calelccfreschf)+calelccfrescli+elccfresecs+elccfrescui+IF(crdaliresels=1,elecfresels,caltotelccfresdom)+elccfresbmg</f>
        <v>#REF!</v>
      </c>
      <c r="V129" s="274" t="str">
        <f>IF(crdalireschf=1,elccfreschf,calelccfreschf)+calelccfrescli+elccfresecs+elccfrescui+IF(crdaliresels=1,elecfresels,caltotelccfresdom)+elccfresbmg</f>
        <v>#REF!</v>
      </c>
      <c r="W129" s="274" t="str">
        <f>IF(crdalireschf=1,elccfreschf,calelccfreschf)+calelccfrescli+elccfresecs+elccfrescui+IF(crdaliresels=1,elecfresels,caltotelccfresdom)+elccfresbmg</f>
        <v>#REF!</v>
      </c>
      <c r="X129" s="274" t="str">
        <f>IF(crdalireschf=1,elccfreschf,calelccfreschf)+calelccfrescli+elccfresecs+elccfrescui+IF(crdaliresels=1,elecfresels,caltotelccfresdom)+elccfresbmg</f>
        <v>#REF!</v>
      </c>
      <c r="Y129" s="274" t="str">
        <f>IF(crdalireschf=1,elccfreschf,calelccfreschf)+calelccfrescli+elccfresecs+elccfrescui+IF(crdaliresels=1,elecfresels,caltotelccfresdom)+elccfresbmg</f>
        <v>#REF!</v>
      </c>
      <c r="Z129" s="274" t="str">
        <f>IF(crdalireschf=1,elccfreschf,calelccfreschf)+calelccfrescli+elccfresecs+elccfrescui+IF(crdaliresels=1,elecfresels,caltotelccfresdom)+elccfresbmg</f>
        <v>#REF!</v>
      </c>
      <c r="AA129" s="274" t="str">
        <f>IF(crdalireschf=1,elccfreschf,calelccfreschf)+calelccfrescli+elccfresecs+elccfrescui+IF(crdaliresels=1,elecfresels,caltotelccfresdom)+elccfresbmg</f>
        <v>#REF!</v>
      </c>
      <c r="AB129" s="274" t="str">
        <f>IF(crdalireschf=1,elccfreschf,calelccfreschf)+calelccfrescli+elccfresecs+elccfrescui+IF(crdaliresels=1,elecfresels,caltotelccfresdom)+elccfresbmg</f>
        <v>#REF!</v>
      </c>
      <c r="AC129" s="274" t="str">
        <f>IF(crdalireschf=1,elccfreschf,calelccfreschf)+calelccfrescli+elccfresecs+elccfrescui+IF(crdaliresels=1,elecfresels,caltotelccfresdom)+elccfresbmg</f>
        <v>#REF!</v>
      </c>
      <c r="AD129" s="274" t="str">
        <f>IF(crdalireschf=1,elccfreschf,calelccfreschf)+calelccfrescli+elccfresecs+elccfrescui+IF(crdaliresels=1,elecfresels,caltotelccfresdom)+elccfresbmg</f>
        <v>#REF!</v>
      </c>
      <c r="AE129" s="274" t="str">
        <f>IF(crdalireschf=1,elccfreschf,calelccfreschf)+calelccfrescli+elccfresecs+elccfrescui+IF(crdaliresels=1,elecfresels,caltotelccfresdom)+elccfresbmg</f>
        <v>#REF!</v>
      </c>
      <c r="AF129" s="274" t="str">
        <f>IF(crdalireschf=1,elccfreschf,calelccfreschf)+calelccfrescli+elccfresecs+elccfrescui+IF(crdaliresels=1,elecfresels,caltotelccfresdom)+elccfresbmg</f>
        <v>#REF!</v>
      </c>
      <c r="AG129" s="274" t="str">
        <f>IF(crdalireschf=1,elccfreschf,calelccfreschf)+calelccfrescli+elccfresecs+elccfrescui+IF(crdaliresels=1,elecfresels,caltotelccfresdom)+elccfresbmg</f>
        <v>#REF!</v>
      </c>
      <c r="AH129" s="274" t="str">
        <f>IF(crdalireschf=1,elccfreschf,calelccfreschf)+calelccfrescli+elccfresecs+elccfrescui+IF(crdaliresels=1,elecfresels,caltotelccfresdom)+elccfresbmg</f>
        <v>#REF!</v>
      </c>
      <c r="AI129" s="318" t="s">
        <v>782</v>
      </c>
      <c r="AJ129" s="319"/>
      <c r="AK129" s="319"/>
      <c r="AL129" s="319"/>
      <c r="AM129" s="319"/>
      <c r="AN129" s="319"/>
      <c r="AO129" s="319"/>
      <c r="AP129" s="319"/>
      <c r="AQ129" s="319"/>
      <c r="AR129" s="319"/>
      <c r="AS129" s="319"/>
      <c r="AT129" s="319"/>
      <c r="AU129" s="319"/>
      <c r="AV129" s="319"/>
      <c r="AW129" s="319"/>
      <c r="AX129" s="319"/>
      <c r="AY129" s="319"/>
      <c r="AZ129" s="319"/>
      <c r="BA129" s="319"/>
      <c r="BB129" s="319"/>
      <c r="BC129" s="319"/>
      <c r="BD129" s="319"/>
      <c r="BE129" s="319"/>
      <c r="BF129" s="319"/>
      <c r="BG129" s="319"/>
      <c r="BH129" s="319"/>
      <c r="BI129" s="319"/>
      <c r="BJ129" s="319"/>
      <c r="BK129" s="319"/>
      <c r="BL129" s="319"/>
      <c r="BM129" s="319"/>
      <c r="BN129" s="319"/>
      <c r="BO129" s="319"/>
      <c r="BP129" s="319"/>
      <c r="BQ129" s="319"/>
      <c r="BR129" s="319"/>
    </row>
    <row r="130" ht="14.25" customHeight="1" outlineLevel="3">
      <c r="A130" s="326"/>
      <c r="B130" s="201"/>
      <c r="C130" s="201"/>
      <c r="D130" s="201"/>
      <c r="E130" s="273" t="str">
        <f>"FEC from heating networks in the residential sector"&amp;IF($F$8="Ok"," (secondary and vacant dwellings included)"," (secondary and vacant dwellings not or partially included)")</f>
        <v>FEC from heating networks in the residential sector (secondary and vacant dwellings not or partially included)</v>
      </c>
      <c r="F130" s="123" t="s">
        <v>135</v>
      </c>
      <c r="G130" s="123" t="s">
        <v>606</v>
      </c>
      <c r="H130" s="274">
        <f>IF(crdalireschf=1,vapcfreschf,calvapcfreschf)+calvapcfrescli+vapcfresecs</f>
        <v>0</v>
      </c>
      <c r="I130" s="274">
        <f>IF(crdalireschf=1,vapcfreschf,calvapcfreschf)+calvapcfrescli+vapcfresecs</f>
        <v>0</v>
      </c>
      <c r="J130" s="274">
        <f>IF(crdalireschf=1,vapcfreschf,calvapcfreschf)+calvapcfrescli+vapcfresecs</f>
        <v>0</v>
      </c>
      <c r="K130" s="274">
        <f>IF(crdalireschf=1,vapcfreschf,calvapcfreschf)+calvapcfrescli+vapcfresecs</f>
        <v>0</v>
      </c>
      <c r="L130" s="274">
        <f>IF(crdalireschf=1,vapcfreschf,calvapcfreschf)+calvapcfrescli+vapcfresecs</f>
        <v>0</v>
      </c>
      <c r="M130" s="274">
        <f>IF(crdalireschf=1,vapcfreschf,calvapcfreschf)+calvapcfrescli+vapcfresecs</f>
        <v>0</v>
      </c>
      <c r="N130" s="274">
        <f>IF(crdalireschf=1,vapcfreschf,calvapcfreschf)+calvapcfrescli+vapcfresecs</f>
        <v>0</v>
      </c>
      <c r="O130" s="274">
        <f>IF(crdalireschf=1,vapcfreschf,calvapcfreschf)+calvapcfrescli+vapcfresecs</f>
        <v>0</v>
      </c>
      <c r="P130" s="274">
        <f>IF(crdalireschf=1,vapcfreschf,calvapcfreschf)+calvapcfrescli+vapcfresecs</f>
        <v>0</v>
      </c>
      <c r="Q130" s="274">
        <f>IF(crdalireschf=1,vapcfreschf,calvapcfreschf)+calvapcfrescli+vapcfresecs</f>
        <v>0</v>
      </c>
      <c r="R130" s="274">
        <f>IF(crdalireschf=1,vapcfreschf,calvapcfreschf)+calvapcfrescli+vapcfresecs</f>
        <v>0</v>
      </c>
      <c r="S130" s="274">
        <f>IF(crdalireschf=1,vapcfreschf,calvapcfreschf)+calvapcfrescli+vapcfresecs</f>
        <v>0</v>
      </c>
      <c r="T130" s="274">
        <f>IF(crdalireschf=1,vapcfreschf,calvapcfreschf)+calvapcfrescli+vapcfresecs</f>
        <v>0</v>
      </c>
      <c r="U130" s="274">
        <f>IF(crdalireschf=1,vapcfreschf,calvapcfreschf)+calvapcfrescli+vapcfresecs</f>
        <v>0</v>
      </c>
      <c r="V130" s="274">
        <f>IF(crdalireschf=1,vapcfreschf,calvapcfreschf)+calvapcfrescli+vapcfresecs</f>
        <v>0</v>
      </c>
      <c r="W130" s="274">
        <f>IF(crdalireschf=1,vapcfreschf,calvapcfreschf)+calvapcfrescli+vapcfresecs</f>
        <v>0.02527026102</v>
      </c>
      <c r="X130" s="274">
        <f>IF(crdalireschf=1,vapcfreschf,calvapcfreschf)+calvapcfrescli+vapcfresecs</f>
        <v>0</v>
      </c>
      <c r="Y130" s="274">
        <f>IF(crdalireschf=1,vapcfreschf,calvapcfreschf)+calvapcfrescli+vapcfresecs</f>
        <v>0</v>
      </c>
      <c r="Z130" s="274">
        <f>IF(crdalireschf=1,vapcfreschf,calvapcfreschf)+calvapcfrescli+vapcfresecs</f>
        <v>0</v>
      </c>
      <c r="AA130" s="274">
        <f>IF(crdalireschf=1,vapcfreschf,calvapcfreschf)+calvapcfrescli+vapcfresecs</f>
        <v>0</v>
      </c>
      <c r="AB130" s="274">
        <f>IF(crdalireschf=1,vapcfreschf,calvapcfreschf)+calvapcfrescli+vapcfresecs</f>
        <v>0.3000979725</v>
      </c>
      <c r="AC130" s="274">
        <f>IF(crdalireschf=1,vapcfreschf,calvapcfreschf)+calvapcfrescli+vapcfresecs</f>
        <v>4.740835069</v>
      </c>
      <c r="AD130" s="274">
        <f>IF(crdalireschf=1,vapcfreschf,calvapcfreschf)+calvapcfrescli+vapcfresecs</f>
        <v>6.441532899</v>
      </c>
      <c r="AE130" s="274">
        <f>IF(crdalireschf=1,vapcfreschf,calvapcfreschf)+calvapcfrescli+vapcfresecs</f>
        <v>7.649587306</v>
      </c>
      <c r="AF130" s="274">
        <f>IF(crdalireschf=1,vapcfreschf,calvapcfreschf)+calvapcfrescli+vapcfresecs</f>
        <v>8.492641375</v>
      </c>
      <c r="AG130" s="274">
        <f>IF(crdalireschf=1,vapcfreschf,calvapcfreschf)+calvapcfrescli+vapcfresecs</f>
        <v>9.060270058</v>
      </c>
      <c r="AH130" s="274">
        <f>IF(crdalireschf=1,vapcfreschf,calvapcfreschf)+calvapcfrescli+vapcfresecs</f>
        <v>9.480068825</v>
      </c>
      <c r="AI130" s="125"/>
      <c r="AJ130" s="127"/>
      <c r="AK130" s="127"/>
      <c r="AL130" s="127"/>
      <c r="AM130" s="127"/>
      <c r="AN130" s="127"/>
      <c r="AO130" s="127"/>
      <c r="AP130" s="127"/>
      <c r="AQ130" s="127"/>
      <c r="AR130" s="127"/>
      <c r="AS130" s="127"/>
      <c r="AT130" s="127"/>
      <c r="AU130" s="127"/>
      <c r="AV130" s="127"/>
      <c r="AW130" s="127"/>
      <c r="AX130" s="127"/>
      <c r="AY130" s="127"/>
      <c r="AZ130" s="127"/>
      <c r="BA130" s="127"/>
      <c r="BB130" s="127"/>
      <c r="BC130" s="127"/>
      <c r="BD130" s="127"/>
      <c r="BE130" s="127"/>
      <c r="BF130" s="127"/>
      <c r="BG130" s="127"/>
      <c r="BH130" s="127"/>
      <c r="BI130" s="127"/>
      <c r="BJ130" s="127"/>
      <c r="BK130" s="127"/>
      <c r="BL130" s="127"/>
      <c r="BM130" s="127"/>
      <c r="BN130" s="127"/>
      <c r="BO130" s="127"/>
      <c r="BP130" s="127"/>
      <c r="BQ130" s="127"/>
      <c r="BR130" s="127"/>
    </row>
    <row r="131" ht="14.25" customHeight="1" outlineLevel="3">
      <c r="A131" s="326"/>
      <c r="B131" s="201"/>
      <c r="C131" s="201"/>
      <c r="D131" s="201"/>
      <c r="E131" s="273" t="str">
        <f>"Final energy consumption from ambient heat (heat pumps…) in the residential sector"&amp;IF($F$8="Ok"," (secondary and vacant dwellings included)"," (secondary and vacant dwellings not or partially included)")</f>
        <v>Final energy consumption from ambient heat (heat pumps…) in the residential sector (secondary and vacant dwellings not or partially included)</v>
      </c>
      <c r="F131" s="123" t="s">
        <v>135</v>
      </c>
      <c r="G131" s="123" t="s">
        <v>607</v>
      </c>
      <c r="H131" s="274">
        <f>IF(crdalireschf=1,paccfreschf,calpaccfreschf)+paccfresecs</f>
        <v>0</v>
      </c>
      <c r="I131" s="274">
        <f>IF(crdalireschf=1,paccfreschf,calpaccfreschf)+paccfresecs</f>
        <v>0</v>
      </c>
      <c r="J131" s="274">
        <f>IF(crdalireschf=1,paccfreschf,calpaccfreschf)+paccfresecs</f>
        <v>0</v>
      </c>
      <c r="K131" s="274">
        <f>IF(crdalireschf=1,paccfreschf,calpaccfreschf)+paccfresecs</f>
        <v>0</v>
      </c>
      <c r="L131" s="274">
        <f>IF(crdalireschf=1,paccfreschf,calpaccfreschf)+paccfresecs</f>
        <v>0</v>
      </c>
      <c r="M131" s="274">
        <f>IF(crdalireschf=1,paccfreschf,calpaccfreschf)+paccfresecs</f>
        <v>0</v>
      </c>
      <c r="N131" s="274">
        <f>IF(crdalireschf=1,paccfreschf,calpaccfreschf)+paccfresecs</f>
        <v>0</v>
      </c>
      <c r="O131" s="274">
        <f>IF(crdalireschf=1,paccfreschf,calpaccfreschf)+paccfresecs</f>
        <v>0</v>
      </c>
      <c r="P131" s="274">
        <f>IF(crdalireschf=1,paccfreschf,calpaccfreschf)+paccfresecs</f>
        <v>0</v>
      </c>
      <c r="Q131" s="274">
        <f>IF(crdalireschf=1,paccfreschf,calpaccfreschf)+paccfresecs</f>
        <v>0</v>
      </c>
      <c r="R131" s="274">
        <f>IF(crdalireschf=1,paccfreschf,calpaccfreschf)+paccfresecs</f>
        <v>0</v>
      </c>
      <c r="S131" s="274">
        <f>IF(crdalireschf=1,paccfreschf,calpaccfreschf)+paccfresecs</f>
        <v>0</v>
      </c>
      <c r="T131" s="274">
        <f>IF(crdalireschf=1,paccfreschf,calpaccfreschf)+paccfresecs</f>
        <v>0</v>
      </c>
      <c r="U131" s="274">
        <f>IF(crdalireschf=1,paccfreschf,calpaccfreschf)+paccfresecs</f>
        <v>0</v>
      </c>
      <c r="V131" s="274">
        <f>IF(crdalireschf=1,paccfreschf,calpaccfreschf)+paccfresecs</f>
        <v>0</v>
      </c>
      <c r="W131" s="274">
        <f>IF(crdalireschf=1,paccfreschf,calpaccfreschf)+paccfresecs</f>
        <v>1.23447605</v>
      </c>
      <c r="X131" s="274">
        <f>IF(crdalireschf=1,paccfreschf,calpaccfreschf)+paccfresecs</f>
        <v>0</v>
      </c>
      <c r="Y131" s="274">
        <f>IF(crdalireschf=1,paccfreschf,calpaccfreschf)+paccfresecs</f>
        <v>0</v>
      </c>
      <c r="Z131" s="274">
        <f>IF(crdalireschf=1,paccfreschf,calpaccfreschf)+paccfresecs</f>
        <v>0</v>
      </c>
      <c r="AA131" s="274">
        <f>IF(crdalireschf=1,paccfreschf,calpaccfreschf)+paccfresecs</f>
        <v>0</v>
      </c>
      <c r="AB131" s="274">
        <f>IF(crdalireschf=1,paccfreschf,calpaccfreschf)+paccfresecs</f>
        <v>4.544894976</v>
      </c>
      <c r="AC131" s="274">
        <f>IF(crdalireschf=1,paccfreschf,calpaccfreschf)+paccfresecs</f>
        <v>8.758902586</v>
      </c>
      <c r="AD131" s="274">
        <f>IF(crdalireschf=1,paccfreschf,calpaccfreschf)+paccfresecs</f>
        <v>12.8021394</v>
      </c>
      <c r="AE131" s="274">
        <f>IF(crdalireschf=1,paccfreschf,calpaccfreschf)+paccfresecs</f>
        <v>14.67577439</v>
      </c>
      <c r="AF131" s="274">
        <f>IF(crdalireschf=1,paccfreschf,calpaccfreschf)+paccfresecs</f>
        <v>13.9092073</v>
      </c>
      <c r="AG131" s="274">
        <f>IF(crdalireschf=1,paccfreschf,calpaccfreschf)+paccfresecs</f>
        <v>14.39532949</v>
      </c>
      <c r="AH131" s="274">
        <f>IF(crdalireschf=1,paccfreschf,calpaccfreschf)+paccfresecs</f>
        <v>14.28707224</v>
      </c>
      <c r="AI131" s="125"/>
      <c r="AJ131" s="127"/>
      <c r="AK131" s="127"/>
      <c r="AL131" s="127"/>
      <c r="AM131" s="127"/>
      <c r="AN131" s="127"/>
      <c r="AO131" s="127"/>
      <c r="AP131" s="127"/>
      <c r="AQ131" s="127"/>
      <c r="AR131" s="127"/>
      <c r="AS131" s="127"/>
      <c r="AT131" s="127"/>
      <c r="AU131" s="127"/>
      <c r="AV131" s="127"/>
      <c r="AW131" s="127"/>
      <c r="AX131" s="127"/>
      <c r="AY131" s="127"/>
      <c r="AZ131" s="127"/>
      <c r="BA131" s="127"/>
      <c r="BB131" s="127"/>
      <c r="BC131" s="127"/>
      <c r="BD131" s="127"/>
      <c r="BE131" s="127"/>
      <c r="BF131" s="127"/>
      <c r="BG131" s="127"/>
      <c r="BH131" s="127"/>
      <c r="BI131" s="127"/>
      <c r="BJ131" s="127"/>
      <c r="BK131" s="127"/>
      <c r="BL131" s="127"/>
      <c r="BM131" s="127"/>
      <c r="BN131" s="127"/>
      <c r="BO131" s="127"/>
      <c r="BP131" s="127"/>
      <c r="BQ131" s="127"/>
      <c r="BR131" s="127"/>
    </row>
    <row r="132" ht="14.25" customHeight="1" outlineLevel="3">
      <c r="A132" s="326"/>
      <c r="B132" s="201"/>
      <c r="C132" s="201"/>
      <c r="D132" s="201"/>
      <c r="E132" s="273" t="str">
        <f>"FEC from thermal solar in the residential sector"&amp;IF($F$8="Ok"," (secondary and vacant dwellings included)"," (secondary and vacant dwellings not or partially included)")</f>
        <v>FEC from thermal solar in the residential sector (secondary and vacant dwellings not or partially included)</v>
      </c>
      <c r="F132" s="123" t="s">
        <v>135</v>
      </c>
      <c r="G132" s="123" t="s">
        <v>608</v>
      </c>
      <c r="H132" s="274">
        <f>IF(crdalireschf=1,sthcfreschf,calsthcfreschf)+calsthcfrescli+sthcfresecs</f>
        <v>0</v>
      </c>
      <c r="I132" s="274">
        <f>IF(crdalireschf=1,sthcfreschf,calsthcfreschf)+calsthcfrescli+sthcfresecs</f>
        <v>0</v>
      </c>
      <c r="J132" s="274">
        <f>IF(crdalireschf=1,sthcfreschf,calsthcfreschf)+calsthcfrescli+sthcfresecs</f>
        <v>0</v>
      </c>
      <c r="K132" s="274">
        <f>IF(crdalireschf=1,sthcfreschf,calsthcfreschf)+calsthcfrescli+sthcfresecs</f>
        <v>0</v>
      </c>
      <c r="L132" s="274">
        <f>IF(crdalireschf=1,sthcfreschf,calsthcfreschf)+calsthcfrescli+sthcfresecs</f>
        <v>0</v>
      </c>
      <c r="M132" s="274">
        <f>IF(crdalireschf=1,sthcfreschf,calsthcfreschf)+calsthcfrescli+sthcfresecs</f>
        <v>0</v>
      </c>
      <c r="N132" s="274">
        <f>IF(crdalireschf=1,sthcfreschf,calsthcfreschf)+calsthcfrescli+sthcfresecs</f>
        <v>0</v>
      </c>
      <c r="O132" s="274">
        <f>IF(crdalireschf=1,sthcfreschf,calsthcfreschf)+calsthcfrescli+sthcfresecs</f>
        <v>0</v>
      </c>
      <c r="P132" s="274">
        <f>IF(crdalireschf=1,sthcfreschf,calsthcfreschf)+calsthcfrescli+sthcfresecs</f>
        <v>0</v>
      </c>
      <c r="Q132" s="274">
        <f>IF(crdalireschf=1,sthcfreschf,calsthcfreschf)+calsthcfrescli+sthcfresecs</f>
        <v>0</v>
      </c>
      <c r="R132" s="274">
        <f>IF(crdalireschf=1,sthcfreschf,calsthcfreschf)+calsthcfrescli+sthcfresecs</f>
        <v>0</v>
      </c>
      <c r="S132" s="274">
        <f>IF(crdalireschf=1,sthcfreschf,calsthcfreschf)+calsthcfrescli+sthcfresecs</f>
        <v>0</v>
      </c>
      <c r="T132" s="274">
        <f>IF(crdalireschf=1,sthcfreschf,calsthcfreschf)+calsthcfrescli+sthcfresecs</f>
        <v>0</v>
      </c>
      <c r="U132" s="274">
        <f>IF(crdalireschf=1,sthcfreschf,calsthcfreschf)+calsthcfrescli+sthcfresecs</f>
        <v>0</v>
      </c>
      <c r="V132" s="274">
        <f>IF(crdalireschf=1,sthcfreschf,calsthcfreschf)+calsthcfrescli+sthcfresecs</f>
        <v>0</v>
      </c>
      <c r="W132" s="274">
        <f>IF(crdalireschf=1,sthcfreschf,calsthcfreschf)+calsthcfrescli+sthcfresecs</f>
        <v>0.2446949059</v>
      </c>
      <c r="X132" s="274">
        <f>IF(crdalireschf=1,sthcfreschf,calsthcfreschf)+calsthcfrescli+sthcfresecs</f>
        <v>0</v>
      </c>
      <c r="Y132" s="274">
        <f>IF(crdalireschf=1,sthcfreschf,calsthcfreschf)+calsthcfrescli+sthcfresecs</f>
        <v>0</v>
      </c>
      <c r="Z132" s="274">
        <f>IF(crdalireschf=1,sthcfreschf,calsthcfreschf)+calsthcfrescli+sthcfresecs</f>
        <v>0</v>
      </c>
      <c r="AA132" s="274">
        <f>IF(crdalireschf=1,sthcfreschf,calsthcfreschf)+calsthcfrescli+sthcfresecs</f>
        <v>0</v>
      </c>
      <c r="AB132" s="274">
        <f>IF(crdalireschf=1,sthcfreschf,calsthcfreschf)+calsthcfrescli+sthcfresecs</f>
        <v>0.3067905493</v>
      </c>
      <c r="AC132" s="274">
        <f>IF(crdalireschf=1,sthcfreschf,calsthcfreschf)+calsthcfrescli+sthcfresecs</f>
        <v>0.3670945209</v>
      </c>
      <c r="AD132" s="274">
        <f>IF(crdalireschf=1,sthcfreschf,calsthcfreschf)+calsthcfrescli+sthcfresecs</f>
        <v>0.3957008262</v>
      </c>
      <c r="AE132" s="274">
        <f>IF(crdalireschf=1,sthcfreschf,calsthcfreschf)+calsthcfrescli+sthcfresecs</f>
        <v>0.5441213965</v>
      </c>
      <c r="AF132" s="274">
        <f>IF(crdalireschf=1,sthcfreschf,calsthcfreschf)+calsthcfrescli+sthcfresecs</f>
        <v>0.7542742198</v>
      </c>
      <c r="AG132" s="274">
        <f>IF(crdalireschf=1,sthcfreschf,calsthcfreschf)+calsthcfrescli+sthcfresecs</f>
        <v>0.9344767776</v>
      </c>
      <c r="AH132" s="274">
        <f>IF(crdalireschf=1,sthcfreschf,calsthcfreschf)+calsthcfrescli+sthcfresecs</f>
        <v>1.076878256</v>
      </c>
      <c r="AI132" s="125"/>
      <c r="AJ132" s="127"/>
      <c r="AK132" s="127"/>
      <c r="AL132" s="127"/>
      <c r="AM132" s="127"/>
      <c r="AN132" s="127"/>
      <c r="AO132" s="127"/>
      <c r="AP132" s="127"/>
      <c r="AQ132" s="127"/>
      <c r="AR132" s="127"/>
      <c r="AS132" s="127"/>
      <c r="AT132" s="127"/>
      <c r="AU132" s="127"/>
      <c r="AV132" s="127"/>
      <c r="AW132" s="127"/>
      <c r="AX132" s="127"/>
      <c r="AY132" s="127"/>
      <c r="AZ132" s="127"/>
      <c r="BA132" s="127"/>
      <c r="BB132" s="127"/>
      <c r="BC132" s="127"/>
      <c r="BD132" s="127"/>
      <c r="BE132" s="127"/>
      <c r="BF132" s="127"/>
      <c r="BG132" s="127"/>
      <c r="BH132" s="127"/>
      <c r="BI132" s="127"/>
      <c r="BJ132" s="127"/>
      <c r="BK132" s="127"/>
      <c r="BL132" s="127"/>
      <c r="BM132" s="127"/>
      <c r="BN132" s="127"/>
      <c r="BO132" s="127"/>
      <c r="BP132" s="127"/>
      <c r="BQ132" s="127"/>
      <c r="BR132" s="127"/>
    </row>
    <row r="133" ht="14.25" customHeight="1">
      <c r="A133" s="314"/>
      <c r="B133" s="246" t="s">
        <v>673</v>
      </c>
      <c r="C133" s="246"/>
      <c r="D133" s="201"/>
      <c r="E133" s="162"/>
      <c r="F133" s="162"/>
      <c r="G133" s="162"/>
      <c r="H133" s="178"/>
      <c r="I133" s="178"/>
      <c r="J133" s="178"/>
      <c r="K133" s="178"/>
      <c r="L133" s="178"/>
      <c r="M133" s="178"/>
      <c r="N133" s="178"/>
      <c r="O133" s="178"/>
      <c r="P133" s="178"/>
      <c r="Q133" s="178"/>
      <c r="R133" s="178"/>
      <c r="S133" s="178"/>
      <c r="T133" s="178"/>
      <c r="U133" s="178"/>
      <c r="V133" s="178"/>
      <c r="W133" s="178"/>
      <c r="X133" s="178"/>
      <c r="Y133" s="178"/>
      <c r="Z133" s="178"/>
      <c r="AA133" s="178"/>
      <c r="AB133" s="178"/>
      <c r="AC133" s="178"/>
      <c r="AD133" s="178"/>
      <c r="AE133" s="178"/>
      <c r="AF133" s="178"/>
      <c r="AG133" s="178"/>
      <c r="AH133" s="178"/>
      <c r="AI133" s="162"/>
      <c r="AJ133" s="315"/>
      <c r="AK133" s="315"/>
      <c r="AL133" s="315"/>
      <c r="AM133" s="315"/>
      <c r="AN133" s="315"/>
      <c r="AO133" s="315"/>
      <c r="AP133" s="315"/>
      <c r="AQ133" s="315"/>
      <c r="AR133" s="315"/>
      <c r="AS133" s="315"/>
      <c r="AT133" s="315"/>
      <c r="AU133" s="315"/>
      <c r="AV133" s="315"/>
      <c r="AW133" s="315"/>
      <c r="AX133" s="315"/>
      <c r="AY133" s="315"/>
      <c r="AZ133" s="315"/>
      <c r="BA133" s="315"/>
      <c r="BB133" s="315"/>
      <c r="BC133" s="315"/>
      <c r="BD133" s="315"/>
      <c r="BE133" s="315"/>
      <c r="BF133" s="315"/>
      <c r="BG133" s="315"/>
      <c r="BH133" s="315"/>
      <c r="BI133" s="315"/>
      <c r="BJ133" s="315"/>
      <c r="BK133" s="315"/>
      <c r="BL133" s="315"/>
      <c r="BM133" s="315"/>
      <c r="BN133" s="315"/>
      <c r="BO133" s="315"/>
      <c r="BP133" s="315"/>
      <c r="BQ133" s="315"/>
      <c r="BR133" s="315"/>
    </row>
    <row r="134" ht="14.25" customHeight="1" outlineLevel="3">
      <c r="A134" s="326"/>
      <c r="B134" s="201"/>
      <c r="C134" s="201"/>
      <c r="D134" s="201"/>
      <c r="E134" s="316" t="s">
        <v>783</v>
      </c>
      <c r="F134" s="123" t="s">
        <v>135</v>
      </c>
      <c r="G134" s="123" t="s">
        <v>784</v>
      </c>
      <c r="H134" s="276" t="str">
        <f>(caltoccfres-toccfres)/toccfres</f>
        <v>#REF!</v>
      </c>
      <c r="I134" s="276" t="str">
        <f>(caltoccfres-toccfres)/toccfres</f>
        <v>#REF!</v>
      </c>
      <c r="J134" s="276" t="str">
        <f>(caltoccfres-toccfres)/toccfres</f>
        <v>#REF!</v>
      </c>
      <c r="K134" s="276" t="str">
        <f>(caltoccfres-toccfres)/toccfres</f>
        <v>#REF!</v>
      </c>
      <c r="L134" s="276" t="str">
        <f>(caltoccfres-toccfres)/toccfres</f>
        <v>#REF!</v>
      </c>
      <c r="M134" s="276" t="str">
        <f>(caltoccfres-toccfres)/toccfres</f>
        <v>#REF!</v>
      </c>
      <c r="N134" s="276" t="str">
        <f>(caltoccfres-toccfres)/toccfres</f>
        <v>#REF!</v>
      </c>
      <c r="O134" s="276" t="str">
        <f>(caltoccfres-toccfres)/toccfres</f>
        <v>#REF!</v>
      </c>
      <c r="P134" s="276" t="str">
        <f>(caltoccfres-toccfres)/toccfres</f>
        <v>#REF!</v>
      </c>
      <c r="Q134" s="276" t="str">
        <f>(caltoccfres-toccfres)/toccfres</f>
        <v>#REF!</v>
      </c>
      <c r="R134" s="276" t="str">
        <f>(caltoccfres-toccfres)/toccfres</f>
        <v>#REF!</v>
      </c>
      <c r="S134" s="276" t="str">
        <f>(caltoccfres-toccfres)/toccfres</f>
        <v>#REF!</v>
      </c>
      <c r="T134" s="276" t="str">
        <f>(caltoccfres-toccfres)/toccfres</f>
        <v>#REF!</v>
      </c>
      <c r="U134" s="276" t="str">
        <f>(caltoccfres-toccfres)/toccfres</f>
        <v>#REF!</v>
      </c>
      <c r="V134" s="276" t="str">
        <f>(caltoccfres-toccfres)/toccfres</f>
        <v>#REF!</v>
      </c>
      <c r="W134" s="276" t="str">
        <f>(caltoccfres-toccfres)/toccfres</f>
        <v>#REF!</v>
      </c>
      <c r="X134" s="276" t="str">
        <f>(caltoccfres-toccfres)/toccfres</f>
        <v>#REF!</v>
      </c>
      <c r="Y134" s="276" t="str">
        <f>(caltoccfres-toccfres)/toccfres</f>
        <v>#REF!</v>
      </c>
      <c r="Z134" s="276" t="str">
        <f>(caltoccfres-toccfres)/toccfres</f>
        <v>#REF!</v>
      </c>
      <c r="AA134" s="276" t="str">
        <f>(caltoccfres-toccfres)/toccfres</f>
        <v>#REF!</v>
      </c>
      <c r="AB134" s="276" t="str">
        <f>(caltoccfres-toccfres)/toccfres</f>
        <v>#REF!</v>
      </c>
      <c r="AC134" s="276" t="str">
        <f>(caltoccfres-toccfres)/toccfres</f>
        <v>#REF!</v>
      </c>
      <c r="AD134" s="276" t="str">
        <f>(caltoccfres-toccfres)/toccfres</f>
        <v>#REF!</v>
      </c>
      <c r="AE134" s="276" t="str">
        <f>(caltoccfres-toccfres)/toccfres</f>
        <v>#REF!</v>
      </c>
      <c r="AF134" s="276" t="str">
        <f>(caltoccfres-toccfres)/toccfres</f>
        <v>#REF!</v>
      </c>
      <c r="AG134" s="276" t="str">
        <f>(caltoccfres-toccfres)/toccfres</f>
        <v>#REF!</v>
      </c>
      <c r="AH134" s="276" t="str">
        <f>(caltoccfres-toccfres)/toccfres</f>
        <v>#REF!</v>
      </c>
      <c r="AI134" s="125"/>
      <c r="AJ134" s="127"/>
      <c r="AK134" s="127"/>
      <c r="AL134" s="127"/>
      <c r="AM134" s="127"/>
      <c r="AN134" s="127"/>
      <c r="AO134" s="127"/>
      <c r="AP134" s="127"/>
      <c r="AQ134" s="127"/>
      <c r="AR134" s="127"/>
      <c r="AS134" s="127"/>
      <c r="AT134" s="127"/>
      <c r="AU134" s="127"/>
      <c r="AV134" s="127"/>
      <c r="AW134" s="127"/>
      <c r="AX134" s="127"/>
      <c r="AY134" s="127"/>
      <c r="AZ134" s="127"/>
      <c r="BA134" s="127"/>
      <c r="BB134" s="127"/>
      <c r="BC134" s="127"/>
      <c r="BD134" s="127"/>
      <c r="BE134" s="127"/>
      <c r="BF134" s="127"/>
      <c r="BG134" s="127"/>
      <c r="BH134" s="127"/>
      <c r="BI134" s="127"/>
      <c r="BJ134" s="127"/>
      <c r="BK134" s="127"/>
      <c r="BL134" s="127"/>
      <c r="BM134" s="127"/>
      <c r="BN134" s="127"/>
      <c r="BO134" s="127"/>
      <c r="BP134" s="127"/>
      <c r="BQ134" s="127"/>
      <c r="BR134" s="127"/>
    </row>
    <row r="135" ht="14.25" customHeight="1" outlineLevel="3">
      <c r="A135" s="326"/>
      <c r="B135" s="201"/>
      <c r="C135" s="201"/>
      <c r="D135" s="201"/>
      <c r="E135" s="316" t="s">
        <v>785</v>
      </c>
      <c r="F135" s="123" t="s">
        <v>135</v>
      </c>
      <c r="G135" s="123" t="s">
        <v>786</v>
      </c>
      <c r="H135" s="276">
        <f>(calcmscfres-cmscfres)/cmscfres</f>
        <v>-0.9986947442</v>
      </c>
      <c r="I135" s="276">
        <f>(calcmscfres-cmscfres)/cmscfres</f>
        <v>-0.9988500734</v>
      </c>
      <c r="J135" s="276">
        <f>(calcmscfres-cmscfres)/cmscfres</f>
        <v>-0.9985783617</v>
      </c>
      <c r="K135" s="276">
        <f>(calcmscfres-cmscfres)/cmscfres</f>
        <v>-0.9981471678</v>
      </c>
      <c r="L135" s="276">
        <f>(calcmscfres-cmscfres)/cmscfres</f>
        <v>-0.9978750854</v>
      </c>
      <c r="M135" s="276">
        <f>(calcmscfres-cmscfres)/cmscfres</f>
        <v>-0.9977738543</v>
      </c>
      <c r="N135" s="276">
        <f>(calcmscfres-cmscfres)/cmscfres</f>
        <v>-0.9978077044</v>
      </c>
      <c r="O135" s="276">
        <f>(calcmscfres-cmscfres)/cmscfres</f>
        <v>-0.9974463255</v>
      </c>
      <c r="P135" s="276">
        <f>(calcmscfres-cmscfres)/cmscfres</f>
        <v>-0.9981974765</v>
      </c>
      <c r="Q135" s="276">
        <f>(calcmscfres-cmscfres)/cmscfres</f>
        <v>-0.9989361267</v>
      </c>
      <c r="R135" s="276">
        <f>(calcmscfres-cmscfres)/cmscfres</f>
        <v>-0.9978998384</v>
      </c>
      <c r="S135" s="276">
        <f>(calcmscfres-cmscfres)/cmscfres</f>
        <v>-0.9977210974</v>
      </c>
      <c r="T135" s="276">
        <f>(calcmscfres-cmscfres)/cmscfres</f>
        <v>-0.9975730337</v>
      </c>
      <c r="U135" s="276">
        <f>(calcmscfres-cmscfres)/cmscfres</f>
        <v>-0.9978790259</v>
      </c>
      <c r="V135" s="276">
        <f>(calcmscfres-cmscfres)/cmscfres</f>
        <v>-0.9971869139</v>
      </c>
      <c r="W135" s="276">
        <f>(calcmscfres-cmscfres)/cmscfres</f>
        <v>-0.00236837311</v>
      </c>
      <c r="X135" s="276">
        <f>(calcmscfres-cmscfres)/cmscfres</f>
        <v>-0.9972403925</v>
      </c>
      <c r="Y135" s="276">
        <f>(calcmscfres-cmscfres)/cmscfres</f>
        <v>-0.9970504697</v>
      </c>
      <c r="Z135" s="276" t="str">
        <f>(calcmscfres-cmscfres)/cmscfres</f>
        <v>#DIV/0!</v>
      </c>
      <c r="AA135" s="276" t="str">
        <f>(calcmscfres-cmscfres)/cmscfres</f>
        <v>#DIV/0!</v>
      </c>
      <c r="AB135" s="276" t="str">
        <f>(calcmscfres-cmscfres)/cmscfres</f>
        <v>#DIV/0!</v>
      </c>
      <c r="AC135" s="276" t="str">
        <f>(calcmscfres-cmscfres)/cmscfres</f>
        <v>#DIV/0!</v>
      </c>
      <c r="AD135" s="276" t="str">
        <f>(calcmscfres-cmscfres)/cmscfres</f>
        <v>#DIV/0!</v>
      </c>
      <c r="AE135" s="276" t="str">
        <f>(calcmscfres-cmscfres)/cmscfres</f>
        <v>#DIV/0!</v>
      </c>
      <c r="AF135" s="276" t="str">
        <f>(calcmscfres-cmscfres)/cmscfres</f>
        <v>#DIV/0!</v>
      </c>
      <c r="AG135" s="276" t="str">
        <f>(calcmscfres-cmscfres)/cmscfres</f>
        <v>#DIV/0!</v>
      </c>
      <c r="AH135" s="276" t="str">
        <f>(calcmscfres-cmscfres)/cmscfres</f>
        <v>#DIV/0!</v>
      </c>
      <c r="AI135" s="125"/>
      <c r="AJ135" s="127"/>
      <c r="AK135" s="127"/>
      <c r="AL135" s="127"/>
      <c r="AM135" s="127"/>
      <c r="AN135" s="127"/>
      <c r="AO135" s="127"/>
      <c r="AP135" s="127"/>
      <c r="AQ135" s="127"/>
      <c r="AR135" s="127"/>
      <c r="AS135" s="127"/>
      <c r="AT135" s="127"/>
      <c r="AU135" s="127"/>
      <c r="AV135" s="127"/>
      <c r="AW135" s="127"/>
      <c r="AX135" s="127"/>
      <c r="AY135" s="127"/>
      <c r="AZ135" s="127"/>
      <c r="BA135" s="127"/>
      <c r="BB135" s="127"/>
      <c r="BC135" s="127"/>
      <c r="BD135" s="127"/>
      <c r="BE135" s="127"/>
      <c r="BF135" s="127"/>
      <c r="BG135" s="127"/>
      <c r="BH135" s="127"/>
      <c r="BI135" s="127"/>
      <c r="BJ135" s="127"/>
      <c r="BK135" s="127"/>
      <c r="BL135" s="127"/>
      <c r="BM135" s="127"/>
      <c r="BN135" s="127"/>
      <c r="BO135" s="127"/>
      <c r="BP135" s="127"/>
      <c r="BQ135" s="127"/>
      <c r="BR135" s="127"/>
    </row>
    <row r="136" ht="14.25" customHeight="1" outlineLevel="3">
      <c r="A136" s="326"/>
      <c r="B136" s="201"/>
      <c r="C136" s="201"/>
      <c r="D136" s="201"/>
      <c r="E136" s="316" t="s">
        <v>787</v>
      </c>
      <c r="F136" s="123" t="s">
        <v>135</v>
      </c>
      <c r="G136" s="123" t="s">
        <v>788</v>
      </c>
      <c r="H136" s="276">
        <f>(calenccfres-enccfres)/enccfres</f>
        <v>-1</v>
      </c>
      <c r="I136" s="276">
        <f>(calenccfres-enccfres)/enccfres</f>
        <v>-1</v>
      </c>
      <c r="J136" s="276">
        <f>(calenccfres-enccfres)/enccfres</f>
        <v>-1</v>
      </c>
      <c r="K136" s="276">
        <f>(calenccfres-enccfres)/enccfres</f>
        <v>-1</v>
      </c>
      <c r="L136" s="276">
        <f>(calenccfres-enccfres)/enccfres</f>
        <v>-1</v>
      </c>
      <c r="M136" s="276">
        <f>(calenccfres-enccfres)/enccfres</f>
        <v>-1</v>
      </c>
      <c r="N136" s="276">
        <f>(calenccfres-enccfres)/enccfres</f>
        <v>-1</v>
      </c>
      <c r="O136" s="276">
        <f>(calenccfres-enccfres)/enccfres</f>
        <v>-1</v>
      </c>
      <c r="P136" s="276">
        <f>(calenccfres-enccfres)/enccfres</f>
        <v>-1</v>
      </c>
      <c r="Q136" s="276">
        <f>(calenccfres-enccfres)/enccfres</f>
        <v>-1</v>
      </c>
      <c r="R136" s="276">
        <f>(calenccfres-enccfres)/enccfres</f>
        <v>-0.948441126</v>
      </c>
      <c r="S136" s="276">
        <f>(calenccfres-enccfres)/enccfres</f>
        <v>-0.9391605699</v>
      </c>
      <c r="T136" s="276">
        <f>(calenccfres-enccfres)/enccfres</f>
        <v>-0.9728354146</v>
      </c>
      <c r="U136" s="276">
        <f>(calenccfres-enccfres)/enccfres</f>
        <v>-0.9689606607</v>
      </c>
      <c r="V136" s="276">
        <f>(calenccfres-enccfres)/enccfres</f>
        <v>-0.9578647397</v>
      </c>
      <c r="W136" s="276">
        <f>(calenccfres-enccfres)/enccfres</f>
        <v>-0.03007907011</v>
      </c>
      <c r="X136" s="276">
        <f>(calenccfres-enccfres)/enccfres</f>
        <v>-0.963478632</v>
      </c>
      <c r="Y136" s="276">
        <f>(calenccfres-enccfres)/enccfres</f>
        <v>-0.960225543</v>
      </c>
      <c r="Z136" s="276" t="str">
        <f>(calenccfres-enccfres)/enccfres</f>
        <v>#DIV/0!</v>
      </c>
      <c r="AA136" s="276" t="str">
        <f>(calenccfres-enccfres)/enccfres</f>
        <v>#DIV/0!</v>
      </c>
      <c r="AB136" s="276" t="str">
        <f>(calenccfres-enccfres)/enccfres</f>
        <v>#DIV/0!</v>
      </c>
      <c r="AC136" s="276" t="str">
        <f>(calenccfres-enccfres)/enccfres</f>
        <v>#DIV/0!</v>
      </c>
      <c r="AD136" s="276" t="str">
        <f>(calenccfres-enccfres)/enccfres</f>
        <v>#DIV/0!</v>
      </c>
      <c r="AE136" s="276" t="str">
        <f>(calenccfres-enccfres)/enccfres</f>
        <v>#DIV/0!</v>
      </c>
      <c r="AF136" s="276" t="str">
        <f>(calenccfres-enccfres)/enccfres</f>
        <v>#DIV/0!</v>
      </c>
      <c r="AG136" s="276" t="str">
        <f>(calenccfres-enccfres)/enccfres</f>
        <v>#DIV/0!</v>
      </c>
      <c r="AH136" s="276" t="str">
        <f>(calenccfres-enccfres)/enccfres</f>
        <v>#DIV/0!</v>
      </c>
      <c r="AI136" s="125"/>
      <c r="AJ136" s="127"/>
      <c r="AK136" s="127"/>
      <c r="AL136" s="127"/>
      <c r="AM136" s="127"/>
      <c r="AN136" s="127"/>
      <c r="AO136" s="127"/>
      <c r="AP136" s="127"/>
      <c r="AQ136" s="127"/>
      <c r="AR136" s="127"/>
      <c r="AS136" s="127"/>
      <c r="AT136" s="127"/>
      <c r="AU136" s="127"/>
      <c r="AV136" s="127"/>
      <c r="AW136" s="127"/>
      <c r="AX136" s="127"/>
      <c r="AY136" s="127"/>
      <c r="AZ136" s="127"/>
      <c r="BA136" s="127"/>
      <c r="BB136" s="127"/>
      <c r="BC136" s="127"/>
      <c r="BD136" s="127"/>
      <c r="BE136" s="127"/>
      <c r="BF136" s="127"/>
      <c r="BG136" s="127"/>
      <c r="BH136" s="127"/>
      <c r="BI136" s="127"/>
      <c r="BJ136" s="127"/>
      <c r="BK136" s="127"/>
      <c r="BL136" s="127"/>
      <c r="BM136" s="127"/>
      <c r="BN136" s="127"/>
      <c r="BO136" s="127"/>
      <c r="BP136" s="127"/>
      <c r="BQ136" s="127"/>
      <c r="BR136" s="127"/>
    </row>
    <row r="137" ht="14.25" customHeight="1" outlineLevel="3">
      <c r="A137" s="326"/>
      <c r="B137" s="201"/>
      <c r="C137" s="201"/>
      <c r="D137" s="201"/>
      <c r="E137" s="316" t="s">
        <v>789</v>
      </c>
      <c r="F137" s="123" t="s">
        <v>135</v>
      </c>
      <c r="G137" s="123" t="s">
        <v>790</v>
      </c>
      <c r="H137" s="276">
        <f>(calpetcfres-petcfres)/petcfres</f>
        <v>-0.9498667445</v>
      </c>
      <c r="I137" s="276">
        <f>(calpetcfres-petcfres)/petcfres</f>
        <v>-0.9506475573</v>
      </c>
      <c r="J137" s="276">
        <f>(calpetcfres-petcfres)/petcfres</f>
        <v>-0.9438801661</v>
      </c>
      <c r="K137" s="276">
        <f>(calpetcfres-petcfres)/petcfres</f>
        <v>-0.9504453691</v>
      </c>
      <c r="L137" s="276">
        <f>(calpetcfres-petcfres)/petcfres</f>
        <v>-0.9507598841</v>
      </c>
      <c r="M137" s="276">
        <f>(calpetcfres-petcfres)/petcfres</f>
        <v>-0.9484160822</v>
      </c>
      <c r="N137" s="276">
        <f>(calpetcfres-petcfres)/petcfres</f>
        <v>-0.9439636239</v>
      </c>
      <c r="O137" s="276">
        <f>(calpetcfres-petcfres)/petcfres</f>
        <v>-0.9334921276</v>
      </c>
      <c r="P137" s="276">
        <f>(calpetcfres-petcfres)/petcfres</f>
        <v>-0.9495369265</v>
      </c>
      <c r="Q137" s="276">
        <f>(calpetcfres-petcfres)/petcfres</f>
        <v>-0.9399067181</v>
      </c>
      <c r="R137" s="276">
        <f>(calpetcfres-petcfres)/petcfres</f>
        <v>-0.9448320044</v>
      </c>
      <c r="S137" s="276">
        <f>(calpetcfres-petcfres)/petcfres</f>
        <v>-0.9352708189</v>
      </c>
      <c r="T137" s="276">
        <f>(calpetcfres-petcfres)/petcfres</f>
        <v>-0.9340129756</v>
      </c>
      <c r="U137" s="276">
        <f>(calpetcfres-petcfres)/petcfres</f>
        <v>-0.9389014776</v>
      </c>
      <c r="V137" s="276">
        <f>(calpetcfres-petcfres)/petcfres</f>
        <v>-0.9262673999</v>
      </c>
      <c r="W137" s="276">
        <f>(calpetcfres-petcfres)/petcfres</f>
        <v>0.04696149019</v>
      </c>
      <c r="X137" s="276">
        <f>(calpetcfres-petcfres)/petcfres</f>
        <v>-0.9307119248</v>
      </c>
      <c r="Y137" s="276">
        <f>(calpetcfres-petcfres)/petcfres</f>
        <v>-0.9304025416</v>
      </c>
      <c r="Z137" s="276" t="str">
        <f>(calpetcfres-petcfres)/petcfres</f>
        <v>#DIV/0!</v>
      </c>
      <c r="AA137" s="276" t="str">
        <f>(calpetcfres-petcfres)/petcfres</f>
        <v>#DIV/0!</v>
      </c>
      <c r="AB137" s="276" t="str">
        <f>(calpetcfres-petcfres)/petcfres</f>
        <v>#DIV/0!</v>
      </c>
      <c r="AC137" s="276" t="str">
        <f>(calpetcfres-petcfres)/petcfres</f>
        <v>#DIV/0!</v>
      </c>
      <c r="AD137" s="276" t="str">
        <f>(calpetcfres-petcfres)/petcfres</f>
        <v>#DIV/0!</v>
      </c>
      <c r="AE137" s="276" t="str">
        <f>(calpetcfres-petcfres)/petcfres</f>
        <v>#DIV/0!</v>
      </c>
      <c r="AF137" s="276" t="str">
        <f>(calpetcfres-petcfres)/petcfres</f>
        <v>#DIV/0!</v>
      </c>
      <c r="AG137" s="276" t="str">
        <f>(calpetcfres-petcfres)/petcfres</f>
        <v>#DIV/0!</v>
      </c>
      <c r="AH137" s="276" t="str">
        <f>(calpetcfres-petcfres)/petcfres</f>
        <v>#DIV/0!</v>
      </c>
      <c r="AI137" s="125"/>
      <c r="AJ137" s="127"/>
      <c r="AK137" s="127"/>
      <c r="AL137" s="127"/>
      <c r="AM137" s="127"/>
      <c r="AN137" s="127"/>
      <c r="AO137" s="127"/>
      <c r="AP137" s="127"/>
      <c r="AQ137" s="127"/>
      <c r="AR137" s="127"/>
      <c r="AS137" s="127"/>
      <c r="AT137" s="127"/>
      <c r="AU137" s="127"/>
      <c r="AV137" s="127"/>
      <c r="AW137" s="127"/>
      <c r="AX137" s="127"/>
      <c r="AY137" s="127"/>
      <c r="AZ137" s="127"/>
      <c r="BA137" s="127"/>
      <c r="BB137" s="127"/>
      <c r="BC137" s="127"/>
      <c r="BD137" s="127"/>
      <c r="BE137" s="127"/>
      <c r="BF137" s="127"/>
      <c r="BG137" s="127"/>
      <c r="BH137" s="127"/>
      <c r="BI137" s="127"/>
      <c r="BJ137" s="127"/>
      <c r="BK137" s="127"/>
      <c r="BL137" s="127"/>
      <c r="BM137" s="127"/>
      <c r="BN137" s="127"/>
      <c r="BO137" s="127"/>
      <c r="BP137" s="127"/>
      <c r="BQ137" s="127"/>
      <c r="BR137" s="127"/>
    </row>
    <row r="138" ht="14.25" customHeight="1" outlineLevel="3">
      <c r="A138" s="326"/>
      <c r="B138" s="201"/>
      <c r="C138" s="201"/>
      <c r="D138" s="201"/>
      <c r="E138" s="316" t="s">
        <v>791</v>
      </c>
      <c r="F138" s="123" t="s">
        <v>135</v>
      </c>
      <c r="G138" s="123" t="s">
        <v>792</v>
      </c>
      <c r="H138" s="276">
        <f>(calgazcfres-gazcfres)/gazcfres</f>
        <v>-1</v>
      </c>
      <c r="I138" s="276">
        <f>(calgazcfres-gazcfres)/gazcfres</f>
        <v>-1</v>
      </c>
      <c r="J138" s="276">
        <f>(calgazcfres-gazcfres)/gazcfres</f>
        <v>-1</v>
      </c>
      <c r="K138" s="276">
        <f>(calgazcfres-gazcfres)/gazcfres</f>
        <v>-1</v>
      </c>
      <c r="L138" s="276">
        <f>(calgazcfres-gazcfres)/gazcfres</f>
        <v>-1</v>
      </c>
      <c r="M138" s="276">
        <f>(calgazcfres-gazcfres)/gazcfres</f>
        <v>-1</v>
      </c>
      <c r="N138" s="276">
        <f>(calgazcfres-gazcfres)/gazcfres</f>
        <v>-1</v>
      </c>
      <c r="O138" s="276">
        <f>(calgazcfres-gazcfres)/gazcfres</f>
        <v>-1</v>
      </c>
      <c r="P138" s="276">
        <f>(calgazcfres-gazcfres)/gazcfres</f>
        <v>-1</v>
      </c>
      <c r="Q138" s="276">
        <f>(calgazcfres-gazcfres)/gazcfres</f>
        <v>-1</v>
      </c>
      <c r="R138" s="276">
        <f>(calgazcfres-gazcfres)/gazcfres</f>
        <v>-0.8769885205</v>
      </c>
      <c r="S138" s="276">
        <f>(calgazcfres-gazcfres)/gazcfres</f>
        <v>-0.8409304407</v>
      </c>
      <c r="T138" s="276">
        <f>(calgazcfres-gazcfres)/gazcfres</f>
        <v>-0.8500789412</v>
      </c>
      <c r="U138" s="276">
        <f>(calgazcfres-gazcfres)/gazcfres</f>
        <v>-0.8652157241</v>
      </c>
      <c r="V138" s="276">
        <f>(calgazcfres-gazcfres)/gazcfres</f>
        <v>-0.8269243829</v>
      </c>
      <c r="W138" s="276">
        <f>(calgazcfres-gazcfres)/gazcfres</f>
        <v>-0.020337701</v>
      </c>
      <c r="X138" s="276">
        <f>(calgazcfres-gazcfres)/gazcfres</f>
        <v>-0.8499386957</v>
      </c>
      <c r="Y138" s="276">
        <f>(calgazcfres-gazcfres)/gazcfres</f>
        <v>-0.8453072415</v>
      </c>
      <c r="Z138" s="276" t="str">
        <f>(calgazcfres-gazcfres)/gazcfres</f>
        <v>#DIV/0!</v>
      </c>
      <c r="AA138" s="276" t="str">
        <f>(calgazcfres-gazcfres)/gazcfres</f>
        <v>#DIV/0!</v>
      </c>
      <c r="AB138" s="276" t="str">
        <f>(calgazcfres-gazcfres)/gazcfres</f>
        <v>#DIV/0!</v>
      </c>
      <c r="AC138" s="276" t="str">
        <f>(calgazcfres-gazcfres)/gazcfres</f>
        <v>#DIV/0!</v>
      </c>
      <c r="AD138" s="276" t="str">
        <f>(calgazcfres-gazcfres)/gazcfres</f>
        <v>#DIV/0!</v>
      </c>
      <c r="AE138" s="276" t="str">
        <f>(calgazcfres-gazcfres)/gazcfres</f>
        <v>#DIV/0!</v>
      </c>
      <c r="AF138" s="276" t="str">
        <f>(calgazcfres-gazcfres)/gazcfres</f>
        <v>#DIV/0!</v>
      </c>
      <c r="AG138" s="276" t="str">
        <f>(calgazcfres-gazcfres)/gazcfres</f>
        <v>#DIV/0!</v>
      </c>
      <c r="AH138" s="276" t="str">
        <f>(calgazcfres-gazcfres)/gazcfres</f>
        <v>#DIV/0!</v>
      </c>
      <c r="AI138" s="125"/>
      <c r="AJ138" s="127"/>
      <c r="AK138" s="127"/>
      <c r="AL138" s="127"/>
      <c r="AM138" s="127"/>
      <c r="AN138" s="127"/>
      <c r="AO138" s="127"/>
      <c r="AP138" s="127"/>
      <c r="AQ138" s="127"/>
      <c r="AR138" s="127"/>
      <c r="AS138" s="127"/>
      <c r="AT138" s="127"/>
      <c r="AU138" s="127"/>
      <c r="AV138" s="127"/>
      <c r="AW138" s="127"/>
      <c r="AX138" s="127"/>
      <c r="AY138" s="127"/>
      <c r="AZ138" s="127"/>
      <c r="BA138" s="127"/>
      <c r="BB138" s="127"/>
      <c r="BC138" s="127"/>
      <c r="BD138" s="127"/>
      <c r="BE138" s="127"/>
      <c r="BF138" s="127"/>
      <c r="BG138" s="127"/>
      <c r="BH138" s="127"/>
      <c r="BI138" s="127"/>
      <c r="BJ138" s="127"/>
      <c r="BK138" s="127"/>
      <c r="BL138" s="127"/>
      <c r="BM138" s="127"/>
      <c r="BN138" s="127"/>
      <c r="BO138" s="127"/>
      <c r="BP138" s="127"/>
      <c r="BQ138" s="127"/>
      <c r="BR138" s="127"/>
    </row>
    <row r="139" ht="14.25" customHeight="1" outlineLevel="3">
      <c r="A139" s="326"/>
      <c r="B139" s="201"/>
      <c r="C139" s="201"/>
      <c r="D139" s="201"/>
      <c r="E139" s="316" t="s">
        <v>793</v>
      </c>
      <c r="F139" s="123" t="s">
        <v>135</v>
      </c>
      <c r="G139" s="123" t="s">
        <v>794</v>
      </c>
      <c r="H139" s="276" t="str">
        <f>(calelccfres-elccfres)/elccfres</f>
        <v>#REF!</v>
      </c>
      <c r="I139" s="276" t="str">
        <f>(calelccfres-elccfres)/elccfres</f>
        <v>#REF!</v>
      </c>
      <c r="J139" s="276" t="str">
        <f>(calelccfres-elccfres)/elccfres</f>
        <v>#REF!</v>
      </c>
      <c r="K139" s="276" t="str">
        <f>(calelccfres-elccfres)/elccfres</f>
        <v>#REF!</v>
      </c>
      <c r="L139" s="276" t="str">
        <f>(calelccfres-elccfres)/elccfres</f>
        <v>#REF!</v>
      </c>
      <c r="M139" s="276" t="str">
        <f>(calelccfres-elccfres)/elccfres</f>
        <v>#REF!</v>
      </c>
      <c r="N139" s="276" t="str">
        <f>(calelccfres-elccfres)/elccfres</f>
        <v>#REF!</v>
      </c>
      <c r="O139" s="276" t="str">
        <f>(calelccfres-elccfres)/elccfres</f>
        <v>#REF!</v>
      </c>
      <c r="P139" s="276" t="str">
        <f>(calelccfres-elccfres)/elccfres</f>
        <v>#REF!</v>
      </c>
      <c r="Q139" s="276" t="str">
        <f>(calelccfres-elccfres)/elccfres</f>
        <v>#REF!</v>
      </c>
      <c r="R139" s="276" t="str">
        <f>(calelccfres-elccfres)/elccfres</f>
        <v>#REF!</v>
      </c>
      <c r="S139" s="276" t="str">
        <f>(calelccfres-elccfres)/elccfres</f>
        <v>#REF!</v>
      </c>
      <c r="T139" s="276" t="str">
        <f>(calelccfres-elccfres)/elccfres</f>
        <v>#REF!</v>
      </c>
      <c r="U139" s="276" t="str">
        <f>(calelccfres-elccfres)/elccfres</f>
        <v>#REF!</v>
      </c>
      <c r="V139" s="276" t="str">
        <f>(calelccfres-elccfres)/elccfres</f>
        <v>#REF!</v>
      </c>
      <c r="W139" s="276" t="str">
        <f>(calelccfres-elccfres)/elccfres</f>
        <v>#REF!</v>
      </c>
      <c r="X139" s="276" t="str">
        <f>(calelccfres-elccfres)/elccfres</f>
        <v>#REF!</v>
      </c>
      <c r="Y139" s="276" t="str">
        <f>(calelccfres-elccfres)/elccfres</f>
        <v>#REF!</v>
      </c>
      <c r="Z139" s="276" t="str">
        <f>(calelccfres-elccfres)/elccfres</f>
        <v>#REF!</v>
      </c>
      <c r="AA139" s="276" t="str">
        <f>(calelccfres-elccfres)/elccfres</f>
        <v>#REF!</v>
      </c>
      <c r="AB139" s="276" t="str">
        <f>(calelccfres-elccfres)/elccfres</f>
        <v>#REF!</v>
      </c>
      <c r="AC139" s="276" t="str">
        <f>(calelccfres-elccfres)/elccfres</f>
        <v>#REF!</v>
      </c>
      <c r="AD139" s="276" t="str">
        <f>(calelccfres-elccfres)/elccfres</f>
        <v>#REF!</v>
      </c>
      <c r="AE139" s="276" t="str">
        <f>(calelccfres-elccfres)/elccfres</f>
        <v>#REF!</v>
      </c>
      <c r="AF139" s="276" t="str">
        <f>(calelccfres-elccfres)/elccfres</f>
        <v>#REF!</v>
      </c>
      <c r="AG139" s="276" t="str">
        <f>(calelccfres-elccfres)/elccfres</f>
        <v>#REF!</v>
      </c>
      <c r="AH139" s="276" t="str">
        <f>(calelccfres-elccfres)/elccfres</f>
        <v>#REF!</v>
      </c>
      <c r="AI139" s="125"/>
      <c r="AJ139" s="127"/>
      <c r="AK139" s="127"/>
      <c r="AL139" s="127"/>
      <c r="AM139" s="127"/>
      <c r="AN139" s="127"/>
      <c r="AO139" s="127"/>
      <c r="AP139" s="127"/>
      <c r="AQ139" s="127"/>
      <c r="AR139" s="127"/>
      <c r="AS139" s="127"/>
      <c r="AT139" s="127"/>
      <c r="AU139" s="127"/>
      <c r="AV139" s="127"/>
      <c r="AW139" s="127"/>
      <c r="AX139" s="127"/>
      <c r="AY139" s="127"/>
      <c r="AZ139" s="127"/>
      <c r="BA139" s="127"/>
      <c r="BB139" s="127"/>
      <c r="BC139" s="127"/>
      <c r="BD139" s="127"/>
      <c r="BE139" s="127"/>
      <c r="BF139" s="127"/>
      <c r="BG139" s="127"/>
      <c r="BH139" s="127"/>
      <c r="BI139" s="127"/>
      <c r="BJ139" s="127"/>
      <c r="BK139" s="127"/>
      <c r="BL139" s="127"/>
      <c r="BM139" s="127"/>
      <c r="BN139" s="127"/>
      <c r="BO139" s="127"/>
      <c r="BP139" s="127"/>
      <c r="BQ139" s="127"/>
      <c r="BR139" s="127"/>
    </row>
    <row r="140" ht="14.25" customHeight="1" outlineLevel="3">
      <c r="A140" s="326"/>
      <c r="B140" s="201"/>
      <c r="C140" s="201"/>
      <c r="D140" s="201"/>
      <c r="E140" s="316" t="s">
        <v>795</v>
      </c>
      <c r="F140" s="123" t="s">
        <v>135</v>
      </c>
      <c r="G140" s="123" t="s">
        <v>796</v>
      </c>
      <c r="H140" s="276">
        <f>(calvapcfres-vapcfres)/vapcfres</f>
        <v>-1</v>
      </c>
      <c r="I140" s="276">
        <f>(calvapcfres-vapcfres)/vapcfres</f>
        <v>-1</v>
      </c>
      <c r="J140" s="276">
        <f>(calvapcfres-vapcfres)/vapcfres</f>
        <v>-1</v>
      </c>
      <c r="K140" s="276">
        <f>(calvapcfres-vapcfres)/vapcfres</f>
        <v>-1</v>
      </c>
      <c r="L140" s="276">
        <f>(calvapcfres-vapcfres)/vapcfres</f>
        <v>-1</v>
      </c>
      <c r="M140" s="276">
        <f>(calvapcfres-vapcfres)/vapcfres</f>
        <v>-1</v>
      </c>
      <c r="N140" s="276">
        <f>(calvapcfres-vapcfres)/vapcfres</f>
        <v>-1</v>
      </c>
      <c r="O140" s="276">
        <f>(calvapcfres-vapcfres)/vapcfres</f>
        <v>-1</v>
      </c>
      <c r="P140" s="276">
        <f>(calvapcfres-vapcfres)/vapcfres</f>
        <v>-1</v>
      </c>
      <c r="Q140" s="276">
        <f>(calvapcfres-vapcfres)/vapcfres</f>
        <v>-1</v>
      </c>
      <c r="R140" s="276">
        <f>(calvapcfres-vapcfres)/vapcfres</f>
        <v>-1</v>
      </c>
      <c r="S140" s="276">
        <f>(calvapcfres-vapcfres)/vapcfres</f>
        <v>-1</v>
      </c>
      <c r="T140" s="276">
        <f>(calvapcfres-vapcfres)/vapcfres</f>
        <v>-1</v>
      </c>
      <c r="U140" s="276">
        <f>(calvapcfres-vapcfres)/vapcfres</f>
        <v>-1</v>
      </c>
      <c r="V140" s="276">
        <f>(calvapcfres-vapcfres)/vapcfres</f>
        <v>-1</v>
      </c>
      <c r="W140" s="276">
        <f>(calvapcfres-vapcfres)/vapcfres</f>
        <v>0.09870700076</v>
      </c>
      <c r="X140" s="276">
        <f>(calvapcfres-vapcfres)/vapcfres</f>
        <v>-1</v>
      </c>
      <c r="Y140" s="276">
        <f>(calvapcfres-vapcfres)/vapcfres</f>
        <v>-1</v>
      </c>
      <c r="Z140" s="276" t="str">
        <f>(calvapcfres-vapcfres)/vapcfres</f>
        <v>#DIV/0!</v>
      </c>
      <c r="AA140" s="276" t="str">
        <f>(calvapcfres-vapcfres)/vapcfres</f>
        <v>#DIV/0!</v>
      </c>
      <c r="AB140" s="276" t="str">
        <f>(calvapcfres-vapcfres)/vapcfres</f>
        <v>#DIV/0!</v>
      </c>
      <c r="AC140" s="276" t="str">
        <f>(calvapcfres-vapcfres)/vapcfres</f>
        <v>#DIV/0!</v>
      </c>
      <c r="AD140" s="276" t="str">
        <f>(calvapcfres-vapcfres)/vapcfres</f>
        <v>#DIV/0!</v>
      </c>
      <c r="AE140" s="276" t="str">
        <f>(calvapcfres-vapcfres)/vapcfres</f>
        <v>#DIV/0!</v>
      </c>
      <c r="AF140" s="276" t="str">
        <f>(calvapcfres-vapcfres)/vapcfres</f>
        <v>#DIV/0!</v>
      </c>
      <c r="AG140" s="276" t="str">
        <f>(calvapcfres-vapcfres)/vapcfres</f>
        <v>#DIV/0!</v>
      </c>
      <c r="AH140" s="276" t="str">
        <f>(calvapcfres-vapcfres)/vapcfres</f>
        <v>#DIV/0!</v>
      </c>
      <c r="AI140" s="125"/>
      <c r="AJ140" s="127"/>
      <c r="AK140" s="127"/>
      <c r="AL140" s="127"/>
      <c r="AM140" s="127"/>
      <c r="AN140" s="127"/>
      <c r="AO140" s="127"/>
      <c r="AP140" s="127"/>
      <c r="AQ140" s="127"/>
      <c r="AR140" s="127"/>
      <c r="AS140" s="127"/>
      <c r="AT140" s="127"/>
      <c r="AU140" s="127"/>
      <c r="AV140" s="127"/>
      <c r="AW140" s="127"/>
      <c r="AX140" s="127"/>
      <c r="AY140" s="127"/>
      <c r="AZ140" s="127"/>
      <c r="BA140" s="127"/>
      <c r="BB140" s="127"/>
      <c r="BC140" s="127"/>
      <c r="BD140" s="127"/>
      <c r="BE140" s="127"/>
      <c r="BF140" s="127"/>
      <c r="BG140" s="127"/>
      <c r="BH140" s="127"/>
      <c r="BI140" s="127"/>
      <c r="BJ140" s="127"/>
      <c r="BK140" s="127"/>
      <c r="BL140" s="127"/>
      <c r="BM140" s="127"/>
      <c r="BN140" s="127"/>
      <c r="BO140" s="127"/>
      <c r="BP140" s="127"/>
      <c r="BQ140" s="127"/>
      <c r="BR140" s="127"/>
    </row>
    <row r="141" ht="14.25" customHeight="1" outlineLevel="3">
      <c r="A141" s="326"/>
      <c r="B141" s="201"/>
      <c r="C141" s="201"/>
      <c r="D141" s="201"/>
      <c r="E141" s="316" t="s">
        <v>797</v>
      </c>
      <c r="F141" s="123" t="s">
        <v>135</v>
      </c>
      <c r="G141" s="123" t="s">
        <v>798</v>
      </c>
      <c r="H141" s="276" t="str">
        <f>(calpaccfres-paccfres)/paccfres</f>
        <v>#DIV/0!</v>
      </c>
      <c r="I141" s="276" t="str">
        <f>(calpaccfres-paccfres)/paccfres</f>
        <v>#DIV/0!</v>
      </c>
      <c r="J141" s="276" t="str">
        <f>(calpaccfres-paccfres)/paccfres</f>
        <v>#DIV/0!</v>
      </c>
      <c r="K141" s="276" t="str">
        <f>(calpaccfres-paccfres)/paccfres</f>
        <v>#DIV/0!</v>
      </c>
      <c r="L141" s="276" t="str">
        <f>(calpaccfres-paccfres)/paccfres</f>
        <v>#DIV/0!</v>
      </c>
      <c r="M141" s="276" t="str">
        <f>(calpaccfres-paccfres)/paccfres</f>
        <v>#DIV/0!</v>
      </c>
      <c r="N141" s="276" t="str">
        <f>(calpaccfres-paccfres)/paccfres</f>
        <v>#DIV/0!</v>
      </c>
      <c r="O141" s="276" t="str">
        <f>(calpaccfres-paccfres)/paccfres</f>
        <v>#DIV/0!</v>
      </c>
      <c r="P141" s="276" t="str">
        <f>(calpaccfres-paccfres)/paccfres</f>
        <v>#DIV/0!</v>
      </c>
      <c r="Q141" s="276" t="str">
        <f>(calpaccfres-paccfres)/paccfres</f>
        <v>#DIV/0!</v>
      </c>
      <c r="R141" s="276" t="str">
        <f>(calpaccfres-paccfres)/paccfres</f>
        <v>#DIV/0!</v>
      </c>
      <c r="S141" s="276" t="str">
        <f>(calpaccfres-paccfres)/paccfres</f>
        <v>#DIV/0!</v>
      </c>
      <c r="T141" s="276" t="str">
        <f>(calpaccfres-paccfres)/paccfres</f>
        <v>#DIV/0!</v>
      </c>
      <c r="U141" s="276" t="str">
        <f>(calpaccfres-paccfres)/paccfres</f>
        <v>#DIV/0!</v>
      </c>
      <c r="V141" s="276" t="str">
        <f>(calpaccfres-paccfres)/paccfres</f>
        <v>#DIV/0!</v>
      </c>
      <c r="W141" s="276" t="str">
        <f>(calpaccfres-paccfres)/paccfres</f>
        <v>#DIV/0!</v>
      </c>
      <c r="X141" s="276" t="str">
        <f>(calpaccfres-paccfres)/paccfres</f>
        <v>#DIV/0!</v>
      </c>
      <c r="Y141" s="276" t="str">
        <f>(calpaccfres-paccfres)/paccfres</f>
        <v>#DIV/0!</v>
      </c>
      <c r="Z141" s="276" t="str">
        <f>(calpaccfres-paccfres)/paccfres</f>
        <v>#DIV/0!</v>
      </c>
      <c r="AA141" s="276" t="str">
        <f>(calpaccfres-paccfres)/paccfres</f>
        <v>#DIV/0!</v>
      </c>
      <c r="AB141" s="276" t="str">
        <f>(calpaccfres-paccfres)/paccfres</f>
        <v>#DIV/0!</v>
      </c>
      <c r="AC141" s="276" t="str">
        <f>(calpaccfres-paccfres)/paccfres</f>
        <v>#DIV/0!</v>
      </c>
      <c r="AD141" s="276" t="str">
        <f>(calpaccfres-paccfres)/paccfres</f>
        <v>#DIV/0!</v>
      </c>
      <c r="AE141" s="276" t="str">
        <f>(calpaccfres-paccfres)/paccfres</f>
        <v>#DIV/0!</v>
      </c>
      <c r="AF141" s="276" t="str">
        <f>(calpaccfres-paccfres)/paccfres</f>
        <v>#DIV/0!</v>
      </c>
      <c r="AG141" s="276" t="str">
        <f>(calpaccfres-paccfres)/paccfres</f>
        <v>#DIV/0!</v>
      </c>
      <c r="AH141" s="276" t="str">
        <f>(calpaccfres-paccfres)/paccfres</f>
        <v>#DIV/0!</v>
      </c>
      <c r="AI141" s="125"/>
      <c r="AJ141" s="127"/>
      <c r="AK141" s="127"/>
      <c r="AL141" s="127"/>
      <c r="AM141" s="127"/>
      <c r="AN141" s="127"/>
      <c r="AO141" s="127"/>
      <c r="AP141" s="127"/>
      <c r="AQ141" s="127"/>
      <c r="AR141" s="127"/>
      <c r="AS141" s="127"/>
      <c r="AT141" s="127"/>
      <c r="AU141" s="127"/>
      <c r="AV141" s="127"/>
      <c r="AW141" s="127"/>
      <c r="AX141" s="127"/>
      <c r="AY141" s="127"/>
      <c r="AZ141" s="127"/>
      <c r="BA141" s="127"/>
      <c r="BB141" s="127"/>
      <c r="BC141" s="127"/>
      <c r="BD141" s="127"/>
      <c r="BE141" s="127"/>
      <c r="BF141" s="127"/>
      <c r="BG141" s="127"/>
      <c r="BH141" s="127"/>
      <c r="BI141" s="127"/>
      <c r="BJ141" s="127"/>
      <c r="BK141" s="127"/>
      <c r="BL141" s="127"/>
      <c r="BM141" s="127"/>
      <c r="BN141" s="127"/>
      <c r="BO141" s="127"/>
      <c r="BP141" s="127"/>
      <c r="BQ141" s="127"/>
      <c r="BR141" s="127"/>
    </row>
    <row r="142" ht="14.25" customHeight="1" outlineLevel="3">
      <c r="A142" s="326"/>
      <c r="B142" s="201"/>
      <c r="C142" s="201"/>
      <c r="D142" s="201"/>
      <c r="E142" s="316" t="s">
        <v>799</v>
      </c>
      <c r="F142" s="123" t="s">
        <v>135</v>
      </c>
      <c r="G142" s="123" t="s">
        <v>800</v>
      </c>
      <c r="H142" s="276" t="str">
        <f>(calsthcfres-sthcfres)/sthcfres</f>
        <v>#DIV/0!</v>
      </c>
      <c r="I142" s="276" t="str">
        <f>(calsthcfres-sthcfres)/sthcfres</f>
        <v>#DIV/0!</v>
      </c>
      <c r="J142" s="276" t="str">
        <f>(calsthcfres-sthcfres)/sthcfres</f>
        <v>#DIV/0!</v>
      </c>
      <c r="K142" s="276" t="str">
        <f>(calsthcfres-sthcfres)/sthcfres</f>
        <v>#DIV/0!</v>
      </c>
      <c r="L142" s="276" t="str">
        <f>(calsthcfres-sthcfres)/sthcfres</f>
        <v>#DIV/0!</v>
      </c>
      <c r="M142" s="276" t="str">
        <f>(calsthcfres-sthcfres)/sthcfres</f>
        <v>#DIV/0!</v>
      </c>
      <c r="N142" s="276" t="str">
        <f>(calsthcfres-sthcfres)/sthcfres</f>
        <v>#DIV/0!</v>
      </c>
      <c r="O142" s="276" t="str">
        <f>(calsthcfres-sthcfres)/sthcfres</f>
        <v>#DIV/0!</v>
      </c>
      <c r="P142" s="276" t="str">
        <f>(calsthcfres-sthcfres)/sthcfres</f>
        <v>#DIV/0!</v>
      </c>
      <c r="Q142" s="276" t="str">
        <f>(calsthcfres-sthcfres)/sthcfres</f>
        <v>#DIV/0!</v>
      </c>
      <c r="R142" s="276" t="str">
        <f>(calsthcfres-sthcfres)/sthcfres</f>
        <v>#DIV/0!</v>
      </c>
      <c r="S142" s="276" t="str">
        <f>(calsthcfres-sthcfres)/sthcfres</f>
        <v>#DIV/0!</v>
      </c>
      <c r="T142" s="276" t="str">
        <f>(calsthcfres-sthcfres)/sthcfres</f>
        <v>#DIV/0!</v>
      </c>
      <c r="U142" s="276" t="str">
        <f>(calsthcfres-sthcfres)/sthcfres</f>
        <v>#DIV/0!</v>
      </c>
      <c r="V142" s="276" t="str">
        <f>(calsthcfres-sthcfres)/sthcfres</f>
        <v>#DIV/0!</v>
      </c>
      <c r="W142" s="276" t="str">
        <f>(calsthcfres-sthcfres)/sthcfres</f>
        <v>#DIV/0!</v>
      </c>
      <c r="X142" s="276" t="str">
        <f>(calsthcfres-sthcfres)/sthcfres</f>
        <v>#DIV/0!</v>
      </c>
      <c r="Y142" s="276" t="str">
        <f>(calsthcfres-sthcfres)/sthcfres</f>
        <v>#DIV/0!</v>
      </c>
      <c r="Z142" s="276" t="str">
        <f>(calsthcfres-sthcfres)/sthcfres</f>
        <v>#DIV/0!</v>
      </c>
      <c r="AA142" s="276" t="str">
        <f>(calsthcfres-sthcfres)/sthcfres</f>
        <v>#DIV/0!</v>
      </c>
      <c r="AB142" s="276" t="str">
        <f>(calsthcfres-sthcfres)/sthcfres</f>
        <v>#DIV/0!</v>
      </c>
      <c r="AC142" s="276" t="str">
        <f>(calsthcfres-sthcfres)/sthcfres</f>
        <v>#DIV/0!</v>
      </c>
      <c r="AD142" s="276" t="str">
        <f>(calsthcfres-sthcfres)/sthcfres</f>
        <v>#DIV/0!</v>
      </c>
      <c r="AE142" s="276" t="str">
        <f>(calsthcfres-sthcfres)/sthcfres</f>
        <v>#DIV/0!</v>
      </c>
      <c r="AF142" s="276" t="str">
        <f>(calsthcfres-sthcfres)/sthcfres</f>
        <v>#DIV/0!</v>
      </c>
      <c r="AG142" s="276" t="str">
        <f>(calsthcfres-sthcfres)/sthcfres</f>
        <v>#DIV/0!</v>
      </c>
      <c r="AH142" s="276" t="str">
        <f>(calsthcfres-sthcfres)/sthcfres</f>
        <v>#DIV/0!</v>
      </c>
      <c r="AI142" s="125"/>
      <c r="AJ142" s="127"/>
      <c r="AK142" s="127"/>
      <c r="AL142" s="127"/>
      <c r="AM142" s="127"/>
      <c r="AN142" s="127"/>
      <c r="AO142" s="127"/>
      <c r="AP142" s="127"/>
      <c r="AQ142" s="127"/>
      <c r="AR142" s="127"/>
      <c r="AS142" s="127"/>
      <c r="AT142" s="127"/>
      <c r="AU142" s="127"/>
      <c r="AV142" s="127"/>
      <c r="AW142" s="127"/>
      <c r="AX142" s="127"/>
      <c r="AY142" s="127"/>
      <c r="AZ142" s="127"/>
      <c r="BA142" s="127"/>
      <c r="BB142" s="127"/>
      <c r="BC142" s="127"/>
      <c r="BD142" s="127"/>
      <c r="BE142" s="127"/>
      <c r="BF142" s="127"/>
      <c r="BG142" s="127"/>
      <c r="BH142" s="127"/>
      <c r="BI142" s="127"/>
      <c r="BJ142" s="127"/>
      <c r="BK142" s="127"/>
      <c r="BL142" s="127"/>
      <c r="BM142" s="127"/>
      <c r="BN142" s="127"/>
      <c r="BO142" s="127"/>
      <c r="BP142" s="127"/>
      <c r="BQ142" s="127"/>
      <c r="BR142" s="127"/>
    </row>
    <row r="143" ht="14.25" customHeight="1">
      <c r="A143" s="195"/>
      <c r="B143" s="100"/>
      <c r="C143" s="100"/>
      <c r="D143" s="100"/>
      <c r="E143" s="100"/>
      <c r="F143" s="206"/>
      <c r="G143" s="206"/>
      <c r="H143" s="207"/>
      <c r="I143" s="207"/>
      <c r="J143" s="207"/>
      <c r="K143" s="207"/>
      <c r="L143" s="207"/>
      <c r="M143" s="207"/>
      <c r="N143" s="207"/>
      <c r="O143" s="207"/>
      <c r="P143" s="207"/>
      <c r="Q143" s="207"/>
      <c r="R143" s="207"/>
      <c r="S143" s="207"/>
      <c r="T143" s="207"/>
      <c r="U143" s="207"/>
      <c r="V143" s="207"/>
      <c r="W143" s="208"/>
      <c r="X143" s="208"/>
      <c r="Y143" s="208"/>
      <c r="Z143" s="208"/>
      <c r="AA143" s="208"/>
      <c r="AB143" s="208"/>
      <c r="AC143" s="208"/>
      <c r="AD143" s="208"/>
      <c r="AE143" s="208"/>
      <c r="AF143" s="208"/>
      <c r="AG143" s="208"/>
      <c r="AH143" s="208"/>
      <c r="AI143" s="100"/>
      <c r="AJ143" s="319"/>
      <c r="AK143" s="319"/>
      <c r="AL143" s="319"/>
      <c r="AM143" s="319"/>
      <c r="AN143" s="319"/>
      <c r="AO143" s="319"/>
      <c r="AP143" s="319"/>
      <c r="AQ143" s="319"/>
      <c r="AR143" s="319"/>
      <c r="AS143" s="319"/>
      <c r="AT143" s="319"/>
      <c r="AU143" s="319"/>
      <c r="AV143" s="319"/>
      <c r="AW143" s="319"/>
      <c r="AX143" s="319"/>
      <c r="AY143" s="319"/>
      <c r="AZ143" s="319"/>
      <c r="BA143" s="319"/>
      <c r="BB143" s="319"/>
      <c r="BC143" s="319"/>
      <c r="BD143" s="319"/>
      <c r="BE143" s="319"/>
      <c r="BF143" s="319"/>
      <c r="BG143" s="319"/>
      <c r="BH143" s="319"/>
      <c r="BI143" s="319"/>
      <c r="BJ143" s="319"/>
      <c r="BK143" s="319"/>
      <c r="BL143" s="319"/>
      <c r="BM143" s="319"/>
      <c r="BN143" s="319"/>
      <c r="BO143" s="319"/>
      <c r="BP143" s="319"/>
      <c r="BQ143" s="319"/>
      <c r="BR143" s="319"/>
    </row>
    <row r="144" ht="14.25" customHeight="1">
      <c r="A144" s="314" t="s">
        <v>801</v>
      </c>
      <c r="B144" s="246"/>
      <c r="C144" s="246"/>
      <c r="D144" s="201"/>
      <c r="E144" s="162"/>
      <c r="F144" s="162"/>
      <c r="G144" s="162"/>
      <c r="H144" s="178"/>
      <c r="I144" s="178"/>
      <c r="J144" s="178"/>
      <c r="K144" s="178"/>
      <c r="L144" s="178"/>
      <c r="M144" s="178"/>
      <c r="N144" s="178"/>
      <c r="O144" s="178"/>
      <c r="P144" s="178"/>
      <c r="Q144" s="178"/>
      <c r="R144" s="178"/>
      <c r="S144" s="178"/>
      <c r="T144" s="178"/>
      <c r="U144" s="178"/>
      <c r="V144" s="178"/>
      <c r="W144" s="178"/>
      <c r="X144" s="178"/>
      <c r="Y144" s="178"/>
      <c r="Z144" s="178"/>
      <c r="AA144" s="178"/>
      <c r="AB144" s="178"/>
      <c r="AC144" s="178"/>
      <c r="AD144" s="178"/>
      <c r="AE144" s="178"/>
      <c r="AF144" s="178"/>
      <c r="AG144" s="178"/>
      <c r="AH144" s="178"/>
      <c r="AI144" s="162"/>
      <c r="AJ144" s="315"/>
      <c r="AK144" s="315"/>
      <c r="AL144" s="315"/>
      <c r="AM144" s="315"/>
      <c r="AN144" s="315"/>
      <c r="AO144" s="315"/>
      <c r="AP144" s="315"/>
      <c r="AQ144" s="315"/>
      <c r="AR144" s="315"/>
      <c r="AS144" s="315"/>
      <c r="AT144" s="315"/>
      <c r="AU144" s="315"/>
      <c r="AV144" s="315"/>
      <c r="AW144" s="315"/>
      <c r="AX144" s="315"/>
      <c r="AY144" s="315"/>
      <c r="AZ144" s="315"/>
      <c r="BA144" s="315"/>
      <c r="BB144" s="315"/>
      <c r="BC144" s="315"/>
      <c r="BD144" s="315"/>
      <c r="BE144" s="315"/>
      <c r="BF144" s="315"/>
      <c r="BG144" s="315"/>
      <c r="BH144" s="315"/>
      <c r="BI144" s="315"/>
      <c r="BJ144" s="315"/>
      <c r="BK144" s="315"/>
      <c r="BL144" s="315"/>
      <c r="BM144" s="315"/>
      <c r="BN144" s="315"/>
      <c r="BO144" s="315"/>
      <c r="BP144" s="315"/>
      <c r="BQ144" s="315"/>
      <c r="BR144" s="315"/>
    </row>
    <row r="145" ht="14.25" customHeight="1">
      <c r="A145" s="195"/>
      <c r="B145" s="100"/>
      <c r="C145" s="100"/>
      <c r="D145" s="100"/>
      <c r="E145" s="180" t="s">
        <v>802</v>
      </c>
      <c r="F145" s="249" t="s">
        <v>135</v>
      </c>
      <c r="G145" s="123" t="str">
        <f>F37</f>
        <v>toccfreschf</v>
      </c>
      <c r="H145" s="337">
        <f t="array" ref="H145:AH145">INDIRECT($G145)</f>
        <v>82.1924</v>
      </c>
      <c r="I145" s="337">
        <v>87.2165</v>
      </c>
      <c r="J145" s="337">
        <v>78.7547</v>
      </c>
      <c r="K145" s="337">
        <v>86.5135</v>
      </c>
      <c r="L145" s="337">
        <v>84.4218</v>
      </c>
      <c r="M145" s="337">
        <v>82.5902</v>
      </c>
      <c r="N145" s="337">
        <v>78.0151</v>
      </c>
      <c r="O145" s="337">
        <v>68.6172</v>
      </c>
      <c r="P145" s="337">
        <v>79.7796</v>
      </c>
      <c r="Q145" s="337">
        <v>74.7402</v>
      </c>
      <c r="R145" s="337">
        <v>84.5128</v>
      </c>
      <c r="S145" s="337">
        <v>66.7221</v>
      </c>
      <c r="T145" s="337">
        <v>70.5795</v>
      </c>
      <c r="U145" s="337">
        <v>78.9575</v>
      </c>
      <c r="V145" s="337">
        <v>60.6321</v>
      </c>
      <c r="W145" s="337">
        <v>71.2408760496111</v>
      </c>
      <c r="X145" s="337">
        <v>70.4285</v>
      </c>
      <c r="Y145" s="337">
        <v>68.8517</v>
      </c>
      <c r="Z145" s="337">
        <v>69.22</v>
      </c>
      <c r="AA145" s="337"/>
      <c r="AB145" s="337"/>
      <c r="AC145" s="337"/>
      <c r="AD145" s="337"/>
      <c r="AE145" s="337"/>
      <c r="AF145" s="337"/>
      <c r="AG145" s="337"/>
      <c r="AH145" s="337"/>
      <c r="AI145" s="100"/>
      <c r="AJ145" s="319"/>
      <c r="AK145" s="319"/>
      <c r="AL145" s="319"/>
      <c r="AM145" s="319"/>
      <c r="AN145" s="319"/>
      <c r="AO145" s="319"/>
      <c r="AP145" s="319"/>
      <c r="AQ145" s="319"/>
      <c r="AR145" s="319"/>
      <c r="AS145" s="319"/>
      <c r="AT145" s="319"/>
      <c r="AU145" s="319"/>
      <c r="AV145" s="319"/>
      <c r="AW145" s="319"/>
      <c r="AX145" s="319"/>
      <c r="AY145" s="319"/>
      <c r="AZ145" s="319"/>
      <c r="BA145" s="319"/>
      <c r="BB145" s="319"/>
      <c r="BC145" s="319"/>
      <c r="BD145" s="319"/>
      <c r="BE145" s="319"/>
      <c r="BF145" s="319"/>
      <c r="BG145" s="319"/>
      <c r="BH145" s="319"/>
      <c r="BI145" s="319"/>
      <c r="BJ145" s="319"/>
      <c r="BK145" s="319"/>
      <c r="BL145" s="319"/>
      <c r="BM145" s="319"/>
      <c r="BN145" s="319"/>
      <c r="BO145" s="319"/>
      <c r="BP145" s="319"/>
      <c r="BQ145" s="319"/>
      <c r="BR145" s="319"/>
    </row>
    <row r="146" ht="14.25" customHeight="1">
      <c r="A146" s="195"/>
      <c r="B146" s="100"/>
      <c r="C146" s="100"/>
      <c r="D146" s="100"/>
      <c r="E146" s="287" t="s">
        <v>803</v>
      </c>
      <c r="F146" s="249" t="s">
        <v>135</v>
      </c>
      <c r="G146" s="249" t="s">
        <v>419</v>
      </c>
      <c r="H146" s="337">
        <f t="array" ref="H146:AH146">INDIRECT($G146)</f>
        <v>0</v>
      </c>
      <c r="I146" s="337">
        <v>0.0</v>
      </c>
      <c r="J146" s="337">
        <v>0.0</v>
      </c>
      <c r="K146" s="337">
        <v>0.0</v>
      </c>
      <c r="L146" s="337">
        <v>0.0</v>
      </c>
      <c r="M146" s="337">
        <v>0.0</v>
      </c>
      <c r="N146" s="337">
        <v>0.0</v>
      </c>
      <c r="O146" s="337">
        <v>0.0</v>
      </c>
      <c r="P146" s="337">
        <v>0.0</v>
      </c>
      <c r="Q146" s="337">
        <v>0.0</v>
      </c>
      <c r="R146" s="337">
        <v>0.0577</v>
      </c>
      <c r="S146" s="337">
        <v>0.0583</v>
      </c>
      <c r="T146" s="337">
        <v>0.0588</v>
      </c>
      <c r="U146" s="337">
        <v>0.0591</v>
      </c>
      <c r="V146" s="337">
        <v>0.0594</v>
      </c>
      <c r="W146" s="337">
        <v>0.0597</v>
      </c>
      <c r="X146" s="337">
        <v>0.06</v>
      </c>
      <c r="Y146" s="337">
        <v>0.0602</v>
      </c>
      <c r="Z146" s="337">
        <v>0.061</v>
      </c>
      <c r="AA146" s="337">
        <v>0.0</v>
      </c>
      <c r="AB146" s="337">
        <v>0.0</v>
      </c>
      <c r="AC146" s="337">
        <v>0.0</v>
      </c>
      <c r="AD146" s="337">
        <v>0.0</v>
      </c>
      <c r="AE146" s="337">
        <v>0.0</v>
      </c>
      <c r="AF146" s="337">
        <v>0.0</v>
      </c>
      <c r="AG146" s="337">
        <v>0.0</v>
      </c>
      <c r="AH146" s="337">
        <v>0.0</v>
      </c>
      <c r="AI146" s="100"/>
      <c r="AJ146" s="319"/>
      <c r="AK146" s="319"/>
      <c r="AL146" s="319"/>
      <c r="AM146" s="319"/>
      <c r="AN146" s="319"/>
      <c r="AO146" s="319"/>
      <c r="AP146" s="319"/>
      <c r="AQ146" s="319"/>
      <c r="AR146" s="319"/>
      <c r="AS146" s="319"/>
      <c r="AT146" s="319"/>
      <c r="AU146" s="319"/>
      <c r="AV146" s="319"/>
      <c r="AW146" s="319"/>
      <c r="AX146" s="319"/>
      <c r="AY146" s="319"/>
      <c r="AZ146" s="319"/>
      <c r="BA146" s="319"/>
      <c r="BB146" s="319"/>
      <c r="BC146" s="319"/>
      <c r="BD146" s="319"/>
      <c r="BE146" s="319"/>
      <c r="BF146" s="319"/>
      <c r="BG146" s="319"/>
      <c r="BH146" s="319"/>
      <c r="BI146" s="319"/>
      <c r="BJ146" s="319"/>
      <c r="BK146" s="319"/>
      <c r="BL146" s="319"/>
      <c r="BM146" s="319"/>
      <c r="BN146" s="319"/>
      <c r="BO146" s="319"/>
      <c r="BP146" s="319"/>
      <c r="BQ146" s="319"/>
      <c r="BR146" s="319"/>
    </row>
    <row r="147" ht="14.25" customHeight="1">
      <c r="A147" s="195"/>
      <c r="B147" s="100"/>
      <c r="C147" s="100"/>
      <c r="D147" s="100"/>
      <c r="E147" s="287" t="s">
        <v>804</v>
      </c>
      <c r="F147" s="123" t="s">
        <v>135</v>
      </c>
      <c r="G147" s="123" t="s">
        <v>469</v>
      </c>
      <c r="H147" s="337">
        <f t="array" ref="H147:AH147">INDIRECT($G147)</f>
        <v>11.8138</v>
      </c>
      <c r="I147" s="337">
        <v>11.5724</v>
      </c>
      <c r="J147" s="337">
        <v>11.5478</v>
      </c>
      <c r="K147" s="337">
        <v>11.3855</v>
      </c>
      <c r="L147" s="337">
        <v>11.2373</v>
      </c>
      <c r="M147" s="337">
        <v>11.7598</v>
      </c>
      <c r="N147" s="337">
        <v>11.0741</v>
      </c>
      <c r="O147" s="337">
        <v>10.9415</v>
      </c>
      <c r="P147" s="337">
        <v>10.672</v>
      </c>
      <c r="Q147" s="337">
        <v>10.377</v>
      </c>
      <c r="R147" s="337">
        <v>10.4302</v>
      </c>
      <c r="S147" s="337">
        <v>10.556</v>
      </c>
      <c r="T147" s="337">
        <v>10.6461</v>
      </c>
      <c r="U147" s="337">
        <v>10.7497</v>
      </c>
      <c r="V147" s="337">
        <v>10.8195</v>
      </c>
      <c r="W147" s="337">
        <v>10.4640603903416</v>
      </c>
      <c r="X147" s="337">
        <v>10.9733</v>
      </c>
      <c r="Y147" s="337">
        <v>11.0344</v>
      </c>
      <c r="Z147" s="337">
        <v>11.166</v>
      </c>
      <c r="AA147" s="337"/>
      <c r="AB147" s="337">
        <v>9.31869134907769</v>
      </c>
      <c r="AC147" s="337">
        <v>8.50551956920465</v>
      </c>
      <c r="AD147" s="337">
        <v>7.30252753102058</v>
      </c>
      <c r="AE147" s="337">
        <v>6.59880970336838</v>
      </c>
      <c r="AF147" s="337">
        <v>5.7715375705244</v>
      </c>
      <c r="AG147" s="337">
        <v>5.14614617391197</v>
      </c>
      <c r="AH147" s="337">
        <v>4.6106891594176</v>
      </c>
      <c r="AI147" s="100"/>
      <c r="AJ147" s="319"/>
      <c r="AK147" s="319"/>
      <c r="AL147" s="319"/>
      <c r="AM147" s="319"/>
      <c r="AN147" s="319"/>
      <c r="AO147" s="319"/>
      <c r="AP147" s="319"/>
      <c r="AQ147" s="319"/>
      <c r="AR147" s="319"/>
      <c r="AS147" s="319"/>
      <c r="AT147" s="319"/>
      <c r="AU147" s="319"/>
      <c r="AV147" s="319"/>
      <c r="AW147" s="319"/>
      <c r="AX147" s="319"/>
      <c r="AY147" s="319"/>
      <c r="AZ147" s="319"/>
      <c r="BA147" s="319"/>
      <c r="BB147" s="319"/>
      <c r="BC147" s="319"/>
      <c r="BD147" s="319"/>
      <c r="BE147" s="319"/>
      <c r="BF147" s="319"/>
      <c r="BG147" s="319"/>
      <c r="BH147" s="319"/>
      <c r="BI147" s="319"/>
      <c r="BJ147" s="319"/>
      <c r="BK147" s="319"/>
      <c r="BL147" s="319"/>
      <c r="BM147" s="319"/>
      <c r="BN147" s="319"/>
      <c r="BO147" s="319"/>
      <c r="BP147" s="319"/>
      <c r="BQ147" s="319"/>
      <c r="BR147" s="319"/>
    </row>
    <row r="148" ht="14.25" customHeight="1">
      <c r="A148" s="195"/>
      <c r="B148" s="100"/>
      <c r="C148" s="100"/>
      <c r="D148" s="100"/>
      <c r="E148" s="287" t="s">
        <v>805</v>
      </c>
      <c r="F148" s="123" t="s">
        <v>135</v>
      </c>
      <c r="G148" s="123" t="s">
        <v>506</v>
      </c>
      <c r="H148" s="337">
        <f t="array" ref="H148:AH148">INDIRECT($G148)</f>
        <v>1.6585</v>
      </c>
      <c r="I148" s="337">
        <v>1.5859</v>
      </c>
      <c r="J148" s="337">
        <v>1.5684</v>
      </c>
      <c r="K148" s="337">
        <v>1.5698</v>
      </c>
      <c r="L148" s="337">
        <v>1.5927</v>
      </c>
      <c r="M148" s="337">
        <v>1.5733</v>
      </c>
      <c r="N148" s="337">
        <v>1.6349</v>
      </c>
      <c r="O148" s="337">
        <v>1.6037</v>
      </c>
      <c r="P148" s="337">
        <v>1.5003</v>
      </c>
      <c r="Q148" s="337">
        <v>1.5315</v>
      </c>
      <c r="R148" s="337">
        <v>1.5356</v>
      </c>
      <c r="S148" s="337">
        <v>1.5487</v>
      </c>
      <c r="T148" s="337">
        <v>1.5612</v>
      </c>
      <c r="U148" s="337">
        <v>1.569</v>
      </c>
      <c r="V148" s="337">
        <v>1.5754</v>
      </c>
      <c r="W148" s="337">
        <v>1.5855</v>
      </c>
      <c r="X148" s="337">
        <v>1.5934</v>
      </c>
      <c r="Y148" s="337">
        <v>1.6025</v>
      </c>
      <c r="Z148" s="337">
        <v>1.605</v>
      </c>
      <c r="AA148" s="337"/>
      <c r="AB148" s="337">
        <v>1.59995685454545</v>
      </c>
      <c r="AC148" s="337">
        <v>1.60698037014925</v>
      </c>
      <c r="AD148" s="337">
        <v>1.63788383880597</v>
      </c>
      <c r="AE148" s="337">
        <v>1.64424631764706</v>
      </c>
      <c r="AF148" s="337">
        <v>1.65042437681159</v>
      </c>
      <c r="AG148" s="337">
        <v>1.68043209275362</v>
      </c>
      <c r="AH148" s="337">
        <v>1.68600495428571</v>
      </c>
      <c r="AI148" s="100"/>
      <c r="AJ148" s="319"/>
      <c r="AK148" s="319"/>
      <c r="AL148" s="319"/>
      <c r="AM148" s="319"/>
      <c r="AN148" s="319"/>
      <c r="AO148" s="319"/>
      <c r="AP148" s="319"/>
      <c r="AQ148" s="319"/>
      <c r="AR148" s="319"/>
      <c r="AS148" s="319"/>
      <c r="AT148" s="319"/>
      <c r="AU148" s="319"/>
      <c r="AV148" s="319"/>
      <c r="AW148" s="319"/>
      <c r="AX148" s="319"/>
      <c r="AY148" s="319"/>
      <c r="AZ148" s="319"/>
      <c r="BA148" s="319"/>
      <c r="BB148" s="319"/>
      <c r="BC148" s="319"/>
      <c r="BD148" s="319"/>
      <c r="BE148" s="319"/>
      <c r="BF148" s="319"/>
      <c r="BG148" s="319"/>
      <c r="BH148" s="319"/>
      <c r="BI148" s="319"/>
      <c r="BJ148" s="319"/>
      <c r="BK148" s="319"/>
      <c r="BL148" s="319"/>
      <c r="BM148" s="319"/>
      <c r="BN148" s="319"/>
      <c r="BO148" s="319"/>
      <c r="BP148" s="319"/>
      <c r="BQ148" s="319"/>
      <c r="BR148" s="319"/>
    </row>
    <row r="149" ht="14.25" customHeight="1">
      <c r="A149" s="195"/>
      <c r="B149" s="100"/>
      <c r="C149" s="100"/>
      <c r="D149" s="100"/>
      <c r="E149" s="180" t="s">
        <v>806</v>
      </c>
      <c r="F149" s="123" t="s">
        <v>135</v>
      </c>
      <c r="G149" s="123" t="s">
        <v>584</v>
      </c>
      <c r="H149" s="337" t="str">
        <f t="array" ref="H149:AH149">INDIRECT($G149)</f>
        <v/>
      </c>
      <c r="I149" s="337"/>
      <c r="J149" s="337"/>
      <c r="K149" s="337"/>
      <c r="L149" s="337"/>
      <c r="M149" s="337"/>
      <c r="N149" s="337"/>
      <c r="O149" s="337"/>
      <c r="P149" s="337"/>
      <c r="Q149" s="337"/>
      <c r="R149" s="337">
        <v>13.3433</v>
      </c>
      <c r="S149" s="337">
        <v>12.937</v>
      </c>
      <c r="T149" s="337">
        <v>13.3529</v>
      </c>
      <c r="U149" s="337">
        <v>12.9749</v>
      </c>
      <c r="V149" s="337">
        <v>12.6953</v>
      </c>
      <c r="W149" s="337">
        <v>12.3979</v>
      </c>
      <c r="X149" s="337"/>
      <c r="Y149" s="337"/>
      <c r="Z149" s="337"/>
      <c r="AA149" s="337"/>
      <c r="AB149" s="337">
        <v>11.4660707692022</v>
      </c>
      <c r="AC149" s="337">
        <v>10.4081366877073</v>
      </c>
      <c r="AD149" s="337">
        <v>9.74010063789334</v>
      </c>
      <c r="AE149" s="337">
        <v>9.04515980568768</v>
      </c>
      <c r="AF149" s="337">
        <v>8.32709209986242</v>
      </c>
      <c r="AG149" s="337">
        <v>7.7530992209996</v>
      </c>
      <c r="AH149" s="337">
        <v>7.1561922</v>
      </c>
      <c r="AI149" s="100"/>
      <c r="AJ149" s="319"/>
      <c r="AK149" s="319"/>
      <c r="AL149" s="319"/>
      <c r="AM149" s="319"/>
      <c r="AN149" s="319"/>
      <c r="AO149" s="319"/>
      <c r="AP149" s="319"/>
      <c r="AQ149" s="319"/>
      <c r="AR149" s="319"/>
      <c r="AS149" s="319"/>
      <c r="AT149" s="319"/>
      <c r="AU149" s="319"/>
      <c r="AV149" s="319"/>
      <c r="AW149" s="319"/>
      <c r="AX149" s="319"/>
      <c r="AY149" s="319"/>
      <c r="AZ149" s="319"/>
      <c r="BA149" s="319"/>
      <c r="BB149" s="319"/>
      <c r="BC149" s="319"/>
      <c r="BD149" s="319"/>
      <c r="BE149" s="319"/>
      <c r="BF149" s="319"/>
      <c r="BG149" s="319"/>
      <c r="BH149" s="319"/>
      <c r="BI149" s="319"/>
      <c r="BJ149" s="319"/>
      <c r="BK149" s="319"/>
      <c r="BL149" s="319"/>
      <c r="BM149" s="319"/>
      <c r="BN149" s="319"/>
      <c r="BO149" s="319"/>
      <c r="BP149" s="319"/>
      <c r="BQ149" s="319"/>
      <c r="BR149" s="319"/>
    </row>
    <row r="150" ht="14.25" customHeight="1">
      <c r="A150" s="195"/>
      <c r="B150" s="100"/>
      <c r="C150" s="100"/>
      <c r="D150" s="100"/>
      <c r="E150" s="180" t="s">
        <v>807</v>
      </c>
      <c r="F150" s="123" t="s">
        <v>135</v>
      </c>
      <c r="G150" s="123" t="s">
        <v>597</v>
      </c>
      <c r="H150" s="337" t="str">
        <f t="array" ref="H150:AH150">INDIRECT($G150)</f>
        <v/>
      </c>
      <c r="I150" s="337"/>
      <c r="J150" s="337"/>
      <c r="K150" s="337"/>
      <c r="L150" s="337"/>
      <c r="M150" s="337"/>
      <c r="N150" s="337"/>
      <c r="O150" s="337"/>
      <c r="P150" s="337"/>
      <c r="Q150" s="337"/>
      <c r="R150" s="337"/>
      <c r="S150" s="337"/>
      <c r="T150" s="337"/>
      <c r="U150" s="337"/>
      <c r="V150" s="337"/>
      <c r="W150" s="337"/>
      <c r="X150" s="337"/>
      <c r="Y150" s="337"/>
      <c r="Z150" s="337"/>
      <c r="AA150" s="337"/>
      <c r="AB150" s="337"/>
      <c r="AC150" s="337"/>
      <c r="AD150" s="337"/>
      <c r="AE150" s="337"/>
      <c r="AF150" s="337"/>
      <c r="AG150" s="337"/>
      <c r="AH150" s="337"/>
      <c r="AI150" s="100"/>
      <c r="AJ150" s="319"/>
      <c r="AK150" s="319"/>
      <c r="AL150" s="319"/>
      <c r="AM150" s="319"/>
      <c r="AN150" s="319"/>
      <c r="AO150" s="319"/>
      <c r="AP150" s="319"/>
      <c r="AQ150" s="319"/>
      <c r="AR150" s="319"/>
      <c r="AS150" s="319"/>
      <c r="AT150" s="319"/>
      <c r="AU150" s="319"/>
      <c r="AV150" s="319"/>
      <c r="AW150" s="319"/>
      <c r="AX150" s="319"/>
      <c r="AY150" s="319"/>
      <c r="AZ150" s="319"/>
      <c r="BA150" s="319"/>
      <c r="BB150" s="319"/>
      <c r="BC150" s="319"/>
      <c r="BD150" s="319"/>
      <c r="BE150" s="319"/>
      <c r="BF150" s="319"/>
      <c r="BG150" s="319"/>
      <c r="BH150" s="319"/>
      <c r="BI150" s="319"/>
      <c r="BJ150" s="319"/>
      <c r="BK150" s="319"/>
      <c r="BL150" s="319"/>
      <c r="BM150" s="319"/>
      <c r="BN150" s="319"/>
      <c r="BO150" s="319"/>
      <c r="BP150" s="319"/>
      <c r="BQ150" s="319"/>
      <c r="BR150" s="319"/>
    </row>
    <row r="151" ht="14.25" customHeight="1">
      <c r="A151" s="195"/>
      <c r="B151" s="100"/>
      <c r="C151" s="100"/>
      <c r="D151" s="100"/>
      <c r="E151" s="180" t="s">
        <v>808</v>
      </c>
      <c r="F151" s="123" t="s">
        <v>135</v>
      </c>
      <c r="G151" s="206"/>
      <c r="H151" s="338">
        <f t="shared" ref="H151:AH151" si="8">SUM(H145:H150)</f>
        <v>95.6647</v>
      </c>
      <c r="I151" s="338">
        <f t="shared" si="8"/>
        <v>100.3748</v>
      </c>
      <c r="J151" s="338">
        <f t="shared" si="8"/>
        <v>91.8709</v>
      </c>
      <c r="K151" s="338">
        <f t="shared" si="8"/>
        <v>99.4688</v>
      </c>
      <c r="L151" s="338">
        <f t="shared" si="8"/>
        <v>97.2518</v>
      </c>
      <c r="M151" s="338">
        <f t="shared" si="8"/>
        <v>95.9233</v>
      </c>
      <c r="N151" s="338">
        <f t="shared" si="8"/>
        <v>90.7241</v>
      </c>
      <c r="O151" s="338">
        <f t="shared" si="8"/>
        <v>81.1624</v>
      </c>
      <c r="P151" s="338">
        <f t="shared" si="8"/>
        <v>91.9519</v>
      </c>
      <c r="Q151" s="338">
        <f t="shared" si="8"/>
        <v>86.6487</v>
      </c>
      <c r="R151" s="338">
        <f t="shared" si="8"/>
        <v>109.8796</v>
      </c>
      <c r="S151" s="338">
        <f t="shared" si="8"/>
        <v>91.8221</v>
      </c>
      <c r="T151" s="338">
        <f t="shared" si="8"/>
        <v>96.1985</v>
      </c>
      <c r="U151" s="338">
        <f t="shared" si="8"/>
        <v>104.3102</v>
      </c>
      <c r="V151" s="338">
        <f t="shared" si="8"/>
        <v>85.7817</v>
      </c>
      <c r="W151" s="338">
        <f t="shared" si="8"/>
        <v>95.74803644</v>
      </c>
      <c r="X151" s="338">
        <f t="shared" si="8"/>
        <v>83.0552</v>
      </c>
      <c r="Y151" s="338">
        <f t="shared" si="8"/>
        <v>81.5488</v>
      </c>
      <c r="Z151" s="338">
        <f t="shared" si="8"/>
        <v>82.052</v>
      </c>
      <c r="AA151" s="338">
        <f t="shared" si="8"/>
        <v>0</v>
      </c>
      <c r="AB151" s="338">
        <f t="shared" si="8"/>
        <v>22.38471897</v>
      </c>
      <c r="AC151" s="338">
        <f t="shared" si="8"/>
        <v>20.52063663</v>
      </c>
      <c r="AD151" s="338">
        <f t="shared" si="8"/>
        <v>18.68051201</v>
      </c>
      <c r="AE151" s="338">
        <f t="shared" si="8"/>
        <v>17.28821583</v>
      </c>
      <c r="AF151" s="338">
        <f t="shared" si="8"/>
        <v>15.74905405</v>
      </c>
      <c r="AG151" s="338">
        <f t="shared" si="8"/>
        <v>14.57967749</v>
      </c>
      <c r="AH151" s="338">
        <f t="shared" si="8"/>
        <v>13.45288631</v>
      </c>
      <c r="AI151" s="100"/>
      <c r="AJ151" s="319"/>
      <c r="AK151" s="319"/>
      <c r="AL151" s="319"/>
      <c r="AM151" s="319"/>
      <c r="AN151" s="319"/>
      <c r="AO151" s="319"/>
      <c r="AP151" s="319"/>
      <c r="AQ151" s="319"/>
      <c r="AR151" s="319"/>
      <c r="AS151" s="319"/>
      <c r="AT151" s="319"/>
      <c r="AU151" s="319"/>
      <c r="AV151" s="319"/>
      <c r="AW151" s="319"/>
      <c r="AX151" s="319"/>
      <c r="AY151" s="319"/>
      <c r="AZ151" s="319"/>
      <c r="BA151" s="319"/>
      <c r="BB151" s="319"/>
      <c r="BC151" s="319"/>
      <c r="BD151" s="319"/>
      <c r="BE151" s="319"/>
      <c r="BF151" s="319"/>
      <c r="BG151" s="319"/>
      <c r="BH151" s="319"/>
      <c r="BI151" s="319"/>
      <c r="BJ151" s="319"/>
      <c r="BK151" s="319"/>
      <c r="BL151" s="319"/>
      <c r="BM151" s="319"/>
      <c r="BN151" s="319"/>
      <c r="BO151" s="319"/>
      <c r="BP151" s="319"/>
      <c r="BQ151" s="319"/>
      <c r="BR151" s="319"/>
    </row>
    <row r="152" ht="14.25" customHeight="1">
      <c r="A152" s="195"/>
      <c r="B152" s="100"/>
      <c r="C152" s="100"/>
      <c r="D152" s="100"/>
      <c r="E152" s="100"/>
      <c r="F152" s="206"/>
      <c r="G152" s="206"/>
      <c r="H152" s="207"/>
      <c r="I152" s="207"/>
      <c r="J152" s="207"/>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100"/>
      <c r="AJ152" s="319"/>
      <c r="AK152" s="319"/>
      <c r="AL152" s="319"/>
      <c r="AM152" s="319"/>
      <c r="AN152" s="319"/>
      <c r="AO152" s="319"/>
      <c r="AP152" s="319"/>
      <c r="AQ152" s="319"/>
      <c r="AR152" s="319"/>
      <c r="AS152" s="319"/>
      <c r="AT152" s="319"/>
      <c r="AU152" s="319"/>
      <c r="AV152" s="319"/>
      <c r="AW152" s="319"/>
      <c r="AX152" s="319"/>
      <c r="AY152" s="319"/>
      <c r="AZ152" s="319"/>
      <c r="BA152" s="319"/>
      <c r="BB152" s="319"/>
      <c r="BC152" s="319"/>
      <c r="BD152" s="319"/>
      <c r="BE152" s="319"/>
      <c r="BF152" s="319"/>
      <c r="BG152" s="319"/>
      <c r="BH152" s="319"/>
      <c r="BI152" s="319"/>
      <c r="BJ152" s="319"/>
      <c r="BK152" s="319"/>
      <c r="BL152" s="319"/>
      <c r="BM152" s="319"/>
      <c r="BN152" s="319"/>
      <c r="BO152" s="319"/>
      <c r="BP152" s="319"/>
      <c r="BQ152" s="319"/>
      <c r="BR152" s="319"/>
    </row>
    <row r="153" ht="14.25" customHeight="1">
      <c r="A153" s="195"/>
      <c r="B153" s="100"/>
      <c r="C153" s="100"/>
      <c r="D153" s="100"/>
      <c r="E153" s="180" t="s">
        <v>809</v>
      </c>
      <c r="F153" s="123" t="s">
        <v>135</v>
      </c>
      <c r="G153" s="123" t="s">
        <v>610</v>
      </c>
      <c r="H153" s="337">
        <f t="array" ref="H153:AH153">INDIRECT($G153)</f>
        <v>103.9789</v>
      </c>
      <c r="I153" s="337">
        <v>108.4738</v>
      </c>
      <c r="J153" s="337">
        <v>100.9048</v>
      </c>
      <c r="K153" s="337">
        <v>108.6862</v>
      </c>
      <c r="L153" s="337">
        <v>106.8171</v>
      </c>
      <c r="M153" s="337">
        <v>105.692</v>
      </c>
      <c r="N153" s="337">
        <v>100.658</v>
      </c>
      <c r="O153" s="337">
        <v>91.4352</v>
      </c>
      <c r="P153" s="337">
        <v>103.5977</v>
      </c>
      <c r="Q153" s="337">
        <v>97.617</v>
      </c>
      <c r="R153" s="337">
        <v>105.8648</v>
      </c>
      <c r="S153" s="337">
        <v>89.9621</v>
      </c>
      <c r="T153" s="337">
        <v>96.5115</v>
      </c>
      <c r="U153" s="337">
        <v>104.3397</v>
      </c>
      <c r="V153" s="337">
        <v>86.8244</v>
      </c>
      <c r="W153" s="337">
        <v>96.0487</v>
      </c>
      <c r="X153" s="337">
        <v>96.4058</v>
      </c>
      <c r="Y153" s="337">
        <v>94.2582</v>
      </c>
      <c r="Z153" s="337">
        <v>94.215</v>
      </c>
      <c r="AA153" s="337"/>
      <c r="AB153" s="337"/>
      <c r="AC153" s="337"/>
      <c r="AD153" s="337"/>
      <c r="AE153" s="337"/>
      <c r="AF153" s="337"/>
      <c r="AG153" s="337"/>
      <c r="AH153" s="337"/>
      <c r="AI153" s="100"/>
      <c r="AJ153" s="319"/>
      <c r="AK153" s="319"/>
      <c r="AL153" s="319"/>
      <c r="AM153" s="319"/>
      <c r="AN153" s="319"/>
      <c r="AO153" s="319"/>
      <c r="AP153" s="319"/>
      <c r="AQ153" s="319"/>
      <c r="AR153" s="319"/>
      <c r="AS153" s="319"/>
      <c r="AT153" s="319"/>
      <c r="AU153" s="319"/>
      <c r="AV153" s="319"/>
      <c r="AW153" s="319"/>
      <c r="AX153" s="319"/>
      <c r="AY153" s="319"/>
      <c r="AZ153" s="319"/>
      <c r="BA153" s="319"/>
      <c r="BB153" s="319"/>
      <c r="BC153" s="319"/>
      <c r="BD153" s="319"/>
      <c r="BE153" s="319"/>
      <c r="BF153" s="319"/>
      <c r="BG153" s="319"/>
      <c r="BH153" s="319"/>
      <c r="BI153" s="319"/>
      <c r="BJ153" s="319"/>
      <c r="BK153" s="319"/>
      <c r="BL153" s="319"/>
      <c r="BM153" s="319"/>
      <c r="BN153" s="319"/>
      <c r="BO153" s="319"/>
      <c r="BP153" s="319"/>
      <c r="BQ153" s="319"/>
      <c r="BR153" s="319"/>
    </row>
    <row r="154" ht="14.25" customHeight="1">
      <c r="A154" s="195"/>
      <c r="B154" s="100"/>
      <c r="C154" s="100"/>
      <c r="D154" s="100"/>
      <c r="E154" s="180" t="s">
        <v>810</v>
      </c>
      <c r="F154" s="123" t="s">
        <v>135</v>
      </c>
      <c r="G154" s="206"/>
      <c r="H154" s="339">
        <f t="shared" ref="H154:AH154" si="9">IF(H151&gt;0,(H153-H151)/H151,"")</f>
        <v>0.08690980058</v>
      </c>
      <c r="I154" s="339">
        <f t="shared" si="9"/>
        <v>0.08068758294</v>
      </c>
      <c r="J154" s="339">
        <f t="shared" si="9"/>
        <v>0.09833255144</v>
      </c>
      <c r="K154" s="339">
        <f t="shared" si="9"/>
        <v>0.09266624308</v>
      </c>
      <c r="L154" s="339">
        <f t="shared" si="9"/>
        <v>0.09835602015</v>
      </c>
      <c r="M154" s="339">
        <f t="shared" si="9"/>
        <v>0.1018386565</v>
      </c>
      <c r="N154" s="339">
        <f t="shared" si="9"/>
        <v>0.1094957128</v>
      </c>
      <c r="O154" s="339">
        <f t="shared" si="9"/>
        <v>0.1265709245</v>
      </c>
      <c r="P154" s="339">
        <f t="shared" si="9"/>
        <v>0.1266509991</v>
      </c>
      <c r="Q154" s="339">
        <f t="shared" si="9"/>
        <v>0.1265835494</v>
      </c>
      <c r="R154" s="339">
        <f t="shared" si="9"/>
        <v>-0.03653817451</v>
      </c>
      <c r="S154" s="339">
        <f t="shared" si="9"/>
        <v>-0.02025656133</v>
      </c>
      <c r="T154" s="339">
        <f t="shared" si="9"/>
        <v>0.003253688987</v>
      </c>
      <c r="U154" s="339">
        <f t="shared" si="9"/>
        <v>0.00028281031</v>
      </c>
      <c r="V154" s="339">
        <f t="shared" si="9"/>
        <v>0.01215527321</v>
      </c>
      <c r="W154" s="339">
        <f t="shared" si="9"/>
        <v>0.003140153796</v>
      </c>
      <c r="X154" s="339">
        <f t="shared" si="9"/>
        <v>0.1607436982</v>
      </c>
      <c r="Y154" s="339">
        <f t="shared" si="9"/>
        <v>0.1558502394</v>
      </c>
      <c r="Z154" s="339">
        <f t="shared" si="9"/>
        <v>0.1482352654</v>
      </c>
      <c r="AA154" s="339" t="str">
        <f t="shared" si="9"/>
        <v/>
      </c>
      <c r="AB154" s="339">
        <f t="shared" si="9"/>
        <v>-1</v>
      </c>
      <c r="AC154" s="339">
        <f t="shared" si="9"/>
        <v>-1</v>
      </c>
      <c r="AD154" s="339">
        <f t="shared" si="9"/>
        <v>-1</v>
      </c>
      <c r="AE154" s="339">
        <f t="shared" si="9"/>
        <v>-1</v>
      </c>
      <c r="AF154" s="339">
        <f t="shared" si="9"/>
        <v>-1</v>
      </c>
      <c r="AG154" s="339">
        <f t="shared" si="9"/>
        <v>-1</v>
      </c>
      <c r="AH154" s="339">
        <f t="shared" si="9"/>
        <v>-1</v>
      </c>
      <c r="AI154" s="100"/>
      <c r="AJ154" s="319"/>
      <c r="AK154" s="319"/>
      <c r="AL154" s="319"/>
      <c r="AM154" s="319"/>
      <c r="AN154" s="319"/>
      <c r="AO154" s="319"/>
      <c r="AP154" s="319"/>
      <c r="AQ154" s="319"/>
      <c r="AR154" s="319"/>
      <c r="AS154" s="319"/>
      <c r="AT154" s="319"/>
      <c r="AU154" s="319"/>
      <c r="AV154" s="319"/>
      <c r="AW154" s="319"/>
      <c r="AX154" s="319"/>
      <c r="AY154" s="319"/>
      <c r="AZ154" s="319"/>
      <c r="BA154" s="319"/>
      <c r="BB154" s="319"/>
      <c r="BC154" s="319"/>
      <c r="BD154" s="319"/>
      <c r="BE154" s="319"/>
      <c r="BF154" s="319"/>
      <c r="BG154" s="319"/>
      <c r="BH154" s="319"/>
      <c r="BI154" s="319"/>
      <c r="BJ154" s="319"/>
      <c r="BK154" s="319"/>
      <c r="BL154" s="319"/>
      <c r="BM154" s="319"/>
      <c r="BN154" s="319"/>
      <c r="BO154" s="319"/>
      <c r="BP154" s="319"/>
      <c r="BQ154" s="319"/>
      <c r="BR154" s="319"/>
    </row>
    <row r="155" ht="14.25" customHeight="1">
      <c r="A155" s="195"/>
      <c r="B155" s="100"/>
      <c r="C155" s="100"/>
      <c r="D155" s="100"/>
      <c r="E155" s="180" t="s">
        <v>811</v>
      </c>
      <c r="F155" s="123" t="s">
        <v>135</v>
      </c>
      <c r="G155" s="123" t="s">
        <v>600</v>
      </c>
      <c r="H155" s="337" t="str">
        <f t="array" ref="H155:AH155">INDIRECT($G155)</f>
        <v>#REF!</v>
      </c>
      <c r="I155" s="337" t="e">
        <v>#REF!</v>
      </c>
      <c r="J155" s="337" t="e">
        <v>#REF!</v>
      </c>
      <c r="K155" s="337" t="e">
        <v>#REF!</v>
      </c>
      <c r="L155" s="337" t="e">
        <v>#REF!</v>
      </c>
      <c r="M155" s="337" t="e">
        <v>#REF!</v>
      </c>
      <c r="N155" s="337" t="e">
        <v>#REF!</v>
      </c>
      <c r="O155" s="337" t="e">
        <v>#REF!</v>
      </c>
      <c r="P155" s="337" t="e">
        <v>#REF!</v>
      </c>
      <c r="Q155" s="337" t="e">
        <v>#REF!</v>
      </c>
      <c r="R155" s="337" t="e">
        <v>#REF!</v>
      </c>
      <c r="S155" s="337" t="e">
        <v>#REF!</v>
      </c>
      <c r="T155" s="337" t="e">
        <v>#REF!</v>
      </c>
      <c r="U155" s="337" t="e">
        <v>#REF!</v>
      </c>
      <c r="V155" s="337" t="e">
        <v>#REF!</v>
      </c>
      <c r="W155" s="337" t="e">
        <v>#REF!</v>
      </c>
      <c r="X155" s="337" t="e">
        <v>#REF!</v>
      </c>
      <c r="Y155" s="337" t="e">
        <v>#REF!</v>
      </c>
      <c r="Z155" s="337" t="e">
        <v>#REF!</v>
      </c>
      <c r="AA155" s="337" t="e">
        <v>#REF!</v>
      </c>
      <c r="AB155" s="337" t="e">
        <v>#REF!</v>
      </c>
      <c r="AC155" s="337" t="e">
        <v>#REF!</v>
      </c>
      <c r="AD155" s="337" t="e">
        <v>#REF!</v>
      </c>
      <c r="AE155" s="337" t="e">
        <v>#REF!</v>
      </c>
      <c r="AF155" s="337" t="e">
        <v>#REF!</v>
      </c>
      <c r="AG155" s="337" t="e">
        <v>#REF!</v>
      </c>
      <c r="AH155" s="337" t="e">
        <v>#REF!</v>
      </c>
      <c r="AI155" s="100"/>
      <c r="AJ155" s="319"/>
      <c r="AK155" s="319"/>
      <c r="AL155" s="319"/>
      <c r="AM155" s="319"/>
      <c r="AN155" s="319"/>
      <c r="AO155" s="319"/>
      <c r="AP155" s="319"/>
      <c r="AQ155" s="319"/>
      <c r="AR155" s="319"/>
      <c r="AS155" s="319"/>
      <c r="AT155" s="319"/>
      <c r="AU155" s="319"/>
      <c r="AV155" s="319"/>
      <c r="AW155" s="319"/>
      <c r="AX155" s="319"/>
      <c r="AY155" s="319"/>
      <c r="AZ155" s="319"/>
      <c r="BA155" s="319"/>
      <c r="BB155" s="319"/>
      <c r="BC155" s="319"/>
      <c r="BD155" s="319"/>
      <c r="BE155" s="319"/>
      <c r="BF155" s="319"/>
      <c r="BG155" s="319"/>
      <c r="BH155" s="319"/>
      <c r="BI155" s="319"/>
      <c r="BJ155" s="319"/>
      <c r="BK155" s="319"/>
      <c r="BL155" s="319"/>
      <c r="BM155" s="319"/>
      <c r="BN155" s="319"/>
      <c r="BO155" s="319"/>
      <c r="BP155" s="319"/>
      <c r="BQ155" s="319"/>
      <c r="BR155" s="319"/>
    </row>
    <row r="156" ht="14.25" customHeight="1">
      <c r="A156" s="195"/>
      <c r="B156" s="100"/>
      <c r="C156" s="100"/>
      <c r="D156" s="100"/>
      <c r="E156" s="100"/>
      <c r="F156" s="206"/>
      <c r="G156" s="206"/>
      <c r="H156" s="207"/>
      <c r="I156" s="207"/>
      <c r="J156" s="207"/>
      <c r="K156" s="207"/>
      <c r="L156" s="207"/>
      <c r="M156" s="207"/>
      <c r="N156" s="207"/>
      <c r="O156" s="207"/>
      <c r="P156" s="207"/>
      <c r="Q156" s="207"/>
      <c r="R156" s="207"/>
      <c r="S156" s="207"/>
      <c r="T156" s="207"/>
      <c r="U156" s="207"/>
      <c r="V156" s="207"/>
      <c r="W156" s="208"/>
      <c r="X156" s="208"/>
      <c r="Y156" s="208"/>
      <c r="Z156" s="208"/>
      <c r="AA156" s="208"/>
      <c r="AB156" s="208"/>
      <c r="AC156" s="208"/>
      <c r="AD156" s="208"/>
      <c r="AE156" s="208"/>
      <c r="AF156" s="208"/>
      <c r="AG156" s="208"/>
      <c r="AH156" s="208"/>
      <c r="AI156" s="100"/>
      <c r="AJ156" s="319"/>
      <c r="AK156" s="319"/>
      <c r="AL156" s="319"/>
      <c r="AM156" s="319"/>
      <c r="AN156" s="319"/>
      <c r="AO156" s="319"/>
      <c r="AP156" s="319"/>
      <c r="AQ156" s="319"/>
      <c r="AR156" s="319"/>
      <c r="AS156" s="319"/>
      <c r="AT156" s="319"/>
      <c r="AU156" s="319"/>
      <c r="AV156" s="319"/>
      <c r="AW156" s="319"/>
      <c r="AX156" s="319"/>
      <c r="AY156" s="319"/>
      <c r="AZ156" s="319"/>
      <c r="BA156" s="319"/>
      <c r="BB156" s="319"/>
      <c r="BC156" s="319"/>
      <c r="BD156" s="319"/>
      <c r="BE156" s="319"/>
      <c r="BF156" s="319"/>
      <c r="BG156" s="319"/>
      <c r="BH156" s="319"/>
      <c r="BI156" s="319"/>
      <c r="BJ156" s="319"/>
      <c r="BK156" s="319"/>
      <c r="BL156" s="319"/>
      <c r="BM156" s="319"/>
      <c r="BN156" s="319"/>
      <c r="BO156" s="319"/>
      <c r="BP156" s="319"/>
      <c r="BQ156" s="319"/>
      <c r="BR156" s="319"/>
    </row>
    <row r="157" ht="14.25" customHeight="1">
      <c r="A157" s="195"/>
      <c r="B157" s="100"/>
      <c r="C157" s="100"/>
      <c r="D157" s="100"/>
      <c r="E157" s="100"/>
      <c r="F157" s="206"/>
      <c r="G157" s="206"/>
      <c r="H157" s="207"/>
      <c r="I157" s="207"/>
      <c r="J157" s="207"/>
      <c r="K157" s="207"/>
      <c r="L157" s="207"/>
      <c r="M157" s="207"/>
      <c r="N157" s="207"/>
      <c r="O157" s="207"/>
      <c r="P157" s="207"/>
      <c r="Q157" s="207"/>
      <c r="R157" s="207"/>
      <c r="S157" s="207"/>
      <c r="T157" s="207"/>
      <c r="U157" s="207"/>
      <c r="V157" s="207"/>
      <c r="W157" s="208"/>
      <c r="X157" s="208"/>
      <c r="Y157" s="208"/>
      <c r="Z157" s="208"/>
      <c r="AA157" s="208"/>
      <c r="AB157" s="208"/>
      <c r="AC157" s="208"/>
      <c r="AD157" s="208"/>
      <c r="AE157" s="208"/>
      <c r="AF157" s="208"/>
      <c r="AG157" s="208"/>
      <c r="AH157" s="208"/>
      <c r="AI157" s="100"/>
      <c r="AJ157" s="319"/>
      <c r="AK157" s="319"/>
      <c r="AL157" s="319"/>
      <c r="AM157" s="319"/>
      <c r="AN157" s="319"/>
      <c r="AO157" s="319"/>
      <c r="AP157" s="319"/>
      <c r="AQ157" s="319"/>
      <c r="AR157" s="319"/>
      <c r="AS157" s="319"/>
      <c r="AT157" s="319"/>
      <c r="AU157" s="319"/>
      <c r="AV157" s="319"/>
      <c r="AW157" s="319"/>
      <c r="AX157" s="319"/>
      <c r="AY157" s="319"/>
      <c r="AZ157" s="319"/>
      <c r="BA157" s="319"/>
      <c r="BB157" s="319"/>
      <c r="BC157" s="319"/>
      <c r="BD157" s="319"/>
      <c r="BE157" s="319"/>
      <c r="BF157" s="319"/>
      <c r="BG157" s="319"/>
      <c r="BH157" s="319"/>
      <c r="BI157" s="319"/>
      <c r="BJ157" s="319"/>
      <c r="BK157" s="319"/>
      <c r="BL157" s="319"/>
      <c r="BM157" s="319"/>
      <c r="BN157" s="319"/>
      <c r="BO157" s="319"/>
      <c r="BP157" s="319"/>
      <c r="BQ157" s="319"/>
      <c r="BR157" s="319"/>
    </row>
    <row r="158" ht="14.25" customHeight="1">
      <c r="A158" s="195"/>
      <c r="B158" s="100"/>
      <c r="C158" s="100"/>
      <c r="D158" s="100"/>
      <c r="E158" s="100"/>
      <c r="F158" s="206"/>
      <c r="G158" s="206"/>
      <c r="H158" s="207"/>
      <c r="I158" s="207"/>
      <c r="J158" s="207"/>
      <c r="K158" s="207"/>
      <c r="L158" s="207"/>
      <c r="M158" s="207"/>
      <c r="N158" s="207"/>
      <c r="O158" s="207"/>
      <c r="P158" s="207"/>
      <c r="Q158" s="207"/>
      <c r="R158" s="207"/>
      <c r="S158" s="207"/>
      <c r="T158" s="207"/>
      <c r="U158" s="207"/>
      <c r="V158" s="207"/>
      <c r="W158" s="208"/>
      <c r="X158" s="208"/>
      <c r="Y158" s="208"/>
      <c r="Z158" s="208"/>
      <c r="AA158" s="208"/>
      <c r="AB158" s="208"/>
      <c r="AC158" s="208"/>
      <c r="AD158" s="208"/>
      <c r="AE158" s="208"/>
      <c r="AF158" s="208"/>
      <c r="AG158" s="208"/>
      <c r="AH158" s="208"/>
      <c r="AI158" s="100"/>
      <c r="AJ158" s="319"/>
      <c r="AK158" s="319"/>
      <c r="AL158" s="319"/>
      <c r="AM158" s="319"/>
      <c r="AN158" s="319"/>
      <c r="AO158" s="319"/>
      <c r="AP158" s="319"/>
      <c r="AQ158" s="319"/>
      <c r="AR158" s="319"/>
      <c r="AS158" s="319"/>
      <c r="AT158" s="319"/>
      <c r="AU158" s="319"/>
      <c r="AV158" s="319"/>
      <c r="AW158" s="319"/>
      <c r="AX158" s="319"/>
      <c r="AY158" s="319"/>
      <c r="AZ158" s="319"/>
      <c r="BA158" s="319"/>
      <c r="BB158" s="319"/>
      <c r="BC158" s="319"/>
      <c r="BD158" s="319"/>
      <c r="BE158" s="319"/>
      <c r="BF158" s="319"/>
      <c r="BG158" s="319"/>
      <c r="BH158" s="319"/>
      <c r="BI158" s="319"/>
      <c r="BJ158" s="319"/>
      <c r="BK158" s="319"/>
      <c r="BL158" s="319"/>
      <c r="BM158" s="319"/>
      <c r="BN158" s="319"/>
      <c r="BO158" s="319"/>
      <c r="BP158" s="319"/>
      <c r="BQ158" s="319"/>
      <c r="BR158" s="319"/>
    </row>
    <row r="159" ht="14.25" customHeight="1">
      <c r="A159" s="195"/>
      <c r="B159" s="100"/>
      <c r="C159" s="100"/>
      <c r="D159" s="100"/>
      <c r="E159" s="100"/>
      <c r="F159" s="206"/>
      <c r="G159" s="206"/>
      <c r="H159" s="207"/>
      <c r="I159" s="207"/>
      <c r="J159" s="207"/>
      <c r="K159" s="207"/>
      <c r="L159" s="207"/>
      <c r="M159" s="207"/>
      <c r="N159" s="207"/>
      <c r="O159" s="207"/>
      <c r="P159" s="207"/>
      <c r="Q159" s="207"/>
      <c r="R159" s="207"/>
      <c r="S159" s="207"/>
      <c r="T159" s="207"/>
      <c r="U159" s="207"/>
      <c r="V159" s="207"/>
      <c r="W159" s="208"/>
      <c r="X159" s="208"/>
      <c r="Y159" s="208"/>
      <c r="Z159" s="208"/>
      <c r="AA159" s="208"/>
      <c r="AB159" s="208"/>
      <c r="AC159" s="208"/>
      <c r="AD159" s="208"/>
      <c r="AE159" s="208"/>
      <c r="AF159" s="208"/>
      <c r="AG159" s="208"/>
      <c r="AH159" s="208"/>
      <c r="AI159" s="100"/>
      <c r="AJ159" s="319"/>
      <c r="AK159" s="319"/>
      <c r="AL159" s="319"/>
      <c r="AM159" s="319"/>
      <c r="AN159" s="319"/>
      <c r="AO159" s="319"/>
      <c r="AP159" s="319"/>
      <c r="AQ159" s="319"/>
      <c r="AR159" s="319"/>
      <c r="AS159" s="319"/>
      <c r="AT159" s="319"/>
      <c r="AU159" s="319"/>
      <c r="AV159" s="319"/>
      <c r="AW159" s="319"/>
      <c r="AX159" s="319"/>
      <c r="AY159" s="319"/>
      <c r="AZ159" s="319"/>
      <c r="BA159" s="319"/>
      <c r="BB159" s="319"/>
      <c r="BC159" s="319"/>
      <c r="BD159" s="319"/>
      <c r="BE159" s="319"/>
      <c r="BF159" s="319"/>
      <c r="BG159" s="319"/>
      <c r="BH159" s="319"/>
      <c r="BI159" s="319"/>
      <c r="BJ159" s="319"/>
      <c r="BK159" s="319"/>
      <c r="BL159" s="319"/>
      <c r="BM159" s="319"/>
      <c r="BN159" s="319"/>
      <c r="BO159" s="319"/>
      <c r="BP159" s="319"/>
      <c r="BQ159" s="319"/>
      <c r="BR159" s="319"/>
    </row>
    <row r="160" ht="14.25" customHeight="1">
      <c r="A160" s="195"/>
      <c r="B160" s="100"/>
      <c r="C160" s="100"/>
      <c r="D160" s="100"/>
      <c r="E160" s="100"/>
      <c r="F160" s="206"/>
      <c r="G160" s="206"/>
      <c r="H160" s="207"/>
      <c r="I160" s="207"/>
      <c r="J160" s="207"/>
      <c r="K160" s="207"/>
      <c r="L160" s="207"/>
      <c r="M160" s="207"/>
      <c r="N160" s="207"/>
      <c r="O160" s="207"/>
      <c r="P160" s="207"/>
      <c r="Q160" s="207"/>
      <c r="R160" s="207"/>
      <c r="S160" s="207"/>
      <c r="T160" s="207"/>
      <c r="U160" s="207"/>
      <c r="V160" s="207"/>
      <c r="W160" s="208"/>
      <c r="X160" s="208"/>
      <c r="Y160" s="208"/>
      <c r="Z160" s="208"/>
      <c r="AA160" s="208"/>
      <c r="AB160" s="208"/>
      <c r="AC160" s="208"/>
      <c r="AD160" s="208"/>
      <c r="AE160" s="208"/>
      <c r="AF160" s="208"/>
      <c r="AG160" s="208"/>
      <c r="AH160" s="208"/>
      <c r="AI160" s="100"/>
      <c r="AJ160" s="319"/>
      <c r="AK160" s="319"/>
      <c r="AL160" s="319"/>
      <c r="AM160" s="319"/>
      <c r="AN160" s="319"/>
      <c r="AO160" s="319"/>
      <c r="AP160" s="319"/>
      <c r="AQ160" s="319"/>
      <c r="AR160" s="319"/>
      <c r="AS160" s="319"/>
      <c r="AT160" s="319"/>
      <c r="AU160" s="319"/>
      <c r="AV160" s="319"/>
      <c r="AW160" s="319"/>
      <c r="AX160" s="319"/>
      <c r="AY160" s="319"/>
      <c r="AZ160" s="319"/>
      <c r="BA160" s="319"/>
      <c r="BB160" s="319"/>
      <c r="BC160" s="319"/>
      <c r="BD160" s="319"/>
      <c r="BE160" s="319"/>
      <c r="BF160" s="319"/>
      <c r="BG160" s="319"/>
      <c r="BH160" s="319"/>
      <c r="BI160" s="319"/>
      <c r="BJ160" s="319"/>
      <c r="BK160" s="319"/>
      <c r="BL160" s="319"/>
      <c r="BM160" s="319"/>
      <c r="BN160" s="319"/>
      <c r="BO160" s="319"/>
      <c r="BP160" s="319"/>
      <c r="BQ160" s="319"/>
      <c r="BR160" s="319"/>
    </row>
    <row r="161" ht="14.25" customHeight="1">
      <c r="A161" s="195"/>
      <c r="B161" s="100"/>
      <c r="C161" s="100"/>
      <c r="D161" s="100"/>
      <c r="E161" s="100"/>
      <c r="F161" s="206"/>
      <c r="G161" s="206"/>
      <c r="H161" s="207"/>
      <c r="I161" s="207"/>
      <c r="J161" s="207"/>
      <c r="K161" s="207"/>
      <c r="L161" s="207"/>
      <c r="M161" s="207"/>
      <c r="N161" s="207"/>
      <c r="O161" s="207"/>
      <c r="P161" s="207"/>
      <c r="Q161" s="207"/>
      <c r="R161" s="207"/>
      <c r="S161" s="207"/>
      <c r="T161" s="207"/>
      <c r="U161" s="207"/>
      <c r="V161" s="207"/>
      <c r="W161" s="208"/>
      <c r="X161" s="208"/>
      <c r="Y161" s="208"/>
      <c r="Z161" s="208"/>
      <c r="AA161" s="208"/>
      <c r="AB161" s="208"/>
      <c r="AC161" s="208"/>
      <c r="AD161" s="208"/>
      <c r="AE161" s="208"/>
      <c r="AF161" s="208"/>
      <c r="AG161" s="208"/>
      <c r="AH161" s="208"/>
      <c r="AI161" s="100"/>
      <c r="AJ161" s="319"/>
      <c r="AK161" s="319"/>
      <c r="AL161" s="319"/>
      <c r="AM161" s="319"/>
      <c r="AN161" s="319"/>
      <c r="AO161" s="319"/>
      <c r="AP161" s="319"/>
      <c r="AQ161" s="319"/>
      <c r="AR161" s="319"/>
      <c r="AS161" s="319"/>
      <c r="AT161" s="319"/>
      <c r="AU161" s="319"/>
      <c r="AV161" s="319"/>
      <c r="AW161" s="319"/>
      <c r="AX161" s="319"/>
      <c r="AY161" s="319"/>
      <c r="AZ161" s="319"/>
      <c r="BA161" s="319"/>
      <c r="BB161" s="319"/>
      <c r="BC161" s="319"/>
      <c r="BD161" s="319"/>
      <c r="BE161" s="319"/>
      <c r="BF161" s="319"/>
      <c r="BG161" s="319"/>
      <c r="BH161" s="319"/>
      <c r="BI161" s="319"/>
      <c r="BJ161" s="319"/>
      <c r="BK161" s="319"/>
      <c r="BL161" s="319"/>
      <c r="BM161" s="319"/>
      <c r="BN161" s="319"/>
      <c r="BO161" s="319"/>
      <c r="BP161" s="319"/>
      <c r="BQ161" s="319"/>
      <c r="BR161" s="319"/>
    </row>
    <row r="162" ht="14.25" customHeight="1">
      <c r="A162" s="195"/>
      <c r="B162" s="100"/>
      <c r="C162" s="100"/>
      <c r="D162" s="100"/>
      <c r="E162" s="100"/>
      <c r="F162" s="206"/>
      <c r="G162" s="206"/>
      <c r="H162" s="207"/>
      <c r="I162" s="207"/>
      <c r="J162" s="207"/>
      <c r="K162" s="207"/>
      <c r="L162" s="207"/>
      <c r="M162" s="207"/>
      <c r="N162" s="207"/>
      <c r="O162" s="207"/>
      <c r="P162" s="207"/>
      <c r="Q162" s="207"/>
      <c r="R162" s="207"/>
      <c r="S162" s="207"/>
      <c r="T162" s="207"/>
      <c r="U162" s="207"/>
      <c r="V162" s="207"/>
      <c r="W162" s="208"/>
      <c r="X162" s="208"/>
      <c r="Y162" s="208"/>
      <c r="Z162" s="208"/>
      <c r="AA162" s="208"/>
      <c r="AB162" s="208"/>
      <c r="AC162" s="208"/>
      <c r="AD162" s="208"/>
      <c r="AE162" s="208"/>
      <c r="AF162" s="208"/>
      <c r="AG162" s="208"/>
      <c r="AH162" s="208"/>
      <c r="AI162" s="100"/>
      <c r="AJ162" s="319"/>
      <c r="AK162" s="319"/>
      <c r="AL162" s="319"/>
      <c r="AM162" s="319"/>
      <c r="AN162" s="319"/>
      <c r="AO162" s="319"/>
      <c r="AP162" s="319"/>
      <c r="AQ162" s="319"/>
      <c r="AR162" s="319"/>
      <c r="AS162" s="319"/>
      <c r="AT162" s="319"/>
      <c r="AU162" s="319"/>
      <c r="AV162" s="319"/>
      <c r="AW162" s="319"/>
      <c r="AX162" s="319"/>
      <c r="AY162" s="319"/>
      <c r="AZ162" s="319"/>
      <c r="BA162" s="319"/>
      <c r="BB162" s="319"/>
      <c r="BC162" s="319"/>
      <c r="BD162" s="319"/>
      <c r="BE162" s="319"/>
      <c r="BF162" s="319"/>
      <c r="BG162" s="319"/>
      <c r="BH162" s="319"/>
      <c r="BI162" s="319"/>
      <c r="BJ162" s="319"/>
      <c r="BK162" s="319"/>
      <c r="BL162" s="319"/>
      <c r="BM162" s="319"/>
      <c r="BN162" s="319"/>
      <c r="BO162" s="319"/>
      <c r="BP162" s="319"/>
      <c r="BQ162" s="319"/>
      <c r="BR162" s="319"/>
    </row>
    <row r="163" ht="14.25" customHeight="1">
      <c r="A163" s="195"/>
      <c r="B163" s="100"/>
      <c r="C163" s="100"/>
      <c r="D163" s="100"/>
      <c r="E163" s="100"/>
      <c r="F163" s="206"/>
      <c r="G163" s="206"/>
      <c r="H163" s="207"/>
      <c r="I163" s="207"/>
      <c r="J163" s="207"/>
      <c r="K163" s="207"/>
      <c r="L163" s="207"/>
      <c r="M163" s="207"/>
      <c r="N163" s="207"/>
      <c r="O163" s="207"/>
      <c r="P163" s="207"/>
      <c r="Q163" s="207"/>
      <c r="R163" s="207"/>
      <c r="S163" s="207"/>
      <c r="T163" s="207"/>
      <c r="U163" s="207"/>
      <c r="V163" s="207"/>
      <c r="W163" s="208"/>
      <c r="X163" s="208"/>
      <c r="Y163" s="208"/>
      <c r="Z163" s="208"/>
      <c r="AA163" s="208"/>
      <c r="AB163" s="208"/>
      <c r="AC163" s="208"/>
      <c r="AD163" s="208"/>
      <c r="AE163" s="208"/>
      <c r="AF163" s="208"/>
      <c r="AG163" s="208"/>
      <c r="AH163" s="208"/>
      <c r="AI163" s="100"/>
      <c r="AJ163" s="319"/>
      <c r="AK163" s="319"/>
      <c r="AL163" s="319"/>
      <c r="AM163" s="319"/>
      <c r="AN163" s="319"/>
      <c r="AO163" s="319"/>
      <c r="AP163" s="319"/>
      <c r="AQ163" s="319"/>
      <c r="AR163" s="319"/>
      <c r="AS163" s="319"/>
      <c r="AT163" s="319"/>
      <c r="AU163" s="319"/>
      <c r="AV163" s="319"/>
      <c r="AW163" s="319"/>
      <c r="AX163" s="319"/>
      <c r="AY163" s="319"/>
      <c r="AZ163" s="319"/>
      <c r="BA163" s="319"/>
      <c r="BB163" s="319"/>
      <c r="BC163" s="319"/>
      <c r="BD163" s="319"/>
      <c r="BE163" s="319"/>
      <c r="BF163" s="319"/>
      <c r="BG163" s="319"/>
      <c r="BH163" s="319"/>
      <c r="BI163" s="319"/>
      <c r="BJ163" s="319"/>
      <c r="BK163" s="319"/>
      <c r="BL163" s="319"/>
      <c r="BM163" s="319"/>
      <c r="BN163" s="319"/>
      <c r="BO163" s="319"/>
      <c r="BP163" s="319"/>
      <c r="BQ163" s="319"/>
      <c r="BR163" s="319"/>
    </row>
    <row r="164" ht="14.25" customHeight="1">
      <c r="A164" s="195"/>
      <c r="B164" s="100"/>
      <c r="C164" s="100"/>
      <c r="D164" s="100"/>
      <c r="E164" s="100"/>
      <c r="F164" s="206"/>
      <c r="G164" s="206"/>
      <c r="H164" s="207"/>
      <c r="I164" s="207"/>
      <c r="J164" s="207"/>
      <c r="K164" s="207"/>
      <c r="L164" s="207"/>
      <c r="M164" s="207"/>
      <c r="N164" s="207"/>
      <c r="O164" s="207"/>
      <c r="P164" s="207"/>
      <c r="Q164" s="207"/>
      <c r="R164" s="207"/>
      <c r="S164" s="207"/>
      <c r="T164" s="207"/>
      <c r="U164" s="207"/>
      <c r="V164" s="207"/>
      <c r="W164" s="208"/>
      <c r="X164" s="208"/>
      <c r="Y164" s="208"/>
      <c r="Z164" s="208"/>
      <c r="AA164" s="208"/>
      <c r="AB164" s="208"/>
      <c r="AC164" s="208"/>
      <c r="AD164" s="208"/>
      <c r="AE164" s="208"/>
      <c r="AF164" s="208"/>
      <c r="AG164" s="208"/>
      <c r="AH164" s="208"/>
      <c r="AI164" s="100"/>
      <c r="AJ164" s="319"/>
      <c r="AK164" s="319"/>
      <c r="AL164" s="319"/>
      <c r="AM164" s="319"/>
      <c r="AN164" s="319"/>
      <c r="AO164" s="319"/>
      <c r="AP164" s="319"/>
      <c r="AQ164" s="319"/>
      <c r="AR164" s="319"/>
      <c r="AS164" s="319"/>
      <c r="AT164" s="319"/>
      <c r="AU164" s="319"/>
      <c r="AV164" s="319"/>
      <c r="AW164" s="319"/>
      <c r="AX164" s="319"/>
      <c r="AY164" s="319"/>
      <c r="AZ164" s="319"/>
      <c r="BA164" s="319"/>
      <c r="BB164" s="319"/>
      <c r="BC164" s="319"/>
      <c r="BD164" s="319"/>
      <c r="BE164" s="319"/>
      <c r="BF164" s="319"/>
      <c r="BG164" s="319"/>
      <c r="BH164" s="319"/>
      <c r="BI164" s="319"/>
      <c r="BJ164" s="319"/>
      <c r="BK164" s="319"/>
      <c r="BL164" s="319"/>
      <c r="BM164" s="319"/>
      <c r="BN164" s="319"/>
      <c r="BO164" s="319"/>
      <c r="BP164" s="319"/>
      <c r="BQ164" s="319"/>
      <c r="BR164" s="319"/>
    </row>
    <row r="165" ht="14.25" customHeight="1">
      <c r="A165" s="195"/>
      <c r="B165" s="100"/>
      <c r="C165" s="100"/>
      <c r="D165" s="100"/>
      <c r="E165" s="100"/>
      <c r="F165" s="206"/>
      <c r="G165" s="206"/>
      <c r="H165" s="207"/>
      <c r="I165" s="207"/>
      <c r="J165" s="207"/>
      <c r="K165" s="207"/>
      <c r="L165" s="207"/>
      <c r="M165" s="207"/>
      <c r="N165" s="207"/>
      <c r="O165" s="207"/>
      <c r="P165" s="207"/>
      <c r="Q165" s="207"/>
      <c r="R165" s="207"/>
      <c r="S165" s="207"/>
      <c r="T165" s="207"/>
      <c r="U165" s="207"/>
      <c r="V165" s="207"/>
      <c r="W165" s="208"/>
      <c r="X165" s="208"/>
      <c r="Y165" s="208"/>
      <c r="Z165" s="208"/>
      <c r="AA165" s="208"/>
      <c r="AB165" s="208"/>
      <c r="AC165" s="208"/>
      <c r="AD165" s="208"/>
      <c r="AE165" s="208"/>
      <c r="AF165" s="208"/>
      <c r="AG165" s="208"/>
      <c r="AH165" s="208"/>
      <c r="AI165" s="100"/>
      <c r="AJ165" s="319"/>
      <c r="AK165" s="319"/>
      <c r="AL165" s="319"/>
      <c r="AM165" s="319"/>
      <c r="AN165" s="319"/>
      <c r="AO165" s="319"/>
      <c r="AP165" s="319"/>
      <c r="AQ165" s="319"/>
      <c r="AR165" s="319"/>
      <c r="AS165" s="319"/>
      <c r="AT165" s="319"/>
      <c r="AU165" s="319"/>
      <c r="AV165" s="319"/>
      <c r="AW165" s="319"/>
      <c r="AX165" s="319"/>
      <c r="AY165" s="319"/>
      <c r="AZ165" s="319"/>
      <c r="BA165" s="319"/>
      <c r="BB165" s="319"/>
      <c r="BC165" s="319"/>
      <c r="BD165" s="319"/>
      <c r="BE165" s="319"/>
      <c r="BF165" s="319"/>
      <c r="BG165" s="319"/>
      <c r="BH165" s="319"/>
      <c r="BI165" s="319"/>
      <c r="BJ165" s="319"/>
      <c r="BK165" s="319"/>
      <c r="BL165" s="319"/>
      <c r="BM165" s="319"/>
      <c r="BN165" s="319"/>
      <c r="BO165" s="319"/>
      <c r="BP165" s="319"/>
      <c r="BQ165" s="319"/>
      <c r="BR165" s="319"/>
    </row>
    <row r="166" ht="14.25" customHeight="1">
      <c r="A166" s="195"/>
      <c r="B166" s="100"/>
      <c r="C166" s="100"/>
      <c r="D166" s="100"/>
      <c r="E166" s="100"/>
      <c r="F166" s="206"/>
      <c r="G166" s="206"/>
      <c r="H166" s="207"/>
      <c r="I166" s="207"/>
      <c r="J166" s="207"/>
      <c r="K166" s="207"/>
      <c r="L166" s="207"/>
      <c r="M166" s="207"/>
      <c r="N166" s="207"/>
      <c r="O166" s="207"/>
      <c r="P166" s="207"/>
      <c r="Q166" s="207"/>
      <c r="R166" s="207"/>
      <c r="S166" s="207"/>
      <c r="T166" s="207"/>
      <c r="U166" s="207"/>
      <c r="V166" s="207"/>
      <c r="W166" s="208"/>
      <c r="X166" s="208"/>
      <c r="Y166" s="208"/>
      <c r="Z166" s="208"/>
      <c r="AA166" s="208"/>
      <c r="AB166" s="208"/>
      <c r="AC166" s="208"/>
      <c r="AD166" s="208"/>
      <c r="AE166" s="208"/>
      <c r="AF166" s="208"/>
      <c r="AG166" s="208"/>
      <c r="AH166" s="208"/>
      <c r="AI166" s="100"/>
      <c r="AJ166" s="319"/>
      <c r="AK166" s="319"/>
      <c r="AL166" s="319"/>
      <c r="AM166" s="319"/>
      <c r="AN166" s="319"/>
      <c r="AO166" s="319"/>
      <c r="AP166" s="319"/>
      <c r="AQ166" s="319"/>
      <c r="AR166" s="319"/>
      <c r="AS166" s="319"/>
      <c r="AT166" s="319"/>
      <c r="AU166" s="319"/>
      <c r="AV166" s="319"/>
      <c r="AW166" s="319"/>
      <c r="AX166" s="319"/>
      <c r="AY166" s="319"/>
      <c r="AZ166" s="319"/>
      <c r="BA166" s="319"/>
      <c r="BB166" s="319"/>
      <c r="BC166" s="319"/>
      <c r="BD166" s="319"/>
      <c r="BE166" s="319"/>
      <c r="BF166" s="319"/>
      <c r="BG166" s="319"/>
      <c r="BH166" s="319"/>
      <c r="BI166" s="319"/>
      <c r="BJ166" s="319"/>
      <c r="BK166" s="319"/>
      <c r="BL166" s="319"/>
      <c r="BM166" s="319"/>
      <c r="BN166" s="319"/>
      <c r="BO166" s="319"/>
      <c r="BP166" s="319"/>
      <c r="BQ166" s="319"/>
      <c r="BR166" s="319"/>
    </row>
    <row r="167" ht="14.25" customHeight="1">
      <c r="A167" s="195"/>
      <c r="B167" s="100"/>
      <c r="C167" s="100"/>
      <c r="D167" s="100"/>
      <c r="E167" s="100"/>
      <c r="F167" s="206"/>
      <c r="G167" s="206"/>
      <c r="H167" s="207"/>
      <c r="I167" s="207"/>
      <c r="J167" s="207"/>
      <c r="K167" s="207"/>
      <c r="L167" s="207"/>
      <c r="M167" s="207"/>
      <c r="N167" s="207"/>
      <c r="O167" s="207"/>
      <c r="P167" s="207"/>
      <c r="Q167" s="207"/>
      <c r="R167" s="207"/>
      <c r="S167" s="207"/>
      <c r="T167" s="207"/>
      <c r="U167" s="207"/>
      <c r="V167" s="207"/>
      <c r="W167" s="208"/>
      <c r="X167" s="208"/>
      <c r="Y167" s="208"/>
      <c r="Z167" s="208"/>
      <c r="AA167" s="208"/>
      <c r="AB167" s="208"/>
      <c r="AC167" s="208"/>
      <c r="AD167" s="208"/>
      <c r="AE167" s="208"/>
      <c r="AF167" s="208"/>
      <c r="AG167" s="208"/>
      <c r="AH167" s="208"/>
      <c r="AI167" s="100"/>
      <c r="AJ167" s="319"/>
      <c r="AK167" s="319"/>
      <c r="AL167" s="319"/>
      <c r="AM167" s="319"/>
      <c r="AN167" s="319"/>
      <c r="AO167" s="319"/>
      <c r="AP167" s="319"/>
      <c r="AQ167" s="319"/>
      <c r="AR167" s="319"/>
      <c r="AS167" s="319"/>
      <c r="AT167" s="319"/>
      <c r="AU167" s="319"/>
      <c r="AV167" s="319"/>
      <c r="AW167" s="319"/>
      <c r="AX167" s="319"/>
      <c r="AY167" s="319"/>
      <c r="AZ167" s="319"/>
      <c r="BA167" s="319"/>
      <c r="BB167" s="319"/>
      <c r="BC167" s="319"/>
      <c r="BD167" s="319"/>
      <c r="BE167" s="319"/>
      <c r="BF167" s="319"/>
      <c r="BG167" s="319"/>
      <c r="BH167" s="319"/>
      <c r="BI167" s="319"/>
      <c r="BJ167" s="319"/>
      <c r="BK167" s="319"/>
      <c r="BL167" s="319"/>
      <c r="BM167" s="319"/>
      <c r="BN167" s="319"/>
      <c r="BO167" s="319"/>
      <c r="BP167" s="319"/>
      <c r="BQ167" s="319"/>
      <c r="BR167" s="319"/>
    </row>
    <row r="168" ht="14.25" customHeight="1">
      <c r="A168" s="195"/>
      <c r="B168" s="100"/>
      <c r="C168" s="100"/>
      <c r="D168" s="100"/>
      <c r="E168" s="100"/>
      <c r="F168" s="206"/>
      <c r="G168" s="206"/>
      <c r="H168" s="207"/>
      <c r="I168" s="207"/>
      <c r="J168" s="207"/>
      <c r="K168" s="207"/>
      <c r="L168" s="207"/>
      <c r="M168" s="207"/>
      <c r="N168" s="207"/>
      <c r="O168" s="207"/>
      <c r="P168" s="207"/>
      <c r="Q168" s="207"/>
      <c r="R168" s="207"/>
      <c r="S168" s="207"/>
      <c r="T168" s="207"/>
      <c r="U168" s="207"/>
      <c r="V168" s="207"/>
      <c r="W168" s="208"/>
      <c r="X168" s="208"/>
      <c r="Y168" s="208"/>
      <c r="Z168" s="208"/>
      <c r="AA168" s="208"/>
      <c r="AB168" s="208"/>
      <c r="AC168" s="208"/>
      <c r="AD168" s="208"/>
      <c r="AE168" s="208"/>
      <c r="AF168" s="208"/>
      <c r="AG168" s="208"/>
      <c r="AH168" s="208"/>
      <c r="AI168" s="100"/>
      <c r="AJ168" s="319"/>
      <c r="AK168" s="319"/>
      <c r="AL168" s="319"/>
      <c r="AM168" s="319"/>
      <c r="AN168" s="319"/>
      <c r="AO168" s="319"/>
      <c r="AP168" s="319"/>
      <c r="AQ168" s="319"/>
      <c r="AR168" s="319"/>
      <c r="AS168" s="319"/>
      <c r="AT168" s="319"/>
      <c r="AU168" s="319"/>
      <c r="AV168" s="319"/>
      <c r="AW168" s="319"/>
      <c r="AX168" s="319"/>
      <c r="AY168" s="319"/>
      <c r="AZ168" s="319"/>
      <c r="BA168" s="319"/>
      <c r="BB168" s="319"/>
      <c r="BC168" s="319"/>
      <c r="BD168" s="319"/>
      <c r="BE168" s="319"/>
      <c r="BF168" s="319"/>
      <c r="BG168" s="319"/>
      <c r="BH168" s="319"/>
      <c r="BI168" s="319"/>
      <c r="BJ168" s="319"/>
      <c r="BK168" s="319"/>
      <c r="BL168" s="319"/>
      <c r="BM168" s="319"/>
      <c r="BN168" s="319"/>
      <c r="BO168" s="319"/>
      <c r="BP168" s="319"/>
      <c r="BQ168" s="319"/>
      <c r="BR168" s="319"/>
    </row>
    <row r="169" ht="14.25" customHeight="1">
      <c r="A169" s="195"/>
      <c r="B169" s="100"/>
      <c r="C169" s="100"/>
      <c r="D169" s="100"/>
      <c r="E169" s="100"/>
      <c r="F169" s="206"/>
      <c r="G169" s="206"/>
      <c r="H169" s="207"/>
      <c r="I169" s="207"/>
      <c r="J169" s="207"/>
      <c r="K169" s="207"/>
      <c r="L169" s="207"/>
      <c r="M169" s="207"/>
      <c r="N169" s="207"/>
      <c r="O169" s="207"/>
      <c r="P169" s="207"/>
      <c r="Q169" s="207"/>
      <c r="R169" s="207"/>
      <c r="S169" s="207"/>
      <c r="T169" s="207"/>
      <c r="U169" s="207"/>
      <c r="V169" s="207"/>
      <c r="W169" s="208"/>
      <c r="X169" s="208"/>
      <c r="Y169" s="208"/>
      <c r="Z169" s="208"/>
      <c r="AA169" s="208"/>
      <c r="AB169" s="208"/>
      <c r="AC169" s="208"/>
      <c r="AD169" s="208"/>
      <c r="AE169" s="208"/>
      <c r="AF169" s="208"/>
      <c r="AG169" s="208"/>
      <c r="AH169" s="208"/>
      <c r="AI169" s="100"/>
      <c r="AJ169" s="319"/>
      <c r="AK169" s="319"/>
      <c r="AL169" s="319"/>
      <c r="AM169" s="319"/>
      <c r="AN169" s="319"/>
      <c r="AO169" s="319"/>
      <c r="AP169" s="319"/>
      <c r="AQ169" s="319"/>
      <c r="AR169" s="319"/>
      <c r="AS169" s="319"/>
      <c r="AT169" s="319"/>
      <c r="AU169" s="319"/>
      <c r="AV169" s="319"/>
      <c r="AW169" s="319"/>
      <c r="AX169" s="319"/>
      <c r="AY169" s="319"/>
      <c r="AZ169" s="319"/>
      <c r="BA169" s="319"/>
      <c r="BB169" s="319"/>
      <c r="BC169" s="319"/>
      <c r="BD169" s="319"/>
      <c r="BE169" s="319"/>
      <c r="BF169" s="319"/>
      <c r="BG169" s="319"/>
      <c r="BH169" s="319"/>
      <c r="BI169" s="319"/>
      <c r="BJ169" s="319"/>
      <c r="BK169" s="319"/>
      <c r="BL169" s="319"/>
      <c r="BM169" s="319"/>
      <c r="BN169" s="319"/>
      <c r="BO169" s="319"/>
      <c r="BP169" s="319"/>
      <c r="BQ169" s="319"/>
      <c r="BR169" s="319"/>
    </row>
    <row r="170" ht="14.25" customHeight="1">
      <c r="A170" s="195"/>
      <c r="B170" s="100"/>
      <c r="C170" s="100"/>
      <c r="D170" s="100"/>
      <c r="E170" s="100"/>
      <c r="F170" s="206"/>
      <c r="G170" s="206"/>
      <c r="H170" s="207"/>
      <c r="I170" s="207"/>
      <c r="J170" s="207"/>
      <c r="K170" s="207"/>
      <c r="L170" s="207"/>
      <c r="M170" s="207"/>
      <c r="N170" s="207"/>
      <c r="O170" s="207"/>
      <c r="P170" s="207"/>
      <c r="Q170" s="207"/>
      <c r="R170" s="207"/>
      <c r="S170" s="207"/>
      <c r="T170" s="207"/>
      <c r="U170" s="207"/>
      <c r="V170" s="207"/>
      <c r="W170" s="208"/>
      <c r="X170" s="208"/>
      <c r="Y170" s="208"/>
      <c r="Z170" s="208"/>
      <c r="AA170" s="208"/>
      <c r="AB170" s="208"/>
      <c r="AC170" s="208"/>
      <c r="AD170" s="208"/>
      <c r="AE170" s="208"/>
      <c r="AF170" s="208"/>
      <c r="AG170" s="208"/>
      <c r="AH170" s="208"/>
      <c r="AI170" s="100"/>
      <c r="AJ170" s="319"/>
      <c r="AK170" s="319"/>
      <c r="AL170" s="319"/>
      <c r="AM170" s="319"/>
      <c r="AN170" s="319"/>
      <c r="AO170" s="319"/>
      <c r="AP170" s="319"/>
      <c r="AQ170" s="319"/>
      <c r="AR170" s="319"/>
      <c r="AS170" s="319"/>
      <c r="AT170" s="319"/>
      <c r="AU170" s="319"/>
      <c r="AV170" s="319"/>
      <c r="AW170" s="319"/>
      <c r="AX170" s="319"/>
      <c r="AY170" s="319"/>
      <c r="AZ170" s="319"/>
      <c r="BA170" s="319"/>
      <c r="BB170" s="319"/>
      <c r="BC170" s="319"/>
      <c r="BD170" s="319"/>
      <c r="BE170" s="319"/>
      <c r="BF170" s="319"/>
      <c r="BG170" s="319"/>
      <c r="BH170" s="319"/>
      <c r="BI170" s="319"/>
      <c r="BJ170" s="319"/>
      <c r="BK170" s="319"/>
      <c r="BL170" s="319"/>
      <c r="BM170" s="319"/>
      <c r="BN170" s="319"/>
      <c r="BO170" s="319"/>
      <c r="BP170" s="319"/>
      <c r="BQ170" s="319"/>
      <c r="BR170" s="319"/>
    </row>
    <row r="171" ht="14.25" customHeight="1">
      <c r="A171" s="195"/>
      <c r="B171" s="100"/>
      <c r="C171" s="100"/>
      <c r="D171" s="100"/>
      <c r="E171" s="100"/>
      <c r="F171" s="206"/>
      <c r="G171" s="206"/>
      <c r="H171" s="207"/>
      <c r="I171" s="207"/>
      <c r="J171" s="207"/>
      <c r="K171" s="207"/>
      <c r="L171" s="207"/>
      <c r="M171" s="207"/>
      <c r="N171" s="207"/>
      <c r="O171" s="207"/>
      <c r="P171" s="207"/>
      <c r="Q171" s="207"/>
      <c r="R171" s="207"/>
      <c r="S171" s="207"/>
      <c r="T171" s="207"/>
      <c r="U171" s="207"/>
      <c r="V171" s="207"/>
      <c r="W171" s="208"/>
      <c r="X171" s="208"/>
      <c r="Y171" s="208"/>
      <c r="Z171" s="208"/>
      <c r="AA171" s="208"/>
      <c r="AB171" s="208"/>
      <c r="AC171" s="208"/>
      <c r="AD171" s="208"/>
      <c r="AE171" s="208"/>
      <c r="AF171" s="208"/>
      <c r="AG171" s="208"/>
      <c r="AH171" s="208"/>
      <c r="AI171" s="100"/>
      <c r="AJ171" s="319"/>
      <c r="AK171" s="319"/>
      <c r="AL171" s="319"/>
      <c r="AM171" s="319"/>
      <c r="AN171" s="319"/>
      <c r="AO171" s="319"/>
      <c r="AP171" s="319"/>
      <c r="AQ171" s="319"/>
      <c r="AR171" s="319"/>
      <c r="AS171" s="319"/>
      <c r="AT171" s="319"/>
      <c r="AU171" s="319"/>
      <c r="AV171" s="319"/>
      <c r="AW171" s="319"/>
      <c r="AX171" s="319"/>
      <c r="AY171" s="319"/>
      <c r="AZ171" s="319"/>
      <c r="BA171" s="319"/>
      <c r="BB171" s="319"/>
      <c r="BC171" s="319"/>
      <c r="BD171" s="319"/>
      <c r="BE171" s="319"/>
      <c r="BF171" s="319"/>
      <c r="BG171" s="319"/>
      <c r="BH171" s="319"/>
      <c r="BI171" s="319"/>
      <c r="BJ171" s="319"/>
      <c r="BK171" s="319"/>
      <c r="BL171" s="319"/>
      <c r="BM171" s="319"/>
      <c r="BN171" s="319"/>
      <c r="BO171" s="319"/>
      <c r="BP171" s="319"/>
      <c r="BQ171" s="319"/>
      <c r="BR171" s="319"/>
    </row>
    <row r="172" ht="14.25" customHeight="1">
      <c r="A172" s="195"/>
      <c r="B172" s="100"/>
      <c r="C172" s="100"/>
      <c r="D172" s="100"/>
      <c r="E172" s="100"/>
      <c r="F172" s="206"/>
      <c r="G172" s="206"/>
      <c r="H172" s="207"/>
      <c r="I172" s="207"/>
      <c r="J172" s="207"/>
      <c r="K172" s="207"/>
      <c r="L172" s="207"/>
      <c r="M172" s="207"/>
      <c r="N172" s="207"/>
      <c r="O172" s="207"/>
      <c r="P172" s="207"/>
      <c r="Q172" s="207"/>
      <c r="R172" s="207"/>
      <c r="S172" s="207"/>
      <c r="T172" s="207"/>
      <c r="U172" s="207"/>
      <c r="V172" s="207"/>
      <c r="W172" s="208"/>
      <c r="X172" s="208"/>
      <c r="Y172" s="208"/>
      <c r="Z172" s="208"/>
      <c r="AA172" s="208"/>
      <c r="AB172" s="208"/>
      <c r="AC172" s="208"/>
      <c r="AD172" s="208"/>
      <c r="AE172" s="208"/>
      <c r="AF172" s="208"/>
      <c r="AG172" s="208"/>
      <c r="AH172" s="208"/>
      <c r="AI172" s="100"/>
      <c r="AJ172" s="319"/>
      <c r="AK172" s="319"/>
      <c r="AL172" s="319"/>
      <c r="AM172" s="319"/>
      <c r="AN172" s="319"/>
      <c r="AO172" s="319"/>
      <c r="AP172" s="319"/>
      <c r="AQ172" s="319"/>
      <c r="AR172" s="319"/>
      <c r="AS172" s="319"/>
      <c r="AT172" s="319"/>
      <c r="AU172" s="319"/>
      <c r="AV172" s="319"/>
      <c r="AW172" s="319"/>
      <c r="AX172" s="319"/>
      <c r="AY172" s="319"/>
      <c r="AZ172" s="319"/>
      <c r="BA172" s="319"/>
      <c r="BB172" s="319"/>
      <c r="BC172" s="319"/>
      <c r="BD172" s="319"/>
      <c r="BE172" s="319"/>
      <c r="BF172" s="319"/>
      <c r="BG172" s="319"/>
      <c r="BH172" s="319"/>
      <c r="BI172" s="319"/>
      <c r="BJ172" s="319"/>
      <c r="BK172" s="319"/>
      <c r="BL172" s="319"/>
      <c r="BM172" s="319"/>
      <c r="BN172" s="319"/>
      <c r="BO172" s="319"/>
      <c r="BP172" s="319"/>
      <c r="BQ172" s="319"/>
      <c r="BR172" s="319"/>
    </row>
    <row r="173" ht="14.25" customHeight="1">
      <c r="A173" s="195"/>
      <c r="B173" s="100"/>
      <c r="C173" s="100"/>
      <c r="D173" s="100"/>
      <c r="E173" s="100"/>
      <c r="F173" s="206"/>
      <c r="G173" s="206"/>
      <c r="H173" s="207"/>
      <c r="I173" s="207"/>
      <c r="J173" s="207"/>
      <c r="K173" s="207"/>
      <c r="L173" s="207"/>
      <c r="M173" s="207"/>
      <c r="N173" s="207"/>
      <c r="O173" s="207"/>
      <c r="P173" s="207"/>
      <c r="Q173" s="207"/>
      <c r="R173" s="207"/>
      <c r="S173" s="207"/>
      <c r="T173" s="207"/>
      <c r="U173" s="207"/>
      <c r="V173" s="207"/>
      <c r="W173" s="208"/>
      <c r="X173" s="208"/>
      <c r="Y173" s="208"/>
      <c r="Z173" s="208"/>
      <c r="AA173" s="208"/>
      <c r="AB173" s="208"/>
      <c r="AC173" s="208"/>
      <c r="AD173" s="208"/>
      <c r="AE173" s="208"/>
      <c r="AF173" s="208"/>
      <c r="AG173" s="208"/>
      <c r="AH173" s="208"/>
      <c r="AI173" s="100"/>
      <c r="AJ173" s="319"/>
      <c r="AK173" s="319"/>
      <c r="AL173" s="319"/>
      <c r="AM173" s="319"/>
      <c r="AN173" s="319"/>
      <c r="AO173" s="319"/>
      <c r="AP173" s="319"/>
      <c r="AQ173" s="319"/>
      <c r="AR173" s="319"/>
      <c r="AS173" s="319"/>
      <c r="AT173" s="319"/>
      <c r="AU173" s="319"/>
      <c r="AV173" s="319"/>
      <c r="AW173" s="319"/>
      <c r="AX173" s="319"/>
      <c r="AY173" s="319"/>
      <c r="AZ173" s="319"/>
      <c r="BA173" s="319"/>
      <c r="BB173" s="319"/>
      <c r="BC173" s="319"/>
      <c r="BD173" s="319"/>
      <c r="BE173" s="319"/>
      <c r="BF173" s="319"/>
      <c r="BG173" s="319"/>
      <c r="BH173" s="319"/>
      <c r="BI173" s="319"/>
      <c r="BJ173" s="319"/>
      <c r="BK173" s="319"/>
      <c r="BL173" s="319"/>
      <c r="BM173" s="319"/>
      <c r="BN173" s="319"/>
      <c r="BO173" s="319"/>
      <c r="BP173" s="319"/>
      <c r="BQ173" s="319"/>
      <c r="BR173" s="319"/>
    </row>
    <row r="174" ht="14.25" customHeight="1">
      <c r="A174" s="195"/>
      <c r="B174" s="100"/>
      <c r="C174" s="100"/>
      <c r="D174" s="100"/>
      <c r="E174" s="100"/>
      <c r="F174" s="206"/>
      <c r="G174" s="206"/>
      <c r="H174" s="207"/>
      <c r="I174" s="207"/>
      <c r="J174" s="207"/>
      <c r="K174" s="207"/>
      <c r="L174" s="207"/>
      <c r="M174" s="207"/>
      <c r="N174" s="207"/>
      <c r="O174" s="207"/>
      <c r="P174" s="207"/>
      <c r="Q174" s="207"/>
      <c r="R174" s="207"/>
      <c r="S174" s="207"/>
      <c r="T174" s="207"/>
      <c r="U174" s="207"/>
      <c r="V174" s="207"/>
      <c r="W174" s="208"/>
      <c r="X174" s="208"/>
      <c r="Y174" s="208"/>
      <c r="Z174" s="208"/>
      <c r="AA174" s="208"/>
      <c r="AB174" s="208"/>
      <c r="AC174" s="208"/>
      <c r="AD174" s="208"/>
      <c r="AE174" s="208"/>
      <c r="AF174" s="208"/>
      <c r="AG174" s="208"/>
      <c r="AH174" s="208"/>
      <c r="AI174" s="100"/>
      <c r="AJ174" s="319"/>
      <c r="AK174" s="319"/>
      <c r="AL174" s="319"/>
      <c r="AM174" s="319"/>
      <c r="AN174" s="319"/>
      <c r="AO174" s="319"/>
      <c r="AP174" s="319"/>
      <c r="AQ174" s="319"/>
      <c r="AR174" s="319"/>
      <c r="AS174" s="319"/>
      <c r="AT174" s="319"/>
      <c r="AU174" s="319"/>
      <c r="AV174" s="319"/>
      <c r="AW174" s="319"/>
      <c r="AX174" s="319"/>
      <c r="AY174" s="319"/>
      <c r="AZ174" s="319"/>
      <c r="BA174" s="319"/>
      <c r="BB174" s="319"/>
      <c r="BC174" s="319"/>
      <c r="BD174" s="319"/>
      <c r="BE174" s="319"/>
      <c r="BF174" s="319"/>
      <c r="BG174" s="319"/>
      <c r="BH174" s="319"/>
      <c r="BI174" s="319"/>
      <c r="BJ174" s="319"/>
      <c r="BK174" s="319"/>
      <c r="BL174" s="319"/>
      <c r="BM174" s="319"/>
      <c r="BN174" s="319"/>
      <c r="BO174" s="319"/>
      <c r="BP174" s="319"/>
      <c r="BQ174" s="319"/>
      <c r="BR174" s="319"/>
    </row>
    <row r="175" ht="14.25" customHeight="1">
      <c r="A175" s="195"/>
      <c r="B175" s="100"/>
      <c r="C175" s="100"/>
      <c r="D175" s="100"/>
      <c r="E175" s="100"/>
      <c r="F175" s="206"/>
      <c r="G175" s="206"/>
      <c r="H175" s="207"/>
      <c r="I175" s="207"/>
      <c r="J175" s="207"/>
      <c r="K175" s="207"/>
      <c r="L175" s="207"/>
      <c r="M175" s="207"/>
      <c r="N175" s="207"/>
      <c r="O175" s="207"/>
      <c r="P175" s="207"/>
      <c r="Q175" s="207"/>
      <c r="R175" s="207"/>
      <c r="S175" s="207"/>
      <c r="T175" s="207"/>
      <c r="U175" s="207"/>
      <c r="V175" s="207"/>
      <c r="W175" s="208"/>
      <c r="X175" s="208"/>
      <c r="Y175" s="208"/>
      <c r="Z175" s="208"/>
      <c r="AA175" s="208"/>
      <c r="AB175" s="208"/>
      <c r="AC175" s="208"/>
      <c r="AD175" s="208"/>
      <c r="AE175" s="208"/>
      <c r="AF175" s="208"/>
      <c r="AG175" s="208"/>
      <c r="AH175" s="208"/>
      <c r="AI175" s="100"/>
      <c r="AJ175" s="319"/>
      <c r="AK175" s="319"/>
      <c r="AL175" s="319"/>
      <c r="AM175" s="319"/>
      <c r="AN175" s="319"/>
      <c r="AO175" s="319"/>
      <c r="AP175" s="319"/>
      <c r="AQ175" s="319"/>
      <c r="AR175" s="319"/>
      <c r="AS175" s="319"/>
      <c r="AT175" s="319"/>
      <c r="AU175" s="319"/>
      <c r="AV175" s="319"/>
      <c r="AW175" s="319"/>
      <c r="AX175" s="319"/>
      <c r="AY175" s="319"/>
      <c r="AZ175" s="319"/>
      <c r="BA175" s="319"/>
      <c r="BB175" s="319"/>
      <c r="BC175" s="319"/>
      <c r="BD175" s="319"/>
      <c r="BE175" s="319"/>
      <c r="BF175" s="319"/>
      <c r="BG175" s="319"/>
      <c r="BH175" s="319"/>
      <c r="BI175" s="319"/>
      <c r="BJ175" s="319"/>
      <c r="BK175" s="319"/>
      <c r="BL175" s="319"/>
      <c r="BM175" s="319"/>
      <c r="BN175" s="319"/>
      <c r="BO175" s="319"/>
      <c r="BP175" s="319"/>
      <c r="BQ175" s="319"/>
      <c r="BR175" s="319"/>
    </row>
    <row r="176" ht="14.25" customHeight="1">
      <c r="A176" s="195"/>
      <c r="B176" s="100"/>
      <c r="C176" s="100"/>
      <c r="D176" s="100"/>
      <c r="E176" s="100"/>
      <c r="F176" s="206"/>
      <c r="G176" s="206"/>
      <c r="H176" s="207"/>
      <c r="I176" s="207"/>
      <c r="J176" s="207"/>
      <c r="K176" s="207"/>
      <c r="L176" s="207"/>
      <c r="M176" s="207"/>
      <c r="N176" s="207"/>
      <c r="O176" s="207"/>
      <c r="P176" s="207"/>
      <c r="Q176" s="207"/>
      <c r="R176" s="207"/>
      <c r="S176" s="207"/>
      <c r="T176" s="207"/>
      <c r="U176" s="207"/>
      <c r="V176" s="207"/>
      <c r="W176" s="208"/>
      <c r="X176" s="208"/>
      <c r="Y176" s="208"/>
      <c r="Z176" s="208"/>
      <c r="AA176" s="208"/>
      <c r="AB176" s="208"/>
      <c r="AC176" s="208"/>
      <c r="AD176" s="208"/>
      <c r="AE176" s="208"/>
      <c r="AF176" s="208"/>
      <c r="AG176" s="208"/>
      <c r="AH176" s="208"/>
      <c r="AI176" s="100"/>
      <c r="AJ176" s="319"/>
      <c r="AK176" s="319"/>
      <c r="AL176" s="319"/>
      <c r="AM176" s="319"/>
      <c r="AN176" s="319"/>
      <c r="AO176" s="319"/>
      <c r="AP176" s="319"/>
      <c r="AQ176" s="319"/>
      <c r="AR176" s="319"/>
      <c r="AS176" s="319"/>
      <c r="AT176" s="319"/>
      <c r="AU176" s="319"/>
      <c r="AV176" s="319"/>
      <c r="AW176" s="319"/>
      <c r="AX176" s="319"/>
      <c r="AY176" s="319"/>
      <c r="AZ176" s="319"/>
      <c r="BA176" s="319"/>
      <c r="BB176" s="319"/>
      <c r="BC176" s="319"/>
      <c r="BD176" s="319"/>
      <c r="BE176" s="319"/>
      <c r="BF176" s="319"/>
      <c r="BG176" s="319"/>
      <c r="BH176" s="319"/>
      <c r="BI176" s="319"/>
      <c r="BJ176" s="319"/>
      <c r="BK176" s="319"/>
      <c r="BL176" s="319"/>
      <c r="BM176" s="319"/>
      <c r="BN176" s="319"/>
      <c r="BO176" s="319"/>
      <c r="BP176" s="319"/>
      <c r="BQ176" s="319"/>
      <c r="BR176" s="319"/>
    </row>
    <row r="177" ht="14.25" customHeight="1">
      <c r="A177" s="195"/>
      <c r="B177" s="100"/>
      <c r="C177" s="100"/>
      <c r="D177" s="100"/>
      <c r="E177" s="100"/>
      <c r="F177" s="206"/>
      <c r="G177" s="206"/>
      <c r="H177" s="207"/>
      <c r="I177" s="207"/>
      <c r="J177" s="207"/>
      <c r="K177" s="207"/>
      <c r="L177" s="207"/>
      <c r="M177" s="207"/>
      <c r="N177" s="207"/>
      <c r="O177" s="207"/>
      <c r="P177" s="207"/>
      <c r="Q177" s="207"/>
      <c r="R177" s="207"/>
      <c r="S177" s="207"/>
      <c r="T177" s="207"/>
      <c r="U177" s="207"/>
      <c r="V177" s="207"/>
      <c r="W177" s="208"/>
      <c r="X177" s="208"/>
      <c r="Y177" s="208"/>
      <c r="Z177" s="208"/>
      <c r="AA177" s="208"/>
      <c r="AB177" s="208"/>
      <c r="AC177" s="208"/>
      <c r="AD177" s="208"/>
      <c r="AE177" s="208"/>
      <c r="AF177" s="208"/>
      <c r="AG177" s="208"/>
      <c r="AH177" s="208"/>
      <c r="AI177" s="100"/>
      <c r="AJ177" s="319"/>
      <c r="AK177" s="319"/>
      <c r="AL177" s="319"/>
      <c r="AM177" s="319"/>
      <c r="AN177" s="319"/>
      <c r="AO177" s="319"/>
      <c r="AP177" s="319"/>
      <c r="AQ177" s="319"/>
      <c r="AR177" s="319"/>
      <c r="AS177" s="319"/>
      <c r="AT177" s="319"/>
      <c r="AU177" s="319"/>
      <c r="AV177" s="319"/>
      <c r="AW177" s="319"/>
      <c r="AX177" s="319"/>
      <c r="AY177" s="319"/>
      <c r="AZ177" s="319"/>
      <c r="BA177" s="319"/>
      <c r="BB177" s="319"/>
      <c r="BC177" s="319"/>
      <c r="BD177" s="319"/>
      <c r="BE177" s="319"/>
      <c r="BF177" s="319"/>
      <c r="BG177" s="319"/>
      <c r="BH177" s="319"/>
      <c r="BI177" s="319"/>
      <c r="BJ177" s="319"/>
      <c r="BK177" s="319"/>
      <c r="BL177" s="319"/>
      <c r="BM177" s="319"/>
      <c r="BN177" s="319"/>
      <c r="BO177" s="319"/>
      <c r="BP177" s="319"/>
      <c r="BQ177" s="319"/>
      <c r="BR177" s="319"/>
    </row>
    <row r="178" ht="14.25" customHeight="1">
      <c r="A178" s="195"/>
      <c r="B178" s="100"/>
      <c r="C178" s="100"/>
      <c r="D178" s="100"/>
      <c r="E178" s="100"/>
      <c r="F178" s="206"/>
      <c r="G178" s="206"/>
      <c r="H178" s="207"/>
      <c r="I178" s="207"/>
      <c r="J178" s="207"/>
      <c r="K178" s="207"/>
      <c r="L178" s="207"/>
      <c r="M178" s="207"/>
      <c r="N178" s="207"/>
      <c r="O178" s="207"/>
      <c r="P178" s="207"/>
      <c r="Q178" s="207"/>
      <c r="R178" s="207"/>
      <c r="S178" s="207"/>
      <c r="T178" s="207"/>
      <c r="U178" s="207"/>
      <c r="V178" s="207"/>
      <c r="W178" s="208"/>
      <c r="X178" s="208"/>
      <c r="Y178" s="208"/>
      <c r="Z178" s="208"/>
      <c r="AA178" s="208"/>
      <c r="AB178" s="208"/>
      <c r="AC178" s="208"/>
      <c r="AD178" s="208"/>
      <c r="AE178" s="208"/>
      <c r="AF178" s="208"/>
      <c r="AG178" s="208"/>
      <c r="AH178" s="208"/>
      <c r="AI178" s="100"/>
      <c r="AJ178" s="319"/>
      <c r="AK178" s="319"/>
      <c r="AL178" s="319"/>
      <c r="AM178" s="319"/>
      <c r="AN178" s="319"/>
      <c r="AO178" s="319"/>
      <c r="AP178" s="319"/>
      <c r="AQ178" s="319"/>
      <c r="AR178" s="319"/>
      <c r="AS178" s="319"/>
      <c r="AT178" s="319"/>
      <c r="AU178" s="319"/>
      <c r="AV178" s="319"/>
      <c r="AW178" s="319"/>
      <c r="AX178" s="319"/>
      <c r="AY178" s="319"/>
      <c r="AZ178" s="319"/>
      <c r="BA178" s="319"/>
      <c r="BB178" s="319"/>
      <c r="BC178" s="319"/>
      <c r="BD178" s="319"/>
      <c r="BE178" s="319"/>
      <c r="BF178" s="319"/>
      <c r="BG178" s="319"/>
      <c r="BH178" s="319"/>
      <c r="BI178" s="319"/>
      <c r="BJ178" s="319"/>
      <c r="BK178" s="319"/>
      <c r="BL178" s="319"/>
      <c r="BM178" s="319"/>
      <c r="BN178" s="319"/>
      <c r="BO178" s="319"/>
      <c r="BP178" s="319"/>
      <c r="BQ178" s="319"/>
      <c r="BR178" s="319"/>
    </row>
    <row r="179" ht="14.25" customHeight="1">
      <c r="A179" s="195"/>
      <c r="B179" s="100"/>
      <c r="C179" s="100"/>
      <c r="D179" s="100"/>
      <c r="E179" s="100"/>
      <c r="F179" s="206"/>
      <c r="G179" s="206"/>
      <c r="H179" s="207"/>
      <c r="I179" s="207"/>
      <c r="J179" s="207"/>
      <c r="K179" s="207"/>
      <c r="L179" s="207"/>
      <c r="M179" s="207"/>
      <c r="N179" s="207"/>
      <c r="O179" s="207"/>
      <c r="P179" s="207"/>
      <c r="Q179" s="207"/>
      <c r="R179" s="207"/>
      <c r="S179" s="207"/>
      <c r="T179" s="207"/>
      <c r="U179" s="207"/>
      <c r="V179" s="207"/>
      <c r="W179" s="208"/>
      <c r="X179" s="208"/>
      <c r="Y179" s="208"/>
      <c r="Z179" s="208"/>
      <c r="AA179" s="208"/>
      <c r="AB179" s="208"/>
      <c r="AC179" s="208"/>
      <c r="AD179" s="208"/>
      <c r="AE179" s="208"/>
      <c r="AF179" s="208"/>
      <c r="AG179" s="208"/>
      <c r="AH179" s="208"/>
      <c r="AI179" s="100"/>
      <c r="AJ179" s="319"/>
      <c r="AK179" s="319"/>
      <c r="AL179" s="319"/>
      <c r="AM179" s="319"/>
      <c r="AN179" s="319"/>
      <c r="AO179" s="319"/>
      <c r="AP179" s="319"/>
      <c r="AQ179" s="319"/>
      <c r="AR179" s="319"/>
      <c r="AS179" s="319"/>
      <c r="AT179" s="319"/>
      <c r="AU179" s="319"/>
      <c r="AV179" s="319"/>
      <c r="AW179" s="319"/>
      <c r="AX179" s="319"/>
      <c r="AY179" s="319"/>
      <c r="AZ179" s="319"/>
      <c r="BA179" s="319"/>
      <c r="BB179" s="319"/>
      <c r="BC179" s="319"/>
      <c r="BD179" s="319"/>
      <c r="BE179" s="319"/>
      <c r="BF179" s="319"/>
      <c r="BG179" s="319"/>
      <c r="BH179" s="319"/>
      <c r="BI179" s="319"/>
      <c r="BJ179" s="319"/>
      <c r="BK179" s="319"/>
      <c r="BL179" s="319"/>
      <c r="BM179" s="319"/>
      <c r="BN179" s="319"/>
      <c r="BO179" s="319"/>
      <c r="BP179" s="319"/>
      <c r="BQ179" s="319"/>
      <c r="BR179" s="319"/>
    </row>
    <row r="180" ht="14.25" customHeight="1">
      <c r="A180" s="195"/>
      <c r="B180" s="100"/>
      <c r="C180" s="100"/>
      <c r="D180" s="100"/>
      <c r="E180" s="100"/>
      <c r="F180" s="206"/>
      <c r="G180" s="206"/>
      <c r="H180" s="207"/>
      <c r="I180" s="207"/>
      <c r="J180" s="207"/>
      <c r="K180" s="207"/>
      <c r="L180" s="207"/>
      <c r="M180" s="207"/>
      <c r="N180" s="207"/>
      <c r="O180" s="207"/>
      <c r="P180" s="207"/>
      <c r="Q180" s="207"/>
      <c r="R180" s="207"/>
      <c r="S180" s="207"/>
      <c r="T180" s="207"/>
      <c r="U180" s="207"/>
      <c r="V180" s="207"/>
      <c r="W180" s="208"/>
      <c r="X180" s="208"/>
      <c r="Y180" s="208"/>
      <c r="Z180" s="208"/>
      <c r="AA180" s="208"/>
      <c r="AB180" s="208"/>
      <c r="AC180" s="208"/>
      <c r="AD180" s="208"/>
      <c r="AE180" s="208"/>
      <c r="AF180" s="208"/>
      <c r="AG180" s="208"/>
      <c r="AH180" s="208"/>
      <c r="AI180" s="100"/>
      <c r="AJ180" s="319"/>
      <c r="AK180" s="319"/>
      <c r="AL180" s="319"/>
      <c r="AM180" s="319"/>
      <c r="AN180" s="319"/>
      <c r="AO180" s="319"/>
      <c r="AP180" s="319"/>
      <c r="AQ180" s="319"/>
      <c r="AR180" s="319"/>
      <c r="AS180" s="319"/>
      <c r="AT180" s="319"/>
      <c r="AU180" s="319"/>
      <c r="AV180" s="319"/>
      <c r="AW180" s="319"/>
      <c r="AX180" s="319"/>
      <c r="AY180" s="319"/>
      <c r="AZ180" s="319"/>
      <c r="BA180" s="319"/>
      <c r="BB180" s="319"/>
      <c r="BC180" s="319"/>
      <c r="BD180" s="319"/>
      <c r="BE180" s="319"/>
      <c r="BF180" s="319"/>
      <c r="BG180" s="319"/>
      <c r="BH180" s="319"/>
      <c r="BI180" s="319"/>
      <c r="BJ180" s="319"/>
      <c r="BK180" s="319"/>
      <c r="BL180" s="319"/>
      <c r="BM180" s="319"/>
      <c r="BN180" s="319"/>
      <c r="BO180" s="319"/>
      <c r="BP180" s="319"/>
      <c r="BQ180" s="319"/>
      <c r="BR180" s="319"/>
    </row>
    <row r="181" ht="14.25" customHeight="1">
      <c r="A181" s="195"/>
      <c r="B181" s="100"/>
      <c r="C181" s="100"/>
      <c r="D181" s="100"/>
      <c r="E181" s="100"/>
      <c r="F181" s="206"/>
      <c r="G181" s="206"/>
      <c r="H181" s="207"/>
      <c r="I181" s="207"/>
      <c r="J181" s="207"/>
      <c r="K181" s="207"/>
      <c r="L181" s="207"/>
      <c r="M181" s="207"/>
      <c r="N181" s="207"/>
      <c r="O181" s="207"/>
      <c r="P181" s="207"/>
      <c r="Q181" s="207"/>
      <c r="R181" s="207"/>
      <c r="S181" s="207"/>
      <c r="T181" s="207"/>
      <c r="U181" s="207"/>
      <c r="V181" s="207"/>
      <c r="W181" s="208"/>
      <c r="X181" s="208"/>
      <c r="Y181" s="208"/>
      <c r="Z181" s="208"/>
      <c r="AA181" s="208"/>
      <c r="AB181" s="208"/>
      <c r="AC181" s="208"/>
      <c r="AD181" s="208"/>
      <c r="AE181" s="208"/>
      <c r="AF181" s="208"/>
      <c r="AG181" s="208"/>
      <c r="AH181" s="208"/>
      <c r="AI181" s="100"/>
      <c r="AJ181" s="319"/>
      <c r="AK181" s="319"/>
      <c r="AL181" s="319"/>
      <c r="AM181" s="319"/>
      <c r="AN181" s="319"/>
      <c r="AO181" s="319"/>
      <c r="AP181" s="319"/>
      <c r="AQ181" s="319"/>
      <c r="AR181" s="319"/>
      <c r="AS181" s="319"/>
      <c r="AT181" s="319"/>
      <c r="AU181" s="319"/>
      <c r="AV181" s="319"/>
      <c r="AW181" s="319"/>
      <c r="AX181" s="319"/>
      <c r="AY181" s="319"/>
      <c r="AZ181" s="319"/>
      <c r="BA181" s="319"/>
      <c r="BB181" s="319"/>
      <c r="BC181" s="319"/>
      <c r="BD181" s="319"/>
      <c r="BE181" s="319"/>
      <c r="BF181" s="319"/>
      <c r="BG181" s="319"/>
      <c r="BH181" s="319"/>
      <c r="BI181" s="319"/>
      <c r="BJ181" s="319"/>
      <c r="BK181" s="319"/>
      <c r="BL181" s="319"/>
      <c r="BM181" s="319"/>
      <c r="BN181" s="319"/>
      <c r="BO181" s="319"/>
      <c r="BP181" s="319"/>
      <c r="BQ181" s="319"/>
      <c r="BR181" s="319"/>
    </row>
    <row r="182" ht="14.25" customHeight="1">
      <c r="A182" s="195"/>
      <c r="B182" s="100"/>
      <c r="C182" s="100"/>
      <c r="D182" s="100"/>
      <c r="E182" s="100"/>
      <c r="F182" s="206"/>
      <c r="G182" s="206"/>
      <c r="H182" s="207"/>
      <c r="I182" s="207"/>
      <c r="J182" s="207"/>
      <c r="K182" s="207"/>
      <c r="L182" s="207"/>
      <c r="M182" s="207"/>
      <c r="N182" s="207"/>
      <c r="O182" s="207"/>
      <c r="P182" s="207"/>
      <c r="Q182" s="207"/>
      <c r="R182" s="207"/>
      <c r="S182" s="207"/>
      <c r="T182" s="207"/>
      <c r="U182" s="207"/>
      <c r="V182" s="207"/>
      <c r="W182" s="208"/>
      <c r="X182" s="208"/>
      <c r="Y182" s="208"/>
      <c r="Z182" s="208"/>
      <c r="AA182" s="208"/>
      <c r="AB182" s="208"/>
      <c r="AC182" s="208"/>
      <c r="AD182" s="208"/>
      <c r="AE182" s="208"/>
      <c r="AF182" s="208"/>
      <c r="AG182" s="208"/>
      <c r="AH182" s="208"/>
      <c r="AI182" s="100"/>
      <c r="AJ182" s="319"/>
      <c r="AK182" s="319"/>
      <c r="AL182" s="319"/>
      <c r="AM182" s="319"/>
      <c r="AN182" s="319"/>
      <c r="AO182" s="319"/>
      <c r="AP182" s="319"/>
      <c r="AQ182" s="319"/>
      <c r="AR182" s="319"/>
      <c r="AS182" s="319"/>
      <c r="AT182" s="319"/>
      <c r="AU182" s="319"/>
      <c r="AV182" s="319"/>
      <c r="AW182" s="319"/>
      <c r="AX182" s="319"/>
      <c r="AY182" s="319"/>
      <c r="AZ182" s="319"/>
      <c r="BA182" s="319"/>
      <c r="BB182" s="319"/>
      <c r="BC182" s="319"/>
      <c r="BD182" s="319"/>
      <c r="BE182" s="319"/>
      <c r="BF182" s="319"/>
      <c r="BG182" s="319"/>
      <c r="BH182" s="319"/>
      <c r="BI182" s="319"/>
      <c r="BJ182" s="319"/>
      <c r="BK182" s="319"/>
      <c r="BL182" s="319"/>
      <c r="BM182" s="319"/>
      <c r="BN182" s="319"/>
      <c r="BO182" s="319"/>
      <c r="BP182" s="319"/>
      <c r="BQ182" s="319"/>
      <c r="BR182" s="319"/>
    </row>
    <row r="183" ht="14.25" customHeight="1">
      <c r="A183" s="195"/>
      <c r="B183" s="100"/>
      <c r="C183" s="100"/>
      <c r="D183" s="100"/>
      <c r="E183" s="100"/>
      <c r="F183" s="206"/>
      <c r="G183" s="206"/>
      <c r="H183" s="207"/>
      <c r="I183" s="207"/>
      <c r="J183" s="207"/>
      <c r="K183" s="207"/>
      <c r="L183" s="207"/>
      <c r="M183" s="207"/>
      <c r="N183" s="207"/>
      <c r="O183" s="207"/>
      <c r="P183" s="207"/>
      <c r="Q183" s="207"/>
      <c r="R183" s="207"/>
      <c r="S183" s="207"/>
      <c r="T183" s="207"/>
      <c r="U183" s="207"/>
      <c r="V183" s="207"/>
      <c r="W183" s="208"/>
      <c r="X183" s="208"/>
      <c r="Y183" s="208"/>
      <c r="Z183" s="208"/>
      <c r="AA183" s="208"/>
      <c r="AB183" s="208"/>
      <c r="AC183" s="208"/>
      <c r="AD183" s="208"/>
      <c r="AE183" s="208"/>
      <c r="AF183" s="208"/>
      <c r="AG183" s="208"/>
      <c r="AH183" s="208"/>
      <c r="AI183" s="100"/>
      <c r="AJ183" s="319"/>
      <c r="AK183" s="319"/>
      <c r="AL183" s="319"/>
      <c r="AM183" s="319"/>
      <c r="AN183" s="319"/>
      <c r="AO183" s="319"/>
      <c r="AP183" s="319"/>
      <c r="AQ183" s="319"/>
      <c r="AR183" s="319"/>
      <c r="AS183" s="319"/>
      <c r="AT183" s="319"/>
      <c r="AU183" s="319"/>
      <c r="AV183" s="319"/>
      <c r="AW183" s="319"/>
      <c r="AX183" s="319"/>
      <c r="AY183" s="319"/>
      <c r="AZ183" s="319"/>
      <c r="BA183" s="319"/>
      <c r="BB183" s="319"/>
      <c r="BC183" s="319"/>
      <c r="BD183" s="319"/>
      <c r="BE183" s="319"/>
      <c r="BF183" s="319"/>
      <c r="BG183" s="319"/>
      <c r="BH183" s="319"/>
      <c r="BI183" s="319"/>
      <c r="BJ183" s="319"/>
      <c r="BK183" s="319"/>
      <c r="BL183" s="319"/>
      <c r="BM183" s="319"/>
      <c r="BN183" s="319"/>
      <c r="BO183" s="319"/>
      <c r="BP183" s="319"/>
      <c r="BQ183" s="319"/>
      <c r="BR183" s="319"/>
    </row>
    <row r="184" ht="14.25" customHeight="1">
      <c r="A184" s="195"/>
      <c r="B184" s="100"/>
      <c r="C184" s="100"/>
      <c r="D184" s="100"/>
      <c r="E184" s="100"/>
      <c r="F184" s="206"/>
      <c r="G184" s="206"/>
      <c r="H184" s="207"/>
      <c r="I184" s="207"/>
      <c r="J184" s="207"/>
      <c r="K184" s="207"/>
      <c r="L184" s="207"/>
      <c r="M184" s="207"/>
      <c r="N184" s="207"/>
      <c r="O184" s="207"/>
      <c r="P184" s="207"/>
      <c r="Q184" s="207"/>
      <c r="R184" s="207"/>
      <c r="S184" s="207"/>
      <c r="T184" s="207"/>
      <c r="U184" s="207"/>
      <c r="V184" s="207"/>
      <c r="W184" s="208"/>
      <c r="X184" s="208"/>
      <c r="Y184" s="208"/>
      <c r="Z184" s="208"/>
      <c r="AA184" s="208"/>
      <c r="AB184" s="208"/>
      <c r="AC184" s="208"/>
      <c r="AD184" s="208"/>
      <c r="AE184" s="208"/>
      <c r="AF184" s="208"/>
      <c r="AG184" s="208"/>
      <c r="AH184" s="208"/>
      <c r="AI184" s="100"/>
      <c r="AJ184" s="319"/>
      <c r="AK184" s="319"/>
      <c r="AL184" s="319"/>
      <c r="AM184" s="319"/>
      <c r="AN184" s="319"/>
      <c r="AO184" s="319"/>
      <c r="AP184" s="319"/>
      <c r="AQ184" s="319"/>
      <c r="AR184" s="319"/>
      <c r="AS184" s="319"/>
      <c r="AT184" s="319"/>
      <c r="AU184" s="319"/>
      <c r="AV184" s="319"/>
      <c r="AW184" s="319"/>
      <c r="AX184" s="319"/>
      <c r="AY184" s="319"/>
      <c r="AZ184" s="319"/>
      <c r="BA184" s="319"/>
      <c r="BB184" s="319"/>
      <c r="BC184" s="319"/>
      <c r="BD184" s="319"/>
      <c r="BE184" s="319"/>
      <c r="BF184" s="319"/>
      <c r="BG184" s="319"/>
      <c r="BH184" s="319"/>
      <c r="BI184" s="319"/>
      <c r="BJ184" s="319"/>
      <c r="BK184" s="319"/>
      <c r="BL184" s="319"/>
      <c r="BM184" s="319"/>
      <c r="BN184" s="319"/>
      <c r="BO184" s="319"/>
      <c r="BP184" s="319"/>
      <c r="BQ184" s="319"/>
      <c r="BR184" s="319"/>
    </row>
    <row r="185" ht="14.25" customHeight="1">
      <c r="A185" s="195"/>
      <c r="B185" s="100"/>
      <c r="C185" s="100"/>
      <c r="D185" s="100"/>
      <c r="E185" s="100"/>
      <c r="F185" s="206"/>
      <c r="G185" s="206"/>
      <c r="H185" s="207"/>
      <c r="I185" s="207"/>
      <c r="J185" s="207"/>
      <c r="K185" s="207"/>
      <c r="L185" s="207"/>
      <c r="M185" s="207"/>
      <c r="N185" s="207"/>
      <c r="O185" s="207"/>
      <c r="P185" s="207"/>
      <c r="Q185" s="207"/>
      <c r="R185" s="207"/>
      <c r="S185" s="207"/>
      <c r="T185" s="207"/>
      <c r="U185" s="207"/>
      <c r="V185" s="207"/>
      <c r="W185" s="208"/>
      <c r="X185" s="208"/>
      <c r="Y185" s="208"/>
      <c r="Z185" s="208"/>
      <c r="AA185" s="208"/>
      <c r="AB185" s="208"/>
      <c r="AC185" s="208"/>
      <c r="AD185" s="208"/>
      <c r="AE185" s="208"/>
      <c r="AF185" s="208"/>
      <c r="AG185" s="208"/>
      <c r="AH185" s="208"/>
      <c r="AI185" s="100"/>
      <c r="AJ185" s="319"/>
      <c r="AK185" s="319"/>
      <c r="AL185" s="319"/>
      <c r="AM185" s="319"/>
      <c r="AN185" s="319"/>
      <c r="AO185" s="319"/>
      <c r="AP185" s="319"/>
      <c r="AQ185" s="319"/>
      <c r="AR185" s="319"/>
      <c r="AS185" s="319"/>
      <c r="AT185" s="319"/>
      <c r="AU185" s="319"/>
      <c r="AV185" s="319"/>
      <c r="AW185" s="319"/>
      <c r="AX185" s="319"/>
      <c r="AY185" s="319"/>
      <c r="AZ185" s="319"/>
      <c r="BA185" s="319"/>
      <c r="BB185" s="319"/>
      <c r="BC185" s="319"/>
      <c r="BD185" s="319"/>
      <c r="BE185" s="319"/>
      <c r="BF185" s="319"/>
      <c r="BG185" s="319"/>
      <c r="BH185" s="319"/>
      <c r="BI185" s="319"/>
      <c r="BJ185" s="319"/>
      <c r="BK185" s="319"/>
      <c r="BL185" s="319"/>
      <c r="BM185" s="319"/>
      <c r="BN185" s="319"/>
      <c r="BO185" s="319"/>
      <c r="BP185" s="319"/>
      <c r="BQ185" s="319"/>
      <c r="BR185" s="319"/>
    </row>
    <row r="186" ht="14.25" customHeight="1">
      <c r="A186" s="195"/>
      <c r="B186" s="100"/>
      <c r="C186" s="100"/>
      <c r="D186" s="100"/>
      <c r="E186" s="100"/>
      <c r="F186" s="206"/>
      <c r="G186" s="206"/>
      <c r="H186" s="207"/>
      <c r="I186" s="207"/>
      <c r="J186" s="207"/>
      <c r="K186" s="207"/>
      <c r="L186" s="207"/>
      <c r="M186" s="207"/>
      <c r="N186" s="207"/>
      <c r="O186" s="207"/>
      <c r="P186" s="207"/>
      <c r="Q186" s="207"/>
      <c r="R186" s="207"/>
      <c r="S186" s="207"/>
      <c r="T186" s="207"/>
      <c r="U186" s="207"/>
      <c r="V186" s="207"/>
      <c r="W186" s="208"/>
      <c r="X186" s="208"/>
      <c r="Y186" s="208"/>
      <c r="Z186" s="208"/>
      <c r="AA186" s="208"/>
      <c r="AB186" s="208"/>
      <c r="AC186" s="208"/>
      <c r="AD186" s="208"/>
      <c r="AE186" s="208"/>
      <c r="AF186" s="208"/>
      <c r="AG186" s="208"/>
      <c r="AH186" s="208"/>
      <c r="AI186" s="100"/>
      <c r="AJ186" s="319"/>
      <c r="AK186" s="319"/>
      <c r="AL186" s="319"/>
      <c r="AM186" s="319"/>
      <c r="AN186" s="319"/>
      <c r="AO186" s="319"/>
      <c r="AP186" s="319"/>
      <c r="AQ186" s="319"/>
      <c r="AR186" s="319"/>
      <c r="AS186" s="319"/>
      <c r="AT186" s="319"/>
      <c r="AU186" s="319"/>
      <c r="AV186" s="319"/>
      <c r="AW186" s="319"/>
      <c r="AX186" s="319"/>
      <c r="AY186" s="319"/>
      <c r="AZ186" s="319"/>
      <c r="BA186" s="319"/>
      <c r="BB186" s="319"/>
      <c r="BC186" s="319"/>
      <c r="BD186" s="319"/>
      <c r="BE186" s="319"/>
      <c r="BF186" s="319"/>
      <c r="BG186" s="319"/>
      <c r="BH186" s="319"/>
      <c r="BI186" s="319"/>
      <c r="BJ186" s="319"/>
      <c r="BK186" s="319"/>
      <c r="BL186" s="319"/>
      <c r="BM186" s="319"/>
      <c r="BN186" s="319"/>
      <c r="BO186" s="319"/>
      <c r="BP186" s="319"/>
      <c r="BQ186" s="319"/>
      <c r="BR186" s="319"/>
    </row>
    <row r="187" ht="14.25" customHeight="1">
      <c r="A187" s="195"/>
      <c r="B187" s="100"/>
      <c r="C187" s="100"/>
      <c r="D187" s="100"/>
      <c r="E187" s="100"/>
      <c r="F187" s="206"/>
      <c r="G187" s="206"/>
      <c r="H187" s="207"/>
      <c r="I187" s="207"/>
      <c r="J187" s="207"/>
      <c r="K187" s="207"/>
      <c r="L187" s="207"/>
      <c r="M187" s="207"/>
      <c r="N187" s="207"/>
      <c r="O187" s="207"/>
      <c r="P187" s="207"/>
      <c r="Q187" s="207"/>
      <c r="R187" s="207"/>
      <c r="S187" s="207"/>
      <c r="T187" s="207"/>
      <c r="U187" s="207"/>
      <c r="V187" s="207"/>
      <c r="W187" s="208"/>
      <c r="X187" s="208"/>
      <c r="Y187" s="208"/>
      <c r="Z187" s="208"/>
      <c r="AA187" s="208"/>
      <c r="AB187" s="208"/>
      <c r="AC187" s="208"/>
      <c r="AD187" s="208"/>
      <c r="AE187" s="208"/>
      <c r="AF187" s="208"/>
      <c r="AG187" s="208"/>
      <c r="AH187" s="208"/>
      <c r="AI187" s="100"/>
      <c r="AJ187" s="319"/>
      <c r="AK187" s="319"/>
      <c r="AL187" s="319"/>
      <c r="AM187" s="319"/>
      <c r="AN187" s="319"/>
      <c r="AO187" s="319"/>
      <c r="AP187" s="319"/>
      <c r="AQ187" s="319"/>
      <c r="AR187" s="319"/>
      <c r="AS187" s="319"/>
      <c r="AT187" s="319"/>
      <c r="AU187" s="319"/>
      <c r="AV187" s="319"/>
      <c r="AW187" s="319"/>
      <c r="AX187" s="319"/>
      <c r="AY187" s="319"/>
      <c r="AZ187" s="319"/>
      <c r="BA187" s="319"/>
      <c r="BB187" s="319"/>
      <c r="BC187" s="319"/>
      <c r="BD187" s="319"/>
      <c r="BE187" s="319"/>
      <c r="BF187" s="319"/>
      <c r="BG187" s="319"/>
      <c r="BH187" s="319"/>
      <c r="BI187" s="319"/>
      <c r="BJ187" s="319"/>
      <c r="BK187" s="319"/>
      <c r="BL187" s="319"/>
      <c r="BM187" s="319"/>
      <c r="BN187" s="319"/>
      <c r="BO187" s="319"/>
      <c r="BP187" s="319"/>
      <c r="BQ187" s="319"/>
      <c r="BR187" s="319"/>
    </row>
    <row r="188" ht="14.25" customHeight="1">
      <c r="A188" s="195"/>
      <c r="B188" s="100"/>
      <c r="C188" s="100"/>
      <c r="D188" s="100"/>
      <c r="E188" s="100"/>
      <c r="F188" s="206"/>
      <c r="G188" s="206"/>
      <c r="H188" s="207"/>
      <c r="I188" s="207"/>
      <c r="J188" s="207"/>
      <c r="K188" s="207"/>
      <c r="L188" s="207"/>
      <c r="M188" s="207"/>
      <c r="N188" s="207"/>
      <c r="O188" s="207"/>
      <c r="P188" s="207"/>
      <c r="Q188" s="207"/>
      <c r="R188" s="207"/>
      <c r="S188" s="207"/>
      <c r="T188" s="207"/>
      <c r="U188" s="207"/>
      <c r="V188" s="207"/>
      <c r="W188" s="208"/>
      <c r="X188" s="208"/>
      <c r="Y188" s="208"/>
      <c r="Z188" s="208"/>
      <c r="AA188" s="208"/>
      <c r="AB188" s="208"/>
      <c r="AC188" s="208"/>
      <c r="AD188" s="208"/>
      <c r="AE188" s="208"/>
      <c r="AF188" s="208"/>
      <c r="AG188" s="208"/>
      <c r="AH188" s="208"/>
      <c r="AI188" s="100"/>
      <c r="AJ188" s="319"/>
      <c r="AK188" s="319"/>
      <c r="AL188" s="319"/>
      <c r="AM188" s="319"/>
      <c r="AN188" s="319"/>
      <c r="AO188" s="319"/>
      <c r="AP188" s="319"/>
      <c r="AQ188" s="319"/>
      <c r="AR188" s="319"/>
      <c r="AS188" s="319"/>
      <c r="AT188" s="319"/>
      <c r="AU188" s="319"/>
      <c r="AV188" s="319"/>
      <c r="AW188" s="319"/>
      <c r="AX188" s="319"/>
      <c r="AY188" s="319"/>
      <c r="AZ188" s="319"/>
      <c r="BA188" s="319"/>
      <c r="BB188" s="319"/>
      <c r="BC188" s="319"/>
      <c r="BD188" s="319"/>
      <c r="BE188" s="319"/>
      <c r="BF188" s="319"/>
      <c r="BG188" s="319"/>
      <c r="BH188" s="319"/>
      <c r="BI188" s="319"/>
      <c r="BJ188" s="319"/>
      <c r="BK188" s="319"/>
      <c r="BL188" s="319"/>
      <c r="BM188" s="319"/>
      <c r="BN188" s="319"/>
      <c r="BO188" s="319"/>
      <c r="BP188" s="319"/>
      <c r="BQ188" s="319"/>
      <c r="BR188" s="319"/>
    </row>
    <row r="189" ht="14.25" customHeight="1">
      <c r="A189" s="195"/>
      <c r="B189" s="100"/>
      <c r="C189" s="100"/>
      <c r="D189" s="100"/>
      <c r="E189" s="100"/>
      <c r="F189" s="206"/>
      <c r="G189" s="206"/>
      <c r="H189" s="207"/>
      <c r="I189" s="207"/>
      <c r="J189" s="207"/>
      <c r="K189" s="207"/>
      <c r="L189" s="207"/>
      <c r="M189" s="207"/>
      <c r="N189" s="207"/>
      <c r="O189" s="207"/>
      <c r="P189" s="207"/>
      <c r="Q189" s="207"/>
      <c r="R189" s="207"/>
      <c r="S189" s="207"/>
      <c r="T189" s="207"/>
      <c r="U189" s="207"/>
      <c r="V189" s="207"/>
      <c r="W189" s="208"/>
      <c r="X189" s="208"/>
      <c r="Y189" s="208"/>
      <c r="Z189" s="208"/>
      <c r="AA189" s="208"/>
      <c r="AB189" s="208"/>
      <c r="AC189" s="208"/>
      <c r="AD189" s="208"/>
      <c r="AE189" s="208"/>
      <c r="AF189" s="208"/>
      <c r="AG189" s="208"/>
      <c r="AH189" s="208"/>
      <c r="AI189" s="100"/>
      <c r="AJ189" s="319"/>
      <c r="AK189" s="319"/>
      <c r="AL189" s="319"/>
      <c r="AM189" s="319"/>
      <c r="AN189" s="319"/>
      <c r="AO189" s="319"/>
      <c r="AP189" s="319"/>
      <c r="AQ189" s="319"/>
      <c r="AR189" s="319"/>
      <c r="AS189" s="319"/>
      <c r="AT189" s="319"/>
      <c r="AU189" s="319"/>
      <c r="AV189" s="319"/>
      <c r="AW189" s="319"/>
      <c r="AX189" s="319"/>
      <c r="AY189" s="319"/>
      <c r="AZ189" s="319"/>
      <c r="BA189" s="319"/>
      <c r="BB189" s="319"/>
      <c r="BC189" s="319"/>
      <c r="BD189" s="319"/>
      <c r="BE189" s="319"/>
      <c r="BF189" s="319"/>
      <c r="BG189" s="319"/>
      <c r="BH189" s="319"/>
      <c r="BI189" s="319"/>
      <c r="BJ189" s="319"/>
      <c r="BK189" s="319"/>
      <c r="BL189" s="319"/>
      <c r="BM189" s="319"/>
      <c r="BN189" s="319"/>
      <c r="BO189" s="319"/>
      <c r="BP189" s="319"/>
      <c r="BQ189" s="319"/>
      <c r="BR189" s="319"/>
    </row>
    <row r="190" ht="14.25" customHeight="1">
      <c r="A190" s="195"/>
      <c r="B190" s="100"/>
      <c r="C190" s="100"/>
      <c r="D190" s="100"/>
      <c r="E190" s="100"/>
      <c r="F190" s="206"/>
      <c r="G190" s="206"/>
      <c r="H190" s="207"/>
      <c r="I190" s="207"/>
      <c r="J190" s="207"/>
      <c r="K190" s="207"/>
      <c r="L190" s="207"/>
      <c r="M190" s="207"/>
      <c r="N190" s="207"/>
      <c r="O190" s="207"/>
      <c r="P190" s="207"/>
      <c r="Q190" s="207"/>
      <c r="R190" s="207"/>
      <c r="S190" s="207"/>
      <c r="T190" s="207"/>
      <c r="U190" s="207"/>
      <c r="V190" s="207"/>
      <c r="W190" s="208"/>
      <c r="X190" s="208"/>
      <c r="Y190" s="208"/>
      <c r="Z190" s="208"/>
      <c r="AA190" s="208"/>
      <c r="AB190" s="208"/>
      <c r="AC190" s="208"/>
      <c r="AD190" s="208"/>
      <c r="AE190" s="208"/>
      <c r="AF190" s="208"/>
      <c r="AG190" s="208"/>
      <c r="AH190" s="208"/>
      <c r="AI190" s="100"/>
      <c r="AJ190" s="319"/>
      <c r="AK190" s="319"/>
      <c r="AL190" s="319"/>
      <c r="AM190" s="319"/>
      <c r="AN190" s="319"/>
      <c r="AO190" s="319"/>
      <c r="AP190" s="319"/>
      <c r="AQ190" s="319"/>
      <c r="AR190" s="319"/>
      <c r="AS190" s="319"/>
      <c r="AT190" s="319"/>
      <c r="AU190" s="319"/>
      <c r="AV190" s="319"/>
      <c r="AW190" s="319"/>
      <c r="AX190" s="319"/>
      <c r="AY190" s="319"/>
      <c r="AZ190" s="319"/>
      <c r="BA190" s="319"/>
      <c r="BB190" s="319"/>
      <c r="BC190" s="319"/>
      <c r="BD190" s="319"/>
      <c r="BE190" s="319"/>
      <c r="BF190" s="319"/>
      <c r="BG190" s="319"/>
      <c r="BH190" s="319"/>
      <c r="BI190" s="319"/>
      <c r="BJ190" s="319"/>
      <c r="BK190" s="319"/>
      <c r="BL190" s="319"/>
      <c r="BM190" s="319"/>
      <c r="BN190" s="319"/>
      <c r="BO190" s="319"/>
      <c r="BP190" s="319"/>
      <c r="BQ190" s="319"/>
      <c r="BR190" s="319"/>
    </row>
    <row r="191" ht="14.25" customHeight="1">
      <c r="A191" s="195"/>
      <c r="B191" s="100"/>
      <c r="C191" s="100"/>
      <c r="D191" s="100"/>
      <c r="E191" s="100"/>
      <c r="F191" s="206"/>
      <c r="G191" s="206"/>
      <c r="H191" s="207"/>
      <c r="I191" s="207"/>
      <c r="J191" s="207"/>
      <c r="K191" s="207"/>
      <c r="L191" s="207"/>
      <c r="M191" s="207"/>
      <c r="N191" s="207"/>
      <c r="O191" s="207"/>
      <c r="P191" s="207"/>
      <c r="Q191" s="207"/>
      <c r="R191" s="207"/>
      <c r="S191" s="207"/>
      <c r="T191" s="207"/>
      <c r="U191" s="207"/>
      <c r="V191" s="207"/>
      <c r="W191" s="208"/>
      <c r="X191" s="208"/>
      <c r="Y191" s="208"/>
      <c r="Z191" s="208"/>
      <c r="AA191" s="208"/>
      <c r="AB191" s="208"/>
      <c r="AC191" s="208"/>
      <c r="AD191" s="208"/>
      <c r="AE191" s="208"/>
      <c r="AF191" s="208"/>
      <c r="AG191" s="208"/>
      <c r="AH191" s="208"/>
      <c r="AI191" s="100"/>
      <c r="AJ191" s="319"/>
      <c r="AK191" s="319"/>
      <c r="AL191" s="319"/>
      <c r="AM191" s="319"/>
      <c r="AN191" s="319"/>
      <c r="AO191" s="319"/>
      <c r="AP191" s="319"/>
      <c r="AQ191" s="319"/>
      <c r="AR191" s="319"/>
      <c r="AS191" s="319"/>
      <c r="AT191" s="319"/>
      <c r="AU191" s="319"/>
      <c r="AV191" s="319"/>
      <c r="AW191" s="319"/>
      <c r="AX191" s="319"/>
      <c r="AY191" s="319"/>
      <c r="AZ191" s="319"/>
      <c r="BA191" s="319"/>
      <c r="BB191" s="319"/>
      <c r="BC191" s="319"/>
      <c r="BD191" s="319"/>
      <c r="BE191" s="319"/>
      <c r="BF191" s="319"/>
      <c r="BG191" s="319"/>
      <c r="BH191" s="319"/>
      <c r="BI191" s="319"/>
      <c r="BJ191" s="319"/>
      <c r="BK191" s="319"/>
      <c r="BL191" s="319"/>
      <c r="BM191" s="319"/>
      <c r="BN191" s="319"/>
      <c r="BO191" s="319"/>
      <c r="BP191" s="319"/>
      <c r="BQ191" s="319"/>
      <c r="BR191" s="319"/>
    </row>
    <row r="192" ht="14.25" customHeight="1">
      <c r="A192" s="195"/>
      <c r="B192" s="100"/>
      <c r="C192" s="100"/>
      <c r="D192" s="100"/>
      <c r="E192" s="100"/>
      <c r="F192" s="206"/>
      <c r="G192" s="206"/>
      <c r="H192" s="207"/>
      <c r="I192" s="207"/>
      <c r="J192" s="207"/>
      <c r="K192" s="207"/>
      <c r="L192" s="207"/>
      <c r="M192" s="207"/>
      <c r="N192" s="207"/>
      <c r="O192" s="207"/>
      <c r="P192" s="207"/>
      <c r="Q192" s="207"/>
      <c r="R192" s="207"/>
      <c r="S192" s="207"/>
      <c r="T192" s="207"/>
      <c r="U192" s="207"/>
      <c r="V192" s="207"/>
      <c r="W192" s="208"/>
      <c r="X192" s="208"/>
      <c r="Y192" s="208"/>
      <c r="Z192" s="208"/>
      <c r="AA192" s="208"/>
      <c r="AB192" s="208"/>
      <c r="AC192" s="208"/>
      <c r="AD192" s="208"/>
      <c r="AE192" s="208"/>
      <c r="AF192" s="208"/>
      <c r="AG192" s="208"/>
      <c r="AH192" s="208"/>
      <c r="AI192" s="100"/>
      <c r="AJ192" s="319"/>
      <c r="AK192" s="319"/>
      <c r="AL192" s="319"/>
      <c r="AM192" s="319"/>
      <c r="AN192" s="319"/>
      <c r="AO192" s="319"/>
      <c r="AP192" s="319"/>
      <c r="AQ192" s="319"/>
      <c r="AR192" s="319"/>
      <c r="AS192" s="319"/>
      <c r="AT192" s="319"/>
      <c r="AU192" s="319"/>
      <c r="AV192" s="319"/>
      <c r="AW192" s="319"/>
      <c r="AX192" s="319"/>
      <c r="AY192" s="319"/>
      <c r="AZ192" s="319"/>
      <c r="BA192" s="319"/>
      <c r="BB192" s="319"/>
      <c r="BC192" s="319"/>
      <c r="BD192" s="319"/>
      <c r="BE192" s="319"/>
      <c r="BF192" s="319"/>
      <c r="BG192" s="319"/>
      <c r="BH192" s="319"/>
      <c r="BI192" s="319"/>
      <c r="BJ192" s="319"/>
      <c r="BK192" s="319"/>
      <c r="BL192" s="319"/>
      <c r="BM192" s="319"/>
      <c r="BN192" s="319"/>
      <c r="BO192" s="319"/>
      <c r="BP192" s="319"/>
      <c r="BQ192" s="319"/>
      <c r="BR192" s="319"/>
    </row>
    <row r="193" ht="14.25" customHeight="1">
      <c r="A193" s="195"/>
      <c r="B193" s="100"/>
      <c r="C193" s="100"/>
      <c r="D193" s="100"/>
      <c r="E193" s="100"/>
      <c r="F193" s="206"/>
      <c r="G193" s="206"/>
      <c r="H193" s="207"/>
      <c r="I193" s="207"/>
      <c r="J193" s="207"/>
      <c r="K193" s="207"/>
      <c r="L193" s="207"/>
      <c r="M193" s="207"/>
      <c r="N193" s="207"/>
      <c r="O193" s="207"/>
      <c r="P193" s="207"/>
      <c r="Q193" s="207"/>
      <c r="R193" s="207"/>
      <c r="S193" s="207"/>
      <c r="T193" s="207"/>
      <c r="U193" s="207"/>
      <c r="V193" s="207"/>
      <c r="W193" s="208"/>
      <c r="X193" s="208"/>
      <c r="Y193" s="208"/>
      <c r="Z193" s="208"/>
      <c r="AA193" s="208"/>
      <c r="AB193" s="208"/>
      <c r="AC193" s="208"/>
      <c r="AD193" s="208"/>
      <c r="AE193" s="208"/>
      <c r="AF193" s="208"/>
      <c r="AG193" s="208"/>
      <c r="AH193" s="208"/>
      <c r="AI193" s="100"/>
      <c r="AJ193" s="319"/>
      <c r="AK193" s="319"/>
      <c r="AL193" s="319"/>
      <c r="AM193" s="319"/>
      <c r="AN193" s="319"/>
      <c r="AO193" s="319"/>
      <c r="AP193" s="319"/>
      <c r="AQ193" s="319"/>
      <c r="AR193" s="319"/>
      <c r="AS193" s="319"/>
      <c r="AT193" s="319"/>
      <c r="AU193" s="319"/>
      <c r="AV193" s="319"/>
      <c r="AW193" s="319"/>
      <c r="AX193" s="319"/>
      <c r="AY193" s="319"/>
      <c r="AZ193" s="319"/>
      <c r="BA193" s="319"/>
      <c r="BB193" s="319"/>
      <c r="BC193" s="319"/>
      <c r="BD193" s="319"/>
      <c r="BE193" s="319"/>
      <c r="BF193" s="319"/>
      <c r="BG193" s="319"/>
      <c r="BH193" s="319"/>
      <c r="BI193" s="319"/>
      <c r="BJ193" s="319"/>
      <c r="BK193" s="319"/>
      <c r="BL193" s="319"/>
      <c r="BM193" s="319"/>
      <c r="BN193" s="319"/>
      <c r="BO193" s="319"/>
      <c r="BP193" s="319"/>
      <c r="BQ193" s="319"/>
      <c r="BR193" s="319"/>
    </row>
    <row r="194" ht="14.25" customHeight="1">
      <c r="A194" s="195"/>
      <c r="B194" s="100"/>
      <c r="C194" s="100"/>
      <c r="D194" s="100"/>
      <c r="E194" s="100"/>
      <c r="F194" s="206"/>
      <c r="G194" s="206"/>
      <c r="H194" s="207"/>
      <c r="I194" s="207"/>
      <c r="J194" s="207"/>
      <c r="K194" s="207"/>
      <c r="L194" s="207"/>
      <c r="M194" s="207"/>
      <c r="N194" s="207"/>
      <c r="O194" s="207"/>
      <c r="P194" s="207"/>
      <c r="Q194" s="207"/>
      <c r="R194" s="207"/>
      <c r="S194" s="207"/>
      <c r="T194" s="207"/>
      <c r="U194" s="207"/>
      <c r="V194" s="207"/>
      <c r="W194" s="208"/>
      <c r="X194" s="208"/>
      <c r="Y194" s="208"/>
      <c r="Z194" s="208"/>
      <c r="AA194" s="208"/>
      <c r="AB194" s="208"/>
      <c r="AC194" s="208"/>
      <c r="AD194" s="208"/>
      <c r="AE194" s="208"/>
      <c r="AF194" s="208"/>
      <c r="AG194" s="208"/>
      <c r="AH194" s="208"/>
      <c r="AI194" s="100"/>
      <c r="AJ194" s="319"/>
      <c r="AK194" s="319"/>
      <c r="AL194" s="319"/>
      <c r="AM194" s="319"/>
      <c r="AN194" s="319"/>
      <c r="AO194" s="319"/>
      <c r="AP194" s="319"/>
      <c r="AQ194" s="319"/>
      <c r="AR194" s="319"/>
      <c r="AS194" s="319"/>
      <c r="AT194" s="319"/>
      <c r="AU194" s="319"/>
      <c r="AV194" s="319"/>
      <c r="AW194" s="319"/>
      <c r="AX194" s="319"/>
      <c r="AY194" s="319"/>
      <c r="AZ194" s="319"/>
      <c r="BA194" s="319"/>
      <c r="BB194" s="319"/>
      <c r="BC194" s="319"/>
      <c r="BD194" s="319"/>
      <c r="BE194" s="319"/>
      <c r="BF194" s="319"/>
      <c r="BG194" s="319"/>
      <c r="BH194" s="319"/>
      <c r="BI194" s="319"/>
      <c r="BJ194" s="319"/>
      <c r="BK194" s="319"/>
      <c r="BL194" s="319"/>
      <c r="BM194" s="319"/>
      <c r="BN194" s="319"/>
      <c r="BO194" s="319"/>
      <c r="BP194" s="319"/>
      <c r="BQ194" s="319"/>
      <c r="BR194" s="319"/>
    </row>
    <row r="195" ht="14.25" customHeight="1">
      <c r="A195" s="195"/>
      <c r="B195" s="100"/>
      <c r="C195" s="100"/>
      <c r="D195" s="100"/>
      <c r="E195" s="100"/>
      <c r="F195" s="206"/>
      <c r="G195" s="206"/>
      <c r="H195" s="207"/>
      <c r="I195" s="207"/>
      <c r="J195" s="207"/>
      <c r="K195" s="207"/>
      <c r="L195" s="207"/>
      <c r="M195" s="207"/>
      <c r="N195" s="207"/>
      <c r="O195" s="207"/>
      <c r="P195" s="207"/>
      <c r="Q195" s="207"/>
      <c r="R195" s="207"/>
      <c r="S195" s="207"/>
      <c r="T195" s="207"/>
      <c r="U195" s="207"/>
      <c r="V195" s="207"/>
      <c r="W195" s="208"/>
      <c r="X195" s="208"/>
      <c r="Y195" s="208"/>
      <c r="Z195" s="208"/>
      <c r="AA195" s="208"/>
      <c r="AB195" s="208"/>
      <c r="AC195" s="208"/>
      <c r="AD195" s="208"/>
      <c r="AE195" s="208"/>
      <c r="AF195" s="208"/>
      <c r="AG195" s="208"/>
      <c r="AH195" s="208"/>
      <c r="AI195" s="100"/>
      <c r="AJ195" s="319"/>
      <c r="AK195" s="319"/>
      <c r="AL195" s="319"/>
      <c r="AM195" s="319"/>
      <c r="AN195" s="319"/>
      <c r="AO195" s="319"/>
      <c r="AP195" s="319"/>
      <c r="AQ195" s="319"/>
      <c r="AR195" s="319"/>
      <c r="AS195" s="319"/>
      <c r="AT195" s="319"/>
      <c r="AU195" s="319"/>
      <c r="AV195" s="319"/>
      <c r="AW195" s="319"/>
      <c r="AX195" s="319"/>
      <c r="AY195" s="319"/>
      <c r="AZ195" s="319"/>
      <c r="BA195" s="319"/>
      <c r="BB195" s="319"/>
      <c r="BC195" s="319"/>
      <c r="BD195" s="319"/>
      <c r="BE195" s="319"/>
      <c r="BF195" s="319"/>
      <c r="BG195" s="319"/>
      <c r="BH195" s="319"/>
      <c r="BI195" s="319"/>
      <c r="BJ195" s="319"/>
      <c r="BK195" s="319"/>
      <c r="BL195" s="319"/>
      <c r="BM195" s="319"/>
      <c r="BN195" s="319"/>
      <c r="BO195" s="319"/>
      <c r="BP195" s="319"/>
      <c r="BQ195" s="319"/>
      <c r="BR195" s="319"/>
    </row>
    <row r="196" ht="14.25" customHeight="1">
      <c r="A196" s="195"/>
      <c r="B196" s="100"/>
      <c r="C196" s="100"/>
      <c r="D196" s="100"/>
      <c r="E196" s="100"/>
      <c r="F196" s="206"/>
      <c r="G196" s="206"/>
      <c r="H196" s="207"/>
      <c r="I196" s="207"/>
      <c r="J196" s="207"/>
      <c r="K196" s="207"/>
      <c r="L196" s="207"/>
      <c r="M196" s="207"/>
      <c r="N196" s="207"/>
      <c r="O196" s="207"/>
      <c r="P196" s="207"/>
      <c r="Q196" s="207"/>
      <c r="R196" s="207"/>
      <c r="S196" s="207"/>
      <c r="T196" s="207"/>
      <c r="U196" s="207"/>
      <c r="V196" s="207"/>
      <c r="W196" s="208"/>
      <c r="X196" s="208"/>
      <c r="Y196" s="208"/>
      <c r="Z196" s="208"/>
      <c r="AA196" s="208"/>
      <c r="AB196" s="208"/>
      <c r="AC196" s="208"/>
      <c r="AD196" s="208"/>
      <c r="AE196" s="208"/>
      <c r="AF196" s="208"/>
      <c r="AG196" s="208"/>
      <c r="AH196" s="208"/>
      <c r="AI196" s="100"/>
      <c r="AJ196" s="319"/>
      <c r="AK196" s="319"/>
      <c r="AL196" s="319"/>
      <c r="AM196" s="319"/>
      <c r="AN196" s="319"/>
      <c r="AO196" s="319"/>
      <c r="AP196" s="319"/>
      <c r="AQ196" s="319"/>
      <c r="AR196" s="319"/>
      <c r="AS196" s="319"/>
      <c r="AT196" s="319"/>
      <c r="AU196" s="319"/>
      <c r="AV196" s="319"/>
      <c r="AW196" s="319"/>
      <c r="AX196" s="319"/>
      <c r="AY196" s="319"/>
      <c r="AZ196" s="319"/>
      <c r="BA196" s="319"/>
      <c r="BB196" s="319"/>
      <c r="BC196" s="319"/>
      <c r="BD196" s="319"/>
      <c r="BE196" s="319"/>
      <c r="BF196" s="319"/>
      <c r="BG196" s="319"/>
      <c r="BH196" s="319"/>
      <c r="BI196" s="319"/>
      <c r="BJ196" s="319"/>
      <c r="BK196" s="319"/>
      <c r="BL196" s="319"/>
      <c r="BM196" s="319"/>
      <c r="BN196" s="319"/>
      <c r="BO196" s="319"/>
      <c r="BP196" s="319"/>
      <c r="BQ196" s="319"/>
      <c r="BR196" s="319"/>
    </row>
    <row r="197" ht="14.25" customHeight="1">
      <c r="A197" s="195"/>
      <c r="B197" s="100"/>
      <c r="C197" s="100"/>
      <c r="D197" s="100"/>
      <c r="E197" s="100"/>
      <c r="F197" s="206"/>
      <c r="G197" s="206"/>
      <c r="H197" s="207"/>
      <c r="I197" s="207"/>
      <c r="J197" s="207"/>
      <c r="K197" s="207"/>
      <c r="L197" s="207"/>
      <c r="M197" s="207"/>
      <c r="N197" s="207"/>
      <c r="O197" s="207"/>
      <c r="P197" s="207"/>
      <c r="Q197" s="207"/>
      <c r="R197" s="207"/>
      <c r="S197" s="207"/>
      <c r="T197" s="207"/>
      <c r="U197" s="207"/>
      <c r="V197" s="207"/>
      <c r="W197" s="208"/>
      <c r="X197" s="208"/>
      <c r="Y197" s="208"/>
      <c r="Z197" s="208"/>
      <c r="AA197" s="208"/>
      <c r="AB197" s="208"/>
      <c r="AC197" s="208"/>
      <c r="AD197" s="208"/>
      <c r="AE197" s="208"/>
      <c r="AF197" s="208"/>
      <c r="AG197" s="208"/>
      <c r="AH197" s="208"/>
      <c r="AI197" s="100"/>
      <c r="AJ197" s="319"/>
      <c r="AK197" s="319"/>
      <c r="AL197" s="319"/>
      <c r="AM197" s="319"/>
      <c r="AN197" s="319"/>
      <c r="AO197" s="319"/>
      <c r="AP197" s="319"/>
      <c r="AQ197" s="319"/>
      <c r="AR197" s="319"/>
      <c r="AS197" s="319"/>
      <c r="AT197" s="319"/>
      <c r="AU197" s="319"/>
      <c r="AV197" s="319"/>
      <c r="AW197" s="319"/>
      <c r="AX197" s="319"/>
      <c r="AY197" s="319"/>
      <c r="AZ197" s="319"/>
      <c r="BA197" s="319"/>
      <c r="BB197" s="319"/>
      <c r="BC197" s="319"/>
      <c r="BD197" s="319"/>
      <c r="BE197" s="319"/>
      <c r="BF197" s="319"/>
      <c r="BG197" s="319"/>
      <c r="BH197" s="319"/>
      <c r="BI197" s="319"/>
      <c r="BJ197" s="319"/>
      <c r="BK197" s="319"/>
      <c r="BL197" s="319"/>
      <c r="BM197" s="319"/>
      <c r="BN197" s="319"/>
      <c r="BO197" s="319"/>
      <c r="BP197" s="319"/>
      <c r="BQ197" s="319"/>
      <c r="BR197" s="319"/>
    </row>
    <row r="198" ht="14.25" customHeight="1">
      <c r="A198" s="195"/>
      <c r="B198" s="100"/>
      <c r="C198" s="100"/>
      <c r="D198" s="100"/>
      <c r="E198" s="100"/>
      <c r="F198" s="206"/>
      <c r="G198" s="206"/>
      <c r="H198" s="207"/>
      <c r="I198" s="207"/>
      <c r="J198" s="207"/>
      <c r="K198" s="207"/>
      <c r="L198" s="207"/>
      <c r="M198" s="207"/>
      <c r="N198" s="207"/>
      <c r="O198" s="207"/>
      <c r="P198" s="207"/>
      <c r="Q198" s="207"/>
      <c r="R198" s="207"/>
      <c r="S198" s="207"/>
      <c r="T198" s="207"/>
      <c r="U198" s="207"/>
      <c r="V198" s="207"/>
      <c r="W198" s="208"/>
      <c r="X198" s="208"/>
      <c r="Y198" s="208"/>
      <c r="Z198" s="208"/>
      <c r="AA198" s="208"/>
      <c r="AB198" s="208"/>
      <c r="AC198" s="208"/>
      <c r="AD198" s="208"/>
      <c r="AE198" s="208"/>
      <c r="AF198" s="208"/>
      <c r="AG198" s="208"/>
      <c r="AH198" s="208"/>
      <c r="AI198" s="100"/>
      <c r="AJ198" s="319"/>
      <c r="AK198" s="319"/>
      <c r="AL198" s="319"/>
      <c r="AM198" s="319"/>
      <c r="AN198" s="319"/>
      <c r="AO198" s="319"/>
      <c r="AP198" s="319"/>
      <c r="AQ198" s="319"/>
      <c r="AR198" s="319"/>
      <c r="AS198" s="319"/>
      <c r="AT198" s="319"/>
      <c r="AU198" s="319"/>
      <c r="AV198" s="319"/>
      <c r="AW198" s="319"/>
      <c r="AX198" s="319"/>
      <c r="AY198" s="319"/>
      <c r="AZ198" s="319"/>
      <c r="BA198" s="319"/>
      <c r="BB198" s="319"/>
      <c r="BC198" s="319"/>
      <c r="BD198" s="319"/>
      <c r="BE198" s="319"/>
      <c r="BF198" s="319"/>
      <c r="BG198" s="319"/>
      <c r="BH198" s="319"/>
      <c r="BI198" s="319"/>
      <c r="BJ198" s="319"/>
      <c r="BK198" s="319"/>
      <c r="BL198" s="319"/>
      <c r="BM198" s="319"/>
      <c r="BN198" s="319"/>
      <c r="BO198" s="319"/>
      <c r="BP198" s="319"/>
      <c r="BQ198" s="319"/>
      <c r="BR198" s="319"/>
    </row>
    <row r="199" ht="14.25" customHeight="1">
      <c r="A199" s="195"/>
      <c r="B199" s="100"/>
      <c r="C199" s="100"/>
      <c r="D199" s="100"/>
      <c r="E199" s="100"/>
      <c r="F199" s="206"/>
      <c r="G199" s="206"/>
      <c r="H199" s="207"/>
      <c r="I199" s="207"/>
      <c r="J199" s="207"/>
      <c r="K199" s="207"/>
      <c r="L199" s="207"/>
      <c r="M199" s="207"/>
      <c r="N199" s="207"/>
      <c r="O199" s="207"/>
      <c r="P199" s="207"/>
      <c r="Q199" s="207"/>
      <c r="R199" s="207"/>
      <c r="S199" s="207"/>
      <c r="T199" s="207"/>
      <c r="U199" s="207"/>
      <c r="V199" s="207"/>
      <c r="W199" s="208"/>
      <c r="X199" s="208"/>
      <c r="Y199" s="208"/>
      <c r="Z199" s="208"/>
      <c r="AA199" s="208"/>
      <c r="AB199" s="208"/>
      <c r="AC199" s="208"/>
      <c r="AD199" s="208"/>
      <c r="AE199" s="208"/>
      <c r="AF199" s="208"/>
      <c r="AG199" s="208"/>
      <c r="AH199" s="208"/>
      <c r="AI199" s="100"/>
      <c r="AJ199" s="319"/>
      <c r="AK199" s="319"/>
      <c r="AL199" s="319"/>
      <c r="AM199" s="319"/>
      <c r="AN199" s="319"/>
      <c r="AO199" s="319"/>
      <c r="AP199" s="319"/>
      <c r="AQ199" s="319"/>
      <c r="AR199" s="319"/>
      <c r="AS199" s="319"/>
      <c r="AT199" s="319"/>
      <c r="AU199" s="319"/>
      <c r="AV199" s="319"/>
      <c r="AW199" s="319"/>
      <c r="AX199" s="319"/>
      <c r="AY199" s="319"/>
      <c r="AZ199" s="319"/>
      <c r="BA199" s="319"/>
      <c r="BB199" s="319"/>
      <c r="BC199" s="319"/>
      <c r="BD199" s="319"/>
      <c r="BE199" s="319"/>
      <c r="BF199" s="319"/>
      <c r="BG199" s="319"/>
      <c r="BH199" s="319"/>
      <c r="BI199" s="319"/>
      <c r="BJ199" s="319"/>
      <c r="BK199" s="319"/>
      <c r="BL199" s="319"/>
      <c r="BM199" s="319"/>
      <c r="BN199" s="319"/>
      <c r="BO199" s="319"/>
      <c r="BP199" s="319"/>
      <c r="BQ199" s="319"/>
      <c r="BR199" s="319"/>
    </row>
    <row r="200" ht="14.25" customHeight="1">
      <c r="A200" s="195"/>
      <c r="B200" s="100"/>
      <c r="C200" s="100"/>
      <c r="D200" s="100"/>
      <c r="E200" s="100"/>
      <c r="F200" s="206"/>
      <c r="G200" s="206"/>
      <c r="H200" s="207"/>
      <c r="I200" s="207"/>
      <c r="J200" s="207"/>
      <c r="K200" s="207"/>
      <c r="L200" s="207"/>
      <c r="M200" s="207"/>
      <c r="N200" s="207"/>
      <c r="O200" s="207"/>
      <c r="P200" s="207"/>
      <c r="Q200" s="207"/>
      <c r="R200" s="207"/>
      <c r="S200" s="207"/>
      <c r="T200" s="207"/>
      <c r="U200" s="207"/>
      <c r="V200" s="207"/>
      <c r="W200" s="208"/>
      <c r="X200" s="208"/>
      <c r="Y200" s="208"/>
      <c r="Z200" s="208"/>
      <c r="AA200" s="208"/>
      <c r="AB200" s="208"/>
      <c r="AC200" s="208"/>
      <c r="AD200" s="208"/>
      <c r="AE200" s="208"/>
      <c r="AF200" s="208"/>
      <c r="AG200" s="208"/>
      <c r="AH200" s="208"/>
      <c r="AI200" s="100"/>
      <c r="AJ200" s="319"/>
      <c r="AK200" s="319"/>
      <c r="AL200" s="319"/>
      <c r="AM200" s="319"/>
      <c r="AN200" s="319"/>
      <c r="AO200" s="319"/>
      <c r="AP200" s="319"/>
      <c r="AQ200" s="319"/>
      <c r="AR200" s="319"/>
      <c r="AS200" s="319"/>
      <c r="AT200" s="319"/>
      <c r="AU200" s="319"/>
      <c r="AV200" s="319"/>
      <c r="AW200" s="319"/>
      <c r="AX200" s="319"/>
      <c r="AY200" s="319"/>
      <c r="AZ200" s="319"/>
      <c r="BA200" s="319"/>
      <c r="BB200" s="319"/>
      <c r="BC200" s="319"/>
      <c r="BD200" s="319"/>
      <c r="BE200" s="319"/>
      <c r="BF200" s="319"/>
      <c r="BG200" s="319"/>
      <c r="BH200" s="319"/>
      <c r="BI200" s="319"/>
      <c r="BJ200" s="319"/>
      <c r="BK200" s="319"/>
      <c r="BL200" s="319"/>
      <c r="BM200" s="319"/>
      <c r="BN200" s="319"/>
      <c r="BO200" s="319"/>
      <c r="BP200" s="319"/>
      <c r="BQ200" s="319"/>
      <c r="BR200" s="319"/>
    </row>
    <row r="201" ht="14.25" customHeight="1">
      <c r="A201" s="195"/>
      <c r="B201" s="100"/>
      <c r="C201" s="100"/>
      <c r="D201" s="100"/>
      <c r="E201" s="100"/>
      <c r="F201" s="206"/>
      <c r="G201" s="206"/>
      <c r="H201" s="207"/>
      <c r="I201" s="207"/>
      <c r="J201" s="207"/>
      <c r="K201" s="207"/>
      <c r="L201" s="207"/>
      <c r="M201" s="207"/>
      <c r="N201" s="207"/>
      <c r="O201" s="207"/>
      <c r="P201" s="207"/>
      <c r="Q201" s="207"/>
      <c r="R201" s="207"/>
      <c r="S201" s="207"/>
      <c r="T201" s="207"/>
      <c r="U201" s="207"/>
      <c r="V201" s="207"/>
      <c r="W201" s="208"/>
      <c r="X201" s="208"/>
      <c r="Y201" s="208"/>
      <c r="Z201" s="208"/>
      <c r="AA201" s="208"/>
      <c r="AB201" s="208"/>
      <c r="AC201" s="208"/>
      <c r="AD201" s="208"/>
      <c r="AE201" s="208"/>
      <c r="AF201" s="208"/>
      <c r="AG201" s="208"/>
      <c r="AH201" s="208"/>
      <c r="AI201" s="100"/>
      <c r="AJ201" s="319"/>
      <c r="AK201" s="319"/>
      <c r="AL201" s="319"/>
      <c r="AM201" s="319"/>
      <c r="AN201" s="319"/>
      <c r="AO201" s="319"/>
      <c r="AP201" s="319"/>
      <c r="AQ201" s="319"/>
      <c r="AR201" s="319"/>
      <c r="AS201" s="319"/>
      <c r="AT201" s="319"/>
      <c r="AU201" s="319"/>
      <c r="AV201" s="319"/>
      <c r="AW201" s="319"/>
      <c r="AX201" s="319"/>
      <c r="AY201" s="319"/>
      <c r="AZ201" s="319"/>
      <c r="BA201" s="319"/>
      <c r="BB201" s="319"/>
      <c r="BC201" s="319"/>
      <c r="BD201" s="319"/>
      <c r="BE201" s="319"/>
      <c r="BF201" s="319"/>
      <c r="BG201" s="319"/>
      <c r="BH201" s="319"/>
      <c r="BI201" s="319"/>
      <c r="BJ201" s="319"/>
      <c r="BK201" s="319"/>
      <c r="BL201" s="319"/>
      <c r="BM201" s="319"/>
      <c r="BN201" s="319"/>
      <c r="BO201" s="319"/>
      <c r="BP201" s="319"/>
      <c r="BQ201" s="319"/>
      <c r="BR201" s="319"/>
    </row>
    <row r="202" ht="14.25" customHeight="1">
      <c r="A202" s="195"/>
      <c r="B202" s="100"/>
      <c r="C202" s="100"/>
      <c r="D202" s="100"/>
      <c r="E202" s="100"/>
      <c r="F202" s="206"/>
      <c r="G202" s="206"/>
      <c r="H202" s="207"/>
      <c r="I202" s="207"/>
      <c r="J202" s="207"/>
      <c r="K202" s="207"/>
      <c r="L202" s="207"/>
      <c r="M202" s="207"/>
      <c r="N202" s="207"/>
      <c r="O202" s="207"/>
      <c r="P202" s="207"/>
      <c r="Q202" s="207"/>
      <c r="R202" s="207"/>
      <c r="S202" s="207"/>
      <c r="T202" s="207"/>
      <c r="U202" s="207"/>
      <c r="V202" s="207"/>
      <c r="W202" s="208"/>
      <c r="X202" s="208"/>
      <c r="Y202" s="208"/>
      <c r="Z202" s="208"/>
      <c r="AA202" s="208"/>
      <c r="AB202" s="208"/>
      <c r="AC202" s="208"/>
      <c r="AD202" s="208"/>
      <c r="AE202" s="208"/>
      <c r="AF202" s="208"/>
      <c r="AG202" s="208"/>
      <c r="AH202" s="208"/>
      <c r="AI202" s="100"/>
      <c r="AJ202" s="319"/>
      <c r="AK202" s="319"/>
      <c r="AL202" s="319"/>
      <c r="AM202" s="319"/>
      <c r="AN202" s="319"/>
      <c r="AO202" s="319"/>
      <c r="AP202" s="319"/>
      <c r="AQ202" s="319"/>
      <c r="AR202" s="319"/>
      <c r="AS202" s="319"/>
      <c r="AT202" s="319"/>
      <c r="AU202" s="319"/>
      <c r="AV202" s="319"/>
      <c r="AW202" s="319"/>
      <c r="AX202" s="319"/>
      <c r="AY202" s="319"/>
      <c r="AZ202" s="319"/>
      <c r="BA202" s="319"/>
      <c r="BB202" s="319"/>
      <c r="BC202" s="319"/>
      <c r="BD202" s="319"/>
      <c r="BE202" s="319"/>
      <c r="BF202" s="319"/>
      <c r="BG202" s="319"/>
      <c r="BH202" s="319"/>
      <c r="BI202" s="319"/>
      <c r="BJ202" s="319"/>
      <c r="BK202" s="319"/>
      <c r="BL202" s="319"/>
      <c r="BM202" s="319"/>
      <c r="BN202" s="319"/>
      <c r="BO202" s="319"/>
      <c r="BP202" s="319"/>
      <c r="BQ202" s="319"/>
      <c r="BR202" s="319"/>
    </row>
    <row r="203" ht="14.25" customHeight="1">
      <c r="A203" s="195"/>
      <c r="B203" s="100"/>
      <c r="C203" s="100"/>
      <c r="D203" s="100"/>
      <c r="E203" s="100"/>
      <c r="F203" s="206"/>
      <c r="G203" s="206"/>
      <c r="H203" s="207"/>
      <c r="I203" s="207"/>
      <c r="J203" s="207"/>
      <c r="K203" s="207"/>
      <c r="L203" s="207"/>
      <c r="M203" s="207"/>
      <c r="N203" s="207"/>
      <c r="O203" s="207"/>
      <c r="P203" s="207"/>
      <c r="Q203" s="207"/>
      <c r="R203" s="207"/>
      <c r="S203" s="207"/>
      <c r="T203" s="207"/>
      <c r="U203" s="207"/>
      <c r="V203" s="207"/>
      <c r="W203" s="208"/>
      <c r="X203" s="208"/>
      <c r="Y203" s="208"/>
      <c r="Z203" s="208"/>
      <c r="AA203" s="208"/>
      <c r="AB203" s="208"/>
      <c r="AC203" s="208"/>
      <c r="AD203" s="208"/>
      <c r="AE203" s="208"/>
      <c r="AF203" s="208"/>
      <c r="AG203" s="208"/>
      <c r="AH203" s="208"/>
      <c r="AI203" s="100"/>
      <c r="AJ203" s="319"/>
      <c r="AK203" s="319"/>
      <c r="AL203" s="319"/>
      <c r="AM203" s="319"/>
      <c r="AN203" s="319"/>
      <c r="AO203" s="319"/>
      <c r="AP203" s="319"/>
      <c r="AQ203" s="319"/>
      <c r="AR203" s="319"/>
      <c r="AS203" s="319"/>
      <c r="AT203" s="319"/>
      <c r="AU203" s="319"/>
      <c r="AV203" s="319"/>
      <c r="AW203" s="319"/>
      <c r="AX203" s="319"/>
      <c r="AY203" s="319"/>
      <c r="AZ203" s="319"/>
      <c r="BA203" s="319"/>
      <c r="BB203" s="319"/>
      <c r="BC203" s="319"/>
      <c r="BD203" s="319"/>
      <c r="BE203" s="319"/>
      <c r="BF203" s="319"/>
      <c r="BG203" s="319"/>
      <c r="BH203" s="319"/>
      <c r="BI203" s="319"/>
      <c r="BJ203" s="319"/>
      <c r="BK203" s="319"/>
      <c r="BL203" s="319"/>
      <c r="BM203" s="319"/>
      <c r="BN203" s="319"/>
      <c r="BO203" s="319"/>
      <c r="BP203" s="319"/>
      <c r="BQ203" s="319"/>
      <c r="BR203" s="319"/>
    </row>
    <row r="204" ht="14.25" customHeight="1">
      <c r="A204" s="195"/>
      <c r="B204" s="100"/>
      <c r="C204" s="100"/>
      <c r="D204" s="100"/>
      <c r="E204" s="100"/>
      <c r="F204" s="206"/>
      <c r="G204" s="206"/>
      <c r="H204" s="207"/>
      <c r="I204" s="207"/>
      <c r="J204" s="207"/>
      <c r="K204" s="207"/>
      <c r="L204" s="207"/>
      <c r="M204" s="207"/>
      <c r="N204" s="207"/>
      <c r="O204" s="207"/>
      <c r="P204" s="207"/>
      <c r="Q204" s="207"/>
      <c r="R204" s="207"/>
      <c r="S204" s="207"/>
      <c r="T204" s="207"/>
      <c r="U204" s="207"/>
      <c r="V204" s="207"/>
      <c r="W204" s="208"/>
      <c r="X204" s="208"/>
      <c r="Y204" s="208"/>
      <c r="Z204" s="208"/>
      <c r="AA204" s="208"/>
      <c r="AB204" s="208"/>
      <c r="AC204" s="208"/>
      <c r="AD204" s="208"/>
      <c r="AE204" s="208"/>
      <c r="AF204" s="208"/>
      <c r="AG204" s="208"/>
      <c r="AH204" s="208"/>
      <c r="AI204" s="100"/>
      <c r="AJ204" s="319"/>
      <c r="AK204" s="319"/>
      <c r="AL204" s="319"/>
      <c r="AM204" s="319"/>
      <c r="AN204" s="319"/>
      <c r="AO204" s="319"/>
      <c r="AP204" s="319"/>
      <c r="AQ204" s="319"/>
      <c r="AR204" s="319"/>
      <c r="AS204" s="319"/>
      <c r="AT204" s="319"/>
      <c r="AU204" s="319"/>
      <c r="AV204" s="319"/>
      <c r="AW204" s="319"/>
      <c r="AX204" s="319"/>
      <c r="AY204" s="319"/>
      <c r="AZ204" s="319"/>
      <c r="BA204" s="319"/>
      <c r="BB204" s="319"/>
      <c r="BC204" s="319"/>
      <c r="BD204" s="319"/>
      <c r="BE204" s="319"/>
      <c r="BF204" s="319"/>
      <c r="BG204" s="319"/>
      <c r="BH204" s="319"/>
      <c r="BI204" s="319"/>
      <c r="BJ204" s="319"/>
      <c r="BK204" s="319"/>
      <c r="BL204" s="319"/>
      <c r="BM204" s="319"/>
      <c r="BN204" s="319"/>
      <c r="BO204" s="319"/>
      <c r="BP204" s="319"/>
      <c r="BQ204" s="319"/>
      <c r="BR204" s="319"/>
    </row>
    <row r="205" ht="14.25" customHeight="1">
      <c r="A205" s="195"/>
      <c r="B205" s="100"/>
      <c r="C205" s="100"/>
      <c r="D205" s="100"/>
      <c r="E205" s="100"/>
      <c r="F205" s="206"/>
      <c r="G205" s="206"/>
      <c r="H205" s="207"/>
      <c r="I205" s="207"/>
      <c r="J205" s="207"/>
      <c r="K205" s="207"/>
      <c r="L205" s="207"/>
      <c r="M205" s="207"/>
      <c r="N205" s="207"/>
      <c r="O205" s="207"/>
      <c r="P205" s="207"/>
      <c r="Q205" s="207"/>
      <c r="R205" s="207"/>
      <c r="S205" s="207"/>
      <c r="T205" s="207"/>
      <c r="U205" s="207"/>
      <c r="V205" s="207"/>
      <c r="W205" s="208"/>
      <c r="X205" s="208"/>
      <c r="Y205" s="208"/>
      <c r="Z205" s="208"/>
      <c r="AA205" s="208"/>
      <c r="AB205" s="208"/>
      <c r="AC205" s="208"/>
      <c r="AD205" s="208"/>
      <c r="AE205" s="208"/>
      <c r="AF205" s="208"/>
      <c r="AG205" s="208"/>
      <c r="AH205" s="208"/>
      <c r="AI205" s="100"/>
      <c r="AJ205" s="319"/>
      <c r="AK205" s="319"/>
      <c r="AL205" s="319"/>
      <c r="AM205" s="319"/>
      <c r="AN205" s="319"/>
      <c r="AO205" s="319"/>
      <c r="AP205" s="319"/>
      <c r="AQ205" s="319"/>
      <c r="AR205" s="319"/>
      <c r="AS205" s="319"/>
      <c r="AT205" s="319"/>
      <c r="AU205" s="319"/>
      <c r="AV205" s="319"/>
      <c r="AW205" s="319"/>
      <c r="AX205" s="319"/>
      <c r="AY205" s="319"/>
      <c r="AZ205" s="319"/>
      <c r="BA205" s="319"/>
      <c r="BB205" s="319"/>
      <c r="BC205" s="319"/>
      <c r="BD205" s="319"/>
      <c r="BE205" s="319"/>
      <c r="BF205" s="319"/>
      <c r="BG205" s="319"/>
      <c r="BH205" s="319"/>
      <c r="BI205" s="319"/>
      <c r="BJ205" s="319"/>
      <c r="BK205" s="319"/>
      <c r="BL205" s="319"/>
      <c r="BM205" s="319"/>
      <c r="BN205" s="319"/>
      <c r="BO205" s="319"/>
      <c r="BP205" s="319"/>
      <c r="BQ205" s="319"/>
      <c r="BR205" s="319"/>
    </row>
    <row r="206" ht="14.25" customHeight="1">
      <c r="A206" s="195"/>
      <c r="B206" s="100"/>
      <c r="C206" s="100"/>
      <c r="D206" s="100"/>
      <c r="E206" s="100"/>
      <c r="F206" s="206"/>
      <c r="G206" s="206"/>
      <c r="H206" s="207"/>
      <c r="I206" s="207"/>
      <c r="J206" s="207"/>
      <c r="K206" s="207"/>
      <c r="L206" s="207"/>
      <c r="M206" s="207"/>
      <c r="N206" s="207"/>
      <c r="O206" s="207"/>
      <c r="P206" s="207"/>
      <c r="Q206" s="207"/>
      <c r="R206" s="207"/>
      <c r="S206" s="207"/>
      <c r="T206" s="207"/>
      <c r="U206" s="207"/>
      <c r="V206" s="207"/>
      <c r="W206" s="208"/>
      <c r="X206" s="208"/>
      <c r="Y206" s="208"/>
      <c r="Z206" s="208"/>
      <c r="AA206" s="208"/>
      <c r="AB206" s="208"/>
      <c r="AC206" s="208"/>
      <c r="AD206" s="208"/>
      <c r="AE206" s="208"/>
      <c r="AF206" s="208"/>
      <c r="AG206" s="208"/>
      <c r="AH206" s="208"/>
      <c r="AI206" s="100"/>
      <c r="AJ206" s="319"/>
      <c r="AK206" s="319"/>
      <c r="AL206" s="319"/>
      <c r="AM206" s="319"/>
      <c r="AN206" s="319"/>
      <c r="AO206" s="319"/>
      <c r="AP206" s="319"/>
      <c r="AQ206" s="319"/>
      <c r="AR206" s="319"/>
      <c r="AS206" s="319"/>
      <c r="AT206" s="319"/>
      <c r="AU206" s="319"/>
      <c r="AV206" s="319"/>
      <c r="AW206" s="319"/>
      <c r="AX206" s="319"/>
      <c r="AY206" s="319"/>
      <c r="AZ206" s="319"/>
      <c r="BA206" s="319"/>
      <c r="BB206" s="319"/>
      <c r="BC206" s="319"/>
      <c r="BD206" s="319"/>
      <c r="BE206" s="319"/>
      <c r="BF206" s="319"/>
      <c r="BG206" s="319"/>
      <c r="BH206" s="319"/>
      <c r="BI206" s="319"/>
      <c r="BJ206" s="319"/>
      <c r="BK206" s="319"/>
      <c r="BL206" s="319"/>
      <c r="BM206" s="319"/>
      <c r="BN206" s="319"/>
      <c r="BO206" s="319"/>
      <c r="BP206" s="319"/>
      <c r="BQ206" s="319"/>
      <c r="BR206" s="319"/>
    </row>
    <row r="207" ht="14.25" customHeight="1">
      <c r="A207" s="195"/>
      <c r="B207" s="100"/>
      <c r="C207" s="100"/>
      <c r="D207" s="100"/>
      <c r="E207" s="100"/>
      <c r="F207" s="206"/>
      <c r="G207" s="206"/>
      <c r="H207" s="207"/>
      <c r="I207" s="207"/>
      <c r="J207" s="207"/>
      <c r="K207" s="207"/>
      <c r="L207" s="207"/>
      <c r="M207" s="207"/>
      <c r="N207" s="207"/>
      <c r="O207" s="207"/>
      <c r="P207" s="207"/>
      <c r="Q207" s="207"/>
      <c r="R207" s="207"/>
      <c r="S207" s="207"/>
      <c r="T207" s="207"/>
      <c r="U207" s="207"/>
      <c r="V207" s="207"/>
      <c r="W207" s="208"/>
      <c r="X207" s="208"/>
      <c r="Y207" s="208"/>
      <c r="Z207" s="208"/>
      <c r="AA207" s="208"/>
      <c r="AB207" s="208"/>
      <c r="AC207" s="208"/>
      <c r="AD207" s="208"/>
      <c r="AE207" s="208"/>
      <c r="AF207" s="208"/>
      <c r="AG207" s="208"/>
      <c r="AH207" s="208"/>
      <c r="AI207" s="100"/>
      <c r="AJ207" s="319"/>
      <c r="AK207" s="319"/>
      <c r="AL207" s="319"/>
      <c r="AM207" s="319"/>
      <c r="AN207" s="319"/>
      <c r="AO207" s="319"/>
      <c r="AP207" s="319"/>
      <c r="AQ207" s="319"/>
      <c r="AR207" s="319"/>
      <c r="AS207" s="319"/>
      <c r="AT207" s="319"/>
      <c r="AU207" s="319"/>
      <c r="AV207" s="319"/>
      <c r="AW207" s="319"/>
      <c r="AX207" s="319"/>
      <c r="AY207" s="319"/>
      <c r="AZ207" s="319"/>
      <c r="BA207" s="319"/>
      <c r="BB207" s="319"/>
      <c r="BC207" s="319"/>
      <c r="BD207" s="319"/>
      <c r="BE207" s="319"/>
      <c r="BF207" s="319"/>
      <c r="BG207" s="319"/>
      <c r="BH207" s="319"/>
      <c r="BI207" s="319"/>
      <c r="BJ207" s="319"/>
      <c r="BK207" s="319"/>
      <c r="BL207" s="319"/>
      <c r="BM207" s="319"/>
      <c r="BN207" s="319"/>
      <c r="BO207" s="319"/>
      <c r="BP207" s="319"/>
      <c r="BQ207" s="319"/>
      <c r="BR207" s="319"/>
    </row>
    <row r="208" ht="14.25" customHeight="1">
      <c r="A208" s="195"/>
      <c r="B208" s="100"/>
      <c r="C208" s="100"/>
      <c r="D208" s="100"/>
      <c r="E208" s="100"/>
      <c r="F208" s="206"/>
      <c r="G208" s="206"/>
      <c r="H208" s="207"/>
      <c r="I208" s="207"/>
      <c r="J208" s="207"/>
      <c r="K208" s="207"/>
      <c r="L208" s="207"/>
      <c r="M208" s="207"/>
      <c r="N208" s="207"/>
      <c r="O208" s="207"/>
      <c r="P208" s="207"/>
      <c r="Q208" s="207"/>
      <c r="R208" s="207"/>
      <c r="S208" s="207"/>
      <c r="T208" s="207"/>
      <c r="U208" s="207"/>
      <c r="V208" s="207"/>
      <c r="W208" s="208"/>
      <c r="X208" s="208"/>
      <c r="Y208" s="208"/>
      <c r="Z208" s="208"/>
      <c r="AA208" s="208"/>
      <c r="AB208" s="208"/>
      <c r="AC208" s="208"/>
      <c r="AD208" s="208"/>
      <c r="AE208" s="208"/>
      <c r="AF208" s="208"/>
      <c r="AG208" s="208"/>
      <c r="AH208" s="208"/>
      <c r="AI208" s="100"/>
      <c r="AJ208" s="319"/>
      <c r="AK208" s="319"/>
      <c r="AL208" s="319"/>
      <c r="AM208" s="319"/>
      <c r="AN208" s="319"/>
      <c r="AO208" s="319"/>
      <c r="AP208" s="319"/>
      <c r="AQ208" s="319"/>
      <c r="AR208" s="319"/>
      <c r="AS208" s="319"/>
      <c r="AT208" s="319"/>
      <c r="AU208" s="319"/>
      <c r="AV208" s="319"/>
      <c r="AW208" s="319"/>
      <c r="AX208" s="319"/>
      <c r="AY208" s="319"/>
      <c r="AZ208" s="319"/>
      <c r="BA208" s="319"/>
      <c r="BB208" s="319"/>
      <c r="BC208" s="319"/>
      <c r="BD208" s="319"/>
      <c r="BE208" s="319"/>
      <c r="BF208" s="319"/>
      <c r="BG208" s="319"/>
      <c r="BH208" s="319"/>
      <c r="BI208" s="319"/>
      <c r="BJ208" s="319"/>
      <c r="BK208" s="319"/>
      <c r="BL208" s="319"/>
      <c r="BM208" s="319"/>
      <c r="BN208" s="319"/>
      <c r="BO208" s="319"/>
      <c r="BP208" s="319"/>
      <c r="BQ208" s="319"/>
      <c r="BR208" s="319"/>
    </row>
    <row r="209" ht="14.25" customHeight="1">
      <c r="A209" s="195"/>
      <c r="B209" s="100"/>
      <c r="C209" s="100"/>
      <c r="D209" s="100"/>
      <c r="E209" s="100"/>
      <c r="F209" s="206"/>
      <c r="G209" s="206"/>
      <c r="H209" s="207"/>
      <c r="I209" s="207"/>
      <c r="J209" s="207"/>
      <c r="K209" s="207"/>
      <c r="L209" s="207"/>
      <c r="M209" s="207"/>
      <c r="N209" s="207"/>
      <c r="O209" s="207"/>
      <c r="P209" s="207"/>
      <c r="Q209" s="207"/>
      <c r="R209" s="207"/>
      <c r="S209" s="207"/>
      <c r="T209" s="207"/>
      <c r="U209" s="207"/>
      <c r="V209" s="207"/>
      <c r="W209" s="208"/>
      <c r="X209" s="208"/>
      <c r="Y209" s="208"/>
      <c r="Z209" s="208"/>
      <c r="AA209" s="208"/>
      <c r="AB209" s="208"/>
      <c r="AC209" s="208"/>
      <c r="AD209" s="208"/>
      <c r="AE209" s="208"/>
      <c r="AF209" s="208"/>
      <c r="AG209" s="208"/>
      <c r="AH209" s="208"/>
      <c r="AI209" s="100"/>
      <c r="AJ209" s="319"/>
      <c r="AK209" s="319"/>
      <c r="AL209" s="319"/>
      <c r="AM209" s="319"/>
      <c r="AN209" s="319"/>
      <c r="AO209" s="319"/>
      <c r="AP209" s="319"/>
      <c r="AQ209" s="319"/>
      <c r="AR209" s="319"/>
      <c r="AS209" s="319"/>
      <c r="AT209" s="319"/>
      <c r="AU209" s="319"/>
      <c r="AV209" s="319"/>
      <c r="AW209" s="319"/>
      <c r="AX209" s="319"/>
      <c r="AY209" s="319"/>
      <c r="AZ209" s="319"/>
      <c r="BA209" s="319"/>
      <c r="BB209" s="319"/>
      <c r="BC209" s="319"/>
      <c r="BD209" s="319"/>
      <c r="BE209" s="319"/>
      <c r="BF209" s="319"/>
      <c r="BG209" s="319"/>
      <c r="BH209" s="319"/>
      <c r="BI209" s="319"/>
      <c r="BJ209" s="319"/>
      <c r="BK209" s="319"/>
      <c r="BL209" s="319"/>
      <c r="BM209" s="319"/>
      <c r="BN209" s="319"/>
      <c r="BO209" s="319"/>
      <c r="BP209" s="319"/>
      <c r="BQ209" s="319"/>
      <c r="BR209" s="319"/>
    </row>
    <row r="210" ht="14.25" customHeight="1">
      <c r="A210" s="195"/>
      <c r="B210" s="100"/>
      <c r="C210" s="100"/>
      <c r="D210" s="100"/>
      <c r="E210" s="100"/>
      <c r="F210" s="206"/>
      <c r="G210" s="206"/>
      <c r="H210" s="207"/>
      <c r="I210" s="207"/>
      <c r="J210" s="207"/>
      <c r="K210" s="207"/>
      <c r="L210" s="207"/>
      <c r="M210" s="207"/>
      <c r="N210" s="207"/>
      <c r="O210" s="207"/>
      <c r="P210" s="207"/>
      <c r="Q210" s="207"/>
      <c r="R210" s="207"/>
      <c r="S210" s="207"/>
      <c r="T210" s="207"/>
      <c r="U210" s="207"/>
      <c r="V210" s="207"/>
      <c r="W210" s="208"/>
      <c r="X210" s="208"/>
      <c r="Y210" s="208"/>
      <c r="Z210" s="208"/>
      <c r="AA210" s="208"/>
      <c r="AB210" s="208"/>
      <c r="AC210" s="208"/>
      <c r="AD210" s="208"/>
      <c r="AE210" s="208"/>
      <c r="AF210" s="208"/>
      <c r="AG210" s="208"/>
      <c r="AH210" s="208"/>
      <c r="AI210" s="100"/>
      <c r="AJ210" s="319"/>
      <c r="AK210" s="319"/>
      <c r="AL210" s="319"/>
      <c r="AM210" s="319"/>
      <c r="AN210" s="319"/>
      <c r="AO210" s="319"/>
      <c r="AP210" s="319"/>
      <c r="AQ210" s="319"/>
      <c r="AR210" s="319"/>
      <c r="AS210" s="319"/>
      <c r="AT210" s="319"/>
      <c r="AU210" s="319"/>
      <c r="AV210" s="319"/>
      <c r="AW210" s="319"/>
      <c r="AX210" s="319"/>
      <c r="AY210" s="319"/>
      <c r="AZ210" s="319"/>
      <c r="BA210" s="319"/>
      <c r="BB210" s="319"/>
      <c r="BC210" s="319"/>
      <c r="BD210" s="319"/>
      <c r="BE210" s="319"/>
      <c r="BF210" s="319"/>
      <c r="BG210" s="319"/>
      <c r="BH210" s="319"/>
      <c r="BI210" s="319"/>
      <c r="BJ210" s="319"/>
      <c r="BK210" s="319"/>
      <c r="BL210" s="319"/>
      <c r="BM210" s="319"/>
      <c r="BN210" s="319"/>
      <c r="BO210" s="319"/>
      <c r="BP210" s="319"/>
      <c r="BQ210" s="319"/>
      <c r="BR210" s="319"/>
    </row>
    <row r="211" ht="14.25" customHeight="1">
      <c r="A211" s="195"/>
      <c r="B211" s="100"/>
      <c r="C211" s="100"/>
      <c r="D211" s="100"/>
      <c r="E211" s="100"/>
      <c r="F211" s="206"/>
      <c r="G211" s="206"/>
      <c r="H211" s="207"/>
      <c r="I211" s="207"/>
      <c r="J211" s="207"/>
      <c r="K211" s="207"/>
      <c r="L211" s="207"/>
      <c r="M211" s="207"/>
      <c r="N211" s="207"/>
      <c r="O211" s="207"/>
      <c r="P211" s="207"/>
      <c r="Q211" s="207"/>
      <c r="R211" s="207"/>
      <c r="S211" s="207"/>
      <c r="T211" s="207"/>
      <c r="U211" s="207"/>
      <c r="V211" s="207"/>
      <c r="W211" s="208"/>
      <c r="X211" s="208"/>
      <c r="Y211" s="208"/>
      <c r="Z211" s="208"/>
      <c r="AA211" s="208"/>
      <c r="AB211" s="208"/>
      <c r="AC211" s="208"/>
      <c r="AD211" s="208"/>
      <c r="AE211" s="208"/>
      <c r="AF211" s="208"/>
      <c r="AG211" s="208"/>
      <c r="AH211" s="208"/>
      <c r="AI211" s="100"/>
      <c r="AJ211" s="319"/>
      <c r="AK211" s="319"/>
      <c r="AL211" s="319"/>
      <c r="AM211" s="319"/>
      <c r="AN211" s="319"/>
      <c r="AO211" s="319"/>
      <c r="AP211" s="319"/>
      <c r="AQ211" s="319"/>
      <c r="AR211" s="319"/>
      <c r="AS211" s="319"/>
      <c r="AT211" s="319"/>
      <c r="AU211" s="319"/>
      <c r="AV211" s="319"/>
      <c r="AW211" s="319"/>
      <c r="AX211" s="319"/>
      <c r="AY211" s="319"/>
      <c r="AZ211" s="319"/>
      <c r="BA211" s="319"/>
      <c r="BB211" s="319"/>
      <c r="BC211" s="319"/>
      <c r="BD211" s="319"/>
      <c r="BE211" s="319"/>
      <c r="BF211" s="319"/>
      <c r="BG211" s="319"/>
      <c r="BH211" s="319"/>
      <c r="BI211" s="319"/>
      <c r="BJ211" s="319"/>
      <c r="BK211" s="319"/>
      <c r="BL211" s="319"/>
      <c r="BM211" s="319"/>
      <c r="BN211" s="319"/>
      <c r="BO211" s="319"/>
      <c r="BP211" s="319"/>
      <c r="BQ211" s="319"/>
      <c r="BR211" s="319"/>
    </row>
    <row r="212" ht="14.25" customHeight="1">
      <c r="A212" s="195"/>
      <c r="B212" s="100"/>
      <c r="C212" s="100"/>
      <c r="D212" s="100"/>
      <c r="E212" s="100"/>
      <c r="F212" s="206"/>
      <c r="G212" s="206"/>
      <c r="H212" s="207"/>
      <c r="I212" s="207"/>
      <c r="J212" s="207"/>
      <c r="K212" s="207"/>
      <c r="L212" s="207"/>
      <c r="M212" s="207"/>
      <c r="N212" s="207"/>
      <c r="O212" s="207"/>
      <c r="P212" s="207"/>
      <c r="Q212" s="207"/>
      <c r="R212" s="207"/>
      <c r="S212" s="207"/>
      <c r="T212" s="207"/>
      <c r="U212" s="207"/>
      <c r="V212" s="207"/>
      <c r="W212" s="208"/>
      <c r="X212" s="208"/>
      <c r="Y212" s="208"/>
      <c r="Z212" s="208"/>
      <c r="AA212" s="208"/>
      <c r="AB212" s="208"/>
      <c r="AC212" s="208"/>
      <c r="AD212" s="208"/>
      <c r="AE212" s="208"/>
      <c r="AF212" s="208"/>
      <c r="AG212" s="208"/>
      <c r="AH212" s="208"/>
      <c r="AI212" s="100"/>
      <c r="AJ212" s="319"/>
      <c r="AK212" s="319"/>
      <c r="AL212" s="319"/>
      <c r="AM212" s="319"/>
      <c r="AN212" s="319"/>
      <c r="AO212" s="319"/>
      <c r="AP212" s="319"/>
      <c r="AQ212" s="319"/>
      <c r="AR212" s="319"/>
      <c r="AS212" s="319"/>
      <c r="AT212" s="319"/>
      <c r="AU212" s="319"/>
      <c r="AV212" s="319"/>
      <c r="AW212" s="319"/>
      <c r="AX212" s="319"/>
      <c r="AY212" s="319"/>
      <c r="AZ212" s="319"/>
      <c r="BA212" s="319"/>
      <c r="BB212" s="319"/>
      <c r="BC212" s="319"/>
      <c r="BD212" s="319"/>
      <c r="BE212" s="319"/>
      <c r="BF212" s="319"/>
      <c r="BG212" s="319"/>
      <c r="BH212" s="319"/>
      <c r="BI212" s="319"/>
      <c r="BJ212" s="319"/>
      <c r="BK212" s="319"/>
      <c r="BL212" s="319"/>
      <c r="BM212" s="319"/>
      <c r="BN212" s="319"/>
      <c r="BO212" s="319"/>
      <c r="BP212" s="319"/>
      <c r="BQ212" s="319"/>
      <c r="BR212" s="319"/>
    </row>
    <row r="213" ht="14.25" customHeight="1">
      <c r="A213" s="195"/>
      <c r="B213" s="100"/>
      <c r="C213" s="100"/>
      <c r="D213" s="100"/>
      <c r="E213" s="100"/>
      <c r="F213" s="206"/>
      <c r="G213" s="206"/>
      <c r="H213" s="207"/>
      <c r="I213" s="207"/>
      <c r="J213" s="207"/>
      <c r="K213" s="207"/>
      <c r="L213" s="207"/>
      <c r="M213" s="207"/>
      <c r="N213" s="207"/>
      <c r="O213" s="207"/>
      <c r="P213" s="207"/>
      <c r="Q213" s="207"/>
      <c r="R213" s="207"/>
      <c r="S213" s="207"/>
      <c r="T213" s="207"/>
      <c r="U213" s="207"/>
      <c r="V213" s="207"/>
      <c r="W213" s="208"/>
      <c r="X213" s="208"/>
      <c r="Y213" s="208"/>
      <c r="Z213" s="208"/>
      <c r="AA213" s="208"/>
      <c r="AB213" s="208"/>
      <c r="AC213" s="208"/>
      <c r="AD213" s="208"/>
      <c r="AE213" s="208"/>
      <c r="AF213" s="208"/>
      <c r="AG213" s="208"/>
      <c r="AH213" s="208"/>
      <c r="AI213" s="100"/>
      <c r="AJ213" s="319"/>
      <c r="AK213" s="319"/>
      <c r="AL213" s="319"/>
      <c r="AM213" s="319"/>
      <c r="AN213" s="319"/>
      <c r="AO213" s="319"/>
      <c r="AP213" s="319"/>
      <c r="AQ213" s="319"/>
      <c r="AR213" s="319"/>
      <c r="AS213" s="319"/>
      <c r="AT213" s="319"/>
      <c r="AU213" s="319"/>
      <c r="AV213" s="319"/>
      <c r="AW213" s="319"/>
      <c r="AX213" s="319"/>
      <c r="AY213" s="319"/>
      <c r="AZ213" s="319"/>
      <c r="BA213" s="319"/>
      <c r="BB213" s="319"/>
      <c r="BC213" s="319"/>
      <c r="BD213" s="319"/>
      <c r="BE213" s="319"/>
      <c r="BF213" s="319"/>
      <c r="BG213" s="319"/>
      <c r="BH213" s="319"/>
      <c r="BI213" s="319"/>
      <c r="BJ213" s="319"/>
      <c r="BK213" s="319"/>
      <c r="BL213" s="319"/>
      <c r="BM213" s="319"/>
      <c r="BN213" s="319"/>
      <c r="BO213" s="319"/>
      <c r="BP213" s="319"/>
      <c r="BQ213" s="319"/>
      <c r="BR213" s="319"/>
    </row>
    <row r="214" ht="14.25" customHeight="1">
      <c r="A214" s="195"/>
      <c r="B214" s="100"/>
      <c r="C214" s="100"/>
      <c r="D214" s="100"/>
      <c r="E214" s="100"/>
      <c r="F214" s="206"/>
      <c r="G214" s="206"/>
      <c r="H214" s="207"/>
      <c r="I214" s="207"/>
      <c r="J214" s="207"/>
      <c r="K214" s="207"/>
      <c r="L214" s="207"/>
      <c r="M214" s="207"/>
      <c r="N214" s="207"/>
      <c r="O214" s="207"/>
      <c r="P214" s="207"/>
      <c r="Q214" s="207"/>
      <c r="R214" s="207"/>
      <c r="S214" s="207"/>
      <c r="T214" s="207"/>
      <c r="U214" s="207"/>
      <c r="V214" s="207"/>
      <c r="W214" s="208"/>
      <c r="X214" s="208"/>
      <c r="Y214" s="208"/>
      <c r="Z214" s="208"/>
      <c r="AA214" s="208"/>
      <c r="AB214" s="208"/>
      <c r="AC214" s="208"/>
      <c r="AD214" s="208"/>
      <c r="AE214" s="208"/>
      <c r="AF214" s="208"/>
      <c r="AG214" s="208"/>
      <c r="AH214" s="208"/>
      <c r="AI214" s="100"/>
      <c r="AJ214" s="319"/>
      <c r="AK214" s="319"/>
      <c r="AL214" s="319"/>
      <c r="AM214" s="319"/>
      <c r="AN214" s="319"/>
      <c r="AO214" s="319"/>
      <c r="AP214" s="319"/>
      <c r="AQ214" s="319"/>
      <c r="AR214" s="319"/>
      <c r="AS214" s="319"/>
      <c r="AT214" s="319"/>
      <c r="AU214" s="319"/>
      <c r="AV214" s="319"/>
      <c r="AW214" s="319"/>
      <c r="AX214" s="319"/>
      <c r="AY214" s="319"/>
      <c r="AZ214" s="319"/>
      <c r="BA214" s="319"/>
      <c r="BB214" s="319"/>
      <c r="BC214" s="319"/>
      <c r="BD214" s="319"/>
      <c r="BE214" s="319"/>
      <c r="BF214" s="319"/>
      <c r="BG214" s="319"/>
      <c r="BH214" s="319"/>
      <c r="BI214" s="319"/>
      <c r="BJ214" s="319"/>
      <c r="BK214" s="319"/>
      <c r="BL214" s="319"/>
      <c r="BM214" s="319"/>
      <c r="BN214" s="319"/>
      <c r="BO214" s="319"/>
      <c r="BP214" s="319"/>
      <c r="BQ214" s="319"/>
      <c r="BR214" s="319"/>
    </row>
    <row r="215" ht="14.25" customHeight="1">
      <c r="A215" s="195"/>
      <c r="B215" s="100"/>
      <c r="C215" s="100"/>
      <c r="D215" s="100"/>
      <c r="E215" s="100"/>
      <c r="F215" s="206"/>
      <c r="G215" s="206"/>
      <c r="H215" s="207"/>
      <c r="I215" s="207"/>
      <c r="J215" s="207"/>
      <c r="K215" s="207"/>
      <c r="L215" s="207"/>
      <c r="M215" s="207"/>
      <c r="N215" s="207"/>
      <c r="O215" s="207"/>
      <c r="P215" s="207"/>
      <c r="Q215" s="207"/>
      <c r="R215" s="207"/>
      <c r="S215" s="207"/>
      <c r="T215" s="207"/>
      <c r="U215" s="207"/>
      <c r="V215" s="207"/>
      <c r="W215" s="208"/>
      <c r="X215" s="208"/>
      <c r="Y215" s="208"/>
      <c r="Z215" s="208"/>
      <c r="AA215" s="208"/>
      <c r="AB215" s="208"/>
      <c r="AC215" s="208"/>
      <c r="AD215" s="208"/>
      <c r="AE215" s="208"/>
      <c r="AF215" s="208"/>
      <c r="AG215" s="208"/>
      <c r="AH215" s="208"/>
      <c r="AI215" s="100"/>
      <c r="AJ215" s="319"/>
      <c r="AK215" s="319"/>
      <c r="AL215" s="319"/>
      <c r="AM215" s="319"/>
      <c r="AN215" s="319"/>
      <c r="AO215" s="319"/>
      <c r="AP215" s="319"/>
      <c r="AQ215" s="319"/>
      <c r="AR215" s="319"/>
      <c r="AS215" s="319"/>
      <c r="AT215" s="319"/>
      <c r="AU215" s="319"/>
      <c r="AV215" s="319"/>
      <c r="AW215" s="319"/>
      <c r="AX215" s="319"/>
      <c r="AY215" s="319"/>
      <c r="AZ215" s="319"/>
      <c r="BA215" s="319"/>
      <c r="BB215" s="319"/>
      <c r="BC215" s="319"/>
      <c r="BD215" s="319"/>
      <c r="BE215" s="319"/>
      <c r="BF215" s="319"/>
      <c r="BG215" s="319"/>
      <c r="BH215" s="319"/>
      <c r="BI215" s="319"/>
      <c r="BJ215" s="319"/>
      <c r="BK215" s="319"/>
      <c r="BL215" s="319"/>
      <c r="BM215" s="319"/>
      <c r="BN215" s="319"/>
      <c r="BO215" s="319"/>
      <c r="BP215" s="319"/>
      <c r="BQ215" s="319"/>
      <c r="BR215" s="319"/>
    </row>
    <row r="216" ht="14.25" customHeight="1">
      <c r="A216" s="195"/>
      <c r="B216" s="100"/>
      <c r="C216" s="100"/>
      <c r="D216" s="100"/>
      <c r="E216" s="100"/>
      <c r="F216" s="206"/>
      <c r="G216" s="206"/>
      <c r="H216" s="207"/>
      <c r="I216" s="207"/>
      <c r="J216" s="207"/>
      <c r="K216" s="207"/>
      <c r="L216" s="207"/>
      <c r="M216" s="207"/>
      <c r="N216" s="207"/>
      <c r="O216" s="207"/>
      <c r="P216" s="207"/>
      <c r="Q216" s="207"/>
      <c r="R216" s="207"/>
      <c r="S216" s="207"/>
      <c r="T216" s="207"/>
      <c r="U216" s="207"/>
      <c r="V216" s="207"/>
      <c r="W216" s="208"/>
      <c r="X216" s="208"/>
      <c r="Y216" s="208"/>
      <c r="Z216" s="208"/>
      <c r="AA216" s="208"/>
      <c r="AB216" s="208"/>
      <c r="AC216" s="208"/>
      <c r="AD216" s="208"/>
      <c r="AE216" s="208"/>
      <c r="AF216" s="208"/>
      <c r="AG216" s="208"/>
      <c r="AH216" s="208"/>
      <c r="AI216" s="100"/>
      <c r="AJ216" s="319"/>
      <c r="AK216" s="319"/>
      <c r="AL216" s="319"/>
      <c r="AM216" s="319"/>
      <c r="AN216" s="319"/>
      <c r="AO216" s="319"/>
      <c r="AP216" s="319"/>
      <c r="AQ216" s="319"/>
      <c r="AR216" s="319"/>
      <c r="AS216" s="319"/>
      <c r="AT216" s="319"/>
      <c r="AU216" s="319"/>
      <c r="AV216" s="319"/>
      <c r="AW216" s="319"/>
      <c r="AX216" s="319"/>
      <c r="AY216" s="319"/>
      <c r="AZ216" s="319"/>
      <c r="BA216" s="319"/>
      <c r="BB216" s="319"/>
      <c r="BC216" s="319"/>
      <c r="BD216" s="319"/>
      <c r="BE216" s="319"/>
      <c r="BF216" s="319"/>
      <c r="BG216" s="319"/>
      <c r="BH216" s="319"/>
      <c r="BI216" s="319"/>
      <c r="BJ216" s="319"/>
      <c r="BK216" s="319"/>
      <c r="BL216" s="319"/>
      <c r="BM216" s="319"/>
      <c r="BN216" s="319"/>
      <c r="BO216" s="319"/>
      <c r="BP216" s="319"/>
      <c r="BQ216" s="319"/>
      <c r="BR216" s="319"/>
    </row>
    <row r="217" ht="14.25" customHeight="1">
      <c r="A217" s="195"/>
      <c r="B217" s="100"/>
      <c r="C217" s="100"/>
      <c r="D217" s="100"/>
      <c r="E217" s="100"/>
      <c r="F217" s="206"/>
      <c r="G217" s="206"/>
      <c r="H217" s="207"/>
      <c r="I217" s="207"/>
      <c r="J217" s="207"/>
      <c r="K217" s="207"/>
      <c r="L217" s="207"/>
      <c r="M217" s="207"/>
      <c r="N217" s="207"/>
      <c r="O217" s="207"/>
      <c r="P217" s="207"/>
      <c r="Q217" s="207"/>
      <c r="R217" s="207"/>
      <c r="S217" s="207"/>
      <c r="T217" s="207"/>
      <c r="U217" s="207"/>
      <c r="V217" s="207"/>
      <c r="W217" s="208"/>
      <c r="X217" s="208"/>
      <c r="Y217" s="208"/>
      <c r="Z217" s="208"/>
      <c r="AA217" s="208"/>
      <c r="AB217" s="208"/>
      <c r="AC217" s="208"/>
      <c r="AD217" s="208"/>
      <c r="AE217" s="208"/>
      <c r="AF217" s="208"/>
      <c r="AG217" s="208"/>
      <c r="AH217" s="208"/>
      <c r="AI217" s="100"/>
      <c r="AJ217" s="319"/>
      <c r="AK217" s="319"/>
      <c r="AL217" s="319"/>
      <c r="AM217" s="319"/>
      <c r="AN217" s="319"/>
      <c r="AO217" s="319"/>
      <c r="AP217" s="319"/>
      <c r="AQ217" s="319"/>
      <c r="AR217" s="319"/>
      <c r="AS217" s="319"/>
      <c r="AT217" s="319"/>
      <c r="AU217" s="319"/>
      <c r="AV217" s="319"/>
      <c r="AW217" s="319"/>
      <c r="AX217" s="319"/>
      <c r="AY217" s="319"/>
      <c r="AZ217" s="319"/>
      <c r="BA217" s="319"/>
      <c r="BB217" s="319"/>
      <c r="BC217" s="319"/>
      <c r="BD217" s="319"/>
      <c r="BE217" s="319"/>
      <c r="BF217" s="319"/>
      <c r="BG217" s="319"/>
      <c r="BH217" s="319"/>
      <c r="BI217" s="319"/>
      <c r="BJ217" s="319"/>
      <c r="BK217" s="319"/>
      <c r="BL217" s="319"/>
      <c r="BM217" s="319"/>
      <c r="BN217" s="319"/>
      <c r="BO217" s="319"/>
      <c r="BP217" s="319"/>
      <c r="BQ217" s="319"/>
      <c r="BR217" s="319"/>
    </row>
    <row r="218" ht="14.25" customHeight="1">
      <c r="A218" s="195"/>
      <c r="B218" s="100"/>
      <c r="C218" s="100"/>
      <c r="D218" s="100"/>
      <c r="E218" s="100"/>
      <c r="F218" s="206"/>
      <c r="G218" s="206"/>
      <c r="H218" s="207"/>
      <c r="I218" s="207"/>
      <c r="J218" s="207"/>
      <c r="K218" s="207"/>
      <c r="L218" s="207"/>
      <c r="M218" s="207"/>
      <c r="N218" s="207"/>
      <c r="O218" s="207"/>
      <c r="P218" s="207"/>
      <c r="Q218" s="207"/>
      <c r="R218" s="207"/>
      <c r="S218" s="207"/>
      <c r="T218" s="207"/>
      <c r="U218" s="207"/>
      <c r="V218" s="207"/>
      <c r="W218" s="208"/>
      <c r="X218" s="208"/>
      <c r="Y218" s="208"/>
      <c r="Z218" s="208"/>
      <c r="AA218" s="208"/>
      <c r="AB218" s="208"/>
      <c r="AC218" s="208"/>
      <c r="AD218" s="208"/>
      <c r="AE218" s="208"/>
      <c r="AF218" s="208"/>
      <c r="AG218" s="208"/>
      <c r="AH218" s="208"/>
      <c r="AI218" s="100"/>
      <c r="AJ218" s="319"/>
      <c r="AK218" s="319"/>
      <c r="AL218" s="319"/>
      <c r="AM218" s="319"/>
      <c r="AN218" s="319"/>
      <c r="AO218" s="319"/>
      <c r="AP218" s="319"/>
      <c r="AQ218" s="319"/>
      <c r="AR218" s="319"/>
      <c r="AS218" s="319"/>
      <c r="AT218" s="319"/>
      <c r="AU218" s="319"/>
      <c r="AV218" s="319"/>
      <c r="AW218" s="319"/>
      <c r="AX218" s="319"/>
      <c r="AY218" s="319"/>
      <c r="AZ218" s="319"/>
      <c r="BA218" s="319"/>
      <c r="BB218" s="319"/>
      <c r="BC218" s="319"/>
      <c r="BD218" s="319"/>
      <c r="BE218" s="319"/>
      <c r="BF218" s="319"/>
      <c r="BG218" s="319"/>
      <c r="BH218" s="319"/>
      <c r="BI218" s="319"/>
      <c r="BJ218" s="319"/>
      <c r="BK218" s="319"/>
      <c r="BL218" s="319"/>
      <c r="BM218" s="319"/>
      <c r="BN218" s="319"/>
      <c r="BO218" s="319"/>
      <c r="BP218" s="319"/>
      <c r="BQ218" s="319"/>
      <c r="BR218" s="319"/>
    </row>
    <row r="219" ht="14.25" customHeight="1">
      <c r="A219" s="195"/>
      <c r="B219" s="100"/>
      <c r="C219" s="100"/>
      <c r="D219" s="100"/>
      <c r="E219" s="100"/>
      <c r="F219" s="206"/>
      <c r="G219" s="206"/>
      <c r="H219" s="207"/>
      <c r="I219" s="207"/>
      <c r="J219" s="207"/>
      <c r="K219" s="207"/>
      <c r="L219" s="207"/>
      <c r="M219" s="207"/>
      <c r="N219" s="207"/>
      <c r="O219" s="207"/>
      <c r="P219" s="207"/>
      <c r="Q219" s="207"/>
      <c r="R219" s="207"/>
      <c r="S219" s="207"/>
      <c r="T219" s="207"/>
      <c r="U219" s="207"/>
      <c r="V219" s="207"/>
      <c r="W219" s="208"/>
      <c r="X219" s="208"/>
      <c r="Y219" s="208"/>
      <c r="Z219" s="208"/>
      <c r="AA219" s="208"/>
      <c r="AB219" s="208"/>
      <c r="AC219" s="208"/>
      <c r="AD219" s="208"/>
      <c r="AE219" s="208"/>
      <c r="AF219" s="208"/>
      <c r="AG219" s="208"/>
      <c r="AH219" s="208"/>
      <c r="AI219" s="100"/>
      <c r="AJ219" s="319"/>
      <c r="AK219" s="319"/>
      <c r="AL219" s="319"/>
      <c r="AM219" s="319"/>
      <c r="AN219" s="319"/>
      <c r="AO219" s="319"/>
      <c r="AP219" s="319"/>
      <c r="AQ219" s="319"/>
      <c r="AR219" s="319"/>
      <c r="AS219" s="319"/>
      <c r="AT219" s="319"/>
      <c r="AU219" s="319"/>
      <c r="AV219" s="319"/>
      <c r="AW219" s="319"/>
      <c r="AX219" s="319"/>
      <c r="AY219" s="319"/>
      <c r="AZ219" s="319"/>
      <c r="BA219" s="319"/>
      <c r="BB219" s="319"/>
      <c r="BC219" s="319"/>
      <c r="BD219" s="319"/>
      <c r="BE219" s="319"/>
      <c r="BF219" s="319"/>
      <c r="BG219" s="319"/>
      <c r="BH219" s="319"/>
      <c r="BI219" s="319"/>
      <c r="BJ219" s="319"/>
      <c r="BK219" s="319"/>
      <c r="BL219" s="319"/>
      <c r="BM219" s="319"/>
      <c r="BN219" s="319"/>
      <c r="BO219" s="319"/>
      <c r="BP219" s="319"/>
      <c r="BQ219" s="319"/>
      <c r="BR219" s="319"/>
    </row>
    <row r="220" ht="14.25" customHeight="1">
      <c r="A220" s="195"/>
      <c r="B220" s="100"/>
      <c r="C220" s="100"/>
      <c r="D220" s="100"/>
      <c r="E220" s="100"/>
      <c r="F220" s="206"/>
      <c r="G220" s="206"/>
      <c r="H220" s="207"/>
      <c r="I220" s="207"/>
      <c r="J220" s="207"/>
      <c r="K220" s="207"/>
      <c r="L220" s="207"/>
      <c r="M220" s="207"/>
      <c r="N220" s="207"/>
      <c r="O220" s="207"/>
      <c r="P220" s="207"/>
      <c r="Q220" s="207"/>
      <c r="R220" s="207"/>
      <c r="S220" s="207"/>
      <c r="T220" s="207"/>
      <c r="U220" s="207"/>
      <c r="V220" s="207"/>
      <c r="W220" s="208"/>
      <c r="X220" s="208"/>
      <c r="Y220" s="208"/>
      <c r="Z220" s="208"/>
      <c r="AA220" s="208"/>
      <c r="AB220" s="208"/>
      <c r="AC220" s="208"/>
      <c r="AD220" s="208"/>
      <c r="AE220" s="208"/>
      <c r="AF220" s="208"/>
      <c r="AG220" s="208"/>
      <c r="AH220" s="208"/>
      <c r="AI220" s="100"/>
      <c r="AJ220" s="319"/>
      <c r="AK220" s="319"/>
      <c r="AL220" s="319"/>
      <c r="AM220" s="319"/>
      <c r="AN220" s="319"/>
      <c r="AO220" s="319"/>
      <c r="AP220" s="319"/>
      <c r="AQ220" s="319"/>
      <c r="AR220" s="319"/>
      <c r="AS220" s="319"/>
      <c r="AT220" s="319"/>
      <c r="AU220" s="319"/>
      <c r="AV220" s="319"/>
      <c r="AW220" s="319"/>
      <c r="AX220" s="319"/>
      <c r="AY220" s="319"/>
      <c r="AZ220" s="319"/>
      <c r="BA220" s="319"/>
      <c r="BB220" s="319"/>
      <c r="BC220" s="319"/>
      <c r="BD220" s="319"/>
      <c r="BE220" s="319"/>
      <c r="BF220" s="319"/>
      <c r="BG220" s="319"/>
      <c r="BH220" s="319"/>
      <c r="BI220" s="319"/>
      <c r="BJ220" s="319"/>
      <c r="BK220" s="319"/>
      <c r="BL220" s="319"/>
      <c r="BM220" s="319"/>
      <c r="BN220" s="319"/>
      <c r="BO220" s="319"/>
      <c r="BP220" s="319"/>
      <c r="BQ220" s="319"/>
      <c r="BR220" s="319"/>
    </row>
    <row r="221" ht="14.25" customHeight="1">
      <c r="A221" s="195"/>
      <c r="B221" s="100"/>
      <c r="C221" s="100"/>
      <c r="D221" s="100"/>
      <c r="E221" s="100"/>
      <c r="F221" s="206"/>
      <c r="G221" s="206"/>
      <c r="H221" s="207"/>
      <c r="I221" s="207"/>
      <c r="J221" s="207"/>
      <c r="K221" s="207"/>
      <c r="L221" s="207"/>
      <c r="M221" s="207"/>
      <c r="N221" s="207"/>
      <c r="O221" s="207"/>
      <c r="P221" s="207"/>
      <c r="Q221" s="207"/>
      <c r="R221" s="207"/>
      <c r="S221" s="207"/>
      <c r="T221" s="207"/>
      <c r="U221" s="207"/>
      <c r="V221" s="207"/>
      <c r="W221" s="208"/>
      <c r="X221" s="208"/>
      <c r="Y221" s="208"/>
      <c r="Z221" s="208"/>
      <c r="AA221" s="208"/>
      <c r="AB221" s="208"/>
      <c r="AC221" s="208"/>
      <c r="AD221" s="208"/>
      <c r="AE221" s="208"/>
      <c r="AF221" s="208"/>
      <c r="AG221" s="208"/>
      <c r="AH221" s="208"/>
      <c r="AI221" s="100"/>
      <c r="AJ221" s="319"/>
      <c r="AK221" s="319"/>
      <c r="AL221" s="319"/>
      <c r="AM221" s="319"/>
      <c r="AN221" s="319"/>
      <c r="AO221" s="319"/>
      <c r="AP221" s="319"/>
      <c r="AQ221" s="319"/>
      <c r="AR221" s="319"/>
      <c r="AS221" s="319"/>
      <c r="AT221" s="319"/>
      <c r="AU221" s="319"/>
      <c r="AV221" s="319"/>
      <c r="AW221" s="319"/>
      <c r="AX221" s="319"/>
      <c r="AY221" s="319"/>
      <c r="AZ221" s="319"/>
      <c r="BA221" s="319"/>
      <c r="BB221" s="319"/>
      <c r="BC221" s="319"/>
      <c r="BD221" s="319"/>
      <c r="BE221" s="319"/>
      <c r="BF221" s="319"/>
      <c r="BG221" s="319"/>
      <c r="BH221" s="319"/>
      <c r="BI221" s="319"/>
      <c r="BJ221" s="319"/>
      <c r="BK221" s="319"/>
      <c r="BL221" s="319"/>
      <c r="BM221" s="319"/>
      <c r="BN221" s="319"/>
      <c r="BO221" s="319"/>
      <c r="BP221" s="319"/>
      <c r="BQ221" s="319"/>
      <c r="BR221" s="319"/>
    </row>
    <row r="222" ht="14.25" customHeight="1">
      <c r="A222" s="195"/>
      <c r="B222" s="100"/>
      <c r="C222" s="100"/>
      <c r="D222" s="100"/>
      <c r="E222" s="100"/>
      <c r="F222" s="206"/>
      <c r="G222" s="206"/>
      <c r="H222" s="207"/>
      <c r="I222" s="207"/>
      <c r="J222" s="207"/>
      <c r="K222" s="207"/>
      <c r="L222" s="207"/>
      <c r="M222" s="207"/>
      <c r="N222" s="207"/>
      <c r="O222" s="207"/>
      <c r="P222" s="207"/>
      <c r="Q222" s="207"/>
      <c r="R222" s="207"/>
      <c r="S222" s="207"/>
      <c r="T222" s="207"/>
      <c r="U222" s="207"/>
      <c r="V222" s="207"/>
      <c r="W222" s="208"/>
      <c r="X222" s="208"/>
      <c r="Y222" s="208"/>
      <c r="Z222" s="208"/>
      <c r="AA222" s="208"/>
      <c r="AB222" s="208"/>
      <c r="AC222" s="208"/>
      <c r="AD222" s="208"/>
      <c r="AE222" s="208"/>
      <c r="AF222" s="208"/>
      <c r="AG222" s="208"/>
      <c r="AH222" s="208"/>
      <c r="AI222" s="100"/>
      <c r="AJ222" s="319"/>
      <c r="AK222" s="319"/>
      <c r="AL222" s="319"/>
      <c r="AM222" s="319"/>
      <c r="AN222" s="319"/>
      <c r="AO222" s="319"/>
      <c r="AP222" s="319"/>
      <c r="AQ222" s="319"/>
      <c r="AR222" s="319"/>
      <c r="AS222" s="319"/>
      <c r="AT222" s="319"/>
      <c r="AU222" s="319"/>
      <c r="AV222" s="319"/>
      <c r="AW222" s="319"/>
      <c r="AX222" s="319"/>
      <c r="AY222" s="319"/>
      <c r="AZ222" s="319"/>
      <c r="BA222" s="319"/>
      <c r="BB222" s="319"/>
      <c r="BC222" s="319"/>
      <c r="BD222" s="319"/>
      <c r="BE222" s="319"/>
      <c r="BF222" s="319"/>
      <c r="BG222" s="319"/>
      <c r="BH222" s="319"/>
      <c r="BI222" s="319"/>
      <c r="BJ222" s="319"/>
      <c r="BK222" s="319"/>
      <c r="BL222" s="319"/>
      <c r="BM222" s="319"/>
      <c r="BN222" s="319"/>
      <c r="BO222" s="319"/>
      <c r="BP222" s="319"/>
      <c r="BQ222" s="319"/>
      <c r="BR222" s="319"/>
    </row>
    <row r="223" ht="14.25" customHeight="1">
      <c r="A223" s="195"/>
      <c r="B223" s="100"/>
      <c r="C223" s="100"/>
      <c r="D223" s="100"/>
      <c r="E223" s="100"/>
      <c r="F223" s="206"/>
      <c r="G223" s="206"/>
      <c r="H223" s="207"/>
      <c r="I223" s="207"/>
      <c r="J223" s="207"/>
      <c r="K223" s="207"/>
      <c r="L223" s="207"/>
      <c r="M223" s="207"/>
      <c r="N223" s="207"/>
      <c r="O223" s="207"/>
      <c r="P223" s="207"/>
      <c r="Q223" s="207"/>
      <c r="R223" s="207"/>
      <c r="S223" s="207"/>
      <c r="T223" s="207"/>
      <c r="U223" s="207"/>
      <c r="V223" s="207"/>
      <c r="W223" s="208"/>
      <c r="X223" s="208"/>
      <c r="Y223" s="208"/>
      <c r="Z223" s="208"/>
      <c r="AA223" s="208"/>
      <c r="AB223" s="208"/>
      <c r="AC223" s="208"/>
      <c r="AD223" s="208"/>
      <c r="AE223" s="208"/>
      <c r="AF223" s="208"/>
      <c r="AG223" s="208"/>
      <c r="AH223" s="208"/>
      <c r="AI223" s="100"/>
      <c r="AJ223" s="319"/>
      <c r="AK223" s="319"/>
      <c r="AL223" s="319"/>
      <c r="AM223" s="319"/>
      <c r="AN223" s="319"/>
      <c r="AO223" s="319"/>
      <c r="AP223" s="319"/>
      <c r="AQ223" s="319"/>
      <c r="AR223" s="319"/>
      <c r="AS223" s="319"/>
      <c r="AT223" s="319"/>
      <c r="AU223" s="319"/>
      <c r="AV223" s="319"/>
      <c r="AW223" s="319"/>
      <c r="AX223" s="319"/>
      <c r="AY223" s="319"/>
      <c r="AZ223" s="319"/>
      <c r="BA223" s="319"/>
      <c r="BB223" s="319"/>
      <c r="BC223" s="319"/>
      <c r="BD223" s="319"/>
      <c r="BE223" s="319"/>
      <c r="BF223" s="319"/>
      <c r="BG223" s="319"/>
      <c r="BH223" s="319"/>
      <c r="BI223" s="319"/>
      <c r="BJ223" s="319"/>
      <c r="BK223" s="319"/>
      <c r="BL223" s="319"/>
      <c r="BM223" s="319"/>
      <c r="BN223" s="319"/>
      <c r="BO223" s="319"/>
      <c r="BP223" s="319"/>
      <c r="BQ223" s="319"/>
      <c r="BR223" s="319"/>
    </row>
    <row r="224" ht="14.25" customHeight="1">
      <c r="A224" s="195"/>
      <c r="B224" s="100"/>
      <c r="C224" s="100"/>
      <c r="D224" s="100"/>
      <c r="E224" s="100"/>
      <c r="F224" s="206"/>
      <c r="G224" s="206"/>
      <c r="H224" s="207"/>
      <c r="I224" s="207"/>
      <c r="J224" s="207"/>
      <c r="K224" s="207"/>
      <c r="L224" s="207"/>
      <c r="M224" s="207"/>
      <c r="N224" s="207"/>
      <c r="O224" s="207"/>
      <c r="P224" s="207"/>
      <c r="Q224" s="207"/>
      <c r="R224" s="207"/>
      <c r="S224" s="207"/>
      <c r="T224" s="207"/>
      <c r="U224" s="207"/>
      <c r="V224" s="207"/>
      <c r="W224" s="208"/>
      <c r="X224" s="208"/>
      <c r="Y224" s="208"/>
      <c r="Z224" s="208"/>
      <c r="AA224" s="208"/>
      <c r="AB224" s="208"/>
      <c r="AC224" s="208"/>
      <c r="AD224" s="208"/>
      <c r="AE224" s="208"/>
      <c r="AF224" s="208"/>
      <c r="AG224" s="208"/>
      <c r="AH224" s="208"/>
      <c r="AI224" s="100"/>
      <c r="AJ224" s="319"/>
      <c r="AK224" s="319"/>
      <c r="AL224" s="319"/>
      <c r="AM224" s="319"/>
      <c r="AN224" s="319"/>
      <c r="AO224" s="319"/>
      <c r="AP224" s="319"/>
      <c r="AQ224" s="319"/>
      <c r="AR224" s="319"/>
      <c r="AS224" s="319"/>
      <c r="AT224" s="319"/>
      <c r="AU224" s="319"/>
      <c r="AV224" s="319"/>
      <c r="AW224" s="319"/>
      <c r="AX224" s="319"/>
      <c r="AY224" s="319"/>
      <c r="AZ224" s="319"/>
      <c r="BA224" s="319"/>
      <c r="BB224" s="319"/>
      <c r="BC224" s="319"/>
      <c r="BD224" s="319"/>
      <c r="BE224" s="319"/>
      <c r="BF224" s="319"/>
      <c r="BG224" s="319"/>
      <c r="BH224" s="319"/>
      <c r="BI224" s="319"/>
      <c r="BJ224" s="319"/>
      <c r="BK224" s="319"/>
      <c r="BL224" s="319"/>
      <c r="BM224" s="319"/>
      <c r="BN224" s="319"/>
      <c r="BO224" s="319"/>
      <c r="BP224" s="319"/>
      <c r="BQ224" s="319"/>
      <c r="BR224" s="319"/>
    </row>
    <row r="225" ht="14.25" customHeight="1">
      <c r="A225" s="195"/>
      <c r="B225" s="100"/>
      <c r="C225" s="100"/>
      <c r="D225" s="100"/>
      <c r="E225" s="100"/>
      <c r="F225" s="206"/>
      <c r="G225" s="206"/>
      <c r="H225" s="207"/>
      <c r="I225" s="207"/>
      <c r="J225" s="207"/>
      <c r="K225" s="207"/>
      <c r="L225" s="207"/>
      <c r="M225" s="207"/>
      <c r="N225" s="207"/>
      <c r="O225" s="207"/>
      <c r="P225" s="207"/>
      <c r="Q225" s="207"/>
      <c r="R225" s="207"/>
      <c r="S225" s="207"/>
      <c r="T225" s="207"/>
      <c r="U225" s="207"/>
      <c r="V225" s="207"/>
      <c r="W225" s="208"/>
      <c r="X225" s="208"/>
      <c r="Y225" s="208"/>
      <c r="Z225" s="208"/>
      <c r="AA225" s="208"/>
      <c r="AB225" s="208"/>
      <c r="AC225" s="208"/>
      <c r="AD225" s="208"/>
      <c r="AE225" s="208"/>
      <c r="AF225" s="208"/>
      <c r="AG225" s="208"/>
      <c r="AH225" s="208"/>
      <c r="AI225" s="100"/>
      <c r="AJ225" s="319"/>
      <c r="AK225" s="319"/>
      <c r="AL225" s="319"/>
      <c r="AM225" s="319"/>
      <c r="AN225" s="319"/>
      <c r="AO225" s="319"/>
      <c r="AP225" s="319"/>
      <c r="AQ225" s="319"/>
      <c r="AR225" s="319"/>
      <c r="AS225" s="319"/>
      <c r="AT225" s="319"/>
      <c r="AU225" s="319"/>
      <c r="AV225" s="319"/>
      <c r="AW225" s="319"/>
      <c r="AX225" s="319"/>
      <c r="AY225" s="319"/>
      <c r="AZ225" s="319"/>
      <c r="BA225" s="319"/>
      <c r="BB225" s="319"/>
      <c r="BC225" s="319"/>
      <c r="BD225" s="319"/>
      <c r="BE225" s="319"/>
      <c r="BF225" s="319"/>
      <c r="BG225" s="319"/>
      <c r="BH225" s="319"/>
      <c r="BI225" s="319"/>
      <c r="BJ225" s="319"/>
      <c r="BK225" s="319"/>
      <c r="BL225" s="319"/>
      <c r="BM225" s="319"/>
      <c r="BN225" s="319"/>
      <c r="BO225" s="319"/>
      <c r="BP225" s="319"/>
      <c r="BQ225" s="319"/>
      <c r="BR225" s="319"/>
    </row>
    <row r="226" ht="14.25" customHeight="1">
      <c r="A226" s="195"/>
      <c r="B226" s="100"/>
      <c r="C226" s="100"/>
      <c r="D226" s="100"/>
      <c r="E226" s="100"/>
      <c r="F226" s="206"/>
      <c r="G226" s="206"/>
      <c r="H226" s="207"/>
      <c r="I226" s="207"/>
      <c r="J226" s="207"/>
      <c r="K226" s="207"/>
      <c r="L226" s="207"/>
      <c r="M226" s="207"/>
      <c r="N226" s="207"/>
      <c r="O226" s="207"/>
      <c r="P226" s="207"/>
      <c r="Q226" s="207"/>
      <c r="R226" s="207"/>
      <c r="S226" s="207"/>
      <c r="T226" s="207"/>
      <c r="U226" s="207"/>
      <c r="V226" s="207"/>
      <c r="W226" s="208"/>
      <c r="X226" s="208"/>
      <c r="Y226" s="208"/>
      <c r="Z226" s="208"/>
      <c r="AA226" s="208"/>
      <c r="AB226" s="208"/>
      <c r="AC226" s="208"/>
      <c r="AD226" s="208"/>
      <c r="AE226" s="208"/>
      <c r="AF226" s="208"/>
      <c r="AG226" s="208"/>
      <c r="AH226" s="208"/>
      <c r="AI226" s="100"/>
      <c r="AJ226" s="319"/>
      <c r="AK226" s="319"/>
      <c r="AL226" s="319"/>
      <c r="AM226" s="319"/>
      <c r="AN226" s="319"/>
      <c r="AO226" s="319"/>
      <c r="AP226" s="319"/>
      <c r="AQ226" s="319"/>
      <c r="AR226" s="319"/>
      <c r="AS226" s="319"/>
      <c r="AT226" s="319"/>
      <c r="AU226" s="319"/>
      <c r="AV226" s="319"/>
      <c r="AW226" s="319"/>
      <c r="AX226" s="319"/>
      <c r="AY226" s="319"/>
      <c r="AZ226" s="319"/>
      <c r="BA226" s="319"/>
      <c r="BB226" s="319"/>
      <c r="BC226" s="319"/>
      <c r="BD226" s="319"/>
      <c r="BE226" s="319"/>
      <c r="BF226" s="319"/>
      <c r="BG226" s="319"/>
      <c r="BH226" s="319"/>
      <c r="BI226" s="319"/>
      <c r="BJ226" s="319"/>
      <c r="BK226" s="319"/>
      <c r="BL226" s="319"/>
      <c r="BM226" s="319"/>
      <c r="BN226" s="319"/>
      <c r="BO226" s="319"/>
      <c r="BP226" s="319"/>
      <c r="BQ226" s="319"/>
      <c r="BR226" s="319"/>
    </row>
    <row r="227" ht="14.25" customHeight="1">
      <c r="A227" s="195"/>
      <c r="B227" s="100"/>
      <c r="C227" s="100"/>
      <c r="D227" s="100"/>
      <c r="E227" s="100"/>
      <c r="F227" s="206"/>
      <c r="G227" s="206"/>
      <c r="H227" s="207"/>
      <c r="I227" s="207"/>
      <c r="J227" s="207"/>
      <c r="K227" s="207"/>
      <c r="L227" s="207"/>
      <c r="M227" s="207"/>
      <c r="N227" s="207"/>
      <c r="O227" s="207"/>
      <c r="P227" s="207"/>
      <c r="Q227" s="207"/>
      <c r="R227" s="207"/>
      <c r="S227" s="207"/>
      <c r="T227" s="207"/>
      <c r="U227" s="207"/>
      <c r="V227" s="207"/>
      <c r="W227" s="208"/>
      <c r="X227" s="208"/>
      <c r="Y227" s="208"/>
      <c r="Z227" s="208"/>
      <c r="AA227" s="208"/>
      <c r="AB227" s="208"/>
      <c r="AC227" s="208"/>
      <c r="AD227" s="208"/>
      <c r="AE227" s="208"/>
      <c r="AF227" s="208"/>
      <c r="AG227" s="208"/>
      <c r="AH227" s="208"/>
      <c r="AI227" s="100"/>
      <c r="AJ227" s="319"/>
      <c r="AK227" s="319"/>
      <c r="AL227" s="319"/>
      <c r="AM227" s="319"/>
      <c r="AN227" s="319"/>
      <c r="AO227" s="319"/>
      <c r="AP227" s="319"/>
      <c r="AQ227" s="319"/>
      <c r="AR227" s="319"/>
      <c r="AS227" s="319"/>
      <c r="AT227" s="319"/>
      <c r="AU227" s="319"/>
      <c r="AV227" s="319"/>
      <c r="AW227" s="319"/>
      <c r="AX227" s="319"/>
      <c r="AY227" s="319"/>
      <c r="AZ227" s="319"/>
      <c r="BA227" s="319"/>
      <c r="BB227" s="319"/>
      <c r="BC227" s="319"/>
      <c r="BD227" s="319"/>
      <c r="BE227" s="319"/>
      <c r="BF227" s="319"/>
      <c r="BG227" s="319"/>
      <c r="BH227" s="319"/>
      <c r="BI227" s="319"/>
      <c r="BJ227" s="319"/>
      <c r="BK227" s="319"/>
      <c r="BL227" s="319"/>
      <c r="BM227" s="319"/>
      <c r="BN227" s="319"/>
      <c r="BO227" s="319"/>
      <c r="BP227" s="319"/>
      <c r="BQ227" s="319"/>
      <c r="BR227" s="319"/>
    </row>
    <row r="228" ht="14.25" customHeight="1">
      <c r="A228" s="195"/>
      <c r="B228" s="100"/>
      <c r="C228" s="100"/>
      <c r="D228" s="100"/>
      <c r="E228" s="100"/>
      <c r="F228" s="206"/>
      <c r="G228" s="206"/>
      <c r="H228" s="207"/>
      <c r="I228" s="207"/>
      <c r="J228" s="207"/>
      <c r="K228" s="207"/>
      <c r="L228" s="207"/>
      <c r="M228" s="207"/>
      <c r="N228" s="207"/>
      <c r="O228" s="207"/>
      <c r="P228" s="207"/>
      <c r="Q228" s="207"/>
      <c r="R228" s="207"/>
      <c r="S228" s="207"/>
      <c r="T228" s="207"/>
      <c r="U228" s="207"/>
      <c r="V228" s="207"/>
      <c r="W228" s="208"/>
      <c r="X228" s="208"/>
      <c r="Y228" s="208"/>
      <c r="Z228" s="208"/>
      <c r="AA228" s="208"/>
      <c r="AB228" s="208"/>
      <c r="AC228" s="208"/>
      <c r="AD228" s="208"/>
      <c r="AE228" s="208"/>
      <c r="AF228" s="208"/>
      <c r="AG228" s="208"/>
      <c r="AH228" s="208"/>
      <c r="AI228" s="100"/>
      <c r="AJ228" s="319"/>
      <c r="AK228" s="319"/>
      <c r="AL228" s="319"/>
      <c r="AM228" s="319"/>
      <c r="AN228" s="319"/>
      <c r="AO228" s="319"/>
      <c r="AP228" s="319"/>
      <c r="AQ228" s="319"/>
      <c r="AR228" s="319"/>
      <c r="AS228" s="319"/>
      <c r="AT228" s="319"/>
      <c r="AU228" s="319"/>
      <c r="AV228" s="319"/>
      <c r="AW228" s="319"/>
      <c r="AX228" s="319"/>
      <c r="AY228" s="319"/>
      <c r="AZ228" s="319"/>
      <c r="BA228" s="319"/>
      <c r="BB228" s="319"/>
      <c r="BC228" s="319"/>
      <c r="BD228" s="319"/>
      <c r="BE228" s="319"/>
      <c r="BF228" s="319"/>
      <c r="BG228" s="319"/>
      <c r="BH228" s="319"/>
      <c r="BI228" s="319"/>
      <c r="BJ228" s="319"/>
      <c r="BK228" s="319"/>
      <c r="BL228" s="319"/>
      <c r="BM228" s="319"/>
      <c r="BN228" s="319"/>
      <c r="BO228" s="319"/>
      <c r="BP228" s="319"/>
      <c r="BQ228" s="319"/>
      <c r="BR228" s="319"/>
    </row>
    <row r="229" ht="14.25" customHeight="1">
      <c r="A229" s="195"/>
      <c r="B229" s="100"/>
      <c r="C229" s="100"/>
      <c r="D229" s="100"/>
      <c r="E229" s="100"/>
      <c r="F229" s="206"/>
      <c r="G229" s="206"/>
      <c r="H229" s="207"/>
      <c r="I229" s="207"/>
      <c r="J229" s="207"/>
      <c r="K229" s="207"/>
      <c r="L229" s="207"/>
      <c r="M229" s="207"/>
      <c r="N229" s="207"/>
      <c r="O229" s="207"/>
      <c r="P229" s="207"/>
      <c r="Q229" s="207"/>
      <c r="R229" s="207"/>
      <c r="S229" s="207"/>
      <c r="T229" s="207"/>
      <c r="U229" s="207"/>
      <c r="V229" s="207"/>
      <c r="W229" s="208"/>
      <c r="X229" s="208"/>
      <c r="Y229" s="208"/>
      <c r="Z229" s="208"/>
      <c r="AA229" s="208"/>
      <c r="AB229" s="208"/>
      <c r="AC229" s="208"/>
      <c r="AD229" s="208"/>
      <c r="AE229" s="208"/>
      <c r="AF229" s="208"/>
      <c r="AG229" s="208"/>
      <c r="AH229" s="208"/>
      <c r="AI229" s="100"/>
      <c r="AJ229" s="319"/>
      <c r="AK229" s="319"/>
      <c r="AL229" s="319"/>
      <c r="AM229" s="319"/>
      <c r="AN229" s="319"/>
      <c r="AO229" s="319"/>
      <c r="AP229" s="319"/>
      <c r="AQ229" s="319"/>
      <c r="AR229" s="319"/>
      <c r="AS229" s="319"/>
      <c r="AT229" s="319"/>
      <c r="AU229" s="319"/>
      <c r="AV229" s="319"/>
      <c r="AW229" s="319"/>
      <c r="AX229" s="319"/>
      <c r="AY229" s="319"/>
      <c r="AZ229" s="319"/>
      <c r="BA229" s="319"/>
      <c r="BB229" s="319"/>
      <c r="BC229" s="319"/>
      <c r="BD229" s="319"/>
      <c r="BE229" s="319"/>
      <c r="BF229" s="319"/>
      <c r="BG229" s="319"/>
      <c r="BH229" s="319"/>
      <c r="BI229" s="319"/>
      <c r="BJ229" s="319"/>
      <c r="BK229" s="319"/>
      <c r="BL229" s="319"/>
      <c r="BM229" s="319"/>
      <c r="BN229" s="319"/>
      <c r="BO229" s="319"/>
      <c r="BP229" s="319"/>
      <c r="BQ229" s="319"/>
      <c r="BR229" s="319"/>
    </row>
    <row r="230" ht="14.25" customHeight="1">
      <c r="A230" s="195"/>
      <c r="B230" s="100"/>
      <c r="C230" s="100"/>
      <c r="D230" s="100"/>
      <c r="E230" s="100"/>
      <c r="F230" s="206"/>
      <c r="G230" s="206"/>
      <c r="H230" s="207"/>
      <c r="I230" s="207"/>
      <c r="J230" s="207"/>
      <c r="K230" s="207"/>
      <c r="L230" s="207"/>
      <c r="M230" s="207"/>
      <c r="N230" s="207"/>
      <c r="O230" s="207"/>
      <c r="P230" s="207"/>
      <c r="Q230" s="207"/>
      <c r="R230" s="207"/>
      <c r="S230" s="207"/>
      <c r="T230" s="207"/>
      <c r="U230" s="207"/>
      <c r="V230" s="207"/>
      <c r="W230" s="208"/>
      <c r="X230" s="208"/>
      <c r="Y230" s="208"/>
      <c r="Z230" s="208"/>
      <c r="AA230" s="208"/>
      <c r="AB230" s="208"/>
      <c r="AC230" s="208"/>
      <c r="AD230" s="208"/>
      <c r="AE230" s="208"/>
      <c r="AF230" s="208"/>
      <c r="AG230" s="208"/>
      <c r="AH230" s="208"/>
      <c r="AI230" s="100"/>
      <c r="AJ230" s="319"/>
      <c r="AK230" s="319"/>
      <c r="AL230" s="319"/>
      <c r="AM230" s="319"/>
      <c r="AN230" s="319"/>
      <c r="AO230" s="319"/>
      <c r="AP230" s="319"/>
      <c r="AQ230" s="319"/>
      <c r="AR230" s="319"/>
      <c r="AS230" s="319"/>
      <c r="AT230" s="319"/>
      <c r="AU230" s="319"/>
      <c r="AV230" s="319"/>
      <c r="AW230" s="319"/>
      <c r="AX230" s="319"/>
      <c r="AY230" s="319"/>
      <c r="AZ230" s="319"/>
      <c r="BA230" s="319"/>
      <c r="BB230" s="319"/>
      <c r="BC230" s="319"/>
      <c r="BD230" s="319"/>
      <c r="BE230" s="319"/>
      <c r="BF230" s="319"/>
      <c r="BG230" s="319"/>
      <c r="BH230" s="319"/>
      <c r="BI230" s="319"/>
      <c r="BJ230" s="319"/>
      <c r="BK230" s="319"/>
      <c r="BL230" s="319"/>
      <c r="BM230" s="319"/>
      <c r="BN230" s="319"/>
      <c r="BO230" s="319"/>
      <c r="BP230" s="319"/>
      <c r="BQ230" s="319"/>
      <c r="BR230" s="319"/>
    </row>
    <row r="231" ht="14.25" customHeight="1">
      <c r="A231" s="195"/>
      <c r="B231" s="100"/>
      <c r="C231" s="100"/>
      <c r="D231" s="100"/>
      <c r="E231" s="100"/>
      <c r="F231" s="206"/>
      <c r="G231" s="206"/>
      <c r="H231" s="207"/>
      <c r="I231" s="207"/>
      <c r="J231" s="207"/>
      <c r="K231" s="207"/>
      <c r="L231" s="207"/>
      <c r="M231" s="207"/>
      <c r="N231" s="207"/>
      <c r="O231" s="207"/>
      <c r="P231" s="207"/>
      <c r="Q231" s="207"/>
      <c r="R231" s="207"/>
      <c r="S231" s="207"/>
      <c r="T231" s="207"/>
      <c r="U231" s="207"/>
      <c r="V231" s="207"/>
      <c r="W231" s="208"/>
      <c r="X231" s="208"/>
      <c r="Y231" s="208"/>
      <c r="Z231" s="208"/>
      <c r="AA231" s="208"/>
      <c r="AB231" s="208"/>
      <c r="AC231" s="208"/>
      <c r="AD231" s="208"/>
      <c r="AE231" s="208"/>
      <c r="AF231" s="208"/>
      <c r="AG231" s="208"/>
      <c r="AH231" s="208"/>
      <c r="AI231" s="100"/>
      <c r="AJ231" s="319"/>
      <c r="AK231" s="319"/>
      <c r="AL231" s="319"/>
      <c r="AM231" s="319"/>
      <c r="AN231" s="319"/>
      <c r="AO231" s="319"/>
      <c r="AP231" s="319"/>
      <c r="AQ231" s="319"/>
      <c r="AR231" s="319"/>
      <c r="AS231" s="319"/>
      <c r="AT231" s="319"/>
      <c r="AU231" s="319"/>
      <c r="AV231" s="319"/>
      <c r="AW231" s="319"/>
      <c r="AX231" s="319"/>
      <c r="AY231" s="319"/>
      <c r="AZ231" s="319"/>
      <c r="BA231" s="319"/>
      <c r="BB231" s="319"/>
      <c r="BC231" s="319"/>
      <c r="BD231" s="319"/>
      <c r="BE231" s="319"/>
      <c r="BF231" s="319"/>
      <c r="BG231" s="319"/>
      <c r="BH231" s="319"/>
      <c r="BI231" s="319"/>
      <c r="BJ231" s="319"/>
      <c r="BK231" s="319"/>
      <c r="BL231" s="319"/>
      <c r="BM231" s="319"/>
      <c r="BN231" s="319"/>
      <c r="BO231" s="319"/>
      <c r="BP231" s="319"/>
      <c r="BQ231" s="319"/>
      <c r="BR231" s="319"/>
    </row>
    <row r="232" ht="14.25" customHeight="1">
      <c r="A232" s="195"/>
      <c r="B232" s="100"/>
      <c r="C232" s="100"/>
      <c r="D232" s="100"/>
      <c r="E232" s="100"/>
      <c r="F232" s="206"/>
      <c r="G232" s="206"/>
      <c r="H232" s="207"/>
      <c r="I232" s="207"/>
      <c r="J232" s="207"/>
      <c r="K232" s="207"/>
      <c r="L232" s="207"/>
      <c r="M232" s="207"/>
      <c r="N232" s="207"/>
      <c r="O232" s="207"/>
      <c r="P232" s="207"/>
      <c r="Q232" s="207"/>
      <c r="R232" s="207"/>
      <c r="S232" s="207"/>
      <c r="T232" s="207"/>
      <c r="U232" s="207"/>
      <c r="V232" s="207"/>
      <c r="W232" s="208"/>
      <c r="X232" s="208"/>
      <c r="Y232" s="208"/>
      <c r="Z232" s="208"/>
      <c r="AA232" s="208"/>
      <c r="AB232" s="208"/>
      <c r="AC232" s="208"/>
      <c r="AD232" s="208"/>
      <c r="AE232" s="208"/>
      <c r="AF232" s="208"/>
      <c r="AG232" s="208"/>
      <c r="AH232" s="208"/>
      <c r="AI232" s="100"/>
      <c r="AJ232" s="319"/>
      <c r="AK232" s="319"/>
      <c r="AL232" s="319"/>
      <c r="AM232" s="319"/>
      <c r="AN232" s="319"/>
      <c r="AO232" s="319"/>
      <c r="AP232" s="319"/>
      <c r="AQ232" s="319"/>
      <c r="AR232" s="319"/>
      <c r="AS232" s="319"/>
      <c r="AT232" s="319"/>
      <c r="AU232" s="319"/>
      <c r="AV232" s="319"/>
      <c r="AW232" s="319"/>
      <c r="AX232" s="319"/>
      <c r="AY232" s="319"/>
      <c r="AZ232" s="319"/>
      <c r="BA232" s="319"/>
      <c r="BB232" s="319"/>
      <c r="BC232" s="319"/>
      <c r="BD232" s="319"/>
      <c r="BE232" s="319"/>
      <c r="BF232" s="319"/>
      <c r="BG232" s="319"/>
      <c r="BH232" s="319"/>
      <c r="BI232" s="319"/>
      <c r="BJ232" s="319"/>
      <c r="BK232" s="319"/>
      <c r="BL232" s="319"/>
      <c r="BM232" s="319"/>
      <c r="BN232" s="319"/>
      <c r="BO232" s="319"/>
      <c r="BP232" s="319"/>
      <c r="BQ232" s="319"/>
      <c r="BR232" s="319"/>
    </row>
    <row r="233" ht="14.25" customHeight="1">
      <c r="A233" s="195"/>
      <c r="B233" s="100"/>
      <c r="C233" s="100"/>
      <c r="D233" s="100"/>
      <c r="E233" s="100"/>
      <c r="F233" s="206"/>
      <c r="G233" s="206"/>
      <c r="H233" s="207"/>
      <c r="I233" s="207"/>
      <c r="J233" s="207"/>
      <c r="K233" s="207"/>
      <c r="L233" s="207"/>
      <c r="M233" s="207"/>
      <c r="N233" s="207"/>
      <c r="O233" s="207"/>
      <c r="P233" s="207"/>
      <c r="Q233" s="207"/>
      <c r="R233" s="207"/>
      <c r="S233" s="207"/>
      <c r="T233" s="207"/>
      <c r="U233" s="207"/>
      <c r="V233" s="207"/>
      <c r="W233" s="208"/>
      <c r="X233" s="208"/>
      <c r="Y233" s="208"/>
      <c r="Z233" s="208"/>
      <c r="AA233" s="208"/>
      <c r="AB233" s="208"/>
      <c r="AC233" s="208"/>
      <c r="AD233" s="208"/>
      <c r="AE233" s="208"/>
      <c r="AF233" s="208"/>
      <c r="AG233" s="208"/>
      <c r="AH233" s="208"/>
      <c r="AI233" s="100"/>
      <c r="AJ233" s="319"/>
      <c r="AK233" s="319"/>
      <c r="AL233" s="319"/>
      <c r="AM233" s="319"/>
      <c r="AN233" s="319"/>
      <c r="AO233" s="319"/>
      <c r="AP233" s="319"/>
      <c r="AQ233" s="319"/>
      <c r="AR233" s="319"/>
      <c r="AS233" s="319"/>
      <c r="AT233" s="319"/>
      <c r="AU233" s="319"/>
      <c r="AV233" s="319"/>
      <c r="AW233" s="319"/>
      <c r="AX233" s="319"/>
      <c r="AY233" s="319"/>
      <c r="AZ233" s="319"/>
      <c r="BA233" s="319"/>
      <c r="BB233" s="319"/>
      <c r="BC233" s="319"/>
      <c r="BD233" s="319"/>
      <c r="BE233" s="319"/>
      <c r="BF233" s="319"/>
      <c r="BG233" s="319"/>
      <c r="BH233" s="319"/>
      <c r="BI233" s="319"/>
      <c r="BJ233" s="319"/>
      <c r="BK233" s="319"/>
      <c r="BL233" s="319"/>
      <c r="BM233" s="319"/>
      <c r="BN233" s="319"/>
      <c r="BO233" s="319"/>
      <c r="BP233" s="319"/>
      <c r="BQ233" s="319"/>
      <c r="BR233" s="319"/>
    </row>
    <row r="234" ht="14.25" customHeight="1">
      <c r="A234" s="195"/>
      <c r="B234" s="100"/>
      <c r="C234" s="100"/>
      <c r="D234" s="100"/>
      <c r="E234" s="100"/>
      <c r="F234" s="206"/>
      <c r="G234" s="206"/>
      <c r="H234" s="207"/>
      <c r="I234" s="207"/>
      <c r="J234" s="207"/>
      <c r="K234" s="207"/>
      <c r="L234" s="207"/>
      <c r="M234" s="207"/>
      <c r="N234" s="207"/>
      <c r="O234" s="207"/>
      <c r="P234" s="207"/>
      <c r="Q234" s="207"/>
      <c r="R234" s="207"/>
      <c r="S234" s="207"/>
      <c r="T234" s="207"/>
      <c r="U234" s="207"/>
      <c r="V234" s="207"/>
      <c r="W234" s="208"/>
      <c r="X234" s="208"/>
      <c r="Y234" s="208"/>
      <c r="Z234" s="208"/>
      <c r="AA234" s="208"/>
      <c r="AB234" s="208"/>
      <c r="AC234" s="208"/>
      <c r="AD234" s="208"/>
      <c r="AE234" s="208"/>
      <c r="AF234" s="208"/>
      <c r="AG234" s="208"/>
      <c r="AH234" s="208"/>
      <c r="AI234" s="100"/>
      <c r="AJ234" s="319"/>
      <c r="AK234" s="319"/>
      <c r="AL234" s="319"/>
      <c r="AM234" s="319"/>
      <c r="AN234" s="319"/>
      <c r="AO234" s="319"/>
      <c r="AP234" s="319"/>
      <c r="AQ234" s="319"/>
      <c r="AR234" s="319"/>
      <c r="AS234" s="319"/>
      <c r="AT234" s="319"/>
      <c r="AU234" s="319"/>
      <c r="AV234" s="319"/>
      <c r="AW234" s="319"/>
      <c r="AX234" s="319"/>
      <c r="AY234" s="319"/>
      <c r="AZ234" s="319"/>
      <c r="BA234" s="319"/>
      <c r="BB234" s="319"/>
      <c r="BC234" s="319"/>
      <c r="BD234" s="319"/>
      <c r="BE234" s="319"/>
      <c r="BF234" s="319"/>
      <c r="BG234" s="319"/>
      <c r="BH234" s="319"/>
      <c r="BI234" s="319"/>
      <c r="BJ234" s="319"/>
      <c r="BK234" s="319"/>
      <c r="BL234" s="319"/>
      <c r="BM234" s="319"/>
      <c r="BN234" s="319"/>
      <c r="BO234" s="319"/>
      <c r="BP234" s="319"/>
      <c r="BQ234" s="319"/>
      <c r="BR234" s="319"/>
    </row>
    <row r="235" ht="14.25" customHeight="1">
      <c r="A235" s="195"/>
      <c r="B235" s="100"/>
      <c r="C235" s="100"/>
      <c r="D235" s="100"/>
      <c r="E235" s="100"/>
      <c r="F235" s="206"/>
      <c r="G235" s="206"/>
      <c r="H235" s="207"/>
      <c r="I235" s="207"/>
      <c r="J235" s="207"/>
      <c r="K235" s="207"/>
      <c r="L235" s="207"/>
      <c r="M235" s="207"/>
      <c r="N235" s="207"/>
      <c r="O235" s="207"/>
      <c r="P235" s="207"/>
      <c r="Q235" s="207"/>
      <c r="R235" s="207"/>
      <c r="S235" s="207"/>
      <c r="T235" s="207"/>
      <c r="U235" s="207"/>
      <c r="V235" s="207"/>
      <c r="W235" s="208"/>
      <c r="X235" s="208"/>
      <c r="Y235" s="208"/>
      <c r="Z235" s="208"/>
      <c r="AA235" s="208"/>
      <c r="AB235" s="208"/>
      <c r="AC235" s="208"/>
      <c r="AD235" s="208"/>
      <c r="AE235" s="208"/>
      <c r="AF235" s="208"/>
      <c r="AG235" s="208"/>
      <c r="AH235" s="208"/>
      <c r="AI235" s="100"/>
      <c r="AJ235" s="319"/>
      <c r="AK235" s="319"/>
      <c r="AL235" s="319"/>
      <c r="AM235" s="319"/>
      <c r="AN235" s="319"/>
      <c r="AO235" s="319"/>
      <c r="AP235" s="319"/>
      <c r="AQ235" s="319"/>
      <c r="AR235" s="319"/>
      <c r="AS235" s="319"/>
      <c r="AT235" s="319"/>
      <c r="AU235" s="319"/>
      <c r="AV235" s="319"/>
      <c r="AW235" s="319"/>
      <c r="AX235" s="319"/>
      <c r="AY235" s="319"/>
      <c r="AZ235" s="319"/>
      <c r="BA235" s="319"/>
      <c r="BB235" s="319"/>
      <c r="BC235" s="319"/>
      <c r="BD235" s="319"/>
      <c r="BE235" s="319"/>
      <c r="BF235" s="319"/>
      <c r="BG235" s="319"/>
      <c r="BH235" s="319"/>
      <c r="BI235" s="319"/>
      <c r="BJ235" s="319"/>
      <c r="BK235" s="319"/>
      <c r="BL235" s="319"/>
      <c r="BM235" s="319"/>
      <c r="BN235" s="319"/>
      <c r="BO235" s="319"/>
      <c r="BP235" s="319"/>
      <c r="BQ235" s="319"/>
      <c r="BR235" s="319"/>
    </row>
    <row r="236" ht="14.25" customHeight="1">
      <c r="A236" s="195"/>
      <c r="B236" s="100"/>
      <c r="C236" s="100"/>
      <c r="D236" s="100"/>
      <c r="E236" s="100"/>
      <c r="F236" s="206"/>
      <c r="G236" s="206"/>
      <c r="H236" s="207"/>
      <c r="I236" s="207"/>
      <c r="J236" s="207"/>
      <c r="K236" s="207"/>
      <c r="L236" s="207"/>
      <c r="M236" s="207"/>
      <c r="N236" s="207"/>
      <c r="O236" s="207"/>
      <c r="P236" s="207"/>
      <c r="Q236" s="207"/>
      <c r="R236" s="207"/>
      <c r="S236" s="207"/>
      <c r="T236" s="207"/>
      <c r="U236" s="207"/>
      <c r="V236" s="207"/>
      <c r="W236" s="208"/>
      <c r="X236" s="208"/>
      <c r="Y236" s="208"/>
      <c r="Z236" s="208"/>
      <c r="AA236" s="208"/>
      <c r="AB236" s="208"/>
      <c r="AC236" s="208"/>
      <c r="AD236" s="208"/>
      <c r="AE236" s="208"/>
      <c r="AF236" s="208"/>
      <c r="AG236" s="208"/>
      <c r="AH236" s="208"/>
      <c r="AI236" s="100"/>
      <c r="AJ236" s="319"/>
      <c r="AK236" s="319"/>
      <c r="AL236" s="319"/>
      <c r="AM236" s="319"/>
      <c r="AN236" s="319"/>
      <c r="AO236" s="319"/>
      <c r="AP236" s="319"/>
      <c r="AQ236" s="319"/>
      <c r="AR236" s="319"/>
      <c r="AS236" s="319"/>
      <c r="AT236" s="319"/>
      <c r="AU236" s="319"/>
      <c r="AV236" s="319"/>
      <c r="AW236" s="319"/>
      <c r="AX236" s="319"/>
      <c r="AY236" s="319"/>
      <c r="AZ236" s="319"/>
      <c r="BA236" s="319"/>
      <c r="BB236" s="319"/>
      <c r="BC236" s="319"/>
      <c r="BD236" s="319"/>
      <c r="BE236" s="319"/>
      <c r="BF236" s="319"/>
      <c r="BG236" s="319"/>
      <c r="BH236" s="319"/>
      <c r="BI236" s="319"/>
      <c r="BJ236" s="319"/>
      <c r="BK236" s="319"/>
      <c r="BL236" s="319"/>
      <c r="BM236" s="319"/>
      <c r="BN236" s="319"/>
      <c r="BO236" s="319"/>
      <c r="BP236" s="319"/>
      <c r="BQ236" s="319"/>
      <c r="BR236" s="319"/>
    </row>
    <row r="237" ht="14.25" customHeight="1">
      <c r="A237" s="195"/>
      <c r="B237" s="100"/>
      <c r="C237" s="100"/>
      <c r="D237" s="100"/>
      <c r="E237" s="100"/>
      <c r="F237" s="206"/>
      <c r="G237" s="206"/>
      <c r="H237" s="207"/>
      <c r="I237" s="207"/>
      <c r="J237" s="207"/>
      <c r="K237" s="207"/>
      <c r="L237" s="207"/>
      <c r="M237" s="207"/>
      <c r="N237" s="207"/>
      <c r="O237" s="207"/>
      <c r="P237" s="207"/>
      <c r="Q237" s="207"/>
      <c r="R237" s="207"/>
      <c r="S237" s="207"/>
      <c r="T237" s="207"/>
      <c r="U237" s="207"/>
      <c r="V237" s="207"/>
      <c r="W237" s="208"/>
      <c r="X237" s="208"/>
      <c r="Y237" s="208"/>
      <c r="Z237" s="208"/>
      <c r="AA237" s="208"/>
      <c r="AB237" s="208"/>
      <c r="AC237" s="208"/>
      <c r="AD237" s="208"/>
      <c r="AE237" s="208"/>
      <c r="AF237" s="208"/>
      <c r="AG237" s="208"/>
      <c r="AH237" s="208"/>
      <c r="AI237" s="100"/>
      <c r="AJ237" s="319"/>
      <c r="AK237" s="319"/>
      <c r="AL237" s="319"/>
      <c r="AM237" s="319"/>
      <c r="AN237" s="319"/>
      <c r="AO237" s="319"/>
      <c r="AP237" s="319"/>
      <c r="AQ237" s="319"/>
      <c r="AR237" s="319"/>
      <c r="AS237" s="319"/>
      <c r="AT237" s="319"/>
      <c r="AU237" s="319"/>
      <c r="AV237" s="319"/>
      <c r="AW237" s="319"/>
      <c r="AX237" s="319"/>
      <c r="AY237" s="319"/>
      <c r="AZ237" s="319"/>
      <c r="BA237" s="319"/>
      <c r="BB237" s="319"/>
      <c r="BC237" s="319"/>
      <c r="BD237" s="319"/>
      <c r="BE237" s="319"/>
      <c r="BF237" s="319"/>
      <c r="BG237" s="319"/>
      <c r="BH237" s="319"/>
      <c r="BI237" s="319"/>
      <c r="BJ237" s="319"/>
      <c r="BK237" s="319"/>
      <c r="BL237" s="319"/>
      <c r="BM237" s="319"/>
      <c r="BN237" s="319"/>
      <c r="BO237" s="319"/>
      <c r="BP237" s="319"/>
      <c r="BQ237" s="319"/>
      <c r="BR237" s="319"/>
    </row>
    <row r="238" ht="14.25" customHeight="1">
      <c r="A238" s="195"/>
      <c r="B238" s="100"/>
      <c r="C238" s="100"/>
      <c r="D238" s="100"/>
      <c r="E238" s="100"/>
      <c r="F238" s="206"/>
      <c r="G238" s="206"/>
      <c r="H238" s="207"/>
      <c r="I238" s="207"/>
      <c r="J238" s="207"/>
      <c r="K238" s="207"/>
      <c r="L238" s="207"/>
      <c r="M238" s="207"/>
      <c r="N238" s="207"/>
      <c r="O238" s="207"/>
      <c r="P238" s="207"/>
      <c r="Q238" s="207"/>
      <c r="R238" s="207"/>
      <c r="S238" s="207"/>
      <c r="T238" s="207"/>
      <c r="U238" s="207"/>
      <c r="V238" s="207"/>
      <c r="W238" s="208"/>
      <c r="X238" s="208"/>
      <c r="Y238" s="208"/>
      <c r="Z238" s="208"/>
      <c r="AA238" s="208"/>
      <c r="AB238" s="208"/>
      <c r="AC238" s="208"/>
      <c r="AD238" s="208"/>
      <c r="AE238" s="208"/>
      <c r="AF238" s="208"/>
      <c r="AG238" s="208"/>
      <c r="AH238" s="208"/>
      <c r="AI238" s="100"/>
      <c r="AJ238" s="319"/>
      <c r="AK238" s="319"/>
      <c r="AL238" s="319"/>
      <c r="AM238" s="319"/>
      <c r="AN238" s="319"/>
      <c r="AO238" s="319"/>
      <c r="AP238" s="319"/>
      <c r="AQ238" s="319"/>
      <c r="AR238" s="319"/>
      <c r="AS238" s="319"/>
      <c r="AT238" s="319"/>
      <c r="AU238" s="319"/>
      <c r="AV238" s="319"/>
      <c r="AW238" s="319"/>
      <c r="AX238" s="319"/>
      <c r="AY238" s="319"/>
      <c r="AZ238" s="319"/>
      <c r="BA238" s="319"/>
      <c r="BB238" s="319"/>
      <c r="BC238" s="319"/>
      <c r="BD238" s="319"/>
      <c r="BE238" s="319"/>
      <c r="BF238" s="319"/>
      <c r="BG238" s="319"/>
      <c r="BH238" s="319"/>
      <c r="BI238" s="319"/>
      <c r="BJ238" s="319"/>
      <c r="BK238" s="319"/>
      <c r="BL238" s="319"/>
      <c r="BM238" s="319"/>
      <c r="BN238" s="319"/>
      <c r="BO238" s="319"/>
      <c r="BP238" s="319"/>
      <c r="BQ238" s="319"/>
      <c r="BR238" s="319"/>
    </row>
    <row r="239" ht="14.25" customHeight="1">
      <c r="A239" s="195"/>
      <c r="B239" s="100"/>
      <c r="C239" s="100"/>
      <c r="D239" s="100"/>
      <c r="E239" s="100"/>
      <c r="F239" s="206"/>
      <c r="G239" s="206"/>
      <c r="H239" s="207"/>
      <c r="I239" s="207"/>
      <c r="J239" s="207"/>
      <c r="K239" s="207"/>
      <c r="L239" s="207"/>
      <c r="M239" s="207"/>
      <c r="N239" s="207"/>
      <c r="O239" s="207"/>
      <c r="P239" s="207"/>
      <c r="Q239" s="207"/>
      <c r="R239" s="207"/>
      <c r="S239" s="207"/>
      <c r="T239" s="207"/>
      <c r="U239" s="207"/>
      <c r="V239" s="207"/>
      <c r="W239" s="208"/>
      <c r="X239" s="208"/>
      <c r="Y239" s="208"/>
      <c r="Z239" s="208"/>
      <c r="AA239" s="208"/>
      <c r="AB239" s="208"/>
      <c r="AC239" s="208"/>
      <c r="AD239" s="208"/>
      <c r="AE239" s="208"/>
      <c r="AF239" s="208"/>
      <c r="AG239" s="208"/>
      <c r="AH239" s="208"/>
      <c r="AI239" s="100"/>
      <c r="AJ239" s="319"/>
      <c r="AK239" s="319"/>
      <c r="AL239" s="319"/>
      <c r="AM239" s="319"/>
      <c r="AN239" s="319"/>
      <c r="AO239" s="319"/>
      <c r="AP239" s="319"/>
      <c r="AQ239" s="319"/>
      <c r="AR239" s="319"/>
      <c r="AS239" s="319"/>
      <c r="AT239" s="319"/>
      <c r="AU239" s="319"/>
      <c r="AV239" s="319"/>
      <c r="AW239" s="319"/>
      <c r="AX239" s="319"/>
      <c r="AY239" s="319"/>
      <c r="AZ239" s="319"/>
      <c r="BA239" s="319"/>
      <c r="BB239" s="319"/>
      <c r="BC239" s="319"/>
      <c r="BD239" s="319"/>
      <c r="BE239" s="319"/>
      <c r="BF239" s="319"/>
      <c r="BG239" s="319"/>
      <c r="BH239" s="319"/>
      <c r="BI239" s="319"/>
      <c r="BJ239" s="319"/>
      <c r="BK239" s="319"/>
      <c r="BL239" s="319"/>
      <c r="BM239" s="319"/>
      <c r="BN239" s="319"/>
      <c r="BO239" s="319"/>
      <c r="BP239" s="319"/>
      <c r="BQ239" s="319"/>
      <c r="BR239" s="319"/>
    </row>
    <row r="240" ht="14.25" customHeight="1">
      <c r="A240" s="195"/>
      <c r="B240" s="100"/>
      <c r="C240" s="100"/>
      <c r="D240" s="100"/>
      <c r="E240" s="100"/>
      <c r="F240" s="206"/>
      <c r="G240" s="206"/>
      <c r="H240" s="207"/>
      <c r="I240" s="207"/>
      <c r="J240" s="207"/>
      <c r="K240" s="207"/>
      <c r="L240" s="207"/>
      <c r="M240" s="207"/>
      <c r="N240" s="207"/>
      <c r="O240" s="207"/>
      <c r="P240" s="207"/>
      <c r="Q240" s="207"/>
      <c r="R240" s="207"/>
      <c r="S240" s="207"/>
      <c r="T240" s="207"/>
      <c r="U240" s="207"/>
      <c r="V240" s="207"/>
      <c r="W240" s="208"/>
      <c r="X240" s="208"/>
      <c r="Y240" s="208"/>
      <c r="Z240" s="208"/>
      <c r="AA240" s="208"/>
      <c r="AB240" s="208"/>
      <c r="AC240" s="208"/>
      <c r="AD240" s="208"/>
      <c r="AE240" s="208"/>
      <c r="AF240" s="208"/>
      <c r="AG240" s="208"/>
      <c r="AH240" s="208"/>
      <c r="AI240" s="100"/>
      <c r="AJ240" s="319"/>
      <c r="AK240" s="319"/>
      <c r="AL240" s="319"/>
      <c r="AM240" s="319"/>
      <c r="AN240" s="319"/>
      <c r="AO240" s="319"/>
      <c r="AP240" s="319"/>
      <c r="AQ240" s="319"/>
      <c r="AR240" s="319"/>
      <c r="AS240" s="319"/>
      <c r="AT240" s="319"/>
      <c r="AU240" s="319"/>
      <c r="AV240" s="319"/>
      <c r="AW240" s="319"/>
      <c r="AX240" s="319"/>
      <c r="AY240" s="319"/>
      <c r="AZ240" s="319"/>
      <c r="BA240" s="319"/>
      <c r="BB240" s="319"/>
      <c r="BC240" s="319"/>
      <c r="BD240" s="319"/>
      <c r="BE240" s="319"/>
      <c r="BF240" s="319"/>
      <c r="BG240" s="319"/>
      <c r="BH240" s="319"/>
      <c r="BI240" s="319"/>
      <c r="BJ240" s="319"/>
      <c r="BK240" s="319"/>
      <c r="BL240" s="319"/>
      <c r="BM240" s="319"/>
      <c r="BN240" s="319"/>
      <c r="BO240" s="319"/>
      <c r="BP240" s="319"/>
      <c r="BQ240" s="319"/>
      <c r="BR240" s="319"/>
    </row>
    <row r="241" ht="14.25" customHeight="1">
      <c r="A241" s="195"/>
      <c r="B241" s="100"/>
      <c r="C241" s="100"/>
      <c r="D241" s="100"/>
      <c r="E241" s="100"/>
      <c r="F241" s="206"/>
      <c r="G241" s="206"/>
      <c r="H241" s="207"/>
      <c r="I241" s="207"/>
      <c r="J241" s="207"/>
      <c r="K241" s="207"/>
      <c r="L241" s="207"/>
      <c r="M241" s="207"/>
      <c r="N241" s="207"/>
      <c r="O241" s="207"/>
      <c r="P241" s="207"/>
      <c r="Q241" s="207"/>
      <c r="R241" s="207"/>
      <c r="S241" s="207"/>
      <c r="T241" s="207"/>
      <c r="U241" s="207"/>
      <c r="V241" s="207"/>
      <c r="W241" s="208"/>
      <c r="X241" s="208"/>
      <c r="Y241" s="208"/>
      <c r="Z241" s="208"/>
      <c r="AA241" s="208"/>
      <c r="AB241" s="208"/>
      <c r="AC241" s="208"/>
      <c r="AD241" s="208"/>
      <c r="AE241" s="208"/>
      <c r="AF241" s="208"/>
      <c r="AG241" s="208"/>
      <c r="AH241" s="208"/>
      <c r="AI241" s="100"/>
      <c r="AJ241" s="319"/>
      <c r="AK241" s="319"/>
      <c r="AL241" s="319"/>
      <c r="AM241" s="319"/>
      <c r="AN241" s="319"/>
      <c r="AO241" s="319"/>
      <c r="AP241" s="319"/>
      <c r="AQ241" s="319"/>
      <c r="AR241" s="319"/>
      <c r="AS241" s="319"/>
      <c r="AT241" s="319"/>
      <c r="AU241" s="319"/>
      <c r="AV241" s="319"/>
      <c r="AW241" s="319"/>
      <c r="AX241" s="319"/>
      <c r="AY241" s="319"/>
      <c r="AZ241" s="319"/>
      <c r="BA241" s="319"/>
      <c r="BB241" s="319"/>
      <c r="BC241" s="319"/>
      <c r="BD241" s="319"/>
      <c r="BE241" s="319"/>
      <c r="BF241" s="319"/>
      <c r="BG241" s="319"/>
      <c r="BH241" s="319"/>
      <c r="BI241" s="319"/>
      <c r="BJ241" s="319"/>
      <c r="BK241" s="319"/>
      <c r="BL241" s="319"/>
      <c r="BM241" s="319"/>
      <c r="BN241" s="319"/>
      <c r="BO241" s="319"/>
      <c r="BP241" s="319"/>
      <c r="BQ241" s="319"/>
      <c r="BR241" s="319"/>
    </row>
    <row r="242" ht="14.25" customHeight="1">
      <c r="A242" s="195"/>
      <c r="B242" s="100"/>
      <c r="C242" s="100"/>
      <c r="D242" s="100"/>
      <c r="E242" s="100"/>
      <c r="F242" s="206"/>
      <c r="G242" s="206"/>
      <c r="H242" s="207"/>
      <c r="I242" s="207"/>
      <c r="J242" s="207"/>
      <c r="K242" s="207"/>
      <c r="L242" s="207"/>
      <c r="M242" s="207"/>
      <c r="N242" s="207"/>
      <c r="O242" s="207"/>
      <c r="P242" s="207"/>
      <c r="Q242" s="207"/>
      <c r="R242" s="207"/>
      <c r="S242" s="207"/>
      <c r="T242" s="207"/>
      <c r="U242" s="207"/>
      <c r="V242" s="207"/>
      <c r="W242" s="208"/>
      <c r="X242" s="208"/>
      <c r="Y242" s="208"/>
      <c r="Z242" s="208"/>
      <c r="AA242" s="208"/>
      <c r="AB242" s="208"/>
      <c r="AC242" s="208"/>
      <c r="AD242" s="208"/>
      <c r="AE242" s="208"/>
      <c r="AF242" s="208"/>
      <c r="AG242" s="208"/>
      <c r="AH242" s="208"/>
      <c r="AI242" s="100"/>
      <c r="AJ242" s="319"/>
      <c r="AK242" s="319"/>
      <c r="AL242" s="319"/>
      <c r="AM242" s="319"/>
      <c r="AN242" s="319"/>
      <c r="AO242" s="319"/>
      <c r="AP242" s="319"/>
      <c r="AQ242" s="319"/>
      <c r="AR242" s="319"/>
      <c r="AS242" s="319"/>
      <c r="AT242" s="319"/>
      <c r="AU242" s="319"/>
      <c r="AV242" s="319"/>
      <c r="AW242" s="319"/>
      <c r="AX242" s="319"/>
      <c r="AY242" s="319"/>
      <c r="AZ242" s="319"/>
      <c r="BA242" s="319"/>
      <c r="BB242" s="319"/>
      <c r="BC242" s="319"/>
      <c r="BD242" s="319"/>
      <c r="BE242" s="319"/>
      <c r="BF242" s="319"/>
      <c r="BG242" s="319"/>
      <c r="BH242" s="319"/>
      <c r="BI242" s="319"/>
      <c r="BJ242" s="319"/>
      <c r="BK242" s="319"/>
      <c r="BL242" s="319"/>
      <c r="BM242" s="319"/>
      <c r="BN242" s="319"/>
      <c r="BO242" s="319"/>
      <c r="BP242" s="319"/>
      <c r="BQ242" s="319"/>
      <c r="BR242" s="319"/>
    </row>
    <row r="243" ht="14.25" customHeight="1">
      <c r="A243" s="195"/>
      <c r="B243" s="100"/>
      <c r="C243" s="100"/>
      <c r="D243" s="100"/>
      <c r="E243" s="100"/>
      <c r="F243" s="206"/>
      <c r="G243" s="206"/>
      <c r="H243" s="207"/>
      <c r="I243" s="207"/>
      <c r="J243" s="207"/>
      <c r="K243" s="207"/>
      <c r="L243" s="207"/>
      <c r="M243" s="207"/>
      <c r="N243" s="207"/>
      <c r="O243" s="207"/>
      <c r="P243" s="207"/>
      <c r="Q243" s="207"/>
      <c r="R243" s="207"/>
      <c r="S243" s="207"/>
      <c r="T243" s="207"/>
      <c r="U243" s="207"/>
      <c r="V243" s="207"/>
      <c r="W243" s="208"/>
      <c r="X243" s="208"/>
      <c r="Y243" s="208"/>
      <c r="Z243" s="208"/>
      <c r="AA243" s="208"/>
      <c r="AB243" s="208"/>
      <c r="AC243" s="208"/>
      <c r="AD243" s="208"/>
      <c r="AE243" s="208"/>
      <c r="AF243" s="208"/>
      <c r="AG243" s="208"/>
      <c r="AH243" s="208"/>
      <c r="AI243" s="100"/>
      <c r="AJ243" s="319"/>
      <c r="AK243" s="319"/>
      <c r="AL243" s="319"/>
      <c r="AM243" s="319"/>
      <c r="AN243" s="319"/>
      <c r="AO243" s="319"/>
      <c r="AP243" s="319"/>
      <c r="AQ243" s="319"/>
      <c r="AR243" s="319"/>
      <c r="AS243" s="319"/>
      <c r="AT243" s="319"/>
      <c r="AU243" s="319"/>
      <c r="AV243" s="319"/>
      <c r="AW243" s="319"/>
      <c r="AX243" s="319"/>
      <c r="AY243" s="319"/>
      <c r="AZ243" s="319"/>
      <c r="BA243" s="319"/>
      <c r="BB243" s="319"/>
      <c r="BC243" s="319"/>
      <c r="BD243" s="319"/>
      <c r="BE243" s="319"/>
      <c r="BF243" s="319"/>
      <c r="BG243" s="319"/>
      <c r="BH243" s="319"/>
      <c r="BI243" s="319"/>
      <c r="BJ243" s="319"/>
      <c r="BK243" s="319"/>
      <c r="BL243" s="319"/>
      <c r="BM243" s="319"/>
      <c r="BN243" s="319"/>
      <c r="BO243" s="319"/>
      <c r="BP243" s="319"/>
      <c r="BQ243" s="319"/>
      <c r="BR243" s="319"/>
    </row>
    <row r="244" ht="14.25" customHeight="1">
      <c r="A244" s="195"/>
      <c r="B244" s="100"/>
      <c r="C244" s="100"/>
      <c r="D244" s="100"/>
      <c r="E244" s="100"/>
      <c r="F244" s="206"/>
      <c r="G244" s="206"/>
      <c r="H244" s="207"/>
      <c r="I244" s="207"/>
      <c r="J244" s="207"/>
      <c r="K244" s="207"/>
      <c r="L244" s="207"/>
      <c r="M244" s="207"/>
      <c r="N244" s="207"/>
      <c r="O244" s="207"/>
      <c r="P244" s="207"/>
      <c r="Q244" s="207"/>
      <c r="R244" s="207"/>
      <c r="S244" s="207"/>
      <c r="T244" s="207"/>
      <c r="U244" s="207"/>
      <c r="V244" s="207"/>
      <c r="W244" s="208"/>
      <c r="X244" s="208"/>
      <c r="Y244" s="208"/>
      <c r="Z244" s="208"/>
      <c r="AA244" s="208"/>
      <c r="AB244" s="208"/>
      <c r="AC244" s="208"/>
      <c r="AD244" s="208"/>
      <c r="AE244" s="208"/>
      <c r="AF244" s="208"/>
      <c r="AG244" s="208"/>
      <c r="AH244" s="208"/>
      <c r="AI244" s="100"/>
      <c r="AJ244" s="319"/>
      <c r="AK244" s="319"/>
      <c r="AL244" s="319"/>
      <c r="AM244" s="319"/>
      <c r="AN244" s="319"/>
      <c r="AO244" s="319"/>
      <c r="AP244" s="319"/>
      <c r="AQ244" s="319"/>
      <c r="AR244" s="319"/>
      <c r="AS244" s="319"/>
      <c r="AT244" s="319"/>
      <c r="AU244" s="319"/>
      <c r="AV244" s="319"/>
      <c r="AW244" s="319"/>
      <c r="AX244" s="319"/>
      <c r="AY244" s="319"/>
      <c r="AZ244" s="319"/>
      <c r="BA244" s="319"/>
      <c r="BB244" s="319"/>
      <c r="BC244" s="319"/>
      <c r="BD244" s="319"/>
      <c r="BE244" s="319"/>
      <c r="BF244" s="319"/>
      <c r="BG244" s="319"/>
      <c r="BH244" s="319"/>
      <c r="BI244" s="319"/>
      <c r="BJ244" s="319"/>
      <c r="BK244" s="319"/>
      <c r="BL244" s="319"/>
      <c r="BM244" s="319"/>
      <c r="BN244" s="319"/>
      <c r="BO244" s="319"/>
      <c r="BP244" s="319"/>
      <c r="BQ244" s="319"/>
      <c r="BR244" s="319"/>
    </row>
    <row r="245" ht="14.25" customHeight="1">
      <c r="A245" s="195"/>
      <c r="B245" s="100"/>
      <c r="C245" s="100"/>
      <c r="D245" s="100"/>
      <c r="E245" s="100"/>
      <c r="F245" s="206"/>
      <c r="G245" s="206"/>
      <c r="H245" s="207"/>
      <c r="I245" s="207"/>
      <c r="J245" s="207"/>
      <c r="K245" s="207"/>
      <c r="L245" s="207"/>
      <c r="M245" s="207"/>
      <c r="N245" s="207"/>
      <c r="O245" s="207"/>
      <c r="P245" s="207"/>
      <c r="Q245" s="207"/>
      <c r="R245" s="207"/>
      <c r="S245" s="207"/>
      <c r="T245" s="207"/>
      <c r="U245" s="207"/>
      <c r="V245" s="207"/>
      <c r="W245" s="208"/>
      <c r="X245" s="208"/>
      <c r="Y245" s="208"/>
      <c r="Z245" s="208"/>
      <c r="AA245" s="208"/>
      <c r="AB245" s="208"/>
      <c r="AC245" s="208"/>
      <c r="AD245" s="208"/>
      <c r="AE245" s="208"/>
      <c r="AF245" s="208"/>
      <c r="AG245" s="208"/>
      <c r="AH245" s="208"/>
      <c r="AI245" s="100"/>
      <c r="AJ245" s="319"/>
      <c r="AK245" s="319"/>
      <c r="AL245" s="319"/>
      <c r="AM245" s="319"/>
      <c r="AN245" s="319"/>
      <c r="AO245" s="319"/>
      <c r="AP245" s="319"/>
      <c r="AQ245" s="319"/>
      <c r="AR245" s="319"/>
      <c r="AS245" s="319"/>
      <c r="AT245" s="319"/>
      <c r="AU245" s="319"/>
      <c r="AV245" s="319"/>
      <c r="AW245" s="319"/>
      <c r="AX245" s="319"/>
      <c r="AY245" s="319"/>
      <c r="AZ245" s="319"/>
      <c r="BA245" s="319"/>
      <c r="BB245" s="319"/>
      <c r="BC245" s="319"/>
      <c r="BD245" s="319"/>
      <c r="BE245" s="319"/>
      <c r="BF245" s="319"/>
      <c r="BG245" s="319"/>
      <c r="BH245" s="319"/>
      <c r="BI245" s="319"/>
      <c r="BJ245" s="319"/>
      <c r="BK245" s="319"/>
      <c r="BL245" s="319"/>
      <c r="BM245" s="319"/>
      <c r="BN245" s="319"/>
      <c r="BO245" s="319"/>
      <c r="BP245" s="319"/>
      <c r="BQ245" s="319"/>
      <c r="BR245" s="319"/>
    </row>
    <row r="246" ht="14.25" customHeight="1">
      <c r="A246" s="195"/>
      <c r="B246" s="100"/>
      <c r="C246" s="100"/>
      <c r="D246" s="100"/>
      <c r="E246" s="100"/>
      <c r="F246" s="206"/>
      <c r="G246" s="206"/>
      <c r="H246" s="207"/>
      <c r="I246" s="207"/>
      <c r="J246" s="207"/>
      <c r="K246" s="207"/>
      <c r="L246" s="207"/>
      <c r="M246" s="207"/>
      <c r="N246" s="207"/>
      <c r="O246" s="207"/>
      <c r="P246" s="207"/>
      <c r="Q246" s="207"/>
      <c r="R246" s="207"/>
      <c r="S246" s="207"/>
      <c r="T246" s="207"/>
      <c r="U246" s="207"/>
      <c r="V246" s="207"/>
      <c r="W246" s="208"/>
      <c r="X246" s="208"/>
      <c r="Y246" s="208"/>
      <c r="Z246" s="208"/>
      <c r="AA246" s="208"/>
      <c r="AB246" s="208"/>
      <c r="AC246" s="208"/>
      <c r="AD246" s="208"/>
      <c r="AE246" s="208"/>
      <c r="AF246" s="208"/>
      <c r="AG246" s="208"/>
      <c r="AH246" s="208"/>
      <c r="AI246" s="100"/>
      <c r="AJ246" s="319"/>
      <c r="AK246" s="319"/>
      <c r="AL246" s="319"/>
      <c r="AM246" s="319"/>
      <c r="AN246" s="319"/>
      <c r="AO246" s="319"/>
      <c r="AP246" s="319"/>
      <c r="AQ246" s="319"/>
      <c r="AR246" s="319"/>
      <c r="AS246" s="319"/>
      <c r="AT246" s="319"/>
      <c r="AU246" s="319"/>
      <c r="AV246" s="319"/>
      <c r="AW246" s="319"/>
      <c r="AX246" s="319"/>
      <c r="AY246" s="319"/>
      <c r="AZ246" s="319"/>
      <c r="BA246" s="319"/>
      <c r="BB246" s="319"/>
      <c r="BC246" s="319"/>
      <c r="BD246" s="319"/>
      <c r="BE246" s="319"/>
      <c r="BF246" s="319"/>
      <c r="BG246" s="319"/>
      <c r="BH246" s="319"/>
      <c r="BI246" s="319"/>
      <c r="BJ246" s="319"/>
      <c r="BK246" s="319"/>
      <c r="BL246" s="319"/>
      <c r="BM246" s="319"/>
      <c r="BN246" s="319"/>
      <c r="BO246" s="319"/>
      <c r="BP246" s="319"/>
      <c r="BQ246" s="319"/>
      <c r="BR246" s="319"/>
    </row>
    <row r="247" ht="14.25" customHeight="1">
      <c r="A247" s="195"/>
      <c r="B247" s="100"/>
      <c r="C247" s="100"/>
      <c r="D247" s="100"/>
      <c r="E247" s="100"/>
      <c r="F247" s="206"/>
      <c r="G247" s="206"/>
      <c r="H247" s="207"/>
      <c r="I247" s="207"/>
      <c r="J247" s="207"/>
      <c r="K247" s="207"/>
      <c r="L247" s="207"/>
      <c r="M247" s="207"/>
      <c r="N247" s="207"/>
      <c r="O247" s="207"/>
      <c r="P247" s="207"/>
      <c r="Q247" s="207"/>
      <c r="R247" s="207"/>
      <c r="S247" s="207"/>
      <c r="T247" s="207"/>
      <c r="U247" s="207"/>
      <c r="V247" s="207"/>
      <c r="W247" s="208"/>
      <c r="X247" s="208"/>
      <c r="Y247" s="208"/>
      <c r="Z247" s="208"/>
      <c r="AA247" s="208"/>
      <c r="AB247" s="208"/>
      <c r="AC247" s="208"/>
      <c r="AD247" s="208"/>
      <c r="AE247" s="208"/>
      <c r="AF247" s="208"/>
      <c r="AG247" s="208"/>
      <c r="AH247" s="208"/>
      <c r="AI247" s="100"/>
      <c r="AJ247" s="319"/>
      <c r="AK247" s="319"/>
      <c r="AL247" s="319"/>
      <c r="AM247" s="319"/>
      <c r="AN247" s="319"/>
      <c r="AO247" s="319"/>
      <c r="AP247" s="319"/>
      <c r="AQ247" s="319"/>
      <c r="AR247" s="319"/>
      <c r="AS247" s="319"/>
      <c r="AT247" s="319"/>
      <c r="AU247" s="319"/>
      <c r="AV247" s="319"/>
      <c r="AW247" s="319"/>
      <c r="AX247" s="319"/>
      <c r="AY247" s="319"/>
      <c r="AZ247" s="319"/>
      <c r="BA247" s="319"/>
      <c r="BB247" s="319"/>
      <c r="BC247" s="319"/>
      <c r="BD247" s="319"/>
      <c r="BE247" s="319"/>
      <c r="BF247" s="319"/>
      <c r="BG247" s="319"/>
      <c r="BH247" s="319"/>
      <c r="BI247" s="319"/>
      <c r="BJ247" s="319"/>
      <c r="BK247" s="319"/>
      <c r="BL247" s="319"/>
      <c r="BM247" s="319"/>
      <c r="BN247" s="319"/>
      <c r="BO247" s="319"/>
      <c r="BP247" s="319"/>
      <c r="BQ247" s="319"/>
      <c r="BR247" s="319"/>
    </row>
    <row r="248" ht="14.25" customHeight="1">
      <c r="A248" s="195"/>
      <c r="B248" s="100"/>
      <c r="C248" s="100"/>
      <c r="D248" s="100"/>
      <c r="E248" s="100"/>
      <c r="F248" s="206"/>
      <c r="G248" s="206"/>
      <c r="H248" s="207"/>
      <c r="I248" s="207"/>
      <c r="J248" s="207"/>
      <c r="K248" s="207"/>
      <c r="L248" s="207"/>
      <c r="M248" s="207"/>
      <c r="N248" s="207"/>
      <c r="O248" s="207"/>
      <c r="P248" s="207"/>
      <c r="Q248" s="207"/>
      <c r="R248" s="207"/>
      <c r="S248" s="207"/>
      <c r="T248" s="207"/>
      <c r="U248" s="207"/>
      <c r="V248" s="207"/>
      <c r="W248" s="208"/>
      <c r="X248" s="208"/>
      <c r="Y248" s="208"/>
      <c r="Z248" s="208"/>
      <c r="AA248" s="208"/>
      <c r="AB248" s="208"/>
      <c r="AC248" s="208"/>
      <c r="AD248" s="208"/>
      <c r="AE248" s="208"/>
      <c r="AF248" s="208"/>
      <c r="AG248" s="208"/>
      <c r="AH248" s="208"/>
      <c r="AI248" s="100"/>
      <c r="AJ248" s="319"/>
      <c r="AK248" s="319"/>
      <c r="AL248" s="319"/>
      <c r="AM248" s="319"/>
      <c r="AN248" s="319"/>
      <c r="AO248" s="319"/>
      <c r="AP248" s="319"/>
      <c r="AQ248" s="319"/>
      <c r="AR248" s="319"/>
      <c r="AS248" s="319"/>
      <c r="AT248" s="319"/>
      <c r="AU248" s="319"/>
      <c r="AV248" s="319"/>
      <c r="AW248" s="319"/>
      <c r="AX248" s="319"/>
      <c r="AY248" s="319"/>
      <c r="AZ248" s="319"/>
      <c r="BA248" s="319"/>
      <c r="BB248" s="319"/>
      <c r="BC248" s="319"/>
      <c r="BD248" s="319"/>
      <c r="BE248" s="319"/>
      <c r="BF248" s="319"/>
      <c r="BG248" s="319"/>
      <c r="BH248" s="319"/>
      <c r="BI248" s="319"/>
      <c r="BJ248" s="319"/>
      <c r="BK248" s="319"/>
      <c r="BL248" s="319"/>
      <c r="BM248" s="319"/>
      <c r="BN248" s="319"/>
      <c r="BO248" s="319"/>
      <c r="BP248" s="319"/>
      <c r="BQ248" s="319"/>
      <c r="BR248" s="319"/>
    </row>
    <row r="249" ht="14.25" customHeight="1">
      <c r="A249" s="195"/>
      <c r="B249" s="100"/>
      <c r="C249" s="100"/>
      <c r="D249" s="100"/>
      <c r="E249" s="100"/>
      <c r="F249" s="206"/>
      <c r="G249" s="206"/>
      <c r="H249" s="207"/>
      <c r="I249" s="207"/>
      <c r="J249" s="207"/>
      <c r="K249" s="207"/>
      <c r="L249" s="207"/>
      <c r="M249" s="207"/>
      <c r="N249" s="207"/>
      <c r="O249" s="207"/>
      <c r="P249" s="207"/>
      <c r="Q249" s="207"/>
      <c r="R249" s="207"/>
      <c r="S249" s="207"/>
      <c r="T249" s="207"/>
      <c r="U249" s="207"/>
      <c r="V249" s="207"/>
      <c r="W249" s="208"/>
      <c r="X249" s="208"/>
      <c r="Y249" s="208"/>
      <c r="Z249" s="208"/>
      <c r="AA249" s="208"/>
      <c r="AB249" s="208"/>
      <c r="AC249" s="208"/>
      <c r="AD249" s="208"/>
      <c r="AE249" s="208"/>
      <c r="AF249" s="208"/>
      <c r="AG249" s="208"/>
      <c r="AH249" s="208"/>
      <c r="AI249" s="100"/>
      <c r="AJ249" s="319"/>
      <c r="AK249" s="319"/>
      <c r="AL249" s="319"/>
      <c r="AM249" s="319"/>
      <c r="AN249" s="319"/>
      <c r="AO249" s="319"/>
      <c r="AP249" s="319"/>
      <c r="AQ249" s="319"/>
      <c r="AR249" s="319"/>
      <c r="AS249" s="319"/>
      <c r="AT249" s="319"/>
      <c r="AU249" s="319"/>
      <c r="AV249" s="319"/>
      <c r="AW249" s="319"/>
      <c r="AX249" s="319"/>
      <c r="AY249" s="319"/>
      <c r="AZ249" s="319"/>
      <c r="BA249" s="319"/>
      <c r="BB249" s="319"/>
      <c r="BC249" s="319"/>
      <c r="BD249" s="319"/>
      <c r="BE249" s="319"/>
      <c r="BF249" s="319"/>
      <c r="BG249" s="319"/>
      <c r="BH249" s="319"/>
      <c r="BI249" s="319"/>
      <c r="BJ249" s="319"/>
      <c r="BK249" s="319"/>
      <c r="BL249" s="319"/>
      <c r="BM249" s="319"/>
      <c r="BN249" s="319"/>
      <c r="BO249" s="319"/>
      <c r="BP249" s="319"/>
      <c r="BQ249" s="319"/>
      <c r="BR249" s="319"/>
    </row>
    <row r="250" ht="14.25" customHeight="1">
      <c r="A250" s="195"/>
      <c r="B250" s="100"/>
      <c r="C250" s="100"/>
      <c r="D250" s="100"/>
      <c r="E250" s="100"/>
      <c r="F250" s="206"/>
      <c r="G250" s="206"/>
      <c r="H250" s="207"/>
      <c r="I250" s="207"/>
      <c r="J250" s="207"/>
      <c r="K250" s="207"/>
      <c r="L250" s="207"/>
      <c r="M250" s="207"/>
      <c r="N250" s="207"/>
      <c r="O250" s="207"/>
      <c r="P250" s="207"/>
      <c r="Q250" s="207"/>
      <c r="R250" s="207"/>
      <c r="S250" s="207"/>
      <c r="T250" s="207"/>
      <c r="U250" s="207"/>
      <c r="V250" s="207"/>
      <c r="W250" s="208"/>
      <c r="X250" s="208"/>
      <c r="Y250" s="208"/>
      <c r="Z250" s="208"/>
      <c r="AA250" s="208"/>
      <c r="AB250" s="208"/>
      <c r="AC250" s="208"/>
      <c r="AD250" s="208"/>
      <c r="AE250" s="208"/>
      <c r="AF250" s="208"/>
      <c r="AG250" s="208"/>
      <c r="AH250" s="208"/>
      <c r="AI250" s="100"/>
      <c r="AJ250" s="319"/>
      <c r="AK250" s="319"/>
      <c r="AL250" s="319"/>
      <c r="AM250" s="319"/>
      <c r="AN250" s="319"/>
      <c r="AO250" s="319"/>
      <c r="AP250" s="319"/>
      <c r="AQ250" s="319"/>
      <c r="AR250" s="319"/>
      <c r="AS250" s="319"/>
      <c r="AT250" s="319"/>
      <c r="AU250" s="319"/>
      <c r="AV250" s="319"/>
      <c r="AW250" s="319"/>
      <c r="AX250" s="319"/>
      <c r="AY250" s="319"/>
      <c r="AZ250" s="319"/>
      <c r="BA250" s="319"/>
      <c r="BB250" s="319"/>
      <c r="BC250" s="319"/>
      <c r="BD250" s="319"/>
      <c r="BE250" s="319"/>
      <c r="BF250" s="319"/>
      <c r="BG250" s="319"/>
      <c r="BH250" s="319"/>
      <c r="BI250" s="319"/>
      <c r="BJ250" s="319"/>
      <c r="BK250" s="319"/>
      <c r="BL250" s="319"/>
      <c r="BM250" s="319"/>
      <c r="BN250" s="319"/>
      <c r="BO250" s="319"/>
      <c r="BP250" s="319"/>
      <c r="BQ250" s="319"/>
      <c r="BR250" s="319"/>
    </row>
    <row r="251" ht="14.25" customHeight="1">
      <c r="A251" s="195"/>
      <c r="B251" s="100"/>
      <c r="C251" s="100"/>
      <c r="D251" s="100"/>
      <c r="E251" s="100"/>
      <c r="F251" s="206"/>
      <c r="G251" s="206"/>
      <c r="H251" s="207"/>
      <c r="I251" s="207"/>
      <c r="J251" s="207"/>
      <c r="K251" s="207"/>
      <c r="L251" s="207"/>
      <c r="M251" s="207"/>
      <c r="N251" s="207"/>
      <c r="O251" s="207"/>
      <c r="P251" s="207"/>
      <c r="Q251" s="207"/>
      <c r="R251" s="207"/>
      <c r="S251" s="207"/>
      <c r="T251" s="207"/>
      <c r="U251" s="207"/>
      <c r="V251" s="207"/>
      <c r="W251" s="208"/>
      <c r="X251" s="208"/>
      <c r="Y251" s="208"/>
      <c r="Z251" s="208"/>
      <c r="AA251" s="208"/>
      <c r="AB251" s="208"/>
      <c r="AC251" s="208"/>
      <c r="AD251" s="208"/>
      <c r="AE251" s="208"/>
      <c r="AF251" s="208"/>
      <c r="AG251" s="208"/>
      <c r="AH251" s="208"/>
      <c r="AI251" s="100"/>
      <c r="AJ251" s="319"/>
      <c r="AK251" s="319"/>
      <c r="AL251" s="319"/>
      <c r="AM251" s="319"/>
      <c r="AN251" s="319"/>
      <c r="AO251" s="319"/>
      <c r="AP251" s="319"/>
      <c r="AQ251" s="319"/>
      <c r="AR251" s="319"/>
      <c r="AS251" s="319"/>
      <c r="AT251" s="319"/>
      <c r="AU251" s="319"/>
      <c r="AV251" s="319"/>
      <c r="AW251" s="319"/>
      <c r="AX251" s="319"/>
      <c r="AY251" s="319"/>
      <c r="AZ251" s="319"/>
      <c r="BA251" s="319"/>
      <c r="BB251" s="319"/>
      <c r="BC251" s="319"/>
      <c r="BD251" s="319"/>
      <c r="BE251" s="319"/>
      <c r="BF251" s="319"/>
      <c r="BG251" s="319"/>
      <c r="BH251" s="319"/>
      <c r="BI251" s="319"/>
      <c r="BJ251" s="319"/>
      <c r="BK251" s="319"/>
      <c r="BL251" s="319"/>
      <c r="BM251" s="319"/>
      <c r="BN251" s="319"/>
      <c r="BO251" s="319"/>
      <c r="BP251" s="319"/>
      <c r="BQ251" s="319"/>
      <c r="BR251" s="319"/>
    </row>
    <row r="252" ht="14.25" customHeight="1">
      <c r="A252" s="195"/>
      <c r="B252" s="100"/>
      <c r="C252" s="100"/>
      <c r="D252" s="100"/>
      <c r="E252" s="100"/>
      <c r="F252" s="206"/>
      <c r="G252" s="206"/>
      <c r="H252" s="207"/>
      <c r="I252" s="207"/>
      <c r="J252" s="207"/>
      <c r="K252" s="207"/>
      <c r="L252" s="207"/>
      <c r="M252" s="207"/>
      <c r="N252" s="207"/>
      <c r="O252" s="207"/>
      <c r="P252" s="207"/>
      <c r="Q252" s="207"/>
      <c r="R252" s="207"/>
      <c r="S252" s="207"/>
      <c r="T252" s="207"/>
      <c r="U252" s="207"/>
      <c r="V252" s="207"/>
      <c r="W252" s="208"/>
      <c r="X252" s="208"/>
      <c r="Y252" s="208"/>
      <c r="Z252" s="208"/>
      <c r="AA252" s="208"/>
      <c r="AB252" s="208"/>
      <c r="AC252" s="208"/>
      <c r="AD252" s="208"/>
      <c r="AE252" s="208"/>
      <c r="AF252" s="208"/>
      <c r="AG252" s="208"/>
      <c r="AH252" s="208"/>
      <c r="AI252" s="100"/>
      <c r="AJ252" s="319"/>
      <c r="AK252" s="319"/>
      <c r="AL252" s="319"/>
      <c r="AM252" s="319"/>
      <c r="AN252" s="319"/>
      <c r="AO252" s="319"/>
      <c r="AP252" s="319"/>
      <c r="AQ252" s="319"/>
      <c r="AR252" s="319"/>
      <c r="AS252" s="319"/>
      <c r="AT252" s="319"/>
      <c r="AU252" s="319"/>
      <c r="AV252" s="319"/>
      <c r="AW252" s="319"/>
      <c r="AX252" s="319"/>
      <c r="AY252" s="319"/>
      <c r="AZ252" s="319"/>
      <c r="BA252" s="319"/>
      <c r="BB252" s="319"/>
      <c r="BC252" s="319"/>
      <c r="BD252" s="319"/>
      <c r="BE252" s="319"/>
      <c r="BF252" s="319"/>
      <c r="BG252" s="319"/>
      <c r="BH252" s="319"/>
      <c r="BI252" s="319"/>
      <c r="BJ252" s="319"/>
      <c r="BK252" s="319"/>
      <c r="BL252" s="319"/>
      <c r="BM252" s="319"/>
      <c r="BN252" s="319"/>
      <c r="BO252" s="319"/>
      <c r="BP252" s="319"/>
      <c r="BQ252" s="319"/>
      <c r="BR252" s="319"/>
    </row>
    <row r="253" ht="14.25" customHeight="1">
      <c r="A253" s="195"/>
      <c r="B253" s="100"/>
      <c r="C253" s="100"/>
      <c r="D253" s="100"/>
      <c r="E253" s="100"/>
      <c r="F253" s="206"/>
      <c r="G253" s="206"/>
      <c r="H253" s="207"/>
      <c r="I253" s="207"/>
      <c r="J253" s="207"/>
      <c r="K253" s="207"/>
      <c r="L253" s="207"/>
      <c r="M253" s="207"/>
      <c r="N253" s="207"/>
      <c r="O253" s="207"/>
      <c r="P253" s="207"/>
      <c r="Q253" s="207"/>
      <c r="R253" s="207"/>
      <c r="S253" s="207"/>
      <c r="T253" s="207"/>
      <c r="U253" s="207"/>
      <c r="V253" s="207"/>
      <c r="W253" s="208"/>
      <c r="X253" s="208"/>
      <c r="Y253" s="208"/>
      <c r="Z253" s="208"/>
      <c r="AA253" s="208"/>
      <c r="AB253" s="208"/>
      <c r="AC253" s="208"/>
      <c r="AD253" s="208"/>
      <c r="AE253" s="208"/>
      <c r="AF253" s="208"/>
      <c r="AG253" s="208"/>
      <c r="AH253" s="208"/>
      <c r="AI253" s="100"/>
      <c r="AJ253" s="319"/>
      <c r="AK253" s="319"/>
      <c r="AL253" s="319"/>
      <c r="AM253" s="319"/>
      <c r="AN253" s="319"/>
      <c r="AO253" s="319"/>
      <c r="AP253" s="319"/>
      <c r="AQ253" s="319"/>
      <c r="AR253" s="319"/>
      <c r="AS253" s="319"/>
      <c r="AT253" s="319"/>
      <c r="AU253" s="319"/>
      <c r="AV253" s="319"/>
      <c r="AW253" s="319"/>
      <c r="AX253" s="319"/>
      <c r="AY253" s="319"/>
      <c r="AZ253" s="319"/>
      <c r="BA253" s="319"/>
      <c r="BB253" s="319"/>
      <c r="BC253" s="319"/>
      <c r="BD253" s="319"/>
      <c r="BE253" s="319"/>
      <c r="BF253" s="319"/>
      <c r="BG253" s="319"/>
      <c r="BH253" s="319"/>
      <c r="BI253" s="319"/>
      <c r="BJ253" s="319"/>
      <c r="BK253" s="319"/>
      <c r="BL253" s="319"/>
      <c r="BM253" s="319"/>
      <c r="BN253" s="319"/>
      <c r="BO253" s="319"/>
      <c r="BP253" s="319"/>
      <c r="BQ253" s="319"/>
      <c r="BR253" s="319"/>
    </row>
    <row r="254" ht="14.25" customHeight="1">
      <c r="A254" s="195"/>
      <c r="B254" s="100"/>
      <c r="C254" s="100"/>
      <c r="D254" s="100"/>
      <c r="E254" s="100"/>
      <c r="F254" s="206"/>
      <c r="G254" s="206"/>
      <c r="H254" s="207"/>
      <c r="I254" s="207"/>
      <c r="J254" s="207"/>
      <c r="K254" s="207"/>
      <c r="L254" s="207"/>
      <c r="M254" s="207"/>
      <c r="N254" s="207"/>
      <c r="O254" s="207"/>
      <c r="P254" s="207"/>
      <c r="Q254" s="207"/>
      <c r="R254" s="207"/>
      <c r="S254" s="207"/>
      <c r="T254" s="207"/>
      <c r="U254" s="207"/>
      <c r="V254" s="207"/>
      <c r="W254" s="208"/>
      <c r="X254" s="208"/>
      <c r="Y254" s="208"/>
      <c r="Z254" s="208"/>
      <c r="AA254" s="208"/>
      <c r="AB254" s="208"/>
      <c r="AC254" s="208"/>
      <c r="AD254" s="208"/>
      <c r="AE254" s="208"/>
      <c r="AF254" s="208"/>
      <c r="AG254" s="208"/>
      <c r="AH254" s="208"/>
      <c r="AI254" s="100"/>
      <c r="AJ254" s="319"/>
      <c r="AK254" s="319"/>
      <c r="AL254" s="319"/>
      <c r="AM254" s="319"/>
      <c r="AN254" s="319"/>
      <c r="AO254" s="319"/>
      <c r="AP254" s="319"/>
      <c r="AQ254" s="319"/>
      <c r="AR254" s="319"/>
      <c r="AS254" s="319"/>
      <c r="AT254" s="319"/>
      <c r="AU254" s="319"/>
      <c r="AV254" s="319"/>
      <c r="AW254" s="319"/>
      <c r="AX254" s="319"/>
      <c r="AY254" s="319"/>
      <c r="AZ254" s="319"/>
      <c r="BA254" s="319"/>
      <c r="BB254" s="319"/>
      <c r="BC254" s="319"/>
      <c r="BD254" s="319"/>
      <c r="BE254" s="319"/>
      <c r="BF254" s="319"/>
      <c r="BG254" s="319"/>
      <c r="BH254" s="319"/>
      <c r="BI254" s="319"/>
      <c r="BJ254" s="319"/>
      <c r="BK254" s="319"/>
      <c r="BL254" s="319"/>
      <c r="BM254" s="319"/>
      <c r="BN254" s="319"/>
      <c r="BO254" s="319"/>
      <c r="BP254" s="319"/>
      <c r="BQ254" s="319"/>
      <c r="BR254" s="319"/>
    </row>
    <row r="255" ht="14.25" customHeight="1">
      <c r="A255" s="195"/>
      <c r="B255" s="100"/>
      <c r="C255" s="100"/>
      <c r="D255" s="100"/>
      <c r="E255" s="100"/>
      <c r="F255" s="206"/>
      <c r="G255" s="206"/>
      <c r="H255" s="207"/>
      <c r="I255" s="207"/>
      <c r="J255" s="207"/>
      <c r="K255" s="207"/>
      <c r="L255" s="207"/>
      <c r="M255" s="207"/>
      <c r="N255" s="207"/>
      <c r="O255" s="207"/>
      <c r="P255" s="207"/>
      <c r="Q255" s="207"/>
      <c r="R255" s="207"/>
      <c r="S255" s="207"/>
      <c r="T255" s="207"/>
      <c r="U255" s="207"/>
      <c r="V255" s="207"/>
      <c r="W255" s="208"/>
      <c r="X255" s="208"/>
      <c r="Y255" s="208"/>
      <c r="Z255" s="208"/>
      <c r="AA255" s="208"/>
      <c r="AB255" s="208"/>
      <c r="AC255" s="208"/>
      <c r="AD255" s="208"/>
      <c r="AE255" s="208"/>
      <c r="AF255" s="208"/>
      <c r="AG255" s="208"/>
      <c r="AH255" s="208"/>
      <c r="AI255" s="100"/>
      <c r="AJ255" s="319"/>
      <c r="AK255" s="319"/>
      <c r="AL255" s="319"/>
      <c r="AM255" s="319"/>
      <c r="AN255" s="319"/>
      <c r="AO255" s="319"/>
      <c r="AP255" s="319"/>
      <c r="AQ255" s="319"/>
      <c r="AR255" s="319"/>
      <c r="AS255" s="319"/>
      <c r="AT255" s="319"/>
      <c r="AU255" s="319"/>
      <c r="AV255" s="319"/>
      <c r="AW255" s="319"/>
      <c r="AX255" s="319"/>
      <c r="AY255" s="319"/>
      <c r="AZ255" s="319"/>
      <c r="BA255" s="319"/>
      <c r="BB255" s="319"/>
      <c r="BC255" s="319"/>
      <c r="BD255" s="319"/>
      <c r="BE255" s="319"/>
      <c r="BF255" s="319"/>
      <c r="BG255" s="319"/>
      <c r="BH255" s="319"/>
      <c r="BI255" s="319"/>
      <c r="BJ255" s="319"/>
      <c r="BK255" s="319"/>
      <c r="BL255" s="319"/>
      <c r="BM255" s="319"/>
      <c r="BN255" s="319"/>
      <c r="BO255" s="319"/>
      <c r="BP255" s="319"/>
      <c r="BQ255" s="319"/>
      <c r="BR255" s="319"/>
    </row>
    <row r="256" ht="14.25" customHeight="1">
      <c r="A256" s="195"/>
      <c r="B256" s="100"/>
      <c r="C256" s="100"/>
      <c r="D256" s="100"/>
      <c r="E256" s="100"/>
      <c r="F256" s="206"/>
      <c r="G256" s="206"/>
      <c r="H256" s="207"/>
      <c r="I256" s="207"/>
      <c r="J256" s="207"/>
      <c r="K256" s="207"/>
      <c r="L256" s="207"/>
      <c r="M256" s="207"/>
      <c r="N256" s="207"/>
      <c r="O256" s="207"/>
      <c r="P256" s="207"/>
      <c r="Q256" s="207"/>
      <c r="R256" s="207"/>
      <c r="S256" s="207"/>
      <c r="T256" s="207"/>
      <c r="U256" s="207"/>
      <c r="V256" s="207"/>
      <c r="W256" s="208"/>
      <c r="X256" s="208"/>
      <c r="Y256" s="208"/>
      <c r="Z256" s="208"/>
      <c r="AA256" s="208"/>
      <c r="AB256" s="208"/>
      <c r="AC256" s="208"/>
      <c r="AD256" s="208"/>
      <c r="AE256" s="208"/>
      <c r="AF256" s="208"/>
      <c r="AG256" s="208"/>
      <c r="AH256" s="208"/>
      <c r="AI256" s="100"/>
      <c r="AJ256" s="319"/>
      <c r="AK256" s="319"/>
      <c r="AL256" s="319"/>
      <c r="AM256" s="319"/>
      <c r="AN256" s="319"/>
      <c r="AO256" s="319"/>
      <c r="AP256" s="319"/>
      <c r="AQ256" s="319"/>
      <c r="AR256" s="319"/>
      <c r="AS256" s="319"/>
      <c r="AT256" s="319"/>
      <c r="AU256" s="319"/>
      <c r="AV256" s="319"/>
      <c r="AW256" s="319"/>
      <c r="AX256" s="319"/>
      <c r="AY256" s="319"/>
      <c r="AZ256" s="319"/>
      <c r="BA256" s="319"/>
      <c r="BB256" s="319"/>
      <c r="BC256" s="319"/>
      <c r="BD256" s="319"/>
      <c r="BE256" s="319"/>
      <c r="BF256" s="319"/>
      <c r="BG256" s="319"/>
      <c r="BH256" s="319"/>
      <c r="BI256" s="319"/>
      <c r="BJ256" s="319"/>
      <c r="BK256" s="319"/>
      <c r="BL256" s="319"/>
      <c r="BM256" s="319"/>
      <c r="BN256" s="319"/>
      <c r="BO256" s="319"/>
      <c r="BP256" s="319"/>
      <c r="BQ256" s="319"/>
      <c r="BR256" s="319"/>
    </row>
    <row r="257" ht="14.25" customHeight="1">
      <c r="A257" s="195"/>
      <c r="B257" s="100"/>
      <c r="C257" s="100"/>
      <c r="D257" s="100"/>
      <c r="E257" s="100"/>
      <c r="F257" s="206"/>
      <c r="G257" s="206"/>
      <c r="H257" s="207"/>
      <c r="I257" s="207"/>
      <c r="J257" s="207"/>
      <c r="K257" s="207"/>
      <c r="L257" s="207"/>
      <c r="M257" s="207"/>
      <c r="N257" s="207"/>
      <c r="O257" s="207"/>
      <c r="P257" s="207"/>
      <c r="Q257" s="207"/>
      <c r="R257" s="207"/>
      <c r="S257" s="207"/>
      <c r="T257" s="207"/>
      <c r="U257" s="207"/>
      <c r="V257" s="207"/>
      <c r="W257" s="208"/>
      <c r="X257" s="208"/>
      <c r="Y257" s="208"/>
      <c r="Z257" s="208"/>
      <c r="AA257" s="208"/>
      <c r="AB257" s="208"/>
      <c r="AC257" s="208"/>
      <c r="AD257" s="208"/>
      <c r="AE257" s="208"/>
      <c r="AF257" s="208"/>
      <c r="AG257" s="208"/>
      <c r="AH257" s="208"/>
      <c r="AI257" s="100"/>
      <c r="AJ257" s="319"/>
      <c r="AK257" s="319"/>
      <c r="AL257" s="319"/>
      <c r="AM257" s="319"/>
      <c r="AN257" s="319"/>
      <c r="AO257" s="319"/>
      <c r="AP257" s="319"/>
      <c r="AQ257" s="319"/>
      <c r="AR257" s="319"/>
      <c r="AS257" s="319"/>
      <c r="AT257" s="319"/>
      <c r="AU257" s="319"/>
      <c r="AV257" s="319"/>
      <c r="AW257" s="319"/>
      <c r="AX257" s="319"/>
      <c r="AY257" s="319"/>
      <c r="AZ257" s="319"/>
      <c r="BA257" s="319"/>
      <c r="BB257" s="319"/>
      <c r="BC257" s="319"/>
      <c r="BD257" s="319"/>
      <c r="BE257" s="319"/>
      <c r="BF257" s="319"/>
      <c r="BG257" s="319"/>
      <c r="BH257" s="319"/>
      <c r="BI257" s="319"/>
      <c r="BJ257" s="319"/>
      <c r="BK257" s="319"/>
      <c r="BL257" s="319"/>
      <c r="BM257" s="319"/>
      <c r="BN257" s="319"/>
      <c r="BO257" s="319"/>
      <c r="BP257" s="319"/>
      <c r="BQ257" s="319"/>
      <c r="BR257" s="319"/>
    </row>
    <row r="258" ht="14.25" customHeight="1">
      <c r="A258" s="195"/>
      <c r="B258" s="100"/>
      <c r="C258" s="100"/>
      <c r="D258" s="100"/>
      <c r="E258" s="100"/>
      <c r="F258" s="206"/>
      <c r="G258" s="206"/>
      <c r="H258" s="207"/>
      <c r="I258" s="207"/>
      <c r="J258" s="207"/>
      <c r="K258" s="207"/>
      <c r="L258" s="207"/>
      <c r="M258" s="207"/>
      <c r="N258" s="207"/>
      <c r="O258" s="207"/>
      <c r="P258" s="207"/>
      <c r="Q258" s="207"/>
      <c r="R258" s="207"/>
      <c r="S258" s="207"/>
      <c r="T258" s="207"/>
      <c r="U258" s="207"/>
      <c r="V258" s="207"/>
      <c r="W258" s="208"/>
      <c r="X258" s="208"/>
      <c r="Y258" s="208"/>
      <c r="Z258" s="208"/>
      <c r="AA258" s="208"/>
      <c r="AB258" s="208"/>
      <c r="AC258" s="208"/>
      <c r="AD258" s="208"/>
      <c r="AE258" s="208"/>
      <c r="AF258" s="208"/>
      <c r="AG258" s="208"/>
      <c r="AH258" s="208"/>
      <c r="AI258" s="100"/>
      <c r="AJ258" s="319"/>
      <c r="AK258" s="319"/>
      <c r="AL258" s="319"/>
      <c r="AM258" s="319"/>
      <c r="AN258" s="319"/>
      <c r="AO258" s="319"/>
      <c r="AP258" s="319"/>
      <c r="AQ258" s="319"/>
      <c r="AR258" s="319"/>
      <c r="AS258" s="319"/>
      <c r="AT258" s="319"/>
      <c r="AU258" s="319"/>
      <c r="AV258" s="319"/>
      <c r="AW258" s="319"/>
      <c r="AX258" s="319"/>
      <c r="AY258" s="319"/>
      <c r="AZ258" s="319"/>
      <c r="BA258" s="319"/>
      <c r="BB258" s="319"/>
      <c r="BC258" s="319"/>
      <c r="BD258" s="319"/>
      <c r="BE258" s="319"/>
      <c r="BF258" s="319"/>
      <c r="BG258" s="319"/>
      <c r="BH258" s="319"/>
      <c r="BI258" s="319"/>
      <c r="BJ258" s="319"/>
      <c r="BK258" s="319"/>
      <c r="BL258" s="319"/>
      <c r="BM258" s="319"/>
      <c r="BN258" s="319"/>
      <c r="BO258" s="319"/>
      <c r="BP258" s="319"/>
      <c r="BQ258" s="319"/>
      <c r="BR258" s="319"/>
    </row>
    <row r="259" ht="14.25" customHeight="1">
      <c r="A259" s="195"/>
      <c r="B259" s="100"/>
      <c r="C259" s="100"/>
      <c r="D259" s="100"/>
      <c r="E259" s="100"/>
      <c r="F259" s="206"/>
      <c r="G259" s="206"/>
      <c r="H259" s="207"/>
      <c r="I259" s="207"/>
      <c r="J259" s="207"/>
      <c r="K259" s="207"/>
      <c r="L259" s="207"/>
      <c r="M259" s="207"/>
      <c r="N259" s="207"/>
      <c r="O259" s="207"/>
      <c r="P259" s="207"/>
      <c r="Q259" s="207"/>
      <c r="R259" s="207"/>
      <c r="S259" s="207"/>
      <c r="T259" s="207"/>
      <c r="U259" s="207"/>
      <c r="V259" s="207"/>
      <c r="W259" s="208"/>
      <c r="X259" s="208"/>
      <c r="Y259" s="208"/>
      <c r="Z259" s="208"/>
      <c r="AA259" s="208"/>
      <c r="AB259" s="208"/>
      <c r="AC259" s="208"/>
      <c r="AD259" s="208"/>
      <c r="AE259" s="208"/>
      <c r="AF259" s="208"/>
      <c r="AG259" s="208"/>
      <c r="AH259" s="208"/>
      <c r="AI259" s="100"/>
      <c r="AJ259" s="319"/>
      <c r="AK259" s="319"/>
      <c r="AL259" s="319"/>
      <c r="AM259" s="319"/>
      <c r="AN259" s="319"/>
      <c r="AO259" s="319"/>
      <c r="AP259" s="319"/>
      <c r="AQ259" s="319"/>
      <c r="AR259" s="319"/>
      <c r="AS259" s="319"/>
      <c r="AT259" s="319"/>
      <c r="AU259" s="319"/>
      <c r="AV259" s="319"/>
      <c r="AW259" s="319"/>
      <c r="AX259" s="319"/>
      <c r="AY259" s="319"/>
      <c r="AZ259" s="319"/>
      <c r="BA259" s="319"/>
      <c r="BB259" s="319"/>
      <c r="BC259" s="319"/>
      <c r="BD259" s="319"/>
      <c r="BE259" s="319"/>
      <c r="BF259" s="319"/>
      <c r="BG259" s="319"/>
      <c r="BH259" s="319"/>
      <c r="BI259" s="319"/>
      <c r="BJ259" s="319"/>
      <c r="BK259" s="319"/>
      <c r="BL259" s="319"/>
      <c r="BM259" s="319"/>
      <c r="BN259" s="319"/>
      <c r="BO259" s="319"/>
      <c r="BP259" s="319"/>
      <c r="BQ259" s="319"/>
      <c r="BR259" s="319"/>
    </row>
    <row r="260" ht="14.25" customHeight="1">
      <c r="A260" s="195"/>
      <c r="B260" s="100"/>
      <c r="C260" s="100"/>
      <c r="D260" s="100"/>
      <c r="E260" s="100"/>
      <c r="F260" s="206"/>
      <c r="G260" s="206"/>
      <c r="H260" s="207"/>
      <c r="I260" s="207"/>
      <c r="J260" s="207"/>
      <c r="K260" s="207"/>
      <c r="L260" s="207"/>
      <c r="M260" s="207"/>
      <c r="N260" s="207"/>
      <c r="O260" s="207"/>
      <c r="P260" s="207"/>
      <c r="Q260" s="207"/>
      <c r="R260" s="207"/>
      <c r="S260" s="207"/>
      <c r="T260" s="207"/>
      <c r="U260" s="207"/>
      <c r="V260" s="207"/>
      <c r="W260" s="208"/>
      <c r="X260" s="208"/>
      <c r="Y260" s="208"/>
      <c r="Z260" s="208"/>
      <c r="AA260" s="208"/>
      <c r="AB260" s="208"/>
      <c r="AC260" s="208"/>
      <c r="AD260" s="208"/>
      <c r="AE260" s="208"/>
      <c r="AF260" s="208"/>
      <c r="AG260" s="208"/>
      <c r="AH260" s="208"/>
      <c r="AI260" s="100"/>
      <c r="AJ260" s="319"/>
      <c r="AK260" s="319"/>
      <c r="AL260" s="319"/>
      <c r="AM260" s="319"/>
      <c r="AN260" s="319"/>
      <c r="AO260" s="319"/>
      <c r="AP260" s="319"/>
      <c r="AQ260" s="319"/>
      <c r="AR260" s="319"/>
      <c r="AS260" s="319"/>
      <c r="AT260" s="319"/>
      <c r="AU260" s="319"/>
      <c r="AV260" s="319"/>
      <c r="AW260" s="319"/>
      <c r="AX260" s="319"/>
      <c r="AY260" s="319"/>
      <c r="AZ260" s="319"/>
      <c r="BA260" s="319"/>
      <c r="BB260" s="319"/>
      <c r="BC260" s="319"/>
      <c r="BD260" s="319"/>
      <c r="BE260" s="319"/>
      <c r="BF260" s="319"/>
      <c r="BG260" s="319"/>
      <c r="BH260" s="319"/>
      <c r="BI260" s="319"/>
      <c r="BJ260" s="319"/>
      <c r="BK260" s="319"/>
      <c r="BL260" s="319"/>
      <c r="BM260" s="319"/>
      <c r="BN260" s="319"/>
      <c r="BO260" s="319"/>
      <c r="BP260" s="319"/>
      <c r="BQ260" s="319"/>
      <c r="BR260" s="319"/>
    </row>
    <row r="261" ht="14.25" customHeight="1">
      <c r="A261" s="195"/>
      <c r="B261" s="100"/>
      <c r="C261" s="100"/>
      <c r="D261" s="100"/>
      <c r="E261" s="100"/>
      <c r="F261" s="206"/>
      <c r="G261" s="206"/>
      <c r="H261" s="207"/>
      <c r="I261" s="207"/>
      <c r="J261" s="207"/>
      <c r="K261" s="207"/>
      <c r="L261" s="207"/>
      <c r="M261" s="207"/>
      <c r="N261" s="207"/>
      <c r="O261" s="207"/>
      <c r="P261" s="207"/>
      <c r="Q261" s="207"/>
      <c r="R261" s="207"/>
      <c r="S261" s="207"/>
      <c r="T261" s="207"/>
      <c r="U261" s="207"/>
      <c r="V261" s="207"/>
      <c r="W261" s="208"/>
      <c r="X261" s="208"/>
      <c r="Y261" s="208"/>
      <c r="Z261" s="208"/>
      <c r="AA261" s="208"/>
      <c r="AB261" s="208"/>
      <c r="AC261" s="208"/>
      <c r="AD261" s="208"/>
      <c r="AE261" s="208"/>
      <c r="AF261" s="208"/>
      <c r="AG261" s="208"/>
      <c r="AH261" s="208"/>
      <c r="AI261" s="100"/>
      <c r="AJ261" s="319"/>
      <c r="AK261" s="319"/>
      <c r="AL261" s="319"/>
      <c r="AM261" s="319"/>
      <c r="AN261" s="319"/>
      <c r="AO261" s="319"/>
      <c r="AP261" s="319"/>
      <c r="AQ261" s="319"/>
      <c r="AR261" s="319"/>
      <c r="AS261" s="319"/>
      <c r="AT261" s="319"/>
      <c r="AU261" s="319"/>
      <c r="AV261" s="319"/>
      <c r="AW261" s="319"/>
      <c r="AX261" s="319"/>
      <c r="AY261" s="319"/>
      <c r="AZ261" s="319"/>
      <c r="BA261" s="319"/>
      <c r="BB261" s="319"/>
      <c r="BC261" s="319"/>
      <c r="BD261" s="319"/>
      <c r="BE261" s="319"/>
      <c r="BF261" s="319"/>
      <c r="BG261" s="319"/>
      <c r="BH261" s="319"/>
      <c r="BI261" s="319"/>
      <c r="BJ261" s="319"/>
      <c r="BK261" s="319"/>
      <c r="BL261" s="319"/>
      <c r="BM261" s="319"/>
      <c r="BN261" s="319"/>
      <c r="BO261" s="319"/>
      <c r="BP261" s="319"/>
      <c r="BQ261" s="319"/>
      <c r="BR261" s="319"/>
    </row>
    <row r="262" ht="14.25" customHeight="1">
      <c r="A262" s="195"/>
      <c r="B262" s="100"/>
      <c r="C262" s="100"/>
      <c r="D262" s="100"/>
      <c r="E262" s="100"/>
      <c r="F262" s="206"/>
      <c r="G262" s="206"/>
      <c r="H262" s="207"/>
      <c r="I262" s="207"/>
      <c r="J262" s="207"/>
      <c r="K262" s="207"/>
      <c r="L262" s="207"/>
      <c r="M262" s="207"/>
      <c r="N262" s="207"/>
      <c r="O262" s="207"/>
      <c r="P262" s="207"/>
      <c r="Q262" s="207"/>
      <c r="R262" s="207"/>
      <c r="S262" s="207"/>
      <c r="T262" s="207"/>
      <c r="U262" s="207"/>
      <c r="V262" s="207"/>
      <c r="W262" s="208"/>
      <c r="X262" s="208"/>
      <c r="Y262" s="208"/>
      <c r="Z262" s="208"/>
      <c r="AA262" s="208"/>
      <c r="AB262" s="208"/>
      <c r="AC262" s="208"/>
      <c r="AD262" s="208"/>
      <c r="AE262" s="208"/>
      <c r="AF262" s="208"/>
      <c r="AG262" s="208"/>
      <c r="AH262" s="208"/>
      <c r="AI262" s="100"/>
      <c r="AJ262" s="319"/>
      <c r="AK262" s="319"/>
      <c r="AL262" s="319"/>
      <c r="AM262" s="319"/>
      <c r="AN262" s="319"/>
      <c r="AO262" s="319"/>
      <c r="AP262" s="319"/>
      <c r="AQ262" s="319"/>
      <c r="AR262" s="319"/>
      <c r="AS262" s="319"/>
      <c r="AT262" s="319"/>
      <c r="AU262" s="319"/>
      <c r="AV262" s="319"/>
      <c r="AW262" s="319"/>
      <c r="AX262" s="319"/>
      <c r="AY262" s="319"/>
      <c r="AZ262" s="319"/>
      <c r="BA262" s="319"/>
      <c r="BB262" s="319"/>
      <c r="BC262" s="319"/>
      <c r="BD262" s="319"/>
      <c r="BE262" s="319"/>
      <c r="BF262" s="319"/>
      <c r="BG262" s="319"/>
      <c r="BH262" s="319"/>
      <c r="BI262" s="319"/>
      <c r="BJ262" s="319"/>
      <c r="BK262" s="319"/>
      <c r="BL262" s="319"/>
      <c r="BM262" s="319"/>
      <c r="BN262" s="319"/>
      <c r="BO262" s="319"/>
      <c r="BP262" s="319"/>
      <c r="BQ262" s="319"/>
      <c r="BR262" s="319"/>
    </row>
    <row r="263" ht="14.25" customHeight="1">
      <c r="A263" s="195"/>
      <c r="B263" s="100"/>
      <c r="C263" s="100"/>
      <c r="D263" s="100"/>
      <c r="E263" s="100"/>
      <c r="F263" s="206"/>
      <c r="G263" s="206"/>
      <c r="H263" s="207"/>
      <c r="I263" s="207"/>
      <c r="J263" s="207"/>
      <c r="K263" s="207"/>
      <c r="L263" s="207"/>
      <c r="M263" s="207"/>
      <c r="N263" s="207"/>
      <c r="O263" s="207"/>
      <c r="P263" s="207"/>
      <c r="Q263" s="207"/>
      <c r="R263" s="207"/>
      <c r="S263" s="207"/>
      <c r="T263" s="207"/>
      <c r="U263" s="207"/>
      <c r="V263" s="207"/>
      <c r="W263" s="208"/>
      <c r="X263" s="208"/>
      <c r="Y263" s="208"/>
      <c r="Z263" s="208"/>
      <c r="AA263" s="208"/>
      <c r="AB263" s="208"/>
      <c r="AC263" s="208"/>
      <c r="AD263" s="208"/>
      <c r="AE263" s="208"/>
      <c r="AF263" s="208"/>
      <c r="AG263" s="208"/>
      <c r="AH263" s="208"/>
      <c r="AI263" s="100"/>
      <c r="AJ263" s="319"/>
      <c r="AK263" s="319"/>
      <c r="AL263" s="319"/>
      <c r="AM263" s="319"/>
      <c r="AN263" s="319"/>
      <c r="AO263" s="319"/>
      <c r="AP263" s="319"/>
      <c r="AQ263" s="319"/>
      <c r="AR263" s="319"/>
      <c r="AS263" s="319"/>
      <c r="AT263" s="319"/>
      <c r="AU263" s="319"/>
      <c r="AV263" s="319"/>
      <c r="AW263" s="319"/>
      <c r="AX263" s="319"/>
      <c r="AY263" s="319"/>
      <c r="AZ263" s="319"/>
      <c r="BA263" s="319"/>
      <c r="BB263" s="319"/>
      <c r="BC263" s="319"/>
      <c r="BD263" s="319"/>
      <c r="BE263" s="319"/>
      <c r="BF263" s="319"/>
      <c r="BG263" s="319"/>
      <c r="BH263" s="319"/>
      <c r="BI263" s="319"/>
      <c r="BJ263" s="319"/>
      <c r="BK263" s="319"/>
      <c r="BL263" s="319"/>
      <c r="BM263" s="319"/>
      <c r="BN263" s="319"/>
      <c r="BO263" s="319"/>
      <c r="BP263" s="319"/>
      <c r="BQ263" s="319"/>
      <c r="BR263" s="319"/>
    </row>
    <row r="264" ht="14.25" customHeight="1">
      <c r="A264" s="195"/>
      <c r="B264" s="100"/>
      <c r="C264" s="100"/>
      <c r="D264" s="100"/>
      <c r="E264" s="100"/>
      <c r="F264" s="206"/>
      <c r="G264" s="206"/>
      <c r="H264" s="207"/>
      <c r="I264" s="207"/>
      <c r="J264" s="207"/>
      <c r="K264" s="207"/>
      <c r="L264" s="207"/>
      <c r="M264" s="207"/>
      <c r="N264" s="207"/>
      <c r="O264" s="207"/>
      <c r="P264" s="207"/>
      <c r="Q264" s="207"/>
      <c r="R264" s="207"/>
      <c r="S264" s="207"/>
      <c r="T264" s="207"/>
      <c r="U264" s="207"/>
      <c r="V264" s="207"/>
      <c r="W264" s="208"/>
      <c r="X264" s="208"/>
      <c r="Y264" s="208"/>
      <c r="Z264" s="208"/>
      <c r="AA264" s="208"/>
      <c r="AB264" s="208"/>
      <c r="AC264" s="208"/>
      <c r="AD264" s="208"/>
      <c r="AE264" s="208"/>
      <c r="AF264" s="208"/>
      <c r="AG264" s="208"/>
      <c r="AH264" s="208"/>
      <c r="AI264" s="100"/>
      <c r="AJ264" s="319"/>
      <c r="AK264" s="319"/>
      <c r="AL264" s="319"/>
      <c r="AM264" s="319"/>
      <c r="AN264" s="319"/>
      <c r="AO264" s="319"/>
      <c r="AP264" s="319"/>
      <c r="AQ264" s="319"/>
      <c r="AR264" s="319"/>
      <c r="AS264" s="319"/>
      <c r="AT264" s="319"/>
      <c r="AU264" s="319"/>
      <c r="AV264" s="319"/>
      <c r="AW264" s="319"/>
      <c r="AX264" s="319"/>
      <c r="AY264" s="319"/>
      <c r="AZ264" s="319"/>
      <c r="BA264" s="319"/>
      <c r="BB264" s="319"/>
      <c r="BC264" s="319"/>
      <c r="BD264" s="319"/>
      <c r="BE264" s="319"/>
      <c r="BF264" s="319"/>
      <c r="BG264" s="319"/>
      <c r="BH264" s="319"/>
      <c r="BI264" s="319"/>
      <c r="BJ264" s="319"/>
      <c r="BK264" s="319"/>
      <c r="BL264" s="319"/>
      <c r="BM264" s="319"/>
      <c r="BN264" s="319"/>
      <c r="BO264" s="319"/>
      <c r="BP264" s="319"/>
      <c r="BQ264" s="319"/>
      <c r="BR264" s="319"/>
    </row>
    <row r="265" ht="14.25" customHeight="1">
      <c r="A265" s="195"/>
      <c r="B265" s="100"/>
      <c r="C265" s="100"/>
      <c r="D265" s="100"/>
      <c r="E265" s="100"/>
      <c r="F265" s="206"/>
      <c r="G265" s="206"/>
      <c r="H265" s="207"/>
      <c r="I265" s="207"/>
      <c r="J265" s="207"/>
      <c r="K265" s="207"/>
      <c r="L265" s="207"/>
      <c r="M265" s="207"/>
      <c r="N265" s="207"/>
      <c r="O265" s="207"/>
      <c r="P265" s="207"/>
      <c r="Q265" s="207"/>
      <c r="R265" s="207"/>
      <c r="S265" s="207"/>
      <c r="T265" s="207"/>
      <c r="U265" s="207"/>
      <c r="V265" s="207"/>
      <c r="W265" s="208"/>
      <c r="X265" s="208"/>
      <c r="Y265" s="208"/>
      <c r="Z265" s="208"/>
      <c r="AA265" s="208"/>
      <c r="AB265" s="208"/>
      <c r="AC265" s="208"/>
      <c r="AD265" s="208"/>
      <c r="AE265" s="208"/>
      <c r="AF265" s="208"/>
      <c r="AG265" s="208"/>
      <c r="AH265" s="208"/>
      <c r="AI265" s="100"/>
      <c r="AJ265" s="319"/>
      <c r="AK265" s="319"/>
      <c r="AL265" s="319"/>
      <c r="AM265" s="319"/>
      <c r="AN265" s="319"/>
      <c r="AO265" s="319"/>
      <c r="AP265" s="319"/>
      <c r="AQ265" s="319"/>
      <c r="AR265" s="319"/>
      <c r="AS265" s="319"/>
      <c r="AT265" s="319"/>
      <c r="AU265" s="319"/>
      <c r="AV265" s="319"/>
      <c r="AW265" s="319"/>
      <c r="AX265" s="319"/>
      <c r="AY265" s="319"/>
      <c r="AZ265" s="319"/>
      <c r="BA265" s="319"/>
      <c r="BB265" s="319"/>
      <c r="BC265" s="319"/>
      <c r="BD265" s="319"/>
      <c r="BE265" s="319"/>
      <c r="BF265" s="319"/>
      <c r="BG265" s="319"/>
      <c r="BH265" s="319"/>
      <c r="BI265" s="319"/>
      <c r="BJ265" s="319"/>
      <c r="BK265" s="319"/>
      <c r="BL265" s="319"/>
      <c r="BM265" s="319"/>
      <c r="BN265" s="319"/>
      <c r="BO265" s="319"/>
      <c r="BP265" s="319"/>
      <c r="BQ265" s="319"/>
      <c r="BR265" s="319"/>
    </row>
    <row r="266" ht="14.25" customHeight="1">
      <c r="A266" s="195"/>
      <c r="B266" s="100"/>
      <c r="C266" s="100"/>
      <c r="D266" s="100"/>
      <c r="E266" s="100"/>
      <c r="F266" s="206"/>
      <c r="G266" s="206"/>
      <c r="H266" s="207"/>
      <c r="I266" s="207"/>
      <c r="J266" s="207"/>
      <c r="K266" s="207"/>
      <c r="L266" s="207"/>
      <c r="M266" s="207"/>
      <c r="N266" s="207"/>
      <c r="O266" s="207"/>
      <c r="P266" s="207"/>
      <c r="Q266" s="207"/>
      <c r="R266" s="207"/>
      <c r="S266" s="207"/>
      <c r="T266" s="207"/>
      <c r="U266" s="207"/>
      <c r="V266" s="207"/>
      <c r="W266" s="208"/>
      <c r="X266" s="208"/>
      <c r="Y266" s="208"/>
      <c r="Z266" s="208"/>
      <c r="AA266" s="208"/>
      <c r="AB266" s="208"/>
      <c r="AC266" s="208"/>
      <c r="AD266" s="208"/>
      <c r="AE266" s="208"/>
      <c r="AF266" s="208"/>
      <c r="AG266" s="208"/>
      <c r="AH266" s="208"/>
      <c r="AI266" s="100"/>
      <c r="AJ266" s="319"/>
      <c r="AK266" s="319"/>
      <c r="AL266" s="319"/>
      <c r="AM266" s="319"/>
      <c r="AN266" s="319"/>
      <c r="AO266" s="319"/>
      <c r="AP266" s="319"/>
      <c r="AQ266" s="319"/>
      <c r="AR266" s="319"/>
      <c r="AS266" s="319"/>
      <c r="AT266" s="319"/>
      <c r="AU266" s="319"/>
      <c r="AV266" s="319"/>
      <c r="AW266" s="319"/>
      <c r="AX266" s="319"/>
      <c r="AY266" s="319"/>
      <c r="AZ266" s="319"/>
      <c r="BA266" s="319"/>
      <c r="BB266" s="319"/>
      <c r="BC266" s="319"/>
      <c r="BD266" s="319"/>
      <c r="BE266" s="319"/>
      <c r="BF266" s="319"/>
      <c r="BG266" s="319"/>
      <c r="BH266" s="319"/>
      <c r="BI266" s="319"/>
      <c r="BJ266" s="319"/>
      <c r="BK266" s="319"/>
      <c r="BL266" s="319"/>
      <c r="BM266" s="319"/>
      <c r="BN266" s="319"/>
      <c r="BO266" s="319"/>
      <c r="BP266" s="319"/>
      <c r="BQ266" s="319"/>
      <c r="BR266" s="319"/>
    </row>
    <row r="267" ht="14.25" customHeight="1">
      <c r="A267" s="195"/>
      <c r="B267" s="100"/>
      <c r="C267" s="100"/>
      <c r="D267" s="100"/>
      <c r="E267" s="100"/>
      <c r="F267" s="206"/>
      <c r="G267" s="206"/>
      <c r="H267" s="207"/>
      <c r="I267" s="207"/>
      <c r="J267" s="207"/>
      <c r="K267" s="207"/>
      <c r="L267" s="207"/>
      <c r="M267" s="207"/>
      <c r="N267" s="207"/>
      <c r="O267" s="207"/>
      <c r="P267" s="207"/>
      <c r="Q267" s="207"/>
      <c r="R267" s="207"/>
      <c r="S267" s="207"/>
      <c r="T267" s="207"/>
      <c r="U267" s="207"/>
      <c r="V267" s="207"/>
      <c r="W267" s="208"/>
      <c r="X267" s="208"/>
      <c r="Y267" s="208"/>
      <c r="Z267" s="208"/>
      <c r="AA267" s="208"/>
      <c r="AB267" s="208"/>
      <c r="AC267" s="208"/>
      <c r="AD267" s="208"/>
      <c r="AE267" s="208"/>
      <c r="AF267" s="208"/>
      <c r="AG267" s="208"/>
      <c r="AH267" s="208"/>
      <c r="AI267" s="100"/>
      <c r="AJ267" s="319"/>
      <c r="AK267" s="319"/>
      <c r="AL267" s="319"/>
      <c r="AM267" s="319"/>
      <c r="AN267" s="319"/>
      <c r="AO267" s="319"/>
      <c r="AP267" s="319"/>
      <c r="AQ267" s="319"/>
      <c r="AR267" s="319"/>
      <c r="AS267" s="319"/>
      <c r="AT267" s="319"/>
      <c r="AU267" s="319"/>
      <c r="AV267" s="319"/>
      <c r="AW267" s="319"/>
      <c r="AX267" s="319"/>
      <c r="AY267" s="319"/>
      <c r="AZ267" s="319"/>
      <c r="BA267" s="319"/>
      <c r="BB267" s="319"/>
      <c r="BC267" s="319"/>
      <c r="BD267" s="319"/>
      <c r="BE267" s="319"/>
      <c r="BF267" s="319"/>
      <c r="BG267" s="319"/>
      <c r="BH267" s="319"/>
      <c r="BI267" s="319"/>
      <c r="BJ267" s="319"/>
      <c r="BK267" s="319"/>
      <c r="BL267" s="319"/>
      <c r="BM267" s="319"/>
      <c r="BN267" s="319"/>
      <c r="BO267" s="319"/>
      <c r="BP267" s="319"/>
      <c r="BQ267" s="319"/>
      <c r="BR267" s="319"/>
    </row>
    <row r="268" ht="14.25" customHeight="1">
      <c r="A268" s="195"/>
      <c r="B268" s="100"/>
      <c r="C268" s="100"/>
      <c r="D268" s="100"/>
      <c r="E268" s="100"/>
      <c r="F268" s="206"/>
      <c r="G268" s="206"/>
      <c r="H268" s="207"/>
      <c r="I268" s="207"/>
      <c r="J268" s="207"/>
      <c r="K268" s="207"/>
      <c r="L268" s="207"/>
      <c r="M268" s="207"/>
      <c r="N268" s="207"/>
      <c r="O268" s="207"/>
      <c r="P268" s="207"/>
      <c r="Q268" s="207"/>
      <c r="R268" s="207"/>
      <c r="S268" s="207"/>
      <c r="T268" s="207"/>
      <c r="U268" s="207"/>
      <c r="V268" s="207"/>
      <c r="W268" s="208"/>
      <c r="X268" s="208"/>
      <c r="Y268" s="208"/>
      <c r="Z268" s="208"/>
      <c r="AA268" s="208"/>
      <c r="AB268" s="208"/>
      <c r="AC268" s="208"/>
      <c r="AD268" s="208"/>
      <c r="AE268" s="208"/>
      <c r="AF268" s="208"/>
      <c r="AG268" s="208"/>
      <c r="AH268" s="208"/>
      <c r="AI268" s="100"/>
      <c r="AJ268" s="319"/>
      <c r="AK268" s="319"/>
      <c r="AL268" s="319"/>
      <c r="AM268" s="319"/>
      <c r="AN268" s="319"/>
      <c r="AO268" s="319"/>
      <c r="AP268" s="319"/>
      <c r="AQ268" s="319"/>
      <c r="AR268" s="319"/>
      <c r="AS268" s="319"/>
      <c r="AT268" s="319"/>
      <c r="AU268" s="319"/>
      <c r="AV268" s="319"/>
      <c r="AW268" s="319"/>
      <c r="AX268" s="319"/>
      <c r="AY268" s="319"/>
      <c r="AZ268" s="319"/>
      <c r="BA268" s="319"/>
      <c r="BB268" s="319"/>
      <c r="BC268" s="319"/>
      <c r="BD268" s="319"/>
      <c r="BE268" s="319"/>
      <c r="BF268" s="319"/>
      <c r="BG268" s="319"/>
      <c r="BH268" s="319"/>
      <c r="BI268" s="319"/>
      <c r="BJ268" s="319"/>
      <c r="BK268" s="319"/>
      <c r="BL268" s="319"/>
      <c r="BM268" s="319"/>
      <c r="BN268" s="319"/>
      <c r="BO268" s="319"/>
      <c r="BP268" s="319"/>
      <c r="BQ268" s="319"/>
      <c r="BR268" s="319"/>
    </row>
    <row r="269" ht="14.25" customHeight="1">
      <c r="A269" s="195"/>
      <c r="B269" s="100"/>
      <c r="C269" s="100"/>
      <c r="D269" s="100"/>
      <c r="E269" s="100"/>
      <c r="F269" s="206"/>
      <c r="G269" s="206"/>
      <c r="H269" s="207"/>
      <c r="I269" s="207"/>
      <c r="J269" s="207"/>
      <c r="K269" s="207"/>
      <c r="L269" s="207"/>
      <c r="M269" s="207"/>
      <c r="N269" s="207"/>
      <c r="O269" s="207"/>
      <c r="P269" s="207"/>
      <c r="Q269" s="207"/>
      <c r="R269" s="207"/>
      <c r="S269" s="207"/>
      <c r="T269" s="207"/>
      <c r="U269" s="207"/>
      <c r="V269" s="207"/>
      <c r="W269" s="208"/>
      <c r="X269" s="208"/>
      <c r="Y269" s="208"/>
      <c r="Z269" s="208"/>
      <c r="AA269" s="208"/>
      <c r="AB269" s="208"/>
      <c r="AC269" s="208"/>
      <c r="AD269" s="208"/>
      <c r="AE269" s="208"/>
      <c r="AF269" s="208"/>
      <c r="AG269" s="208"/>
      <c r="AH269" s="208"/>
      <c r="AI269" s="100"/>
      <c r="AJ269" s="319"/>
      <c r="AK269" s="319"/>
      <c r="AL269" s="319"/>
      <c r="AM269" s="319"/>
      <c r="AN269" s="319"/>
      <c r="AO269" s="319"/>
      <c r="AP269" s="319"/>
      <c r="AQ269" s="319"/>
      <c r="AR269" s="319"/>
      <c r="AS269" s="319"/>
      <c r="AT269" s="319"/>
      <c r="AU269" s="319"/>
      <c r="AV269" s="319"/>
      <c r="AW269" s="319"/>
      <c r="AX269" s="319"/>
      <c r="AY269" s="319"/>
      <c r="AZ269" s="319"/>
      <c r="BA269" s="319"/>
      <c r="BB269" s="319"/>
      <c r="BC269" s="319"/>
      <c r="BD269" s="319"/>
      <c r="BE269" s="319"/>
      <c r="BF269" s="319"/>
      <c r="BG269" s="319"/>
      <c r="BH269" s="319"/>
      <c r="BI269" s="319"/>
      <c r="BJ269" s="319"/>
      <c r="BK269" s="319"/>
      <c r="BL269" s="319"/>
      <c r="BM269" s="319"/>
      <c r="BN269" s="319"/>
      <c r="BO269" s="319"/>
      <c r="BP269" s="319"/>
      <c r="BQ269" s="319"/>
      <c r="BR269" s="319"/>
    </row>
    <row r="270" ht="14.25" customHeight="1">
      <c r="A270" s="195"/>
      <c r="B270" s="100"/>
      <c r="C270" s="100"/>
      <c r="D270" s="100"/>
      <c r="E270" s="100"/>
      <c r="F270" s="206"/>
      <c r="G270" s="206"/>
      <c r="H270" s="207"/>
      <c r="I270" s="207"/>
      <c r="J270" s="207"/>
      <c r="K270" s="207"/>
      <c r="L270" s="207"/>
      <c r="M270" s="207"/>
      <c r="N270" s="207"/>
      <c r="O270" s="207"/>
      <c r="P270" s="207"/>
      <c r="Q270" s="207"/>
      <c r="R270" s="207"/>
      <c r="S270" s="207"/>
      <c r="T270" s="207"/>
      <c r="U270" s="207"/>
      <c r="V270" s="207"/>
      <c r="W270" s="208"/>
      <c r="X270" s="208"/>
      <c r="Y270" s="208"/>
      <c r="Z270" s="208"/>
      <c r="AA270" s="208"/>
      <c r="AB270" s="208"/>
      <c r="AC270" s="208"/>
      <c r="AD270" s="208"/>
      <c r="AE270" s="208"/>
      <c r="AF270" s="208"/>
      <c r="AG270" s="208"/>
      <c r="AH270" s="208"/>
      <c r="AI270" s="100"/>
      <c r="AJ270" s="319"/>
      <c r="AK270" s="319"/>
      <c r="AL270" s="319"/>
      <c r="AM270" s="319"/>
      <c r="AN270" s="319"/>
      <c r="AO270" s="319"/>
      <c r="AP270" s="319"/>
      <c r="AQ270" s="319"/>
      <c r="AR270" s="319"/>
      <c r="AS270" s="319"/>
      <c r="AT270" s="319"/>
      <c r="AU270" s="319"/>
      <c r="AV270" s="319"/>
      <c r="AW270" s="319"/>
      <c r="AX270" s="319"/>
      <c r="AY270" s="319"/>
      <c r="AZ270" s="319"/>
      <c r="BA270" s="319"/>
      <c r="BB270" s="319"/>
      <c r="BC270" s="319"/>
      <c r="BD270" s="319"/>
      <c r="BE270" s="319"/>
      <c r="BF270" s="319"/>
      <c r="BG270" s="319"/>
      <c r="BH270" s="319"/>
      <c r="BI270" s="319"/>
      <c r="BJ270" s="319"/>
      <c r="BK270" s="319"/>
      <c r="BL270" s="319"/>
      <c r="BM270" s="319"/>
      <c r="BN270" s="319"/>
      <c r="BO270" s="319"/>
      <c r="BP270" s="319"/>
      <c r="BQ270" s="319"/>
      <c r="BR270" s="319"/>
    </row>
    <row r="271" ht="14.25" customHeight="1">
      <c r="A271" s="195"/>
      <c r="B271" s="100"/>
      <c r="C271" s="100"/>
      <c r="D271" s="100"/>
      <c r="E271" s="100"/>
      <c r="F271" s="206"/>
      <c r="G271" s="206"/>
      <c r="H271" s="207"/>
      <c r="I271" s="207"/>
      <c r="J271" s="207"/>
      <c r="K271" s="207"/>
      <c r="L271" s="207"/>
      <c r="M271" s="207"/>
      <c r="N271" s="207"/>
      <c r="O271" s="207"/>
      <c r="P271" s="207"/>
      <c r="Q271" s="207"/>
      <c r="R271" s="207"/>
      <c r="S271" s="207"/>
      <c r="T271" s="207"/>
      <c r="U271" s="207"/>
      <c r="V271" s="207"/>
      <c r="W271" s="208"/>
      <c r="X271" s="208"/>
      <c r="Y271" s="208"/>
      <c r="Z271" s="208"/>
      <c r="AA271" s="208"/>
      <c r="AB271" s="208"/>
      <c r="AC271" s="208"/>
      <c r="AD271" s="208"/>
      <c r="AE271" s="208"/>
      <c r="AF271" s="208"/>
      <c r="AG271" s="208"/>
      <c r="AH271" s="208"/>
      <c r="AI271" s="100"/>
      <c r="AJ271" s="319"/>
      <c r="AK271" s="319"/>
      <c r="AL271" s="319"/>
      <c r="AM271" s="319"/>
      <c r="AN271" s="319"/>
      <c r="AO271" s="319"/>
      <c r="AP271" s="319"/>
      <c r="AQ271" s="319"/>
      <c r="AR271" s="319"/>
      <c r="AS271" s="319"/>
      <c r="AT271" s="319"/>
      <c r="AU271" s="319"/>
      <c r="AV271" s="319"/>
      <c r="AW271" s="319"/>
      <c r="AX271" s="319"/>
      <c r="AY271" s="319"/>
      <c r="AZ271" s="319"/>
      <c r="BA271" s="319"/>
      <c r="BB271" s="319"/>
      <c r="BC271" s="319"/>
      <c r="BD271" s="319"/>
      <c r="BE271" s="319"/>
      <c r="BF271" s="319"/>
      <c r="BG271" s="319"/>
      <c r="BH271" s="319"/>
      <c r="BI271" s="319"/>
      <c r="BJ271" s="319"/>
      <c r="BK271" s="319"/>
      <c r="BL271" s="319"/>
      <c r="BM271" s="319"/>
      <c r="BN271" s="319"/>
      <c r="BO271" s="319"/>
      <c r="BP271" s="319"/>
      <c r="BQ271" s="319"/>
      <c r="BR271" s="319"/>
    </row>
    <row r="272" ht="14.25" customHeight="1">
      <c r="A272" s="195"/>
      <c r="B272" s="100"/>
      <c r="C272" s="100"/>
      <c r="D272" s="100"/>
      <c r="E272" s="100"/>
      <c r="F272" s="206"/>
      <c r="G272" s="206"/>
      <c r="H272" s="207"/>
      <c r="I272" s="207"/>
      <c r="J272" s="207"/>
      <c r="K272" s="207"/>
      <c r="L272" s="207"/>
      <c r="M272" s="207"/>
      <c r="N272" s="207"/>
      <c r="O272" s="207"/>
      <c r="P272" s="207"/>
      <c r="Q272" s="207"/>
      <c r="R272" s="207"/>
      <c r="S272" s="207"/>
      <c r="T272" s="207"/>
      <c r="U272" s="207"/>
      <c r="V272" s="207"/>
      <c r="W272" s="208"/>
      <c r="X272" s="208"/>
      <c r="Y272" s="208"/>
      <c r="Z272" s="208"/>
      <c r="AA272" s="208"/>
      <c r="AB272" s="208"/>
      <c r="AC272" s="208"/>
      <c r="AD272" s="208"/>
      <c r="AE272" s="208"/>
      <c r="AF272" s="208"/>
      <c r="AG272" s="208"/>
      <c r="AH272" s="208"/>
      <c r="AI272" s="100"/>
      <c r="AJ272" s="319"/>
      <c r="AK272" s="319"/>
      <c r="AL272" s="319"/>
      <c r="AM272" s="319"/>
      <c r="AN272" s="319"/>
      <c r="AO272" s="319"/>
      <c r="AP272" s="319"/>
      <c r="AQ272" s="319"/>
      <c r="AR272" s="319"/>
      <c r="AS272" s="319"/>
      <c r="AT272" s="319"/>
      <c r="AU272" s="319"/>
      <c r="AV272" s="319"/>
      <c r="AW272" s="319"/>
      <c r="AX272" s="319"/>
      <c r="AY272" s="319"/>
      <c r="AZ272" s="319"/>
      <c r="BA272" s="319"/>
      <c r="BB272" s="319"/>
      <c r="BC272" s="319"/>
      <c r="BD272" s="319"/>
      <c r="BE272" s="319"/>
      <c r="BF272" s="319"/>
      <c r="BG272" s="319"/>
      <c r="BH272" s="319"/>
      <c r="BI272" s="319"/>
      <c r="BJ272" s="319"/>
      <c r="BK272" s="319"/>
      <c r="BL272" s="319"/>
      <c r="BM272" s="319"/>
      <c r="BN272" s="319"/>
      <c r="BO272" s="319"/>
      <c r="BP272" s="319"/>
      <c r="BQ272" s="319"/>
      <c r="BR272" s="319"/>
    </row>
    <row r="273" ht="14.25" customHeight="1">
      <c r="A273" s="195"/>
      <c r="B273" s="100"/>
      <c r="C273" s="100"/>
      <c r="D273" s="100"/>
      <c r="E273" s="100"/>
      <c r="F273" s="206"/>
      <c r="G273" s="206"/>
      <c r="H273" s="207"/>
      <c r="I273" s="207"/>
      <c r="J273" s="207"/>
      <c r="K273" s="207"/>
      <c r="L273" s="207"/>
      <c r="M273" s="207"/>
      <c r="N273" s="207"/>
      <c r="O273" s="207"/>
      <c r="P273" s="207"/>
      <c r="Q273" s="207"/>
      <c r="R273" s="207"/>
      <c r="S273" s="207"/>
      <c r="T273" s="207"/>
      <c r="U273" s="207"/>
      <c r="V273" s="207"/>
      <c r="W273" s="208"/>
      <c r="X273" s="208"/>
      <c r="Y273" s="208"/>
      <c r="Z273" s="208"/>
      <c r="AA273" s="208"/>
      <c r="AB273" s="208"/>
      <c r="AC273" s="208"/>
      <c r="AD273" s="208"/>
      <c r="AE273" s="208"/>
      <c r="AF273" s="208"/>
      <c r="AG273" s="208"/>
      <c r="AH273" s="208"/>
      <c r="AI273" s="100"/>
      <c r="AJ273" s="319"/>
      <c r="AK273" s="319"/>
      <c r="AL273" s="319"/>
      <c r="AM273" s="319"/>
      <c r="AN273" s="319"/>
      <c r="AO273" s="319"/>
      <c r="AP273" s="319"/>
      <c r="AQ273" s="319"/>
      <c r="AR273" s="319"/>
      <c r="AS273" s="319"/>
      <c r="AT273" s="319"/>
      <c r="AU273" s="319"/>
      <c r="AV273" s="319"/>
      <c r="AW273" s="319"/>
      <c r="AX273" s="319"/>
      <c r="AY273" s="319"/>
      <c r="AZ273" s="319"/>
      <c r="BA273" s="319"/>
      <c r="BB273" s="319"/>
      <c r="BC273" s="319"/>
      <c r="BD273" s="319"/>
      <c r="BE273" s="319"/>
      <c r="BF273" s="319"/>
      <c r="BG273" s="319"/>
      <c r="BH273" s="319"/>
      <c r="BI273" s="319"/>
      <c r="BJ273" s="319"/>
      <c r="BK273" s="319"/>
      <c r="BL273" s="319"/>
      <c r="BM273" s="319"/>
      <c r="BN273" s="319"/>
      <c r="BO273" s="319"/>
      <c r="BP273" s="319"/>
      <c r="BQ273" s="319"/>
      <c r="BR273" s="319"/>
    </row>
    <row r="274" ht="14.25" customHeight="1">
      <c r="A274" s="195"/>
      <c r="B274" s="100"/>
      <c r="C274" s="100"/>
      <c r="D274" s="100"/>
      <c r="E274" s="100"/>
      <c r="F274" s="206"/>
      <c r="G274" s="206"/>
      <c r="H274" s="207"/>
      <c r="I274" s="207"/>
      <c r="J274" s="207"/>
      <c r="K274" s="207"/>
      <c r="L274" s="207"/>
      <c r="M274" s="207"/>
      <c r="N274" s="207"/>
      <c r="O274" s="207"/>
      <c r="P274" s="207"/>
      <c r="Q274" s="207"/>
      <c r="R274" s="207"/>
      <c r="S274" s="207"/>
      <c r="T274" s="207"/>
      <c r="U274" s="207"/>
      <c r="V274" s="207"/>
      <c r="W274" s="208"/>
      <c r="X274" s="208"/>
      <c r="Y274" s="208"/>
      <c r="Z274" s="208"/>
      <c r="AA274" s="208"/>
      <c r="AB274" s="208"/>
      <c r="AC274" s="208"/>
      <c r="AD274" s="208"/>
      <c r="AE274" s="208"/>
      <c r="AF274" s="208"/>
      <c r="AG274" s="208"/>
      <c r="AH274" s="208"/>
      <c r="AI274" s="100"/>
      <c r="AJ274" s="319"/>
      <c r="AK274" s="319"/>
      <c r="AL274" s="319"/>
      <c r="AM274" s="319"/>
      <c r="AN274" s="319"/>
      <c r="AO274" s="319"/>
      <c r="AP274" s="319"/>
      <c r="AQ274" s="319"/>
      <c r="AR274" s="319"/>
      <c r="AS274" s="319"/>
      <c r="AT274" s="319"/>
      <c r="AU274" s="319"/>
      <c r="AV274" s="319"/>
      <c r="AW274" s="319"/>
      <c r="AX274" s="319"/>
      <c r="AY274" s="319"/>
      <c r="AZ274" s="319"/>
      <c r="BA274" s="319"/>
      <c r="BB274" s="319"/>
      <c r="BC274" s="319"/>
      <c r="BD274" s="319"/>
      <c r="BE274" s="319"/>
      <c r="BF274" s="319"/>
      <c r="BG274" s="319"/>
      <c r="BH274" s="319"/>
      <c r="BI274" s="319"/>
      <c r="BJ274" s="319"/>
      <c r="BK274" s="319"/>
      <c r="BL274" s="319"/>
      <c r="BM274" s="319"/>
      <c r="BN274" s="319"/>
      <c r="BO274" s="319"/>
      <c r="BP274" s="319"/>
      <c r="BQ274" s="319"/>
      <c r="BR274" s="319"/>
    </row>
    <row r="275" ht="14.25" customHeight="1">
      <c r="A275" s="195"/>
      <c r="B275" s="100"/>
      <c r="C275" s="100"/>
      <c r="D275" s="100"/>
      <c r="E275" s="100"/>
      <c r="F275" s="206"/>
      <c r="G275" s="206"/>
      <c r="H275" s="207"/>
      <c r="I275" s="207"/>
      <c r="J275" s="207"/>
      <c r="K275" s="207"/>
      <c r="L275" s="207"/>
      <c r="M275" s="207"/>
      <c r="N275" s="207"/>
      <c r="O275" s="207"/>
      <c r="P275" s="207"/>
      <c r="Q275" s="207"/>
      <c r="R275" s="207"/>
      <c r="S275" s="207"/>
      <c r="T275" s="207"/>
      <c r="U275" s="207"/>
      <c r="V275" s="207"/>
      <c r="W275" s="208"/>
      <c r="X275" s="208"/>
      <c r="Y275" s="208"/>
      <c r="Z275" s="208"/>
      <c r="AA275" s="208"/>
      <c r="AB275" s="208"/>
      <c r="AC275" s="208"/>
      <c r="AD275" s="208"/>
      <c r="AE275" s="208"/>
      <c r="AF275" s="208"/>
      <c r="AG275" s="208"/>
      <c r="AH275" s="208"/>
      <c r="AI275" s="100"/>
      <c r="AJ275" s="319"/>
      <c r="AK275" s="319"/>
      <c r="AL275" s="319"/>
      <c r="AM275" s="319"/>
      <c r="AN275" s="319"/>
      <c r="AO275" s="319"/>
      <c r="AP275" s="319"/>
      <c r="AQ275" s="319"/>
      <c r="AR275" s="319"/>
      <c r="AS275" s="319"/>
      <c r="AT275" s="319"/>
      <c r="AU275" s="319"/>
      <c r="AV275" s="319"/>
      <c r="AW275" s="319"/>
      <c r="AX275" s="319"/>
      <c r="AY275" s="319"/>
      <c r="AZ275" s="319"/>
      <c r="BA275" s="319"/>
      <c r="BB275" s="319"/>
      <c r="BC275" s="319"/>
      <c r="BD275" s="319"/>
      <c r="BE275" s="319"/>
      <c r="BF275" s="319"/>
      <c r="BG275" s="319"/>
      <c r="BH275" s="319"/>
      <c r="BI275" s="319"/>
      <c r="BJ275" s="319"/>
      <c r="BK275" s="319"/>
      <c r="BL275" s="319"/>
      <c r="BM275" s="319"/>
      <c r="BN275" s="319"/>
      <c r="BO275" s="319"/>
      <c r="BP275" s="319"/>
      <c r="BQ275" s="319"/>
      <c r="BR275" s="319"/>
    </row>
    <row r="276" ht="14.25" customHeight="1">
      <c r="A276" s="195"/>
      <c r="B276" s="100"/>
      <c r="C276" s="100"/>
      <c r="D276" s="100"/>
      <c r="E276" s="100"/>
      <c r="F276" s="206"/>
      <c r="G276" s="206"/>
      <c r="H276" s="207"/>
      <c r="I276" s="207"/>
      <c r="J276" s="207"/>
      <c r="K276" s="207"/>
      <c r="L276" s="207"/>
      <c r="M276" s="207"/>
      <c r="N276" s="207"/>
      <c r="O276" s="207"/>
      <c r="P276" s="207"/>
      <c r="Q276" s="207"/>
      <c r="R276" s="207"/>
      <c r="S276" s="207"/>
      <c r="T276" s="207"/>
      <c r="U276" s="207"/>
      <c r="V276" s="207"/>
      <c r="W276" s="208"/>
      <c r="X276" s="208"/>
      <c r="Y276" s="208"/>
      <c r="Z276" s="208"/>
      <c r="AA276" s="208"/>
      <c r="AB276" s="208"/>
      <c r="AC276" s="208"/>
      <c r="AD276" s="208"/>
      <c r="AE276" s="208"/>
      <c r="AF276" s="208"/>
      <c r="AG276" s="208"/>
      <c r="AH276" s="208"/>
      <c r="AI276" s="100"/>
      <c r="AJ276" s="319"/>
      <c r="AK276" s="319"/>
      <c r="AL276" s="319"/>
      <c r="AM276" s="319"/>
      <c r="AN276" s="319"/>
      <c r="AO276" s="319"/>
      <c r="AP276" s="319"/>
      <c r="AQ276" s="319"/>
      <c r="AR276" s="319"/>
      <c r="AS276" s="319"/>
      <c r="AT276" s="319"/>
      <c r="AU276" s="319"/>
      <c r="AV276" s="319"/>
      <c r="AW276" s="319"/>
      <c r="AX276" s="319"/>
      <c r="AY276" s="319"/>
      <c r="AZ276" s="319"/>
      <c r="BA276" s="319"/>
      <c r="BB276" s="319"/>
      <c r="BC276" s="319"/>
      <c r="BD276" s="319"/>
      <c r="BE276" s="319"/>
      <c r="BF276" s="319"/>
      <c r="BG276" s="319"/>
      <c r="BH276" s="319"/>
      <c r="BI276" s="319"/>
      <c r="BJ276" s="319"/>
      <c r="BK276" s="319"/>
      <c r="BL276" s="319"/>
      <c r="BM276" s="319"/>
      <c r="BN276" s="319"/>
      <c r="BO276" s="319"/>
      <c r="BP276" s="319"/>
      <c r="BQ276" s="319"/>
      <c r="BR276" s="319"/>
    </row>
    <row r="277" ht="14.25" customHeight="1">
      <c r="A277" s="195"/>
      <c r="B277" s="100"/>
      <c r="C277" s="100"/>
      <c r="D277" s="100"/>
      <c r="E277" s="100"/>
      <c r="F277" s="206"/>
      <c r="G277" s="206"/>
      <c r="H277" s="207"/>
      <c r="I277" s="207"/>
      <c r="J277" s="207"/>
      <c r="K277" s="207"/>
      <c r="L277" s="207"/>
      <c r="M277" s="207"/>
      <c r="N277" s="207"/>
      <c r="O277" s="207"/>
      <c r="P277" s="207"/>
      <c r="Q277" s="207"/>
      <c r="R277" s="207"/>
      <c r="S277" s="207"/>
      <c r="T277" s="207"/>
      <c r="U277" s="207"/>
      <c r="V277" s="207"/>
      <c r="W277" s="208"/>
      <c r="X277" s="208"/>
      <c r="Y277" s="208"/>
      <c r="Z277" s="208"/>
      <c r="AA277" s="208"/>
      <c r="AB277" s="208"/>
      <c r="AC277" s="208"/>
      <c r="AD277" s="208"/>
      <c r="AE277" s="208"/>
      <c r="AF277" s="208"/>
      <c r="AG277" s="208"/>
      <c r="AH277" s="208"/>
      <c r="AI277" s="100"/>
      <c r="AJ277" s="319"/>
      <c r="AK277" s="319"/>
      <c r="AL277" s="319"/>
      <c r="AM277" s="319"/>
      <c r="AN277" s="319"/>
      <c r="AO277" s="319"/>
      <c r="AP277" s="319"/>
      <c r="AQ277" s="319"/>
      <c r="AR277" s="319"/>
      <c r="AS277" s="319"/>
      <c r="AT277" s="319"/>
      <c r="AU277" s="319"/>
      <c r="AV277" s="319"/>
      <c r="AW277" s="319"/>
      <c r="AX277" s="319"/>
      <c r="AY277" s="319"/>
      <c r="AZ277" s="319"/>
      <c r="BA277" s="319"/>
      <c r="BB277" s="319"/>
      <c r="BC277" s="319"/>
      <c r="BD277" s="319"/>
      <c r="BE277" s="319"/>
      <c r="BF277" s="319"/>
      <c r="BG277" s="319"/>
      <c r="BH277" s="319"/>
      <c r="BI277" s="319"/>
      <c r="BJ277" s="319"/>
      <c r="BK277" s="319"/>
      <c r="BL277" s="319"/>
      <c r="BM277" s="319"/>
      <c r="BN277" s="319"/>
      <c r="BO277" s="319"/>
      <c r="BP277" s="319"/>
      <c r="BQ277" s="319"/>
      <c r="BR277" s="319"/>
    </row>
    <row r="278" ht="14.25" customHeight="1">
      <c r="A278" s="195"/>
      <c r="B278" s="100"/>
      <c r="C278" s="100"/>
      <c r="D278" s="100"/>
      <c r="E278" s="100"/>
      <c r="F278" s="206"/>
      <c r="G278" s="206"/>
      <c r="H278" s="207"/>
      <c r="I278" s="207"/>
      <c r="J278" s="207"/>
      <c r="K278" s="207"/>
      <c r="L278" s="207"/>
      <c r="M278" s="207"/>
      <c r="N278" s="207"/>
      <c r="O278" s="207"/>
      <c r="P278" s="207"/>
      <c r="Q278" s="207"/>
      <c r="R278" s="207"/>
      <c r="S278" s="207"/>
      <c r="T278" s="207"/>
      <c r="U278" s="207"/>
      <c r="V278" s="207"/>
      <c r="W278" s="208"/>
      <c r="X278" s="208"/>
      <c r="Y278" s="208"/>
      <c r="Z278" s="208"/>
      <c r="AA278" s="208"/>
      <c r="AB278" s="208"/>
      <c r="AC278" s="208"/>
      <c r="AD278" s="208"/>
      <c r="AE278" s="208"/>
      <c r="AF278" s="208"/>
      <c r="AG278" s="208"/>
      <c r="AH278" s="208"/>
      <c r="AI278" s="100"/>
      <c r="AJ278" s="319"/>
      <c r="AK278" s="319"/>
      <c r="AL278" s="319"/>
      <c r="AM278" s="319"/>
      <c r="AN278" s="319"/>
      <c r="AO278" s="319"/>
      <c r="AP278" s="319"/>
      <c r="AQ278" s="319"/>
      <c r="AR278" s="319"/>
      <c r="AS278" s="319"/>
      <c r="AT278" s="319"/>
      <c r="AU278" s="319"/>
      <c r="AV278" s="319"/>
      <c r="AW278" s="319"/>
      <c r="AX278" s="319"/>
      <c r="AY278" s="319"/>
      <c r="AZ278" s="319"/>
      <c r="BA278" s="319"/>
      <c r="BB278" s="319"/>
      <c r="BC278" s="319"/>
      <c r="BD278" s="319"/>
      <c r="BE278" s="319"/>
      <c r="BF278" s="319"/>
      <c r="BG278" s="319"/>
      <c r="BH278" s="319"/>
      <c r="BI278" s="319"/>
      <c r="BJ278" s="319"/>
      <c r="BK278" s="319"/>
      <c r="BL278" s="319"/>
      <c r="BM278" s="319"/>
      <c r="BN278" s="319"/>
      <c r="BO278" s="319"/>
      <c r="BP278" s="319"/>
      <c r="BQ278" s="319"/>
      <c r="BR278" s="319"/>
    </row>
    <row r="279" ht="14.25" customHeight="1">
      <c r="A279" s="195"/>
      <c r="B279" s="100"/>
      <c r="C279" s="100"/>
      <c r="D279" s="100"/>
      <c r="E279" s="100"/>
      <c r="F279" s="206"/>
      <c r="G279" s="206"/>
      <c r="H279" s="207"/>
      <c r="I279" s="207"/>
      <c r="J279" s="207"/>
      <c r="K279" s="207"/>
      <c r="L279" s="207"/>
      <c r="M279" s="207"/>
      <c r="N279" s="207"/>
      <c r="O279" s="207"/>
      <c r="P279" s="207"/>
      <c r="Q279" s="207"/>
      <c r="R279" s="207"/>
      <c r="S279" s="207"/>
      <c r="T279" s="207"/>
      <c r="U279" s="207"/>
      <c r="V279" s="207"/>
      <c r="W279" s="208"/>
      <c r="X279" s="208"/>
      <c r="Y279" s="208"/>
      <c r="Z279" s="208"/>
      <c r="AA279" s="208"/>
      <c r="AB279" s="208"/>
      <c r="AC279" s="208"/>
      <c r="AD279" s="208"/>
      <c r="AE279" s="208"/>
      <c r="AF279" s="208"/>
      <c r="AG279" s="208"/>
      <c r="AH279" s="208"/>
      <c r="AI279" s="100"/>
      <c r="AJ279" s="319"/>
      <c r="AK279" s="319"/>
      <c r="AL279" s="319"/>
      <c r="AM279" s="319"/>
      <c r="AN279" s="319"/>
      <c r="AO279" s="319"/>
      <c r="AP279" s="319"/>
      <c r="AQ279" s="319"/>
      <c r="AR279" s="319"/>
      <c r="AS279" s="319"/>
      <c r="AT279" s="319"/>
      <c r="AU279" s="319"/>
      <c r="AV279" s="319"/>
      <c r="AW279" s="319"/>
      <c r="AX279" s="319"/>
      <c r="AY279" s="319"/>
      <c r="AZ279" s="319"/>
      <c r="BA279" s="319"/>
      <c r="BB279" s="319"/>
      <c r="BC279" s="319"/>
      <c r="BD279" s="319"/>
      <c r="BE279" s="319"/>
      <c r="BF279" s="319"/>
      <c r="BG279" s="319"/>
      <c r="BH279" s="319"/>
      <c r="BI279" s="319"/>
      <c r="BJ279" s="319"/>
      <c r="BK279" s="319"/>
      <c r="BL279" s="319"/>
      <c r="BM279" s="319"/>
      <c r="BN279" s="319"/>
      <c r="BO279" s="319"/>
      <c r="BP279" s="319"/>
      <c r="BQ279" s="319"/>
      <c r="BR279" s="319"/>
    </row>
    <row r="280" ht="14.25" customHeight="1">
      <c r="A280" s="195"/>
      <c r="B280" s="100"/>
      <c r="C280" s="100"/>
      <c r="D280" s="100"/>
      <c r="E280" s="100"/>
      <c r="F280" s="206"/>
      <c r="G280" s="206"/>
      <c r="H280" s="207"/>
      <c r="I280" s="207"/>
      <c r="J280" s="207"/>
      <c r="K280" s="207"/>
      <c r="L280" s="207"/>
      <c r="M280" s="207"/>
      <c r="N280" s="207"/>
      <c r="O280" s="207"/>
      <c r="P280" s="207"/>
      <c r="Q280" s="207"/>
      <c r="R280" s="207"/>
      <c r="S280" s="207"/>
      <c r="T280" s="207"/>
      <c r="U280" s="207"/>
      <c r="V280" s="207"/>
      <c r="W280" s="208"/>
      <c r="X280" s="208"/>
      <c r="Y280" s="208"/>
      <c r="Z280" s="208"/>
      <c r="AA280" s="208"/>
      <c r="AB280" s="208"/>
      <c r="AC280" s="208"/>
      <c r="AD280" s="208"/>
      <c r="AE280" s="208"/>
      <c r="AF280" s="208"/>
      <c r="AG280" s="208"/>
      <c r="AH280" s="208"/>
      <c r="AI280" s="100"/>
      <c r="AJ280" s="319"/>
      <c r="AK280" s="319"/>
      <c r="AL280" s="319"/>
      <c r="AM280" s="319"/>
      <c r="AN280" s="319"/>
      <c r="AO280" s="319"/>
      <c r="AP280" s="319"/>
      <c r="AQ280" s="319"/>
      <c r="AR280" s="319"/>
      <c r="AS280" s="319"/>
      <c r="AT280" s="319"/>
      <c r="AU280" s="319"/>
      <c r="AV280" s="319"/>
      <c r="AW280" s="319"/>
      <c r="AX280" s="319"/>
      <c r="AY280" s="319"/>
      <c r="AZ280" s="319"/>
      <c r="BA280" s="319"/>
      <c r="BB280" s="319"/>
      <c r="BC280" s="319"/>
      <c r="BD280" s="319"/>
      <c r="BE280" s="319"/>
      <c r="BF280" s="319"/>
      <c r="BG280" s="319"/>
      <c r="BH280" s="319"/>
      <c r="BI280" s="319"/>
      <c r="BJ280" s="319"/>
      <c r="BK280" s="319"/>
      <c r="BL280" s="319"/>
      <c r="BM280" s="319"/>
      <c r="BN280" s="319"/>
      <c r="BO280" s="319"/>
      <c r="BP280" s="319"/>
      <c r="BQ280" s="319"/>
      <c r="BR280" s="319"/>
    </row>
    <row r="281" ht="14.25" customHeight="1">
      <c r="A281" s="195"/>
      <c r="B281" s="100"/>
      <c r="C281" s="100"/>
      <c r="D281" s="100"/>
      <c r="E281" s="100"/>
      <c r="F281" s="206"/>
      <c r="G281" s="206"/>
      <c r="H281" s="207"/>
      <c r="I281" s="207"/>
      <c r="J281" s="207"/>
      <c r="K281" s="207"/>
      <c r="L281" s="207"/>
      <c r="M281" s="207"/>
      <c r="N281" s="207"/>
      <c r="O281" s="207"/>
      <c r="P281" s="207"/>
      <c r="Q281" s="207"/>
      <c r="R281" s="207"/>
      <c r="S281" s="207"/>
      <c r="T281" s="207"/>
      <c r="U281" s="207"/>
      <c r="V281" s="207"/>
      <c r="W281" s="208"/>
      <c r="X281" s="208"/>
      <c r="Y281" s="208"/>
      <c r="Z281" s="208"/>
      <c r="AA281" s="208"/>
      <c r="AB281" s="208"/>
      <c r="AC281" s="208"/>
      <c r="AD281" s="208"/>
      <c r="AE281" s="208"/>
      <c r="AF281" s="208"/>
      <c r="AG281" s="208"/>
      <c r="AH281" s="208"/>
      <c r="AI281" s="100"/>
      <c r="AJ281" s="319"/>
      <c r="AK281" s="319"/>
      <c r="AL281" s="319"/>
      <c r="AM281" s="319"/>
      <c r="AN281" s="319"/>
      <c r="AO281" s="319"/>
      <c r="AP281" s="319"/>
      <c r="AQ281" s="319"/>
      <c r="AR281" s="319"/>
      <c r="AS281" s="319"/>
      <c r="AT281" s="319"/>
      <c r="AU281" s="319"/>
      <c r="AV281" s="319"/>
      <c r="AW281" s="319"/>
      <c r="AX281" s="319"/>
      <c r="AY281" s="319"/>
      <c r="AZ281" s="319"/>
      <c r="BA281" s="319"/>
      <c r="BB281" s="319"/>
      <c r="BC281" s="319"/>
      <c r="BD281" s="319"/>
      <c r="BE281" s="319"/>
      <c r="BF281" s="319"/>
      <c r="BG281" s="319"/>
      <c r="BH281" s="319"/>
      <c r="BI281" s="319"/>
      <c r="BJ281" s="319"/>
      <c r="BK281" s="319"/>
      <c r="BL281" s="319"/>
      <c r="BM281" s="319"/>
      <c r="BN281" s="319"/>
      <c r="BO281" s="319"/>
      <c r="BP281" s="319"/>
      <c r="BQ281" s="319"/>
      <c r="BR281" s="319"/>
    </row>
    <row r="282" ht="14.25" customHeight="1">
      <c r="A282" s="195"/>
      <c r="B282" s="100"/>
      <c r="C282" s="100"/>
      <c r="D282" s="100"/>
      <c r="E282" s="100"/>
      <c r="F282" s="206"/>
      <c r="G282" s="206"/>
      <c r="H282" s="207"/>
      <c r="I282" s="207"/>
      <c r="J282" s="207"/>
      <c r="K282" s="207"/>
      <c r="L282" s="207"/>
      <c r="M282" s="207"/>
      <c r="N282" s="207"/>
      <c r="O282" s="207"/>
      <c r="P282" s="207"/>
      <c r="Q282" s="207"/>
      <c r="R282" s="207"/>
      <c r="S282" s="207"/>
      <c r="T282" s="207"/>
      <c r="U282" s="207"/>
      <c r="V282" s="207"/>
      <c r="W282" s="208"/>
      <c r="X282" s="208"/>
      <c r="Y282" s="208"/>
      <c r="Z282" s="208"/>
      <c r="AA282" s="208"/>
      <c r="AB282" s="208"/>
      <c r="AC282" s="208"/>
      <c r="AD282" s="208"/>
      <c r="AE282" s="208"/>
      <c r="AF282" s="208"/>
      <c r="AG282" s="208"/>
      <c r="AH282" s="208"/>
      <c r="AI282" s="100"/>
      <c r="AJ282" s="319"/>
      <c r="AK282" s="319"/>
      <c r="AL282" s="319"/>
      <c r="AM282" s="319"/>
      <c r="AN282" s="319"/>
      <c r="AO282" s="319"/>
      <c r="AP282" s="319"/>
      <c r="AQ282" s="319"/>
      <c r="AR282" s="319"/>
      <c r="AS282" s="319"/>
      <c r="AT282" s="319"/>
      <c r="AU282" s="319"/>
      <c r="AV282" s="319"/>
      <c r="AW282" s="319"/>
      <c r="AX282" s="319"/>
      <c r="AY282" s="319"/>
      <c r="AZ282" s="319"/>
      <c r="BA282" s="319"/>
      <c r="BB282" s="319"/>
      <c r="BC282" s="319"/>
      <c r="BD282" s="319"/>
      <c r="BE282" s="319"/>
      <c r="BF282" s="319"/>
      <c r="BG282" s="319"/>
      <c r="BH282" s="319"/>
      <c r="BI282" s="319"/>
      <c r="BJ282" s="319"/>
      <c r="BK282" s="319"/>
      <c r="BL282" s="319"/>
      <c r="BM282" s="319"/>
      <c r="BN282" s="319"/>
      <c r="BO282" s="319"/>
      <c r="BP282" s="319"/>
      <c r="BQ282" s="319"/>
      <c r="BR282" s="319"/>
    </row>
    <row r="283" ht="14.25" customHeight="1">
      <c r="A283" s="195"/>
      <c r="B283" s="100"/>
      <c r="C283" s="100"/>
      <c r="D283" s="100"/>
      <c r="E283" s="100"/>
      <c r="F283" s="206"/>
      <c r="G283" s="206"/>
      <c r="H283" s="207"/>
      <c r="I283" s="207"/>
      <c r="J283" s="207"/>
      <c r="K283" s="207"/>
      <c r="L283" s="207"/>
      <c r="M283" s="207"/>
      <c r="N283" s="207"/>
      <c r="O283" s="207"/>
      <c r="P283" s="207"/>
      <c r="Q283" s="207"/>
      <c r="R283" s="207"/>
      <c r="S283" s="207"/>
      <c r="T283" s="207"/>
      <c r="U283" s="207"/>
      <c r="V283" s="207"/>
      <c r="W283" s="208"/>
      <c r="X283" s="208"/>
      <c r="Y283" s="208"/>
      <c r="Z283" s="208"/>
      <c r="AA283" s="208"/>
      <c r="AB283" s="208"/>
      <c r="AC283" s="208"/>
      <c r="AD283" s="208"/>
      <c r="AE283" s="208"/>
      <c r="AF283" s="208"/>
      <c r="AG283" s="208"/>
      <c r="AH283" s="208"/>
      <c r="AI283" s="100"/>
      <c r="AJ283" s="319"/>
      <c r="AK283" s="319"/>
      <c r="AL283" s="319"/>
      <c r="AM283" s="319"/>
      <c r="AN283" s="319"/>
      <c r="AO283" s="319"/>
      <c r="AP283" s="319"/>
      <c r="AQ283" s="319"/>
      <c r="AR283" s="319"/>
      <c r="AS283" s="319"/>
      <c r="AT283" s="319"/>
      <c r="AU283" s="319"/>
      <c r="AV283" s="319"/>
      <c r="AW283" s="319"/>
      <c r="AX283" s="319"/>
      <c r="AY283" s="319"/>
      <c r="AZ283" s="319"/>
      <c r="BA283" s="319"/>
      <c r="BB283" s="319"/>
      <c r="BC283" s="319"/>
      <c r="BD283" s="319"/>
      <c r="BE283" s="319"/>
      <c r="BF283" s="319"/>
      <c r="BG283" s="319"/>
      <c r="BH283" s="319"/>
      <c r="BI283" s="319"/>
      <c r="BJ283" s="319"/>
      <c r="BK283" s="319"/>
      <c r="BL283" s="319"/>
      <c r="BM283" s="319"/>
      <c r="BN283" s="319"/>
      <c r="BO283" s="319"/>
      <c r="BP283" s="319"/>
      <c r="BQ283" s="319"/>
      <c r="BR283" s="319"/>
    </row>
    <row r="284" ht="14.25" customHeight="1">
      <c r="A284" s="195"/>
      <c r="B284" s="100"/>
      <c r="C284" s="100"/>
      <c r="D284" s="100"/>
      <c r="E284" s="100"/>
      <c r="F284" s="206"/>
      <c r="G284" s="206"/>
      <c r="H284" s="207"/>
      <c r="I284" s="207"/>
      <c r="J284" s="207"/>
      <c r="K284" s="207"/>
      <c r="L284" s="207"/>
      <c r="M284" s="207"/>
      <c r="N284" s="207"/>
      <c r="O284" s="207"/>
      <c r="P284" s="207"/>
      <c r="Q284" s="207"/>
      <c r="R284" s="207"/>
      <c r="S284" s="207"/>
      <c r="T284" s="207"/>
      <c r="U284" s="207"/>
      <c r="V284" s="207"/>
      <c r="W284" s="208"/>
      <c r="X284" s="208"/>
      <c r="Y284" s="208"/>
      <c r="Z284" s="208"/>
      <c r="AA284" s="208"/>
      <c r="AB284" s="208"/>
      <c r="AC284" s="208"/>
      <c r="AD284" s="208"/>
      <c r="AE284" s="208"/>
      <c r="AF284" s="208"/>
      <c r="AG284" s="208"/>
      <c r="AH284" s="208"/>
      <c r="AI284" s="100"/>
      <c r="AJ284" s="319"/>
      <c r="AK284" s="319"/>
      <c r="AL284" s="319"/>
      <c r="AM284" s="319"/>
      <c r="AN284" s="319"/>
      <c r="AO284" s="319"/>
      <c r="AP284" s="319"/>
      <c r="AQ284" s="319"/>
      <c r="AR284" s="319"/>
      <c r="AS284" s="319"/>
      <c r="AT284" s="319"/>
      <c r="AU284" s="319"/>
      <c r="AV284" s="319"/>
      <c r="AW284" s="319"/>
      <c r="AX284" s="319"/>
      <c r="AY284" s="319"/>
      <c r="AZ284" s="319"/>
      <c r="BA284" s="319"/>
      <c r="BB284" s="319"/>
      <c r="BC284" s="319"/>
      <c r="BD284" s="319"/>
      <c r="BE284" s="319"/>
      <c r="BF284" s="319"/>
      <c r="BG284" s="319"/>
      <c r="BH284" s="319"/>
      <c r="BI284" s="319"/>
      <c r="BJ284" s="319"/>
      <c r="BK284" s="319"/>
      <c r="BL284" s="319"/>
      <c r="BM284" s="319"/>
      <c r="BN284" s="319"/>
      <c r="BO284" s="319"/>
      <c r="BP284" s="319"/>
      <c r="BQ284" s="319"/>
      <c r="BR284" s="319"/>
    </row>
    <row r="285" ht="14.25" customHeight="1">
      <c r="A285" s="195"/>
      <c r="B285" s="100"/>
      <c r="C285" s="100"/>
      <c r="D285" s="100"/>
      <c r="E285" s="100"/>
      <c r="F285" s="206"/>
      <c r="G285" s="206"/>
      <c r="H285" s="207"/>
      <c r="I285" s="207"/>
      <c r="J285" s="207"/>
      <c r="K285" s="207"/>
      <c r="L285" s="207"/>
      <c r="M285" s="207"/>
      <c r="N285" s="207"/>
      <c r="O285" s="207"/>
      <c r="P285" s="207"/>
      <c r="Q285" s="207"/>
      <c r="R285" s="207"/>
      <c r="S285" s="207"/>
      <c r="T285" s="207"/>
      <c r="U285" s="207"/>
      <c r="V285" s="207"/>
      <c r="W285" s="208"/>
      <c r="X285" s="208"/>
      <c r="Y285" s="208"/>
      <c r="Z285" s="208"/>
      <c r="AA285" s="208"/>
      <c r="AB285" s="208"/>
      <c r="AC285" s="208"/>
      <c r="AD285" s="208"/>
      <c r="AE285" s="208"/>
      <c r="AF285" s="208"/>
      <c r="AG285" s="208"/>
      <c r="AH285" s="208"/>
      <c r="AI285" s="100"/>
      <c r="AJ285" s="319"/>
      <c r="AK285" s="319"/>
      <c r="AL285" s="319"/>
      <c r="AM285" s="319"/>
      <c r="AN285" s="319"/>
      <c r="AO285" s="319"/>
      <c r="AP285" s="319"/>
      <c r="AQ285" s="319"/>
      <c r="AR285" s="319"/>
      <c r="AS285" s="319"/>
      <c r="AT285" s="319"/>
      <c r="AU285" s="319"/>
      <c r="AV285" s="319"/>
      <c r="AW285" s="319"/>
      <c r="AX285" s="319"/>
      <c r="AY285" s="319"/>
      <c r="AZ285" s="319"/>
      <c r="BA285" s="319"/>
      <c r="BB285" s="319"/>
      <c r="BC285" s="319"/>
      <c r="BD285" s="319"/>
      <c r="BE285" s="319"/>
      <c r="BF285" s="319"/>
      <c r="BG285" s="319"/>
      <c r="BH285" s="319"/>
      <c r="BI285" s="319"/>
      <c r="BJ285" s="319"/>
      <c r="BK285" s="319"/>
      <c r="BL285" s="319"/>
      <c r="BM285" s="319"/>
      <c r="BN285" s="319"/>
      <c r="BO285" s="319"/>
      <c r="BP285" s="319"/>
      <c r="BQ285" s="319"/>
      <c r="BR285" s="319"/>
    </row>
    <row r="286" ht="14.25" customHeight="1">
      <c r="A286" s="195"/>
      <c r="B286" s="100"/>
      <c r="C286" s="100"/>
      <c r="D286" s="100"/>
      <c r="E286" s="100"/>
      <c r="F286" s="206"/>
      <c r="G286" s="206"/>
      <c r="H286" s="207"/>
      <c r="I286" s="207"/>
      <c r="J286" s="207"/>
      <c r="K286" s="207"/>
      <c r="L286" s="207"/>
      <c r="M286" s="207"/>
      <c r="N286" s="207"/>
      <c r="O286" s="207"/>
      <c r="P286" s="207"/>
      <c r="Q286" s="207"/>
      <c r="R286" s="207"/>
      <c r="S286" s="207"/>
      <c r="T286" s="207"/>
      <c r="U286" s="207"/>
      <c r="V286" s="207"/>
      <c r="W286" s="208"/>
      <c r="X286" s="208"/>
      <c r="Y286" s="208"/>
      <c r="Z286" s="208"/>
      <c r="AA286" s="208"/>
      <c r="AB286" s="208"/>
      <c r="AC286" s="208"/>
      <c r="AD286" s="208"/>
      <c r="AE286" s="208"/>
      <c r="AF286" s="208"/>
      <c r="AG286" s="208"/>
      <c r="AH286" s="208"/>
      <c r="AI286" s="100"/>
      <c r="AJ286" s="319"/>
      <c r="AK286" s="319"/>
      <c r="AL286" s="319"/>
      <c r="AM286" s="319"/>
      <c r="AN286" s="319"/>
      <c r="AO286" s="319"/>
      <c r="AP286" s="319"/>
      <c r="AQ286" s="319"/>
      <c r="AR286" s="319"/>
      <c r="AS286" s="319"/>
      <c r="AT286" s="319"/>
      <c r="AU286" s="319"/>
      <c r="AV286" s="319"/>
      <c r="AW286" s="319"/>
      <c r="AX286" s="319"/>
      <c r="AY286" s="319"/>
      <c r="AZ286" s="319"/>
      <c r="BA286" s="319"/>
      <c r="BB286" s="319"/>
      <c r="BC286" s="319"/>
      <c r="BD286" s="319"/>
      <c r="BE286" s="319"/>
      <c r="BF286" s="319"/>
      <c r="BG286" s="319"/>
      <c r="BH286" s="319"/>
      <c r="BI286" s="319"/>
      <c r="BJ286" s="319"/>
      <c r="BK286" s="319"/>
      <c r="BL286" s="319"/>
      <c r="BM286" s="319"/>
      <c r="BN286" s="319"/>
      <c r="BO286" s="319"/>
      <c r="BP286" s="319"/>
      <c r="BQ286" s="319"/>
      <c r="BR286" s="319"/>
    </row>
    <row r="287" ht="14.25" customHeight="1">
      <c r="A287" s="195"/>
      <c r="B287" s="100"/>
      <c r="C287" s="100"/>
      <c r="D287" s="100"/>
      <c r="E287" s="100"/>
      <c r="F287" s="206"/>
      <c r="G287" s="206"/>
      <c r="H287" s="207"/>
      <c r="I287" s="207"/>
      <c r="J287" s="207"/>
      <c r="K287" s="207"/>
      <c r="L287" s="207"/>
      <c r="M287" s="207"/>
      <c r="N287" s="207"/>
      <c r="O287" s="207"/>
      <c r="P287" s="207"/>
      <c r="Q287" s="207"/>
      <c r="R287" s="207"/>
      <c r="S287" s="207"/>
      <c r="T287" s="207"/>
      <c r="U287" s="207"/>
      <c r="V287" s="207"/>
      <c r="W287" s="208"/>
      <c r="X287" s="208"/>
      <c r="Y287" s="208"/>
      <c r="Z287" s="208"/>
      <c r="AA287" s="208"/>
      <c r="AB287" s="208"/>
      <c r="AC287" s="208"/>
      <c r="AD287" s="208"/>
      <c r="AE287" s="208"/>
      <c r="AF287" s="208"/>
      <c r="AG287" s="208"/>
      <c r="AH287" s="208"/>
      <c r="AI287" s="100"/>
      <c r="AJ287" s="319"/>
      <c r="AK287" s="319"/>
      <c r="AL287" s="319"/>
      <c r="AM287" s="319"/>
      <c r="AN287" s="319"/>
      <c r="AO287" s="319"/>
      <c r="AP287" s="319"/>
      <c r="AQ287" s="319"/>
      <c r="AR287" s="319"/>
      <c r="AS287" s="319"/>
      <c r="AT287" s="319"/>
      <c r="AU287" s="319"/>
      <c r="AV287" s="319"/>
      <c r="AW287" s="319"/>
      <c r="AX287" s="319"/>
      <c r="AY287" s="319"/>
      <c r="AZ287" s="319"/>
      <c r="BA287" s="319"/>
      <c r="BB287" s="319"/>
      <c r="BC287" s="319"/>
      <c r="BD287" s="319"/>
      <c r="BE287" s="319"/>
      <c r="BF287" s="319"/>
      <c r="BG287" s="319"/>
      <c r="BH287" s="319"/>
      <c r="BI287" s="319"/>
      <c r="BJ287" s="319"/>
      <c r="BK287" s="319"/>
      <c r="BL287" s="319"/>
      <c r="BM287" s="319"/>
      <c r="BN287" s="319"/>
      <c r="BO287" s="319"/>
      <c r="BP287" s="319"/>
      <c r="BQ287" s="319"/>
      <c r="BR287" s="319"/>
    </row>
    <row r="288" ht="14.25" customHeight="1">
      <c r="A288" s="195"/>
      <c r="B288" s="100"/>
      <c r="C288" s="100"/>
      <c r="D288" s="100"/>
      <c r="E288" s="100"/>
      <c r="F288" s="206"/>
      <c r="G288" s="206"/>
      <c r="H288" s="207"/>
      <c r="I288" s="207"/>
      <c r="J288" s="207"/>
      <c r="K288" s="207"/>
      <c r="L288" s="207"/>
      <c r="M288" s="207"/>
      <c r="N288" s="207"/>
      <c r="O288" s="207"/>
      <c r="P288" s="207"/>
      <c r="Q288" s="207"/>
      <c r="R288" s="207"/>
      <c r="S288" s="207"/>
      <c r="T288" s="207"/>
      <c r="U288" s="207"/>
      <c r="V288" s="207"/>
      <c r="W288" s="208"/>
      <c r="X288" s="208"/>
      <c r="Y288" s="208"/>
      <c r="Z288" s="208"/>
      <c r="AA288" s="208"/>
      <c r="AB288" s="208"/>
      <c r="AC288" s="208"/>
      <c r="AD288" s="208"/>
      <c r="AE288" s="208"/>
      <c r="AF288" s="208"/>
      <c r="AG288" s="208"/>
      <c r="AH288" s="208"/>
      <c r="AI288" s="100"/>
      <c r="AJ288" s="319"/>
      <c r="AK288" s="319"/>
      <c r="AL288" s="319"/>
      <c r="AM288" s="319"/>
      <c r="AN288" s="319"/>
      <c r="AO288" s="319"/>
      <c r="AP288" s="319"/>
      <c r="AQ288" s="319"/>
      <c r="AR288" s="319"/>
      <c r="AS288" s="319"/>
      <c r="AT288" s="319"/>
      <c r="AU288" s="319"/>
      <c r="AV288" s="319"/>
      <c r="AW288" s="319"/>
      <c r="AX288" s="319"/>
      <c r="AY288" s="319"/>
      <c r="AZ288" s="319"/>
      <c r="BA288" s="319"/>
      <c r="BB288" s="319"/>
      <c r="BC288" s="319"/>
      <c r="BD288" s="319"/>
      <c r="BE288" s="319"/>
      <c r="BF288" s="319"/>
      <c r="BG288" s="319"/>
      <c r="BH288" s="319"/>
      <c r="BI288" s="319"/>
      <c r="BJ288" s="319"/>
      <c r="BK288" s="319"/>
      <c r="BL288" s="319"/>
      <c r="BM288" s="319"/>
      <c r="BN288" s="319"/>
      <c r="BO288" s="319"/>
      <c r="BP288" s="319"/>
      <c r="BQ288" s="319"/>
      <c r="BR288" s="319"/>
    </row>
    <row r="289" ht="14.25" customHeight="1">
      <c r="A289" s="195"/>
      <c r="B289" s="100"/>
      <c r="C289" s="100"/>
      <c r="D289" s="100"/>
      <c r="E289" s="100"/>
      <c r="F289" s="206"/>
      <c r="G289" s="206"/>
      <c r="H289" s="207"/>
      <c r="I289" s="207"/>
      <c r="J289" s="207"/>
      <c r="K289" s="207"/>
      <c r="L289" s="207"/>
      <c r="M289" s="207"/>
      <c r="N289" s="207"/>
      <c r="O289" s="207"/>
      <c r="P289" s="207"/>
      <c r="Q289" s="207"/>
      <c r="R289" s="207"/>
      <c r="S289" s="207"/>
      <c r="T289" s="207"/>
      <c r="U289" s="207"/>
      <c r="V289" s="207"/>
      <c r="W289" s="208"/>
      <c r="X289" s="208"/>
      <c r="Y289" s="208"/>
      <c r="Z289" s="208"/>
      <c r="AA289" s="208"/>
      <c r="AB289" s="208"/>
      <c r="AC289" s="208"/>
      <c r="AD289" s="208"/>
      <c r="AE289" s="208"/>
      <c r="AF289" s="208"/>
      <c r="AG289" s="208"/>
      <c r="AH289" s="208"/>
      <c r="AI289" s="100"/>
      <c r="AJ289" s="319"/>
      <c r="AK289" s="319"/>
      <c r="AL289" s="319"/>
      <c r="AM289" s="319"/>
      <c r="AN289" s="319"/>
      <c r="AO289" s="319"/>
      <c r="AP289" s="319"/>
      <c r="AQ289" s="319"/>
      <c r="AR289" s="319"/>
      <c r="AS289" s="319"/>
      <c r="AT289" s="319"/>
      <c r="AU289" s="319"/>
      <c r="AV289" s="319"/>
      <c r="AW289" s="319"/>
      <c r="AX289" s="319"/>
      <c r="AY289" s="319"/>
      <c r="AZ289" s="319"/>
      <c r="BA289" s="319"/>
      <c r="BB289" s="319"/>
      <c r="BC289" s="319"/>
      <c r="BD289" s="319"/>
      <c r="BE289" s="319"/>
      <c r="BF289" s="319"/>
      <c r="BG289" s="319"/>
      <c r="BH289" s="319"/>
      <c r="BI289" s="319"/>
      <c r="BJ289" s="319"/>
      <c r="BK289" s="319"/>
      <c r="BL289" s="319"/>
      <c r="BM289" s="319"/>
      <c r="BN289" s="319"/>
      <c r="BO289" s="319"/>
      <c r="BP289" s="319"/>
      <c r="BQ289" s="319"/>
      <c r="BR289" s="319"/>
    </row>
    <row r="290" ht="14.25" customHeight="1">
      <c r="A290" s="195"/>
      <c r="B290" s="100"/>
      <c r="C290" s="100"/>
      <c r="D290" s="100"/>
      <c r="E290" s="100"/>
      <c r="F290" s="206"/>
      <c r="G290" s="206"/>
      <c r="H290" s="207"/>
      <c r="I290" s="207"/>
      <c r="J290" s="207"/>
      <c r="K290" s="207"/>
      <c r="L290" s="207"/>
      <c r="M290" s="207"/>
      <c r="N290" s="207"/>
      <c r="O290" s="207"/>
      <c r="P290" s="207"/>
      <c r="Q290" s="207"/>
      <c r="R290" s="207"/>
      <c r="S290" s="207"/>
      <c r="T290" s="207"/>
      <c r="U290" s="207"/>
      <c r="V290" s="207"/>
      <c r="W290" s="208"/>
      <c r="X290" s="208"/>
      <c r="Y290" s="208"/>
      <c r="Z290" s="208"/>
      <c r="AA290" s="208"/>
      <c r="AB290" s="208"/>
      <c r="AC290" s="208"/>
      <c r="AD290" s="208"/>
      <c r="AE290" s="208"/>
      <c r="AF290" s="208"/>
      <c r="AG290" s="208"/>
      <c r="AH290" s="208"/>
      <c r="AI290" s="100"/>
      <c r="AJ290" s="319"/>
      <c r="AK290" s="319"/>
      <c r="AL290" s="319"/>
      <c r="AM290" s="319"/>
      <c r="AN290" s="319"/>
      <c r="AO290" s="319"/>
      <c r="AP290" s="319"/>
      <c r="AQ290" s="319"/>
      <c r="AR290" s="319"/>
      <c r="AS290" s="319"/>
      <c r="AT290" s="319"/>
      <c r="AU290" s="319"/>
      <c r="AV290" s="319"/>
      <c r="AW290" s="319"/>
      <c r="AX290" s="319"/>
      <c r="AY290" s="319"/>
      <c r="AZ290" s="319"/>
      <c r="BA290" s="319"/>
      <c r="BB290" s="319"/>
      <c r="BC290" s="319"/>
      <c r="BD290" s="319"/>
      <c r="BE290" s="319"/>
      <c r="BF290" s="319"/>
      <c r="BG290" s="319"/>
      <c r="BH290" s="319"/>
      <c r="BI290" s="319"/>
      <c r="BJ290" s="319"/>
      <c r="BK290" s="319"/>
      <c r="BL290" s="319"/>
      <c r="BM290" s="319"/>
      <c r="BN290" s="319"/>
      <c r="BO290" s="319"/>
      <c r="BP290" s="319"/>
      <c r="BQ290" s="319"/>
      <c r="BR290" s="319"/>
    </row>
    <row r="291" ht="14.25" customHeight="1">
      <c r="A291" s="195"/>
      <c r="B291" s="100"/>
      <c r="C291" s="100"/>
      <c r="D291" s="100"/>
      <c r="E291" s="100"/>
      <c r="F291" s="206"/>
      <c r="G291" s="206"/>
      <c r="H291" s="207"/>
      <c r="I291" s="207"/>
      <c r="J291" s="207"/>
      <c r="K291" s="207"/>
      <c r="L291" s="207"/>
      <c r="M291" s="207"/>
      <c r="N291" s="207"/>
      <c r="O291" s="207"/>
      <c r="P291" s="207"/>
      <c r="Q291" s="207"/>
      <c r="R291" s="207"/>
      <c r="S291" s="207"/>
      <c r="T291" s="207"/>
      <c r="U291" s="207"/>
      <c r="V291" s="207"/>
      <c r="W291" s="208"/>
      <c r="X291" s="208"/>
      <c r="Y291" s="208"/>
      <c r="Z291" s="208"/>
      <c r="AA291" s="208"/>
      <c r="AB291" s="208"/>
      <c r="AC291" s="208"/>
      <c r="AD291" s="208"/>
      <c r="AE291" s="208"/>
      <c r="AF291" s="208"/>
      <c r="AG291" s="208"/>
      <c r="AH291" s="208"/>
      <c r="AI291" s="100"/>
      <c r="AJ291" s="319"/>
      <c r="AK291" s="319"/>
      <c r="AL291" s="319"/>
      <c r="AM291" s="319"/>
      <c r="AN291" s="319"/>
      <c r="AO291" s="319"/>
      <c r="AP291" s="319"/>
      <c r="AQ291" s="319"/>
      <c r="AR291" s="319"/>
      <c r="AS291" s="319"/>
      <c r="AT291" s="319"/>
      <c r="AU291" s="319"/>
      <c r="AV291" s="319"/>
      <c r="AW291" s="319"/>
      <c r="AX291" s="319"/>
      <c r="AY291" s="319"/>
      <c r="AZ291" s="319"/>
      <c r="BA291" s="319"/>
      <c r="BB291" s="319"/>
      <c r="BC291" s="319"/>
      <c r="BD291" s="319"/>
      <c r="BE291" s="319"/>
      <c r="BF291" s="319"/>
      <c r="BG291" s="319"/>
      <c r="BH291" s="319"/>
      <c r="BI291" s="319"/>
      <c r="BJ291" s="319"/>
      <c r="BK291" s="319"/>
      <c r="BL291" s="319"/>
      <c r="BM291" s="319"/>
      <c r="BN291" s="319"/>
      <c r="BO291" s="319"/>
      <c r="BP291" s="319"/>
      <c r="BQ291" s="319"/>
      <c r="BR291" s="319"/>
    </row>
    <row r="292" ht="14.25" customHeight="1">
      <c r="A292" s="195"/>
      <c r="B292" s="100"/>
      <c r="C292" s="100"/>
      <c r="D292" s="100"/>
      <c r="E292" s="100"/>
      <c r="F292" s="206"/>
      <c r="G292" s="206"/>
      <c r="H292" s="207"/>
      <c r="I292" s="207"/>
      <c r="J292" s="207"/>
      <c r="K292" s="207"/>
      <c r="L292" s="207"/>
      <c r="M292" s="207"/>
      <c r="N292" s="207"/>
      <c r="O292" s="207"/>
      <c r="P292" s="207"/>
      <c r="Q292" s="207"/>
      <c r="R292" s="207"/>
      <c r="S292" s="207"/>
      <c r="T292" s="207"/>
      <c r="U292" s="207"/>
      <c r="V292" s="207"/>
      <c r="W292" s="208"/>
      <c r="X292" s="208"/>
      <c r="Y292" s="208"/>
      <c r="Z292" s="208"/>
      <c r="AA292" s="208"/>
      <c r="AB292" s="208"/>
      <c r="AC292" s="208"/>
      <c r="AD292" s="208"/>
      <c r="AE292" s="208"/>
      <c r="AF292" s="208"/>
      <c r="AG292" s="208"/>
      <c r="AH292" s="208"/>
      <c r="AI292" s="100"/>
      <c r="AJ292" s="319"/>
      <c r="AK292" s="319"/>
      <c r="AL292" s="319"/>
      <c r="AM292" s="319"/>
      <c r="AN292" s="319"/>
      <c r="AO292" s="319"/>
      <c r="AP292" s="319"/>
      <c r="AQ292" s="319"/>
      <c r="AR292" s="319"/>
      <c r="AS292" s="319"/>
      <c r="AT292" s="319"/>
      <c r="AU292" s="319"/>
      <c r="AV292" s="319"/>
      <c r="AW292" s="319"/>
      <c r="AX292" s="319"/>
      <c r="AY292" s="319"/>
      <c r="AZ292" s="319"/>
      <c r="BA292" s="319"/>
      <c r="BB292" s="319"/>
      <c r="BC292" s="319"/>
      <c r="BD292" s="319"/>
      <c r="BE292" s="319"/>
      <c r="BF292" s="319"/>
      <c r="BG292" s="319"/>
      <c r="BH292" s="319"/>
      <c r="BI292" s="319"/>
      <c r="BJ292" s="319"/>
      <c r="BK292" s="319"/>
      <c r="BL292" s="319"/>
      <c r="BM292" s="319"/>
      <c r="BN292" s="319"/>
      <c r="BO292" s="319"/>
      <c r="BP292" s="319"/>
      <c r="BQ292" s="319"/>
      <c r="BR292" s="319"/>
    </row>
    <row r="293" ht="14.25" customHeight="1">
      <c r="A293" s="195"/>
      <c r="B293" s="100"/>
      <c r="C293" s="100"/>
      <c r="D293" s="100"/>
      <c r="E293" s="100"/>
      <c r="F293" s="206"/>
      <c r="G293" s="206"/>
      <c r="H293" s="207"/>
      <c r="I293" s="207"/>
      <c r="J293" s="207"/>
      <c r="K293" s="207"/>
      <c r="L293" s="207"/>
      <c r="M293" s="207"/>
      <c r="N293" s="207"/>
      <c r="O293" s="207"/>
      <c r="P293" s="207"/>
      <c r="Q293" s="207"/>
      <c r="R293" s="207"/>
      <c r="S293" s="207"/>
      <c r="T293" s="207"/>
      <c r="U293" s="207"/>
      <c r="V293" s="207"/>
      <c r="W293" s="208"/>
      <c r="X293" s="208"/>
      <c r="Y293" s="208"/>
      <c r="Z293" s="208"/>
      <c r="AA293" s="208"/>
      <c r="AB293" s="208"/>
      <c r="AC293" s="208"/>
      <c r="AD293" s="208"/>
      <c r="AE293" s="208"/>
      <c r="AF293" s="208"/>
      <c r="AG293" s="208"/>
      <c r="AH293" s="208"/>
      <c r="AI293" s="100"/>
      <c r="AJ293" s="319"/>
      <c r="AK293" s="319"/>
      <c r="AL293" s="319"/>
      <c r="AM293" s="319"/>
      <c r="AN293" s="319"/>
      <c r="AO293" s="319"/>
      <c r="AP293" s="319"/>
      <c r="AQ293" s="319"/>
      <c r="AR293" s="319"/>
      <c r="AS293" s="319"/>
      <c r="AT293" s="319"/>
      <c r="AU293" s="319"/>
      <c r="AV293" s="319"/>
      <c r="AW293" s="319"/>
      <c r="AX293" s="319"/>
      <c r="AY293" s="319"/>
      <c r="AZ293" s="319"/>
      <c r="BA293" s="319"/>
      <c r="BB293" s="319"/>
      <c r="BC293" s="319"/>
      <c r="BD293" s="319"/>
      <c r="BE293" s="319"/>
      <c r="BF293" s="319"/>
      <c r="BG293" s="319"/>
      <c r="BH293" s="319"/>
      <c r="BI293" s="319"/>
      <c r="BJ293" s="319"/>
      <c r="BK293" s="319"/>
      <c r="BL293" s="319"/>
      <c r="BM293" s="319"/>
      <c r="BN293" s="319"/>
      <c r="BO293" s="319"/>
      <c r="BP293" s="319"/>
      <c r="BQ293" s="319"/>
      <c r="BR293" s="319"/>
    </row>
    <row r="294" ht="14.25" customHeight="1">
      <c r="A294" s="195"/>
      <c r="B294" s="100"/>
      <c r="C294" s="100"/>
      <c r="D294" s="100"/>
      <c r="E294" s="100"/>
      <c r="F294" s="206"/>
      <c r="G294" s="206"/>
      <c r="H294" s="207"/>
      <c r="I294" s="207"/>
      <c r="J294" s="207"/>
      <c r="K294" s="207"/>
      <c r="L294" s="207"/>
      <c r="M294" s="207"/>
      <c r="N294" s="207"/>
      <c r="O294" s="207"/>
      <c r="P294" s="207"/>
      <c r="Q294" s="207"/>
      <c r="R294" s="207"/>
      <c r="S294" s="207"/>
      <c r="T294" s="207"/>
      <c r="U294" s="207"/>
      <c r="V294" s="207"/>
      <c r="W294" s="208"/>
      <c r="X294" s="208"/>
      <c r="Y294" s="208"/>
      <c r="Z294" s="208"/>
      <c r="AA294" s="208"/>
      <c r="AB294" s="208"/>
      <c r="AC294" s="208"/>
      <c r="AD294" s="208"/>
      <c r="AE294" s="208"/>
      <c r="AF294" s="208"/>
      <c r="AG294" s="208"/>
      <c r="AH294" s="208"/>
      <c r="AI294" s="100"/>
      <c r="AJ294" s="319"/>
      <c r="AK294" s="319"/>
      <c r="AL294" s="319"/>
      <c r="AM294" s="319"/>
      <c r="AN294" s="319"/>
      <c r="AO294" s="319"/>
      <c r="AP294" s="319"/>
      <c r="AQ294" s="319"/>
      <c r="AR294" s="319"/>
      <c r="AS294" s="319"/>
      <c r="AT294" s="319"/>
      <c r="AU294" s="319"/>
      <c r="AV294" s="319"/>
      <c r="AW294" s="319"/>
      <c r="AX294" s="319"/>
      <c r="AY294" s="319"/>
      <c r="AZ294" s="319"/>
      <c r="BA294" s="319"/>
      <c r="BB294" s="319"/>
      <c r="BC294" s="319"/>
      <c r="BD294" s="319"/>
      <c r="BE294" s="319"/>
      <c r="BF294" s="319"/>
      <c r="BG294" s="319"/>
      <c r="BH294" s="319"/>
      <c r="BI294" s="319"/>
      <c r="BJ294" s="319"/>
      <c r="BK294" s="319"/>
      <c r="BL294" s="319"/>
      <c r="BM294" s="319"/>
      <c r="BN294" s="319"/>
      <c r="BO294" s="319"/>
      <c r="BP294" s="319"/>
      <c r="BQ294" s="319"/>
      <c r="BR294" s="319"/>
    </row>
    <row r="295" ht="14.25" customHeight="1">
      <c r="A295" s="195"/>
      <c r="B295" s="100"/>
      <c r="C295" s="100"/>
      <c r="D295" s="100"/>
      <c r="E295" s="100"/>
      <c r="F295" s="206"/>
      <c r="G295" s="206"/>
      <c r="H295" s="207"/>
      <c r="I295" s="207"/>
      <c r="J295" s="207"/>
      <c r="K295" s="207"/>
      <c r="L295" s="207"/>
      <c r="M295" s="207"/>
      <c r="N295" s="207"/>
      <c r="O295" s="207"/>
      <c r="P295" s="207"/>
      <c r="Q295" s="207"/>
      <c r="R295" s="207"/>
      <c r="S295" s="207"/>
      <c r="T295" s="207"/>
      <c r="U295" s="207"/>
      <c r="V295" s="207"/>
      <c r="W295" s="208"/>
      <c r="X295" s="208"/>
      <c r="Y295" s="208"/>
      <c r="Z295" s="208"/>
      <c r="AA295" s="208"/>
      <c r="AB295" s="208"/>
      <c r="AC295" s="208"/>
      <c r="AD295" s="208"/>
      <c r="AE295" s="208"/>
      <c r="AF295" s="208"/>
      <c r="AG295" s="208"/>
      <c r="AH295" s="208"/>
      <c r="AI295" s="100"/>
      <c r="AJ295" s="319"/>
      <c r="AK295" s="319"/>
      <c r="AL295" s="319"/>
      <c r="AM295" s="319"/>
      <c r="AN295" s="319"/>
      <c r="AO295" s="319"/>
      <c r="AP295" s="319"/>
      <c r="AQ295" s="319"/>
      <c r="AR295" s="319"/>
      <c r="AS295" s="319"/>
      <c r="AT295" s="319"/>
      <c r="AU295" s="319"/>
      <c r="AV295" s="319"/>
      <c r="AW295" s="319"/>
      <c r="AX295" s="319"/>
      <c r="AY295" s="319"/>
      <c r="AZ295" s="319"/>
      <c r="BA295" s="319"/>
      <c r="BB295" s="319"/>
      <c r="BC295" s="319"/>
      <c r="BD295" s="319"/>
      <c r="BE295" s="319"/>
      <c r="BF295" s="319"/>
      <c r="BG295" s="319"/>
      <c r="BH295" s="319"/>
      <c r="BI295" s="319"/>
      <c r="BJ295" s="319"/>
      <c r="BK295" s="319"/>
      <c r="BL295" s="319"/>
      <c r="BM295" s="319"/>
      <c r="BN295" s="319"/>
      <c r="BO295" s="319"/>
      <c r="BP295" s="319"/>
      <c r="BQ295" s="319"/>
      <c r="BR295" s="319"/>
    </row>
    <row r="296" ht="14.25" customHeight="1">
      <c r="A296" s="195"/>
      <c r="B296" s="100"/>
      <c r="C296" s="100"/>
      <c r="D296" s="100"/>
      <c r="E296" s="100"/>
      <c r="F296" s="206"/>
      <c r="G296" s="206"/>
      <c r="H296" s="207"/>
      <c r="I296" s="207"/>
      <c r="J296" s="207"/>
      <c r="K296" s="207"/>
      <c r="L296" s="207"/>
      <c r="M296" s="207"/>
      <c r="N296" s="207"/>
      <c r="O296" s="207"/>
      <c r="P296" s="207"/>
      <c r="Q296" s="207"/>
      <c r="R296" s="207"/>
      <c r="S296" s="207"/>
      <c r="T296" s="207"/>
      <c r="U296" s="207"/>
      <c r="V296" s="207"/>
      <c r="W296" s="208"/>
      <c r="X296" s="208"/>
      <c r="Y296" s="208"/>
      <c r="Z296" s="208"/>
      <c r="AA296" s="208"/>
      <c r="AB296" s="208"/>
      <c r="AC296" s="208"/>
      <c r="AD296" s="208"/>
      <c r="AE296" s="208"/>
      <c r="AF296" s="208"/>
      <c r="AG296" s="208"/>
      <c r="AH296" s="208"/>
      <c r="AI296" s="100"/>
      <c r="AJ296" s="319"/>
      <c r="AK296" s="319"/>
      <c r="AL296" s="319"/>
      <c r="AM296" s="319"/>
      <c r="AN296" s="319"/>
      <c r="AO296" s="319"/>
      <c r="AP296" s="319"/>
      <c r="AQ296" s="319"/>
      <c r="AR296" s="319"/>
      <c r="AS296" s="319"/>
      <c r="AT296" s="319"/>
      <c r="AU296" s="319"/>
      <c r="AV296" s="319"/>
      <c r="AW296" s="319"/>
      <c r="AX296" s="319"/>
      <c r="AY296" s="319"/>
      <c r="AZ296" s="319"/>
      <c r="BA296" s="319"/>
      <c r="BB296" s="319"/>
      <c r="BC296" s="319"/>
      <c r="BD296" s="319"/>
      <c r="BE296" s="319"/>
      <c r="BF296" s="319"/>
      <c r="BG296" s="319"/>
      <c r="BH296" s="319"/>
      <c r="BI296" s="319"/>
      <c r="BJ296" s="319"/>
      <c r="BK296" s="319"/>
      <c r="BL296" s="319"/>
      <c r="BM296" s="319"/>
      <c r="BN296" s="319"/>
      <c r="BO296" s="319"/>
      <c r="BP296" s="319"/>
      <c r="BQ296" s="319"/>
      <c r="BR296" s="319"/>
    </row>
    <row r="297" ht="14.25" customHeight="1">
      <c r="A297" s="195"/>
      <c r="B297" s="100"/>
      <c r="C297" s="100"/>
      <c r="D297" s="100"/>
      <c r="E297" s="100"/>
      <c r="F297" s="206"/>
      <c r="G297" s="206"/>
      <c r="H297" s="207"/>
      <c r="I297" s="207"/>
      <c r="J297" s="207"/>
      <c r="K297" s="207"/>
      <c r="L297" s="207"/>
      <c r="M297" s="207"/>
      <c r="N297" s="207"/>
      <c r="O297" s="207"/>
      <c r="P297" s="207"/>
      <c r="Q297" s="207"/>
      <c r="R297" s="207"/>
      <c r="S297" s="207"/>
      <c r="T297" s="207"/>
      <c r="U297" s="207"/>
      <c r="V297" s="207"/>
      <c r="W297" s="208"/>
      <c r="X297" s="208"/>
      <c r="Y297" s="208"/>
      <c r="Z297" s="208"/>
      <c r="AA297" s="208"/>
      <c r="AB297" s="208"/>
      <c r="AC297" s="208"/>
      <c r="AD297" s="208"/>
      <c r="AE297" s="208"/>
      <c r="AF297" s="208"/>
      <c r="AG297" s="208"/>
      <c r="AH297" s="208"/>
      <c r="AI297" s="100"/>
      <c r="AJ297" s="319"/>
      <c r="AK297" s="319"/>
      <c r="AL297" s="319"/>
      <c r="AM297" s="319"/>
      <c r="AN297" s="319"/>
      <c r="AO297" s="319"/>
      <c r="AP297" s="319"/>
      <c r="AQ297" s="319"/>
      <c r="AR297" s="319"/>
      <c r="AS297" s="319"/>
      <c r="AT297" s="319"/>
      <c r="AU297" s="319"/>
      <c r="AV297" s="319"/>
      <c r="AW297" s="319"/>
      <c r="AX297" s="319"/>
      <c r="AY297" s="319"/>
      <c r="AZ297" s="319"/>
      <c r="BA297" s="319"/>
      <c r="BB297" s="319"/>
      <c r="BC297" s="319"/>
      <c r="BD297" s="319"/>
      <c r="BE297" s="319"/>
      <c r="BF297" s="319"/>
      <c r="BG297" s="319"/>
      <c r="BH297" s="319"/>
      <c r="BI297" s="319"/>
      <c r="BJ297" s="319"/>
      <c r="BK297" s="319"/>
      <c r="BL297" s="319"/>
      <c r="BM297" s="319"/>
      <c r="BN297" s="319"/>
      <c r="BO297" s="319"/>
      <c r="BP297" s="319"/>
      <c r="BQ297" s="319"/>
      <c r="BR297" s="319"/>
    </row>
    <row r="298" ht="14.25" customHeight="1">
      <c r="A298" s="195"/>
      <c r="B298" s="100"/>
      <c r="C298" s="100"/>
      <c r="D298" s="100"/>
      <c r="E298" s="100"/>
      <c r="F298" s="206"/>
      <c r="G298" s="206"/>
      <c r="H298" s="207"/>
      <c r="I298" s="207"/>
      <c r="J298" s="207"/>
      <c r="K298" s="207"/>
      <c r="L298" s="207"/>
      <c r="M298" s="207"/>
      <c r="N298" s="207"/>
      <c r="O298" s="207"/>
      <c r="P298" s="207"/>
      <c r="Q298" s="207"/>
      <c r="R298" s="207"/>
      <c r="S298" s="207"/>
      <c r="T298" s="207"/>
      <c r="U298" s="207"/>
      <c r="V298" s="207"/>
      <c r="W298" s="208"/>
      <c r="X298" s="208"/>
      <c r="Y298" s="208"/>
      <c r="Z298" s="208"/>
      <c r="AA298" s="208"/>
      <c r="AB298" s="208"/>
      <c r="AC298" s="208"/>
      <c r="AD298" s="208"/>
      <c r="AE298" s="208"/>
      <c r="AF298" s="208"/>
      <c r="AG298" s="208"/>
      <c r="AH298" s="208"/>
      <c r="AI298" s="100"/>
      <c r="AJ298" s="319"/>
      <c r="AK298" s="319"/>
      <c r="AL298" s="319"/>
      <c r="AM298" s="319"/>
      <c r="AN298" s="319"/>
      <c r="AO298" s="319"/>
      <c r="AP298" s="319"/>
      <c r="AQ298" s="319"/>
      <c r="AR298" s="319"/>
      <c r="AS298" s="319"/>
      <c r="AT298" s="319"/>
      <c r="AU298" s="319"/>
      <c r="AV298" s="319"/>
      <c r="AW298" s="319"/>
      <c r="AX298" s="319"/>
      <c r="AY298" s="319"/>
      <c r="AZ298" s="319"/>
      <c r="BA298" s="319"/>
      <c r="BB298" s="319"/>
      <c r="BC298" s="319"/>
      <c r="BD298" s="319"/>
      <c r="BE298" s="319"/>
      <c r="BF298" s="319"/>
      <c r="BG298" s="319"/>
      <c r="BH298" s="319"/>
      <c r="BI298" s="319"/>
      <c r="BJ298" s="319"/>
      <c r="BK298" s="319"/>
      <c r="BL298" s="319"/>
      <c r="BM298" s="319"/>
      <c r="BN298" s="319"/>
      <c r="BO298" s="319"/>
      <c r="BP298" s="319"/>
      <c r="BQ298" s="319"/>
      <c r="BR298" s="319"/>
    </row>
    <row r="299" ht="14.25" customHeight="1">
      <c r="A299" s="195"/>
      <c r="B299" s="100"/>
      <c r="C299" s="100"/>
      <c r="D299" s="100"/>
      <c r="E299" s="100"/>
      <c r="F299" s="206"/>
      <c r="G299" s="206"/>
      <c r="H299" s="207"/>
      <c r="I299" s="207"/>
      <c r="J299" s="207"/>
      <c r="K299" s="207"/>
      <c r="L299" s="207"/>
      <c r="M299" s="207"/>
      <c r="N299" s="207"/>
      <c r="O299" s="207"/>
      <c r="P299" s="207"/>
      <c r="Q299" s="207"/>
      <c r="R299" s="207"/>
      <c r="S299" s="207"/>
      <c r="T299" s="207"/>
      <c r="U299" s="207"/>
      <c r="V299" s="207"/>
      <c r="W299" s="208"/>
      <c r="X299" s="208"/>
      <c r="Y299" s="208"/>
      <c r="Z299" s="208"/>
      <c r="AA299" s="208"/>
      <c r="AB299" s="208"/>
      <c r="AC299" s="208"/>
      <c r="AD299" s="208"/>
      <c r="AE299" s="208"/>
      <c r="AF299" s="208"/>
      <c r="AG299" s="208"/>
      <c r="AH299" s="208"/>
      <c r="AI299" s="100"/>
      <c r="AJ299" s="319"/>
      <c r="AK299" s="319"/>
      <c r="AL299" s="319"/>
      <c r="AM299" s="319"/>
      <c r="AN299" s="319"/>
      <c r="AO299" s="319"/>
      <c r="AP299" s="319"/>
      <c r="AQ299" s="319"/>
      <c r="AR299" s="319"/>
      <c r="AS299" s="319"/>
      <c r="AT299" s="319"/>
      <c r="AU299" s="319"/>
      <c r="AV299" s="319"/>
      <c r="AW299" s="319"/>
      <c r="AX299" s="319"/>
      <c r="AY299" s="319"/>
      <c r="AZ299" s="319"/>
      <c r="BA299" s="319"/>
      <c r="BB299" s="319"/>
      <c r="BC299" s="319"/>
      <c r="BD299" s="319"/>
      <c r="BE299" s="319"/>
      <c r="BF299" s="319"/>
      <c r="BG299" s="319"/>
      <c r="BH299" s="319"/>
      <c r="BI299" s="319"/>
      <c r="BJ299" s="319"/>
      <c r="BK299" s="319"/>
      <c r="BL299" s="319"/>
      <c r="BM299" s="319"/>
      <c r="BN299" s="319"/>
      <c r="BO299" s="319"/>
      <c r="BP299" s="319"/>
      <c r="BQ299" s="319"/>
      <c r="BR299" s="319"/>
    </row>
    <row r="300" ht="14.25" customHeight="1">
      <c r="A300" s="195"/>
      <c r="B300" s="100"/>
      <c r="C300" s="100"/>
      <c r="D300" s="100"/>
      <c r="E300" s="100"/>
      <c r="F300" s="206"/>
      <c r="G300" s="206"/>
      <c r="H300" s="207"/>
      <c r="I300" s="207"/>
      <c r="J300" s="207"/>
      <c r="K300" s="207"/>
      <c r="L300" s="207"/>
      <c r="M300" s="207"/>
      <c r="N300" s="207"/>
      <c r="O300" s="207"/>
      <c r="P300" s="207"/>
      <c r="Q300" s="207"/>
      <c r="R300" s="207"/>
      <c r="S300" s="207"/>
      <c r="T300" s="207"/>
      <c r="U300" s="207"/>
      <c r="V300" s="207"/>
      <c r="W300" s="208"/>
      <c r="X300" s="208"/>
      <c r="Y300" s="208"/>
      <c r="Z300" s="208"/>
      <c r="AA300" s="208"/>
      <c r="AB300" s="208"/>
      <c r="AC300" s="208"/>
      <c r="AD300" s="208"/>
      <c r="AE300" s="208"/>
      <c r="AF300" s="208"/>
      <c r="AG300" s="208"/>
      <c r="AH300" s="208"/>
      <c r="AI300" s="100"/>
      <c r="AJ300" s="319"/>
      <c r="AK300" s="319"/>
      <c r="AL300" s="319"/>
      <c r="AM300" s="319"/>
      <c r="AN300" s="319"/>
      <c r="AO300" s="319"/>
      <c r="AP300" s="319"/>
      <c r="AQ300" s="319"/>
      <c r="AR300" s="319"/>
      <c r="AS300" s="319"/>
      <c r="AT300" s="319"/>
      <c r="AU300" s="319"/>
      <c r="AV300" s="319"/>
      <c r="AW300" s="319"/>
      <c r="AX300" s="319"/>
      <c r="AY300" s="319"/>
      <c r="AZ300" s="319"/>
      <c r="BA300" s="319"/>
      <c r="BB300" s="319"/>
      <c r="BC300" s="319"/>
      <c r="BD300" s="319"/>
      <c r="BE300" s="319"/>
      <c r="BF300" s="319"/>
      <c r="BG300" s="319"/>
      <c r="BH300" s="319"/>
      <c r="BI300" s="319"/>
      <c r="BJ300" s="319"/>
      <c r="BK300" s="319"/>
      <c r="BL300" s="319"/>
      <c r="BM300" s="319"/>
      <c r="BN300" s="319"/>
      <c r="BO300" s="319"/>
      <c r="BP300" s="319"/>
      <c r="BQ300" s="319"/>
      <c r="BR300" s="319"/>
    </row>
    <row r="301" ht="14.25" customHeight="1">
      <c r="A301" s="195"/>
      <c r="B301" s="100"/>
      <c r="C301" s="100"/>
      <c r="D301" s="100"/>
      <c r="E301" s="100"/>
      <c r="F301" s="206"/>
      <c r="G301" s="206"/>
      <c r="H301" s="207"/>
      <c r="I301" s="207"/>
      <c r="J301" s="207"/>
      <c r="K301" s="207"/>
      <c r="L301" s="207"/>
      <c r="M301" s="207"/>
      <c r="N301" s="207"/>
      <c r="O301" s="207"/>
      <c r="P301" s="207"/>
      <c r="Q301" s="207"/>
      <c r="R301" s="207"/>
      <c r="S301" s="207"/>
      <c r="T301" s="207"/>
      <c r="U301" s="207"/>
      <c r="V301" s="207"/>
      <c r="W301" s="208"/>
      <c r="X301" s="208"/>
      <c r="Y301" s="208"/>
      <c r="Z301" s="208"/>
      <c r="AA301" s="208"/>
      <c r="AB301" s="208"/>
      <c r="AC301" s="208"/>
      <c r="AD301" s="208"/>
      <c r="AE301" s="208"/>
      <c r="AF301" s="208"/>
      <c r="AG301" s="208"/>
      <c r="AH301" s="208"/>
      <c r="AI301" s="100"/>
      <c r="AJ301" s="319"/>
      <c r="AK301" s="319"/>
      <c r="AL301" s="319"/>
      <c r="AM301" s="319"/>
      <c r="AN301" s="319"/>
      <c r="AO301" s="319"/>
      <c r="AP301" s="319"/>
      <c r="AQ301" s="319"/>
      <c r="AR301" s="319"/>
      <c r="AS301" s="319"/>
      <c r="AT301" s="319"/>
      <c r="AU301" s="319"/>
      <c r="AV301" s="319"/>
      <c r="AW301" s="319"/>
      <c r="AX301" s="319"/>
      <c r="AY301" s="319"/>
      <c r="AZ301" s="319"/>
      <c r="BA301" s="319"/>
      <c r="BB301" s="319"/>
      <c r="BC301" s="319"/>
      <c r="BD301" s="319"/>
      <c r="BE301" s="319"/>
      <c r="BF301" s="319"/>
      <c r="BG301" s="319"/>
      <c r="BH301" s="319"/>
      <c r="BI301" s="319"/>
      <c r="BJ301" s="319"/>
      <c r="BK301" s="319"/>
      <c r="BL301" s="319"/>
      <c r="BM301" s="319"/>
      <c r="BN301" s="319"/>
      <c r="BO301" s="319"/>
      <c r="BP301" s="319"/>
      <c r="BQ301" s="319"/>
      <c r="BR301" s="319"/>
    </row>
    <row r="302" ht="14.25" customHeight="1">
      <c r="A302" s="195"/>
      <c r="B302" s="100"/>
      <c r="C302" s="100"/>
      <c r="D302" s="100"/>
      <c r="E302" s="100"/>
      <c r="F302" s="206"/>
      <c r="G302" s="206"/>
      <c r="H302" s="207"/>
      <c r="I302" s="207"/>
      <c r="J302" s="207"/>
      <c r="K302" s="207"/>
      <c r="L302" s="207"/>
      <c r="M302" s="207"/>
      <c r="N302" s="207"/>
      <c r="O302" s="207"/>
      <c r="P302" s="207"/>
      <c r="Q302" s="207"/>
      <c r="R302" s="207"/>
      <c r="S302" s="207"/>
      <c r="T302" s="207"/>
      <c r="U302" s="207"/>
      <c r="V302" s="207"/>
      <c r="W302" s="208"/>
      <c r="X302" s="208"/>
      <c r="Y302" s="208"/>
      <c r="Z302" s="208"/>
      <c r="AA302" s="208"/>
      <c r="AB302" s="208"/>
      <c r="AC302" s="208"/>
      <c r="AD302" s="208"/>
      <c r="AE302" s="208"/>
      <c r="AF302" s="208"/>
      <c r="AG302" s="208"/>
      <c r="AH302" s="208"/>
      <c r="AI302" s="100"/>
      <c r="AJ302" s="319"/>
      <c r="AK302" s="319"/>
      <c r="AL302" s="319"/>
      <c r="AM302" s="319"/>
      <c r="AN302" s="319"/>
      <c r="AO302" s="319"/>
      <c r="AP302" s="319"/>
      <c r="AQ302" s="319"/>
      <c r="AR302" s="319"/>
      <c r="AS302" s="319"/>
      <c r="AT302" s="319"/>
      <c r="AU302" s="319"/>
      <c r="AV302" s="319"/>
      <c r="AW302" s="319"/>
      <c r="AX302" s="319"/>
      <c r="AY302" s="319"/>
      <c r="AZ302" s="319"/>
      <c r="BA302" s="319"/>
      <c r="BB302" s="319"/>
      <c r="BC302" s="319"/>
      <c r="BD302" s="319"/>
      <c r="BE302" s="319"/>
      <c r="BF302" s="319"/>
      <c r="BG302" s="319"/>
      <c r="BH302" s="319"/>
      <c r="BI302" s="319"/>
      <c r="BJ302" s="319"/>
      <c r="BK302" s="319"/>
      <c r="BL302" s="319"/>
      <c r="BM302" s="319"/>
      <c r="BN302" s="319"/>
      <c r="BO302" s="319"/>
      <c r="BP302" s="319"/>
      <c r="BQ302" s="319"/>
      <c r="BR302" s="319"/>
    </row>
    <row r="303" ht="14.25" customHeight="1">
      <c r="A303" s="195"/>
      <c r="B303" s="100"/>
      <c r="C303" s="100"/>
      <c r="D303" s="100"/>
      <c r="E303" s="100"/>
      <c r="F303" s="206"/>
      <c r="G303" s="206"/>
      <c r="H303" s="207"/>
      <c r="I303" s="207"/>
      <c r="J303" s="207"/>
      <c r="K303" s="207"/>
      <c r="L303" s="207"/>
      <c r="M303" s="207"/>
      <c r="N303" s="207"/>
      <c r="O303" s="207"/>
      <c r="P303" s="207"/>
      <c r="Q303" s="207"/>
      <c r="R303" s="207"/>
      <c r="S303" s="207"/>
      <c r="T303" s="207"/>
      <c r="U303" s="207"/>
      <c r="V303" s="207"/>
      <c r="W303" s="208"/>
      <c r="X303" s="208"/>
      <c r="Y303" s="208"/>
      <c r="Z303" s="208"/>
      <c r="AA303" s="208"/>
      <c r="AB303" s="208"/>
      <c r="AC303" s="208"/>
      <c r="AD303" s="208"/>
      <c r="AE303" s="208"/>
      <c r="AF303" s="208"/>
      <c r="AG303" s="208"/>
      <c r="AH303" s="208"/>
      <c r="AI303" s="100"/>
      <c r="AJ303" s="319"/>
      <c r="AK303" s="319"/>
      <c r="AL303" s="319"/>
      <c r="AM303" s="319"/>
      <c r="AN303" s="319"/>
      <c r="AO303" s="319"/>
      <c r="AP303" s="319"/>
      <c r="AQ303" s="319"/>
      <c r="AR303" s="319"/>
      <c r="AS303" s="319"/>
      <c r="AT303" s="319"/>
      <c r="AU303" s="319"/>
      <c r="AV303" s="319"/>
      <c r="AW303" s="319"/>
      <c r="AX303" s="319"/>
      <c r="AY303" s="319"/>
      <c r="AZ303" s="319"/>
      <c r="BA303" s="319"/>
      <c r="BB303" s="319"/>
      <c r="BC303" s="319"/>
      <c r="BD303" s="319"/>
      <c r="BE303" s="319"/>
      <c r="BF303" s="319"/>
      <c r="BG303" s="319"/>
      <c r="BH303" s="319"/>
      <c r="BI303" s="319"/>
      <c r="BJ303" s="319"/>
      <c r="BK303" s="319"/>
      <c r="BL303" s="319"/>
      <c r="BM303" s="319"/>
      <c r="BN303" s="319"/>
      <c r="BO303" s="319"/>
      <c r="BP303" s="319"/>
      <c r="BQ303" s="319"/>
      <c r="BR303" s="319"/>
    </row>
    <row r="304" ht="14.25" customHeight="1">
      <c r="A304" s="195"/>
      <c r="B304" s="100"/>
      <c r="C304" s="100"/>
      <c r="D304" s="100"/>
      <c r="E304" s="100"/>
      <c r="F304" s="206"/>
      <c r="G304" s="206"/>
      <c r="H304" s="207"/>
      <c r="I304" s="207"/>
      <c r="J304" s="207"/>
      <c r="K304" s="207"/>
      <c r="L304" s="207"/>
      <c r="M304" s="207"/>
      <c r="N304" s="207"/>
      <c r="O304" s="207"/>
      <c r="P304" s="207"/>
      <c r="Q304" s="207"/>
      <c r="R304" s="207"/>
      <c r="S304" s="207"/>
      <c r="T304" s="207"/>
      <c r="U304" s="207"/>
      <c r="V304" s="207"/>
      <c r="W304" s="208"/>
      <c r="X304" s="208"/>
      <c r="Y304" s="208"/>
      <c r="Z304" s="208"/>
      <c r="AA304" s="208"/>
      <c r="AB304" s="208"/>
      <c r="AC304" s="208"/>
      <c r="AD304" s="208"/>
      <c r="AE304" s="208"/>
      <c r="AF304" s="208"/>
      <c r="AG304" s="208"/>
      <c r="AH304" s="208"/>
      <c r="AI304" s="100"/>
      <c r="AJ304" s="319"/>
      <c r="AK304" s="319"/>
      <c r="AL304" s="319"/>
      <c r="AM304" s="319"/>
      <c r="AN304" s="319"/>
      <c r="AO304" s="319"/>
      <c r="AP304" s="319"/>
      <c r="AQ304" s="319"/>
      <c r="AR304" s="319"/>
      <c r="AS304" s="319"/>
      <c r="AT304" s="319"/>
      <c r="AU304" s="319"/>
      <c r="AV304" s="319"/>
      <c r="AW304" s="319"/>
      <c r="AX304" s="319"/>
      <c r="AY304" s="319"/>
      <c r="AZ304" s="319"/>
      <c r="BA304" s="319"/>
      <c r="BB304" s="319"/>
      <c r="BC304" s="319"/>
      <c r="BD304" s="319"/>
      <c r="BE304" s="319"/>
      <c r="BF304" s="319"/>
      <c r="BG304" s="319"/>
      <c r="BH304" s="319"/>
      <c r="BI304" s="319"/>
      <c r="BJ304" s="319"/>
      <c r="BK304" s="319"/>
      <c r="BL304" s="319"/>
      <c r="BM304" s="319"/>
      <c r="BN304" s="319"/>
      <c r="BO304" s="319"/>
      <c r="BP304" s="319"/>
      <c r="BQ304" s="319"/>
      <c r="BR304" s="319"/>
    </row>
    <row r="305" ht="14.25" customHeight="1">
      <c r="A305" s="195"/>
      <c r="B305" s="100"/>
      <c r="C305" s="100"/>
      <c r="D305" s="100"/>
      <c r="E305" s="100"/>
      <c r="F305" s="206"/>
      <c r="G305" s="206"/>
      <c r="H305" s="207"/>
      <c r="I305" s="207"/>
      <c r="J305" s="207"/>
      <c r="K305" s="207"/>
      <c r="L305" s="207"/>
      <c r="M305" s="207"/>
      <c r="N305" s="207"/>
      <c r="O305" s="207"/>
      <c r="P305" s="207"/>
      <c r="Q305" s="207"/>
      <c r="R305" s="207"/>
      <c r="S305" s="207"/>
      <c r="T305" s="207"/>
      <c r="U305" s="207"/>
      <c r="V305" s="207"/>
      <c r="W305" s="208"/>
      <c r="X305" s="208"/>
      <c r="Y305" s="208"/>
      <c r="Z305" s="208"/>
      <c r="AA305" s="208"/>
      <c r="AB305" s="208"/>
      <c r="AC305" s="208"/>
      <c r="AD305" s="208"/>
      <c r="AE305" s="208"/>
      <c r="AF305" s="208"/>
      <c r="AG305" s="208"/>
      <c r="AH305" s="208"/>
      <c r="AI305" s="100"/>
      <c r="AJ305" s="319"/>
      <c r="AK305" s="319"/>
      <c r="AL305" s="319"/>
      <c r="AM305" s="319"/>
      <c r="AN305" s="319"/>
      <c r="AO305" s="319"/>
      <c r="AP305" s="319"/>
      <c r="AQ305" s="319"/>
      <c r="AR305" s="319"/>
      <c r="AS305" s="319"/>
      <c r="AT305" s="319"/>
      <c r="AU305" s="319"/>
      <c r="AV305" s="319"/>
      <c r="AW305" s="319"/>
      <c r="AX305" s="319"/>
      <c r="AY305" s="319"/>
      <c r="AZ305" s="319"/>
      <c r="BA305" s="319"/>
      <c r="BB305" s="319"/>
      <c r="BC305" s="319"/>
      <c r="BD305" s="319"/>
      <c r="BE305" s="319"/>
      <c r="BF305" s="319"/>
      <c r="BG305" s="319"/>
      <c r="BH305" s="319"/>
      <c r="BI305" s="319"/>
      <c r="BJ305" s="319"/>
      <c r="BK305" s="319"/>
      <c r="BL305" s="319"/>
      <c r="BM305" s="319"/>
      <c r="BN305" s="319"/>
      <c r="BO305" s="319"/>
      <c r="BP305" s="319"/>
      <c r="BQ305" s="319"/>
      <c r="BR305" s="319"/>
    </row>
    <row r="306" ht="14.25" customHeight="1">
      <c r="A306" s="195"/>
      <c r="B306" s="100"/>
      <c r="C306" s="100"/>
      <c r="D306" s="100"/>
      <c r="E306" s="100"/>
      <c r="F306" s="206"/>
      <c r="G306" s="206"/>
      <c r="H306" s="207"/>
      <c r="I306" s="207"/>
      <c r="J306" s="207"/>
      <c r="K306" s="207"/>
      <c r="L306" s="207"/>
      <c r="M306" s="207"/>
      <c r="N306" s="207"/>
      <c r="O306" s="207"/>
      <c r="P306" s="207"/>
      <c r="Q306" s="207"/>
      <c r="R306" s="207"/>
      <c r="S306" s="207"/>
      <c r="T306" s="207"/>
      <c r="U306" s="207"/>
      <c r="V306" s="207"/>
      <c r="W306" s="208"/>
      <c r="X306" s="208"/>
      <c r="Y306" s="208"/>
      <c r="Z306" s="208"/>
      <c r="AA306" s="208"/>
      <c r="AB306" s="208"/>
      <c r="AC306" s="208"/>
      <c r="AD306" s="208"/>
      <c r="AE306" s="208"/>
      <c r="AF306" s="208"/>
      <c r="AG306" s="208"/>
      <c r="AH306" s="208"/>
      <c r="AI306" s="100"/>
      <c r="AJ306" s="319"/>
      <c r="AK306" s="319"/>
      <c r="AL306" s="319"/>
      <c r="AM306" s="319"/>
      <c r="AN306" s="319"/>
      <c r="AO306" s="319"/>
      <c r="AP306" s="319"/>
      <c r="AQ306" s="319"/>
      <c r="AR306" s="319"/>
      <c r="AS306" s="319"/>
      <c r="AT306" s="319"/>
      <c r="AU306" s="319"/>
      <c r="AV306" s="319"/>
      <c r="AW306" s="319"/>
      <c r="AX306" s="319"/>
      <c r="AY306" s="319"/>
      <c r="AZ306" s="319"/>
      <c r="BA306" s="319"/>
      <c r="BB306" s="319"/>
      <c r="BC306" s="319"/>
      <c r="BD306" s="319"/>
      <c r="BE306" s="319"/>
      <c r="BF306" s="319"/>
      <c r="BG306" s="319"/>
      <c r="BH306" s="319"/>
      <c r="BI306" s="319"/>
      <c r="BJ306" s="319"/>
      <c r="BK306" s="319"/>
      <c r="BL306" s="319"/>
      <c r="BM306" s="319"/>
      <c r="BN306" s="319"/>
      <c r="BO306" s="319"/>
      <c r="BP306" s="319"/>
      <c r="BQ306" s="319"/>
      <c r="BR306" s="319"/>
    </row>
    <row r="307" ht="14.25" customHeight="1">
      <c r="A307" s="195"/>
      <c r="B307" s="100"/>
      <c r="C307" s="100"/>
      <c r="D307" s="100"/>
      <c r="E307" s="100"/>
      <c r="F307" s="206"/>
      <c r="G307" s="206"/>
      <c r="H307" s="207"/>
      <c r="I307" s="207"/>
      <c r="J307" s="207"/>
      <c r="K307" s="207"/>
      <c r="L307" s="207"/>
      <c r="M307" s="207"/>
      <c r="N307" s="207"/>
      <c r="O307" s="207"/>
      <c r="P307" s="207"/>
      <c r="Q307" s="207"/>
      <c r="R307" s="207"/>
      <c r="S307" s="207"/>
      <c r="T307" s="207"/>
      <c r="U307" s="207"/>
      <c r="V307" s="207"/>
      <c r="W307" s="208"/>
      <c r="X307" s="208"/>
      <c r="Y307" s="208"/>
      <c r="Z307" s="208"/>
      <c r="AA307" s="208"/>
      <c r="AB307" s="208"/>
      <c r="AC307" s="208"/>
      <c r="AD307" s="208"/>
      <c r="AE307" s="208"/>
      <c r="AF307" s="208"/>
      <c r="AG307" s="208"/>
      <c r="AH307" s="208"/>
      <c r="AI307" s="100"/>
      <c r="AJ307" s="319"/>
      <c r="AK307" s="319"/>
      <c r="AL307" s="319"/>
      <c r="AM307" s="319"/>
      <c r="AN307" s="319"/>
      <c r="AO307" s="319"/>
      <c r="AP307" s="319"/>
      <c r="AQ307" s="319"/>
      <c r="AR307" s="319"/>
      <c r="AS307" s="319"/>
      <c r="AT307" s="319"/>
      <c r="AU307" s="319"/>
      <c r="AV307" s="319"/>
      <c r="AW307" s="319"/>
      <c r="AX307" s="319"/>
      <c r="AY307" s="319"/>
      <c r="AZ307" s="319"/>
      <c r="BA307" s="319"/>
      <c r="BB307" s="319"/>
      <c r="BC307" s="319"/>
      <c r="BD307" s="319"/>
      <c r="BE307" s="319"/>
      <c r="BF307" s="319"/>
      <c r="BG307" s="319"/>
      <c r="BH307" s="319"/>
      <c r="BI307" s="319"/>
      <c r="BJ307" s="319"/>
      <c r="BK307" s="319"/>
      <c r="BL307" s="319"/>
      <c r="BM307" s="319"/>
      <c r="BN307" s="319"/>
      <c r="BO307" s="319"/>
      <c r="BP307" s="319"/>
      <c r="BQ307" s="319"/>
      <c r="BR307" s="319"/>
    </row>
    <row r="308" ht="14.25" customHeight="1">
      <c r="A308" s="195"/>
      <c r="B308" s="100"/>
      <c r="C308" s="100"/>
      <c r="D308" s="100"/>
      <c r="E308" s="100"/>
      <c r="F308" s="206"/>
      <c r="G308" s="206"/>
      <c r="H308" s="207"/>
      <c r="I308" s="207"/>
      <c r="J308" s="207"/>
      <c r="K308" s="207"/>
      <c r="L308" s="207"/>
      <c r="M308" s="207"/>
      <c r="N308" s="207"/>
      <c r="O308" s="207"/>
      <c r="P308" s="207"/>
      <c r="Q308" s="207"/>
      <c r="R308" s="207"/>
      <c r="S308" s="207"/>
      <c r="T308" s="207"/>
      <c r="U308" s="207"/>
      <c r="V308" s="207"/>
      <c r="W308" s="208"/>
      <c r="X308" s="208"/>
      <c r="Y308" s="208"/>
      <c r="Z308" s="208"/>
      <c r="AA308" s="208"/>
      <c r="AB308" s="208"/>
      <c r="AC308" s="208"/>
      <c r="AD308" s="208"/>
      <c r="AE308" s="208"/>
      <c r="AF308" s="208"/>
      <c r="AG308" s="208"/>
      <c r="AH308" s="208"/>
      <c r="AI308" s="100"/>
      <c r="AJ308" s="319"/>
      <c r="AK308" s="319"/>
      <c r="AL308" s="319"/>
      <c r="AM308" s="319"/>
      <c r="AN308" s="319"/>
      <c r="AO308" s="319"/>
      <c r="AP308" s="319"/>
      <c r="AQ308" s="319"/>
      <c r="AR308" s="319"/>
      <c r="AS308" s="319"/>
      <c r="AT308" s="319"/>
      <c r="AU308" s="319"/>
      <c r="AV308" s="319"/>
      <c r="AW308" s="319"/>
      <c r="AX308" s="319"/>
      <c r="AY308" s="319"/>
      <c r="AZ308" s="319"/>
      <c r="BA308" s="319"/>
      <c r="BB308" s="319"/>
      <c r="BC308" s="319"/>
      <c r="BD308" s="319"/>
      <c r="BE308" s="319"/>
      <c r="BF308" s="319"/>
      <c r="BG308" s="319"/>
      <c r="BH308" s="319"/>
      <c r="BI308" s="319"/>
      <c r="BJ308" s="319"/>
      <c r="BK308" s="319"/>
      <c r="BL308" s="319"/>
      <c r="BM308" s="319"/>
      <c r="BN308" s="319"/>
      <c r="BO308" s="319"/>
      <c r="BP308" s="319"/>
      <c r="BQ308" s="319"/>
      <c r="BR308" s="319"/>
    </row>
    <row r="309" ht="14.25" customHeight="1">
      <c r="A309" s="195"/>
      <c r="B309" s="100"/>
      <c r="C309" s="100"/>
      <c r="D309" s="100"/>
      <c r="E309" s="100"/>
      <c r="F309" s="206"/>
      <c r="G309" s="206"/>
      <c r="H309" s="207"/>
      <c r="I309" s="207"/>
      <c r="J309" s="207"/>
      <c r="K309" s="207"/>
      <c r="L309" s="207"/>
      <c r="M309" s="207"/>
      <c r="N309" s="207"/>
      <c r="O309" s="207"/>
      <c r="P309" s="207"/>
      <c r="Q309" s="207"/>
      <c r="R309" s="207"/>
      <c r="S309" s="207"/>
      <c r="T309" s="207"/>
      <c r="U309" s="207"/>
      <c r="V309" s="207"/>
      <c r="W309" s="208"/>
      <c r="X309" s="208"/>
      <c r="Y309" s="208"/>
      <c r="Z309" s="208"/>
      <c r="AA309" s="208"/>
      <c r="AB309" s="208"/>
      <c r="AC309" s="208"/>
      <c r="AD309" s="208"/>
      <c r="AE309" s="208"/>
      <c r="AF309" s="208"/>
      <c r="AG309" s="208"/>
      <c r="AH309" s="208"/>
      <c r="AI309" s="100"/>
      <c r="AJ309" s="319"/>
      <c r="AK309" s="319"/>
      <c r="AL309" s="319"/>
      <c r="AM309" s="319"/>
      <c r="AN309" s="319"/>
      <c r="AO309" s="319"/>
      <c r="AP309" s="319"/>
      <c r="AQ309" s="319"/>
      <c r="AR309" s="319"/>
      <c r="AS309" s="319"/>
      <c r="AT309" s="319"/>
      <c r="AU309" s="319"/>
      <c r="AV309" s="319"/>
      <c r="AW309" s="319"/>
      <c r="AX309" s="319"/>
      <c r="AY309" s="319"/>
      <c r="AZ309" s="319"/>
      <c r="BA309" s="319"/>
      <c r="BB309" s="319"/>
      <c r="BC309" s="319"/>
      <c r="BD309" s="319"/>
      <c r="BE309" s="319"/>
      <c r="BF309" s="319"/>
      <c r="BG309" s="319"/>
      <c r="BH309" s="319"/>
      <c r="BI309" s="319"/>
      <c r="BJ309" s="319"/>
      <c r="BK309" s="319"/>
      <c r="BL309" s="319"/>
      <c r="BM309" s="319"/>
      <c r="BN309" s="319"/>
      <c r="BO309" s="319"/>
      <c r="BP309" s="319"/>
      <c r="BQ309" s="319"/>
      <c r="BR309" s="319"/>
    </row>
    <row r="310" ht="14.25" customHeight="1">
      <c r="A310" s="195"/>
      <c r="B310" s="100"/>
      <c r="C310" s="100"/>
      <c r="D310" s="100"/>
      <c r="E310" s="100"/>
      <c r="F310" s="206"/>
      <c r="G310" s="206"/>
      <c r="H310" s="207"/>
      <c r="I310" s="207"/>
      <c r="J310" s="207"/>
      <c r="K310" s="207"/>
      <c r="L310" s="207"/>
      <c r="M310" s="207"/>
      <c r="N310" s="207"/>
      <c r="O310" s="207"/>
      <c r="P310" s="207"/>
      <c r="Q310" s="207"/>
      <c r="R310" s="207"/>
      <c r="S310" s="207"/>
      <c r="T310" s="207"/>
      <c r="U310" s="207"/>
      <c r="V310" s="207"/>
      <c r="W310" s="208"/>
      <c r="X310" s="208"/>
      <c r="Y310" s="208"/>
      <c r="Z310" s="208"/>
      <c r="AA310" s="208"/>
      <c r="AB310" s="208"/>
      <c r="AC310" s="208"/>
      <c r="AD310" s="208"/>
      <c r="AE310" s="208"/>
      <c r="AF310" s="208"/>
      <c r="AG310" s="208"/>
      <c r="AH310" s="208"/>
      <c r="AI310" s="100"/>
      <c r="AJ310" s="319"/>
      <c r="AK310" s="319"/>
      <c r="AL310" s="319"/>
      <c r="AM310" s="319"/>
      <c r="AN310" s="319"/>
      <c r="AO310" s="319"/>
      <c r="AP310" s="319"/>
      <c r="AQ310" s="319"/>
      <c r="AR310" s="319"/>
      <c r="AS310" s="319"/>
      <c r="AT310" s="319"/>
      <c r="AU310" s="319"/>
      <c r="AV310" s="319"/>
      <c r="AW310" s="319"/>
      <c r="AX310" s="319"/>
      <c r="AY310" s="319"/>
      <c r="AZ310" s="319"/>
      <c r="BA310" s="319"/>
      <c r="BB310" s="319"/>
      <c r="BC310" s="319"/>
      <c r="BD310" s="319"/>
      <c r="BE310" s="319"/>
      <c r="BF310" s="319"/>
      <c r="BG310" s="319"/>
      <c r="BH310" s="319"/>
      <c r="BI310" s="319"/>
      <c r="BJ310" s="319"/>
      <c r="BK310" s="319"/>
      <c r="BL310" s="319"/>
      <c r="BM310" s="319"/>
      <c r="BN310" s="319"/>
      <c r="BO310" s="319"/>
      <c r="BP310" s="319"/>
      <c r="BQ310" s="319"/>
      <c r="BR310" s="319"/>
    </row>
    <row r="311" ht="14.25" customHeight="1">
      <c r="A311" s="195"/>
      <c r="B311" s="100"/>
      <c r="C311" s="100"/>
      <c r="D311" s="100"/>
      <c r="E311" s="100"/>
      <c r="F311" s="206"/>
      <c r="G311" s="206"/>
      <c r="H311" s="207"/>
      <c r="I311" s="207"/>
      <c r="J311" s="207"/>
      <c r="K311" s="207"/>
      <c r="L311" s="207"/>
      <c r="M311" s="207"/>
      <c r="N311" s="207"/>
      <c r="O311" s="207"/>
      <c r="P311" s="207"/>
      <c r="Q311" s="207"/>
      <c r="R311" s="207"/>
      <c r="S311" s="207"/>
      <c r="T311" s="207"/>
      <c r="U311" s="207"/>
      <c r="V311" s="207"/>
      <c r="W311" s="208"/>
      <c r="X311" s="208"/>
      <c r="Y311" s="208"/>
      <c r="Z311" s="208"/>
      <c r="AA311" s="208"/>
      <c r="AB311" s="208"/>
      <c r="AC311" s="208"/>
      <c r="AD311" s="208"/>
      <c r="AE311" s="208"/>
      <c r="AF311" s="208"/>
      <c r="AG311" s="208"/>
      <c r="AH311" s="208"/>
      <c r="AI311" s="100"/>
      <c r="AJ311" s="319"/>
      <c r="AK311" s="319"/>
      <c r="AL311" s="319"/>
      <c r="AM311" s="319"/>
      <c r="AN311" s="319"/>
      <c r="AO311" s="319"/>
      <c r="AP311" s="319"/>
      <c r="AQ311" s="319"/>
      <c r="AR311" s="319"/>
      <c r="AS311" s="319"/>
      <c r="AT311" s="319"/>
      <c r="AU311" s="319"/>
      <c r="AV311" s="319"/>
      <c r="AW311" s="319"/>
      <c r="AX311" s="319"/>
      <c r="AY311" s="319"/>
      <c r="AZ311" s="319"/>
      <c r="BA311" s="319"/>
      <c r="BB311" s="319"/>
      <c r="BC311" s="319"/>
      <c r="BD311" s="319"/>
      <c r="BE311" s="319"/>
      <c r="BF311" s="319"/>
      <c r="BG311" s="319"/>
      <c r="BH311" s="319"/>
      <c r="BI311" s="319"/>
      <c r="BJ311" s="319"/>
      <c r="BK311" s="319"/>
      <c r="BL311" s="319"/>
      <c r="BM311" s="319"/>
      <c r="BN311" s="319"/>
      <c r="BO311" s="319"/>
      <c r="BP311" s="319"/>
      <c r="BQ311" s="319"/>
      <c r="BR311" s="319"/>
    </row>
    <row r="312" ht="14.25" customHeight="1">
      <c r="A312" s="195"/>
      <c r="B312" s="100"/>
      <c r="C312" s="100"/>
      <c r="D312" s="100"/>
      <c r="E312" s="100"/>
      <c r="F312" s="206"/>
      <c r="G312" s="206"/>
      <c r="H312" s="207"/>
      <c r="I312" s="207"/>
      <c r="J312" s="207"/>
      <c r="K312" s="207"/>
      <c r="L312" s="207"/>
      <c r="M312" s="207"/>
      <c r="N312" s="207"/>
      <c r="O312" s="207"/>
      <c r="P312" s="207"/>
      <c r="Q312" s="207"/>
      <c r="R312" s="207"/>
      <c r="S312" s="207"/>
      <c r="T312" s="207"/>
      <c r="U312" s="207"/>
      <c r="V312" s="207"/>
      <c r="W312" s="208"/>
      <c r="X312" s="208"/>
      <c r="Y312" s="208"/>
      <c r="Z312" s="208"/>
      <c r="AA312" s="208"/>
      <c r="AB312" s="208"/>
      <c r="AC312" s="208"/>
      <c r="AD312" s="208"/>
      <c r="AE312" s="208"/>
      <c r="AF312" s="208"/>
      <c r="AG312" s="208"/>
      <c r="AH312" s="208"/>
      <c r="AI312" s="100"/>
      <c r="AJ312" s="319"/>
      <c r="AK312" s="319"/>
      <c r="AL312" s="319"/>
      <c r="AM312" s="319"/>
      <c r="AN312" s="319"/>
      <c r="AO312" s="319"/>
      <c r="AP312" s="319"/>
      <c r="AQ312" s="319"/>
      <c r="AR312" s="319"/>
      <c r="AS312" s="319"/>
      <c r="AT312" s="319"/>
      <c r="AU312" s="319"/>
      <c r="AV312" s="319"/>
      <c r="AW312" s="319"/>
      <c r="AX312" s="319"/>
      <c r="AY312" s="319"/>
      <c r="AZ312" s="319"/>
      <c r="BA312" s="319"/>
      <c r="BB312" s="319"/>
      <c r="BC312" s="319"/>
      <c r="BD312" s="319"/>
      <c r="BE312" s="319"/>
      <c r="BF312" s="319"/>
      <c r="BG312" s="319"/>
      <c r="BH312" s="319"/>
      <c r="BI312" s="319"/>
      <c r="BJ312" s="319"/>
      <c r="BK312" s="319"/>
      <c r="BL312" s="319"/>
      <c r="BM312" s="319"/>
      <c r="BN312" s="319"/>
      <c r="BO312" s="319"/>
      <c r="BP312" s="319"/>
      <c r="BQ312" s="319"/>
      <c r="BR312" s="319"/>
    </row>
    <row r="313" ht="14.25" customHeight="1">
      <c r="A313" s="195"/>
      <c r="B313" s="100"/>
      <c r="C313" s="100"/>
      <c r="D313" s="100"/>
      <c r="E313" s="100"/>
      <c r="F313" s="206"/>
      <c r="G313" s="206"/>
      <c r="H313" s="207"/>
      <c r="I313" s="207"/>
      <c r="J313" s="207"/>
      <c r="K313" s="207"/>
      <c r="L313" s="207"/>
      <c r="M313" s="207"/>
      <c r="N313" s="207"/>
      <c r="O313" s="207"/>
      <c r="P313" s="207"/>
      <c r="Q313" s="207"/>
      <c r="R313" s="207"/>
      <c r="S313" s="207"/>
      <c r="T313" s="207"/>
      <c r="U313" s="207"/>
      <c r="V313" s="207"/>
      <c r="W313" s="208"/>
      <c r="X313" s="208"/>
      <c r="Y313" s="208"/>
      <c r="Z313" s="208"/>
      <c r="AA313" s="208"/>
      <c r="AB313" s="208"/>
      <c r="AC313" s="208"/>
      <c r="AD313" s="208"/>
      <c r="AE313" s="208"/>
      <c r="AF313" s="208"/>
      <c r="AG313" s="208"/>
      <c r="AH313" s="208"/>
      <c r="AI313" s="100"/>
      <c r="AJ313" s="319"/>
      <c r="AK313" s="319"/>
      <c r="AL313" s="319"/>
      <c r="AM313" s="319"/>
      <c r="AN313" s="319"/>
      <c r="AO313" s="319"/>
      <c r="AP313" s="319"/>
      <c r="AQ313" s="319"/>
      <c r="AR313" s="319"/>
      <c r="AS313" s="319"/>
      <c r="AT313" s="319"/>
      <c r="AU313" s="319"/>
      <c r="AV313" s="319"/>
      <c r="AW313" s="319"/>
      <c r="AX313" s="319"/>
      <c r="AY313" s="319"/>
      <c r="AZ313" s="319"/>
      <c r="BA313" s="319"/>
      <c r="BB313" s="319"/>
      <c r="BC313" s="319"/>
      <c r="BD313" s="319"/>
      <c r="BE313" s="319"/>
      <c r="BF313" s="319"/>
      <c r="BG313" s="319"/>
      <c r="BH313" s="319"/>
      <c r="BI313" s="319"/>
      <c r="BJ313" s="319"/>
      <c r="BK313" s="319"/>
      <c r="BL313" s="319"/>
      <c r="BM313" s="319"/>
      <c r="BN313" s="319"/>
      <c r="BO313" s="319"/>
      <c r="BP313" s="319"/>
      <c r="BQ313" s="319"/>
      <c r="BR313" s="319"/>
    </row>
    <row r="314" ht="14.25" customHeight="1">
      <c r="A314" s="195"/>
      <c r="B314" s="100"/>
      <c r="C314" s="100"/>
      <c r="D314" s="100"/>
      <c r="E314" s="100"/>
      <c r="F314" s="206"/>
      <c r="G314" s="206"/>
      <c r="H314" s="207"/>
      <c r="I314" s="207"/>
      <c r="J314" s="207"/>
      <c r="K314" s="207"/>
      <c r="L314" s="207"/>
      <c r="M314" s="207"/>
      <c r="N314" s="207"/>
      <c r="O314" s="207"/>
      <c r="P314" s="207"/>
      <c r="Q314" s="207"/>
      <c r="R314" s="207"/>
      <c r="S314" s="207"/>
      <c r="T314" s="207"/>
      <c r="U314" s="207"/>
      <c r="V314" s="207"/>
      <c r="W314" s="208"/>
      <c r="X314" s="208"/>
      <c r="Y314" s="208"/>
      <c r="Z314" s="208"/>
      <c r="AA314" s="208"/>
      <c r="AB314" s="208"/>
      <c r="AC314" s="208"/>
      <c r="AD314" s="208"/>
      <c r="AE314" s="208"/>
      <c r="AF314" s="208"/>
      <c r="AG314" s="208"/>
      <c r="AH314" s="208"/>
      <c r="AI314" s="100"/>
      <c r="AJ314" s="319"/>
      <c r="AK314" s="319"/>
      <c r="AL314" s="319"/>
      <c r="AM314" s="319"/>
      <c r="AN314" s="319"/>
      <c r="AO314" s="319"/>
      <c r="AP314" s="319"/>
      <c r="AQ314" s="319"/>
      <c r="AR314" s="319"/>
      <c r="AS314" s="319"/>
      <c r="AT314" s="319"/>
      <c r="AU314" s="319"/>
      <c r="AV314" s="319"/>
      <c r="AW314" s="319"/>
      <c r="AX314" s="319"/>
      <c r="AY314" s="319"/>
      <c r="AZ314" s="319"/>
      <c r="BA314" s="319"/>
      <c r="BB314" s="319"/>
      <c r="BC314" s="319"/>
      <c r="BD314" s="319"/>
      <c r="BE314" s="319"/>
      <c r="BF314" s="319"/>
      <c r="BG314" s="319"/>
      <c r="BH314" s="319"/>
      <c r="BI314" s="319"/>
      <c r="BJ314" s="319"/>
      <c r="BK314" s="319"/>
      <c r="BL314" s="319"/>
      <c r="BM314" s="319"/>
      <c r="BN314" s="319"/>
      <c r="BO314" s="319"/>
      <c r="BP314" s="319"/>
      <c r="BQ314" s="319"/>
      <c r="BR314" s="319"/>
    </row>
    <row r="315" ht="14.25" customHeight="1">
      <c r="A315" s="195"/>
      <c r="B315" s="100"/>
      <c r="C315" s="100"/>
      <c r="D315" s="100"/>
      <c r="E315" s="100"/>
      <c r="F315" s="206"/>
      <c r="G315" s="206"/>
      <c r="H315" s="207"/>
      <c r="I315" s="207"/>
      <c r="J315" s="207"/>
      <c r="K315" s="207"/>
      <c r="L315" s="207"/>
      <c r="M315" s="207"/>
      <c r="N315" s="207"/>
      <c r="O315" s="207"/>
      <c r="P315" s="207"/>
      <c r="Q315" s="207"/>
      <c r="R315" s="207"/>
      <c r="S315" s="207"/>
      <c r="T315" s="207"/>
      <c r="U315" s="207"/>
      <c r="V315" s="207"/>
      <c r="W315" s="208"/>
      <c r="X315" s="208"/>
      <c r="Y315" s="208"/>
      <c r="Z315" s="208"/>
      <c r="AA315" s="208"/>
      <c r="AB315" s="208"/>
      <c r="AC315" s="208"/>
      <c r="AD315" s="208"/>
      <c r="AE315" s="208"/>
      <c r="AF315" s="208"/>
      <c r="AG315" s="208"/>
      <c r="AH315" s="208"/>
      <c r="AI315" s="100"/>
      <c r="AJ315" s="319"/>
      <c r="AK315" s="319"/>
      <c r="AL315" s="319"/>
      <c r="AM315" s="319"/>
      <c r="AN315" s="319"/>
      <c r="AO315" s="319"/>
      <c r="AP315" s="319"/>
      <c r="AQ315" s="319"/>
      <c r="AR315" s="319"/>
      <c r="AS315" s="319"/>
      <c r="AT315" s="319"/>
      <c r="AU315" s="319"/>
      <c r="AV315" s="319"/>
      <c r="AW315" s="319"/>
      <c r="AX315" s="319"/>
      <c r="AY315" s="319"/>
      <c r="AZ315" s="319"/>
      <c r="BA315" s="319"/>
      <c r="BB315" s="319"/>
      <c r="BC315" s="319"/>
      <c r="BD315" s="319"/>
      <c r="BE315" s="319"/>
      <c r="BF315" s="319"/>
      <c r="BG315" s="319"/>
      <c r="BH315" s="319"/>
      <c r="BI315" s="319"/>
      <c r="BJ315" s="319"/>
      <c r="BK315" s="319"/>
      <c r="BL315" s="319"/>
      <c r="BM315" s="319"/>
      <c r="BN315" s="319"/>
      <c r="BO315" s="319"/>
      <c r="BP315" s="319"/>
      <c r="BQ315" s="319"/>
      <c r="BR315" s="319"/>
    </row>
    <row r="316" ht="14.25" customHeight="1">
      <c r="A316" s="195"/>
      <c r="B316" s="100"/>
      <c r="C316" s="100"/>
      <c r="D316" s="100"/>
      <c r="E316" s="100"/>
      <c r="F316" s="206"/>
      <c r="G316" s="206"/>
      <c r="H316" s="207"/>
      <c r="I316" s="207"/>
      <c r="J316" s="207"/>
      <c r="K316" s="207"/>
      <c r="L316" s="207"/>
      <c r="M316" s="207"/>
      <c r="N316" s="207"/>
      <c r="O316" s="207"/>
      <c r="P316" s="207"/>
      <c r="Q316" s="207"/>
      <c r="R316" s="207"/>
      <c r="S316" s="207"/>
      <c r="T316" s="207"/>
      <c r="U316" s="207"/>
      <c r="V316" s="207"/>
      <c r="W316" s="208"/>
      <c r="X316" s="208"/>
      <c r="Y316" s="208"/>
      <c r="Z316" s="208"/>
      <c r="AA316" s="208"/>
      <c r="AB316" s="208"/>
      <c r="AC316" s="208"/>
      <c r="AD316" s="208"/>
      <c r="AE316" s="208"/>
      <c r="AF316" s="208"/>
      <c r="AG316" s="208"/>
      <c r="AH316" s="208"/>
      <c r="AI316" s="100"/>
      <c r="AJ316" s="319"/>
      <c r="AK316" s="319"/>
      <c r="AL316" s="319"/>
      <c r="AM316" s="319"/>
      <c r="AN316" s="319"/>
      <c r="AO316" s="319"/>
      <c r="AP316" s="319"/>
      <c r="AQ316" s="319"/>
      <c r="AR316" s="319"/>
      <c r="AS316" s="319"/>
      <c r="AT316" s="319"/>
      <c r="AU316" s="319"/>
      <c r="AV316" s="319"/>
      <c r="AW316" s="319"/>
      <c r="AX316" s="319"/>
      <c r="AY316" s="319"/>
      <c r="AZ316" s="319"/>
      <c r="BA316" s="319"/>
      <c r="BB316" s="319"/>
      <c r="BC316" s="319"/>
      <c r="BD316" s="319"/>
      <c r="BE316" s="319"/>
      <c r="BF316" s="319"/>
      <c r="BG316" s="319"/>
      <c r="BH316" s="319"/>
      <c r="BI316" s="319"/>
      <c r="BJ316" s="319"/>
      <c r="BK316" s="319"/>
      <c r="BL316" s="319"/>
      <c r="BM316" s="319"/>
      <c r="BN316" s="319"/>
      <c r="BO316" s="319"/>
      <c r="BP316" s="319"/>
      <c r="BQ316" s="319"/>
      <c r="BR316" s="319"/>
    </row>
    <row r="317" ht="14.25" customHeight="1">
      <c r="A317" s="195"/>
      <c r="B317" s="100"/>
      <c r="C317" s="100"/>
      <c r="D317" s="100"/>
      <c r="E317" s="100"/>
      <c r="F317" s="206"/>
      <c r="G317" s="206"/>
      <c r="H317" s="207"/>
      <c r="I317" s="207"/>
      <c r="J317" s="207"/>
      <c r="K317" s="207"/>
      <c r="L317" s="207"/>
      <c r="M317" s="207"/>
      <c r="N317" s="207"/>
      <c r="O317" s="207"/>
      <c r="P317" s="207"/>
      <c r="Q317" s="207"/>
      <c r="R317" s="207"/>
      <c r="S317" s="207"/>
      <c r="T317" s="207"/>
      <c r="U317" s="207"/>
      <c r="V317" s="207"/>
      <c r="W317" s="208"/>
      <c r="X317" s="208"/>
      <c r="Y317" s="208"/>
      <c r="Z317" s="208"/>
      <c r="AA317" s="208"/>
      <c r="AB317" s="208"/>
      <c r="AC317" s="208"/>
      <c r="AD317" s="208"/>
      <c r="AE317" s="208"/>
      <c r="AF317" s="208"/>
      <c r="AG317" s="208"/>
      <c r="AH317" s="208"/>
      <c r="AI317" s="100"/>
      <c r="AJ317" s="319"/>
      <c r="AK317" s="319"/>
      <c r="AL317" s="319"/>
      <c r="AM317" s="319"/>
      <c r="AN317" s="319"/>
      <c r="AO317" s="319"/>
      <c r="AP317" s="319"/>
      <c r="AQ317" s="319"/>
      <c r="AR317" s="319"/>
      <c r="AS317" s="319"/>
      <c r="AT317" s="319"/>
      <c r="AU317" s="319"/>
      <c r="AV317" s="319"/>
      <c r="AW317" s="319"/>
      <c r="AX317" s="319"/>
      <c r="AY317" s="319"/>
      <c r="AZ317" s="319"/>
      <c r="BA317" s="319"/>
      <c r="BB317" s="319"/>
      <c r="BC317" s="319"/>
      <c r="BD317" s="319"/>
      <c r="BE317" s="319"/>
      <c r="BF317" s="319"/>
      <c r="BG317" s="319"/>
      <c r="BH317" s="319"/>
      <c r="BI317" s="319"/>
      <c r="BJ317" s="319"/>
      <c r="BK317" s="319"/>
      <c r="BL317" s="319"/>
      <c r="BM317" s="319"/>
      <c r="BN317" s="319"/>
      <c r="BO317" s="319"/>
      <c r="BP317" s="319"/>
      <c r="BQ317" s="319"/>
      <c r="BR317" s="319"/>
    </row>
    <row r="318" ht="14.25" customHeight="1">
      <c r="A318" s="195"/>
      <c r="B318" s="100"/>
      <c r="C318" s="100"/>
      <c r="D318" s="100"/>
      <c r="E318" s="100"/>
      <c r="F318" s="206"/>
      <c r="G318" s="206"/>
      <c r="H318" s="207"/>
      <c r="I318" s="207"/>
      <c r="J318" s="207"/>
      <c r="K318" s="207"/>
      <c r="L318" s="207"/>
      <c r="M318" s="207"/>
      <c r="N318" s="207"/>
      <c r="O318" s="207"/>
      <c r="P318" s="207"/>
      <c r="Q318" s="207"/>
      <c r="R318" s="207"/>
      <c r="S318" s="207"/>
      <c r="T318" s="207"/>
      <c r="U318" s="207"/>
      <c r="V318" s="207"/>
      <c r="W318" s="208"/>
      <c r="X318" s="208"/>
      <c r="Y318" s="208"/>
      <c r="Z318" s="208"/>
      <c r="AA318" s="208"/>
      <c r="AB318" s="208"/>
      <c r="AC318" s="208"/>
      <c r="AD318" s="208"/>
      <c r="AE318" s="208"/>
      <c r="AF318" s="208"/>
      <c r="AG318" s="208"/>
      <c r="AH318" s="208"/>
      <c r="AI318" s="100"/>
      <c r="AJ318" s="319"/>
      <c r="AK318" s="319"/>
      <c r="AL318" s="319"/>
      <c r="AM318" s="319"/>
      <c r="AN318" s="319"/>
      <c r="AO318" s="319"/>
      <c r="AP318" s="319"/>
      <c r="AQ318" s="319"/>
      <c r="AR318" s="319"/>
      <c r="AS318" s="319"/>
      <c r="AT318" s="319"/>
      <c r="AU318" s="319"/>
      <c r="AV318" s="319"/>
      <c r="AW318" s="319"/>
      <c r="AX318" s="319"/>
      <c r="AY318" s="319"/>
      <c r="AZ318" s="319"/>
      <c r="BA318" s="319"/>
      <c r="BB318" s="319"/>
      <c r="BC318" s="319"/>
      <c r="BD318" s="319"/>
      <c r="BE318" s="319"/>
      <c r="BF318" s="319"/>
      <c r="BG318" s="319"/>
      <c r="BH318" s="319"/>
      <c r="BI318" s="319"/>
      <c r="BJ318" s="319"/>
      <c r="BK318" s="319"/>
      <c r="BL318" s="319"/>
      <c r="BM318" s="319"/>
      <c r="BN318" s="319"/>
      <c r="BO318" s="319"/>
      <c r="BP318" s="319"/>
      <c r="BQ318" s="319"/>
      <c r="BR318" s="319"/>
    </row>
    <row r="319" ht="14.25" customHeight="1">
      <c r="A319" s="195"/>
      <c r="B319" s="100"/>
      <c r="C319" s="100"/>
      <c r="D319" s="100"/>
      <c r="E319" s="100"/>
      <c r="F319" s="206"/>
      <c r="G319" s="206"/>
      <c r="H319" s="207"/>
      <c r="I319" s="207"/>
      <c r="J319" s="207"/>
      <c r="K319" s="207"/>
      <c r="L319" s="207"/>
      <c r="M319" s="207"/>
      <c r="N319" s="207"/>
      <c r="O319" s="207"/>
      <c r="P319" s="207"/>
      <c r="Q319" s="207"/>
      <c r="R319" s="207"/>
      <c r="S319" s="207"/>
      <c r="T319" s="207"/>
      <c r="U319" s="207"/>
      <c r="V319" s="207"/>
      <c r="W319" s="208"/>
      <c r="X319" s="208"/>
      <c r="Y319" s="208"/>
      <c r="Z319" s="208"/>
      <c r="AA319" s="208"/>
      <c r="AB319" s="208"/>
      <c r="AC319" s="208"/>
      <c r="AD319" s="208"/>
      <c r="AE319" s="208"/>
      <c r="AF319" s="208"/>
      <c r="AG319" s="208"/>
      <c r="AH319" s="208"/>
      <c r="AI319" s="100"/>
      <c r="AJ319" s="319"/>
      <c r="AK319" s="319"/>
      <c r="AL319" s="319"/>
      <c r="AM319" s="319"/>
      <c r="AN319" s="319"/>
      <c r="AO319" s="319"/>
      <c r="AP319" s="319"/>
      <c r="AQ319" s="319"/>
      <c r="AR319" s="319"/>
      <c r="AS319" s="319"/>
      <c r="AT319" s="319"/>
      <c r="AU319" s="319"/>
      <c r="AV319" s="319"/>
      <c r="AW319" s="319"/>
      <c r="AX319" s="319"/>
      <c r="AY319" s="319"/>
      <c r="AZ319" s="319"/>
      <c r="BA319" s="319"/>
      <c r="BB319" s="319"/>
      <c r="BC319" s="319"/>
      <c r="BD319" s="319"/>
      <c r="BE319" s="319"/>
      <c r="BF319" s="319"/>
      <c r="BG319" s="319"/>
      <c r="BH319" s="319"/>
      <c r="BI319" s="319"/>
      <c r="BJ319" s="319"/>
      <c r="BK319" s="319"/>
      <c r="BL319" s="319"/>
      <c r="BM319" s="319"/>
      <c r="BN319" s="319"/>
      <c r="BO319" s="319"/>
      <c r="BP319" s="319"/>
      <c r="BQ319" s="319"/>
      <c r="BR319" s="319"/>
    </row>
    <row r="320" ht="14.25" customHeight="1">
      <c r="A320" s="195"/>
      <c r="B320" s="100"/>
      <c r="C320" s="100"/>
      <c r="D320" s="100"/>
      <c r="E320" s="100"/>
      <c r="F320" s="206"/>
      <c r="G320" s="206"/>
      <c r="H320" s="207"/>
      <c r="I320" s="207"/>
      <c r="J320" s="207"/>
      <c r="K320" s="207"/>
      <c r="L320" s="207"/>
      <c r="M320" s="207"/>
      <c r="N320" s="207"/>
      <c r="O320" s="207"/>
      <c r="P320" s="207"/>
      <c r="Q320" s="207"/>
      <c r="R320" s="207"/>
      <c r="S320" s="207"/>
      <c r="T320" s="207"/>
      <c r="U320" s="207"/>
      <c r="V320" s="207"/>
      <c r="W320" s="208"/>
      <c r="X320" s="208"/>
      <c r="Y320" s="208"/>
      <c r="Z320" s="208"/>
      <c r="AA320" s="208"/>
      <c r="AB320" s="208"/>
      <c r="AC320" s="208"/>
      <c r="AD320" s="208"/>
      <c r="AE320" s="208"/>
      <c r="AF320" s="208"/>
      <c r="AG320" s="208"/>
      <c r="AH320" s="208"/>
      <c r="AI320" s="100"/>
      <c r="AJ320" s="319"/>
      <c r="AK320" s="319"/>
      <c r="AL320" s="319"/>
      <c r="AM320" s="319"/>
      <c r="AN320" s="319"/>
      <c r="AO320" s="319"/>
      <c r="AP320" s="319"/>
      <c r="AQ320" s="319"/>
      <c r="AR320" s="319"/>
      <c r="AS320" s="319"/>
      <c r="AT320" s="319"/>
      <c r="AU320" s="319"/>
      <c r="AV320" s="319"/>
      <c r="AW320" s="319"/>
      <c r="AX320" s="319"/>
      <c r="AY320" s="319"/>
      <c r="AZ320" s="319"/>
      <c r="BA320" s="319"/>
      <c r="BB320" s="319"/>
      <c r="BC320" s="319"/>
      <c r="BD320" s="319"/>
      <c r="BE320" s="319"/>
      <c r="BF320" s="319"/>
      <c r="BG320" s="319"/>
      <c r="BH320" s="319"/>
      <c r="BI320" s="319"/>
      <c r="BJ320" s="319"/>
      <c r="BK320" s="319"/>
      <c r="BL320" s="319"/>
      <c r="BM320" s="319"/>
      <c r="BN320" s="319"/>
      <c r="BO320" s="319"/>
      <c r="BP320" s="319"/>
      <c r="BQ320" s="319"/>
      <c r="BR320" s="319"/>
    </row>
    <row r="321" ht="14.25" customHeight="1">
      <c r="A321" s="195"/>
      <c r="B321" s="100"/>
      <c r="C321" s="100"/>
      <c r="D321" s="100"/>
      <c r="E321" s="100"/>
      <c r="F321" s="206"/>
      <c r="G321" s="206"/>
      <c r="H321" s="207"/>
      <c r="I321" s="207"/>
      <c r="J321" s="207"/>
      <c r="K321" s="207"/>
      <c r="L321" s="207"/>
      <c r="M321" s="207"/>
      <c r="N321" s="207"/>
      <c r="O321" s="207"/>
      <c r="P321" s="207"/>
      <c r="Q321" s="207"/>
      <c r="R321" s="207"/>
      <c r="S321" s="207"/>
      <c r="T321" s="207"/>
      <c r="U321" s="207"/>
      <c r="V321" s="207"/>
      <c r="W321" s="208"/>
      <c r="X321" s="208"/>
      <c r="Y321" s="208"/>
      <c r="Z321" s="208"/>
      <c r="AA321" s="208"/>
      <c r="AB321" s="208"/>
      <c r="AC321" s="208"/>
      <c r="AD321" s="208"/>
      <c r="AE321" s="208"/>
      <c r="AF321" s="208"/>
      <c r="AG321" s="208"/>
      <c r="AH321" s="208"/>
      <c r="AI321" s="100"/>
      <c r="AJ321" s="319"/>
      <c r="AK321" s="319"/>
      <c r="AL321" s="319"/>
      <c r="AM321" s="319"/>
      <c r="AN321" s="319"/>
      <c r="AO321" s="319"/>
      <c r="AP321" s="319"/>
      <c r="AQ321" s="319"/>
      <c r="AR321" s="319"/>
      <c r="AS321" s="319"/>
      <c r="AT321" s="319"/>
      <c r="AU321" s="319"/>
      <c r="AV321" s="319"/>
      <c r="AW321" s="319"/>
      <c r="AX321" s="319"/>
      <c r="AY321" s="319"/>
      <c r="AZ321" s="319"/>
      <c r="BA321" s="319"/>
      <c r="BB321" s="319"/>
      <c r="BC321" s="319"/>
      <c r="BD321" s="319"/>
      <c r="BE321" s="319"/>
      <c r="BF321" s="319"/>
      <c r="BG321" s="319"/>
      <c r="BH321" s="319"/>
      <c r="BI321" s="319"/>
      <c r="BJ321" s="319"/>
      <c r="BK321" s="319"/>
      <c r="BL321" s="319"/>
      <c r="BM321" s="319"/>
      <c r="BN321" s="319"/>
      <c r="BO321" s="319"/>
      <c r="BP321" s="319"/>
      <c r="BQ321" s="319"/>
      <c r="BR321" s="319"/>
    </row>
    <row r="322" ht="14.25" customHeight="1">
      <c r="A322" s="195"/>
      <c r="B322" s="100"/>
      <c r="C322" s="100"/>
      <c r="D322" s="100"/>
      <c r="E322" s="100"/>
      <c r="F322" s="206"/>
      <c r="G322" s="206"/>
      <c r="H322" s="207"/>
      <c r="I322" s="207"/>
      <c r="J322" s="207"/>
      <c r="K322" s="207"/>
      <c r="L322" s="207"/>
      <c r="M322" s="207"/>
      <c r="N322" s="207"/>
      <c r="O322" s="207"/>
      <c r="P322" s="207"/>
      <c r="Q322" s="207"/>
      <c r="R322" s="207"/>
      <c r="S322" s="207"/>
      <c r="T322" s="207"/>
      <c r="U322" s="207"/>
      <c r="V322" s="207"/>
      <c r="W322" s="208"/>
      <c r="X322" s="208"/>
      <c r="Y322" s="208"/>
      <c r="Z322" s="208"/>
      <c r="AA322" s="208"/>
      <c r="AB322" s="208"/>
      <c r="AC322" s="208"/>
      <c r="AD322" s="208"/>
      <c r="AE322" s="208"/>
      <c r="AF322" s="208"/>
      <c r="AG322" s="208"/>
      <c r="AH322" s="208"/>
      <c r="AI322" s="100"/>
      <c r="AJ322" s="319"/>
      <c r="AK322" s="319"/>
      <c r="AL322" s="319"/>
      <c r="AM322" s="319"/>
      <c r="AN322" s="319"/>
      <c r="AO322" s="319"/>
      <c r="AP322" s="319"/>
      <c r="AQ322" s="319"/>
      <c r="AR322" s="319"/>
      <c r="AS322" s="319"/>
      <c r="AT322" s="319"/>
      <c r="AU322" s="319"/>
      <c r="AV322" s="319"/>
      <c r="AW322" s="319"/>
      <c r="AX322" s="319"/>
      <c r="AY322" s="319"/>
      <c r="AZ322" s="319"/>
      <c r="BA322" s="319"/>
      <c r="BB322" s="319"/>
      <c r="BC322" s="319"/>
      <c r="BD322" s="319"/>
      <c r="BE322" s="319"/>
      <c r="BF322" s="319"/>
      <c r="BG322" s="319"/>
      <c r="BH322" s="319"/>
      <c r="BI322" s="319"/>
      <c r="BJ322" s="319"/>
      <c r="BK322" s="319"/>
      <c r="BL322" s="319"/>
      <c r="BM322" s="319"/>
      <c r="BN322" s="319"/>
      <c r="BO322" s="319"/>
      <c r="BP322" s="319"/>
      <c r="BQ322" s="319"/>
      <c r="BR322" s="319"/>
    </row>
    <row r="323" ht="14.25" customHeight="1">
      <c r="A323" s="195"/>
      <c r="B323" s="100"/>
      <c r="C323" s="100"/>
      <c r="D323" s="100"/>
      <c r="E323" s="100"/>
      <c r="F323" s="206"/>
      <c r="G323" s="206"/>
      <c r="H323" s="207"/>
      <c r="I323" s="207"/>
      <c r="J323" s="207"/>
      <c r="K323" s="207"/>
      <c r="L323" s="207"/>
      <c r="M323" s="207"/>
      <c r="N323" s="207"/>
      <c r="O323" s="207"/>
      <c r="P323" s="207"/>
      <c r="Q323" s="207"/>
      <c r="R323" s="207"/>
      <c r="S323" s="207"/>
      <c r="T323" s="207"/>
      <c r="U323" s="207"/>
      <c r="V323" s="207"/>
      <c r="W323" s="208"/>
      <c r="X323" s="208"/>
      <c r="Y323" s="208"/>
      <c r="Z323" s="208"/>
      <c r="AA323" s="208"/>
      <c r="AB323" s="208"/>
      <c r="AC323" s="208"/>
      <c r="AD323" s="208"/>
      <c r="AE323" s="208"/>
      <c r="AF323" s="208"/>
      <c r="AG323" s="208"/>
      <c r="AH323" s="208"/>
      <c r="AI323" s="100"/>
      <c r="AJ323" s="319"/>
      <c r="AK323" s="319"/>
      <c r="AL323" s="319"/>
      <c r="AM323" s="319"/>
      <c r="AN323" s="319"/>
      <c r="AO323" s="319"/>
      <c r="AP323" s="319"/>
      <c r="AQ323" s="319"/>
      <c r="AR323" s="319"/>
      <c r="AS323" s="319"/>
      <c r="AT323" s="319"/>
      <c r="AU323" s="319"/>
      <c r="AV323" s="319"/>
      <c r="AW323" s="319"/>
      <c r="AX323" s="319"/>
      <c r="AY323" s="319"/>
      <c r="AZ323" s="319"/>
      <c r="BA323" s="319"/>
      <c r="BB323" s="319"/>
      <c r="BC323" s="319"/>
      <c r="BD323" s="319"/>
      <c r="BE323" s="319"/>
      <c r="BF323" s="319"/>
      <c r="BG323" s="319"/>
      <c r="BH323" s="319"/>
      <c r="BI323" s="319"/>
      <c r="BJ323" s="319"/>
      <c r="BK323" s="319"/>
      <c r="BL323" s="319"/>
      <c r="BM323" s="319"/>
      <c r="BN323" s="319"/>
      <c r="BO323" s="319"/>
      <c r="BP323" s="319"/>
      <c r="BQ323" s="319"/>
      <c r="BR323" s="319"/>
    </row>
    <row r="324" ht="14.25" customHeight="1">
      <c r="A324" s="195"/>
      <c r="B324" s="100"/>
      <c r="C324" s="100"/>
      <c r="D324" s="100"/>
      <c r="E324" s="100"/>
      <c r="F324" s="206"/>
      <c r="G324" s="206"/>
      <c r="H324" s="207"/>
      <c r="I324" s="207"/>
      <c r="J324" s="207"/>
      <c r="K324" s="207"/>
      <c r="L324" s="207"/>
      <c r="M324" s="207"/>
      <c r="N324" s="207"/>
      <c r="O324" s="207"/>
      <c r="P324" s="207"/>
      <c r="Q324" s="207"/>
      <c r="R324" s="207"/>
      <c r="S324" s="207"/>
      <c r="T324" s="207"/>
      <c r="U324" s="207"/>
      <c r="V324" s="207"/>
      <c r="W324" s="208"/>
      <c r="X324" s="208"/>
      <c r="Y324" s="208"/>
      <c r="Z324" s="208"/>
      <c r="AA324" s="208"/>
      <c r="AB324" s="208"/>
      <c r="AC324" s="208"/>
      <c r="AD324" s="208"/>
      <c r="AE324" s="208"/>
      <c r="AF324" s="208"/>
      <c r="AG324" s="208"/>
      <c r="AH324" s="208"/>
      <c r="AI324" s="100"/>
      <c r="AJ324" s="319"/>
      <c r="AK324" s="319"/>
      <c r="AL324" s="319"/>
      <c r="AM324" s="319"/>
      <c r="AN324" s="319"/>
      <c r="AO324" s="319"/>
      <c r="AP324" s="319"/>
      <c r="AQ324" s="319"/>
      <c r="AR324" s="319"/>
      <c r="AS324" s="319"/>
      <c r="AT324" s="319"/>
      <c r="AU324" s="319"/>
      <c r="AV324" s="319"/>
      <c r="AW324" s="319"/>
      <c r="AX324" s="319"/>
      <c r="AY324" s="319"/>
      <c r="AZ324" s="319"/>
      <c r="BA324" s="319"/>
      <c r="BB324" s="319"/>
      <c r="BC324" s="319"/>
      <c r="BD324" s="319"/>
      <c r="BE324" s="319"/>
      <c r="BF324" s="319"/>
      <c r="BG324" s="319"/>
      <c r="BH324" s="319"/>
      <c r="BI324" s="319"/>
      <c r="BJ324" s="319"/>
      <c r="BK324" s="319"/>
      <c r="BL324" s="319"/>
      <c r="BM324" s="319"/>
      <c r="BN324" s="319"/>
      <c r="BO324" s="319"/>
      <c r="BP324" s="319"/>
      <c r="BQ324" s="319"/>
      <c r="BR324" s="319"/>
    </row>
    <row r="325" ht="14.25" customHeight="1">
      <c r="A325" s="195"/>
      <c r="B325" s="100"/>
      <c r="C325" s="100"/>
      <c r="D325" s="100"/>
      <c r="E325" s="100"/>
      <c r="F325" s="206"/>
      <c r="G325" s="206"/>
      <c r="H325" s="207"/>
      <c r="I325" s="207"/>
      <c r="J325" s="207"/>
      <c r="K325" s="207"/>
      <c r="L325" s="207"/>
      <c r="M325" s="207"/>
      <c r="N325" s="207"/>
      <c r="O325" s="207"/>
      <c r="P325" s="207"/>
      <c r="Q325" s="207"/>
      <c r="R325" s="207"/>
      <c r="S325" s="207"/>
      <c r="T325" s="207"/>
      <c r="U325" s="207"/>
      <c r="V325" s="207"/>
      <c r="W325" s="208"/>
      <c r="X325" s="208"/>
      <c r="Y325" s="208"/>
      <c r="Z325" s="208"/>
      <c r="AA325" s="208"/>
      <c r="AB325" s="208"/>
      <c r="AC325" s="208"/>
      <c r="AD325" s="208"/>
      <c r="AE325" s="208"/>
      <c r="AF325" s="208"/>
      <c r="AG325" s="208"/>
      <c r="AH325" s="208"/>
      <c r="AI325" s="100"/>
      <c r="AJ325" s="319"/>
      <c r="AK325" s="319"/>
      <c r="AL325" s="319"/>
      <c r="AM325" s="319"/>
      <c r="AN325" s="319"/>
      <c r="AO325" s="319"/>
      <c r="AP325" s="319"/>
      <c r="AQ325" s="319"/>
      <c r="AR325" s="319"/>
      <c r="AS325" s="319"/>
      <c r="AT325" s="319"/>
      <c r="AU325" s="319"/>
      <c r="AV325" s="319"/>
      <c r="AW325" s="319"/>
      <c r="AX325" s="319"/>
      <c r="AY325" s="319"/>
      <c r="AZ325" s="319"/>
      <c r="BA325" s="319"/>
      <c r="BB325" s="319"/>
      <c r="BC325" s="319"/>
      <c r="BD325" s="319"/>
      <c r="BE325" s="319"/>
      <c r="BF325" s="319"/>
      <c r="BG325" s="319"/>
      <c r="BH325" s="319"/>
      <c r="BI325" s="319"/>
      <c r="BJ325" s="319"/>
      <c r="BK325" s="319"/>
      <c r="BL325" s="319"/>
      <c r="BM325" s="319"/>
      <c r="BN325" s="319"/>
      <c r="BO325" s="319"/>
      <c r="BP325" s="319"/>
      <c r="BQ325" s="319"/>
      <c r="BR325" s="319"/>
    </row>
    <row r="326" ht="14.25" customHeight="1">
      <c r="A326" s="195"/>
      <c r="B326" s="100"/>
      <c r="C326" s="100"/>
      <c r="D326" s="100"/>
      <c r="E326" s="100"/>
      <c r="F326" s="206"/>
      <c r="G326" s="206"/>
      <c r="H326" s="207"/>
      <c r="I326" s="207"/>
      <c r="J326" s="207"/>
      <c r="K326" s="207"/>
      <c r="L326" s="207"/>
      <c r="M326" s="207"/>
      <c r="N326" s="207"/>
      <c r="O326" s="207"/>
      <c r="P326" s="207"/>
      <c r="Q326" s="207"/>
      <c r="R326" s="207"/>
      <c r="S326" s="207"/>
      <c r="T326" s="207"/>
      <c r="U326" s="207"/>
      <c r="V326" s="207"/>
      <c r="W326" s="208"/>
      <c r="X326" s="208"/>
      <c r="Y326" s="208"/>
      <c r="Z326" s="208"/>
      <c r="AA326" s="208"/>
      <c r="AB326" s="208"/>
      <c r="AC326" s="208"/>
      <c r="AD326" s="208"/>
      <c r="AE326" s="208"/>
      <c r="AF326" s="208"/>
      <c r="AG326" s="208"/>
      <c r="AH326" s="208"/>
      <c r="AI326" s="100"/>
      <c r="AJ326" s="319"/>
      <c r="AK326" s="319"/>
      <c r="AL326" s="319"/>
      <c r="AM326" s="319"/>
      <c r="AN326" s="319"/>
      <c r="AO326" s="319"/>
      <c r="AP326" s="319"/>
      <c r="AQ326" s="319"/>
      <c r="AR326" s="319"/>
      <c r="AS326" s="319"/>
      <c r="AT326" s="319"/>
      <c r="AU326" s="319"/>
      <c r="AV326" s="319"/>
      <c r="AW326" s="319"/>
      <c r="AX326" s="319"/>
      <c r="AY326" s="319"/>
      <c r="AZ326" s="319"/>
      <c r="BA326" s="319"/>
      <c r="BB326" s="319"/>
      <c r="BC326" s="319"/>
      <c r="BD326" s="319"/>
      <c r="BE326" s="319"/>
      <c r="BF326" s="319"/>
      <c r="BG326" s="319"/>
      <c r="BH326" s="319"/>
      <c r="BI326" s="319"/>
      <c r="BJ326" s="319"/>
      <c r="BK326" s="319"/>
      <c r="BL326" s="319"/>
      <c r="BM326" s="319"/>
      <c r="BN326" s="319"/>
      <c r="BO326" s="319"/>
      <c r="BP326" s="319"/>
      <c r="BQ326" s="319"/>
      <c r="BR326" s="319"/>
    </row>
    <row r="327" ht="14.25" customHeight="1">
      <c r="A327" s="195"/>
      <c r="B327" s="100"/>
      <c r="C327" s="100"/>
      <c r="D327" s="100"/>
      <c r="E327" s="100"/>
      <c r="F327" s="206"/>
      <c r="G327" s="206"/>
      <c r="H327" s="207"/>
      <c r="I327" s="207"/>
      <c r="J327" s="207"/>
      <c r="K327" s="207"/>
      <c r="L327" s="207"/>
      <c r="M327" s="207"/>
      <c r="N327" s="207"/>
      <c r="O327" s="207"/>
      <c r="P327" s="207"/>
      <c r="Q327" s="207"/>
      <c r="R327" s="207"/>
      <c r="S327" s="207"/>
      <c r="T327" s="207"/>
      <c r="U327" s="207"/>
      <c r="V327" s="207"/>
      <c r="W327" s="208"/>
      <c r="X327" s="208"/>
      <c r="Y327" s="208"/>
      <c r="Z327" s="208"/>
      <c r="AA327" s="208"/>
      <c r="AB327" s="208"/>
      <c r="AC327" s="208"/>
      <c r="AD327" s="208"/>
      <c r="AE327" s="208"/>
      <c r="AF327" s="208"/>
      <c r="AG327" s="208"/>
      <c r="AH327" s="208"/>
      <c r="AI327" s="100"/>
      <c r="AJ327" s="319"/>
      <c r="AK327" s="319"/>
      <c r="AL327" s="319"/>
      <c r="AM327" s="319"/>
      <c r="AN327" s="319"/>
      <c r="AO327" s="319"/>
      <c r="AP327" s="319"/>
      <c r="AQ327" s="319"/>
      <c r="AR327" s="319"/>
      <c r="AS327" s="319"/>
      <c r="AT327" s="319"/>
      <c r="AU327" s="319"/>
      <c r="AV327" s="319"/>
      <c r="AW327" s="319"/>
      <c r="AX327" s="319"/>
      <c r="AY327" s="319"/>
      <c r="AZ327" s="319"/>
      <c r="BA327" s="319"/>
      <c r="BB327" s="319"/>
      <c r="BC327" s="319"/>
      <c r="BD327" s="319"/>
      <c r="BE327" s="319"/>
      <c r="BF327" s="319"/>
      <c r="BG327" s="319"/>
      <c r="BH327" s="319"/>
      <c r="BI327" s="319"/>
      <c r="BJ327" s="319"/>
      <c r="BK327" s="319"/>
      <c r="BL327" s="319"/>
      <c r="BM327" s="319"/>
      <c r="BN327" s="319"/>
      <c r="BO327" s="319"/>
      <c r="BP327" s="319"/>
      <c r="BQ327" s="319"/>
      <c r="BR327" s="319"/>
    </row>
    <row r="328" ht="14.25" customHeight="1">
      <c r="A328" s="195"/>
      <c r="B328" s="100"/>
      <c r="C328" s="100"/>
      <c r="D328" s="100"/>
      <c r="E328" s="100"/>
      <c r="F328" s="206"/>
      <c r="G328" s="206"/>
      <c r="H328" s="207"/>
      <c r="I328" s="207"/>
      <c r="J328" s="207"/>
      <c r="K328" s="207"/>
      <c r="L328" s="207"/>
      <c r="M328" s="207"/>
      <c r="N328" s="207"/>
      <c r="O328" s="207"/>
      <c r="P328" s="207"/>
      <c r="Q328" s="207"/>
      <c r="R328" s="207"/>
      <c r="S328" s="207"/>
      <c r="T328" s="207"/>
      <c r="U328" s="207"/>
      <c r="V328" s="207"/>
      <c r="W328" s="208"/>
      <c r="X328" s="208"/>
      <c r="Y328" s="208"/>
      <c r="Z328" s="208"/>
      <c r="AA328" s="208"/>
      <c r="AB328" s="208"/>
      <c r="AC328" s="208"/>
      <c r="AD328" s="208"/>
      <c r="AE328" s="208"/>
      <c r="AF328" s="208"/>
      <c r="AG328" s="208"/>
      <c r="AH328" s="208"/>
      <c r="AI328" s="100"/>
      <c r="AJ328" s="319"/>
      <c r="AK328" s="319"/>
      <c r="AL328" s="319"/>
      <c r="AM328" s="319"/>
      <c r="AN328" s="319"/>
      <c r="AO328" s="319"/>
      <c r="AP328" s="319"/>
      <c r="AQ328" s="319"/>
      <c r="AR328" s="319"/>
      <c r="AS328" s="319"/>
      <c r="AT328" s="319"/>
      <c r="AU328" s="319"/>
      <c r="AV328" s="319"/>
      <c r="AW328" s="319"/>
      <c r="AX328" s="319"/>
      <c r="AY328" s="319"/>
      <c r="AZ328" s="319"/>
      <c r="BA328" s="319"/>
      <c r="BB328" s="319"/>
      <c r="BC328" s="319"/>
      <c r="BD328" s="319"/>
      <c r="BE328" s="319"/>
      <c r="BF328" s="319"/>
      <c r="BG328" s="319"/>
      <c r="BH328" s="319"/>
      <c r="BI328" s="319"/>
      <c r="BJ328" s="319"/>
      <c r="BK328" s="319"/>
      <c r="BL328" s="319"/>
      <c r="BM328" s="319"/>
      <c r="BN328" s="319"/>
      <c r="BO328" s="319"/>
      <c r="BP328" s="319"/>
      <c r="BQ328" s="319"/>
      <c r="BR328" s="319"/>
    </row>
    <row r="329" ht="14.25" customHeight="1">
      <c r="A329" s="195"/>
      <c r="B329" s="100"/>
      <c r="C329" s="100"/>
      <c r="D329" s="100"/>
      <c r="E329" s="100"/>
      <c r="F329" s="206"/>
      <c r="G329" s="206"/>
      <c r="H329" s="207"/>
      <c r="I329" s="207"/>
      <c r="J329" s="207"/>
      <c r="K329" s="207"/>
      <c r="L329" s="207"/>
      <c r="M329" s="207"/>
      <c r="N329" s="207"/>
      <c r="O329" s="207"/>
      <c r="P329" s="207"/>
      <c r="Q329" s="207"/>
      <c r="R329" s="207"/>
      <c r="S329" s="207"/>
      <c r="T329" s="207"/>
      <c r="U329" s="207"/>
      <c r="V329" s="207"/>
      <c r="W329" s="208"/>
      <c r="X329" s="208"/>
      <c r="Y329" s="208"/>
      <c r="Z329" s="208"/>
      <c r="AA329" s="208"/>
      <c r="AB329" s="208"/>
      <c r="AC329" s="208"/>
      <c r="AD329" s="208"/>
      <c r="AE329" s="208"/>
      <c r="AF329" s="208"/>
      <c r="AG329" s="208"/>
      <c r="AH329" s="208"/>
      <c r="AI329" s="100"/>
      <c r="AJ329" s="319"/>
      <c r="AK329" s="319"/>
      <c r="AL329" s="319"/>
      <c r="AM329" s="319"/>
      <c r="AN329" s="319"/>
      <c r="AO329" s="319"/>
      <c r="AP329" s="319"/>
      <c r="AQ329" s="319"/>
      <c r="AR329" s="319"/>
      <c r="AS329" s="319"/>
      <c r="AT329" s="319"/>
      <c r="AU329" s="319"/>
      <c r="AV329" s="319"/>
      <c r="AW329" s="319"/>
      <c r="AX329" s="319"/>
      <c r="AY329" s="319"/>
      <c r="AZ329" s="319"/>
      <c r="BA329" s="319"/>
      <c r="BB329" s="319"/>
      <c r="BC329" s="319"/>
      <c r="BD329" s="319"/>
      <c r="BE329" s="319"/>
      <c r="BF329" s="319"/>
      <c r="BG329" s="319"/>
      <c r="BH329" s="319"/>
      <c r="BI329" s="319"/>
      <c r="BJ329" s="319"/>
      <c r="BK329" s="319"/>
      <c r="BL329" s="319"/>
      <c r="BM329" s="319"/>
      <c r="BN329" s="319"/>
      <c r="BO329" s="319"/>
      <c r="BP329" s="319"/>
      <c r="BQ329" s="319"/>
      <c r="BR329" s="319"/>
    </row>
    <row r="330" ht="14.25" customHeight="1">
      <c r="A330" s="195"/>
      <c r="B330" s="100"/>
      <c r="C330" s="100"/>
      <c r="D330" s="100"/>
      <c r="E330" s="100"/>
      <c r="F330" s="206"/>
      <c r="G330" s="206"/>
      <c r="H330" s="207"/>
      <c r="I330" s="207"/>
      <c r="J330" s="207"/>
      <c r="K330" s="207"/>
      <c r="L330" s="207"/>
      <c r="M330" s="207"/>
      <c r="N330" s="207"/>
      <c r="O330" s="207"/>
      <c r="P330" s="207"/>
      <c r="Q330" s="207"/>
      <c r="R330" s="207"/>
      <c r="S330" s="207"/>
      <c r="T330" s="207"/>
      <c r="U330" s="207"/>
      <c r="V330" s="207"/>
      <c r="W330" s="208"/>
      <c r="X330" s="208"/>
      <c r="Y330" s="208"/>
      <c r="Z330" s="208"/>
      <c r="AA330" s="208"/>
      <c r="AB330" s="208"/>
      <c r="AC330" s="208"/>
      <c r="AD330" s="208"/>
      <c r="AE330" s="208"/>
      <c r="AF330" s="208"/>
      <c r="AG330" s="208"/>
      <c r="AH330" s="208"/>
      <c r="AI330" s="100"/>
      <c r="AJ330" s="319"/>
      <c r="AK330" s="319"/>
      <c r="AL330" s="319"/>
      <c r="AM330" s="319"/>
      <c r="AN330" s="319"/>
      <c r="AO330" s="319"/>
      <c r="AP330" s="319"/>
      <c r="AQ330" s="319"/>
      <c r="AR330" s="319"/>
      <c r="AS330" s="319"/>
      <c r="AT330" s="319"/>
      <c r="AU330" s="319"/>
      <c r="AV330" s="319"/>
      <c r="AW330" s="319"/>
      <c r="AX330" s="319"/>
      <c r="AY330" s="319"/>
      <c r="AZ330" s="319"/>
      <c r="BA330" s="319"/>
      <c r="BB330" s="319"/>
      <c r="BC330" s="319"/>
      <c r="BD330" s="319"/>
      <c r="BE330" s="319"/>
      <c r="BF330" s="319"/>
      <c r="BG330" s="319"/>
      <c r="BH330" s="319"/>
      <c r="BI330" s="319"/>
      <c r="BJ330" s="319"/>
      <c r="BK330" s="319"/>
      <c r="BL330" s="319"/>
      <c r="BM330" s="319"/>
      <c r="BN330" s="319"/>
      <c r="BO330" s="319"/>
      <c r="BP330" s="319"/>
      <c r="BQ330" s="319"/>
      <c r="BR330" s="319"/>
    </row>
    <row r="331" ht="14.25" customHeight="1">
      <c r="A331" s="195"/>
      <c r="B331" s="100"/>
      <c r="C331" s="100"/>
      <c r="D331" s="100"/>
      <c r="E331" s="100"/>
      <c r="F331" s="206"/>
      <c r="G331" s="206"/>
      <c r="H331" s="207"/>
      <c r="I331" s="207"/>
      <c r="J331" s="207"/>
      <c r="K331" s="207"/>
      <c r="L331" s="207"/>
      <c r="M331" s="207"/>
      <c r="N331" s="207"/>
      <c r="O331" s="207"/>
      <c r="P331" s="207"/>
      <c r="Q331" s="207"/>
      <c r="R331" s="207"/>
      <c r="S331" s="207"/>
      <c r="T331" s="207"/>
      <c r="U331" s="207"/>
      <c r="V331" s="207"/>
      <c r="W331" s="208"/>
      <c r="X331" s="208"/>
      <c r="Y331" s="208"/>
      <c r="Z331" s="208"/>
      <c r="AA331" s="208"/>
      <c r="AB331" s="208"/>
      <c r="AC331" s="208"/>
      <c r="AD331" s="208"/>
      <c r="AE331" s="208"/>
      <c r="AF331" s="208"/>
      <c r="AG331" s="208"/>
      <c r="AH331" s="208"/>
      <c r="AI331" s="100"/>
      <c r="AJ331" s="319"/>
      <c r="AK331" s="319"/>
      <c r="AL331" s="319"/>
      <c r="AM331" s="319"/>
      <c r="AN331" s="319"/>
      <c r="AO331" s="319"/>
      <c r="AP331" s="319"/>
      <c r="AQ331" s="319"/>
      <c r="AR331" s="319"/>
      <c r="AS331" s="319"/>
      <c r="AT331" s="319"/>
      <c r="AU331" s="319"/>
      <c r="AV331" s="319"/>
      <c r="AW331" s="319"/>
      <c r="AX331" s="319"/>
      <c r="AY331" s="319"/>
      <c r="AZ331" s="319"/>
      <c r="BA331" s="319"/>
      <c r="BB331" s="319"/>
      <c r="BC331" s="319"/>
      <c r="BD331" s="319"/>
      <c r="BE331" s="319"/>
      <c r="BF331" s="319"/>
      <c r="BG331" s="319"/>
      <c r="BH331" s="319"/>
      <c r="BI331" s="319"/>
      <c r="BJ331" s="319"/>
      <c r="BK331" s="319"/>
      <c r="BL331" s="319"/>
      <c r="BM331" s="319"/>
      <c r="BN331" s="319"/>
      <c r="BO331" s="319"/>
      <c r="BP331" s="319"/>
      <c r="BQ331" s="319"/>
      <c r="BR331" s="319"/>
    </row>
    <row r="332" ht="14.25" customHeight="1">
      <c r="A332" s="195"/>
      <c r="B332" s="100"/>
      <c r="C332" s="100"/>
      <c r="D332" s="100"/>
      <c r="E332" s="100"/>
      <c r="F332" s="206"/>
      <c r="G332" s="206"/>
      <c r="H332" s="207"/>
      <c r="I332" s="207"/>
      <c r="J332" s="207"/>
      <c r="K332" s="207"/>
      <c r="L332" s="207"/>
      <c r="M332" s="207"/>
      <c r="N332" s="207"/>
      <c r="O332" s="207"/>
      <c r="P332" s="207"/>
      <c r="Q332" s="207"/>
      <c r="R332" s="207"/>
      <c r="S332" s="207"/>
      <c r="T332" s="207"/>
      <c r="U332" s="207"/>
      <c r="V332" s="207"/>
      <c r="W332" s="208"/>
      <c r="X332" s="208"/>
      <c r="Y332" s="208"/>
      <c r="Z332" s="208"/>
      <c r="AA332" s="208"/>
      <c r="AB332" s="208"/>
      <c r="AC332" s="208"/>
      <c r="AD332" s="208"/>
      <c r="AE332" s="208"/>
      <c r="AF332" s="208"/>
      <c r="AG332" s="208"/>
      <c r="AH332" s="208"/>
      <c r="AI332" s="100"/>
      <c r="AJ332" s="319"/>
      <c r="AK332" s="319"/>
      <c r="AL332" s="319"/>
      <c r="AM332" s="319"/>
      <c r="AN332" s="319"/>
      <c r="AO332" s="319"/>
      <c r="AP332" s="319"/>
      <c r="AQ332" s="319"/>
      <c r="AR332" s="319"/>
      <c r="AS332" s="319"/>
      <c r="AT332" s="319"/>
      <c r="AU332" s="319"/>
      <c r="AV332" s="319"/>
      <c r="AW332" s="319"/>
      <c r="AX332" s="319"/>
      <c r="AY332" s="319"/>
      <c r="AZ332" s="319"/>
      <c r="BA332" s="319"/>
      <c r="BB332" s="319"/>
      <c r="BC332" s="319"/>
      <c r="BD332" s="319"/>
      <c r="BE332" s="319"/>
      <c r="BF332" s="319"/>
      <c r="BG332" s="319"/>
      <c r="BH332" s="319"/>
      <c r="BI332" s="319"/>
      <c r="BJ332" s="319"/>
      <c r="BK332" s="319"/>
      <c r="BL332" s="319"/>
      <c r="BM332" s="319"/>
      <c r="BN332" s="319"/>
      <c r="BO332" s="319"/>
      <c r="BP332" s="319"/>
      <c r="BQ332" s="319"/>
      <c r="BR332" s="319"/>
    </row>
    <row r="333" ht="14.25" customHeight="1">
      <c r="A333" s="195"/>
      <c r="B333" s="100"/>
      <c r="C333" s="100"/>
      <c r="D333" s="100"/>
      <c r="E333" s="100"/>
      <c r="F333" s="206"/>
      <c r="G333" s="206"/>
      <c r="H333" s="207"/>
      <c r="I333" s="207"/>
      <c r="J333" s="207"/>
      <c r="K333" s="207"/>
      <c r="L333" s="207"/>
      <c r="M333" s="207"/>
      <c r="N333" s="207"/>
      <c r="O333" s="207"/>
      <c r="P333" s="207"/>
      <c r="Q333" s="207"/>
      <c r="R333" s="207"/>
      <c r="S333" s="207"/>
      <c r="T333" s="207"/>
      <c r="U333" s="207"/>
      <c r="V333" s="207"/>
      <c r="W333" s="208"/>
      <c r="X333" s="208"/>
      <c r="Y333" s="208"/>
      <c r="Z333" s="208"/>
      <c r="AA333" s="208"/>
      <c r="AB333" s="208"/>
      <c r="AC333" s="208"/>
      <c r="AD333" s="208"/>
      <c r="AE333" s="208"/>
      <c r="AF333" s="208"/>
      <c r="AG333" s="208"/>
      <c r="AH333" s="208"/>
      <c r="AI333" s="100"/>
      <c r="AJ333" s="319"/>
      <c r="AK333" s="319"/>
      <c r="AL333" s="319"/>
      <c r="AM333" s="319"/>
      <c r="AN333" s="319"/>
      <c r="AO333" s="319"/>
      <c r="AP333" s="319"/>
      <c r="AQ333" s="319"/>
      <c r="AR333" s="319"/>
      <c r="AS333" s="319"/>
      <c r="AT333" s="319"/>
      <c r="AU333" s="319"/>
      <c r="AV333" s="319"/>
      <c r="AW333" s="319"/>
      <c r="AX333" s="319"/>
      <c r="AY333" s="319"/>
      <c r="AZ333" s="319"/>
      <c r="BA333" s="319"/>
      <c r="BB333" s="319"/>
      <c r="BC333" s="319"/>
      <c r="BD333" s="319"/>
      <c r="BE333" s="319"/>
      <c r="BF333" s="319"/>
      <c r="BG333" s="319"/>
      <c r="BH333" s="319"/>
      <c r="BI333" s="319"/>
      <c r="BJ333" s="319"/>
      <c r="BK333" s="319"/>
      <c r="BL333" s="319"/>
      <c r="BM333" s="319"/>
      <c r="BN333" s="319"/>
      <c r="BO333" s="319"/>
      <c r="BP333" s="319"/>
      <c r="BQ333" s="319"/>
      <c r="BR333" s="319"/>
    </row>
    <row r="334" ht="14.25" customHeight="1">
      <c r="A334" s="195"/>
      <c r="B334" s="100"/>
      <c r="C334" s="100"/>
      <c r="D334" s="100"/>
      <c r="E334" s="100"/>
      <c r="F334" s="206"/>
      <c r="G334" s="206"/>
      <c r="H334" s="207"/>
      <c r="I334" s="207"/>
      <c r="J334" s="207"/>
      <c r="K334" s="207"/>
      <c r="L334" s="207"/>
      <c r="M334" s="207"/>
      <c r="N334" s="207"/>
      <c r="O334" s="207"/>
      <c r="P334" s="207"/>
      <c r="Q334" s="207"/>
      <c r="R334" s="207"/>
      <c r="S334" s="207"/>
      <c r="T334" s="207"/>
      <c r="U334" s="207"/>
      <c r="V334" s="207"/>
      <c r="W334" s="208"/>
      <c r="X334" s="208"/>
      <c r="Y334" s="208"/>
      <c r="Z334" s="208"/>
      <c r="AA334" s="208"/>
      <c r="AB334" s="208"/>
      <c r="AC334" s="208"/>
      <c r="AD334" s="208"/>
      <c r="AE334" s="208"/>
      <c r="AF334" s="208"/>
      <c r="AG334" s="208"/>
      <c r="AH334" s="208"/>
      <c r="AI334" s="100"/>
      <c r="AJ334" s="319"/>
      <c r="AK334" s="319"/>
      <c r="AL334" s="319"/>
      <c r="AM334" s="319"/>
      <c r="AN334" s="319"/>
      <c r="AO334" s="319"/>
      <c r="AP334" s="319"/>
      <c r="AQ334" s="319"/>
      <c r="AR334" s="319"/>
      <c r="AS334" s="319"/>
      <c r="AT334" s="319"/>
      <c r="AU334" s="319"/>
      <c r="AV334" s="319"/>
      <c r="AW334" s="319"/>
      <c r="AX334" s="319"/>
      <c r="AY334" s="319"/>
      <c r="AZ334" s="319"/>
      <c r="BA334" s="319"/>
      <c r="BB334" s="319"/>
      <c r="BC334" s="319"/>
      <c r="BD334" s="319"/>
      <c r="BE334" s="319"/>
      <c r="BF334" s="319"/>
      <c r="BG334" s="319"/>
      <c r="BH334" s="319"/>
      <c r="BI334" s="319"/>
      <c r="BJ334" s="319"/>
      <c r="BK334" s="319"/>
      <c r="BL334" s="319"/>
      <c r="BM334" s="319"/>
      <c r="BN334" s="319"/>
      <c r="BO334" s="319"/>
      <c r="BP334" s="319"/>
      <c r="BQ334" s="319"/>
      <c r="BR334" s="319"/>
    </row>
    <row r="335" ht="14.25" customHeight="1">
      <c r="A335" s="195"/>
      <c r="B335" s="100"/>
      <c r="C335" s="100"/>
      <c r="D335" s="100"/>
      <c r="E335" s="100"/>
      <c r="F335" s="206"/>
      <c r="G335" s="206"/>
      <c r="H335" s="207"/>
      <c r="I335" s="207"/>
      <c r="J335" s="207"/>
      <c r="K335" s="207"/>
      <c r="L335" s="207"/>
      <c r="M335" s="207"/>
      <c r="N335" s="207"/>
      <c r="O335" s="207"/>
      <c r="P335" s="207"/>
      <c r="Q335" s="207"/>
      <c r="R335" s="207"/>
      <c r="S335" s="207"/>
      <c r="T335" s="207"/>
      <c r="U335" s="207"/>
      <c r="V335" s="207"/>
      <c r="W335" s="208"/>
      <c r="X335" s="208"/>
      <c r="Y335" s="208"/>
      <c r="Z335" s="208"/>
      <c r="AA335" s="208"/>
      <c r="AB335" s="208"/>
      <c r="AC335" s="208"/>
      <c r="AD335" s="208"/>
      <c r="AE335" s="208"/>
      <c r="AF335" s="208"/>
      <c r="AG335" s="208"/>
      <c r="AH335" s="208"/>
      <c r="AI335" s="100"/>
      <c r="AJ335" s="319"/>
      <c r="AK335" s="319"/>
      <c r="AL335" s="319"/>
      <c r="AM335" s="319"/>
      <c r="AN335" s="319"/>
      <c r="AO335" s="319"/>
      <c r="AP335" s="319"/>
      <c r="AQ335" s="319"/>
      <c r="AR335" s="319"/>
      <c r="AS335" s="319"/>
      <c r="AT335" s="319"/>
      <c r="AU335" s="319"/>
      <c r="AV335" s="319"/>
      <c r="AW335" s="319"/>
      <c r="AX335" s="319"/>
      <c r="AY335" s="319"/>
      <c r="AZ335" s="319"/>
      <c r="BA335" s="319"/>
      <c r="BB335" s="319"/>
      <c r="BC335" s="319"/>
      <c r="BD335" s="319"/>
      <c r="BE335" s="319"/>
      <c r="BF335" s="319"/>
      <c r="BG335" s="319"/>
      <c r="BH335" s="319"/>
      <c r="BI335" s="319"/>
      <c r="BJ335" s="319"/>
      <c r="BK335" s="319"/>
      <c r="BL335" s="319"/>
      <c r="BM335" s="319"/>
      <c r="BN335" s="319"/>
      <c r="BO335" s="319"/>
      <c r="BP335" s="319"/>
      <c r="BQ335" s="319"/>
      <c r="BR335" s="319"/>
    </row>
    <row r="336" ht="14.25" customHeight="1">
      <c r="A336" s="195"/>
      <c r="B336" s="100"/>
      <c r="C336" s="100"/>
      <c r="D336" s="100"/>
      <c r="E336" s="100"/>
      <c r="F336" s="206"/>
      <c r="G336" s="206"/>
      <c r="H336" s="207"/>
      <c r="I336" s="207"/>
      <c r="J336" s="207"/>
      <c r="K336" s="207"/>
      <c r="L336" s="207"/>
      <c r="M336" s="207"/>
      <c r="N336" s="207"/>
      <c r="O336" s="207"/>
      <c r="P336" s="207"/>
      <c r="Q336" s="207"/>
      <c r="R336" s="207"/>
      <c r="S336" s="207"/>
      <c r="T336" s="207"/>
      <c r="U336" s="207"/>
      <c r="V336" s="207"/>
      <c r="W336" s="208"/>
      <c r="X336" s="208"/>
      <c r="Y336" s="208"/>
      <c r="Z336" s="208"/>
      <c r="AA336" s="208"/>
      <c r="AB336" s="208"/>
      <c r="AC336" s="208"/>
      <c r="AD336" s="208"/>
      <c r="AE336" s="208"/>
      <c r="AF336" s="208"/>
      <c r="AG336" s="208"/>
      <c r="AH336" s="208"/>
      <c r="AI336" s="100"/>
      <c r="AJ336" s="319"/>
      <c r="AK336" s="319"/>
      <c r="AL336" s="319"/>
      <c r="AM336" s="319"/>
      <c r="AN336" s="319"/>
      <c r="AO336" s="319"/>
      <c r="AP336" s="319"/>
      <c r="AQ336" s="319"/>
      <c r="AR336" s="319"/>
      <c r="AS336" s="319"/>
      <c r="AT336" s="319"/>
      <c r="AU336" s="319"/>
      <c r="AV336" s="319"/>
      <c r="AW336" s="319"/>
      <c r="AX336" s="319"/>
      <c r="AY336" s="319"/>
      <c r="AZ336" s="319"/>
      <c r="BA336" s="319"/>
      <c r="BB336" s="319"/>
      <c r="BC336" s="319"/>
      <c r="BD336" s="319"/>
      <c r="BE336" s="319"/>
      <c r="BF336" s="319"/>
      <c r="BG336" s="319"/>
      <c r="BH336" s="319"/>
      <c r="BI336" s="319"/>
      <c r="BJ336" s="319"/>
      <c r="BK336" s="319"/>
      <c r="BL336" s="319"/>
      <c r="BM336" s="319"/>
      <c r="BN336" s="319"/>
      <c r="BO336" s="319"/>
      <c r="BP336" s="319"/>
      <c r="BQ336" s="319"/>
      <c r="BR336" s="319"/>
    </row>
    <row r="337" ht="14.25" customHeight="1">
      <c r="A337" s="195"/>
      <c r="B337" s="100"/>
      <c r="C337" s="100"/>
      <c r="D337" s="100"/>
      <c r="E337" s="100"/>
      <c r="F337" s="206"/>
      <c r="G337" s="206"/>
      <c r="H337" s="207"/>
      <c r="I337" s="207"/>
      <c r="J337" s="207"/>
      <c r="K337" s="207"/>
      <c r="L337" s="207"/>
      <c r="M337" s="207"/>
      <c r="N337" s="207"/>
      <c r="O337" s="207"/>
      <c r="P337" s="207"/>
      <c r="Q337" s="207"/>
      <c r="R337" s="207"/>
      <c r="S337" s="207"/>
      <c r="T337" s="207"/>
      <c r="U337" s="207"/>
      <c r="V337" s="207"/>
      <c r="W337" s="208"/>
      <c r="X337" s="208"/>
      <c r="Y337" s="208"/>
      <c r="Z337" s="208"/>
      <c r="AA337" s="208"/>
      <c r="AB337" s="208"/>
      <c r="AC337" s="208"/>
      <c r="AD337" s="208"/>
      <c r="AE337" s="208"/>
      <c r="AF337" s="208"/>
      <c r="AG337" s="208"/>
      <c r="AH337" s="208"/>
      <c r="AI337" s="100"/>
      <c r="AJ337" s="319"/>
      <c r="AK337" s="319"/>
      <c r="AL337" s="319"/>
      <c r="AM337" s="319"/>
      <c r="AN337" s="319"/>
      <c r="AO337" s="319"/>
      <c r="AP337" s="319"/>
      <c r="AQ337" s="319"/>
      <c r="AR337" s="319"/>
      <c r="AS337" s="319"/>
      <c r="AT337" s="319"/>
      <c r="AU337" s="319"/>
      <c r="AV337" s="319"/>
      <c r="AW337" s="319"/>
      <c r="AX337" s="319"/>
      <c r="AY337" s="319"/>
      <c r="AZ337" s="319"/>
      <c r="BA337" s="319"/>
      <c r="BB337" s="319"/>
      <c r="BC337" s="319"/>
      <c r="BD337" s="319"/>
      <c r="BE337" s="319"/>
      <c r="BF337" s="319"/>
      <c r="BG337" s="319"/>
      <c r="BH337" s="319"/>
      <c r="BI337" s="319"/>
      <c r="BJ337" s="319"/>
      <c r="BK337" s="319"/>
      <c r="BL337" s="319"/>
      <c r="BM337" s="319"/>
      <c r="BN337" s="319"/>
      <c r="BO337" s="319"/>
      <c r="BP337" s="319"/>
      <c r="BQ337" s="319"/>
      <c r="BR337" s="319"/>
    </row>
    <row r="338" ht="14.25" customHeight="1">
      <c r="A338" s="195"/>
      <c r="B338" s="100"/>
      <c r="C338" s="100"/>
      <c r="D338" s="100"/>
      <c r="E338" s="100"/>
      <c r="F338" s="206"/>
      <c r="G338" s="206"/>
      <c r="H338" s="207"/>
      <c r="I338" s="207"/>
      <c r="J338" s="207"/>
      <c r="K338" s="207"/>
      <c r="L338" s="207"/>
      <c r="M338" s="207"/>
      <c r="N338" s="207"/>
      <c r="O338" s="207"/>
      <c r="P338" s="207"/>
      <c r="Q338" s="207"/>
      <c r="R338" s="207"/>
      <c r="S338" s="207"/>
      <c r="T338" s="207"/>
      <c r="U338" s="207"/>
      <c r="V338" s="207"/>
      <c r="W338" s="208"/>
      <c r="X338" s="208"/>
      <c r="Y338" s="208"/>
      <c r="Z338" s="208"/>
      <c r="AA338" s="208"/>
      <c r="AB338" s="208"/>
      <c r="AC338" s="208"/>
      <c r="AD338" s="208"/>
      <c r="AE338" s="208"/>
      <c r="AF338" s="208"/>
      <c r="AG338" s="208"/>
      <c r="AH338" s="208"/>
      <c r="AI338" s="100"/>
      <c r="AJ338" s="319"/>
      <c r="AK338" s="319"/>
      <c r="AL338" s="319"/>
      <c r="AM338" s="319"/>
      <c r="AN338" s="319"/>
      <c r="AO338" s="319"/>
      <c r="AP338" s="319"/>
      <c r="AQ338" s="319"/>
      <c r="AR338" s="319"/>
      <c r="AS338" s="319"/>
      <c r="AT338" s="319"/>
      <c r="AU338" s="319"/>
      <c r="AV338" s="319"/>
      <c r="AW338" s="319"/>
      <c r="AX338" s="319"/>
      <c r="AY338" s="319"/>
      <c r="AZ338" s="319"/>
      <c r="BA338" s="319"/>
      <c r="BB338" s="319"/>
      <c r="BC338" s="319"/>
      <c r="BD338" s="319"/>
      <c r="BE338" s="319"/>
      <c r="BF338" s="319"/>
      <c r="BG338" s="319"/>
      <c r="BH338" s="319"/>
      <c r="BI338" s="319"/>
      <c r="BJ338" s="319"/>
      <c r="BK338" s="319"/>
      <c r="BL338" s="319"/>
      <c r="BM338" s="319"/>
      <c r="BN338" s="319"/>
      <c r="BO338" s="319"/>
      <c r="BP338" s="319"/>
      <c r="BQ338" s="319"/>
      <c r="BR338" s="319"/>
    </row>
    <row r="339" ht="14.25" customHeight="1">
      <c r="A339" s="195"/>
      <c r="B339" s="100"/>
      <c r="C339" s="100"/>
      <c r="D339" s="100"/>
      <c r="E339" s="100"/>
      <c r="F339" s="206"/>
      <c r="G339" s="206"/>
      <c r="H339" s="207"/>
      <c r="I339" s="207"/>
      <c r="J339" s="207"/>
      <c r="K339" s="207"/>
      <c r="L339" s="207"/>
      <c r="M339" s="207"/>
      <c r="N339" s="207"/>
      <c r="O339" s="207"/>
      <c r="P339" s="207"/>
      <c r="Q339" s="207"/>
      <c r="R339" s="207"/>
      <c r="S339" s="207"/>
      <c r="T339" s="207"/>
      <c r="U339" s="207"/>
      <c r="V339" s="207"/>
      <c r="W339" s="208"/>
      <c r="X339" s="208"/>
      <c r="Y339" s="208"/>
      <c r="Z339" s="208"/>
      <c r="AA339" s="208"/>
      <c r="AB339" s="208"/>
      <c r="AC339" s="208"/>
      <c r="AD339" s="208"/>
      <c r="AE339" s="208"/>
      <c r="AF339" s="208"/>
      <c r="AG339" s="208"/>
      <c r="AH339" s="208"/>
      <c r="AI339" s="100"/>
      <c r="AJ339" s="319"/>
      <c r="AK339" s="319"/>
      <c r="AL339" s="319"/>
      <c r="AM339" s="319"/>
      <c r="AN339" s="319"/>
      <c r="AO339" s="319"/>
      <c r="AP339" s="319"/>
      <c r="AQ339" s="319"/>
      <c r="AR339" s="319"/>
      <c r="AS339" s="319"/>
      <c r="AT339" s="319"/>
      <c r="AU339" s="319"/>
      <c r="AV339" s="319"/>
      <c r="AW339" s="319"/>
      <c r="AX339" s="319"/>
      <c r="AY339" s="319"/>
      <c r="AZ339" s="319"/>
      <c r="BA339" s="319"/>
      <c r="BB339" s="319"/>
      <c r="BC339" s="319"/>
      <c r="BD339" s="319"/>
      <c r="BE339" s="319"/>
      <c r="BF339" s="319"/>
      <c r="BG339" s="319"/>
      <c r="BH339" s="319"/>
      <c r="BI339" s="319"/>
      <c r="BJ339" s="319"/>
      <c r="BK339" s="319"/>
      <c r="BL339" s="319"/>
      <c r="BM339" s="319"/>
      <c r="BN339" s="319"/>
      <c r="BO339" s="319"/>
      <c r="BP339" s="319"/>
      <c r="BQ339" s="319"/>
      <c r="BR339" s="319"/>
    </row>
    <row r="340" ht="14.25" customHeight="1">
      <c r="A340" s="195"/>
      <c r="B340" s="100"/>
      <c r="C340" s="100"/>
      <c r="D340" s="100"/>
      <c r="E340" s="100"/>
      <c r="F340" s="206"/>
      <c r="G340" s="206"/>
      <c r="H340" s="207"/>
      <c r="I340" s="207"/>
      <c r="J340" s="207"/>
      <c r="K340" s="207"/>
      <c r="L340" s="207"/>
      <c r="M340" s="207"/>
      <c r="N340" s="207"/>
      <c r="O340" s="207"/>
      <c r="P340" s="207"/>
      <c r="Q340" s="207"/>
      <c r="R340" s="207"/>
      <c r="S340" s="207"/>
      <c r="T340" s="207"/>
      <c r="U340" s="207"/>
      <c r="V340" s="207"/>
      <c r="W340" s="208"/>
      <c r="X340" s="208"/>
      <c r="Y340" s="208"/>
      <c r="Z340" s="208"/>
      <c r="AA340" s="208"/>
      <c r="AB340" s="208"/>
      <c r="AC340" s="208"/>
      <c r="AD340" s="208"/>
      <c r="AE340" s="208"/>
      <c r="AF340" s="208"/>
      <c r="AG340" s="208"/>
      <c r="AH340" s="208"/>
      <c r="AI340" s="100"/>
      <c r="AJ340" s="319"/>
      <c r="AK340" s="319"/>
      <c r="AL340" s="319"/>
      <c r="AM340" s="319"/>
      <c r="AN340" s="319"/>
      <c r="AO340" s="319"/>
      <c r="AP340" s="319"/>
      <c r="AQ340" s="319"/>
      <c r="AR340" s="319"/>
      <c r="AS340" s="319"/>
      <c r="AT340" s="319"/>
      <c r="AU340" s="319"/>
      <c r="AV340" s="319"/>
      <c r="AW340" s="319"/>
      <c r="AX340" s="319"/>
      <c r="AY340" s="319"/>
      <c r="AZ340" s="319"/>
      <c r="BA340" s="319"/>
      <c r="BB340" s="319"/>
      <c r="BC340" s="319"/>
      <c r="BD340" s="319"/>
      <c r="BE340" s="319"/>
      <c r="BF340" s="319"/>
      <c r="BG340" s="319"/>
      <c r="BH340" s="319"/>
      <c r="BI340" s="319"/>
      <c r="BJ340" s="319"/>
      <c r="BK340" s="319"/>
      <c r="BL340" s="319"/>
      <c r="BM340" s="319"/>
      <c r="BN340" s="319"/>
      <c r="BO340" s="319"/>
      <c r="BP340" s="319"/>
      <c r="BQ340" s="319"/>
      <c r="BR340" s="319"/>
    </row>
    <row r="341" ht="14.25" customHeight="1">
      <c r="A341" s="195"/>
      <c r="B341" s="100"/>
      <c r="C341" s="100"/>
      <c r="D341" s="100"/>
      <c r="E341" s="100"/>
      <c r="F341" s="206"/>
      <c r="G341" s="206"/>
      <c r="H341" s="207"/>
      <c r="I341" s="207"/>
      <c r="J341" s="207"/>
      <c r="K341" s="207"/>
      <c r="L341" s="207"/>
      <c r="M341" s="207"/>
      <c r="N341" s="207"/>
      <c r="O341" s="207"/>
      <c r="P341" s="207"/>
      <c r="Q341" s="207"/>
      <c r="R341" s="207"/>
      <c r="S341" s="207"/>
      <c r="T341" s="207"/>
      <c r="U341" s="207"/>
      <c r="V341" s="207"/>
      <c r="W341" s="208"/>
      <c r="X341" s="208"/>
      <c r="Y341" s="208"/>
      <c r="Z341" s="208"/>
      <c r="AA341" s="208"/>
      <c r="AB341" s="208"/>
      <c r="AC341" s="208"/>
      <c r="AD341" s="208"/>
      <c r="AE341" s="208"/>
      <c r="AF341" s="208"/>
      <c r="AG341" s="208"/>
      <c r="AH341" s="208"/>
      <c r="AI341" s="100"/>
      <c r="AJ341" s="319"/>
      <c r="AK341" s="319"/>
      <c r="AL341" s="319"/>
      <c r="AM341" s="319"/>
      <c r="AN341" s="319"/>
      <c r="AO341" s="319"/>
      <c r="AP341" s="319"/>
      <c r="AQ341" s="319"/>
      <c r="AR341" s="319"/>
      <c r="AS341" s="319"/>
      <c r="AT341" s="319"/>
      <c r="AU341" s="319"/>
      <c r="AV341" s="319"/>
      <c r="AW341" s="319"/>
      <c r="AX341" s="319"/>
      <c r="AY341" s="319"/>
      <c r="AZ341" s="319"/>
      <c r="BA341" s="319"/>
      <c r="BB341" s="319"/>
      <c r="BC341" s="319"/>
      <c r="BD341" s="319"/>
      <c r="BE341" s="319"/>
      <c r="BF341" s="319"/>
      <c r="BG341" s="319"/>
      <c r="BH341" s="319"/>
      <c r="BI341" s="319"/>
      <c r="BJ341" s="319"/>
      <c r="BK341" s="319"/>
      <c r="BL341" s="319"/>
      <c r="BM341" s="319"/>
      <c r="BN341" s="319"/>
      <c r="BO341" s="319"/>
      <c r="BP341" s="319"/>
      <c r="BQ341" s="319"/>
      <c r="BR341" s="319"/>
    </row>
    <row r="342" ht="14.25" customHeight="1">
      <c r="A342" s="195"/>
      <c r="B342" s="100"/>
      <c r="C342" s="100"/>
      <c r="D342" s="100"/>
      <c r="E342" s="100"/>
      <c r="F342" s="206"/>
      <c r="G342" s="206"/>
      <c r="H342" s="207"/>
      <c r="I342" s="207"/>
      <c r="J342" s="207"/>
      <c r="K342" s="207"/>
      <c r="L342" s="207"/>
      <c r="M342" s="207"/>
      <c r="N342" s="207"/>
      <c r="O342" s="207"/>
      <c r="P342" s="207"/>
      <c r="Q342" s="207"/>
      <c r="R342" s="207"/>
      <c r="S342" s="207"/>
      <c r="T342" s="207"/>
      <c r="U342" s="207"/>
      <c r="V342" s="207"/>
      <c r="W342" s="208"/>
      <c r="X342" s="208"/>
      <c r="Y342" s="208"/>
      <c r="Z342" s="208"/>
      <c r="AA342" s="208"/>
      <c r="AB342" s="208"/>
      <c r="AC342" s="208"/>
      <c r="AD342" s="208"/>
      <c r="AE342" s="208"/>
      <c r="AF342" s="208"/>
      <c r="AG342" s="208"/>
      <c r="AH342" s="208"/>
      <c r="AI342" s="100"/>
      <c r="AJ342" s="319"/>
      <c r="AK342" s="319"/>
      <c r="AL342" s="319"/>
      <c r="AM342" s="319"/>
      <c r="AN342" s="319"/>
      <c r="AO342" s="319"/>
      <c r="AP342" s="319"/>
      <c r="AQ342" s="319"/>
      <c r="AR342" s="319"/>
      <c r="AS342" s="319"/>
      <c r="AT342" s="319"/>
      <c r="AU342" s="319"/>
      <c r="AV342" s="319"/>
      <c r="AW342" s="319"/>
      <c r="AX342" s="319"/>
      <c r="AY342" s="319"/>
      <c r="AZ342" s="319"/>
      <c r="BA342" s="319"/>
      <c r="BB342" s="319"/>
      <c r="BC342" s="319"/>
      <c r="BD342" s="319"/>
      <c r="BE342" s="319"/>
      <c r="BF342" s="319"/>
      <c r="BG342" s="319"/>
      <c r="BH342" s="319"/>
      <c r="BI342" s="319"/>
      <c r="BJ342" s="319"/>
      <c r="BK342" s="319"/>
      <c r="BL342" s="319"/>
      <c r="BM342" s="319"/>
      <c r="BN342" s="319"/>
      <c r="BO342" s="319"/>
      <c r="BP342" s="319"/>
      <c r="BQ342" s="319"/>
      <c r="BR342" s="319"/>
    </row>
    <row r="343" ht="14.25" customHeight="1">
      <c r="A343" s="195"/>
      <c r="B343" s="100"/>
      <c r="C343" s="100"/>
      <c r="D343" s="100"/>
      <c r="E343" s="100"/>
      <c r="F343" s="206"/>
      <c r="G343" s="206"/>
      <c r="H343" s="207"/>
      <c r="I343" s="207"/>
      <c r="J343" s="207"/>
      <c r="K343" s="207"/>
      <c r="L343" s="207"/>
      <c r="M343" s="207"/>
      <c r="N343" s="207"/>
      <c r="O343" s="207"/>
      <c r="P343" s="207"/>
      <c r="Q343" s="207"/>
      <c r="R343" s="207"/>
      <c r="S343" s="207"/>
      <c r="T343" s="207"/>
      <c r="U343" s="207"/>
      <c r="V343" s="207"/>
      <c r="W343" s="208"/>
      <c r="X343" s="208"/>
      <c r="Y343" s="208"/>
      <c r="Z343" s="208"/>
      <c r="AA343" s="208"/>
      <c r="AB343" s="208"/>
      <c r="AC343" s="208"/>
      <c r="AD343" s="208"/>
      <c r="AE343" s="208"/>
      <c r="AF343" s="208"/>
      <c r="AG343" s="208"/>
      <c r="AH343" s="208"/>
      <c r="AI343" s="100"/>
      <c r="AJ343" s="319"/>
      <c r="AK343" s="319"/>
      <c r="AL343" s="319"/>
      <c r="AM343" s="319"/>
      <c r="AN343" s="319"/>
      <c r="AO343" s="319"/>
      <c r="AP343" s="319"/>
      <c r="AQ343" s="319"/>
      <c r="AR343" s="319"/>
      <c r="AS343" s="319"/>
      <c r="AT343" s="319"/>
      <c r="AU343" s="319"/>
      <c r="AV343" s="319"/>
      <c r="AW343" s="319"/>
      <c r="AX343" s="319"/>
      <c r="AY343" s="319"/>
      <c r="AZ343" s="319"/>
      <c r="BA343" s="319"/>
      <c r="BB343" s="319"/>
      <c r="BC343" s="319"/>
      <c r="BD343" s="319"/>
      <c r="BE343" s="319"/>
      <c r="BF343" s="319"/>
      <c r="BG343" s="319"/>
      <c r="BH343" s="319"/>
      <c r="BI343" s="319"/>
      <c r="BJ343" s="319"/>
      <c r="BK343" s="319"/>
      <c r="BL343" s="319"/>
      <c r="BM343" s="319"/>
      <c r="BN343" s="319"/>
      <c r="BO343" s="319"/>
      <c r="BP343" s="319"/>
      <c r="BQ343" s="319"/>
      <c r="BR343" s="319"/>
    </row>
    <row r="344" ht="14.25" customHeight="1">
      <c r="A344" s="195"/>
      <c r="B344" s="100"/>
      <c r="C344" s="100"/>
      <c r="D344" s="100"/>
      <c r="E344" s="100"/>
      <c r="F344" s="206"/>
      <c r="G344" s="206"/>
      <c r="H344" s="207"/>
      <c r="I344" s="207"/>
      <c r="J344" s="207"/>
      <c r="K344" s="207"/>
      <c r="L344" s="207"/>
      <c r="M344" s="207"/>
      <c r="N344" s="207"/>
      <c r="O344" s="207"/>
      <c r="P344" s="207"/>
      <c r="Q344" s="207"/>
      <c r="R344" s="207"/>
      <c r="S344" s="207"/>
      <c r="T344" s="207"/>
      <c r="U344" s="207"/>
      <c r="V344" s="207"/>
      <c r="W344" s="208"/>
      <c r="X344" s="208"/>
      <c r="Y344" s="208"/>
      <c r="Z344" s="208"/>
      <c r="AA344" s="208"/>
      <c r="AB344" s="208"/>
      <c r="AC344" s="208"/>
      <c r="AD344" s="208"/>
      <c r="AE344" s="208"/>
      <c r="AF344" s="208"/>
      <c r="AG344" s="208"/>
      <c r="AH344" s="208"/>
      <c r="AI344" s="100"/>
      <c r="AJ344" s="319"/>
      <c r="AK344" s="319"/>
      <c r="AL344" s="319"/>
      <c r="AM344" s="319"/>
      <c r="AN344" s="319"/>
      <c r="AO344" s="319"/>
      <c r="AP344" s="319"/>
      <c r="AQ344" s="319"/>
      <c r="AR344" s="319"/>
      <c r="AS344" s="319"/>
      <c r="AT344" s="319"/>
      <c r="AU344" s="319"/>
      <c r="AV344" s="319"/>
      <c r="AW344" s="319"/>
      <c r="AX344" s="319"/>
      <c r="AY344" s="319"/>
      <c r="AZ344" s="319"/>
      <c r="BA344" s="319"/>
      <c r="BB344" s="319"/>
      <c r="BC344" s="319"/>
      <c r="BD344" s="319"/>
      <c r="BE344" s="319"/>
      <c r="BF344" s="319"/>
      <c r="BG344" s="319"/>
      <c r="BH344" s="319"/>
      <c r="BI344" s="319"/>
      <c r="BJ344" s="319"/>
      <c r="BK344" s="319"/>
      <c r="BL344" s="319"/>
      <c r="BM344" s="319"/>
      <c r="BN344" s="319"/>
      <c r="BO344" s="319"/>
      <c r="BP344" s="319"/>
      <c r="BQ344" s="319"/>
      <c r="BR344" s="319"/>
    </row>
    <row r="345" ht="14.25" customHeight="1">
      <c r="A345" s="195"/>
      <c r="B345" s="100"/>
      <c r="C345" s="100"/>
      <c r="D345" s="100"/>
      <c r="E345" s="100"/>
      <c r="F345" s="206"/>
      <c r="G345" s="206"/>
      <c r="H345" s="207"/>
      <c r="I345" s="207"/>
      <c r="J345" s="207"/>
      <c r="K345" s="207"/>
      <c r="L345" s="207"/>
      <c r="M345" s="207"/>
      <c r="N345" s="207"/>
      <c r="O345" s="207"/>
      <c r="P345" s="207"/>
      <c r="Q345" s="207"/>
      <c r="R345" s="207"/>
      <c r="S345" s="207"/>
      <c r="T345" s="207"/>
      <c r="U345" s="207"/>
      <c r="V345" s="207"/>
      <c r="W345" s="208"/>
      <c r="X345" s="208"/>
      <c r="Y345" s="208"/>
      <c r="Z345" s="208"/>
      <c r="AA345" s="208"/>
      <c r="AB345" s="208"/>
      <c r="AC345" s="208"/>
      <c r="AD345" s="208"/>
      <c r="AE345" s="208"/>
      <c r="AF345" s="208"/>
      <c r="AG345" s="208"/>
      <c r="AH345" s="208"/>
      <c r="AI345" s="100"/>
      <c r="AJ345" s="319"/>
      <c r="AK345" s="319"/>
      <c r="AL345" s="319"/>
      <c r="AM345" s="319"/>
      <c r="AN345" s="319"/>
      <c r="AO345" s="319"/>
      <c r="AP345" s="319"/>
      <c r="AQ345" s="319"/>
      <c r="AR345" s="319"/>
      <c r="AS345" s="319"/>
      <c r="AT345" s="319"/>
      <c r="AU345" s="319"/>
      <c r="AV345" s="319"/>
      <c r="AW345" s="319"/>
      <c r="AX345" s="319"/>
      <c r="AY345" s="319"/>
      <c r="AZ345" s="319"/>
      <c r="BA345" s="319"/>
      <c r="BB345" s="319"/>
      <c r="BC345" s="319"/>
      <c r="BD345" s="319"/>
      <c r="BE345" s="319"/>
      <c r="BF345" s="319"/>
      <c r="BG345" s="319"/>
      <c r="BH345" s="319"/>
      <c r="BI345" s="319"/>
      <c r="BJ345" s="319"/>
      <c r="BK345" s="319"/>
      <c r="BL345" s="319"/>
      <c r="BM345" s="319"/>
      <c r="BN345" s="319"/>
      <c r="BO345" s="319"/>
      <c r="BP345" s="319"/>
      <c r="BQ345" s="319"/>
      <c r="BR345" s="319"/>
    </row>
    <row r="346" ht="14.25" customHeight="1">
      <c r="A346" s="195"/>
      <c r="B346" s="100"/>
      <c r="C346" s="100"/>
      <c r="D346" s="100"/>
      <c r="E346" s="100"/>
      <c r="F346" s="206"/>
      <c r="G346" s="206"/>
      <c r="H346" s="207"/>
      <c r="I346" s="207"/>
      <c r="J346" s="207"/>
      <c r="K346" s="207"/>
      <c r="L346" s="207"/>
      <c r="M346" s="207"/>
      <c r="N346" s="207"/>
      <c r="O346" s="207"/>
      <c r="P346" s="207"/>
      <c r="Q346" s="207"/>
      <c r="R346" s="207"/>
      <c r="S346" s="207"/>
      <c r="T346" s="207"/>
      <c r="U346" s="207"/>
      <c r="V346" s="207"/>
      <c r="W346" s="208"/>
      <c r="X346" s="208"/>
      <c r="Y346" s="208"/>
      <c r="Z346" s="208"/>
      <c r="AA346" s="208"/>
      <c r="AB346" s="208"/>
      <c r="AC346" s="208"/>
      <c r="AD346" s="208"/>
      <c r="AE346" s="208"/>
      <c r="AF346" s="208"/>
      <c r="AG346" s="208"/>
      <c r="AH346" s="208"/>
      <c r="AI346" s="100"/>
      <c r="AJ346" s="319"/>
      <c r="AK346" s="319"/>
      <c r="AL346" s="319"/>
      <c r="AM346" s="319"/>
      <c r="AN346" s="319"/>
      <c r="AO346" s="319"/>
      <c r="AP346" s="319"/>
      <c r="AQ346" s="319"/>
      <c r="AR346" s="319"/>
      <c r="AS346" s="319"/>
      <c r="AT346" s="319"/>
      <c r="AU346" s="319"/>
      <c r="AV346" s="319"/>
      <c r="AW346" s="319"/>
      <c r="AX346" s="319"/>
      <c r="AY346" s="319"/>
      <c r="AZ346" s="319"/>
      <c r="BA346" s="319"/>
      <c r="BB346" s="319"/>
      <c r="BC346" s="319"/>
      <c r="BD346" s="319"/>
      <c r="BE346" s="319"/>
      <c r="BF346" s="319"/>
      <c r="BG346" s="319"/>
      <c r="BH346" s="319"/>
      <c r="BI346" s="319"/>
      <c r="BJ346" s="319"/>
      <c r="BK346" s="319"/>
      <c r="BL346" s="319"/>
      <c r="BM346" s="319"/>
      <c r="BN346" s="319"/>
      <c r="BO346" s="319"/>
      <c r="BP346" s="319"/>
      <c r="BQ346" s="319"/>
      <c r="BR346" s="319"/>
    </row>
    <row r="347" ht="14.25" customHeight="1">
      <c r="A347" s="195"/>
      <c r="B347" s="100"/>
      <c r="C347" s="100"/>
      <c r="D347" s="100"/>
      <c r="E347" s="100"/>
      <c r="F347" s="206"/>
      <c r="G347" s="206"/>
      <c r="H347" s="207"/>
      <c r="I347" s="207"/>
      <c r="J347" s="207"/>
      <c r="K347" s="207"/>
      <c r="L347" s="207"/>
      <c r="M347" s="207"/>
      <c r="N347" s="207"/>
      <c r="O347" s="207"/>
      <c r="P347" s="207"/>
      <c r="Q347" s="207"/>
      <c r="R347" s="207"/>
      <c r="S347" s="207"/>
      <c r="T347" s="207"/>
      <c r="U347" s="207"/>
      <c r="V347" s="207"/>
      <c r="W347" s="208"/>
      <c r="X347" s="208"/>
      <c r="Y347" s="208"/>
      <c r="Z347" s="208"/>
      <c r="AA347" s="208"/>
      <c r="AB347" s="208"/>
      <c r="AC347" s="208"/>
      <c r="AD347" s="208"/>
      <c r="AE347" s="208"/>
      <c r="AF347" s="208"/>
      <c r="AG347" s="208"/>
      <c r="AH347" s="208"/>
      <c r="AI347" s="100"/>
      <c r="AJ347" s="319"/>
      <c r="AK347" s="319"/>
      <c r="AL347" s="319"/>
      <c r="AM347" s="319"/>
      <c r="AN347" s="319"/>
      <c r="AO347" s="319"/>
      <c r="AP347" s="319"/>
      <c r="AQ347" s="319"/>
      <c r="AR347" s="319"/>
      <c r="AS347" s="319"/>
      <c r="AT347" s="319"/>
      <c r="AU347" s="319"/>
      <c r="AV347" s="319"/>
      <c r="AW347" s="319"/>
      <c r="AX347" s="319"/>
      <c r="AY347" s="319"/>
      <c r="AZ347" s="319"/>
      <c r="BA347" s="319"/>
      <c r="BB347" s="319"/>
      <c r="BC347" s="319"/>
      <c r="BD347" s="319"/>
      <c r="BE347" s="319"/>
      <c r="BF347" s="319"/>
      <c r="BG347" s="319"/>
      <c r="BH347" s="319"/>
      <c r="BI347" s="319"/>
      <c r="BJ347" s="319"/>
      <c r="BK347" s="319"/>
      <c r="BL347" s="319"/>
      <c r="BM347" s="319"/>
      <c r="BN347" s="319"/>
      <c r="BO347" s="319"/>
      <c r="BP347" s="319"/>
      <c r="BQ347" s="319"/>
      <c r="BR347" s="319"/>
    </row>
    <row r="348" ht="14.25" customHeight="1">
      <c r="A348" s="195"/>
      <c r="B348" s="100"/>
      <c r="C348" s="100"/>
      <c r="D348" s="100"/>
      <c r="E348" s="100"/>
      <c r="F348" s="206"/>
      <c r="G348" s="206"/>
      <c r="H348" s="207"/>
      <c r="I348" s="207"/>
      <c r="J348" s="207"/>
      <c r="K348" s="207"/>
      <c r="L348" s="207"/>
      <c r="M348" s="207"/>
      <c r="N348" s="207"/>
      <c r="O348" s="207"/>
      <c r="P348" s="207"/>
      <c r="Q348" s="207"/>
      <c r="R348" s="207"/>
      <c r="S348" s="207"/>
      <c r="T348" s="207"/>
      <c r="U348" s="207"/>
      <c r="V348" s="207"/>
      <c r="W348" s="208"/>
      <c r="X348" s="208"/>
      <c r="Y348" s="208"/>
      <c r="Z348" s="208"/>
      <c r="AA348" s="208"/>
      <c r="AB348" s="208"/>
      <c r="AC348" s="208"/>
      <c r="AD348" s="208"/>
      <c r="AE348" s="208"/>
      <c r="AF348" s="208"/>
      <c r="AG348" s="208"/>
      <c r="AH348" s="208"/>
      <c r="AI348" s="100"/>
      <c r="AJ348" s="319"/>
      <c r="AK348" s="319"/>
      <c r="AL348" s="319"/>
      <c r="AM348" s="319"/>
      <c r="AN348" s="319"/>
      <c r="AO348" s="319"/>
      <c r="AP348" s="319"/>
      <c r="AQ348" s="319"/>
      <c r="AR348" s="319"/>
      <c r="AS348" s="319"/>
      <c r="AT348" s="319"/>
      <c r="AU348" s="319"/>
      <c r="AV348" s="319"/>
      <c r="AW348" s="319"/>
      <c r="AX348" s="319"/>
      <c r="AY348" s="319"/>
      <c r="AZ348" s="319"/>
      <c r="BA348" s="319"/>
      <c r="BB348" s="319"/>
      <c r="BC348" s="319"/>
      <c r="BD348" s="319"/>
      <c r="BE348" s="319"/>
      <c r="BF348" s="319"/>
      <c r="BG348" s="319"/>
      <c r="BH348" s="319"/>
      <c r="BI348" s="319"/>
      <c r="BJ348" s="319"/>
      <c r="BK348" s="319"/>
      <c r="BL348" s="319"/>
      <c r="BM348" s="319"/>
      <c r="BN348" s="319"/>
      <c r="BO348" s="319"/>
      <c r="BP348" s="319"/>
      <c r="BQ348" s="319"/>
      <c r="BR348" s="319"/>
    </row>
    <row r="349" ht="14.25" customHeight="1">
      <c r="A349" s="195"/>
      <c r="B349" s="100"/>
      <c r="C349" s="100"/>
      <c r="D349" s="100"/>
      <c r="E349" s="100"/>
      <c r="F349" s="206"/>
      <c r="G349" s="206"/>
      <c r="H349" s="207"/>
      <c r="I349" s="207"/>
      <c r="J349" s="207"/>
      <c r="K349" s="207"/>
      <c r="L349" s="207"/>
      <c r="M349" s="207"/>
      <c r="N349" s="207"/>
      <c r="O349" s="207"/>
      <c r="P349" s="207"/>
      <c r="Q349" s="207"/>
      <c r="R349" s="207"/>
      <c r="S349" s="207"/>
      <c r="T349" s="207"/>
      <c r="U349" s="207"/>
      <c r="V349" s="207"/>
      <c r="W349" s="208"/>
      <c r="X349" s="208"/>
      <c r="Y349" s="208"/>
      <c r="Z349" s="208"/>
      <c r="AA349" s="208"/>
      <c r="AB349" s="208"/>
      <c r="AC349" s="208"/>
      <c r="AD349" s="208"/>
      <c r="AE349" s="208"/>
      <c r="AF349" s="208"/>
      <c r="AG349" s="208"/>
      <c r="AH349" s="208"/>
      <c r="AI349" s="100"/>
      <c r="AJ349" s="319"/>
      <c r="AK349" s="319"/>
      <c r="AL349" s="319"/>
      <c r="AM349" s="319"/>
      <c r="AN349" s="319"/>
      <c r="AO349" s="319"/>
      <c r="AP349" s="319"/>
      <c r="AQ349" s="319"/>
      <c r="AR349" s="319"/>
      <c r="AS349" s="319"/>
      <c r="AT349" s="319"/>
      <c r="AU349" s="319"/>
      <c r="AV349" s="319"/>
      <c r="AW349" s="319"/>
      <c r="AX349" s="319"/>
      <c r="AY349" s="319"/>
      <c r="AZ349" s="319"/>
      <c r="BA349" s="319"/>
      <c r="BB349" s="319"/>
      <c r="BC349" s="319"/>
      <c r="BD349" s="319"/>
      <c r="BE349" s="319"/>
      <c r="BF349" s="319"/>
      <c r="BG349" s="319"/>
      <c r="BH349" s="319"/>
      <c r="BI349" s="319"/>
      <c r="BJ349" s="319"/>
      <c r="BK349" s="319"/>
      <c r="BL349" s="319"/>
      <c r="BM349" s="319"/>
      <c r="BN349" s="319"/>
      <c r="BO349" s="319"/>
      <c r="BP349" s="319"/>
      <c r="BQ349" s="319"/>
      <c r="BR349" s="319"/>
    </row>
    <row r="350" ht="14.25" customHeight="1">
      <c r="A350" s="195"/>
      <c r="B350" s="100"/>
      <c r="C350" s="100"/>
      <c r="D350" s="100"/>
      <c r="E350" s="100"/>
      <c r="F350" s="206"/>
      <c r="G350" s="206"/>
      <c r="H350" s="207"/>
      <c r="I350" s="207"/>
      <c r="J350" s="207"/>
      <c r="K350" s="207"/>
      <c r="L350" s="207"/>
      <c r="M350" s="207"/>
      <c r="N350" s="207"/>
      <c r="O350" s="207"/>
      <c r="P350" s="207"/>
      <c r="Q350" s="207"/>
      <c r="R350" s="207"/>
      <c r="S350" s="207"/>
      <c r="T350" s="207"/>
      <c r="U350" s="207"/>
      <c r="V350" s="207"/>
      <c r="W350" s="208"/>
      <c r="X350" s="208"/>
      <c r="Y350" s="208"/>
      <c r="Z350" s="208"/>
      <c r="AA350" s="208"/>
      <c r="AB350" s="208"/>
      <c r="AC350" s="208"/>
      <c r="AD350" s="208"/>
      <c r="AE350" s="208"/>
      <c r="AF350" s="208"/>
      <c r="AG350" s="208"/>
      <c r="AH350" s="208"/>
      <c r="AI350" s="100"/>
      <c r="AJ350" s="319"/>
      <c r="AK350" s="319"/>
      <c r="AL350" s="319"/>
      <c r="AM350" s="319"/>
      <c r="AN350" s="319"/>
      <c r="AO350" s="319"/>
      <c r="AP350" s="319"/>
      <c r="AQ350" s="319"/>
      <c r="AR350" s="319"/>
      <c r="AS350" s="319"/>
      <c r="AT350" s="319"/>
      <c r="AU350" s="319"/>
      <c r="AV350" s="319"/>
      <c r="AW350" s="319"/>
      <c r="AX350" s="319"/>
      <c r="AY350" s="319"/>
      <c r="AZ350" s="319"/>
      <c r="BA350" s="319"/>
      <c r="BB350" s="319"/>
      <c r="BC350" s="319"/>
      <c r="BD350" s="319"/>
      <c r="BE350" s="319"/>
      <c r="BF350" s="319"/>
      <c r="BG350" s="319"/>
      <c r="BH350" s="319"/>
      <c r="BI350" s="319"/>
      <c r="BJ350" s="319"/>
      <c r="BK350" s="319"/>
      <c r="BL350" s="319"/>
      <c r="BM350" s="319"/>
      <c r="BN350" s="319"/>
      <c r="BO350" s="319"/>
      <c r="BP350" s="319"/>
      <c r="BQ350" s="319"/>
      <c r="BR350" s="319"/>
    </row>
    <row r="351" ht="14.25" customHeight="1">
      <c r="A351" s="195"/>
      <c r="B351" s="100"/>
      <c r="C351" s="100"/>
      <c r="D351" s="100"/>
      <c r="E351" s="100"/>
      <c r="F351" s="206"/>
      <c r="G351" s="206"/>
      <c r="H351" s="207"/>
      <c r="I351" s="207"/>
      <c r="J351" s="207"/>
      <c r="K351" s="207"/>
      <c r="L351" s="207"/>
      <c r="M351" s="207"/>
      <c r="N351" s="207"/>
      <c r="O351" s="207"/>
      <c r="P351" s="207"/>
      <c r="Q351" s="207"/>
      <c r="R351" s="207"/>
      <c r="S351" s="207"/>
      <c r="T351" s="207"/>
      <c r="U351" s="207"/>
      <c r="V351" s="207"/>
      <c r="W351" s="208"/>
      <c r="X351" s="208"/>
      <c r="Y351" s="208"/>
      <c r="Z351" s="208"/>
      <c r="AA351" s="208"/>
      <c r="AB351" s="208"/>
      <c r="AC351" s="208"/>
      <c r="AD351" s="208"/>
      <c r="AE351" s="208"/>
      <c r="AF351" s="208"/>
      <c r="AG351" s="208"/>
      <c r="AH351" s="208"/>
      <c r="AI351" s="100"/>
      <c r="AJ351" s="319"/>
      <c r="AK351" s="319"/>
      <c r="AL351" s="319"/>
      <c r="AM351" s="319"/>
      <c r="AN351" s="319"/>
      <c r="AO351" s="319"/>
      <c r="AP351" s="319"/>
      <c r="AQ351" s="319"/>
      <c r="AR351" s="319"/>
      <c r="AS351" s="319"/>
      <c r="AT351" s="319"/>
      <c r="AU351" s="319"/>
      <c r="AV351" s="319"/>
      <c r="AW351" s="319"/>
      <c r="AX351" s="319"/>
      <c r="AY351" s="319"/>
      <c r="AZ351" s="319"/>
      <c r="BA351" s="319"/>
      <c r="BB351" s="319"/>
      <c r="BC351" s="319"/>
      <c r="BD351" s="319"/>
      <c r="BE351" s="319"/>
      <c r="BF351" s="319"/>
      <c r="BG351" s="319"/>
      <c r="BH351" s="319"/>
      <c r="BI351" s="319"/>
      <c r="BJ351" s="319"/>
      <c r="BK351" s="319"/>
      <c r="BL351" s="319"/>
      <c r="BM351" s="319"/>
      <c r="BN351" s="319"/>
      <c r="BO351" s="319"/>
      <c r="BP351" s="319"/>
      <c r="BQ351" s="319"/>
      <c r="BR351" s="319"/>
    </row>
    <row r="352" ht="14.25" customHeight="1">
      <c r="A352" s="195"/>
      <c r="B352" s="100"/>
      <c r="C352" s="100"/>
      <c r="D352" s="100"/>
      <c r="E352" s="100"/>
      <c r="F352" s="206"/>
      <c r="G352" s="206"/>
      <c r="H352" s="207"/>
      <c r="I352" s="207"/>
      <c r="J352" s="207"/>
      <c r="K352" s="207"/>
      <c r="L352" s="207"/>
      <c r="M352" s="207"/>
      <c r="N352" s="207"/>
      <c r="O352" s="207"/>
      <c r="P352" s="207"/>
      <c r="Q352" s="207"/>
      <c r="R352" s="207"/>
      <c r="S352" s="207"/>
      <c r="T352" s="207"/>
      <c r="U352" s="207"/>
      <c r="V352" s="207"/>
      <c r="W352" s="208"/>
      <c r="X352" s="208"/>
      <c r="Y352" s="208"/>
      <c r="Z352" s="208"/>
      <c r="AA352" s="208"/>
      <c r="AB352" s="208"/>
      <c r="AC352" s="208"/>
      <c r="AD352" s="208"/>
      <c r="AE352" s="208"/>
      <c r="AF352" s="208"/>
      <c r="AG352" s="208"/>
      <c r="AH352" s="208"/>
      <c r="AI352" s="100"/>
      <c r="AJ352" s="319"/>
      <c r="AK352" s="319"/>
      <c r="AL352" s="319"/>
      <c r="AM352" s="319"/>
      <c r="AN352" s="319"/>
      <c r="AO352" s="319"/>
      <c r="AP352" s="319"/>
      <c r="AQ352" s="319"/>
      <c r="AR352" s="319"/>
      <c r="AS352" s="319"/>
      <c r="AT352" s="319"/>
      <c r="AU352" s="319"/>
      <c r="AV352" s="319"/>
      <c r="AW352" s="319"/>
      <c r="AX352" s="319"/>
      <c r="AY352" s="319"/>
      <c r="AZ352" s="319"/>
      <c r="BA352" s="319"/>
      <c r="BB352" s="319"/>
      <c r="BC352" s="319"/>
      <c r="BD352" s="319"/>
      <c r="BE352" s="319"/>
      <c r="BF352" s="319"/>
      <c r="BG352" s="319"/>
      <c r="BH352" s="319"/>
      <c r="BI352" s="319"/>
      <c r="BJ352" s="319"/>
      <c r="BK352" s="319"/>
      <c r="BL352" s="319"/>
      <c r="BM352" s="319"/>
      <c r="BN352" s="319"/>
      <c r="BO352" s="319"/>
      <c r="BP352" s="319"/>
      <c r="BQ352" s="319"/>
      <c r="BR352" s="319"/>
    </row>
    <row r="353" ht="14.25" customHeight="1">
      <c r="A353" s="195"/>
      <c r="B353" s="100"/>
      <c r="C353" s="100"/>
      <c r="D353" s="100"/>
      <c r="E353" s="100"/>
      <c r="F353" s="206"/>
      <c r="G353" s="206"/>
      <c r="H353" s="207"/>
      <c r="I353" s="207"/>
      <c r="J353" s="207"/>
      <c r="K353" s="207"/>
      <c r="L353" s="207"/>
      <c r="M353" s="207"/>
      <c r="N353" s="207"/>
      <c r="O353" s="207"/>
      <c r="P353" s="207"/>
      <c r="Q353" s="207"/>
      <c r="R353" s="207"/>
      <c r="S353" s="207"/>
      <c r="T353" s="207"/>
      <c r="U353" s="207"/>
      <c r="V353" s="207"/>
      <c r="W353" s="208"/>
      <c r="X353" s="208"/>
      <c r="Y353" s="208"/>
      <c r="Z353" s="208"/>
      <c r="AA353" s="208"/>
      <c r="AB353" s="208"/>
      <c r="AC353" s="208"/>
      <c r="AD353" s="208"/>
      <c r="AE353" s="208"/>
      <c r="AF353" s="208"/>
      <c r="AG353" s="208"/>
      <c r="AH353" s="208"/>
      <c r="AI353" s="100"/>
      <c r="AJ353" s="319"/>
      <c r="AK353" s="319"/>
      <c r="AL353" s="319"/>
      <c r="AM353" s="319"/>
      <c r="AN353" s="319"/>
      <c r="AO353" s="319"/>
      <c r="AP353" s="319"/>
      <c r="AQ353" s="319"/>
      <c r="AR353" s="319"/>
      <c r="AS353" s="319"/>
      <c r="AT353" s="319"/>
      <c r="AU353" s="319"/>
      <c r="AV353" s="319"/>
      <c r="AW353" s="319"/>
      <c r="AX353" s="319"/>
      <c r="AY353" s="319"/>
      <c r="AZ353" s="319"/>
      <c r="BA353" s="319"/>
      <c r="BB353" s="319"/>
      <c r="BC353" s="319"/>
      <c r="BD353" s="319"/>
      <c r="BE353" s="319"/>
      <c r="BF353" s="319"/>
      <c r="BG353" s="319"/>
      <c r="BH353" s="319"/>
      <c r="BI353" s="319"/>
      <c r="BJ353" s="319"/>
      <c r="BK353" s="319"/>
      <c r="BL353" s="319"/>
      <c r="BM353" s="319"/>
      <c r="BN353" s="319"/>
      <c r="BO353" s="319"/>
      <c r="BP353" s="319"/>
      <c r="BQ353" s="319"/>
      <c r="BR353" s="319"/>
    </row>
    <row r="354" ht="14.25" customHeight="1">
      <c r="A354" s="195"/>
      <c r="B354" s="100"/>
      <c r="C354" s="100"/>
      <c r="D354" s="100"/>
      <c r="E354" s="100"/>
      <c r="F354" s="206"/>
      <c r="G354" s="206"/>
      <c r="H354" s="207"/>
      <c r="I354" s="207"/>
      <c r="J354" s="207"/>
      <c r="K354" s="207"/>
      <c r="L354" s="207"/>
      <c r="M354" s="207"/>
      <c r="N354" s="207"/>
      <c r="O354" s="207"/>
      <c r="P354" s="207"/>
      <c r="Q354" s="207"/>
      <c r="R354" s="207"/>
      <c r="S354" s="207"/>
      <c r="T354" s="207"/>
      <c r="U354" s="207"/>
      <c r="V354" s="207"/>
      <c r="W354" s="208"/>
      <c r="X354" s="208"/>
      <c r="Y354" s="208"/>
      <c r="Z354" s="208"/>
      <c r="AA354" s="208"/>
      <c r="AB354" s="208"/>
      <c r="AC354" s="208"/>
      <c r="AD354" s="208"/>
      <c r="AE354" s="208"/>
      <c r="AF354" s="208"/>
      <c r="AG354" s="208"/>
      <c r="AH354" s="208"/>
      <c r="AI354" s="100"/>
      <c r="AJ354" s="319"/>
      <c r="AK354" s="319"/>
      <c r="AL354" s="319"/>
      <c r="AM354" s="319"/>
      <c r="AN354" s="319"/>
      <c r="AO354" s="319"/>
      <c r="AP354" s="319"/>
      <c r="AQ354" s="319"/>
      <c r="AR354" s="319"/>
      <c r="AS354" s="319"/>
      <c r="AT354" s="319"/>
      <c r="AU354" s="319"/>
      <c r="AV354" s="319"/>
      <c r="AW354" s="319"/>
      <c r="AX354" s="319"/>
      <c r="AY354" s="319"/>
      <c r="AZ354" s="319"/>
      <c r="BA354" s="319"/>
      <c r="BB354" s="319"/>
      <c r="BC354" s="319"/>
      <c r="BD354" s="319"/>
      <c r="BE354" s="319"/>
      <c r="BF354" s="319"/>
      <c r="BG354" s="319"/>
      <c r="BH354" s="319"/>
      <c r="BI354" s="319"/>
      <c r="BJ354" s="319"/>
      <c r="BK354" s="319"/>
      <c r="BL354" s="319"/>
      <c r="BM354" s="319"/>
      <c r="BN354" s="319"/>
      <c r="BO354" s="319"/>
      <c r="BP354" s="319"/>
      <c r="BQ354" s="319"/>
      <c r="BR354" s="319"/>
    </row>
    <row r="355" ht="14.25" customHeight="1">
      <c r="A355" s="195"/>
      <c r="B355" s="100"/>
      <c r="C355" s="100"/>
      <c r="D355" s="100"/>
      <c r="E355" s="100"/>
      <c r="F355" s="206"/>
      <c r="G355" s="206"/>
      <c r="H355" s="207"/>
      <c r="I355" s="207"/>
      <c r="J355" s="207"/>
      <c r="K355" s="207"/>
      <c r="L355" s="207"/>
      <c r="M355" s="207"/>
      <c r="N355" s="207"/>
      <c r="O355" s="207"/>
      <c r="P355" s="207"/>
      <c r="Q355" s="207"/>
      <c r="R355" s="207"/>
      <c r="S355" s="207"/>
      <c r="T355" s="207"/>
      <c r="U355" s="207"/>
      <c r="V355" s="207"/>
      <c r="W355" s="208"/>
      <c r="X355" s="208"/>
      <c r="Y355" s="208"/>
      <c r="Z355" s="208"/>
      <c r="AA355" s="208"/>
      <c r="AB355" s="208"/>
      <c r="AC355" s="208"/>
      <c r="AD355" s="208"/>
      <c r="AE355" s="208"/>
      <c r="AF355" s="208"/>
      <c r="AG355" s="208"/>
      <c r="AH355" s="208"/>
      <c r="AI355" s="100"/>
      <c r="AJ355" s="319"/>
      <c r="AK355" s="319"/>
      <c r="AL355" s="319"/>
      <c r="AM355" s="319"/>
      <c r="AN355" s="319"/>
      <c r="AO355" s="319"/>
      <c r="AP355" s="319"/>
      <c r="AQ355" s="319"/>
      <c r="AR355" s="319"/>
      <c r="AS355" s="319"/>
      <c r="AT355" s="319"/>
      <c r="AU355" s="319"/>
      <c r="AV355" s="319"/>
      <c r="AW355" s="319"/>
      <c r="AX355" s="319"/>
      <c r="AY355" s="319"/>
      <c r="AZ355" s="319"/>
      <c r="BA355" s="319"/>
      <c r="BB355" s="319"/>
      <c r="BC355" s="319"/>
      <c r="BD355" s="319"/>
      <c r="BE355" s="319"/>
      <c r="BF355" s="319"/>
      <c r="BG355" s="319"/>
      <c r="BH355" s="319"/>
      <c r="BI355" s="319"/>
      <c r="BJ355" s="319"/>
      <c r="BK355" s="319"/>
      <c r="BL355" s="319"/>
      <c r="BM355" s="319"/>
      <c r="BN355" s="319"/>
      <c r="BO355" s="319"/>
      <c r="BP355" s="319"/>
      <c r="BQ355" s="319"/>
      <c r="BR355" s="319"/>
    </row>
    <row r="356" ht="14.25" customHeight="1">
      <c r="A356" s="195"/>
      <c r="B356" s="100"/>
      <c r="C356" s="100"/>
      <c r="D356" s="100"/>
      <c r="E356" s="100"/>
      <c r="F356" s="206"/>
      <c r="G356" s="206"/>
      <c r="H356" s="207"/>
      <c r="I356" s="207"/>
      <c r="J356" s="207"/>
      <c r="K356" s="207"/>
      <c r="L356" s="207"/>
      <c r="M356" s="207"/>
      <c r="N356" s="207"/>
      <c r="O356" s="207"/>
      <c r="P356" s="207"/>
      <c r="Q356" s="207"/>
      <c r="R356" s="207"/>
      <c r="S356" s="207"/>
      <c r="T356" s="207"/>
      <c r="U356" s="207"/>
      <c r="V356" s="207"/>
      <c r="W356" s="208"/>
      <c r="X356" s="208"/>
      <c r="Y356" s="208"/>
      <c r="Z356" s="208"/>
      <c r="AA356" s="208"/>
      <c r="AB356" s="208"/>
      <c r="AC356" s="208"/>
      <c r="AD356" s="208"/>
      <c r="AE356" s="208"/>
      <c r="AF356" s="208"/>
      <c r="AG356" s="208"/>
      <c r="AH356" s="208"/>
      <c r="AI356" s="100"/>
      <c r="AJ356" s="319"/>
      <c r="AK356" s="319"/>
      <c r="AL356" s="319"/>
      <c r="AM356" s="319"/>
      <c r="AN356" s="319"/>
      <c r="AO356" s="319"/>
      <c r="AP356" s="319"/>
      <c r="AQ356" s="319"/>
      <c r="AR356" s="319"/>
      <c r="AS356" s="319"/>
      <c r="AT356" s="319"/>
      <c r="AU356" s="319"/>
      <c r="AV356" s="319"/>
      <c r="AW356" s="319"/>
      <c r="AX356" s="319"/>
      <c r="AY356" s="319"/>
      <c r="AZ356" s="319"/>
      <c r="BA356" s="319"/>
      <c r="BB356" s="319"/>
      <c r="BC356" s="319"/>
      <c r="BD356" s="319"/>
      <c r="BE356" s="319"/>
      <c r="BF356" s="319"/>
      <c r="BG356" s="319"/>
      <c r="BH356" s="319"/>
      <c r="BI356" s="319"/>
      <c r="BJ356" s="319"/>
      <c r="BK356" s="319"/>
      <c r="BL356" s="319"/>
      <c r="BM356" s="319"/>
      <c r="BN356" s="319"/>
      <c r="BO356" s="319"/>
      <c r="BP356" s="319"/>
      <c r="BQ356" s="319"/>
      <c r="BR356" s="319"/>
    </row>
    <row r="357" ht="14.25" customHeight="1">
      <c r="A357" s="195"/>
      <c r="B357" s="100"/>
      <c r="C357" s="100"/>
      <c r="D357" s="100"/>
      <c r="E357" s="100"/>
      <c r="F357" s="206"/>
      <c r="G357" s="206"/>
      <c r="H357" s="207"/>
      <c r="I357" s="207"/>
      <c r="J357" s="207"/>
      <c r="K357" s="207"/>
      <c r="L357" s="207"/>
      <c r="M357" s="207"/>
      <c r="N357" s="207"/>
      <c r="O357" s="207"/>
      <c r="P357" s="207"/>
      <c r="Q357" s="207"/>
      <c r="R357" s="207"/>
      <c r="S357" s="207"/>
      <c r="T357" s="207"/>
      <c r="U357" s="207"/>
      <c r="V357" s="207"/>
      <c r="W357" s="208"/>
      <c r="X357" s="208"/>
      <c r="Y357" s="208"/>
      <c r="Z357" s="208"/>
      <c r="AA357" s="208"/>
      <c r="AB357" s="208"/>
      <c r="AC357" s="208"/>
      <c r="AD357" s="208"/>
      <c r="AE357" s="208"/>
      <c r="AF357" s="208"/>
      <c r="AG357" s="208"/>
      <c r="AH357" s="208"/>
      <c r="AI357" s="100"/>
      <c r="AJ357" s="319"/>
      <c r="AK357" s="319"/>
      <c r="AL357" s="319"/>
      <c r="AM357" s="319"/>
      <c r="AN357" s="319"/>
      <c r="AO357" s="319"/>
      <c r="AP357" s="319"/>
      <c r="AQ357" s="319"/>
      <c r="AR357" s="319"/>
      <c r="AS357" s="319"/>
      <c r="AT357" s="319"/>
      <c r="AU357" s="319"/>
      <c r="AV357" s="319"/>
      <c r="AW357" s="319"/>
      <c r="AX357" s="319"/>
      <c r="AY357" s="319"/>
      <c r="AZ357" s="319"/>
      <c r="BA357" s="319"/>
      <c r="BB357" s="319"/>
      <c r="BC357" s="319"/>
      <c r="BD357" s="319"/>
      <c r="BE357" s="319"/>
      <c r="BF357" s="319"/>
      <c r="BG357" s="319"/>
      <c r="BH357" s="319"/>
      <c r="BI357" s="319"/>
      <c r="BJ357" s="319"/>
      <c r="BK357" s="319"/>
      <c r="BL357" s="319"/>
      <c r="BM357" s="319"/>
      <c r="BN357" s="319"/>
      <c r="BO357" s="319"/>
      <c r="BP357" s="319"/>
      <c r="BQ357" s="319"/>
      <c r="BR357" s="319"/>
    </row>
    <row r="358" ht="14.25" customHeight="1">
      <c r="A358" s="195"/>
      <c r="B358" s="100"/>
      <c r="C358" s="100"/>
      <c r="D358" s="100"/>
      <c r="E358" s="100"/>
      <c r="F358" s="206"/>
      <c r="G358" s="206"/>
      <c r="H358" s="207"/>
      <c r="I358" s="207"/>
      <c r="J358" s="207"/>
      <c r="K358" s="207"/>
      <c r="L358" s="207"/>
      <c r="M358" s="207"/>
      <c r="N358" s="207"/>
      <c r="O358" s="207"/>
      <c r="P358" s="207"/>
      <c r="Q358" s="207"/>
      <c r="R358" s="207"/>
      <c r="S358" s="207"/>
      <c r="T358" s="207"/>
      <c r="U358" s="207"/>
      <c r="V358" s="207"/>
      <c r="W358" s="208"/>
      <c r="X358" s="208"/>
      <c r="Y358" s="208"/>
      <c r="Z358" s="208"/>
      <c r="AA358" s="208"/>
      <c r="AB358" s="208"/>
      <c r="AC358" s="208"/>
      <c r="AD358" s="208"/>
      <c r="AE358" s="208"/>
      <c r="AF358" s="208"/>
      <c r="AG358" s="208"/>
      <c r="AH358" s="208"/>
      <c r="AI358" s="100"/>
      <c r="AJ358" s="319"/>
      <c r="AK358" s="319"/>
      <c r="AL358" s="319"/>
      <c r="AM358" s="319"/>
      <c r="AN358" s="319"/>
      <c r="AO358" s="319"/>
      <c r="AP358" s="319"/>
      <c r="AQ358" s="319"/>
      <c r="AR358" s="319"/>
      <c r="AS358" s="319"/>
      <c r="AT358" s="319"/>
      <c r="AU358" s="319"/>
      <c r="AV358" s="319"/>
      <c r="AW358" s="319"/>
      <c r="AX358" s="319"/>
      <c r="AY358" s="319"/>
      <c r="AZ358" s="319"/>
      <c r="BA358" s="319"/>
      <c r="BB358" s="319"/>
      <c r="BC358" s="319"/>
      <c r="BD358" s="319"/>
      <c r="BE358" s="319"/>
      <c r="BF358" s="319"/>
      <c r="BG358" s="319"/>
      <c r="BH358" s="319"/>
      <c r="BI358" s="319"/>
      <c r="BJ358" s="319"/>
      <c r="BK358" s="319"/>
      <c r="BL358" s="319"/>
      <c r="BM358" s="319"/>
      <c r="BN358" s="319"/>
      <c r="BO358" s="319"/>
      <c r="BP358" s="319"/>
      <c r="BQ358" s="319"/>
      <c r="BR358" s="319"/>
    </row>
    <row r="359" ht="14.25" customHeight="1">
      <c r="A359" s="195"/>
      <c r="B359" s="100"/>
      <c r="C359" s="100"/>
      <c r="D359" s="100"/>
      <c r="E359" s="100"/>
      <c r="F359" s="206"/>
      <c r="G359" s="206"/>
      <c r="H359" s="207"/>
      <c r="I359" s="207"/>
      <c r="J359" s="207"/>
      <c r="K359" s="207"/>
      <c r="L359" s="207"/>
      <c r="M359" s="207"/>
      <c r="N359" s="207"/>
      <c r="O359" s="207"/>
      <c r="P359" s="207"/>
      <c r="Q359" s="207"/>
      <c r="R359" s="207"/>
      <c r="S359" s="207"/>
      <c r="T359" s="207"/>
      <c r="U359" s="207"/>
      <c r="V359" s="207"/>
      <c r="W359" s="208"/>
      <c r="X359" s="208"/>
      <c r="Y359" s="208"/>
      <c r="Z359" s="208"/>
      <c r="AA359" s="208"/>
      <c r="AB359" s="208"/>
      <c r="AC359" s="208"/>
      <c r="AD359" s="208"/>
      <c r="AE359" s="208"/>
      <c r="AF359" s="208"/>
      <c r="AG359" s="208"/>
      <c r="AH359" s="208"/>
      <c r="AI359" s="100"/>
      <c r="AJ359" s="319"/>
      <c r="AK359" s="319"/>
      <c r="AL359" s="319"/>
      <c r="AM359" s="319"/>
      <c r="AN359" s="319"/>
      <c r="AO359" s="319"/>
      <c r="AP359" s="319"/>
      <c r="AQ359" s="319"/>
      <c r="AR359" s="319"/>
      <c r="AS359" s="319"/>
      <c r="AT359" s="319"/>
      <c r="AU359" s="319"/>
      <c r="AV359" s="319"/>
      <c r="AW359" s="319"/>
      <c r="AX359" s="319"/>
      <c r="AY359" s="319"/>
      <c r="AZ359" s="319"/>
      <c r="BA359" s="319"/>
      <c r="BB359" s="319"/>
      <c r="BC359" s="319"/>
      <c r="BD359" s="319"/>
      <c r="BE359" s="319"/>
      <c r="BF359" s="319"/>
      <c r="BG359" s="319"/>
      <c r="BH359" s="319"/>
      <c r="BI359" s="319"/>
      <c r="BJ359" s="319"/>
      <c r="BK359" s="319"/>
      <c r="BL359" s="319"/>
      <c r="BM359" s="319"/>
      <c r="BN359" s="319"/>
      <c r="BO359" s="319"/>
      <c r="BP359" s="319"/>
      <c r="BQ359" s="319"/>
      <c r="BR359" s="319"/>
    </row>
    <row r="360" ht="14.25" customHeight="1">
      <c r="A360" s="195"/>
      <c r="B360" s="100"/>
      <c r="C360" s="100"/>
      <c r="D360" s="100"/>
      <c r="E360" s="100"/>
      <c r="F360" s="206"/>
      <c r="G360" s="206"/>
      <c r="H360" s="207"/>
      <c r="I360" s="207"/>
      <c r="J360" s="207"/>
      <c r="K360" s="207"/>
      <c r="L360" s="207"/>
      <c r="M360" s="207"/>
      <c r="N360" s="207"/>
      <c r="O360" s="207"/>
      <c r="P360" s="207"/>
      <c r="Q360" s="207"/>
      <c r="R360" s="207"/>
      <c r="S360" s="207"/>
      <c r="T360" s="207"/>
      <c r="U360" s="207"/>
      <c r="V360" s="207"/>
      <c r="W360" s="208"/>
      <c r="X360" s="208"/>
      <c r="Y360" s="208"/>
      <c r="Z360" s="208"/>
      <c r="AA360" s="208"/>
      <c r="AB360" s="208"/>
      <c r="AC360" s="208"/>
      <c r="AD360" s="208"/>
      <c r="AE360" s="208"/>
      <c r="AF360" s="208"/>
      <c r="AG360" s="208"/>
      <c r="AH360" s="208"/>
      <c r="AI360" s="100"/>
      <c r="AJ360" s="319"/>
      <c r="AK360" s="319"/>
      <c r="AL360" s="319"/>
      <c r="AM360" s="319"/>
      <c r="AN360" s="319"/>
      <c r="AO360" s="319"/>
      <c r="AP360" s="319"/>
      <c r="AQ360" s="319"/>
      <c r="AR360" s="319"/>
      <c r="AS360" s="319"/>
      <c r="AT360" s="319"/>
      <c r="AU360" s="319"/>
      <c r="AV360" s="319"/>
      <c r="AW360" s="319"/>
      <c r="AX360" s="319"/>
      <c r="AY360" s="319"/>
      <c r="AZ360" s="319"/>
      <c r="BA360" s="319"/>
      <c r="BB360" s="319"/>
      <c r="BC360" s="319"/>
      <c r="BD360" s="319"/>
      <c r="BE360" s="319"/>
      <c r="BF360" s="319"/>
      <c r="BG360" s="319"/>
      <c r="BH360" s="319"/>
      <c r="BI360" s="319"/>
      <c r="BJ360" s="319"/>
      <c r="BK360" s="319"/>
      <c r="BL360" s="319"/>
      <c r="BM360" s="319"/>
      <c r="BN360" s="319"/>
      <c r="BO360" s="319"/>
      <c r="BP360" s="319"/>
      <c r="BQ360" s="319"/>
      <c r="BR360" s="319"/>
    </row>
    <row r="361" ht="14.25" customHeight="1">
      <c r="A361" s="195"/>
      <c r="B361" s="100"/>
      <c r="C361" s="100"/>
      <c r="D361" s="100"/>
      <c r="E361" s="100"/>
      <c r="F361" s="206"/>
      <c r="G361" s="206"/>
      <c r="H361" s="207"/>
      <c r="I361" s="207"/>
      <c r="J361" s="207"/>
      <c r="K361" s="207"/>
      <c r="L361" s="207"/>
      <c r="M361" s="207"/>
      <c r="N361" s="207"/>
      <c r="O361" s="207"/>
      <c r="P361" s="207"/>
      <c r="Q361" s="207"/>
      <c r="R361" s="207"/>
      <c r="S361" s="207"/>
      <c r="T361" s="207"/>
      <c r="U361" s="207"/>
      <c r="V361" s="207"/>
      <c r="W361" s="208"/>
      <c r="X361" s="208"/>
      <c r="Y361" s="208"/>
      <c r="Z361" s="208"/>
      <c r="AA361" s="208"/>
      <c r="AB361" s="208"/>
      <c r="AC361" s="208"/>
      <c r="AD361" s="208"/>
      <c r="AE361" s="208"/>
      <c r="AF361" s="208"/>
      <c r="AG361" s="208"/>
      <c r="AH361" s="208"/>
      <c r="AI361" s="100"/>
      <c r="AJ361" s="319"/>
      <c r="AK361" s="319"/>
      <c r="AL361" s="319"/>
      <c r="AM361" s="319"/>
      <c r="AN361" s="319"/>
      <c r="AO361" s="319"/>
      <c r="AP361" s="319"/>
      <c r="AQ361" s="319"/>
      <c r="AR361" s="319"/>
      <c r="AS361" s="319"/>
      <c r="AT361" s="319"/>
      <c r="AU361" s="319"/>
      <c r="AV361" s="319"/>
      <c r="AW361" s="319"/>
      <c r="AX361" s="319"/>
      <c r="AY361" s="319"/>
      <c r="AZ361" s="319"/>
      <c r="BA361" s="319"/>
      <c r="BB361" s="319"/>
      <c r="BC361" s="319"/>
      <c r="BD361" s="319"/>
      <c r="BE361" s="319"/>
      <c r="BF361" s="319"/>
      <c r="BG361" s="319"/>
      <c r="BH361" s="319"/>
      <c r="BI361" s="319"/>
      <c r="BJ361" s="319"/>
      <c r="BK361" s="319"/>
      <c r="BL361" s="319"/>
      <c r="BM361" s="319"/>
      <c r="BN361" s="319"/>
      <c r="BO361" s="319"/>
      <c r="BP361" s="319"/>
      <c r="BQ361" s="319"/>
      <c r="BR361" s="319"/>
    </row>
    <row r="362" ht="14.25" customHeight="1">
      <c r="A362" s="195"/>
      <c r="B362" s="100"/>
      <c r="C362" s="100"/>
      <c r="D362" s="100"/>
      <c r="E362" s="100"/>
      <c r="F362" s="206"/>
      <c r="G362" s="206"/>
      <c r="H362" s="207"/>
      <c r="I362" s="207"/>
      <c r="J362" s="207"/>
      <c r="K362" s="207"/>
      <c r="L362" s="207"/>
      <c r="M362" s="207"/>
      <c r="N362" s="207"/>
      <c r="O362" s="207"/>
      <c r="P362" s="207"/>
      <c r="Q362" s="207"/>
      <c r="R362" s="207"/>
      <c r="S362" s="207"/>
      <c r="T362" s="207"/>
      <c r="U362" s="207"/>
      <c r="V362" s="207"/>
      <c r="W362" s="208"/>
      <c r="X362" s="208"/>
      <c r="Y362" s="208"/>
      <c r="Z362" s="208"/>
      <c r="AA362" s="208"/>
      <c r="AB362" s="208"/>
      <c r="AC362" s="208"/>
      <c r="AD362" s="208"/>
      <c r="AE362" s="208"/>
      <c r="AF362" s="208"/>
      <c r="AG362" s="208"/>
      <c r="AH362" s="208"/>
      <c r="AI362" s="100"/>
      <c r="AJ362" s="319"/>
      <c r="AK362" s="319"/>
      <c r="AL362" s="319"/>
      <c r="AM362" s="319"/>
      <c r="AN362" s="319"/>
      <c r="AO362" s="319"/>
      <c r="AP362" s="319"/>
      <c r="AQ362" s="319"/>
      <c r="AR362" s="319"/>
      <c r="AS362" s="319"/>
      <c r="AT362" s="319"/>
      <c r="AU362" s="319"/>
      <c r="AV362" s="319"/>
      <c r="AW362" s="319"/>
      <c r="AX362" s="319"/>
      <c r="AY362" s="319"/>
      <c r="AZ362" s="319"/>
      <c r="BA362" s="319"/>
      <c r="BB362" s="319"/>
      <c r="BC362" s="319"/>
      <c r="BD362" s="319"/>
      <c r="BE362" s="319"/>
      <c r="BF362" s="319"/>
      <c r="BG362" s="319"/>
      <c r="BH362" s="319"/>
      <c r="BI362" s="319"/>
      <c r="BJ362" s="319"/>
      <c r="BK362" s="319"/>
      <c r="BL362" s="319"/>
      <c r="BM362" s="319"/>
      <c r="BN362" s="319"/>
      <c r="BO362" s="319"/>
      <c r="BP362" s="319"/>
      <c r="BQ362" s="319"/>
      <c r="BR362" s="319"/>
    </row>
    <row r="363" ht="14.25" customHeight="1">
      <c r="A363" s="195"/>
      <c r="B363" s="100"/>
      <c r="C363" s="100"/>
      <c r="D363" s="100"/>
      <c r="E363" s="100"/>
      <c r="F363" s="206"/>
      <c r="G363" s="206"/>
      <c r="H363" s="207"/>
      <c r="I363" s="207"/>
      <c r="J363" s="207"/>
      <c r="K363" s="207"/>
      <c r="L363" s="207"/>
      <c r="M363" s="207"/>
      <c r="N363" s="207"/>
      <c r="O363" s="207"/>
      <c r="P363" s="207"/>
      <c r="Q363" s="207"/>
      <c r="R363" s="207"/>
      <c r="S363" s="207"/>
      <c r="T363" s="207"/>
      <c r="U363" s="207"/>
      <c r="V363" s="207"/>
      <c r="W363" s="208"/>
      <c r="X363" s="208"/>
      <c r="Y363" s="208"/>
      <c r="Z363" s="208"/>
      <c r="AA363" s="208"/>
      <c r="AB363" s="208"/>
      <c r="AC363" s="208"/>
      <c r="AD363" s="208"/>
      <c r="AE363" s="208"/>
      <c r="AF363" s="208"/>
      <c r="AG363" s="208"/>
      <c r="AH363" s="208"/>
      <c r="AI363" s="100"/>
      <c r="AJ363" s="319"/>
      <c r="AK363" s="319"/>
      <c r="AL363" s="319"/>
      <c r="AM363" s="319"/>
      <c r="AN363" s="319"/>
      <c r="AO363" s="319"/>
      <c r="AP363" s="319"/>
      <c r="AQ363" s="319"/>
      <c r="AR363" s="319"/>
      <c r="AS363" s="319"/>
      <c r="AT363" s="319"/>
      <c r="AU363" s="319"/>
      <c r="AV363" s="319"/>
      <c r="AW363" s="319"/>
      <c r="AX363" s="319"/>
      <c r="AY363" s="319"/>
      <c r="AZ363" s="319"/>
      <c r="BA363" s="319"/>
      <c r="BB363" s="319"/>
      <c r="BC363" s="319"/>
      <c r="BD363" s="319"/>
      <c r="BE363" s="319"/>
      <c r="BF363" s="319"/>
      <c r="BG363" s="319"/>
      <c r="BH363" s="319"/>
      <c r="BI363" s="319"/>
      <c r="BJ363" s="319"/>
      <c r="BK363" s="319"/>
      <c r="BL363" s="319"/>
      <c r="BM363" s="319"/>
      <c r="BN363" s="319"/>
      <c r="BO363" s="319"/>
      <c r="BP363" s="319"/>
      <c r="BQ363" s="319"/>
      <c r="BR363" s="319"/>
    </row>
    <row r="364" ht="14.25" customHeight="1">
      <c r="A364" s="195"/>
      <c r="B364" s="100"/>
      <c r="C364" s="100"/>
      <c r="D364" s="100"/>
      <c r="E364" s="100"/>
      <c r="F364" s="206"/>
      <c r="G364" s="206"/>
      <c r="H364" s="207"/>
      <c r="I364" s="207"/>
      <c r="J364" s="207"/>
      <c r="K364" s="207"/>
      <c r="L364" s="207"/>
      <c r="M364" s="207"/>
      <c r="N364" s="207"/>
      <c r="O364" s="207"/>
      <c r="P364" s="207"/>
      <c r="Q364" s="207"/>
      <c r="R364" s="207"/>
      <c r="S364" s="207"/>
      <c r="T364" s="207"/>
      <c r="U364" s="207"/>
      <c r="V364" s="207"/>
      <c r="W364" s="208"/>
      <c r="X364" s="208"/>
      <c r="Y364" s="208"/>
      <c r="Z364" s="208"/>
      <c r="AA364" s="208"/>
      <c r="AB364" s="208"/>
      <c r="AC364" s="208"/>
      <c r="AD364" s="208"/>
      <c r="AE364" s="208"/>
      <c r="AF364" s="208"/>
      <c r="AG364" s="208"/>
      <c r="AH364" s="208"/>
      <c r="AI364" s="100"/>
      <c r="AJ364" s="319"/>
      <c r="AK364" s="319"/>
      <c r="AL364" s="319"/>
      <c r="AM364" s="319"/>
      <c r="AN364" s="319"/>
      <c r="AO364" s="319"/>
      <c r="AP364" s="319"/>
      <c r="AQ364" s="319"/>
      <c r="AR364" s="319"/>
      <c r="AS364" s="319"/>
      <c r="AT364" s="319"/>
      <c r="AU364" s="319"/>
      <c r="AV364" s="319"/>
      <c r="AW364" s="319"/>
      <c r="AX364" s="319"/>
      <c r="AY364" s="319"/>
      <c r="AZ364" s="319"/>
      <c r="BA364" s="319"/>
      <c r="BB364" s="319"/>
      <c r="BC364" s="319"/>
      <c r="BD364" s="319"/>
      <c r="BE364" s="319"/>
      <c r="BF364" s="319"/>
      <c r="BG364" s="319"/>
      <c r="BH364" s="319"/>
      <c r="BI364" s="319"/>
      <c r="BJ364" s="319"/>
      <c r="BK364" s="319"/>
      <c r="BL364" s="319"/>
      <c r="BM364" s="319"/>
      <c r="BN364" s="319"/>
      <c r="BO364" s="319"/>
      <c r="BP364" s="319"/>
      <c r="BQ364" s="319"/>
      <c r="BR364" s="319"/>
    </row>
    <row r="365" ht="14.25" customHeight="1">
      <c r="A365" s="195"/>
      <c r="B365" s="100"/>
      <c r="C365" s="100"/>
      <c r="D365" s="100"/>
      <c r="E365" s="100"/>
      <c r="F365" s="206"/>
      <c r="G365" s="206"/>
      <c r="H365" s="207"/>
      <c r="I365" s="207"/>
      <c r="J365" s="207"/>
      <c r="K365" s="207"/>
      <c r="L365" s="207"/>
      <c r="M365" s="207"/>
      <c r="N365" s="207"/>
      <c r="O365" s="207"/>
      <c r="P365" s="207"/>
      <c r="Q365" s="207"/>
      <c r="R365" s="207"/>
      <c r="S365" s="207"/>
      <c r="T365" s="207"/>
      <c r="U365" s="207"/>
      <c r="V365" s="207"/>
      <c r="W365" s="208"/>
      <c r="X365" s="208"/>
      <c r="Y365" s="208"/>
      <c r="Z365" s="208"/>
      <c r="AA365" s="208"/>
      <c r="AB365" s="208"/>
      <c r="AC365" s="208"/>
      <c r="AD365" s="208"/>
      <c r="AE365" s="208"/>
      <c r="AF365" s="208"/>
      <c r="AG365" s="208"/>
      <c r="AH365" s="208"/>
      <c r="AI365" s="100"/>
      <c r="AJ365" s="319"/>
      <c r="AK365" s="319"/>
      <c r="AL365" s="319"/>
      <c r="AM365" s="319"/>
      <c r="AN365" s="319"/>
      <c r="AO365" s="319"/>
      <c r="AP365" s="319"/>
      <c r="AQ365" s="319"/>
      <c r="AR365" s="319"/>
      <c r="AS365" s="319"/>
      <c r="AT365" s="319"/>
      <c r="AU365" s="319"/>
      <c r="AV365" s="319"/>
      <c r="AW365" s="319"/>
      <c r="AX365" s="319"/>
      <c r="AY365" s="319"/>
      <c r="AZ365" s="319"/>
      <c r="BA365" s="319"/>
      <c r="BB365" s="319"/>
      <c r="BC365" s="319"/>
      <c r="BD365" s="319"/>
      <c r="BE365" s="319"/>
      <c r="BF365" s="319"/>
      <c r="BG365" s="319"/>
      <c r="BH365" s="319"/>
      <c r="BI365" s="319"/>
      <c r="BJ365" s="319"/>
      <c r="BK365" s="319"/>
      <c r="BL365" s="319"/>
      <c r="BM365" s="319"/>
      <c r="BN365" s="319"/>
      <c r="BO365" s="319"/>
      <c r="BP365" s="319"/>
      <c r="BQ365" s="319"/>
      <c r="BR365" s="319"/>
    </row>
    <row r="366" ht="14.25" customHeight="1">
      <c r="A366" s="195"/>
      <c r="B366" s="100"/>
      <c r="C366" s="100"/>
      <c r="D366" s="100"/>
      <c r="E366" s="100"/>
      <c r="F366" s="206"/>
      <c r="G366" s="206"/>
      <c r="H366" s="207"/>
      <c r="I366" s="207"/>
      <c r="J366" s="207"/>
      <c r="K366" s="207"/>
      <c r="L366" s="207"/>
      <c r="M366" s="207"/>
      <c r="N366" s="207"/>
      <c r="O366" s="207"/>
      <c r="P366" s="207"/>
      <c r="Q366" s="207"/>
      <c r="R366" s="207"/>
      <c r="S366" s="207"/>
      <c r="T366" s="207"/>
      <c r="U366" s="207"/>
      <c r="V366" s="207"/>
      <c r="W366" s="208"/>
      <c r="X366" s="208"/>
      <c r="Y366" s="208"/>
      <c r="Z366" s="208"/>
      <c r="AA366" s="208"/>
      <c r="AB366" s="208"/>
      <c r="AC366" s="208"/>
      <c r="AD366" s="208"/>
      <c r="AE366" s="208"/>
      <c r="AF366" s="208"/>
      <c r="AG366" s="208"/>
      <c r="AH366" s="208"/>
      <c r="AI366" s="100"/>
      <c r="AJ366" s="319"/>
      <c r="AK366" s="319"/>
      <c r="AL366" s="319"/>
      <c r="AM366" s="319"/>
      <c r="AN366" s="319"/>
      <c r="AO366" s="319"/>
      <c r="AP366" s="319"/>
      <c r="AQ366" s="319"/>
      <c r="AR366" s="319"/>
      <c r="AS366" s="319"/>
      <c r="AT366" s="319"/>
      <c r="AU366" s="319"/>
      <c r="AV366" s="319"/>
      <c r="AW366" s="319"/>
      <c r="AX366" s="319"/>
      <c r="AY366" s="319"/>
      <c r="AZ366" s="319"/>
      <c r="BA366" s="319"/>
      <c r="BB366" s="319"/>
      <c r="BC366" s="319"/>
      <c r="BD366" s="319"/>
      <c r="BE366" s="319"/>
      <c r="BF366" s="319"/>
      <c r="BG366" s="319"/>
      <c r="BH366" s="319"/>
      <c r="BI366" s="319"/>
      <c r="BJ366" s="319"/>
      <c r="BK366" s="319"/>
      <c r="BL366" s="319"/>
      <c r="BM366" s="319"/>
      <c r="BN366" s="319"/>
      <c r="BO366" s="319"/>
      <c r="BP366" s="319"/>
      <c r="BQ366" s="319"/>
      <c r="BR366" s="319"/>
    </row>
    <row r="367" ht="14.25" customHeight="1">
      <c r="A367" s="195"/>
      <c r="B367" s="100"/>
      <c r="C367" s="100"/>
      <c r="D367" s="100"/>
      <c r="E367" s="100"/>
      <c r="F367" s="206"/>
      <c r="G367" s="206"/>
      <c r="H367" s="207"/>
      <c r="I367" s="207"/>
      <c r="J367" s="207"/>
      <c r="K367" s="207"/>
      <c r="L367" s="207"/>
      <c r="M367" s="207"/>
      <c r="N367" s="207"/>
      <c r="O367" s="207"/>
      <c r="P367" s="207"/>
      <c r="Q367" s="207"/>
      <c r="R367" s="207"/>
      <c r="S367" s="207"/>
      <c r="T367" s="207"/>
      <c r="U367" s="207"/>
      <c r="V367" s="207"/>
      <c r="W367" s="208"/>
      <c r="X367" s="208"/>
      <c r="Y367" s="208"/>
      <c r="Z367" s="208"/>
      <c r="AA367" s="208"/>
      <c r="AB367" s="208"/>
      <c r="AC367" s="208"/>
      <c r="AD367" s="208"/>
      <c r="AE367" s="208"/>
      <c r="AF367" s="208"/>
      <c r="AG367" s="208"/>
      <c r="AH367" s="208"/>
      <c r="AI367" s="100"/>
      <c r="AJ367" s="319"/>
      <c r="AK367" s="319"/>
      <c r="AL367" s="319"/>
      <c r="AM367" s="319"/>
      <c r="AN367" s="319"/>
      <c r="AO367" s="319"/>
      <c r="AP367" s="319"/>
      <c r="AQ367" s="319"/>
      <c r="AR367" s="319"/>
      <c r="AS367" s="319"/>
      <c r="AT367" s="319"/>
      <c r="AU367" s="319"/>
      <c r="AV367" s="319"/>
      <c r="AW367" s="319"/>
      <c r="AX367" s="319"/>
      <c r="AY367" s="319"/>
      <c r="AZ367" s="319"/>
      <c r="BA367" s="319"/>
      <c r="BB367" s="319"/>
      <c r="BC367" s="319"/>
      <c r="BD367" s="319"/>
      <c r="BE367" s="319"/>
      <c r="BF367" s="319"/>
      <c r="BG367" s="319"/>
      <c r="BH367" s="319"/>
      <c r="BI367" s="319"/>
      <c r="BJ367" s="319"/>
      <c r="BK367" s="319"/>
      <c r="BL367" s="319"/>
      <c r="BM367" s="319"/>
      <c r="BN367" s="319"/>
      <c r="BO367" s="319"/>
      <c r="BP367" s="319"/>
      <c r="BQ367" s="319"/>
      <c r="BR367" s="319"/>
    </row>
    <row r="368" ht="14.25" customHeight="1">
      <c r="A368" s="195"/>
      <c r="B368" s="100"/>
      <c r="C368" s="100"/>
      <c r="D368" s="100"/>
      <c r="E368" s="100"/>
      <c r="F368" s="206"/>
      <c r="G368" s="206"/>
      <c r="H368" s="207"/>
      <c r="I368" s="207"/>
      <c r="J368" s="207"/>
      <c r="K368" s="207"/>
      <c r="L368" s="207"/>
      <c r="M368" s="207"/>
      <c r="N368" s="207"/>
      <c r="O368" s="207"/>
      <c r="P368" s="207"/>
      <c r="Q368" s="207"/>
      <c r="R368" s="207"/>
      <c r="S368" s="207"/>
      <c r="T368" s="207"/>
      <c r="U368" s="207"/>
      <c r="V368" s="207"/>
      <c r="W368" s="208"/>
      <c r="X368" s="208"/>
      <c r="Y368" s="208"/>
      <c r="Z368" s="208"/>
      <c r="AA368" s="208"/>
      <c r="AB368" s="208"/>
      <c r="AC368" s="208"/>
      <c r="AD368" s="208"/>
      <c r="AE368" s="208"/>
      <c r="AF368" s="208"/>
      <c r="AG368" s="208"/>
      <c r="AH368" s="208"/>
      <c r="AI368" s="100"/>
      <c r="AJ368" s="319"/>
      <c r="AK368" s="319"/>
      <c r="AL368" s="319"/>
      <c r="AM368" s="319"/>
      <c r="AN368" s="319"/>
      <c r="AO368" s="319"/>
      <c r="AP368" s="319"/>
      <c r="AQ368" s="319"/>
      <c r="AR368" s="319"/>
      <c r="AS368" s="319"/>
      <c r="AT368" s="319"/>
      <c r="AU368" s="319"/>
      <c r="AV368" s="319"/>
      <c r="AW368" s="319"/>
      <c r="AX368" s="319"/>
      <c r="AY368" s="319"/>
      <c r="AZ368" s="319"/>
      <c r="BA368" s="319"/>
      <c r="BB368" s="319"/>
      <c r="BC368" s="319"/>
      <c r="BD368" s="319"/>
      <c r="BE368" s="319"/>
      <c r="BF368" s="319"/>
      <c r="BG368" s="319"/>
      <c r="BH368" s="319"/>
      <c r="BI368" s="319"/>
      <c r="BJ368" s="319"/>
      <c r="BK368" s="319"/>
      <c r="BL368" s="319"/>
      <c r="BM368" s="319"/>
      <c r="BN368" s="319"/>
      <c r="BO368" s="319"/>
      <c r="BP368" s="319"/>
      <c r="BQ368" s="319"/>
      <c r="BR368" s="319"/>
    </row>
    <row r="369" ht="14.25" customHeight="1">
      <c r="A369" s="195"/>
      <c r="B369" s="100"/>
      <c r="C369" s="100"/>
      <c r="D369" s="100"/>
      <c r="E369" s="100"/>
      <c r="F369" s="206"/>
      <c r="G369" s="206"/>
      <c r="H369" s="207"/>
      <c r="I369" s="207"/>
      <c r="J369" s="207"/>
      <c r="K369" s="207"/>
      <c r="L369" s="207"/>
      <c r="M369" s="207"/>
      <c r="N369" s="207"/>
      <c r="O369" s="207"/>
      <c r="P369" s="207"/>
      <c r="Q369" s="207"/>
      <c r="R369" s="207"/>
      <c r="S369" s="207"/>
      <c r="T369" s="207"/>
      <c r="U369" s="207"/>
      <c r="V369" s="207"/>
      <c r="W369" s="208"/>
      <c r="X369" s="208"/>
      <c r="Y369" s="208"/>
      <c r="Z369" s="208"/>
      <c r="AA369" s="208"/>
      <c r="AB369" s="208"/>
      <c r="AC369" s="208"/>
      <c r="AD369" s="208"/>
      <c r="AE369" s="208"/>
      <c r="AF369" s="208"/>
      <c r="AG369" s="208"/>
      <c r="AH369" s="208"/>
      <c r="AI369" s="100"/>
      <c r="AJ369" s="319"/>
      <c r="AK369" s="319"/>
      <c r="AL369" s="319"/>
      <c r="AM369" s="319"/>
      <c r="AN369" s="319"/>
      <c r="AO369" s="319"/>
      <c r="AP369" s="319"/>
      <c r="AQ369" s="319"/>
      <c r="AR369" s="319"/>
      <c r="AS369" s="319"/>
      <c r="AT369" s="319"/>
      <c r="AU369" s="319"/>
      <c r="AV369" s="319"/>
      <c r="AW369" s="319"/>
      <c r="AX369" s="319"/>
      <c r="AY369" s="319"/>
      <c r="AZ369" s="319"/>
      <c r="BA369" s="319"/>
      <c r="BB369" s="319"/>
      <c r="BC369" s="319"/>
      <c r="BD369" s="319"/>
      <c r="BE369" s="319"/>
      <c r="BF369" s="319"/>
      <c r="BG369" s="319"/>
      <c r="BH369" s="319"/>
      <c r="BI369" s="319"/>
      <c r="BJ369" s="319"/>
      <c r="BK369" s="319"/>
      <c r="BL369" s="319"/>
      <c r="BM369" s="319"/>
      <c r="BN369" s="319"/>
      <c r="BO369" s="319"/>
      <c r="BP369" s="319"/>
      <c r="BQ369" s="319"/>
      <c r="BR369" s="319"/>
    </row>
    <row r="370" ht="14.25" customHeight="1">
      <c r="A370" s="195"/>
      <c r="B370" s="100"/>
      <c r="C370" s="100"/>
      <c r="D370" s="100"/>
      <c r="E370" s="100"/>
      <c r="F370" s="206"/>
      <c r="G370" s="206"/>
      <c r="H370" s="207"/>
      <c r="I370" s="207"/>
      <c r="J370" s="207"/>
      <c r="K370" s="207"/>
      <c r="L370" s="207"/>
      <c r="M370" s="207"/>
      <c r="N370" s="207"/>
      <c r="O370" s="207"/>
      <c r="P370" s="207"/>
      <c r="Q370" s="207"/>
      <c r="R370" s="207"/>
      <c r="S370" s="207"/>
      <c r="T370" s="207"/>
      <c r="U370" s="207"/>
      <c r="V370" s="207"/>
      <c r="W370" s="208"/>
      <c r="X370" s="208"/>
      <c r="Y370" s="208"/>
      <c r="Z370" s="208"/>
      <c r="AA370" s="208"/>
      <c r="AB370" s="208"/>
      <c r="AC370" s="208"/>
      <c r="AD370" s="208"/>
      <c r="AE370" s="208"/>
      <c r="AF370" s="208"/>
      <c r="AG370" s="208"/>
      <c r="AH370" s="208"/>
      <c r="AI370" s="100"/>
      <c r="AJ370" s="319"/>
      <c r="AK370" s="319"/>
      <c r="AL370" s="319"/>
      <c r="AM370" s="319"/>
      <c r="AN370" s="319"/>
      <c r="AO370" s="319"/>
      <c r="AP370" s="319"/>
      <c r="AQ370" s="319"/>
      <c r="AR370" s="319"/>
      <c r="AS370" s="319"/>
      <c r="AT370" s="319"/>
      <c r="AU370" s="319"/>
      <c r="AV370" s="319"/>
      <c r="AW370" s="319"/>
      <c r="AX370" s="319"/>
      <c r="AY370" s="319"/>
      <c r="AZ370" s="319"/>
      <c r="BA370" s="319"/>
      <c r="BB370" s="319"/>
      <c r="BC370" s="319"/>
      <c r="BD370" s="319"/>
      <c r="BE370" s="319"/>
      <c r="BF370" s="319"/>
      <c r="BG370" s="319"/>
      <c r="BH370" s="319"/>
      <c r="BI370" s="319"/>
      <c r="BJ370" s="319"/>
      <c r="BK370" s="319"/>
      <c r="BL370" s="319"/>
      <c r="BM370" s="319"/>
      <c r="BN370" s="319"/>
      <c r="BO370" s="319"/>
      <c r="BP370" s="319"/>
      <c r="BQ370" s="319"/>
      <c r="BR370" s="319"/>
    </row>
    <row r="371" ht="14.25" customHeight="1">
      <c r="A371" s="195"/>
      <c r="B371" s="100"/>
      <c r="C371" s="100"/>
      <c r="D371" s="100"/>
      <c r="E371" s="100"/>
      <c r="F371" s="206"/>
      <c r="G371" s="206"/>
      <c r="H371" s="207"/>
      <c r="I371" s="207"/>
      <c r="J371" s="207"/>
      <c r="K371" s="207"/>
      <c r="L371" s="207"/>
      <c r="M371" s="207"/>
      <c r="N371" s="207"/>
      <c r="O371" s="207"/>
      <c r="P371" s="207"/>
      <c r="Q371" s="207"/>
      <c r="R371" s="207"/>
      <c r="S371" s="207"/>
      <c r="T371" s="207"/>
      <c r="U371" s="207"/>
      <c r="V371" s="207"/>
      <c r="W371" s="208"/>
      <c r="X371" s="208"/>
      <c r="Y371" s="208"/>
      <c r="Z371" s="208"/>
      <c r="AA371" s="208"/>
      <c r="AB371" s="208"/>
      <c r="AC371" s="208"/>
      <c r="AD371" s="208"/>
      <c r="AE371" s="208"/>
      <c r="AF371" s="208"/>
      <c r="AG371" s="208"/>
      <c r="AH371" s="208"/>
      <c r="AI371" s="100"/>
      <c r="AJ371" s="319"/>
      <c r="AK371" s="319"/>
      <c r="AL371" s="319"/>
      <c r="AM371" s="319"/>
      <c r="AN371" s="319"/>
      <c r="AO371" s="319"/>
      <c r="AP371" s="319"/>
      <c r="AQ371" s="319"/>
      <c r="AR371" s="319"/>
      <c r="AS371" s="319"/>
      <c r="AT371" s="319"/>
      <c r="AU371" s="319"/>
      <c r="AV371" s="319"/>
      <c r="AW371" s="319"/>
      <c r="AX371" s="319"/>
      <c r="AY371" s="319"/>
      <c r="AZ371" s="319"/>
      <c r="BA371" s="319"/>
      <c r="BB371" s="319"/>
      <c r="BC371" s="319"/>
      <c r="BD371" s="319"/>
      <c r="BE371" s="319"/>
      <c r="BF371" s="319"/>
      <c r="BG371" s="319"/>
      <c r="BH371" s="319"/>
      <c r="BI371" s="319"/>
      <c r="BJ371" s="319"/>
      <c r="BK371" s="319"/>
      <c r="BL371" s="319"/>
      <c r="BM371" s="319"/>
      <c r="BN371" s="319"/>
      <c r="BO371" s="319"/>
      <c r="BP371" s="319"/>
      <c r="BQ371" s="319"/>
      <c r="BR371" s="319"/>
    </row>
    <row r="372" ht="14.25" customHeight="1">
      <c r="A372" s="195"/>
      <c r="B372" s="100"/>
      <c r="C372" s="100"/>
      <c r="D372" s="100"/>
      <c r="E372" s="100"/>
      <c r="F372" s="206"/>
      <c r="G372" s="206"/>
      <c r="H372" s="207"/>
      <c r="I372" s="207"/>
      <c r="J372" s="207"/>
      <c r="K372" s="207"/>
      <c r="L372" s="207"/>
      <c r="M372" s="207"/>
      <c r="N372" s="207"/>
      <c r="O372" s="207"/>
      <c r="P372" s="207"/>
      <c r="Q372" s="207"/>
      <c r="R372" s="207"/>
      <c r="S372" s="207"/>
      <c r="T372" s="207"/>
      <c r="U372" s="207"/>
      <c r="V372" s="207"/>
      <c r="W372" s="208"/>
      <c r="X372" s="208"/>
      <c r="Y372" s="208"/>
      <c r="Z372" s="208"/>
      <c r="AA372" s="208"/>
      <c r="AB372" s="208"/>
      <c r="AC372" s="208"/>
      <c r="AD372" s="208"/>
      <c r="AE372" s="208"/>
      <c r="AF372" s="208"/>
      <c r="AG372" s="208"/>
      <c r="AH372" s="208"/>
      <c r="AI372" s="100"/>
      <c r="AJ372" s="319"/>
      <c r="AK372" s="319"/>
      <c r="AL372" s="319"/>
      <c r="AM372" s="319"/>
      <c r="AN372" s="319"/>
      <c r="AO372" s="319"/>
      <c r="AP372" s="319"/>
      <c r="AQ372" s="319"/>
      <c r="AR372" s="319"/>
      <c r="AS372" s="319"/>
      <c r="AT372" s="319"/>
      <c r="AU372" s="319"/>
      <c r="AV372" s="319"/>
      <c r="AW372" s="319"/>
      <c r="AX372" s="319"/>
      <c r="AY372" s="319"/>
      <c r="AZ372" s="319"/>
      <c r="BA372" s="319"/>
      <c r="BB372" s="319"/>
      <c r="BC372" s="319"/>
      <c r="BD372" s="319"/>
      <c r="BE372" s="319"/>
      <c r="BF372" s="319"/>
      <c r="BG372" s="319"/>
      <c r="BH372" s="319"/>
      <c r="BI372" s="319"/>
      <c r="BJ372" s="319"/>
      <c r="BK372" s="319"/>
      <c r="BL372" s="319"/>
      <c r="BM372" s="319"/>
      <c r="BN372" s="319"/>
      <c r="BO372" s="319"/>
      <c r="BP372" s="319"/>
      <c r="BQ372" s="319"/>
      <c r="BR372" s="319"/>
    </row>
    <row r="373" ht="14.25" customHeight="1">
      <c r="A373" s="195"/>
      <c r="B373" s="100"/>
      <c r="C373" s="100"/>
      <c r="D373" s="100"/>
      <c r="E373" s="100"/>
      <c r="F373" s="206"/>
      <c r="G373" s="206"/>
      <c r="H373" s="207"/>
      <c r="I373" s="207"/>
      <c r="J373" s="207"/>
      <c r="K373" s="207"/>
      <c r="L373" s="207"/>
      <c r="M373" s="207"/>
      <c r="N373" s="207"/>
      <c r="O373" s="207"/>
      <c r="P373" s="207"/>
      <c r="Q373" s="207"/>
      <c r="R373" s="207"/>
      <c r="S373" s="207"/>
      <c r="T373" s="207"/>
      <c r="U373" s="207"/>
      <c r="V373" s="207"/>
      <c r="W373" s="208"/>
      <c r="X373" s="208"/>
      <c r="Y373" s="208"/>
      <c r="Z373" s="208"/>
      <c r="AA373" s="208"/>
      <c r="AB373" s="208"/>
      <c r="AC373" s="208"/>
      <c r="AD373" s="208"/>
      <c r="AE373" s="208"/>
      <c r="AF373" s="208"/>
      <c r="AG373" s="208"/>
      <c r="AH373" s="208"/>
      <c r="AI373" s="100"/>
      <c r="AJ373" s="319"/>
      <c r="AK373" s="319"/>
      <c r="AL373" s="319"/>
      <c r="AM373" s="319"/>
      <c r="AN373" s="319"/>
      <c r="AO373" s="319"/>
      <c r="AP373" s="319"/>
      <c r="AQ373" s="319"/>
      <c r="AR373" s="319"/>
      <c r="AS373" s="319"/>
      <c r="AT373" s="319"/>
      <c r="AU373" s="319"/>
      <c r="AV373" s="319"/>
      <c r="AW373" s="319"/>
      <c r="AX373" s="319"/>
      <c r="AY373" s="319"/>
      <c r="AZ373" s="319"/>
      <c r="BA373" s="319"/>
      <c r="BB373" s="319"/>
      <c r="BC373" s="319"/>
      <c r="BD373" s="319"/>
      <c r="BE373" s="319"/>
      <c r="BF373" s="319"/>
      <c r="BG373" s="319"/>
      <c r="BH373" s="319"/>
      <c r="BI373" s="319"/>
      <c r="BJ373" s="319"/>
      <c r="BK373" s="319"/>
      <c r="BL373" s="319"/>
      <c r="BM373" s="319"/>
      <c r="BN373" s="319"/>
      <c r="BO373" s="319"/>
      <c r="BP373" s="319"/>
      <c r="BQ373" s="319"/>
      <c r="BR373" s="319"/>
    </row>
    <row r="374" ht="14.25" customHeight="1">
      <c r="A374" s="195"/>
      <c r="B374" s="100"/>
      <c r="C374" s="100"/>
      <c r="D374" s="100"/>
      <c r="E374" s="100"/>
      <c r="F374" s="206"/>
      <c r="G374" s="206"/>
      <c r="H374" s="207"/>
      <c r="I374" s="207"/>
      <c r="J374" s="207"/>
      <c r="K374" s="207"/>
      <c r="L374" s="207"/>
      <c r="M374" s="207"/>
      <c r="N374" s="207"/>
      <c r="O374" s="207"/>
      <c r="P374" s="207"/>
      <c r="Q374" s="207"/>
      <c r="R374" s="207"/>
      <c r="S374" s="207"/>
      <c r="T374" s="207"/>
      <c r="U374" s="207"/>
      <c r="V374" s="207"/>
      <c r="W374" s="208"/>
      <c r="X374" s="208"/>
      <c r="Y374" s="208"/>
      <c r="Z374" s="208"/>
      <c r="AA374" s="208"/>
      <c r="AB374" s="208"/>
      <c r="AC374" s="208"/>
      <c r="AD374" s="208"/>
      <c r="AE374" s="208"/>
      <c r="AF374" s="208"/>
      <c r="AG374" s="208"/>
      <c r="AH374" s="208"/>
      <c r="AI374" s="100"/>
      <c r="AJ374" s="319"/>
      <c r="AK374" s="319"/>
      <c r="AL374" s="319"/>
      <c r="AM374" s="319"/>
      <c r="AN374" s="319"/>
      <c r="AO374" s="319"/>
      <c r="AP374" s="319"/>
      <c r="AQ374" s="319"/>
      <c r="AR374" s="319"/>
      <c r="AS374" s="319"/>
      <c r="AT374" s="319"/>
      <c r="AU374" s="319"/>
      <c r="AV374" s="319"/>
      <c r="AW374" s="319"/>
      <c r="AX374" s="319"/>
      <c r="AY374" s="319"/>
      <c r="AZ374" s="319"/>
      <c r="BA374" s="319"/>
      <c r="BB374" s="319"/>
      <c r="BC374" s="319"/>
      <c r="BD374" s="319"/>
      <c r="BE374" s="319"/>
      <c r="BF374" s="319"/>
      <c r="BG374" s="319"/>
      <c r="BH374" s="319"/>
      <c r="BI374" s="319"/>
      <c r="BJ374" s="319"/>
      <c r="BK374" s="319"/>
      <c r="BL374" s="319"/>
      <c r="BM374" s="319"/>
      <c r="BN374" s="319"/>
      <c r="BO374" s="319"/>
      <c r="BP374" s="319"/>
      <c r="BQ374" s="319"/>
      <c r="BR374" s="319"/>
    </row>
    <row r="375" ht="14.25" customHeight="1">
      <c r="A375" s="195"/>
      <c r="B375" s="100"/>
      <c r="C375" s="100"/>
      <c r="D375" s="100"/>
      <c r="E375" s="100"/>
      <c r="F375" s="206"/>
      <c r="G375" s="206"/>
      <c r="H375" s="207"/>
      <c r="I375" s="207"/>
      <c r="J375" s="207"/>
      <c r="K375" s="207"/>
      <c r="L375" s="207"/>
      <c r="M375" s="207"/>
      <c r="N375" s="207"/>
      <c r="O375" s="207"/>
      <c r="P375" s="207"/>
      <c r="Q375" s="207"/>
      <c r="R375" s="207"/>
      <c r="S375" s="207"/>
      <c r="T375" s="207"/>
      <c r="U375" s="207"/>
      <c r="V375" s="207"/>
      <c r="W375" s="208"/>
      <c r="X375" s="208"/>
      <c r="Y375" s="208"/>
      <c r="Z375" s="208"/>
      <c r="AA375" s="208"/>
      <c r="AB375" s="208"/>
      <c r="AC375" s="208"/>
      <c r="AD375" s="208"/>
      <c r="AE375" s="208"/>
      <c r="AF375" s="208"/>
      <c r="AG375" s="208"/>
      <c r="AH375" s="208"/>
      <c r="AI375" s="100"/>
      <c r="AJ375" s="319"/>
      <c r="AK375" s="319"/>
      <c r="AL375" s="319"/>
      <c r="AM375" s="319"/>
      <c r="AN375" s="319"/>
      <c r="AO375" s="319"/>
      <c r="AP375" s="319"/>
      <c r="AQ375" s="319"/>
      <c r="AR375" s="319"/>
      <c r="AS375" s="319"/>
      <c r="AT375" s="319"/>
      <c r="AU375" s="319"/>
      <c r="AV375" s="319"/>
      <c r="AW375" s="319"/>
      <c r="AX375" s="319"/>
      <c r="AY375" s="319"/>
      <c r="AZ375" s="319"/>
      <c r="BA375" s="319"/>
      <c r="BB375" s="319"/>
      <c r="BC375" s="319"/>
      <c r="BD375" s="319"/>
      <c r="BE375" s="319"/>
      <c r="BF375" s="319"/>
      <c r="BG375" s="319"/>
      <c r="BH375" s="319"/>
      <c r="BI375" s="319"/>
      <c r="BJ375" s="319"/>
      <c r="BK375" s="319"/>
      <c r="BL375" s="319"/>
      <c r="BM375" s="319"/>
      <c r="BN375" s="319"/>
      <c r="BO375" s="319"/>
      <c r="BP375" s="319"/>
      <c r="BQ375" s="319"/>
      <c r="BR375" s="319"/>
    </row>
    <row r="376" ht="14.25" customHeight="1">
      <c r="A376" s="195"/>
      <c r="B376" s="100"/>
      <c r="C376" s="100"/>
      <c r="D376" s="100"/>
      <c r="E376" s="100"/>
      <c r="F376" s="206"/>
      <c r="G376" s="206"/>
      <c r="H376" s="207"/>
      <c r="I376" s="207"/>
      <c r="J376" s="207"/>
      <c r="K376" s="207"/>
      <c r="L376" s="207"/>
      <c r="M376" s="207"/>
      <c r="N376" s="207"/>
      <c r="O376" s="207"/>
      <c r="P376" s="207"/>
      <c r="Q376" s="207"/>
      <c r="R376" s="207"/>
      <c r="S376" s="207"/>
      <c r="T376" s="207"/>
      <c r="U376" s="207"/>
      <c r="V376" s="207"/>
      <c r="W376" s="208"/>
      <c r="X376" s="208"/>
      <c r="Y376" s="208"/>
      <c r="Z376" s="208"/>
      <c r="AA376" s="208"/>
      <c r="AB376" s="208"/>
      <c r="AC376" s="208"/>
      <c r="AD376" s="208"/>
      <c r="AE376" s="208"/>
      <c r="AF376" s="208"/>
      <c r="AG376" s="208"/>
      <c r="AH376" s="208"/>
      <c r="AI376" s="100"/>
      <c r="AJ376" s="319"/>
      <c r="AK376" s="319"/>
      <c r="AL376" s="319"/>
      <c r="AM376" s="319"/>
      <c r="AN376" s="319"/>
      <c r="AO376" s="319"/>
      <c r="AP376" s="319"/>
      <c r="AQ376" s="319"/>
      <c r="AR376" s="319"/>
      <c r="AS376" s="319"/>
      <c r="AT376" s="319"/>
      <c r="AU376" s="319"/>
      <c r="AV376" s="319"/>
      <c r="AW376" s="319"/>
      <c r="AX376" s="319"/>
      <c r="AY376" s="319"/>
      <c r="AZ376" s="319"/>
      <c r="BA376" s="319"/>
      <c r="BB376" s="319"/>
      <c r="BC376" s="319"/>
      <c r="BD376" s="319"/>
      <c r="BE376" s="319"/>
      <c r="BF376" s="319"/>
      <c r="BG376" s="319"/>
      <c r="BH376" s="319"/>
      <c r="BI376" s="319"/>
      <c r="BJ376" s="319"/>
      <c r="BK376" s="319"/>
      <c r="BL376" s="319"/>
      <c r="BM376" s="319"/>
      <c r="BN376" s="319"/>
      <c r="BO376" s="319"/>
      <c r="BP376" s="319"/>
      <c r="BQ376" s="319"/>
      <c r="BR376" s="319"/>
    </row>
    <row r="377" ht="14.25" customHeight="1">
      <c r="A377" s="195"/>
      <c r="B377" s="100"/>
      <c r="C377" s="100"/>
      <c r="D377" s="100"/>
      <c r="E377" s="100"/>
      <c r="F377" s="206"/>
      <c r="G377" s="206"/>
      <c r="H377" s="207"/>
      <c r="I377" s="207"/>
      <c r="J377" s="207"/>
      <c r="K377" s="207"/>
      <c r="L377" s="207"/>
      <c r="M377" s="207"/>
      <c r="N377" s="207"/>
      <c r="O377" s="207"/>
      <c r="P377" s="207"/>
      <c r="Q377" s="207"/>
      <c r="R377" s="207"/>
      <c r="S377" s="207"/>
      <c r="T377" s="207"/>
      <c r="U377" s="207"/>
      <c r="V377" s="207"/>
      <c r="W377" s="208"/>
      <c r="X377" s="208"/>
      <c r="Y377" s="208"/>
      <c r="Z377" s="208"/>
      <c r="AA377" s="208"/>
      <c r="AB377" s="208"/>
      <c r="AC377" s="208"/>
      <c r="AD377" s="208"/>
      <c r="AE377" s="208"/>
      <c r="AF377" s="208"/>
      <c r="AG377" s="208"/>
      <c r="AH377" s="208"/>
      <c r="AI377" s="100"/>
      <c r="AJ377" s="319"/>
      <c r="AK377" s="319"/>
      <c r="AL377" s="319"/>
      <c r="AM377" s="319"/>
      <c r="AN377" s="319"/>
      <c r="AO377" s="319"/>
      <c r="AP377" s="319"/>
      <c r="AQ377" s="319"/>
      <c r="AR377" s="319"/>
      <c r="AS377" s="319"/>
      <c r="AT377" s="319"/>
      <c r="AU377" s="319"/>
      <c r="AV377" s="319"/>
      <c r="AW377" s="319"/>
      <c r="AX377" s="319"/>
      <c r="AY377" s="319"/>
      <c r="AZ377" s="319"/>
      <c r="BA377" s="319"/>
      <c r="BB377" s="319"/>
      <c r="BC377" s="319"/>
      <c r="BD377" s="319"/>
      <c r="BE377" s="319"/>
      <c r="BF377" s="319"/>
      <c r="BG377" s="319"/>
      <c r="BH377" s="319"/>
      <c r="BI377" s="319"/>
      <c r="BJ377" s="319"/>
      <c r="BK377" s="319"/>
      <c r="BL377" s="319"/>
      <c r="BM377" s="319"/>
      <c r="BN377" s="319"/>
      <c r="BO377" s="319"/>
      <c r="BP377" s="319"/>
      <c r="BQ377" s="319"/>
      <c r="BR377" s="319"/>
    </row>
    <row r="378" ht="14.25" customHeight="1">
      <c r="A378" s="195"/>
      <c r="B378" s="100"/>
      <c r="C378" s="100"/>
      <c r="D378" s="100"/>
      <c r="E378" s="100"/>
      <c r="F378" s="206"/>
      <c r="G378" s="206"/>
      <c r="H378" s="207"/>
      <c r="I378" s="207"/>
      <c r="J378" s="207"/>
      <c r="K378" s="207"/>
      <c r="L378" s="207"/>
      <c r="M378" s="207"/>
      <c r="N378" s="207"/>
      <c r="O378" s="207"/>
      <c r="P378" s="207"/>
      <c r="Q378" s="207"/>
      <c r="R378" s="207"/>
      <c r="S378" s="207"/>
      <c r="T378" s="207"/>
      <c r="U378" s="207"/>
      <c r="V378" s="207"/>
      <c r="W378" s="208"/>
      <c r="X378" s="208"/>
      <c r="Y378" s="208"/>
      <c r="Z378" s="208"/>
      <c r="AA378" s="208"/>
      <c r="AB378" s="208"/>
      <c r="AC378" s="208"/>
      <c r="AD378" s="208"/>
      <c r="AE378" s="208"/>
      <c r="AF378" s="208"/>
      <c r="AG378" s="208"/>
      <c r="AH378" s="208"/>
      <c r="AI378" s="100"/>
      <c r="AJ378" s="319"/>
      <c r="AK378" s="319"/>
      <c r="AL378" s="319"/>
      <c r="AM378" s="319"/>
      <c r="AN378" s="319"/>
      <c r="AO378" s="319"/>
      <c r="AP378" s="319"/>
      <c r="AQ378" s="319"/>
      <c r="AR378" s="319"/>
      <c r="AS378" s="319"/>
      <c r="AT378" s="319"/>
      <c r="AU378" s="319"/>
      <c r="AV378" s="319"/>
      <c r="AW378" s="319"/>
      <c r="AX378" s="319"/>
      <c r="AY378" s="319"/>
      <c r="AZ378" s="319"/>
      <c r="BA378" s="319"/>
      <c r="BB378" s="319"/>
      <c r="BC378" s="319"/>
      <c r="BD378" s="319"/>
      <c r="BE378" s="319"/>
      <c r="BF378" s="319"/>
      <c r="BG378" s="319"/>
      <c r="BH378" s="319"/>
      <c r="BI378" s="319"/>
      <c r="BJ378" s="319"/>
      <c r="BK378" s="319"/>
      <c r="BL378" s="319"/>
      <c r="BM378" s="319"/>
      <c r="BN378" s="319"/>
      <c r="BO378" s="319"/>
      <c r="BP378" s="319"/>
      <c r="BQ378" s="319"/>
      <c r="BR378" s="319"/>
    </row>
    <row r="379" ht="14.25" customHeight="1">
      <c r="A379" s="195"/>
      <c r="B379" s="100"/>
      <c r="C379" s="100"/>
      <c r="D379" s="100"/>
      <c r="E379" s="100"/>
      <c r="F379" s="206"/>
      <c r="G379" s="206"/>
      <c r="H379" s="207"/>
      <c r="I379" s="207"/>
      <c r="J379" s="207"/>
      <c r="K379" s="207"/>
      <c r="L379" s="207"/>
      <c r="M379" s="207"/>
      <c r="N379" s="207"/>
      <c r="O379" s="207"/>
      <c r="P379" s="207"/>
      <c r="Q379" s="207"/>
      <c r="R379" s="207"/>
      <c r="S379" s="207"/>
      <c r="T379" s="207"/>
      <c r="U379" s="207"/>
      <c r="V379" s="207"/>
      <c r="W379" s="208"/>
      <c r="X379" s="208"/>
      <c r="Y379" s="208"/>
      <c r="Z379" s="208"/>
      <c r="AA379" s="208"/>
      <c r="AB379" s="208"/>
      <c r="AC379" s="208"/>
      <c r="AD379" s="208"/>
      <c r="AE379" s="208"/>
      <c r="AF379" s="208"/>
      <c r="AG379" s="208"/>
      <c r="AH379" s="208"/>
      <c r="AI379" s="100"/>
      <c r="AJ379" s="319"/>
      <c r="AK379" s="319"/>
      <c r="AL379" s="319"/>
      <c r="AM379" s="319"/>
      <c r="AN379" s="319"/>
      <c r="AO379" s="319"/>
      <c r="AP379" s="319"/>
      <c r="AQ379" s="319"/>
      <c r="AR379" s="319"/>
      <c r="AS379" s="319"/>
      <c r="AT379" s="319"/>
      <c r="AU379" s="319"/>
      <c r="AV379" s="319"/>
      <c r="AW379" s="319"/>
      <c r="AX379" s="319"/>
      <c r="AY379" s="319"/>
      <c r="AZ379" s="319"/>
      <c r="BA379" s="319"/>
      <c r="BB379" s="319"/>
      <c r="BC379" s="319"/>
      <c r="BD379" s="319"/>
      <c r="BE379" s="319"/>
      <c r="BF379" s="319"/>
      <c r="BG379" s="319"/>
      <c r="BH379" s="319"/>
      <c r="BI379" s="319"/>
      <c r="BJ379" s="319"/>
      <c r="BK379" s="319"/>
      <c r="BL379" s="319"/>
      <c r="BM379" s="319"/>
      <c r="BN379" s="319"/>
      <c r="BO379" s="319"/>
      <c r="BP379" s="319"/>
      <c r="BQ379" s="319"/>
      <c r="BR379" s="319"/>
    </row>
    <row r="380" ht="14.25" customHeight="1">
      <c r="A380" s="195"/>
      <c r="B380" s="100"/>
      <c r="C380" s="100"/>
      <c r="D380" s="100"/>
      <c r="E380" s="100"/>
      <c r="F380" s="206"/>
      <c r="G380" s="206"/>
      <c r="H380" s="207"/>
      <c r="I380" s="207"/>
      <c r="J380" s="207"/>
      <c r="K380" s="207"/>
      <c r="L380" s="207"/>
      <c r="M380" s="207"/>
      <c r="N380" s="207"/>
      <c r="O380" s="207"/>
      <c r="P380" s="207"/>
      <c r="Q380" s="207"/>
      <c r="R380" s="207"/>
      <c r="S380" s="207"/>
      <c r="T380" s="207"/>
      <c r="U380" s="207"/>
      <c r="V380" s="207"/>
      <c r="W380" s="208"/>
      <c r="X380" s="208"/>
      <c r="Y380" s="208"/>
      <c r="Z380" s="208"/>
      <c r="AA380" s="208"/>
      <c r="AB380" s="208"/>
      <c r="AC380" s="208"/>
      <c r="AD380" s="208"/>
      <c r="AE380" s="208"/>
      <c r="AF380" s="208"/>
      <c r="AG380" s="208"/>
      <c r="AH380" s="208"/>
      <c r="AI380" s="100"/>
      <c r="AJ380" s="319"/>
      <c r="AK380" s="319"/>
      <c r="AL380" s="319"/>
      <c r="AM380" s="319"/>
      <c r="AN380" s="319"/>
      <c r="AO380" s="319"/>
      <c r="AP380" s="319"/>
      <c r="AQ380" s="319"/>
      <c r="AR380" s="319"/>
      <c r="AS380" s="319"/>
      <c r="AT380" s="319"/>
      <c r="AU380" s="319"/>
      <c r="AV380" s="319"/>
      <c r="AW380" s="319"/>
      <c r="AX380" s="319"/>
      <c r="AY380" s="319"/>
      <c r="AZ380" s="319"/>
      <c r="BA380" s="319"/>
      <c r="BB380" s="319"/>
      <c r="BC380" s="319"/>
      <c r="BD380" s="319"/>
      <c r="BE380" s="319"/>
      <c r="BF380" s="319"/>
      <c r="BG380" s="319"/>
      <c r="BH380" s="319"/>
      <c r="BI380" s="319"/>
      <c r="BJ380" s="319"/>
      <c r="BK380" s="319"/>
      <c r="BL380" s="319"/>
      <c r="BM380" s="319"/>
      <c r="BN380" s="319"/>
      <c r="BO380" s="319"/>
      <c r="BP380" s="319"/>
      <c r="BQ380" s="319"/>
      <c r="BR380" s="319"/>
    </row>
    <row r="381" ht="14.25" customHeight="1">
      <c r="A381" s="195"/>
      <c r="B381" s="100"/>
      <c r="C381" s="100"/>
      <c r="D381" s="100"/>
      <c r="E381" s="100"/>
      <c r="F381" s="206"/>
      <c r="G381" s="206"/>
      <c r="H381" s="207"/>
      <c r="I381" s="207"/>
      <c r="J381" s="207"/>
      <c r="K381" s="207"/>
      <c r="L381" s="207"/>
      <c r="M381" s="207"/>
      <c r="N381" s="207"/>
      <c r="O381" s="207"/>
      <c r="P381" s="207"/>
      <c r="Q381" s="207"/>
      <c r="R381" s="207"/>
      <c r="S381" s="207"/>
      <c r="T381" s="207"/>
      <c r="U381" s="207"/>
      <c r="V381" s="207"/>
      <c r="W381" s="208"/>
      <c r="X381" s="208"/>
      <c r="Y381" s="208"/>
      <c r="Z381" s="208"/>
      <c r="AA381" s="208"/>
      <c r="AB381" s="208"/>
      <c r="AC381" s="208"/>
      <c r="AD381" s="208"/>
      <c r="AE381" s="208"/>
      <c r="AF381" s="208"/>
      <c r="AG381" s="208"/>
      <c r="AH381" s="208"/>
      <c r="AI381" s="100"/>
      <c r="AJ381" s="319"/>
      <c r="AK381" s="319"/>
      <c r="AL381" s="319"/>
      <c r="AM381" s="319"/>
      <c r="AN381" s="319"/>
      <c r="AO381" s="319"/>
      <c r="AP381" s="319"/>
      <c r="AQ381" s="319"/>
      <c r="AR381" s="319"/>
      <c r="AS381" s="319"/>
      <c r="AT381" s="319"/>
      <c r="AU381" s="319"/>
      <c r="AV381" s="319"/>
      <c r="AW381" s="319"/>
      <c r="AX381" s="319"/>
      <c r="AY381" s="319"/>
      <c r="AZ381" s="319"/>
      <c r="BA381" s="319"/>
      <c r="BB381" s="319"/>
      <c r="BC381" s="319"/>
      <c r="BD381" s="319"/>
      <c r="BE381" s="319"/>
      <c r="BF381" s="319"/>
      <c r="BG381" s="319"/>
      <c r="BH381" s="319"/>
      <c r="BI381" s="319"/>
      <c r="BJ381" s="319"/>
      <c r="BK381" s="319"/>
      <c r="BL381" s="319"/>
      <c r="BM381" s="319"/>
      <c r="BN381" s="319"/>
      <c r="BO381" s="319"/>
      <c r="BP381" s="319"/>
      <c r="BQ381" s="319"/>
      <c r="BR381" s="319"/>
    </row>
    <row r="382" ht="14.25" customHeight="1">
      <c r="A382" s="195"/>
      <c r="B382" s="100"/>
      <c r="C382" s="100"/>
      <c r="D382" s="100"/>
      <c r="E382" s="100"/>
      <c r="F382" s="206"/>
      <c r="G382" s="206"/>
      <c r="H382" s="207"/>
      <c r="I382" s="207"/>
      <c r="J382" s="207"/>
      <c r="K382" s="207"/>
      <c r="L382" s="207"/>
      <c r="M382" s="207"/>
      <c r="N382" s="207"/>
      <c r="O382" s="207"/>
      <c r="P382" s="207"/>
      <c r="Q382" s="207"/>
      <c r="R382" s="207"/>
      <c r="S382" s="207"/>
      <c r="T382" s="207"/>
      <c r="U382" s="207"/>
      <c r="V382" s="207"/>
      <c r="W382" s="208"/>
      <c r="X382" s="208"/>
      <c r="Y382" s="208"/>
      <c r="Z382" s="208"/>
      <c r="AA382" s="208"/>
      <c r="AB382" s="208"/>
      <c r="AC382" s="208"/>
      <c r="AD382" s="208"/>
      <c r="AE382" s="208"/>
      <c r="AF382" s="208"/>
      <c r="AG382" s="208"/>
      <c r="AH382" s="208"/>
      <c r="AI382" s="100"/>
      <c r="AJ382" s="319"/>
      <c r="AK382" s="319"/>
      <c r="AL382" s="319"/>
      <c r="AM382" s="319"/>
      <c r="AN382" s="319"/>
      <c r="AO382" s="319"/>
      <c r="AP382" s="319"/>
      <c r="AQ382" s="319"/>
      <c r="AR382" s="319"/>
      <c r="AS382" s="319"/>
      <c r="AT382" s="319"/>
      <c r="AU382" s="319"/>
      <c r="AV382" s="319"/>
      <c r="AW382" s="319"/>
      <c r="AX382" s="319"/>
      <c r="AY382" s="319"/>
      <c r="AZ382" s="319"/>
      <c r="BA382" s="319"/>
      <c r="BB382" s="319"/>
      <c r="BC382" s="319"/>
      <c r="BD382" s="319"/>
      <c r="BE382" s="319"/>
      <c r="BF382" s="319"/>
      <c r="BG382" s="319"/>
      <c r="BH382" s="319"/>
      <c r="BI382" s="319"/>
      <c r="BJ382" s="319"/>
      <c r="BK382" s="319"/>
      <c r="BL382" s="319"/>
      <c r="BM382" s="319"/>
      <c r="BN382" s="319"/>
      <c r="BO382" s="319"/>
      <c r="BP382" s="319"/>
      <c r="BQ382" s="319"/>
      <c r="BR382" s="319"/>
    </row>
    <row r="383" ht="14.25" customHeight="1">
      <c r="A383" s="195"/>
      <c r="B383" s="100"/>
      <c r="C383" s="100"/>
      <c r="D383" s="100"/>
      <c r="E383" s="100"/>
      <c r="F383" s="206"/>
      <c r="G383" s="206"/>
      <c r="H383" s="207"/>
      <c r="I383" s="207"/>
      <c r="J383" s="207"/>
      <c r="K383" s="207"/>
      <c r="L383" s="207"/>
      <c r="M383" s="207"/>
      <c r="N383" s="207"/>
      <c r="O383" s="207"/>
      <c r="P383" s="207"/>
      <c r="Q383" s="207"/>
      <c r="R383" s="207"/>
      <c r="S383" s="207"/>
      <c r="T383" s="207"/>
      <c r="U383" s="207"/>
      <c r="V383" s="207"/>
      <c r="W383" s="208"/>
      <c r="X383" s="208"/>
      <c r="Y383" s="208"/>
      <c r="Z383" s="208"/>
      <c r="AA383" s="208"/>
      <c r="AB383" s="208"/>
      <c r="AC383" s="208"/>
      <c r="AD383" s="208"/>
      <c r="AE383" s="208"/>
      <c r="AF383" s="208"/>
      <c r="AG383" s="208"/>
      <c r="AH383" s="208"/>
      <c r="AI383" s="100"/>
      <c r="AJ383" s="319"/>
      <c r="AK383" s="319"/>
      <c r="AL383" s="319"/>
      <c r="AM383" s="319"/>
      <c r="AN383" s="319"/>
      <c r="AO383" s="319"/>
      <c r="AP383" s="319"/>
      <c r="AQ383" s="319"/>
      <c r="AR383" s="319"/>
      <c r="AS383" s="319"/>
      <c r="AT383" s="319"/>
      <c r="AU383" s="319"/>
      <c r="AV383" s="319"/>
      <c r="AW383" s="319"/>
      <c r="AX383" s="319"/>
      <c r="AY383" s="319"/>
      <c r="AZ383" s="319"/>
      <c r="BA383" s="319"/>
      <c r="BB383" s="319"/>
      <c r="BC383" s="319"/>
      <c r="BD383" s="319"/>
      <c r="BE383" s="319"/>
      <c r="BF383" s="319"/>
      <c r="BG383" s="319"/>
      <c r="BH383" s="319"/>
      <c r="BI383" s="319"/>
      <c r="BJ383" s="319"/>
      <c r="BK383" s="319"/>
      <c r="BL383" s="319"/>
      <c r="BM383" s="319"/>
      <c r="BN383" s="319"/>
      <c r="BO383" s="319"/>
      <c r="BP383" s="319"/>
      <c r="BQ383" s="319"/>
      <c r="BR383" s="319"/>
    </row>
    <row r="384" ht="14.25" customHeight="1">
      <c r="A384" s="195"/>
      <c r="B384" s="100"/>
      <c r="C384" s="100"/>
      <c r="D384" s="100"/>
      <c r="E384" s="100"/>
      <c r="F384" s="206"/>
      <c r="G384" s="206"/>
      <c r="H384" s="207"/>
      <c r="I384" s="207"/>
      <c r="J384" s="207"/>
      <c r="K384" s="207"/>
      <c r="L384" s="207"/>
      <c r="M384" s="207"/>
      <c r="N384" s="207"/>
      <c r="O384" s="207"/>
      <c r="P384" s="207"/>
      <c r="Q384" s="207"/>
      <c r="R384" s="207"/>
      <c r="S384" s="207"/>
      <c r="T384" s="207"/>
      <c r="U384" s="207"/>
      <c r="V384" s="207"/>
      <c r="W384" s="208"/>
      <c r="X384" s="208"/>
      <c r="Y384" s="208"/>
      <c r="Z384" s="208"/>
      <c r="AA384" s="208"/>
      <c r="AB384" s="208"/>
      <c r="AC384" s="208"/>
      <c r="AD384" s="208"/>
      <c r="AE384" s="208"/>
      <c r="AF384" s="208"/>
      <c r="AG384" s="208"/>
      <c r="AH384" s="208"/>
      <c r="AI384" s="100"/>
      <c r="AJ384" s="319"/>
      <c r="AK384" s="319"/>
      <c r="AL384" s="319"/>
      <c r="AM384" s="319"/>
      <c r="AN384" s="319"/>
      <c r="AO384" s="319"/>
      <c r="AP384" s="319"/>
      <c r="AQ384" s="319"/>
      <c r="AR384" s="319"/>
      <c r="AS384" s="319"/>
      <c r="AT384" s="319"/>
      <c r="AU384" s="319"/>
      <c r="AV384" s="319"/>
      <c r="AW384" s="319"/>
      <c r="AX384" s="319"/>
      <c r="AY384" s="319"/>
      <c r="AZ384" s="319"/>
      <c r="BA384" s="319"/>
      <c r="BB384" s="319"/>
      <c r="BC384" s="319"/>
      <c r="BD384" s="319"/>
      <c r="BE384" s="319"/>
      <c r="BF384" s="319"/>
      <c r="BG384" s="319"/>
      <c r="BH384" s="319"/>
      <c r="BI384" s="319"/>
      <c r="BJ384" s="319"/>
      <c r="BK384" s="319"/>
      <c r="BL384" s="319"/>
      <c r="BM384" s="319"/>
      <c r="BN384" s="319"/>
      <c r="BO384" s="319"/>
      <c r="BP384" s="319"/>
      <c r="BQ384" s="319"/>
      <c r="BR384" s="319"/>
    </row>
    <row r="385" ht="14.25" customHeight="1">
      <c r="A385" s="195"/>
      <c r="B385" s="100"/>
      <c r="C385" s="100"/>
      <c r="D385" s="100"/>
      <c r="E385" s="100"/>
      <c r="F385" s="206"/>
      <c r="G385" s="206"/>
      <c r="H385" s="207"/>
      <c r="I385" s="207"/>
      <c r="J385" s="207"/>
      <c r="K385" s="207"/>
      <c r="L385" s="207"/>
      <c r="M385" s="207"/>
      <c r="N385" s="207"/>
      <c r="O385" s="207"/>
      <c r="P385" s="207"/>
      <c r="Q385" s="207"/>
      <c r="R385" s="207"/>
      <c r="S385" s="207"/>
      <c r="T385" s="207"/>
      <c r="U385" s="207"/>
      <c r="V385" s="207"/>
      <c r="W385" s="208"/>
      <c r="X385" s="208"/>
      <c r="Y385" s="208"/>
      <c r="Z385" s="208"/>
      <c r="AA385" s="208"/>
      <c r="AB385" s="208"/>
      <c r="AC385" s="208"/>
      <c r="AD385" s="208"/>
      <c r="AE385" s="208"/>
      <c r="AF385" s="208"/>
      <c r="AG385" s="208"/>
      <c r="AH385" s="208"/>
      <c r="AI385" s="100"/>
      <c r="AJ385" s="319"/>
      <c r="AK385" s="319"/>
      <c r="AL385" s="319"/>
      <c r="AM385" s="319"/>
      <c r="AN385" s="319"/>
      <c r="AO385" s="319"/>
      <c r="AP385" s="319"/>
      <c r="AQ385" s="319"/>
      <c r="AR385" s="319"/>
      <c r="AS385" s="319"/>
      <c r="AT385" s="319"/>
      <c r="AU385" s="319"/>
      <c r="AV385" s="319"/>
      <c r="AW385" s="319"/>
      <c r="AX385" s="319"/>
      <c r="AY385" s="319"/>
      <c r="AZ385" s="319"/>
      <c r="BA385" s="319"/>
      <c r="BB385" s="319"/>
      <c r="BC385" s="319"/>
      <c r="BD385" s="319"/>
      <c r="BE385" s="319"/>
      <c r="BF385" s="319"/>
      <c r="BG385" s="319"/>
      <c r="BH385" s="319"/>
      <c r="BI385" s="319"/>
      <c r="BJ385" s="319"/>
      <c r="BK385" s="319"/>
      <c r="BL385" s="319"/>
      <c r="BM385" s="319"/>
      <c r="BN385" s="319"/>
      <c r="BO385" s="319"/>
      <c r="BP385" s="319"/>
      <c r="BQ385" s="319"/>
      <c r="BR385" s="319"/>
    </row>
    <row r="386" ht="14.25" customHeight="1">
      <c r="A386" s="195"/>
      <c r="B386" s="100"/>
      <c r="C386" s="100"/>
      <c r="D386" s="100"/>
      <c r="E386" s="100"/>
      <c r="F386" s="206"/>
      <c r="G386" s="206"/>
      <c r="H386" s="207"/>
      <c r="I386" s="207"/>
      <c r="J386" s="207"/>
      <c r="K386" s="207"/>
      <c r="L386" s="207"/>
      <c r="M386" s="207"/>
      <c r="N386" s="207"/>
      <c r="O386" s="207"/>
      <c r="P386" s="207"/>
      <c r="Q386" s="207"/>
      <c r="R386" s="207"/>
      <c r="S386" s="207"/>
      <c r="T386" s="207"/>
      <c r="U386" s="207"/>
      <c r="V386" s="207"/>
      <c r="W386" s="208"/>
      <c r="X386" s="208"/>
      <c r="Y386" s="208"/>
      <c r="Z386" s="208"/>
      <c r="AA386" s="208"/>
      <c r="AB386" s="208"/>
      <c r="AC386" s="208"/>
      <c r="AD386" s="208"/>
      <c r="AE386" s="208"/>
      <c r="AF386" s="208"/>
      <c r="AG386" s="208"/>
      <c r="AH386" s="208"/>
      <c r="AI386" s="100"/>
      <c r="AJ386" s="319"/>
      <c r="AK386" s="319"/>
      <c r="AL386" s="319"/>
      <c r="AM386" s="319"/>
      <c r="AN386" s="319"/>
      <c r="AO386" s="319"/>
      <c r="AP386" s="319"/>
      <c r="AQ386" s="319"/>
      <c r="AR386" s="319"/>
      <c r="AS386" s="319"/>
      <c r="AT386" s="319"/>
      <c r="AU386" s="319"/>
      <c r="AV386" s="319"/>
      <c r="AW386" s="319"/>
      <c r="AX386" s="319"/>
      <c r="AY386" s="319"/>
      <c r="AZ386" s="319"/>
      <c r="BA386" s="319"/>
      <c r="BB386" s="319"/>
      <c r="BC386" s="319"/>
      <c r="BD386" s="319"/>
      <c r="BE386" s="319"/>
      <c r="BF386" s="319"/>
      <c r="BG386" s="319"/>
      <c r="BH386" s="319"/>
      <c r="BI386" s="319"/>
      <c r="BJ386" s="319"/>
      <c r="BK386" s="319"/>
      <c r="BL386" s="319"/>
      <c r="BM386" s="319"/>
      <c r="BN386" s="319"/>
      <c r="BO386" s="319"/>
      <c r="BP386" s="319"/>
      <c r="BQ386" s="319"/>
      <c r="BR386" s="319"/>
    </row>
    <row r="387" ht="14.25" customHeight="1">
      <c r="A387" s="195"/>
      <c r="B387" s="100"/>
      <c r="C387" s="100"/>
      <c r="D387" s="100"/>
      <c r="E387" s="100"/>
      <c r="F387" s="206"/>
      <c r="G387" s="206"/>
      <c r="H387" s="207"/>
      <c r="I387" s="207"/>
      <c r="J387" s="207"/>
      <c r="K387" s="207"/>
      <c r="L387" s="207"/>
      <c r="M387" s="207"/>
      <c r="N387" s="207"/>
      <c r="O387" s="207"/>
      <c r="P387" s="207"/>
      <c r="Q387" s="207"/>
      <c r="R387" s="207"/>
      <c r="S387" s="207"/>
      <c r="T387" s="207"/>
      <c r="U387" s="207"/>
      <c r="V387" s="207"/>
      <c r="W387" s="208"/>
      <c r="X387" s="208"/>
      <c r="Y387" s="208"/>
      <c r="Z387" s="208"/>
      <c r="AA387" s="208"/>
      <c r="AB387" s="208"/>
      <c r="AC387" s="208"/>
      <c r="AD387" s="208"/>
      <c r="AE387" s="208"/>
      <c r="AF387" s="208"/>
      <c r="AG387" s="208"/>
      <c r="AH387" s="208"/>
      <c r="AI387" s="100"/>
      <c r="AJ387" s="319"/>
      <c r="AK387" s="319"/>
      <c r="AL387" s="319"/>
      <c r="AM387" s="319"/>
      <c r="AN387" s="319"/>
      <c r="AO387" s="319"/>
      <c r="AP387" s="319"/>
      <c r="AQ387" s="319"/>
      <c r="AR387" s="319"/>
      <c r="AS387" s="319"/>
      <c r="AT387" s="319"/>
      <c r="AU387" s="319"/>
      <c r="AV387" s="319"/>
      <c r="AW387" s="319"/>
      <c r="AX387" s="319"/>
      <c r="AY387" s="319"/>
      <c r="AZ387" s="319"/>
      <c r="BA387" s="319"/>
      <c r="BB387" s="319"/>
      <c r="BC387" s="319"/>
      <c r="BD387" s="319"/>
      <c r="BE387" s="319"/>
      <c r="BF387" s="319"/>
      <c r="BG387" s="319"/>
      <c r="BH387" s="319"/>
      <c r="BI387" s="319"/>
      <c r="BJ387" s="319"/>
      <c r="BK387" s="319"/>
      <c r="BL387" s="319"/>
      <c r="BM387" s="319"/>
      <c r="BN387" s="319"/>
      <c r="BO387" s="319"/>
      <c r="BP387" s="319"/>
      <c r="BQ387" s="319"/>
      <c r="BR387" s="319"/>
    </row>
    <row r="388" ht="14.25" customHeight="1">
      <c r="A388" s="195"/>
      <c r="B388" s="100"/>
      <c r="C388" s="100"/>
      <c r="D388" s="100"/>
      <c r="E388" s="100"/>
      <c r="F388" s="206"/>
      <c r="G388" s="206"/>
      <c r="H388" s="207"/>
      <c r="I388" s="207"/>
      <c r="J388" s="207"/>
      <c r="K388" s="207"/>
      <c r="L388" s="207"/>
      <c r="M388" s="207"/>
      <c r="N388" s="207"/>
      <c r="O388" s="207"/>
      <c r="P388" s="207"/>
      <c r="Q388" s="207"/>
      <c r="R388" s="207"/>
      <c r="S388" s="207"/>
      <c r="T388" s="207"/>
      <c r="U388" s="207"/>
      <c r="V388" s="207"/>
      <c r="W388" s="208"/>
      <c r="X388" s="208"/>
      <c r="Y388" s="208"/>
      <c r="Z388" s="208"/>
      <c r="AA388" s="208"/>
      <c r="AB388" s="208"/>
      <c r="AC388" s="208"/>
      <c r="AD388" s="208"/>
      <c r="AE388" s="208"/>
      <c r="AF388" s="208"/>
      <c r="AG388" s="208"/>
      <c r="AH388" s="208"/>
      <c r="AI388" s="100"/>
      <c r="AJ388" s="319"/>
      <c r="AK388" s="319"/>
      <c r="AL388" s="319"/>
      <c r="AM388" s="319"/>
      <c r="AN388" s="319"/>
      <c r="AO388" s="319"/>
      <c r="AP388" s="319"/>
      <c r="AQ388" s="319"/>
      <c r="AR388" s="319"/>
      <c r="AS388" s="319"/>
      <c r="AT388" s="319"/>
      <c r="AU388" s="319"/>
      <c r="AV388" s="319"/>
      <c r="AW388" s="319"/>
      <c r="AX388" s="319"/>
      <c r="AY388" s="319"/>
      <c r="AZ388" s="319"/>
      <c r="BA388" s="319"/>
      <c r="BB388" s="319"/>
      <c r="BC388" s="319"/>
      <c r="BD388" s="319"/>
      <c r="BE388" s="319"/>
      <c r="BF388" s="319"/>
      <c r="BG388" s="319"/>
      <c r="BH388" s="319"/>
      <c r="BI388" s="319"/>
      <c r="BJ388" s="319"/>
      <c r="BK388" s="319"/>
      <c r="BL388" s="319"/>
      <c r="BM388" s="319"/>
      <c r="BN388" s="319"/>
      <c r="BO388" s="319"/>
      <c r="BP388" s="319"/>
      <c r="BQ388" s="319"/>
      <c r="BR388" s="319"/>
    </row>
    <row r="389" ht="14.25" customHeight="1">
      <c r="A389" s="195"/>
      <c r="B389" s="100"/>
      <c r="C389" s="100"/>
      <c r="D389" s="100"/>
      <c r="E389" s="100"/>
      <c r="F389" s="206"/>
      <c r="G389" s="206"/>
      <c r="H389" s="207"/>
      <c r="I389" s="207"/>
      <c r="J389" s="207"/>
      <c r="K389" s="207"/>
      <c r="L389" s="207"/>
      <c r="M389" s="207"/>
      <c r="N389" s="207"/>
      <c r="O389" s="207"/>
      <c r="P389" s="207"/>
      <c r="Q389" s="207"/>
      <c r="R389" s="207"/>
      <c r="S389" s="207"/>
      <c r="T389" s="207"/>
      <c r="U389" s="207"/>
      <c r="V389" s="207"/>
      <c r="W389" s="208"/>
      <c r="X389" s="208"/>
      <c r="Y389" s="208"/>
      <c r="Z389" s="208"/>
      <c r="AA389" s="208"/>
      <c r="AB389" s="208"/>
      <c r="AC389" s="208"/>
      <c r="AD389" s="208"/>
      <c r="AE389" s="208"/>
      <c r="AF389" s="208"/>
      <c r="AG389" s="208"/>
      <c r="AH389" s="208"/>
      <c r="AI389" s="100"/>
      <c r="AJ389" s="319"/>
      <c r="AK389" s="319"/>
      <c r="AL389" s="319"/>
      <c r="AM389" s="319"/>
      <c r="AN389" s="319"/>
      <c r="AO389" s="319"/>
      <c r="AP389" s="319"/>
      <c r="AQ389" s="319"/>
      <c r="AR389" s="319"/>
      <c r="AS389" s="319"/>
      <c r="AT389" s="319"/>
      <c r="AU389" s="319"/>
      <c r="AV389" s="319"/>
      <c r="AW389" s="319"/>
      <c r="AX389" s="319"/>
      <c r="AY389" s="319"/>
      <c r="AZ389" s="319"/>
      <c r="BA389" s="319"/>
      <c r="BB389" s="319"/>
      <c r="BC389" s="319"/>
      <c r="BD389" s="319"/>
      <c r="BE389" s="319"/>
      <c r="BF389" s="319"/>
      <c r="BG389" s="319"/>
      <c r="BH389" s="319"/>
      <c r="BI389" s="319"/>
      <c r="BJ389" s="319"/>
      <c r="BK389" s="319"/>
      <c r="BL389" s="319"/>
      <c r="BM389" s="319"/>
      <c r="BN389" s="319"/>
      <c r="BO389" s="319"/>
      <c r="BP389" s="319"/>
      <c r="BQ389" s="319"/>
      <c r="BR389" s="319"/>
    </row>
    <row r="390" ht="14.25" customHeight="1">
      <c r="A390" s="195"/>
      <c r="B390" s="100"/>
      <c r="C390" s="100"/>
      <c r="D390" s="100"/>
      <c r="E390" s="100"/>
      <c r="F390" s="206"/>
      <c r="G390" s="206"/>
      <c r="H390" s="207"/>
      <c r="I390" s="207"/>
      <c r="J390" s="207"/>
      <c r="K390" s="207"/>
      <c r="L390" s="207"/>
      <c r="M390" s="207"/>
      <c r="N390" s="207"/>
      <c r="O390" s="207"/>
      <c r="P390" s="207"/>
      <c r="Q390" s="207"/>
      <c r="R390" s="207"/>
      <c r="S390" s="207"/>
      <c r="T390" s="207"/>
      <c r="U390" s="207"/>
      <c r="V390" s="207"/>
      <c r="W390" s="208"/>
      <c r="X390" s="208"/>
      <c r="Y390" s="208"/>
      <c r="Z390" s="208"/>
      <c r="AA390" s="208"/>
      <c r="AB390" s="208"/>
      <c r="AC390" s="208"/>
      <c r="AD390" s="208"/>
      <c r="AE390" s="208"/>
      <c r="AF390" s="208"/>
      <c r="AG390" s="208"/>
      <c r="AH390" s="208"/>
      <c r="AI390" s="100"/>
      <c r="AJ390" s="319"/>
      <c r="AK390" s="319"/>
      <c r="AL390" s="319"/>
      <c r="AM390" s="319"/>
      <c r="AN390" s="319"/>
      <c r="AO390" s="319"/>
      <c r="AP390" s="319"/>
      <c r="AQ390" s="319"/>
      <c r="AR390" s="319"/>
      <c r="AS390" s="319"/>
      <c r="AT390" s="319"/>
      <c r="AU390" s="319"/>
      <c r="AV390" s="319"/>
      <c r="AW390" s="319"/>
      <c r="AX390" s="319"/>
      <c r="AY390" s="319"/>
      <c r="AZ390" s="319"/>
      <c r="BA390" s="319"/>
      <c r="BB390" s="319"/>
      <c r="BC390" s="319"/>
      <c r="BD390" s="319"/>
      <c r="BE390" s="319"/>
      <c r="BF390" s="319"/>
      <c r="BG390" s="319"/>
      <c r="BH390" s="319"/>
      <c r="BI390" s="319"/>
      <c r="BJ390" s="319"/>
      <c r="BK390" s="319"/>
      <c r="BL390" s="319"/>
      <c r="BM390" s="319"/>
      <c r="BN390" s="319"/>
      <c r="BO390" s="319"/>
      <c r="BP390" s="319"/>
      <c r="BQ390" s="319"/>
      <c r="BR390" s="319"/>
    </row>
    <row r="391" ht="14.25" customHeight="1">
      <c r="A391" s="195"/>
      <c r="B391" s="100"/>
      <c r="C391" s="100"/>
      <c r="D391" s="100"/>
      <c r="E391" s="100"/>
      <c r="F391" s="206"/>
      <c r="G391" s="206"/>
      <c r="H391" s="207"/>
      <c r="I391" s="207"/>
      <c r="J391" s="207"/>
      <c r="K391" s="207"/>
      <c r="L391" s="207"/>
      <c r="M391" s="207"/>
      <c r="N391" s="207"/>
      <c r="O391" s="207"/>
      <c r="P391" s="207"/>
      <c r="Q391" s="207"/>
      <c r="R391" s="207"/>
      <c r="S391" s="207"/>
      <c r="T391" s="207"/>
      <c r="U391" s="207"/>
      <c r="V391" s="207"/>
      <c r="W391" s="208"/>
      <c r="X391" s="208"/>
      <c r="Y391" s="208"/>
      <c r="Z391" s="208"/>
      <c r="AA391" s="208"/>
      <c r="AB391" s="208"/>
      <c r="AC391" s="208"/>
      <c r="AD391" s="208"/>
      <c r="AE391" s="208"/>
      <c r="AF391" s="208"/>
      <c r="AG391" s="208"/>
      <c r="AH391" s="208"/>
      <c r="AI391" s="100"/>
      <c r="AJ391" s="319"/>
      <c r="AK391" s="319"/>
      <c r="AL391" s="319"/>
      <c r="AM391" s="319"/>
      <c r="AN391" s="319"/>
      <c r="AO391" s="319"/>
      <c r="AP391" s="319"/>
      <c r="AQ391" s="319"/>
      <c r="AR391" s="319"/>
      <c r="AS391" s="319"/>
      <c r="AT391" s="319"/>
      <c r="AU391" s="319"/>
      <c r="AV391" s="319"/>
      <c r="AW391" s="319"/>
      <c r="AX391" s="319"/>
      <c r="AY391" s="319"/>
      <c r="AZ391" s="319"/>
      <c r="BA391" s="319"/>
      <c r="BB391" s="319"/>
      <c r="BC391" s="319"/>
      <c r="BD391" s="319"/>
      <c r="BE391" s="319"/>
      <c r="BF391" s="319"/>
      <c r="BG391" s="319"/>
      <c r="BH391" s="319"/>
      <c r="BI391" s="319"/>
      <c r="BJ391" s="319"/>
      <c r="BK391" s="319"/>
      <c r="BL391" s="319"/>
      <c r="BM391" s="319"/>
      <c r="BN391" s="319"/>
      <c r="BO391" s="319"/>
      <c r="BP391" s="319"/>
      <c r="BQ391" s="319"/>
      <c r="BR391" s="319"/>
    </row>
    <row r="392" ht="14.25" customHeight="1">
      <c r="A392" s="195"/>
      <c r="B392" s="100"/>
      <c r="C392" s="100"/>
      <c r="D392" s="100"/>
      <c r="E392" s="100"/>
      <c r="F392" s="206"/>
      <c r="G392" s="206"/>
      <c r="H392" s="207"/>
      <c r="I392" s="207"/>
      <c r="J392" s="207"/>
      <c r="K392" s="207"/>
      <c r="L392" s="207"/>
      <c r="M392" s="207"/>
      <c r="N392" s="207"/>
      <c r="O392" s="207"/>
      <c r="P392" s="207"/>
      <c r="Q392" s="207"/>
      <c r="R392" s="207"/>
      <c r="S392" s="207"/>
      <c r="T392" s="207"/>
      <c r="U392" s="207"/>
      <c r="V392" s="207"/>
      <c r="W392" s="208"/>
      <c r="X392" s="208"/>
      <c r="Y392" s="208"/>
      <c r="Z392" s="208"/>
      <c r="AA392" s="208"/>
      <c r="AB392" s="208"/>
      <c r="AC392" s="208"/>
      <c r="AD392" s="208"/>
      <c r="AE392" s="208"/>
      <c r="AF392" s="208"/>
      <c r="AG392" s="208"/>
      <c r="AH392" s="208"/>
      <c r="AI392" s="100"/>
      <c r="AJ392" s="319"/>
      <c r="AK392" s="319"/>
      <c r="AL392" s="319"/>
      <c r="AM392" s="319"/>
      <c r="AN392" s="319"/>
      <c r="AO392" s="319"/>
      <c r="AP392" s="319"/>
      <c r="AQ392" s="319"/>
      <c r="AR392" s="319"/>
      <c r="AS392" s="319"/>
      <c r="AT392" s="319"/>
      <c r="AU392" s="319"/>
      <c r="AV392" s="319"/>
      <c r="AW392" s="319"/>
      <c r="AX392" s="319"/>
      <c r="AY392" s="319"/>
      <c r="AZ392" s="319"/>
      <c r="BA392" s="319"/>
      <c r="BB392" s="319"/>
      <c r="BC392" s="319"/>
      <c r="BD392" s="319"/>
      <c r="BE392" s="319"/>
      <c r="BF392" s="319"/>
      <c r="BG392" s="319"/>
      <c r="BH392" s="319"/>
      <c r="BI392" s="319"/>
      <c r="BJ392" s="319"/>
      <c r="BK392" s="319"/>
      <c r="BL392" s="319"/>
      <c r="BM392" s="319"/>
      <c r="BN392" s="319"/>
      <c r="BO392" s="319"/>
      <c r="BP392" s="319"/>
      <c r="BQ392" s="319"/>
      <c r="BR392" s="319"/>
    </row>
    <row r="393" ht="14.25" customHeight="1">
      <c r="A393" s="195"/>
      <c r="B393" s="100"/>
      <c r="C393" s="100"/>
      <c r="D393" s="100"/>
      <c r="E393" s="100"/>
      <c r="F393" s="206"/>
      <c r="G393" s="206"/>
      <c r="H393" s="207"/>
      <c r="I393" s="207"/>
      <c r="J393" s="207"/>
      <c r="K393" s="207"/>
      <c r="L393" s="207"/>
      <c r="M393" s="207"/>
      <c r="N393" s="207"/>
      <c r="O393" s="207"/>
      <c r="P393" s="207"/>
      <c r="Q393" s="207"/>
      <c r="R393" s="207"/>
      <c r="S393" s="207"/>
      <c r="T393" s="207"/>
      <c r="U393" s="207"/>
      <c r="V393" s="207"/>
      <c r="W393" s="208"/>
      <c r="X393" s="208"/>
      <c r="Y393" s="208"/>
      <c r="Z393" s="208"/>
      <c r="AA393" s="208"/>
      <c r="AB393" s="208"/>
      <c r="AC393" s="208"/>
      <c r="AD393" s="208"/>
      <c r="AE393" s="208"/>
      <c r="AF393" s="208"/>
      <c r="AG393" s="208"/>
      <c r="AH393" s="208"/>
      <c r="AI393" s="100"/>
      <c r="AJ393" s="319"/>
      <c r="AK393" s="319"/>
      <c r="AL393" s="319"/>
      <c r="AM393" s="319"/>
      <c r="AN393" s="319"/>
      <c r="AO393" s="319"/>
      <c r="AP393" s="319"/>
      <c r="AQ393" s="319"/>
      <c r="AR393" s="319"/>
      <c r="AS393" s="319"/>
      <c r="AT393" s="319"/>
      <c r="AU393" s="319"/>
      <c r="AV393" s="319"/>
      <c r="AW393" s="319"/>
      <c r="AX393" s="319"/>
      <c r="AY393" s="319"/>
      <c r="AZ393" s="319"/>
      <c r="BA393" s="319"/>
      <c r="BB393" s="319"/>
      <c r="BC393" s="319"/>
      <c r="BD393" s="319"/>
      <c r="BE393" s="319"/>
      <c r="BF393" s="319"/>
      <c r="BG393" s="319"/>
      <c r="BH393" s="319"/>
      <c r="BI393" s="319"/>
      <c r="BJ393" s="319"/>
      <c r="BK393" s="319"/>
      <c r="BL393" s="319"/>
      <c r="BM393" s="319"/>
      <c r="BN393" s="319"/>
      <c r="BO393" s="319"/>
      <c r="BP393" s="319"/>
      <c r="BQ393" s="319"/>
      <c r="BR393" s="319"/>
    </row>
    <row r="394" ht="14.25" customHeight="1">
      <c r="A394" s="195"/>
      <c r="B394" s="100"/>
      <c r="C394" s="100"/>
      <c r="D394" s="100"/>
      <c r="E394" s="100"/>
      <c r="F394" s="206"/>
      <c r="G394" s="206"/>
      <c r="H394" s="207"/>
      <c r="I394" s="207"/>
      <c r="J394" s="207"/>
      <c r="K394" s="207"/>
      <c r="L394" s="207"/>
      <c r="M394" s="207"/>
      <c r="N394" s="207"/>
      <c r="O394" s="207"/>
      <c r="P394" s="207"/>
      <c r="Q394" s="207"/>
      <c r="R394" s="207"/>
      <c r="S394" s="207"/>
      <c r="T394" s="207"/>
      <c r="U394" s="207"/>
      <c r="V394" s="207"/>
      <c r="W394" s="208"/>
      <c r="X394" s="208"/>
      <c r="Y394" s="208"/>
      <c r="Z394" s="208"/>
      <c r="AA394" s="208"/>
      <c r="AB394" s="208"/>
      <c r="AC394" s="208"/>
      <c r="AD394" s="208"/>
      <c r="AE394" s="208"/>
      <c r="AF394" s="208"/>
      <c r="AG394" s="208"/>
      <c r="AH394" s="208"/>
      <c r="AI394" s="100"/>
      <c r="AJ394" s="319"/>
      <c r="AK394" s="319"/>
      <c r="AL394" s="319"/>
      <c r="AM394" s="319"/>
      <c r="AN394" s="319"/>
      <c r="AO394" s="319"/>
      <c r="AP394" s="319"/>
      <c r="AQ394" s="319"/>
      <c r="AR394" s="319"/>
      <c r="AS394" s="319"/>
      <c r="AT394" s="319"/>
      <c r="AU394" s="319"/>
      <c r="AV394" s="319"/>
      <c r="AW394" s="319"/>
      <c r="AX394" s="319"/>
      <c r="AY394" s="319"/>
      <c r="AZ394" s="319"/>
      <c r="BA394" s="319"/>
      <c r="BB394" s="319"/>
      <c r="BC394" s="319"/>
      <c r="BD394" s="319"/>
      <c r="BE394" s="319"/>
      <c r="BF394" s="319"/>
      <c r="BG394" s="319"/>
      <c r="BH394" s="319"/>
      <c r="BI394" s="319"/>
      <c r="BJ394" s="319"/>
      <c r="BK394" s="319"/>
      <c r="BL394" s="319"/>
      <c r="BM394" s="319"/>
      <c r="BN394" s="319"/>
      <c r="BO394" s="319"/>
      <c r="BP394" s="319"/>
      <c r="BQ394" s="319"/>
      <c r="BR394" s="319"/>
    </row>
    <row r="395" ht="14.25" customHeight="1">
      <c r="A395" s="195"/>
      <c r="B395" s="100"/>
      <c r="C395" s="100"/>
      <c r="D395" s="100"/>
      <c r="E395" s="100"/>
      <c r="F395" s="206"/>
      <c r="G395" s="206"/>
      <c r="H395" s="207"/>
      <c r="I395" s="207"/>
      <c r="J395" s="207"/>
      <c r="K395" s="207"/>
      <c r="L395" s="207"/>
      <c r="M395" s="207"/>
      <c r="N395" s="207"/>
      <c r="O395" s="207"/>
      <c r="P395" s="207"/>
      <c r="Q395" s="207"/>
      <c r="R395" s="207"/>
      <c r="S395" s="207"/>
      <c r="T395" s="207"/>
      <c r="U395" s="207"/>
      <c r="V395" s="207"/>
      <c r="W395" s="208"/>
      <c r="X395" s="208"/>
      <c r="Y395" s="208"/>
      <c r="Z395" s="208"/>
      <c r="AA395" s="208"/>
      <c r="AB395" s="208"/>
      <c r="AC395" s="208"/>
      <c r="AD395" s="208"/>
      <c r="AE395" s="208"/>
      <c r="AF395" s="208"/>
      <c r="AG395" s="208"/>
      <c r="AH395" s="208"/>
      <c r="AI395" s="100"/>
      <c r="AJ395" s="319"/>
      <c r="AK395" s="319"/>
      <c r="AL395" s="319"/>
      <c r="AM395" s="319"/>
      <c r="AN395" s="319"/>
      <c r="AO395" s="319"/>
      <c r="AP395" s="319"/>
      <c r="AQ395" s="319"/>
      <c r="AR395" s="319"/>
      <c r="AS395" s="319"/>
      <c r="AT395" s="319"/>
      <c r="AU395" s="319"/>
      <c r="AV395" s="319"/>
      <c r="AW395" s="319"/>
      <c r="AX395" s="319"/>
      <c r="AY395" s="319"/>
      <c r="AZ395" s="319"/>
      <c r="BA395" s="319"/>
      <c r="BB395" s="319"/>
      <c r="BC395" s="319"/>
      <c r="BD395" s="319"/>
      <c r="BE395" s="319"/>
      <c r="BF395" s="319"/>
      <c r="BG395" s="319"/>
      <c r="BH395" s="319"/>
      <c r="BI395" s="319"/>
      <c r="BJ395" s="319"/>
      <c r="BK395" s="319"/>
      <c r="BL395" s="319"/>
      <c r="BM395" s="319"/>
      <c r="BN395" s="319"/>
      <c r="BO395" s="319"/>
      <c r="BP395" s="319"/>
      <c r="BQ395" s="319"/>
      <c r="BR395" s="319"/>
    </row>
    <row r="396" ht="14.25" customHeight="1">
      <c r="A396" s="195"/>
      <c r="B396" s="100"/>
      <c r="C396" s="100"/>
      <c r="D396" s="100"/>
      <c r="E396" s="100"/>
      <c r="F396" s="206"/>
      <c r="G396" s="206"/>
      <c r="H396" s="207"/>
      <c r="I396" s="207"/>
      <c r="J396" s="207"/>
      <c r="K396" s="207"/>
      <c r="L396" s="207"/>
      <c r="M396" s="207"/>
      <c r="N396" s="207"/>
      <c r="O396" s="207"/>
      <c r="P396" s="207"/>
      <c r="Q396" s="207"/>
      <c r="R396" s="207"/>
      <c r="S396" s="207"/>
      <c r="T396" s="207"/>
      <c r="U396" s="207"/>
      <c r="V396" s="207"/>
      <c r="W396" s="208"/>
      <c r="X396" s="208"/>
      <c r="Y396" s="208"/>
      <c r="Z396" s="208"/>
      <c r="AA396" s="208"/>
      <c r="AB396" s="208"/>
      <c r="AC396" s="208"/>
      <c r="AD396" s="208"/>
      <c r="AE396" s="208"/>
      <c r="AF396" s="208"/>
      <c r="AG396" s="208"/>
      <c r="AH396" s="208"/>
      <c r="AI396" s="100"/>
      <c r="AJ396" s="319"/>
      <c r="AK396" s="319"/>
      <c r="AL396" s="319"/>
      <c r="AM396" s="319"/>
      <c r="AN396" s="319"/>
      <c r="AO396" s="319"/>
      <c r="AP396" s="319"/>
      <c r="AQ396" s="319"/>
      <c r="AR396" s="319"/>
      <c r="AS396" s="319"/>
      <c r="AT396" s="319"/>
      <c r="AU396" s="319"/>
      <c r="AV396" s="319"/>
      <c r="AW396" s="319"/>
      <c r="AX396" s="319"/>
      <c r="AY396" s="319"/>
      <c r="AZ396" s="319"/>
      <c r="BA396" s="319"/>
      <c r="BB396" s="319"/>
      <c r="BC396" s="319"/>
      <c r="BD396" s="319"/>
      <c r="BE396" s="319"/>
      <c r="BF396" s="319"/>
      <c r="BG396" s="319"/>
      <c r="BH396" s="319"/>
      <c r="BI396" s="319"/>
      <c r="BJ396" s="319"/>
      <c r="BK396" s="319"/>
      <c r="BL396" s="319"/>
      <c r="BM396" s="319"/>
      <c r="BN396" s="319"/>
      <c r="BO396" s="319"/>
      <c r="BP396" s="319"/>
      <c r="BQ396" s="319"/>
      <c r="BR396" s="319"/>
    </row>
    <row r="397" ht="14.25" customHeight="1">
      <c r="A397" s="195"/>
      <c r="B397" s="100"/>
      <c r="C397" s="100"/>
      <c r="D397" s="100"/>
      <c r="E397" s="100"/>
      <c r="F397" s="206"/>
      <c r="G397" s="206"/>
      <c r="H397" s="207"/>
      <c r="I397" s="207"/>
      <c r="J397" s="207"/>
      <c r="K397" s="207"/>
      <c r="L397" s="207"/>
      <c r="M397" s="207"/>
      <c r="N397" s="207"/>
      <c r="O397" s="207"/>
      <c r="P397" s="207"/>
      <c r="Q397" s="207"/>
      <c r="R397" s="207"/>
      <c r="S397" s="207"/>
      <c r="T397" s="207"/>
      <c r="U397" s="207"/>
      <c r="V397" s="207"/>
      <c r="W397" s="208"/>
      <c r="X397" s="208"/>
      <c r="Y397" s="208"/>
      <c r="Z397" s="208"/>
      <c r="AA397" s="208"/>
      <c r="AB397" s="208"/>
      <c r="AC397" s="208"/>
      <c r="AD397" s="208"/>
      <c r="AE397" s="208"/>
      <c r="AF397" s="208"/>
      <c r="AG397" s="208"/>
      <c r="AH397" s="208"/>
      <c r="AI397" s="100"/>
      <c r="AJ397" s="319"/>
      <c r="AK397" s="319"/>
      <c r="AL397" s="319"/>
      <c r="AM397" s="319"/>
      <c r="AN397" s="319"/>
      <c r="AO397" s="319"/>
      <c r="AP397" s="319"/>
      <c r="AQ397" s="319"/>
      <c r="AR397" s="319"/>
      <c r="AS397" s="319"/>
      <c r="AT397" s="319"/>
      <c r="AU397" s="319"/>
      <c r="AV397" s="319"/>
      <c r="AW397" s="319"/>
      <c r="AX397" s="319"/>
      <c r="AY397" s="319"/>
      <c r="AZ397" s="319"/>
      <c r="BA397" s="319"/>
      <c r="BB397" s="319"/>
      <c r="BC397" s="319"/>
      <c r="BD397" s="319"/>
      <c r="BE397" s="319"/>
      <c r="BF397" s="319"/>
      <c r="BG397" s="319"/>
      <c r="BH397" s="319"/>
      <c r="BI397" s="319"/>
      <c r="BJ397" s="319"/>
      <c r="BK397" s="319"/>
      <c r="BL397" s="319"/>
      <c r="BM397" s="319"/>
      <c r="BN397" s="319"/>
      <c r="BO397" s="319"/>
      <c r="BP397" s="319"/>
      <c r="BQ397" s="319"/>
      <c r="BR397" s="319"/>
    </row>
    <row r="398" ht="14.25" customHeight="1">
      <c r="A398" s="195"/>
      <c r="B398" s="100"/>
      <c r="C398" s="100"/>
      <c r="D398" s="100"/>
      <c r="E398" s="100"/>
      <c r="F398" s="206"/>
      <c r="G398" s="206"/>
      <c r="H398" s="207"/>
      <c r="I398" s="207"/>
      <c r="J398" s="207"/>
      <c r="K398" s="207"/>
      <c r="L398" s="207"/>
      <c r="M398" s="207"/>
      <c r="N398" s="207"/>
      <c r="O398" s="207"/>
      <c r="P398" s="207"/>
      <c r="Q398" s="207"/>
      <c r="R398" s="207"/>
      <c r="S398" s="207"/>
      <c r="T398" s="207"/>
      <c r="U398" s="207"/>
      <c r="V398" s="207"/>
      <c r="W398" s="208"/>
      <c r="X398" s="208"/>
      <c r="Y398" s="208"/>
      <c r="Z398" s="208"/>
      <c r="AA398" s="208"/>
      <c r="AB398" s="208"/>
      <c r="AC398" s="208"/>
      <c r="AD398" s="208"/>
      <c r="AE398" s="208"/>
      <c r="AF398" s="208"/>
      <c r="AG398" s="208"/>
      <c r="AH398" s="208"/>
      <c r="AI398" s="100"/>
      <c r="AJ398" s="319"/>
      <c r="AK398" s="319"/>
      <c r="AL398" s="319"/>
      <c r="AM398" s="319"/>
      <c r="AN398" s="319"/>
      <c r="AO398" s="319"/>
      <c r="AP398" s="319"/>
      <c r="AQ398" s="319"/>
      <c r="AR398" s="319"/>
      <c r="AS398" s="319"/>
      <c r="AT398" s="319"/>
      <c r="AU398" s="319"/>
      <c r="AV398" s="319"/>
      <c r="AW398" s="319"/>
      <c r="AX398" s="319"/>
      <c r="AY398" s="319"/>
      <c r="AZ398" s="319"/>
      <c r="BA398" s="319"/>
      <c r="BB398" s="319"/>
      <c r="BC398" s="319"/>
      <c r="BD398" s="319"/>
      <c r="BE398" s="319"/>
      <c r="BF398" s="319"/>
      <c r="BG398" s="319"/>
      <c r="BH398" s="319"/>
      <c r="BI398" s="319"/>
      <c r="BJ398" s="319"/>
      <c r="BK398" s="319"/>
      <c r="BL398" s="319"/>
      <c r="BM398" s="319"/>
      <c r="BN398" s="319"/>
      <c r="BO398" s="319"/>
      <c r="BP398" s="319"/>
      <c r="BQ398" s="319"/>
      <c r="BR398" s="319"/>
    </row>
    <row r="399" ht="14.25" customHeight="1">
      <c r="A399" s="195"/>
      <c r="B399" s="100"/>
      <c r="C399" s="100"/>
      <c r="D399" s="100"/>
      <c r="E399" s="100"/>
      <c r="F399" s="206"/>
      <c r="G399" s="206"/>
      <c r="H399" s="207"/>
      <c r="I399" s="207"/>
      <c r="J399" s="207"/>
      <c r="K399" s="207"/>
      <c r="L399" s="207"/>
      <c r="M399" s="207"/>
      <c r="N399" s="207"/>
      <c r="O399" s="207"/>
      <c r="P399" s="207"/>
      <c r="Q399" s="207"/>
      <c r="R399" s="207"/>
      <c r="S399" s="207"/>
      <c r="T399" s="207"/>
      <c r="U399" s="207"/>
      <c r="V399" s="207"/>
      <c r="W399" s="208"/>
      <c r="X399" s="208"/>
      <c r="Y399" s="208"/>
      <c r="Z399" s="208"/>
      <c r="AA399" s="208"/>
      <c r="AB399" s="208"/>
      <c r="AC399" s="208"/>
      <c r="AD399" s="208"/>
      <c r="AE399" s="208"/>
      <c r="AF399" s="208"/>
      <c r="AG399" s="208"/>
      <c r="AH399" s="208"/>
      <c r="AI399" s="100"/>
      <c r="AJ399" s="319"/>
      <c r="AK399" s="319"/>
      <c r="AL399" s="319"/>
      <c r="AM399" s="319"/>
      <c r="AN399" s="319"/>
      <c r="AO399" s="319"/>
      <c r="AP399" s="319"/>
      <c r="AQ399" s="319"/>
      <c r="AR399" s="319"/>
      <c r="AS399" s="319"/>
      <c r="AT399" s="319"/>
      <c r="AU399" s="319"/>
      <c r="AV399" s="319"/>
      <c r="AW399" s="319"/>
      <c r="AX399" s="319"/>
      <c r="AY399" s="319"/>
      <c r="AZ399" s="319"/>
      <c r="BA399" s="319"/>
      <c r="BB399" s="319"/>
      <c r="BC399" s="319"/>
      <c r="BD399" s="319"/>
      <c r="BE399" s="319"/>
      <c r="BF399" s="319"/>
      <c r="BG399" s="319"/>
      <c r="BH399" s="319"/>
      <c r="BI399" s="319"/>
      <c r="BJ399" s="319"/>
      <c r="BK399" s="319"/>
      <c r="BL399" s="319"/>
      <c r="BM399" s="319"/>
      <c r="BN399" s="319"/>
      <c r="BO399" s="319"/>
      <c r="BP399" s="319"/>
      <c r="BQ399" s="319"/>
      <c r="BR399" s="319"/>
    </row>
    <row r="400" ht="14.25" customHeight="1">
      <c r="A400" s="195"/>
      <c r="B400" s="100"/>
      <c r="C400" s="100"/>
      <c r="D400" s="100"/>
      <c r="E400" s="100"/>
      <c r="F400" s="206"/>
      <c r="G400" s="206"/>
      <c r="H400" s="207"/>
      <c r="I400" s="207"/>
      <c r="J400" s="207"/>
      <c r="K400" s="207"/>
      <c r="L400" s="207"/>
      <c r="M400" s="207"/>
      <c r="N400" s="207"/>
      <c r="O400" s="207"/>
      <c r="P400" s="207"/>
      <c r="Q400" s="207"/>
      <c r="R400" s="207"/>
      <c r="S400" s="207"/>
      <c r="T400" s="207"/>
      <c r="U400" s="207"/>
      <c r="V400" s="207"/>
      <c r="W400" s="208"/>
      <c r="X400" s="208"/>
      <c r="Y400" s="208"/>
      <c r="Z400" s="208"/>
      <c r="AA400" s="208"/>
      <c r="AB400" s="208"/>
      <c r="AC400" s="208"/>
      <c r="AD400" s="208"/>
      <c r="AE400" s="208"/>
      <c r="AF400" s="208"/>
      <c r="AG400" s="208"/>
      <c r="AH400" s="208"/>
      <c r="AI400" s="100"/>
      <c r="AJ400" s="319"/>
      <c r="AK400" s="319"/>
      <c r="AL400" s="319"/>
      <c r="AM400" s="319"/>
      <c r="AN400" s="319"/>
      <c r="AO400" s="319"/>
      <c r="AP400" s="319"/>
      <c r="AQ400" s="319"/>
      <c r="AR400" s="319"/>
      <c r="AS400" s="319"/>
      <c r="AT400" s="319"/>
      <c r="AU400" s="319"/>
      <c r="AV400" s="319"/>
      <c r="AW400" s="319"/>
      <c r="AX400" s="319"/>
      <c r="AY400" s="319"/>
      <c r="AZ400" s="319"/>
      <c r="BA400" s="319"/>
      <c r="BB400" s="319"/>
      <c r="BC400" s="319"/>
      <c r="BD400" s="319"/>
      <c r="BE400" s="319"/>
      <c r="BF400" s="319"/>
      <c r="BG400" s="319"/>
      <c r="BH400" s="319"/>
      <c r="BI400" s="319"/>
      <c r="BJ400" s="319"/>
      <c r="BK400" s="319"/>
      <c r="BL400" s="319"/>
      <c r="BM400" s="319"/>
      <c r="BN400" s="319"/>
      <c r="BO400" s="319"/>
      <c r="BP400" s="319"/>
      <c r="BQ400" s="319"/>
      <c r="BR400" s="319"/>
    </row>
    <row r="401" ht="14.25" customHeight="1">
      <c r="A401" s="195"/>
      <c r="B401" s="100"/>
      <c r="C401" s="100"/>
      <c r="D401" s="100"/>
      <c r="E401" s="100"/>
      <c r="F401" s="206"/>
      <c r="G401" s="206"/>
      <c r="H401" s="207"/>
      <c r="I401" s="207"/>
      <c r="J401" s="207"/>
      <c r="K401" s="207"/>
      <c r="L401" s="207"/>
      <c r="M401" s="207"/>
      <c r="N401" s="207"/>
      <c r="O401" s="207"/>
      <c r="P401" s="207"/>
      <c r="Q401" s="207"/>
      <c r="R401" s="207"/>
      <c r="S401" s="207"/>
      <c r="T401" s="207"/>
      <c r="U401" s="207"/>
      <c r="V401" s="207"/>
      <c r="W401" s="208"/>
      <c r="X401" s="208"/>
      <c r="Y401" s="208"/>
      <c r="Z401" s="208"/>
      <c r="AA401" s="208"/>
      <c r="AB401" s="208"/>
      <c r="AC401" s="208"/>
      <c r="AD401" s="208"/>
      <c r="AE401" s="208"/>
      <c r="AF401" s="208"/>
      <c r="AG401" s="208"/>
      <c r="AH401" s="208"/>
      <c r="AI401" s="100"/>
      <c r="AJ401" s="319"/>
      <c r="AK401" s="319"/>
      <c r="AL401" s="319"/>
      <c r="AM401" s="319"/>
      <c r="AN401" s="319"/>
      <c r="AO401" s="319"/>
      <c r="AP401" s="319"/>
      <c r="AQ401" s="319"/>
      <c r="AR401" s="319"/>
      <c r="AS401" s="319"/>
      <c r="AT401" s="319"/>
      <c r="AU401" s="319"/>
      <c r="AV401" s="319"/>
      <c r="AW401" s="319"/>
      <c r="AX401" s="319"/>
      <c r="AY401" s="319"/>
      <c r="AZ401" s="319"/>
      <c r="BA401" s="319"/>
      <c r="BB401" s="319"/>
      <c r="BC401" s="319"/>
      <c r="BD401" s="319"/>
      <c r="BE401" s="319"/>
      <c r="BF401" s="319"/>
      <c r="BG401" s="319"/>
      <c r="BH401" s="319"/>
      <c r="BI401" s="319"/>
      <c r="BJ401" s="319"/>
      <c r="BK401" s="319"/>
      <c r="BL401" s="319"/>
      <c r="BM401" s="319"/>
      <c r="BN401" s="319"/>
      <c r="BO401" s="319"/>
      <c r="BP401" s="319"/>
      <c r="BQ401" s="319"/>
      <c r="BR401" s="319"/>
    </row>
    <row r="402" ht="14.25" customHeight="1">
      <c r="A402" s="195"/>
      <c r="B402" s="100"/>
      <c r="C402" s="100"/>
      <c r="D402" s="100"/>
      <c r="E402" s="100"/>
      <c r="F402" s="206"/>
      <c r="G402" s="206"/>
      <c r="H402" s="207"/>
      <c r="I402" s="207"/>
      <c r="J402" s="207"/>
      <c r="K402" s="207"/>
      <c r="L402" s="207"/>
      <c r="M402" s="207"/>
      <c r="N402" s="207"/>
      <c r="O402" s="207"/>
      <c r="P402" s="207"/>
      <c r="Q402" s="207"/>
      <c r="R402" s="207"/>
      <c r="S402" s="207"/>
      <c r="T402" s="207"/>
      <c r="U402" s="207"/>
      <c r="V402" s="207"/>
      <c r="W402" s="208"/>
      <c r="X402" s="208"/>
      <c r="Y402" s="208"/>
      <c r="Z402" s="208"/>
      <c r="AA402" s="208"/>
      <c r="AB402" s="208"/>
      <c r="AC402" s="208"/>
      <c r="AD402" s="208"/>
      <c r="AE402" s="208"/>
      <c r="AF402" s="208"/>
      <c r="AG402" s="208"/>
      <c r="AH402" s="208"/>
      <c r="AI402" s="100"/>
      <c r="AJ402" s="319"/>
      <c r="AK402" s="319"/>
      <c r="AL402" s="319"/>
      <c r="AM402" s="319"/>
      <c r="AN402" s="319"/>
      <c r="AO402" s="319"/>
      <c r="AP402" s="319"/>
      <c r="AQ402" s="319"/>
      <c r="AR402" s="319"/>
      <c r="AS402" s="319"/>
      <c r="AT402" s="319"/>
      <c r="AU402" s="319"/>
      <c r="AV402" s="319"/>
      <c r="AW402" s="319"/>
      <c r="AX402" s="319"/>
      <c r="AY402" s="319"/>
      <c r="AZ402" s="319"/>
      <c r="BA402" s="319"/>
      <c r="BB402" s="319"/>
      <c r="BC402" s="319"/>
      <c r="BD402" s="319"/>
      <c r="BE402" s="319"/>
      <c r="BF402" s="319"/>
      <c r="BG402" s="319"/>
      <c r="BH402" s="319"/>
      <c r="BI402" s="319"/>
      <c r="BJ402" s="319"/>
      <c r="BK402" s="319"/>
      <c r="BL402" s="319"/>
      <c r="BM402" s="319"/>
      <c r="BN402" s="319"/>
      <c r="BO402" s="319"/>
      <c r="BP402" s="319"/>
      <c r="BQ402" s="319"/>
      <c r="BR402" s="319"/>
    </row>
    <row r="403" ht="14.25" customHeight="1">
      <c r="A403" s="195"/>
      <c r="B403" s="100"/>
      <c r="C403" s="100"/>
      <c r="D403" s="100"/>
      <c r="E403" s="100"/>
      <c r="F403" s="206"/>
      <c r="G403" s="206"/>
      <c r="H403" s="207"/>
      <c r="I403" s="207"/>
      <c r="J403" s="207"/>
      <c r="K403" s="207"/>
      <c r="L403" s="207"/>
      <c r="M403" s="207"/>
      <c r="N403" s="207"/>
      <c r="O403" s="207"/>
      <c r="P403" s="207"/>
      <c r="Q403" s="207"/>
      <c r="R403" s="207"/>
      <c r="S403" s="207"/>
      <c r="T403" s="207"/>
      <c r="U403" s="207"/>
      <c r="V403" s="207"/>
      <c r="W403" s="208"/>
      <c r="X403" s="208"/>
      <c r="Y403" s="208"/>
      <c r="Z403" s="208"/>
      <c r="AA403" s="208"/>
      <c r="AB403" s="208"/>
      <c r="AC403" s="208"/>
      <c r="AD403" s="208"/>
      <c r="AE403" s="208"/>
      <c r="AF403" s="208"/>
      <c r="AG403" s="208"/>
      <c r="AH403" s="208"/>
      <c r="AI403" s="100"/>
      <c r="AJ403" s="319"/>
      <c r="AK403" s="319"/>
      <c r="AL403" s="319"/>
      <c r="AM403" s="319"/>
      <c r="AN403" s="319"/>
      <c r="AO403" s="319"/>
      <c r="AP403" s="319"/>
      <c r="AQ403" s="319"/>
      <c r="AR403" s="319"/>
      <c r="AS403" s="319"/>
      <c r="AT403" s="319"/>
      <c r="AU403" s="319"/>
      <c r="AV403" s="319"/>
      <c r="AW403" s="319"/>
      <c r="AX403" s="319"/>
      <c r="AY403" s="319"/>
      <c r="AZ403" s="319"/>
      <c r="BA403" s="319"/>
      <c r="BB403" s="319"/>
      <c r="BC403" s="319"/>
      <c r="BD403" s="319"/>
      <c r="BE403" s="319"/>
      <c r="BF403" s="319"/>
      <c r="BG403" s="319"/>
      <c r="BH403" s="319"/>
      <c r="BI403" s="319"/>
      <c r="BJ403" s="319"/>
      <c r="BK403" s="319"/>
      <c r="BL403" s="319"/>
      <c r="BM403" s="319"/>
      <c r="BN403" s="319"/>
      <c r="BO403" s="319"/>
      <c r="BP403" s="319"/>
      <c r="BQ403" s="319"/>
      <c r="BR403" s="319"/>
    </row>
    <row r="404" ht="14.25" customHeight="1">
      <c r="A404" s="195"/>
      <c r="B404" s="100"/>
      <c r="C404" s="100"/>
      <c r="D404" s="100"/>
      <c r="E404" s="100"/>
      <c r="F404" s="206"/>
      <c r="G404" s="206"/>
      <c r="H404" s="207"/>
      <c r="I404" s="207"/>
      <c r="J404" s="207"/>
      <c r="K404" s="207"/>
      <c r="L404" s="207"/>
      <c r="M404" s="207"/>
      <c r="N404" s="207"/>
      <c r="O404" s="207"/>
      <c r="P404" s="207"/>
      <c r="Q404" s="207"/>
      <c r="R404" s="207"/>
      <c r="S404" s="207"/>
      <c r="T404" s="207"/>
      <c r="U404" s="207"/>
      <c r="V404" s="207"/>
      <c r="W404" s="208"/>
      <c r="X404" s="208"/>
      <c r="Y404" s="208"/>
      <c r="Z404" s="208"/>
      <c r="AA404" s="208"/>
      <c r="AB404" s="208"/>
      <c r="AC404" s="208"/>
      <c r="AD404" s="208"/>
      <c r="AE404" s="208"/>
      <c r="AF404" s="208"/>
      <c r="AG404" s="208"/>
      <c r="AH404" s="208"/>
      <c r="AI404" s="100"/>
      <c r="AJ404" s="319"/>
      <c r="AK404" s="319"/>
      <c r="AL404" s="319"/>
      <c r="AM404" s="319"/>
      <c r="AN404" s="319"/>
      <c r="AO404" s="319"/>
      <c r="AP404" s="319"/>
      <c r="AQ404" s="319"/>
      <c r="AR404" s="319"/>
      <c r="AS404" s="319"/>
      <c r="AT404" s="319"/>
      <c r="AU404" s="319"/>
      <c r="AV404" s="319"/>
      <c r="AW404" s="319"/>
      <c r="AX404" s="319"/>
      <c r="AY404" s="319"/>
      <c r="AZ404" s="319"/>
      <c r="BA404" s="319"/>
      <c r="BB404" s="319"/>
      <c r="BC404" s="319"/>
      <c r="BD404" s="319"/>
      <c r="BE404" s="319"/>
      <c r="BF404" s="319"/>
      <c r="BG404" s="319"/>
      <c r="BH404" s="319"/>
      <c r="BI404" s="319"/>
      <c r="BJ404" s="319"/>
      <c r="BK404" s="319"/>
      <c r="BL404" s="319"/>
      <c r="BM404" s="319"/>
      <c r="BN404" s="319"/>
      <c r="BO404" s="319"/>
      <c r="BP404" s="319"/>
      <c r="BQ404" s="319"/>
      <c r="BR404" s="319"/>
    </row>
    <row r="405" ht="14.25" customHeight="1">
      <c r="A405" s="195"/>
      <c r="B405" s="100"/>
      <c r="C405" s="100"/>
      <c r="D405" s="100"/>
      <c r="E405" s="100"/>
      <c r="F405" s="206"/>
      <c r="G405" s="206"/>
      <c r="H405" s="207"/>
      <c r="I405" s="207"/>
      <c r="J405" s="207"/>
      <c r="K405" s="207"/>
      <c r="L405" s="207"/>
      <c r="M405" s="207"/>
      <c r="N405" s="207"/>
      <c r="O405" s="207"/>
      <c r="P405" s="207"/>
      <c r="Q405" s="207"/>
      <c r="R405" s="207"/>
      <c r="S405" s="207"/>
      <c r="T405" s="207"/>
      <c r="U405" s="207"/>
      <c r="V405" s="207"/>
      <c r="W405" s="208"/>
      <c r="X405" s="208"/>
      <c r="Y405" s="208"/>
      <c r="Z405" s="208"/>
      <c r="AA405" s="208"/>
      <c r="AB405" s="208"/>
      <c r="AC405" s="208"/>
      <c r="AD405" s="208"/>
      <c r="AE405" s="208"/>
      <c r="AF405" s="208"/>
      <c r="AG405" s="208"/>
      <c r="AH405" s="208"/>
      <c r="AI405" s="100"/>
      <c r="AJ405" s="319"/>
      <c r="AK405" s="319"/>
      <c r="AL405" s="319"/>
      <c r="AM405" s="319"/>
      <c r="AN405" s="319"/>
      <c r="AO405" s="319"/>
      <c r="AP405" s="319"/>
      <c r="AQ405" s="319"/>
      <c r="AR405" s="319"/>
      <c r="AS405" s="319"/>
      <c r="AT405" s="319"/>
      <c r="AU405" s="319"/>
      <c r="AV405" s="319"/>
      <c r="AW405" s="319"/>
      <c r="AX405" s="319"/>
      <c r="AY405" s="319"/>
      <c r="AZ405" s="319"/>
      <c r="BA405" s="319"/>
      <c r="BB405" s="319"/>
      <c r="BC405" s="319"/>
      <c r="BD405" s="319"/>
      <c r="BE405" s="319"/>
      <c r="BF405" s="319"/>
      <c r="BG405" s="319"/>
      <c r="BH405" s="319"/>
      <c r="BI405" s="319"/>
      <c r="BJ405" s="319"/>
      <c r="BK405" s="319"/>
      <c r="BL405" s="319"/>
      <c r="BM405" s="319"/>
      <c r="BN405" s="319"/>
      <c r="BO405" s="319"/>
      <c r="BP405" s="319"/>
      <c r="BQ405" s="319"/>
      <c r="BR405" s="319"/>
    </row>
    <row r="406" ht="14.25" customHeight="1">
      <c r="A406" s="195"/>
      <c r="B406" s="100"/>
      <c r="C406" s="100"/>
      <c r="D406" s="100"/>
      <c r="E406" s="100"/>
      <c r="F406" s="206"/>
      <c r="G406" s="206"/>
      <c r="H406" s="207"/>
      <c r="I406" s="207"/>
      <c r="J406" s="207"/>
      <c r="K406" s="207"/>
      <c r="L406" s="207"/>
      <c r="M406" s="207"/>
      <c r="N406" s="207"/>
      <c r="O406" s="207"/>
      <c r="P406" s="207"/>
      <c r="Q406" s="207"/>
      <c r="R406" s="207"/>
      <c r="S406" s="207"/>
      <c r="T406" s="207"/>
      <c r="U406" s="207"/>
      <c r="V406" s="207"/>
      <c r="W406" s="208"/>
      <c r="X406" s="208"/>
      <c r="Y406" s="208"/>
      <c r="Z406" s="208"/>
      <c r="AA406" s="208"/>
      <c r="AB406" s="208"/>
      <c r="AC406" s="208"/>
      <c r="AD406" s="208"/>
      <c r="AE406" s="208"/>
      <c r="AF406" s="208"/>
      <c r="AG406" s="208"/>
      <c r="AH406" s="208"/>
      <c r="AI406" s="100"/>
      <c r="AJ406" s="319"/>
      <c r="AK406" s="319"/>
      <c r="AL406" s="319"/>
      <c r="AM406" s="319"/>
      <c r="AN406" s="319"/>
      <c r="AO406" s="319"/>
      <c r="AP406" s="319"/>
      <c r="AQ406" s="319"/>
      <c r="AR406" s="319"/>
      <c r="AS406" s="319"/>
      <c r="AT406" s="319"/>
      <c r="AU406" s="319"/>
      <c r="AV406" s="319"/>
      <c r="AW406" s="319"/>
      <c r="AX406" s="319"/>
      <c r="AY406" s="319"/>
      <c r="AZ406" s="319"/>
      <c r="BA406" s="319"/>
      <c r="BB406" s="319"/>
      <c r="BC406" s="319"/>
      <c r="BD406" s="319"/>
      <c r="BE406" s="319"/>
      <c r="BF406" s="319"/>
      <c r="BG406" s="319"/>
      <c r="BH406" s="319"/>
      <c r="BI406" s="319"/>
      <c r="BJ406" s="319"/>
      <c r="BK406" s="319"/>
      <c r="BL406" s="319"/>
      <c r="BM406" s="319"/>
      <c r="BN406" s="319"/>
      <c r="BO406" s="319"/>
      <c r="BP406" s="319"/>
      <c r="BQ406" s="319"/>
      <c r="BR406" s="319"/>
    </row>
    <row r="407" ht="14.25" customHeight="1">
      <c r="A407" s="195"/>
      <c r="B407" s="100"/>
      <c r="C407" s="100"/>
      <c r="D407" s="100"/>
      <c r="E407" s="100"/>
      <c r="F407" s="206"/>
      <c r="G407" s="206"/>
      <c r="H407" s="207"/>
      <c r="I407" s="207"/>
      <c r="J407" s="207"/>
      <c r="K407" s="207"/>
      <c r="L407" s="207"/>
      <c r="M407" s="207"/>
      <c r="N407" s="207"/>
      <c r="O407" s="207"/>
      <c r="P407" s="207"/>
      <c r="Q407" s="207"/>
      <c r="R407" s="207"/>
      <c r="S407" s="207"/>
      <c r="T407" s="207"/>
      <c r="U407" s="207"/>
      <c r="V407" s="207"/>
      <c r="W407" s="208"/>
      <c r="X407" s="208"/>
      <c r="Y407" s="208"/>
      <c r="Z407" s="208"/>
      <c r="AA407" s="208"/>
      <c r="AB407" s="208"/>
      <c r="AC407" s="208"/>
      <c r="AD407" s="208"/>
      <c r="AE407" s="208"/>
      <c r="AF407" s="208"/>
      <c r="AG407" s="208"/>
      <c r="AH407" s="208"/>
      <c r="AI407" s="100"/>
      <c r="AJ407" s="319"/>
      <c r="AK407" s="319"/>
      <c r="AL407" s="319"/>
      <c r="AM407" s="319"/>
      <c r="AN407" s="319"/>
      <c r="AO407" s="319"/>
      <c r="AP407" s="319"/>
      <c r="AQ407" s="319"/>
      <c r="AR407" s="319"/>
      <c r="AS407" s="319"/>
      <c r="AT407" s="319"/>
      <c r="AU407" s="319"/>
      <c r="AV407" s="319"/>
      <c r="AW407" s="319"/>
      <c r="AX407" s="319"/>
      <c r="AY407" s="319"/>
      <c r="AZ407" s="319"/>
      <c r="BA407" s="319"/>
      <c r="BB407" s="319"/>
      <c r="BC407" s="319"/>
      <c r="BD407" s="319"/>
      <c r="BE407" s="319"/>
      <c r="BF407" s="319"/>
      <c r="BG407" s="319"/>
      <c r="BH407" s="319"/>
      <c r="BI407" s="319"/>
      <c r="BJ407" s="319"/>
      <c r="BK407" s="319"/>
      <c r="BL407" s="319"/>
      <c r="BM407" s="319"/>
      <c r="BN407" s="319"/>
      <c r="BO407" s="319"/>
      <c r="BP407" s="319"/>
      <c r="BQ407" s="319"/>
      <c r="BR407" s="319"/>
    </row>
    <row r="408" ht="14.25" customHeight="1">
      <c r="A408" s="195"/>
      <c r="B408" s="100"/>
      <c r="C408" s="100"/>
      <c r="D408" s="100"/>
      <c r="E408" s="100"/>
      <c r="F408" s="206"/>
      <c r="G408" s="206"/>
      <c r="H408" s="207"/>
      <c r="I408" s="207"/>
      <c r="J408" s="207"/>
      <c r="K408" s="207"/>
      <c r="L408" s="207"/>
      <c r="M408" s="207"/>
      <c r="N408" s="207"/>
      <c r="O408" s="207"/>
      <c r="P408" s="207"/>
      <c r="Q408" s="207"/>
      <c r="R408" s="207"/>
      <c r="S408" s="207"/>
      <c r="T408" s="207"/>
      <c r="U408" s="207"/>
      <c r="V408" s="207"/>
      <c r="W408" s="208"/>
      <c r="X408" s="208"/>
      <c r="Y408" s="208"/>
      <c r="Z408" s="208"/>
      <c r="AA408" s="208"/>
      <c r="AB408" s="208"/>
      <c r="AC408" s="208"/>
      <c r="AD408" s="208"/>
      <c r="AE408" s="208"/>
      <c r="AF408" s="208"/>
      <c r="AG408" s="208"/>
      <c r="AH408" s="208"/>
      <c r="AI408" s="100"/>
      <c r="AJ408" s="319"/>
      <c r="AK408" s="319"/>
      <c r="AL408" s="319"/>
      <c r="AM408" s="319"/>
      <c r="AN408" s="319"/>
      <c r="AO408" s="319"/>
      <c r="AP408" s="319"/>
      <c r="AQ408" s="319"/>
      <c r="AR408" s="319"/>
      <c r="AS408" s="319"/>
      <c r="AT408" s="319"/>
      <c r="AU408" s="319"/>
      <c r="AV408" s="319"/>
      <c r="AW408" s="319"/>
      <c r="AX408" s="319"/>
      <c r="AY408" s="319"/>
      <c r="AZ408" s="319"/>
      <c r="BA408" s="319"/>
      <c r="BB408" s="319"/>
      <c r="BC408" s="319"/>
      <c r="BD408" s="319"/>
      <c r="BE408" s="319"/>
      <c r="BF408" s="319"/>
      <c r="BG408" s="319"/>
      <c r="BH408" s="319"/>
      <c r="BI408" s="319"/>
      <c r="BJ408" s="319"/>
      <c r="BK408" s="319"/>
      <c r="BL408" s="319"/>
      <c r="BM408" s="319"/>
      <c r="BN408" s="319"/>
      <c r="BO408" s="319"/>
      <c r="BP408" s="319"/>
      <c r="BQ408" s="319"/>
      <c r="BR408" s="319"/>
    </row>
    <row r="409" ht="14.25" customHeight="1">
      <c r="A409" s="195"/>
      <c r="B409" s="100"/>
      <c r="C409" s="100"/>
      <c r="D409" s="100"/>
      <c r="E409" s="100"/>
      <c r="F409" s="206"/>
      <c r="G409" s="206"/>
      <c r="H409" s="207"/>
      <c r="I409" s="207"/>
      <c r="J409" s="207"/>
      <c r="K409" s="207"/>
      <c r="L409" s="207"/>
      <c r="M409" s="207"/>
      <c r="N409" s="207"/>
      <c r="O409" s="207"/>
      <c r="P409" s="207"/>
      <c r="Q409" s="207"/>
      <c r="R409" s="207"/>
      <c r="S409" s="207"/>
      <c r="T409" s="207"/>
      <c r="U409" s="207"/>
      <c r="V409" s="207"/>
      <c r="W409" s="208"/>
      <c r="X409" s="208"/>
      <c r="Y409" s="208"/>
      <c r="Z409" s="208"/>
      <c r="AA409" s="208"/>
      <c r="AB409" s="208"/>
      <c r="AC409" s="208"/>
      <c r="AD409" s="208"/>
      <c r="AE409" s="208"/>
      <c r="AF409" s="208"/>
      <c r="AG409" s="208"/>
      <c r="AH409" s="208"/>
      <c r="AI409" s="100"/>
      <c r="AJ409" s="319"/>
      <c r="AK409" s="319"/>
      <c r="AL409" s="319"/>
      <c r="AM409" s="319"/>
      <c r="AN409" s="319"/>
      <c r="AO409" s="319"/>
      <c r="AP409" s="319"/>
      <c r="AQ409" s="319"/>
      <c r="AR409" s="319"/>
      <c r="AS409" s="319"/>
      <c r="AT409" s="319"/>
      <c r="AU409" s="319"/>
      <c r="AV409" s="319"/>
      <c r="AW409" s="319"/>
      <c r="AX409" s="319"/>
      <c r="AY409" s="319"/>
      <c r="AZ409" s="319"/>
      <c r="BA409" s="319"/>
      <c r="BB409" s="319"/>
      <c r="BC409" s="319"/>
      <c r="BD409" s="319"/>
      <c r="BE409" s="319"/>
      <c r="BF409" s="319"/>
      <c r="BG409" s="319"/>
      <c r="BH409" s="319"/>
      <c r="BI409" s="319"/>
      <c r="BJ409" s="319"/>
      <c r="BK409" s="319"/>
      <c r="BL409" s="319"/>
      <c r="BM409" s="319"/>
      <c r="BN409" s="319"/>
      <c r="BO409" s="319"/>
      <c r="BP409" s="319"/>
      <c r="BQ409" s="319"/>
      <c r="BR409" s="319"/>
    </row>
    <row r="410" ht="14.25" customHeight="1">
      <c r="A410" s="195"/>
      <c r="B410" s="100"/>
      <c r="C410" s="100"/>
      <c r="D410" s="100"/>
      <c r="E410" s="100"/>
      <c r="F410" s="206"/>
      <c r="G410" s="206"/>
      <c r="H410" s="207"/>
      <c r="I410" s="207"/>
      <c r="J410" s="207"/>
      <c r="K410" s="207"/>
      <c r="L410" s="207"/>
      <c r="M410" s="207"/>
      <c r="N410" s="207"/>
      <c r="O410" s="207"/>
      <c r="P410" s="207"/>
      <c r="Q410" s="207"/>
      <c r="R410" s="207"/>
      <c r="S410" s="207"/>
      <c r="T410" s="207"/>
      <c r="U410" s="207"/>
      <c r="V410" s="207"/>
      <c r="W410" s="208"/>
      <c r="X410" s="208"/>
      <c r="Y410" s="208"/>
      <c r="Z410" s="208"/>
      <c r="AA410" s="208"/>
      <c r="AB410" s="208"/>
      <c r="AC410" s="208"/>
      <c r="AD410" s="208"/>
      <c r="AE410" s="208"/>
      <c r="AF410" s="208"/>
      <c r="AG410" s="208"/>
      <c r="AH410" s="208"/>
      <c r="AI410" s="100"/>
      <c r="AJ410" s="319"/>
      <c r="AK410" s="319"/>
      <c r="AL410" s="319"/>
      <c r="AM410" s="319"/>
      <c r="AN410" s="319"/>
      <c r="AO410" s="319"/>
      <c r="AP410" s="319"/>
      <c r="AQ410" s="319"/>
      <c r="AR410" s="319"/>
      <c r="AS410" s="319"/>
      <c r="AT410" s="319"/>
      <c r="AU410" s="319"/>
      <c r="AV410" s="319"/>
      <c r="AW410" s="319"/>
      <c r="AX410" s="319"/>
      <c r="AY410" s="319"/>
      <c r="AZ410" s="319"/>
      <c r="BA410" s="319"/>
      <c r="BB410" s="319"/>
      <c r="BC410" s="319"/>
      <c r="BD410" s="319"/>
      <c r="BE410" s="319"/>
      <c r="BF410" s="319"/>
      <c r="BG410" s="319"/>
      <c r="BH410" s="319"/>
      <c r="BI410" s="319"/>
      <c r="BJ410" s="319"/>
      <c r="BK410" s="319"/>
      <c r="BL410" s="319"/>
      <c r="BM410" s="319"/>
      <c r="BN410" s="319"/>
      <c r="BO410" s="319"/>
      <c r="BP410" s="319"/>
      <c r="BQ410" s="319"/>
      <c r="BR410" s="319"/>
    </row>
    <row r="411" ht="14.25" customHeight="1">
      <c r="A411" s="195"/>
      <c r="B411" s="100"/>
      <c r="C411" s="100"/>
      <c r="D411" s="100"/>
      <c r="E411" s="100"/>
      <c r="F411" s="206"/>
      <c r="G411" s="206"/>
      <c r="H411" s="207"/>
      <c r="I411" s="207"/>
      <c r="J411" s="207"/>
      <c r="K411" s="207"/>
      <c r="L411" s="207"/>
      <c r="M411" s="207"/>
      <c r="N411" s="207"/>
      <c r="O411" s="207"/>
      <c r="P411" s="207"/>
      <c r="Q411" s="207"/>
      <c r="R411" s="207"/>
      <c r="S411" s="207"/>
      <c r="T411" s="207"/>
      <c r="U411" s="207"/>
      <c r="V411" s="207"/>
      <c r="W411" s="208"/>
      <c r="X411" s="208"/>
      <c r="Y411" s="208"/>
      <c r="Z411" s="208"/>
      <c r="AA411" s="208"/>
      <c r="AB411" s="208"/>
      <c r="AC411" s="208"/>
      <c r="AD411" s="208"/>
      <c r="AE411" s="208"/>
      <c r="AF411" s="208"/>
      <c r="AG411" s="208"/>
      <c r="AH411" s="208"/>
      <c r="AI411" s="100"/>
      <c r="AJ411" s="319"/>
      <c r="AK411" s="319"/>
      <c r="AL411" s="319"/>
      <c r="AM411" s="319"/>
      <c r="AN411" s="319"/>
      <c r="AO411" s="319"/>
      <c r="AP411" s="319"/>
      <c r="AQ411" s="319"/>
      <c r="AR411" s="319"/>
      <c r="AS411" s="319"/>
      <c r="AT411" s="319"/>
      <c r="AU411" s="319"/>
      <c r="AV411" s="319"/>
      <c r="AW411" s="319"/>
      <c r="AX411" s="319"/>
      <c r="AY411" s="319"/>
      <c r="AZ411" s="319"/>
      <c r="BA411" s="319"/>
      <c r="BB411" s="319"/>
      <c r="BC411" s="319"/>
      <c r="BD411" s="319"/>
      <c r="BE411" s="319"/>
      <c r="BF411" s="319"/>
      <c r="BG411" s="319"/>
      <c r="BH411" s="319"/>
      <c r="BI411" s="319"/>
      <c r="BJ411" s="319"/>
      <c r="BK411" s="319"/>
      <c r="BL411" s="319"/>
      <c r="BM411" s="319"/>
      <c r="BN411" s="319"/>
      <c r="BO411" s="319"/>
      <c r="BP411" s="319"/>
      <c r="BQ411" s="319"/>
      <c r="BR411" s="319"/>
    </row>
    <row r="412" ht="14.25" customHeight="1">
      <c r="A412" s="195"/>
      <c r="B412" s="100"/>
      <c r="C412" s="100"/>
      <c r="D412" s="100"/>
      <c r="E412" s="100"/>
      <c r="F412" s="206"/>
      <c r="G412" s="206"/>
      <c r="H412" s="207"/>
      <c r="I412" s="207"/>
      <c r="J412" s="207"/>
      <c r="K412" s="207"/>
      <c r="L412" s="207"/>
      <c r="M412" s="207"/>
      <c r="N412" s="207"/>
      <c r="O412" s="207"/>
      <c r="P412" s="207"/>
      <c r="Q412" s="207"/>
      <c r="R412" s="207"/>
      <c r="S412" s="207"/>
      <c r="T412" s="207"/>
      <c r="U412" s="207"/>
      <c r="V412" s="207"/>
      <c r="W412" s="208"/>
      <c r="X412" s="208"/>
      <c r="Y412" s="208"/>
      <c r="Z412" s="208"/>
      <c r="AA412" s="208"/>
      <c r="AB412" s="208"/>
      <c r="AC412" s="208"/>
      <c r="AD412" s="208"/>
      <c r="AE412" s="208"/>
      <c r="AF412" s="208"/>
      <c r="AG412" s="208"/>
      <c r="AH412" s="208"/>
      <c r="AI412" s="100"/>
      <c r="AJ412" s="319"/>
      <c r="AK412" s="319"/>
      <c r="AL412" s="319"/>
      <c r="AM412" s="319"/>
      <c r="AN412" s="319"/>
      <c r="AO412" s="319"/>
      <c r="AP412" s="319"/>
      <c r="AQ412" s="319"/>
      <c r="AR412" s="319"/>
      <c r="AS412" s="319"/>
      <c r="AT412" s="319"/>
      <c r="AU412" s="319"/>
      <c r="AV412" s="319"/>
      <c r="AW412" s="319"/>
      <c r="AX412" s="319"/>
      <c r="AY412" s="319"/>
      <c r="AZ412" s="319"/>
      <c r="BA412" s="319"/>
      <c r="BB412" s="319"/>
      <c r="BC412" s="319"/>
      <c r="BD412" s="319"/>
      <c r="BE412" s="319"/>
      <c r="BF412" s="319"/>
      <c r="BG412" s="319"/>
      <c r="BH412" s="319"/>
      <c r="BI412" s="319"/>
      <c r="BJ412" s="319"/>
      <c r="BK412" s="319"/>
      <c r="BL412" s="319"/>
      <c r="BM412" s="319"/>
      <c r="BN412" s="319"/>
      <c r="BO412" s="319"/>
      <c r="BP412" s="319"/>
      <c r="BQ412" s="319"/>
      <c r="BR412" s="319"/>
    </row>
    <row r="413" ht="14.25" customHeight="1">
      <c r="A413" s="195"/>
      <c r="B413" s="100"/>
      <c r="C413" s="100"/>
      <c r="D413" s="100"/>
      <c r="E413" s="100"/>
      <c r="F413" s="206"/>
      <c r="G413" s="206"/>
      <c r="H413" s="207"/>
      <c r="I413" s="207"/>
      <c r="J413" s="207"/>
      <c r="K413" s="207"/>
      <c r="L413" s="207"/>
      <c r="M413" s="207"/>
      <c r="N413" s="207"/>
      <c r="O413" s="207"/>
      <c r="P413" s="207"/>
      <c r="Q413" s="207"/>
      <c r="R413" s="207"/>
      <c r="S413" s="207"/>
      <c r="T413" s="207"/>
      <c r="U413" s="207"/>
      <c r="V413" s="207"/>
      <c r="W413" s="208"/>
      <c r="X413" s="208"/>
      <c r="Y413" s="208"/>
      <c r="Z413" s="208"/>
      <c r="AA413" s="208"/>
      <c r="AB413" s="208"/>
      <c r="AC413" s="208"/>
      <c r="AD413" s="208"/>
      <c r="AE413" s="208"/>
      <c r="AF413" s="208"/>
      <c r="AG413" s="208"/>
      <c r="AH413" s="208"/>
      <c r="AI413" s="100"/>
      <c r="AJ413" s="319"/>
      <c r="AK413" s="319"/>
      <c r="AL413" s="319"/>
      <c r="AM413" s="319"/>
      <c r="AN413" s="319"/>
      <c r="AO413" s="319"/>
      <c r="AP413" s="319"/>
      <c r="AQ413" s="319"/>
      <c r="AR413" s="319"/>
      <c r="AS413" s="319"/>
      <c r="AT413" s="319"/>
      <c r="AU413" s="319"/>
      <c r="AV413" s="319"/>
      <c r="AW413" s="319"/>
      <c r="AX413" s="319"/>
      <c r="AY413" s="319"/>
      <c r="AZ413" s="319"/>
      <c r="BA413" s="319"/>
      <c r="BB413" s="319"/>
      <c r="BC413" s="319"/>
      <c r="BD413" s="319"/>
      <c r="BE413" s="319"/>
      <c r="BF413" s="319"/>
      <c r="BG413" s="319"/>
      <c r="BH413" s="319"/>
      <c r="BI413" s="319"/>
      <c r="BJ413" s="319"/>
      <c r="BK413" s="319"/>
      <c r="BL413" s="319"/>
      <c r="BM413" s="319"/>
      <c r="BN413" s="319"/>
      <c r="BO413" s="319"/>
      <c r="BP413" s="319"/>
      <c r="BQ413" s="319"/>
      <c r="BR413" s="319"/>
    </row>
    <row r="414" ht="14.25" customHeight="1">
      <c r="A414" s="195"/>
      <c r="B414" s="100"/>
      <c r="C414" s="100"/>
      <c r="D414" s="100"/>
      <c r="E414" s="100"/>
      <c r="F414" s="206"/>
      <c r="G414" s="206"/>
      <c r="H414" s="207"/>
      <c r="I414" s="207"/>
      <c r="J414" s="207"/>
      <c r="K414" s="207"/>
      <c r="L414" s="207"/>
      <c r="M414" s="207"/>
      <c r="N414" s="207"/>
      <c r="O414" s="207"/>
      <c r="P414" s="207"/>
      <c r="Q414" s="207"/>
      <c r="R414" s="207"/>
      <c r="S414" s="207"/>
      <c r="T414" s="207"/>
      <c r="U414" s="207"/>
      <c r="V414" s="207"/>
      <c r="W414" s="208"/>
      <c r="X414" s="208"/>
      <c r="Y414" s="208"/>
      <c r="Z414" s="208"/>
      <c r="AA414" s="208"/>
      <c r="AB414" s="208"/>
      <c r="AC414" s="208"/>
      <c r="AD414" s="208"/>
      <c r="AE414" s="208"/>
      <c r="AF414" s="208"/>
      <c r="AG414" s="208"/>
      <c r="AH414" s="208"/>
      <c r="AI414" s="100"/>
      <c r="AJ414" s="319"/>
      <c r="AK414" s="319"/>
      <c r="AL414" s="319"/>
      <c r="AM414" s="319"/>
      <c r="AN414" s="319"/>
      <c r="AO414" s="319"/>
      <c r="AP414" s="319"/>
      <c r="AQ414" s="319"/>
      <c r="AR414" s="319"/>
      <c r="AS414" s="319"/>
      <c r="AT414" s="319"/>
      <c r="AU414" s="319"/>
      <c r="AV414" s="319"/>
      <c r="AW414" s="319"/>
      <c r="AX414" s="319"/>
      <c r="AY414" s="319"/>
      <c r="AZ414" s="319"/>
      <c r="BA414" s="319"/>
      <c r="BB414" s="319"/>
      <c r="BC414" s="319"/>
      <c r="BD414" s="319"/>
      <c r="BE414" s="319"/>
      <c r="BF414" s="319"/>
      <c r="BG414" s="319"/>
      <c r="BH414" s="319"/>
      <c r="BI414" s="319"/>
      <c r="BJ414" s="319"/>
      <c r="BK414" s="319"/>
      <c r="BL414" s="319"/>
      <c r="BM414" s="319"/>
      <c r="BN414" s="319"/>
      <c r="BO414" s="319"/>
      <c r="BP414" s="319"/>
      <c r="BQ414" s="319"/>
      <c r="BR414" s="319"/>
    </row>
    <row r="415" ht="14.25" customHeight="1">
      <c r="A415" s="195"/>
      <c r="B415" s="100"/>
      <c r="C415" s="100"/>
      <c r="D415" s="100"/>
      <c r="E415" s="100"/>
      <c r="F415" s="206"/>
      <c r="G415" s="206"/>
      <c r="H415" s="207"/>
      <c r="I415" s="207"/>
      <c r="J415" s="207"/>
      <c r="K415" s="207"/>
      <c r="L415" s="207"/>
      <c r="M415" s="207"/>
      <c r="N415" s="207"/>
      <c r="O415" s="207"/>
      <c r="P415" s="207"/>
      <c r="Q415" s="207"/>
      <c r="R415" s="207"/>
      <c r="S415" s="207"/>
      <c r="T415" s="207"/>
      <c r="U415" s="207"/>
      <c r="V415" s="207"/>
      <c r="W415" s="208"/>
      <c r="X415" s="208"/>
      <c r="Y415" s="208"/>
      <c r="Z415" s="208"/>
      <c r="AA415" s="208"/>
      <c r="AB415" s="208"/>
      <c r="AC415" s="208"/>
      <c r="AD415" s="208"/>
      <c r="AE415" s="208"/>
      <c r="AF415" s="208"/>
      <c r="AG415" s="208"/>
      <c r="AH415" s="208"/>
      <c r="AI415" s="100"/>
      <c r="AJ415" s="319"/>
      <c r="AK415" s="319"/>
      <c r="AL415" s="319"/>
      <c r="AM415" s="319"/>
      <c r="AN415" s="319"/>
      <c r="AO415" s="319"/>
      <c r="AP415" s="319"/>
      <c r="AQ415" s="319"/>
      <c r="AR415" s="319"/>
      <c r="AS415" s="319"/>
      <c r="AT415" s="319"/>
      <c r="AU415" s="319"/>
      <c r="AV415" s="319"/>
      <c r="AW415" s="319"/>
      <c r="AX415" s="319"/>
      <c r="AY415" s="319"/>
      <c r="AZ415" s="319"/>
      <c r="BA415" s="319"/>
      <c r="BB415" s="319"/>
      <c r="BC415" s="319"/>
      <c r="BD415" s="319"/>
      <c r="BE415" s="319"/>
      <c r="BF415" s="319"/>
      <c r="BG415" s="319"/>
      <c r="BH415" s="319"/>
      <c r="BI415" s="319"/>
      <c r="BJ415" s="319"/>
      <c r="BK415" s="319"/>
      <c r="BL415" s="319"/>
      <c r="BM415" s="319"/>
      <c r="BN415" s="319"/>
      <c r="BO415" s="319"/>
      <c r="BP415" s="319"/>
      <c r="BQ415" s="319"/>
      <c r="BR415" s="319"/>
    </row>
    <row r="416" ht="14.25" customHeight="1">
      <c r="A416" s="195"/>
      <c r="B416" s="100"/>
      <c r="C416" s="100"/>
      <c r="D416" s="100"/>
      <c r="E416" s="100"/>
      <c r="F416" s="206"/>
      <c r="G416" s="206"/>
      <c r="H416" s="207"/>
      <c r="I416" s="207"/>
      <c r="J416" s="207"/>
      <c r="K416" s="207"/>
      <c r="L416" s="207"/>
      <c r="M416" s="207"/>
      <c r="N416" s="207"/>
      <c r="O416" s="207"/>
      <c r="P416" s="207"/>
      <c r="Q416" s="207"/>
      <c r="R416" s="207"/>
      <c r="S416" s="207"/>
      <c r="T416" s="207"/>
      <c r="U416" s="207"/>
      <c r="V416" s="207"/>
      <c r="W416" s="208"/>
      <c r="X416" s="208"/>
      <c r="Y416" s="208"/>
      <c r="Z416" s="208"/>
      <c r="AA416" s="208"/>
      <c r="AB416" s="208"/>
      <c r="AC416" s="208"/>
      <c r="AD416" s="208"/>
      <c r="AE416" s="208"/>
      <c r="AF416" s="208"/>
      <c r="AG416" s="208"/>
      <c r="AH416" s="208"/>
      <c r="AI416" s="100"/>
      <c r="AJ416" s="319"/>
      <c r="AK416" s="319"/>
      <c r="AL416" s="319"/>
      <c r="AM416" s="319"/>
      <c r="AN416" s="319"/>
      <c r="AO416" s="319"/>
      <c r="AP416" s="319"/>
      <c r="AQ416" s="319"/>
      <c r="AR416" s="319"/>
      <c r="AS416" s="319"/>
      <c r="AT416" s="319"/>
      <c r="AU416" s="319"/>
      <c r="AV416" s="319"/>
      <c r="AW416" s="319"/>
      <c r="AX416" s="319"/>
      <c r="AY416" s="319"/>
      <c r="AZ416" s="319"/>
      <c r="BA416" s="319"/>
      <c r="BB416" s="319"/>
      <c r="BC416" s="319"/>
      <c r="BD416" s="319"/>
      <c r="BE416" s="319"/>
      <c r="BF416" s="319"/>
      <c r="BG416" s="319"/>
      <c r="BH416" s="319"/>
      <c r="BI416" s="319"/>
      <c r="BJ416" s="319"/>
      <c r="BK416" s="319"/>
      <c r="BL416" s="319"/>
      <c r="BM416" s="319"/>
      <c r="BN416" s="319"/>
      <c r="BO416" s="319"/>
      <c r="BP416" s="319"/>
      <c r="BQ416" s="319"/>
      <c r="BR416" s="319"/>
    </row>
    <row r="417" ht="14.25" customHeight="1">
      <c r="A417" s="195"/>
      <c r="B417" s="100"/>
      <c r="C417" s="100"/>
      <c r="D417" s="100"/>
      <c r="E417" s="100"/>
      <c r="F417" s="206"/>
      <c r="G417" s="206"/>
      <c r="H417" s="207"/>
      <c r="I417" s="207"/>
      <c r="J417" s="207"/>
      <c r="K417" s="207"/>
      <c r="L417" s="207"/>
      <c r="M417" s="207"/>
      <c r="N417" s="207"/>
      <c r="O417" s="207"/>
      <c r="P417" s="207"/>
      <c r="Q417" s="207"/>
      <c r="R417" s="207"/>
      <c r="S417" s="207"/>
      <c r="T417" s="207"/>
      <c r="U417" s="207"/>
      <c r="V417" s="207"/>
      <c r="W417" s="208"/>
      <c r="X417" s="208"/>
      <c r="Y417" s="208"/>
      <c r="Z417" s="208"/>
      <c r="AA417" s="208"/>
      <c r="AB417" s="208"/>
      <c r="AC417" s="208"/>
      <c r="AD417" s="208"/>
      <c r="AE417" s="208"/>
      <c r="AF417" s="208"/>
      <c r="AG417" s="208"/>
      <c r="AH417" s="208"/>
      <c r="AI417" s="100"/>
      <c r="AJ417" s="319"/>
      <c r="AK417" s="319"/>
      <c r="AL417" s="319"/>
      <c r="AM417" s="319"/>
      <c r="AN417" s="319"/>
      <c r="AO417" s="319"/>
      <c r="AP417" s="319"/>
      <c r="AQ417" s="319"/>
      <c r="AR417" s="319"/>
      <c r="AS417" s="319"/>
      <c r="AT417" s="319"/>
      <c r="AU417" s="319"/>
      <c r="AV417" s="319"/>
      <c r="AW417" s="319"/>
      <c r="AX417" s="319"/>
      <c r="AY417" s="319"/>
      <c r="AZ417" s="319"/>
      <c r="BA417" s="319"/>
      <c r="BB417" s="319"/>
      <c r="BC417" s="319"/>
      <c r="BD417" s="319"/>
      <c r="BE417" s="319"/>
      <c r="BF417" s="319"/>
      <c r="BG417" s="319"/>
      <c r="BH417" s="319"/>
      <c r="BI417" s="319"/>
      <c r="BJ417" s="319"/>
      <c r="BK417" s="319"/>
      <c r="BL417" s="319"/>
      <c r="BM417" s="319"/>
      <c r="BN417" s="319"/>
      <c r="BO417" s="319"/>
      <c r="BP417" s="319"/>
      <c r="BQ417" s="319"/>
      <c r="BR417" s="319"/>
    </row>
    <row r="418" ht="14.25" customHeight="1">
      <c r="A418" s="195"/>
      <c r="B418" s="100"/>
      <c r="C418" s="100"/>
      <c r="D418" s="100"/>
      <c r="E418" s="100"/>
      <c r="F418" s="206"/>
      <c r="G418" s="206"/>
      <c r="H418" s="207"/>
      <c r="I418" s="207"/>
      <c r="J418" s="207"/>
      <c r="K418" s="207"/>
      <c r="L418" s="207"/>
      <c r="M418" s="207"/>
      <c r="N418" s="207"/>
      <c r="O418" s="207"/>
      <c r="P418" s="207"/>
      <c r="Q418" s="207"/>
      <c r="R418" s="207"/>
      <c r="S418" s="207"/>
      <c r="T418" s="207"/>
      <c r="U418" s="207"/>
      <c r="V418" s="207"/>
      <c r="W418" s="208"/>
      <c r="X418" s="208"/>
      <c r="Y418" s="208"/>
      <c r="Z418" s="208"/>
      <c r="AA418" s="208"/>
      <c r="AB418" s="208"/>
      <c r="AC418" s="208"/>
      <c r="AD418" s="208"/>
      <c r="AE418" s="208"/>
      <c r="AF418" s="208"/>
      <c r="AG418" s="208"/>
      <c r="AH418" s="208"/>
      <c r="AI418" s="100"/>
      <c r="AJ418" s="319"/>
      <c r="AK418" s="319"/>
      <c r="AL418" s="319"/>
      <c r="AM418" s="319"/>
      <c r="AN418" s="319"/>
      <c r="AO418" s="319"/>
      <c r="AP418" s="319"/>
      <c r="AQ418" s="319"/>
      <c r="AR418" s="319"/>
      <c r="AS418" s="319"/>
      <c r="AT418" s="319"/>
      <c r="AU418" s="319"/>
      <c r="AV418" s="319"/>
      <c r="AW418" s="319"/>
      <c r="AX418" s="319"/>
      <c r="AY418" s="319"/>
      <c r="AZ418" s="319"/>
      <c r="BA418" s="319"/>
      <c r="BB418" s="319"/>
      <c r="BC418" s="319"/>
      <c r="BD418" s="319"/>
      <c r="BE418" s="319"/>
      <c r="BF418" s="319"/>
      <c r="BG418" s="319"/>
      <c r="BH418" s="319"/>
      <c r="BI418" s="319"/>
      <c r="BJ418" s="319"/>
      <c r="BK418" s="319"/>
      <c r="BL418" s="319"/>
      <c r="BM418" s="319"/>
      <c r="BN418" s="319"/>
      <c r="BO418" s="319"/>
      <c r="BP418" s="319"/>
      <c r="BQ418" s="319"/>
      <c r="BR418" s="319"/>
    </row>
    <row r="419" ht="14.25" customHeight="1">
      <c r="A419" s="195"/>
      <c r="B419" s="100"/>
      <c r="C419" s="100"/>
      <c r="D419" s="100"/>
      <c r="E419" s="100"/>
      <c r="F419" s="206"/>
      <c r="G419" s="206"/>
      <c r="H419" s="207"/>
      <c r="I419" s="207"/>
      <c r="J419" s="207"/>
      <c r="K419" s="207"/>
      <c r="L419" s="207"/>
      <c r="M419" s="207"/>
      <c r="N419" s="207"/>
      <c r="O419" s="207"/>
      <c r="P419" s="207"/>
      <c r="Q419" s="207"/>
      <c r="R419" s="207"/>
      <c r="S419" s="207"/>
      <c r="T419" s="207"/>
      <c r="U419" s="207"/>
      <c r="V419" s="207"/>
      <c r="W419" s="208"/>
      <c r="X419" s="208"/>
      <c r="Y419" s="208"/>
      <c r="Z419" s="208"/>
      <c r="AA419" s="208"/>
      <c r="AB419" s="208"/>
      <c r="AC419" s="208"/>
      <c r="AD419" s="208"/>
      <c r="AE419" s="208"/>
      <c r="AF419" s="208"/>
      <c r="AG419" s="208"/>
      <c r="AH419" s="208"/>
      <c r="AI419" s="100"/>
      <c r="AJ419" s="319"/>
      <c r="AK419" s="319"/>
      <c r="AL419" s="319"/>
      <c r="AM419" s="319"/>
      <c r="AN419" s="319"/>
      <c r="AO419" s="319"/>
      <c r="AP419" s="319"/>
      <c r="AQ419" s="319"/>
      <c r="AR419" s="319"/>
      <c r="AS419" s="319"/>
      <c r="AT419" s="319"/>
      <c r="AU419" s="319"/>
      <c r="AV419" s="319"/>
      <c r="AW419" s="319"/>
      <c r="AX419" s="319"/>
      <c r="AY419" s="319"/>
      <c r="AZ419" s="319"/>
      <c r="BA419" s="319"/>
      <c r="BB419" s="319"/>
      <c r="BC419" s="319"/>
      <c r="BD419" s="319"/>
      <c r="BE419" s="319"/>
      <c r="BF419" s="319"/>
      <c r="BG419" s="319"/>
      <c r="BH419" s="319"/>
      <c r="BI419" s="319"/>
      <c r="BJ419" s="319"/>
      <c r="BK419" s="319"/>
      <c r="BL419" s="319"/>
      <c r="BM419" s="319"/>
      <c r="BN419" s="319"/>
      <c r="BO419" s="319"/>
      <c r="BP419" s="319"/>
      <c r="BQ419" s="319"/>
      <c r="BR419" s="319"/>
    </row>
    <row r="420" ht="14.25" customHeight="1">
      <c r="A420" s="195"/>
      <c r="B420" s="100"/>
      <c r="C420" s="100"/>
      <c r="D420" s="100"/>
      <c r="E420" s="100"/>
      <c r="F420" s="206"/>
      <c r="G420" s="206"/>
      <c r="H420" s="207"/>
      <c r="I420" s="207"/>
      <c r="J420" s="207"/>
      <c r="K420" s="207"/>
      <c r="L420" s="207"/>
      <c r="M420" s="207"/>
      <c r="N420" s="207"/>
      <c r="O420" s="207"/>
      <c r="P420" s="207"/>
      <c r="Q420" s="207"/>
      <c r="R420" s="207"/>
      <c r="S420" s="207"/>
      <c r="T420" s="207"/>
      <c r="U420" s="207"/>
      <c r="V420" s="207"/>
      <c r="W420" s="208"/>
      <c r="X420" s="208"/>
      <c r="Y420" s="208"/>
      <c r="Z420" s="208"/>
      <c r="AA420" s="208"/>
      <c r="AB420" s="208"/>
      <c r="AC420" s="208"/>
      <c r="AD420" s="208"/>
      <c r="AE420" s="208"/>
      <c r="AF420" s="208"/>
      <c r="AG420" s="208"/>
      <c r="AH420" s="208"/>
      <c r="AI420" s="100"/>
      <c r="AJ420" s="319"/>
      <c r="AK420" s="319"/>
      <c r="AL420" s="319"/>
      <c r="AM420" s="319"/>
      <c r="AN420" s="319"/>
      <c r="AO420" s="319"/>
      <c r="AP420" s="319"/>
      <c r="AQ420" s="319"/>
      <c r="AR420" s="319"/>
      <c r="AS420" s="319"/>
      <c r="AT420" s="319"/>
      <c r="AU420" s="319"/>
      <c r="AV420" s="319"/>
      <c r="AW420" s="319"/>
      <c r="AX420" s="319"/>
      <c r="AY420" s="319"/>
      <c r="AZ420" s="319"/>
      <c r="BA420" s="319"/>
      <c r="BB420" s="319"/>
      <c r="BC420" s="319"/>
      <c r="BD420" s="319"/>
      <c r="BE420" s="319"/>
      <c r="BF420" s="319"/>
      <c r="BG420" s="319"/>
      <c r="BH420" s="319"/>
      <c r="BI420" s="319"/>
      <c r="BJ420" s="319"/>
      <c r="BK420" s="319"/>
      <c r="BL420" s="319"/>
      <c r="BM420" s="319"/>
      <c r="BN420" s="319"/>
      <c r="BO420" s="319"/>
      <c r="BP420" s="319"/>
      <c r="BQ420" s="319"/>
      <c r="BR420" s="319"/>
    </row>
    <row r="421" ht="14.25" customHeight="1">
      <c r="A421" s="195"/>
      <c r="B421" s="100"/>
      <c r="C421" s="100"/>
      <c r="D421" s="100"/>
      <c r="E421" s="100"/>
      <c r="F421" s="206"/>
      <c r="G421" s="206"/>
      <c r="H421" s="207"/>
      <c r="I421" s="207"/>
      <c r="J421" s="207"/>
      <c r="K421" s="207"/>
      <c r="L421" s="207"/>
      <c r="M421" s="207"/>
      <c r="N421" s="207"/>
      <c r="O421" s="207"/>
      <c r="P421" s="207"/>
      <c r="Q421" s="207"/>
      <c r="R421" s="207"/>
      <c r="S421" s="207"/>
      <c r="T421" s="207"/>
      <c r="U421" s="207"/>
      <c r="V421" s="207"/>
      <c r="W421" s="208"/>
      <c r="X421" s="208"/>
      <c r="Y421" s="208"/>
      <c r="Z421" s="208"/>
      <c r="AA421" s="208"/>
      <c r="AB421" s="208"/>
      <c r="AC421" s="208"/>
      <c r="AD421" s="208"/>
      <c r="AE421" s="208"/>
      <c r="AF421" s="208"/>
      <c r="AG421" s="208"/>
      <c r="AH421" s="208"/>
      <c r="AI421" s="100"/>
      <c r="AJ421" s="319"/>
      <c r="AK421" s="319"/>
      <c r="AL421" s="319"/>
      <c r="AM421" s="319"/>
      <c r="AN421" s="319"/>
      <c r="AO421" s="319"/>
      <c r="AP421" s="319"/>
      <c r="AQ421" s="319"/>
      <c r="AR421" s="319"/>
      <c r="AS421" s="319"/>
      <c r="AT421" s="319"/>
      <c r="AU421" s="319"/>
      <c r="AV421" s="319"/>
      <c r="AW421" s="319"/>
      <c r="AX421" s="319"/>
      <c r="AY421" s="319"/>
      <c r="AZ421" s="319"/>
      <c r="BA421" s="319"/>
      <c r="BB421" s="319"/>
      <c r="BC421" s="319"/>
      <c r="BD421" s="319"/>
      <c r="BE421" s="319"/>
      <c r="BF421" s="319"/>
      <c r="BG421" s="319"/>
      <c r="BH421" s="319"/>
      <c r="BI421" s="319"/>
      <c r="BJ421" s="319"/>
      <c r="BK421" s="319"/>
      <c r="BL421" s="319"/>
      <c r="BM421" s="319"/>
      <c r="BN421" s="319"/>
      <c r="BO421" s="319"/>
      <c r="BP421" s="319"/>
      <c r="BQ421" s="319"/>
      <c r="BR421" s="319"/>
    </row>
    <row r="422" ht="14.25" customHeight="1">
      <c r="A422" s="195"/>
      <c r="B422" s="100"/>
      <c r="C422" s="100"/>
      <c r="D422" s="100"/>
      <c r="E422" s="100"/>
      <c r="F422" s="206"/>
      <c r="G422" s="206"/>
      <c r="H422" s="207"/>
      <c r="I422" s="207"/>
      <c r="J422" s="207"/>
      <c r="K422" s="207"/>
      <c r="L422" s="207"/>
      <c r="M422" s="207"/>
      <c r="N422" s="207"/>
      <c r="O422" s="207"/>
      <c r="P422" s="207"/>
      <c r="Q422" s="207"/>
      <c r="R422" s="207"/>
      <c r="S422" s="207"/>
      <c r="T422" s="207"/>
      <c r="U422" s="207"/>
      <c r="V422" s="207"/>
      <c r="W422" s="208"/>
      <c r="X422" s="208"/>
      <c r="Y422" s="208"/>
      <c r="Z422" s="208"/>
      <c r="AA422" s="208"/>
      <c r="AB422" s="208"/>
      <c r="AC422" s="208"/>
      <c r="AD422" s="208"/>
      <c r="AE422" s="208"/>
      <c r="AF422" s="208"/>
      <c r="AG422" s="208"/>
      <c r="AH422" s="208"/>
      <c r="AI422" s="100"/>
      <c r="AJ422" s="319"/>
      <c r="AK422" s="319"/>
      <c r="AL422" s="319"/>
      <c r="AM422" s="319"/>
      <c r="AN422" s="319"/>
      <c r="AO422" s="319"/>
      <c r="AP422" s="319"/>
      <c r="AQ422" s="319"/>
      <c r="AR422" s="319"/>
      <c r="AS422" s="319"/>
      <c r="AT422" s="319"/>
      <c r="AU422" s="319"/>
      <c r="AV422" s="319"/>
      <c r="AW422" s="319"/>
      <c r="AX422" s="319"/>
      <c r="AY422" s="319"/>
      <c r="AZ422" s="319"/>
      <c r="BA422" s="319"/>
      <c r="BB422" s="319"/>
      <c r="BC422" s="319"/>
      <c r="BD422" s="319"/>
      <c r="BE422" s="319"/>
      <c r="BF422" s="319"/>
      <c r="BG422" s="319"/>
      <c r="BH422" s="319"/>
      <c r="BI422" s="319"/>
      <c r="BJ422" s="319"/>
      <c r="BK422" s="319"/>
      <c r="BL422" s="319"/>
      <c r="BM422" s="319"/>
      <c r="BN422" s="319"/>
      <c r="BO422" s="319"/>
      <c r="BP422" s="319"/>
      <c r="BQ422" s="319"/>
      <c r="BR422" s="319"/>
    </row>
    <row r="423" ht="14.25" customHeight="1">
      <c r="A423" s="195"/>
      <c r="B423" s="100"/>
      <c r="C423" s="100"/>
      <c r="D423" s="100"/>
      <c r="E423" s="100"/>
      <c r="F423" s="206"/>
      <c r="G423" s="206"/>
      <c r="H423" s="207"/>
      <c r="I423" s="207"/>
      <c r="J423" s="207"/>
      <c r="K423" s="207"/>
      <c r="L423" s="207"/>
      <c r="M423" s="207"/>
      <c r="N423" s="207"/>
      <c r="O423" s="207"/>
      <c r="P423" s="207"/>
      <c r="Q423" s="207"/>
      <c r="R423" s="207"/>
      <c r="S423" s="207"/>
      <c r="T423" s="207"/>
      <c r="U423" s="207"/>
      <c r="V423" s="207"/>
      <c r="W423" s="208"/>
      <c r="X423" s="208"/>
      <c r="Y423" s="208"/>
      <c r="Z423" s="208"/>
      <c r="AA423" s="208"/>
      <c r="AB423" s="208"/>
      <c r="AC423" s="208"/>
      <c r="AD423" s="208"/>
      <c r="AE423" s="208"/>
      <c r="AF423" s="208"/>
      <c r="AG423" s="208"/>
      <c r="AH423" s="208"/>
      <c r="AI423" s="100"/>
      <c r="AJ423" s="319"/>
      <c r="AK423" s="319"/>
      <c r="AL423" s="319"/>
      <c r="AM423" s="319"/>
      <c r="AN423" s="319"/>
      <c r="AO423" s="319"/>
      <c r="AP423" s="319"/>
      <c r="AQ423" s="319"/>
      <c r="AR423" s="319"/>
      <c r="AS423" s="319"/>
      <c r="AT423" s="319"/>
      <c r="AU423" s="319"/>
      <c r="AV423" s="319"/>
      <c r="AW423" s="319"/>
      <c r="AX423" s="319"/>
      <c r="AY423" s="319"/>
      <c r="AZ423" s="319"/>
      <c r="BA423" s="319"/>
      <c r="BB423" s="319"/>
      <c r="BC423" s="319"/>
      <c r="BD423" s="319"/>
      <c r="BE423" s="319"/>
      <c r="BF423" s="319"/>
      <c r="BG423" s="319"/>
      <c r="BH423" s="319"/>
      <c r="BI423" s="319"/>
      <c r="BJ423" s="319"/>
      <c r="BK423" s="319"/>
      <c r="BL423" s="319"/>
      <c r="BM423" s="319"/>
      <c r="BN423" s="319"/>
      <c r="BO423" s="319"/>
      <c r="BP423" s="319"/>
      <c r="BQ423" s="319"/>
      <c r="BR423" s="319"/>
    </row>
    <row r="424" ht="14.25" customHeight="1">
      <c r="A424" s="195"/>
      <c r="B424" s="100"/>
      <c r="C424" s="100"/>
      <c r="D424" s="100"/>
      <c r="E424" s="100"/>
      <c r="F424" s="206"/>
      <c r="G424" s="206"/>
      <c r="H424" s="207"/>
      <c r="I424" s="207"/>
      <c r="J424" s="207"/>
      <c r="K424" s="207"/>
      <c r="L424" s="207"/>
      <c r="M424" s="207"/>
      <c r="N424" s="207"/>
      <c r="O424" s="207"/>
      <c r="P424" s="207"/>
      <c r="Q424" s="207"/>
      <c r="R424" s="207"/>
      <c r="S424" s="207"/>
      <c r="T424" s="207"/>
      <c r="U424" s="207"/>
      <c r="V424" s="207"/>
      <c r="W424" s="208"/>
      <c r="X424" s="208"/>
      <c r="Y424" s="208"/>
      <c r="Z424" s="208"/>
      <c r="AA424" s="208"/>
      <c r="AB424" s="208"/>
      <c r="AC424" s="208"/>
      <c r="AD424" s="208"/>
      <c r="AE424" s="208"/>
      <c r="AF424" s="208"/>
      <c r="AG424" s="208"/>
      <c r="AH424" s="208"/>
      <c r="AI424" s="100"/>
      <c r="AJ424" s="319"/>
      <c r="AK424" s="319"/>
      <c r="AL424" s="319"/>
      <c r="AM424" s="319"/>
      <c r="AN424" s="319"/>
      <c r="AO424" s="319"/>
      <c r="AP424" s="319"/>
      <c r="AQ424" s="319"/>
      <c r="AR424" s="319"/>
      <c r="AS424" s="319"/>
      <c r="AT424" s="319"/>
      <c r="AU424" s="319"/>
      <c r="AV424" s="319"/>
      <c r="AW424" s="319"/>
      <c r="AX424" s="319"/>
      <c r="AY424" s="319"/>
      <c r="AZ424" s="319"/>
      <c r="BA424" s="319"/>
      <c r="BB424" s="319"/>
      <c r="BC424" s="319"/>
      <c r="BD424" s="319"/>
      <c r="BE424" s="319"/>
      <c r="BF424" s="319"/>
      <c r="BG424" s="319"/>
      <c r="BH424" s="319"/>
      <c r="BI424" s="319"/>
      <c r="BJ424" s="319"/>
      <c r="BK424" s="319"/>
      <c r="BL424" s="319"/>
      <c r="BM424" s="319"/>
      <c r="BN424" s="319"/>
      <c r="BO424" s="319"/>
      <c r="BP424" s="319"/>
      <c r="BQ424" s="319"/>
      <c r="BR424" s="319"/>
    </row>
    <row r="425" ht="14.25" customHeight="1">
      <c r="A425" s="195"/>
      <c r="B425" s="100"/>
      <c r="C425" s="100"/>
      <c r="D425" s="100"/>
      <c r="E425" s="100"/>
      <c r="F425" s="206"/>
      <c r="G425" s="206"/>
      <c r="H425" s="207"/>
      <c r="I425" s="207"/>
      <c r="J425" s="207"/>
      <c r="K425" s="207"/>
      <c r="L425" s="207"/>
      <c r="M425" s="207"/>
      <c r="N425" s="207"/>
      <c r="O425" s="207"/>
      <c r="P425" s="207"/>
      <c r="Q425" s="207"/>
      <c r="R425" s="207"/>
      <c r="S425" s="207"/>
      <c r="T425" s="207"/>
      <c r="U425" s="207"/>
      <c r="V425" s="207"/>
      <c r="W425" s="208"/>
      <c r="X425" s="208"/>
      <c r="Y425" s="208"/>
      <c r="Z425" s="208"/>
      <c r="AA425" s="208"/>
      <c r="AB425" s="208"/>
      <c r="AC425" s="208"/>
      <c r="AD425" s="208"/>
      <c r="AE425" s="208"/>
      <c r="AF425" s="208"/>
      <c r="AG425" s="208"/>
      <c r="AH425" s="208"/>
      <c r="AI425" s="100"/>
      <c r="AJ425" s="319"/>
      <c r="AK425" s="319"/>
      <c r="AL425" s="319"/>
      <c r="AM425" s="319"/>
      <c r="AN425" s="319"/>
      <c r="AO425" s="319"/>
      <c r="AP425" s="319"/>
      <c r="AQ425" s="319"/>
      <c r="AR425" s="319"/>
      <c r="AS425" s="319"/>
      <c r="AT425" s="319"/>
      <c r="AU425" s="319"/>
      <c r="AV425" s="319"/>
      <c r="AW425" s="319"/>
      <c r="AX425" s="319"/>
      <c r="AY425" s="319"/>
      <c r="AZ425" s="319"/>
      <c r="BA425" s="319"/>
      <c r="BB425" s="319"/>
      <c r="BC425" s="319"/>
      <c r="BD425" s="319"/>
      <c r="BE425" s="319"/>
      <c r="BF425" s="319"/>
      <c r="BG425" s="319"/>
      <c r="BH425" s="319"/>
      <c r="BI425" s="319"/>
      <c r="BJ425" s="319"/>
      <c r="BK425" s="319"/>
      <c r="BL425" s="319"/>
      <c r="BM425" s="319"/>
      <c r="BN425" s="319"/>
      <c r="BO425" s="319"/>
      <c r="BP425" s="319"/>
      <c r="BQ425" s="319"/>
      <c r="BR425" s="319"/>
    </row>
    <row r="426" ht="14.25" customHeight="1">
      <c r="A426" s="195"/>
      <c r="B426" s="100"/>
      <c r="C426" s="100"/>
      <c r="D426" s="100"/>
      <c r="E426" s="100"/>
      <c r="F426" s="206"/>
      <c r="G426" s="206"/>
      <c r="H426" s="207"/>
      <c r="I426" s="207"/>
      <c r="J426" s="207"/>
      <c r="K426" s="207"/>
      <c r="L426" s="207"/>
      <c r="M426" s="207"/>
      <c r="N426" s="207"/>
      <c r="O426" s="207"/>
      <c r="P426" s="207"/>
      <c r="Q426" s="207"/>
      <c r="R426" s="207"/>
      <c r="S426" s="207"/>
      <c r="T426" s="207"/>
      <c r="U426" s="207"/>
      <c r="V426" s="207"/>
      <c r="W426" s="208"/>
      <c r="X426" s="208"/>
      <c r="Y426" s="208"/>
      <c r="Z426" s="208"/>
      <c r="AA426" s="208"/>
      <c r="AB426" s="208"/>
      <c r="AC426" s="208"/>
      <c r="AD426" s="208"/>
      <c r="AE426" s="208"/>
      <c r="AF426" s="208"/>
      <c r="AG426" s="208"/>
      <c r="AH426" s="208"/>
      <c r="AI426" s="100"/>
      <c r="AJ426" s="319"/>
      <c r="AK426" s="319"/>
      <c r="AL426" s="319"/>
      <c r="AM426" s="319"/>
      <c r="AN426" s="319"/>
      <c r="AO426" s="319"/>
      <c r="AP426" s="319"/>
      <c r="AQ426" s="319"/>
      <c r="AR426" s="319"/>
      <c r="AS426" s="319"/>
      <c r="AT426" s="319"/>
      <c r="AU426" s="319"/>
      <c r="AV426" s="319"/>
      <c r="AW426" s="319"/>
      <c r="AX426" s="319"/>
      <c r="AY426" s="319"/>
      <c r="AZ426" s="319"/>
      <c r="BA426" s="319"/>
      <c r="BB426" s="319"/>
      <c r="BC426" s="319"/>
      <c r="BD426" s="319"/>
      <c r="BE426" s="319"/>
      <c r="BF426" s="319"/>
      <c r="BG426" s="319"/>
      <c r="BH426" s="319"/>
      <c r="BI426" s="319"/>
      <c r="BJ426" s="319"/>
      <c r="BK426" s="319"/>
      <c r="BL426" s="319"/>
      <c r="BM426" s="319"/>
      <c r="BN426" s="319"/>
      <c r="BO426" s="319"/>
      <c r="BP426" s="319"/>
      <c r="BQ426" s="319"/>
      <c r="BR426" s="319"/>
    </row>
    <row r="427" ht="14.25" customHeight="1">
      <c r="A427" s="195"/>
      <c r="B427" s="100"/>
      <c r="C427" s="100"/>
      <c r="D427" s="100"/>
      <c r="E427" s="100"/>
      <c r="F427" s="206"/>
      <c r="G427" s="206"/>
      <c r="H427" s="207"/>
      <c r="I427" s="207"/>
      <c r="J427" s="207"/>
      <c r="K427" s="207"/>
      <c r="L427" s="207"/>
      <c r="M427" s="207"/>
      <c r="N427" s="207"/>
      <c r="O427" s="207"/>
      <c r="P427" s="207"/>
      <c r="Q427" s="207"/>
      <c r="R427" s="207"/>
      <c r="S427" s="207"/>
      <c r="T427" s="207"/>
      <c r="U427" s="207"/>
      <c r="V427" s="207"/>
      <c r="W427" s="208"/>
      <c r="X427" s="208"/>
      <c r="Y427" s="208"/>
      <c r="Z427" s="208"/>
      <c r="AA427" s="208"/>
      <c r="AB427" s="208"/>
      <c r="AC427" s="208"/>
      <c r="AD427" s="208"/>
      <c r="AE427" s="208"/>
      <c r="AF427" s="208"/>
      <c r="AG427" s="208"/>
      <c r="AH427" s="208"/>
      <c r="AI427" s="100"/>
      <c r="AJ427" s="319"/>
      <c r="AK427" s="319"/>
      <c r="AL427" s="319"/>
      <c r="AM427" s="319"/>
      <c r="AN427" s="319"/>
      <c r="AO427" s="319"/>
      <c r="AP427" s="319"/>
      <c r="AQ427" s="319"/>
      <c r="AR427" s="319"/>
      <c r="AS427" s="319"/>
      <c r="AT427" s="319"/>
      <c r="AU427" s="319"/>
      <c r="AV427" s="319"/>
      <c r="AW427" s="319"/>
      <c r="AX427" s="319"/>
      <c r="AY427" s="319"/>
      <c r="AZ427" s="319"/>
      <c r="BA427" s="319"/>
      <c r="BB427" s="319"/>
      <c r="BC427" s="319"/>
      <c r="BD427" s="319"/>
      <c r="BE427" s="319"/>
      <c r="BF427" s="319"/>
      <c r="BG427" s="319"/>
      <c r="BH427" s="319"/>
      <c r="BI427" s="319"/>
      <c r="BJ427" s="319"/>
      <c r="BK427" s="319"/>
      <c r="BL427" s="319"/>
      <c r="BM427" s="319"/>
      <c r="BN427" s="319"/>
      <c r="BO427" s="319"/>
      <c r="BP427" s="319"/>
      <c r="BQ427" s="319"/>
      <c r="BR427" s="319"/>
    </row>
    <row r="428" ht="14.25" customHeight="1">
      <c r="A428" s="195"/>
      <c r="B428" s="100"/>
      <c r="C428" s="100"/>
      <c r="D428" s="100"/>
      <c r="E428" s="100"/>
      <c r="F428" s="206"/>
      <c r="G428" s="206"/>
      <c r="H428" s="207"/>
      <c r="I428" s="207"/>
      <c r="J428" s="207"/>
      <c r="K428" s="207"/>
      <c r="L428" s="207"/>
      <c r="M428" s="207"/>
      <c r="N428" s="207"/>
      <c r="O428" s="207"/>
      <c r="P428" s="207"/>
      <c r="Q428" s="207"/>
      <c r="R428" s="207"/>
      <c r="S428" s="207"/>
      <c r="T428" s="207"/>
      <c r="U428" s="207"/>
      <c r="V428" s="207"/>
      <c r="W428" s="208"/>
      <c r="X428" s="208"/>
      <c r="Y428" s="208"/>
      <c r="Z428" s="208"/>
      <c r="AA428" s="208"/>
      <c r="AB428" s="208"/>
      <c r="AC428" s="208"/>
      <c r="AD428" s="208"/>
      <c r="AE428" s="208"/>
      <c r="AF428" s="208"/>
      <c r="AG428" s="208"/>
      <c r="AH428" s="208"/>
      <c r="AI428" s="100"/>
      <c r="AJ428" s="319"/>
      <c r="AK428" s="319"/>
      <c r="AL428" s="319"/>
      <c r="AM428" s="319"/>
      <c r="AN428" s="319"/>
      <c r="AO428" s="319"/>
      <c r="AP428" s="319"/>
      <c r="AQ428" s="319"/>
      <c r="AR428" s="319"/>
      <c r="AS428" s="319"/>
      <c r="AT428" s="319"/>
      <c r="AU428" s="319"/>
      <c r="AV428" s="319"/>
      <c r="AW428" s="319"/>
      <c r="AX428" s="319"/>
      <c r="AY428" s="319"/>
      <c r="AZ428" s="319"/>
      <c r="BA428" s="319"/>
      <c r="BB428" s="319"/>
      <c r="BC428" s="319"/>
      <c r="BD428" s="319"/>
      <c r="BE428" s="319"/>
      <c r="BF428" s="319"/>
      <c r="BG428" s="319"/>
      <c r="BH428" s="319"/>
      <c r="BI428" s="319"/>
      <c r="BJ428" s="319"/>
      <c r="BK428" s="319"/>
      <c r="BL428" s="319"/>
      <c r="BM428" s="319"/>
      <c r="BN428" s="319"/>
      <c r="BO428" s="319"/>
      <c r="BP428" s="319"/>
      <c r="BQ428" s="319"/>
      <c r="BR428" s="319"/>
    </row>
    <row r="429" ht="14.25" customHeight="1">
      <c r="A429" s="195"/>
      <c r="B429" s="100"/>
      <c r="C429" s="100"/>
      <c r="D429" s="100"/>
      <c r="E429" s="100"/>
      <c r="F429" s="206"/>
      <c r="G429" s="206"/>
      <c r="H429" s="207"/>
      <c r="I429" s="207"/>
      <c r="J429" s="207"/>
      <c r="K429" s="207"/>
      <c r="L429" s="207"/>
      <c r="M429" s="207"/>
      <c r="N429" s="207"/>
      <c r="O429" s="207"/>
      <c r="P429" s="207"/>
      <c r="Q429" s="207"/>
      <c r="R429" s="207"/>
      <c r="S429" s="207"/>
      <c r="T429" s="207"/>
      <c r="U429" s="207"/>
      <c r="V429" s="207"/>
      <c r="W429" s="208"/>
      <c r="X429" s="208"/>
      <c r="Y429" s="208"/>
      <c r="Z429" s="208"/>
      <c r="AA429" s="208"/>
      <c r="AB429" s="208"/>
      <c r="AC429" s="208"/>
      <c r="AD429" s="208"/>
      <c r="AE429" s="208"/>
      <c r="AF429" s="208"/>
      <c r="AG429" s="208"/>
      <c r="AH429" s="208"/>
      <c r="AI429" s="100"/>
      <c r="AJ429" s="319"/>
      <c r="AK429" s="319"/>
      <c r="AL429" s="319"/>
      <c r="AM429" s="319"/>
      <c r="AN429" s="319"/>
      <c r="AO429" s="319"/>
      <c r="AP429" s="319"/>
      <c r="AQ429" s="319"/>
      <c r="AR429" s="319"/>
      <c r="AS429" s="319"/>
      <c r="AT429" s="319"/>
      <c r="AU429" s="319"/>
      <c r="AV429" s="319"/>
      <c r="AW429" s="319"/>
      <c r="AX429" s="319"/>
      <c r="AY429" s="319"/>
      <c r="AZ429" s="319"/>
      <c r="BA429" s="319"/>
      <c r="BB429" s="319"/>
      <c r="BC429" s="319"/>
      <c r="BD429" s="319"/>
      <c r="BE429" s="319"/>
      <c r="BF429" s="319"/>
      <c r="BG429" s="319"/>
      <c r="BH429" s="319"/>
      <c r="BI429" s="319"/>
      <c r="BJ429" s="319"/>
      <c r="BK429" s="319"/>
      <c r="BL429" s="319"/>
      <c r="BM429" s="319"/>
      <c r="BN429" s="319"/>
      <c r="BO429" s="319"/>
      <c r="BP429" s="319"/>
      <c r="BQ429" s="319"/>
      <c r="BR429" s="319"/>
    </row>
    <row r="430" ht="14.25" customHeight="1">
      <c r="A430" s="195"/>
      <c r="B430" s="100"/>
      <c r="C430" s="100"/>
      <c r="D430" s="100"/>
      <c r="E430" s="100"/>
      <c r="F430" s="206"/>
      <c r="G430" s="206"/>
      <c r="H430" s="207"/>
      <c r="I430" s="207"/>
      <c r="J430" s="207"/>
      <c r="K430" s="207"/>
      <c r="L430" s="207"/>
      <c r="M430" s="207"/>
      <c r="N430" s="207"/>
      <c r="O430" s="207"/>
      <c r="P430" s="207"/>
      <c r="Q430" s="207"/>
      <c r="R430" s="207"/>
      <c r="S430" s="207"/>
      <c r="T430" s="207"/>
      <c r="U430" s="207"/>
      <c r="V430" s="207"/>
      <c r="W430" s="208"/>
      <c r="X430" s="208"/>
      <c r="Y430" s="208"/>
      <c r="Z430" s="208"/>
      <c r="AA430" s="208"/>
      <c r="AB430" s="208"/>
      <c r="AC430" s="208"/>
      <c r="AD430" s="208"/>
      <c r="AE430" s="208"/>
      <c r="AF430" s="208"/>
      <c r="AG430" s="208"/>
      <c r="AH430" s="208"/>
      <c r="AI430" s="100"/>
      <c r="AJ430" s="319"/>
      <c r="AK430" s="319"/>
      <c r="AL430" s="319"/>
      <c r="AM430" s="319"/>
      <c r="AN430" s="319"/>
      <c r="AO430" s="319"/>
      <c r="AP430" s="319"/>
      <c r="AQ430" s="319"/>
      <c r="AR430" s="319"/>
      <c r="AS430" s="319"/>
      <c r="AT430" s="319"/>
      <c r="AU430" s="319"/>
      <c r="AV430" s="319"/>
      <c r="AW430" s="319"/>
      <c r="AX430" s="319"/>
      <c r="AY430" s="319"/>
      <c r="AZ430" s="319"/>
      <c r="BA430" s="319"/>
      <c r="BB430" s="319"/>
      <c r="BC430" s="319"/>
      <c r="BD430" s="319"/>
      <c r="BE430" s="319"/>
      <c r="BF430" s="319"/>
      <c r="BG430" s="319"/>
      <c r="BH430" s="319"/>
      <c r="BI430" s="319"/>
      <c r="BJ430" s="319"/>
      <c r="BK430" s="319"/>
      <c r="BL430" s="319"/>
      <c r="BM430" s="319"/>
      <c r="BN430" s="319"/>
      <c r="BO430" s="319"/>
      <c r="BP430" s="319"/>
      <c r="BQ430" s="319"/>
      <c r="BR430" s="319"/>
    </row>
    <row r="431" ht="14.25" customHeight="1">
      <c r="A431" s="195"/>
      <c r="B431" s="100"/>
      <c r="C431" s="100"/>
      <c r="D431" s="100"/>
      <c r="E431" s="100"/>
      <c r="F431" s="206"/>
      <c r="G431" s="206"/>
      <c r="H431" s="207"/>
      <c r="I431" s="207"/>
      <c r="J431" s="207"/>
      <c r="K431" s="207"/>
      <c r="L431" s="207"/>
      <c r="M431" s="207"/>
      <c r="N431" s="207"/>
      <c r="O431" s="207"/>
      <c r="P431" s="207"/>
      <c r="Q431" s="207"/>
      <c r="R431" s="207"/>
      <c r="S431" s="207"/>
      <c r="T431" s="207"/>
      <c r="U431" s="207"/>
      <c r="V431" s="207"/>
      <c r="W431" s="208"/>
      <c r="X431" s="208"/>
      <c r="Y431" s="208"/>
      <c r="Z431" s="208"/>
      <c r="AA431" s="208"/>
      <c r="AB431" s="208"/>
      <c r="AC431" s="208"/>
      <c r="AD431" s="208"/>
      <c r="AE431" s="208"/>
      <c r="AF431" s="208"/>
      <c r="AG431" s="208"/>
      <c r="AH431" s="208"/>
      <c r="AI431" s="100"/>
      <c r="AJ431" s="319"/>
      <c r="AK431" s="319"/>
      <c r="AL431" s="319"/>
      <c r="AM431" s="319"/>
      <c r="AN431" s="319"/>
      <c r="AO431" s="319"/>
      <c r="AP431" s="319"/>
      <c r="AQ431" s="319"/>
      <c r="AR431" s="319"/>
      <c r="AS431" s="319"/>
      <c r="AT431" s="319"/>
      <c r="AU431" s="319"/>
      <c r="AV431" s="319"/>
      <c r="AW431" s="319"/>
      <c r="AX431" s="319"/>
      <c r="AY431" s="319"/>
      <c r="AZ431" s="319"/>
      <c r="BA431" s="319"/>
      <c r="BB431" s="319"/>
      <c r="BC431" s="319"/>
      <c r="BD431" s="319"/>
      <c r="BE431" s="319"/>
      <c r="BF431" s="319"/>
      <c r="BG431" s="319"/>
      <c r="BH431" s="319"/>
      <c r="BI431" s="319"/>
      <c r="BJ431" s="319"/>
      <c r="BK431" s="319"/>
      <c r="BL431" s="319"/>
      <c r="BM431" s="319"/>
      <c r="BN431" s="319"/>
      <c r="BO431" s="319"/>
      <c r="BP431" s="319"/>
      <c r="BQ431" s="319"/>
      <c r="BR431" s="319"/>
    </row>
    <row r="432" ht="14.25" customHeight="1">
      <c r="A432" s="195"/>
      <c r="B432" s="100"/>
      <c r="C432" s="100"/>
      <c r="D432" s="100"/>
      <c r="E432" s="100"/>
      <c r="F432" s="206"/>
      <c r="G432" s="206"/>
      <c r="H432" s="207"/>
      <c r="I432" s="207"/>
      <c r="J432" s="207"/>
      <c r="K432" s="207"/>
      <c r="L432" s="207"/>
      <c r="M432" s="207"/>
      <c r="N432" s="207"/>
      <c r="O432" s="207"/>
      <c r="P432" s="207"/>
      <c r="Q432" s="207"/>
      <c r="R432" s="207"/>
      <c r="S432" s="207"/>
      <c r="T432" s="207"/>
      <c r="U432" s="207"/>
      <c r="V432" s="207"/>
      <c r="W432" s="208"/>
      <c r="X432" s="208"/>
      <c r="Y432" s="208"/>
      <c r="Z432" s="208"/>
      <c r="AA432" s="208"/>
      <c r="AB432" s="208"/>
      <c r="AC432" s="208"/>
      <c r="AD432" s="208"/>
      <c r="AE432" s="208"/>
      <c r="AF432" s="208"/>
      <c r="AG432" s="208"/>
      <c r="AH432" s="208"/>
      <c r="AI432" s="100"/>
      <c r="AJ432" s="319"/>
      <c r="AK432" s="319"/>
      <c r="AL432" s="319"/>
      <c r="AM432" s="319"/>
      <c r="AN432" s="319"/>
      <c r="AO432" s="319"/>
      <c r="AP432" s="319"/>
      <c r="AQ432" s="319"/>
      <c r="AR432" s="319"/>
      <c r="AS432" s="319"/>
      <c r="AT432" s="319"/>
      <c r="AU432" s="319"/>
      <c r="AV432" s="319"/>
      <c r="AW432" s="319"/>
      <c r="AX432" s="319"/>
      <c r="AY432" s="319"/>
      <c r="AZ432" s="319"/>
      <c r="BA432" s="319"/>
      <c r="BB432" s="319"/>
      <c r="BC432" s="319"/>
      <c r="BD432" s="319"/>
      <c r="BE432" s="319"/>
      <c r="BF432" s="319"/>
      <c r="BG432" s="319"/>
      <c r="BH432" s="319"/>
      <c r="BI432" s="319"/>
      <c r="BJ432" s="319"/>
      <c r="BK432" s="319"/>
      <c r="BL432" s="319"/>
      <c r="BM432" s="319"/>
      <c r="BN432" s="319"/>
      <c r="BO432" s="319"/>
      <c r="BP432" s="319"/>
      <c r="BQ432" s="319"/>
      <c r="BR432" s="319"/>
    </row>
    <row r="433" ht="14.25" customHeight="1">
      <c r="A433" s="195"/>
      <c r="B433" s="100"/>
      <c r="C433" s="100"/>
      <c r="D433" s="100"/>
      <c r="E433" s="100"/>
      <c r="F433" s="206"/>
      <c r="G433" s="206"/>
      <c r="H433" s="207"/>
      <c r="I433" s="207"/>
      <c r="J433" s="207"/>
      <c r="K433" s="207"/>
      <c r="L433" s="207"/>
      <c r="M433" s="207"/>
      <c r="N433" s="207"/>
      <c r="O433" s="207"/>
      <c r="P433" s="207"/>
      <c r="Q433" s="207"/>
      <c r="R433" s="207"/>
      <c r="S433" s="207"/>
      <c r="T433" s="207"/>
      <c r="U433" s="207"/>
      <c r="V433" s="207"/>
      <c r="W433" s="208"/>
      <c r="X433" s="208"/>
      <c r="Y433" s="208"/>
      <c r="Z433" s="208"/>
      <c r="AA433" s="208"/>
      <c r="AB433" s="208"/>
      <c r="AC433" s="208"/>
      <c r="AD433" s="208"/>
      <c r="AE433" s="208"/>
      <c r="AF433" s="208"/>
      <c r="AG433" s="208"/>
      <c r="AH433" s="208"/>
      <c r="AI433" s="100"/>
      <c r="AJ433" s="319"/>
      <c r="AK433" s="319"/>
      <c r="AL433" s="319"/>
      <c r="AM433" s="319"/>
      <c r="AN433" s="319"/>
      <c r="AO433" s="319"/>
      <c r="AP433" s="319"/>
      <c r="AQ433" s="319"/>
      <c r="AR433" s="319"/>
      <c r="AS433" s="319"/>
      <c r="AT433" s="319"/>
      <c r="AU433" s="319"/>
      <c r="AV433" s="319"/>
      <c r="AW433" s="319"/>
      <c r="AX433" s="319"/>
      <c r="AY433" s="319"/>
      <c r="AZ433" s="319"/>
      <c r="BA433" s="319"/>
      <c r="BB433" s="319"/>
      <c r="BC433" s="319"/>
      <c r="BD433" s="319"/>
      <c r="BE433" s="319"/>
      <c r="BF433" s="319"/>
      <c r="BG433" s="319"/>
      <c r="BH433" s="319"/>
      <c r="BI433" s="319"/>
      <c r="BJ433" s="319"/>
      <c r="BK433" s="319"/>
      <c r="BL433" s="319"/>
      <c r="BM433" s="319"/>
      <c r="BN433" s="319"/>
      <c r="BO433" s="319"/>
      <c r="BP433" s="319"/>
      <c r="BQ433" s="319"/>
      <c r="BR433" s="319"/>
    </row>
    <row r="434" ht="14.25" customHeight="1">
      <c r="A434" s="195"/>
      <c r="B434" s="100"/>
      <c r="C434" s="100"/>
      <c r="D434" s="100"/>
      <c r="E434" s="100"/>
      <c r="F434" s="206"/>
      <c r="G434" s="206"/>
      <c r="H434" s="207"/>
      <c r="I434" s="207"/>
      <c r="J434" s="207"/>
      <c r="K434" s="207"/>
      <c r="L434" s="207"/>
      <c r="M434" s="207"/>
      <c r="N434" s="207"/>
      <c r="O434" s="207"/>
      <c r="P434" s="207"/>
      <c r="Q434" s="207"/>
      <c r="R434" s="207"/>
      <c r="S434" s="207"/>
      <c r="T434" s="207"/>
      <c r="U434" s="207"/>
      <c r="V434" s="207"/>
      <c r="W434" s="208"/>
      <c r="X434" s="208"/>
      <c r="Y434" s="208"/>
      <c r="Z434" s="208"/>
      <c r="AA434" s="208"/>
      <c r="AB434" s="208"/>
      <c r="AC434" s="208"/>
      <c r="AD434" s="208"/>
      <c r="AE434" s="208"/>
      <c r="AF434" s="208"/>
      <c r="AG434" s="208"/>
      <c r="AH434" s="208"/>
      <c r="AI434" s="100"/>
      <c r="AJ434" s="319"/>
      <c r="AK434" s="319"/>
      <c r="AL434" s="319"/>
      <c r="AM434" s="319"/>
      <c r="AN434" s="319"/>
      <c r="AO434" s="319"/>
      <c r="AP434" s="319"/>
      <c r="AQ434" s="319"/>
      <c r="AR434" s="319"/>
      <c r="AS434" s="319"/>
      <c r="AT434" s="319"/>
      <c r="AU434" s="319"/>
      <c r="AV434" s="319"/>
      <c r="AW434" s="319"/>
      <c r="AX434" s="319"/>
      <c r="AY434" s="319"/>
      <c r="AZ434" s="319"/>
      <c r="BA434" s="319"/>
      <c r="BB434" s="319"/>
      <c r="BC434" s="319"/>
      <c r="BD434" s="319"/>
      <c r="BE434" s="319"/>
      <c r="BF434" s="319"/>
      <c r="BG434" s="319"/>
      <c r="BH434" s="319"/>
      <c r="BI434" s="319"/>
      <c r="BJ434" s="319"/>
      <c r="BK434" s="319"/>
      <c r="BL434" s="319"/>
      <c r="BM434" s="319"/>
      <c r="BN434" s="319"/>
      <c r="BO434" s="319"/>
      <c r="BP434" s="319"/>
      <c r="BQ434" s="319"/>
      <c r="BR434" s="319"/>
    </row>
    <row r="435" ht="14.25" customHeight="1">
      <c r="A435" s="195"/>
      <c r="B435" s="100"/>
      <c r="C435" s="100"/>
      <c r="D435" s="100"/>
      <c r="E435" s="100"/>
      <c r="F435" s="206"/>
      <c r="G435" s="206"/>
      <c r="H435" s="207"/>
      <c r="I435" s="207"/>
      <c r="J435" s="207"/>
      <c r="K435" s="207"/>
      <c r="L435" s="207"/>
      <c r="M435" s="207"/>
      <c r="N435" s="207"/>
      <c r="O435" s="207"/>
      <c r="P435" s="207"/>
      <c r="Q435" s="207"/>
      <c r="R435" s="207"/>
      <c r="S435" s="207"/>
      <c r="T435" s="207"/>
      <c r="U435" s="207"/>
      <c r="V435" s="207"/>
      <c r="W435" s="208"/>
      <c r="X435" s="208"/>
      <c r="Y435" s="208"/>
      <c r="Z435" s="208"/>
      <c r="AA435" s="208"/>
      <c r="AB435" s="208"/>
      <c r="AC435" s="208"/>
      <c r="AD435" s="208"/>
      <c r="AE435" s="208"/>
      <c r="AF435" s="208"/>
      <c r="AG435" s="208"/>
      <c r="AH435" s="208"/>
      <c r="AI435" s="100"/>
      <c r="AJ435" s="319"/>
      <c r="AK435" s="319"/>
      <c r="AL435" s="319"/>
      <c r="AM435" s="319"/>
      <c r="AN435" s="319"/>
      <c r="AO435" s="319"/>
      <c r="AP435" s="319"/>
      <c r="AQ435" s="319"/>
      <c r="AR435" s="319"/>
      <c r="AS435" s="319"/>
      <c r="AT435" s="319"/>
      <c r="AU435" s="319"/>
      <c r="AV435" s="319"/>
      <c r="AW435" s="319"/>
      <c r="AX435" s="319"/>
      <c r="AY435" s="319"/>
      <c r="AZ435" s="319"/>
      <c r="BA435" s="319"/>
      <c r="BB435" s="319"/>
      <c r="BC435" s="319"/>
      <c r="BD435" s="319"/>
      <c r="BE435" s="319"/>
      <c r="BF435" s="319"/>
      <c r="BG435" s="319"/>
      <c r="BH435" s="319"/>
      <c r="BI435" s="319"/>
      <c r="BJ435" s="319"/>
      <c r="BK435" s="319"/>
      <c r="BL435" s="319"/>
      <c r="BM435" s="319"/>
      <c r="BN435" s="319"/>
      <c r="BO435" s="319"/>
      <c r="BP435" s="319"/>
      <c r="BQ435" s="319"/>
      <c r="BR435" s="319"/>
    </row>
    <row r="436" ht="14.25" customHeight="1">
      <c r="A436" s="195"/>
      <c r="B436" s="100"/>
      <c r="C436" s="100"/>
      <c r="D436" s="100"/>
      <c r="E436" s="100"/>
      <c r="F436" s="206"/>
      <c r="G436" s="206"/>
      <c r="H436" s="207"/>
      <c r="I436" s="207"/>
      <c r="J436" s="207"/>
      <c r="K436" s="207"/>
      <c r="L436" s="207"/>
      <c r="M436" s="207"/>
      <c r="N436" s="207"/>
      <c r="O436" s="207"/>
      <c r="P436" s="207"/>
      <c r="Q436" s="207"/>
      <c r="R436" s="207"/>
      <c r="S436" s="207"/>
      <c r="T436" s="207"/>
      <c r="U436" s="207"/>
      <c r="V436" s="207"/>
      <c r="W436" s="208"/>
      <c r="X436" s="208"/>
      <c r="Y436" s="208"/>
      <c r="Z436" s="208"/>
      <c r="AA436" s="208"/>
      <c r="AB436" s="208"/>
      <c r="AC436" s="208"/>
      <c r="AD436" s="208"/>
      <c r="AE436" s="208"/>
      <c r="AF436" s="208"/>
      <c r="AG436" s="208"/>
      <c r="AH436" s="208"/>
      <c r="AI436" s="100"/>
      <c r="AJ436" s="319"/>
      <c r="AK436" s="319"/>
      <c r="AL436" s="319"/>
      <c r="AM436" s="319"/>
      <c r="AN436" s="319"/>
      <c r="AO436" s="319"/>
      <c r="AP436" s="319"/>
      <c r="AQ436" s="319"/>
      <c r="AR436" s="319"/>
      <c r="AS436" s="319"/>
      <c r="AT436" s="319"/>
      <c r="AU436" s="319"/>
      <c r="AV436" s="319"/>
      <c r="AW436" s="319"/>
      <c r="AX436" s="319"/>
      <c r="AY436" s="319"/>
      <c r="AZ436" s="319"/>
      <c r="BA436" s="319"/>
      <c r="BB436" s="319"/>
      <c r="BC436" s="319"/>
      <c r="BD436" s="319"/>
      <c r="BE436" s="319"/>
      <c r="BF436" s="319"/>
      <c r="BG436" s="319"/>
      <c r="BH436" s="319"/>
      <c r="BI436" s="319"/>
      <c r="BJ436" s="319"/>
      <c r="BK436" s="319"/>
      <c r="BL436" s="319"/>
      <c r="BM436" s="319"/>
      <c r="BN436" s="319"/>
      <c r="BO436" s="319"/>
      <c r="BP436" s="319"/>
      <c r="BQ436" s="319"/>
      <c r="BR436" s="319"/>
    </row>
    <row r="437" ht="14.25" customHeight="1">
      <c r="A437" s="195"/>
      <c r="B437" s="100"/>
      <c r="C437" s="100"/>
      <c r="D437" s="100"/>
      <c r="E437" s="100"/>
      <c r="F437" s="206"/>
      <c r="G437" s="206"/>
      <c r="H437" s="207"/>
      <c r="I437" s="207"/>
      <c r="J437" s="207"/>
      <c r="K437" s="207"/>
      <c r="L437" s="207"/>
      <c r="M437" s="207"/>
      <c r="N437" s="207"/>
      <c r="O437" s="207"/>
      <c r="P437" s="207"/>
      <c r="Q437" s="207"/>
      <c r="R437" s="207"/>
      <c r="S437" s="207"/>
      <c r="T437" s="207"/>
      <c r="U437" s="207"/>
      <c r="V437" s="207"/>
      <c r="W437" s="208"/>
      <c r="X437" s="208"/>
      <c r="Y437" s="208"/>
      <c r="Z437" s="208"/>
      <c r="AA437" s="208"/>
      <c r="AB437" s="208"/>
      <c r="AC437" s="208"/>
      <c r="AD437" s="208"/>
      <c r="AE437" s="208"/>
      <c r="AF437" s="208"/>
      <c r="AG437" s="208"/>
      <c r="AH437" s="208"/>
      <c r="AI437" s="100"/>
      <c r="AJ437" s="319"/>
      <c r="AK437" s="319"/>
      <c r="AL437" s="319"/>
      <c r="AM437" s="319"/>
      <c r="AN437" s="319"/>
      <c r="AO437" s="319"/>
      <c r="AP437" s="319"/>
      <c r="AQ437" s="319"/>
      <c r="AR437" s="319"/>
      <c r="AS437" s="319"/>
      <c r="AT437" s="319"/>
      <c r="AU437" s="319"/>
      <c r="AV437" s="319"/>
      <c r="AW437" s="319"/>
      <c r="AX437" s="319"/>
      <c r="AY437" s="319"/>
      <c r="AZ437" s="319"/>
      <c r="BA437" s="319"/>
      <c r="BB437" s="319"/>
      <c r="BC437" s="319"/>
      <c r="BD437" s="319"/>
      <c r="BE437" s="319"/>
      <c r="BF437" s="319"/>
      <c r="BG437" s="319"/>
      <c r="BH437" s="319"/>
      <c r="BI437" s="319"/>
      <c r="BJ437" s="319"/>
      <c r="BK437" s="319"/>
      <c r="BL437" s="319"/>
      <c r="BM437" s="319"/>
      <c r="BN437" s="319"/>
      <c r="BO437" s="319"/>
      <c r="BP437" s="319"/>
      <c r="BQ437" s="319"/>
      <c r="BR437" s="319"/>
    </row>
    <row r="438" ht="14.25" customHeight="1">
      <c r="A438" s="195"/>
      <c r="B438" s="100"/>
      <c r="C438" s="100"/>
      <c r="D438" s="100"/>
      <c r="E438" s="100"/>
      <c r="F438" s="206"/>
      <c r="G438" s="206"/>
      <c r="H438" s="207"/>
      <c r="I438" s="207"/>
      <c r="J438" s="207"/>
      <c r="K438" s="207"/>
      <c r="L438" s="207"/>
      <c r="M438" s="207"/>
      <c r="N438" s="207"/>
      <c r="O438" s="207"/>
      <c r="P438" s="207"/>
      <c r="Q438" s="207"/>
      <c r="R438" s="207"/>
      <c r="S438" s="207"/>
      <c r="T438" s="207"/>
      <c r="U438" s="207"/>
      <c r="V438" s="207"/>
      <c r="W438" s="208"/>
      <c r="X438" s="208"/>
      <c r="Y438" s="208"/>
      <c r="Z438" s="208"/>
      <c r="AA438" s="208"/>
      <c r="AB438" s="208"/>
      <c r="AC438" s="208"/>
      <c r="AD438" s="208"/>
      <c r="AE438" s="208"/>
      <c r="AF438" s="208"/>
      <c r="AG438" s="208"/>
      <c r="AH438" s="208"/>
      <c r="AI438" s="100"/>
      <c r="AJ438" s="319"/>
      <c r="AK438" s="319"/>
      <c r="AL438" s="319"/>
      <c r="AM438" s="319"/>
      <c r="AN438" s="319"/>
      <c r="AO438" s="319"/>
      <c r="AP438" s="319"/>
      <c r="AQ438" s="319"/>
      <c r="AR438" s="319"/>
      <c r="AS438" s="319"/>
      <c r="AT438" s="319"/>
      <c r="AU438" s="319"/>
      <c r="AV438" s="319"/>
      <c r="AW438" s="319"/>
      <c r="AX438" s="319"/>
      <c r="AY438" s="319"/>
      <c r="AZ438" s="319"/>
      <c r="BA438" s="319"/>
      <c r="BB438" s="319"/>
      <c r="BC438" s="319"/>
      <c r="BD438" s="319"/>
      <c r="BE438" s="319"/>
      <c r="BF438" s="319"/>
      <c r="BG438" s="319"/>
      <c r="BH438" s="319"/>
      <c r="BI438" s="319"/>
      <c r="BJ438" s="319"/>
      <c r="BK438" s="319"/>
      <c r="BL438" s="319"/>
      <c r="BM438" s="319"/>
      <c r="BN438" s="319"/>
      <c r="BO438" s="319"/>
      <c r="BP438" s="319"/>
      <c r="BQ438" s="319"/>
      <c r="BR438" s="319"/>
    </row>
    <row r="439" ht="14.25" customHeight="1">
      <c r="A439" s="195"/>
      <c r="B439" s="100"/>
      <c r="C439" s="100"/>
      <c r="D439" s="100"/>
      <c r="E439" s="100"/>
      <c r="F439" s="206"/>
      <c r="G439" s="206"/>
      <c r="H439" s="207"/>
      <c r="I439" s="207"/>
      <c r="J439" s="207"/>
      <c r="K439" s="207"/>
      <c r="L439" s="207"/>
      <c r="M439" s="207"/>
      <c r="N439" s="207"/>
      <c r="O439" s="207"/>
      <c r="P439" s="207"/>
      <c r="Q439" s="207"/>
      <c r="R439" s="207"/>
      <c r="S439" s="207"/>
      <c r="T439" s="207"/>
      <c r="U439" s="207"/>
      <c r="V439" s="207"/>
      <c r="W439" s="208"/>
      <c r="X439" s="208"/>
      <c r="Y439" s="208"/>
      <c r="Z439" s="208"/>
      <c r="AA439" s="208"/>
      <c r="AB439" s="208"/>
      <c r="AC439" s="208"/>
      <c r="AD439" s="208"/>
      <c r="AE439" s="208"/>
      <c r="AF439" s="208"/>
      <c r="AG439" s="208"/>
      <c r="AH439" s="208"/>
      <c r="AI439" s="100"/>
      <c r="AJ439" s="319"/>
      <c r="AK439" s="319"/>
      <c r="AL439" s="319"/>
      <c r="AM439" s="319"/>
      <c r="AN439" s="319"/>
      <c r="AO439" s="319"/>
      <c r="AP439" s="319"/>
      <c r="AQ439" s="319"/>
      <c r="AR439" s="319"/>
      <c r="AS439" s="319"/>
      <c r="AT439" s="319"/>
      <c r="AU439" s="319"/>
      <c r="AV439" s="319"/>
      <c r="AW439" s="319"/>
      <c r="AX439" s="319"/>
      <c r="AY439" s="319"/>
      <c r="AZ439" s="319"/>
      <c r="BA439" s="319"/>
      <c r="BB439" s="319"/>
      <c r="BC439" s="319"/>
      <c r="BD439" s="319"/>
      <c r="BE439" s="319"/>
      <c r="BF439" s="319"/>
      <c r="BG439" s="319"/>
      <c r="BH439" s="319"/>
      <c r="BI439" s="319"/>
      <c r="BJ439" s="319"/>
      <c r="BK439" s="319"/>
      <c r="BL439" s="319"/>
      <c r="BM439" s="319"/>
      <c r="BN439" s="319"/>
      <c r="BO439" s="319"/>
      <c r="BP439" s="319"/>
      <c r="BQ439" s="319"/>
      <c r="BR439" s="319"/>
    </row>
    <row r="440" ht="14.25" customHeight="1">
      <c r="A440" s="195"/>
      <c r="B440" s="100"/>
      <c r="C440" s="100"/>
      <c r="D440" s="100"/>
      <c r="E440" s="100"/>
      <c r="F440" s="206"/>
      <c r="G440" s="206"/>
      <c r="H440" s="207"/>
      <c r="I440" s="207"/>
      <c r="J440" s="207"/>
      <c r="K440" s="207"/>
      <c r="L440" s="207"/>
      <c r="M440" s="207"/>
      <c r="N440" s="207"/>
      <c r="O440" s="207"/>
      <c r="P440" s="207"/>
      <c r="Q440" s="207"/>
      <c r="R440" s="207"/>
      <c r="S440" s="207"/>
      <c r="T440" s="207"/>
      <c r="U440" s="207"/>
      <c r="V440" s="207"/>
      <c r="W440" s="208"/>
      <c r="X440" s="208"/>
      <c r="Y440" s="208"/>
      <c r="Z440" s="208"/>
      <c r="AA440" s="208"/>
      <c r="AB440" s="208"/>
      <c r="AC440" s="208"/>
      <c r="AD440" s="208"/>
      <c r="AE440" s="208"/>
      <c r="AF440" s="208"/>
      <c r="AG440" s="208"/>
      <c r="AH440" s="208"/>
      <c r="AI440" s="100"/>
      <c r="AJ440" s="319"/>
      <c r="AK440" s="319"/>
      <c r="AL440" s="319"/>
      <c r="AM440" s="319"/>
      <c r="AN440" s="319"/>
      <c r="AO440" s="319"/>
      <c r="AP440" s="319"/>
      <c r="AQ440" s="319"/>
      <c r="AR440" s="319"/>
      <c r="AS440" s="319"/>
      <c r="AT440" s="319"/>
      <c r="AU440" s="319"/>
      <c r="AV440" s="319"/>
      <c r="AW440" s="319"/>
      <c r="AX440" s="319"/>
      <c r="AY440" s="319"/>
      <c r="AZ440" s="319"/>
      <c r="BA440" s="319"/>
      <c r="BB440" s="319"/>
      <c r="BC440" s="319"/>
      <c r="BD440" s="319"/>
      <c r="BE440" s="319"/>
      <c r="BF440" s="319"/>
      <c r="BG440" s="319"/>
      <c r="BH440" s="319"/>
      <c r="BI440" s="319"/>
      <c r="BJ440" s="319"/>
      <c r="BK440" s="319"/>
      <c r="BL440" s="319"/>
      <c r="BM440" s="319"/>
      <c r="BN440" s="319"/>
      <c r="BO440" s="319"/>
      <c r="BP440" s="319"/>
      <c r="BQ440" s="319"/>
      <c r="BR440" s="319"/>
    </row>
    <row r="441" ht="14.25" customHeight="1">
      <c r="A441" s="195"/>
      <c r="B441" s="100"/>
      <c r="C441" s="100"/>
      <c r="D441" s="100"/>
      <c r="E441" s="100"/>
      <c r="F441" s="206"/>
      <c r="G441" s="206"/>
      <c r="H441" s="207"/>
      <c r="I441" s="207"/>
      <c r="J441" s="207"/>
      <c r="K441" s="207"/>
      <c r="L441" s="207"/>
      <c r="M441" s="207"/>
      <c r="N441" s="207"/>
      <c r="O441" s="207"/>
      <c r="P441" s="207"/>
      <c r="Q441" s="207"/>
      <c r="R441" s="207"/>
      <c r="S441" s="207"/>
      <c r="T441" s="207"/>
      <c r="U441" s="207"/>
      <c r="V441" s="207"/>
      <c r="W441" s="208"/>
      <c r="X441" s="208"/>
      <c r="Y441" s="208"/>
      <c r="Z441" s="208"/>
      <c r="AA441" s="208"/>
      <c r="AB441" s="208"/>
      <c r="AC441" s="208"/>
      <c r="AD441" s="208"/>
      <c r="AE441" s="208"/>
      <c r="AF441" s="208"/>
      <c r="AG441" s="208"/>
      <c r="AH441" s="208"/>
      <c r="AI441" s="100"/>
      <c r="AJ441" s="319"/>
      <c r="AK441" s="319"/>
      <c r="AL441" s="319"/>
      <c r="AM441" s="319"/>
      <c r="AN441" s="319"/>
      <c r="AO441" s="319"/>
      <c r="AP441" s="319"/>
      <c r="AQ441" s="319"/>
      <c r="AR441" s="319"/>
      <c r="AS441" s="319"/>
      <c r="AT441" s="319"/>
      <c r="AU441" s="319"/>
      <c r="AV441" s="319"/>
      <c r="AW441" s="319"/>
      <c r="AX441" s="319"/>
      <c r="AY441" s="319"/>
      <c r="AZ441" s="319"/>
      <c r="BA441" s="319"/>
      <c r="BB441" s="319"/>
      <c r="BC441" s="319"/>
      <c r="BD441" s="319"/>
      <c r="BE441" s="319"/>
      <c r="BF441" s="319"/>
      <c r="BG441" s="319"/>
      <c r="BH441" s="319"/>
      <c r="BI441" s="319"/>
      <c r="BJ441" s="319"/>
      <c r="BK441" s="319"/>
      <c r="BL441" s="319"/>
      <c r="BM441" s="319"/>
      <c r="BN441" s="319"/>
      <c r="BO441" s="319"/>
      <c r="BP441" s="319"/>
      <c r="BQ441" s="319"/>
      <c r="BR441" s="319"/>
    </row>
    <row r="442" ht="14.25" customHeight="1">
      <c r="A442" s="195"/>
      <c r="B442" s="100"/>
      <c r="C442" s="100"/>
      <c r="D442" s="100"/>
      <c r="E442" s="100"/>
      <c r="F442" s="206"/>
      <c r="G442" s="206"/>
      <c r="H442" s="207"/>
      <c r="I442" s="207"/>
      <c r="J442" s="207"/>
      <c r="K442" s="207"/>
      <c r="L442" s="207"/>
      <c r="M442" s="207"/>
      <c r="N442" s="207"/>
      <c r="O442" s="207"/>
      <c r="P442" s="207"/>
      <c r="Q442" s="207"/>
      <c r="R442" s="207"/>
      <c r="S442" s="207"/>
      <c r="T442" s="207"/>
      <c r="U442" s="207"/>
      <c r="V442" s="207"/>
      <c r="W442" s="208"/>
      <c r="X442" s="208"/>
      <c r="Y442" s="208"/>
      <c r="Z442" s="208"/>
      <c r="AA442" s="208"/>
      <c r="AB442" s="208"/>
      <c r="AC442" s="208"/>
      <c r="AD442" s="208"/>
      <c r="AE442" s="208"/>
      <c r="AF442" s="208"/>
      <c r="AG442" s="208"/>
      <c r="AH442" s="208"/>
      <c r="AI442" s="100"/>
      <c r="AJ442" s="319"/>
      <c r="AK442" s="319"/>
      <c r="AL442" s="319"/>
      <c r="AM442" s="319"/>
      <c r="AN442" s="319"/>
      <c r="AO442" s="319"/>
      <c r="AP442" s="319"/>
      <c r="AQ442" s="319"/>
      <c r="AR442" s="319"/>
      <c r="AS442" s="319"/>
      <c r="AT442" s="319"/>
      <c r="AU442" s="319"/>
      <c r="AV442" s="319"/>
      <c r="AW442" s="319"/>
      <c r="AX442" s="319"/>
      <c r="AY442" s="319"/>
      <c r="AZ442" s="319"/>
      <c r="BA442" s="319"/>
      <c r="BB442" s="319"/>
      <c r="BC442" s="319"/>
      <c r="BD442" s="319"/>
      <c r="BE442" s="319"/>
      <c r="BF442" s="319"/>
      <c r="BG442" s="319"/>
      <c r="BH442" s="319"/>
      <c r="BI442" s="319"/>
      <c r="BJ442" s="319"/>
      <c r="BK442" s="319"/>
      <c r="BL442" s="319"/>
      <c r="BM442" s="319"/>
      <c r="BN442" s="319"/>
      <c r="BO442" s="319"/>
      <c r="BP442" s="319"/>
      <c r="BQ442" s="319"/>
      <c r="BR442" s="319"/>
    </row>
    <row r="443" ht="14.25" customHeight="1">
      <c r="A443" s="195"/>
      <c r="B443" s="100"/>
      <c r="C443" s="100"/>
      <c r="D443" s="100"/>
      <c r="E443" s="100"/>
      <c r="F443" s="206"/>
      <c r="G443" s="206"/>
      <c r="H443" s="207"/>
      <c r="I443" s="207"/>
      <c r="J443" s="207"/>
      <c r="K443" s="207"/>
      <c r="L443" s="207"/>
      <c r="M443" s="207"/>
      <c r="N443" s="207"/>
      <c r="O443" s="207"/>
      <c r="P443" s="207"/>
      <c r="Q443" s="207"/>
      <c r="R443" s="207"/>
      <c r="S443" s="207"/>
      <c r="T443" s="207"/>
      <c r="U443" s="207"/>
      <c r="V443" s="207"/>
      <c r="W443" s="208"/>
      <c r="X443" s="208"/>
      <c r="Y443" s="208"/>
      <c r="Z443" s="208"/>
      <c r="AA443" s="208"/>
      <c r="AB443" s="208"/>
      <c r="AC443" s="208"/>
      <c r="AD443" s="208"/>
      <c r="AE443" s="208"/>
      <c r="AF443" s="208"/>
      <c r="AG443" s="208"/>
      <c r="AH443" s="208"/>
      <c r="AI443" s="100"/>
      <c r="AJ443" s="319"/>
      <c r="AK443" s="319"/>
      <c r="AL443" s="319"/>
      <c r="AM443" s="319"/>
      <c r="AN443" s="319"/>
      <c r="AO443" s="319"/>
      <c r="AP443" s="319"/>
      <c r="AQ443" s="319"/>
      <c r="AR443" s="319"/>
      <c r="AS443" s="319"/>
      <c r="AT443" s="319"/>
      <c r="AU443" s="319"/>
      <c r="AV443" s="319"/>
      <c r="AW443" s="319"/>
      <c r="AX443" s="319"/>
      <c r="AY443" s="319"/>
      <c r="AZ443" s="319"/>
      <c r="BA443" s="319"/>
      <c r="BB443" s="319"/>
      <c r="BC443" s="319"/>
      <c r="BD443" s="319"/>
      <c r="BE443" s="319"/>
      <c r="BF443" s="319"/>
      <c r="BG443" s="319"/>
      <c r="BH443" s="319"/>
      <c r="BI443" s="319"/>
      <c r="BJ443" s="319"/>
      <c r="BK443" s="319"/>
      <c r="BL443" s="319"/>
      <c r="BM443" s="319"/>
      <c r="BN443" s="319"/>
      <c r="BO443" s="319"/>
      <c r="BP443" s="319"/>
      <c r="BQ443" s="319"/>
      <c r="BR443" s="319"/>
    </row>
    <row r="444" ht="14.25" customHeight="1">
      <c r="A444" s="195"/>
      <c r="B444" s="100"/>
      <c r="C444" s="100"/>
      <c r="D444" s="100"/>
      <c r="E444" s="100"/>
      <c r="F444" s="206"/>
      <c r="G444" s="206"/>
      <c r="H444" s="207"/>
      <c r="I444" s="207"/>
      <c r="J444" s="207"/>
      <c r="K444" s="207"/>
      <c r="L444" s="207"/>
      <c r="M444" s="207"/>
      <c r="N444" s="207"/>
      <c r="O444" s="207"/>
      <c r="P444" s="207"/>
      <c r="Q444" s="207"/>
      <c r="R444" s="207"/>
      <c r="S444" s="207"/>
      <c r="T444" s="207"/>
      <c r="U444" s="207"/>
      <c r="V444" s="207"/>
      <c r="W444" s="208"/>
      <c r="X444" s="208"/>
      <c r="Y444" s="208"/>
      <c r="Z444" s="208"/>
      <c r="AA444" s="208"/>
      <c r="AB444" s="208"/>
      <c r="AC444" s="208"/>
      <c r="AD444" s="208"/>
      <c r="AE444" s="208"/>
      <c r="AF444" s="208"/>
      <c r="AG444" s="208"/>
      <c r="AH444" s="208"/>
      <c r="AI444" s="100"/>
      <c r="AJ444" s="319"/>
      <c r="AK444" s="319"/>
      <c r="AL444" s="319"/>
      <c r="AM444" s="319"/>
      <c r="AN444" s="319"/>
      <c r="AO444" s="319"/>
      <c r="AP444" s="319"/>
      <c r="AQ444" s="319"/>
      <c r="AR444" s="319"/>
      <c r="AS444" s="319"/>
      <c r="AT444" s="319"/>
      <c r="AU444" s="319"/>
      <c r="AV444" s="319"/>
      <c r="AW444" s="319"/>
      <c r="AX444" s="319"/>
      <c r="AY444" s="319"/>
      <c r="AZ444" s="319"/>
      <c r="BA444" s="319"/>
      <c r="BB444" s="319"/>
      <c r="BC444" s="319"/>
      <c r="BD444" s="319"/>
      <c r="BE444" s="319"/>
      <c r="BF444" s="319"/>
      <c r="BG444" s="319"/>
      <c r="BH444" s="319"/>
      <c r="BI444" s="319"/>
      <c r="BJ444" s="319"/>
      <c r="BK444" s="319"/>
      <c r="BL444" s="319"/>
      <c r="BM444" s="319"/>
      <c r="BN444" s="319"/>
      <c r="BO444" s="319"/>
      <c r="BP444" s="319"/>
      <c r="BQ444" s="319"/>
      <c r="BR444" s="319"/>
    </row>
    <row r="445" ht="14.25" customHeight="1">
      <c r="A445" s="195"/>
      <c r="B445" s="100"/>
      <c r="C445" s="100"/>
      <c r="D445" s="100"/>
      <c r="E445" s="100"/>
      <c r="F445" s="206"/>
      <c r="G445" s="206"/>
      <c r="H445" s="207"/>
      <c r="I445" s="207"/>
      <c r="J445" s="207"/>
      <c r="K445" s="207"/>
      <c r="L445" s="207"/>
      <c r="M445" s="207"/>
      <c r="N445" s="207"/>
      <c r="O445" s="207"/>
      <c r="P445" s="207"/>
      <c r="Q445" s="207"/>
      <c r="R445" s="207"/>
      <c r="S445" s="207"/>
      <c r="T445" s="207"/>
      <c r="U445" s="207"/>
      <c r="V445" s="207"/>
      <c r="W445" s="208"/>
      <c r="X445" s="208"/>
      <c r="Y445" s="208"/>
      <c r="Z445" s="208"/>
      <c r="AA445" s="208"/>
      <c r="AB445" s="208"/>
      <c r="AC445" s="208"/>
      <c r="AD445" s="208"/>
      <c r="AE445" s="208"/>
      <c r="AF445" s="208"/>
      <c r="AG445" s="208"/>
      <c r="AH445" s="208"/>
      <c r="AI445" s="100"/>
      <c r="AJ445" s="319"/>
      <c r="AK445" s="319"/>
      <c r="AL445" s="319"/>
      <c r="AM445" s="319"/>
      <c r="AN445" s="319"/>
      <c r="AO445" s="319"/>
      <c r="AP445" s="319"/>
      <c r="AQ445" s="319"/>
      <c r="AR445" s="319"/>
      <c r="AS445" s="319"/>
      <c r="AT445" s="319"/>
      <c r="AU445" s="319"/>
      <c r="AV445" s="319"/>
      <c r="AW445" s="319"/>
      <c r="AX445" s="319"/>
      <c r="AY445" s="319"/>
      <c r="AZ445" s="319"/>
      <c r="BA445" s="319"/>
      <c r="BB445" s="319"/>
      <c r="BC445" s="319"/>
      <c r="BD445" s="319"/>
      <c r="BE445" s="319"/>
      <c r="BF445" s="319"/>
      <c r="BG445" s="319"/>
      <c r="BH445" s="319"/>
      <c r="BI445" s="319"/>
      <c r="BJ445" s="319"/>
      <c r="BK445" s="319"/>
      <c r="BL445" s="319"/>
      <c r="BM445" s="319"/>
      <c r="BN445" s="319"/>
      <c r="BO445" s="319"/>
      <c r="BP445" s="319"/>
      <c r="BQ445" s="319"/>
      <c r="BR445" s="319"/>
    </row>
    <row r="446" ht="14.25" customHeight="1">
      <c r="A446" s="195"/>
      <c r="B446" s="100"/>
      <c r="C446" s="100"/>
      <c r="D446" s="100"/>
      <c r="E446" s="100"/>
      <c r="F446" s="206"/>
      <c r="G446" s="206"/>
      <c r="H446" s="207"/>
      <c r="I446" s="207"/>
      <c r="J446" s="207"/>
      <c r="K446" s="207"/>
      <c r="L446" s="207"/>
      <c r="M446" s="207"/>
      <c r="N446" s="207"/>
      <c r="O446" s="207"/>
      <c r="P446" s="207"/>
      <c r="Q446" s="207"/>
      <c r="R446" s="207"/>
      <c r="S446" s="207"/>
      <c r="T446" s="207"/>
      <c r="U446" s="207"/>
      <c r="V446" s="207"/>
      <c r="W446" s="208"/>
      <c r="X446" s="208"/>
      <c r="Y446" s="208"/>
      <c r="Z446" s="208"/>
      <c r="AA446" s="208"/>
      <c r="AB446" s="208"/>
      <c r="AC446" s="208"/>
      <c r="AD446" s="208"/>
      <c r="AE446" s="208"/>
      <c r="AF446" s="208"/>
      <c r="AG446" s="208"/>
      <c r="AH446" s="208"/>
      <c r="AI446" s="100"/>
      <c r="AJ446" s="319"/>
      <c r="AK446" s="319"/>
      <c r="AL446" s="319"/>
      <c r="AM446" s="319"/>
      <c r="AN446" s="319"/>
      <c r="AO446" s="319"/>
      <c r="AP446" s="319"/>
      <c r="AQ446" s="319"/>
      <c r="AR446" s="319"/>
      <c r="AS446" s="319"/>
      <c r="AT446" s="319"/>
      <c r="AU446" s="319"/>
      <c r="AV446" s="319"/>
      <c r="AW446" s="319"/>
      <c r="AX446" s="319"/>
      <c r="AY446" s="319"/>
      <c r="AZ446" s="319"/>
      <c r="BA446" s="319"/>
      <c r="BB446" s="319"/>
      <c r="BC446" s="319"/>
      <c r="BD446" s="319"/>
      <c r="BE446" s="319"/>
      <c r="BF446" s="319"/>
      <c r="BG446" s="319"/>
      <c r="BH446" s="319"/>
      <c r="BI446" s="319"/>
      <c r="BJ446" s="319"/>
      <c r="BK446" s="319"/>
      <c r="BL446" s="319"/>
      <c r="BM446" s="319"/>
      <c r="BN446" s="319"/>
      <c r="BO446" s="319"/>
      <c r="BP446" s="319"/>
      <c r="BQ446" s="319"/>
      <c r="BR446" s="319"/>
    </row>
    <row r="447" ht="14.25" customHeight="1">
      <c r="A447" s="195"/>
      <c r="B447" s="100"/>
      <c r="C447" s="100"/>
      <c r="D447" s="100"/>
      <c r="E447" s="100"/>
      <c r="F447" s="206"/>
      <c r="G447" s="206"/>
      <c r="H447" s="207"/>
      <c r="I447" s="207"/>
      <c r="J447" s="207"/>
      <c r="K447" s="207"/>
      <c r="L447" s="207"/>
      <c r="M447" s="207"/>
      <c r="N447" s="207"/>
      <c r="O447" s="207"/>
      <c r="P447" s="207"/>
      <c r="Q447" s="207"/>
      <c r="R447" s="207"/>
      <c r="S447" s="207"/>
      <c r="T447" s="207"/>
      <c r="U447" s="207"/>
      <c r="V447" s="207"/>
      <c r="W447" s="208"/>
      <c r="X447" s="208"/>
      <c r="Y447" s="208"/>
      <c r="Z447" s="208"/>
      <c r="AA447" s="208"/>
      <c r="AB447" s="208"/>
      <c r="AC447" s="208"/>
      <c r="AD447" s="208"/>
      <c r="AE447" s="208"/>
      <c r="AF447" s="208"/>
      <c r="AG447" s="208"/>
      <c r="AH447" s="208"/>
      <c r="AI447" s="100"/>
      <c r="AJ447" s="319"/>
      <c r="AK447" s="319"/>
      <c r="AL447" s="319"/>
      <c r="AM447" s="319"/>
      <c r="AN447" s="319"/>
      <c r="AO447" s="319"/>
      <c r="AP447" s="319"/>
      <c r="AQ447" s="319"/>
      <c r="AR447" s="319"/>
      <c r="AS447" s="319"/>
      <c r="AT447" s="319"/>
      <c r="AU447" s="319"/>
      <c r="AV447" s="319"/>
      <c r="AW447" s="319"/>
      <c r="AX447" s="319"/>
      <c r="AY447" s="319"/>
      <c r="AZ447" s="319"/>
      <c r="BA447" s="319"/>
      <c r="BB447" s="319"/>
      <c r="BC447" s="319"/>
      <c r="BD447" s="319"/>
      <c r="BE447" s="319"/>
      <c r="BF447" s="319"/>
      <c r="BG447" s="319"/>
      <c r="BH447" s="319"/>
      <c r="BI447" s="319"/>
      <c r="BJ447" s="319"/>
      <c r="BK447" s="319"/>
      <c r="BL447" s="319"/>
      <c r="BM447" s="319"/>
      <c r="BN447" s="319"/>
      <c r="BO447" s="319"/>
      <c r="BP447" s="319"/>
      <c r="BQ447" s="319"/>
      <c r="BR447" s="319"/>
    </row>
    <row r="448" ht="14.25" customHeight="1">
      <c r="A448" s="195"/>
      <c r="B448" s="100"/>
      <c r="C448" s="100"/>
      <c r="D448" s="100"/>
      <c r="E448" s="100"/>
      <c r="F448" s="206"/>
      <c r="G448" s="206"/>
      <c r="H448" s="207"/>
      <c r="I448" s="207"/>
      <c r="J448" s="207"/>
      <c r="K448" s="207"/>
      <c r="L448" s="207"/>
      <c r="M448" s="207"/>
      <c r="N448" s="207"/>
      <c r="O448" s="207"/>
      <c r="P448" s="207"/>
      <c r="Q448" s="207"/>
      <c r="R448" s="207"/>
      <c r="S448" s="207"/>
      <c r="T448" s="207"/>
      <c r="U448" s="207"/>
      <c r="V448" s="207"/>
      <c r="W448" s="208"/>
      <c r="X448" s="208"/>
      <c r="Y448" s="208"/>
      <c r="Z448" s="208"/>
      <c r="AA448" s="208"/>
      <c r="AB448" s="208"/>
      <c r="AC448" s="208"/>
      <c r="AD448" s="208"/>
      <c r="AE448" s="208"/>
      <c r="AF448" s="208"/>
      <c r="AG448" s="208"/>
      <c r="AH448" s="208"/>
      <c r="AI448" s="100"/>
      <c r="AJ448" s="319"/>
      <c r="AK448" s="319"/>
      <c r="AL448" s="319"/>
      <c r="AM448" s="319"/>
      <c r="AN448" s="319"/>
      <c r="AO448" s="319"/>
      <c r="AP448" s="319"/>
      <c r="AQ448" s="319"/>
      <c r="AR448" s="319"/>
      <c r="AS448" s="319"/>
      <c r="AT448" s="319"/>
      <c r="AU448" s="319"/>
      <c r="AV448" s="319"/>
      <c r="AW448" s="319"/>
      <c r="AX448" s="319"/>
      <c r="AY448" s="319"/>
      <c r="AZ448" s="319"/>
      <c r="BA448" s="319"/>
      <c r="BB448" s="319"/>
      <c r="BC448" s="319"/>
      <c r="BD448" s="319"/>
      <c r="BE448" s="319"/>
      <c r="BF448" s="319"/>
      <c r="BG448" s="319"/>
      <c r="BH448" s="319"/>
      <c r="BI448" s="319"/>
      <c r="BJ448" s="319"/>
      <c r="BK448" s="319"/>
      <c r="BL448" s="319"/>
      <c r="BM448" s="319"/>
      <c r="BN448" s="319"/>
      <c r="BO448" s="319"/>
      <c r="BP448" s="319"/>
      <c r="BQ448" s="319"/>
      <c r="BR448" s="319"/>
    </row>
    <row r="449" ht="14.25" customHeight="1">
      <c r="A449" s="195"/>
      <c r="B449" s="100"/>
      <c r="C449" s="100"/>
      <c r="D449" s="100"/>
      <c r="E449" s="100"/>
      <c r="F449" s="206"/>
      <c r="G449" s="206"/>
      <c r="H449" s="207"/>
      <c r="I449" s="207"/>
      <c r="J449" s="207"/>
      <c r="K449" s="207"/>
      <c r="L449" s="207"/>
      <c r="M449" s="207"/>
      <c r="N449" s="207"/>
      <c r="O449" s="207"/>
      <c r="P449" s="207"/>
      <c r="Q449" s="207"/>
      <c r="R449" s="207"/>
      <c r="S449" s="207"/>
      <c r="T449" s="207"/>
      <c r="U449" s="207"/>
      <c r="V449" s="207"/>
      <c r="W449" s="208"/>
      <c r="X449" s="208"/>
      <c r="Y449" s="208"/>
      <c r="Z449" s="208"/>
      <c r="AA449" s="208"/>
      <c r="AB449" s="208"/>
      <c r="AC449" s="208"/>
      <c r="AD449" s="208"/>
      <c r="AE449" s="208"/>
      <c r="AF449" s="208"/>
      <c r="AG449" s="208"/>
      <c r="AH449" s="208"/>
      <c r="AI449" s="100"/>
      <c r="AJ449" s="319"/>
      <c r="AK449" s="319"/>
      <c r="AL449" s="319"/>
      <c r="AM449" s="319"/>
      <c r="AN449" s="319"/>
      <c r="AO449" s="319"/>
      <c r="AP449" s="319"/>
      <c r="AQ449" s="319"/>
      <c r="AR449" s="319"/>
      <c r="AS449" s="319"/>
      <c r="AT449" s="319"/>
      <c r="AU449" s="319"/>
      <c r="AV449" s="319"/>
      <c r="AW449" s="319"/>
      <c r="AX449" s="319"/>
      <c r="AY449" s="319"/>
      <c r="AZ449" s="319"/>
      <c r="BA449" s="319"/>
      <c r="BB449" s="319"/>
      <c r="BC449" s="319"/>
      <c r="BD449" s="319"/>
      <c r="BE449" s="319"/>
      <c r="BF449" s="319"/>
      <c r="BG449" s="319"/>
      <c r="BH449" s="319"/>
      <c r="BI449" s="319"/>
      <c r="BJ449" s="319"/>
      <c r="BK449" s="319"/>
      <c r="BL449" s="319"/>
      <c r="BM449" s="319"/>
      <c r="BN449" s="319"/>
      <c r="BO449" s="319"/>
      <c r="BP449" s="319"/>
      <c r="BQ449" s="319"/>
      <c r="BR449" s="319"/>
    </row>
    <row r="450" ht="14.25" customHeight="1">
      <c r="A450" s="195"/>
      <c r="B450" s="100"/>
      <c r="C450" s="100"/>
      <c r="D450" s="100"/>
      <c r="E450" s="100"/>
      <c r="F450" s="206"/>
      <c r="G450" s="206"/>
      <c r="H450" s="207"/>
      <c r="I450" s="207"/>
      <c r="J450" s="207"/>
      <c r="K450" s="207"/>
      <c r="L450" s="207"/>
      <c r="M450" s="207"/>
      <c r="N450" s="207"/>
      <c r="O450" s="207"/>
      <c r="P450" s="207"/>
      <c r="Q450" s="207"/>
      <c r="R450" s="207"/>
      <c r="S450" s="207"/>
      <c r="T450" s="207"/>
      <c r="U450" s="207"/>
      <c r="V450" s="207"/>
      <c r="W450" s="208"/>
      <c r="X450" s="208"/>
      <c r="Y450" s="208"/>
      <c r="Z450" s="208"/>
      <c r="AA450" s="208"/>
      <c r="AB450" s="208"/>
      <c r="AC450" s="208"/>
      <c r="AD450" s="208"/>
      <c r="AE450" s="208"/>
      <c r="AF450" s="208"/>
      <c r="AG450" s="208"/>
      <c r="AH450" s="208"/>
      <c r="AI450" s="100"/>
      <c r="AJ450" s="319"/>
      <c r="AK450" s="319"/>
      <c r="AL450" s="319"/>
      <c r="AM450" s="319"/>
      <c r="AN450" s="319"/>
      <c r="AO450" s="319"/>
      <c r="AP450" s="319"/>
      <c r="AQ450" s="319"/>
      <c r="AR450" s="319"/>
      <c r="AS450" s="319"/>
      <c r="AT450" s="319"/>
      <c r="AU450" s="319"/>
      <c r="AV450" s="319"/>
      <c r="AW450" s="319"/>
      <c r="AX450" s="319"/>
      <c r="AY450" s="319"/>
      <c r="AZ450" s="319"/>
      <c r="BA450" s="319"/>
      <c r="BB450" s="319"/>
      <c r="BC450" s="319"/>
      <c r="BD450" s="319"/>
      <c r="BE450" s="319"/>
      <c r="BF450" s="319"/>
      <c r="BG450" s="319"/>
      <c r="BH450" s="319"/>
      <c r="BI450" s="319"/>
      <c r="BJ450" s="319"/>
      <c r="BK450" s="319"/>
      <c r="BL450" s="319"/>
      <c r="BM450" s="319"/>
      <c r="BN450" s="319"/>
      <c r="BO450" s="319"/>
      <c r="BP450" s="319"/>
      <c r="BQ450" s="319"/>
      <c r="BR450" s="319"/>
    </row>
    <row r="451" ht="14.25" customHeight="1">
      <c r="A451" s="195"/>
      <c r="B451" s="100"/>
      <c r="C451" s="100"/>
      <c r="D451" s="100"/>
      <c r="E451" s="100"/>
      <c r="F451" s="206"/>
      <c r="G451" s="206"/>
      <c r="H451" s="207"/>
      <c r="I451" s="207"/>
      <c r="J451" s="207"/>
      <c r="K451" s="207"/>
      <c r="L451" s="207"/>
      <c r="M451" s="207"/>
      <c r="N451" s="207"/>
      <c r="O451" s="207"/>
      <c r="P451" s="207"/>
      <c r="Q451" s="207"/>
      <c r="R451" s="207"/>
      <c r="S451" s="207"/>
      <c r="T451" s="207"/>
      <c r="U451" s="207"/>
      <c r="V451" s="207"/>
      <c r="W451" s="208"/>
      <c r="X451" s="208"/>
      <c r="Y451" s="208"/>
      <c r="Z451" s="208"/>
      <c r="AA451" s="208"/>
      <c r="AB451" s="208"/>
      <c r="AC451" s="208"/>
      <c r="AD451" s="208"/>
      <c r="AE451" s="208"/>
      <c r="AF451" s="208"/>
      <c r="AG451" s="208"/>
      <c r="AH451" s="208"/>
      <c r="AI451" s="100"/>
      <c r="AJ451" s="319"/>
      <c r="AK451" s="319"/>
      <c r="AL451" s="319"/>
      <c r="AM451" s="319"/>
      <c r="AN451" s="319"/>
      <c r="AO451" s="319"/>
      <c r="AP451" s="319"/>
      <c r="AQ451" s="319"/>
      <c r="AR451" s="319"/>
      <c r="AS451" s="319"/>
      <c r="AT451" s="319"/>
      <c r="AU451" s="319"/>
      <c r="AV451" s="319"/>
      <c r="AW451" s="319"/>
      <c r="AX451" s="319"/>
      <c r="AY451" s="319"/>
      <c r="AZ451" s="319"/>
      <c r="BA451" s="319"/>
      <c r="BB451" s="319"/>
      <c r="BC451" s="319"/>
      <c r="BD451" s="319"/>
      <c r="BE451" s="319"/>
      <c r="BF451" s="319"/>
      <c r="BG451" s="319"/>
      <c r="BH451" s="319"/>
      <c r="BI451" s="319"/>
      <c r="BJ451" s="319"/>
      <c r="BK451" s="319"/>
      <c r="BL451" s="319"/>
      <c r="BM451" s="319"/>
      <c r="BN451" s="319"/>
      <c r="BO451" s="319"/>
      <c r="BP451" s="319"/>
      <c r="BQ451" s="319"/>
      <c r="BR451" s="319"/>
    </row>
    <row r="452" ht="14.25" customHeight="1">
      <c r="A452" s="195"/>
      <c r="B452" s="100"/>
      <c r="C452" s="100"/>
      <c r="D452" s="100"/>
      <c r="E452" s="100"/>
      <c r="F452" s="206"/>
      <c r="G452" s="206"/>
      <c r="H452" s="207"/>
      <c r="I452" s="207"/>
      <c r="J452" s="207"/>
      <c r="K452" s="207"/>
      <c r="L452" s="207"/>
      <c r="M452" s="207"/>
      <c r="N452" s="207"/>
      <c r="O452" s="207"/>
      <c r="P452" s="207"/>
      <c r="Q452" s="207"/>
      <c r="R452" s="207"/>
      <c r="S452" s="207"/>
      <c r="T452" s="207"/>
      <c r="U452" s="207"/>
      <c r="V452" s="207"/>
      <c r="W452" s="208"/>
      <c r="X452" s="208"/>
      <c r="Y452" s="208"/>
      <c r="Z452" s="208"/>
      <c r="AA452" s="208"/>
      <c r="AB452" s="208"/>
      <c r="AC452" s="208"/>
      <c r="AD452" s="208"/>
      <c r="AE452" s="208"/>
      <c r="AF452" s="208"/>
      <c r="AG452" s="208"/>
      <c r="AH452" s="208"/>
      <c r="AI452" s="100"/>
      <c r="AJ452" s="319"/>
      <c r="AK452" s="319"/>
      <c r="AL452" s="319"/>
      <c r="AM452" s="319"/>
      <c r="AN452" s="319"/>
      <c r="AO452" s="319"/>
      <c r="AP452" s="319"/>
      <c r="AQ452" s="319"/>
      <c r="AR452" s="319"/>
      <c r="AS452" s="319"/>
      <c r="AT452" s="319"/>
      <c r="AU452" s="319"/>
      <c r="AV452" s="319"/>
      <c r="AW452" s="319"/>
      <c r="AX452" s="319"/>
      <c r="AY452" s="319"/>
      <c r="AZ452" s="319"/>
      <c r="BA452" s="319"/>
      <c r="BB452" s="319"/>
      <c r="BC452" s="319"/>
      <c r="BD452" s="319"/>
      <c r="BE452" s="319"/>
      <c r="BF452" s="319"/>
      <c r="BG452" s="319"/>
      <c r="BH452" s="319"/>
      <c r="BI452" s="319"/>
      <c r="BJ452" s="319"/>
      <c r="BK452" s="319"/>
      <c r="BL452" s="319"/>
      <c r="BM452" s="319"/>
      <c r="BN452" s="319"/>
      <c r="BO452" s="319"/>
      <c r="BP452" s="319"/>
      <c r="BQ452" s="319"/>
      <c r="BR452" s="319"/>
    </row>
    <row r="453" ht="14.25" customHeight="1">
      <c r="A453" s="195"/>
      <c r="B453" s="100"/>
      <c r="C453" s="100"/>
      <c r="D453" s="100"/>
      <c r="E453" s="100"/>
      <c r="F453" s="206"/>
      <c r="G453" s="206"/>
      <c r="H453" s="207"/>
      <c r="I453" s="207"/>
      <c r="J453" s="207"/>
      <c r="K453" s="207"/>
      <c r="L453" s="207"/>
      <c r="M453" s="207"/>
      <c r="N453" s="207"/>
      <c r="O453" s="207"/>
      <c r="P453" s="207"/>
      <c r="Q453" s="207"/>
      <c r="R453" s="207"/>
      <c r="S453" s="207"/>
      <c r="T453" s="207"/>
      <c r="U453" s="207"/>
      <c r="V453" s="207"/>
      <c r="W453" s="208"/>
      <c r="X453" s="208"/>
      <c r="Y453" s="208"/>
      <c r="Z453" s="208"/>
      <c r="AA453" s="208"/>
      <c r="AB453" s="208"/>
      <c r="AC453" s="208"/>
      <c r="AD453" s="208"/>
      <c r="AE453" s="208"/>
      <c r="AF453" s="208"/>
      <c r="AG453" s="208"/>
      <c r="AH453" s="208"/>
      <c r="AI453" s="100"/>
      <c r="AJ453" s="319"/>
      <c r="AK453" s="319"/>
      <c r="AL453" s="319"/>
      <c r="AM453" s="319"/>
      <c r="AN453" s="319"/>
      <c r="AO453" s="319"/>
      <c r="AP453" s="319"/>
      <c r="AQ453" s="319"/>
      <c r="AR453" s="319"/>
      <c r="AS453" s="319"/>
      <c r="AT453" s="319"/>
      <c r="AU453" s="319"/>
      <c r="AV453" s="319"/>
      <c r="AW453" s="319"/>
      <c r="AX453" s="319"/>
      <c r="AY453" s="319"/>
      <c r="AZ453" s="319"/>
      <c r="BA453" s="319"/>
      <c r="BB453" s="319"/>
      <c r="BC453" s="319"/>
      <c r="BD453" s="319"/>
      <c r="BE453" s="319"/>
      <c r="BF453" s="319"/>
      <c r="BG453" s="319"/>
      <c r="BH453" s="319"/>
      <c r="BI453" s="319"/>
      <c r="BJ453" s="319"/>
      <c r="BK453" s="319"/>
      <c r="BL453" s="319"/>
      <c r="BM453" s="319"/>
      <c r="BN453" s="319"/>
      <c r="BO453" s="319"/>
      <c r="BP453" s="319"/>
      <c r="BQ453" s="319"/>
      <c r="BR453" s="319"/>
    </row>
    <row r="454" ht="14.25" customHeight="1">
      <c r="A454" s="195"/>
      <c r="B454" s="100"/>
      <c r="C454" s="100"/>
      <c r="D454" s="100"/>
      <c r="E454" s="100"/>
      <c r="F454" s="206"/>
      <c r="G454" s="206"/>
      <c r="H454" s="207"/>
      <c r="I454" s="207"/>
      <c r="J454" s="207"/>
      <c r="K454" s="207"/>
      <c r="L454" s="207"/>
      <c r="M454" s="207"/>
      <c r="N454" s="207"/>
      <c r="O454" s="207"/>
      <c r="P454" s="207"/>
      <c r="Q454" s="207"/>
      <c r="R454" s="207"/>
      <c r="S454" s="207"/>
      <c r="T454" s="207"/>
      <c r="U454" s="207"/>
      <c r="V454" s="207"/>
      <c r="W454" s="208"/>
      <c r="X454" s="208"/>
      <c r="Y454" s="208"/>
      <c r="Z454" s="208"/>
      <c r="AA454" s="208"/>
      <c r="AB454" s="208"/>
      <c r="AC454" s="208"/>
      <c r="AD454" s="208"/>
      <c r="AE454" s="208"/>
      <c r="AF454" s="208"/>
      <c r="AG454" s="208"/>
      <c r="AH454" s="208"/>
      <c r="AI454" s="100"/>
      <c r="AJ454" s="319"/>
      <c r="AK454" s="319"/>
      <c r="AL454" s="319"/>
      <c r="AM454" s="319"/>
      <c r="AN454" s="319"/>
      <c r="AO454" s="319"/>
      <c r="AP454" s="319"/>
      <c r="AQ454" s="319"/>
      <c r="AR454" s="319"/>
      <c r="AS454" s="319"/>
      <c r="AT454" s="319"/>
      <c r="AU454" s="319"/>
      <c r="AV454" s="319"/>
      <c r="AW454" s="319"/>
      <c r="AX454" s="319"/>
      <c r="AY454" s="319"/>
      <c r="AZ454" s="319"/>
      <c r="BA454" s="319"/>
      <c r="BB454" s="319"/>
      <c r="BC454" s="319"/>
      <c r="BD454" s="319"/>
      <c r="BE454" s="319"/>
      <c r="BF454" s="319"/>
      <c r="BG454" s="319"/>
      <c r="BH454" s="319"/>
      <c r="BI454" s="319"/>
      <c r="BJ454" s="319"/>
      <c r="BK454" s="319"/>
      <c r="BL454" s="319"/>
      <c r="BM454" s="319"/>
      <c r="BN454" s="319"/>
      <c r="BO454" s="319"/>
      <c r="BP454" s="319"/>
      <c r="BQ454" s="319"/>
      <c r="BR454" s="319"/>
    </row>
    <row r="455" ht="14.25" customHeight="1">
      <c r="A455" s="195"/>
      <c r="B455" s="100"/>
      <c r="C455" s="100"/>
      <c r="D455" s="100"/>
      <c r="E455" s="100"/>
      <c r="F455" s="206"/>
      <c r="G455" s="206"/>
      <c r="H455" s="207"/>
      <c r="I455" s="207"/>
      <c r="J455" s="207"/>
      <c r="K455" s="207"/>
      <c r="L455" s="207"/>
      <c r="M455" s="207"/>
      <c r="N455" s="207"/>
      <c r="O455" s="207"/>
      <c r="P455" s="207"/>
      <c r="Q455" s="207"/>
      <c r="R455" s="207"/>
      <c r="S455" s="207"/>
      <c r="T455" s="207"/>
      <c r="U455" s="207"/>
      <c r="V455" s="207"/>
      <c r="W455" s="208"/>
      <c r="X455" s="208"/>
      <c r="Y455" s="208"/>
      <c r="Z455" s="208"/>
      <c r="AA455" s="208"/>
      <c r="AB455" s="208"/>
      <c r="AC455" s="208"/>
      <c r="AD455" s="208"/>
      <c r="AE455" s="208"/>
      <c r="AF455" s="208"/>
      <c r="AG455" s="208"/>
      <c r="AH455" s="208"/>
      <c r="AI455" s="100"/>
      <c r="AJ455" s="319"/>
      <c r="AK455" s="319"/>
      <c r="AL455" s="319"/>
      <c r="AM455" s="319"/>
      <c r="AN455" s="319"/>
      <c r="AO455" s="319"/>
      <c r="AP455" s="319"/>
      <c r="AQ455" s="319"/>
      <c r="AR455" s="319"/>
      <c r="AS455" s="319"/>
      <c r="AT455" s="319"/>
      <c r="AU455" s="319"/>
      <c r="AV455" s="319"/>
      <c r="AW455" s="319"/>
      <c r="AX455" s="319"/>
      <c r="AY455" s="319"/>
      <c r="AZ455" s="319"/>
      <c r="BA455" s="319"/>
      <c r="BB455" s="319"/>
      <c r="BC455" s="319"/>
      <c r="BD455" s="319"/>
      <c r="BE455" s="319"/>
      <c r="BF455" s="319"/>
      <c r="BG455" s="319"/>
      <c r="BH455" s="319"/>
      <c r="BI455" s="319"/>
      <c r="BJ455" s="319"/>
      <c r="BK455" s="319"/>
      <c r="BL455" s="319"/>
      <c r="BM455" s="319"/>
      <c r="BN455" s="319"/>
      <c r="BO455" s="319"/>
      <c r="BP455" s="319"/>
      <c r="BQ455" s="319"/>
      <c r="BR455" s="319"/>
    </row>
    <row r="456" ht="14.25" customHeight="1">
      <c r="A456" s="195"/>
      <c r="B456" s="100"/>
      <c r="C456" s="100"/>
      <c r="D456" s="100"/>
      <c r="E456" s="100"/>
      <c r="F456" s="206"/>
      <c r="G456" s="206"/>
      <c r="H456" s="207"/>
      <c r="I456" s="207"/>
      <c r="J456" s="207"/>
      <c r="K456" s="207"/>
      <c r="L456" s="207"/>
      <c r="M456" s="207"/>
      <c r="N456" s="207"/>
      <c r="O456" s="207"/>
      <c r="P456" s="207"/>
      <c r="Q456" s="207"/>
      <c r="R456" s="207"/>
      <c r="S456" s="207"/>
      <c r="T456" s="207"/>
      <c r="U456" s="207"/>
      <c r="V456" s="207"/>
      <c r="W456" s="208"/>
      <c r="X456" s="208"/>
      <c r="Y456" s="208"/>
      <c r="Z456" s="208"/>
      <c r="AA456" s="208"/>
      <c r="AB456" s="208"/>
      <c r="AC456" s="208"/>
      <c r="AD456" s="208"/>
      <c r="AE456" s="208"/>
      <c r="AF456" s="208"/>
      <c r="AG456" s="208"/>
      <c r="AH456" s="208"/>
      <c r="AI456" s="100"/>
      <c r="AJ456" s="319"/>
      <c r="AK456" s="319"/>
      <c r="AL456" s="319"/>
      <c r="AM456" s="319"/>
      <c r="AN456" s="319"/>
      <c r="AO456" s="319"/>
      <c r="AP456" s="319"/>
      <c r="AQ456" s="319"/>
      <c r="AR456" s="319"/>
      <c r="AS456" s="319"/>
      <c r="AT456" s="319"/>
      <c r="AU456" s="319"/>
      <c r="AV456" s="319"/>
      <c r="AW456" s="319"/>
      <c r="AX456" s="319"/>
      <c r="AY456" s="319"/>
      <c r="AZ456" s="319"/>
      <c r="BA456" s="319"/>
      <c r="BB456" s="319"/>
      <c r="BC456" s="319"/>
      <c r="BD456" s="319"/>
      <c r="BE456" s="319"/>
      <c r="BF456" s="319"/>
      <c r="BG456" s="319"/>
      <c r="BH456" s="319"/>
      <c r="BI456" s="319"/>
      <c r="BJ456" s="319"/>
      <c r="BK456" s="319"/>
      <c r="BL456" s="319"/>
      <c r="BM456" s="319"/>
      <c r="BN456" s="319"/>
      <c r="BO456" s="319"/>
      <c r="BP456" s="319"/>
      <c r="BQ456" s="319"/>
      <c r="BR456" s="319"/>
    </row>
    <row r="457" ht="14.25" customHeight="1">
      <c r="A457" s="195"/>
      <c r="B457" s="100"/>
      <c r="C457" s="100"/>
      <c r="D457" s="100"/>
      <c r="E457" s="100"/>
      <c r="F457" s="206"/>
      <c r="G457" s="206"/>
      <c r="H457" s="207"/>
      <c r="I457" s="207"/>
      <c r="J457" s="207"/>
      <c r="K457" s="207"/>
      <c r="L457" s="207"/>
      <c r="M457" s="207"/>
      <c r="N457" s="207"/>
      <c r="O457" s="207"/>
      <c r="P457" s="207"/>
      <c r="Q457" s="207"/>
      <c r="R457" s="207"/>
      <c r="S457" s="207"/>
      <c r="T457" s="207"/>
      <c r="U457" s="207"/>
      <c r="V457" s="207"/>
      <c r="W457" s="208"/>
      <c r="X457" s="208"/>
      <c r="Y457" s="208"/>
      <c r="Z457" s="208"/>
      <c r="AA457" s="208"/>
      <c r="AB457" s="208"/>
      <c r="AC457" s="208"/>
      <c r="AD457" s="208"/>
      <c r="AE457" s="208"/>
      <c r="AF457" s="208"/>
      <c r="AG457" s="208"/>
      <c r="AH457" s="208"/>
      <c r="AI457" s="100"/>
      <c r="AJ457" s="319"/>
      <c r="AK457" s="319"/>
      <c r="AL457" s="319"/>
      <c r="AM457" s="319"/>
      <c r="AN457" s="319"/>
      <c r="AO457" s="319"/>
      <c r="AP457" s="319"/>
      <c r="AQ457" s="319"/>
      <c r="AR457" s="319"/>
      <c r="AS457" s="319"/>
      <c r="AT457" s="319"/>
      <c r="AU457" s="319"/>
      <c r="AV457" s="319"/>
      <c r="AW457" s="319"/>
      <c r="AX457" s="319"/>
      <c r="AY457" s="319"/>
      <c r="AZ457" s="319"/>
      <c r="BA457" s="319"/>
      <c r="BB457" s="319"/>
      <c r="BC457" s="319"/>
      <c r="BD457" s="319"/>
      <c r="BE457" s="319"/>
      <c r="BF457" s="319"/>
      <c r="BG457" s="319"/>
      <c r="BH457" s="319"/>
      <c r="BI457" s="319"/>
      <c r="BJ457" s="319"/>
      <c r="BK457" s="319"/>
      <c r="BL457" s="319"/>
      <c r="BM457" s="319"/>
      <c r="BN457" s="319"/>
      <c r="BO457" s="319"/>
      <c r="BP457" s="319"/>
      <c r="BQ457" s="319"/>
      <c r="BR457" s="319"/>
    </row>
    <row r="458" ht="14.25" customHeight="1">
      <c r="A458" s="195"/>
      <c r="B458" s="100"/>
      <c r="C458" s="100"/>
      <c r="D458" s="100"/>
      <c r="E458" s="100"/>
      <c r="F458" s="206"/>
      <c r="G458" s="206"/>
      <c r="H458" s="207"/>
      <c r="I458" s="207"/>
      <c r="J458" s="207"/>
      <c r="K458" s="207"/>
      <c r="L458" s="207"/>
      <c r="M458" s="207"/>
      <c r="N458" s="207"/>
      <c r="O458" s="207"/>
      <c r="P458" s="207"/>
      <c r="Q458" s="207"/>
      <c r="R458" s="207"/>
      <c r="S458" s="207"/>
      <c r="T458" s="207"/>
      <c r="U458" s="207"/>
      <c r="V458" s="207"/>
      <c r="W458" s="208"/>
      <c r="X458" s="208"/>
      <c r="Y458" s="208"/>
      <c r="Z458" s="208"/>
      <c r="AA458" s="208"/>
      <c r="AB458" s="208"/>
      <c r="AC458" s="208"/>
      <c r="AD458" s="208"/>
      <c r="AE458" s="208"/>
      <c r="AF458" s="208"/>
      <c r="AG458" s="208"/>
      <c r="AH458" s="208"/>
      <c r="AI458" s="100"/>
      <c r="AJ458" s="319"/>
      <c r="AK458" s="319"/>
      <c r="AL458" s="319"/>
      <c r="AM458" s="319"/>
      <c r="AN458" s="319"/>
      <c r="AO458" s="319"/>
      <c r="AP458" s="319"/>
      <c r="AQ458" s="319"/>
      <c r="AR458" s="319"/>
      <c r="AS458" s="319"/>
      <c r="AT458" s="319"/>
      <c r="AU458" s="319"/>
      <c r="AV458" s="319"/>
      <c r="AW458" s="319"/>
      <c r="AX458" s="319"/>
      <c r="AY458" s="319"/>
      <c r="AZ458" s="319"/>
      <c r="BA458" s="319"/>
      <c r="BB458" s="319"/>
      <c r="BC458" s="319"/>
      <c r="BD458" s="319"/>
      <c r="BE458" s="319"/>
      <c r="BF458" s="319"/>
      <c r="BG458" s="319"/>
      <c r="BH458" s="319"/>
      <c r="BI458" s="319"/>
      <c r="BJ458" s="319"/>
      <c r="BK458" s="319"/>
      <c r="BL458" s="319"/>
      <c r="BM458" s="319"/>
      <c r="BN458" s="319"/>
      <c r="BO458" s="319"/>
      <c r="BP458" s="319"/>
      <c r="BQ458" s="319"/>
      <c r="BR458" s="319"/>
    </row>
    <row r="459" ht="14.25" customHeight="1">
      <c r="A459" s="195"/>
      <c r="B459" s="100"/>
      <c r="C459" s="100"/>
      <c r="D459" s="100"/>
      <c r="E459" s="100"/>
      <c r="F459" s="206"/>
      <c r="G459" s="206"/>
      <c r="H459" s="207"/>
      <c r="I459" s="207"/>
      <c r="J459" s="207"/>
      <c r="K459" s="207"/>
      <c r="L459" s="207"/>
      <c r="M459" s="207"/>
      <c r="N459" s="207"/>
      <c r="O459" s="207"/>
      <c r="P459" s="207"/>
      <c r="Q459" s="207"/>
      <c r="R459" s="207"/>
      <c r="S459" s="207"/>
      <c r="T459" s="207"/>
      <c r="U459" s="207"/>
      <c r="V459" s="207"/>
      <c r="W459" s="208"/>
      <c r="X459" s="208"/>
      <c r="Y459" s="208"/>
      <c r="Z459" s="208"/>
      <c r="AA459" s="208"/>
      <c r="AB459" s="208"/>
      <c r="AC459" s="208"/>
      <c r="AD459" s="208"/>
      <c r="AE459" s="208"/>
      <c r="AF459" s="208"/>
      <c r="AG459" s="208"/>
      <c r="AH459" s="208"/>
      <c r="AI459" s="100"/>
      <c r="AJ459" s="319"/>
      <c r="AK459" s="319"/>
      <c r="AL459" s="319"/>
      <c r="AM459" s="319"/>
      <c r="AN459" s="319"/>
      <c r="AO459" s="319"/>
      <c r="AP459" s="319"/>
      <c r="AQ459" s="319"/>
      <c r="AR459" s="319"/>
      <c r="AS459" s="319"/>
      <c r="AT459" s="319"/>
      <c r="AU459" s="319"/>
      <c r="AV459" s="319"/>
      <c r="AW459" s="319"/>
      <c r="AX459" s="319"/>
      <c r="AY459" s="319"/>
      <c r="AZ459" s="319"/>
      <c r="BA459" s="319"/>
      <c r="BB459" s="319"/>
      <c r="BC459" s="319"/>
      <c r="BD459" s="319"/>
      <c r="BE459" s="319"/>
      <c r="BF459" s="319"/>
      <c r="BG459" s="319"/>
      <c r="BH459" s="319"/>
      <c r="BI459" s="319"/>
      <c r="BJ459" s="319"/>
      <c r="BK459" s="319"/>
      <c r="BL459" s="319"/>
      <c r="BM459" s="319"/>
      <c r="BN459" s="319"/>
      <c r="BO459" s="319"/>
      <c r="BP459" s="319"/>
      <c r="BQ459" s="319"/>
      <c r="BR459" s="319"/>
    </row>
    <row r="460" ht="14.25" customHeight="1">
      <c r="A460" s="195"/>
      <c r="B460" s="100"/>
      <c r="C460" s="100"/>
      <c r="D460" s="100"/>
      <c r="E460" s="100"/>
      <c r="F460" s="206"/>
      <c r="G460" s="206"/>
      <c r="H460" s="207"/>
      <c r="I460" s="207"/>
      <c r="J460" s="207"/>
      <c r="K460" s="207"/>
      <c r="L460" s="207"/>
      <c r="M460" s="207"/>
      <c r="N460" s="207"/>
      <c r="O460" s="207"/>
      <c r="P460" s="207"/>
      <c r="Q460" s="207"/>
      <c r="R460" s="207"/>
      <c r="S460" s="207"/>
      <c r="T460" s="207"/>
      <c r="U460" s="207"/>
      <c r="V460" s="207"/>
      <c r="W460" s="208"/>
      <c r="X460" s="208"/>
      <c r="Y460" s="208"/>
      <c r="Z460" s="208"/>
      <c r="AA460" s="208"/>
      <c r="AB460" s="208"/>
      <c r="AC460" s="208"/>
      <c r="AD460" s="208"/>
      <c r="AE460" s="208"/>
      <c r="AF460" s="208"/>
      <c r="AG460" s="208"/>
      <c r="AH460" s="208"/>
      <c r="AI460" s="100"/>
      <c r="AJ460" s="319"/>
      <c r="AK460" s="319"/>
      <c r="AL460" s="319"/>
      <c r="AM460" s="319"/>
      <c r="AN460" s="319"/>
      <c r="AO460" s="319"/>
      <c r="AP460" s="319"/>
      <c r="AQ460" s="319"/>
      <c r="AR460" s="319"/>
      <c r="AS460" s="319"/>
      <c r="AT460" s="319"/>
      <c r="AU460" s="319"/>
      <c r="AV460" s="319"/>
      <c r="AW460" s="319"/>
      <c r="AX460" s="319"/>
      <c r="AY460" s="319"/>
      <c r="AZ460" s="319"/>
      <c r="BA460" s="319"/>
      <c r="BB460" s="319"/>
      <c r="BC460" s="319"/>
      <c r="BD460" s="319"/>
      <c r="BE460" s="319"/>
      <c r="BF460" s="319"/>
      <c r="BG460" s="319"/>
      <c r="BH460" s="319"/>
      <c r="BI460" s="319"/>
      <c r="BJ460" s="319"/>
      <c r="BK460" s="319"/>
      <c r="BL460" s="319"/>
      <c r="BM460" s="319"/>
      <c r="BN460" s="319"/>
      <c r="BO460" s="319"/>
      <c r="BP460" s="319"/>
      <c r="BQ460" s="319"/>
      <c r="BR460" s="319"/>
    </row>
    <row r="461" ht="14.25" customHeight="1">
      <c r="A461" s="195"/>
      <c r="B461" s="100"/>
      <c r="C461" s="100"/>
      <c r="D461" s="100"/>
      <c r="E461" s="100"/>
      <c r="F461" s="206"/>
      <c r="G461" s="206"/>
      <c r="H461" s="207"/>
      <c r="I461" s="207"/>
      <c r="J461" s="207"/>
      <c r="K461" s="207"/>
      <c r="L461" s="207"/>
      <c r="M461" s="207"/>
      <c r="N461" s="207"/>
      <c r="O461" s="207"/>
      <c r="P461" s="207"/>
      <c r="Q461" s="207"/>
      <c r="R461" s="207"/>
      <c r="S461" s="207"/>
      <c r="T461" s="207"/>
      <c r="U461" s="207"/>
      <c r="V461" s="207"/>
      <c r="W461" s="208"/>
      <c r="X461" s="208"/>
      <c r="Y461" s="208"/>
      <c r="Z461" s="208"/>
      <c r="AA461" s="208"/>
      <c r="AB461" s="208"/>
      <c r="AC461" s="208"/>
      <c r="AD461" s="208"/>
      <c r="AE461" s="208"/>
      <c r="AF461" s="208"/>
      <c r="AG461" s="208"/>
      <c r="AH461" s="208"/>
      <c r="AI461" s="100"/>
      <c r="AJ461" s="319"/>
      <c r="AK461" s="319"/>
      <c r="AL461" s="319"/>
      <c r="AM461" s="319"/>
      <c r="AN461" s="319"/>
      <c r="AO461" s="319"/>
      <c r="AP461" s="319"/>
      <c r="AQ461" s="319"/>
      <c r="AR461" s="319"/>
      <c r="AS461" s="319"/>
      <c r="AT461" s="319"/>
      <c r="AU461" s="319"/>
      <c r="AV461" s="319"/>
      <c r="AW461" s="319"/>
      <c r="AX461" s="319"/>
      <c r="AY461" s="319"/>
      <c r="AZ461" s="319"/>
      <c r="BA461" s="319"/>
      <c r="BB461" s="319"/>
      <c r="BC461" s="319"/>
      <c r="BD461" s="319"/>
      <c r="BE461" s="319"/>
      <c r="BF461" s="319"/>
      <c r="BG461" s="319"/>
      <c r="BH461" s="319"/>
      <c r="BI461" s="319"/>
      <c r="BJ461" s="319"/>
      <c r="BK461" s="319"/>
      <c r="BL461" s="319"/>
      <c r="BM461" s="319"/>
      <c r="BN461" s="319"/>
      <c r="BO461" s="319"/>
      <c r="BP461" s="319"/>
      <c r="BQ461" s="319"/>
      <c r="BR461" s="319"/>
    </row>
    <row r="462" ht="14.25" customHeight="1">
      <c r="A462" s="195"/>
      <c r="B462" s="100"/>
      <c r="C462" s="100"/>
      <c r="D462" s="100"/>
      <c r="E462" s="100"/>
      <c r="F462" s="206"/>
      <c r="G462" s="206"/>
      <c r="H462" s="207"/>
      <c r="I462" s="207"/>
      <c r="J462" s="207"/>
      <c r="K462" s="207"/>
      <c r="L462" s="207"/>
      <c r="M462" s="207"/>
      <c r="N462" s="207"/>
      <c r="O462" s="207"/>
      <c r="P462" s="207"/>
      <c r="Q462" s="207"/>
      <c r="R462" s="207"/>
      <c r="S462" s="207"/>
      <c r="T462" s="207"/>
      <c r="U462" s="207"/>
      <c r="V462" s="207"/>
      <c r="W462" s="208"/>
      <c r="X462" s="208"/>
      <c r="Y462" s="208"/>
      <c r="Z462" s="208"/>
      <c r="AA462" s="208"/>
      <c r="AB462" s="208"/>
      <c r="AC462" s="208"/>
      <c r="AD462" s="208"/>
      <c r="AE462" s="208"/>
      <c r="AF462" s="208"/>
      <c r="AG462" s="208"/>
      <c r="AH462" s="208"/>
      <c r="AI462" s="100"/>
      <c r="AJ462" s="319"/>
      <c r="AK462" s="319"/>
      <c r="AL462" s="319"/>
      <c r="AM462" s="319"/>
      <c r="AN462" s="319"/>
      <c r="AO462" s="319"/>
      <c r="AP462" s="319"/>
      <c r="AQ462" s="319"/>
      <c r="AR462" s="319"/>
      <c r="AS462" s="319"/>
      <c r="AT462" s="319"/>
      <c r="AU462" s="319"/>
      <c r="AV462" s="319"/>
      <c r="AW462" s="319"/>
      <c r="AX462" s="319"/>
      <c r="AY462" s="319"/>
      <c r="AZ462" s="319"/>
      <c r="BA462" s="319"/>
      <c r="BB462" s="319"/>
      <c r="BC462" s="319"/>
      <c r="BD462" s="319"/>
      <c r="BE462" s="319"/>
      <c r="BF462" s="319"/>
      <c r="BG462" s="319"/>
      <c r="BH462" s="319"/>
      <c r="BI462" s="319"/>
      <c r="BJ462" s="319"/>
      <c r="BK462" s="319"/>
      <c r="BL462" s="319"/>
      <c r="BM462" s="319"/>
      <c r="BN462" s="319"/>
      <c r="BO462" s="319"/>
      <c r="BP462" s="319"/>
      <c r="BQ462" s="319"/>
      <c r="BR462" s="319"/>
    </row>
    <row r="463" ht="14.25" customHeight="1">
      <c r="A463" s="195"/>
      <c r="B463" s="100"/>
      <c r="C463" s="100"/>
      <c r="D463" s="100"/>
      <c r="E463" s="100"/>
      <c r="F463" s="206"/>
      <c r="G463" s="206"/>
      <c r="H463" s="207"/>
      <c r="I463" s="207"/>
      <c r="J463" s="207"/>
      <c r="K463" s="207"/>
      <c r="L463" s="207"/>
      <c r="M463" s="207"/>
      <c r="N463" s="207"/>
      <c r="O463" s="207"/>
      <c r="P463" s="207"/>
      <c r="Q463" s="207"/>
      <c r="R463" s="207"/>
      <c r="S463" s="207"/>
      <c r="T463" s="207"/>
      <c r="U463" s="207"/>
      <c r="V463" s="207"/>
      <c r="W463" s="208"/>
      <c r="X463" s="208"/>
      <c r="Y463" s="208"/>
      <c r="Z463" s="208"/>
      <c r="AA463" s="208"/>
      <c r="AB463" s="208"/>
      <c r="AC463" s="208"/>
      <c r="AD463" s="208"/>
      <c r="AE463" s="208"/>
      <c r="AF463" s="208"/>
      <c r="AG463" s="208"/>
      <c r="AH463" s="208"/>
      <c r="AI463" s="100"/>
      <c r="AJ463" s="319"/>
      <c r="AK463" s="319"/>
      <c r="AL463" s="319"/>
      <c r="AM463" s="319"/>
      <c r="AN463" s="319"/>
      <c r="AO463" s="319"/>
      <c r="AP463" s="319"/>
      <c r="AQ463" s="319"/>
      <c r="AR463" s="319"/>
      <c r="AS463" s="319"/>
      <c r="AT463" s="319"/>
      <c r="AU463" s="319"/>
      <c r="AV463" s="319"/>
      <c r="AW463" s="319"/>
      <c r="AX463" s="319"/>
      <c r="AY463" s="319"/>
      <c r="AZ463" s="319"/>
      <c r="BA463" s="319"/>
      <c r="BB463" s="319"/>
      <c r="BC463" s="319"/>
      <c r="BD463" s="319"/>
      <c r="BE463" s="319"/>
      <c r="BF463" s="319"/>
      <c r="BG463" s="319"/>
      <c r="BH463" s="319"/>
      <c r="BI463" s="319"/>
      <c r="BJ463" s="319"/>
      <c r="BK463" s="319"/>
      <c r="BL463" s="319"/>
      <c r="BM463" s="319"/>
      <c r="BN463" s="319"/>
      <c r="BO463" s="319"/>
      <c r="BP463" s="319"/>
      <c r="BQ463" s="319"/>
      <c r="BR463" s="319"/>
    </row>
    <row r="464" ht="14.25" customHeight="1">
      <c r="A464" s="195"/>
      <c r="B464" s="100"/>
      <c r="C464" s="100"/>
      <c r="D464" s="100"/>
      <c r="E464" s="100"/>
      <c r="F464" s="206"/>
      <c r="G464" s="206"/>
      <c r="H464" s="207"/>
      <c r="I464" s="207"/>
      <c r="J464" s="207"/>
      <c r="K464" s="207"/>
      <c r="L464" s="207"/>
      <c r="M464" s="207"/>
      <c r="N464" s="207"/>
      <c r="O464" s="207"/>
      <c r="P464" s="207"/>
      <c r="Q464" s="207"/>
      <c r="R464" s="207"/>
      <c r="S464" s="207"/>
      <c r="T464" s="207"/>
      <c r="U464" s="207"/>
      <c r="V464" s="207"/>
      <c r="W464" s="208"/>
      <c r="X464" s="208"/>
      <c r="Y464" s="208"/>
      <c r="Z464" s="208"/>
      <c r="AA464" s="208"/>
      <c r="AB464" s="208"/>
      <c r="AC464" s="208"/>
      <c r="AD464" s="208"/>
      <c r="AE464" s="208"/>
      <c r="AF464" s="208"/>
      <c r="AG464" s="208"/>
      <c r="AH464" s="208"/>
      <c r="AI464" s="100"/>
      <c r="AJ464" s="319"/>
      <c r="AK464" s="319"/>
      <c r="AL464" s="319"/>
      <c r="AM464" s="319"/>
      <c r="AN464" s="319"/>
      <c r="AO464" s="319"/>
      <c r="AP464" s="319"/>
      <c r="AQ464" s="319"/>
      <c r="AR464" s="319"/>
      <c r="AS464" s="319"/>
      <c r="AT464" s="319"/>
      <c r="AU464" s="319"/>
      <c r="AV464" s="319"/>
      <c r="AW464" s="319"/>
      <c r="AX464" s="319"/>
      <c r="AY464" s="319"/>
      <c r="AZ464" s="319"/>
      <c r="BA464" s="319"/>
      <c r="BB464" s="319"/>
      <c r="BC464" s="319"/>
      <c r="BD464" s="319"/>
      <c r="BE464" s="319"/>
      <c r="BF464" s="319"/>
      <c r="BG464" s="319"/>
      <c r="BH464" s="319"/>
      <c r="BI464" s="319"/>
      <c r="BJ464" s="319"/>
      <c r="BK464" s="319"/>
      <c r="BL464" s="319"/>
      <c r="BM464" s="319"/>
      <c r="BN464" s="319"/>
      <c r="BO464" s="319"/>
      <c r="BP464" s="319"/>
      <c r="BQ464" s="319"/>
      <c r="BR464" s="319"/>
    </row>
    <row r="465" ht="14.25" customHeight="1">
      <c r="A465" s="195"/>
      <c r="B465" s="100"/>
      <c r="C465" s="100"/>
      <c r="D465" s="100"/>
      <c r="E465" s="100"/>
      <c r="F465" s="206"/>
      <c r="G465" s="206"/>
      <c r="H465" s="207"/>
      <c r="I465" s="207"/>
      <c r="J465" s="207"/>
      <c r="K465" s="207"/>
      <c r="L465" s="207"/>
      <c r="M465" s="207"/>
      <c r="N465" s="207"/>
      <c r="O465" s="207"/>
      <c r="P465" s="207"/>
      <c r="Q465" s="207"/>
      <c r="R465" s="207"/>
      <c r="S465" s="207"/>
      <c r="T465" s="207"/>
      <c r="U465" s="207"/>
      <c r="V465" s="207"/>
      <c r="W465" s="208"/>
      <c r="X465" s="208"/>
      <c r="Y465" s="208"/>
      <c r="Z465" s="208"/>
      <c r="AA465" s="208"/>
      <c r="AB465" s="208"/>
      <c r="AC465" s="208"/>
      <c r="AD465" s="208"/>
      <c r="AE465" s="208"/>
      <c r="AF465" s="208"/>
      <c r="AG465" s="208"/>
      <c r="AH465" s="208"/>
      <c r="AI465" s="100"/>
      <c r="AJ465" s="319"/>
      <c r="AK465" s="319"/>
      <c r="AL465" s="319"/>
      <c r="AM465" s="319"/>
      <c r="AN465" s="319"/>
      <c r="AO465" s="319"/>
      <c r="AP465" s="319"/>
      <c r="AQ465" s="319"/>
      <c r="AR465" s="319"/>
      <c r="AS465" s="319"/>
      <c r="AT465" s="319"/>
      <c r="AU465" s="319"/>
      <c r="AV465" s="319"/>
      <c r="AW465" s="319"/>
      <c r="AX465" s="319"/>
      <c r="AY465" s="319"/>
      <c r="AZ465" s="319"/>
      <c r="BA465" s="319"/>
      <c r="BB465" s="319"/>
      <c r="BC465" s="319"/>
      <c r="BD465" s="319"/>
      <c r="BE465" s="319"/>
      <c r="BF465" s="319"/>
      <c r="BG465" s="319"/>
      <c r="BH465" s="319"/>
      <c r="BI465" s="319"/>
      <c r="BJ465" s="319"/>
      <c r="BK465" s="319"/>
      <c r="BL465" s="319"/>
      <c r="BM465" s="319"/>
      <c r="BN465" s="319"/>
      <c r="BO465" s="319"/>
      <c r="BP465" s="319"/>
      <c r="BQ465" s="319"/>
      <c r="BR465" s="319"/>
    </row>
    <row r="466" ht="14.25" customHeight="1">
      <c r="A466" s="195"/>
      <c r="B466" s="100"/>
      <c r="C466" s="100"/>
      <c r="D466" s="100"/>
      <c r="E466" s="100"/>
      <c r="F466" s="206"/>
      <c r="G466" s="206"/>
      <c r="H466" s="207"/>
      <c r="I466" s="207"/>
      <c r="J466" s="207"/>
      <c r="K466" s="207"/>
      <c r="L466" s="207"/>
      <c r="M466" s="207"/>
      <c r="N466" s="207"/>
      <c r="O466" s="207"/>
      <c r="P466" s="207"/>
      <c r="Q466" s="207"/>
      <c r="R466" s="207"/>
      <c r="S466" s="207"/>
      <c r="T466" s="207"/>
      <c r="U466" s="207"/>
      <c r="V466" s="207"/>
      <c r="W466" s="208"/>
      <c r="X466" s="208"/>
      <c r="Y466" s="208"/>
      <c r="Z466" s="208"/>
      <c r="AA466" s="208"/>
      <c r="AB466" s="208"/>
      <c r="AC466" s="208"/>
      <c r="AD466" s="208"/>
      <c r="AE466" s="208"/>
      <c r="AF466" s="208"/>
      <c r="AG466" s="208"/>
      <c r="AH466" s="208"/>
      <c r="AI466" s="100"/>
      <c r="AJ466" s="319"/>
      <c r="AK466" s="319"/>
      <c r="AL466" s="319"/>
      <c r="AM466" s="319"/>
      <c r="AN466" s="319"/>
      <c r="AO466" s="319"/>
      <c r="AP466" s="319"/>
      <c r="AQ466" s="319"/>
      <c r="AR466" s="319"/>
      <c r="AS466" s="319"/>
      <c r="AT466" s="319"/>
      <c r="AU466" s="319"/>
      <c r="AV466" s="319"/>
      <c r="AW466" s="319"/>
      <c r="AX466" s="319"/>
      <c r="AY466" s="319"/>
      <c r="AZ466" s="319"/>
      <c r="BA466" s="319"/>
      <c r="BB466" s="319"/>
      <c r="BC466" s="319"/>
      <c r="BD466" s="319"/>
      <c r="BE466" s="319"/>
      <c r="BF466" s="319"/>
      <c r="BG466" s="319"/>
      <c r="BH466" s="319"/>
      <c r="BI466" s="319"/>
      <c r="BJ466" s="319"/>
      <c r="BK466" s="319"/>
      <c r="BL466" s="319"/>
      <c r="BM466" s="319"/>
      <c r="BN466" s="319"/>
      <c r="BO466" s="319"/>
      <c r="BP466" s="319"/>
      <c r="BQ466" s="319"/>
      <c r="BR466" s="319"/>
    </row>
    <row r="467" ht="14.25" customHeight="1">
      <c r="A467" s="195"/>
      <c r="B467" s="100"/>
      <c r="C467" s="100"/>
      <c r="D467" s="100"/>
      <c r="E467" s="100"/>
      <c r="F467" s="206"/>
      <c r="G467" s="206"/>
      <c r="H467" s="207"/>
      <c r="I467" s="207"/>
      <c r="J467" s="207"/>
      <c r="K467" s="207"/>
      <c r="L467" s="207"/>
      <c r="M467" s="207"/>
      <c r="N467" s="207"/>
      <c r="O467" s="207"/>
      <c r="P467" s="207"/>
      <c r="Q467" s="207"/>
      <c r="R467" s="207"/>
      <c r="S467" s="207"/>
      <c r="T467" s="207"/>
      <c r="U467" s="207"/>
      <c r="V467" s="207"/>
      <c r="W467" s="208"/>
      <c r="X467" s="208"/>
      <c r="Y467" s="208"/>
      <c r="Z467" s="208"/>
      <c r="AA467" s="208"/>
      <c r="AB467" s="208"/>
      <c r="AC467" s="208"/>
      <c r="AD467" s="208"/>
      <c r="AE467" s="208"/>
      <c r="AF467" s="208"/>
      <c r="AG467" s="208"/>
      <c r="AH467" s="208"/>
      <c r="AI467" s="100"/>
      <c r="AJ467" s="319"/>
      <c r="AK467" s="319"/>
      <c r="AL467" s="319"/>
      <c r="AM467" s="319"/>
      <c r="AN467" s="319"/>
      <c r="AO467" s="319"/>
      <c r="AP467" s="319"/>
      <c r="AQ467" s="319"/>
      <c r="AR467" s="319"/>
      <c r="AS467" s="319"/>
      <c r="AT467" s="319"/>
      <c r="AU467" s="319"/>
      <c r="AV467" s="319"/>
      <c r="AW467" s="319"/>
      <c r="AX467" s="319"/>
      <c r="AY467" s="319"/>
      <c r="AZ467" s="319"/>
      <c r="BA467" s="319"/>
      <c r="BB467" s="319"/>
      <c r="BC467" s="319"/>
      <c r="BD467" s="319"/>
      <c r="BE467" s="319"/>
      <c r="BF467" s="319"/>
      <c r="BG467" s="319"/>
      <c r="BH467" s="319"/>
      <c r="BI467" s="319"/>
      <c r="BJ467" s="319"/>
      <c r="BK467" s="319"/>
      <c r="BL467" s="319"/>
      <c r="BM467" s="319"/>
      <c r="BN467" s="319"/>
      <c r="BO467" s="319"/>
      <c r="BP467" s="319"/>
      <c r="BQ467" s="319"/>
      <c r="BR467" s="319"/>
    </row>
    <row r="468" ht="14.25" customHeight="1">
      <c r="A468" s="195"/>
      <c r="B468" s="100"/>
      <c r="C468" s="100"/>
      <c r="D468" s="100"/>
      <c r="E468" s="100"/>
      <c r="F468" s="206"/>
      <c r="G468" s="206"/>
      <c r="H468" s="207"/>
      <c r="I468" s="207"/>
      <c r="J468" s="207"/>
      <c r="K468" s="207"/>
      <c r="L468" s="207"/>
      <c r="M468" s="207"/>
      <c r="N468" s="207"/>
      <c r="O468" s="207"/>
      <c r="P468" s="207"/>
      <c r="Q468" s="207"/>
      <c r="R468" s="207"/>
      <c r="S468" s="207"/>
      <c r="T468" s="207"/>
      <c r="U468" s="207"/>
      <c r="V468" s="207"/>
      <c r="W468" s="208"/>
      <c r="X468" s="208"/>
      <c r="Y468" s="208"/>
      <c r="Z468" s="208"/>
      <c r="AA468" s="208"/>
      <c r="AB468" s="208"/>
      <c r="AC468" s="208"/>
      <c r="AD468" s="208"/>
      <c r="AE468" s="208"/>
      <c r="AF468" s="208"/>
      <c r="AG468" s="208"/>
      <c r="AH468" s="208"/>
      <c r="AI468" s="100"/>
      <c r="AJ468" s="319"/>
      <c r="AK468" s="319"/>
      <c r="AL468" s="319"/>
      <c r="AM468" s="319"/>
      <c r="AN468" s="319"/>
      <c r="AO468" s="319"/>
      <c r="AP468" s="319"/>
      <c r="AQ468" s="319"/>
      <c r="AR468" s="319"/>
      <c r="AS468" s="319"/>
      <c r="AT468" s="319"/>
      <c r="AU468" s="319"/>
      <c r="AV468" s="319"/>
      <c r="AW468" s="319"/>
      <c r="AX468" s="319"/>
      <c r="AY468" s="319"/>
      <c r="AZ468" s="319"/>
      <c r="BA468" s="319"/>
      <c r="BB468" s="319"/>
      <c r="BC468" s="319"/>
      <c r="BD468" s="319"/>
      <c r="BE468" s="319"/>
      <c r="BF468" s="319"/>
      <c r="BG468" s="319"/>
      <c r="BH468" s="319"/>
      <c r="BI468" s="319"/>
      <c r="BJ468" s="319"/>
      <c r="BK468" s="319"/>
      <c r="BL468" s="319"/>
      <c r="BM468" s="319"/>
      <c r="BN468" s="319"/>
      <c r="BO468" s="319"/>
      <c r="BP468" s="319"/>
      <c r="BQ468" s="319"/>
      <c r="BR468" s="319"/>
    </row>
    <row r="469" ht="14.25" customHeight="1">
      <c r="A469" s="195"/>
      <c r="B469" s="100"/>
      <c r="C469" s="100"/>
      <c r="D469" s="100"/>
      <c r="E469" s="100"/>
      <c r="F469" s="206"/>
      <c r="G469" s="206"/>
      <c r="H469" s="207"/>
      <c r="I469" s="207"/>
      <c r="J469" s="207"/>
      <c r="K469" s="207"/>
      <c r="L469" s="207"/>
      <c r="M469" s="207"/>
      <c r="N469" s="207"/>
      <c r="O469" s="207"/>
      <c r="P469" s="207"/>
      <c r="Q469" s="207"/>
      <c r="R469" s="207"/>
      <c r="S469" s="207"/>
      <c r="T469" s="207"/>
      <c r="U469" s="207"/>
      <c r="V469" s="207"/>
      <c r="W469" s="208"/>
      <c r="X469" s="208"/>
      <c r="Y469" s="208"/>
      <c r="Z469" s="208"/>
      <c r="AA469" s="208"/>
      <c r="AB469" s="208"/>
      <c r="AC469" s="208"/>
      <c r="AD469" s="208"/>
      <c r="AE469" s="208"/>
      <c r="AF469" s="208"/>
      <c r="AG469" s="208"/>
      <c r="AH469" s="208"/>
      <c r="AI469" s="100"/>
      <c r="AJ469" s="319"/>
      <c r="AK469" s="319"/>
      <c r="AL469" s="319"/>
      <c r="AM469" s="319"/>
      <c r="AN469" s="319"/>
      <c r="AO469" s="319"/>
      <c r="AP469" s="319"/>
      <c r="AQ469" s="319"/>
      <c r="AR469" s="319"/>
      <c r="AS469" s="319"/>
      <c r="AT469" s="319"/>
      <c r="AU469" s="319"/>
      <c r="AV469" s="319"/>
      <c r="AW469" s="319"/>
      <c r="AX469" s="319"/>
      <c r="AY469" s="319"/>
      <c r="AZ469" s="319"/>
      <c r="BA469" s="319"/>
      <c r="BB469" s="319"/>
      <c r="BC469" s="319"/>
      <c r="BD469" s="319"/>
      <c r="BE469" s="319"/>
      <c r="BF469" s="319"/>
      <c r="BG469" s="319"/>
      <c r="BH469" s="319"/>
      <c r="BI469" s="319"/>
      <c r="BJ469" s="319"/>
      <c r="BK469" s="319"/>
      <c r="BL469" s="319"/>
      <c r="BM469" s="319"/>
      <c r="BN469" s="319"/>
      <c r="BO469" s="319"/>
      <c r="BP469" s="319"/>
      <c r="BQ469" s="319"/>
      <c r="BR469" s="319"/>
    </row>
    <row r="470" ht="14.25" customHeight="1">
      <c r="A470" s="195"/>
      <c r="B470" s="100"/>
      <c r="C470" s="100"/>
      <c r="D470" s="100"/>
      <c r="E470" s="100"/>
      <c r="F470" s="206"/>
      <c r="G470" s="206"/>
      <c r="H470" s="207"/>
      <c r="I470" s="207"/>
      <c r="J470" s="207"/>
      <c r="K470" s="207"/>
      <c r="L470" s="207"/>
      <c r="M470" s="207"/>
      <c r="N470" s="207"/>
      <c r="O470" s="207"/>
      <c r="P470" s="207"/>
      <c r="Q470" s="207"/>
      <c r="R470" s="207"/>
      <c r="S470" s="207"/>
      <c r="T470" s="207"/>
      <c r="U470" s="207"/>
      <c r="V470" s="207"/>
      <c r="W470" s="208"/>
      <c r="X470" s="208"/>
      <c r="Y470" s="208"/>
      <c r="Z470" s="208"/>
      <c r="AA470" s="208"/>
      <c r="AB470" s="208"/>
      <c r="AC470" s="208"/>
      <c r="AD470" s="208"/>
      <c r="AE470" s="208"/>
      <c r="AF470" s="208"/>
      <c r="AG470" s="208"/>
      <c r="AH470" s="208"/>
      <c r="AI470" s="100"/>
      <c r="AJ470" s="319"/>
      <c r="AK470" s="319"/>
      <c r="AL470" s="319"/>
      <c r="AM470" s="319"/>
      <c r="AN470" s="319"/>
      <c r="AO470" s="319"/>
      <c r="AP470" s="319"/>
      <c r="AQ470" s="319"/>
      <c r="AR470" s="319"/>
      <c r="AS470" s="319"/>
      <c r="AT470" s="319"/>
      <c r="AU470" s="319"/>
      <c r="AV470" s="319"/>
      <c r="AW470" s="319"/>
      <c r="AX470" s="319"/>
      <c r="AY470" s="319"/>
      <c r="AZ470" s="319"/>
      <c r="BA470" s="319"/>
      <c r="BB470" s="319"/>
      <c r="BC470" s="319"/>
      <c r="BD470" s="319"/>
      <c r="BE470" s="319"/>
      <c r="BF470" s="319"/>
      <c r="BG470" s="319"/>
      <c r="BH470" s="319"/>
      <c r="BI470" s="319"/>
      <c r="BJ470" s="319"/>
      <c r="BK470" s="319"/>
      <c r="BL470" s="319"/>
      <c r="BM470" s="319"/>
      <c r="BN470" s="319"/>
      <c r="BO470" s="319"/>
      <c r="BP470" s="319"/>
      <c r="BQ470" s="319"/>
      <c r="BR470" s="319"/>
    </row>
    <row r="471" ht="14.25" customHeight="1">
      <c r="A471" s="195"/>
      <c r="B471" s="100"/>
      <c r="C471" s="100"/>
      <c r="D471" s="100"/>
      <c r="E471" s="100"/>
      <c r="F471" s="206"/>
      <c r="G471" s="206"/>
      <c r="H471" s="207"/>
      <c r="I471" s="207"/>
      <c r="J471" s="207"/>
      <c r="K471" s="207"/>
      <c r="L471" s="207"/>
      <c r="M471" s="207"/>
      <c r="N471" s="207"/>
      <c r="O471" s="207"/>
      <c r="P471" s="207"/>
      <c r="Q471" s="207"/>
      <c r="R471" s="207"/>
      <c r="S471" s="207"/>
      <c r="T471" s="207"/>
      <c r="U471" s="207"/>
      <c r="V471" s="207"/>
      <c r="W471" s="208"/>
      <c r="X471" s="208"/>
      <c r="Y471" s="208"/>
      <c r="Z471" s="208"/>
      <c r="AA471" s="208"/>
      <c r="AB471" s="208"/>
      <c r="AC471" s="208"/>
      <c r="AD471" s="208"/>
      <c r="AE471" s="208"/>
      <c r="AF471" s="208"/>
      <c r="AG471" s="208"/>
      <c r="AH471" s="208"/>
      <c r="AI471" s="100"/>
      <c r="AJ471" s="319"/>
      <c r="AK471" s="319"/>
      <c r="AL471" s="319"/>
      <c r="AM471" s="319"/>
      <c r="AN471" s="319"/>
      <c r="AO471" s="319"/>
      <c r="AP471" s="319"/>
      <c r="AQ471" s="319"/>
      <c r="AR471" s="319"/>
      <c r="AS471" s="319"/>
      <c r="AT471" s="319"/>
      <c r="AU471" s="319"/>
      <c r="AV471" s="319"/>
      <c r="AW471" s="319"/>
      <c r="AX471" s="319"/>
      <c r="AY471" s="319"/>
      <c r="AZ471" s="319"/>
      <c r="BA471" s="319"/>
      <c r="BB471" s="319"/>
      <c r="BC471" s="319"/>
      <c r="BD471" s="319"/>
      <c r="BE471" s="319"/>
      <c r="BF471" s="319"/>
      <c r="BG471" s="319"/>
      <c r="BH471" s="319"/>
      <c r="BI471" s="319"/>
      <c r="BJ471" s="319"/>
      <c r="BK471" s="319"/>
      <c r="BL471" s="319"/>
      <c r="BM471" s="319"/>
      <c r="BN471" s="319"/>
      <c r="BO471" s="319"/>
      <c r="BP471" s="319"/>
      <c r="BQ471" s="319"/>
      <c r="BR471" s="319"/>
    </row>
    <row r="472" ht="14.25" customHeight="1">
      <c r="A472" s="195"/>
      <c r="B472" s="100"/>
      <c r="C472" s="100"/>
      <c r="D472" s="100"/>
      <c r="E472" s="100"/>
      <c r="F472" s="206"/>
      <c r="G472" s="206"/>
      <c r="H472" s="207"/>
      <c r="I472" s="207"/>
      <c r="J472" s="207"/>
      <c r="K472" s="207"/>
      <c r="L472" s="207"/>
      <c r="M472" s="207"/>
      <c r="N472" s="207"/>
      <c r="O472" s="207"/>
      <c r="P472" s="207"/>
      <c r="Q472" s="207"/>
      <c r="R472" s="207"/>
      <c r="S472" s="207"/>
      <c r="T472" s="207"/>
      <c r="U472" s="207"/>
      <c r="V472" s="207"/>
      <c r="W472" s="208"/>
      <c r="X472" s="208"/>
      <c r="Y472" s="208"/>
      <c r="Z472" s="208"/>
      <c r="AA472" s="208"/>
      <c r="AB472" s="208"/>
      <c r="AC472" s="208"/>
      <c r="AD472" s="208"/>
      <c r="AE472" s="208"/>
      <c r="AF472" s="208"/>
      <c r="AG472" s="208"/>
      <c r="AH472" s="208"/>
      <c r="AI472" s="100"/>
      <c r="AJ472" s="319"/>
      <c r="AK472" s="319"/>
      <c r="AL472" s="319"/>
      <c r="AM472" s="319"/>
      <c r="AN472" s="319"/>
      <c r="AO472" s="319"/>
      <c r="AP472" s="319"/>
      <c r="AQ472" s="319"/>
      <c r="AR472" s="319"/>
      <c r="AS472" s="319"/>
      <c r="AT472" s="319"/>
      <c r="AU472" s="319"/>
      <c r="AV472" s="319"/>
      <c r="AW472" s="319"/>
      <c r="AX472" s="319"/>
      <c r="AY472" s="319"/>
      <c r="AZ472" s="319"/>
      <c r="BA472" s="319"/>
      <c r="BB472" s="319"/>
      <c r="BC472" s="319"/>
      <c r="BD472" s="319"/>
      <c r="BE472" s="319"/>
      <c r="BF472" s="319"/>
      <c r="BG472" s="319"/>
      <c r="BH472" s="319"/>
      <c r="BI472" s="319"/>
      <c r="BJ472" s="319"/>
      <c r="BK472" s="319"/>
      <c r="BL472" s="319"/>
      <c r="BM472" s="319"/>
      <c r="BN472" s="319"/>
      <c r="BO472" s="319"/>
      <c r="BP472" s="319"/>
      <c r="BQ472" s="319"/>
      <c r="BR472" s="319"/>
    </row>
    <row r="473" ht="14.25" customHeight="1">
      <c r="A473" s="195"/>
      <c r="B473" s="100"/>
      <c r="C473" s="100"/>
      <c r="D473" s="100"/>
      <c r="E473" s="100"/>
      <c r="F473" s="206"/>
      <c r="G473" s="206"/>
      <c r="H473" s="207"/>
      <c r="I473" s="207"/>
      <c r="J473" s="207"/>
      <c r="K473" s="207"/>
      <c r="L473" s="207"/>
      <c r="M473" s="207"/>
      <c r="N473" s="207"/>
      <c r="O473" s="207"/>
      <c r="P473" s="207"/>
      <c r="Q473" s="207"/>
      <c r="R473" s="207"/>
      <c r="S473" s="207"/>
      <c r="T473" s="207"/>
      <c r="U473" s="207"/>
      <c r="V473" s="207"/>
      <c r="W473" s="208"/>
      <c r="X473" s="208"/>
      <c r="Y473" s="208"/>
      <c r="Z473" s="208"/>
      <c r="AA473" s="208"/>
      <c r="AB473" s="208"/>
      <c r="AC473" s="208"/>
      <c r="AD473" s="208"/>
      <c r="AE473" s="208"/>
      <c r="AF473" s="208"/>
      <c r="AG473" s="208"/>
      <c r="AH473" s="208"/>
      <c r="AI473" s="100"/>
      <c r="AJ473" s="319"/>
      <c r="AK473" s="319"/>
      <c r="AL473" s="319"/>
      <c r="AM473" s="319"/>
      <c r="AN473" s="319"/>
      <c r="AO473" s="319"/>
      <c r="AP473" s="319"/>
      <c r="AQ473" s="319"/>
      <c r="AR473" s="319"/>
      <c r="AS473" s="319"/>
      <c r="AT473" s="319"/>
      <c r="AU473" s="319"/>
      <c r="AV473" s="319"/>
      <c r="AW473" s="319"/>
      <c r="AX473" s="319"/>
      <c r="AY473" s="319"/>
      <c r="AZ473" s="319"/>
      <c r="BA473" s="319"/>
      <c r="BB473" s="319"/>
      <c r="BC473" s="319"/>
      <c r="BD473" s="319"/>
      <c r="BE473" s="319"/>
      <c r="BF473" s="319"/>
      <c r="BG473" s="319"/>
      <c r="BH473" s="319"/>
      <c r="BI473" s="319"/>
      <c r="BJ473" s="319"/>
      <c r="BK473" s="319"/>
      <c r="BL473" s="319"/>
      <c r="BM473" s="319"/>
      <c r="BN473" s="319"/>
      <c r="BO473" s="319"/>
      <c r="BP473" s="319"/>
      <c r="BQ473" s="319"/>
      <c r="BR473" s="319"/>
    </row>
    <row r="474" ht="14.25" customHeight="1">
      <c r="A474" s="195"/>
      <c r="B474" s="100"/>
      <c r="C474" s="100"/>
      <c r="D474" s="100"/>
      <c r="E474" s="100"/>
      <c r="F474" s="206"/>
      <c r="G474" s="206"/>
      <c r="H474" s="207"/>
      <c r="I474" s="207"/>
      <c r="J474" s="207"/>
      <c r="K474" s="207"/>
      <c r="L474" s="207"/>
      <c r="M474" s="207"/>
      <c r="N474" s="207"/>
      <c r="O474" s="207"/>
      <c r="P474" s="207"/>
      <c r="Q474" s="207"/>
      <c r="R474" s="207"/>
      <c r="S474" s="207"/>
      <c r="T474" s="207"/>
      <c r="U474" s="207"/>
      <c r="V474" s="207"/>
      <c r="W474" s="208"/>
      <c r="X474" s="208"/>
      <c r="Y474" s="208"/>
      <c r="Z474" s="208"/>
      <c r="AA474" s="208"/>
      <c r="AB474" s="208"/>
      <c r="AC474" s="208"/>
      <c r="AD474" s="208"/>
      <c r="AE474" s="208"/>
      <c r="AF474" s="208"/>
      <c r="AG474" s="208"/>
      <c r="AH474" s="208"/>
      <c r="AI474" s="100"/>
      <c r="AJ474" s="319"/>
      <c r="AK474" s="319"/>
      <c r="AL474" s="319"/>
      <c r="AM474" s="319"/>
      <c r="AN474" s="319"/>
      <c r="AO474" s="319"/>
      <c r="AP474" s="319"/>
      <c r="AQ474" s="319"/>
      <c r="AR474" s="319"/>
      <c r="AS474" s="319"/>
      <c r="AT474" s="319"/>
      <c r="AU474" s="319"/>
      <c r="AV474" s="319"/>
      <c r="AW474" s="319"/>
      <c r="AX474" s="319"/>
      <c r="AY474" s="319"/>
      <c r="AZ474" s="319"/>
      <c r="BA474" s="319"/>
      <c r="BB474" s="319"/>
      <c r="BC474" s="319"/>
      <c r="BD474" s="319"/>
      <c r="BE474" s="319"/>
      <c r="BF474" s="319"/>
      <c r="BG474" s="319"/>
      <c r="BH474" s="319"/>
      <c r="BI474" s="319"/>
      <c r="BJ474" s="319"/>
      <c r="BK474" s="319"/>
      <c r="BL474" s="319"/>
      <c r="BM474" s="319"/>
      <c r="BN474" s="319"/>
      <c r="BO474" s="319"/>
      <c r="BP474" s="319"/>
      <c r="BQ474" s="319"/>
      <c r="BR474" s="319"/>
    </row>
    <row r="475" ht="14.25" customHeight="1">
      <c r="A475" s="195"/>
      <c r="B475" s="100"/>
      <c r="C475" s="100"/>
      <c r="D475" s="100"/>
      <c r="E475" s="100"/>
      <c r="F475" s="206"/>
      <c r="G475" s="206"/>
      <c r="H475" s="207"/>
      <c r="I475" s="207"/>
      <c r="J475" s="207"/>
      <c r="K475" s="207"/>
      <c r="L475" s="207"/>
      <c r="M475" s="207"/>
      <c r="N475" s="207"/>
      <c r="O475" s="207"/>
      <c r="P475" s="207"/>
      <c r="Q475" s="207"/>
      <c r="R475" s="207"/>
      <c r="S475" s="207"/>
      <c r="T475" s="207"/>
      <c r="U475" s="207"/>
      <c r="V475" s="207"/>
      <c r="W475" s="208"/>
      <c r="X475" s="208"/>
      <c r="Y475" s="208"/>
      <c r="Z475" s="208"/>
      <c r="AA475" s="208"/>
      <c r="AB475" s="208"/>
      <c r="AC475" s="208"/>
      <c r="AD475" s="208"/>
      <c r="AE475" s="208"/>
      <c r="AF475" s="208"/>
      <c r="AG475" s="208"/>
      <c r="AH475" s="208"/>
      <c r="AI475" s="100"/>
      <c r="AJ475" s="319"/>
      <c r="AK475" s="319"/>
      <c r="AL475" s="319"/>
      <c r="AM475" s="319"/>
      <c r="AN475" s="319"/>
      <c r="AO475" s="319"/>
      <c r="AP475" s="319"/>
      <c r="AQ475" s="319"/>
      <c r="AR475" s="319"/>
      <c r="AS475" s="319"/>
      <c r="AT475" s="319"/>
      <c r="AU475" s="319"/>
      <c r="AV475" s="319"/>
      <c r="AW475" s="319"/>
      <c r="AX475" s="319"/>
      <c r="AY475" s="319"/>
      <c r="AZ475" s="319"/>
      <c r="BA475" s="319"/>
      <c r="BB475" s="319"/>
      <c r="BC475" s="319"/>
      <c r="BD475" s="319"/>
      <c r="BE475" s="319"/>
      <c r="BF475" s="319"/>
      <c r="BG475" s="319"/>
      <c r="BH475" s="319"/>
      <c r="BI475" s="319"/>
      <c r="BJ475" s="319"/>
      <c r="BK475" s="319"/>
      <c r="BL475" s="319"/>
      <c r="BM475" s="319"/>
      <c r="BN475" s="319"/>
      <c r="BO475" s="319"/>
      <c r="BP475" s="319"/>
      <c r="BQ475" s="319"/>
      <c r="BR475" s="319"/>
    </row>
    <row r="476" ht="14.25" customHeight="1">
      <c r="A476" s="195"/>
      <c r="B476" s="100"/>
      <c r="C476" s="100"/>
      <c r="D476" s="100"/>
      <c r="E476" s="100"/>
      <c r="F476" s="206"/>
      <c r="G476" s="206"/>
      <c r="H476" s="207"/>
      <c r="I476" s="207"/>
      <c r="J476" s="207"/>
      <c r="K476" s="207"/>
      <c r="L476" s="207"/>
      <c r="M476" s="207"/>
      <c r="N476" s="207"/>
      <c r="O476" s="207"/>
      <c r="P476" s="207"/>
      <c r="Q476" s="207"/>
      <c r="R476" s="207"/>
      <c r="S476" s="207"/>
      <c r="T476" s="207"/>
      <c r="U476" s="207"/>
      <c r="V476" s="207"/>
      <c r="W476" s="208"/>
      <c r="X476" s="208"/>
      <c r="Y476" s="208"/>
      <c r="Z476" s="208"/>
      <c r="AA476" s="208"/>
      <c r="AB476" s="208"/>
      <c r="AC476" s="208"/>
      <c r="AD476" s="208"/>
      <c r="AE476" s="208"/>
      <c r="AF476" s="208"/>
      <c r="AG476" s="208"/>
      <c r="AH476" s="208"/>
      <c r="AI476" s="100"/>
      <c r="AJ476" s="319"/>
      <c r="AK476" s="319"/>
      <c r="AL476" s="319"/>
      <c r="AM476" s="319"/>
      <c r="AN476" s="319"/>
      <c r="AO476" s="319"/>
      <c r="AP476" s="319"/>
      <c r="AQ476" s="319"/>
      <c r="AR476" s="319"/>
      <c r="AS476" s="319"/>
      <c r="AT476" s="319"/>
      <c r="AU476" s="319"/>
      <c r="AV476" s="319"/>
      <c r="AW476" s="319"/>
      <c r="AX476" s="319"/>
      <c r="AY476" s="319"/>
      <c r="AZ476" s="319"/>
      <c r="BA476" s="319"/>
      <c r="BB476" s="319"/>
      <c r="BC476" s="319"/>
      <c r="BD476" s="319"/>
      <c r="BE476" s="319"/>
      <c r="BF476" s="319"/>
      <c r="BG476" s="319"/>
      <c r="BH476" s="319"/>
      <c r="BI476" s="319"/>
      <c r="BJ476" s="319"/>
      <c r="BK476" s="319"/>
      <c r="BL476" s="319"/>
      <c r="BM476" s="319"/>
      <c r="BN476" s="319"/>
      <c r="BO476" s="319"/>
      <c r="BP476" s="319"/>
      <c r="BQ476" s="319"/>
      <c r="BR476" s="319"/>
    </row>
    <row r="477" ht="14.25" customHeight="1">
      <c r="A477" s="195"/>
      <c r="B477" s="100"/>
      <c r="C477" s="100"/>
      <c r="D477" s="100"/>
      <c r="E477" s="100"/>
      <c r="F477" s="206"/>
      <c r="G477" s="206"/>
      <c r="H477" s="207"/>
      <c r="I477" s="207"/>
      <c r="J477" s="207"/>
      <c r="K477" s="207"/>
      <c r="L477" s="207"/>
      <c r="M477" s="207"/>
      <c r="N477" s="207"/>
      <c r="O477" s="207"/>
      <c r="P477" s="207"/>
      <c r="Q477" s="207"/>
      <c r="R477" s="207"/>
      <c r="S477" s="207"/>
      <c r="T477" s="207"/>
      <c r="U477" s="207"/>
      <c r="V477" s="207"/>
      <c r="W477" s="208"/>
      <c r="X477" s="208"/>
      <c r="Y477" s="208"/>
      <c r="Z477" s="208"/>
      <c r="AA477" s="208"/>
      <c r="AB477" s="208"/>
      <c r="AC477" s="208"/>
      <c r="AD477" s="208"/>
      <c r="AE477" s="208"/>
      <c r="AF477" s="208"/>
      <c r="AG477" s="208"/>
      <c r="AH477" s="208"/>
      <c r="AI477" s="100"/>
      <c r="AJ477" s="319"/>
      <c r="AK477" s="319"/>
      <c r="AL477" s="319"/>
      <c r="AM477" s="319"/>
      <c r="AN477" s="319"/>
      <c r="AO477" s="319"/>
      <c r="AP477" s="319"/>
      <c r="AQ477" s="319"/>
      <c r="AR477" s="319"/>
      <c r="AS477" s="319"/>
      <c r="AT477" s="319"/>
      <c r="AU477" s="319"/>
      <c r="AV477" s="319"/>
      <c r="AW477" s="319"/>
      <c r="AX477" s="319"/>
      <c r="AY477" s="319"/>
      <c r="AZ477" s="319"/>
      <c r="BA477" s="319"/>
      <c r="BB477" s="319"/>
      <c r="BC477" s="319"/>
      <c r="BD477" s="319"/>
      <c r="BE477" s="319"/>
      <c r="BF477" s="319"/>
      <c r="BG477" s="319"/>
      <c r="BH477" s="319"/>
      <c r="BI477" s="319"/>
      <c r="BJ477" s="319"/>
      <c r="BK477" s="319"/>
      <c r="BL477" s="319"/>
      <c r="BM477" s="319"/>
      <c r="BN477" s="319"/>
      <c r="BO477" s="319"/>
      <c r="BP477" s="319"/>
      <c r="BQ477" s="319"/>
      <c r="BR477" s="319"/>
    </row>
    <row r="478" ht="14.25" customHeight="1">
      <c r="A478" s="195"/>
      <c r="B478" s="100"/>
      <c r="C478" s="100"/>
      <c r="D478" s="100"/>
      <c r="E478" s="100"/>
      <c r="F478" s="206"/>
      <c r="G478" s="206"/>
      <c r="H478" s="207"/>
      <c r="I478" s="207"/>
      <c r="J478" s="207"/>
      <c r="K478" s="207"/>
      <c r="L478" s="207"/>
      <c r="M478" s="207"/>
      <c r="N478" s="207"/>
      <c r="O478" s="207"/>
      <c r="P478" s="207"/>
      <c r="Q478" s="207"/>
      <c r="R478" s="207"/>
      <c r="S478" s="207"/>
      <c r="T478" s="207"/>
      <c r="U478" s="207"/>
      <c r="V478" s="207"/>
      <c r="W478" s="208"/>
      <c r="X478" s="208"/>
      <c r="Y478" s="208"/>
      <c r="Z478" s="208"/>
      <c r="AA478" s="208"/>
      <c r="AB478" s="208"/>
      <c r="AC478" s="208"/>
      <c r="AD478" s="208"/>
      <c r="AE478" s="208"/>
      <c r="AF478" s="208"/>
      <c r="AG478" s="208"/>
      <c r="AH478" s="208"/>
      <c r="AI478" s="100"/>
      <c r="AJ478" s="319"/>
      <c r="AK478" s="319"/>
      <c r="AL478" s="319"/>
      <c r="AM478" s="319"/>
      <c r="AN478" s="319"/>
      <c r="AO478" s="319"/>
      <c r="AP478" s="319"/>
      <c r="AQ478" s="319"/>
      <c r="AR478" s="319"/>
      <c r="AS478" s="319"/>
      <c r="AT478" s="319"/>
      <c r="AU478" s="319"/>
      <c r="AV478" s="319"/>
      <c r="AW478" s="319"/>
      <c r="AX478" s="319"/>
      <c r="AY478" s="319"/>
      <c r="AZ478" s="319"/>
      <c r="BA478" s="319"/>
      <c r="BB478" s="319"/>
      <c r="BC478" s="319"/>
      <c r="BD478" s="319"/>
      <c r="BE478" s="319"/>
      <c r="BF478" s="319"/>
      <c r="BG478" s="319"/>
      <c r="BH478" s="319"/>
      <c r="BI478" s="319"/>
      <c r="BJ478" s="319"/>
      <c r="BK478" s="319"/>
      <c r="BL478" s="319"/>
      <c r="BM478" s="319"/>
      <c r="BN478" s="319"/>
      <c r="BO478" s="319"/>
      <c r="BP478" s="319"/>
      <c r="BQ478" s="319"/>
      <c r="BR478" s="319"/>
    </row>
    <row r="479" ht="14.25" customHeight="1">
      <c r="A479" s="195"/>
      <c r="B479" s="100"/>
      <c r="C479" s="100"/>
      <c r="D479" s="100"/>
      <c r="E479" s="100"/>
      <c r="F479" s="206"/>
      <c r="G479" s="206"/>
      <c r="H479" s="207"/>
      <c r="I479" s="207"/>
      <c r="J479" s="207"/>
      <c r="K479" s="207"/>
      <c r="L479" s="207"/>
      <c r="M479" s="207"/>
      <c r="N479" s="207"/>
      <c r="O479" s="207"/>
      <c r="P479" s="207"/>
      <c r="Q479" s="207"/>
      <c r="R479" s="207"/>
      <c r="S479" s="207"/>
      <c r="T479" s="207"/>
      <c r="U479" s="207"/>
      <c r="V479" s="207"/>
      <c r="W479" s="208"/>
      <c r="X479" s="208"/>
      <c r="Y479" s="208"/>
      <c r="Z479" s="208"/>
      <c r="AA479" s="208"/>
      <c r="AB479" s="208"/>
      <c r="AC479" s="208"/>
      <c r="AD479" s="208"/>
      <c r="AE479" s="208"/>
      <c r="AF479" s="208"/>
      <c r="AG479" s="208"/>
      <c r="AH479" s="208"/>
      <c r="AI479" s="100"/>
      <c r="AJ479" s="319"/>
      <c r="AK479" s="319"/>
      <c r="AL479" s="319"/>
      <c r="AM479" s="319"/>
      <c r="AN479" s="319"/>
      <c r="AO479" s="319"/>
      <c r="AP479" s="319"/>
      <c r="AQ479" s="319"/>
      <c r="AR479" s="319"/>
      <c r="AS479" s="319"/>
      <c r="AT479" s="319"/>
      <c r="AU479" s="319"/>
      <c r="AV479" s="319"/>
      <c r="AW479" s="319"/>
      <c r="AX479" s="319"/>
      <c r="AY479" s="319"/>
      <c r="AZ479" s="319"/>
      <c r="BA479" s="319"/>
      <c r="BB479" s="319"/>
      <c r="BC479" s="319"/>
      <c r="BD479" s="319"/>
      <c r="BE479" s="319"/>
      <c r="BF479" s="319"/>
      <c r="BG479" s="319"/>
      <c r="BH479" s="319"/>
      <c r="BI479" s="319"/>
      <c r="BJ479" s="319"/>
      <c r="BK479" s="319"/>
      <c r="BL479" s="319"/>
      <c r="BM479" s="319"/>
      <c r="BN479" s="319"/>
      <c r="BO479" s="319"/>
      <c r="BP479" s="319"/>
      <c r="BQ479" s="319"/>
      <c r="BR479" s="319"/>
    </row>
    <row r="480" ht="14.25" customHeight="1">
      <c r="A480" s="195"/>
      <c r="B480" s="100"/>
      <c r="C480" s="100"/>
      <c r="D480" s="100"/>
      <c r="E480" s="100"/>
      <c r="F480" s="206"/>
      <c r="G480" s="206"/>
      <c r="H480" s="207"/>
      <c r="I480" s="207"/>
      <c r="J480" s="207"/>
      <c r="K480" s="207"/>
      <c r="L480" s="207"/>
      <c r="M480" s="207"/>
      <c r="N480" s="207"/>
      <c r="O480" s="207"/>
      <c r="P480" s="207"/>
      <c r="Q480" s="207"/>
      <c r="R480" s="207"/>
      <c r="S480" s="207"/>
      <c r="T480" s="207"/>
      <c r="U480" s="207"/>
      <c r="V480" s="207"/>
      <c r="W480" s="208"/>
      <c r="X480" s="208"/>
      <c r="Y480" s="208"/>
      <c r="Z480" s="208"/>
      <c r="AA480" s="208"/>
      <c r="AB480" s="208"/>
      <c r="AC480" s="208"/>
      <c r="AD480" s="208"/>
      <c r="AE480" s="208"/>
      <c r="AF480" s="208"/>
      <c r="AG480" s="208"/>
      <c r="AH480" s="208"/>
      <c r="AI480" s="100"/>
      <c r="AJ480" s="319"/>
      <c r="AK480" s="319"/>
      <c r="AL480" s="319"/>
      <c r="AM480" s="319"/>
      <c r="AN480" s="319"/>
      <c r="AO480" s="319"/>
      <c r="AP480" s="319"/>
      <c r="AQ480" s="319"/>
      <c r="AR480" s="319"/>
      <c r="AS480" s="319"/>
      <c r="AT480" s="319"/>
      <c r="AU480" s="319"/>
      <c r="AV480" s="319"/>
      <c r="AW480" s="319"/>
      <c r="AX480" s="319"/>
      <c r="AY480" s="319"/>
      <c r="AZ480" s="319"/>
      <c r="BA480" s="319"/>
      <c r="BB480" s="319"/>
      <c r="BC480" s="319"/>
      <c r="BD480" s="319"/>
      <c r="BE480" s="319"/>
      <c r="BF480" s="319"/>
      <c r="BG480" s="319"/>
      <c r="BH480" s="319"/>
      <c r="BI480" s="319"/>
      <c r="BJ480" s="319"/>
      <c r="BK480" s="319"/>
      <c r="BL480" s="319"/>
      <c r="BM480" s="319"/>
      <c r="BN480" s="319"/>
      <c r="BO480" s="319"/>
      <c r="BP480" s="319"/>
      <c r="BQ480" s="319"/>
      <c r="BR480" s="319"/>
    </row>
    <row r="481" ht="14.25" customHeight="1">
      <c r="A481" s="195"/>
      <c r="B481" s="100"/>
      <c r="C481" s="100"/>
      <c r="D481" s="100"/>
      <c r="E481" s="100"/>
      <c r="F481" s="206"/>
      <c r="G481" s="206"/>
      <c r="H481" s="207"/>
      <c r="I481" s="207"/>
      <c r="J481" s="207"/>
      <c r="K481" s="207"/>
      <c r="L481" s="207"/>
      <c r="M481" s="207"/>
      <c r="N481" s="207"/>
      <c r="O481" s="207"/>
      <c r="P481" s="207"/>
      <c r="Q481" s="207"/>
      <c r="R481" s="207"/>
      <c r="S481" s="207"/>
      <c r="T481" s="207"/>
      <c r="U481" s="207"/>
      <c r="V481" s="207"/>
      <c r="W481" s="208"/>
      <c r="X481" s="208"/>
      <c r="Y481" s="208"/>
      <c r="Z481" s="208"/>
      <c r="AA481" s="208"/>
      <c r="AB481" s="208"/>
      <c r="AC481" s="208"/>
      <c r="AD481" s="208"/>
      <c r="AE481" s="208"/>
      <c r="AF481" s="208"/>
      <c r="AG481" s="208"/>
      <c r="AH481" s="208"/>
      <c r="AI481" s="100"/>
      <c r="AJ481" s="319"/>
      <c r="AK481" s="319"/>
      <c r="AL481" s="319"/>
      <c r="AM481" s="319"/>
      <c r="AN481" s="319"/>
      <c r="AO481" s="319"/>
      <c r="AP481" s="319"/>
      <c r="AQ481" s="319"/>
      <c r="AR481" s="319"/>
      <c r="AS481" s="319"/>
      <c r="AT481" s="319"/>
      <c r="AU481" s="319"/>
      <c r="AV481" s="319"/>
      <c r="AW481" s="319"/>
      <c r="AX481" s="319"/>
      <c r="AY481" s="319"/>
      <c r="AZ481" s="319"/>
      <c r="BA481" s="319"/>
      <c r="BB481" s="319"/>
      <c r="BC481" s="319"/>
      <c r="BD481" s="319"/>
      <c r="BE481" s="319"/>
      <c r="BF481" s="319"/>
      <c r="BG481" s="319"/>
      <c r="BH481" s="319"/>
      <c r="BI481" s="319"/>
      <c r="BJ481" s="319"/>
      <c r="BK481" s="319"/>
      <c r="BL481" s="319"/>
      <c r="BM481" s="319"/>
      <c r="BN481" s="319"/>
      <c r="BO481" s="319"/>
      <c r="BP481" s="319"/>
      <c r="BQ481" s="319"/>
      <c r="BR481" s="319"/>
    </row>
    <row r="482" ht="14.25" customHeight="1">
      <c r="A482" s="195"/>
      <c r="B482" s="100"/>
      <c r="C482" s="100"/>
      <c r="D482" s="100"/>
      <c r="E482" s="100"/>
      <c r="F482" s="206"/>
      <c r="G482" s="206"/>
      <c r="H482" s="207"/>
      <c r="I482" s="207"/>
      <c r="J482" s="207"/>
      <c r="K482" s="207"/>
      <c r="L482" s="207"/>
      <c r="M482" s="207"/>
      <c r="N482" s="207"/>
      <c r="O482" s="207"/>
      <c r="P482" s="207"/>
      <c r="Q482" s="207"/>
      <c r="R482" s="207"/>
      <c r="S482" s="207"/>
      <c r="T482" s="207"/>
      <c r="U482" s="207"/>
      <c r="V482" s="207"/>
      <c r="W482" s="208"/>
      <c r="X482" s="208"/>
      <c r="Y482" s="208"/>
      <c r="Z482" s="208"/>
      <c r="AA482" s="208"/>
      <c r="AB482" s="208"/>
      <c r="AC482" s="208"/>
      <c r="AD482" s="208"/>
      <c r="AE482" s="208"/>
      <c r="AF482" s="208"/>
      <c r="AG482" s="208"/>
      <c r="AH482" s="208"/>
      <c r="AI482" s="100"/>
      <c r="AJ482" s="319"/>
      <c r="AK482" s="319"/>
      <c r="AL482" s="319"/>
      <c r="AM482" s="319"/>
      <c r="AN482" s="319"/>
      <c r="AO482" s="319"/>
      <c r="AP482" s="319"/>
      <c r="AQ482" s="319"/>
      <c r="AR482" s="319"/>
      <c r="AS482" s="319"/>
      <c r="AT482" s="319"/>
      <c r="AU482" s="319"/>
      <c r="AV482" s="319"/>
      <c r="AW482" s="319"/>
      <c r="AX482" s="319"/>
      <c r="AY482" s="319"/>
      <c r="AZ482" s="319"/>
      <c r="BA482" s="319"/>
      <c r="BB482" s="319"/>
      <c r="BC482" s="319"/>
      <c r="BD482" s="319"/>
      <c r="BE482" s="319"/>
      <c r="BF482" s="319"/>
      <c r="BG482" s="319"/>
      <c r="BH482" s="319"/>
      <c r="BI482" s="319"/>
      <c r="BJ482" s="319"/>
      <c r="BK482" s="319"/>
      <c r="BL482" s="319"/>
      <c r="BM482" s="319"/>
      <c r="BN482" s="319"/>
      <c r="BO482" s="319"/>
      <c r="BP482" s="319"/>
      <c r="BQ482" s="319"/>
      <c r="BR482" s="319"/>
    </row>
    <row r="483" ht="14.25" customHeight="1">
      <c r="A483" s="195"/>
      <c r="B483" s="100"/>
      <c r="C483" s="100"/>
      <c r="D483" s="100"/>
      <c r="E483" s="100"/>
      <c r="F483" s="206"/>
      <c r="G483" s="206"/>
      <c r="H483" s="207"/>
      <c r="I483" s="207"/>
      <c r="J483" s="207"/>
      <c r="K483" s="207"/>
      <c r="L483" s="207"/>
      <c r="M483" s="207"/>
      <c r="N483" s="207"/>
      <c r="O483" s="207"/>
      <c r="P483" s="207"/>
      <c r="Q483" s="207"/>
      <c r="R483" s="207"/>
      <c r="S483" s="207"/>
      <c r="T483" s="207"/>
      <c r="U483" s="207"/>
      <c r="V483" s="207"/>
      <c r="W483" s="208"/>
      <c r="X483" s="208"/>
      <c r="Y483" s="208"/>
      <c r="Z483" s="208"/>
      <c r="AA483" s="208"/>
      <c r="AB483" s="208"/>
      <c r="AC483" s="208"/>
      <c r="AD483" s="208"/>
      <c r="AE483" s="208"/>
      <c r="AF483" s="208"/>
      <c r="AG483" s="208"/>
      <c r="AH483" s="208"/>
      <c r="AI483" s="100"/>
      <c r="AJ483" s="319"/>
      <c r="AK483" s="319"/>
      <c r="AL483" s="319"/>
      <c r="AM483" s="319"/>
      <c r="AN483" s="319"/>
      <c r="AO483" s="319"/>
      <c r="AP483" s="319"/>
      <c r="AQ483" s="319"/>
      <c r="AR483" s="319"/>
      <c r="AS483" s="319"/>
      <c r="AT483" s="319"/>
      <c r="AU483" s="319"/>
      <c r="AV483" s="319"/>
      <c r="AW483" s="319"/>
      <c r="AX483" s="319"/>
      <c r="AY483" s="319"/>
      <c r="AZ483" s="319"/>
      <c r="BA483" s="319"/>
      <c r="BB483" s="319"/>
      <c r="BC483" s="319"/>
      <c r="BD483" s="319"/>
      <c r="BE483" s="319"/>
      <c r="BF483" s="319"/>
      <c r="BG483" s="319"/>
      <c r="BH483" s="319"/>
      <c r="BI483" s="319"/>
      <c r="BJ483" s="319"/>
      <c r="BK483" s="319"/>
      <c r="BL483" s="319"/>
      <c r="BM483" s="319"/>
      <c r="BN483" s="319"/>
      <c r="BO483" s="319"/>
      <c r="BP483" s="319"/>
      <c r="BQ483" s="319"/>
      <c r="BR483" s="319"/>
    </row>
    <row r="484" ht="14.25" customHeight="1">
      <c r="A484" s="195"/>
      <c r="B484" s="100"/>
      <c r="C484" s="100"/>
      <c r="D484" s="100"/>
      <c r="E484" s="100"/>
      <c r="F484" s="206"/>
      <c r="G484" s="206"/>
      <c r="H484" s="207"/>
      <c r="I484" s="207"/>
      <c r="J484" s="207"/>
      <c r="K484" s="207"/>
      <c r="L484" s="207"/>
      <c r="M484" s="207"/>
      <c r="N484" s="207"/>
      <c r="O484" s="207"/>
      <c r="P484" s="207"/>
      <c r="Q484" s="207"/>
      <c r="R484" s="207"/>
      <c r="S484" s="207"/>
      <c r="T484" s="207"/>
      <c r="U484" s="207"/>
      <c r="V484" s="207"/>
      <c r="W484" s="208"/>
      <c r="X484" s="208"/>
      <c r="Y484" s="208"/>
      <c r="Z484" s="208"/>
      <c r="AA484" s="208"/>
      <c r="AB484" s="208"/>
      <c r="AC484" s="208"/>
      <c r="AD484" s="208"/>
      <c r="AE484" s="208"/>
      <c r="AF484" s="208"/>
      <c r="AG484" s="208"/>
      <c r="AH484" s="208"/>
      <c r="AI484" s="100"/>
      <c r="AJ484" s="319"/>
      <c r="AK484" s="319"/>
      <c r="AL484" s="319"/>
      <c r="AM484" s="319"/>
      <c r="AN484" s="319"/>
      <c r="AO484" s="319"/>
      <c r="AP484" s="319"/>
      <c r="AQ484" s="319"/>
      <c r="AR484" s="319"/>
      <c r="AS484" s="319"/>
      <c r="AT484" s="319"/>
      <c r="AU484" s="319"/>
      <c r="AV484" s="319"/>
      <c r="AW484" s="319"/>
      <c r="AX484" s="319"/>
      <c r="AY484" s="319"/>
      <c r="AZ484" s="319"/>
      <c r="BA484" s="319"/>
      <c r="BB484" s="319"/>
      <c r="BC484" s="319"/>
      <c r="BD484" s="319"/>
      <c r="BE484" s="319"/>
      <c r="BF484" s="319"/>
      <c r="BG484" s="319"/>
      <c r="BH484" s="319"/>
      <c r="BI484" s="319"/>
      <c r="BJ484" s="319"/>
      <c r="BK484" s="319"/>
      <c r="BL484" s="319"/>
      <c r="BM484" s="319"/>
      <c r="BN484" s="319"/>
      <c r="BO484" s="319"/>
      <c r="BP484" s="319"/>
      <c r="BQ484" s="319"/>
      <c r="BR484" s="319"/>
    </row>
    <row r="485" ht="14.25" customHeight="1">
      <c r="A485" s="195"/>
      <c r="B485" s="100"/>
      <c r="C485" s="100"/>
      <c r="D485" s="100"/>
      <c r="E485" s="100"/>
      <c r="F485" s="206"/>
      <c r="G485" s="206"/>
      <c r="H485" s="207"/>
      <c r="I485" s="207"/>
      <c r="J485" s="207"/>
      <c r="K485" s="207"/>
      <c r="L485" s="207"/>
      <c r="M485" s="207"/>
      <c r="N485" s="207"/>
      <c r="O485" s="207"/>
      <c r="P485" s="207"/>
      <c r="Q485" s="207"/>
      <c r="R485" s="207"/>
      <c r="S485" s="207"/>
      <c r="T485" s="207"/>
      <c r="U485" s="207"/>
      <c r="V485" s="207"/>
      <c r="W485" s="208"/>
      <c r="X485" s="208"/>
      <c r="Y485" s="208"/>
      <c r="Z485" s="208"/>
      <c r="AA485" s="208"/>
      <c r="AB485" s="208"/>
      <c r="AC485" s="208"/>
      <c r="AD485" s="208"/>
      <c r="AE485" s="208"/>
      <c r="AF485" s="208"/>
      <c r="AG485" s="208"/>
      <c r="AH485" s="208"/>
      <c r="AI485" s="100"/>
      <c r="AJ485" s="319"/>
      <c r="AK485" s="319"/>
      <c r="AL485" s="319"/>
      <c r="AM485" s="319"/>
      <c r="AN485" s="319"/>
      <c r="AO485" s="319"/>
      <c r="AP485" s="319"/>
      <c r="AQ485" s="319"/>
      <c r="AR485" s="319"/>
      <c r="AS485" s="319"/>
      <c r="AT485" s="319"/>
      <c r="AU485" s="319"/>
      <c r="AV485" s="319"/>
      <c r="AW485" s="319"/>
      <c r="AX485" s="319"/>
      <c r="AY485" s="319"/>
      <c r="AZ485" s="319"/>
      <c r="BA485" s="319"/>
      <c r="BB485" s="319"/>
      <c r="BC485" s="319"/>
      <c r="BD485" s="319"/>
      <c r="BE485" s="319"/>
      <c r="BF485" s="319"/>
      <c r="BG485" s="319"/>
      <c r="BH485" s="319"/>
      <c r="BI485" s="319"/>
      <c r="BJ485" s="319"/>
      <c r="BK485" s="319"/>
      <c r="BL485" s="319"/>
      <c r="BM485" s="319"/>
      <c r="BN485" s="319"/>
      <c r="BO485" s="319"/>
      <c r="BP485" s="319"/>
      <c r="BQ485" s="319"/>
      <c r="BR485" s="319"/>
    </row>
    <row r="486" ht="14.25" customHeight="1">
      <c r="A486" s="195"/>
      <c r="B486" s="100"/>
      <c r="C486" s="100"/>
      <c r="D486" s="100"/>
      <c r="E486" s="100"/>
      <c r="F486" s="206"/>
      <c r="G486" s="206"/>
      <c r="H486" s="207"/>
      <c r="I486" s="207"/>
      <c r="J486" s="207"/>
      <c r="K486" s="207"/>
      <c r="L486" s="207"/>
      <c r="M486" s="207"/>
      <c r="N486" s="207"/>
      <c r="O486" s="207"/>
      <c r="P486" s="207"/>
      <c r="Q486" s="207"/>
      <c r="R486" s="207"/>
      <c r="S486" s="207"/>
      <c r="T486" s="207"/>
      <c r="U486" s="207"/>
      <c r="V486" s="207"/>
      <c r="W486" s="208"/>
      <c r="X486" s="208"/>
      <c r="Y486" s="208"/>
      <c r="Z486" s="208"/>
      <c r="AA486" s="208"/>
      <c r="AB486" s="208"/>
      <c r="AC486" s="208"/>
      <c r="AD486" s="208"/>
      <c r="AE486" s="208"/>
      <c r="AF486" s="208"/>
      <c r="AG486" s="208"/>
      <c r="AH486" s="208"/>
      <c r="AI486" s="100"/>
      <c r="AJ486" s="319"/>
      <c r="AK486" s="319"/>
      <c r="AL486" s="319"/>
      <c r="AM486" s="319"/>
      <c r="AN486" s="319"/>
      <c r="AO486" s="319"/>
      <c r="AP486" s="319"/>
      <c r="AQ486" s="319"/>
      <c r="AR486" s="319"/>
      <c r="AS486" s="319"/>
      <c r="AT486" s="319"/>
      <c r="AU486" s="319"/>
      <c r="AV486" s="319"/>
      <c r="AW486" s="319"/>
      <c r="AX486" s="319"/>
      <c r="AY486" s="319"/>
      <c r="AZ486" s="319"/>
      <c r="BA486" s="319"/>
      <c r="BB486" s="319"/>
      <c r="BC486" s="319"/>
      <c r="BD486" s="319"/>
      <c r="BE486" s="319"/>
      <c r="BF486" s="319"/>
      <c r="BG486" s="319"/>
      <c r="BH486" s="319"/>
      <c r="BI486" s="319"/>
      <c r="BJ486" s="319"/>
      <c r="BK486" s="319"/>
      <c r="BL486" s="319"/>
      <c r="BM486" s="319"/>
      <c r="BN486" s="319"/>
      <c r="BO486" s="319"/>
      <c r="BP486" s="319"/>
      <c r="BQ486" s="319"/>
      <c r="BR486" s="319"/>
    </row>
    <row r="487" ht="14.25" customHeight="1">
      <c r="A487" s="195"/>
      <c r="B487" s="100"/>
      <c r="C487" s="100"/>
      <c r="D487" s="100"/>
      <c r="E487" s="100"/>
      <c r="F487" s="206"/>
      <c r="G487" s="206"/>
      <c r="H487" s="207"/>
      <c r="I487" s="207"/>
      <c r="J487" s="207"/>
      <c r="K487" s="207"/>
      <c r="L487" s="207"/>
      <c r="M487" s="207"/>
      <c r="N487" s="207"/>
      <c r="O487" s="207"/>
      <c r="P487" s="207"/>
      <c r="Q487" s="207"/>
      <c r="R487" s="207"/>
      <c r="S487" s="207"/>
      <c r="T487" s="207"/>
      <c r="U487" s="207"/>
      <c r="V487" s="207"/>
      <c r="W487" s="208"/>
      <c r="X487" s="208"/>
      <c r="Y487" s="208"/>
      <c r="Z487" s="208"/>
      <c r="AA487" s="208"/>
      <c r="AB487" s="208"/>
      <c r="AC487" s="208"/>
      <c r="AD487" s="208"/>
      <c r="AE487" s="208"/>
      <c r="AF487" s="208"/>
      <c r="AG487" s="208"/>
      <c r="AH487" s="208"/>
      <c r="AI487" s="100"/>
      <c r="AJ487" s="319"/>
      <c r="AK487" s="319"/>
      <c r="AL487" s="319"/>
      <c r="AM487" s="319"/>
      <c r="AN487" s="319"/>
      <c r="AO487" s="319"/>
      <c r="AP487" s="319"/>
      <c r="AQ487" s="319"/>
      <c r="AR487" s="319"/>
      <c r="AS487" s="319"/>
      <c r="AT487" s="319"/>
      <c r="AU487" s="319"/>
      <c r="AV487" s="319"/>
      <c r="AW487" s="319"/>
      <c r="AX487" s="319"/>
      <c r="AY487" s="319"/>
      <c r="AZ487" s="319"/>
      <c r="BA487" s="319"/>
      <c r="BB487" s="319"/>
      <c r="BC487" s="319"/>
      <c r="BD487" s="319"/>
      <c r="BE487" s="319"/>
      <c r="BF487" s="319"/>
      <c r="BG487" s="319"/>
      <c r="BH487" s="319"/>
      <c r="BI487" s="319"/>
      <c r="BJ487" s="319"/>
      <c r="BK487" s="319"/>
      <c r="BL487" s="319"/>
      <c r="BM487" s="319"/>
      <c r="BN487" s="319"/>
      <c r="BO487" s="319"/>
      <c r="BP487" s="319"/>
      <c r="BQ487" s="319"/>
      <c r="BR487" s="319"/>
    </row>
    <row r="488" ht="14.25" customHeight="1">
      <c r="A488" s="195"/>
      <c r="B488" s="100"/>
      <c r="C488" s="100"/>
      <c r="D488" s="100"/>
      <c r="E488" s="100"/>
      <c r="F488" s="206"/>
      <c r="G488" s="206"/>
      <c r="H488" s="207"/>
      <c r="I488" s="207"/>
      <c r="J488" s="207"/>
      <c r="K488" s="207"/>
      <c r="L488" s="207"/>
      <c r="M488" s="207"/>
      <c r="N488" s="207"/>
      <c r="O488" s="207"/>
      <c r="P488" s="207"/>
      <c r="Q488" s="207"/>
      <c r="R488" s="207"/>
      <c r="S488" s="207"/>
      <c r="T488" s="207"/>
      <c r="U488" s="207"/>
      <c r="V488" s="207"/>
      <c r="W488" s="208"/>
      <c r="X488" s="208"/>
      <c r="Y488" s="208"/>
      <c r="Z488" s="208"/>
      <c r="AA488" s="208"/>
      <c r="AB488" s="208"/>
      <c r="AC488" s="208"/>
      <c r="AD488" s="208"/>
      <c r="AE488" s="208"/>
      <c r="AF488" s="208"/>
      <c r="AG488" s="208"/>
      <c r="AH488" s="208"/>
      <c r="AI488" s="100"/>
      <c r="AJ488" s="319"/>
      <c r="AK488" s="319"/>
      <c r="AL488" s="319"/>
      <c r="AM488" s="319"/>
      <c r="AN488" s="319"/>
      <c r="AO488" s="319"/>
      <c r="AP488" s="319"/>
      <c r="AQ488" s="319"/>
      <c r="AR488" s="319"/>
      <c r="AS488" s="319"/>
      <c r="AT488" s="319"/>
      <c r="AU488" s="319"/>
      <c r="AV488" s="319"/>
      <c r="AW488" s="319"/>
      <c r="AX488" s="319"/>
      <c r="AY488" s="319"/>
      <c r="AZ488" s="319"/>
      <c r="BA488" s="319"/>
      <c r="BB488" s="319"/>
      <c r="BC488" s="319"/>
      <c r="BD488" s="319"/>
      <c r="BE488" s="319"/>
      <c r="BF488" s="319"/>
      <c r="BG488" s="319"/>
      <c r="BH488" s="319"/>
      <c r="BI488" s="319"/>
      <c r="BJ488" s="319"/>
      <c r="BK488" s="319"/>
      <c r="BL488" s="319"/>
      <c r="BM488" s="319"/>
      <c r="BN488" s="319"/>
      <c r="BO488" s="319"/>
      <c r="BP488" s="319"/>
      <c r="BQ488" s="319"/>
      <c r="BR488" s="319"/>
    </row>
    <row r="489" ht="14.25" customHeight="1">
      <c r="A489" s="195"/>
      <c r="B489" s="100"/>
      <c r="C489" s="100"/>
      <c r="D489" s="100"/>
      <c r="E489" s="100"/>
      <c r="F489" s="206"/>
      <c r="G489" s="206"/>
      <c r="H489" s="207"/>
      <c r="I489" s="207"/>
      <c r="J489" s="207"/>
      <c r="K489" s="207"/>
      <c r="L489" s="207"/>
      <c r="M489" s="207"/>
      <c r="N489" s="207"/>
      <c r="O489" s="207"/>
      <c r="P489" s="207"/>
      <c r="Q489" s="207"/>
      <c r="R489" s="207"/>
      <c r="S489" s="207"/>
      <c r="T489" s="207"/>
      <c r="U489" s="207"/>
      <c r="V489" s="207"/>
      <c r="W489" s="208"/>
      <c r="X489" s="208"/>
      <c r="Y489" s="208"/>
      <c r="Z489" s="208"/>
      <c r="AA489" s="208"/>
      <c r="AB489" s="208"/>
      <c r="AC489" s="208"/>
      <c r="AD489" s="208"/>
      <c r="AE489" s="208"/>
      <c r="AF489" s="208"/>
      <c r="AG489" s="208"/>
      <c r="AH489" s="208"/>
      <c r="AI489" s="100"/>
      <c r="AJ489" s="319"/>
      <c r="AK489" s="319"/>
      <c r="AL489" s="319"/>
      <c r="AM489" s="319"/>
      <c r="AN489" s="319"/>
      <c r="AO489" s="319"/>
      <c r="AP489" s="319"/>
      <c r="AQ489" s="319"/>
      <c r="AR489" s="319"/>
      <c r="AS489" s="319"/>
      <c r="AT489" s="319"/>
      <c r="AU489" s="319"/>
      <c r="AV489" s="319"/>
      <c r="AW489" s="319"/>
      <c r="AX489" s="319"/>
      <c r="AY489" s="319"/>
      <c r="AZ489" s="319"/>
      <c r="BA489" s="319"/>
      <c r="BB489" s="319"/>
      <c r="BC489" s="319"/>
      <c r="BD489" s="319"/>
      <c r="BE489" s="319"/>
      <c r="BF489" s="319"/>
      <c r="BG489" s="319"/>
      <c r="BH489" s="319"/>
      <c r="BI489" s="319"/>
      <c r="BJ489" s="319"/>
      <c r="BK489" s="319"/>
      <c r="BL489" s="319"/>
      <c r="BM489" s="319"/>
      <c r="BN489" s="319"/>
      <c r="BO489" s="319"/>
      <c r="BP489" s="319"/>
      <c r="BQ489" s="319"/>
      <c r="BR489" s="319"/>
    </row>
    <row r="490" ht="14.25" customHeight="1">
      <c r="A490" s="195"/>
      <c r="B490" s="100"/>
      <c r="C490" s="100"/>
      <c r="D490" s="100"/>
      <c r="E490" s="100"/>
      <c r="F490" s="206"/>
      <c r="G490" s="206"/>
      <c r="H490" s="207"/>
      <c r="I490" s="207"/>
      <c r="J490" s="207"/>
      <c r="K490" s="207"/>
      <c r="L490" s="207"/>
      <c r="M490" s="207"/>
      <c r="N490" s="207"/>
      <c r="O490" s="207"/>
      <c r="P490" s="207"/>
      <c r="Q490" s="207"/>
      <c r="R490" s="207"/>
      <c r="S490" s="207"/>
      <c r="T490" s="207"/>
      <c r="U490" s="207"/>
      <c r="V490" s="207"/>
      <c r="W490" s="208"/>
      <c r="X490" s="208"/>
      <c r="Y490" s="208"/>
      <c r="Z490" s="208"/>
      <c r="AA490" s="208"/>
      <c r="AB490" s="208"/>
      <c r="AC490" s="208"/>
      <c r="AD490" s="208"/>
      <c r="AE490" s="208"/>
      <c r="AF490" s="208"/>
      <c r="AG490" s="208"/>
      <c r="AH490" s="208"/>
      <c r="AI490" s="100"/>
      <c r="AJ490" s="319"/>
      <c r="AK490" s="319"/>
      <c r="AL490" s="319"/>
      <c r="AM490" s="319"/>
      <c r="AN490" s="319"/>
      <c r="AO490" s="319"/>
      <c r="AP490" s="319"/>
      <c r="AQ490" s="319"/>
      <c r="AR490" s="319"/>
      <c r="AS490" s="319"/>
      <c r="AT490" s="319"/>
      <c r="AU490" s="319"/>
      <c r="AV490" s="319"/>
      <c r="AW490" s="319"/>
      <c r="AX490" s="319"/>
      <c r="AY490" s="319"/>
      <c r="AZ490" s="319"/>
      <c r="BA490" s="319"/>
      <c r="BB490" s="319"/>
      <c r="BC490" s="319"/>
      <c r="BD490" s="319"/>
      <c r="BE490" s="319"/>
      <c r="BF490" s="319"/>
      <c r="BG490" s="319"/>
      <c r="BH490" s="319"/>
      <c r="BI490" s="319"/>
      <c r="BJ490" s="319"/>
      <c r="BK490" s="319"/>
      <c r="BL490" s="319"/>
      <c r="BM490" s="319"/>
      <c r="BN490" s="319"/>
      <c r="BO490" s="319"/>
      <c r="BP490" s="319"/>
      <c r="BQ490" s="319"/>
      <c r="BR490" s="319"/>
    </row>
    <row r="491" ht="14.25" customHeight="1">
      <c r="A491" s="195"/>
      <c r="B491" s="100"/>
      <c r="C491" s="100"/>
      <c r="D491" s="100"/>
      <c r="E491" s="100"/>
      <c r="F491" s="206"/>
      <c r="G491" s="206"/>
      <c r="H491" s="207"/>
      <c r="I491" s="207"/>
      <c r="J491" s="207"/>
      <c r="K491" s="207"/>
      <c r="L491" s="207"/>
      <c r="M491" s="207"/>
      <c r="N491" s="207"/>
      <c r="O491" s="207"/>
      <c r="P491" s="207"/>
      <c r="Q491" s="207"/>
      <c r="R491" s="207"/>
      <c r="S491" s="207"/>
      <c r="T491" s="207"/>
      <c r="U491" s="207"/>
      <c r="V491" s="207"/>
      <c r="W491" s="208"/>
      <c r="X491" s="208"/>
      <c r="Y491" s="208"/>
      <c r="Z491" s="208"/>
      <c r="AA491" s="208"/>
      <c r="AB491" s="208"/>
      <c r="AC491" s="208"/>
      <c r="AD491" s="208"/>
      <c r="AE491" s="208"/>
      <c r="AF491" s="208"/>
      <c r="AG491" s="208"/>
      <c r="AH491" s="208"/>
      <c r="AI491" s="100"/>
      <c r="AJ491" s="319"/>
      <c r="AK491" s="319"/>
      <c r="AL491" s="319"/>
      <c r="AM491" s="319"/>
      <c r="AN491" s="319"/>
      <c r="AO491" s="319"/>
      <c r="AP491" s="319"/>
      <c r="AQ491" s="319"/>
      <c r="AR491" s="319"/>
      <c r="AS491" s="319"/>
      <c r="AT491" s="319"/>
      <c r="AU491" s="319"/>
      <c r="AV491" s="319"/>
      <c r="AW491" s="319"/>
      <c r="AX491" s="319"/>
      <c r="AY491" s="319"/>
      <c r="AZ491" s="319"/>
      <c r="BA491" s="319"/>
      <c r="BB491" s="319"/>
      <c r="BC491" s="319"/>
      <c r="BD491" s="319"/>
      <c r="BE491" s="319"/>
      <c r="BF491" s="319"/>
      <c r="BG491" s="319"/>
      <c r="BH491" s="319"/>
      <c r="BI491" s="319"/>
      <c r="BJ491" s="319"/>
      <c r="BK491" s="319"/>
      <c r="BL491" s="319"/>
      <c r="BM491" s="319"/>
      <c r="BN491" s="319"/>
      <c r="BO491" s="319"/>
      <c r="BP491" s="319"/>
      <c r="BQ491" s="319"/>
      <c r="BR491" s="319"/>
    </row>
    <row r="492" ht="14.25" customHeight="1">
      <c r="A492" s="195"/>
      <c r="B492" s="100"/>
      <c r="C492" s="100"/>
      <c r="D492" s="100"/>
      <c r="E492" s="100"/>
      <c r="F492" s="206"/>
      <c r="G492" s="206"/>
      <c r="H492" s="207"/>
      <c r="I492" s="207"/>
      <c r="J492" s="207"/>
      <c r="K492" s="207"/>
      <c r="L492" s="207"/>
      <c r="M492" s="207"/>
      <c r="N492" s="207"/>
      <c r="O492" s="207"/>
      <c r="P492" s="207"/>
      <c r="Q492" s="207"/>
      <c r="R492" s="207"/>
      <c r="S492" s="207"/>
      <c r="T492" s="207"/>
      <c r="U492" s="207"/>
      <c r="V492" s="207"/>
      <c r="W492" s="208"/>
      <c r="X492" s="208"/>
      <c r="Y492" s="208"/>
      <c r="Z492" s="208"/>
      <c r="AA492" s="208"/>
      <c r="AB492" s="208"/>
      <c r="AC492" s="208"/>
      <c r="AD492" s="208"/>
      <c r="AE492" s="208"/>
      <c r="AF492" s="208"/>
      <c r="AG492" s="208"/>
      <c r="AH492" s="208"/>
      <c r="AI492" s="100"/>
      <c r="AJ492" s="319"/>
      <c r="AK492" s="319"/>
      <c r="AL492" s="319"/>
      <c r="AM492" s="319"/>
      <c r="AN492" s="319"/>
      <c r="AO492" s="319"/>
      <c r="AP492" s="319"/>
      <c r="AQ492" s="319"/>
      <c r="AR492" s="319"/>
      <c r="AS492" s="319"/>
      <c r="AT492" s="319"/>
      <c r="AU492" s="319"/>
      <c r="AV492" s="319"/>
      <c r="AW492" s="319"/>
      <c r="AX492" s="319"/>
      <c r="AY492" s="319"/>
      <c r="AZ492" s="319"/>
      <c r="BA492" s="319"/>
      <c r="BB492" s="319"/>
      <c r="BC492" s="319"/>
      <c r="BD492" s="319"/>
      <c r="BE492" s="319"/>
      <c r="BF492" s="319"/>
      <c r="BG492" s="319"/>
      <c r="BH492" s="319"/>
      <c r="BI492" s="319"/>
      <c r="BJ492" s="319"/>
      <c r="BK492" s="319"/>
      <c r="BL492" s="319"/>
      <c r="BM492" s="319"/>
      <c r="BN492" s="319"/>
      <c r="BO492" s="319"/>
      <c r="BP492" s="319"/>
      <c r="BQ492" s="319"/>
      <c r="BR492" s="319"/>
    </row>
    <row r="493" ht="14.25" customHeight="1">
      <c r="A493" s="195"/>
      <c r="B493" s="100"/>
      <c r="C493" s="100"/>
      <c r="D493" s="100"/>
      <c r="E493" s="100"/>
      <c r="F493" s="206"/>
      <c r="G493" s="206"/>
      <c r="H493" s="207"/>
      <c r="I493" s="207"/>
      <c r="J493" s="207"/>
      <c r="K493" s="207"/>
      <c r="L493" s="207"/>
      <c r="M493" s="207"/>
      <c r="N493" s="207"/>
      <c r="O493" s="207"/>
      <c r="P493" s="207"/>
      <c r="Q493" s="207"/>
      <c r="R493" s="207"/>
      <c r="S493" s="207"/>
      <c r="T493" s="207"/>
      <c r="U493" s="207"/>
      <c r="V493" s="207"/>
      <c r="W493" s="208"/>
      <c r="X493" s="208"/>
      <c r="Y493" s="208"/>
      <c r="Z493" s="208"/>
      <c r="AA493" s="208"/>
      <c r="AB493" s="208"/>
      <c r="AC493" s="208"/>
      <c r="AD493" s="208"/>
      <c r="AE493" s="208"/>
      <c r="AF493" s="208"/>
      <c r="AG493" s="208"/>
      <c r="AH493" s="208"/>
      <c r="AI493" s="100"/>
      <c r="AJ493" s="319"/>
      <c r="AK493" s="319"/>
      <c r="AL493" s="319"/>
      <c r="AM493" s="319"/>
      <c r="AN493" s="319"/>
      <c r="AO493" s="319"/>
      <c r="AP493" s="319"/>
      <c r="AQ493" s="319"/>
      <c r="AR493" s="319"/>
      <c r="AS493" s="319"/>
      <c r="AT493" s="319"/>
      <c r="AU493" s="319"/>
      <c r="AV493" s="319"/>
      <c r="AW493" s="319"/>
      <c r="AX493" s="319"/>
      <c r="AY493" s="319"/>
      <c r="AZ493" s="319"/>
      <c r="BA493" s="319"/>
      <c r="BB493" s="319"/>
      <c r="BC493" s="319"/>
      <c r="BD493" s="319"/>
      <c r="BE493" s="319"/>
      <c r="BF493" s="319"/>
      <c r="BG493" s="319"/>
      <c r="BH493" s="319"/>
      <c r="BI493" s="319"/>
      <c r="BJ493" s="319"/>
      <c r="BK493" s="319"/>
      <c r="BL493" s="319"/>
      <c r="BM493" s="319"/>
      <c r="BN493" s="319"/>
      <c r="BO493" s="319"/>
      <c r="BP493" s="319"/>
      <c r="BQ493" s="319"/>
      <c r="BR493" s="319"/>
    </row>
    <row r="494" ht="14.25" customHeight="1">
      <c r="A494" s="195"/>
      <c r="B494" s="100"/>
      <c r="C494" s="100"/>
      <c r="D494" s="100"/>
      <c r="E494" s="100"/>
      <c r="F494" s="206"/>
      <c r="G494" s="206"/>
      <c r="H494" s="207"/>
      <c r="I494" s="207"/>
      <c r="J494" s="207"/>
      <c r="K494" s="207"/>
      <c r="L494" s="207"/>
      <c r="M494" s="207"/>
      <c r="N494" s="207"/>
      <c r="O494" s="207"/>
      <c r="P494" s="207"/>
      <c r="Q494" s="207"/>
      <c r="R494" s="207"/>
      <c r="S494" s="207"/>
      <c r="T494" s="207"/>
      <c r="U494" s="207"/>
      <c r="V494" s="207"/>
      <c r="W494" s="208"/>
      <c r="X494" s="208"/>
      <c r="Y494" s="208"/>
      <c r="Z494" s="208"/>
      <c r="AA494" s="208"/>
      <c r="AB494" s="208"/>
      <c r="AC494" s="208"/>
      <c r="AD494" s="208"/>
      <c r="AE494" s="208"/>
      <c r="AF494" s="208"/>
      <c r="AG494" s="208"/>
      <c r="AH494" s="208"/>
      <c r="AI494" s="100"/>
      <c r="AJ494" s="319"/>
      <c r="AK494" s="319"/>
      <c r="AL494" s="319"/>
      <c r="AM494" s="319"/>
      <c r="AN494" s="319"/>
      <c r="AO494" s="319"/>
      <c r="AP494" s="319"/>
      <c r="AQ494" s="319"/>
      <c r="AR494" s="319"/>
      <c r="AS494" s="319"/>
      <c r="AT494" s="319"/>
      <c r="AU494" s="319"/>
      <c r="AV494" s="319"/>
      <c r="AW494" s="319"/>
      <c r="AX494" s="319"/>
      <c r="AY494" s="319"/>
      <c r="AZ494" s="319"/>
      <c r="BA494" s="319"/>
      <c r="BB494" s="319"/>
      <c r="BC494" s="319"/>
      <c r="BD494" s="319"/>
      <c r="BE494" s="319"/>
      <c r="BF494" s="319"/>
      <c r="BG494" s="319"/>
      <c r="BH494" s="319"/>
      <c r="BI494" s="319"/>
      <c r="BJ494" s="319"/>
      <c r="BK494" s="319"/>
      <c r="BL494" s="319"/>
      <c r="BM494" s="319"/>
      <c r="BN494" s="319"/>
      <c r="BO494" s="319"/>
      <c r="BP494" s="319"/>
      <c r="BQ494" s="319"/>
      <c r="BR494" s="319"/>
    </row>
    <row r="495" ht="14.25" customHeight="1">
      <c r="A495" s="195"/>
      <c r="B495" s="100"/>
      <c r="C495" s="100"/>
      <c r="D495" s="100"/>
      <c r="E495" s="100"/>
      <c r="F495" s="206"/>
      <c r="G495" s="206"/>
      <c r="H495" s="207"/>
      <c r="I495" s="207"/>
      <c r="J495" s="207"/>
      <c r="K495" s="207"/>
      <c r="L495" s="207"/>
      <c r="M495" s="207"/>
      <c r="N495" s="207"/>
      <c r="O495" s="207"/>
      <c r="P495" s="207"/>
      <c r="Q495" s="207"/>
      <c r="R495" s="207"/>
      <c r="S495" s="207"/>
      <c r="T495" s="207"/>
      <c r="U495" s="207"/>
      <c r="V495" s="207"/>
      <c r="W495" s="208"/>
      <c r="X495" s="208"/>
      <c r="Y495" s="208"/>
      <c r="Z495" s="208"/>
      <c r="AA495" s="208"/>
      <c r="AB495" s="208"/>
      <c r="AC495" s="208"/>
      <c r="AD495" s="208"/>
      <c r="AE495" s="208"/>
      <c r="AF495" s="208"/>
      <c r="AG495" s="208"/>
      <c r="AH495" s="208"/>
      <c r="AI495" s="100"/>
      <c r="AJ495" s="319"/>
      <c r="AK495" s="319"/>
      <c r="AL495" s="319"/>
      <c r="AM495" s="319"/>
      <c r="AN495" s="319"/>
      <c r="AO495" s="319"/>
      <c r="AP495" s="319"/>
      <c r="AQ495" s="319"/>
      <c r="AR495" s="319"/>
      <c r="AS495" s="319"/>
      <c r="AT495" s="319"/>
      <c r="AU495" s="319"/>
      <c r="AV495" s="319"/>
      <c r="AW495" s="319"/>
      <c r="AX495" s="319"/>
      <c r="AY495" s="319"/>
      <c r="AZ495" s="319"/>
      <c r="BA495" s="319"/>
      <c r="BB495" s="319"/>
      <c r="BC495" s="319"/>
      <c r="BD495" s="319"/>
      <c r="BE495" s="319"/>
      <c r="BF495" s="319"/>
      <c r="BG495" s="319"/>
      <c r="BH495" s="319"/>
      <c r="BI495" s="319"/>
      <c r="BJ495" s="319"/>
      <c r="BK495" s="319"/>
      <c r="BL495" s="319"/>
      <c r="BM495" s="319"/>
      <c r="BN495" s="319"/>
      <c r="BO495" s="319"/>
      <c r="BP495" s="319"/>
      <c r="BQ495" s="319"/>
      <c r="BR495" s="319"/>
    </row>
    <row r="496" ht="14.25" customHeight="1">
      <c r="A496" s="195"/>
      <c r="B496" s="100"/>
      <c r="C496" s="100"/>
      <c r="D496" s="100"/>
      <c r="E496" s="100"/>
      <c r="F496" s="206"/>
      <c r="G496" s="206"/>
      <c r="H496" s="207"/>
      <c r="I496" s="207"/>
      <c r="J496" s="207"/>
      <c r="K496" s="207"/>
      <c r="L496" s="207"/>
      <c r="M496" s="207"/>
      <c r="N496" s="207"/>
      <c r="O496" s="207"/>
      <c r="P496" s="207"/>
      <c r="Q496" s="207"/>
      <c r="R496" s="207"/>
      <c r="S496" s="207"/>
      <c r="T496" s="207"/>
      <c r="U496" s="207"/>
      <c r="V496" s="207"/>
      <c r="W496" s="208"/>
      <c r="X496" s="208"/>
      <c r="Y496" s="208"/>
      <c r="Z496" s="208"/>
      <c r="AA496" s="208"/>
      <c r="AB496" s="208"/>
      <c r="AC496" s="208"/>
      <c r="AD496" s="208"/>
      <c r="AE496" s="208"/>
      <c r="AF496" s="208"/>
      <c r="AG496" s="208"/>
      <c r="AH496" s="208"/>
      <c r="AI496" s="100"/>
      <c r="AJ496" s="319"/>
      <c r="AK496" s="319"/>
      <c r="AL496" s="319"/>
      <c r="AM496" s="319"/>
      <c r="AN496" s="319"/>
      <c r="AO496" s="319"/>
      <c r="AP496" s="319"/>
      <c r="AQ496" s="319"/>
      <c r="AR496" s="319"/>
      <c r="AS496" s="319"/>
      <c r="AT496" s="319"/>
      <c r="AU496" s="319"/>
      <c r="AV496" s="319"/>
      <c r="AW496" s="319"/>
      <c r="AX496" s="319"/>
      <c r="AY496" s="319"/>
      <c r="AZ496" s="319"/>
      <c r="BA496" s="319"/>
      <c r="BB496" s="319"/>
      <c r="BC496" s="319"/>
      <c r="BD496" s="319"/>
      <c r="BE496" s="319"/>
      <c r="BF496" s="319"/>
      <c r="BG496" s="319"/>
      <c r="BH496" s="319"/>
      <c r="BI496" s="319"/>
      <c r="BJ496" s="319"/>
      <c r="BK496" s="319"/>
      <c r="BL496" s="319"/>
      <c r="BM496" s="319"/>
      <c r="BN496" s="319"/>
      <c r="BO496" s="319"/>
      <c r="BP496" s="319"/>
      <c r="BQ496" s="319"/>
      <c r="BR496" s="319"/>
    </row>
    <row r="497" ht="14.25" customHeight="1">
      <c r="A497" s="195"/>
      <c r="B497" s="100"/>
      <c r="C497" s="100"/>
      <c r="D497" s="100"/>
      <c r="E497" s="100"/>
      <c r="F497" s="206"/>
      <c r="G497" s="206"/>
      <c r="H497" s="207"/>
      <c r="I497" s="207"/>
      <c r="J497" s="207"/>
      <c r="K497" s="207"/>
      <c r="L497" s="207"/>
      <c r="M497" s="207"/>
      <c r="N497" s="207"/>
      <c r="O497" s="207"/>
      <c r="P497" s="207"/>
      <c r="Q497" s="207"/>
      <c r="R497" s="207"/>
      <c r="S497" s="207"/>
      <c r="T497" s="207"/>
      <c r="U497" s="207"/>
      <c r="V497" s="207"/>
      <c r="W497" s="208"/>
      <c r="X497" s="208"/>
      <c r="Y497" s="208"/>
      <c r="Z497" s="208"/>
      <c r="AA497" s="208"/>
      <c r="AB497" s="208"/>
      <c r="AC497" s="208"/>
      <c r="AD497" s="208"/>
      <c r="AE497" s="208"/>
      <c r="AF497" s="208"/>
      <c r="AG497" s="208"/>
      <c r="AH497" s="208"/>
      <c r="AI497" s="100"/>
      <c r="AJ497" s="319"/>
      <c r="AK497" s="319"/>
      <c r="AL497" s="319"/>
      <c r="AM497" s="319"/>
      <c r="AN497" s="319"/>
      <c r="AO497" s="319"/>
      <c r="AP497" s="319"/>
      <c r="AQ497" s="319"/>
      <c r="AR497" s="319"/>
      <c r="AS497" s="319"/>
      <c r="AT497" s="319"/>
      <c r="AU497" s="319"/>
      <c r="AV497" s="319"/>
      <c r="AW497" s="319"/>
      <c r="AX497" s="319"/>
      <c r="AY497" s="319"/>
      <c r="AZ497" s="319"/>
      <c r="BA497" s="319"/>
      <c r="BB497" s="319"/>
      <c r="BC497" s="319"/>
      <c r="BD497" s="319"/>
      <c r="BE497" s="319"/>
      <c r="BF497" s="319"/>
      <c r="BG497" s="319"/>
      <c r="BH497" s="319"/>
      <c r="BI497" s="319"/>
      <c r="BJ497" s="319"/>
      <c r="BK497" s="319"/>
      <c r="BL497" s="319"/>
      <c r="BM497" s="319"/>
      <c r="BN497" s="319"/>
      <c r="BO497" s="319"/>
      <c r="BP497" s="319"/>
      <c r="BQ497" s="319"/>
      <c r="BR497" s="319"/>
    </row>
    <row r="498" ht="14.25" customHeight="1">
      <c r="A498" s="195"/>
      <c r="B498" s="100"/>
      <c r="C498" s="100"/>
      <c r="D498" s="100"/>
      <c r="E498" s="100"/>
      <c r="F498" s="206"/>
      <c r="G498" s="206"/>
      <c r="H498" s="207"/>
      <c r="I498" s="207"/>
      <c r="J498" s="207"/>
      <c r="K498" s="207"/>
      <c r="L498" s="207"/>
      <c r="M498" s="207"/>
      <c r="N498" s="207"/>
      <c r="O498" s="207"/>
      <c r="P498" s="207"/>
      <c r="Q498" s="207"/>
      <c r="R498" s="207"/>
      <c r="S498" s="207"/>
      <c r="T498" s="207"/>
      <c r="U498" s="207"/>
      <c r="V498" s="207"/>
      <c r="W498" s="208"/>
      <c r="X498" s="208"/>
      <c r="Y498" s="208"/>
      <c r="Z498" s="208"/>
      <c r="AA498" s="208"/>
      <c r="AB498" s="208"/>
      <c r="AC498" s="208"/>
      <c r="AD498" s="208"/>
      <c r="AE498" s="208"/>
      <c r="AF498" s="208"/>
      <c r="AG498" s="208"/>
      <c r="AH498" s="208"/>
      <c r="AI498" s="100"/>
      <c r="AJ498" s="319"/>
      <c r="AK498" s="319"/>
      <c r="AL498" s="319"/>
      <c r="AM498" s="319"/>
      <c r="AN498" s="319"/>
      <c r="AO498" s="319"/>
      <c r="AP498" s="319"/>
      <c r="AQ498" s="319"/>
      <c r="AR498" s="319"/>
      <c r="AS498" s="319"/>
      <c r="AT498" s="319"/>
      <c r="AU498" s="319"/>
      <c r="AV498" s="319"/>
      <c r="AW498" s="319"/>
      <c r="AX498" s="319"/>
      <c r="AY498" s="319"/>
      <c r="AZ498" s="319"/>
      <c r="BA498" s="319"/>
      <c r="BB498" s="319"/>
      <c r="BC498" s="319"/>
      <c r="BD498" s="319"/>
      <c r="BE498" s="319"/>
      <c r="BF498" s="319"/>
      <c r="BG498" s="319"/>
      <c r="BH498" s="319"/>
      <c r="BI498" s="319"/>
      <c r="BJ498" s="319"/>
      <c r="BK498" s="319"/>
      <c r="BL498" s="319"/>
      <c r="BM498" s="319"/>
      <c r="BN498" s="319"/>
      <c r="BO498" s="319"/>
      <c r="BP498" s="319"/>
      <c r="BQ498" s="319"/>
      <c r="BR498" s="319"/>
    </row>
    <row r="499" ht="14.25" customHeight="1">
      <c r="A499" s="195"/>
      <c r="B499" s="100"/>
      <c r="C499" s="100"/>
      <c r="D499" s="100"/>
      <c r="E499" s="100"/>
      <c r="F499" s="206"/>
      <c r="G499" s="206"/>
      <c r="H499" s="207"/>
      <c r="I499" s="207"/>
      <c r="J499" s="207"/>
      <c r="K499" s="207"/>
      <c r="L499" s="207"/>
      <c r="M499" s="207"/>
      <c r="N499" s="207"/>
      <c r="O499" s="207"/>
      <c r="P499" s="207"/>
      <c r="Q499" s="207"/>
      <c r="R499" s="207"/>
      <c r="S499" s="207"/>
      <c r="T499" s="207"/>
      <c r="U499" s="207"/>
      <c r="V499" s="207"/>
      <c r="W499" s="208"/>
      <c r="X499" s="208"/>
      <c r="Y499" s="208"/>
      <c r="Z499" s="208"/>
      <c r="AA499" s="208"/>
      <c r="AB499" s="208"/>
      <c r="AC499" s="208"/>
      <c r="AD499" s="208"/>
      <c r="AE499" s="208"/>
      <c r="AF499" s="208"/>
      <c r="AG499" s="208"/>
      <c r="AH499" s="208"/>
      <c r="AI499" s="100"/>
      <c r="AJ499" s="319"/>
      <c r="AK499" s="319"/>
      <c r="AL499" s="319"/>
      <c r="AM499" s="319"/>
      <c r="AN499" s="319"/>
      <c r="AO499" s="319"/>
      <c r="AP499" s="319"/>
      <c r="AQ499" s="319"/>
      <c r="AR499" s="319"/>
      <c r="AS499" s="319"/>
      <c r="AT499" s="319"/>
      <c r="AU499" s="319"/>
      <c r="AV499" s="319"/>
      <c r="AW499" s="319"/>
      <c r="AX499" s="319"/>
      <c r="AY499" s="319"/>
      <c r="AZ499" s="319"/>
      <c r="BA499" s="319"/>
      <c r="BB499" s="319"/>
      <c r="BC499" s="319"/>
      <c r="BD499" s="319"/>
      <c r="BE499" s="319"/>
      <c r="BF499" s="319"/>
      <c r="BG499" s="319"/>
      <c r="BH499" s="319"/>
      <c r="BI499" s="319"/>
      <c r="BJ499" s="319"/>
      <c r="BK499" s="319"/>
      <c r="BL499" s="319"/>
      <c r="BM499" s="319"/>
      <c r="BN499" s="319"/>
      <c r="BO499" s="319"/>
      <c r="BP499" s="319"/>
      <c r="BQ499" s="319"/>
      <c r="BR499" s="319"/>
    </row>
    <row r="500" ht="14.25" customHeight="1">
      <c r="A500" s="195"/>
      <c r="B500" s="100"/>
      <c r="C500" s="100"/>
      <c r="D500" s="100"/>
      <c r="E500" s="100"/>
      <c r="F500" s="206"/>
      <c r="G500" s="206"/>
      <c r="H500" s="207"/>
      <c r="I500" s="207"/>
      <c r="J500" s="207"/>
      <c r="K500" s="207"/>
      <c r="L500" s="207"/>
      <c r="M500" s="207"/>
      <c r="N500" s="207"/>
      <c r="O500" s="207"/>
      <c r="P500" s="207"/>
      <c r="Q500" s="207"/>
      <c r="R500" s="207"/>
      <c r="S500" s="207"/>
      <c r="T500" s="207"/>
      <c r="U500" s="207"/>
      <c r="V500" s="207"/>
      <c r="W500" s="208"/>
      <c r="X500" s="208"/>
      <c r="Y500" s="208"/>
      <c r="Z500" s="208"/>
      <c r="AA500" s="208"/>
      <c r="AB500" s="208"/>
      <c r="AC500" s="208"/>
      <c r="AD500" s="208"/>
      <c r="AE500" s="208"/>
      <c r="AF500" s="208"/>
      <c r="AG500" s="208"/>
      <c r="AH500" s="208"/>
      <c r="AI500" s="100"/>
      <c r="AJ500" s="319"/>
      <c r="AK500" s="319"/>
      <c r="AL500" s="319"/>
      <c r="AM500" s="319"/>
      <c r="AN500" s="319"/>
      <c r="AO500" s="319"/>
      <c r="AP500" s="319"/>
      <c r="AQ500" s="319"/>
      <c r="AR500" s="319"/>
      <c r="AS500" s="319"/>
      <c r="AT500" s="319"/>
      <c r="AU500" s="319"/>
      <c r="AV500" s="319"/>
      <c r="AW500" s="319"/>
      <c r="AX500" s="319"/>
      <c r="AY500" s="319"/>
      <c r="AZ500" s="319"/>
      <c r="BA500" s="319"/>
      <c r="BB500" s="319"/>
      <c r="BC500" s="319"/>
      <c r="BD500" s="319"/>
      <c r="BE500" s="319"/>
      <c r="BF500" s="319"/>
      <c r="BG500" s="319"/>
      <c r="BH500" s="319"/>
      <c r="BI500" s="319"/>
      <c r="BJ500" s="319"/>
      <c r="BK500" s="319"/>
      <c r="BL500" s="319"/>
      <c r="BM500" s="319"/>
      <c r="BN500" s="319"/>
      <c r="BO500" s="319"/>
      <c r="BP500" s="319"/>
      <c r="BQ500" s="319"/>
      <c r="BR500" s="319"/>
    </row>
    <row r="501" ht="14.25" customHeight="1">
      <c r="A501" s="195"/>
      <c r="B501" s="100"/>
      <c r="C501" s="100"/>
      <c r="D501" s="100"/>
      <c r="E501" s="100"/>
      <c r="F501" s="206"/>
      <c r="G501" s="206"/>
      <c r="H501" s="207"/>
      <c r="I501" s="207"/>
      <c r="J501" s="207"/>
      <c r="K501" s="207"/>
      <c r="L501" s="207"/>
      <c r="M501" s="207"/>
      <c r="N501" s="207"/>
      <c r="O501" s="207"/>
      <c r="P501" s="207"/>
      <c r="Q501" s="207"/>
      <c r="R501" s="207"/>
      <c r="S501" s="207"/>
      <c r="T501" s="207"/>
      <c r="U501" s="207"/>
      <c r="V501" s="207"/>
      <c r="W501" s="208"/>
      <c r="X501" s="208"/>
      <c r="Y501" s="208"/>
      <c r="Z501" s="208"/>
      <c r="AA501" s="208"/>
      <c r="AB501" s="208"/>
      <c r="AC501" s="208"/>
      <c r="AD501" s="208"/>
      <c r="AE501" s="208"/>
      <c r="AF501" s="208"/>
      <c r="AG501" s="208"/>
      <c r="AH501" s="208"/>
      <c r="AI501" s="100"/>
      <c r="AJ501" s="319"/>
      <c r="AK501" s="319"/>
      <c r="AL501" s="319"/>
      <c r="AM501" s="319"/>
      <c r="AN501" s="319"/>
      <c r="AO501" s="319"/>
      <c r="AP501" s="319"/>
      <c r="AQ501" s="319"/>
      <c r="AR501" s="319"/>
      <c r="AS501" s="319"/>
      <c r="AT501" s="319"/>
      <c r="AU501" s="319"/>
      <c r="AV501" s="319"/>
      <c r="AW501" s="319"/>
      <c r="AX501" s="319"/>
      <c r="AY501" s="319"/>
      <c r="AZ501" s="319"/>
      <c r="BA501" s="319"/>
      <c r="BB501" s="319"/>
      <c r="BC501" s="319"/>
      <c r="BD501" s="319"/>
      <c r="BE501" s="319"/>
      <c r="BF501" s="319"/>
      <c r="BG501" s="319"/>
      <c r="BH501" s="319"/>
      <c r="BI501" s="319"/>
      <c r="BJ501" s="319"/>
      <c r="BK501" s="319"/>
      <c r="BL501" s="319"/>
      <c r="BM501" s="319"/>
      <c r="BN501" s="319"/>
      <c r="BO501" s="319"/>
      <c r="BP501" s="319"/>
      <c r="BQ501" s="319"/>
      <c r="BR501" s="319"/>
    </row>
    <row r="502" ht="14.25" customHeight="1">
      <c r="A502" s="195"/>
      <c r="B502" s="100"/>
      <c r="C502" s="100"/>
      <c r="D502" s="100"/>
      <c r="E502" s="100"/>
      <c r="F502" s="206"/>
      <c r="G502" s="206"/>
      <c r="H502" s="207"/>
      <c r="I502" s="207"/>
      <c r="J502" s="207"/>
      <c r="K502" s="207"/>
      <c r="L502" s="207"/>
      <c r="M502" s="207"/>
      <c r="N502" s="207"/>
      <c r="O502" s="207"/>
      <c r="P502" s="207"/>
      <c r="Q502" s="207"/>
      <c r="R502" s="207"/>
      <c r="S502" s="207"/>
      <c r="T502" s="207"/>
      <c r="U502" s="207"/>
      <c r="V502" s="207"/>
      <c r="W502" s="208"/>
      <c r="X502" s="208"/>
      <c r="Y502" s="208"/>
      <c r="Z502" s="208"/>
      <c r="AA502" s="208"/>
      <c r="AB502" s="208"/>
      <c r="AC502" s="208"/>
      <c r="AD502" s="208"/>
      <c r="AE502" s="208"/>
      <c r="AF502" s="208"/>
      <c r="AG502" s="208"/>
      <c r="AH502" s="208"/>
      <c r="AI502" s="100"/>
      <c r="AJ502" s="319"/>
      <c r="AK502" s="319"/>
      <c r="AL502" s="319"/>
      <c r="AM502" s="319"/>
      <c r="AN502" s="319"/>
      <c r="AO502" s="319"/>
      <c r="AP502" s="319"/>
      <c r="AQ502" s="319"/>
      <c r="AR502" s="319"/>
      <c r="AS502" s="319"/>
      <c r="AT502" s="319"/>
      <c r="AU502" s="319"/>
      <c r="AV502" s="319"/>
      <c r="AW502" s="319"/>
      <c r="AX502" s="319"/>
      <c r="AY502" s="319"/>
      <c r="AZ502" s="319"/>
      <c r="BA502" s="319"/>
      <c r="BB502" s="319"/>
      <c r="BC502" s="319"/>
      <c r="BD502" s="319"/>
      <c r="BE502" s="319"/>
      <c r="BF502" s="319"/>
      <c r="BG502" s="319"/>
      <c r="BH502" s="319"/>
      <c r="BI502" s="319"/>
      <c r="BJ502" s="319"/>
      <c r="BK502" s="319"/>
      <c r="BL502" s="319"/>
      <c r="BM502" s="319"/>
      <c r="BN502" s="319"/>
      <c r="BO502" s="319"/>
      <c r="BP502" s="319"/>
      <c r="BQ502" s="319"/>
      <c r="BR502" s="319"/>
    </row>
    <row r="503" ht="14.25" customHeight="1">
      <c r="A503" s="195"/>
      <c r="B503" s="100"/>
      <c r="C503" s="100"/>
      <c r="D503" s="100"/>
      <c r="E503" s="100"/>
      <c r="F503" s="206"/>
      <c r="G503" s="206"/>
      <c r="H503" s="207"/>
      <c r="I503" s="207"/>
      <c r="J503" s="207"/>
      <c r="K503" s="207"/>
      <c r="L503" s="207"/>
      <c r="M503" s="207"/>
      <c r="N503" s="207"/>
      <c r="O503" s="207"/>
      <c r="P503" s="207"/>
      <c r="Q503" s="207"/>
      <c r="R503" s="207"/>
      <c r="S503" s="207"/>
      <c r="T503" s="207"/>
      <c r="U503" s="207"/>
      <c r="V503" s="207"/>
      <c r="W503" s="208"/>
      <c r="X503" s="208"/>
      <c r="Y503" s="208"/>
      <c r="Z503" s="208"/>
      <c r="AA503" s="208"/>
      <c r="AB503" s="208"/>
      <c r="AC503" s="208"/>
      <c r="AD503" s="208"/>
      <c r="AE503" s="208"/>
      <c r="AF503" s="208"/>
      <c r="AG503" s="208"/>
      <c r="AH503" s="208"/>
      <c r="AI503" s="100"/>
      <c r="AJ503" s="319"/>
      <c r="AK503" s="319"/>
      <c r="AL503" s="319"/>
      <c r="AM503" s="319"/>
      <c r="AN503" s="319"/>
      <c r="AO503" s="319"/>
      <c r="AP503" s="319"/>
      <c r="AQ503" s="319"/>
      <c r="AR503" s="319"/>
      <c r="AS503" s="319"/>
      <c r="AT503" s="319"/>
      <c r="AU503" s="319"/>
      <c r="AV503" s="319"/>
      <c r="AW503" s="319"/>
      <c r="AX503" s="319"/>
      <c r="AY503" s="319"/>
      <c r="AZ503" s="319"/>
      <c r="BA503" s="319"/>
      <c r="BB503" s="319"/>
      <c r="BC503" s="319"/>
      <c r="BD503" s="319"/>
      <c r="BE503" s="319"/>
      <c r="BF503" s="319"/>
      <c r="BG503" s="319"/>
      <c r="BH503" s="319"/>
      <c r="BI503" s="319"/>
      <c r="BJ503" s="319"/>
      <c r="BK503" s="319"/>
      <c r="BL503" s="319"/>
      <c r="BM503" s="319"/>
      <c r="BN503" s="319"/>
      <c r="BO503" s="319"/>
      <c r="BP503" s="319"/>
      <c r="BQ503" s="319"/>
      <c r="BR503" s="319"/>
    </row>
    <row r="504" ht="14.25" customHeight="1">
      <c r="A504" s="195"/>
      <c r="B504" s="100"/>
      <c r="C504" s="100"/>
      <c r="D504" s="100"/>
      <c r="E504" s="100"/>
      <c r="F504" s="206"/>
      <c r="G504" s="206"/>
      <c r="H504" s="207"/>
      <c r="I504" s="207"/>
      <c r="J504" s="207"/>
      <c r="K504" s="207"/>
      <c r="L504" s="207"/>
      <c r="M504" s="207"/>
      <c r="N504" s="207"/>
      <c r="O504" s="207"/>
      <c r="P504" s="207"/>
      <c r="Q504" s="207"/>
      <c r="R504" s="207"/>
      <c r="S504" s="207"/>
      <c r="T504" s="207"/>
      <c r="U504" s="207"/>
      <c r="V504" s="207"/>
      <c r="W504" s="208"/>
      <c r="X504" s="208"/>
      <c r="Y504" s="208"/>
      <c r="Z504" s="208"/>
      <c r="AA504" s="208"/>
      <c r="AB504" s="208"/>
      <c r="AC504" s="208"/>
      <c r="AD504" s="208"/>
      <c r="AE504" s="208"/>
      <c r="AF504" s="208"/>
      <c r="AG504" s="208"/>
      <c r="AH504" s="208"/>
      <c r="AI504" s="100"/>
      <c r="AJ504" s="319"/>
      <c r="AK504" s="319"/>
      <c r="AL504" s="319"/>
      <c r="AM504" s="319"/>
      <c r="AN504" s="319"/>
      <c r="AO504" s="319"/>
      <c r="AP504" s="319"/>
      <c r="AQ504" s="319"/>
      <c r="AR504" s="319"/>
      <c r="AS504" s="319"/>
      <c r="AT504" s="319"/>
      <c r="AU504" s="319"/>
      <c r="AV504" s="319"/>
      <c r="AW504" s="319"/>
      <c r="AX504" s="319"/>
      <c r="AY504" s="319"/>
      <c r="AZ504" s="319"/>
      <c r="BA504" s="319"/>
      <c r="BB504" s="319"/>
      <c r="BC504" s="319"/>
      <c r="BD504" s="319"/>
      <c r="BE504" s="319"/>
      <c r="BF504" s="319"/>
      <c r="BG504" s="319"/>
      <c r="BH504" s="319"/>
      <c r="BI504" s="319"/>
      <c r="BJ504" s="319"/>
      <c r="BK504" s="319"/>
      <c r="BL504" s="319"/>
      <c r="BM504" s="319"/>
      <c r="BN504" s="319"/>
      <c r="BO504" s="319"/>
      <c r="BP504" s="319"/>
      <c r="BQ504" s="319"/>
      <c r="BR504" s="319"/>
    </row>
    <row r="505" ht="14.25" customHeight="1">
      <c r="A505" s="195"/>
      <c r="B505" s="100"/>
      <c r="C505" s="100"/>
      <c r="D505" s="100"/>
      <c r="E505" s="100"/>
      <c r="F505" s="206"/>
      <c r="G505" s="206"/>
      <c r="H505" s="207"/>
      <c r="I505" s="207"/>
      <c r="J505" s="207"/>
      <c r="K505" s="207"/>
      <c r="L505" s="207"/>
      <c r="M505" s="207"/>
      <c r="N505" s="207"/>
      <c r="O505" s="207"/>
      <c r="P505" s="207"/>
      <c r="Q505" s="207"/>
      <c r="R505" s="207"/>
      <c r="S505" s="207"/>
      <c r="T505" s="207"/>
      <c r="U505" s="207"/>
      <c r="V505" s="207"/>
      <c r="W505" s="208"/>
      <c r="X505" s="208"/>
      <c r="Y505" s="208"/>
      <c r="Z505" s="208"/>
      <c r="AA505" s="208"/>
      <c r="AB505" s="208"/>
      <c r="AC505" s="208"/>
      <c r="AD505" s="208"/>
      <c r="AE505" s="208"/>
      <c r="AF505" s="208"/>
      <c r="AG505" s="208"/>
      <c r="AH505" s="208"/>
      <c r="AI505" s="100"/>
      <c r="AJ505" s="319"/>
      <c r="AK505" s="319"/>
      <c r="AL505" s="319"/>
      <c r="AM505" s="319"/>
      <c r="AN505" s="319"/>
      <c r="AO505" s="319"/>
      <c r="AP505" s="319"/>
      <c r="AQ505" s="319"/>
      <c r="AR505" s="319"/>
      <c r="AS505" s="319"/>
      <c r="AT505" s="319"/>
      <c r="AU505" s="319"/>
      <c r="AV505" s="319"/>
      <c r="AW505" s="319"/>
      <c r="AX505" s="319"/>
      <c r="AY505" s="319"/>
      <c r="AZ505" s="319"/>
      <c r="BA505" s="319"/>
      <c r="BB505" s="319"/>
      <c r="BC505" s="319"/>
      <c r="BD505" s="319"/>
      <c r="BE505" s="319"/>
      <c r="BF505" s="319"/>
      <c r="BG505" s="319"/>
      <c r="BH505" s="319"/>
      <c r="BI505" s="319"/>
      <c r="BJ505" s="319"/>
      <c r="BK505" s="319"/>
      <c r="BL505" s="319"/>
      <c r="BM505" s="319"/>
      <c r="BN505" s="319"/>
      <c r="BO505" s="319"/>
      <c r="BP505" s="319"/>
      <c r="BQ505" s="319"/>
      <c r="BR505" s="319"/>
    </row>
    <row r="506" ht="14.25" customHeight="1">
      <c r="A506" s="195"/>
      <c r="B506" s="100"/>
      <c r="C506" s="100"/>
      <c r="D506" s="100"/>
      <c r="E506" s="100"/>
      <c r="F506" s="206"/>
      <c r="G506" s="206"/>
      <c r="H506" s="207"/>
      <c r="I506" s="207"/>
      <c r="J506" s="207"/>
      <c r="K506" s="207"/>
      <c r="L506" s="207"/>
      <c r="M506" s="207"/>
      <c r="N506" s="207"/>
      <c r="O506" s="207"/>
      <c r="P506" s="207"/>
      <c r="Q506" s="207"/>
      <c r="R506" s="207"/>
      <c r="S506" s="207"/>
      <c r="T506" s="207"/>
      <c r="U506" s="207"/>
      <c r="V506" s="207"/>
      <c r="W506" s="208"/>
      <c r="X506" s="208"/>
      <c r="Y506" s="208"/>
      <c r="Z506" s="208"/>
      <c r="AA506" s="208"/>
      <c r="AB506" s="208"/>
      <c r="AC506" s="208"/>
      <c r="AD506" s="208"/>
      <c r="AE506" s="208"/>
      <c r="AF506" s="208"/>
      <c r="AG506" s="208"/>
      <c r="AH506" s="208"/>
      <c r="AI506" s="100"/>
      <c r="AJ506" s="319"/>
      <c r="AK506" s="319"/>
      <c r="AL506" s="319"/>
      <c r="AM506" s="319"/>
      <c r="AN506" s="319"/>
      <c r="AO506" s="319"/>
      <c r="AP506" s="319"/>
      <c r="AQ506" s="319"/>
      <c r="AR506" s="319"/>
      <c r="AS506" s="319"/>
      <c r="AT506" s="319"/>
      <c r="AU506" s="319"/>
      <c r="AV506" s="319"/>
      <c r="AW506" s="319"/>
      <c r="AX506" s="319"/>
      <c r="AY506" s="319"/>
      <c r="AZ506" s="319"/>
      <c r="BA506" s="319"/>
      <c r="BB506" s="319"/>
      <c r="BC506" s="319"/>
      <c r="BD506" s="319"/>
      <c r="BE506" s="319"/>
      <c r="BF506" s="319"/>
      <c r="BG506" s="319"/>
      <c r="BH506" s="319"/>
      <c r="BI506" s="319"/>
      <c r="BJ506" s="319"/>
      <c r="BK506" s="319"/>
      <c r="BL506" s="319"/>
      <c r="BM506" s="319"/>
      <c r="BN506" s="319"/>
      <c r="BO506" s="319"/>
      <c r="BP506" s="319"/>
      <c r="BQ506" s="319"/>
      <c r="BR506" s="319"/>
    </row>
    <row r="507" ht="14.25" customHeight="1">
      <c r="A507" s="195"/>
      <c r="B507" s="100"/>
      <c r="C507" s="100"/>
      <c r="D507" s="100"/>
      <c r="E507" s="100"/>
      <c r="F507" s="206"/>
      <c r="G507" s="206"/>
      <c r="H507" s="207"/>
      <c r="I507" s="207"/>
      <c r="J507" s="207"/>
      <c r="K507" s="207"/>
      <c r="L507" s="207"/>
      <c r="M507" s="207"/>
      <c r="N507" s="207"/>
      <c r="O507" s="207"/>
      <c r="P507" s="207"/>
      <c r="Q507" s="207"/>
      <c r="R507" s="207"/>
      <c r="S507" s="207"/>
      <c r="T507" s="207"/>
      <c r="U507" s="207"/>
      <c r="V507" s="207"/>
      <c r="W507" s="208"/>
      <c r="X507" s="208"/>
      <c r="Y507" s="208"/>
      <c r="Z507" s="208"/>
      <c r="AA507" s="208"/>
      <c r="AB507" s="208"/>
      <c r="AC507" s="208"/>
      <c r="AD507" s="208"/>
      <c r="AE507" s="208"/>
      <c r="AF507" s="208"/>
      <c r="AG507" s="208"/>
      <c r="AH507" s="208"/>
      <c r="AI507" s="100"/>
      <c r="AJ507" s="319"/>
      <c r="AK507" s="319"/>
      <c r="AL507" s="319"/>
      <c r="AM507" s="319"/>
      <c r="AN507" s="319"/>
      <c r="AO507" s="319"/>
      <c r="AP507" s="319"/>
      <c r="AQ507" s="319"/>
      <c r="AR507" s="319"/>
      <c r="AS507" s="319"/>
      <c r="AT507" s="319"/>
      <c r="AU507" s="319"/>
      <c r="AV507" s="319"/>
      <c r="AW507" s="319"/>
      <c r="AX507" s="319"/>
      <c r="AY507" s="319"/>
      <c r="AZ507" s="319"/>
      <c r="BA507" s="319"/>
      <c r="BB507" s="319"/>
      <c r="BC507" s="319"/>
      <c r="BD507" s="319"/>
      <c r="BE507" s="319"/>
      <c r="BF507" s="319"/>
      <c r="BG507" s="319"/>
      <c r="BH507" s="319"/>
      <c r="BI507" s="319"/>
      <c r="BJ507" s="319"/>
      <c r="BK507" s="319"/>
      <c r="BL507" s="319"/>
      <c r="BM507" s="319"/>
      <c r="BN507" s="319"/>
      <c r="BO507" s="319"/>
      <c r="BP507" s="319"/>
      <c r="BQ507" s="319"/>
      <c r="BR507" s="319"/>
    </row>
    <row r="508" ht="14.25" customHeight="1">
      <c r="A508" s="195"/>
      <c r="B508" s="100"/>
      <c r="C508" s="100"/>
      <c r="D508" s="100"/>
      <c r="E508" s="100"/>
      <c r="F508" s="206"/>
      <c r="G508" s="206"/>
      <c r="H508" s="207"/>
      <c r="I508" s="207"/>
      <c r="J508" s="207"/>
      <c r="K508" s="207"/>
      <c r="L508" s="207"/>
      <c r="M508" s="207"/>
      <c r="N508" s="207"/>
      <c r="O508" s="207"/>
      <c r="P508" s="207"/>
      <c r="Q508" s="207"/>
      <c r="R508" s="207"/>
      <c r="S508" s="207"/>
      <c r="T508" s="207"/>
      <c r="U508" s="207"/>
      <c r="V508" s="207"/>
      <c r="W508" s="208"/>
      <c r="X508" s="208"/>
      <c r="Y508" s="208"/>
      <c r="Z508" s="208"/>
      <c r="AA508" s="208"/>
      <c r="AB508" s="208"/>
      <c r="AC508" s="208"/>
      <c r="AD508" s="208"/>
      <c r="AE508" s="208"/>
      <c r="AF508" s="208"/>
      <c r="AG508" s="208"/>
      <c r="AH508" s="208"/>
      <c r="AI508" s="100"/>
      <c r="AJ508" s="319"/>
      <c r="AK508" s="319"/>
      <c r="AL508" s="319"/>
      <c r="AM508" s="319"/>
      <c r="AN508" s="319"/>
      <c r="AO508" s="319"/>
      <c r="AP508" s="319"/>
      <c r="AQ508" s="319"/>
      <c r="AR508" s="319"/>
      <c r="AS508" s="319"/>
      <c r="AT508" s="319"/>
      <c r="AU508" s="319"/>
      <c r="AV508" s="319"/>
      <c r="AW508" s="319"/>
      <c r="AX508" s="319"/>
      <c r="AY508" s="319"/>
      <c r="AZ508" s="319"/>
      <c r="BA508" s="319"/>
      <c r="BB508" s="319"/>
      <c r="BC508" s="319"/>
      <c r="BD508" s="319"/>
      <c r="BE508" s="319"/>
      <c r="BF508" s="319"/>
      <c r="BG508" s="319"/>
      <c r="BH508" s="319"/>
      <c r="BI508" s="319"/>
      <c r="BJ508" s="319"/>
      <c r="BK508" s="319"/>
      <c r="BL508" s="319"/>
      <c r="BM508" s="319"/>
      <c r="BN508" s="319"/>
      <c r="BO508" s="319"/>
      <c r="BP508" s="319"/>
      <c r="BQ508" s="319"/>
      <c r="BR508" s="319"/>
    </row>
    <row r="509" ht="14.25" customHeight="1">
      <c r="A509" s="195"/>
      <c r="B509" s="100"/>
      <c r="C509" s="100"/>
      <c r="D509" s="100"/>
      <c r="E509" s="100"/>
      <c r="F509" s="206"/>
      <c r="G509" s="206"/>
      <c r="H509" s="207"/>
      <c r="I509" s="207"/>
      <c r="J509" s="207"/>
      <c r="K509" s="207"/>
      <c r="L509" s="207"/>
      <c r="M509" s="207"/>
      <c r="N509" s="207"/>
      <c r="O509" s="207"/>
      <c r="P509" s="207"/>
      <c r="Q509" s="207"/>
      <c r="R509" s="207"/>
      <c r="S509" s="207"/>
      <c r="T509" s="207"/>
      <c r="U509" s="207"/>
      <c r="V509" s="207"/>
      <c r="W509" s="208"/>
      <c r="X509" s="208"/>
      <c r="Y509" s="208"/>
      <c r="Z509" s="208"/>
      <c r="AA509" s="208"/>
      <c r="AB509" s="208"/>
      <c r="AC509" s="208"/>
      <c r="AD509" s="208"/>
      <c r="AE509" s="208"/>
      <c r="AF509" s="208"/>
      <c r="AG509" s="208"/>
      <c r="AH509" s="208"/>
      <c r="AI509" s="100"/>
      <c r="AJ509" s="319"/>
      <c r="AK509" s="319"/>
      <c r="AL509" s="319"/>
      <c r="AM509" s="319"/>
      <c r="AN509" s="319"/>
      <c r="AO509" s="319"/>
      <c r="AP509" s="319"/>
      <c r="AQ509" s="319"/>
      <c r="AR509" s="319"/>
      <c r="AS509" s="319"/>
      <c r="AT509" s="319"/>
      <c r="AU509" s="319"/>
      <c r="AV509" s="319"/>
      <c r="AW509" s="319"/>
      <c r="AX509" s="319"/>
      <c r="AY509" s="319"/>
      <c r="AZ509" s="319"/>
      <c r="BA509" s="319"/>
      <c r="BB509" s="319"/>
      <c r="BC509" s="319"/>
      <c r="BD509" s="319"/>
      <c r="BE509" s="319"/>
      <c r="BF509" s="319"/>
      <c r="BG509" s="319"/>
      <c r="BH509" s="319"/>
      <c r="BI509" s="319"/>
      <c r="BJ509" s="319"/>
      <c r="BK509" s="319"/>
      <c r="BL509" s="319"/>
      <c r="BM509" s="319"/>
      <c r="BN509" s="319"/>
      <c r="BO509" s="319"/>
      <c r="BP509" s="319"/>
      <c r="BQ509" s="319"/>
      <c r="BR509" s="319"/>
    </row>
    <row r="510" ht="14.25" customHeight="1">
      <c r="A510" s="195"/>
      <c r="B510" s="100"/>
      <c r="C510" s="100"/>
      <c r="D510" s="100"/>
      <c r="E510" s="100"/>
      <c r="F510" s="206"/>
      <c r="G510" s="206"/>
      <c r="H510" s="207"/>
      <c r="I510" s="207"/>
      <c r="J510" s="207"/>
      <c r="K510" s="207"/>
      <c r="L510" s="207"/>
      <c r="M510" s="207"/>
      <c r="N510" s="207"/>
      <c r="O510" s="207"/>
      <c r="P510" s="207"/>
      <c r="Q510" s="207"/>
      <c r="R510" s="207"/>
      <c r="S510" s="207"/>
      <c r="T510" s="207"/>
      <c r="U510" s="207"/>
      <c r="V510" s="207"/>
      <c r="W510" s="208"/>
      <c r="X510" s="208"/>
      <c r="Y510" s="208"/>
      <c r="Z510" s="208"/>
      <c r="AA510" s="208"/>
      <c r="AB510" s="208"/>
      <c r="AC510" s="208"/>
      <c r="AD510" s="208"/>
      <c r="AE510" s="208"/>
      <c r="AF510" s="208"/>
      <c r="AG510" s="208"/>
      <c r="AH510" s="208"/>
      <c r="AI510" s="100"/>
      <c r="AJ510" s="319"/>
      <c r="AK510" s="319"/>
      <c r="AL510" s="319"/>
      <c r="AM510" s="319"/>
      <c r="AN510" s="319"/>
      <c r="AO510" s="319"/>
      <c r="AP510" s="319"/>
      <c r="AQ510" s="319"/>
      <c r="AR510" s="319"/>
      <c r="AS510" s="319"/>
      <c r="AT510" s="319"/>
      <c r="AU510" s="319"/>
      <c r="AV510" s="319"/>
      <c r="AW510" s="319"/>
      <c r="AX510" s="319"/>
      <c r="AY510" s="319"/>
      <c r="AZ510" s="319"/>
      <c r="BA510" s="319"/>
      <c r="BB510" s="319"/>
      <c r="BC510" s="319"/>
      <c r="BD510" s="319"/>
      <c r="BE510" s="319"/>
      <c r="BF510" s="319"/>
      <c r="BG510" s="319"/>
      <c r="BH510" s="319"/>
      <c r="BI510" s="319"/>
      <c r="BJ510" s="319"/>
      <c r="BK510" s="319"/>
      <c r="BL510" s="319"/>
      <c r="BM510" s="319"/>
      <c r="BN510" s="319"/>
      <c r="BO510" s="319"/>
      <c r="BP510" s="319"/>
      <c r="BQ510" s="319"/>
      <c r="BR510" s="319"/>
    </row>
    <row r="511" ht="14.25" customHeight="1">
      <c r="A511" s="195"/>
      <c r="B511" s="100"/>
      <c r="C511" s="100"/>
      <c r="D511" s="100"/>
      <c r="E511" s="100"/>
      <c r="F511" s="206"/>
      <c r="G511" s="206"/>
      <c r="H511" s="207"/>
      <c r="I511" s="207"/>
      <c r="J511" s="207"/>
      <c r="K511" s="207"/>
      <c r="L511" s="207"/>
      <c r="M511" s="207"/>
      <c r="N511" s="207"/>
      <c r="O511" s="207"/>
      <c r="P511" s="207"/>
      <c r="Q511" s="207"/>
      <c r="R511" s="207"/>
      <c r="S511" s="207"/>
      <c r="T511" s="207"/>
      <c r="U511" s="207"/>
      <c r="V511" s="207"/>
      <c r="W511" s="208"/>
      <c r="X511" s="208"/>
      <c r="Y511" s="208"/>
      <c r="Z511" s="208"/>
      <c r="AA511" s="208"/>
      <c r="AB511" s="208"/>
      <c r="AC511" s="208"/>
      <c r="AD511" s="208"/>
      <c r="AE511" s="208"/>
      <c r="AF511" s="208"/>
      <c r="AG511" s="208"/>
      <c r="AH511" s="208"/>
      <c r="AI511" s="100"/>
      <c r="AJ511" s="319"/>
      <c r="AK511" s="319"/>
      <c r="AL511" s="319"/>
      <c r="AM511" s="319"/>
      <c r="AN511" s="319"/>
      <c r="AO511" s="319"/>
      <c r="AP511" s="319"/>
      <c r="AQ511" s="319"/>
      <c r="AR511" s="319"/>
      <c r="AS511" s="319"/>
      <c r="AT511" s="319"/>
      <c r="AU511" s="319"/>
      <c r="AV511" s="319"/>
      <c r="AW511" s="319"/>
      <c r="AX511" s="319"/>
      <c r="AY511" s="319"/>
      <c r="AZ511" s="319"/>
      <c r="BA511" s="319"/>
      <c r="BB511" s="319"/>
      <c r="BC511" s="319"/>
      <c r="BD511" s="319"/>
      <c r="BE511" s="319"/>
      <c r="BF511" s="319"/>
      <c r="BG511" s="319"/>
      <c r="BH511" s="319"/>
      <c r="BI511" s="319"/>
      <c r="BJ511" s="319"/>
      <c r="BK511" s="319"/>
      <c r="BL511" s="319"/>
      <c r="BM511" s="319"/>
      <c r="BN511" s="319"/>
      <c r="BO511" s="319"/>
      <c r="BP511" s="319"/>
      <c r="BQ511" s="319"/>
      <c r="BR511" s="319"/>
    </row>
    <row r="512" ht="14.25" customHeight="1">
      <c r="A512" s="195"/>
      <c r="B512" s="100"/>
      <c r="C512" s="100"/>
      <c r="D512" s="100"/>
      <c r="E512" s="100"/>
      <c r="F512" s="206"/>
      <c r="G512" s="206"/>
      <c r="H512" s="207"/>
      <c r="I512" s="207"/>
      <c r="J512" s="207"/>
      <c r="K512" s="207"/>
      <c r="L512" s="207"/>
      <c r="M512" s="207"/>
      <c r="N512" s="207"/>
      <c r="O512" s="207"/>
      <c r="P512" s="207"/>
      <c r="Q512" s="207"/>
      <c r="R512" s="207"/>
      <c r="S512" s="207"/>
      <c r="T512" s="207"/>
      <c r="U512" s="207"/>
      <c r="V512" s="207"/>
      <c r="W512" s="208"/>
      <c r="X512" s="208"/>
      <c r="Y512" s="208"/>
      <c r="Z512" s="208"/>
      <c r="AA512" s="208"/>
      <c r="AB512" s="208"/>
      <c r="AC512" s="208"/>
      <c r="AD512" s="208"/>
      <c r="AE512" s="208"/>
      <c r="AF512" s="208"/>
      <c r="AG512" s="208"/>
      <c r="AH512" s="208"/>
      <c r="AI512" s="100"/>
      <c r="AJ512" s="319"/>
      <c r="AK512" s="319"/>
      <c r="AL512" s="319"/>
      <c r="AM512" s="319"/>
      <c r="AN512" s="319"/>
      <c r="AO512" s="319"/>
      <c r="AP512" s="319"/>
      <c r="AQ512" s="319"/>
      <c r="AR512" s="319"/>
      <c r="AS512" s="319"/>
      <c r="AT512" s="319"/>
      <c r="AU512" s="319"/>
      <c r="AV512" s="319"/>
      <c r="AW512" s="319"/>
      <c r="AX512" s="319"/>
      <c r="AY512" s="319"/>
      <c r="AZ512" s="319"/>
      <c r="BA512" s="319"/>
      <c r="BB512" s="319"/>
      <c r="BC512" s="319"/>
      <c r="BD512" s="319"/>
      <c r="BE512" s="319"/>
      <c r="BF512" s="319"/>
      <c r="BG512" s="319"/>
      <c r="BH512" s="319"/>
      <c r="BI512" s="319"/>
      <c r="BJ512" s="319"/>
      <c r="BK512" s="319"/>
      <c r="BL512" s="319"/>
      <c r="BM512" s="319"/>
      <c r="BN512" s="319"/>
      <c r="BO512" s="319"/>
      <c r="BP512" s="319"/>
      <c r="BQ512" s="319"/>
      <c r="BR512" s="319"/>
    </row>
    <row r="513" ht="14.25" customHeight="1">
      <c r="A513" s="195"/>
      <c r="B513" s="100"/>
      <c r="C513" s="100"/>
      <c r="D513" s="100"/>
      <c r="E513" s="100"/>
      <c r="F513" s="206"/>
      <c r="G513" s="206"/>
      <c r="H513" s="207"/>
      <c r="I513" s="207"/>
      <c r="J513" s="207"/>
      <c r="K513" s="207"/>
      <c r="L513" s="207"/>
      <c r="M513" s="207"/>
      <c r="N513" s="207"/>
      <c r="O513" s="207"/>
      <c r="P513" s="207"/>
      <c r="Q513" s="207"/>
      <c r="R513" s="207"/>
      <c r="S513" s="207"/>
      <c r="T513" s="207"/>
      <c r="U513" s="207"/>
      <c r="V513" s="207"/>
      <c r="W513" s="208"/>
      <c r="X513" s="208"/>
      <c r="Y513" s="208"/>
      <c r="Z513" s="208"/>
      <c r="AA513" s="208"/>
      <c r="AB513" s="208"/>
      <c r="AC513" s="208"/>
      <c r="AD513" s="208"/>
      <c r="AE513" s="208"/>
      <c r="AF513" s="208"/>
      <c r="AG513" s="208"/>
      <c r="AH513" s="208"/>
      <c r="AI513" s="100"/>
      <c r="AJ513" s="319"/>
      <c r="AK513" s="319"/>
      <c r="AL513" s="319"/>
      <c r="AM513" s="319"/>
      <c r="AN513" s="319"/>
      <c r="AO513" s="319"/>
      <c r="AP513" s="319"/>
      <c r="AQ513" s="319"/>
      <c r="AR513" s="319"/>
      <c r="AS513" s="319"/>
      <c r="AT513" s="319"/>
      <c r="AU513" s="319"/>
      <c r="AV513" s="319"/>
      <c r="AW513" s="319"/>
      <c r="AX513" s="319"/>
      <c r="AY513" s="319"/>
      <c r="AZ513" s="319"/>
      <c r="BA513" s="319"/>
      <c r="BB513" s="319"/>
      <c r="BC513" s="319"/>
      <c r="BD513" s="319"/>
      <c r="BE513" s="319"/>
      <c r="BF513" s="319"/>
      <c r="BG513" s="319"/>
      <c r="BH513" s="319"/>
      <c r="BI513" s="319"/>
      <c r="BJ513" s="319"/>
      <c r="BK513" s="319"/>
      <c r="BL513" s="319"/>
      <c r="BM513" s="319"/>
      <c r="BN513" s="319"/>
      <c r="BO513" s="319"/>
      <c r="BP513" s="319"/>
      <c r="BQ513" s="319"/>
      <c r="BR513" s="319"/>
    </row>
    <row r="514" ht="14.25" customHeight="1">
      <c r="A514" s="195"/>
      <c r="B514" s="100"/>
      <c r="C514" s="100"/>
      <c r="D514" s="100"/>
      <c r="E514" s="100"/>
      <c r="F514" s="206"/>
      <c r="G514" s="206"/>
      <c r="H514" s="207"/>
      <c r="I514" s="207"/>
      <c r="J514" s="207"/>
      <c r="K514" s="207"/>
      <c r="L514" s="207"/>
      <c r="M514" s="207"/>
      <c r="N514" s="207"/>
      <c r="O514" s="207"/>
      <c r="P514" s="207"/>
      <c r="Q514" s="207"/>
      <c r="R514" s="207"/>
      <c r="S514" s="207"/>
      <c r="T514" s="207"/>
      <c r="U514" s="207"/>
      <c r="V514" s="207"/>
      <c r="W514" s="208"/>
      <c r="X514" s="208"/>
      <c r="Y514" s="208"/>
      <c r="Z514" s="208"/>
      <c r="AA514" s="208"/>
      <c r="AB514" s="208"/>
      <c r="AC514" s="208"/>
      <c r="AD514" s="208"/>
      <c r="AE514" s="208"/>
      <c r="AF514" s="208"/>
      <c r="AG514" s="208"/>
      <c r="AH514" s="208"/>
      <c r="AI514" s="100"/>
      <c r="AJ514" s="319"/>
      <c r="AK514" s="319"/>
      <c r="AL514" s="319"/>
      <c r="AM514" s="319"/>
      <c r="AN514" s="319"/>
      <c r="AO514" s="319"/>
      <c r="AP514" s="319"/>
      <c r="AQ514" s="319"/>
      <c r="AR514" s="319"/>
      <c r="AS514" s="319"/>
      <c r="AT514" s="319"/>
      <c r="AU514" s="319"/>
      <c r="AV514" s="319"/>
      <c r="AW514" s="319"/>
      <c r="AX514" s="319"/>
      <c r="AY514" s="319"/>
      <c r="AZ514" s="319"/>
      <c r="BA514" s="319"/>
      <c r="BB514" s="319"/>
      <c r="BC514" s="319"/>
      <c r="BD514" s="319"/>
      <c r="BE514" s="319"/>
      <c r="BF514" s="319"/>
      <c r="BG514" s="319"/>
      <c r="BH514" s="319"/>
      <c r="BI514" s="319"/>
      <c r="BJ514" s="319"/>
      <c r="BK514" s="319"/>
      <c r="BL514" s="319"/>
      <c r="BM514" s="319"/>
      <c r="BN514" s="319"/>
      <c r="BO514" s="319"/>
      <c r="BP514" s="319"/>
      <c r="BQ514" s="319"/>
      <c r="BR514" s="319"/>
    </row>
    <row r="515" ht="14.25" customHeight="1">
      <c r="A515" s="195"/>
      <c r="B515" s="100"/>
      <c r="C515" s="100"/>
      <c r="D515" s="100"/>
      <c r="E515" s="100"/>
      <c r="F515" s="206"/>
      <c r="G515" s="206"/>
      <c r="H515" s="207"/>
      <c r="I515" s="207"/>
      <c r="J515" s="207"/>
      <c r="K515" s="207"/>
      <c r="L515" s="207"/>
      <c r="M515" s="207"/>
      <c r="N515" s="207"/>
      <c r="O515" s="207"/>
      <c r="P515" s="207"/>
      <c r="Q515" s="207"/>
      <c r="R515" s="207"/>
      <c r="S515" s="207"/>
      <c r="T515" s="207"/>
      <c r="U515" s="207"/>
      <c r="V515" s="207"/>
      <c r="W515" s="208"/>
      <c r="X515" s="208"/>
      <c r="Y515" s="208"/>
      <c r="Z515" s="208"/>
      <c r="AA515" s="208"/>
      <c r="AB515" s="208"/>
      <c r="AC515" s="208"/>
      <c r="AD515" s="208"/>
      <c r="AE515" s="208"/>
      <c r="AF515" s="208"/>
      <c r="AG515" s="208"/>
      <c r="AH515" s="208"/>
      <c r="AI515" s="100"/>
      <c r="AJ515" s="319"/>
      <c r="AK515" s="319"/>
      <c r="AL515" s="319"/>
      <c r="AM515" s="319"/>
      <c r="AN515" s="319"/>
      <c r="AO515" s="319"/>
      <c r="AP515" s="319"/>
      <c r="AQ515" s="319"/>
      <c r="AR515" s="319"/>
      <c r="AS515" s="319"/>
      <c r="AT515" s="319"/>
      <c r="AU515" s="319"/>
      <c r="AV515" s="319"/>
      <c r="AW515" s="319"/>
      <c r="AX515" s="319"/>
      <c r="AY515" s="319"/>
      <c r="AZ515" s="319"/>
      <c r="BA515" s="319"/>
      <c r="BB515" s="319"/>
      <c r="BC515" s="319"/>
      <c r="BD515" s="319"/>
      <c r="BE515" s="319"/>
      <c r="BF515" s="319"/>
      <c r="BG515" s="319"/>
      <c r="BH515" s="319"/>
      <c r="BI515" s="319"/>
      <c r="BJ515" s="319"/>
      <c r="BK515" s="319"/>
      <c r="BL515" s="319"/>
      <c r="BM515" s="319"/>
      <c r="BN515" s="319"/>
      <c r="BO515" s="319"/>
      <c r="BP515" s="319"/>
      <c r="BQ515" s="319"/>
      <c r="BR515" s="319"/>
    </row>
    <row r="516" ht="14.25" customHeight="1">
      <c r="A516" s="195"/>
      <c r="B516" s="100"/>
      <c r="C516" s="100"/>
      <c r="D516" s="100"/>
      <c r="E516" s="100"/>
      <c r="F516" s="206"/>
      <c r="G516" s="206"/>
      <c r="H516" s="207"/>
      <c r="I516" s="207"/>
      <c r="J516" s="207"/>
      <c r="K516" s="207"/>
      <c r="L516" s="207"/>
      <c r="M516" s="207"/>
      <c r="N516" s="207"/>
      <c r="O516" s="207"/>
      <c r="P516" s="207"/>
      <c r="Q516" s="207"/>
      <c r="R516" s="207"/>
      <c r="S516" s="207"/>
      <c r="T516" s="207"/>
      <c r="U516" s="207"/>
      <c r="V516" s="207"/>
      <c r="W516" s="208"/>
      <c r="X516" s="208"/>
      <c r="Y516" s="208"/>
      <c r="Z516" s="208"/>
      <c r="AA516" s="208"/>
      <c r="AB516" s="208"/>
      <c r="AC516" s="208"/>
      <c r="AD516" s="208"/>
      <c r="AE516" s="208"/>
      <c r="AF516" s="208"/>
      <c r="AG516" s="208"/>
      <c r="AH516" s="208"/>
      <c r="AI516" s="100"/>
      <c r="AJ516" s="319"/>
      <c r="AK516" s="319"/>
      <c r="AL516" s="319"/>
      <c r="AM516" s="319"/>
      <c r="AN516" s="319"/>
      <c r="AO516" s="319"/>
      <c r="AP516" s="319"/>
      <c r="AQ516" s="319"/>
      <c r="AR516" s="319"/>
      <c r="AS516" s="319"/>
      <c r="AT516" s="319"/>
      <c r="AU516" s="319"/>
      <c r="AV516" s="319"/>
      <c r="AW516" s="319"/>
      <c r="AX516" s="319"/>
      <c r="AY516" s="319"/>
      <c r="AZ516" s="319"/>
      <c r="BA516" s="319"/>
      <c r="BB516" s="319"/>
      <c r="BC516" s="319"/>
      <c r="BD516" s="319"/>
      <c r="BE516" s="319"/>
      <c r="BF516" s="319"/>
      <c r="BG516" s="319"/>
      <c r="BH516" s="319"/>
      <c r="BI516" s="319"/>
      <c r="BJ516" s="319"/>
      <c r="BK516" s="319"/>
      <c r="BL516" s="319"/>
      <c r="BM516" s="319"/>
      <c r="BN516" s="319"/>
      <c r="BO516" s="319"/>
      <c r="BP516" s="319"/>
      <c r="BQ516" s="319"/>
      <c r="BR516" s="319"/>
    </row>
    <row r="517" ht="14.25" customHeight="1">
      <c r="A517" s="195"/>
      <c r="B517" s="100"/>
      <c r="C517" s="100"/>
      <c r="D517" s="100"/>
      <c r="E517" s="100"/>
      <c r="F517" s="206"/>
      <c r="G517" s="206"/>
      <c r="H517" s="207"/>
      <c r="I517" s="207"/>
      <c r="J517" s="207"/>
      <c r="K517" s="207"/>
      <c r="L517" s="207"/>
      <c r="M517" s="207"/>
      <c r="N517" s="207"/>
      <c r="O517" s="207"/>
      <c r="P517" s="207"/>
      <c r="Q517" s="207"/>
      <c r="R517" s="207"/>
      <c r="S517" s="207"/>
      <c r="T517" s="207"/>
      <c r="U517" s="207"/>
      <c r="V517" s="207"/>
      <c r="W517" s="208"/>
      <c r="X517" s="208"/>
      <c r="Y517" s="208"/>
      <c r="Z517" s="208"/>
      <c r="AA517" s="208"/>
      <c r="AB517" s="208"/>
      <c r="AC517" s="208"/>
      <c r="AD517" s="208"/>
      <c r="AE517" s="208"/>
      <c r="AF517" s="208"/>
      <c r="AG517" s="208"/>
      <c r="AH517" s="208"/>
      <c r="AI517" s="100"/>
      <c r="AJ517" s="319"/>
      <c r="AK517" s="319"/>
      <c r="AL517" s="319"/>
      <c r="AM517" s="319"/>
      <c r="AN517" s="319"/>
      <c r="AO517" s="319"/>
      <c r="AP517" s="319"/>
      <c r="AQ517" s="319"/>
      <c r="AR517" s="319"/>
      <c r="AS517" s="319"/>
      <c r="AT517" s="319"/>
      <c r="AU517" s="319"/>
      <c r="AV517" s="319"/>
      <c r="AW517" s="319"/>
      <c r="AX517" s="319"/>
      <c r="AY517" s="319"/>
      <c r="AZ517" s="319"/>
      <c r="BA517" s="319"/>
      <c r="BB517" s="319"/>
      <c r="BC517" s="319"/>
      <c r="BD517" s="319"/>
      <c r="BE517" s="319"/>
      <c r="BF517" s="319"/>
      <c r="BG517" s="319"/>
      <c r="BH517" s="319"/>
      <c r="BI517" s="319"/>
      <c r="BJ517" s="319"/>
      <c r="BK517" s="319"/>
      <c r="BL517" s="319"/>
      <c r="BM517" s="319"/>
      <c r="BN517" s="319"/>
      <c r="BO517" s="319"/>
      <c r="BP517" s="319"/>
      <c r="BQ517" s="319"/>
      <c r="BR517" s="319"/>
    </row>
    <row r="518" ht="14.25" customHeight="1">
      <c r="A518" s="195"/>
      <c r="B518" s="100"/>
      <c r="C518" s="100"/>
      <c r="D518" s="100"/>
      <c r="E518" s="100"/>
      <c r="F518" s="206"/>
      <c r="G518" s="206"/>
      <c r="H518" s="207"/>
      <c r="I518" s="207"/>
      <c r="J518" s="207"/>
      <c r="K518" s="207"/>
      <c r="L518" s="207"/>
      <c r="M518" s="207"/>
      <c r="N518" s="207"/>
      <c r="O518" s="207"/>
      <c r="P518" s="207"/>
      <c r="Q518" s="207"/>
      <c r="R518" s="207"/>
      <c r="S518" s="207"/>
      <c r="T518" s="207"/>
      <c r="U518" s="207"/>
      <c r="V518" s="207"/>
      <c r="W518" s="208"/>
      <c r="X518" s="208"/>
      <c r="Y518" s="208"/>
      <c r="Z518" s="208"/>
      <c r="AA518" s="208"/>
      <c r="AB518" s="208"/>
      <c r="AC518" s="208"/>
      <c r="AD518" s="208"/>
      <c r="AE518" s="208"/>
      <c r="AF518" s="208"/>
      <c r="AG518" s="208"/>
      <c r="AH518" s="208"/>
      <c r="AI518" s="100"/>
      <c r="AJ518" s="319"/>
      <c r="AK518" s="319"/>
      <c r="AL518" s="319"/>
      <c r="AM518" s="319"/>
      <c r="AN518" s="319"/>
      <c r="AO518" s="319"/>
      <c r="AP518" s="319"/>
      <c r="AQ518" s="319"/>
      <c r="AR518" s="319"/>
      <c r="AS518" s="319"/>
      <c r="AT518" s="319"/>
      <c r="AU518" s="319"/>
      <c r="AV518" s="319"/>
      <c r="AW518" s="319"/>
      <c r="AX518" s="319"/>
      <c r="AY518" s="319"/>
      <c r="AZ518" s="319"/>
      <c r="BA518" s="319"/>
      <c r="BB518" s="319"/>
      <c r="BC518" s="319"/>
      <c r="BD518" s="319"/>
      <c r="BE518" s="319"/>
      <c r="BF518" s="319"/>
      <c r="BG518" s="319"/>
      <c r="BH518" s="319"/>
      <c r="BI518" s="319"/>
      <c r="BJ518" s="319"/>
      <c r="BK518" s="319"/>
      <c r="BL518" s="319"/>
      <c r="BM518" s="319"/>
      <c r="BN518" s="319"/>
      <c r="BO518" s="319"/>
      <c r="BP518" s="319"/>
      <c r="BQ518" s="319"/>
      <c r="BR518" s="319"/>
    </row>
    <row r="519" ht="14.25" customHeight="1">
      <c r="A519" s="195"/>
      <c r="B519" s="100"/>
      <c r="C519" s="100"/>
      <c r="D519" s="100"/>
      <c r="E519" s="100"/>
      <c r="F519" s="206"/>
      <c r="G519" s="206"/>
      <c r="H519" s="207"/>
      <c r="I519" s="207"/>
      <c r="J519" s="207"/>
      <c r="K519" s="207"/>
      <c r="L519" s="207"/>
      <c r="M519" s="207"/>
      <c r="N519" s="207"/>
      <c r="O519" s="207"/>
      <c r="P519" s="207"/>
      <c r="Q519" s="207"/>
      <c r="R519" s="207"/>
      <c r="S519" s="207"/>
      <c r="T519" s="207"/>
      <c r="U519" s="207"/>
      <c r="V519" s="207"/>
      <c r="W519" s="208"/>
      <c r="X519" s="208"/>
      <c r="Y519" s="208"/>
      <c r="Z519" s="208"/>
      <c r="AA519" s="208"/>
      <c r="AB519" s="208"/>
      <c r="AC519" s="208"/>
      <c r="AD519" s="208"/>
      <c r="AE519" s="208"/>
      <c r="AF519" s="208"/>
      <c r="AG519" s="208"/>
      <c r="AH519" s="208"/>
      <c r="AI519" s="100"/>
      <c r="AJ519" s="319"/>
      <c r="AK519" s="319"/>
      <c r="AL519" s="319"/>
      <c r="AM519" s="319"/>
      <c r="AN519" s="319"/>
      <c r="AO519" s="319"/>
      <c r="AP519" s="319"/>
      <c r="AQ519" s="319"/>
      <c r="AR519" s="319"/>
      <c r="AS519" s="319"/>
      <c r="AT519" s="319"/>
      <c r="AU519" s="319"/>
      <c r="AV519" s="319"/>
      <c r="AW519" s="319"/>
      <c r="AX519" s="319"/>
      <c r="AY519" s="319"/>
      <c r="AZ519" s="319"/>
      <c r="BA519" s="319"/>
      <c r="BB519" s="319"/>
      <c r="BC519" s="319"/>
      <c r="BD519" s="319"/>
      <c r="BE519" s="319"/>
      <c r="BF519" s="319"/>
      <c r="BG519" s="319"/>
      <c r="BH519" s="319"/>
      <c r="BI519" s="319"/>
      <c r="BJ519" s="319"/>
      <c r="BK519" s="319"/>
      <c r="BL519" s="319"/>
      <c r="BM519" s="319"/>
      <c r="BN519" s="319"/>
      <c r="BO519" s="319"/>
      <c r="BP519" s="319"/>
      <c r="BQ519" s="319"/>
      <c r="BR519" s="319"/>
    </row>
    <row r="520" ht="14.25" customHeight="1">
      <c r="A520" s="195"/>
      <c r="B520" s="100"/>
      <c r="C520" s="100"/>
      <c r="D520" s="100"/>
      <c r="E520" s="100"/>
      <c r="F520" s="206"/>
      <c r="G520" s="206"/>
      <c r="H520" s="207"/>
      <c r="I520" s="207"/>
      <c r="J520" s="207"/>
      <c r="K520" s="207"/>
      <c r="L520" s="207"/>
      <c r="M520" s="207"/>
      <c r="N520" s="207"/>
      <c r="O520" s="207"/>
      <c r="P520" s="207"/>
      <c r="Q520" s="207"/>
      <c r="R520" s="207"/>
      <c r="S520" s="207"/>
      <c r="T520" s="207"/>
      <c r="U520" s="207"/>
      <c r="V520" s="207"/>
      <c r="W520" s="208"/>
      <c r="X520" s="208"/>
      <c r="Y520" s="208"/>
      <c r="Z520" s="208"/>
      <c r="AA520" s="208"/>
      <c r="AB520" s="208"/>
      <c r="AC520" s="208"/>
      <c r="AD520" s="208"/>
      <c r="AE520" s="208"/>
      <c r="AF520" s="208"/>
      <c r="AG520" s="208"/>
      <c r="AH520" s="208"/>
      <c r="AI520" s="100"/>
      <c r="AJ520" s="319"/>
      <c r="AK520" s="319"/>
      <c r="AL520" s="319"/>
      <c r="AM520" s="319"/>
      <c r="AN520" s="319"/>
      <c r="AO520" s="319"/>
      <c r="AP520" s="319"/>
      <c r="AQ520" s="319"/>
      <c r="AR520" s="319"/>
      <c r="AS520" s="319"/>
      <c r="AT520" s="319"/>
      <c r="AU520" s="319"/>
      <c r="AV520" s="319"/>
      <c r="AW520" s="319"/>
      <c r="AX520" s="319"/>
      <c r="AY520" s="319"/>
      <c r="AZ520" s="319"/>
      <c r="BA520" s="319"/>
      <c r="BB520" s="319"/>
      <c r="BC520" s="319"/>
      <c r="BD520" s="319"/>
      <c r="BE520" s="319"/>
      <c r="BF520" s="319"/>
      <c r="BG520" s="319"/>
      <c r="BH520" s="319"/>
      <c r="BI520" s="319"/>
      <c r="BJ520" s="319"/>
      <c r="BK520" s="319"/>
      <c r="BL520" s="319"/>
      <c r="BM520" s="319"/>
      <c r="BN520" s="319"/>
      <c r="BO520" s="319"/>
      <c r="BP520" s="319"/>
      <c r="BQ520" s="319"/>
      <c r="BR520" s="319"/>
    </row>
    <row r="521" ht="14.25" customHeight="1">
      <c r="A521" s="195"/>
      <c r="B521" s="100"/>
      <c r="C521" s="100"/>
      <c r="D521" s="100"/>
      <c r="E521" s="100"/>
      <c r="F521" s="206"/>
      <c r="G521" s="206"/>
      <c r="H521" s="207"/>
      <c r="I521" s="207"/>
      <c r="J521" s="207"/>
      <c r="K521" s="207"/>
      <c r="L521" s="207"/>
      <c r="M521" s="207"/>
      <c r="N521" s="207"/>
      <c r="O521" s="207"/>
      <c r="P521" s="207"/>
      <c r="Q521" s="207"/>
      <c r="R521" s="207"/>
      <c r="S521" s="207"/>
      <c r="T521" s="207"/>
      <c r="U521" s="207"/>
      <c r="V521" s="207"/>
      <c r="W521" s="208"/>
      <c r="X521" s="208"/>
      <c r="Y521" s="208"/>
      <c r="Z521" s="208"/>
      <c r="AA521" s="208"/>
      <c r="AB521" s="208"/>
      <c r="AC521" s="208"/>
      <c r="AD521" s="208"/>
      <c r="AE521" s="208"/>
      <c r="AF521" s="208"/>
      <c r="AG521" s="208"/>
      <c r="AH521" s="208"/>
      <c r="AI521" s="100"/>
      <c r="AJ521" s="319"/>
      <c r="AK521" s="319"/>
      <c r="AL521" s="319"/>
      <c r="AM521" s="319"/>
      <c r="AN521" s="319"/>
      <c r="AO521" s="319"/>
      <c r="AP521" s="319"/>
      <c r="AQ521" s="319"/>
      <c r="AR521" s="319"/>
      <c r="AS521" s="319"/>
      <c r="AT521" s="319"/>
      <c r="AU521" s="319"/>
      <c r="AV521" s="319"/>
      <c r="AW521" s="319"/>
      <c r="AX521" s="319"/>
      <c r="AY521" s="319"/>
      <c r="AZ521" s="319"/>
      <c r="BA521" s="319"/>
      <c r="BB521" s="319"/>
      <c r="BC521" s="319"/>
      <c r="BD521" s="319"/>
      <c r="BE521" s="319"/>
      <c r="BF521" s="319"/>
      <c r="BG521" s="319"/>
      <c r="BH521" s="319"/>
      <c r="BI521" s="319"/>
      <c r="BJ521" s="319"/>
      <c r="BK521" s="319"/>
      <c r="BL521" s="319"/>
      <c r="BM521" s="319"/>
      <c r="BN521" s="319"/>
      <c r="BO521" s="319"/>
      <c r="BP521" s="319"/>
      <c r="BQ521" s="319"/>
      <c r="BR521" s="319"/>
    </row>
    <row r="522" ht="14.25" customHeight="1">
      <c r="A522" s="195"/>
      <c r="B522" s="100"/>
      <c r="C522" s="100"/>
      <c r="D522" s="100"/>
      <c r="E522" s="100"/>
      <c r="F522" s="206"/>
      <c r="G522" s="206"/>
      <c r="H522" s="207"/>
      <c r="I522" s="207"/>
      <c r="J522" s="207"/>
      <c r="K522" s="207"/>
      <c r="L522" s="207"/>
      <c r="M522" s="207"/>
      <c r="N522" s="207"/>
      <c r="O522" s="207"/>
      <c r="P522" s="207"/>
      <c r="Q522" s="207"/>
      <c r="R522" s="207"/>
      <c r="S522" s="207"/>
      <c r="T522" s="207"/>
      <c r="U522" s="207"/>
      <c r="V522" s="207"/>
      <c r="W522" s="208"/>
      <c r="X522" s="208"/>
      <c r="Y522" s="208"/>
      <c r="Z522" s="208"/>
      <c r="AA522" s="208"/>
      <c r="AB522" s="208"/>
      <c r="AC522" s="208"/>
      <c r="AD522" s="208"/>
      <c r="AE522" s="208"/>
      <c r="AF522" s="208"/>
      <c r="AG522" s="208"/>
      <c r="AH522" s="208"/>
      <c r="AI522" s="100"/>
      <c r="AJ522" s="319"/>
      <c r="AK522" s="319"/>
      <c r="AL522" s="319"/>
      <c r="AM522" s="319"/>
      <c r="AN522" s="319"/>
      <c r="AO522" s="319"/>
      <c r="AP522" s="319"/>
      <c r="AQ522" s="319"/>
      <c r="AR522" s="319"/>
      <c r="AS522" s="319"/>
      <c r="AT522" s="319"/>
      <c r="AU522" s="319"/>
      <c r="AV522" s="319"/>
      <c r="AW522" s="319"/>
      <c r="AX522" s="319"/>
      <c r="AY522" s="319"/>
      <c r="AZ522" s="319"/>
      <c r="BA522" s="319"/>
      <c r="BB522" s="319"/>
      <c r="BC522" s="319"/>
      <c r="BD522" s="319"/>
      <c r="BE522" s="319"/>
      <c r="BF522" s="319"/>
      <c r="BG522" s="319"/>
      <c r="BH522" s="319"/>
      <c r="BI522" s="319"/>
      <c r="BJ522" s="319"/>
      <c r="BK522" s="319"/>
      <c r="BL522" s="319"/>
      <c r="BM522" s="319"/>
      <c r="BN522" s="319"/>
      <c r="BO522" s="319"/>
      <c r="BP522" s="319"/>
      <c r="BQ522" s="319"/>
      <c r="BR522" s="319"/>
    </row>
    <row r="523" ht="14.25" customHeight="1">
      <c r="A523" s="195"/>
      <c r="B523" s="100"/>
      <c r="C523" s="100"/>
      <c r="D523" s="100"/>
      <c r="E523" s="100"/>
      <c r="F523" s="206"/>
      <c r="G523" s="206"/>
      <c r="H523" s="207"/>
      <c r="I523" s="207"/>
      <c r="J523" s="207"/>
      <c r="K523" s="207"/>
      <c r="L523" s="207"/>
      <c r="M523" s="207"/>
      <c r="N523" s="207"/>
      <c r="O523" s="207"/>
      <c r="P523" s="207"/>
      <c r="Q523" s="207"/>
      <c r="R523" s="207"/>
      <c r="S523" s="207"/>
      <c r="T523" s="207"/>
      <c r="U523" s="207"/>
      <c r="V523" s="207"/>
      <c r="W523" s="208"/>
      <c r="X523" s="208"/>
      <c r="Y523" s="208"/>
      <c r="Z523" s="208"/>
      <c r="AA523" s="208"/>
      <c r="AB523" s="208"/>
      <c r="AC523" s="208"/>
      <c r="AD523" s="208"/>
      <c r="AE523" s="208"/>
      <c r="AF523" s="208"/>
      <c r="AG523" s="208"/>
      <c r="AH523" s="208"/>
      <c r="AI523" s="100"/>
      <c r="AJ523" s="319"/>
      <c r="AK523" s="319"/>
      <c r="AL523" s="319"/>
      <c r="AM523" s="319"/>
      <c r="AN523" s="319"/>
      <c r="AO523" s="319"/>
      <c r="AP523" s="319"/>
      <c r="AQ523" s="319"/>
      <c r="AR523" s="319"/>
      <c r="AS523" s="319"/>
      <c r="AT523" s="319"/>
      <c r="AU523" s="319"/>
      <c r="AV523" s="319"/>
      <c r="AW523" s="319"/>
      <c r="AX523" s="319"/>
      <c r="AY523" s="319"/>
      <c r="AZ523" s="319"/>
      <c r="BA523" s="319"/>
      <c r="BB523" s="319"/>
      <c r="BC523" s="319"/>
      <c r="BD523" s="319"/>
      <c r="BE523" s="319"/>
      <c r="BF523" s="319"/>
      <c r="BG523" s="319"/>
      <c r="BH523" s="319"/>
      <c r="BI523" s="319"/>
      <c r="BJ523" s="319"/>
      <c r="BK523" s="319"/>
      <c r="BL523" s="319"/>
      <c r="BM523" s="319"/>
      <c r="BN523" s="319"/>
      <c r="BO523" s="319"/>
      <c r="BP523" s="319"/>
      <c r="BQ523" s="319"/>
      <c r="BR523" s="319"/>
    </row>
    <row r="524" ht="14.25" customHeight="1">
      <c r="A524" s="195"/>
      <c r="B524" s="100"/>
      <c r="C524" s="100"/>
      <c r="D524" s="100"/>
      <c r="E524" s="100"/>
      <c r="F524" s="206"/>
      <c r="G524" s="206"/>
      <c r="H524" s="207"/>
      <c r="I524" s="207"/>
      <c r="J524" s="207"/>
      <c r="K524" s="207"/>
      <c r="L524" s="207"/>
      <c r="M524" s="207"/>
      <c r="N524" s="207"/>
      <c r="O524" s="207"/>
      <c r="P524" s="207"/>
      <c r="Q524" s="207"/>
      <c r="R524" s="207"/>
      <c r="S524" s="207"/>
      <c r="T524" s="207"/>
      <c r="U524" s="207"/>
      <c r="V524" s="207"/>
      <c r="W524" s="208"/>
      <c r="X524" s="208"/>
      <c r="Y524" s="208"/>
      <c r="Z524" s="208"/>
      <c r="AA524" s="208"/>
      <c r="AB524" s="208"/>
      <c r="AC524" s="208"/>
      <c r="AD524" s="208"/>
      <c r="AE524" s="208"/>
      <c r="AF524" s="208"/>
      <c r="AG524" s="208"/>
      <c r="AH524" s="208"/>
      <c r="AI524" s="100"/>
      <c r="AJ524" s="319"/>
      <c r="AK524" s="319"/>
      <c r="AL524" s="319"/>
      <c r="AM524" s="319"/>
      <c r="AN524" s="319"/>
      <c r="AO524" s="319"/>
      <c r="AP524" s="319"/>
      <c r="AQ524" s="319"/>
      <c r="AR524" s="319"/>
      <c r="AS524" s="319"/>
      <c r="AT524" s="319"/>
      <c r="AU524" s="319"/>
      <c r="AV524" s="319"/>
      <c r="AW524" s="319"/>
      <c r="AX524" s="319"/>
      <c r="AY524" s="319"/>
      <c r="AZ524" s="319"/>
      <c r="BA524" s="319"/>
      <c r="BB524" s="319"/>
      <c r="BC524" s="319"/>
      <c r="BD524" s="319"/>
      <c r="BE524" s="319"/>
      <c r="BF524" s="319"/>
      <c r="BG524" s="319"/>
      <c r="BH524" s="319"/>
      <c r="BI524" s="319"/>
      <c r="BJ524" s="319"/>
      <c r="BK524" s="319"/>
      <c r="BL524" s="319"/>
      <c r="BM524" s="319"/>
      <c r="BN524" s="319"/>
      <c r="BO524" s="319"/>
      <c r="BP524" s="319"/>
      <c r="BQ524" s="319"/>
      <c r="BR524" s="319"/>
    </row>
    <row r="525" ht="14.25" customHeight="1">
      <c r="A525" s="195"/>
      <c r="B525" s="100"/>
      <c r="C525" s="100"/>
      <c r="D525" s="100"/>
      <c r="E525" s="100"/>
      <c r="F525" s="206"/>
      <c r="G525" s="206"/>
      <c r="H525" s="207"/>
      <c r="I525" s="207"/>
      <c r="J525" s="207"/>
      <c r="K525" s="207"/>
      <c r="L525" s="207"/>
      <c r="M525" s="207"/>
      <c r="N525" s="207"/>
      <c r="O525" s="207"/>
      <c r="P525" s="207"/>
      <c r="Q525" s="207"/>
      <c r="R525" s="207"/>
      <c r="S525" s="207"/>
      <c r="T525" s="207"/>
      <c r="U525" s="207"/>
      <c r="V525" s="207"/>
      <c r="W525" s="208"/>
      <c r="X525" s="208"/>
      <c r="Y525" s="208"/>
      <c r="Z525" s="208"/>
      <c r="AA525" s="208"/>
      <c r="AB525" s="208"/>
      <c r="AC525" s="208"/>
      <c r="AD525" s="208"/>
      <c r="AE525" s="208"/>
      <c r="AF525" s="208"/>
      <c r="AG525" s="208"/>
      <c r="AH525" s="208"/>
      <c r="AI525" s="100"/>
      <c r="AJ525" s="319"/>
      <c r="AK525" s="319"/>
      <c r="AL525" s="319"/>
      <c r="AM525" s="319"/>
      <c r="AN525" s="319"/>
      <c r="AO525" s="319"/>
      <c r="AP525" s="319"/>
      <c r="AQ525" s="319"/>
      <c r="AR525" s="319"/>
      <c r="AS525" s="319"/>
      <c r="AT525" s="319"/>
      <c r="AU525" s="319"/>
      <c r="AV525" s="319"/>
      <c r="AW525" s="319"/>
      <c r="AX525" s="319"/>
      <c r="AY525" s="319"/>
      <c r="AZ525" s="319"/>
      <c r="BA525" s="319"/>
      <c r="BB525" s="319"/>
      <c r="BC525" s="319"/>
      <c r="BD525" s="319"/>
      <c r="BE525" s="319"/>
      <c r="BF525" s="319"/>
      <c r="BG525" s="319"/>
      <c r="BH525" s="319"/>
      <c r="BI525" s="319"/>
      <c r="BJ525" s="319"/>
      <c r="BK525" s="319"/>
      <c r="BL525" s="319"/>
      <c r="BM525" s="319"/>
      <c r="BN525" s="319"/>
      <c r="BO525" s="319"/>
      <c r="BP525" s="319"/>
      <c r="BQ525" s="319"/>
      <c r="BR525" s="319"/>
    </row>
    <row r="526" ht="14.25" customHeight="1">
      <c r="A526" s="195"/>
      <c r="B526" s="100"/>
      <c r="C526" s="100"/>
      <c r="D526" s="100"/>
      <c r="E526" s="100"/>
      <c r="F526" s="206"/>
      <c r="G526" s="206"/>
      <c r="H526" s="207"/>
      <c r="I526" s="207"/>
      <c r="J526" s="207"/>
      <c r="K526" s="207"/>
      <c r="L526" s="207"/>
      <c r="M526" s="207"/>
      <c r="N526" s="207"/>
      <c r="O526" s="207"/>
      <c r="P526" s="207"/>
      <c r="Q526" s="207"/>
      <c r="R526" s="207"/>
      <c r="S526" s="207"/>
      <c r="T526" s="207"/>
      <c r="U526" s="207"/>
      <c r="V526" s="207"/>
      <c r="W526" s="208"/>
      <c r="X526" s="208"/>
      <c r="Y526" s="208"/>
      <c r="Z526" s="208"/>
      <c r="AA526" s="208"/>
      <c r="AB526" s="208"/>
      <c r="AC526" s="208"/>
      <c r="AD526" s="208"/>
      <c r="AE526" s="208"/>
      <c r="AF526" s="208"/>
      <c r="AG526" s="208"/>
      <c r="AH526" s="208"/>
      <c r="AI526" s="100"/>
      <c r="AJ526" s="319"/>
      <c r="AK526" s="319"/>
      <c r="AL526" s="319"/>
      <c r="AM526" s="319"/>
      <c r="AN526" s="319"/>
      <c r="AO526" s="319"/>
      <c r="AP526" s="319"/>
      <c r="AQ526" s="319"/>
      <c r="AR526" s="319"/>
      <c r="AS526" s="319"/>
      <c r="AT526" s="319"/>
      <c r="AU526" s="319"/>
      <c r="AV526" s="319"/>
      <c r="AW526" s="319"/>
      <c r="AX526" s="319"/>
      <c r="AY526" s="319"/>
      <c r="AZ526" s="319"/>
      <c r="BA526" s="319"/>
      <c r="BB526" s="319"/>
      <c r="BC526" s="319"/>
      <c r="BD526" s="319"/>
      <c r="BE526" s="319"/>
      <c r="BF526" s="319"/>
      <c r="BG526" s="319"/>
      <c r="BH526" s="319"/>
      <c r="BI526" s="319"/>
      <c r="BJ526" s="319"/>
      <c r="BK526" s="319"/>
      <c r="BL526" s="319"/>
      <c r="BM526" s="319"/>
      <c r="BN526" s="319"/>
      <c r="BO526" s="319"/>
      <c r="BP526" s="319"/>
      <c r="BQ526" s="319"/>
      <c r="BR526" s="319"/>
    </row>
    <row r="527" ht="14.25" customHeight="1">
      <c r="A527" s="195"/>
      <c r="B527" s="100"/>
      <c r="C527" s="100"/>
      <c r="D527" s="100"/>
      <c r="E527" s="100"/>
      <c r="F527" s="206"/>
      <c r="G527" s="206"/>
      <c r="H527" s="207"/>
      <c r="I527" s="207"/>
      <c r="J527" s="207"/>
      <c r="K527" s="207"/>
      <c r="L527" s="207"/>
      <c r="M527" s="207"/>
      <c r="N527" s="207"/>
      <c r="O527" s="207"/>
      <c r="P527" s="207"/>
      <c r="Q527" s="207"/>
      <c r="R527" s="207"/>
      <c r="S527" s="207"/>
      <c r="T527" s="207"/>
      <c r="U527" s="207"/>
      <c r="V527" s="207"/>
      <c r="W527" s="208"/>
      <c r="X527" s="208"/>
      <c r="Y527" s="208"/>
      <c r="Z527" s="208"/>
      <c r="AA527" s="208"/>
      <c r="AB527" s="208"/>
      <c r="AC527" s="208"/>
      <c r="AD527" s="208"/>
      <c r="AE527" s="208"/>
      <c r="AF527" s="208"/>
      <c r="AG527" s="208"/>
      <c r="AH527" s="208"/>
      <c r="AI527" s="100"/>
      <c r="AJ527" s="319"/>
      <c r="AK527" s="319"/>
      <c r="AL527" s="319"/>
      <c r="AM527" s="319"/>
      <c r="AN527" s="319"/>
      <c r="AO527" s="319"/>
      <c r="AP527" s="319"/>
      <c r="AQ527" s="319"/>
      <c r="AR527" s="319"/>
      <c r="AS527" s="319"/>
      <c r="AT527" s="319"/>
      <c r="AU527" s="319"/>
      <c r="AV527" s="319"/>
      <c r="AW527" s="319"/>
      <c r="AX527" s="319"/>
      <c r="AY527" s="319"/>
      <c r="AZ527" s="319"/>
      <c r="BA527" s="319"/>
      <c r="BB527" s="319"/>
      <c r="BC527" s="319"/>
      <c r="BD527" s="319"/>
      <c r="BE527" s="319"/>
      <c r="BF527" s="319"/>
      <c r="BG527" s="319"/>
      <c r="BH527" s="319"/>
      <c r="BI527" s="319"/>
      <c r="BJ527" s="319"/>
      <c r="BK527" s="319"/>
      <c r="BL527" s="319"/>
      <c r="BM527" s="319"/>
      <c r="BN527" s="319"/>
      <c r="BO527" s="319"/>
      <c r="BP527" s="319"/>
      <c r="BQ527" s="319"/>
      <c r="BR527" s="319"/>
    </row>
    <row r="528" ht="14.25" customHeight="1">
      <c r="A528" s="195"/>
      <c r="B528" s="100"/>
      <c r="C528" s="100"/>
      <c r="D528" s="100"/>
      <c r="E528" s="100"/>
      <c r="F528" s="206"/>
      <c r="G528" s="206"/>
      <c r="H528" s="207"/>
      <c r="I528" s="207"/>
      <c r="J528" s="207"/>
      <c r="K528" s="207"/>
      <c r="L528" s="207"/>
      <c r="M528" s="207"/>
      <c r="N528" s="207"/>
      <c r="O528" s="207"/>
      <c r="P528" s="207"/>
      <c r="Q528" s="207"/>
      <c r="R528" s="207"/>
      <c r="S528" s="207"/>
      <c r="T528" s="207"/>
      <c r="U528" s="207"/>
      <c r="V528" s="207"/>
      <c r="W528" s="208"/>
      <c r="X528" s="208"/>
      <c r="Y528" s="208"/>
      <c r="Z528" s="208"/>
      <c r="AA528" s="208"/>
      <c r="AB528" s="208"/>
      <c r="AC528" s="208"/>
      <c r="AD528" s="208"/>
      <c r="AE528" s="208"/>
      <c r="AF528" s="208"/>
      <c r="AG528" s="208"/>
      <c r="AH528" s="208"/>
      <c r="AI528" s="100"/>
      <c r="AJ528" s="319"/>
      <c r="AK528" s="319"/>
      <c r="AL528" s="319"/>
      <c r="AM528" s="319"/>
      <c r="AN528" s="319"/>
      <c r="AO528" s="319"/>
      <c r="AP528" s="319"/>
      <c r="AQ528" s="319"/>
      <c r="AR528" s="319"/>
      <c r="AS528" s="319"/>
      <c r="AT528" s="319"/>
      <c r="AU528" s="319"/>
      <c r="AV528" s="319"/>
      <c r="AW528" s="319"/>
      <c r="AX528" s="319"/>
      <c r="AY528" s="319"/>
      <c r="AZ528" s="319"/>
      <c r="BA528" s="319"/>
      <c r="BB528" s="319"/>
      <c r="BC528" s="319"/>
      <c r="BD528" s="319"/>
      <c r="BE528" s="319"/>
      <c r="BF528" s="319"/>
      <c r="BG528" s="319"/>
      <c r="BH528" s="319"/>
      <c r="BI528" s="319"/>
      <c r="BJ528" s="319"/>
      <c r="BK528" s="319"/>
      <c r="BL528" s="319"/>
      <c r="BM528" s="319"/>
      <c r="BN528" s="319"/>
      <c r="BO528" s="319"/>
      <c r="BP528" s="319"/>
      <c r="BQ528" s="319"/>
      <c r="BR528" s="319"/>
    </row>
    <row r="529" ht="14.25" customHeight="1">
      <c r="A529" s="195"/>
      <c r="B529" s="100"/>
      <c r="C529" s="100"/>
      <c r="D529" s="100"/>
      <c r="E529" s="100"/>
      <c r="F529" s="206"/>
      <c r="G529" s="206"/>
      <c r="H529" s="207"/>
      <c r="I529" s="207"/>
      <c r="J529" s="207"/>
      <c r="K529" s="207"/>
      <c r="L529" s="207"/>
      <c r="M529" s="207"/>
      <c r="N529" s="207"/>
      <c r="O529" s="207"/>
      <c r="P529" s="207"/>
      <c r="Q529" s="207"/>
      <c r="R529" s="207"/>
      <c r="S529" s="207"/>
      <c r="T529" s="207"/>
      <c r="U529" s="207"/>
      <c r="V529" s="207"/>
      <c r="W529" s="208"/>
      <c r="X529" s="208"/>
      <c r="Y529" s="208"/>
      <c r="Z529" s="208"/>
      <c r="AA529" s="208"/>
      <c r="AB529" s="208"/>
      <c r="AC529" s="208"/>
      <c r="AD529" s="208"/>
      <c r="AE529" s="208"/>
      <c r="AF529" s="208"/>
      <c r="AG529" s="208"/>
      <c r="AH529" s="208"/>
      <c r="AI529" s="100"/>
      <c r="AJ529" s="319"/>
      <c r="AK529" s="319"/>
      <c r="AL529" s="319"/>
      <c r="AM529" s="319"/>
      <c r="AN529" s="319"/>
      <c r="AO529" s="319"/>
      <c r="AP529" s="319"/>
      <c r="AQ529" s="319"/>
      <c r="AR529" s="319"/>
      <c r="AS529" s="319"/>
      <c r="AT529" s="319"/>
      <c r="AU529" s="319"/>
      <c r="AV529" s="319"/>
      <c r="AW529" s="319"/>
      <c r="AX529" s="319"/>
      <c r="AY529" s="319"/>
      <c r="AZ529" s="319"/>
      <c r="BA529" s="319"/>
      <c r="BB529" s="319"/>
      <c r="BC529" s="319"/>
      <c r="BD529" s="319"/>
      <c r="BE529" s="319"/>
      <c r="BF529" s="319"/>
      <c r="BG529" s="319"/>
      <c r="BH529" s="319"/>
      <c r="BI529" s="319"/>
      <c r="BJ529" s="319"/>
      <c r="BK529" s="319"/>
      <c r="BL529" s="319"/>
      <c r="BM529" s="319"/>
      <c r="BN529" s="319"/>
      <c r="BO529" s="319"/>
      <c r="BP529" s="319"/>
      <c r="BQ529" s="319"/>
      <c r="BR529" s="319"/>
    </row>
    <row r="530" ht="14.25" customHeight="1">
      <c r="A530" s="195"/>
      <c r="B530" s="100"/>
      <c r="C530" s="100"/>
      <c r="D530" s="100"/>
      <c r="E530" s="100"/>
      <c r="F530" s="206"/>
      <c r="G530" s="206"/>
      <c r="H530" s="207"/>
      <c r="I530" s="207"/>
      <c r="J530" s="207"/>
      <c r="K530" s="207"/>
      <c r="L530" s="207"/>
      <c r="M530" s="207"/>
      <c r="N530" s="207"/>
      <c r="O530" s="207"/>
      <c r="P530" s="207"/>
      <c r="Q530" s="207"/>
      <c r="R530" s="207"/>
      <c r="S530" s="207"/>
      <c r="T530" s="207"/>
      <c r="U530" s="207"/>
      <c r="V530" s="207"/>
      <c r="W530" s="208"/>
      <c r="X530" s="208"/>
      <c r="Y530" s="208"/>
      <c r="Z530" s="208"/>
      <c r="AA530" s="208"/>
      <c r="AB530" s="208"/>
      <c r="AC530" s="208"/>
      <c r="AD530" s="208"/>
      <c r="AE530" s="208"/>
      <c r="AF530" s="208"/>
      <c r="AG530" s="208"/>
      <c r="AH530" s="208"/>
      <c r="AI530" s="100"/>
      <c r="AJ530" s="319"/>
      <c r="AK530" s="319"/>
      <c r="AL530" s="319"/>
      <c r="AM530" s="319"/>
      <c r="AN530" s="319"/>
      <c r="AO530" s="319"/>
      <c r="AP530" s="319"/>
      <c r="AQ530" s="319"/>
      <c r="AR530" s="319"/>
      <c r="AS530" s="319"/>
      <c r="AT530" s="319"/>
      <c r="AU530" s="319"/>
      <c r="AV530" s="319"/>
      <c r="AW530" s="319"/>
      <c r="AX530" s="319"/>
      <c r="AY530" s="319"/>
      <c r="AZ530" s="319"/>
      <c r="BA530" s="319"/>
      <c r="BB530" s="319"/>
      <c r="BC530" s="319"/>
      <c r="BD530" s="319"/>
      <c r="BE530" s="319"/>
      <c r="BF530" s="319"/>
      <c r="BG530" s="319"/>
      <c r="BH530" s="319"/>
      <c r="BI530" s="319"/>
      <c r="BJ530" s="319"/>
      <c r="BK530" s="319"/>
      <c r="BL530" s="319"/>
      <c r="BM530" s="319"/>
      <c r="BN530" s="319"/>
      <c r="BO530" s="319"/>
      <c r="BP530" s="319"/>
      <c r="BQ530" s="319"/>
      <c r="BR530" s="319"/>
    </row>
    <row r="531" ht="14.25" customHeight="1">
      <c r="A531" s="195"/>
      <c r="B531" s="100"/>
      <c r="C531" s="100"/>
      <c r="D531" s="100"/>
      <c r="E531" s="100"/>
      <c r="F531" s="206"/>
      <c r="G531" s="206"/>
      <c r="H531" s="207"/>
      <c r="I531" s="207"/>
      <c r="J531" s="207"/>
      <c r="K531" s="207"/>
      <c r="L531" s="207"/>
      <c r="M531" s="207"/>
      <c r="N531" s="207"/>
      <c r="O531" s="207"/>
      <c r="P531" s="207"/>
      <c r="Q531" s="207"/>
      <c r="R531" s="207"/>
      <c r="S531" s="207"/>
      <c r="T531" s="207"/>
      <c r="U531" s="207"/>
      <c r="V531" s="207"/>
      <c r="W531" s="208"/>
      <c r="X531" s="208"/>
      <c r="Y531" s="208"/>
      <c r="Z531" s="208"/>
      <c r="AA531" s="208"/>
      <c r="AB531" s="208"/>
      <c r="AC531" s="208"/>
      <c r="AD531" s="208"/>
      <c r="AE531" s="208"/>
      <c r="AF531" s="208"/>
      <c r="AG531" s="208"/>
      <c r="AH531" s="208"/>
      <c r="AI531" s="100"/>
      <c r="AJ531" s="319"/>
      <c r="AK531" s="319"/>
      <c r="AL531" s="319"/>
      <c r="AM531" s="319"/>
      <c r="AN531" s="319"/>
      <c r="AO531" s="319"/>
      <c r="AP531" s="319"/>
      <c r="AQ531" s="319"/>
      <c r="AR531" s="319"/>
      <c r="AS531" s="319"/>
      <c r="AT531" s="319"/>
      <c r="AU531" s="319"/>
      <c r="AV531" s="319"/>
      <c r="AW531" s="319"/>
      <c r="AX531" s="319"/>
      <c r="AY531" s="319"/>
      <c r="AZ531" s="319"/>
      <c r="BA531" s="319"/>
      <c r="BB531" s="319"/>
      <c r="BC531" s="319"/>
      <c r="BD531" s="319"/>
      <c r="BE531" s="319"/>
      <c r="BF531" s="319"/>
      <c r="BG531" s="319"/>
      <c r="BH531" s="319"/>
      <c r="BI531" s="319"/>
      <c r="BJ531" s="319"/>
      <c r="BK531" s="319"/>
      <c r="BL531" s="319"/>
      <c r="BM531" s="319"/>
      <c r="BN531" s="319"/>
      <c r="BO531" s="319"/>
      <c r="BP531" s="319"/>
      <c r="BQ531" s="319"/>
      <c r="BR531" s="319"/>
    </row>
    <row r="532" ht="14.25" customHeight="1">
      <c r="A532" s="195"/>
      <c r="B532" s="100"/>
      <c r="C532" s="100"/>
      <c r="D532" s="100"/>
      <c r="E532" s="100"/>
      <c r="F532" s="206"/>
      <c r="G532" s="206"/>
      <c r="H532" s="207"/>
      <c r="I532" s="207"/>
      <c r="J532" s="207"/>
      <c r="K532" s="207"/>
      <c r="L532" s="207"/>
      <c r="M532" s="207"/>
      <c r="N532" s="207"/>
      <c r="O532" s="207"/>
      <c r="P532" s="207"/>
      <c r="Q532" s="207"/>
      <c r="R532" s="207"/>
      <c r="S532" s="207"/>
      <c r="T532" s="207"/>
      <c r="U532" s="207"/>
      <c r="V532" s="207"/>
      <c r="W532" s="208"/>
      <c r="X532" s="208"/>
      <c r="Y532" s="208"/>
      <c r="Z532" s="208"/>
      <c r="AA532" s="208"/>
      <c r="AB532" s="208"/>
      <c r="AC532" s="208"/>
      <c r="AD532" s="208"/>
      <c r="AE532" s="208"/>
      <c r="AF532" s="208"/>
      <c r="AG532" s="208"/>
      <c r="AH532" s="208"/>
      <c r="AI532" s="100"/>
      <c r="AJ532" s="319"/>
      <c r="AK532" s="319"/>
      <c r="AL532" s="319"/>
      <c r="AM532" s="319"/>
      <c r="AN532" s="319"/>
      <c r="AO532" s="319"/>
      <c r="AP532" s="319"/>
      <c r="AQ532" s="319"/>
      <c r="AR532" s="319"/>
      <c r="AS532" s="319"/>
      <c r="AT532" s="319"/>
      <c r="AU532" s="319"/>
      <c r="AV532" s="319"/>
      <c r="AW532" s="319"/>
      <c r="AX532" s="319"/>
      <c r="AY532" s="319"/>
      <c r="AZ532" s="319"/>
      <c r="BA532" s="319"/>
      <c r="BB532" s="319"/>
      <c r="BC532" s="319"/>
      <c r="BD532" s="319"/>
      <c r="BE532" s="319"/>
      <c r="BF532" s="319"/>
      <c r="BG532" s="319"/>
      <c r="BH532" s="319"/>
      <c r="BI532" s="319"/>
      <c r="BJ532" s="319"/>
      <c r="BK532" s="319"/>
      <c r="BL532" s="319"/>
      <c r="BM532" s="319"/>
      <c r="BN532" s="319"/>
      <c r="BO532" s="319"/>
      <c r="BP532" s="319"/>
      <c r="BQ532" s="319"/>
      <c r="BR532" s="319"/>
    </row>
    <row r="533" ht="14.25" customHeight="1">
      <c r="A533" s="195"/>
      <c r="B533" s="100"/>
      <c r="C533" s="100"/>
      <c r="D533" s="100"/>
      <c r="E533" s="100"/>
      <c r="F533" s="206"/>
      <c r="G533" s="206"/>
      <c r="H533" s="207"/>
      <c r="I533" s="207"/>
      <c r="J533" s="207"/>
      <c r="K533" s="207"/>
      <c r="L533" s="207"/>
      <c r="M533" s="207"/>
      <c r="N533" s="207"/>
      <c r="O533" s="207"/>
      <c r="P533" s="207"/>
      <c r="Q533" s="207"/>
      <c r="R533" s="207"/>
      <c r="S533" s="207"/>
      <c r="T533" s="207"/>
      <c r="U533" s="207"/>
      <c r="V533" s="207"/>
      <c r="W533" s="208"/>
      <c r="X533" s="208"/>
      <c r="Y533" s="208"/>
      <c r="Z533" s="208"/>
      <c r="AA533" s="208"/>
      <c r="AB533" s="208"/>
      <c r="AC533" s="208"/>
      <c r="AD533" s="208"/>
      <c r="AE533" s="208"/>
      <c r="AF533" s="208"/>
      <c r="AG533" s="208"/>
      <c r="AH533" s="208"/>
      <c r="AI533" s="100"/>
      <c r="AJ533" s="319"/>
      <c r="AK533" s="319"/>
      <c r="AL533" s="319"/>
      <c r="AM533" s="319"/>
      <c r="AN533" s="319"/>
      <c r="AO533" s="319"/>
      <c r="AP533" s="319"/>
      <c r="AQ533" s="319"/>
      <c r="AR533" s="319"/>
      <c r="AS533" s="319"/>
      <c r="AT533" s="319"/>
      <c r="AU533" s="319"/>
      <c r="AV533" s="319"/>
      <c r="AW533" s="319"/>
      <c r="AX533" s="319"/>
      <c r="AY533" s="319"/>
      <c r="AZ533" s="319"/>
      <c r="BA533" s="319"/>
      <c r="BB533" s="319"/>
      <c r="BC533" s="319"/>
      <c r="BD533" s="319"/>
      <c r="BE533" s="319"/>
      <c r="BF533" s="319"/>
      <c r="BG533" s="319"/>
      <c r="BH533" s="319"/>
      <c r="BI533" s="319"/>
      <c r="BJ533" s="319"/>
      <c r="BK533" s="319"/>
      <c r="BL533" s="319"/>
      <c r="BM533" s="319"/>
      <c r="BN533" s="319"/>
      <c r="BO533" s="319"/>
      <c r="BP533" s="319"/>
      <c r="BQ533" s="319"/>
      <c r="BR533" s="319"/>
    </row>
    <row r="534" ht="14.25" customHeight="1">
      <c r="A534" s="195"/>
      <c r="B534" s="100"/>
      <c r="C534" s="100"/>
      <c r="D534" s="100"/>
      <c r="E534" s="100"/>
      <c r="F534" s="206"/>
      <c r="G534" s="206"/>
      <c r="H534" s="207"/>
      <c r="I534" s="207"/>
      <c r="J534" s="207"/>
      <c r="K534" s="207"/>
      <c r="L534" s="207"/>
      <c r="M534" s="207"/>
      <c r="N534" s="207"/>
      <c r="O534" s="207"/>
      <c r="P534" s="207"/>
      <c r="Q534" s="207"/>
      <c r="R534" s="207"/>
      <c r="S534" s="207"/>
      <c r="T534" s="207"/>
      <c r="U534" s="207"/>
      <c r="V534" s="207"/>
      <c r="W534" s="208"/>
      <c r="X534" s="208"/>
      <c r="Y534" s="208"/>
      <c r="Z534" s="208"/>
      <c r="AA534" s="208"/>
      <c r="AB534" s="208"/>
      <c r="AC534" s="208"/>
      <c r="AD534" s="208"/>
      <c r="AE534" s="208"/>
      <c r="AF534" s="208"/>
      <c r="AG534" s="208"/>
      <c r="AH534" s="208"/>
      <c r="AI534" s="100"/>
      <c r="AJ534" s="319"/>
      <c r="AK534" s="319"/>
      <c r="AL534" s="319"/>
      <c r="AM534" s="319"/>
      <c r="AN534" s="319"/>
      <c r="AO534" s="319"/>
      <c r="AP534" s="319"/>
      <c r="AQ534" s="319"/>
      <c r="AR534" s="319"/>
      <c r="AS534" s="319"/>
      <c r="AT534" s="319"/>
      <c r="AU534" s="319"/>
      <c r="AV534" s="319"/>
      <c r="AW534" s="319"/>
      <c r="AX534" s="319"/>
      <c r="AY534" s="319"/>
      <c r="AZ534" s="319"/>
      <c r="BA534" s="319"/>
      <c r="BB534" s="319"/>
      <c r="BC534" s="319"/>
      <c r="BD534" s="319"/>
      <c r="BE534" s="319"/>
      <c r="BF534" s="319"/>
      <c r="BG534" s="319"/>
      <c r="BH534" s="319"/>
      <c r="BI534" s="319"/>
      <c r="BJ534" s="319"/>
      <c r="BK534" s="319"/>
      <c r="BL534" s="319"/>
      <c r="BM534" s="319"/>
      <c r="BN534" s="319"/>
      <c r="BO534" s="319"/>
      <c r="BP534" s="319"/>
      <c r="BQ534" s="319"/>
      <c r="BR534" s="319"/>
    </row>
    <row r="535" ht="14.25" customHeight="1">
      <c r="A535" s="195"/>
      <c r="B535" s="100"/>
      <c r="C535" s="100"/>
      <c r="D535" s="100"/>
      <c r="E535" s="100"/>
      <c r="F535" s="206"/>
      <c r="G535" s="206"/>
      <c r="H535" s="207"/>
      <c r="I535" s="207"/>
      <c r="J535" s="207"/>
      <c r="K535" s="207"/>
      <c r="L535" s="207"/>
      <c r="M535" s="207"/>
      <c r="N535" s="207"/>
      <c r="O535" s="207"/>
      <c r="P535" s="207"/>
      <c r="Q535" s="207"/>
      <c r="R535" s="207"/>
      <c r="S535" s="207"/>
      <c r="T535" s="207"/>
      <c r="U535" s="207"/>
      <c r="V535" s="207"/>
      <c r="W535" s="208"/>
      <c r="X535" s="208"/>
      <c r="Y535" s="208"/>
      <c r="Z535" s="208"/>
      <c r="AA535" s="208"/>
      <c r="AB535" s="208"/>
      <c r="AC535" s="208"/>
      <c r="AD535" s="208"/>
      <c r="AE535" s="208"/>
      <c r="AF535" s="208"/>
      <c r="AG535" s="208"/>
      <c r="AH535" s="208"/>
      <c r="AI535" s="100"/>
      <c r="AJ535" s="319"/>
      <c r="AK535" s="319"/>
      <c r="AL535" s="319"/>
      <c r="AM535" s="319"/>
      <c r="AN535" s="319"/>
      <c r="AO535" s="319"/>
      <c r="AP535" s="319"/>
      <c r="AQ535" s="319"/>
      <c r="AR535" s="319"/>
      <c r="AS535" s="319"/>
      <c r="AT535" s="319"/>
      <c r="AU535" s="319"/>
      <c r="AV535" s="319"/>
      <c r="AW535" s="319"/>
      <c r="AX535" s="319"/>
      <c r="AY535" s="319"/>
      <c r="AZ535" s="319"/>
      <c r="BA535" s="319"/>
      <c r="BB535" s="319"/>
      <c r="BC535" s="319"/>
      <c r="BD535" s="319"/>
      <c r="BE535" s="319"/>
      <c r="BF535" s="319"/>
      <c r="BG535" s="319"/>
      <c r="BH535" s="319"/>
      <c r="BI535" s="319"/>
      <c r="BJ535" s="319"/>
      <c r="BK535" s="319"/>
      <c r="BL535" s="319"/>
      <c r="BM535" s="319"/>
      <c r="BN535" s="319"/>
      <c r="BO535" s="319"/>
      <c r="BP535" s="319"/>
      <c r="BQ535" s="319"/>
      <c r="BR535" s="319"/>
    </row>
    <row r="536" ht="14.25" customHeight="1">
      <c r="A536" s="195"/>
      <c r="B536" s="100"/>
      <c r="C536" s="100"/>
      <c r="D536" s="100"/>
      <c r="E536" s="100"/>
      <c r="F536" s="206"/>
      <c r="G536" s="206"/>
      <c r="H536" s="207"/>
      <c r="I536" s="207"/>
      <c r="J536" s="207"/>
      <c r="K536" s="207"/>
      <c r="L536" s="207"/>
      <c r="M536" s="207"/>
      <c r="N536" s="207"/>
      <c r="O536" s="207"/>
      <c r="P536" s="207"/>
      <c r="Q536" s="207"/>
      <c r="R536" s="207"/>
      <c r="S536" s="207"/>
      <c r="T536" s="207"/>
      <c r="U536" s="207"/>
      <c r="V536" s="207"/>
      <c r="W536" s="208"/>
      <c r="X536" s="208"/>
      <c r="Y536" s="208"/>
      <c r="Z536" s="208"/>
      <c r="AA536" s="208"/>
      <c r="AB536" s="208"/>
      <c r="AC536" s="208"/>
      <c r="AD536" s="208"/>
      <c r="AE536" s="208"/>
      <c r="AF536" s="208"/>
      <c r="AG536" s="208"/>
      <c r="AH536" s="208"/>
      <c r="AI536" s="100"/>
      <c r="AJ536" s="319"/>
      <c r="AK536" s="319"/>
      <c r="AL536" s="319"/>
      <c r="AM536" s="319"/>
      <c r="AN536" s="319"/>
      <c r="AO536" s="319"/>
      <c r="AP536" s="319"/>
      <c r="AQ536" s="319"/>
      <c r="AR536" s="319"/>
      <c r="AS536" s="319"/>
      <c r="AT536" s="319"/>
      <c r="AU536" s="319"/>
      <c r="AV536" s="319"/>
      <c r="AW536" s="319"/>
      <c r="AX536" s="319"/>
      <c r="AY536" s="319"/>
      <c r="AZ536" s="319"/>
      <c r="BA536" s="319"/>
      <c r="BB536" s="319"/>
      <c r="BC536" s="319"/>
      <c r="BD536" s="319"/>
      <c r="BE536" s="319"/>
      <c r="BF536" s="319"/>
      <c r="BG536" s="319"/>
      <c r="BH536" s="319"/>
      <c r="BI536" s="319"/>
      <c r="BJ536" s="319"/>
      <c r="BK536" s="319"/>
      <c r="BL536" s="319"/>
      <c r="BM536" s="319"/>
      <c r="BN536" s="319"/>
      <c r="BO536" s="319"/>
      <c r="BP536" s="319"/>
      <c r="BQ536" s="319"/>
      <c r="BR536" s="319"/>
    </row>
    <row r="537" ht="14.25" customHeight="1">
      <c r="A537" s="195"/>
      <c r="B537" s="100"/>
      <c r="C537" s="100"/>
      <c r="D537" s="100"/>
      <c r="E537" s="100"/>
      <c r="F537" s="206"/>
      <c r="G537" s="206"/>
      <c r="H537" s="207"/>
      <c r="I537" s="207"/>
      <c r="J537" s="207"/>
      <c r="K537" s="207"/>
      <c r="L537" s="207"/>
      <c r="M537" s="207"/>
      <c r="N537" s="207"/>
      <c r="O537" s="207"/>
      <c r="P537" s="207"/>
      <c r="Q537" s="207"/>
      <c r="R537" s="207"/>
      <c r="S537" s="207"/>
      <c r="T537" s="207"/>
      <c r="U537" s="207"/>
      <c r="V537" s="207"/>
      <c r="W537" s="208"/>
      <c r="X537" s="208"/>
      <c r="Y537" s="208"/>
      <c r="Z537" s="208"/>
      <c r="AA537" s="208"/>
      <c r="AB537" s="208"/>
      <c r="AC537" s="208"/>
      <c r="AD537" s="208"/>
      <c r="AE537" s="208"/>
      <c r="AF537" s="208"/>
      <c r="AG537" s="208"/>
      <c r="AH537" s="208"/>
      <c r="AI537" s="100"/>
      <c r="AJ537" s="319"/>
      <c r="AK537" s="319"/>
      <c r="AL537" s="319"/>
      <c r="AM537" s="319"/>
      <c r="AN537" s="319"/>
      <c r="AO537" s="319"/>
      <c r="AP537" s="319"/>
      <c r="AQ537" s="319"/>
      <c r="AR537" s="319"/>
      <c r="AS537" s="319"/>
      <c r="AT537" s="319"/>
      <c r="AU537" s="319"/>
      <c r="AV537" s="319"/>
      <c r="AW537" s="319"/>
      <c r="AX537" s="319"/>
      <c r="AY537" s="319"/>
      <c r="AZ537" s="319"/>
      <c r="BA537" s="319"/>
      <c r="BB537" s="319"/>
      <c r="BC537" s="319"/>
      <c r="BD537" s="319"/>
      <c r="BE537" s="319"/>
      <c r="BF537" s="319"/>
      <c r="BG537" s="319"/>
      <c r="BH537" s="319"/>
      <c r="BI537" s="319"/>
      <c r="BJ537" s="319"/>
      <c r="BK537" s="319"/>
      <c r="BL537" s="319"/>
      <c r="BM537" s="319"/>
      <c r="BN537" s="319"/>
      <c r="BO537" s="319"/>
      <c r="BP537" s="319"/>
      <c r="BQ537" s="319"/>
      <c r="BR537" s="319"/>
    </row>
    <row r="538" ht="14.25" customHeight="1">
      <c r="A538" s="195"/>
      <c r="B538" s="100"/>
      <c r="C538" s="100"/>
      <c r="D538" s="100"/>
      <c r="E538" s="100"/>
      <c r="F538" s="206"/>
      <c r="G538" s="206"/>
      <c r="H538" s="207"/>
      <c r="I538" s="207"/>
      <c r="J538" s="207"/>
      <c r="K538" s="207"/>
      <c r="L538" s="207"/>
      <c r="M538" s="207"/>
      <c r="N538" s="207"/>
      <c r="O538" s="207"/>
      <c r="P538" s="207"/>
      <c r="Q538" s="207"/>
      <c r="R538" s="207"/>
      <c r="S538" s="207"/>
      <c r="T538" s="207"/>
      <c r="U538" s="207"/>
      <c r="V538" s="207"/>
      <c r="W538" s="208"/>
      <c r="X538" s="208"/>
      <c r="Y538" s="208"/>
      <c r="Z538" s="208"/>
      <c r="AA538" s="208"/>
      <c r="AB538" s="208"/>
      <c r="AC538" s="208"/>
      <c r="AD538" s="208"/>
      <c r="AE538" s="208"/>
      <c r="AF538" s="208"/>
      <c r="AG538" s="208"/>
      <c r="AH538" s="208"/>
      <c r="AI538" s="100"/>
      <c r="AJ538" s="319"/>
      <c r="AK538" s="319"/>
      <c r="AL538" s="319"/>
      <c r="AM538" s="319"/>
      <c r="AN538" s="319"/>
      <c r="AO538" s="319"/>
      <c r="AP538" s="319"/>
      <c r="AQ538" s="319"/>
      <c r="AR538" s="319"/>
      <c r="AS538" s="319"/>
      <c r="AT538" s="319"/>
      <c r="AU538" s="319"/>
      <c r="AV538" s="319"/>
      <c r="AW538" s="319"/>
      <c r="AX538" s="319"/>
      <c r="AY538" s="319"/>
      <c r="AZ538" s="319"/>
      <c r="BA538" s="319"/>
      <c r="BB538" s="319"/>
      <c r="BC538" s="319"/>
      <c r="BD538" s="319"/>
      <c r="BE538" s="319"/>
      <c r="BF538" s="319"/>
      <c r="BG538" s="319"/>
      <c r="BH538" s="319"/>
      <c r="BI538" s="319"/>
      <c r="BJ538" s="319"/>
      <c r="BK538" s="319"/>
      <c r="BL538" s="319"/>
      <c r="BM538" s="319"/>
      <c r="BN538" s="319"/>
      <c r="BO538" s="319"/>
      <c r="BP538" s="319"/>
      <c r="BQ538" s="319"/>
      <c r="BR538" s="319"/>
    </row>
    <row r="539" ht="14.25" customHeight="1">
      <c r="A539" s="195"/>
      <c r="B539" s="100"/>
      <c r="C539" s="100"/>
      <c r="D539" s="100"/>
      <c r="E539" s="100"/>
      <c r="F539" s="206"/>
      <c r="G539" s="206"/>
      <c r="H539" s="207"/>
      <c r="I539" s="207"/>
      <c r="J539" s="207"/>
      <c r="K539" s="207"/>
      <c r="L539" s="207"/>
      <c r="M539" s="207"/>
      <c r="N539" s="207"/>
      <c r="O539" s="207"/>
      <c r="P539" s="207"/>
      <c r="Q539" s="207"/>
      <c r="R539" s="207"/>
      <c r="S539" s="207"/>
      <c r="T539" s="207"/>
      <c r="U539" s="207"/>
      <c r="V539" s="207"/>
      <c r="W539" s="208"/>
      <c r="X539" s="208"/>
      <c r="Y539" s="208"/>
      <c r="Z539" s="208"/>
      <c r="AA539" s="208"/>
      <c r="AB539" s="208"/>
      <c r="AC539" s="208"/>
      <c r="AD539" s="208"/>
      <c r="AE539" s="208"/>
      <c r="AF539" s="208"/>
      <c r="AG539" s="208"/>
      <c r="AH539" s="208"/>
      <c r="AI539" s="100"/>
      <c r="AJ539" s="319"/>
      <c r="AK539" s="319"/>
      <c r="AL539" s="319"/>
      <c r="AM539" s="319"/>
      <c r="AN539" s="319"/>
      <c r="AO539" s="319"/>
      <c r="AP539" s="319"/>
      <c r="AQ539" s="319"/>
      <c r="AR539" s="319"/>
      <c r="AS539" s="319"/>
      <c r="AT539" s="319"/>
      <c r="AU539" s="319"/>
      <c r="AV539" s="319"/>
      <c r="AW539" s="319"/>
      <c r="AX539" s="319"/>
      <c r="AY539" s="319"/>
      <c r="AZ539" s="319"/>
      <c r="BA539" s="319"/>
      <c r="BB539" s="319"/>
      <c r="BC539" s="319"/>
      <c r="BD539" s="319"/>
      <c r="BE539" s="319"/>
      <c r="BF539" s="319"/>
      <c r="BG539" s="319"/>
      <c r="BH539" s="319"/>
      <c r="BI539" s="319"/>
      <c r="BJ539" s="319"/>
      <c r="BK539" s="319"/>
      <c r="BL539" s="319"/>
      <c r="BM539" s="319"/>
      <c r="BN539" s="319"/>
      <c r="BO539" s="319"/>
      <c r="BP539" s="319"/>
      <c r="BQ539" s="319"/>
      <c r="BR539" s="319"/>
    </row>
    <row r="540" ht="14.25" customHeight="1">
      <c r="A540" s="195"/>
      <c r="B540" s="100"/>
      <c r="C540" s="100"/>
      <c r="D540" s="100"/>
      <c r="E540" s="100"/>
      <c r="F540" s="206"/>
      <c r="G540" s="206"/>
      <c r="H540" s="207"/>
      <c r="I540" s="207"/>
      <c r="J540" s="207"/>
      <c r="K540" s="207"/>
      <c r="L540" s="207"/>
      <c r="M540" s="207"/>
      <c r="N540" s="207"/>
      <c r="O540" s="207"/>
      <c r="P540" s="207"/>
      <c r="Q540" s="207"/>
      <c r="R540" s="207"/>
      <c r="S540" s="207"/>
      <c r="T540" s="207"/>
      <c r="U540" s="207"/>
      <c r="V540" s="207"/>
      <c r="W540" s="208"/>
      <c r="X540" s="208"/>
      <c r="Y540" s="208"/>
      <c r="Z540" s="208"/>
      <c r="AA540" s="208"/>
      <c r="AB540" s="208"/>
      <c r="AC540" s="208"/>
      <c r="AD540" s="208"/>
      <c r="AE540" s="208"/>
      <c r="AF540" s="208"/>
      <c r="AG540" s="208"/>
      <c r="AH540" s="208"/>
      <c r="AI540" s="100"/>
      <c r="AJ540" s="319"/>
      <c r="AK540" s="319"/>
      <c r="AL540" s="319"/>
      <c r="AM540" s="319"/>
      <c r="AN540" s="319"/>
      <c r="AO540" s="319"/>
      <c r="AP540" s="319"/>
      <c r="AQ540" s="319"/>
      <c r="AR540" s="319"/>
      <c r="AS540" s="319"/>
      <c r="AT540" s="319"/>
      <c r="AU540" s="319"/>
      <c r="AV540" s="319"/>
      <c r="AW540" s="319"/>
      <c r="AX540" s="319"/>
      <c r="AY540" s="319"/>
      <c r="AZ540" s="319"/>
      <c r="BA540" s="319"/>
      <c r="BB540" s="319"/>
      <c r="BC540" s="319"/>
      <c r="BD540" s="319"/>
      <c r="BE540" s="319"/>
      <c r="BF540" s="319"/>
      <c r="BG540" s="319"/>
      <c r="BH540" s="319"/>
      <c r="BI540" s="319"/>
      <c r="BJ540" s="319"/>
      <c r="BK540" s="319"/>
      <c r="BL540" s="319"/>
      <c r="BM540" s="319"/>
      <c r="BN540" s="319"/>
      <c r="BO540" s="319"/>
      <c r="BP540" s="319"/>
      <c r="BQ540" s="319"/>
      <c r="BR540" s="319"/>
    </row>
    <row r="541" ht="14.25" customHeight="1">
      <c r="A541" s="195"/>
      <c r="B541" s="100"/>
      <c r="C541" s="100"/>
      <c r="D541" s="100"/>
      <c r="E541" s="100"/>
      <c r="F541" s="206"/>
      <c r="G541" s="206"/>
      <c r="H541" s="207"/>
      <c r="I541" s="207"/>
      <c r="J541" s="207"/>
      <c r="K541" s="207"/>
      <c r="L541" s="207"/>
      <c r="M541" s="207"/>
      <c r="N541" s="207"/>
      <c r="O541" s="207"/>
      <c r="P541" s="207"/>
      <c r="Q541" s="207"/>
      <c r="R541" s="207"/>
      <c r="S541" s="207"/>
      <c r="T541" s="207"/>
      <c r="U541" s="207"/>
      <c r="V541" s="207"/>
      <c r="W541" s="208"/>
      <c r="X541" s="208"/>
      <c r="Y541" s="208"/>
      <c r="Z541" s="208"/>
      <c r="AA541" s="208"/>
      <c r="AB541" s="208"/>
      <c r="AC541" s="208"/>
      <c r="AD541" s="208"/>
      <c r="AE541" s="208"/>
      <c r="AF541" s="208"/>
      <c r="AG541" s="208"/>
      <c r="AH541" s="208"/>
      <c r="AI541" s="100"/>
      <c r="AJ541" s="319"/>
      <c r="AK541" s="319"/>
      <c r="AL541" s="319"/>
      <c r="AM541" s="319"/>
      <c r="AN541" s="319"/>
      <c r="AO541" s="319"/>
      <c r="AP541" s="319"/>
      <c r="AQ541" s="319"/>
      <c r="AR541" s="319"/>
      <c r="AS541" s="319"/>
      <c r="AT541" s="319"/>
      <c r="AU541" s="319"/>
      <c r="AV541" s="319"/>
      <c r="AW541" s="319"/>
      <c r="AX541" s="319"/>
      <c r="AY541" s="319"/>
      <c r="AZ541" s="319"/>
      <c r="BA541" s="319"/>
      <c r="BB541" s="319"/>
      <c r="BC541" s="319"/>
      <c r="BD541" s="319"/>
      <c r="BE541" s="319"/>
      <c r="BF541" s="319"/>
      <c r="BG541" s="319"/>
      <c r="BH541" s="319"/>
      <c r="BI541" s="319"/>
      <c r="BJ541" s="319"/>
      <c r="BK541" s="319"/>
      <c r="BL541" s="319"/>
      <c r="BM541" s="319"/>
      <c r="BN541" s="319"/>
      <c r="BO541" s="319"/>
      <c r="BP541" s="319"/>
      <c r="BQ541" s="319"/>
      <c r="BR541" s="319"/>
    </row>
    <row r="542" ht="14.25" customHeight="1">
      <c r="A542" s="195"/>
      <c r="B542" s="100"/>
      <c r="C542" s="100"/>
      <c r="D542" s="100"/>
      <c r="E542" s="100"/>
      <c r="F542" s="206"/>
      <c r="G542" s="206"/>
      <c r="H542" s="207"/>
      <c r="I542" s="207"/>
      <c r="J542" s="207"/>
      <c r="K542" s="207"/>
      <c r="L542" s="207"/>
      <c r="M542" s="207"/>
      <c r="N542" s="207"/>
      <c r="O542" s="207"/>
      <c r="P542" s="207"/>
      <c r="Q542" s="207"/>
      <c r="R542" s="207"/>
      <c r="S542" s="207"/>
      <c r="T542" s="207"/>
      <c r="U542" s="207"/>
      <c r="V542" s="207"/>
      <c r="W542" s="208"/>
      <c r="X542" s="208"/>
      <c r="Y542" s="208"/>
      <c r="Z542" s="208"/>
      <c r="AA542" s="208"/>
      <c r="AB542" s="208"/>
      <c r="AC542" s="208"/>
      <c r="AD542" s="208"/>
      <c r="AE542" s="208"/>
      <c r="AF542" s="208"/>
      <c r="AG542" s="208"/>
      <c r="AH542" s="208"/>
      <c r="AI542" s="100"/>
      <c r="AJ542" s="319"/>
      <c r="AK542" s="319"/>
      <c r="AL542" s="319"/>
      <c r="AM542" s="319"/>
      <c r="AN542" s="319"/>
      <c r="AO542" s="319"/>
      <c r="AP542" s="319"/>
      <c r="AQ542" s="319"/>
      <c r="AR542" s="319"/>
      <c r="AS542" s="319"/>
      <c r="AT542" s="319"/>
      <c r="AU542" s="319"/>
      <c r="AV542" s="319"/>
      <c r="AW542" s="319"/>
      <c r="AX542" s="319"/>
      <c r="AY542" s="319"/>
      <c r="AZ542" s="319"/>
      <c r="BA542" s="319"/>
      <c r="BB542" s="319"/>
      <c r="BC542" s="319"/>
      <c r="BD542" s="319"/>
      <c r="BE542" s="319"/>
      <c r="BF542" s="319"/>
      <c r="BG542" s="319"/>
      <c r="BH542" s="319"/>
      <c r="BI542" s="319"/>
      <c r="BJ542" s="319"/>
      <c r="BK542" s="319"/>
      <c r="BL542" s="319"/>
      <c r="BM542" s="319"/>
      <c r="BN542" s="319"/>
      <c r="BO542" s="319"/>
      <c r="BP542" s="319"/>
      <c r="BQ542" s="319"/>
      <c r="BR542" s="319"/>
    </row>
    <row r="543" ht="14.25" customHeight="1">
      <c r="A543" s="195"/>
      <c r="B543" s="100"/>
      <c r="C543" s="100"/>
      <c r="D543" s="100"/>
      <c r="E543" s="100"/>
      <c r="F543" s="206"/>
      <c r="G543" s="206"/>
      <c r="H543" s="207"/>
      <c r="I543" s="207"/>
      <c r="J543" s="207"/>
      <c r="K543" s="207"/>
      <c r="L543" s="207"/>
      <c r="M543" s="207"/>
      <c r="N543" s="207"/>
      <c r="O543" s="207"/>
      <c r="P543" s="207"/>
      <c r="Q543" s="207"/>
      <c r="R543" s="207"/>
      <c r="S543" s="207"/>
      <c r="T543" s="207"/>
      <c r="U543" s="207"/>
      <c r="V543" s="207"/>
      <c r="W543" s="208"/>
      <c r="X543" s="208"/>
      <c r="Y543" s="208"/>
      <c r="Z543" s="208"/>
      <c r="AA543" s="208"/>
      <c r="AB543" s="208"/>
      <c r="AC543" s="208"/>
      <c r="AD543" s="208"/>
      <c r="AE543" s="208"/>
      <c r="AF543" s="208"/>
      <c r="AG543" s="208"/>
      <c r="AH543" s="208"/>
      <c r="AI543" s="100"/>
      <c r="AJ543" s="319"/>
      <c r="AK543" s="319"/>
      <c r="AL543" s="319"/>
      <c r="AM543" s="319"/>
      <c r="AN543" s="319"/>
      <c r="AO543" s="319"/>
      <c r="AP543" s="319"/>
      <c r="AQ543" s="319"/>
      <c r="AR543" s="319"/>
      <c r="AS543" s="319"/>
      <c r="AT543" s="319"/>
      <c r="AU543" s="319"/>
      <c r="AV543" s="319"/>
      <c r="AW543" s="319"/>
      <c r="AX543" s="319"/>
      <c r="AY543" s="319"/>
      <c r="AZ543" s="319"/>
      <c r="BA543" s="319"/>
      <c r="BB543" s="319"/>
      <c r="BC543" s="319"/>
      <c r="BD543" s="319"/>
      <c r="BE543" s="319"/>
      <c r="BF543" s="319"/>
      <c r="BG543" s="319"/>
      <c r="BH543" s="319"/>
      <c r="BI543" s="319"/>
      <c r="BJ543" s="319"/>
      <c r="BK543" s="319"/>
      <c r="BL543" s="319"/>
      <c r="BM543" s="319"/>
      <c r="BN543" s="319"/>
      <c r="BO543" s="319"/>
      <c r="BP543" s="319"/>
      <c r="BQ543" s="319"/>
      <c r="BR543" s="319"/>
    </row>
    <row r="544" ht="14.25" customHeight="1">
      <c r="A544" s="195"/>
      <c r="B544" s="100"/>
      <c r="C544" s="100"/>
      <c r="D544" s="100"/>
      <c r="E544" s="100"/>
      <c r="F544" s="206"/>
      <c r="G544" s="206"/>
      <c r="H544" s="207"/>
      <c r="I544" s="207"/>
      <c r="J544" s="207"/>
      <c r="K544" s="207"/>
      <c r="L544" s="207"/>
      <c r="M544" s="207"/>
      <c r="N544" s="207"/>
      <c r="O544" s="207"/>
      <c r="P544" s="207"/>
      <c r="Q544" s="207"/>
      <c r="R544" s="207"/>
      <c r="S544" s="207"/>
      <c r="T544" s="207"/>
      <c r="U544" s="207"/>
      <c r="V544" s="207"/>
      <c r="W544" s="208"/>
      <c r="X544" s="208"/>
      <c r="Y544" s="208"/>
      <c r="Z544" s="208"/>
      <c r="AA544" s="208"/>
      <c r="AB544" s="208"/>
      <c r="AC544" s="208"/>
      <c r="AD544" s="208"/>
      <c r="AE544" s="208"/>
      <c r="AF544" s="208"/>
      <c r="AG544" s="208"/>
      <c r="AH544" s="208"/>
      <c r="AI544" s="100"/>
      <c r="AJ544" s="319"/>
      <c r="AK544" s="319"/>
      <c r="AL544" s="319"/>
      <c r="AM544" s="319"/>
      <c r="AN544" s="319"/>
      <c r="AO544" s="319"/>
      <c r="AP544" s="319"/>
      <c r="AQ544" s="319"/>
      <c r="AR544" s="319"/>
      <c r="AS544" s="319"/>
      <c r="AT544" s="319"/>
      <c r="AU544" s="319"/>
      <c r="AV544" s="319"/>
      <c r="AW544" s="319"/>
      <c r="AX544" s="319"/>
      <c r="AY544" s="319"/>
      <c r="AZ544" s="319"/>
      <c r="BA544" s="319"/>
      <c r="BB544" s="319"/>
      <c r="BC544" s="319"/>
      <c r="BD544" s="319"/>
      <c r="BE544" s="319"/>
      <c r="BF544" s="319"/>
      <c r="BG544" s="319"/>
      <c r="BH544" s="319"/>
      <c r="BI544" s="319"/>
      <c r="BJ544" s="319"/>
      <c r="BK544" s="319"/>
      <c r="BL544" s="319"/>
      <c r="BM544" s="319"/>
      <c r="BN544" s="319"/>
      <c r="BO544" s="319"/>
      <c r="BP544" s="319"/>
      <c r="BQ544" s="319"/>
      <c r="BR544" s="319"/>
    </row>
    <row r="545" ht="14.25" customHeight="1">
      <c r="A545" s="195"/>
      <c r="B545" s="100"/>
      <c r="C545" s="100"/>
      <c r="D545" s="100"/>
      <c r="E545" s="100"/>
      <c r="F545" s="206"/>
      <c r="G545" s="206"/>
      <c r="H545" s="207"/>
      <c r="I545" s="207"/>
      <c r="J545" s="207"/>
      <c r="K545" s="207"/>
      <c r="L545" s="207"/>
      <c r="M545" s="207"/>
      <c r="N545" s="207"/>
      <c r="O545" s="207"/>
      <c r="P545" s="207"/>
      <c r="Q545" s="207"/>
      <c r="R545" s="207"/>
      <c r="S545" s="207"/>
      <c r="T545" s="207"/>
      <c r="U545" s="207"/>
      <c r="V545" s="207"/>
      <c r="W545" s="208"/>
      <c r="X545" s="208"/>
      <c r="Y545" s="208"/>
      <c r="Z545" s="208"/>
      <c r="AA545" s="208"/>
      <c r="AB545" s="208"/>
      <c r="AC545" s="208"/>
      <c r="AD545" s="208"/>
      <c r="AE545" s="208"/>
      <c r="AF545" s="208"/>
      <c r="AG545" s="208"/>
      <c r="AH545" s="208"/>
      <c r="AI545" s="100"/>
      <c r="AJ545" s="319"/>
      <c r="AK545" s="319"/>
      <c r="AL545" s="319"/>
      <c r="AM545" s="319"/>
      <c r="AN545" s="319"/>
      <c r="AO545" s="319"/>
      <c r="AP545" s="319"/>
      <c r="AQ545" s="319"/>
      <c r="AR545" s="319"/>
      <c r="AS545" s="319"/>
      <c r="AT545" s="319"/>
      <c r="AU545" s="319"/>
      <c r="AV545" s="319"/>
      <c r="AW545" s="319"/>
      <c r="AX545" s="319"/>
      <c r="AY545" s="319"/>
      <c r="AZ545" s="319"/>
      <c r="BA545" s="319"/>
      <c r="BB545" s="319"/>
      <c r="BC545" s="319"/>
      <c r="BD545" s="319"/>
      <c r="BE545" s="319"/>
      <c r="BF545" s="319"/>
      <c r="BG545" s="319"/>
      <c r="BH545" s="319"/>
      <c r="BI545" s="319"/>
      <c r="BJ545" s="319"/>
      <c r="BK545" s="319"/>
      <c r="BL545" s="319"/>
      <c r="BM545" s="319"/>
      <c r="BN545" s="319"/>
      <c r="BO545" s="319"/>
      <c r="BP545" s="319"/>
      <c r="BQ545" s="319"/>
      <c r="BR545" s="319"/>
    </row>
    <row r="546" ht="14.25" customHeight="1">
      <c r="A546" s="195"/>
      <c r="B546" s="100"/>
      <c r="C546" s="100"/>
      <c r="D546" s="100"/>
      <c r="E546" s="100"/>
      <c r="F546" s="206"/>
      <c r="G546" s="206"/>
      <c r="H546" s="207"/>
      <c r="I546" s="207"/>
      <c r="J546" s="207"/>
      <c r="K546" s="207"/>
      <c r="L546" s="207"/>
      <c r="M546" s="207"/>
      <c r="N546" s="207"/>
      <c r="O546" s="207"/>
      <c r="P546" s="207"/>
      <c r="Q546" s="207"/>
      <c r="R546" s="207"/>
      <c r="S546" s="207"/>
      <c r="T546" s="207"/>
      <c r="U546" s="207"/>
      <c r="V546" s="207"/>
      <c r="W546" s="208"/>
      <c r="X546" s="208"/>
      <c r="Y546" s="208"/>
      <c r="Z546" s="208"/>
      <c r="AA546" s="208"/>
      <c r="AB546" s="208"/>
      <c r="AC546" s="208"/>
      <c r="AD546" s="208"/>
      <c r="AE546" s="208"/>
      <c r="AF546" s="208"/>
      <c r="AG546" s="208"/>
      <c r="AH546" s="208"/>
      <c r="AI546" s="100"/>
      <c r="AJ546" s="319"/>
      <c r="AK546" s="319"/>
      <c r="AL546" s="319"/>
      <c r="AM546" s="319"/>
      <c r="AN546" s="319"/>
      <c r="AO546" s="319"/>
      <c r="AP546" s="319"/>
      <c r="AQ546" s="319"/>
      <c r="AR546" s="319"/>
      <c r="AS546" s="319"/>
      <c r="AT546" s="319"/>
      <c r="AU546" s="319"/>
      <c r="AV546" s="319"/>
      <c r="AW546" s="319"/>
      <c r="AX546" s="319"/>
      <c r="AY546" s="319"/>
      <c r="AZ546" s="319"/>
      <c r="BA546" s="319"/>
      <c r="BB546" s="319"/>
      <c r="BC546" s="319"/>
      <c r="BD546" s="319"/>
      <c r="BE546" s="319"/>
      <c r="BF546" s="319"/>
      <c r="BG546" s="319"/>
      <c r="BH546" s="319"/>
      <c r="BI546" s="319"/>
      <c r="BJ546" s="319"/>
      <c r="BK546" s="319"/>
      <c r="BL546" s="319"/>
      <c r="BM546" s="319"/>
      <c r="BN546" s="319"/>
      <c r="BO546" s="319"/>
      <c r="BP546" s="319"/>
      <c r="BQ546" s="319"/>
      <c r="BR546" s="319"/>
    </row>
    <row r="547" ht="14.25" customHeight="1">
      <c r="A547" s="195"/>
      <c r="B547" s="100"/>
      <c r="C547" s="100"/>
      <c r="D547" s="100"/>
      <c r="E547" s="100"/>
      <c r="F547" s="206"/>
      <c r="G547" s="206"/>
      <c r="H547" s="207"/>
      <c r="I547" s="207"/>
      <c r="J547" s="207"/>
      <c r="K547" s="207"/>
      <c r="L547" s="207"/>
      <c r="M547" s="207"/>
      <c r="N547" s="207"/>
      <c r="O547" s="207"/>
      <c r="P547" s="207"/>
      <c r="Q547" s="207"/>
      <c r="R547" s="207"/>
      <c r="S547" s="207"/>
      <c r="T547" s="207"/>
      <c r="U547" s="207"/>
      <c r="V547" s="207"/>
      <c r="W547" s="208"/>
      <c r="X547" s="208"/>
      <c r="Y547" s="208"/>
      <c r="Z547" s="208"/>
      <c r="AA547" s="208"/>
      <c r="AB547" s="208"/>
      <c r="AC547" s="208"/>
      <c r="AD547" s="208"/>
      <c r="AE547" s="208"/>
      <c r="AF547" s="208"/>
      <c r="AG547" s="208"/>
      <c r="AH547" s="208"/>
      <c r="AI547" s="100"/>
      <c r="AJ547" s="319"/>
      <c r="AK547" s="319"/>
      <c r="AL547" s="319"/>
      <c r="AM547" s="319"/>
      <c r="AN547" s="319"/>
      <c r="AO547" s="319"/>
      <c r="AP547" s="319"/>
      <c r="AQ547" s="319"/>
      <c r="AR547" s="319"/>
      <c r="AS547" s="319"/>
      <c r="AT547" s="319"/>
      <c r="AU547" s="319"/>
      <c r="AV547" s="319"/>
      <c r="AW547" s="319"/>
      <c r="AX547" s="319"/>
      <c r="AY547" s="319"/>
      <c r="AZ547" s="319"/>
      <c r="BA547" s="319"/>
      <c r="BB547" s="319"/>
      <c r="BC547" s="319"/>
      <c r="BD547" s="319"/>
      <c r="BE547" s="319"/>
      <c r="BF547" s="319"/>
      <c r="BG547" s="319"/>
      <c r="BH547" s="319"/>
      <c r="BI547" s="319"/>
      <c r="BJ547" s="319"/>
      <c r="BK547" s="319"/>
      <c r="BL547" s="319"/>
      <c r="BM547" s="319"/>
      <c r="BN547" s="319"/>
      <c r="BO547" s="319"/>
      <c r="BP547" s="319"/>
      <c r="BQ547" s="319"/>
      <c r="BR547" s="319"/>
    </row>
    <row r="548" ht="14.25" customHeight="1">
      <c r="A548" s="195"/>
      <c r="B548" s="100"/>
      <c r="C548" s="100"/>
      <c r="D548" s="100"/>
      <c r="E548" s="100"/>
      <c r="F548" s="206"/>
      <c r="G548" s="206"/>
      <c r="H548" s="207"/>
      <c r="I548" s="207"/>
      <c r="J548" s="207"/>
      <c r="K548" s="207"/>
      <c r="L548" s="207"/>
      <c r="M548" s="207"/>
      <c r="N548" s="207"/>
      <c r="O548" s="207"/>
      <c r="P548" s="207"/>
      <c r="Q548" s="207"/>
      <c r="R548" s="207"/>
      <c r="S548" s="207"/>
      <c r="T548" s="207"/>
      <c r="U548" s="207"/>
      <c r="V548" s="207"/>
      <c r="W548" s="208"/>
      <c r="X548" s="208"/>
      <c r="Y548" s="208"/>
      <c r="Z548" s="208"/>
      <c r="AA548" s="208"/>
      <c r="AB548" s="208"/>
      <c r="AC548" s="208"/>
      <c r="AD548" s="208"/>
      <c r="AE548" s="208"/>
      <c r="AF548" s="208"/>
      <c r="AG548" s="208"/>
      <c r="AH548" s="208"/>
      <c r="AI548" s="100"/>
      <c r="AJ548" s="319"/>
      <c r="AK548" s="319"/>
      <c r="AL548" s="319"/>
      <c r="AM548" s="319"/>
      <c r="AN548" s="319"/>
      <c r="AO548" s="319"/>
      <c r="AP548" s="319"/>
      <c r="AQ548" s="319"/>
      <c r="AR548" s="319"/>
      <c r="AS548" s="319"/>
      <c r="AT548" s="319"/>
      <c r="AU548" s="319"/>
      <c r="AV548" s="319"/>
      <c r="AW548" s="319"/>
      <c r="AX548" s="319"/>
      <c r="AY548" s="319"/>
      <c r="AZ548" s="319"/>
      <c r="BA548" s="319"/>
      <c r="BB548" s="319"/>
      <c r="BC548" s="319"/>
      <c r="BD548" s="319"/>
      <c r="BE548" s="319"/>
      <c r="BF548" s="319"/>
      <c r="BG548" s="319"/>
      <c r="BH548" s="319"/>
      <c r="BI548" s="319"/>
      <c r="BJ548" s="319"/>
      <c r="BK548" s="319"/>
      <c r="BL548" s="319"/>
      <c r="BM548" s="319"/>
      <c r="BN548" s="319"/>
      <c r="BO548" s="319"/>
      <c r="BP548" s="319"/>
      <c r="BQ548" s="319"/>
      <c r="BR548" s="319"/>
    </row>
    <row r="549" ht="14.25" customHeight="1">
      <c r="A549" s="195"/>
      <c r="B549" s="100"/>
      <c r="C549" s="100"/>
      <c r="D549" s="100"/>
      <c r="E549" s="100"/>
      <c r="F549" s="206"/>
      <c r="G549" s="206"/>
      <c r="H549" s="207"/>
      <c r="I549" s="207"/>
      <c r="J549" s="207"/>
      <c r="K549" s="207"/>
      <c r="L549" s="207"/>
      <c r="M549" s="207"/>
      <c r="N549" s="207"/>
      <c r="O549" s="207"/>
      <c r="P549" s="207"/>
      <c r="Q549" s="207"/>
      <c r="R549" s="207"/>
      <c r="S549" s="207"/>
      <c r="T549" s="207"/>
      <c r="U549" s="207"/>
      <c r="V549" s="207"/>
      <c r="W549" s="208"/>
      <c r="X549" s="208"/>
      <c r="Y549" s="208"/>
      <c r="Z549" s="208"/>
      <c r="AA549" s="208"/>
      <c r="AB549" s="208"/>
      <c r="AC549" s="208"/>
      <c r="AD549" s="208"/>
      <c r="AE549" s="208"/>
      <c r="AF549" s="208"/>
      <c r="AG549" s="208"/>
      <c r="AH549" s="208"/>
      <c r="AI549" s="100"/>
      <c r="AJ549" s="319"/>
      <c r="AK549" s="319"/>
      <c r="AL549" s="319"/>
      <c r="AM549" s="319"/>
      <c r="AN549" s="319"/>
      <c r="AO549" s="319"/>
      <c r="AP549" s="319"/>
      <c r="AQ549" s="319"/>
      <c r="AR549" s="319"/>
      <c r="AS549" s="319"/>
      <c r="AT549" s="319"/>
      <c r="AU549" s="319"/>
      <c r="AV549" s="319"/>
      <c r="AW549" s="319"/>
      <c r="AX549" s="319"/>
      <c r="AY549" s="319"/>
      <c r="AZ549" s="319"/>
      <c r="BA549" s="319"/>
      <c r="BB549" s="319"/>
      <c r="BC549" s="319"/>
      <c r="BD549" s="319"/>
      <c r="BE549" s="319"/>
      <c r="BF549" s="319"/>
      <c r="BG549" s="319"/>
      <c r="BH549" s="319"/>
      <c r="BI549" s="319"/>
      <c r="BJ549" s="319"/>
      <c r="BK549" s="319"/>
      <c r="BL549" s="319"/>
      <c r="BM549" s="319"/>
      <c r="BN549" s="319"/>
      <c r="BO549" s="319"/>
      <c r="BP549" s="319"/>
      <c r="BQ549" s="319"/>
      <c r="BR549" s="319"/>
    </row>
    <row r="550" ht="14.25" customHeight="1">
      <c r="A550" s="195"/>
      <c r="B550" s="100"/>
      <c r="C550" s="100"/>
      <c r="D550" s="100"/>
      <c r="E550" s="100"/>
      <c r="F550" s="206"/>
      <c r="G550" s="206"/>
      <c r="H550" s="207"/>
      <c r="I550" s="207"/>
      <c r="J550" s="207"/>
      <c r="K550" s="207"/>
      <c r="L550" s="207"/>
      <c r="M550" s="207"/>
      <c r="N550" s="207"/>
      <c r="O550" s="207"/>
      <c r="P550" s="207"/>
      <c r="Q550" s="207"/>
      <c r="R550" s="207"/>
      <c r="S550" s="207"/>
      <c r="T550" s="207"/>
      <c r="U550" s="207"/>
      <c r="V550" s="207"/>
      <c r="W550" s="208"/>
      <c r="X550" s="208"/>
      <c r="Y550" s="208"/>
      <c r="Z550" s="208"/>
      <c r="AA550" s="208"/>
      <c r="AB550" s="208"/>
      <c r="AC550" s="208"/>
      <c r="AD550" s="208"/>
      <c r="AE550" s="208"/>
      <c r="AF550" s="208"/>
      <c r="AG550" s="208"/>
      <c r="AH550" s="208"/>
      <c r="AI550" s="100"/>
      <c r="AJ550" s="319"/>
      <c r="AK550" s="319"/>
      <c r="AL550" s="319"/>
      <c r="AM550" s="319"/>
      <c r="AN550" s="319"/>
      <c r="AO550" s="319"/>
      <c r="AP550" s="319"/>
      <c r="AQ550" s="319"/>
      <c r="AR550" s="319"/>
      <c r="AS550" s="319"/>
      <c r="AT550" s="319"/>
      <c r="AU550" s="319"/>
      <c r="AV550" s="319"/>
      <c r="AW550" s="319"/>
      <c r="AX550" s="319"/>
      <c r="AY550" s="319"/>
      <c r="AZ550" s="319"/>
      <c r="BA550" s="319"/>
      <c r="BB550" s="319"/>
      <c r="BC550" s="319"/>
      <c r="BD550" s="319"/>
      <c r="BE550" s="319"/>
      <c r="BF550" s="319"/>
      <c r="BG550" s="319"/>
      <c r="BH550" s="319"/>
      <c r="BI550" s="319"/>
      <c r="BJ550" s="319"/>
      <c r="BK550" s="319"/>
      <c r="BL550" s="319"/>
      <c r="BM550" s="319"/>
      <c r="BN550" s="319"/>
      <c r="BO550" s="319"/>
      <c r="BP550" s="319"/>
      <c r="BQ550" s="319"/>
      <c r="BR550" s="319"/>
    </row>
    <row r="551" ht="14.25" customHeight="1">
      <c r="A551" s="195"/>
      <c r="B551" s="100"/>
      <c r="C551" s="100"/>
      <c r="D551" s="100"/>
      <c r="E551" s="100"/>
      <c r="F551" s="206"/>
      <c r="G551" s="206"/>
      <c r="H551" s="207"/>
      <c r="I551" s="207"/>
      <c r="J551" s="207"/>
      <c r="K551" s="207"/>
      <c r="L551" s="207"/>
      <c r="M551" s="207"/>
      <c r="N551" s="207"/>
      <c r="O551" s="207"/>
      <c r="P551" s="207"/>
      <c r="Q551" s="207"/>
      <c r="R551" s="207"/>
      <c r="S551" s="207"/>
      <c r="T551" s="207"/>
      <c r="U551" s="207"/>
      <c r="V551" s="207"/>
      <c r="W551" s="208"/>
      <c r="X551" s="208"/>
      <c r="Y551" s="208"/>
      <c r="Z551" s="208"/>
      <c r="AA551" s="208"/>
      <c r="AB551" s="208"/>
      <c r="AC551" s="208"/>
      <c r="AD551" s="208"/>
      <c r="AE551" s="208"/>
      <c r="AF551" s="208"/>
      <c r="AG551" s="208"/>
      <c r="AH551" s="208"/>
      <c r="AI551" s="100"/>
      <c r="AJ551" s="319"/>
      <c r="AK551" s="319"/>
      <c r="AL551" s="319"/>
      <c r="AM551" s="319"/>
      <c r="AN551" s="319"/>
      <c r="AO551" s="319"/>
      <c r="AP551" s="319"/>
      <c r="AQ551" s="319"/>
      <c r="AR551" s="319"/>
      <c r="AS551" s="319"/>
      <c r="AT551" s="319"/>
      <c r="AU551" s="319"/>
      <c r="AV551" s="319"/>
      <c r="AW551" s="319"/>
      <c r="AX551" s="319"/>
      <c r="AY551" s="319"/>
      <c r="AZ551" s="319"/>
      <c r="BA551" s="319"/>
      <c r="BB551" s="319"/>
      <c r="BC551" s="319"/>
      <c r="BD551" s="319"/>
      <c r="BE551" s="319"/>
      <c r="BF551" s="319"/>
      <c r="BG551" s="319"/>
      <c r="BH551" s="319"/>
      <c r="BI551" s="319"/>
      <c r="BJ551" s="319"/>
      <c r="BK551" s="319"/>
      <c r="BL551" s="319"/>
      <c r="BM551" s="319"/>
      <c r="BN551" s="319"/>
      <c r="BO551" s="319"/>
      <c r="BP551" s="319"/>
      <c r="BQ551" s="319"/>
      <c r="BR551" s="319"/>
    </row>
    <row r="552" ht="14.25" customHeight="1">
      <c r="A552" s="195"/>
      <c r="B552" s="100"/>
      <c r="C552" s="100"/>
      <c r="D552" s="100"/>
      <c r="E552" s="100"/>
      <c r="F552" s="206"/>
      <c r="G552" s="206"/>
      <c r="H552" s="207"/>
      <c r="I552" s="207"/>
      <c r="J552" s="207"/>
      <c r="K552" s="207"/>
      <c r="L552" s="207"/>
      <c r="M552" s="207"/>
      <c r="N552" s="207"/>
      <c r="O552" s="207"/>
      <c r="P552" s="207"/>
      <c r="Q552" s="207"/>
      <c r="R552" s="207"/>
      <c r="S552" s="207"/>
      <c r="T552" s="207"/>
      <c r="U552" s="207"/>
      <c r="V552" s="207"/>
      <c r="W552" s="208"/>
      <c r="X552" s="208"/>
      <c r="Y552" s="208"/>
      <c r="Z552" s="208"/>
      <c r="AA552" s="208"/>
      <c r="AB552" s="208"/>
      <c r="AC552" s="208"/>
      <c r="AD552" s="208"/>
      <c r="AE552" s="208"/>
      <c r="AF552" s="208"/>
      <c r="AG552" s="208"/>
      <c r="AH552" s="208"/>
      <c r="AI552" s="100"/>
      <c r="AJ552" s="319"/>
      <c r="AK552" s="319"/>
      <c r="AL552" s="319"/>
      <c r="AM552" s="319"/>
      <c r="AN552" s="319"/>
      <c r="AO552" s="319"/>
      <c r="AP552" s="319"/>
      <c r="AQ552" s="319"/>
      <c r="AR552" s="319"/>
      <c r="AS552" s="319"/>
      <c r="AT552" s="319"/>
      <c r="AU552" s="319"/>
      <c r="AV552" s="319"/>
      <c r="AW552" s="319"/>
      <c r="AX552" s="319"/>
      <c r="AY552" s="319"/>
      <c r="AZ552" s="319"/>
      <c r="BA552" s="319"/>
      <c r="BB552" s="319"/>
      <c r="BC552" s="319"/>
      <c r="BD552" s="319"/>
      <c r="BE552" s="319"/>
      <c r="BF552" s="319"/>
      <c r="BG552" s="319"/>
      <c r="BH552" s="319"/>
      <c r="BI552" s="319"/>
      <c r="BJ552" s="319"/>
      <c r="BK552" s="319"/>
      <c r="BL552" s="319"/>
      <c r="BM552" s="319"/>
      <c r="BN552" s="319"/>
      <c r="BO552" s="319"/>
      <c r="BP552" s="319"/>
      <c r="BQ552" s="319"/>
      <c r="BR552" s="319"/>
    </row>
    <row r="553" ht="14.25" customHeight="1">
      <c r="A553" s="195"/>
      <c r="B553" s="100"/>
      <c r="C553" s="100"/>
      <c r="D553" s="100"/>
      <c r="E553" s="100"/>
      <c r="F553" s="206"/>
      <c r="G553" s="206"/>
      <c r="H553" s="207"/>
      <c r="I553" s="207"/>
      <c r="J553" s="207"/>
      <c r="K553" s="207"/>
      <c r="L553" s="207"/>
      <c r="M553" s="207"/>
      <c r="N553" s="207"/>
      <c r="O553" s="207"/>
      <c r="P553" s="207"/>
      <c r="Q553" s="207"/>
      <c r="R553" s="207"/>
      <c r="S553" s="207"/>
      <c r="T553" s="207"/>
      <c r="U553" s="207"/>
      <c r="V553" s="207"/>
      <c r="W553" s="208"/>
      <c r="X553" s="208"/>
      <c r="Y553" s="208"/>
      <c r="Z553" s="208"/>
      <c r="AA553" s="208"/>
      <c r="AB553" s="208"/>
      <c r="AC553" s="208"/>
      <c r="AD553" s="208"/>
      <c r="AE553" s="208"/>
      <c r="AF553" s="208"/>
      <c r="AG553" s="208"/>
      <c r="AH553" s="208"/>
      <c r="AI553" s="100"/>
      <c r="AJ553" s="319"/>
      <c r="AK553" s="319"/>
      <c r="AL553" s="319"/>
      <c r="AM553" s="319"/>
      <c r="AN553" s="319"/>
      <c r="AO553" s="319"/>
      <c r="AP553" s="319"/>
      <c r="AQ553" s="319"/>
      <c r="AR553" s="319"/>
      <c r="AS553" s="319"/>
      <c r="AT553" s="319"/>
      <c r="AU553" s="319"/>
      <c r="AV553" s="319"/>
      <c r="AW553" s="319"/>
      <c r="AX553" s="319"/>
      <c r="AY553" s="319"/>
      <c r="AZ553" s="319"/>
      <c r="BA553" s="319"/>
      <c r="BB553" s="319"/>
      <c r="BC553" s="319"/>
      <c r="BD553" s="319"/>
      <c r="BE553" s="319"/>
      <c r="BF553" s="319"/>
      <c r="BG553" s="319"/>
      <c r="BH553" s="319"/>
      <c r="BI553" s="319"/>
      <c r="BJ553" s="319"/>
      <c r="BK553" s="319"/>
      <c r="BL553" s="319"/>
      <c r="BM553" s="319"/>
      <c r="BN553" s="319"/>
      <c r="BO553" s="319"/>
      <c r="BP553" s="319"/>
      <c r="BQ553" s="319"/>
      <c r="BR553" s="319"/>
    </row>
    <row r="554" ht="14.25" customHeight="1">
      <c r="A554" s="195"/>
      <c r="B554" s="100"/>
      <c r="C554" s="100"/>
      <c r="D554" s="100"/>
      <c r="E554" s="100"/>
      <c r="F554" s="206"/>
      <c r="G554" s="206"/>
      <c r="H554" s="207"/>
      <c r="I554" s="207"/>
      <c r="J554" s="207"/>
      <c r="K554" s="207"/>
      <c r="L554" s="207"/>
      <c r="M554" s="207"/>
      <c r="N554" s="207"/>
      <c r="O554" s="207"/>
      <c r="P554" s="207"/>
      <c r="Q554" s="207"/>
      <c r="R554" s="207"/>
      <c r="S554" s="207"/>
      <c r="T554" s="207"/>
      <c r="U554" s="207"/>
      <c r="V554" s="207"/>
      <c r="W554" s="208"/>
      <c r="X554" s="208"/>
      <c r="Y554" s="208"/>
      <c r="Z554" s="208"/>
      <c r="AA554" s="208"/>
      <c r="AB554" s="208"/>
      <c r="AC554" s="208"/>
      <c r="AD554" s="208"/>
      <c r="AE554" s="208"/>
      <c r="AF554" s="208"/>
      <c r="AG554" s="208"/>
      <c r="AH554" s="208"/>
      <c r="AI554" s="100"/>
      <c r="AJ554" s="319"/>
      <c r="AK554" s="319"/>
      <c r="AL554" s="319"/>
      <c r="AM554" s="319"/>
      <c r="AN554" s="319"/>
      <c r="AO554" s="319"/>
      <c r="AP554" s="319"/>
      <c r="AQ554" s="319"/>
      <c r="AR554" s="319"/>
      <c r="AS554" s="319"/>
      <c r="AT554" s="319"/>
      <c r="AU554" s="319"/>
      <c r="AV554" s="319"/>
      <c r="AW554" s="319"/>
      <c r="AX554" s="319"/>
      <c r="AY554" s="319"/>
      <c r="AZ554" s="319"/>
      <c r="BA554" s="319"/>
      <c r="BB554" s="319"/>
      <c r="BC554" s="319"/>
      <c r="BD554" s="319"/>
      <c r="BE554" s="319"/>
      <c r="BF554" s="319"/>
      <c r="BG554" s="319"/>
      <c r="BH554" s="319"/>
      <c r="BI554" s="319"/>
      <c r="BJ554" s="319"/>
      <c r="BK554" s="319"/>
      <c r="BL554" s="319"/>
      <c r="BM554" s="319"/>
      <c r="BN554" s="319"/>
      <c r="BO554" s="319"/>
      <c r="BP554" s="319"/>
      <c r="BQ554" s="319"/>
      <c r="BR554" s="319"/>
    </row>
    <row r="555" ht="14.25" customHeight="1">
      <c r="A555" s="195"/>
      <c r="B555" s="100"/>
      <c r="C555" s="100"/>
      <c r="D555" s="100"/>
      <c r="E555" s="100"/>
      <c r="F555" s="206"/>
      <c r="G555" s="206"/>
      <c r="H555" s="207"/>
      <c r="I555" s="207"/>
      <c r="J555" s="207"/>
      <c r="K555" s="207"/>
      <c r="L555" s="207"/>
      <c r="M555" s="207"/>
      <c r="N555" s="207"/>
      <c r="O555" s="207"/>
      <c r="P555" s="207"/>
      <c r="Q555" s="207"/>
      <c r="R555" s="207"/>
      <c r="S555" s="207"/>
      <c r="T555" s="207"/>
      <c r="U555" s="207"/>
      <c r="V555" s="207"/>
      <c r="W555" s="208"/>
      <c r="X555" s="208"/>
      <c r="Y555" s="208"/>
      <c r="Z555" s="208"/>
      <c r="AA555" s="208"/>
      <c r="AB555" s="208"/>
      <c r="AC555" s="208"/>
      <c r="AD555" s="208"/>
      <c r="AE555" s="208"/>
      <c r="AF555" s="208"/>
      <c r="AG555" s="208"/>
      <c r="AH555" s="208"/>
      <c r="AI555" s="100"/>
      <c r="AJ555" s="319"/>
      <c r="AK555" s="319"/>
      <c r="AL555" s="319"/>
      <c r="AM555" s="319"/>
      <c r="AN555" s="319"/>
      <c r="AO555" s="319"/>
      <c r="AP555" s="319"/>
      <c r="AQ555" s="319"/>
      <c r="AR555" s="319"/>
      <c r="AS555" s="319"/>
      <c r="AT555" s="319"/>
      <c r="AU555" s="319"/>
      <c r="AV555" s="319"/>
      <c r="AW555" s="319"/>
      <c r="AX555" s="319"/>
      <c r="AY555" s="319"/>
      <c r="AZ555" s="319"/>
      <c r="BA555" s="319"/>
      <c r="BB555" s="319"/>
      <c r="BC555" s="319"/>
      <c r="BD555" s="319"/>
      <c r="BE555" s="319"/>
      <c r="BF555" s="319"/>
      <c r="BG555" s="319"/>
      <c r="BH555" s="319"/>
      <c r="BI555" s="319"/>
      <c r="BJ555" s="319"/>
      <c r="BK555" s="319"/>
      <c r="BL555" s="319"/>
      <c r="BM555" s="319"/>
      <c r="BN555" s="319"/>
      <c r="BO555" s="319"/>
      <c r="BP555" s="319"/>
      <c r="BQ555" s="319"/>
      <c r="BR555" s="319"/>
    </row>
    <row r="556" ht="14.25" customHeight="1">
      <c r="A556" s="195"/>
      <c r="B556" s="100"/>
      <c r="C556" s="100"/>
      <c r="D556" s="100"/>
      <c r="E556" s="100"/>
      <c r="F556" s="206"/>
      <c r="G556" s="206"/>
      <c r="H556" s="207"/>
      <c r="I556" s="207"/>
      <c r="J556" s="207"/>
      <c r="K556" s="207"/>
      <c r="L556" s="207"/>
      <c r="M556" s="207"/>
      <c r="N556" s="207"/>
      <c r="O556" s="207"/>
      <c r="P556" s="207"/>
      <c r="Q556" s="207"/>
      <c r="R556" s="207"/>
      <c r="S556" s="207"/>
      <c r="T556" s="207"/>
      <c r="U556" s="207"/>
      <c r="V556" s="207"/>
      <c r="W556" s="208"/>
      <c r="X556" s="208"/>
      <c r="Y556" s="208"/>
      <c r="Z556" s="208"/>
      <c r="AA556" s="208"/>
      <c r="AB556" s="208"/>
      <c r="AC556" s="208"/>
      <c r="AD556" s="208"/>
      <c r="AE556" s="208"/>
      <c r="AF556" s="208"/>
      <c r="AG556" s="208"/>
      <c r="AH556" s="208"/>
      <c r="AI556" s="100"/>
      <c r="AJ556" s="319"/>
      <c r="AK556" s="319"/>
      <c r="AL556" s="319"/>
      <c r="AM556" s="319"/>
      <c r="AN556" s="319"/>
      <c r="AO556" s="319"/>
      <c r="AP556" s="319"/>
      <c r="AQ556" s="319"/>
      <c r="AR556" s="319"/>
      <c r="AS556" s="319"/>
      <c r="AT556" s="319"/>
      <c r="AU556" s="319"/>
      <c r="AV556" s="319"/>
      <c r="AW556" s="319"/>
      <c r="AX556" s="319"/>
      <c r="AY556" s="319"/>
      <c r="AZ556" s="319"/>
      <c r="BA556" s="319"/>
      <c r="BB556" s="319"/>
      <c r="BC556" s="319"/>
      <c r="BD556" s="319"/>
      <c r="BE556" s="319"/>
      <c r="BF556" s="319"/>
      <c r="BG556" s="319"/>
      <c r="BH556" s="319"/>
      <c r="BI556" s="319"/>
      <c r="BJ556" s="319"/>
      <c r="BK556" s="319"/>
      <c r="BL556" s="319"/>
      <c r="BM556" s="319"/>
      <c r="BN556" s="319"/>
      <c r="BO556" s="319"/>
      <c r="BP556" s="319"/>
      <c r="BQ556" s="319"/>
      <c r="BR556" s="319"/>
    </row>
    <row r="557" ht="14.25" customHeight="1">
      <c r="A557" s="195"/>
      <c r="B557" s="100"/>
      <c r="C557" s="100"/>
      <c r="D557" s="100"/>
      <c r="E557" s="100"/>
      <c r="F557" s="206"/>
      <c r="G557" s="206"/>
      <c r="H557" s="207"/>
      <c r="I557" s="207"/>
      <c r="J557" s="207"/>
      <c r="K557" s="207"/>
      <c r="L557" s="207"/>
      <c r="M557" s="207"/>
      <c r="N557" s="207"/>
      <c r="O557" s="207"/>
      <c r="P557" s="207"/>
      <c r="Q557" s="207"/>
      <c r="R557" s="207"/>
      <c r="S557" s="207"/>
      <c r="T557" s="207"/>
      <c r="U557" s="207"/>
      <c r="V557" s="207"/>
      <c r="W557" s="208"/>
      <c r="X557" s="208"/>
      <c r="Y557" s="208"/>
      <c r="Z557" s="208"/>
      <c r="AA557" s="208"/>
      <c r="AB557" s="208"/>
      <c r="AC557" s="208"/>
      <c r="AD557" s="208"/>
      <c r="AE557" s="208"/>
      <c r="AF557" s="208"/>
      <c r="AG557" s="208"/>
      <c r="AH557" s="208"/>
      <c r="AI557" s="100"/>
      <c r="AJ557" s="319"/>
      <c r="AK557" s="319"/>
      <c r="AL557" s="319"/>
      <c r="AM557" s="319"/>
      <c r="AN557" s="319"/>
      <c r="AO557" s="319"/>
      <c r="AP557" s="319"/>
      <c r="AQ557" s="319"/>
      <c r="AR557" s="319"/>
      <c r="AS557" s="319"/>
      <c r="AT557" s="319"/>
      <c r="AU557" s="319"/>
      <c r="AV557" s="319"/>
      <c r="AW557" s="319"/>
      <c r="AX557" s="319"/>
      <c r="AY557" s="319"/>
      <c r="AZ557" s="319"/>
      <c r="BA557" s="319"/>
      <c r="BB557" s="319"/>
      <c r="BC557" s="319"/>
      <c r="BD557" s="319"/>
      <c r="BE557" s="319"/>
      <c r="BF557" s="319"/>
      <c r="BG557" s="319"/>
      <c r="BH557" s="319"/>
      <c r="BI557" s="319"/>
      <c r="BJ557" s="319"/>
      <c r="BK557" s="319"/>
      <c r="BL557" s="319"/>
      <c r="BM557" s="319"/>
      <c r="BN557" s="319"/>
      <c r="BO557" s="319"/>
      <c r="BP557" s="319"/>
      <c r="BQ557" s="319"/>
      <c r="BR557" s="319"/>
    </row>
    <row r="558" ht="14.25" customHeight="1">
      <c r="A558" s="195"/>
      <c r="B558" s="100"/>
      <c r="C558" s="100"/>
      <c r="D558" s="100"/>
      <c r="E558" s="100"/>
      <c r="F558" s="206"/>
      <c r="G558" s="206"/>
      <c r="H558" s="207"/>
      <c r="I558" s="207"/>
      <c r="J558" s="207"/>
      <c r="K558" s="207"/>
      <c r="L558" s="207"/>
      <c r="M558" s="207"/>
      <c r="N558" s="207"/>
      <c r="O558" s="207"/>
      <c r="P558" s="207"/>
      <c r="Q558" s="207"/>
      <c r="R558" s="207"/>
      <c r="S558" s="207"/>
      <c r="T558" s="207"/>
      <c r="U558" s="207"/>
      <c r="V558" s="207"/>
      <c r="W558" s="208"/>
      <c r="X558" s="208"/>
      <c r="Y558" s="208"/>
      <c r="Z558" s="208"/>
      <c r="AA558" s="208"/>
      <c r="AB558" s="208"/>
      <c r="AC558" s="208"/>
      <c r="AD558" s="208"/>
      <c r="AE558" s="208"/>
      <c r="AF558" s="208"/>
      <c r="AG558" s="208"/>
      <c r="AH558" s="208"/>
      <c r="AI558" s="100"/>
      <c r="AJ558" s="319"/>
      <c r="AK558" s="319"/>
      <c r="AL558" s="319"/>
      <c r="AM558" s="319"/>
      <c r="AN558" s="319"/>
      <c r="AO558" s="319"/>
      <c r="AP558" s="319"/>
      <c r="AQ558" s="319"/>
      <c r="AR558" s="319"/>
      <c r="AS558" s="319"/>
      <c r="AT558" s="319"/>
      <c r="AU558" s="319"/>
      <c r="AV558" s="319"/>
      <c r="AW558" s="319"/>
      <c r="AX558" s="319"/>
      <c r="AY558" s="319"/>
      <c r="AZ558" s="319"/>
      <c r="BA558" s="319"/>
      <c r="BB558" s="319"/>
      <c r="BC558" s="319"/>
      <c r="BD558" s="319"/>
      <c r="BE558" s="319"/>
      <c r="BF558" s="319"/>
      <c r="BG558" s="319"/>
      <c r="BH558" s="319"/>
      <c r="BI558" s="319"/>
      <c r="BJ558" s="319"/>
      <c r="BK558" s="319"/>
      <c r="BL558" s="319"/>
      <c r="BM558" s="319"/>
      <c r="BN558" s="319"/>
      <c r="BO558" s="319"/>
      <c r="BP558" s="319"/>
      <c r="BQ558" s="319"/>
      <c r="BR558" s="319"/>
    </row>
    <row r="559" ht="14.25" customHeight="1">
      <c r="A559" s="195"/>
      <c r="B559" s="100"/>
      <c r="C559" s="100"/>
      <c r="D559" s="100"/>
      <c r="E559" s="100"/>
      <c r="F559" s="206"/>
      <c r="G559" s="206"/>
      <c r="H559" s="207"/>
      <c r="I559" s="207"/>
      <c r="J559" s="207"/>
      <c r="K559" s="207"/>
      <c r="L559" s="207"/>
      <c r="M559" s="207"/>
      <c r="N559" s="207"/>
      <c r="O559" s="207"/>
      <c r="P559" s="207"/>
      <c r="Q559" s="207"/>
      <c r="R559" s="207"/>
      <c r="S559" s="207"/>
      <c r="T559" s="207"/>
      <c r="U559" s="207"/>
      <c r="V559" s="207"/>
      <c r="W559" s="208"/>
      <c r="X559" s="208"/>
      <c r="Y559" s="208"/>
      <c r="Z559" s="208"/>
      <c r="AA559" s="208"/>
      <c r="AB559" s="208"/>
      <c r="AC559" s="208"/>
      <c r="AD559" s="208"/>
      <c r="AE559" s="208"/>
      <c r="AF559" s="208"/>
      <c r="AG559" s="208"/>
      <c r="AH559" s="208"/>
      <c r="AI559" s="100"/>
      <c r="AJ559" s="319"/>
      <c r="AK559" s="319"/>
      <c r="AL559" s="319"/>
      <c r="AM559" s="319"/>
      <c r="AN559" s="319"/>
      <c r="AO559" s="319"/>
      <c r="AP559" s="319"/>
      <c r="AQ559" s="319"/>
      <c r="AR559" s="319"/>
      <c r="AS559" s="319"/>
      <c r="AT559" s="319"/>
      <c r="AU559" s="319"/>
      <c r="AV559" s="319"/>
      <c r="AW559" s="319"/>
      <c r="AX559" s="319"/>
      <c r="AY559" s="319"/>
      <c r="AZ559" s="319"/>
      <c r="BA559" s="319"/>
      <c r="BB559" s="319"/>
      <c r="BC559" s="319"/>
      <c r="BD559" s="319"/>
      <c r="BE559" s="319"/>
      <c r="BF559" s="319"/>
      <c r="BG559" s="319"/>
      <c r="BH559" s="319"/>
      <c r="BI559" s="319"/>
      <c r="BJ559" s="319"/>
      <c r="BK559" s="319"/>
      <c r="BL559" s="319"/>
      <c r="BM559" s="319"/>
      <c r="BN559" s="319"/>
      <c r="BO559" s="319"/>
      <c r="BP559" s="319"/>
      <c r="BQ559" s="319"/>
      <c r="BR559" s="319"/>
    </row>
    <row r="560" ht="14.25" customHeight="1">
      <c r="A560" s="195"/>
      <c r="B560" s="100"/>
      <c r="C560" s="100"/>
      <c r="D560" s="100"/>
      <c r="E560" s="100"/>
      <c r="F560" s="206"/>
      <c r="G560" s="206"/>
      <c r="H560" s="207"/>
      <c r="I560" s="207"/>
      <c r="J560" s="207"/>
      <c r="K560" s="207"/>
      <c r="L560" s="207"/>
      <c r="M560" s="207"/>
      <c r="N560" s="207"/>
      <c r="O560" s="207"/>
      <c r="P560" s="207"/>
      <c r="Q560" s="207"/>
      <c r="R560" s="207"/>
      <c r="S560" s="207"/>
      <c r="T560" s="207"/>
      <c r="U560" s="207"/>
      <c r="V560" s="207"/>
      <c r="W560" s="208"/>
      <c r="X560" s="208"/>
      <c r="Y560" s="208"/>
      <c r="Z560" s="208"/>
      <c r="AA560" s="208"/>
      <c r="AB560" s="208"/>
      <c r="AC560" s="208"/>
      <c r="AD560" s="208"/>
      <c r="AE560" s="208"/>
      <c r="AF560" s="208"/>
      <c r="AG560" s="208"/>
      <c r="AH560" s="208"/>
      <c r="AI560" s="100"/>
      <c r="AJ560" s="319"/>
      <c r="AK560" s="319"/>
      <c r="AL560" s="319"/>
      <c r="AM560" s="319"/>
      <c r="AN560" s="319"/>
      <c r="AO560" s="319"/>
      <c r="AP560" s="319"/>
      <c r="AQ560" s="319"/>
      <c r="AR560" s="319"/>
      <c r="AS560" s="319"/>
      <c r="AT560" s="319"/>
      <c r="AU560" s="319"/>
      <c r="AV560" s="319"/>
      <c r="AW560" s="319"/>
      <c r="AX560" s="319"/>
      <c r="AY560" s="319"/>
      <c r="AZ560" s="319"/>
      <c r="BA560" s="319"/>
      <c r="BB560" s="319"/>
      <c r="BC560" s="319"/>
      <c r="BD560" s="319"/>
      <c r="BE560" s="319"/>
      <c r="BF560" s="319"/>
      <c r="BG560" s="319"/>
      <c r="BH560" s="319"/>
      <c r="BI560" s="319"/>
      <c r="BJ560" s="319"/>
      <c r="BK560" s="319"/>
      <c r="BL560" s="319"/>
      <c r="BM560" s="319"/>
      <c r="BN560" s="319"/>
      <c r="BO560" s="319"/>
      <c r="BP560" s="319"/>
      <c r="BQ560" s="319"/>
      <c r="BR560" s="319"/>
    </row>
    <row r="561" ht="14.25" customHeight="1">
      <c r="A561" s="195"/>
      <c r="B561" s="100"/>
      <c r="C561" s="100"/>
      <c r="D561" s="100"/>
      <c r="E561" s="100"/>
      <c r="F561" s="206"/>
      <c r="G561" s="206"/>
      <c r="H561" s="207"/>
      <c r="I561" s="207"/>
      <c r="J561" s="207"/>
      <c r="K561" s="207"/>
      <c r="L561" s="207"/>
      <c r="M561" s="207"/>
      <c r="N561" s="207"/>
      <c r="O561" s="207"/>
      <c r="P561" s="207"/>
      <c r="Q561" s="207"/>
      <c r="R561" s="207"/>
      <c r="S561" s="207"/>
      <c r="T561" s="207"/>
      <c r="U561" s="207"/>
      <c r="V561" s="207"/>
      <c r="W561" s="208"/>
      <c r="X561" s="208"/>
      <c r="Y561" s="208"/>
      <c r="Z561" s="208"/>
      <c r="AA561" s="208"/>
      <c r="AB561" s="208"/>
      <c r="AC561" s="208"/>
      <c r="AD561" s="208"/>
      <c r="AE561" s="208"/>
      <c r="AF561" s="208"/>
      <c r="AG561" s="208"/>
      <c r="AH561" s="208"/>
      <c r="AI561" s="100"/>
      <c r="AJ561" s="319"/>
      <c r="AK561" s="319"/>
      <c r="AL561" s="319"/>
      <c r="AM561" s="319"/>
      <c r="AN561" s="319"/>
      <c r="AO561" s="319"/>
      <c r="AP561" s="319"/>
      <c r="AQ561" s="319"/>
      <c r="AR561" s="319"/>
      <c r="AS561" s="319"/>
      <c r="AT561" s="319"/>
      <c r="AU561" s="319"/>
      <c r="AV561" s="319"/>
      <c r="AW561" s="319"/>
      <c r="AX561" s="319"/>
      <c r="AY561" s="319"/>
      <c r="AZ561" s="319"/>
      <c r="BA561" s="319"/>
      <c r="BB561" s="319"/>
      <c r="BC561" s="319"/>
      <c r="BD561" s="319"/>
      <c r="BE561" s="319"/>
      <c r="BF561" s="319"/>
      <c r="BG561" s="319"/>
      <c r="BH561" s="319"/>
      <c r="BI561" s="319"/>
      <c r="BJ561" s="319"/>
      <c r="BK561" s="319"/>
      <c r="BL561" s="319"/>
      <c r="BM561" s="319"/>
      <c r="BN561" s="319"/>
      <c r="BO561" s="319"/>
      <c r="BP561" s="319"/>
      <c r="BQ561" s="319"/>
      <c r="BR561" s="319"/>
    </row>
    <row r="562" ht="14.25" customHeight="1">
      <c r="A562" s="195"/>
      <c r="B562" s="100"/>
      <c r="C562" s="100"/>
      <c r="D562" s="100"/>
      <c r="E562" s="100"/>
      <c r="F562" s="206"/>
      <c r="G562" s="206"/>
      <c r="H562" s="207"/>
      <c r="I562" s="207"/>
      <c r="J562" s="207"/>
      <c r="K562" s="207"/>
      <c r="L562" s="207"/>
      <c r="M562" s="207"/>
      <c r="N562" s="207"/>
      <c r="O562" s="207"/>
      <c r="P562" s="207"/>
      <c r="Q562" s="207"/>
      <c r="R562" s="207"/>
      <c r="S562" s="207"/>
      <c r="T562" s="207"/>
      <c r="U562" s="207"/>
      <c r="V562" s="207"/>
      <c r="W562" s="208"/>
      <c r="X562" s="208"/>
      <c r="Y562" s="208"/>
      <c r="Z562" s="208"/>
      <c r="AA562" s="208"/>
      <c r="AB562" s="208"/>
      <c r="AC562" s="208"/>
      <c r="AD562" s="208"/>
      <c r="AE562" s="208"/>
      <c r="AF562" s="208"/>
      <c r="AG562" s="208"/>
      <c r="AH562" s="208"/>
      <c r="AI562" s="100"/>
      <c r="AJ562" s="319"/>
      <c r="AK562" s="319"/>
      <c r="AL562" s="319"/>
      <c r="AM562" s="319"/>
      <c r="AN562" s="319"/>
      <c r="AO562" s="319"/>
      <c r="AP562" s="319"/>
      <c r="AQ562" s="319"/>
      <c r="AR562" s="319"/>
      <c r="AS562" s="319"/>
      <c r="AT562" s="319"/>
      <c r="AU562" s="319"/>
      <c r="AV562" s="319"/>
      <c r="AW562" s="319"/>
      <c r="AX562" s="319"/>
      <c r="AY562" s="319"/>
      <c r="AZ562" s="319"/>
      <c r="BA562" s="319"/>
      <c r="BB562" s="319"/>
      <c r="BC562" s="319"/>
      <c r="BD562" s="319"/>
      <c r="BE562" s="319"/>
      <c r="BF562" s="319"/>
      <c r="BG562" s="319"/>
      <c r="BH562" s="319"/>
      <c r="BI562" s="319"/>
      <c r="BJ562" s="319"/>
      <c r="BK562" s="319"/>
      <c r="BL562" s="319"/>
      <c r="BM562" s="319"/>
      <c r="BN562" s="319"/>
      <c r="BO562" s="319"/>
      <c r="BP562" s="319"/>
      <c r="BQ562" s="319"/>
      <c r="BR562" s="319"/>
    </row>
    <row r="563" ht="14.25" customHeight="1">
      <c r="A563" s="195"/>
      <c r="B563" s="100"/>
      <c r="C563" s="100"/>
      <c r="D563" s="100"/>
      <c r="E563" s="100"/>
      <c r="F563" s="206"/>
      <c r="G563" s="206"/>
      <c r="H563" s="207"/>
      <c r="I563" s="207"/>
      <c r="J563" s="207"/>
      <c r="K563" s="207"/>
      <c r="L563" s="207"/>
      <c r="M563" s="207"/>
      <c r="N563" s="207"/>
      <c r="O563" s="207"/>
      <c r="P563" s="207"/>
      <c r="Q563" s="207"/>
      <c r="R563" s="207"/>
      <c r="S563" s="207"/>
      <c r="T563" s="207"/>
      <c r="U563" s="207"/>
      <c r="V563" s="207"/>
      <c r="W563" s="208"/>
      <c r="X563" s="208"/>
      <c r="Y563" s="208"/>
      <c r="Z563" s="208"/>
      <c r="AA563" s="208"/>
      <c r="AB563" s="208"/>
      <c r="AC563" s="208"/>
      <c r="AD563" s="208"/>
      <c r="AE563" s="208"/>
      <c r="AF563" s="208"/>
      <c r="AG563" s="208"/>
      <c r="AH563" s="208"/>
      <c r="AI563" s="100"/>
      <c r="AJ563" s="319"/>
      <c r="AK563" s="319"/>
      <c r="AL563" s="319"/>
      <c r="AM563" s="319"/>
      <c r="AN563" s="319"/>
      <c r="AO563" s="319"/>
      <c r="AP563" s="319"/>
      <c r="AQ563" s="319"/>
      <c r="AR563" s="319"/>
      <c r="AS563" s="319"/>
      <c r="AT563" s="319"/>
      <c r="AU563" s="319"/>
      <c r="AV563" s="319"/>
      <c r="AW563" s="319"/>
      <c r="AX563" s="319"/>
      <c r="AY563" s="319"/>
      <c r="AZ563" s="319"/>
      <c r="BA563" s="319"/>
      <c r="BB563" s="319"/>
      <c r="BC563" s="319"/>
      <c r="BD563" s="319"/>
      <c r="BE563" s="319"/>
      <c r="BF563" s="319"/>
      <c r="BG563" s="319"/>
      <c r="BH563" s="319"/>
      <c r="BI563" s="319"/>
      <c r="BJ563" s="319"/>
      <c r="BK563" s="319"/>
      <c r="BL563" s="319"/>
      <c r="BM563" s="319"/>
      <c r="BN563" s="319"/>
      <c r="BO563" s="319"/>
      <c r="BP563" s="319"/>
      <c r="BQ563" s="319"/>
      <c r="BR563" s="319"/>
    </row>
    <row r="564" ht="14.25" customHeight="1">
      <c r="A564" s="195"/>
      <c r="B564" s="100"/>
      <c r="C564" s="100"/>
      <c r="D564" s="100"/>
      <c r="E564" s="100"/>
      <c r="F564" s="206"/>
      <c r="G564" s="206"/>
      <c r="H564" s="207"/>
      <c r="I564" s="207"/>
      <c r="J564" s="207"/>
      <c r="K564" s="207"/>
      <c r="L564" s="207"/>
      <c r="M564" s="207"/>
      <c r="N564" s="207"/>
      <c r="O564" s="207"/>
      <c r="P564" s="207"/>
      <c r="Q564" s="207"/>
      <c r="R564" s="207"/>
      <c r="S564" s="207"/>
      <c r="T564" s="207"/>
      <c r="U564" s="207"/>
      <c r="V564" s="207"/>
      <c r="W564" s="208"/>
      <c r="X564" s="208"/>
      <c r="Y564" s="208"/>
      <c r="Z564" s="208"/>
      <c r="AA564" s="208"/>
      <c r="AB564" s="208"/>
      <c r="AC564" s="208"/>
      <c r="AD564" s="208"/>
      <c r="AE564" s="208"/>
      <c r="AF564" s="208"/>
      <c r="AG564" s="208"/>
      <c r="AH564" s="208"/>
      <c r="AI564" s="100"/>
      <c r="AJ564" s="319"/>
      <c r="AK564" s="319"/>
      <c r="AL564" s="319"/>
      <c r="AM564" s="319"/>
      <c r="AN564" s="319"/>
      <c r="AO564" s="319"/>
      <c r="AP564" s="319"/>
      <c r="AQ564" s="319"/>
      <c r="AR564" s="319"/>
      <c r="AS564" s="319"/>
      <c r="AT564" s="319"/>
      <c r="AU564" s="319"/>
      <c r="AV564" s="319"/>
      <c r="AW564" s="319"/>
      <c r="AX564" s="319"/>
      <c r="AY564" s="319"/>
      <c r="AZ564" s="319"/>
      <c r="BA564" s="319"/>
      <c r="BB564" s="319"/>
      <c r="BC564" s="319"/>
      <c r="BD564" s="319"/>
      <c r="BE564" s="319"/>
      <c r="BF564" s="319"/>
      <c r="BG564" s="319"/>
      <c r="BH564" s="319"/>
      <c r="BI564" s="319"/>
      <c r="BJ564" s="319"/>
      <c r="BK564" s="319"/>
      <c r="BL564" s="319"/>
      <c r="BM564" s="319"/>
      <c r="BN564" s="319"/>
      <c r="BO564" s="319"/>
      <c r="BP564" s="319"/>
      <c r="BQ564" s="319"/>
      <c r="BR564" s="319"/>
    </row>
    <row r="565" ht="14.25" customHeight="1">
      <c r="A565" s="195"/>
      <c r="B565" s="100"/>
      <c r="C565" s="100"/>
      <c r="D565" s="100"/>
      <c r="E565" s="100"/>
      <c r="F565" s="206"/>
      <c r="G565" s="206"/>
      <c r="H565" s="207"/>
      <c r="I565" s="207"/>
      <c r="J565" s="207"/>
      <c r="K565" s="207"/>
      <c r="L565" s="207"/>
      <c r="M565" s="207"/>
      <c r="N565" s="207"/>
      <c r="O565" s="207"/>
      <c r="P565" s="207"/>
      <c r="Q565" s="207"/>
      <c r="R565" s="207"/>
      <c r="S565" s="207"/>
      <c r="T565" s="207"/>
      <c r="U565" s="207"/>
      <c r="V565" s="207"/>
      <c r="W565" s="208"/>
      <c r="X565" s="208"/>
      <c r="Y565" s="208"/>
      <c r="Z565" s="208"/>
      <c r="AA565" s="208"/>
      <c r="AB565" s="208"/>
      <c r="AC565" s="208"/>
      <c r="AD565" s="208"/>
      <c r="AE565" s="208"/>
      <c r="AF565" s="208"/>
      <c r="AG565" s="208"/>
      <c r="AH565" s="208"/>
      <c r="AI565" s="100"/>
      <c r="AJ565" s="319"/>
      <c r="AK565" s="319"/>
      <c r="AL565" s="319"/>
      <c r="AM565" s="319"/>
      <c r="AN565" s="319"/>
      <c r="AO565" s="319"/>
      <c r="AP565" s="319"/>
      <c r="AQ565" s="319"/>
      <c r="AR565" s="319"/>
      <c r="AS565" s="319"/>
      <c r="AT565" s="319"/>
      <c r="AU565" s="319"/>
      <c r="AV565" s="319"/>
      <c r="AW565" s="319"/>
      <c r="AX565" s="319"/>
      <c r="AY565" s="319"/>
      <c r="AZ565" s="319"/>
      <c r="BA565" s="319"/>
      <c r="BB565" s="319"/>
      <c r="BC565" s="319"/>
      <c r="BD565" s="319"/>
      <c r="BE565" s="319"/>
      <c r="BF565" s="319"/>
      <c r="BG565" s="319"/>
      <c r="BH565" s="319"/>
      <c r="BI565" s="319"/>
      <c r="BJ565" s="319"/>
      <c r="BK565" s="319"/>
      <c r="BL565" s="319"/>
      <c r="BM565" s="319"/>
      <c r="BN565" s="319"/>
      <c r="BO565" s="319"/>
      <c r="BP565" s="319"/>
      <c r="BQ565" s="319"/>
      <c r="BR565" s="319"/>
    </row>
    <row r="566" ht="14.25" customHeight="1">
      <c r="A566" s="195"/>
      <c r="B566" s="100"/>
      <c r="C566" s="100"/>
      <c r="D566" s="100"/>
      <c r="E566" s="100"/>
      <c r="F566" s="206"/>
      <c r="G566" s="206"/>
      <c r="H566" s="207"/>
      <c r="I566" s="207"/>
      <c r="J566" s="207"/>
      <c r="K566" s="207"/>
      <c r="L566" s="207"/>
      <c r="M566" s="207"/>
      <c r="N566" s="207"/>
      <c r="O566" s="207"/>
      <c r="P566" s="207"/>
      <c r="Q566" s="207"/>
      <c r="R566" s="207"/>
      <c r="S566" s="207"/>
      <c r="T566" s="207"/>
      <c r="U566" s="207"/>
      <c r="V566" s="207"/>
      <c r="W566" s="208"/>
      <c r="X566" s="208"/>
      <c r="Y566" s="208"/>
      <c r="Z566" s="208"/>
      <c r="AA566" s="208"/>
      <c r="AB566" s="208"/>
      <c r="AC566" s="208"/>
      <c r="AD566" s="208"/>
      <c r="AE566" s="208"/>
      <c r="AF566" s="208"/>
      <c r="AG566" s="208"/>
      <c r="AH566" s="208"/>
      <c r="AI566" s="100"/>
      <c r="AJ566" s="319"/>
      <c r="AK566" s="319"/>
      <c r="AL566" s="319"/>
      <c r="AM566" s="319"/>
      <c r="AN566" s="319"/>
      <c r="AO566" s="319"/>
      <c r="AP566" s="319"/>
      <c r="AQ566" s="319"/>
      <c r="AR566" s="319"/>
      <c r="AS566" s="319"/>
      <c r="AT566" s="319"/>
      <c r="AU566" s="319"/>
      <c r="AV566" s="319"/>
      <c r="AW566" s="319"/>
      <c r="AX566" s="319"/>
      <c r="AY566" s="319"/>
      <c r="AZ566" s="319"/>
      <c r="BA566" s="319"/>
      <c r="BB566" s="319"/>
      <c r="BC566" s="319"/>
      <c r="BD566" s="319"/>
      <c r="BE566" s="319"/>
      <c r="BF566" s="319"/>
      <c r="BG566" s="319"/>
      <c r="BH566" s="319"/>
      <c r="BI566" s="319"/>
      <c r="BJ566" s="319"/>
      <c r="BK566" s="319"/>
      <c r="BL566" s="319"/>
      <c r="BM566" s="319"/>
      <c r="BN566" s="319"/>
      <c r="BO566" s="319"/>
      <c r="BP566" s="319"/>
      <c r="BQ566" s="319"/>
      <c r="BR566" s="319"/>
    </row>
    <row r="567" ht="14.25" customHeight="1">
      <c r="A567" s="195"/>
      <c r="B567" s="100"/>
      <c r="C567" s="100"/>
      <c r="D567" s="100"/>
      <c r="E567" s="100"/>
      <c r="F567" s="206"/>
      <c r="G567" s="206"/>
      <c r="H567" s="207"/>
      <c r="I567" s="207"/>
      <c r="J567" s="207"/>
      <c r="K567" s="207"/>
      <c r="L567" s="207"/>
      <c r="M567" s="207"/>
      <c r="N567" s="207"/>
      <c r="O567" s="207"/>
      <c r="P567" s="207"/>
      <c r="Q567" s="207"/>
      <c r="R567" s="207"/>
      <c r="S567" s="207"/>
      <c r="T567" s="207"/>
      <c r="U567" s="207"/>
      <c r="V567" s="207"/>
      <c r="W567" s="208"/>
      <c r="X567" s="208"/>
      <c r="Y567" s="208"/>
      <c r="Z567" s="208"/>
      <c r="AA567" s="208"/>
      <c r="AB567" s="208"/>
      <c r="AC567" s="208"/>
      <c r="AD567" s="208"/>
      <c r="AE567" s="208"/>
      <c r="AF567" s="208"/>
      <c r="AG567" s="208"/>
      <c r="AH567" s="208"/>
      <c r="AI567" s="100"/>
      <c r="AJ567" s="319"/>
      <c r="AK567" s="319"/>
      <c r="AL567" s="319"/>
      <c r="AM567" s="319"/>
      <c r="AN567" s="319"/>
      <c r="AO567" s="319"/>
      <c r="AP567" s="319"/>
      <c r="AQ567" s="319"/>
      <c r="AR567" s="319"/>
      <c r="AS567" s="319"/>
      <c r="AT567" s="319"/>
      <c r="AU567" s="319"/>
      <c r="AV567" s="319"/>
      <c r="AW567" s="319"/>
      <c r="AX567" s="319"/>
      <c r="AY567" s="319"/>
      <c r="AZ567" s="319"/>
      <c r="BA567" s="319"/>
      <c r="BB567" s="319"/>
      <c r="BC567" s="319"/>
      <c r="BD567" s="319"/>
      <c r="BE567" s="319"/>
      <c r="BF567" s="319"/>
      <c r="BG567" s="319"/>
      <c r="BH567" s="319"/>
      <c r="BI567" s="319"/>
      <c r="BJ567" s="319"/>
      <c r="BK567" s="319"/>
      <c r="BL567" s="319"/>
      <c r="BM567" s="319"/>
      <c r="BN567" s="319"/>
      <c r="BO567" s="319"/>
      <c r="BP567" s="319"/>
      <c r="BQ567" s="319"/>
      <c r="BR567" s="319"/>
    </row>
    <row r="568" ht="14.25" customHeight="1">
      <c r="A568" s="195"/>
      <c r="B568" s="100"/>
      <c r="C568" s="100"/>
      <c r="D568" s="100"/>
      <c r="E568" s="100"/>
      <c r="F568" s="206"/>
      <c r="G568" s="206"/>
      <c r="H568" s="207"/>
      <c r="I568" s="207"/>
      <c r="J568" s="207"/>
      <c r="K568" s="207"/>
      <c r="L568" s="207"/>
      <c r="M568" s="207"/>
      <c r="N568" s="207"/>
      <c r="O568" s="207"/>
      <c r="P568" s="207"/>
      <c r="Q568" s="207"/>
      <c r="R568" s="207"/>
      <c r="S568" s="207"/>
      <c r="T568" s="207"/>
      <c r="U568" s="207"/>
      <c r="V568" s="207"/>
      <c r="W568" s="208"/>
      <c r="X568" s="208"/>
      <c r="Y568" s="208"/>
      <c r="Z568" s="208"/>
      <c r="AA568" s="208"/>
      <c r="AB568" s="208"/>
      <c r="AC568" s="208"/>
      <c r="AD568" s="208"/>
      <c r="AE568" s="208"/>
      <c r="AF568" s="208"/>
      <c r="AG568" s="208"/>
      <c r="AH568" s="208"/>
      <c r="AI568" s="100"/>
      <c r="AJ568" s="319"/>
      <c r="AK568" s="319"/>
      <c r="AL568" s="319"/>
      <c r="AM568" s="319"/>
      <c r="AN568" s="319"/>
      <c r="AO568" s="319"/>
      <c r="AP568" s="319"/>
      <c r="AQ568" s="319"/>
      <c r="AR568" s="319"/>
      <c r="AS568" s="319"/>
      <c r="AT568" s="319"/>
      <c r="AU568" s="319"/>
      <c r="AV568" s="319"/>
      <c r="AW568" s="319"/>
      <c r="AX568" s="319"/>
      <c r="AY568" s="319"/>
      <c r="AZ568" s="319"/>
      <c r="BA568" s="319"/>
      <c r="BB568" s="319"/>
      <c r="BC568" s="319"/>
      <c r="BD568" s="319"/>
      <c r="BE568" s="319"/>
      <c r="BF568" s="319"/>
      <c r="BG568" s="319"/>
      <c r="BH568" s="319"/>
      <c r="BI568" s="319"/>
      <c r="BJ568" s="319"/>
      <c r="BK568" s="319"/>
      <c r="BL568" s="319"/>
      <c r="BM568" s="319"/>
      <c r="BN568" s="319"/>
      <c r="BO568" s="319"/>
      <c r="BP568" s="319"/>
      <c r="BQ568" s="319"/>
      <c r="BR568" s="319"/>
    </row>
    <row r="569" ht="14.25" customHeight="1">
      <c r="A569" s="195"/>
      <c r="B569" s="100"/>
      <c r="C569" s="100"/>
      <c r="D569" s="100"/>
      <c r="E569" s="100"/>
      <c r="F569" s="206"/>
      <c r="G569" s="206"/>
      <c r="H569" s="207"/>
      <c r="I569" s="207"/>
      <c r="J569" s="207"/>
      <c r="K569" s="207"/>
      <c r="L569" s="207"/>
      <c r="M569" s="207"/>
      <c r="N569" s="207"/>
      <c r="O569" s="207"/>
      <c r="P569" s="207"/>
      <c r="Q569" s="207"/>
      <c r="R569" s="207"/>
      <c r="S569" s="207"/>
      <c r="T569" s="207"/>
      <c r="U569" s="207"/>
      <c r="V569" s="207"/>
      <c r="W569" s="208"/>
      <c r="X569" s="208"/>
      <c r="Y569" s="208"/>
      <c r="Z569" s="208"/>
      <c r="AA569" s="208"/>
      <c r="AB569" s="208"/>
      <c r="AC569" s="208"/>
      <c r="AD569" s="208"/>
      <c r="AE569" s="208"/>
      <c r="AF569" s="208"/>
      <c r="AG569" s="208"/>
      <c r="AH569" s="208"/>
      <c r="AI569" s="100"/>
      <c r="AJ569" s="319"/>
      <c r="AK569" s="319"/>
      <c r="AL569" s="319"/>
      <c r="AM569" s="319"/>
      <c r="AN569" s="319"/>
      <c r="AO569" s="319"/>
      <c r="AP569" s="319"/>
      <c r="AQ569" s="319"/>
      <c r="AR569" s="319"/>
      <c r="AS569" s="319"/>
      <c r="AT569" s="319"/>
      <c r="AU569" s="319"/>
      <c r="AV569" s="319"/>
      <c r="AW569" s="319"/>
      <c r="AX569" s="319"/>
      <c r="AY569" s="319"/>
      <c r="AZ569" s="319"/>
      <c r="BA569" s="319"/>
      <c r="BB569" s="319"/>
      <c r="BC569" s="319"/>
      <c r="BD569" s="319"/>
      <c r="BE569" s="319"/>
      <c r="BF569" s="319"/>
      <c r="BG569" s="319"/>
      <c r="BH569" s="319"/>
      <c r="BI569" s="319"/>
      <c r="BJ569" s="319"/>
      <c r="BK569" s="319"/>
      <c r="BL569" s="319"/>
      <c r="BM569" s="319"/>
      <c r="BN569" s="319"/>
      <c r="BO569" s="319"/>
      <c r="BP569" s="319"/>
      <c r="BQ569" s="319"/>
      <c r="BR569" s="319"/>
    </row>
    <row r="570" ht="14.25" customHeight="1">
      <c r="A570" s="195"/>
      <c r="B570" s="100"/>
      <c r="C570" s="100"/>
      <c r="D570" s="100"/>
      <c r="E570" s="100"/>
      <c r="F570" s="206"/>
      <c r="G570" s="206"/>
      <c r="H570" s="207"/>
      <c r="I570" s="207"/>
      <c r="J570" s="207"/>
      <c r="K570" s="207"/>
      <c r="L570" s="207"/>
      <c r="M570" s="207"/>
      <c r="N570" s="207"/>
      <c r="O570" s="207"/>
      <c r="P570" s="207"/>
      <c r="Q570" s="207"/>
      <c r="R570" s="207"/>
      <c r="S570" s="207"/>
      <c r="T570" s="207"/>
      <c r="U570" s="207"/>
      <c r="V570" s="207"/>
      <c r="W570" s="208"/>
      <c r="X570" s="208"/>
      <c r="Y570" s="208"/>
      <c r="Z570" s="208"/>
      <c r="AA570" s="208"/>
      <c r="AB570" s="208"/>
      <c r="AC570" s="208"/>
      <c r="AD570" s="208"/>
      <c r="AE570" s="208"/>
      <c r="AF570" s="208"/>
      <c r="AG570" s="208"/>
      <c r="AH570" s="208"/>
      <c r="AI570" s="100"/>
      <c r="AJ570" s="319"/>
      <c r="AK570" s="319"/>
      <c r="AL570" s="319"/>
      <c r="AM570" s="319"/>
      <c r="AN570" s="319"/>
      <c r="AO570" s="319"/>
      <c r="AP570" s="319"/>
      <c r="AQ570" s="319"/>
      <c r="AR570" s="319"/>
      <c r="AS570" s="319"/>
      <c r="AT570" s="319"/>
      <c r="AU570" s="319"/>
      <c r="AV570" s="319"/>
      <c r="AW570" s="319"/>
      <c r="AX570" s="319"/>
      <c r="AY570" s="319"/>
      <c r="AZ570" s="319"/>
      <c r="BA570" s="319"/>
      <c r="BB570" s="319"/>
      <c r="BC570" s="319"/>
      <c r="BD570" s="319"/>
      <c r="BE570" s="319"/>
      <c r="BF570" s="319"/>
      <c r="BG570" s="319"/>
      <c r="BH570" s="319"/>
      <c r="BI570" s="319"/>
      <c r="BJ570" s="319"/>
      <c r="BK570" s="319"/>
      <c r="BL570" s="319"/>
      <c r="BM570" s="319"/>
      <c r="BN570" s="319"/>
      <c r="BO570" s="319"/>
      <c r="BP570" s="319"/>
      <c r="BQ570" s="319"/>
      <c r="BR570" s="319"/>
    </row>
    <row r="571" ht="14.25" customHeight="1">
      <c r="A571" s="195"/>
      <c r="B571" s="100"/>
      <c r="C571" s="100"/>
      <c r="D571" s="100"/>
      <c r="E571" s="100"/>
      <c r="F571" s="206"/>
      <c r="G571" s="206"/>
      <c r="H571" s="207"/>
      <c r="I571" s="207"/>
      <c r="J571" s="207"/>
      <c r="K571" s="207"/>
      <c r="L571" s="207"/>
      <c r="M571" s="207"/>
      <c r="N571" s="207"/>
      <c r="O571" s="207"/>
      <c r="P571" s="207"/>
      <c r="Q571" s="207"/>
      <c r="R571" s="207"/>
      <c r="S571" s="207"/>
      <c r="T571" s="207"/>
      <c r="U571" s="207"/>
      <c r="V571" s="207"/>
      <c r="W571" s="208"/>
      <c r="X571" s="208"/>
      <c r="Y571" s="208"/>
      <c r="Z571" s="208"/>
      <c r="AA571" s="208"/>
      <c r="AB571" s="208"/>
      <c r="AC571" s="208"/>
      <c r="AD571" s="208"/>
      <c r="AE571" s="208"/>
      <c r="AF571" s="208"/>
      <c r="AG571" s="208"/>
      <c r="AH571" s="208"/>
      <c r="AI571" s="100"/>
      <c r="AJ571" s="319"/>
      <c r="AK571" s="319"/>
      <c r="AL571" s="319"/>
      <c r="AM571" s="319"/>
      <c r="AN571" s="319"/>
      <c r="AO571" s="319"/>
      <c r="AP571" s="319"/>
      <c r="AQ571" s="319"/>
      <c r="AR571" s="319"/>
      <c r="AS571" s="319"/>
      <c r="AT571" s="319"/>
      <c r="AU571" s="319"/>
      <c r="AV571" s="319"/>
      <c r="AW571" s="319"/>
      <c r="AX571" s="319"/>
      <c r="AY571" s="319"/>
      <c r="AZ571" s="319"/>
      <c r="BA571" s="319"/>
      <c r="BB571" s="319"/>
      <c r="BC571" s="319"/>
      <c r="BD571" s="319"/>
      <c r="BE571" s="319"/>
      <c r="BF571" s="319"/>
      <c r="BG571" s="319"/>
      <c r="BH571" s="319"/>
      <c r="BI571" s="319"/>
      <c r="BJ571" s="319"/>
      <c r="BK571" s="319"/>
      <c r="BL571" s="319"/>
      <c r="BM571" s="319"/>
      <c r="BN571" s="319"/>
      <c r="BO571" s="319"/>
      <c r="BP571" s="319"/>
      <c r="BQ571" s="319"/>
      <c r="BR571" s="319"/>
    </row>
    <row r="572" ht="14.25" customHeight="1">
      <c r="A572" s="195"/>
      <c r="B572" s="100"/>
      <c r="C572" s="100"/>
      <c r="D572" s="100"/>
      <c r="E572" s="100"/>
      <c r="F572" s="206"/>
      <c r="G572" s="206"/>
      <c r="H572" s="207"/>
      <c r="I572" s="207"/>
      <c r="J572" s="207"/>
      <c r="K572" s="207"/>
      <c r="L572" s="207"/>
      <c r="M572" s="207"/>
      <c r="N572" s="207"/>
      <c r="O572" s="207"/>
      <c r="P572" s="207"/>
      <c r="Q572" s="207"/>
      <c r="R572" s="207"/>
      <c r="S572" s="207"/>
      <c r="T572" s="207"/>
      <c r="U572" s="207"/>
      <c r="V572" s="207"/>
      <c r="W572" s="208"/>
      <c r="X572" s="208"/>
      <c r="Y572" s="208"/>
      <c r="Z572" s="208"/>
      <c r="AA572" s="208"/>
      <c r="AB572" s="208"/>
      <c r="AC572" s="208"/>
      <c r="AD572" s="208"/>
      <c r="AE572" s="208"/>
      <c r="AF572" s="208"/>
      <c r="AG572" s="208"/>
      <c r="AH572" s="208"/>
      <c r="AI572" s="100"/>
      <c r="AJ572" s="319"/>
      <c r="AK572" s="319"/>
      <c r="AL572" s="319"/>
      <c r="AM572" s="319"/>
      <c r="AN572" s="319"/>
      <c r="AO572" s="319"/>
      <c r="AP572" s="319"/>
      <c r="AQ572" s="319"/>
      <c r="AR572" s="319"/>
      <c r="AS572" s="319"/>
      <c r="AT572" s="319"/>
      <c r="AU572" s="319"/>
      <c r="AV572" s="319"/>
      <c r="AW572" s="319"/>
      <c r="AX572" s="319"/>
      <c r="AY572" s="319"/>
      <c r="AZ572" s="319"/>
      <c r="BA572" s="319"/>
      <c r="BB572" s="319"/>
      <c r="BC572" s="319"/>
      <c r="BD572" s="319"/>
      <c r="BE572" s="319"/>
      <c r="BF572" s="319"/>
      <c r="BG572" s="319"/>
      <c r="BH572" s="319"/>
      <c r="BI572" s="319"/>
      <c r="BJ572" s="319"/>
      <c r="BK572" s="319"/>
      <c r="BL572" s="319"/>
      <c r="BM572" s="319"/>
      <c r="BN572" s="319"/>
      <c r="BO572" s="319"/>
      <c r="BP572" s="319"/>
      <c r="BQ572" s="319"/>
      <c r="BR572" s="319"/>
    </row>
    <row r="573" ht="14.25" customHeight="1">
      <c r="A573" s="195"/>
      <c r="B573" s="100"/>
      <c r="C573" s="100"/>
      <c r="D573" s="100"/>
      <c r="E573" s="100"/>
      <c r="F573" s="206"/>
      <c r="G573" s="206"/>
      <c r="H573" s="207"/>
      <c r="I573" s="207"/>
      <c r="J573" s="207"/>
      <c r="K573" s="207"/>
      <c r="L573" s="207"/>
      <c r="M573" s="207"/>
      <c r="N573" s="207"/>
      <c r="O573" s="207"/>
      <c r="P573" s="207"/>
      <c r="Q573" s="207"/>
      <c r="R573" s="207"/>
      <c r="S573" s="207"/>
      <c r="T573" s="207"/>
      <c r="U573" s="207"/>
      <c r="V573" s="207"/>
      <c r="W573" s="208"/>
      <c r="X573" s="208"/>
      <c r="Y573" s="208"/>
      <c r="Z573" s="208"/>
      <c r="AA573" s="208"/>
      <c r="AB573" s="208"/>
      <c r="AC573" s="208"/>
      <c r="AD573" s="208"/>
      <c r="AE573" s="208"/>
      <c r="AF573" s="208"/>
      <c r="AG573" s="208"/>
      <c r="AH573" s="208"/>
      <c r="AI573" s="100"/>
      <c r="AJ573" s="319"/>
      <c r="AK573" s="319"/>
      <c r="AL573" s="319"/>
      <c r="AM573" s="319"/>
      <c r="AN573" s="319"/>
      <c r="AO573" s="319"/>
      <c r="AP573" s="319"/>
      <c r="AQ573" s="319"/>
      <c r="AR573" s="319"/>
      <c r="AS573" s="319"/>
      <c r="AT573" s="319"/>
      <c r="AU573" s="319"/>
      <c r="AV573" s="319"/>
      <c r="AW573" s="319"/>
      <c r="AX573" s="319"/>
      <c r="AY573" s="319"/>
      <c r="AZ573" s="319"/>
      <c r="BA573" s="319"/>
      <c r="BB573" s="319"/>
      <c r="BC573" s="319"/>
      <c r="BD573" s="319"/>
      <c r="BE573" s="319"/>
      <c r="BF573" s="319"/>
      <c r="BG573" s="319"/>
      <c r="BH573" s="319"/>
      <c r="BI573" s="319"/>
      <c r="BJ573" s="319"/>
      <c r="BK573" s="319"/>
      <c r="BL573" s="319"/>
      <c r="BM573" s="319"/>
      <c r="BN573" s="319"/>
      <c r="BO573" s="319"/>
      <c r="BP573" s="319"/>
      <c r="BQ573" s="319"/>
      <c r="BR573" s="319"/>
    </row>
    <row r="574" ht="14.25" customHeight="1">
      <c r="A574" s="195"/>
      <c r="B574" s="100"/>
      <c r="C574" s="100"/>
      <c r="D574" s="100"/>
      <c r="E574" s="100"/>
      <c r="F574" s="206"/>
      <c r="G574" s="206"/>
      <c r="H574" s="207"/>
      <c r="I574" s="207"/>
      <c r="J574" s="207"/>
      <c r="K574" s="207"/>
      <c r="L574" s="207"/>
      <c r="M574" s="207"/>
      <c r="N574" s="207"/>
      <c r="O574" s="207"/>
      <c r="P574" s="207"/>
      <c r="Q574" s="207"/>
      <c r="R574" s="207"/>
      <c r="S574" s="207"/>
      <c r="T574" s="207"/>
      <c r="U574" s="207"/>
      <c r="V574" s="207"/>
      <c r="W574" s="208"/>
      <c r="X574" s="208"/>
      <c r="Y574" s="208"/>
      <c r="Z574" s="208"/>
      <c r="AA574" s="208"/>
      <c r="AB574" s="208"/>
      <c r="AC574" s="208"/>
      <c r="AD574" s="208"/>
      <c r="AE574" s="208"/>
      <c r="AF574" s="208"/>
      <c r="AG574" s="208"/>
      <c r="AH574" s="208"/>
      <c r="AI574" s="100"/>
      <c r="AJ574" s="319"/>
      <c r="AK574" s="319"/>
      <c r="AL574" s="319"/>
      <c r="AM574" s="319"/>
      <c r="AN574" s="319"/>
      <c r="AO574" s="319"/>
      <c r="AP574" s="319"/>
      <c r="AQ574" s="319"/>
      <c r="AR574" s="319"/>
      <c r="AS574" s="319"/>
      <c r="AT574" s="319"/>
      <c r="AU574" s="319"/>
      <c r="AV574" s="319"/>
      <c r="AW574" s="319"/>
      <c r="AX574" s="319"/>
      <c r="AY574" s="319"/>
      <c r="AZ574" s="319"/>
      <c r="BA574" s="319"/>
      <c r="BB574" s="319"/>
      <c r="BC574" s="319"/>
      <c r="BD574" s="319"/>
      <c r="BE574" s="319"/>
      <c r="BF574" s="319"/>
      <c r="BG574" s="319"/>
      <c r="BH574" s="319"/>
      <c r="BI574" s="319"/>
      <c r="BJ574" s="319"/>
      <c r="BK574" s="319"/>
      <c r="BL574" s="319"/>
      <c r="BM574" s="319"/>
      <c r="BN574" s="319"/>
      <c r="BO574" s="319"/>
      <c r="BP574" s="319"/>
      <c r="BQ574" s="319"/>
      <c r="BR574" s="319"/>
    </row>
    <row r="575" ht="14.25" customHeight="1">
      <c r="A575" s="195"/>
      <c r="B575" s="100"/>
      <c r="C575" s="100"/>
      <c r="D575" s="100"/>
      <c r="E575" s="100"/>
      <c r="F575" s="206"/>
      <c r="G575" s="206"/>
      <c r="H575" s="207"/>
      <c r="I575" s="207"/>
      <c r="J575" s="207"/>
      <c r="K575" s="207"/>
      <c r="L575" s="207"/>
      <c r="M575" s="207"/>
      <c r="N575" s="207"/>
      <c r="O575" s="207"/>
      <c r="P575" s="207"/>
      <c r="Q575" s="207"/>
      <c r="R575" s="207"/>
      <c r="S575" s="207"/>
      <c r="T575" s="207"/>
      <c r="U575" s="207"/>
      <c r="V575" s="207"/>
      <c r="W575" s="208"/>
      <c r="X575" s="208"/>
      <c r="Y575" s="208"/>
      <c r="Z575" s="208"/>
      <c r="AA575" s="208"/>
      <c r="AB575" s="208"/>
      <c r="AC575" s="208"/>
      <c r="AD575" s="208"/>
      <c r="AE575" s="208"/>
      <c r="AF575" s="208"/>
      <c r="AG575" s="208"/>
      <c r="AH575" s="208"/>
      <c r="AI575" s="100"/>
      <c r="AJ575" s="319"/>
      <c r="AK575" s="319"/>
      <c r="AL575" s="319"/>
      <c r="AM575" s="319"/>
      <c r="AN575" s="319"/>
      <c r="AO575" s="319"/>
      <c r="AP575" s="319"/>
      <c r="AQ575" s="319"/>
      <c r="AR575" s="319"/>
      <c r="AS575" s="319"/>
      <c r="AT575" s="319"/>
      <c r="AU575" s="319"/>
      <c r="AV575" s="319"/>
      <c r="AW575" s="319"/>
      <c r="AX575" s="319"/>
      <c r="AY575" s="319"/>
      <c r="AZ575" s="319"/>
      <c r="BA575" s="319"/>
      <c r="BB575" s="319"/>
      <c r="BC575" s="319"/>
      <c r="BD575" s="319"/>
      <c r="BE575" s="319"/>
      <c r="BF575" s="319"/>
      <c r="BG575" s="319"/>
      <c r="BH575" s="319"/>
      <c r="BI575" s="319"/>
      <c r="BJ575" s="319"/>
      <c r="BK575" s="319"/>
      <c r="BL575" s="319"/>
      <c r="BM575" s="319"/>
      <c r="BN575" s="319"/>
      <c r="BO575" s="319"/>
      <c r="BP575" s="319"/>
      <c r="BQ575" s="319"/>
      <c r="BR575" s="319"/>
    </row>
    <row r="576" ht="14.25" customHeight="1">
      <c r="A576" s="195"/>
      <c r="B576" s="100"/>
      <c r="C576" s="100"/>
      <c r="D576" s="100"/>
      <c r="E576" s="100"/>
      <c r="F576" s="206"/>
      <c r="G576" s="206"/>
      <c r="H576" s="207"/>
      <c r="I576" s="207"/>
      <c r="J576" s="207"/>
      <c r="K576" s="207"/>
      <c r="L576" s="207"/>
      <c r="M576" s="207"/>
      <c r="N576" s="207"/>
      <c r="O576" s="207"/>
      <c r="P576" s="207"/>
      <c r="Q576" s="207"/>
      <c r="R576" s="207"/>
      <c r="S576" s="207"/>
      <c r="T576" s="207"/>
      <c r="U576" s="207"/>
      <c r="V576" s="207"/>
      <c r="W576" s="208"/>
      <c r="X576" s="208"/>
      <c r="Y576" s="208"/>
      <c r="Z576" s="208"/>
      <c r="AA576" s="208"/>
      <c r="AB576" s="208"/>
      <c r="AC576" s="208"/>
      <c r="AD576" s="208"/>
      <c r="AE576" s="208"/>
      <c r="AF576" s="208"/>
      <c r="AG576" s="208"/>
      <c r="AH576" s="208"/>
      <c r="AI576" s="100"/>
      <c r="AJ576" s="319"/>
      <c r="AK576" s="319"/>
      <c r="AL576" s="319"/>
      <c r="AM576" s="319"/>
      <c r="AN576" s="319"/>
      <c r="AO576" s="319"/>
      <c r="AP576" s="319"/>
      <c r="AQ576" s="319"/>
      <c r="AR576" s="319"/>
      <c r="AS576" s="319"/>
      <c r="AT576" s="319"/>
      <c r="AU576" s="319"/>
      <c r="AV576" s="319"/>
      <c r="AW576" s="319"/>
      <c r="AX576" s="319"/>
      <c r="AY576" s="319"/>
      <c r="AZ576" s="319"/>
      <c r="BA576" s="319"/>
      <c r="BB576" s="319"/>
      <c r="BC576" s="319"/>
      <c r="BD576" s="319"/>
      <c r="BE576" s="319"/>
      <c r="BF576" s="319"/>
      <c r="BG576" s="319"/>
      <c r="BH576" s="319"/>
      <c r="BI576" s="319"/>
      <c r="BJ576" s="319"/>
      <c r="BK576" s="319"/>
      <c r="BL576" s="319"/>
      <c r="BM576" s="319"/>
      <c r="BN576" s="319"/>
      <c r="BO576" s="319"/>
      <c r="BP576" s="319"/>
      <c r="BQ576" s="319"/>
      <c r="BR576" s="319"/>
    </row>
    <row r="577" ht="14.25" customHeight="1">
      <c r="A577" s="195"/>
      <c r="B577" s="100"/>
      <c r="C577" s="100"/>
      <c r="D577" s="100"/>
      <c r="E577" s="100"/>
      <c r="F577" s="206"/>
      <c r="G577" s="206"/>
      <c r="H577" s="207"/>
      <c r="I577" s="207"/>
      <c r="J577" s="207"/>
      <c r="K577" s="207"/>
      <c r="L577" s="207"/>
      <c r="M577" s="207"/>
      <c r="N577" s="207"/>
      <c r="O577" s="207"/>
      <c r="P577" s="207"/>
      <c r="Q577" s="207"/>
      <c r="R577" s="207"/>
      <c r="S577" s="207"/>
      <c r="T577" s="207"/>
      <c r="U577" s="207"/>
      <c r="V577" s="207"/>
      <c r="W577" s="208"/>
      <c r="X577" s="208"/>
      <c r="Y577" s="208"/>
      <c r="Z577" s="208"/>
      <c r="AA577" s="208"/>
      <c r="AB577" s="208"/>
      <c r="AC577" s="208"/>
      <c r="AD577" s="208"/>
      <c r="AE577" s="208"/>
      <c r="AF577" s="208"/>
      <c r="AG577" s="208"/>
      <c r="AH577" s="208"/>
      <c r="AI577" s="100"/>
      <c r="AJ577" s="319"/>
      <c r="AK577" s="319"/>
      <c r="AL577" s="319"/>
      <c r="AM577" s="319"/>
      <c r="AN577" s="319"/>
      <c r="AO577" s="319"/>
      <c r="AP577" s="319"/>
      <c r="AQ577" s="319"/>
      <c r="AR577" s="319"/>
      <c r="AS577" s="319"/>
      <c r="AT577" s="319"/>
      <c r="AU577" s="319"/>
      <c r="AV577" s="319"/>
      <c r="AW577" s="319"/>
      <c r="AX577" s="319"/>
      <c r="AY577" s="319"/>
      <c r="AZ577" s="319"/>
      <c r="BA577" s="319"/>
      <c r="BB577" s="319"/>
      <c r="BC577" s="319"/>
      <c r="BD577" s="319"/>
      <c r="BE577" s="319"/>
      <c r="BF577" s="319"/>
      <c r="BG577" s="319"/>
      <c r="BH577" s="319"/>
      <c r="BI577" s="319"/>
      <c r="BJ577" s="319"/>
      <c r="BK577" s="319"/>
      <c r="BL577" s="319"/>
      <c r="BM577" s="319"/>
      <c r="BN577" s="319"/>
      <c r="BO577" s="319"/>
      <c r="BP577" s="319"/>
      <c r="BQ577" s="319"/>
      <c r="BR577" s="319"/>
    </row>
    <row r="578" ht="14.25" customHeight="1">
      <c r="A578" s="195"/>
      <c r="B578" s="100"/>
      <c r="C578" s="100"/>
      <c r="D578" s="100"/>
      <c r="E578" s="100"/>
      <c r="F578" s="206"/>
      <c r="G578" s="206"/>
      <c r="H578" s="207"/>
      <c r="I578" s="207"/>
      <c r="J578" s="207"/>
      <c r="K578" s="207"/>
      <c r="L578" s="207"/>
      <c r="M578" s="207"/>
      <c r="N578" s="207"/>
      <c r="O578" s="207"/>
      <c r="P578" s="207"/>
      <c r="Q578" s="207"/>
      <c r="R578" s="207"/>
      <c r="S578" s="207"/>
      <c r="T578" s="207"/>
      <c r="U578" s="207"/>
      <c r="V578" s="207"/>
      <c r="W578" s="208"/>
      <c r="X578" s="208"/>
      <c r="Y578" s="208"/>
      <c r="Z578" s="208"/>
      <c r="AA578" s="208"/>
      <c r="AB578" s="208"/>
      <c r="AC578" s="208"/>
      <c r="AD578" s="208"/>
      <c r="AE578" s="208"/>
      <c r="AF578" s="208"/>
      <c r="AG578" s="208"/>
      <c r="AH578" s="208"/>
      <c r="AI578" s="100"/>
      <c r="AJ578" s="319"/>
      <c r="AK578" s="319"/>
      <c r="AL578" s="319"/>
      <c r="AM578" s="319"/>
      <c r="AN578" s="319"/>
      <c r="AO578" s="319"/>
      <c r="AP578" s="319"/>
      <c r="AQ578" s="319"/>
      <c r="AR578" s="319"/>
      <c r="AS578" s="319"/>
      <c r="AT578" s="319"/>
      <c r="AU578" s="319"/>
      <c r="AV578" s="319"/>
      <c r="AW578" s="319"/>
      <c r="AX578" s="319"/>
      <c r="AY578" s="319"/>
      <c r="AZ578" s="319"/>
      <c r="BA578" s="319"/>
      <c r="BB578" s="319"/>
      <c r="BC578" s="319"/>
      <c r="BD578" s="319"/>
      <c r="BE578" s="319"/>
      <c r="BF578" s="319"/>
      <c r="BG578" s="319"/>
      <c r="BH578" s="319"/>
      <c r="BI578" s="319"/>
      <c r="BJ578" s="319"/>
      <c r="BK578" s="319"/>
      <c r="BL578" s="319"/>
      <c r="BM578" s="319"/>
      <c r="BN578" s="319"/>
      <c r="BO578" s="319"/>
      <c r="BP578" s="319"/>
      <c r="BQ578" s="319"/>
      <c r="BR578" s="319"/>
    </row>
    <row r="579" ht="14.25" customHeight="1">
      <c r="A579" s="195"/>
      <c r="B579" s="100"/>
      <c r="C579" s="100"/>
      <c r="D579" s="100"/>
      <c r="E579" s="100"/>
      <c r="F579" s="206"/>
      <c r="G579" s="206"/>
      <c r="H579" s="207"/>
      <c r="I579" s="207"/>
      <c r="J579" s="207"/>
      <c r="K579" s="207"/>
      <c r="L579" s="207"/>
      <c r="M579" s="207"/>
      <c r="N579" s="207"/>
      <c r="O579" s="207"/>
      <c r="P579" s="207"/>
      <c r="Q579" s="207"/>
      <c r="R579" s="207"/>
      <c r="S579" s="207"/>
      <c r="T579" s="207"/>
      <c r="U579" s="207"/>
      <c r="V579" s="207"/>
      <c r="W579" s="208"/>
      <c r="X579" s="208"/>
      <c r="Y579" s="208"/>
      <c r="Z579" s="208"/>
      <c r="AA579" s="208"/>
      <c r="AB579" s="208"/>
      <c r="AC579" s="208"/>
      <c r="AD579" s="208"/>
      <c r="AE579" s="208"/>
      <c r="AF579" s="208"/>
      <c r="AG579" s="208"/>
      <c r="AH579" s="208"/>
      <c r="AI579" s="100"/>
      <c r="AJ579" s="319"/>
      <c r="AK579" s="319"/>
      <c r="AL579" s="319"/>
      <c r="AM579" s="319"/>
      <c r="AN579" s="319"/>
      <c r="AO579" s="319"/>
      <c r="AP579" s="319"/>
      <c r="AQ579" s="319"/>
      <c r="AR579" s="319"/>
      <c r="AS579" s="319"/>
      <c r="AT579" s="319"/>
      <c r="AU579" s="319"/>
      <c r="AV579" s="319"/>
      <c r="AW579" s="319"/>
      <c r="AX579" s="319"/>
      <c r="AY579" s="319"/>
      <c r="AZ579" s="319"/>
      <c r="BA579" s="319"/>
      <c r="BB579" s="319"/>
      <c r="BC579" s="319"/>
      <c r="BD579" s="319"/>
      <c r="BE579" s="319"/>
      <c r="BF579" s="319"/>
      <c r="BG579" s="319"/>
      <c r="BH579" s="319"/>
      <c r="BI579" s="319"/>
      <c r="BJ579" s="319"/>
      <c r="BK579" s="319"/>
      <c r="BL579" s="319"/>
      <c r="BM579" s="319"/>
      <c r="BN579" s="319"/>
      <c r="BO579" s="319"/>
      <c r="BP579" s="319"/>
      <c r="BQ579" s="319"/>
      <c r="BR579" s="319"/>
    </row>
    <row r="580" ht="14.25" customHeight="1">
      <c r="A580" s="195"/>
      <c r="B580" s="100"/>
      <c r="C580" s="100"/>
      <c r="D580" s="100"/>
      <c r="E580" s="100"/>
      <c r="F580" s="206"/>
      <c r="G580" s="206"/>
      <c r="H580" s="207"/>
      <c r="I580" s="207"/>
      <c r="J580" s="207"/>
      <c r="K580" s="207"/>
      <c r="L580" s="207"/>
      <c r="M580" s="207"/>
      <c r="N580" s="207"/>
      <c r="O580" s="207"/>
      <c r="P580" s="207"/>
      <c r="Q580" s="207"/>
      <c r="R580" s="207"/>
      <c r="S580" s="207"/>
      <c r="T580" s="207"/>
      <c r="U580" s="207"/>
      <c r="V580" s="207"/>
      <c r="W580" s="208"/>
      <c r="X580" s="208"/>
      <c r="Y580" s="208"/>
      <c r="Z580" s="208"/>
      <c r="AA580" s="208"/>
      <c r="AB580" s="208"/>
      <c r="AC580" s="208"/>
      <c r="AD580" s="208"/>
      <c r="AE580" s="208"/>
      <c r="AF580" s="208"/>
      <c r="AG580" s="208"/>
      <c r="AH580" s="208"/>
      <c r="AI580" s="100"/>
      <c r="AJ580" s="319"/>
      <c r="AK580" s="319"/>
      <c r="AL580" s="319"/>
      <c r="AM580" s="319"/>
      <c r="AN580" s="319"/>
      <c r="AO580" s="319"/>
      <c r="AP580" s="319"/>
      <c r="AQ580" s="319"/>
      <c r="AR580" s="319"/>
      <c r="AS580" s="319"/>
      <c r="AT580" s="319"/>
      <c r="AU580" s="319"/>
      <c r="AV580" s="319"/>
      <c r="AW580" s="319"/>
      <c r="AX580" s="319"/>
      <c r="AY580" s="319"/>
      <c r="AZ580" s="319"/>
      <c r="BA580" s="319"/>
      <c r="BB580" s="319"/>
      <c r="BC580" s="319"/>
      <c r="BD580" s="319"/>
      <c r="BE580" s="319"/>
      <c r="BF580" s="319"/>
      <c r="BG580" s="319"/>
      <c r="BH580" s="319"/>
      <c r="BI580" s="319"/>
      <c r="BJ580" s="319"/>
      <c r="BK580" s="319"/>
      <c r="BL580" s="319"/>
      <c r="BM580" s="319"/>
      <c r="BN580" s="319"/>
      <c r="BO580" s="319"/>
      <c r="BP580" s="319"/>
      <c r="BQ580" s="319"/>
      <c r="BR580" s="319"/>
    </row>
    <row r="581" ht="14.25" customHeight="1">
      <c r="A581" s="195"/>
      <c r="B581" s="100"/>
      <c r="C581" s="100"/>
      <c r="D581" s="100"/>
      <c r="E581" s="100"/>
      <c r="F581" s="206"/>
      <c r="G581" s="206"/>
      <c r="H581" s="207"/>
      <c r="I581" s="207"/>
      <c r="J581" s="207"/>
      <c r="K581" s="207"/>
      <c r="L581" s="207"/>
      <c r="M581" s="207"/>
      <c r="N581" s="207"/>
      <c r="O581" s="207"/>
      <c r="P581" s="207"/>
      <c r="Q581" s="207"/>
      <c r="R581" s="207"/>
      <c r="S581" s="207"/>
      <c r="T581" s="207"/>
      <c r="U581" s="207"/>
      <c r="V581" s="207"/>
      <c r="W581" s="208"/>
      <c r="X581" s="208"/>
      <c r="Y581" s="208"/>
      <c r="Z581" s="208"/>
      <c r="AA581" s="208"/>
      <c r="AB581" s="208"/>
      <c r="AC581" s="208"/>
      <c r="AD581" s="208"/>
      <c r="AE581" s="208"/>
      <c r="AF581" s="208"/>
      <c r="AG581" s="208"/>
      <c r="AH581" s="208"/>
      <c r="AI581" s="100"/>
      <c r="AJ581" s="319"/>
      <c r="AK581" s="319"/>
      <c r="AL581" s="319"/>
      <c r="AM581" s="319"/>
      <c r="AN581" s="319"/>
      <c r="AO581" s="319"/>
      <c r="AP581" s="319"/>
      <c r="AQ581" s="319"/>
      <c r="AR581" s="319"/>
      <c r="AS581" s="319"/>
      <c r="AT581" s="319"/>
      <c r="AU581" s="319"/>
      <c r="AV581" s="319"/>
      <c r="AW581" s="319"/>
      <c r="AX581" s="319"/>
      <c r="AY581" s="319"/>
      <c r="AZ581" s="319"/>
      <c r="BA581" s="319"/>
      <c r="BB581" s="319"/>
      <c r="BC581" s="319"/>
      <c r="BD581" s="319"/>
      <c r="BE581" s="319"/>
      <c r="BF581" s="319"/>
      <c r="BG581" s="319"/>
      <c r="BH581" s="319"/>
      <c r="BI581" s="319"/>
      <c r="BJ581" s="319"/>
      <c r="BK581" s="319"/>
      <c r="BL581" s="319"/>
      <c r="BM581" s="319"/>
      <c r="BN581" s="319"/>
      <c r="BO581" s="319"/>
      <c r="BP581" s="319"/>
      <c r="BQ581" s="319"/>
      <c r="BR581" s="319"/>
    </row>
    <row r="582" ht="14.25" customHeight="1">
      <c r="A582" s="195"/>
      <c r="B582" s="100"/>
      <c r="C582" s="100"/>
      <c r="D582" s="100"/>
      <c r="E582" s="100"/>
      <c r="F582" s="206"/>
      <c r="G582" s="206"/>
      <c r="H582" s="207"/>
      <c r="I582" s="207"/>
      <c r="J582" s="207"/>
      <c r="K582" s="207"/>
      <c r="L582" s="207"/>
      <c r="M582" s="207"/>
      <c r="N582" s="207"/>
      <c r="O582" s="207"/>
      <c r="P582" s="207"/>
      <c r="Q582" s="207"/>
      <c r="R582" s="207"/>
      <c r="S582" s="207"/>
      <c r="T582" s="207"/>
      <c r="U582" s="207"/>
      <c r="V582" s="207"/>
      <c r="W582" s="208"/>
      <c r="X582" s="208"/>
      <c r="Y582" s="208"/>
      <c r="Z582" s="208"/>
      <c r="AA582" s="208"/>
      <c r="AB582" s="208"/>
      <c r="AC582" s="208"/>
      <c r="AD582" s="208"/>
      <c r="AE582" s="208"/>
      <c r="AF582" s="208"/>
      <c r="AG582" s="208"/>
      <c r="AH582" s="208"/>
      <c r="AI582" s="100"/>
      <c r="AJ582" s="319"/>
      <c r="AK582" s="319"/>
      <c r="AL582" s="319"/>
      <c r="AM582" s="319"/>
      <c r="AN582" s="319"/>
      <c r="AO582" s="319"/>
      <c r="AP582" s="319"/>
      <c r="AQ582" s="319"/>
      <c r="AR582" s="319"/>
      <c r="AS582" s="319"/>
      <c r="AT582" s="319"/>
      <c r="AU582" s="319"/>
      <c r="AV582" s="319"/>
      <c r="AW582" s="319"/>
      <c r="AX582" s="319"/>
      <c r="AY582" s="319"/>
      <c r="AZ582" s="319"/>
      <c r="BA582" s="319"/>
      <c r="BB582" s="319"/>
      <c r="BC582" s="319"/>
      <c r="BD582" s="319"/>
      <c r="BE582" s="319"/>
      <c r="BF582" s="319"/>
      <c r="BG582" s="319"/>
      <c r="BH582" s="319"/>
      <c r="BI582" s="319"/>
      <c r="BJ582" s="319"/>
      <c r="BK582" s="319"/>
      <c r="BL582" s="319"/>
      <c r="BM582" s="319"/>
      <c r="BN582" s="319"/>
      <c r="BO582" s="319"/>
      <c r="BP582" s="319"/>
      <c r="BQ582" s="319"/>
      <c r="BR582" s="319"/>
    </row>
    <row r="583" ht="14.25" customHeight="1">
      <c r="A583" s="195"/>
      <c r="B583" s="100"/>
      <c r="C583" s="100"/>
      <c r="D583" s="100"/>
      <c r="E583" s="100"/>
      <c r="F583" s="206"/>
      <c r="G583" s="206"/>
      <c r="H583" s="207"/>
      <c r="I583" s="207"/>
      <c r="J583" s="207"/>
      <c r="K583" s="207"/>
      <c r="L583" s="207"/>
      <c r="M583" s="207"/>
      <c r="N583" s="207"/>
      <c r="O583" s="207"/>
      <c r="P583" s="207"/>
      <c r="Q583" s="207"/>
      <c r="R583" s="207"/>
      <c r="S583" s="207"/>
      <c r="T583" s="207"/>
      <c r="U583" s="207"/>
      <c r="V583" s="207"/>
      <c r="W583" s="208"/>
      <c r="X583" s="208"/>
      <c r="Y583" s="208"/>
      <c r="Z583" s="208"/>
      <c r="AA583" s="208"/>
      <c r="AB583" s="208"/>
      <c r="AC583" s="208"/>
      <c r="AD583" s="208"/>
      <c r="AE583" s="208"/>
      <c r="AF583" s="208"/>
      <c r="AG583" s="208"/>
      <c r="AH583" s="208"/>
      <c r="AI583" s="100"/>
      <c r="AJ583" s="319"/>
      <c r="AK583" s="319"/>
      <c r="AL583" s="319"/>
      <c r="AM583" s="319"/>
      <c r="AN583" s="319"/>
      <c r="AO583" s="319"/>
      <c r="AP583" s="319"/>
      <c r="AQ583" s="319"/>
      <c r="AR583" s="319"/>
      <c r="AS583" s="319"/>
      <c r="AT583" s="319"/>
      <c r="AU583" s="319"/>
      <c r="AV583" s="319"/>
      <c r="AW583" s="319"/>
      <c r="AX583" s="319"/>
      <c r="AY583" s="319"/>
      <c r="AZ583" s="319"/>
      <c r="BA583" s="319"/>
      <c r="BB583" s="319"/>
      <c r="BC583" s="319"/>
      <c r="BD583" s="319"/>
      <c r="BE583" s="319"/>
      <c r="BF583" s="319"/>
      <c r="BG583" s="319"/>
      <c r="BH583" s="319"/>
      <c r="BI583" s="319"/>
      <c r="BJ583" s="319"/>
      <c r="BK583" s="319"/>
      <c r="BL583" s="319"/>
      <c r="BM583" s="319"/>
      <c r="BN583" s="319"/>
      <c r="BO583" s="319"/>
      <c r="BP583" s="319"/>
      <c r="BQ583" s="319"/>
      <c r="BR583" s="319"/>
    </row>
    <row r="584" ht="14.25" customHeight="1">
      <c r="A584" s="195"/>
      <c r="B584" s="100"/>
      <c r="C584" s="100"/>
      <c r="D584" s="100"/>
      <c r="E584" s="100"/>
      <c r="F584" s="206"/>
      <c r="G584" s="206"/>
      <c r="H584" s="207"/>
      <c r="I584" s="207"/>
      <c r="J584" s="207"/>
      <c r="K584" s="207"/>
      <c r="L584" s="207"/>
      <c r="M584" s="207"/>
      <c r="N584" s="207"/>
      <c r="O584" s="207"/>
      <c r="P584" s="207"/>
      <c r="Q584" s="207"/>
      <c r="R584" s="207"/>
      <c r="S584" s="207"/>
      <c r="T584" s="207"/>
      <c r="U584" s="207"/>
      <c r="V584" s="207"/>
      <c r="W584" s="208"/>
      <c r="X584" s="208"/>
      <c r="Y584" s="208"/>
      <c r="Z584" s="208"/>
      <c r="AA584" s="208"/>
      <c r="AB584" s="208"/>
      <c r="AC584" s="208"/>
      <c r="AD584" s="208"/>
      <c r="AE584" s="208"/>
      <c r="AF584" s="208"/>
      <c r="AG584" s="208"/>
      <c r="AH584" s="208"/>
      <c r="AI584" s="100"/>
      <c r="AJ584" s="319"/>
      <c r="AK584" s="319"/>
      <c r="AL584" s="319"/>
      <c r="AM584" s="319"/>
      <c r="AN584" s="319"/>
      <c r="AO584" s="319"/>
      <c r="AP584" s="319"/>
      <c r="AQ584" s="319"/>
      <c r="AR584" s="319"/>
      <c r="AS584" s="319"/>
      <c r="AT584" s="319"/>
      <c r="AU584" s="319"/>
      <c r="AV584" s="319"/>
      <c r="AW584" s="319"/>
      <c r="AX584" s="319"/>
      <c r="AY584" s="319"/>
      <c r="AZ584" s="319"/>
      <c r="BA584" s="319"/>
      <c r="BB584" s="319"/>
      <c r="BC584" s="319"/>
      <c r="BD584" s="319"/>
      <c r="BE584" s="319"/>
      <c r="BF584" s="319"/>
      <c r="BG584" s="319"/>
      <c r="BH584" s="319"/>
      <c r="BI584" s="319"/>
      <c r="BJ584" s="319"/>
      <c r="BK584" s="319"/>
      <c r="BL584" s="319"/>
      <c r="BM584" s="319"/>
      <c r="BN584" s="319"/>
      <c r="BO584" s="319"/>
      <c r="BP584" s="319"/>
      <c r="BQ584" s="319"/>
      <c r="BR584" s="319"/>
    </row>
    <row r="585" ht="14.25" customHeight="1">
      <c r="A585" s="195"/>
      <c r="B585" s="100"/>
      <c r="C585" s="100"/>
      <c r="D585" s="100"/>
      <c r="E585" s="100"/>
      <c r="F585" s="206"/>
      <c r="G585" s="206"/>
      <c r="H585" s="207"/>
      <c r="I585" s="207"/>
      <c r="J585" s="207"/>
      <c r="K585" s="207"/>
      <c r="L585" s="207"/>
      <c r="M585" s="207"/>
      <c r="N585" s="207"/>
      <c r="O585" s="207"/>
      <c r="P585" s="207"/>
      <c r="Q585" s="207"/>
      <c r="R585" s="207"/>
      <c r="S585" s="207"/>
      <c r="T585" s="207"/>
      <c r="U585" s="207"/>
      <c r="V585" s="207"/>
      <c r="W585" s="208"/>
      <c r="X585" s="208"/>
      <c r="Y585" s="208"/>
      <c r="Z585" s="208"/>
      <c r="AA585" s="208"/>
      <c r="AB585" s="208"/>
      <c r="AC585" s="208"/>
      <c r="AD585" s="208"/>
      <c r="AE585" s="208"/>
      <c r="AF585" s="208"/>
      <c r="AG585" s="208"/>
      <c r="AH585" s="208"/>
      <c r="AI585" s="100"/>
      <c r="AJ585" s="319"/>
      <c r="AK585" s="319"/>
      <c r="AL585" s="319"/>
      <c r="AM585" s="319"/>
      <c r="AN585" s="319"/>
      <c r="AO585" s="319"/>
      <c r="AP585" s="319"/>
      <c r="AQ585" s="319"/>
      <c r="AR585" s="319"/>
      <c r="AS585" s="319"/>
      <c r="AT585" s="319"/>
      <c r="AU585" s="319"/>
      <c r="AV585" s="319"/>
      <c r="AW585" s="319"/>
      <c r="AX585" s="319"/>
      <c r="AY585" s="319"/>
      <c r="AZ585" s="319"/>
      <c r="BA585" s="319"/>
      <c r="BB585" s="319"/>
      <c r="BC585" s="319"/>
      <c r="BD585" s="319"/>
      <c r="BE585" s="319"/>
      <c r="BF585" s="319"/>
      <c r="BG585" s="319"/>
      <c r="BH585" s="319"/>
      <c r="BI585" s="319"/>
      <c r="BJ585" s="319"/>
      <c r="BK585" s="319"/>
      <c r="BL585" s="319"/>
      <c r="BM585" s="319"/>
      <c r="BN585" s="319"/>
      <c r="BO585" s="319"/>
      <c r="BP585" s="319"/>
      <c r="BQ585" s="319"/>
      <c r="BR585" s="319"/>
    </row>
    <row r="586" ht="14.25" customHeight="1">
      <c r="A586" s="195"/>
      <c r="B586" s="100"/>
      <c r="C586" s="100"/>
      <c r="D586" s="100"/>
      <c r="E586" s="100"/>
      <c r="F586" s="206"/>
      <c r="G586" s="206"/>
      <c r="H586" s="207"/>
      <c r="I586" s="207"/>
      <c r="J586" s="207"/>
      <c r="K586" s="207"/>
      <c r="L586" s="207"/>
      <c r="M586" s="207"/>
      <c r="N586" s="207"/>
      <c r="O586" s="207"/>
      <c r="P586" s="207"/>
      <c r="Q586" s="207"/>
      <c r="R586" s="207"/>
      <c r="S586" s="207"/>
      <c r="T586" s="207"/>
      <c r="U586" s="207"/>
      <c r="V586" s="207"/>
      <c r="W586" s="208"/>
      <c r="X586" s="208"/>
      <c r="Y586" s="208"/>
      <c r="Z586" s="208"/>
      <c r="AA586" s="208"/>
      <c r="AB586" s="208"/>
      <c r="AC586" s="208"/>
      <c r="AD586" s="208"/>
      <c r="AE586" s="208"/>
      <c r="AF586" s="208"/>
      <c r="AG586" s="208"/>
      <c r="AH586" s="208"/>
      <c r="AI586" s="100"/>
      <c r="AJ586" s="319"/>
      <c r="AK586" s="319"/>
      <c r="AL586" s="319"/>
      <c r="AM586" s="319"/>
      <c r="AN586" s="319"/>
      <c r="AO586" s="319"/>
      <c r="AP586" s="319"/>
      <c r="AQ586" s="319"/>
      <c r="AR586" s="319"/>
      <c r="AS586" s="319"/>
      <c r="AT586" s="319"/>
      <c r="AU586" s="319"/>
      <c r="AV586" s="319"/>
      <c r="AW586" s="319"/>
      <c r="AX586" s="319"/>
      <c r="AY586" s="319"/>
      <c r="AZ586" s="319"/>
      <c r="BA586" s="319"/>
      <c r="BB586" s="319"/>
      <c r="BC586" s="319"/>
      <c r="BD586" s="319"/>
      <c r="BE586" s="319"/>
      <c r="BF586" s="319"/>
      <c r="BG586" s="319"/>
      <c r="BH586" s="319"/>
      <c r="BI586" s="319"/>
      <c r="BJ586" s="319"/>
      <c r="BK586" s="319"/>
      <c r="BL586" s="319"/>
      <c r="BM586" s="319"/>
      <c r="BN586" s="319"/>
      <c r="BO586" s="319"/>
      <c r="BP586" s="319"/>
      <c r="BQ586" s="319"/>
      <c r="BR586" s="319"/>
    </row>
    <row r="587" ht="14.25" customHeight="1">
      <c r="A587" s="195"/>
      <c r="B587" s="100"/>
      <c r="C587" s="100"/>
      <c r="D587" s="100"/>
      <c r="E587" s="100"/>
      <c r="F587" s="206"/>
      <c r="G587" s="206"/>
      <c r="H587" s="207"/>
      <c r="I587" s="207"/>
      <c r="J587" s="207"/>
      <c r="K587" s="207"/>
      <c r="L587" s="207"/>
      <c r="M587" s="207"/>
      <c r="N587" s="207"/>
      <c r="O587" s="207"/>
      <c r="P587" s="207"/>
      <c r="Q587" s="207"/>
      <c r="R587" s="207"/>
      <c r="S587" s="207"/>
      <c r="T587" s="207"/>
      <c r="U587" s="207"/>
      <c r="V587" s="207"/>
      <c r="W587" s="208"/>
      <c r="X587" s="208"/>
      <c r="Y587" s="208"/>
      <c r="Z587" s="208"/>
      <c r="AA587" s="208"/>
      <c r="AB587" s="208"/>
      <c r="AC587" s="208"/>
      <c r="AD587" s="208"/>
      <c r="AE587" s="208"/>
      <c r="AF587" s="208"/>
      <c r="AG587" s="208"/>
      <c r="AH587" s="208"/>
      <c r="AI587" s="100"/>
      <c r="AJ587" s="319"/>
      <c r="AK587" s="319"/>
      <c r="AL587" s="319"/>
      <c r="AM587" s="319"/>
      <c r="AN587" s="319"/>
      <c r="AO587" s="319"/>
      <c r="AP587" s="319"/>
      <c r="AQ587" s="319"/>
      <c r="AR587" s="319"/>
      <c r="AS587" s="319"/>
      <c r="AT587" s="319"/>
      <c r="AU587" s="319"/>
      <c r="AV587" s="319"/>
      <c r="AW587" s="319"/>
      <c r="AX587" s="319"/>
      <c r="AY587" s="319"/>
      <c r="AZ587" s="319"/>
      <c r="BA587" s="319"/>
      <c r="BB587" s="319"/>
      <c r="BC587" s="319"/>
      <c r="BD587" s="319"/>
      <c r="BE587" s="319"/>
      <c r="BF587" s="319"/>
      <c r="BG587" s="319"/>
      <c r="BH587" s="319"/>
      <c r="BI587" s="319"/>
      <c r="BJ587" s="319"/>
      <c r="BK587" s="319"/>
      <c r="BL587" s="319"/>
      <c r="BM587" s="319"/>
      <c r="BN587" s="319"/>
      <c r="BO587" s="319"/>
      <c r="BP587" s="319"/>
      <c r="BQ587" s="319"/>
      <c r="BR587" s="319"/>
    </row>
    <row r="588" ht="14.25" customHeight="1">
      <c r="A588" s="195"/>
      <c r="B588" s="100"/>
      <c r="C588" s="100"/>
      <c r="D588" s="100"/>
      <c r="E588" s="100"/>
      <c r="F588" s="206"/>
      <c r="G588" s="206"/>
      <c r="H588" s="207"/>
      <c r="I588" s="207"/>
      <c r="J588" s="207"/>
      <c r="K588" s="207"/>
      <c r="L588" s="207"/>
      <c r="M588" s="207"/>
      <c r="N588" s="207"/>
      <c r="O588" s="207"/>
      <c r="P588" s="207"/>
      <c r="Q588" s="207"/>
      <c r="R588" s="207"/>
      <c r="S588" s="207"/>
      <c r="T588" s="207"/>
      <c r="U588" s="207"/>
      <c r="V588" s="207"/>
      <c r="W588" s="208"/>
      <c r="X588" s="208"/>
      <c r="Y588" s="208"/>
      <c r="Z588" s="208"/>
      <c r="AA588" s="208"/>
      <c r="AB588" s="208"/>
      <c r="AC588" s="208"/>
      <c r="AD588" s="208"/>
      <c r="AE588" s="208"/>
      <c r="AF588" s="208"/>
      <c r="AG588" s="208"/>
      <c r="AH588" s="208"/>
      <c r="AI588" s="100"/>
      <c r="AJ588" s="319"/>
      <c r="AK588" s="319"/>
      <c r="AL588" s="319"/>
      <c r="AM588" s="319"/>
      <c r="AN588" s="319"/>
      <c r="AO588" s="319"/>
      <c r="AP588" s="319"/>
      <c r="AQ588" s="319"/>
      <c r="AR588" s="319"/>
      <c r="AS588" s="319"/>
      <c r="AT588" s="319"/>
      <c r="AU588" s="319"/>
      <c r="AV588" s="319"/>
      <c r="AW588" s="319"/>
      <c r="AX588" s="319"/>
      <c r="AY588" s="319"/>
      <c r="AZ588" s="319"/>
      <c r="BA588" s="319"/>
      <c r="BB588" s="319"/>
      <c r="BC588" s="319"/>
      <c r="BD588" s="319"/>
      <c r="BE588" s="319"/>
      <c r="BF588" s="319"/>
      <c r="BG588" s="319"/>
      <c r="BH588" s="319"/>
      <c r="BI588" s="319"/>
      <c r="BJ588" s="319"/>
      <c r="BK588" s="319"/>
      <c r="BL588" s="319"/>
      <c r="BM588" s="319"/>
      <c r="BN588" s="319"/>
      <c r="BO588" s="319"/>
      <c r="BP588" s="319"/>
      <c r="BQ588" s="319"/>
      <c r="BR588" s="319"/>
    </row>
    <row r="589" ht="14.25" customHeight="1">
      <c r="A589" s="195"/>
      <c r="B589" s="100"/>
      <c r="C589" s="100"/>
      <c r="D589" s="100"/>
      <c r="E589" s="100"/>
      <c r="F589" s="206"/>
      <c r="G589" s="206"/>
      <c r="H589" s="207"/>
      <c r="I589" s="207"/>
      <c r="J589" s="207"/>
      <c r="K589" s="207"/>
      <c r="L589" s="207"/>
      <c r="M589" s="207"/>
      <c r="N589" s="207"/>
      <c r="O589" s="207"/>
      <c r="P589" s="207"/>
      <c r="Q589" s="207"/>
      <c r="R589" s="207"/>
      <c r="S589" s="207"/>
      <c r="T589" s="207"/>
      <c r="U589" s="207"/>
      <c r="V589" s="207"/>
      <c r="W589" s="208"/>
      <c r="X589" s="208"/>
      <c r="Y589" s="208"/>
      <c r="Z589" s="208"/>
      <c r="AA589" s="208"/>
      <c r="AB589" s="208"/>
      <c r="AC589" s="208"/>
      <c r="AD589" s="208"/>
      <c r="AE589" s="208"/>
      <c r="AF589" s="208"/>
      <c r="AG589" s="208"/>
      <c r="AH589" s="208"/>
      <c r="AI589" s="100"/>
      <c r="AJ589" s="319"/>
      <c r="AK589" s="319"/>
      <c r="AL589" s="319"/>
      <c r="AM589" s="319"/>
      <c r="AN589" s="319"/>
      <c r="AO589" s="319"/>
      <c r="AP589" s="319"/>
      <c r="AQ589" s="319"/>
      <c r="AR589" s="319"/>
      <c r="AS589" s="319"/>
      <c r="AT589" s="319"/>
      <c r="AU589" s="319"/>
      <c r="AV589" s="319"/>
      <c r="AW589" s="319"/>
      <c r="AX589" s="319"/>
      <c r="AY589" s="319"/>
      <c r="AZ589" s="319"/>
      <c r="BA589" s="319"/>
      <c r="BB589" s="319"/>
      <c r="BC589" s="319"/>
      <c r="BD589" s="319"/>
      <c r="BE589" s="319"/>
      <c r="BF589" s="319"/>
      <c r="BG589" s="319"/>
      <c r="BH589" s="319"/>
      <c r="BI589" s="319"/>
      <c r="BJ589" s="319"/>
      <c r="BK589" s="319"/>
      <c r="BL589" s="319"/>
      <c r="BM589" s="319"/>
      <c r="BN589" s="319"/>
      <c r="BO589" s="319"/>
      <c r="BP589" s="319"/>
      <c r="BQ589" s="319"/>
      <c r="BR589" s="319"/>
    </row>
    <row r="590" ht="14.25" customHeight="1">
      <c r="A590" s="195"/>
      <c r="B590" s="100"/>
      <c r="C590" s="100"/>
      <c r="D590" s="100"/>
      <c r="E590" s="100"/>
      <c r="F590" s="206"/>
      <c r="G590" s="206"/>
      <c r="H590" s="207"/>
      <c r="I590" s="207"/>
      <c r="J590" s="207"/>
      <c r="K590" s="207"/>
      <c r="L590" s="207"/>
      <c r="M590" s="207"/>
      <c r="N590" s="207"/>
      <c r="O590" s="207"/>
      <c r="P590" s="207"/>
      <c r="Q590" s="207"/>
      <c r="R590" s="207"/>
      <c r="S590" s="207"/>
      <c r="T590" s="207"/>
      <c r="U590" s="207"/>
      <c r="V590" s="207"/>
      <c r="W590" s="208"/>
      <c r="X590" s="208"/>
      <c r="Y590" s="208"/>
      <c r="Z590" s="208"/>
      <c r="AA590" s="208"/>
      <c r="AB590" s="208"/>
      <c r="AC590" s="208"/>
      <c r="AD590" s="208"/>
      <c r="AE590" s="208"/>
      <c r="AF590" s="208"/>
      <c r="AG590" s="208"/>
      <c r="AH590" s="208"/>
      <c r="AI590" s="100"/>
      <c r="AJ590" s="319"/>
      <c r="AK590" s="319"/>
      <c r="AL590" s="319"/>
      <c r="AM590" s="319"/>
      <c r="AN590" s="319"/>
      <c r="AO590" s="319"/>
      <c r="AP590" s="319"/>
      <c r="AQ590" s="319"/>
      <c r="AR590" s="319"/>
      <c r="AS590" s="319"/>
      <c r="AT590" s="319"/>
      <c r="AU590" s="319"/>
      <c r="AV590" s="319"/>
      <c r="AW590" s="319"/>
      <c r="AX590" s="319"/>
      <c r="AY590" s="319"/>
      <c r="AZ590" s="319"/>
      <c r="BA590" s="319"/>
      <c r="BB590" s="319"/>
      <c r="BC590" s="319"/>
      <c r="BD590" s="319"/>
      <c r="BE590" s="319"/>
      <c r="BF590" s="319"/>
      <c r="BG590" s="319"/>
      <c r="BH590" s="319"/>
      <c r="BI590" s="319"/>
      <c r="BJ590" s="319"/>
      <c r="BK590" s="319"/>
      <c r="BL590" s="319"/>
      <c r="BM590" s="319"/>
      <c r="BN590" s="319"/>
      <c r="BO590" s="319"/>
      <c r="BP590" s="319"/>
      <c r="BQ590" s="319"/>
      <c r="BR590" s="319"/>
    </row>
    <row r="591" ht="14.25" customHeight="1">
      <c r="A591" s="195"/>
      <c r="B591" s="100"/>
      <c r="C591" s="100"/>
      <c r="D591" s="100"/>
      <c r="E591" s="100"/>
      <c r="F591" s="206"/>
      <c r="G591" s="206"/>
      <c r="H591" s="207"/>
      <c r="I591" s="207"/>
      <c r="J591" s="207"/>
      <c r="K591" s="207"/>
      <c r="L591" s="207"/>
      <c r="M591" s="207"/>
      <c r="N591" s="207"/>
      <c r="O591" s="207"/>
      <c r="P591" s="207"/>
      <c r="Q591" s="207"/>
      <c r="R591" s="207"/>
      <c r="S591" s="207"/>
      <c r="T591" s="207"/>
      <c r="U591" s="207"/>
      <c r="V591" s="207"/>
      <c r="W591" s="208"/>
      <c r="X591" s="208"/>
      <c r="Y591" s="208"/>
      <c r="Z591" s="208"/>
      <c r="AA591" s="208"/>
      <c r="AB591" s="208"/>
      <c r="AC591" s="208"/>
      <c r="AD591" s="208"/>
      <c r="AE591" s="208"/>
      <c r="AF591" s="208"/>
      <c r="AG591" s="208"/>
      <c r="AH591" s="208"/>
      <c r="AI591" s="100"/>
      <c r="AJ591" s="319"/>
      <c r="AK591" s="319"/>
      <c r="AL591" s="319"/>
      <c r="AM591" s="319"/>
      <c r="AN591" s="319"/>
      <c r="AO591" s="319"/>
      <c r="AP591" s="319"/>
      <c r="AQ591" s="319"/>
      <c r="AR591" s="319"/>
      <c r="AS591" s="319"/>
      <c r="AT591" s="319"/>
      <c r="AU591" s="319"/>
      <c r="AV591" s="319"/>
      <c r="AW591" s="319"/>
      <c r="AX591" s="319"/>
      <c r="AY591" s="319"/>
      <c r="AZ591" s="319"/>
      <c r="BA591" s="319"/>
      <c r="BB591" s="319"/>
      <c r="BC591" s="319"/>
      <c r="BD591" s="319"/>
      <c r="BE591" s="319"/>
      <c r="BF591" s="319"/>
      <c r="BG591" s="319"/>
      <c r="BH591" s="319"/>
      <c r="BI591" s="319"/>
      <c r="BJ591" s="319"/>
      <c r="BK591" s="319"/>
      <c r="BL591" s="319"/>
      <c r="BM591" s="319"/>
      <c r="BN591" s="319"/>
      <c r="BO591" s="319"/>
      <c r="BP591" s="319"/>
      <c r="BQ591" s="319"/>
      <c r="BR591" s="319"/>
    </row>
    <row r="592" ht="14.25" customHeight="1">
      <c r="A592" s="195"/>
      <c r="B592" s="100"/>
      <c r="C592" s="100"/>
      <c r="D592" s="100"/>
      <c r="E592" s="100"/>
      <c r="F592" s="206"/>
      <c r="G592" s="206"/>
      <c r="H592" s="207"/>
      <c r="I592" s="207"/>
      <c r="J592" s="207"/>
      <c r="K592" s="207"/>
      <c r="L592" s="207"/>
      <c r="M592" s="207"/>
      <c r="N592" s="207"/>
      <c r="O592" s="207"/>
      <c r="P592" s="207"/>
      <c r="Q592" s="207"/>
      <c r="R592" s="207"/>
      <c r="S592" s="207"/>
      <c r="T592" s="207"/>
      <c r="U592" s="207"/>
      <c r="V592" s="207"/>
      <c r="W592" s="208"/>
      <c r="X592" s="208"/>
      <c r="Y592" s="208"/>
      <c r="Z592" s="208"/>
      <c r="AA592" s="208"/>
      <c r="AB592" s="208"/>
      <c r="AC592" s="208"/>
      <c r="AD592" s="208"/>
      <c r="AE592" s="208"/>
      <c r="AF592" s="208"/>
      <c r="AG592" s="208"/>
      <c r="AH592" s="208"/>
      <c r="AI592" s="100"/>
      <c r="AJ592" s="319"/>
      <c r="AK592" s="319"/>
      <c r="AL592" s="319"/>
      <c r="AM592" s="319"/>
      <c r="AN592" s="319"/>
      <c r="AO592" s="319"/>
      <c r="AP592" s="319"/>
      <c r="AQ592" s="319"/>
      <c r="AR592" s="319"/>
      <c r="AS592" s="319"/>
      <c r="AT592" s="319"/>
      <c r="AU592" s="319"/>
      <c r="AV592" s="319"/>
      <c r="AW592" s="319"/>
      <c r="AX592" s="319"/>
      <c r="AY592" s="319"/>
      <c r="AZ592" s="319"/>
      <c r="BA592" s="319"/>
      <c r="BB592" s="319"/>
      <c r="BC592" s="319"/>
      <c r="BD592" s="319"/>
      <c r="BE592" s="319"/>
      <c r="BF592" s="319"/>
      <c r="BG592" s="319"/>
      <c r="BH592" s="319"/>
      <c r="BI592" s="319"/>
      <c r="BJ592" s="319"/>
      <c r="BK592" s="319"/>
      <c r="BL592" s="319"/>
      <c r="BM592" s="319"/>
      <c r="BN592" s="319"/>
      <c r="BO592" s="319"/>
      <c r="BP592" s="319"/>
      <c r="BQ592" s="319"/>
      <c r="BR592" s="319"/>
    </row>
    <row r="593" ht="14.25" customHeight="1">
      <c r="A593" s="195"/>
      <c r="B593" s="100"/>
      <c r="C593" s="100"/>
      <c r="D593" s="100"/>
      <c r="E593" s="100"/>
      <c r="F593" s="206"/>
      <c r="G593" s="206"/>
      <c r="H593" s="207"/>
      <c r="I593" s="207"/>
      <c r="J593" s="207"/>
      <c r="K593" s="207"/>
      <c r="L593" s="207"/>
      <c r="M593" s="207"/>
      <c r="N593" s="207"/>
      <c r="O593" s="207"/>
      <c r="P593" s="207"/>
      <c r="Q593" s="207"/>
      <c r="R593" s="207"/>
      <c r="S593" s="207"/>
      <c r="T593" s="207"/>
      <c r="U593" s="207"/>
      <c r="V593" s="207"/>
      <c r="W593" s="208"/>
      <c r="X593" s="208"/>
      <c r="Y593" s="208"/>
      <c r="Z593" s="208"/>
      <c r="AA593" s="208"/>
      <c r="AB593" s="208"/>
      <c r="AC593" s="208"/>
      <c r="AD593" s="208"/>
      <c r="AE593" s="208"/>
      <c r="AF593" s="208"/>
      <c r="AG593" s="208"/>
      <c r="AH593" s="208"/>
      <c r="AI593" s="100"/>
      <c r="AJ593" s="319"/>
      <c r="AK593" s="319"/>
      <c r="AL593" s="319"/>
      <c r="AM593" s="319"/>
      <c r="AN593" s="319"/>
      <c r="AO593" s="319"/>
      <c r="AP593" s="319"/>
      <c r="AQ593" s="319"/>
      <c r="AR593" s="319"/>
      <c r="AS593" s="319"/>
      <c r="AT593" s="319"/>
      <c r="AU593" s="319"/>
      <c r="AV593" s="319"/>
      <c r="AW593" s="319"/>
      <c r="AX593" s="319"/>
      <c r="AY593" s="319"/>
      <c r="AZ593" s="319"/>
      <c r="BA593" s="319"/>
      <c r="BB593" s="319"/>
      <c r="BC593" s="319"/>
      <c r="BD593" s="319"/>
      <c r="BE593" s="319"/>
      <c r="BF593" s="319"/>
      <c r="BG593" s="319"/>
      <c r="BH593" s="319"/>
      <c r="BI593" s="319"/>
      <c r="BJ593" s="319"/>
      <c r="BK593" s="319"/>
      <c r="BL593" s="319"/>
      <c r="BM593" s="319"/>
      <c r="BN593" s="319"/>
      <c r="BO593" s="319"/>
      <c r="BP593" s="319"/>
      <c r="BQ593" s="319"/>
      <c r="BR593" s="319"/>
    </row>
    <row r="594" ht="14.25" customHeight="1">
      <c r="A594" s="195"/>
      <c r="B594" s="100"/>
      <c r="C594" s="100"/>
      <c r="D594" s="100"/>
      <c r="E594" s="100"/>
      <c r="F594" s="206"/>
      <c r="G594" s="206"/>
      <c r="H594" s="207"/>
      <c r="I594" s="207"/>
      <c r="J594" s="207"/>
      <c r="K594" s="207"/>
      <c r="L594" s="207"/>
      <c r="M594" s="207"/>
      <c r="N594" s="207"/>
      <c r="O594" s="207"/>
      <c r="P594" s="207"/>
      <c r="Q594" s="207"/>
      <c r="R594" s="207"/>
      <c r="S594" s="207"/>
      <c r="T594" s="207"/>
      <c r="U594" s="207"/>
      <c r="V594" s="207"/>
      <c r="W594" s="208"/>
      <c r="X594" s="208"/>
      <c r="Y594" s="208"/>
      <c r="Z594" s="208"/>
      <c r="AA594" s="208"/>
      <c r="AB594" s="208"/>
      <c r="AC594" s="208"/>
      <c r="AD594" s="208"/>
      <c r="AE594" s="208"/>
      <c r="AF594" s="208"/>
      <c r="AG594" s="208"/>
      <c r="AH594" s="208"/>
      <c r="AI594" s="100"/>
      <c r="AJ594" s="319"/>
      <c r="AK594" s="319"/>
      <c r="AL594" s="319"/>
      <c r="AM594" s="319"/>
      <c r="AN594" s="319"/>
      <c r="AO594" s="319"/>
      <c r="AP594" s="319"/>
      <c r="AQ594" s="319"/>
      <c r="AR594" s="319"/>
      <c r="AS594" s="319"/>
      <c r="AT594" s="319"/>
      <c r="AU594" s="319"/>
      <c r="AV594" s="319"/>
      <c r="AW594" s="319"/>
      <c r="AX594" s="319"/>
      <c r="AY594" s="319"/>
      <c r="AZ594" s="319"/>
      <c r="BA594" s="319"/>
      <c r="BB594" s="319"/>
      <c r="BC594" s="319"/>
      <c r="BD594" s="319"/>
      <c r="BE594" s="319"/>
      <c r="BF594" s="319"/>
      <c r="BG594" s="319"/>
      <c r="BH594" s="319"/>
      <c r="BI594" s="319"/>
      <c r="BJ594" s="319"/>
      <c r="BK594" s="319"/>
      <c r="BL594" s="319"/>
      <c r="BM594" s="319"/>
      <c r="BN594" s="319"/>
      <c r="BO594" s="319"/>
      <c r="BP594" s="319"/>
      <c r="BQ594" s="319"/>
      <c r="BR594" s="319"/>
    </row>
    <row r="595" ht="14.25" customHeight="1">
      <c r="A595" s="195"/>
      <c r="B595" s="100"/>
      <c r="C595" s="100"/>
      <c r="D595" s="100"/>
      <c r="E595" s="100"/>
      <c r="F595" s="206"/>
      <c r="G595" s="206"/>
      <c r="H595" s="207"/>
      <c r="I595" s="207"/>
      <c r="J595" s="207"/>
      <c r="K595" s="207"/>
      <c r="L595" s="207"/>
      <c r="M595" s="207"/>
      <c r="N595" s="207"/>
      <c r="O595" s="207"/>
      <c r="P595" s="207"/>
      <c r="Q595" s="207"/>
      <c r="R595" s="207"/>
      <c r="S595" s="207"/>
      <c r="T595" s="207"/>
      <c r="U595" s="207"/>
      <c r="V595" s="207"/>
      <c r="W595" s="208"/>
      <c r="X595" s="208"/>
      <c r="Y595" s="208"/>
      <c r="Z595" s="208"/>
      <c r="AA595" s="208"/>
      <c r="AB595" s="208"/>
      <c r="AC595" s="208"/>
      <c r="AD595" s="208"/>
      <c r="AE595" s="208"/>
      <c r="AF595" s="208"/>
      <c r="AG595" s="208"/>
      <c r="AH595" s="208"/>
      <c r="AI595" s="100"/>
      <c r="AJ595" s="319"/>
      <c r="AK595" s="319"/>
      <c r="AL595" s="319"/>
      <c r="AM595" s="319"/>
      <c r="AN595" s="319"/>
      <c r="AO595" s="319"/>
      <c r="AP595" s="319"/>
      <c r="AQ595" s="319"/>
      <c r="AR595" s="319"/>
      <c r="AS595" s="319"/>
      <c r="AT595" s="319"/>
      <c r="AU595" s="319"/>
      <c r="AV595" s="319"/>
      <c r="AW595" s="319"/>
      <c r="AX595" s="319"/>
      <c r="AY595" s="319"/>
      <c r="AZ595" s="319"/>
      <c r="BA595" s="319"/>
      <c r="BB595" s="319"/>
      <c r="BC595" s="319"/>
      <c r="BD595" s="319"/>
      <c r="BE595" s="319"/>
      <c r="BF595" s="319"/>
      <c r="BG595" s="319"/>
      <c r="BH595" s="319"/>
      <c r="BI595" s="319"/>
      <c r="BJ595" s="319"/>
      <c r="BK595" s="319"/>
      <c r="BL595" s="319"/>
      <c r="BM595" s="319"/>
      <c r="BN595" s="319"/>
      <c r="BO595" s="319"/>
      <c r="BP595" s="319"/>
      <c r="BQ595" s="319"/>
      <c r="BR595" s="319"/>
    </row>
    <row r="596" ht="14.25" customHeight="1">
      <c r="A596" s="195"/>
      <c r="B596" s="100"/>
      <c r="C596" s="100"/>
      <c r="D596" s="100"/>
      <c r="E596" s="100"/>
      <c r="F596" s="206"/>
      <c r="G596" s="206"/>
      <c r="H596" s="207"/>
      <c r="I596" s="207"/>
      <c r="J596" s="207"/>
      <c r="K596" s="207"/>
      <c r="L596" s="207"/>
      <c r="M596" s="207"/>
      <c r="N596" s="207"/>
      <c r="O596" s="207"/>
      <c r="P596" s="207"/>
      <c r="Q596" s="207"/>
      <c r="R596" s="207"/>
      <c r="S596" s="207"/>
      <c r="T596" s="207"/>
      <c r="U596" s="207"/>
      <c r="V596" s="207"/>
      <c r="W596" s="208"/>
      <c r="X596" s="208"/>
      <c r="Y596" s="208"/>
      <c r="Z596" s="208"/>
      <c r="AA596" s="208"/>
      <c r="AB596" s="208"/>
      <c r="AC596" s="208"/>
      <c r="AD596" s="208"/>
      <c r="AE596" s="208"/>
      <c r="AF596" s="208"/>
      <c r="AG596" s="208"/>
      <c r="AH596" s="208"/>
      <c r="AI596" s="100"/>
      <c r="AJ596" s="319"/>
      <c r="AK596" s="319"/>
      <c r="AL596" s="319"/>
      <c r="AM596" s="319"/>
      <c r="AN596" s="319"/>
      <c r="AO596" s="319"/>
      <c r="AP596" s="319"/>
      <c r="AQ596" s="319"/>
      <c r="AR596" s="319"/>
      <c r="AS596" s="319"/>
      <c r="AT596" s="319"/>
      <c r="AU596" s="319"/>
      <c r="AV596" s="319"/>
      <c r="AW596" s="319"/>
      <c r="AX596" s="319"/>
      <c r="AY596" s="319"/>
      <c r="AZ596" s="319"/>
      <c r="BA596" s="319"/>
      <c r="BB596" s="319"/>
      <c r="BC596" s="319"/>
      <c r="BD596" s="319"/>
      <c r="BE596" s="319"/>
      <c r="BF596" s="319"/>
      <c r="BG596" s="319"/>
      <c r="BH596" s="319"/>
      <c r="BI596" s="319"/>
      <c r="BJ596" s="319"/>
      <c r="BK596" s="319"/>
      <c r="BL596" s="319"/>
      <c r="BM596" s="319"/>
      <c r="BN596" s="319"/>
      <c r="BO596" s="319"/>
      <c r="BP596" s="319"/>
      <c r="BQ596" s="319"/>
      <c r="BR596" s="319"/>
    </row>
    <row r="597" ht="14.25" customHeight="1">
      <c r="A597" s="195"/>
      <c r="B597" s="100"/>
      <c r="C597" s="100"/>
      <c r="D597" s="100"/>
      <c r="E597" s="100"/>
      <c r="F597" s="206"/>
      <c r="G597" s="206"/>
      <c r="H597" s="207"/>
      <c r="I597" s="207"/>
      <c r="J597" s="207"/>
      <c r="K597" s="207"/>
      <c r="L597" s="207"/>
      <c r="M597" s="207"/>
      <c r="N597" s="207"/>
      <c r="O597" s="207"/>
      <c r="P597" s="207"/>
      <c r="Q597" s="207"/>
      <c r="R597" s="207"/>
      <c r="S597" s="207"/>
      <c r="T597" s="207"/>
      <c r="U597" s="207"/>
      <c r="V597" s="207"/>
      <c r="W597" s="208"/>
      <c r="X597" s="208"/>
      <c r="Y597" s="208"/>
      <c r="Z597" s="208"/>
      <c r="AA597" s="208"/>
      <c r="AB597" s="208"/>
      <c r="AC597" s="208"/>
      <c r="AD597" s="208"/>
      <c r="AE597" s="208"/>
      <c r="AF597" s="208"/>
      <c r="AG597" s="208"/>
      <c r="AH597" s="208"/>
      <c r="AI597" s="100"/>
      <c r="AJ597" s="319"/>
      <c r="AK597" s="319"/>
      <c r="AL597" s="319"/>
      <c r="AM597" s="319"/>
      <c r="AN597" s="319"/>
      <c r="AO597" s="319"/>
      <c r="AP597" s="319"/>
      <c r="AQ597" s="319"/>
      <c r="AR597" s="319"/>
      <c r="AS597" s="319"/>
      <c r="AT597" s="319"/>
      <c r="AU597" s="319"/>
      <c r="AV597" s="319"/>
      <c r="AW597" s="319"/>
      <c r="AX597" s="319"/>
      <c r="AY597" s="319"/>
      <c r="AZ597" s="319"/>
      <c r="BA597" s="319"/>
      <c r="BB597" s="319"/>
      <c r="BC597" s="319"/>
      <c r="BD597" s="319"/>
      <c r="BE597" s="319"/>
      <c r="BF597" s="319"/>
      <c r="BG597" s="319"/>
      <c r="BH597" s="319"/>
      <c r="BI597" s="319"/>
      <c r="BJ597" s="319"/>
      <c r="BK597" s="319"/>
      <c r="BL597" s="319"/>
      <c r="BM597" s="319"/>
      <c r="BN597" s="319"/>
      <c r="BO597" s="319"/>
      <c r="BP597" s="319"/>
      <c r="BQ597" s="319"/>
      <c r="BR597" s="319"/>
    </row>
    <row r="598" ht="14.25" customHeight="1">
      <c r="A598" s="195"/>
      <c r="B598" s="100"/>
      <c r="C598" s="100"/>
      <c r="D598" s="100"/>
      <c r="E598" s="100"/>
      <c r="F598" s="206"/>
      <c r="G598" s="206"/>
      <c r="H598" s="207"/>
      <c r="I598" s="207"/>
      <c r="J598" s="207"/>
      <c r="K598" s="207"/>
      <c r="L598" s="207"/>
      <c r="M598" s="207"/>
      <c r="N598" s="207"/>
      <c r="O598" s="207"/>
      <c r="P598" s="207"/>
      <c r="Q598" s="207"/>
      <c r="R598" s="207"/>
      <c r="S598" s="207"/>
      <c r="T598" s="207"/>
      <c r="U598" s="207"/>
      <c r="V598" s="207"/>
      <c r="W598" s="208"/>
      <c r="X598" s="208"/>
      <c r="Y598" s="208"/>
      <c r="Z598" s="208"/>
      <c r="AA598" s="208"/>
      <c r="AB598" s="208"/>
      <c r="AC598" s="208"/>
      <c r="AD598" s="208"/>
      <c r="AE598" s="208"/>
      <c r="AF598" s="208"/>
      <c r="AG598" s="208"/>
      <c r="AH598" s="208"/>
      <c r="AI598" s="100"/>
      <c r="AJ598" s="319"/>
      <c r="AK598" s="319"/>
      <c r="AL598" s="319"/>
      <c r="AM598" s="319"/>
      <c r="AN598" s="319"/>
      <c r="AO598" s="319"/>
      <c r="AP598" s="319"/>
      <c r="AQ598" s="319"/>
      <c r="AR598" s="319"/>
      <c r="AS598" s="319"/>
      <c r="AT598" s="319"/>
      <c r="AU598" s="319"/>
      <c r="AV598" s="319"/>
      <c r="AW598" s="319"/>
      <c r="AX598" s="319"/>
      <c r="AY598" s="319"/>
      <c r="AZ598" s="319"/>
      <c r="BA598" s="319"/>
      <c r="BB598" s="319"/>
      <c r="BC598" s="319"/>
      <c r="BD598" s="319"/>
      <c r="BE598" s="319"/>
      <c r="BF598" s="319"/>
      <c r="BG598" s="319"/>
      <c r="BH598" s="319"/>
      <c r="BI598" s="319"/>
      <c r="BJ598" s="319"/>
      <c r="BK598" s="319"/>
      <c r="BL598" s="319"/>
      <c r="BM598" s="319"/>
      <c r="BN598" s="319"/>
      <c r="BO598" s="319"/>
      <c r="BP598" s="319"/>
      <c r="BQ598" s="319"/>
      <c r="BR598" s="319"/>
    </row>
    <row r="599" ht="14.25" customHeight="1">
      <c r="A599" s="195"/>
      <c r="B599" s="100"/>
      <c r="C599" s="100"/>
      <c r="D599" s="100"/>
      <c r="E599" s="100"/>
      <c r="F599" s="206"/>
      <c r="G599" s="206"/>
      <c r="H599" s="207"/>
      <c r="I599" s="207"/>
      <c r="J599" s="207"/>
      <c r="K599" s="207"/>
      <c r="L599" s="207"/>
      <c r="M599" s="207"/>
      <c r="N599" s="207"/>
      <c r="O599" s="207"/>
      <c r="P599" s="207"/>
      <c r="Q599" s="207"/>
      <c r="R599" s="207"/>
      <c r="S599" s="207"/>
      <c r="T599" s="207"/>
      <c r="U599" s="207"/>
      <c r="V599" s="207"/>
      <c r="W599" s="208"/>
      <c r="X599" s="208"/>
      <c r="Y599" s="208"/>
      <c r="Z599" s="208"/>
      <c r="AA599" s="208"/>
      <c r="AB599" s="208"/>
      <c r="AC599" s="208"/>
      <c r="AD599" s="208"/>
      <c r="AE599" s="208"/>
      <c r="AF599" s="208"/>
      <c r="AG599" s="208"/>
      <c r="AH599" s="208"/>
      <c r="AI599" s="100"/>
      <c r="AJ599" s="319"/>
      <c r="AK599" s="319"/>
      <c r="AL599" s="319"/>
      <c r="AM599" s="319"/>
      <c r="AN599" s="319"/>
      <c r="AO599" s="319"/>
      <c r="AP599" s="319"/>
      <c r="AQ599" s="319"/>
      <c r="AR599" s="319"/>
      <c r="AS599" s="319"/>
      <c r="AT599" s="319"/>
      <c r="AU599" s="319"/>
      <c r="AV599" s="319"/>
      <c r="AW599" s="319"/>
      <c r="AX599" s="319"/>
      <c r="AY599" s="319"/>
      <c r="AZ599" s="319"/>
      <c r="BA599" s="319"/>
      <c r="BB599" s="319"/>
      <c r="BC599" s="319"/>
      <c r="BD599" s="319"/>
      <c r="BE599" s="319"/>
      <c r="BF599" s="319"/>
      <c r="BG599" s="319"/>
      <c r="BH599" s="319"/>
      <c r="BI599" s="319"/>
      <c r="BJ599" s="319"/>
      <c r="BK599" s="319"/>
      <c r="BL599" s="319"/>
      <c r="BM599" s="319"/>
      <c r="BN599" s="319"/>
      <c r="BO599" s="319"/>
      <c r="BP599" s="319"/>
      <c r="BQ599" s="319"/>
      <c r="BR599" s="319"/>
    </row>
    <row r="600" ht="14.25" customHeight="1">
      <c r="A600" s="195"/>
      <c r="B600" s="100"/>
      <c r="C600" s="100"/>
      <c r="D600" s="100"/>
      <c r="E600" s="100"/>
      <c r="F600" s="206"/>
      <c r="G600" s="206"/>
      <c r="H600" s="207"/>
      <c r="I600" s="207"/>
      <c r="J600" s="207"/>
      <c r="K600" s="207"/>
      <c r="L600" s="207"/>
      <c r="M600" s="207"/>
      <c r="N600" s="207"/>
      <c r="O600" s="207"/>
      <c r="P600" s="207"/>
      <c r="Q600" s="207"/>
      <c r="R600" s="207"/>
      <c r="S600" s="207"/>
      <c r="T600" s="207"/>
      <c r="U600" s="207"/>
      <c r="V600" s="207"/>
      <c r="W600" s="208"/>
      <c r="X600" s="208"/>
      <c r="Y600" s="208"/>
      <c r="Z600" s="208"/>
      <c r="AA600" s="208"/>
      <c r="AB600" s="208"/>
      <c r="AC600" s="208"/>
      <c r="AD600" s="208"/>
      <c r="AE600" s="208"/>
      <c r="AF600" s="208"/>
      <c r="AG600" s="208"/>
      <c r="AH600" s="208"/>
      <c r="AI600" s="100"/>
      <c r="AJ600" s="319"/>
      <c r="AK600" s="319"/>
      <c r="AL600" s="319"/>
      <c r="AM600" s="319"/>
      <c r="AN600" s="319"/>
      <c r="AO600" s="319"/>
      <c r="AP600" s="319"/>
      <c r="AQ600" s="319"/>
      <c r="AR600" s="319"/>
      <c r="AS600" s="319"/>
      <c r="AT600" s="319"/>
      <c r="AU600" s="319"/>
      <c r="AV600" s="319"/>
      <c r="AW600" s="319"/>
      <c r="AX600" s="319"/>
      <c r="AY600" s="319"/>
      <c r="AZ600" s="319"/>
      <c r="BA600" s="319"/>
      <c r="BB600" s="319"/>
      <c r="BC600" s="319"/>
      <c r="BD600" s="319"/>
      <c r="BE600" s="319"/>
      <c r="BF600" s="319"/>
      <c r="BG600" s="319"/>
      <c r="BH600" s="319"/>
      <c r="BI600" s="319"/>
      <c r="BJ600" s="319"/>
      <c r="BK600" s="319"/>
      <c r="BL600" s="319"/>
      <c r="BM600" s="319"/>
      <c r="BN600" s="319"/>
      <c r="BO600" s="319"/>
      <c r="BP600" s="319"/>
      <c r="BQ600" s="319"/>
      <c r="BR600" s="319"/>
    </row>
    <row r="601" ht="14.25" customHeight="1">
      <c r="A601" s="195"/>
      <c r="B601" s="100"/>
      <c r="C601" s="100"/>
      <c r="D601" s="100"/>
      <c r="E601" s="100"/>
      <c r="F601" s="206"/>
      <c r="G601" s="206"/>
      <c r="H601" s="207"/>
      <c r="I601" s="207"/>
      <c r="J601" s="207"/>
      <c r="K601" s="207"/>
      <c r="L601" s="207"/>
      <c r="M601" s="207"/>
      <c r="N601" s="207"/>
      <c r="O601" s="207"/>
      <c r="P601" s="207"/>
      <c r="Q601" s="207"/>
      <c r="R601" s="207"/>
      <c r="S601" s="207"/>
      <c r="T601" s="207"/>
      <c r="U601" s="207"/>
      <c r="V601" s="207"/>
      <c r="W601" s="208"/>
      <c r="X601" s="208"/>
      <c r="Y601" s="208"/>
      <c r="Z601" s="208"/>
      <c r="AA601" s="208"/>
      <c r="AB601" s="208"/>
      <c r="AC601" s="208"/>
      <c r="AD601" s="208"/>
      <c r="AE601" s="208"/>
      <c r="AF601" s="208"/>
      <c r="AG601" s="208"/>
      <c r="AH601" s="208"/>
      <c r="AI601" s="100"/>
      <c r="AJ601" s="319"/>
      <c r="AK601" s="319"/>
      <c r="AL601" s="319"/>
      <c r="AM601" s="319"/>
      <c r="AN601" s="319"/>
      <c r="AO601" s="319"/>
      <c r="AP601" s="319"/>
      <c r="AQ601" s="319"/>
      <c r="AR601" s="319"/>
      <c r="AS601" s="319"/>
      <c r="AT601" s="319"/>
      <c r="AU601" s="319"/>
      <c r="AV601" s="319"/>
      <c r="AW601" s="319"/>
      <c r="AX601" s="319"/>
      <c r="AY601" s="319"/>
      <c r="AZ601" s="319"/>
      <c r="BA601" s="319"/>
      <c r="BB601" s="319"/>
      <c r="BC601" s="319"/>
      <c r="BD601" s="319"/>
      <c r="BE601" s="319"/>
      <c r="BF601" s="319"/>
      <c r="BG601" s="319"/>
      <c r="BH601" s="319"/>
      <c r="BI601" s="319"/>
      <c r="BJ601" s="319"/>
      <c r="BK601" s="319"/>
      <c r="BL601" s="319"/>
      <c r="BM601" s="319"/>
      <c r="BN601" s="319"/>
      <c r="BO601" s="319"/>
      <c r="BP601" s="319"/>
      <c r="BQ601" s="319"/>
      <c r="BR601" s="319"/>
    </row>
    <row r="602" ht="14.25" customHeight="1">
      <c r="A602" s="195"/>
      <c r="B602" s="100"/>
      <c r="C602" s="100"/>
      <c r="D602" s="100"/>
      <c r="E602" s="100"/>
      <c r="F602" s="206"/>
      <c r="G602" s="206"/>
      <c r="H602" s="207"/>
      <c r="I602" s="207"/>
      <c r="J602" s="207"/>
      <c r="K602" s="207"/>
      <c r="L602" s="207"/>
      <c r="M602" s="207"/>
      <c r="N602" s="207"/>
      <c r="O602" s="207"/>
      <c r="P602" s="207"/>
      <c r="Q602" s="207"/>
      <c r="R602" s="207"/>
      <c r="S602" s="207"/>
      <c r="T602" s="207"/>
      <c r="U602" s="207"/>
      <c r="V602" s="207"/>
      <c r="W602" s="208"/>
      <c r="X602" s="208"/>
      <c r="Y602" s="208"/>
      <c r="Z602" s="208"/>
      <c r="AA602" s="208"/>
      <c r="AB602" s="208"/>
      <c r="AC602" s="208"/>
      <c r="AD602" s="208"/>
      <c r="AE602" s="208"/>
      <c r="AF602" s="208"/>
      <c r="AG602" s="208"/>
      <c r="AH602" s="208"/>
      <c r="AI602" s="100"/>
      <c r="AJ602" s="319"/>
      <c r="AK602" s="319"/>
      <c r="AL602" s="319"/>
      <c r="AM602" s="319"/>
      <c r="AN602" s="319"/>
      <c r="AO602" s="319"/>
      <c r="AP602" s="319"/>
      <c r="AQ602" s="319"/>
      <c r="AR602" s="319"/>
      <c r="AS602" s="319"/>
      <c r="AT602" s="319"/>
      <c r="AU602" s="319"/>
      <c r="AV602" s="319"/>
      <c r="AW602" s="319"/>
      <c r="AX602" s="319"/>
      <c r="AY602" s="319"/>
      <c r="AZ602" s="319"/>
      <c r="BA602" s="319"/>
      <c r="BB602" s="319"/>
      <c r="BC602" s="319"/>
      <c r="BD602" s="319"/>
      <c r="BE602" s="319"/>
      <c r="BF602" s="319"/>
      <c r="BG602" s="319"/>
      <c r="BH602" s="319"/>
      <c r="BI602" s="319"/>
      <c r="BJ602" s="319"/>
      <c r="BK602" s="319"/>
      <c r="BL602" s="319"/>
      <c r="BM602" s="319"/>
      <c r="BN602" s="319"/>
      <c r="BO602" s="319"/>
      <c r="BP602" s="319"/>
      <c r="BQ602" s="319"/>
      <c r="BR602" s="319"/>
    </row>
    <row r="603" ht="14.25" customHeight="1">
      <c r="A603" s="195"/>
      <c r="B603" s="100"/>
      <c r="C603" s="100"/>
      <c r="D603" s="100"/>
      <c r="E603" s="100"/>
      <c r="F603" s="206"/>
      <c r="G603" s="206"/>
      <c r="H603" s="207"/>
      <c r="I603" s="207"/>
      <c r="J603" s="207"/>
      <c r="K603" s="207"/>
      <c r="L603" s="207"/>
      <c r="M603" s="207"/>
      <c r="N603" s="207"/>
      <c r="O603" s="207"/>
      <c r="P603" s="207"/>
      <c r="Q603" s="207"/>
      <c r="R603" s="207"/>
      <c r="S603" s="207"/>
      <c r="T603" s="207"/>
      <c r="U603" s="207"/>
      <c r="V603" s="207"/>
      <c r="W603" s="208"/>
      <c r="X603" s="208"/>
      <c r="Y603" s="208"/>
      <c r="Z603" s="208"/>
      <c r="AA603" s="208"/>
      <c r="AB603" s="208"/>
      <c r="AC603" s="208"/>
      <c r="AD603" s="208"/>
      <c r="AE603" s="208"/>
      <c r="AF603" s="208"/>
      <c r="AG603" s="208"/>
      <c r="AH603" s="208"/>
      <c r="AI603" s="100"/>
      <c r="AJ603" s="319"/>
      <c r="AK603" s="319"/>
      <c r="AL603" s="319"/>
      <c r="AM603" s="319"/>
      <c r="AN603" s="319"/>
      <c r="AO603" s="319"/>
      <c r="AP603" s="319"/>
      <c r="AQ603" s="319"/>
      <c r="AR603" s="319"/>
      <c r="AS603" s="319"/>
      <c r="AT603" s="319"/>
      <c r="AU603" s="319"/>
      <c r="AV603" s="319"/>
      <c r="AW603" s="319"/>
      <c r="AX603" s="319"/>
      <c r="AY603" s="319"/>
      <c r="AZ603" s="319"/>
      <c r="BA603" s="319"/>
      <c r="BB603" s="319"/>
      <c r="BC603" s="319"/>
      <c r="BD603" s="319"/>
      <c r="BE603" s="319"/>
      <c r="BF603" s="319"/>
      <c r="BG603" s="319"/>
      <c r="BH603" s="319"/>
      <c r="BI603" s="319"/>
      <c r="BJ603" s="319"/>
      <c r="BK603" s="319"/>
      <c r="BL603" s="319"/>
      <c r="BM603" s="319"/>
      <c r="BN603" s="319"/>
      <c r="BO603" s="319"/>
      <c r="BP603" s="319"/>
      <c r="BQ603" s="319"/>
      <c r="BR603" s="319"/>
    </row>
    <row r="604" ht="14.25" customHeight="1">
      <c r="A604" s="195"/>
      <c r="B604" s="100"/>
      <c r="C604" s="100"/>
      <c r="D604" s="100"/>
      <c r="E604" s="100"/>
      <c r="F604" s="206"/>
      <c r="G604" s="206"/>
      <c r="H604" s="207"/>
      <c r="I604" s="207"/>
      <c r="J604" s="207"/>
      <c r="K604" s="207"/>
      <c r="L604" s="207"/>
      <c r="M604" s="207"/>
      <c r="N604" s="207"/>
      <c r="O604" s="207"/>
      <c r="P604" s="207"/>
      <c r="Q604" s="207"/>
      <c r="R604" s="207"/>
      <c r="S604" s="207"/>
      <c r="T604" s="207"/>
      <c r="U604" s="207"/>
      <c r="V604" s="207"/>
      <c r="W604" s="208"/>
      <c r="X604" s="208"/>
      <c r="Y604" s="208"/>
      <c r="Z604" s="208"/>
      <c r="AA604" s="208"/>
      <c r="AB604" s="208"/>
      <c r="AC604" s="208"/>
      <c r="AD604" s="208"/>
      <c r="AE604" s="208"/>
      <c r="AF604" s="208"/>
      <c r="AG604" s="208"/>
      <c r="AH604" s="208"/>
      <c r="AI604" s="100"/>
      <c r="AJ604" s="319"/>
      <c r="AK604" s="319"/>
      <c r="AL604" s="319"/>
      <c r="AM604" s="319"/>
      <c r="AN604" s="319"/>
      <c r="AO604" s="319"/>
      <c r="AP604" s="319"/>
      <c r="AQ604" s="319"/>
      <c r="AR604" s="319"/>
      <c r="AS604" s="319"/>
      <c r="AT604" s="319"/>
      <c r="AU604" s="319"/>
      <c r="AV604" s="319"/>
      <c r="AW604" s="319"/>
      <c r="AX604" s="319"/>
      <c r="AY604" s="319"/>
      <c r="AZ604" s="319"/>
      <c r="BA604" s="319"/>
      <c r="BB604" s="319"/>
      <c r="BC604" s="319"/>
      <c r="BD604" s="319"/>
      <c r="BE604" s="319"/>
      <c r="BF604" s="319"/>
      <c r="BG604" s="319"/>
      <c r="BH604" s="319"/>
      <c r="BI604" s="319"/>
      <c r="BJ604" s="319"/>
      <c r="BK604" s="319"/>
      <c r="BL604" s="319"/>
      <c r="BM604" s="319"/>
      <c r="BN604" s="319"/>
      <c r="BO604" s="319"/>
      <c r="BP604" s="319"/>
      <c r="BQ604" s="319"/>
      <c r="BR604" s="319"/>
    </row>
    <row r="605" ht="14.25" customHeight="1">
      <c r="A605" s="195"/>
      <c r="B605" s="100"/>
      <c r="C605" s="100"/>
      <c r="D605" s="100"/>
      <c r="E605" s="100"/>
      <c r="F605" s="206"/>
      <c r="G605" s="206"/>
      <c r="H605" s="207"/>
      <c r="I605" s="207"/>
      <c r="J605" s="207"/>
      <c r="K605" s="207"/>
      <c r="L605" s="207"/>
      <c r="M605" s="207"/>
      <c r="N605" s="207"/>
      <c r="O605" s="207"/>
      <c r="P605" s="207"/>
      <c r="Q605" s="207"/>
      <c r="R605" s="207"/>
      <c r="S605" s="207"/>
      <c r="T605" s="207"/>
      <c r="U605" s="207"/>
      <c r="V605" s="207"/>
      <c r="W605" s="208"/>
      <c r="X605" s="208"/>
      <c r="Y605" s="208"/>
      <c r="Z605" s="208"/>
      <c r="AA605" s="208"/>
      <c r="AB605" s="208"/>
      <c r="AC605" s="208"/>
      <c r="AD605" s="208"/>
      <c r="AE605" s="208"/>
      <c r="AF605" s="208"/>
      <c r="AG605" s="208"/>
      <c r="AH605" s="208"/>
      <c r="AI605" s="100"/>
      <c r="AJ605" s="319"/>
      <c r="AK605" s="319"/>
      <c r="AL605" s="319"/>
      <c r="AM605" s="319"/>
      <c r="AN605" s="319"/>
      <c r="AO605" s="319"/>
      <c r="AP605" s="319"/>
      <c r="AQ605" s="319"/>
      <c r="AR605" s="319"/>
      <c r="AS605" s="319"/>
      <c r="AT605" s="319"/>
      <c r="AU605" s="319"/>
      <c r="AV605" s="319"/>
      <c r="AW605" s="319"/>
      <c r="AX605" s="319"/>
      <c r="AY605" s="319"/>
      <c r="AZ605" s="319"/>
      <c r="BA605" s="319"/>
      <c r="BB605" s="319"/>
      <c r="BC605" s="319"/>
      <c r="BD605" s="319"/>
      <c r="BE605" s="319"/>
      <c r="BF605" s="319"/>
      <c r="BG605" s="319"/>
      <c r="BH605" s="319"/>
      <c r="BI605" s="319"/>
      <c r="BJ605" s="319"/>
      <c r="BK605" s="319"/>
      <c r="BL605" s="319"/>
      <c r="BM605" s="319"/>
      <c r="BN605" s="319"/>
      <c r="BO605" s="319"/>
      <c r="BP605" s="319"/>
      <c r="BQ605" s="319"/>
      <c r="BR605" s="319"/>
    </row>
    <row r="606" ht="14.25" customHeight="1">
      <c r="A606" s="195"/>
      <c r="B606" s="100"/>
      <c r="C606" s="100"/>
      <c r="D606" s="100"/>
      <c r="E606" s="100"/>
      <c r="F606" s="206"/>
      <c r="G606" s="206"/>
      <c r="H606" s="207"/>
      <c r="I606" s="207"/>
      <c r="J606" s="207"/>
      <c r="K606" s="207"/>
      <c r="L606" s="207"/>
      <c r="M606" s="207"/>
      <c r="N606" s="207"/>
      <c r="O606" s="207"/>
      <c r="P606" s="207"/>
      <c r="Q606" s="207"/>
      <c r="R606" s="207"/>
      <c r="S606" s="207"/>
      <c r="T606" s="207"/>
      <c r="U606" s="207"/>
      <c r="V606" s="207"/>
      <c r="W606" s="208"/>
      <c r="X606" s="208"/>
      <c r="Y606" s="208"/>
      <c r="Z606" s="208"/>
      <c r="AA606" s="208"/>
      <c r="AB606" s="208"/>
      <c r="AC606" s="208"/>
      <c r="AD606" s="208"/>
      <c r="AE606" s="208"/>
      <c r="AF606" s="208"/>
      <c r="AG606" s="208"/>
      <c r="AH606" s="208"/>
      <c r="AI606" s="100"/>
      <c r="AJ606" s="319"/>
      <c r="AK606" s="319"/>
      <c r="AL606" s="319"/>
      <c r="AM606" s="319"/>
      <c r="AN606" s="319"/>
      <c r="AO606" s="319"/>
      <c r="AP606" s="319"/>
      <c r="AQ606" s="319"/>
      <c r="AR606" s="319"/>
      <c r="AS606" s="319"/>
      <c r="AT606" s="319"/>
      <c r="AU606" s="319"/>
      <c r="AV606" s="319"/>
      <c r="AW606" s="319"/>
      <c r="AX606" s="319"/>
      <c r="AY606" s="319"/>
      <c r="AZ606" s="319"/>
      <c r="BA606" s="319"/>
      <c r="BB606" s="319"/>
      <c r="BC606" s="319"/>
      <c r="BD606" s="319"/>
      <c r="BE606" s="319"/>
      <c r="BF606" s="319"/>
      <c r="BG606" s="319"/>
      <c r="BH606" s="319"/>
      <c r="BI606" s="319"/>
      <c r="BJ606" s="319"/>
      <c r="BK606" s="319"/>
      <c r="BL606" s="319"/>
      <c r="BM606" s="319"/>
      <c r="BN606" s="319"/>
      <c r="BO606" s="319"/>
      <c r="BP606" s="319"/>
      <c r="BQ606" s="319"/>
      <c r="BR606" s="319"/>
    </row>
    <row r="607" ht="14.25" customHeight="1">
      <c r="A607" s="195"/>
      <c r="B607" s="100"/>
      <c r="C607" s="100"/>
      <c r="D607" s="100"/>
      <c r="E607" s="100"/>
      <c r="F607" s="206"/>
      <c r="G607" s="206"/>
      <c r="H607" s="207"/>
      <c r="I607" s="207"/>
      <c r="J607" s="207"/>
      <c r="K607" s="207"/>
      <c r="L607" s="207"/>
      <c r="M607" s="207"/>
      <c r="N607" s="207"/>
      <c r="O607" s="207"/>
      <c r="P607" s="207"/>
      <c r="Q607" s="207"/>
      <c r="R607" s="207"/>
      <c r="S607" s="207"/>
      <c r="T607" s="207"/>
      <c r="U607" s="207"/>
      <c r="V607" s="207"/>
      <c r="W607" s="208"/>
      <c r="X607" s="208"/>
      <c r="Y607" s="208"/>
      <c r="Z607" s="208"/>
      <c r="AA607" s="208"/>
      <c r="AB607" s="208"/>
      <c r="AC607" s="208"/>
      <c r="AD607" s="208"/>
      <c r="AE607" s="208"/>
      <c r="AF607" s="208"/>
      <c r="AG607" s="208"/>
      <c r="AH607" s="208"/>
      <c r="AI607" s="100"/>
      <c r="AJ607" s="319"/>
      <c r="AK607" s="319"/>
      <c r="AL607" s="319"/>
      <c r="AM607" s="319"/>
      <c r="AN607" s="319"/>
      <c r="AO607" s="319"/>
      <c r="AP607" s="319"/>
      <c r="AQ607" s="319"/>
      <c r="AR607" s="319"/>
      <c r="AS607" s="319"/>
      <c r="AT607" s="319"/>
      <c r="AU607" s="319"/>
      <c r="AV607" s="319"/>
      <c r="AW607" s="319"/>
      <c r="AX607" s="319"/>
      <c r="AY607" s="319"/>
      <c r="AZ607" s="319"/>
      <c r="BA607" s="319"/>
      <c r="BB607" s="319"/>
      <c r="BC607" s="319"/>
      <c r="BD607" s="319"/>
      <c r="BE607" s="319"/>
      <c r="BF607" s="319"/>
      <c r="BG607" s="319"/>
      <c r="BH607" s="319"/>
      <c r="BI607" s="319"/>
      <c r="BJ607" s="319"/>
      <c r="BK607" s="319"/>
      <c r="BL607" s="319"/>
      <c r="BM607" s="319"/>
      <c r="BN607" s="319"/>
      <c r="BO607" s="319"/>
      <c r="BP607" s="319"/>
      <c r="BQ607" s="319"/>
      <c r="BR607" s="319"/>
    </row>
    <row r="608" ht="14.25" customHeight="1">
      <c r="A608" s="195"/>
      <c r="B608" s="100"/>
      <c r="C608" s="100"/>
      <c r="D608" s="100"/>
      <c r="E608" s="100"/>
      <c r="F608" s="206"/>
      <c r="G608" s="206"/>
      <c r="H608" s="207"/>
      <c r="I608" s="207"/>
      <c r="J608" s="207"/>
      <c r="K608" s="207"/>
      <c r="L608" s="207"/>
      <c r="M608" s="207"/>
      <c r="N608" s="207"/>
      <c r="O608" s="207"/>
      <c r="P608" s="207"/>
      <c r="Q608" s="207"/>
      <c r="R608" s="207"/>
      <c r="S608" s="207"/>
      <c r="T608" s="207"/>
      <c r="U608" s="207"/>
      <c r="V608" s="207"/>
      <c r="W608" s="208"/>
      <c r="X608" s="208"/>
      <c r="Y608" s="208"/>
      <c r="Z608" s="208"/>
      <c r="AA608" s="208"/>
      <c r="AB608" s="208"/>
      <c r="AC608" s="208"/>
      <c r="AD608" s="208"/>
      <c r="AE608" s="208"/>
      <c r="AF608" s="208"/>
      <c r="AG608" s="208"/>
      <c r="AH608" s="208"/>
      <c r="AI608" s="100"/>
      <c r="AJ608" s="319"/>
      <c r="AK608" s="319"/>
      <c r="AL608" s="319"/>
      <c r="AM608" s="319"/>
      <c r="AN608" s="319"/>
      <c r="AO608" s="319"/>
      <c r="AP608" s="319"/>
      <c r="AQ608" s="319"/>
      <c r="AR608" s="319"/>
      <c r="AS608" s="319"/>
      <c r="AT608" s="319"/>
      <c r="AU608" s="319"/>
      <c r="AV608" s="319"/>
      <c r="AW608" s="319"/>
      <c r="AX608" s="319"/>
      <c r="AY608" s="319"/>
      <c r="AZ608" s="319"/>
      <c r="BA608" s="319"/>
      <c r="BB608" s="319"/>
      <c r="BC608" s="319"/>
      <c r="BD608" s="319"/>
      <c r="BE608" s="319"/>
      <c r="BF608" s="319"/>
      <c r="BG608" s="319"/>
      <c r="BH608" s="319"/>
      <c r="BI608" s="319"/>
      <c r="BJ608" s="319"/>
      <c r="BK608" s="319"/>
      <c r="BL608" s="319"/>
      <c r="BM608" s="319"/>
      <c r="BN608" s="319"/>
      <c r="BO608" s="319"/>
      <c r="BP608" s="319"/>
      <c r="BQ608" s="319"/>
      <c r="BR608" s="319"/>
    </row>
    <row r="609" ht="14.25" customHeight="1">
      <c r="A609" s="195"/>
      <c r="B609" s="100"/>
      <c r="C609" s="100"/>
      <c r="D609" s="100"/>
      <c r="E609" s="100"/>
      <c r="F609" s="206"/>
      <c r="G609" s="206"/>
      <c r="H609" s="207"/>
      <c r="I609" s="207"/>
      <c r="J609" s="207"/>
      <c r="K609" s="207"/>
      <c r="L609" s="207"/>
      <c r="M609" s="207"/>
      <c r="N609" s="207"/>
      <c r="O609" s="207"/>
      <c r="P609" s="207"/>
      <c r="Q609" s="207"/>
      <c r="R609" s="207"/>
      <c r="S609" s="207"/>
      <c r="T609" s="207"/>
      <c r="U609" s="207"/>
      <c r="V609" s="207"/>
      <c r="W609" s="208"/>
      <c r="X609" s="208"/>
      <c r="Y609" s="208"/>
      <c r="Z609" s="208"/>
      <c r="AA609" s="208"/>
      <c r="AB609" s="208"/>
      <c r="AC609" s="208"/>
      <c r="AD609" s="208"/>
      <c r="AE609" s="208"/>
      <c r="AF609" s="208"/>
      <c r="AG609" s="208"/>
      <c r="AH609" s="208"/>
      <c r="AI609" s="100"/>
      <c r="AJ609" s="319"/>
      <c r="AK609" s="319"/>
      <c r="AL609" s="319"/>
      <c r="AM609" s="319"/>
      <c r="AN609" s="319"/>
      <c r="AO609" s="319"/>
      <c r="AP609" s="319"/>
      <c r="AQ609" s="319"/>
      <c r="AR609" s="319"/>
      <c r="AS609" s="319"/>
      <c r="AT609" s="319"/>
      <c r="AU609" s="319"/>
      <c r="AV609" s="319"/>
      <c r="AW609" s="319"/>
      <c r="AX609" s="319"/>
      <c r="AY609" s="319"/>
      <c r="AZ609" s="319"/>
      <c r="BA609" s="319"/>
      <c r="BB609" s="319"/>
      <c r="BC609" s="319"/>
      <c r="BD609" s="319"/>
      <c r="BE609" s="319"/>
      <c r="BF609" s="319"/>
      <c r="BG609" s="319"/>
      <c r="BH609" s="319"/>
      <c r="BI609" s="319"/>
      <c r="BJ609" s="319"/>
      <c r="BK609" s="319"/>
      <c r="BL609" s="319"/>
      <c r="BM609" s="319"/>
      <c r="BN609" s="319"/>
      <c r="BO609" s="319"/>
      <c r="BP609" s="319"/>
      <c r="BQ609" s="319"/>
      <c r="BR609" s="319"/>
    </row>
    <row r="610" ht="14.25" customHeight="1">
      <c r="A610" s="195"/>
      <c r="B610" s="100"/>
      <c r="C610" s="100"/>
      <c r="D610" s="100"/>
      <c r="E610" s="100"/>
      <c r="F610" s="206"/>
      <c r="G610" s="206"/>
      <c r="H610" s="207"/>
      <c r="I610" s="207"/>
      <c r="J610" s="207"/>
      <c r="K610" s="207"/>
      <c r="L610" s="207"/>
      <c r="M610" s="207"/>
      <c r="N610" s="207"/>
      <c r="O610" s="207"/>
      <c r="P610" s="207"/>
      <c r="Q610" s="207"/>
      <c r="R610" s="207"/>
      <c r="S610" s="207"/>
      <c r="T610" s="207"/>
      <c r="U610" s="207"/>
      <c r="V610" s="207"/>
      <c r="W610" s="208"/>
      <c r="X610" s="208"/>
      <c r="Y610" s="208"/>
      <c r="Z610" s="208"/>
      <c r="AA610" s="208"/>
      <c r="AB610" s="208"/>
      <c r="AC610" s="208"/>
      <c r="AD610" s="208"/>
      <c r="AE610" s="208"/>
      <c r="AF610" s="208"/>
      <c r="AG610" s="208"/>
      <c r="AH610" s="208"/>
      <c r="AI610" s="100"/>
      <c r="AJ610" s="319"/>
      <c r="AK610" s="319"/>
      <c r="AL610" s="319"/>
      <c r="AM610" s="319"/>
      <c r="AN610" s="319"/>
      <c r="AO610" s="319"/>
      <c r="AP610" s="319"/>
      <c r="AQ610" s="319"/>
      <c r="AR610" s="319"/>
      <c r="AS610" s="319"/>
      <c r="AT610" s="319"/>
      <c r="AU610" s="319"/>
      <c r="AV610" s="319"/>
      <c r="AW610" s="319"/>
      <c r="AX610" s="319"/>
      <c r="AY610" s="319"/>
      <c r="AZ610" s="319"/>
      <c r="BA610" s="319"/>
      <c r="BB610" s="319"/>
      <c r="BC610" s="319"/>
      <c r="BD610" s="319"/>
      <c r="BE610" s="319"/>
      <c r="BF610" s="319"/>
      <c r="BG610" s="319"/>
      <c r="BH610" s="319"/>
      <c r="BI610" s="319"/>
      <c r="BJ610" s="319"/>
      <c r="BK610" s="319"/>
      <c r="BL610" s="319"/>
      <c r="BM610" s="319"/>
      <c r="BN610" s="319"/>
      <c r="BO610" s="319"/>
      <c r="BP610" s="319"/>
      <c r="BQ610" s="319"/>
      <c r="BR610" s="319"/>
    </row>
    <row r="611" ht="14.25" customHeight="1">
      <c r="A611" s="195"/>
      <c r="B611" s="100"/>
      <c r="C611" s="100"/>
      <c r="D611" s="100"/>
      <c r="E611" s="100"/>
      <c r="F611" s="206"/>
      <c r="G611" s="206"/>
      <c r="H611" s="207"/>
      <c r="I611" s="207"/>
      <c r="J611" s="207"/>
      <c r="K611" s="207"/>
      <c r="L611" s="207"/>
      <c r="M611" s="207"/>
      <c r="N611" s="207"/>
      <c r="O611" s="207"/>
      <c r="P611" s="207"/>
      <c r="Q611" s="207"/>
      <c r="R611" s="207"/>
      <c r="S611" s="207"/>
      <c r="T611" s="207"/>
      <c r="U611" s="207"/>
      <c r="V611" s="207"/>
      <c r="W611" s="208"/>
      <c r="X611" s="208"/>
      <c r="Y611" s="208"/>
      <c r="Z611" s="208"/>
      <c r="AA611" s="208"/>
      <c r="AB611" s="208"/>
      <c r="AC611" s="208"/>
      <c r="AD611" s="208"/>
      <c r="AE611" s="208"/>
      <c r="AF611" s="208"/>
      <c r="AG611" s="208"/>
      <c r="AH611" s="208"/>
      <c r="AI611" s="100"/>
      <c r="AJ611" s="319"/>
      <c r="AK611" s="319"/>
      <c r="AL611" s="319"/>
      <c r="AM611" s="319"/>
      <c r="AN611" s="319"/>
      <c r="AO611" s="319"/>
      <c r="AP611" s="319"/>
      <c r="AQ611" s="319"/>
      <c r="AR611" s="319"/>
      <c r="AS611" s="319"/>
      <c r="AT611" s="319"/>
      <c r="AU611" s="319"/>
      <c r="AV611" s="319"/>
      <c r="AW611" s="319"/>
      <c r="AX611" s="319"/>
      <c r="AY611" s="319"/>
      <c r="AZ611" s="319"/>
      <c r="BA611" s="319"/>
      <c r="BB611" s="319"/>
      <c r="BC611" s="319"/>
      <c r="BD611" s="319"/>
      <c r="BE611" s="319"/>
      <c r="BF611" s="319"/>
      <c r="BG611" s="319"/>
      <c r="BH611" s="319"/>
      <c r="BI611" s="319"/>
      <c r="BJ611" s="319"/>
      <c r="BK611" s="319"/>
      <c r="BL611" s="319"/>
      <c r="BM611" s="319"/>
      <c r="BN611" s="319"/>
      <c r="BO611" s="319"/>
      <c r="BP611" s="319"/>
      <c r="BQ611" s="319"/>
      <c r="BR611" s="319"/>
    </row>
    <row r="612" ht="14.25" customHeight="1">
      <c r="A612" s="195"/>
      <c r="B612" s="100"/>
      <c r="C612" s="100"/>
      <c r="D612" s="100"/>
      <c r="E612" s="100"/>
      <c r="F612" s="206"/>
      <c r="G612" s="206"/>
      <c r="H612" s="207"/>
      <c r="I612" s="207"/>
      <c r="J612" s="207"/>
      <c r="K612" s="207"/>
      <c r="L612" s="207"/>
      <c r="M612" s="207"/>
      <c r="N612" s="207"/>
      <c r="O612" s="207"/>
      <c r="P612" s="207"/>
      <c r="Q612" s="207"/>
      <c r="R612" s="207"/>
      <c r="S612" s="207"/>
      <c r="T612" s="207"/>
      <c r="U612" s="207"/>
      <c r="V612" s="207"/>
      <c r="W612" s="208"/>
      <c r="X612" s="208"/>
      <c r="Y612" s="208"/>
      <c r="Z612" s="208"/>
      <c r="AA612" s="208"/>
      <c r="AB612" s="208"/>
      <c r="AC612" s="208"/>
      <c r="AD612" s="208"/>
      <c r="AE612" s="208"/>
      <c r="AF612" s="208"/>
      <c r="AG612" s="208"/>
      <c r="AH612" s="208"/>
      <c r="AI612" s="100"/>
      <c r="AJ612" s="319"/>
      <c r="AK612" s="319"/>
      <c r="AL612" s="319"/>
      <c r="AM612" s="319"/>
      <c r="AN612" s="319"/>
      <c r="AO612" s="319"/>
      <c r="AP612" s="319"/>
      <c r="AQ612" s="319"/>
      <c r="AR612" s="319"/>
      <c r="AS612" s="319"/>
      <c r="AT612" s="319"/>
      <c r="AU612" s="319"/>
      <c r="AV612" s="319"/>
      <c r="AW612" s="319"/>
      <c r="AX612" s="319"/>
      <c r="AY612" s="319"/>
      <c r="AZ612" s="319"/>
      <c r="BA612" s="319"/>
      <c r="BB612" s="319"/>
      <c r="BC612" s="319"/>
      <c r="BD612" s="319"/>
      <c r="BE612" s="319"/>
      <c r="BF612" s="319"/>
      <c r="BG612" s="319"/>
      <c r="BH612" s="319"/>
      <c r="BI612" s="319"/>
      <c r="BJ612" s="319"/>
      <c r="BK612" s="319"/>
      <c r="BL612" s="319"/>
      <c r="BM612" s="319"/>
      <c r="BN612" s="319"/>
      <c r="BO612" s="319"/>
      <c r="BP612" s="319"/>
      <c r="BQ612" s="319"/>
      <c r="BR612" s="319"/>
    </row>
    <row r="613" ht="14.25" customHeight="1">
      <c r="A613" s="195"/>
      <c r="B613" s="100"/>
      <c r="C613" s="100"/>
      <c r="D613" s="100"/>
      <c r="E613" s="100"/>
      <c r="F613" s="206"/>
      <c r="G613" s="206"/>
      <c r="H613" s="207"/>
      <c r="I613" s="207"/>
      <c r="J613" s="207"/>
      <c r="K613" s="207"/>
      <c r="L613" s="207"/>
      <c r="M613" s="207"/>
      <c r="N613" s="207"/>
      <c r="O613" s="207"/>
      <c r="P613" s="207"/>
      <c r="Q613" s="207"/>
      <c r="R613" s="207"/>
      <c r="S613" s="207"/>
      <c r="T613" s="207"/>
      <c r="U613" s="207"/>
      <c r="V613" s="207"/>
      <c r="W613" s="208"/>
      <c r="X613" s="208"/>
      <c r="Y613" s="208"/>
      <c r="Z613" s="208"/>
      <c r="AA613" s="208"/>
      <c r="AB613" s="208"/>
      <c r="AC613" s="208"/>
      <c r="AD613" s="208"/>
      <c r="AE613" s="208"/>
      <c r="AF613" s="208"/>
      <c r="AG613" s="208"/>
      <c r="AH613" s="208"/>
      <c r="AI613" s="100"/>
      <c r="AJ613" s="319"/>
      <c r="AK613" s="319"/>
      <c r="AL613" s="319"/>
      <c r="AM613" s="319"/>
      <c r="AN613" s="319"/>
      <c r="AO613" s="319"/>
      <c r="AP613" s="319"/>
      <c r="AQ613" s="319"/>
      <c r="AR613" s="319"/>
      <c r="AS613" s="319"/>
      <c r="AT613" s="319"/>
      <c r="AU613" s="319"/>
      <c r="AV613" s="319"/>
      <c r="AW613" s="319"/>
      <c r="AX613" s="319"/>
      <c r="AY613" s="319"/>
      <c r="AZ613" s="319"/>
      <c r="BA613" s="319"/>
      <c r="BB613" s="319"/>
      <c r="BC613" s="319"/>
      <c r="BD613" s="319"/>
      <c r="BE613" s="319"/>
      <c r="BF613" s="319"/>
      <c r="BG613" s="319"/>
      <c r="BH613" s="319"/>
      <c r="BI613" s="319"/>
      <c r="BJ613" s="319"/>
      <c r="BK613" s="319"/>
      <c r="BL613" s="319"/>
      <c r="BM613" s="319"/>
      <c r="BN613" s="319"/>
      <c r="BO613" s="319"/>
      <c r="BP613" s="319"/>
      <c r="BQ613" s="319"/>
      <c r="BR613" s="319"/>
    </row>
    <row r="614" ht="14.25" customHeight="1">
      <c r="A614" s="195"/>
      <c r="B614" s="100"/>
      <c r="C614" s="100"/>
      <c r="D614" s="100"/>
      <c r="E614" s="100"/>
      <c r="F614" s="206"/>
      <c r="G614" s="206"/>
      <c r="H614" s="207"/>
      <c r="I614" s="207"/>
      <c r="J614" s="207"/>
      <c r="K614" s="207"/>
      <c r="L614" s="207"/>
      <c r="M614" s="207"/>
      <c r="N614" s="207"/>
      <c r="O614" s="207"/>
      <c r="P614" s="207"/>
      <c r="Q614" s="207"/>
      <c r="R614" s="207"/>
      <c r="S614" s="207"/>
      <c r="T614" s="207"/>
      <c r="U614" s="207"/>
      <c r="V614" s="207"/>
      <c r="W614" s="208"/>
      <c r="X614" s="208"/>
      <c r="Y614" s="208"/>
      <c r="Z614" s="208"/>
      <c r="AA614" s="208"/>
      <c r="AB614" s="208"/>
      <c r="AC614" s="208"/>
      <c r="AD614" s="208"/>
      <c r="AE614" s="208"/>
      <c r="AF614" s="208"/>
      <c r="AG614" s="208"/>
      <c r="AH614" s="208"/>
      <c r="AI614" s="100"/>
      <c r="AJ614" s="319"/>
      <c r="AK614" s="319"/>
      <c r="AL614" s="319"/>
      <c r="AM614" s="319"/>
      <c r="AN614" s="319"/>
      <c r="AO614" s="319"/>
      <c r="AP614" s="319"/>
      <c r="AQ614" s="319"/>
      <c r="AR614" s="319"/>
      <c r="AS614" s="319"/>
      <c r="AT614" s="319"/>
      <c r="AU614" s="319"/>
      <c r="AV614" s="319"/>
      <c r="AW614" s="319"/>
      <c r="AX614" s="319"/>
      <c r="AY614" s="319"/>
      <c r="AZ614" s="319"/>
      <c r="BA614" s="319"/>
      <c r="BB614" s="319"/>
      <c r="BC614" s="319"/>
      <c r="BD614" s="319"/>
      <c r="BE614" s="319"/>
      <c r="BF614" s="319"/>
      <c r="BG614" s="319"/>
      <c r="BH614" s="319"/>
      <c r="BI614" s="319"/>
      <c r="BJ614" s="319"/>
      <c r="BK614" s="319"/>
      <c r="BL614" s="319"/>
      <c r="BM614" s="319"/>
      <c r="BN614" s="319"/>
      <c r="BO614" s="319"/>
      <c r="BP614" s="319"/>
      <c r="BQ614" s="319"/>
      <c r="BR614" s="319"/>
    </row>
    <row r="615" ht="14.25" customHeight="1">
      <c r="A615" s="195"/>
      <c r="B615" s="100"/>
      <c r="C615" s="100"/>
      <c r="D615" s="100"/>
      <c r="E615" s="100"/>
      <c r="F615" s="206"/>
      <c r="G615" s="206"/>
      <c r="H615" s="207"/>
      <c r="I615" s="207"/>
      <c r="J615" s="207"/>
      <c r="K615" s="207"/>
      <c r="L615" s="207"/>
      <c r="M615" s="207"/>
      <c r="N615" s="207"/>
      <c r="O615" s="207"/>
      <c r="P615" s="207"/>
      <c r="Q615" s="207"/>
      <c r="R615" s="207"/>
      <c r="S615" s="207"/>
      <c r="T615" s="207"/>
      <c r="U615" s="207"/>
      <c r="V615" s="207"/>
      <c r="W615" s="208"/>
      <c r="X615" s="208"/>
      <c r="Y615" s="208"/>
      <c r="Z615" s="208"/>
      <c r="AA615" s="208"/>
      <c r="AB615" s="208"/>
      <c r="AC615" s="208"/>
      <c r="AD615" s="208"/>
      <c r="AE615" s="208"/>
      <c r="AF615" s="208"/>
      <c r="AG615" s="208"/>
      <c r="AH615" s="208"/>
      <c r="AI615" s="100"/>
      <c r="AJ615" s="319"/>
      <c r="AK615" s="319"/>
      <c r="AL615" s="319"/>
      <c r="AM615" s="319"/>
      <c r="AN615" s="319"/>
      <c r="AO615" s="319"/>
      <c r="AP615" s="319"/>
      <c r="AQ615" s="319"/>
      <c r="AR615" s="319"/>
      <c r="AS615" s="319"/>
      <c r="AT615" s="319"/>
      <c r="AU615" s="319"/>
      <c r="AV615" s="319"/>
      <c r="AW615" s="319"/>
      <c r="AX615" s="319"/>
      <c r="AY615" s="319"/>
      <c r="AZ615" s="319"/>
      <c r="BA615" s="319"/>
      <c r="BB615" s="319"/>
      <c r="BC615" s="319"/>
      <c r="BD615" s="319"/>
      <c r="BE615" s="319"/>
      <c r="BF615" s="319"/>
      <c r="BG615" s="319"/>
      <c r="BH615" s="319"/>
      <c r="BI615" s="319"/>
      <c r="BJ615" s="319"/>
      <c r="BK615" s="319"/>
      <c r="BL615" s="319"/>
      <c r="BM615" s="319"/>
      <c r="BN615" s="319"/>
      <c r="BO615" s="319"/>
      <c r="BP615" s="319"/>
      <c r="BQ615" s="319"/>
      <c r="BR615" s="319"/>
    </row>
    <row r="616" ht="14.25" customHeight="1">
      <c r="A616" s="195"/>
      <c r="B616" s="100"/>
      <c r="C616" s="100"/>
      <c r="D616" s="100"/>
      <c r="E616" s="100"/>
      <c r="F616" s="206"/>
      <c r="G616" s="206"/>
      <c r="H616" s="207"/>
      <c r="I616" s="207"/>
      <c r="J616" s="207"/>
      <c r="K616" s="207"/>
      <c r="L616" s="207"/>
      <c r="M616" s="207"/>
      <c r="N616" s="207"/>
      <c r="O616" s="207"/>
      <c r="P616" s="207"/>
      <c r="Q616" s="207"/>
      <c r="R616" s="207"/>
      <c r="S616" s="207"/>
      <c r="T616" s="207"/>
      <c r="U616" s="207"/>
      <c r="V616" s="207"/>
      <c r="W616" s="208"/>
      <c r="X616" s="208"/>
      <c r="Y616" s="208"/>
      <c r="Z616" s="208"/>
      <c r="AA616" s="208"/>
      <c r="AB616" s="208"/>
      <c r="AC616" s="208"/>
      <c r="AD616" s="208"/>
      <c r="AE616" s="208"/>
      <c r="AF616" s="208"/>
      <c r="AG616" s="208"/>
      <c r="AH616" s="208"/>
      <c r="AI616" s="100"/>
      <c r="AJ616" s="319"/>
      <c r="AK616" s="319"/>
      <c r="AL616" s="319"/>
      <c r="AM616" s="319"/>
      <c r="AN616" s="319"/>
      <c r="AO616" s="319"/>
      <c r="AP616" s="319"/>
      <c r="AQ616" s="319"/>
      <c r="AR616" s="319"/>
      <c r="AS616" s="319"/>
      <c r="AT616" s="319"/>
      <c r="AU616" s="319"/>
      <c r="AV616" s="319"/>
      <c r="AW616" s="319"/>
      <c r="AX616" s="319"/>
      <c r="AY616" s="319"/>
      <c r="AZ616" s="319"/>
      <c r="BA616" s="319"/>
      <c r="BB616" s="319"/>
      <c r="BC616" s="319"/>
      <c r="BD616" s="319"/>
      <c r="BE616" s="319"/>
      <c r="BF616" s="319"/>
      <c r="BG616" s="319"/>
      <c r="BH616" s="319"/>
      <c r="BI616" s="319"/>
      <c r="BJ616" s="319"/>
      <c r="BK616" s="319"/>
      <c r="BL616" s="319"/>
      <c r="BM616" s="319"/>
      <c r="BN616" s="319"/>
      <c r="BO616" s="319"/>
      <c r="BP616" s="319"/>
      <c r="BQ616" s="319"/>
      <c r="BR616" s="319"/>
    </row>
    <row r="617" ht="14.25" customHeight="1">
      <c r="A617" s="195"/>
      <c r="B617" s="100"/>
      <c r="C617" s="100"/>
      <c r="D617" s="100"/>
      <c r="E617" s="100"/>
      <c r="F617" s="206"/>
      <c r="G617" s="206"/>
      <c r="H617" s="207"/>
      <c r="I617" s="207"/>
      <c r="J617" s="207"/>
      <c r="K617" s="207"/>
      <c r="L617" s="207"/>
      <c r="M617" s="207"/>
      <c r="N617" s="207"/>
      <c r="O617" s="207"/>
      <c r="P617" s="207"/>
      <c r="Q617" s="207"/>
      <c r="R617" s="207"/>
      <c r="S617" s="207"/>
      <c r="T617" s="207"/>
      <c r="U617" s="207"/>
      <c r="V617" s="207"/>
      <c r="W617" s="208"/>
      <c r="X617" s="208"/>
      <c r="Y617" s="208"/>
      <c r="Z617" s="208"/>
      <c r="AA617" s="208"/>
      <c r="AB617" s="208"/>
      <c r="AC617" s="208"/>
      <c r="AD617" s="208"/>
      <c r="AE617" s="208"/>
      <c r="AF617" s="208"/>
      <c r="AG617" s="208"/>
      <c r="AH617" s="208"/>
      <c r="AI617" s="100"/>
      <c r="AJ617" s="319"/>
      <c r="AK617" s="319"/>
      <c r="AL617" s="319"/>
      <c r="AM617" s="319"/>
      <c r="AN617" s="319"/>
      <c r="AO617" s="319"/>
      <c r="AP617" s="319"/>
      <c r="AQ617" s="319"/>
      <c r="AR617" s="319"/>
      <c r="AS617" s="319"/>
      <c r="AT617" s="319"/>
      <c r="AU617" s="319"/>
      <c r="AV617" s="319"/>
      <c r="AW617" s="319"/>
      <c r="AX617" s="319"/>
      <c r="AY617" s="319"/>
      <c r="AZ617" s="319"/>
      <c r="BA617" s="319"/>
      <c r="BB617" s="319"/>
      <c r="BC617" s="319"/>
      <c r="BD617" s="319"/>
      <c r="BE617" s="319"/>
      <c r="BF617" s="319"/>
      <c r="BG617" s="319"/>
      <c r="BH617" s="319"/>
      <c r="BI617" s="319"/>
      <c r="BJ617" s="319"/>
      <c r="BK617" s="319"/>
      <c r="BL617" s="319"/>
      <c r="BM617" s="319"/>
      <c r="BN617" s="319"/>
      <c r="BO617" s="319"/>
      <c r="BP617" s="319"/>
      <c r="BQ617" s="319"/>
      <c r="BR617" s="319"/>
    </row>
    <row r="618" ht="14.25" customHeight="1">
      <c r="A618" s="195"/>
      <c r="B618" s="100"/>
      <c r="C618" s="100"/>
      <c r="D618" s="100"/>
      <c r="E618" s="100"/>
      <c r="F618" s="206"/>
      <c r="G618" s="206"/>
      <c r="H618" s="207"/>
      <c r="I618" s="207"/>
      <c r="J618" s="207"/>
      <c r="K618" s="207"/>
      <c r="L618" s="207"/>
      <c r="M618" s="207"/>
      <c r="N618" s="207"/>
      <c r="O618" s="207"/>
      <c r="P618" s="207"/>
      <c r="Q618" s="207"/>
      <c r="R618" s="207"/>
      <c r="S618" s="207"/>
      <c r="T618" s="207"/>
      <c r="U618" s="207"/>
      <c r="V618" s="207"/>
      <c r="W618" s="208"/>
      <c r="X618" s="208"/>
      <c r="Y618" s="208"/>
      <c r="Z618" s="208"/>
      <c r="AA618" s="208"/>
      <c r="AB618" s="208"/>
      <c r="AC618" s="208"/>
      <c r="AD618" s="208"/>
      <c r="AE618" s="208"/>
      <c r="AF618" s="208"/>
      <c r="AG618" s="208"/>
      <c r="AH618" s="208"/>
      <c r="AI618" s="100"/>
      <c r="AJ618" s="319"/>
      <c r="AK618" s="319"/>
      <c r="AL618" s="319"/>
      <c r="AM618" s="319"/>
      <c r="AN618" s="319"/>
      <c r="AO618" s="319"/>
      <c r="AP618" s="319"/>
      <c r="AQ618" s="319"/>
      <c r="AR618" s="319"/>
      <c r="AS618" s="319"/>
      <c r="AT618" s="319"/>
      <c r="AU618" s="319"/>
      <c r="AV618" s="319"/>
      <c r="AW618" s="319"/>
      <c r="AX618" s="319"/>
      <c r="AY618" s="319"/>
      <c r="AZ618" s="319"/>
      <c r="BA618" s="319"/>
      <c r="BB618" s="319"/>
      <c r="BC618" s="319"/>
      <c r="BD618" s="319"/>
      <c r="BE618" s="319"/>
      <c r="BF618" s="319"/>
      <c r="BG618" s="319"/>
      <c r="BH618" s="319"/>
      <c r="BI618" s="319"/>
      <c r="BJ618" s="319"/>
      <c r="BK618" s="319"/>
      <c r="BL618" s="319"/>
      <c r="BM618" s="319"/>
      <c r="BN618" s="319"/>
      <c r="BO618" s="319"/>
      <c r="BP618" s="319"/>
      <c r="BQ618" s="319"/>
      <c r="BR618" s="319"/>
    </row>
    <row r="619" ht="14.25" customHeight="1">
      <c r="A619" s="195"/>
      <c r="B619" s="100"/>
      <c r="C619" s="100"/>
      <c r="D619" s="100"/>
      <c r="E619" s="100"/>
      <c r="F619" s="206"/>
      <c r="G619" s="206"/>
      <c r="H619" s="207"/>
      <c r="I619" s="207"/>
      <c r="J619" s="207"/>
      <c r="K619" s="207"/>
      <c r="L619" s="207"/>
      <c r="M619" s="207"/>
      <c r="N619" s="207"/>
      <c r="O619" s="207"/>
      <c r="P619" s="207"/>
      <c r="Q619" s="207"/>
      <c r="R619" s="207"/>
      <c r="S619" s="207"/>
      <c r="T619" s="207"/>
      <c r="U619" s="207"/>
      <c r="V619" s="207"/>
      <c r="W619" s="208"/>
      <c r="X619" s="208"/>
      <c r="Y619" s="208"/>
      <c r="Z619" s="208"/>
      <c r="AA619" s="208"/>
      <c r="AB619" s="208"/>
      <c r="AC619" s="208"/>
      <c r="AD619" s="208"/>
      <c r="AE619" s="208"/>
      <c r="AF619" s="208"/>
      <c r="AG619" s="208"/>
      <c r="AH619" s="208"/>
      <c r="AI619" s="100"/>
      <c r="AJ619" s="319"/>
      <c r="AK619" s="319"/>
      <c r="AL619" s="319"/>
      <c r="AM619" s="319"/>
      <c r="AN619" s="319"/>
      <c r="AO619" s="319"/>
      <c r="AP619" s="319"/>
      <c r="AQ619" s="319"/>
      <c r="AR619" s="319"/>
      <c r="AS619" s="319"/>
      <c r="AT619" s="319"/>
      <c r="AU619" s="319"/>
      <c r="AV619" s="319"/>
      <c r="AW619" s="319"/>
      <c r="AX619" s="319"/>
      <c r="AY619" s="319"/>
      <c r="AZ619" s="319"/>
      <c r="BA619" s="319"/>
      <c r="BB619" s="319"/>
      <c r="BC619" s="319"/>
      <c r="BD619" s="319"/>
      <c r="BE619" s="319"/>
      <c r="BF619" s="319"/>
      <c r="BG619" s="319"/>
      <c r="BH619" s="319"/>
      <c r="BI619" s="319"/>
      <c r="BJ619" s="319"/>
      <c r="BK619" s="319"/>
      <c r="BL619" s="319"/>
      <c r="BM619" s="319"/>
      <c r="BN619" s="319"/>
      <c r="BO619" s="319"/>
      <c r="BP619" s="319"/>
      <c r="BQ619" s="319"/>
      <c r="BR619" s="319"/>
    </row>
    <row r="620" ht="14.25" customHeight="1">
      <c r="A620" s="195"/>
      <c r="B620" s="100"/>
      <c r="C620" s="100"/>
      <c r="D620" s="100"/>
      <c r="E620" s="100"/>
      <c r="F620" s="206"/>
      <c r="G620" s="206"/>
      <c r="H620" s="207"/>
      <c r="I620" s="207"/>
      <c r="J620" s="207"/>
      <c r="K620" s="207"/>
      <c r="L620" s="207"/>
      <c r="M620" s="207"/>
      <c r="N620" s="207"/>
      <c r="O620" s="207"/>
      <c r="P620" s="207"/>
      <c r="Q620" s="207"/>
      <c r="R620" s="207"/>
      <c r="S620" s="207"/>
      <c r="T620" s="207"/>
      <c r="U620" s="207"/>
      <c r="V620" s="207"/>
      <c r="W620" s="208"/>
      <c r="X620" s="208"/>
      <c r="Y620" s="208"/>
      <c r="Z620" s="208"/>
      <c r="AA620" s="208"/>
      <c r="AB620" s="208"/>
      <c r="AC620" s="208"/>
      <c r="AD620" s="208"/>
      <c r="AE620" s="208"/>
      <c r="AF620" s="208"/>
      <c r="AG620" s="208"/>
      <c r="AH620" s="208"/>
      <c r="AI620" s="100"/>
      <c r="AJ620" s="319"/>
      <c r="AK620" s="319"/>
      <c r="AL620" s="319"/>
      <c r="AM620" s="319"/>
      <c r="AN620" s="319"/>
      <c r="AO620" s="319"/>
      <c r="AP620" s="319"/>
      <c r="AQ620" s="319"/>
      <c r="AR620" s="319"/>
      <c r="AS620" s="319"/>
      <c r="AT620" s="319"/>
      <c r="AU620" s="319"/>
      <c r="AV620" s="319"/>
      <c r="AW620" s="319"/>
      <c r="AX620" s="319"/>
      <c r="AY620" s="319"/>
      <c r="AZ620" s="319"/>
      <c r="BA620" s="319"/>
      <c r="BB620" s="319"/>
      <c r="BC620" s="319"/>
      <c r="BD620" s="319"/>
      <c r="BE620" s="319"/>
      <c r="BF620" s="319"/>
      <c r="BG620" s="319"/>
      <c r="BH620" s="319"/>
      <c r="BI620" s="319"/>
      <c r="BJ620" s="319"/>
      <c r="BK620" s="319"/>
      <c r="BL620" s="319"/>
      <c r="BM620" s="319"/>
      <c r="BN620" s="319"/>
      <c r="BO620" s="319"/>
      <c r="BP620" s="319"/>
      <c r="BQ620" s="319"/>
      <c r="BR620" s="319"/>
    </row>
    <row r="621" ht="14.25" customHeight="1">
      <c r="A621" s="195"/>
      <c r="B621" s="100"/>
      <c r="C621" s="100"/>
      <c r="D621" s="100"/>
      <c r="E621" s="100"/>
      <c r="F621" s="206"/>
      <c r="G621" s="206"/>
      <c r="H621" s="207"/>
      <c r="I621" s="207"/>
      <c r="J621" s="207"/>
      <c r="K621" s="207"/>
      <c r="L621" s="207"/>
      <c r="M621" s="207"/>
      <c r="N621" s="207"/>
      <c r="O621" s="207"/>
      <c r="P621" s="207"/>
      <c r="Q621" s="207"/>
      <c r="R621" s="207"/>
      <c r="S621" s="207"/>
      <c r="T621" s="207"/>
      <c r="U621" s="207"/>
      <c r="V621" s="207"/>
      <c r="W621" s="208"/>
      <c r="X621" s="208"/>
      <c r="Y621" s="208"/>
      <c r="Z621" s="208"/>
      <c r="AA621" s="208"/>
      <c r="AB621" s="208"/>
      <c r="AC621" s="208"/>
      <c r="AD621" s="208"/>
      <c r="AE621" s="208"/>
      <c r="AF621" s="208"/>
      <c r="AG621" s="208"/>
      <c r="AH621" s="208"/>
      <c r="AI621" s="100"/>
      <c r="AJ621" s="319"/>
      <c r="AK621" s="319"/>
      <c r="AL621" s="319"/>
      <c r="AM621" s="319"/>
      <c r="AN621" s="319"/>
      <c r="AO621" s="319"/>
      <c r="AP621" s="319"/>
      <c r="AQ621" s="319"/>
      <c r="AR621" s="319"/>
      <c r="AS621" s="319"/>
      <c r="AT621" s="319"/>
      <c r="AU621" s="319"/>
      <c r="AV621" s="319"/>
      <c r="AW621" s="319"/>
      <c r="AX621" s="319"/>
      <c r="AY621" s="319"/>
      <c r="AZ621" s="319"/>
      <c r="BA621" s="319"/>
      <c r="BB621" s="319"/>
      <c r="BC621" s="319"/>
      <c r="BD621" s="319"/>
      <c r="BE621" s="319"/>
      <c r="BF621" s="319"/>
      <c r="BG621" s="319"/>
      <c r="BH621" s="319"/>
      <c r="BI621" s="319"/>
      <c r="BJ621" s="319"/>
      <c r="BK621" s="319"/>
      <c r="BL621" s="319"/>
      <c r="BM621" s="319"/>
      <c r="BN621" s="319"/>
      <c r="BO621" s="319"/>
      <c r="BP621" s="319"/>
      <c r="BQ621" s="319"/>
      <c r="BR621" s="319"/>
    </row>
    <row r="622" ht="14.25" customHeight="1">
      <c r="A622" s="195"/>
      <c r="B622" s="100"/>
      <c r="C622" s="100"/>
      <c r="D622" s="100"/>
      <c r="E622" s="100"/>
      <c r="F622" s="206"/>
      <c r="G622" s="206"/>
      <c r="H622" s="207"/>
      <c r="I622" s="207"/>
      <c r="J622" s="207"/>
      <c r="K622" s="207"/>
      <c r="L622" s="207"/>
      <c r="M622" s="207"/>
      <c r="N622" s="207"/>
      <c r="O622" s="207"/>
      <c r="P622" s="207"/>
      <c r="Q622" s="207"/>
      <c r="R622" s="207"/>
      <c r="S622" s="207"/>
      <c r="T622" s="207"/>
      <c r="U622" s="207"/>
      <c r="V622" s="207"/>
      <c r="W622" s="208"/>
      <c r="X622" s="208"/>
      <c r="Y622" s="208"/>
      <c r="Z622" s="208"/>
      <c r="AA622" s="208"/>
      <c r="AB622" s="208"/>
      <c r="AC622" s="208"/>
      <c r="AD622" s="208"/>
      <c r="AE622" s="208"/>
      <c r="AF622" s="208"/>
      <c r="AG622" s="208"/>
      <c r="AH622" s="208"/>
      <c r="AI622" s="100"/>
      <c r="AJ622" s="319"/>
      <c r="AK622" s="319"/>
      <c r="AL622" s="319"/>
      <c r="AM622" s="319"/>
      <c r="AN622" s="319"/>
      <c r="AO622" s="319"/>
      <c r="AP622" s="319"/>
      <c r="AQ622" s="319"/>
      <c r="AR622" s="319"/>
      <c r="AS622" s="319"/>
      <c r="AT622" s="319"/>
      <c r="AU622" s="319"/>
      <c r="AV622" s="319"/>
      <c r="AW622" s="319"/>
      <c r="AX622" s="319"/>
      <c r="AY622" s="319"/>
      <c r="AZ622" s="319"/>
      <c r="BA622" s="319"/>
      <c r="BB622" s="319"/>
      <c r="BC622" s="319"/>
      <c r="BD622" s="319"/>
      <c r="BE622" s="319"/>
      <c r="BF622" s="319"/>
      <c r="BG622" s="319"/>
      <c r="BH622" s="319"/>
      <c r="BI622" s="319"/>
      <c r="BJ622" s="319"/>
      <c r="BK622" s="319"/>
      <c r="BL622" s="319"/>
      <c r="BM622" s="319"/>
      <c r="BN622" s="319"/>
      <c r="BO622" s="319"/>
      <c r="BP622" s="319"/>
      <c r="BQ622" s="319"/>
      <c r="BR622" s="319"/>
    </row>
    <row r="623" ht="14.25" customHeight="1">
      <c r="A623" s="195"/>
      <c r="B623" s="100"/>
      <c r="C623" s="100"/>
      <c r="D623" s="100"/>
      <c r="E623" s="100"/>
      <c r="F623" s="206"/>
      <c r="G623" s="206"/>
      <c r="H623" s="207"/>
      <c r="I623" s="207"/>
      <c r="J623" s="207"/>
      <c r="K623" s="207"/>
      <c r="L623" s="207"/>
      <c r="M623" s="207"/>
      <c r="N623" s="207"/>
      <c r="O623" s="207"/>
      <c r="P623" s="207"/>
      <c r="Q623" s="207"/>
      <c r="R623" s="207"/>
      <c r="S623" s="207"/>
      <c r="T623" s="207"/>
      <c r="U623" s="207"/>
      <c r="V623" s="207"/>
      <c r="W623" s="208"/>
      <c r="X623" s="208"/>
      <c r="Y623" s="208"/>
      <c r="Z623" s="208"/>
      <c r="AA623" s="208"/>
      <c r="AB623" s="208"/>
      <c r="AC623" s="208"/>
      <c r="AD623" s="208"/>
      <c r="AE623" s="208"/>
      <c r="AF623" s="208"/>
      <c r="AG623" s="208"/>
      <c r="AH623" s="208"/>
      <c r="AI623" s="100"/>
      <c r="AJ623" s="319"/>
      <c r="AK623" s="319"/>
      <c r="AL623" s="319"/>
      <c r="AM623" s="319"/>
      <c r="AN623" s="319"/>
      <c r="AO623" s="319"/>
      <c r="AP623" s="319"/>
      <c r="AQ623" s="319"/>
      <c r="AR623" s="319"/>
      <c r="AS623" s="319"/>
      <c r="AT623" s="319"/>
      <c r="AU623" s="319"/>
      <c r="AV623" s="319"/>
      <c r="AW623" s="319"/>
      <c r="AX623" s="319"/>
      <c r="AY623" s="319"/>
      <c r="AZ623" s="319"/>
      <c r="BA623" s="319"/>
      <c r="BB623" s="319"/>
      <c r="BC623" s="319"/>
      <c r="BD623" s="319"/>
      <c r="BE623" s="319"/>
      <c r="BF623" s="319"/>
      <c r="BG623" s="319"/>
      <c r="BH623" s="319"/>
      <c r="BI623" s="319"/>
      <c r="BJ623" s="319"/>
      <c r="BK623" s="319"/>
      <c r="BL623" s="319"/>
      <c r="BM623" s="319"/>
      <c r="BN623" s="319"/>
      <c r="BO623" s="319"/>
      <c r="BP623" s="319"/>
      <c r="BQ623" s="319"/>
      <c r="BR623" s="319"/>
    </row>
    <row r="624" ht="14.25" customHeight="1">
      <c r="A624" s="195"/>
      <c r="B624" s="100"/>
      <c r="C624" s="100"/>
      <c r="D624" s="100"/>
      <c r="E624" s="100"/>
      <c r="F624" s="206"/>
      <c r="G624" s="206"/>
      <c r="H624" s="207"/>
      <c r="I624" s="207"/>
      <c r="J624" s="207"/>
      <c r="K624" s="207"/>
      <c r="L624" s="207"/>
      <c r="M624" s="207"/>
      <c r="N624" s="207"/>
      <c r="O624" s="207"/>
      <c r="P624" s="207"/>
      <c r="Q624" s="207"/>
      <c r="R624" s="207"/>
      <c r="S624" s="207"/>
      <c r="T624" s="207"/>
      <c r="U624" s="207"/>
      <c r="V624" s="207"/>
      <c r="W624" s="208"/>
      <c r="X624" s="208"/>
      <c r="Y624" s="208"/>
      <c r="Z624" s="208"/>
      <c r="AA624" s="208"/>
      <c r="AB624" s="208"/>
      <c r="AC624" s="208"/>
      <c r="AD624" s="208"/>
      <c r="AE624" s="208"/>
      <c r="AF624" s="208"/>
      <c r="AG624" s="208"/>
      <c r="AH624" s="208"/>
      <c r="AI624" s="100"/>
      <c r="AJ624" s="319"/>
      <c r="AK624" s="319"/>
      <c r="AL624" s="319"/>
      <c r="AM624" s="319"/>
      <c r="AN624" s="319"/>
      <c r="AO624" s="319"/>
      <c r="AP624" s="319"/>
      <c r="AQ624" s="319"/>
      <c r="AR624" s="319"/>
      <c r="AS624" s="319"/>
      <c r="AT624" s="319"/>
      <c r="AU624" s="319"/>
      <c r="AV624" s="319"/>
      <c r="AW624" s="319"/>
      <c r="AX624" s="319"/>
      <c r="AY624" s="319"/>
      <c r="AZ624" s="319"/>
      <c r="BA624" s="319"/>
      <c r="BB624" s="319"/>
      <c r="BC624" s="319"/>
      <c r="BD624" s="319"/>
      <c r="BE624" s="319"/>
      <c r="BF624" s="319"/>
      <c r="BG624" s="319"/>
      <c r="BH624" s="319"/>
      <c r="BI624" s="319"/>
      <c r="BJ624" s="319"/>
      <c r="BK624" s="319"/>
      <c r="BL624" s="319"/>
      <c r="BM624" s="319"/>
      <c r="BN624" s="319"/>
      <c r="BO624" s="319"/>
      <c r="BP624" s="319"/>
      <c r="BQ624" s="319"/>
      <c r="BR624" s="319"/>
    </row>
    <row r="625" ht="14.25" customHeight="1">
      <c r="A625" s="195"/>
      <c r="B625" s="100"/>
      <c r="C625" s="100"/>
      <c r="D625" s="100"/>
      <c r="E625" s="100"/>
      <c r="F625" s="206"/>
      <c r="G625" s="206"/>
      <c r="H625" s="207"/>
      <c r="I625" s="207"/>
      <c r="J625" s="207"/>
      <c r="K625" s="207"/>
      <c r="L625" s="207"/>
      <c r="M625" s="207"/>
      <c r="N625" s="207"/>
      <c r="O625" s="207"/>
      <c r="P625" s="207"/>
      <c r="Q625" s="207"/>
      <c r="R625" s="207"/>
      <c r="S625" s="207"/>
      <c r="T625" s="207"/>
      <c r="U625" s="207"/>
      <c r="V625" s="207"/>
      <c r="W625" s="208"/>
      <c r="X625" s="208"/>
      <c r="Y625" s="208"/>
      <c r="Z625" s="208"/>
      <c r="AA625" s="208"/>
      <c r="AB625" s="208"/>
      <c r="AC625" s="208"/>
      <c r="AD625" s="208"/>
      <c r="AE625" s="208"/>
      <c r="AF625" s="208"/>
      <c r="AG625" s="208"/>
      <c r="AH625" s="208"/>
      <c r="AI625" s="100"/>
      <c r="AJ625" s="319"/>
      <c r="AK625" s="319"/>
      <c r="AL625" s="319"/>
      <c r="AM625" s="319"/>
      <c r="AN625" s="319"/>
      <c r="AO625" s="319"/>
      <c r="AP625" s="319"/>
      <c r="AQ625" s="319"/>
      <c r="AR625" s="319"/>
      <c r="AS625" s="319"/>
      <c r="AT625" s="319"/>
      <c r="AU625" s="319"/>
      <c r="AV625" s="319"/>
      <c r="AW625" s="319"/>
      <c r="AX625" s="319"/>
      <c r="AY625" s="319"/>
      <c r="AZ625" s="319"/>
      <c r="BA625" s="319"/>
      <c r="BB625" s="319"/>
      <c r="BC625" s="319"/>
      <c r="BD625" s="319"/>
      <c r="BE625" s="319"/>
      <c r="BF625" s="319"/>
      <c r="BG625" s="319"/>
      <c r="BH625" s="319"/>
      <c r="BI625" s="319"/>
      <c r="BJ625" s="319"/>
      <c r="BK625" s="319"/>
      <c r="BL625" s="319"/>
      <c r="BM625" s="319"/>
      <c r="BN625" s="319"/>
      <c r="BO625" s="319"/>
      <c r="BP625" s="319"/>
      <c r="BQ625" s="319"/>
      <c r="BR625" s="319"/>
    </row>
    <row r="626" ht="14.25" customHeight="1">
      <c r="A626" s="195"/>
      <c r="B626" s="100"/>
      <c r="C626" s="100"/>
      <c r="D626" s="100"/>
      <c r="E626" s="100"/>
      <c r="F626" s="206"/>
      <c r="G626" s="206"/>
      <c r="H626" s="207"/>
      <c r="I626" s="207"/>
      <c r="J626" s="207"/>
      <c r="K626" s="207"/>
      <c r="L626" s="207"/>
      <c r="M626" s="207"/>
      <c r="N626" s="207"/>
      <c r="O626" s="207"/>
      <c r="P626" s="207"/>
      <c r="Q626" s="207"/>
      <c r="R626" s="207"/>
      <c r="S626" s="207"/>
      <c r="T626" s="207"/>
      <c r="U626" s="207"/>
      <c r="V626" s="207"/>
      <c r="W626" s="208"/>
      <c r="X626" s="208"/>
      <c r="Y626" s="208"/>
      <c r="Z626" s="208"/>
      <c r="AA626" s="208"/>
      <c r="AB626" s="208"/>
      <c r="AC626" s="208"/>
      <c r="AD626" s="208"/>
      <c r="AE626" s="208"/>
      <c r="AF626" s="208"/>
      <c r="AG626" s="208"/>
      <c r="AH626" s="208"/>
      <c r="AI626" s="100"/>
      <c r="AJ626" s="319"/>
      <c r="AK626" s="319"/>
      <c r="AL626" s="319"/>
      <c r="AM626" s="319"/>
      <c r="AN626" s="319"/>
      <c r="AO626" s="319"/>
      <c r="AP626" s="319"/>
      <c r="AQ626" s="319"/>
      <c r="AR626" s="319"/>
      <c r="AS626" s="319"/>
      <c r="AT626" s="319"/>
      <c r="AU626" s="319"/>
      <c r="AV626" s="319"/>
      <c r="AW626" s="319"/>
      <c r="AX626" s="319"/>
      <c r="AY626" s="319"/>
      <c r="AZ626" s="319"/>
      <c r="BA626" s="319"/>
      <c r="BB626" s="319"/>
      <c r="BC626" s="319"/>
      <c r="BD626" s="319"/>
      <c r="BE626" s="319"/>
      <c r="BF626" s="319"/>
      <c r="BG626" s="319"/>
      <c r="BH626" s="319"/>
      <c r="BI626" s="319"/>
      <c r="BJ626" s="319"/>
      <c r="BK626" s="319"/>
      <c r="BL626" s="319"/>
      <c r="BM626" s="319"/>
      <c r="BN626" s="319"/>
      <c r="BO626" s="319"/>
      <c r="BP626" s="319"/>
      <c r="BQ626" s="319"/>
      <c r="BR626" s="319"/>
    </row>
    <row r="627" ht="14.25" customHeight="1">
      <c r="A627" s="195"/>
      <c r="B627" s="100"/>
      <c r="C627" s="100"/>
      <c r="D627" s="100"/>
      <c r="E627" s="100"/>
      <c r="F627" s="206"/>
      <c r="G627" s="206"/>
      <c r="H627" s="207"/>
      <c r="I627" s="207"/>
      <c r="J627" s="207"/>
      <c r="K627" s="207"/>
      <c r="L627" s="207"/>
      <c r="M627" s="207"/>
      <c r="N627" s="207"/>
      <c r="O627" s="207"/>
      <c r="P627" s="207"/>
      <c r="Q627" s="207"/>
      <c r="R627" s="207"/>
      <c r="S627" s="207"/>
      <c r="T627" s="207"/>
      <c r="U627" s="207"/>
      <c r="V627" s="207"/>
      <c r="W627" s="208"/>
      <c r="X627" s="208"/>
      <c r="Y627" s="208"/>
      <c r="Z627" s="208"/>
      <c r="AA627" s="208"/>
      <c r="AB627" s="208"/>
      <c r="AC627" s="208"/>
      <c r="AD627" s="208"/>
      <c r="AE627" s="208"/>
      <c r="AF627" s="208"/>
      <c r="AG627" s="208"/>
      <c r="AH627" s="208"/>
      <c r="AI627" s="100"/>
      <c r="AJ627" s="319"/>
      <c r="AK627" s="319"/>
      <c r="AL627" s="319"/>
      <c r="AM627" s="319"/>
      <c r="AN627" s="319"/>
      <c r="AO627" s="319"/>
      <c r="AP627" s="319"/>
      <c r="AQ627" s="319"/>
      <c r="AR627" s="319"/>
      <c r="AS627" s="319"/>
      <c r="AT627" s="319"/>
      <c r="AU627" s="319"/>
      <c r="AV627" s="319"/>
      <c r="AW627" s="319"/>
      <c r="AX627" s="319"/>
      <c r="AY627" s="319"/>
      <c r="AZ627" s="319"/>
      <c r="BA627" s="319"/>
      <c r="BB627" s="319"/>
      <c r="BC627" s="319"/>
      <c r="BD627" s="319"/>
      <c r="BE627" s="319"/>
      <c r="BF627" s="319"/>
      <c r="BG627" s="319"/>
      <c r="BH627" s="319"/>
      <c r="BI627" s="319"/>
      <c r="BJ627" s="319"/>
      <c r="BK627" s="319"/>
      <c r="BL627" s="319"/>
      <c r="BM627" s="319"/>
      <c r="BN627" s="319"/>
      <c r="BO627" s="319"/>
      <c r="BP627" s="319"/>
      <c r="BQ627" s="319"/>
      <c r="BR627" s="319"/>
    </row>
    <row r="628" ht="14.25" customHeight="1">
      <c r="A628" s="195"/>
      <c r="B628" s="100"/>
      <c r="C628" s="100"/>
      <c r="D628" s="100"/>
      <c r="E628" s="100"/>
      <c r="F628" s="206"/>
      <c r="G628" s="206"/>
      <c r="H628" s="207"/>
      <c r="I628" s="207"/>
      <c r="J628" s="207"/>
      <c r="K628" s="207"/>
      <c r="L628" s="207"/>
      <c r="M628" s="207"/>
      <c r="N628" s="207"/>
      <c r="O628" s="207"/>
      <c r="P628" s="207"/>
      <c r="Q628" s="207"/>
      <c r="R628" s="207"/>
      <c r="S628" s="207"/>
      <c r="T628" s="207"/>
      <c r="U628" s="207"/>
      <c r="V628" s="207"/>
      <c r="W628" s="208"/>
      <c r="X628" s="208"/>
      <c r="Y628" s="208"/>
      <c r="Z628" s="208"/>
      <c r="AA628" s="208"/>
      <c r="AB628" s="208"/>
      <c r="AC628" s="208"/>
      <c r="AD628" s="208"/>
      <c r="AE628" s="208"/>
      <c r="AF628" s="208"/>
      <c r="AG628" s="208"/>
      <c r="AH628" s="208"/>
      <c r="AI628" s="100"/>
      <c r="AJ628" s="319"/>
      <c r="AK628" s="319"/>
      <c r="AL628" s="319"/>
      <c r="AM628" s="319"/>
      <c r="AN628" s="319"/>
      <c r="AO628" s="319"/>
      <c r="AP628" s="319"/>
      <c r="AQ628" s="319"/>
      <c r="AR628" s="319"/>
      <c r="AS628" s="319"/>
      <c r="AT628" s="319"/>
      <c r="AU628" s="319"/>
      <c r="AV628" s="319"/>
      <c r="AW628" s="319"/>
      <c r="AX628" s="319"/>
      <c r="AY628" s="319"/>
      <c r="AZ628" s="319"/>
      <c r="BA628" s="319"/>
      <c r="BB628" s="319"/>
      <c r="BC628" s="319"/>
      <c r="BD628" s="319"/>
      <c r="BE628" s="319"/>
      <c r="BF628" s="319"/>
      <c r="BG628" s="319"/>
      <c r="BH628" s="319"/>
      <c r="BI628" s="319"/>
      <c r="BJ628" s="319"/>
      <c r="BK628" s="319"/>
      <c r="BL628" s="319"/>
      <c r="BM628" s="319"/>
      <c r="BN628" s="319"/>
      <c r="BO628" s="319"/>
      <c r="BP628" s="319"/>
      <c r="BQ628" s="319"/>
      <c r="BR628" s="319"/>
    </row>
    <row r="629" ht="14.25" customHeight="1">
      <c r="A629" s="195"/>
      <c r="B629" s="100"/>
      <c r="C629" s="100"/>
      <c r="D629" s="100"/>
      <c r="E629" s="100"/>
      <c r="F629" s="206"/>
      <c r="G629" s="206"/>
      <c r="H629" s="207"/>
      <c r="I629" s="207"/>
      <c r="J629" s="207"/>
      <c r="K629" s="207"/>
      <c r="L629" s="207"/>
      <c r="M629" s="207"/>
      <c r="N629" s="207"/>
      <c r="O629" s="207"/>
      <c r="P629" s="207"/>
      <c r="Q629" s="207"/>
      <c r="R629" s="207"/>
      <c r="S629" s="207"/>
      <c r="T629" s="207"/>
      <c r="U629" s="207"/>
      <c r="V629" s="207"/>
      <c r="W629" s="208"/>
      <c r="X629" s="208"/>
      <c r="Y629" s="208"/>
      <c r="Z629" s="208"/>
      <c r="AA629" s="208"/>
      <c r="AB629" s="208"/>
      <c r="AC629" s="208"/>
      <c r="AD629" s="208"/>
      <c r="AE629" s="208"/>
      <c r="AF629" s="208"/>
      <c r="AG629" s="208"/>
      <c r="AH629" s="208"/>
      <c r="AI629" s="100"/>
      <c r="AJ629" s="319"/>
      <c r="AK629" s="319"/>
      <c r="AL629" s="319"/>
      <c r="AM629" s="319"/>
      <c r="AN629" s="319"/>
      <c r="AO629" s="319"/>
      <c r="AP629" s="319"/>
      <c r="AQ629" s="319"/>
      <c r="AR629" s="319"/>
      <c r="AS629" s="319"/>
      <c r="AT629" s="319"/>
      <c r="AU629" s="319"/>
      <c r="AV629" s="319"/>
      <c r="AW629" s="319"/>
      <c r="AX629" s="319"/>
      <c r="AY629" s="319"/>
      <c r="AZ629" s="319"/>
      <c r="BA629" s="319"/>
      <c r="BB629" s="319"/>
      <c r="BC629" s="319"/>
      <c r="BD629" s="319"/>
      <c r="BE629" s="319"/>
      <c r="BF629" s="319"/>
      <c r="BG629" s="319"/>
      <c r="BH629" s="319"/>
      <c r="BI629" s="319"/>
      <c r="BJ629" s="319"/>
      <c r="BK629" s="319"/>
      <c r="BL629" s="319"/>
      <c r="BM629" s="319"/>
      <c r="BN629" s="319"/>
      <c r="BO629" s="319"/>
      <c r="BP629" s="319"/>
      <c r="BQ629" s="319"/>
      <c r="BR629" s="319"/>
    </row>
    <row r="630" ht="14.25" customHeight="1">
      <c r="A630" s="195"/>
      <c r="B630" s="100"/>
      <c r="C630" s="100"/>
      <c r="D630" s="100"/>
      <c r="E630" s="100"/>
      <c r="F630" s="206"/>
      <c r="G630" s="206"/>
      <c r="H630" s="207"/>
      <c r="I630" s="207"/>
      <c r="J630" s="207"/>
      <c r="K630" s="207"/>
      <c r="L630" s="207"/>
      <c r="M630" s="207"/>
      <c r="N630" s="207"/>
      <c r="O630" s="207"/>
      <c r="P630" s="207"/>
      <c r="Q630" s="207"/>
      <c r="R630" s="207"/>
      <c r="S630" s="207"/>
      <c r="T630" s="207"/>
      <c r="U630" s="207"/>
      <c r="V630" s="207"/>
      <c r="W630" s="208"/>
      <c r="X630" s="208"/>
      <c r="Y630" s="208"/>
      <c r="Z630" s="208"/>
      <c r="AA630" s="208"/>
      <c r="AB630" s="208"/>
      <c r="AC630" s="208"/>
      <c r="AD630" s="208"/>
      <c r="AE630" s="208"/>
      <c r="AF630" s="208"/>
      <c r="AG630" s="208"/>
      <c r="AH630" s="208"/>
      <c r="AI630" s="100"/>
      <c r="AJ630" s="319"/>
      <c r="AK630" s="319"/>
      <c r="AL630" s="319"/>
      <c r="AM630" s="319"/>
      <c r="AN630" s="319"/>
      <c r="AO630" s="319"/>
      <c r="AP630" s="319"/>
      <c r="AQ630" s="319"/>
      <c r="AR630" s="319"/>
      <c r="AS630" s="319"/>
      <c r="AT630" s="319"/>
      <c r="AU630" s="319"/>
      <c r="AV630" s="319"/>
      <c r="AW630" s="319"/>
      <c r="AX630" s="319"/>
      <c r="AY630" s="319"/>
      <c r="AZ630" s="319"/>
      <c r="BA630" s="319"/>
      <c r="BB630" s="319"/>
      <c r="BC630" s="319"/>
      <c r="BD630" s="319"/>
      <c r="BE630" s="319"/>
      <c r="BF630" s="319"/>
      <c r="BG630" s="319"/>
      <c r="BH630" s="319"/>
      <c r="BI630" s="319"/>
      <c r="BJ630" s="319"/>
      <c r="BK630" s="319"/>
      <c r="BL630" s="319"/>
      <c r="BM630" s="319"/>
      <c r="BN630" s="319"/>
      <c r="BO630" s="319"/>
      <c r="BP630" s="319"/>
      <c r="BQ630" s="319"/>
      <c r="BR630" s="319"/>
    </row>
    <row r="631" ht="14.25" customHeight="1">
      <c r="A631" s="195"/>
      <c r="B631" s="100"/>
      <c r="C631" s="100"/>
      <c r="D631" s="100"/>
      <c r="E631" s="100"/>
      <c r="F631" s="206"/>
      <c r="G631" s="206"/>
      <c r="H631" s="207"/>
      <c r="I631" s="207"/>
      <c r="J631" s="207"/>
      <c r="K631" s="207"/>
      <c r="L631" s="207"/>
      <c r="M631" s="207"/>
      <c r="N631" s="207"/>
      <c r="O631" s="207"/>
      <c r="P631" s="207"/>
      <c r="Q631" s="207"/>
      <c r="R631" s="207"/>
      <c r="S631" s="207"/>
      <c r="T631" s="207"/>
      <c r="U631" s="207"/>
      <c r="V631" s="207"/>
      <c r="W631" s="208"/>
      <c r="X631" s="208"/>
      <c r="Y631" s="208"/>
      <c r="Z631" s="208"/>
      <c r="AA631" s="208"/>
      <c r="AB631" s="208"/>
      <c r="AC631" s="208"/>
      <c r="AD631" s="208"/>
      <c r="AE631" s="208"/>
      <c r="AF631" s="208"/>
      <c r="AG631" s="208"/>
      <c r="AH631" s="208"/>
      <c r="AI631" s="100"/>
      <c r="AJ631" s="319"/>
      <c r="AK631" s="319"/>
      <c r="AL631" s="319"/>
      <c r="AM631" s="319"/>
      <c r="AN631" s="319"/>
      <c r="AO631" s="319"/>
      <c r="AP631" s="319"/>
      <c r="AQ631" s="319"/>
      <c r="AR631" s="319"/>
      <c r="AS631" s="319"/>
      <c r="AT631" s="319"/>
      <c r="AU631" s="319"/>
      <c r="AV631" s="319"/>
      <c r="AW631" s="319"/>
      <c r="AX631" s="319"/>
      <c r="AY631" s="319"/>
      <c r="AZ631" s="319"/>
      <c r="BA631" s="319"/>
      <c r="BB631" s="319"/>
      <c r="BC631" s="319"/>
      <c r="BD631" s="319"/>
      <c r="BE631" s="319"/>
      <c r="BF631" s="319"/>
      <c r="BG631" s="319"/>
      <c r="BH631" s="319"/>
      <c r="BI631" s="319"/>
      <c r="BJ631" s="319"/>
      <c r="BK631" s="319"/>
      <c r="BL631" s="319"/>
      <c r="BM631" s="319"/>
      <c r="BN631" s="319"/>
      <c r="BO631" s="319"/>
      <c r="BP631" s="319"/>
      <c r="BQ631" s="319"/>
      <c r="BR631" s="319"/>
    </row>
    <row r="632" ht="14.25" customHeight="1">
      <c r="A632" s="195"/>
      <c r="B632" s="100"/>
      <c r="C632" s="100"/>
      <c r="D632" s="100"/>
      <c r="E632" s="100"/>
      <c r="F632" s="206"/>
      <c r="G632" s="206"/>
      <c r="H632" s="207"/>
      <c r="I632" s="207"/>
      <c r="J632" s="207"/>
      <c r="K632" s="207"/>
      <c r="L632" s="207"/>
      <c r="M632" s="207"/>
      <c r="N632" s="207"/>
      <c r="O632" s="207"/>
      <c r="P632" s="207"/>
      <c r="Q632" s="207"/>
      <c r="R632" s="207"/>
      <c r="S632" s="207"/>
      <c r="T632" s="207"/>
      <c r="U632" s="207"/>
      <c r="V632" s="207"/>
      <c r="W632" s="208"/>
      <c r="X632" s="208"/>
      <c r="Y632" s="208"/>
      <c r="Z632" s="208"/>
      <c r="AA632" s="208"/>
      <c r="AB632" s="208"/>
      <c r="AC632" s="208"/>
      <c r="AD632" s="208"/>
      <c r="AE632" s="208"/>
      <c r="AF632" s="208"/>
      <c r="AG632" s="208"/>
      <c r="AH632" s="208"/>
      <c r="AI632" s="100"/>
      <c r="AJ632" s="319"/>
      <c r="AK632" s="319"/>
      <c r="AL632" s="319"/>
      <c r="AM632" s="319"/>
      <c r="AN632" s="319"/>
      <c r="AO632" s="319"/>
      <c r="AP632" s="319"/>
      <c r="AQ632" s="319"/>
      <c r="AR632" s="319"/>
      <c r="AS632" s="319"/>
      <c r="AT632" s="319"/>
      <c r="AU632" s="319"/>
      <c r="AV632" s="319"/>
      <c r="AW632" s="319"/>
      <c r="AX632" s="319"/>
      <c r="AY632" s="319"/>
      <c r="AZ632" s="319"/>
      <c r="BA632" s="319"/>
      <c r="BB632" s="319"/>
      <c r="BC632" s="319"/>
      <c r="BD632" s="319"/>
      <c r="BE632" s="319"/>
      <c r="BF632" s="319"/>
      <c r="BG632" s="319"/>
      <c r="BH632" s="319"/>
      <c r="BI632" s="319"/>
      <c r="BJ632" s="319"/>
      <c r="BK632" s="319"/>
      <c r="BL632" s="319"/>
      <c r="BM632" s="319"/>
      <c r="BN632" s="319"/>
      <c r="BO632" s="319"/>
      <c r="BP632" s="319"/>
      <c r="BQ632" s="319"/>
      <c r="BR632" s="319"/>
    </row>
    <row r="633" ht="14.25" customHeight="1">
      <c r="A633" s="195"/>
      <c r="B633" s="100"/>
      <c r="C633" s="100"/>
      <c r="D633" s="100"/>
      <c r="E633" s="100"/>
      <c r="F633" s="206"/>
      <c r="G633" s="206"/>
      <c r="H633" s="207"/>
      <c r="I633" s="207"/>
      <c r="J633" s="207"/>
      <c r="K633" s="207"/>
      <c r="L633" s="207"/>
      <c r="M633" s="207"/>
      <c r="N633" s="207"/>
      <c r="O633" s="207"/>
      <c r="P633" s="207"/>
      <c r="Q633" s="207"/>
      <c r="R633" s="207"/>
      <c r="S633" s="207"/>
      <c r="T633" s="207"/>
      <c r="U633" s="207"/>
      <c r="V633" s="207"/>
      <c r="W633" s="208"/>
      <c r="X633" s="208"/>
      <c r="Y633" s="208"/>
      <c r="Z633" s="208"/>
      <c r="AA633" s="208"/>
      <c r="AB633" s="208"/>
      <c r="AC633" s="208"/>
      <c r="AD633" s="208"/>
      <c r="AE633" s="208"/>
      <c r="AF633" s="208"/>
      <c r="AG633" s="208"/>
      <c r="AH633" s="208"/>
      <c r="AI633" s="100"/>
      <c r="AJ633" s="319"/>
      <c r="AK633" s="319"/>
      <c r="AL633" s="319"/>
      <c r="AM633" s="319"/>
      <c r="AN633" s="319"/>
      <c r="AO633" s="319"/>
      <c r="AP633" s="319"/>
      <c r="AQ633" s="319"/>
      <c r="AR633" s="319"/>
      <c r="AS633" s="319"/>
      <c r="AT633" s="319"/>
      <c r="AU633" s="319"/>
      <c r="AV633" s="319"/>
      <c r="AW633" s="319"/>
      <c r="AX633" s="319"/>
      <c r="AY633" s="319"/>
      <c r="AZ633" s="319"/>
      <c r="BA633" s="319"/>
      <c r="BB633" s="319"/>
      <c r="BC633" s="319"/>
      <c r="BD633" s="319"/>
      <c r="BE633" s="319"/>
      <c r="BF633" s="319"/>
      <c r="BG633" s="319"/>
      <c r="BH633" s="319"/>
      <c r="BI633" s="319"/>
      <c r="BJ633" s="319"/>
      <c r="BK633" s="319"/>
      <c r="BL633" s="319"/>
      <c r="BM633" s="319"/>
      <c r="BN633" s="319"/>
      <c r="BO633" s="319"/>
      <c r="BP633" s="319"/>
      <c r="BQ633" s="319"/>
      <c r="BR633" s="319"/>
    </row>
    <row r="634" ht="14.25" customHeight="1">
      <c r="A634" s="195"/>
      <c r="B634" s="100"/>
      <c r="C634" s="100"/>
      <c r="D634" s="100"/>
      <c r="E634" s="100"/>
      <c r="F634" s="206"/>
      <c r="G634" s="206"/>
      <c r="H634" s="207"/>
      <c r="I634" s="207"/>
      <c r="J634" s="207"/>
      <c r="K634" s="207"/>
      <c r="L634" s="207"/>
      <c r="M634" s="207"/>
      <c r="N634" s="207"/>
      <c r="O634" s="207"/>
      <c r="P634" s="207"/>
      <c r="Q634" s="207"/>
      <c r="R634" s="207"/>
      <c r="S634" s="207"/>
      <c r="T634" s="207"/>
      <c r="U634" s="207"/>
      <c r="V634" s="207"/>
      <c r="W634" s="208"/>
      <c r="X634" s="208"/>
      <c r="Y634" s="208"/>
      <c r="Z634" s="208"/>
      <c r="AA634" s="208"/>
      <c r="AB634" s="208"/>
      <c r="AC634" s="208"/>
      <c r="AD634" s="208"/>
      <c r="AE634" s="208"/>
      <c r="AF634" s="208"/>
      <c r="AG634" s="208"/>
      <c r="AH634" s="208"/>
      <c r="AI634" s="100"/>
      <c r="AJ634" s="319"/>
      <c r="AK634" s="319"/>
      <c r="AL634" s="319"/>
      <c r="AM634" s="319"/>
      <c r="AN634" s="319"/>
      <c r="AO634" s="319"/>
      <c r="AP634" s="319"/>
      <c r="AQ634" s="319"/>
      <c r="AR634" s="319"/>
      <c r="AS634" s="319"/>
      <c r="AT634" s="319"/>
      <c r="AU634" s="319"/>
      <c r="AV634" s="319"/>
      <c r="AW634" s="319"/>
      <c r="AX634" s="319"/>
      <c r="AY634" s="319"/>
      <c r="AZ634" s="319"/>
      <c r="BA634" s="319"/>
      <c r="BB634" s="319"/>
      <c r="BC634" s="319"/>
      <c r="BD634" s="319"/>
      <c r="BE634" s="319"/>
      <c r="BF634" s="319"/>
      <c r="BG634" s="319"/>
      <c r="BH634" s="319"/>
      <c r="BI634" s="319"/>
      <c r="BJ634" s="319"/>
      <c r="BK634" s="319"/>
      <c r="BL634" s="319"/>
      <c r="BM634" s="319"/>
      <c r="BN634" s="319"/>
      <c r="BO634" s="319"/>
      <c r="BP634" s="319"/>
      <c r="BQ634" s="319"/>
      <c r="BR634" s="319"/>
    </row>
    <row r="635" ht="14.25" customHeight="1">
      <c r="A635" s="195"/>
      <c r="B635" s="100"/>
      <c r="C635" s="100"/>
      <c r="D635" s="100"/>
      <c r="E635" s="100"/>
      <c r="F635" s="206"/>
      <c r="G635" s="206"/>
      <c r="H635" s="207"/>
      <c r="I635" s="207"/>
      <c r="J635" s="207"/>
      <c r="K635" s="207"/>
      <c r="L635" s="207"/>
      <c r="M635" s="207"/>
      <c r="N635" s="207"/>
      <c r="O635" s="207"/>
      <c r="P635" s="207"/>
      <c r="Q635" s="207"/>
      <c r="R635" s="207"/>
      <c r="S635" s="207"/>
      <c r="T635" s="207"/>
      <c r="U635" s="207"/>
      <c r="V635" s="207"/>
      <c r="W635" s="208"/>
      <c r="X635" s="208"/>
      <c r="Y635" s="208"/>
      <c r="Z635" s="208"/>
      <c r="AA635" s="208"/>
      <c r="AB635" s="208"/>
      <c r="AC635" s="208"/>
      <c r="AD635" s="208"/>
      <c r="AE635" s="208"/>
      <c r="AF635" s="208"/>
      <c r="AG635" s="208"/>
      <c r="AH635" s="208"/>
      <c r="AI635" s="100"/>
      <c r="AJ635" s="319"/>
      <c r="AK635" s="319"/>
      <c r="AL635" s="319"/>
      <c r="AM635" s="319"/>
      <c r="AN635" s="319"/>
      <c r="AO635" s="319"/>
      <c r="AP635" s="319"/>
      <c r="AQ635" s="319"/>
      <c r="AR635" s="319"/>
      <c r="AS635" s="319"/>
      <c r="AT635" s="319"/>
      <c r="AU635" s="319"/>
      <c r="AV635" s="319"/>
      <c r="AW635" s="319"/>
      <c r="AX635" s="319"/>
      <c r="AY635" s="319"/>
      <c r="AZ635" s="319"/>
      <c r="BA635" s="319"/>
      <c r="BB635" s="319"/>
      <c r="BC635" s="319"/>
      <c r="BD635" s="319"/>
      <c r="BE635" s="319"/>
      <c r="BF635" s="319"/>
      <c r="BG635" s="319"/>
      <c r="BH635" s="319"/>
      <c r="BI635" s="319"/>
      <c r="BJ635" s="319"/>
      <c r="BK635" s="319"/>
      <c r="BL635" s="319"/>
      <c r="BM635" s="319"/>
      <c r="BN635" s="319"/>
      <c r="BO635" s="319"/>
      <c r="BP635" s="319"/>
      <c r="BQ635" s="319"/>
      <c r="BR635" s="319"/>
    </row>
    <row r="636" ht="14.25" customHeight="1">
      <c r="A636" s="195"/>
      <c r="B636" s="100"/>
      <c r="C636" s="100"/>
      <c r="D636" s="100"/>
      <c r="E636" s="100"/>
      <c r="F636" s="206"/>
      <c r="G636" s="206"/>
      <c r="H636" s="207"/>
      <c r="I636" s="207"/>
      <c r="J636" s="207"/>
      <c r="K636" s="207"/>
      <c r="L636" s="207"/>
      <c r="M636" s="207"/>
      <c r="N636" s="207"/>
      <c r="O636" s="207"/>
      <c r="P636" s="207"/>
      <c r="Q636" s="207"/>
      <c r="R636" s="207"/>
      <c r="S636" s="207"/>
      <c r="T636" s="207"/>
      <c r="U636" s="207"/>
      <c r="V636" s="207"/>
      <c r="W636" s="208"/>
      <c r="X636" s="208"/>
      <c r="Y636" s="208"/>
      <c r="Z636" s="208"/>
      <c r="AA636" s="208"/>
      <c r="AB636" s="208"/>
      <c r="AC636" s="208"/>
      <c r="AD636" s="208"/>
      <c r="AE636" s="208"/>
      <c r="AF636" s="208"/>
      <c r="AG636" s="208"/>
      <c r="AH636" s="208"/>
      <c r="AI636" s="100"/>
      <c r="AJ636" s="319"/>
      <c r="AK636" s="319"/>
      <c r="AL636" s="319"/>
      <c r="AM636" s="319"/>
      <c r="AN636" s="319"/>
      <c r="AO636" s="319"/>
      <c r="AP636" s="319"/>
      <c r="AQ636" s="319"/>
      <c r="AR636" s="319"/>
      <c r="AS636" s="319"/>
      <c r="AT636" s="319"/>
      <c r="AU636" s="319"/>
      <c r="AV636" s="319"/>
      <c r="AW636" s="319"/>
      <c r="AX636" s="319"/>
      <c r="AY636" s="319"/>
      <c r="AZ636" s="319"/>
      <c r="BA636" s="319"/>
      <c r="BB636" s="319"/>
      <c r="BC636" s="319"/>
      <c r="BD636" s="319"/>
      <c r="BE636" s="319"/>
      <c r="BF636" s="319"/>
      <c r="BG636" s="319"/>
      <c r="BH636" s="319"/>
      <c r="BI636" s="319"/>
      <c r="BJ636" s="319"/>
      <c r="BK636" s="319"/>
      <c r="BL636" s="319"/>
      <c r="BM636" s="319"/>
      <c r="BN636" s="319"/>
      <c r="BO636" s="319"/>
      <c r="BP636" s="319"/>
      <c r="BQ636" s="319"/>
      <c r="BR636" s="319"/>
    </row>
    <row r="637" ht="14.25" customHeight="1">
      <c r="A637" s="195"/>
      <c r="B637" s="100"/>
      <c r="C637" s="100"/>
      <c r="D637" s="100"/>
      <c r="E637" s="100"/>
      <c r="F637" s="206"/>
      <c r="G637" s="206"/>
      <c r="H637" s="207"/>
      <c r="I637" s="207"/>
      <c r="J637" s="207"/>
      <c r="K637" s="207"/>
      <c r="L637" s="207"/>
      <c r="M637" s="207"/>
      <c r="N637" s="207"/>
      <c r="O637" s="207"/>
      <c r="P637" s="207"/>
      <c r="Q637" s="207"/>
      <c r="R637" s="207"/>
      <c r="S637" s="207"/>
      <c r="T637" s="207"/>
      <c r="U637" s="207"/>
      <c r="V637" s="207"/>
      <c r="W637" s="208"/>
      <c r="X637" s="208"/>
      <c r="Y637" s="208"/>
      <c r="Z637" s="208"/>
      <c r="AA637" s="208"/>
      <c r="AB637" s="208"/>
      <c r="AC637" s="208"/>
      <c r="AD637" s="208"/>
      <c r="AE637" s="208"/>
      <c r="AF637" s="208"/>
      <c r="AG637" s="208"/>
      <c r="AH637" s="208"/>
      <c r="AI637" s="100"/>
      <c r="AJ637" s="319"/>
      <c r="AK637" s="319"/>
      <c r="AL637" s="319"/>
      <c r="AM637" s="319"/>
      <c r="AN637" s="319"/>
      <c r="AO637" s="319"/>
      <c r="AP637" s="319"/>
      <c r="AQ637" s="319"/>
      <c r="AR637" s="319"/>
      <c r="AS637" s="319"/>
      <c r="AT637" s="319"/>
      <c r="AU637" s="319"/>
      <c r="AV637" s="319"/>
      <c r="AW637" s="319"/>
      <c r="AX637" s="319"/>
      <c r="AY637" s="319"/>
      <c r="AZ637" s="319"/>
      <c r="BA637" s="319"/>
      <c r="BB637" s="319"/>
      <c r="BC637" s="319"/>
      <c r="BD637" s="319"/>
      <c r="BE637" s="319"/>
      <c r="BF637" s="319"/>
      <c r="BG637" s="319"/>
      <c r="BH637" s="319"/>
      <c r="BI637" s="319"/>
      <c r="BJ637" s="319"/>
      <c r="BK637" s="319"/>
      <c r="BL637" s="319"/>
      <c r="BM637" s="319"/>
      <c r="BN637" s="319"/>
      <c r="BO637" s="319"/>
      <c r="BP637" s="319"/>
      <c r="BQ637" s="319"/>
      <c r="BR637" s="319"/>
    </row>
    <row r="638" ht="14.25" customHeight="1">
      <c r="A638" s="195"/>
      <c r="B638" s="100"/>
      <c r="C638" s="100"/>
      <c r="D638" s="100"/>
      <c r="E638" s="100"/>
      <c r="F638" s="206"/>
      <c r="G638" s="206"/>
      <c r="H638" s="207"/>
      <c r="I638" s="207"/>
      <c r="J638" s="207"/>
      <c r="K638" s="207"/>
      <c r="L638" s="207"/>
      <c r="M638" s="207"/>
      <c r="N638" s="207"/>
      <c r="O638" s="207"/>
      <c r="P638" s="207"/>
      <c r="Q638" s="207"/>
      <c r="R638" s="207"/>
      <c r="S638" s="207"/>
      <c r="T638" s="207"/>
      <c r="U638" s="207"/>
      <c r="V638" s="207"/>
      <c r="W638" s="208"/>
      <c r="X638" s="208"/>
      <c r="Y638" s="208"/>
      <c r="Z638" s="208"/>
      <c r="AA638" s="208"/>
      <c r="AB638" s="208"/>
      <c r="AC638" s="208"/>
      <c r="AD638" s="208"/>
      <c r="AE638" s="208"/>
      <c r="AF638" s="208"/>
      <c r="AG638" s="208"/>
      <c r="AH638" s="208"/>
      <c r="AI638" s="100"/>
      <c r="AJ638" s="319"/>
      <c r="AK638" s="319"/>
      <c r="AL638" s="319"/>
      <c r="AM638" s="319"/>
      <c r="AN638" s="319"/>
      <c r="AO638" s="319"/>
      <c r="AP638" s="319"/>
      <c r="AQ638" s="319"/>
      <c r="AR638" s="319"/>
      <c r="AS638" s="319"/>
      <c r="AT638" s="319"/>
      <c r="AU638" s="319"/>
      <c r="AV638" s="319"/>
      <c r="AW638" s="319"/>
      <c r="AX638" s="319"/>
      <c r="AY638" s="319"/>
      <c r="AZ638" s="319"/>
      <c r="BA638" s="319"/>
      <c r="BB638" s="319"/>
      <c r="BC638" s="319"/>
      <c r="BD638" s="319"/>
      <c r="BE638" s="319"/>
      <c r="BF638" s="319"/>
      <c r="BG638" s="319"/>
      <c r="BH638" s="319"/>
      <c r="BI638" s="319"/>
      <c r="BJ638" s="319"/>
      <c r="BK638" s="319"/>
      <c r="BL638" s="319"/>
      <c r="BM638" s="319"/>
      <c r="BN638" s="319"/>
      <c r="BO638" s="319"/>
      <c r="BP638" s="319"/>
      <c r="BQ638" s="319"/>
      <c r="BR638" s="319"/>
    </row>
    <row r="639" ht="14.25" customHeight="1">
      <c r="A639" s="195"/>
      <c r="B639" s="100"/>
      <c r="C639" s="100"/>
      <c r="D639" s="100"/>
      <c r="E639" s="100"/>
      <c r="F639" s="206"/>
      <c r="G639" s="206"/>
      <c r="H639" s="207"/>
      <c r="I639" s="207"/>
      <c r="J639" s="207"/>
      <c r="K639" s="207"/>
      <c r="L639" s="207"/>
      <c r="M639" s="207"/>
      <c r="N639" s="207"/>
      <c r="O639" s="207"/>
      <c r="P639" s="207"/>
      <c r="Q639" s="207"/>
      <c r="R639" s="207"/>
      <c r="S639" s="207"/>
      <c r="T639" s="207"/>
      <c r="U639" s="207"/>
      <c r="V639" s="207"/>
      <c r="W639" s="208"/>
      <c r="X639" s="208"/>
      <c r="Y639" s="208"/>
      <c r="Z639" s="208"/>
      <c r="AA639" s="208"/>
      <c r="AB639" s="208"/>
      <c r="AC639" s="208"/>
      <c r="AD639" s="208"/>
      <c r="AE639" s="208"/>
      <c r="AF639" s="208"/>
      <c r="AG639" s="208"/>
      <c r="AH639" s="208"/>
      <c r="AI639" s="100"/>
      <c r="AJ639" s="319"/>
      <c r="AK639" s="319"/>
      <c r="AL639" s="319"/>
      <c r="AM639" s="319"/>
      <c r="AN639" s="319"/>
      <c r="AO639" s="319"/>
      <c r="AP639" s="319"/>
      <c r="AQ639" s="319"/>
      <c r="AR639" s="319"/>
      <c r="AS639" s="319"/>
      <c r="AT639" s="319"/>
      <c r="AU639" s="319"/>
      <c r="AV639" s="319"/>
      <c r="AW639" s="319"/>
      <c r="AX639" s="319"/>
      <c r="AY639" s="319"/>
      <c r="AZ639" s="319"/>
      <c r="BA639" s="319"/>
      <c r="BB639" s="319"/>
      <c r="BC639" s="319"/>
      <c r="BD639" s="319"/>
      <c r="BE639" s="319"/>
      <c r="BF639" s="319"/>
      <c r="BG639" s="319"/>
      <c r="BH639" s="319"/>
      <c r="BI639" s="319"/>
      <c r="BJ639" s="319"/>
      <c r="BK639" s="319"/>
      <c r="BL639" s="319"/>
      <c r="BM639" s="319"/>
      <c r="BN639" s="319"/>
      <c r="BO639" s="319"/>
      <c r="BP639" s="319"/>
      <c r="BQ639" s="319"/>
      <c r="BR639" s="319"/>
    </row>
    <row r="640" ht="14.25" customHeight="1">
      <c r="A640" s="195"/>
      <c r="B640" s="100"/>
      <c r="C640" s="100"/>
      <c r="D640" s="100"/>
      <c r="E640" s="100"/>
      <c r="F640" s="206"/>
      <c r="G640" s="206"/>
      <c r="H640" s="207"/>
      <c r="I640" s="207"/>
      <c r="J640" s="207"/>
      <c r="K640" s="207"/>
      <c r="L640" s="207"/>
      <c r="M640" s="207"/>
      <c r="N640" s="207"/>
      <c r="O640" s="207"/>
      <c r="P640" s="207"/>
      <c r="Q640" s="207"/>
      <c r="R640" s="207"/>
      <c r="S640" s="207"/>
      <c r="T640" s="207"/>
      <c r="U640" s="207"/>
      <c r="V640" s="207"/>
      <c r="W640" s="208"/>
      <c r="X640" s="208"/>
      <c r="Y640" s="208"/>
      <c r="Z640" s="208"/>
      <c r="AA640" s="208"/>
      <c r="AB640" s="208"/>
      <c r="AC640" s="208"/>
      <c r="AD640" s="208"/>
      <c r="AE640" s="208"/>
      <c r="AF640" s="208"/>
      <c r="AG640" s="208"/>
      <c r="AH640" s="208"/>
      <c r="AI640" s="100"/>
      <c r="AJ640" s="319"/>
      <c r="AK640" s="319"/>
      <c r="AL640" s="319"/>
      <c r="AM640" s="319"/>
      <c r="AN640" s="319"/>
      <c r="AO640" s="319"/>
      <c r="AP640" s="319"/>
      <c r="AQ640" s="319"/>
      <c r="AR640" s="319"/>
      <c r="AS640" s="319"/>
      <c r="AT640" s="319"/>
      <c r="AU640" s="319"/>
      <c r="AV640" s="319"/>
      <c r="AW640" s="319"/>
      <c r="AX640" s="319"/>
      <c r="AY640" s="319"/>
      <c r="AZ640" s="319"/>
      <c r="BA640" s="319"/>
      <c r="BB640" s="319"/>
      <c r="BC640" s="319"/>
      <c r="BD640" s="319"/>
      <c r="BE640" s="319"/>
      <c r="BF640" s="319"/>
      <c r="BG640" s="319"/>
      <c r="BH640" s="319"/>
      <c r="BI640" s="319"/>
      <c r="BJ640" s="319"/>
      <c r="BK640" s="319"/>
      <c r="BL640" s="319"/>
      <c r="BM640" s="319"/>
      <c r="BN640" s="319"/>
      <c r="BO640" s="319"/>
      <c r="BP640" s="319"/>
      <c r="BQ640" s="319"/>
      <c r="BR640" s="319"/>
    </row>
    <row r="641" ht="14.25" customHeight="1">
      <c r="A641" s="195"/>
      <c r="B641" s="100"/>
      <c r="C641" s="100"/>
      <c r="D641" s="100"/>
      <c r="E641" s="100"/>
      <c r="F641" s="206"/>
      <c r="G641" s="206"/>
      <c r="H641" s="207"/>
      <c r="I641" s="207"/>
      <c r="J641" s="207"/>
      <c r="K641" s="207"/>
      <c r="L641" s="207"/>
      <c r="M641" s="207"/>
      <c r="N641" s="207"/>
      <c r="O641" s="207"/>
      <c r="P641" s="207"/>
      <c r="Q641" s="207"/>
      <c r="R641" s="207"/>
      <c r="S641" s="207"/>
      <c r="T641" s="207"/>
      <c r="U641" s="207"/>
      <c r="V641" s="207"/>
      <c r="W641" s="208"/>
      <c r="X641" s="208"/>
      <c r="Y641" s="208"/>
      <c r="Z641" s="208"/>
      <c r="AA641" s="208"/>
      <c r="AB641" s="208"/>
      <c r="AC641" s="208"/>
      <c r="AD641" s="208"/>
      <c r="AE641" s="208"/>
      <c r="AF641" s="208"/>
      <c r="AG641" s="208"/>
      <c r="AH641" s="208"/>
      <c r="AI641" s="100"/>
      <c r="AJ641" s="319"/>
      <c r="AK641" s="319"/>
      <c r="AL641" s="319"/>
      <c r="AM641" s="319"/>
      <c r="AN641" s="319"/>
      <c r="AO641" s="319"/>
      <c r="AP641" s="319"/>
      <c r="AQ641" s="319"/>
      <c r="AR641" s="319"/>
      <c r="AS641" s="319"/>
      <c r="AT641" s="319"/>
      <c r="AU641" s="319"/>
      <c r="AV641" s="319"/>
      <c r="AW641" s="319"/>
      <c r="AX641" s="319"/>
      <c r="AY641" s="319"/>
      <c r="AZ641" s="319"/>
      <c r="BA641" s="319"/>
      <c r="BB641" s="319"/>
      <c r="BC641" s="319"/>
      <c r="BD641" s="319"/>
      <c r="BE641" s="319"/>
      <c r="BF641" s="319"/>
      <c r="BG641" s="319"/>
      <c r="BH641" s="319"/>
      <c r="BI641" s="319"/>
      <c r="BJ641" s="319"/>
      <c r="BK641" s="319"/>
      <c r="BL641" s="319"/>
      <c r="BM641" s="319"/>
      <c r="BN641" s="319"/>
      <c r="BO641" s="319"/>
      <c r="BP641" s="319"/>
      <c r="BQ641" s="319"/>
      <c r="BR641" s="319"/>
    </row>
    <row r="642" ht="14.25" customHeight="1">
      <c r="A642" s="195"/>
      <c r="B642" s="100"/>
      <c r="C642" s="100"/>
      <c r="D642" s="100"/>
      <c r="E642" s="100"/>
      <c r="F642" s="206"/>
      <c r="G642" s="206"/>
      <c r="H642" s="207"/>
      <c r="I642" s="207"/>
      <c r="J642" s="207"/>
      <c r="K642" s="207"/>
      <c r="L642" s="207"/>
      <c r="M642" s="207"/>
      <c r="N642" s="207"/>
      <c r="O642" s="207"/>
      <c r="P642" s="207"/>
      <c r="Q642" s="207"/>
      <c r="R642" s="207"/>
      <c r="S642" s="207"/>
      <c r="T642" s="207"/>
      <c r="U642" s="207"/>
      <c r="V642" s="207"/>
      <c r="W642" s="208"/>
      <c r="X642" s="208"/>
      <c r="Y642" s="208"/>
      <c r="Z642" s="208"/>
      <c r="AA642" s="208"/>
      <c r="AB642" s="208"/>
      <c r="AC642" s="208"/>
      <c r="AD642" s="208"/>
      <c r="AE642" s="208"/>
      <c r="AF642" s="208"/>
      <c r="AG642" s="208"/>
      <c r="AH642" s="208"/>
      <c r="AI642" s="100"/>
      <c r="AJ642" s="319"/>
      <c r="AK642" s="319"/>
      <c r="AL642" s="319"/>
      <c r="AM642" s="319"/>
      <c r="AN642" s="319"/>
      <c r="AO642" s="319"/>
      <c r="AP642" s="319"/>
      <c r="AQ642" s="319"/>
      <c r="AR642" s="319"/>
      <c r="AS642" s="319"/>
      <c r="AT642" s="319"/>
      <c r="AU642" s="319"/>
      <c r="AV642" s="319"/>
      <c r="AW642" s="319"/>
      <c r="AX642" s="319"/>
      <c r="AY642" s="319"/>
      <c r="AZ642" s="319"/>
      <c r="BA642" s="319"/>
      <c r="BB642" s="319"/>
      <c r="BC642" s="319"/>
      <c r="BD642" s="319"/>
      <c r="BE642" s="319"/>
      <c r="BF642" s="319"/>
      <c r="BG642" s="319"/>
      <c r="BH642" s="319"/>
      <c r="BI642" s="319"/>
      <c r="BJ642" s="319"/>
      <c r="BK642" s="319"/>
      <c r="BL642" s="319"/>
      <c r="BM642" s="319"/>
      <c r="BN642" s="319"/>
      <c r="BO642" s="319"/>
      <c r="BP642" s="319"/>
      <c r="BQ642" s="319"/>
      <c r="BR642" s="319"/>
    </row>
    <row r="643" ht="14.25" customHeight="1">
      <c r="A643" s="195"/>
      <c r="B643" s="100"/>
      <c r="C643" s="100"/>
      <c r="D643" s="100"/>
      <c r="E643" s="100"/>
      <c r="F643" s="206"/>
      <c r="G643" s="206"/>
      <c r="H643" s="207"/>
      <c r="I643" s="207"/>
      <c r="J643" s="207"/>
      <c r="K643" s="207"/>
      <c r="L643" s="207"/>
      <c r="M643" s="207"/>
      <c r="N643" s="207"/>
      <c r="O643" s="207"/>
      <c r="P643" s="207"/>
      <c r="Q643" s="207"/>
      <c r="R643" s="207"/>
      <c r="S643" s="207"/>
      <c r="T643" s="207"/>
      <c r="U643" s="207"/>
      <c r="V643" s="207"/>
      <c r="W643" s="208"/>
      <c r="X643" s="208"/>
      <c r="Y643" s="208"/>
      <c r="Z643" s="208"/>
      <c r="AA643" s="208"/>
      <c r="AB643" s="208"/>
      <c r="AC643" s="208"/>
      <c r="AD643" s="208"/>
      <c r="AE643" s="208"/>
      <c r="AF643" s="208"/>
      <c r="AG643" s="208"/>
      <c r="AH643" s="208"/>
      <c r="AI643" s="100"/>
      <c r="AJ643" s="319"/>
      <c r="AK643" s="319"/>
      <c r="AL643" s="319"/>
      <c r="AM643" s="319"/>
      <c r="AN643" s="319"/>
      <c r="AO643" s="319"/>
      <c r="AP643" s="319"/>
      <c r="AQ643" s="319"/>
      <c r="AR643" s="319"/>
      <c r="AS643" s="319"/>
      <c r="AT643" s="319"/>
      <c r="AU643" s="319"/>
      <c r="AV643" s="319"/>
      <c r="AW643" s="319"/>
      <c r="AX643" s="319"/>
      <c r="AY643" s="319"/>
      <c r="AZ643" s="319"/>
      <c r="BA643" s="319"/>
      <c r="BB643" s="319"/>
      <c r="BC643" s="319"/>
      <c r="BD643" s="319"/>
      <c r="BE643" s="319"/>
      <c r="BF643" s="319"/>
      <c r="BG643" s="319"/>
      <c r="BH643" s="319"/>
      <c r="BI643" s="319"/>
      <c r="BJ643" s="319"/>
      <c r="BK643" s="319"/>
      <c r="BL643" s="319"/>
      <c r="BM643" s="319"/>
      <c r="BN643" s="319"/>
      <c r="BO643" s="319"/>
      <c r="BP643" s="319"/>
      <c r="BQ643" s="319"/>
      <c r="BR643" s="319"/>
    </row>
    <row r="644" ht="14.25" customHeight="1">
      <c r="A644" s="195"/>
      <c r="B644" s="100"/>
      <c r="C644" s="100"/>
      <c r="D644" s="100"/>
      <c r="E644" s="100"/>
      <c r="F644" s="206"/>
      <c r="G644" s="206"/>
      <c r="H644" s="207"/>
      <c r="I644" s="207"/>
      <c r="J644" s="207"/>
      <c r="K644" s="207"/>
      <c r="L644" s="207"/>
      <c r="M644" s="207"/>
      <c r="N644" s="207"/>
      <c r="O644" s="207"/>
      <c r="P644" s="207"/>
      <c r="Q644" s="207"/>
      <c r="R644" s="207"/>
      <c r="S644" s="207"/>
      <c r="T644" s="207"/>
      <c r="U644" s="207"/>
      <c r="V644" s="207"/>
      <c r="W644" s="208"/>
      <c r="X644" s="208"/>
      <c r="Y644" s="208"/>
      <c r="Z644" s="208"/>
      <c r="AA644" s="208"/>
      <c r="AB644" s="208"/>
      <c r="AC644" s="208"/>
      <c r="AD644" s="208"/>
      <c r="AE644" s="208"/>
      <c r="AF644" s="208"/>
      <c r="AG644" s="208"/>
      <c r="AH644" s="208"/>
      <c r="AI644" s="100"/>
      <c r="AJ644" s="319"/>
      <c r="AK644" s="319"/>
      <c r="AL644" s="319"/>
      <c r="AM644" s="319"/>
      <c r="AN644" s="319"/>
      <c r="AO644" s="319"/>
      <c r="AP644" s="319"/>
      <c r="AQ644" s="319"/>
      <c r="AR644" s="319"/>
      <c r="AS644" s="319"/>
      <c r="AT644" s="319"/>
      <c r="AU644" s="319"/>
      <c r="AV644" s="319"/>
      <c r="AW644" s="319"/>
      <c r="AX644" s="319"/>
      <c r="AY644" s="319"/>
      <c r="AZ644" s="319"/>
      <c r="BA644" s="319"/>
      <c r="BB644" s="319"/>
      <c r="BC644" s="319"/>
      <c r="BD644" s="319"/>
      <c r="BE644" s="319"/>
      <c r="BF644" s="319"/>
      <c r="BG644" s="319"/>
      <c r="BH644" s="319"/>
      <c r="BI644" s="319"/>
      <c r="BJ644" s="319"/>
      <c r="BK644" s="319"/>
      <c r="BL644" s="319"/>
      <c r="BM644" s="319"/>
      <c r="BN644" s="319"/>
      <c r="BO644" s="319"/>
      <c r="BP644" s="319"/>
      <c r="BQ644" s="319"/>
      <c r="BR644" s="319"/>
    </row>
    <row r="645" ht="14.25" customHeight="1">
      <c r="A645" s="195"/>
      <c r="B645" s="100"/>
      <c r="C645" s="100"/>
      <c r="D645" s="100"/>
      <c r="E645" s="100"/>
      <c r="F645" s="206"/>
      <c r="G645" s="206"/>
      <c r="H645" s="207"/>
      <c r="I645" s="207"/>
      <c r="J645" s="207"/>
      <c r="K645" s="207"/>
      <c r="L645" s="207"/>
      <c r="M645" s="207"/>
      <c r="N645" s="207"/>
      <c r="O645" s="207"/>
      <c r="P645" s="207"/>
      <c r="Q645" s="207"/>
      <c r="R645" s="207"/>
      <c r="S645" s="207"/>
      <c r="T645" s="207"/>
      <c r="U645" s="207"/>
      <c r="V645" s="207"/>
      <c r="W645" s="208"/>
      <c r="X645" s="208"/>
      <c r="Y645" s="208"/>
      <c r="Z645" s="208"/>
      <c r="AA645" s="208"/>
      <c r="AB645" s="208"/>
      <c r="AC645" s="208"/>
      <c r="AD645" s="208"/>
      <c r="AE645" s="208"/>
      <c r="AF645" s="208"/>
      <c r="AG645" s="208"/>
      <c r="AH645" s="208"/>
      <c r="AI645" s="100"/>
      <c r="AJ645" s="319"/>
      <c r="AK645" s="319"/>
      <c r="AL645" s="319"/>
      <c r="AM645" s="319"/>
      <c r="AN645" s="319"/>
      <c r="AO645" s="319"/>
      <c r="AP645" s="319"/>
      <c r="AQ645" s="319"/>
      <c r="AR645" s="319"/>
      <c r="AS645" s="319"/>
      <c r="AT645" s="319"/>
      <c r="AU645" s="319"/>
      <c r="AV645" s="319"/>
      <c r="AW645" s="319"/>
      <c r="AX645" s="319"/>
      <c r="AY645" s="319"/>
      <c r="AZ645" s="319"/>
      <c r="BA645" s="319"/>
      <c r="BB645" s="319"/>
      <c r="BC645" s="319"/>
      <c r="BD645" s="319"/>
      <c r="BE645" s="319"/>
      <c r="BF645" s="319"/>
      <c r="BG645" s="319"/>
      <c r="BH645" s="319"/>
      <c r="BI645" s="319"/>
      <c r="BJ645" s="319"/>
      <c r="BK645" s="319"/>
      <c r="BL645" s="319"/>
      <c r="BM645" s="319"/>
      <c r="BN645" s="319"/>
      <c r="BO645" s="319"/>
      <c r="BP645" s="319"/>
      <c r="BQ645" s="319"/>
      <c r="BR645" s="319"/>
    </row>
    <row r="646" ht="14.25" customHeight="1">
      <c r="A646" s="195"/>
      <c r="B646" s="100"/>
      <c r="C646" s="100"/>
      <c r="D646" s="100"/>
      <c r="E646" s="100"/>
      <c r="F646" s="206"/>
      <c r="G646" s="206"/>
      <c r="H646" s="207"/>
      <c r="I646" s="207"/>
      <c r="J646" s="207"/>
      <c r="K646" s="207"/>
      <c r="L646" s="207"/>
      <c r="M646" s="207"/>
      <c r="N646" s="207"/>
      <c r="O646" s="207"/>
      <c r="P646" s="207"/>
      <c r="Q646" s="207"/>
      <c r="R646" s="207"/>
      <c r="S646" s="207"/>
      <c r="T646" s="207"/>
      <c r="U646" s="207"/>
      <c r="V646" s="207"/>
      <c r="W646" s="208"/>
      <c r="X646" s="208"/>
      <c r="Y646" s="208"/>
      <c r="Z646" s="208"/>
      <c r="AA646" s="208"/>
      <c r="AB646" s="208"/>
      <c r="AC646" s="208"/>
      <c r="AD646" s="208"/>
      <c r="AE646" s="208"/>
      <c r="AF646" s="208"/>
      <c r="AG646" s="208"/>
      <c r="AH646" s="208"/>
      <c r="AI646" s="100"/>
      <c r="AJ646" s="319"/>
      <c r="AK646" s="319"/>
      <c r="AL646" s="319"/>
      <c r="AM646" s="319"/>
      <c r="AN646" s="319"/>
      <c r="AO646" s="319"/>
      <c r="AP646" s="319"/>
      <c r="AQ646" s="319"/>
      <c r="AR646" s="319"/>
      <c r="AS646" s="319"/>
      <c r="AT646" s="319"/>
      <c r="AU646" s="319"/>
      <c r="AV646" s="319"/>
      <c r="AW646" s="319"/>
      <c r="AX646" s="319"/>
      <c r="AY646" s="319"/>
      <c r="AZ646" s="319"/>
      <c r="BA646" s="319"/>
      <c r="BB646" s="319"/>
      <c r="BC646" s="319"/>
      <c r="BD646" s="319"/>
      <c r="BE646" s="319"/>
      <c r="BF646" s="319"/>
      <c r="BG646" s="319"/>
      <c r="BH646" s="319"/>
      <c r="BI646" s="319"/>
      <c r="BJ646" s="319"/>
      <c r="BK646" s="319"/>
      <c r="BL646" s="319"/>
      <c r="BM646" s="319"/>
      <c r="BN646" s="319"/>
      <c r="BO646" s="319"/>
      <c r="BP646" s="319"/>
      <c r="BQ646" s="319"/>
      <c r="BR646" s="319"/>
    </row>
    <row r="647" ht="14.25" customHeight="1">
      <c r="A647" s="195"/>
      <c r="B647" s="100"/>
      <c r="C647" s="100"/>
      <c r="D647" s="100"/>
      <c r="E647" s="100"/>
      <c r="F647" s="206"/>
      <c r="G647" s="206"/>
      <c r="H647" s="207"/>
      <c r="I647" s="207"/>
      <c r="J647" s="207"/>
      <c r="K647" s="207"/>
      <c r="L647" s="207"/>
      <c r="M647" s="207"/>
      <c r="N647" s="207"/>
      <c r="O647" s="207"/>
      <c r="P647" s="207"/>
      <c r="Q647" s="207"/>
      <c r="R647" s="207"/>
      <c r="S647" s="207"/>
      <c r="T647" s="207"/>
      <c r="U647" s="207"/>
      <c r="V647" s="207"/>
      <c r="W647" s="208"/>
      <c r="X647" s="208"/>
      <c r="Y647" s="208"/>
      <c r="Z647" s="208"/>
      <c r="AA647" s="208"/>
      <c r="AB647" s="208"/>
      <c r="AC647" s="208"/>
      <c r="AD647" s="208"/>
      <c r="AE647" s="208"/>
      <c r="AF647" s="208"/>
      <c r="AG647" s="208"/>
      <c r="AH647" s="208"/>
      <c r="AI647" s="100"/>
      <c r="AJ647" s="319"/>
      <c r="AK647" s="319"/>
      <c r="AL647" s="319"/>
      <c r="AM647" s="319"/>
      <c r="AN647" s="319"/>
      <c r="AO647" s="319"/>
      <c r="AP647" s="319"/>
      <c r="AQ647" s="319"/>
      <c r="AR647" s="319"/>
      <c r="AS647" s="319"/>
      <c r="AT647" s="319"/>
      <c r="AU647" s="319"/>
      <c r="AV647" s="319"/>
      <c r="AW647" s="319"/>
      <c r="AX647" s="319"/>
      <c r="AY647" s="319"/>
      <c r="AZ647" s="319"/>
      <c r="BA647" s="319"/>
      <c r="BB647" s="319"/>
      <c r="BC647" s="319"/>
      <c r="BD647" s="319"/>
      <c r="BE647" s="319"/>
      <c r="BF647" s="319"/>
      <c r="BG647" s="319"/>
      <c r="BH647" s="319"/>
      <c r="BI647" s="319"/>
      <c r="BJ647" s="319"/>
      <c r="BK647" s="319"/>
      <c r="BL647" s="319"/>
      <c r="BM647" s="319"/>
      <c r="BN647" s="319"/>
      <c r="BO647" s="319"/>
      <c r="BP647" s="319"/>
      <c r="BQ647" s="319"/>
      <c r="BR647" s="319"/>
    </row>
    <row r="648" ht="14.25" customHeight="1">
      <c r="A648" s="195"/>
      <c r="B648" s="100"/>
      <c r="C648" s="100"/>
      <c r="D648" s="100"/>
      <c r="E648" s="100"/>
      <c r="F648" s="206"/>
      <c r="G648" s="206"/>
      <c r="H648" s="207"/>
      <c r="I648" s="207"/>
      <c r="J648" s="207"/>
      <c r="K648" s="207"/>
      <c r="L648" s="207"/>
      <c r="M648" s="207"/>
      <c r="N648" s="207"/>
      <c r="O648" s="207"/>
      <c r="P648" s="207"/>
      <c r="Q648" s="207"/>
      <c r="R648" s="207"/>
      <c r="S648" s="207"/>
      <c r="T648" s="207"/>
      <c r="U648" s="207"/>
      <c r="V648" s="207"/>
      <c r="W648" s="208"/>
      <c r="X648" s="208"/>
      <c r="Y648" s="208"/>
      <c r="Z648" s="208"/>
      <c r="AA648" s="208"/>
      <c r="AB648" s="208"/>
      <c r="AC648" s="208"/>
      <c r="AD648" s="208"/>
      <c r="AE648" s="208"/>
      <c r="AF648" s="208"/>
      <c r="AG648" s="208"/>
      <c r="AH648" s="208"/>
      <c r="AI648" s="100"/>
      <c r="AJ648" s="319"/>
      <c r="AK648" s="319"/>
      <c r="AL648" s="319"/>
      <c r="AM648" s="319"/>
      <c r="AN648" s="319"/>
      <c r="AO648" s="319"/>
      <c r="AP648" s="319"/>
      <c r="AQ648" s="319"/>
      <c r="AR648" s="319"/>
      <c r="AS648" s="319"/>
      <c r="AT648" s="319"/>
      <c r="AU648" s="319"/>
      <c r="AV648" s="319"/>
      <c r="AW648" s="319"/>
      <c r="AX648" s="319"/>
      <c r="AY648" s="319"/>
      <c r="AZ648" s="319"/>
      <c r="BA648" s="319"/>
      <c r="BB648" s="319"/>
      <c r="BC648" s="319"/>
      <c r="BD648" s="319"/>
      <c r="BE648" s="319"/>
      <c r="BF648" s="319"/>
      <c r="BG648" s="319"/>
      <c r="BH648" s="319"/>
      <c r="BI648" s="319"/>
      <c r="BJ648" s="319"/>
      <c r="BK648" s="319"/>
      <c r="BL648" s="319"/>
      <c r="BM648" s="319"/>
      <c r="BN648" s="319"/>
      <c r="BO648" s="319"/>
      <c r="BP648" s="319"/>
      <c r="BQ648" s="319"/>
      <c r="BR648" s="319"/>
    </row>
    <row r="649" ht="14.25" customHeight="1">
      <c r="A649" s="195"/>
      <c r="B649" s="100"/>
      <c r="C649" s="100"/>
      <c r="D649" s="100"/>
      <c r="E649" s="100"/>
      <c r="F649" s="206"/>
      <c r="G649" s="206"/>
      <c r="H649" s="207"/>
      <c r="I649" s="207"/>
      <c r="J649" s="207"/>
      <c r="K649" s="207"/>
      <c r="L649" s="207"/>
      <c r="M649" s="207"/>
      <c r="N649" s="207"/>
      <c r="O649" s="207"/>
      <c r="P649" s="207"/>
      <c r="Q649" s="207"/>
      <c r="R649" s="207"/>
      <c r="S649" s="207"/>
      <c r="T649" s="207"/>
      <c r="U649" s="207"/>
      <c r="V649" s="207"/>
      <c r="W649" s="208"/>
      <c r="X649" s="208"/>
      <c r="Y649" s="208"/>
      <c r="Z649" s="208"/>
      <c r="AA649" s="208"/>
      <c r="AB649" s="208"/>
      <c r="AC649" s="208"/>
      <c r="AD649" s="208"/>
      <c r="AE649" s="208"/>
      <c r="AF649" s="208"/>
      <c r="AG649" s="208"/>
      <c r="AH649" s="208"/>
      <c r="AI649" s="100"/>
      <c r="AJ649" s="319"/>
      <c r="AK649" s="319"/>
      <c r="AL649" s="319"/>
      <c r="AM649" s="319"/>
      <c r="AN649" s="319"/>
      <c r="AO649" s="319"/>
      <c r="AP649" s="319"/>
      <c r="AQ649" s="319"/>
      <c r="AR649" s="319"/>
      <c r="AS649" s="319"/>
      <c r="AT649" s="319"/>
      <c r="AU649" s="319"/>
      <c r="AV649" s="319"/>
      <c r="AW649" s="319"/>
      <c r="AX649" s="319"/>
      <c r="AY649" s="319"/>
      <c r="AZ649" s="319"/>
      <c r="BA649" s="319"/>
      <c r="BB649" s="319"/>
      <c r="BC649" s="319"/>
      <c r="BD649" s="319"/>
      <c r="BE649" s="319"/>
      <c r="BF649" s="319"/>
      <c r="BG649" s="319"/>
      <c r="BH649" s="319"/>
      <c r="BI649" s="319"/>
      <c r="BJ649" s="319"/>
      <c r="BK649" s="319"/>
      <c r="BL649" s="319"/>
      <c r="BM649" s="319"/>
      <c r="BN649" s="319"/>
      <c r="BO649" s="319"/>
      <c r="BP649" s="319"/>
      <c r="BQ649" s="319"/>
      <c r="BR649" s="319"/>
    </row>
    <row r="650" ht="14.25" customHeight="1">
      <c r="A650" s="195"/>
      <c r="B650" s="100"/>
      <c r="C650" s="100"/>
      <c r="D650" s="100"/>
      <c r="E650" s="100"/>
      <c r="F650" s="206"/>
      <c r="G650" s="206"/>
      <c r="H650" s="207"/>
      <c r="I650" s="207"/>
      <c r="J650" s="207"/>
      <c r="K650" s="207"/>
      <c r="L650" s="207"/>
      <c r="M650" s="207"/>
      <c r="N650" s="207"/>
      <c r="O650" s="207"/>
      <c r="P650" s="207"/>
      <c r="Q650" s="207"/>
      <c r="R650" s="207"/>
      <c r="S650" s="207"/>
      <c r="T650" s="207"/>
      <c r="U650" s="207"/>
      <c r="V650" s="207"/>
      <c r="W650" s="208"/>
      <c r="X650" s="208"/>
      <c r="Y650" s="208"/>
      <c r="Z650" s="208"/>
      <c r="AA650" s="208"/>
      <c r="AB650" s="208"/>
      <c r="AC650" s="208"/>
      <c r="AD650" s="208"/>
      <c r="AE650" s="208"/>
      <c r="AF650" s="208"/>
      <c r="AG650" s="208"/>
      <c r="AH650" s="208"/>
      <c r="AI650" s="100"/>
      <c r="AJ650" s="319"/>
      <c r="AK650" s="319"/>
      <c r="AL650" s="319"/>
      <c r="AM650" s="319"/>
      <c r="AN650" s="319"/>
      <c r="AO650" s="319"/>
      <c r="AP650" s="319"/>
      <c r="AQ650" s="319"/>
      <c r="AR650" s="319"/>
      <c r="AS650" s="319"/>
      <c r="AT650" s="319"/>
      <c r="AU650" s="319"/>
      <c r="AV650" s="319"/>
      <c r="AW650" s="319"/>
      <c r="AX650" s="319"/>
      <c r="AY650" s="319"/>
      <c r="AZ650" s="319"/>
      <c r="BA650" s="319"/>
      <c r="BB650" s="319"/>
      <c r="BC650" s="319"/>
      <c r="BD650" s="319"/>
      <c r="BE650" s="319"/>
      <c r="BF650" s="319"/>
      <c r="BG650" s="319"/>
      <c r="BH650" s="319"/>
      <c r="BI650" s="319"/>
      <c r="BJ650" s="319"/>
      <c r="BK650" s="319"/>
      <c r="BL650" s="319"/>
      <c r="BM650" s="319"/>
      <c r="BN650" s="319"/>
      <c r="BO650" s="319"/>
      <c r="BP650" s="319"/>
      <c r="BQ650" s="319"/>
      <c r="BR650" s="319"/>
    </row>
    <row r="651" ht="14.25" customHeight="1">
      <c r="A651" s="195"/>
      <c r="B651" s="100"/>
      <c r="C651" s="100"/>
      <c r="D651" s="100"/>
      <c r="E651" s="100"/>
      <c r="F651" s="206"/>
      <c r="G651" s="206"/>
      <c r="H651" s="207"/>
      <c r="I651" s="207"/>
      <c r="J651" s="207"/>
      <c r="K651" s="207"/>
      <c r="L651" s="207"/>
      <c r="M651" s="207"/>
      <c r="N651" s="207"/>
      <c r="O651" s="207"/>
      <c r="P651" s="207"/>
      <c r="Q651" s="207"/>
      <c r="R651" s="207"/>
      <c r="S651" s="207"/>
      <c r="T651" s="207"/>
      <c r="U651" s="207"/>
      <c r="V651" s="207"/>
      <c r="W651" s="208"/>
      <c r="X651" s="208"/>
      <c r="Y651" s="208"/>
      <c r="Z651" s="208"/>
      <c r="AA651" s="208"/>
      <c r="AB651" s="208"/>
      <c r="AC651" s="208"/>
      <c r="AD651" s="208"/>
      <c r="AE651" s="208"/>
      <c r="AF651" s="208"/>
      <c r="AG651" s="208"/>
      <c r="AH651" s="208"/>
      <c r="AI651" s="100"/>
      <c r="AJ651" s="319"/>
      <c r="AK651" s="319"/>
      <c r="AL651" s="319"/>
      <c r="AM651" s="319"/>
      <c r="AN651" s="319"/>
      <c r="AO651" s="319"/>
      <c r="AP651" s="319"/>
      <c r="AQ651" s="319"/>
      <c r="AR651" s="319"/>
      <c r="AS651" s="319"/>
      <c r="AT651" s="319"/>
      <c r="AU651" s="319"/>
      <c r="AV651" s="319"/>
      <c r="AW651" s="319"/>
      <c r="AX651" s="319"/>
      <c r="AY651" s="319"/>
      <c r="AZ651" s="319"/>
      <c r="BA651" s="319"/>
      <c r="BB651" s="319"/>
      <c r="BC651" s="319"/>
      <c r="BD651" s="319"/>
      <c r="BE651" s="319"/>
      <c r="BF651" s="319"/>
      <c r="BG651" s="319"/>
      <c r="BH651" s="319"/>
      <c r="BI651" s="319"/>
      <c r="BJ651" s="319"/>
      <c r="BK651" s="319"/>
      <c r="BL651" s="319"/>
      <c r="BM651" s="319"/>
      <c r="BN651" s="319"/>
      <c r="BO651" s="319"/>
      <c r="BP651" s="319"/>
      <c r="BQ651" s="319"/>
      <c r="BR651" s="319"/>
    </row>
    <row r="652" ht="14.25" customHeight="1">
      <c r="A652" s="195"/>
      <c r="B652" s="100"/>
      <c r="C652" s="100"/>
      <c r="D652" s="100"/>
      <c r="E652" s="100"/>
      <c r="F652" s="206"/>
      <c r="G652" s="206"/>
      <c r="H652" s="207"/>
      <c r="I652" s="207"/>
      <c r="J652" s="207"/>
      <c r="K652" s="207"/>
      <c r="L652" s="207"/>
      <c r="M652" s="207"/>
      <c r="N652" s="207"/>
      <c r="O652" s="207"/>
      <c r="P652" s="207"/>
      <c r="Q652" s="207"/>
      <c r="R652" s="207"/>
      <c r="S652" s="207"/>
      <c r="T652" s="207"/>
      <c r="U652" s="207"/>
      <c r="V652" s="207"/>
      <c r="W652" s="208"/>
      <c r="X652" s="208"/>
      <c r="Y652" s="208"/>
      <c r="Z652" s="208"/>
      <c r="AA652" s="208"/>
      <c r="AB652" s="208"/>
      <c r="AC652" s="208"/>
      <c r="AD652" s="208"/>
      <c r="AE652" s="208"/>
      <c r="AF652" s="208"/>
      <c r="AG652" s="208"/>
      <c r="AH652" s="208"/>
      <c r="AI652" s="100"/>
      <c r="AJ652" s="319"/>
      <c r="AK652" s="319"/>
      <c r="AL652" s="319"/>
      <c r="AM652" s="319"/>
      <c r="AN652" s="319"/>
      <c r="AO652" s="319"/>
      <c r="AP652" s="319"/>
      <c r="AQ652" s="319"/>
      <c r="AR652" s="319"/>
      <c r="AS652" s="319"/>
      <c r="AT652" s="319"/>
      <c r="AU652" s="319"/>
      <c r="AV652" s="319"/>
      <c r="AW652" s="319"/>
      <c r="AX652" s="319"/>
      <c r="AY652" s="319"/>
      <c r="AZ652" s="319"/>
      <c r="BA652" s="319"/>
      <c r="BB652" s="319"/>
      <c r="BC652" s="319"/>
      <c r="BD652" s="319"/>
      <c r="BE652" s="319"/>
      <c r="BF652" s="319"/>
      <c r="BG652" s="319"/>
      <c r="BH652" s="319"/>
      <c r="BI652" s="319"/>
      <c r="BJ652" s="319"/>
      <c r="BK652" s="319"/>
      <c r="BL652" s="319"/>
      <c r="BM652" s="319"/>
      <c r="BN652" s="319"/>
      <c r="BO652" s="319"/>
      <c r="BP652" s="319"/>
      <c r="BQ652" s="319"/>
      <c r="BR652" s="319"/>
    </row>
    <row r="653" ht="14.25" customHeight="1">
      <c r="A653" s="195"/>
      <c r="B653" s="100"/>
      <c r="C653" s="100"/>
      <c r="D653" s="100"/>
      <c r="E653" s="100"/>
      <c r="F653" s="206"/>
      <c r="G653" s="206"/>
      <c r="H653" s="207"/>
      <c r="I653" s="207"/>
      <c r="J653" s="207"/>
      <c r="K653" s="207"/>
      <c r="L653" s="207"/>
      <c r="M653" s="207"/>
      <c r="N653" s="207"/>
      <c r="O653" s="207"/>
      <c r="P653" s="207"/>
      <c r="Q653" s="207"/>
      <c r="R653" s="207"/>
      <c r="S653" s="207"/>
      <c r="T653" s="207"/>
      <c r="U653" s="207"/>
      <c r="V653" s="207"/>
      <c r="W653" s="208"/>
      <c r="X653" s="208"/>
      <c r="Y653" s="208"/>
      <c r="Z653" s="208"/>
      <c r="AA653" s="208"/>
      <c r="AB653" s="208"/>
      <c r="AC653" s="208"/>
      <c r="AD653" s="208"/>
      <c r="AE653" s="208"/>
      <c r="AF653" s="208"/>
      <c r="AG653" s="208"/>
      <c r="AH653" s="208"/>
      <c r="AI653" s="100"/>
      <c r="AJ653" s="319"/>
      <c r="AK653" s="319"/>
      <c r="AL653" s="319"/>
      <c r="AM653" s="319"/>
      <c r="AN653" s="319"/>
      <c r="AO653" s="319"/>
      <c r="AP653" s="319"/>
      <c r="AQ653" s="319"/>
      <c r="AR653" s="319"/>
      <c r="AS653" s="319"/>
      <c r="AT653" s="319"/>
      <c r="AU653" s="319"/>
      <c r="AV653" s="319"/>
      <c r="AW653" s="319"/>
      <c r="AX653" s="319"/>
      <c r="AY653" s="319"/>
      <c r="AZ653" s="319"/>
      <c r="BA653" s="319"/>
      <c r="BB653" s="319"/>
      <c r="BC653" s="319"/>
      <c r="BD653" s="319"/>
      <c r="BE653" s="319"/>
      <c r="BF653" s="319"/>
      <c r="BG653" s="319"/>
      <c r="BH653" s="319"/>
      <c r="BI653" s="319"/>
      <c r="BJ653" s="319"/>
      <c r="BK653" s="319"/>
      <c r="BL653" s="319"/>
      <c r="BM653" s="319"/>
      <c r="BN653" s="319"/>
      <c r="BO653" s="319"/>
      <c r="BP653" s="319"/>
      <c r="BQ653" s="319"/>
      <c r="BR653" s="319"/>
    </row>
    <row r="654" ht="14.25" customHeight="1">
      <c r="A654" s="195"/>
      <c r="B654" s="100"/>
      <c r="C654" s="100"/>
      <c r="D654" s="100"/>
      <c r="E654" s="100"/>
      <c r="F654" s="206"/>
      <c r="G654" s="206"/>
      <c r="H654" s="207"/>
      <c r="I654" s="207"/>
      <c r="J654" s="207"/>
      <c r="K654" s="207"/>
      <c r="L654" s="207"/>
      <c r="M654" s="207"/>
      <c r="N654" s="207"/>
      <c r="O654" s="207"/>
      <c r="P654" s="207"/>
      <c r="Q654" s="207"/>
      <c r="R654" s="207"/>
      <c r="S654" s="207"/>
      <c r="T654" s="207"/>
      <c r="U654" s="207"/>
      <c r="V654" s="207"/>
      <c r="W654" s="208"/>
      <c r="X654" s="208"/>
      <c r="Y654" s="208"/>
      <c r="Z654" s="208"/>
      <c r="AA654" s="208"/>
      <c r="AB654" s="208"/>
      <c r="AC654" s="208"/>
      <c r="AD654" s="208"/>
      <c r="AE654" s="208"/>
      <c r="AF654" s="208"/>
      <c r="AG654" s="208"/>
      <c r="AH654" s="208"/>
      <c r="AI654" s="100"/>
      <c r="AJ654" s="319"/>
      <c r="AK654" s="319"/>
      <c r="AL654" s="319"/>
      <c r="AM654" s="319"/>
      <c r="AN654" s="319"/>
      <c r="AO654" s="319"/>
      <c r="AP654" s="319"/>
      <c r="AQ654" s="319"/>
      <c r="AR654" s="319"/>
      <c r="AS654" s="319"/>
      <c r="AT654" s="319"/>
      <c r="AU654" s="319"/>
      <c r="AV654" s="319"/>
      <c r="AW654" s="319"/>
      <c r="AX654" s="319"/>
      <c r="AY654" s="319"/>
      <c r="AZ654" s="319"/>
      <c r="BA654" s="319"/>
      <c r="BB654" s="319"/>
      <c r="BC654" s="319"/>
      <c r="BD654" s="319"/>
      <c r="BE654" s="319"/>
      <c r="BF654" s="319"/>
      <c r="BG654" s="319"/>
      <c r="BH654" s="319"/>
      <c r="BI654" s="319"/>
      <c r="BJ654" s="319"/>
      <c r="BK654" s="319"/>
      <c r="BL654" s="319"/>
      <c r="BM654" s="319"/>
      <c r="BN654" s="319"/>
      <c r="BO654" s="319"/>
      <c r="BP654" s="319"/>
      <c r="BQ654" s="319"/>
      <c r="BR654" s="319"/>
    </row>
    <row r="655" ht="14.25" customHeight="1">
      <c r="A655" s="195"/>
      <c r="B655" s="100"/>
      <c r="C655" s="100"/>
      <c r="D655" s="100"/>
      <c r="E655" s="100"/>
      <c r="F655" s="206"/>
      <c r="G655" s="206"/>
      <c r="H655" s="207"/>
      <c r="I655" s="207"/>
      <c r="J655" s="207"/>
      <c r="K655" s="207"/>
      <c r="L655" s="207"/>
      <c r="M655" s="207"/>
      <c r="N655" s="207"/>
      <c r="O655" s="207"/>
      <c r="P655" s="207"/>
      <c r="Q655" s="207"/>
      <c r="R655" s="207"/>
      <c r="S655" s="207"/>
      <c r="T655" s="207"/>
      <c r="U655" s="207"/>
      <c r="V655" s="207"/>
      <c r="W655" s="208"/>
      <c r="X655" s="208"/>
      <c r="Y655" s="208"/>
      <c r="Z655" s="208"/>
      <c r="AA655" s="208"/>
      <c r="AB655" s="208"/>
      <c r="AC655" s="208"/>
      <c r="AD655" s="208"/>
      <c r="AE655" s="208"/>
      <c r="AF655" s="208"/>
      <c r="AG655" s="208"/>
      <c r="AH655" s="208"/>
      <c r="AI655" s="100"/>
      <c r="AJ655" s="319"/>
      <c r="AK655" s="319"/>
      <c r="AL655" s="319"/>
      <c r="AM655" s="319"/>
      <c r="AN655" s="319"/>
      <c r="AO655" s="319"/>
      <c r="AP655" s="319"/>
      <c r="AQ655" s="319"/>
      <c r="AR655" s="319"/>
      <c r="AS655" s="319"/>
      <c r="AT655" s="319"/>
      <c r="AU655" s="319"/>
      <c r="AV655" s="319"/>
      <c r="AW655" s="319"/>
      <c r="AX655" s="319"/>
      <c r="AY655" s="319"/>
      <c r="AZ655" s="319"/>
      <c r="BA655" s="319"/>
      <c r="BB655" s="319"/>
      <c r="BC655" s="319"/>
      <c r="BD655" s="319"/>
      <c r="BE655" s="319"/>
      <c r="BF655" s="319"/>
      <c r="BG655" s="319"/>
      <c r="BH655" s="319"/>
      <c r="BI655" s="319"/>
      <c r="BJ655" s="319"/>
      <c r="BK655" s="319"/>
      <c r="BL655" s="319"/>
      <c r="BM655" s="319"/>
      <c r="BN655" s="319"/>
      <c r="BO655" s="319"/>
      <c r="BP655" s="319"/>
      <c r="BQ655" s="319"/>
      <c r="BR655" s="319"/>
    </row>
    <row r="656" ht="14.25" customHeight="1">
      <c r="A656" s="195"/>
      <c r="B656" s="100"/>
      <c r="C656" s="100"/>
      <c r="D656" s="100"/>
      <c r="E656" s="100"/>
      <c r="F656" s="206"/>
      <c r="G656" s="206"/>
      <c r="H656" s="207"/>
      <c r="I656" s="207"/>
      <c r="J656" s="207"/>
      <c r="K656" s="207"/>
      <c r="L656" s="207"/>
      <c r="M656" s="207"/>
      <c r="N656" s="207"/>
      <c r="O656" s="207"/>
      <c r="P656" s="207"/>
      <c r="Q656" s="207"/>
      <c r="R656" s="207"/>
      <c r="S656" s="207"/>
      <c r="T656" s="207"/>
      <c r="U656" s="207"/>
      <c r="V656" s="207"/>
      <c r="W656" s="208"/>
      <c r="X656" s="208"/>
      <c r="Y656" s="208"/>
      <c r="Z656" s="208"/>
      <c r="AA656" s="208"/>
      <c r="AB656" s="208"/>
      <c r="AC656" s="208"/>
      <c r="AD656" s="208"/>
      <c r="AE656" s="208"/>
      <c r="AF656" s="208"/>
      <c r="AG656" s="208"/>
      <c r="AH656" s="208"/>
      <c r="AI656" s="100"/>
      <c r="AJ656" s="319"/>
      <c r="AK656" s="319"/>
      <c r="AL656" s="319"/>
      <c r="AM656" s="319"/>
      <c r="AN656" s="319"/>
      <c r="AO656" s="319"/>
      <c r="AP656" s="319"/>
      <c r="AQ656" s="319"/>
      <c r="AR656" s="319"/>
      <c r="AS656" s="319"/>
      <c r="AT656" s="319"/>
      <c r="AU656" s="319"/>
      <c r="AV656" s="319"/>
      <c r="AW656" s="319"/>
      <c r="AX656" s="319"/>
      <c r="AY656" s="319"/>
      <c r="AZ656" s="319"/>
      <c r="BA656" s="319"/>
      <c r="BB656" s="319"/>
      <c r="BC656" s="319"/>
      <c r="BD656" s="319"/>
      <c r="BE656" s="319"/>
      <c r="BF656" s="319"/>
      <c r="BG656" s="319"/>
      <c r="BH656" s="319"/>
      <c r="BI656" s="319"/>
      <c r="BJ656" s="319"/>
      <c r="BK656" s="319"/>
      <c r="BL656" s="319"/>
      <c r="BM656" s="319"/>
      <c r="BN656" s="319"/>
      <c r="BO656" s="319"/>
      <c r="BP656" s="319"/>
      <c r="BQ656" s="319"/>
      <c r="BR656" s="319"/>
    </row>
    <row r="657" ht="14.25" customHeight="1">
      <c r="A657" s="195"/>
      <c r="B657" s="100"/>
      <c r="C657" s="100"/>
      <c r="D657" s="100"/>
      <c r="E657" s="100"/>
      <c r="F657" s="206"/>
      <c r="G657" s="206"/>
      <c r="H657" s="207"/>
      <c r="I657" s="207"/>
      <c r="J657" s="207"/>
      <c r="K657" s="207"/>
      <c r="L657" s="207"/>
      <c r="M657" s="207"/>
      <c r="N657" s="207"/>
      <c r="O657" s="207"/>
      <c r="P657" s="207"/>
      <c r="Q657" s="207"/>
      <c r="R657" s="207"/>
      <c r="S657" s="207"/>
      <c r="T657" s="207"/>
      <c r="U657" s="207"/>
      <c r="V657" s="207"/>
      <c r="W657" s="208"/>
      <c r="X657" s="208"/>
      <c r="Y657" s="208"/>
      <c r="Z657" s="208"/>
      <c r="AA657" s="208"/>
      <c r="AB657" s="208"/>
      <c r="AC657" s="208"/>
      <c r="AD657" s="208"/>
      <c r="AE657" s="208"/>
      <c r="AF657" s="208"/>
      <c r="AG657" s="208"/>
      <c r="AH657" s="208"/>
      <c r="AI657" s="100"/>
      <c r="AJ657" s="319"/>
      <c r="AK657" s="319"/>
      <c r="AL657" s="319"/>
      <c r="AM657" s="319"/>
      <c r="AN657" s="319"/>
      <c r="AO657" s="319"/>
      <c r="AP657" s="319"/>
      <c r="AQ657" s="319"/>
      <c r="AR657" s="319"/>
      <c r="AS657" s="319"/>
      <c r="AT657" s="319"/>
      <c r="AU657" s="319"/>
      <c r="AV657" s="319"/>
      <c r="AW657" s="319"/>
      <c r="AX657" s="319"/>
      <c r="AY657" s="319"/>
      <c r="AZ657" s="319"/>
      <c r="BA657" s="319"/>
      <c r="BB657" s="319"/>
      <c r="BC657" s="319"/>
      <c r="BD657" s="319"/>
      <c r="BE657" s="319"/>
      <c r="BF657" s="319"/>
      <c r="BG657" s="319"/>
      <c r="BH657" s="319"/>
      <c r="BI657" s="319"/>
      <c r="BJ657" s="319"/>
      <c r="BK657" s="319"/>
      <c r="BL657" s="319"/>
      <c r="BM657" s="319"/>
      <c r="BN657" s="319"/>
      <c r="BO657" s="319"/>
      <c r="BP657" s="319"/>
      <c r="BQ657" s="319"/>
      <c r="BR657" s="319"/>
    </row>
    <row r="658" ht="14.25" customHeight="1">
      <c r="A658" s="195"/>
      <c r="B658" s="100"/>
      <c r="C658" s="100"/>
      <c r="D658" s="100"/>
      <c r="E658" s="100"/>
      <c r="F658" s="206"/>
      <c r="G658" s="206"/>
      <c r="H658" s="207"/>
      <c r="I658" s="207"/>
      <c r="J658" s="207"/>
      <c r="K658" s="207"/>
      <c r="L658" s="207"/>
      <c r="M658" s="207"/>
      <c r="N658" s="207"/>
      <c r="O658" s="207"/>
      <c r="P658" s="207"/>
      <c r="Q658" s="207"/>
      <c r="R658" s="207"/>
      <c r="S658" s="207"/>
      <c r="T658" s="207"/>
      <c r="U658" s="207"/>
      <c r="V658" s="207"/>
      <c r="W658" s="208"/>
      <c r="X658" s="208"/>
      <c r="Y658" s="208"/>
      <c r="Z658" s="208"/>
      <c r="AA658" s="208"/>
      <c r="AB658" s="208"/>
      <c r="AC658" s="208"/>
      <c r="AD658" s="208"/>
      <c r="AE658" s="208"/>
      <c r="AF658" s="208"/>
      <c r="AG658" s="208"/>
      <c r="AH658" s="208"/>
      <c r="AI658" s="100"/>
      <c r="AJ658" s="319"/>
      <c r="AK658" s="319"/>
      <c r="AL658" s="319"/>
      <c r="AM658" s="319"/>
      <c r="AN658" s="319"/>
      <c r="AO658" s="319"/>
      <c r="AP658" s="319"/>
      <c r="AQ658" s="319"/>
      <c r="AR658" s="319"/>
      <c r="AS658" s="319"/>
      <c r="AT658" s="319"/>
      <c r="AU658" s="319"/>
      <c r="AV658" s="319"/>
      <c r="AW658" s="319"/>
      <c r="AX658" s="319"/>
      <c r="AY658" s="319"/>
      <c r="AZ658" s="319"/>
      <c r="BA658" s="319"/>
      <c r="BB658" s="319"/>
      <c r="BC658" s="319"/>
      <c r="BD658" s="319"/>
      <c r="BE658" s="319"/>
      <c r="BF658" s="319"/>
      <c r="BG658" s="319"/>
      <c r="BH658" s="319"/>
      <c r="BI658" s="319"/>
      <c r="BJ658" s="319"/>
      <c r="BK658" s="319"/>
      <c r="BL658" s="319"/>
      <c r="BM658" s="319"/>
      <c r="BN658" s="319"/>
      <c r="BO658" s="319"/>
      <c r="BP658" s="319"/>
      <c r="BQ658" s="319"/>
      <c r="BR658" s="319"/>
    </row>
    <row r="659" ht="14.25" customHeight="1">
      <c r="A659" s="195"/>
      <c r="B659" s="100"/>
      <c r="C659" s="100"/>
      <c r="D659" s="100"/>
      <c r="E659" s="100"/>
      <c r="F659" s="206"/>
      <c r="G659" s="206"/>
      <c r="H659" s="207"/>
      <c r="I659" s="207"/>
      <c r="J659" s="207"/>
      <c r="K659" s="207"/>
      <c r="L659" s="207"/>
      <c r="M659" s="207"/>
      <c r="N659" s="207"/>
      <c r="O659" s="207"/>
      <c r="P659" s="207"/>
      <c r="Q659" s="207"/>
      <c r="R659" s="207"/>
      <c r="S659" s="207"/>
      <c r="T659" s="207"/>
      <c r="U659" s="207"/>
      <c r="V659" s="207"/>
      <c r="W659" s="208"/>
      <c r="X659" s="208"/>
      <c r="Y659" s="208"/>
      <c r="Z659" s="208"/>
      <c r="AA659" s="208"/>
      <c r="AB659" s="208"/>
      <c r="AC659" s="208"/>
      <c r="AD659" s="208"/>
      <c r="AE659" s="208"/>
      <c r="AF659" s="208"/>
      <c r="AG659" s="208"/>
      <c r="AH659" s="208"/>
      <c r="AI659" s="100"/>
      <c r="AJ659" s="319"/>
      <c r="AK659" s="319"/>
      <c r="AL659" s="319"/>
      <c r="AM659" s="319"/>
      <c r="AN659" s="319"/>
      <c r="AO659" s="319"/>
      <c r="AP659" s="319"/>
      <c r="AQ659" s="319"/>
      <c r="AR659" s="319"/>
      <c r="AS659" s="319"/>
      <c r="AT659" s="319"/>
      <c r="AU659" s="319"/>
      <c r="AV659" s="319"/>
      <c r="AW659" s="319"/>
      <c r="AX659" s="319"/>
      <c r="AY659" s="319"/>
      <c r="AZ659" s="319"/>
      <c r="BA659" s="319"/>
      <c r="BB659" s="319"/>
      <c r="BC659" s="319"/>
      <c r="BD659" s="319"/>
      <c r="BE659" s="319"/>
      <c r="BF659" s="319"/>
      <c r="BG659" s="319"/>
      <c r="BH659" s="319"/>
      <c r="BI659" s="319"/>
      <c r="BJ659" s="319"/>
      <c r="BK659" s="319"/>
      <c r="BL659" s="319"/>
      <c r="BM659" s="319"/>
      <c r="BN659" s="319"/>
      <c r="BO659" s="319"/>
      <c r="BP659" s="319"/>
      <c r="BQ659" s="319"/>
      <c r="BR659" s="319"/>
    </row>
    <row r="660" ht="14.25" customHeight="1">
      <c r="A660" s="195"/>
      <c r="B660" s="100"/>
      <c r="C660" s="100"/>
      <c r="D660" s="100"/>
      <c r="E660" s="100"/>
      <c r="F660" s="206"/>
      <c r="G660" s="206"/>
      <c r="H660" s="207"/>
      <c r="I660" s="207"/>
      <c r="J660" s="207"/>
      <c r="K660" s="207"/>
      <c r="L660" s="207"/>
      <c r="M660" s="207"/>
      <c r="N660" s="207"/>
      <c r="O660" s="207"/>
      <c r="P660" s="207"/>
      <c r="Q660" s="207"/>
      <c r="R660" s="207"/>
      <c r="S660" s="207"/>
      <c r="T660" s="207"/>
      <c r="U660" s="207"/>
      <c r="V660" s="207"/>
      <c r="W660" s="208"/>
      <c r="X660" s="208"/>
      <c r="Y660" s="208"/>
      <c r="Z660" s="208"/>
      <c r="AA660" s="208"/>
      <c r="AB660" s="208"/>
      <c r="AC660" s="208"/>
      <c r="AD660" s="208"/>
      <c r="AE660" s="208"/>
      <c r="AF660" s="208"/>
      <c r="AG660" s="208"/>
      <c r="AH660" s="208"/>
      <c r="AI660" s="100"/>
      <c r="AJ660" s="319"/>
      <c r="AK660" s="319"/>
      <c r="AL660" s="319"/>
      <c r="AM660" s="319"/>
      <c r="AN660" s="319"/>
      <c r="AO660" s="319"/>
      <c r="AP660" s="319"/>
      <c r="AQ660" s="319"/>
      <c r="AR660" s="319"/>
      <c r="AS660" s="319"/>
      <c r="AT660" s="319"/>
      <c r="AU660" s="319"/>
      <c r="AV660" s="319"/>
      <c r="AW660" s="319"/>
      <c r="AX660" s="319"/>
      <c r="AY660" s="319"/>
      <c r="AZ660" s="319"/>
      <c r="BA660" s="319"/>
      <c r="BB660" s="319"/>
      <c r="BC660" s="319"/>
      <c r="BD660" s="319"/>
      <c r="BE660" s="319"/>
      <c r="BF660" s="319"/>
      <c r="BG660" s="319"/>
      <c r="BH660" s="319"/>
      <c r="BI660" s="319"/>
      <c r="BJ660" s="319"/>
      <c r="BK660" s="319"/>
      <c r="BL660" s="319"/>
      <c r="BM660" s="319"/>
      <c r="BN660" s="319"/>
      <c r="BO660" s="319"/>
      <c r="BP660" s="319"/>
      <c r="BQ660" s="319"/>
      <c r="BR660" s="319"/>
    </row>
    <row r="661" ht="14.25" customHeight="1">
      <c r="A661" s="195"/>
      <c r="B661" s="100"/>
      <c r="C661" s="100"/>
      <c r="D661" s="100"/>
      <c r="E661" s="100"/>
      <c r="F661" s="206"/>
      <c r="G661" s="206"/>
      <c r="H661" s="207"/>
      <c r="I661" s="207"/>
      <c r="J661" s="207"/>
      <c r="K661" s="207"/>
      <c r="L661" s="207"/>
      <c r="M661" s="207"/>
      <c r="N661" s="207"/>
      <c r="O661" s="207"/>
      <c r="P661" s="207"/>
      <c r="Q661" s="207"/>
      <c r="R661" s="207"/>
      <c r="S661" s="207"/>
      <c r="T661" s="207"/>
      <c r="U661" s="207"/>
      <c r="V661" s="207"/>
      <c r="W661" s="208"/>
      <c r="X661" s="208"/>
      <c r="Y661" s="208"/>
      <c r="Z661" s="208"/>
      <c r="AA661" s="208"/>
      <c r="AB661" s="208"/>
      <c r="AC661" s="208"/>
      <c r="AD661" s="208"/>
      <c r="AE661" s="208"/>
      <c r="AF661" s="208"/>
      <c r="AG661" s="208"/>
      <c r="AH661" s="208"/>
      <c r="AI661" s="100"/>
      <c r="AJ661" s="319"/>
      <c r="AK661" s="319"/>
      <c r="AL661" s="319"/>
      <c r="AM661" s="319"/>
      <c r="AN661" s="319"/>
      <c r="AO661" s="319"/>
      <c r="AP661" s="319"/>
      <c r="AQ661" s="319"/>
      <c r="AR661" s="319"/>
      <c r="AS661" s="319"/>
      <c r="AT661" s="319"/>
      <c r="AU661" s="319"/>
      <c r="AV661" s="319"/>
      <c r="AW661" s="319"/>
      <c r="AX661" s="319"/>
      <c r="AY661" s="319"/>
      <c r="AZ661" s="319"/>
      <c r="BA661" s="319"/>
      <c r="BB661" s="319"/>
      <c r="BC661" s="319"/>
      <c r="BD661" s="319"/>
      <c r="BE661" s="319"/>
      <c r="BF661" s="319"/>
      <c r="BG661" s="319"/>
      <c r="BH661" s="319"/>
      <c r="BI661" s="319"/>
      <c r="BJ661" s="319"/>
      <c r="BK661" s="319"/>
      <c r="BL661" s="319"/>
      <c r="BM661" s="319"/>
      <c r="BN661" s="319"/>
      <c r="BO661" s="319"/>
      <c r="BP661" s="319"/>
      <c r="BQ661" s="319"/>
      <c r="BR661" s="319"/>
    </row>
    <row r="662" ht="14.25" customHeight="1">
      <c r="A662" s="195"/>
      <c r="B662" s="100"/>
      <c r="C662" s="100"/>
      <c r="D662" s="100"/>
      <c r="E662" s="100"/>
      <c r="F662" s="206"/>
      <c r="G662" s="206"/>
      <c r="H662" s="207"/>
      <c r="I662" s="207"/>
      <c r="J662" s="207"/>
      <c r="K662" s="207"/>
      <c r="L662" s="207"/>
      <c r="M662" s="207"/>
      <c r="N662" s="207"/>
      <c r="O662" s="207"/>
      <c r="P662" s="207"/>
      <c r="Q662" s="207"/>
      <c r="R662" s="207"/>
      <c r="S662" s="207"/>
      <c r="T662" s="207"/>
      <c r="U662" s="207"/>
      <c r="V662" s="207"/>
      <c r="W662" s="208"/>
      <c r="X662" s="208"/>
      <c r="Y662" s="208"/>
      <c r="Z662" s="208"/>
      <c r="AA662" s="208"/>
      <c r="AB662" s="208"/>
      <c r="AC662" s="208"/>
      <c r="AD662" s="208"/>
      <c r="AE662" s="208"/>
      <c r="AF662" s="208"/>
      <c r="AG662" s="208"/>
      <c r="AH662" s="208"/>
      <c r="AI662" s="100"/>
      <c r="AJ662" s="319"/>
      <c r="AK662" s="319"/>
      <c r="AL662" s="319"/>
      <c r="AM662" s="319"/>
      <c r="AN662" s="319"/>
      <c r="AO662" s="319"/>
      <c r="AP662" s="319"/>
      <c r="AQ662" s="319"/>
      <c r="AR662" s="319"/>
      <c r="AS662" s="319"/>
      <c r="AT662" s="319"/>
      <c r="AU662" s="319"/>
      <c r="AV662" s="319"/>
      <c r="AW662" s="319"/>
      <c r="AX662" s="319"/>
      <c r="AY662" s="319"/>
      <c r="AZ662" s="319"/>
      <c r="BA662" s="319"/>
      <c r="BB662" s="319"/>
      <c r="BC662" s="319"/>
      <c r="BD662" s="319"/>
      <c r="BE662" s="319"/>
      <c r="BF662" s="319"/>
      <c r="BG662" s="319"/>
      <c r="BH662" s="319"/>
      <c r="BI662" s="319"/>
      <c r="BJ662" s="319"/>
      <c r="BK662" s="319"/>
      <c r="BL662" s="319"/>
      <c r="BM662" s="319"/>
      <c r="BN662" s="319"/>
      <c r="BO662" s="319"/>
      <c r="BP662" s="319"/>
      <c r="BQ662" s="319"/>
      <c r="BR662" s="319"/>
    </row>
    <row r="663" ht="14.25" customHeight="1">
      <c r="A663" s="195"/>
      <c r="B663" s="100"/>
      <c r="C663" s="100"/>
      <c r="D663" s="100"/>
      <c r="E663" s="100"/>
      <c r="F663" s="206"/>
      <c r="G663" s="206"/>
      <c r="H663" s="207"/>
      <c r="I663" s="207"/>
      <c r="J663" s="207"/>
      <c r="K663" s="207"/>
      <c r="L663" s="207"/>
      <c r="M663" s="207"/>
      <c r="N663" s="207"/>
      <c r="O663" s="207"/>
      <c r="P663" s="207"/>
      <c r="Q663" s="207"/>
      <c r="R663" s="207"/>
      <c r="S663" s="207"/>
      <c r="T663" s="207"/>
      <c r="U663" s="207"/>
      <c r="V663" s="207"/>
      <c r="W663" s="208"/>
      <c r="X663" s="208"/>
      <c r="Y663" s="208"/>
      <c r="Z663" s="208"/>
      <c r="AA663" s="208"/>
      <c r="AB663" s="208"/>
      <c r="AC663" s="208"/>
      <c r="AD663" s="208"/>
      <c r="AE663" s="208"/>
      <c r="AF663" s="208"/>
      <c r="AG663" s="208"/>
      <c r="AH663" s="208"/>
      <c r="AI663" s="100"/>
      <c r="AJ663" s="319"/>
      <c r="AK663" s="319"/>
      <c r="AL663" s="319"/>
      <c r="AM663" s="319"/>
      <c r="AN663" s="319"/>
      <c r="AO663" s="319"/>
      <c r="AP663" s="319"/>
      <c r="AQ663" s="319"/>
      <c r="AR663" s="319"/>
      <c r="AS663" s="319"/>
      <c r="AT663" s="319"/>
      <c r="AU663" s="319"/>
      <c r="AV663" s="319"/>
      <c r="AW663" s="319"/>
      <c r="AX663" s="319"/>
      <c r="AY663" s="319"/>
      <c r="AZ663" s="319"/>
      <c r="BA663" s="319"/>
      <c r="BB663" s="319"/>
      <c r="BC663" s="319"/>
      <c r="BD663" s="319"/>
      <c r="BE663" s="319"/>
      <c r="BF663" s="319"/>
      <c r="BG663" s="319"/>
      <c r="BH663" s="319"/>
      <c r="BI663" s="319"/>
      <c r="BJ663" s="319"/>
      <c r="BK663" s="319"/>
      <c r="BL663" s="319"/>
      <c r="BM663" s="319"/>
      <c r="BN663" s="319"/>
      <c r="BO663" s="319"/>
      <c r="BP663" s="319"/>
      <c r="BQ663" s="319"/>
      <c r="BR663" s="319"/>
    </row>
    <row r="664" ht="14.25" customHeight="1">
      <c r="A664" s="195"/>
      <c r="B664" s="100"/>
      <c r="C664" s="100"/>
      <c r="D664" s="100"/>
      <c r="E664" s="100"/>
      <c r="F664" s="206"/>
      <c r="G664" s="206"/>
      <c r="H664" s="207"/>
      <c r="I664" s="207"/>
      <c r="J664" s="207"/>
      <c r="K664" s="207"/>
      <c r="L664" s="207"/>
      <c r="M664" s="207"/>
      <c r="N664" s="207"/>
      <c r="O664" s="207"/>
      <c r="P664" s="207"/>
      <c r="Q664" s="207"/>
      <c r="R664" s="207"/>
      <c r="S664" s="207"/>
      <c r="T664" s="207"/>
      <c r="U664" s="207"/>
      <c r="V664" s="207"/>
      <c r="W664" s="208"/>
      <c r="X664" s="208"/>
      <c r="Y664" s="208"/>
      <c r="Z664" s="208"/>
      <c r="AA664" s="208"/>
      <c r="AB664" s="208"/>
      <c r="AC664" s="208"/>
      <c r="AD664" s="208"/>
      <c r="AE664" s="208"/>
      <c r="AF664" s="208"/>
      <c r="AG664" s="208"/>
      <c r="AH664" s="208"/>
      <c r="AI664" s="100"/>
      <c r="AJ664" s="319"/>
      <c r="AK664" s="319"/>
      <c r="AL664" s="319"/>
      <c r="AM664" s="319"/>
      <c r="AN664" s="319"/>
      <c r="AO664" s="319"/>
      <c r="AP664" s="319"/>
      <c r="AQ664" s="319"/>
      <c r="AR664" s="319"/>
      <c r="AS664" s="319"/>
      <c r="AT664" s="319"/>
      <c r="AU664" s="319"/>
      <c r="AV664" s="319"/>
      <c r="AW664" s="319"/>
      <c r="AX664" s="319"/>
      <c r="AY664" s="319"/>
      <c r="AZ664" s="319"/>
      <c r="BA664" s="319"/>
      <c r="BB664" s="319"/>
      <c r="BC664" s="319"/>
      <c r="BD664" s="319"/>
      <c r="BE664" s="319"/>
      <c r="BF664" s="319"/>
      <c r="BG664" s="319"/>
      <c r="BH664" s="319"/>
      <c r="BI664" s="319"/>
      <c r="BJ664" s="319"/>
      <c r="BK664" s="319"/>
      <c r="BL664" s="319"/>
      <c r="BM664" s="319"/>
      <c r="BN664" s="319"/>
      <c r="BO664" s="319"/>
      <c r="BP664" s="319"/>
      <c r="BQ664" s="319"/>
      <c r="BR664" s="319"/>
    </row>
    <row r="665" ht="14.25" customHeight="1">
      <c r="A665" s="195"/>
      <c r="B665" s="100"/>
      <c r="C665" s="100"/>
      <c r="D665" s="100"/>
      <c r="E665" s="100"/>
      <c r="F665" s="206"/>
      <c r="G665" s="206"/>
      <c r="H665" s="207"/>
      <c r="I665" s="207"/>
      <c r="J665" s="207"/>
      <c r="K665" s="207"/>
      <c r="L665" s="207"/>
      <c r="M665" s="207"/>
      <c r="N665" s="207"/>
      <c r="O665" s="207"/>
      <c r="P665" s="207"/>
      <c r="Q665" s="207"/>
      <c r="R665" s="207"/>
      <c r="S665" s="207"/>
      <c r="T665" s="207"/>
      <c r="U665" s="207"/>
      <c r="V665" s="207"/>
      <c r="W665" s="208"/>
      <c r="X665" s="208"/>
      <c r="Y665" s="208"/>
      <c r="Z665" s="208"/>
      <c r="AA665" s="208"/>
      <c r="AB665" s="208"/>
      <c r="AC665" s="208"/>
      <c r="AD665" s="208"/>
      <c r="AE665" s="208"/>
      <c r="AF665" s="208"/>
      <c r="AG665" s="208"/>
      <c r="AH665" s="208"/>
      <c r="AI665" s="100"/>
      <c r="AJ665" s="319"/>
      <c r="AK665" s="319"/>
      <c r="AL665" s="319"/>
      <c r="AM665" s="319"/>
      <c r="AN665" s="319"/>
      <c r="AO665" s="319"/>
      <c r="AP665" s="319"/>
      <c r="AQ665" s="319"/>
      <c r="AR665" s="319"/>
      <c r="AS665" s="319"/>
      <c r="AT665" s="319"/>
      <c r="AU665" s="319"/>
      <c r="AV665" s="319"/>
      <c r="AW665" s="319"/>
      <c r="AX665" s="319"/>
      <c r="AY665" s="319"/>
      <c r="AZ665" s="319"/>
      <c r="BA665" s="319"/>
      <c r="BB665" s="319"/>
      <c r="BC665" s="319"/>
      <c r="BD665" s="319"/>
      <c r="BE665" s="319"/>
      <c r="BF665" s="319"/>
      <c r="BG665" s="319"/>
      <c r="BH665" s="319"/>
      <c r="BI665" s="319"/>
      <c r="BJ665" s="319"/>
      <c r="BK665" s="319"/>
      <c r="BL665" s="319"/>
      <c r="BM665" s="319"/>
      <c r="BN665" s="319"/>
      <c r="BO665" s="319"/>
      <c r="BP665" s="319"/>
      <c r="BQ665" s="319"/>
      <c r="BR665" s="319"/>
    </row>
    <row r="666" ht="14.25" customHeight="1">
      <c r="A666" s="195"/>
      <c r="B666" s="100"/>
      <c r="C666" s="100"/>
      <c r="D666" s="100"/>
      <c r="E666" s="100"/>
      <c r="F666" s="206"/>
      <c r="G666" s="206"/>
      <c r="H666" s="207"/>
      <c r="I666" s="207"/>
      <c r="J666" s="207"/>
      <c r="K666" s="207"/>
      <c r="L666" s="207"/>
      <c r="M666" s="207"/>
      <c r="N666" s="207"/>
      <c r="O666" s="207"/>
      <c r="P666" s="207"/>
      <c r="Q666" s="207"/>
      <c r="R666" s="207"/>
      <c r="S666" s="207"/>
      <c r="T666" s="207"/>
      <c r="U666" s="207"/>
      <c r="V666" s="207"/>
      <c r="W666" s="208"/>
      <c r="X666" s="208"/>
      <c r="Y666" s="208"/>
      <c r="Z666" s="208"/>
      <c r="AA666" s="208"/>
      <c r="AB666" s="208"/>
      <c r="AC666" s="208"/>
      <c r="AD666" s="208"/>
      <c r="AE666" s="208"/>
      <c r="AF666" s="208"/>
      <c r="AG666" s="208"/>
      <c r="AH666" s="208"/>
      <c r="AI666" s="100"/>
      <c r="AJ666" s="319"/>
      <c r="AK666" s="319"/>
      <c r="AL666" s="319"/>
      <c r="AM666" s="319"/>
      <c r="AN666" s="319"/>
      <c r="AO666" s="319"/>
      <c r="AP666" s="319"/>
      <c r="AQ666" s="319"/>
      <c r="AR666" s="319"/>
      <c r="AS666" s="319"/>
      <c r="AT666" s="319"/>
      <c r="AU666" s="319"/>
      <c r="AV666" s="319"/>
      <c r="AW666" s="319"/>
      <c r="AX666" s="319"/>
      <c r="AY666" s="319"/>
      <c r="AZ666" s="319"/>
      <c r="BA666" s="319"/>
      <c r="BB666" s="319"/>
      <c r="BC666" s="319"/>
      <c r="BD666" s="319"/>
      <c r="BE666" s="319"/>
      <c r="BF666" s="319"/>
      <c r="BG666" s="319"/>
      <c r="BH666" s="319"/>
      <c r="BI666" s="319"/>
      <c r="BJ666" s="319"/>
      <c r="BK666" s="319"/>
      <c r="BL666" s="319"/>
      <c r="BM666" s="319"/>
      <c r="BN666" s="319"/>
      <c r="BO666" s="319"/>
      <c r="BP666" s="319"/>
      <c r="BQ666" s="319"/>
      <c r="BR666" s="319"/>
    </row>
    <row r="667" ht="14.25" customHeight="1">
      <c r="A667" s="195"/>
      <c r="B667" s="100"/>
      <c r="C667" s="100"/>
      <c r="D667" s="100"/>
      <c r="E667" s="100"/>
      <c r="F667" s="206"/>
      <c r="G667" s="206"/>
      <c r="H667" s="207"/>
      <c r="I667" s="207"/>
      <c r="J667" s="207"/>
      <c r="K667" s="207"/>
      <c r="L667" s="207"/>
      <c r="M667" s="207"/>
      <c r="N667" s="207"/>
      <c r="O667" s="207"/>
      <c r="P667" s="207"/>
      <c r="Q667" s="207"/>
      <c r="R667" s="207"/>
      <c r="S667" s="207"/>
      <c r="T667" s="207"/>
      <c r="U667" s="207"/>
      <c r="V667" s="207"/>
      <c r="W667" s="208"/>
      <c r="X667" s="208"/>
      <c r="Y667" s="208"/>
      <c r="Z667" s="208"/>
      <c r="AA667" s="208"/>
      <c r="AB667" s="208"/>
      <c r="AC667" s="208"/>
      <c r="AD667" s="208"/>
      <c r="AE667" s="208"/>
      <c r="AF667" s="208"/>
      <c r="AG667" s="208"/>
      <c r="AH667" s="208"/>
      <c r="AI667" s="100"/>
      <c r="AJ667" s="319"/>
      <c r="AK667" s="319"/>
      <c r="AL667" s="319"/>
      <c r="AM667" s="319"/>
      <c r="AN667" s="319"/>
      <c r="AO667" s="319"/>
      <c r="AP667" s="319"/>
      <c r="AQ667" s="319"/>
      <c r="AR667" s="319"/>
      <c r="AS667" s="319"/>
      <c r="AT667" s="319"/>
      <c r="AU667" s="319"/>
      <c r="AV667" s="319"/>
      <c r="AW667" s="319"/>
      <c r="AX667" s="319"/>
      <c r="AY667" s="319"/>
      <c r="AZ667" s="319"/>
      <c r="BA667" s="319"/>
      <c r="BB667" s="319"/>
      <c r="BC667" s="319"/>
      <c r="BD667" s="319"/>
      <c r="BE667" s="319"/>
      <c r="BF667" s="319"/>
      <c r="BG667" s="319"/>
      <c r="BH667" s="319"/>
      <c r="BI667" s="319"/>
      <c r="BJ667" s="319"/>
      <c r="BK667" s="319"/>
      <c r="BL667" s="319"/>
      <c r="BM667" s="319"/>
      <c r="BN667" s="319"/>
      <c r="BO667" s="319"/>
      <c r="BP667" s="319"/>
      <c r="BQ667" s="319"/>
      <c r="BR667" s="319"/>
    </row>
    <row r="668" ht="14.25" customHeight="1">
      <c r="A668" s="195"/>
      <c r="B668" s="100"/>
      <c r="C668" s="100"/>
      <c r="D668" s="100"/>
      <c r="E668" s="100"/>
      <c r="F668" s="206"/>
      <c r="G668" s="206"/>
      <c r="H668" s="207"/>
      <c r="I668" s="207"/>
      <c r="J668" s="207"/>
      <c r="K668" s="207"/>
      <c r="L668" s="207"/>
      <c r="M668" s="207"/>
      <c r="N668" s="207"/>
      <c r="O668" s="207"/>
      <c r="P668" s="207"/>
      <c r="Q668" s="207"/>
      <c r="R668" s="207"/>
      <c r="S668" s="207"/>
      <c r="T668" s="207"/>
      <c r="U668" s="207"/>
      <c r="V668" s="207"/>
      <c r="W668" s="208"/>
      <c r="X668" s="208"/>
      <c r="Y668" s="208"/>
      <c r="Z668" s="208"/>
      <c r="AA668" s="208"/>
      <c r="AB668" s="208"/>
      <c r="AC668" s="208"/>
      <c r="AD668" s="208"/>
      <c r="AE668" s="208"/>
      <c r="AF668" s="208"/>
      <c r="AG668" s="208"/>
      <c r="AH668" s="208"/>
      <c r="AI668" s="100"/>
      <c r="AJ668" s="319"/>
      <c r="AK668" s="319"/>
      <c r="AL668" s="319"/>
      <c r="AM668" s="319"/>
      <c r="AN668" s="319"/>
      <c r="AO668" s="319"/>
      <c r="AP668" s="319"/>
      <c r="AQ668" s="319"/>
      <c r="AR668" s="319"/>
      <c r="AS668" s="319"/>
      <c r="AT668" s="319"/>
      <c r="AU668" s="319"/>
      <c r="AV668" s="319"/>
      <c r="AW668" s="319"/>
      <c r="AX668" s="319"/>
      <c r="AY668" s="319"/>
      <c r="AZ668" s="319"/>
      <c r="BA668" s="319"/>
      <c r="BB668" s="319"/>
      <c r="BC668" s="319"/>
      <c r="BD668" s="319"/>
      <c r="BE668" s="319"/>
      <c r="BF668" s="319"/>
      <c r="BG668" s="319"/>
      <c r="BH668" s="319"/>
      <c r="BI668" s="319"/>
      <c r="BJ668" s="319"/>
      <c r="BK668" s="319"/>
      <c r="BL668" s="319"/>
      <c r="BM668" s="319"/>
      <c r="BN668" s="319"/>
      <c r="BO668" s="319"/>
      <c r="BP668" s="319"/>
      <c r="BQ668" s="319"/>
      <c r="BR668" s="319"/>
    </row>
    <row r="669" ht="14.25" customHeight="1">
      <c r="A669" s="195"/>
      <c r="B669" s="100"/>
      <c r="C669" s="100"/>
      <c r="D669" s="100"/>
      <c r="E669" s="100"/>
      <c r="F669" s="206"/>
      <c r="G669" s="206"/>
      <c r="H669" s="207"/>
      <c r="I669" s="207"/>
      <c r="J669" s="207"/>
      <c r="K669" s="207"/>
      <c r="L669" s="207"/>
      <c r="M669" s="207"/>
      <c r="N669" s="207"/>
      <c r="O669" s="207"/>
      <c r="P669" s="207"/>
      <c r="Q669" s="207"/>
      <c r="R669" s="207"/>
      <c r="S669" s="207"/>
      <c r="T669" s="207"/>
      <c r="U669" s="207"/>
      <c r="V669" s="207"/>
      <c r="W669" s="208"/>
      <c r="X669" s="208"/>
      <c r="Y669" s="208"/>
      <c r="Z669" s="208"/>
      <c r="AA669" s="208"/>
      <c r="AB669" s="208"/>
      <c r="AC669" s="208"/>
      <c r="AD669" s="208"/>
      <c r="AE669" s="208"/>
      <c r="AF669" s="208"/>
      <c r="AG669" s="208"/>
      <c r="AH669" s="208"/>
      <c r="AI669" s="100"/>
      <c r="AJ669" s="319"/>
      <c r="AK669" s="319"/>
      <c r="AL669" s="319"/>
      <c r="AM669" s="319"/>
      <c r="AN669" s="319"/>
      <c r="AO669" s="319"/>
      <c r="AP669" s="319"/>
      <c r="AQ669" s="319"/>
      <c r="AR669" s="319"/>
      <c r="AS669" s="319"/>
      <c r="AT669" s="319"/>
      <c r="AU669" s="319"/>
      <c r="AV669" s="319"/>
      <c r="AW669" s="319"/>
      <c r="AX669" s="319"/>
      <c r="AY669" s="319"/>
      <c r="AZ669" s="319"/>
      <c r="BA669" s="319"/>
      <c r="BB669" s="319"/>
      <c r="BC669" s="319"/>
      <c r="BD669" s="319"/>
      <c r="BE669" s="319"/>
      <c r="BF669" s="319"/>
      <c r="BG669" s="319"/>
      <c r="BH669" s="319"/>
      <c r="BI669" s="319"/>
      <c r="BJ669" s="319"/>
      <c r="BK669" s="319"/>
      <c r="BL669" s="319"/>
      <c r="BM669" s="319"/>
      <c r="BN669" s="319"/>
      <c r="BO669" s="319"/>
      <c r="BP669" s="319"/>
      <c r="BQ669" s="319"/>
      <c r="BR669" s="319"/>
    </row>
    <row r="670" ht="14.25" customHeight="1">
      <c r="A670" s="195"/>
      <c r="B670" s="100"/>
      <c r="C670" s="100"/>
      <c r="D670" s="100"/>
      <c r="E670" s="100"/>
      <c r="F670" s="206"/>
      <c r="G670" s="206"/>
      <c r="H670" s="207"/>
      <c r="I670" s="207"/>
      <c r="J670" s="207"/>
      <c r="K670" s="207"/>
      <c r="L670" s="207"/>
      <c r="M670" s="207"/>
      <c r="N670" s="207"/>
      <c r="O670" s="207"/>
      <c r="P670" s="207"/>
      <c r="Q670" s="207"/>
      <c r="R670" s="207"/>
      <c r="S670" s="207"/>
      <c r="T670" s="207"/>
      <c r="U670" s="207"/>
      <c r="V670" s="207"/>
      <c r="W670" s="208"/>
      <c r="X670" s="208"/>
      <c r="Y670" s="208"/>
      <c r="Z670" s="208"/>
      <c r="AA670" s="208"/>
      <c r="AB670" s="208"/>
      <c r="AC670" s="208"/>
      <c r="AD670" s="208"/>
      <c r="AE670" s="208"/>
      <c r="AF670" s="208"/>
      <c r="AG670" s="208"/>
      <c r="AH670" s="208"/>
      <c r="AI670" s="100"/>
      <c r="AJ670" s="319"/>
      <c r="AK670" s="319"/>
      <c r="AL670" s="319"/>
      <c r="AM670" s="319"/>
      <c r="AN670" s="319"/>
      <c r="AO670" s="319"/>
      <c r="AP670" s="319"/>
      <c r="AQ670" s="319"/>
      <c r="AR670" s="319"/>
      <c r="AS670" s="319"/>
      <c r="AT670" s="319"/>
      <c r="AU670" s="319"/>
      <c r="AV670" s="319"/>
      <c r="AW670" s="319"/>
      <c r="AX670" s="319"/>
      <c r="AY670" s="319"/>
      <c r="AZ670" s="319"/>
      <c r="BA670" s="319"/>
      <c r="BB670" s="319"/>
      <c r="BC670" s="319"/>
      <c r="BD670" s="319"/>
      <c r="BE670" s="319"/>
      <c r="BF670" s="319"/>
      <c r="BG670" s="319"/>
      <c r="BH670" s="319"/>
      <c r="BI670" s="319"/>
      <c r="BJ670" s="319"/>
      <c r="BK670" s="319"/>
      <c r="BL670" s="319"/>
      <c r="BM670" s="319"/>
      <c r="BN670" s="319"/>
      <c r="BO670" s="319"/>
      <c r="BP670" s="319"/>
      <c r="BQ670" s="319"/>
      <c r="BR670" s="319"/>
    </row>
    <row r="671" ht="14.25" customHeight="1">
      <c r="A671" s="195"/>
      <c r="B671" s="100"/>
      <c r="C671" s="100"/>
      <c r="D671" s="100"/>
      <c r="E671" s="100"/>
      <c r="F671" s="206"/>
      <c r="G671" s="206"/>
      <c r="H671" s="207"/>
      <c r="I671" s="207"/>
      <c r="J671" s="207"/>
      <c r="K671" s="207"/>
      <c r="L671" s="207"/>
      <c r="M671" s="207"/>
      <c r="N671" s="207"/>
      <c r="O671" s="207"/>
      <c r="P671" s="207"/>
      <c r="Q671" s="207"/>
      <c r="R671" s="207"/>
      <c r="S671" s="207"/>
      <c r="T671" s="207"/>
      <c r="U671" s="207"/>
      <c r="V671" s="207"/>
      <c r="W671" s="208"/>
      <c r="X671" s="208"/>
      <c r="Y671" s="208"/>
      <c r="Z671" s="208"/>
      <c r="AA671" s="208"/>
      <c r="AB671" s="208"/>
      <c r="AC671" s="208"/>
      <c r="AD671" s="208"/>
      <c r="AE671" s="208"/>
      <c r="AF671" s="208"/>
      <c r="AG671" s="208"/>
      <c r="AH671" s="208"/>
      <c r="AI671" s="100"/>
      <c r="AJ671" s="319"/>
      <c r="AK671" s="319"/>
      <c r="AL671" s="319"/>
      <c r="AM671" s="319"/>
      <c r="AN671" s="319"/>
      <c r="AO671" s="319"/>
      <c r="AP671" s="319"/>
      <c r="AQ671" s="319"/>
      <c r="AR671" s="319"/>
      <c r="AS671" s="319"/>
      <c r="AT671" s="319"/>
      <c r="AU671" s="319"/>
      <c r="AV671" s="319"/>
      <c r="AW671" s="319"/>
      <c r="AX671" s="319"/>
      <c r="AY671" s="319"/>
      <c r="AZ671" s="319"/>
      <c r="BA671" s="319"/>
      <c r="BB671" s="319"/>
      <c r="BC671" s="319"/>
      <c r="BD671" s="319"/>
      <c r="BE671" s="319"/>
      <c r="BF671" s="319"/>
      <c r="BG671" s="319"/>
      <c r="BH671" s="319"/>
      <c r="BI671" s="319"/>
      <c r="BJ671" s="319"/>
      <c r="BK671" s="319"/>
      <c r="BL671" s="319"/>
      <c r="BM671" s="319"/>
      <c r="BN671" s="319"/>
      <c r="BO671" s="319"/>
      <c r="BP671" s="319"/>
      <c r="BQ671" s="319"/>
      <c r="BR671" s="319"/>
    </row>
    <row r="672" ht="14.25" customHeight="1">
      <c r="A672" s="195"/>
      <c r="B672" s="100"/>
      <c r="C672" s="100"/>
      <c r="D672" s="100"/>
      <c r="E672" s="100"/>
      <c r="F672" s="206"/>
      <c r="G672" s="206"/>
      <c r="H672" s="207"/>
      <c r="I672" s="207"/>
      <c r="J672" s="207"/>
      <c r="K672" s="207"/>
      <c r="L672" s="207"/>
      <c r="M672" s="207"/>
      <c r="N672" s="207"/>
      <c r="O672" s="207"/>
      <c r="P672" s="207"/>
      <c r="Q672" s="207"/>
      <c r="R672" s="207"/>
      <c r="S672" s="207"/>
      <c r="T672" s="207"/>
      <c r="U672" s="207"/>
      <c r="V672" s="207"/>
      <c r="W672" s="208"/>
      <c r="X672" s="208"/>
      <c r="Y672" s="208"/>
      <c r="Z672" s="208"/>
      <c r="AA672" s="208"/>
      <c r="AB672" s="208"/>
      <c r="AC672" s="208"/>
      <c r="AD672" s="208"/>
      <c r="AE672" s="208"/>
      <c r="AF672" s="208"/>
      <c r="AG672" s="208"/>
      <c r="AH672" s="208"/>
      <c r="AI672" s="100"/>
      <c r="AJ672" s="319"/>
      <c r="AK672" s="319"/>
      <c r="AL672" s="319"/>
      <c r="AM672" s="319"/>
      <c r="AN672" s="319"/>
      <c r="AO672" s="319"/>
      <c r="AP672" s="319"/>
      <c r="AQ672" s="319"/>
      <c r="AR672" s="319"/>
      <c r="AS672" s="319"/>
      <c r="AT672" s="319"/>
      <c r="AU672" s="319"/>
      <c r="AV672" s="319"/>
      <c r="AW672" s="319"/>
      <c r="AX672" s="319"/>
      <c r="AY672" s="319"/>
      <c r="AZ672" s="319"/>
      <c r="BA672" s="319"/>
      <c r="BB672" s="319"/>
      <c r="BC672" s="319"/>
      <c r="BD672" s="319"/>
      <c r="BE672" s="319"/>
      <c r="BF672" s="319"/>
      <c r="BG672" s="319"/>
      <c r="BH672" s="319"/>
      <c r="BI672" s="319"/>
      <c r="BJ672" s="319"/>
      <c r="BK672" s="319"/>
      <c r="BL672" s="319"/>
      <c r="BM672" s="319"/>
      <c r="BN672" s="319"/>
      <c r="BO672" s="319"/>
      <c r="BP672" s="319"/>
      <c r="BQ672" s="319"/>
      <c r="BR672" s="319"/>
    </row>
    <row r="673" ht="14.25" customHeight="1">
      <c r="A673" s="195"/>
      <c r="B673" s="100"/>
      <c r="C673" s="100"/>
      <c r="D673" s="100"/>
      <c r="E673" s="100"/>
      <c r="F673" s="206"/>
      <c r="G673" s="206"/>
      <c r="H673" s="207"/>
      <c r="I673" s="207"/>
      <c r="J673" s="207"/>
      <c r="K673" s="207"/>
      <c r="L673" s="207"/>
      <c r="M673" s="207"/>
      <c r="N673" s="207"/>
      <c r="O673" s="207"/>
      <c r="P673" s="207"/>
      <c r="Q673" s="207"/>
      <c r="R673" s="207"/>
      <c r="S673" s="207"/>
      <c r="T673" s="207"/>
      <c r="U673" s="207"/>
      <c r="V673" s="207"/>
      <c r="W673" s="208"/>
      <c r="X673" s="208"/>
      <c r="Y673" s="208"/>
      <c r="Z673" s="208"/>
      <c r="AA673" s="208"/>
      <c r="AB673" s="208"/>
      <c r="AC673" s="208"/>
      <c r="AD673" s="208"/>
      <c r="AE673" s="208"/>
      <c r="AF673" s="208"/>
      <c r="AG673" s="208"/>
      <c r="AH673" s="208"/>
      <c r="AI673" s="100"/>
      <c r="AJ673" s="319"/>
      <c r="AK673" s="319"/>
      <c r="AL673" s="319"/>
      <c r="AM673" s="319"/>
      <c r="AN673" s="319"/>
      <c r="AO673" s="319"/>
      <c r="AP673" s="319"/>
      <c r="AQ673" s="319"/>
      <c r="AR673" s="319"/>
      <c r="AS673" s="319"/>
      <c r="AT673" s="319"/>
      <c r="AU673" s="319"/>
      <c r="AV673" s="319"/>
      <c r="AW673" s="319"/>
      <c r="AX673" s="319"/>
      <c r="AY673" s="319"/>
      <c r="AZ673" s="319"/>
      <c r="BA673" s="319"/>
      <c r="BB673" s="319"/>
      <c r="BC673" s="319"/>
      <c r="BD673" s="319"/>
      <c r="BE673" s="319"/>
      <c r="BF673" s="319"/>
      <c r="BG673" s="319"/>
      <c r="BH673" s="319"/>
      <c r="BI673" s="319"/>
      <c r="BJ673" s="319"/>
      <c r="BK673" s="319"/>
      <c r="BL673" s="319"/>
      <c r="BM673" s="319"/>
      <c r="BN673" s="319"/>
      <c r="BO673" s="319"/>
      <c r="BP673" s="319"/>
      <c r="BQ673" s="319"/>
      <c r="BR673" s="319"/>
    </row>
    <row r="674" ht="14.25" customHeight="1">
      <c r="A674" s="195"/>
      <c r="B674" s="100"/>
      <c r="C674" s="100"/>
      <c r="D674" s="100"/>
      <c r="E674" s="100"/>
      <c r="F674" s="206"/>
      <c r="G674" s="206"/>
      <c r="H674" s="207"/>
      <c r="I674" s="207"/>
      <c r="J674" s="207"/>
      <c r="K674" s="207"/>
      <c r="L674" s="207"/>
      <c r="M674" s="207"/>
      <c r="N674" s="207"/>
      <c r="O674" s="207"/>
      <c r="P674" s="207"/>
      <c r="Q674" s="207"/>
      <c r="R674" s="207"/>
      <c r="S674" s="207"/>
      <c r="T674" s="207"/>
      <c r="U674" s="207"/>
      <c r="V674" s="207"/>
      <c r="W674" s="208"/>
      <c r="X674" s="208"/>
      <c r="Y674" s="208"/>
      <c r="Z674" s="208"/>
      <c r="AA674" s="208"/>
      <c r="AB674" s="208"/>
      <c r="AC674" s="208"/>
      <c r="AD674" s="208"/>
      <c r="AE674" s="208"/>
      <c r="AF674" s="208"/>
      <c r="AG674" s="208"/>
      <c r="AH674" s="208"/>
      <c r="AI674" s="100"/>
      <c r="AJ674" s="319"/>
      <c r="AK674" s="319"/>
      <c r="AL674" s="319"/>
      <c r="AM674" s="319"/>
      <c r="AN674" s="319"/>
      <c r="AO674" s="319"/>
      <c r="AP674" s="319"/>
      <c r="AQ674" s="319"/>
      <c r="AR674" s="319"/>
      <c r="AS674" s="319"/>
      <c r="AT674" s="319"/>
      <c r="AU674" s="319"/>
      <c r="AV674" s="319"/>
      <c r="AW674" s="319"/>
      <c r="AX674" s="319"/>
      <c r="AY674" s="319"/>
      <c r="AZ674" s="319"/>
      <c r="BA674" s="319"/>
      <c r="BB674" s="319"/>
      <c r="BC674" s="319"/>
      <c r="BD674" s="319"/>
      <c r="BE674" s="319"/>
      <c r="BF674" s="319"/>
      <c r="BG674" s="319"/>
      <c r="BH674" s="319"/>
      <c r="BI674" s="319"/>
      <c r="BJ674" s="319"/>
      <c r="BK674" s="319"/>
      <c r="BL674" s="319"/>
      <c r="BM674" s="319"/>
      <c r="BN674" s="319"/>
      <c r="BO674" s="319"/>
      <c r="BP674" s="319"/>
      <c r="BQ674" s="319"/>
      <c r="BR674" s="319"/>
    </row>
    <row r="675" ht="14.25" customHeight="1">
      <c r="A675" s="195"/>
      <c r="B675" s="100"/>
      <c r="C675" s="100"/>
      <c r="D675" s="100"/>
      <c r="E675" s="100"/>
      <c r="F675" s="206"/>
      <c r="G675" s="206"/>
      <c r="H675" s="207"/>
      <c r="I675" s="207"/>
      <c r="J675" s="207"/>
      <c r="K675" s="207"/>
      <c r="L675" s="207"/>
      <c r="M675" s="207"/>
      <c r="N675" s="207"/>
      <c r="O675" s="207"/>
      <c r="P675" s="207"/>
      <c r="Q675" s="207"/>
      <c r="R675" s="207"/>
      <c r="S675" s="207"/>
      <c r="T675" s="207"/>
      <c r="U675" s="207"/>
      <c r="V675" s="207"/>
      <c r="W675" s="208"/>
      <c r="X675" s="208"/>
      <c r="Y675" s="208"/>
      <c r="Z675" s="208"/>
      <c r="AA675" s="208"/>
      <c r="AB675" s="208"/>
      <c r="AC675" s="208"/>
      <c r="AD675" s="208"/>
      <c r="AE675" s="208"/>
      <c r="AF675" s="208"/>
      <c r="AG675" s="208"/>
      <c r="AH675" s="208"/>
      <c r="AI675" s="100"/>
      <c r="AJ675" s="319"/>
      <c r="AK675" s="319"/>
      <c r="AL675" s="319"/>
      <c r="AM675" s="319"/>
      <c r="AN675" s="319"/>
      <c r="AO675" s="319"/>
      <c r="AP675" s="319"/>
      <c r="AQ675" s="319"/>
      <c r="AR675" s="319"/>
      <c r="AS675" s="319"/>
      <c r="AT675" s="319"/>
      <c r="AU675" s="319"/>
      <c r="AV675" s="319"/>
      <c r="AW675" s="319"/>
      <c r="AX675" s="319"/>
      <c r="AY675" s="319"/>
      <c r="AZ675" s="319"/>
      <c r="BA675" s="319"/>
      <c r="BB675" s="319"/>
      <c r="BC675" s="319"/>
      <c r="BD675" s="319"/>
      <c r="BE675" s="319"/>
      <c r="BF675" s="319"/>
      <c r="BG675" s="319"/>
      <c r="BH675" s="319"/>
      <c r="BI675" s="319"/>
      <c r="BJ675" s="319"/>
      <c r="BK675" s="319"/>
      <c r="BL675" s="319"/>
      <c r="BM675" s="319"/>
      <c r="BN675" s="319"/>
      <c r="BO675" s="319"/>
      <c r="BP675" s="319"/>
      <c r="BQ675" s="319"/>
      <c r="BR675" s="319"/>
    </row>
    <row r="676" ht="14.25" customHeight="1">
      <c r="A676" s="195"/>
      <c r="B676" s="100"/>
      <c r="C676" s="100"/>
      <c r="D676" s="100"/>
      <c r="E676" s="100"/>
      <c r="F676" s="206"/>
      <c r="G676" s="206"/>
      <c r="H676" s="207"/>
      <c r="I676" s="207"/>
      <c r="J676" s="207"/>
      <c r="K676" s="207"/>
      <c r="L676" s="207"/>
      <c r="M676" s="207"/>
      <c r="N676" s="207"/>
      <c r="O676" s="207"/>
      <c r="P676" s="207"/>
      <c r="Q676" s="207"/>
      <c r="R676" s="207"/>
      <c r="S676" s="207"/>
      <c r="T676" s="207"/>
      <c r="U676" s="207"/>
      <c r="V676" s="207"/>
      <c r="W676" s="208"/>
      <c r="X676" s="208"/>
      <c r="Y676" s="208"/>
      <c r="Z676" s="208"/>
      <c r="AA676" s="208"/>
      <c r="AB676" s="208"/>
      <c r="AC676" s="208"/>
      <c r="AD676" s="208"/>
      <c r="AE676" s="208"/>
      <c r="AF676" s="208"/>
      <c r="AG676" s="208"/>
      <c r="AH676" s="208"/>
      <c r="AI676" s="100"/>
      <c r="AJ676" s="319"/>
      <c r="AK676" s="319"/>
      <c r="AL676" s="319"/>
      <c r="AM676" s="319"/>
      <c r="AN676" s="319"/>
      <c r="AO676" s="319"/>
      <c r="AP676" s="319"/>
      <c r="AQ676" s="319"/>
      <c r="AR676" s="319"/>
      <c r="AS676" s="319"/>
      <c r="AT676" s="319"/>
      <c r="AU676" s="319"/>
      <c r="AV676" s="319"/>
      <c r="AW676" s="319"/>
      <c r="AX676" s="319"/>
      <c r="AY676" s="319"/>
      <c r="AZ676" s="319"/>
      <c r="BA676" s="319"/>
      <c r="BB676" s="319"/>
      <c r="BC676" s="319"/>
      <c r="BD676" s="319"/>
      <c r="BE676" s="319"/>
      <c r="BF676" s="319"/>
      <c r="BG676" s="319"/>
      <c r="BH676" s="319"/>
      <c r="BI676" s="319"/>
      <c r="BJ676" s="319"/>
      <c r="BK676" s="319"/>
      <c r="BL676" s="319"/>
      <c r="BM676" s="319"/>
      <c r="BN676" s="319"/>
      <c r="BO676" s="319"/>
      <c r="BP676" s="319"/>
      <c r="BQ676" s="319"/>
      <c r="BR676" s="319"/>
    </row>
    <row r="677" ht="14.25" customHeight="1">
      <c r="A677" s="195"/>
      <c r="B677" s="100"/>
      <c r="C677" s="100"/>
      <c r="D677" s="100"/>
      <c r="E677" s="100"/>
      <c r="F677" s="206"/>
      <c r="G677" s="206"/>
      <c r="H677" s="207"/>
      <c r="I677" s="207"/>
      <c r="J677" s="207"/>
      <c r="K677" s="207"/>
      <c r="L677" s="207"/>
      <c r="M677" s="207"/>
      <c r="N677" s="207"/>
      <c r="O677" s="207"/>
      <c r="P677" s="207"/>
      <c r="Q677" s="207"/>
      <c r="R677" s="207"/>
      <c r="S677" s="207"/>
      <c r="T677" s="207"/>
      <c r="U677" s="207"/>
      <c r="V677" s="207"/>
      <c r="W677" s="208"/>
      <c r="X677" s="208"/>
      <c r="Y677" s="208"/>
      <c r="Z677" s="208"/>
      <c r="AA677" s="208"/>
      <c r="AB677" s="208"/>
      <c r="AC677" s="208"/>
      <c r="AD677" s="208"/>
      <c r="AE677" s="208"/>
      <c r="AF677" s="208"/>
      <c r="AG677" s="208"/>
      <c r="AH677" s="208"/>
      <c r="AI677" s="100"/>
      <c r="AJ677" s="319"/>
      <c r="AK677" s="319"/>
      <c r="AL677" s="319"/>
      <c r="AM677" s="319"/>
      <c r="AN677" s="319"/>
      <c r="AO677" s="319"/>
      <c r="AP677" s="319"/>
      <c r="AQ677" s="319"/>
      <c r="AR677" s="319"/>
      <c r="AS677" s="319"/>
      <c r="AT677" s="319"/>
      <c r="AU677" s="319"/>
      <c r="AV677" s="319"/>
      <c r="AW677" s="319"/>
      <c r="AX677" s="319"/>
      <c r="AY677" s="319"/>
      <c r="AZ677" s="319"/>
      <c r="BA677" s="319"/>
      <c r="BB677" s="319"/>
      <c r="BC677" s="319"/>
      <c r="BD677" s="319"/>
      <c r="BE677" s="319"/>
      <c r="BF677" s="319"/>
      <c r="BG677" s="319"/>
      <c r="BH677" s="319"/>
      <c r="BI677" s="319"/>
      <c r="BJ677" s="319"/>
      <c r="BK677" s="319"/>
      <c r="BL677" s="319"/>
      <c r="BM677" s="319"/>
      <c r="BN677" s="319"/>
      <c r="BO677" s="319"/>
      <c r="BP677" s="319"/>
      <c r="BQ677" s="319"/>
      <c r="BR677" s="319"/>
    </row>
    <row r="678" ht="14.25" customHeight="1">
      <c r="A678" s="195"/>
      <c r="B678" s="100"/>
      <c r="C678" s="100"/>
      <c r="D678" s="100"/>
      <c r="E678" s="100"/>
      <c r="F678" s="206"/>
      <c r="G678" s="206"/>
      <c r="H678" s="207"/>
      <c r="I678" s="207"/>
      <c r="J678" s="207"/>
      <c r="K678" s="207"/>
      <c r="L678" s="207"/>
      <c r="M678" s="207"/>
      <c r="N678" s="207"/>
      <c r="O678" s="207"/>
      <c r="P678" s="207"/>
      <c r="Q678" s="207"/>
      <c r="R678" s="207"/>
      <c r="S678" s="207"/>
      <c r="T678" s="207"/>
      <c r="U678" s="207"/>
      <c r="V678" s="207"/>
      <c r="W678" s="208"/>
      <c r="X678" s="208"/>
      <c r="Y678" s="208"/>
      <c r="Z678" s="208"/>
      <c r="AA678" s="208"/>
      <c r="AB678" s="208"/>
      <c r="AC678" s="208"/>
      <c r="AD678" s="208"/>
      <c r="AE678" s="208"/>
      <c r="AF678" s="208"/>
      <c r="AG678" s="208"/>
      <c r="AH678" s="208"/>
      <c r="AI678" s="100"/>
      <c r="AJ678" s="319"/>
      <c r="AK678" s="319"/>
      <c r="AL678" s="319"/>
      <c r="AM678" s="319"/>
      <c r="AN678" s="319"/>
      <c r="AO678" s="319"/>
      <c r="AP678" s="319"/>
      <c r="AQ678" s="319"/>
      <c r="AR678" s="319"/>
      <c r="AS678" s="319"/>
      <c r="AT678" s="319"/>
      <c r="AU678" s="319"/>
      <c r="AV678" s="319"/>
      <c r="AW678" s="319"/>
      <c r="AX678" s="319"/>
      <c r="AY678" s="319"/>
      <c r="AZ678" s="319"/>
      <c r="BA678" s="319"/>
      <c r="BB678" s="319"/>
      <c r="BC678" s="319"/>
      <c r="BD678" s="319"/>
      <c r="BE678" s="319"/>
      <c r="BF678" s="319"/>
      <c r="BG678" s="319"/>
      <c r="BH678" s="319"/>
      <c r="BI678" s="319"/>
      <c r="BJ678" s="319"/>
      <c r="BK678" s="319"/>
      <c r="BL678" s="319"/>
      <c r="BM678" s="319"/>
      <c r="BN678" s="319"/>
      <c r="BO678" s="319"/>
      <c r="BP678" s="319"/>
      <c r="BQ678" s="319"/>
      <c r="BR678" s="319"/>
    </row>
    <row r="679" ht="14.25" customHeight="1">
      <c r="A679" s="195"/>
      <c r="B679" s="100"/>
      <c r="C679" s="100"/>
      <c r="D679" s="100"/>
      <c r="E679" s="100"/>
      <c r="F679" s="206"/>
      <c r="G679" s="206"/>
      <c r="H679" s="207"/>
      <c r="I679" s="207"/>
      <c r="J679" s="207"/>
      <c r="K679" s="207"/>
      <c r="L679" s="207"/>
      <c r="M679" s="207"/>
      <c r="N679" s="207"/>
      <c r="O679" s="207"/>
      <c r="P679" s="207"/>
      <c r="Q679" s="207"/>
      <c r="R679" s="207"/>
      <c r="S679" s="207"/>
      <c r="T679" s="207"/>
      <c r="U679" s="207"/>
      <c r="V679" s="207"/>
      <c r="W679" s="208"/>
      <c r="X679" s="208"/>
      <c r="Y679" s="208"/>
      <c r="Z679" s="208"/>
      <c r="AA679" s="208"/>
      <c r="AB679" s="208"/>
      <c r="AC679" s="208"/>
      <c r="AD679" s="208"/>
      <c r="AE679" s="208"/>
      <c r="AF679" s="208"/>
      <c r="AG679" s="208"/>
      <c r="AH679" s="208"/>
      <c r="AI679" s="100"/>
      <c r="AJ679" s="319"/>
      <c r="AK679" s="319"/>
      <c r="AL679" s="319"/>
      <c r="AM679" s="319"/>
      <c r="AN679" s="319"/>
      <c r="AO679" s="319"/>
      <c r="AP679" s="319"/>
      <c r="AQ679" s="319"/>
      <c r="AR679" s="319"/>
      <c r="AS679" s="319"/>
      <c r="AT679" s="319"/>
      <c r="AU679" s="319"/>
      <c r="AV679" s="319"/>
      <c r="AW679" s="319"/>
      <c r="AX679" s="319"/>
      <c r="AY679" s="319"/>
      <c r="AZ679" s="319"/>
      <c r="BA679" s="319"/>
      <c r="BB679" s="319"/>
      <c r="BC679" s="319"/>
      <c r="BD679" s="319"/>
      <c r="BE679" s="319"/>
      <c r="BF679" s="319"/>
      <c r="BG679" s="319"/>
      <c r="BH679" s="319"/>
      <c r="BI679" s="319"/>
      <c r="BJ679" s="319"/>
      <c r="BK679" s="319"/>
      <c r="BL679" s="319"/>
      <c r="BM679" s="319"/>
      <c r="BN679" s="319"/>
      <c r="BO679" s="319"/>
      <c r="BP679" s="319"/>
      <c r="BQ679" s="319"/>
      <c r="BR679" s="319"/>
    </row>
    <row r="680" ht="14.25" customHeight="1">
      <c r="A680" s="195"/>
      <c r="B680" s="100"/>
      <c r="C680" s="100"/>
      <c r="D680" s="100"/>
      <c r="E680" s="100"/>
      <c r="F680" s="206"/>
      <c r="G680" s="206"/>
      <c r="H680" s="207"/>
      <c r="I680" s="207"/>
      <c r="J680" s="207"/>
      <c r="K680" s="207"/>
      <c r="L680" s="207"/>
      <c r="M680" s="207"/>
      <c r="N680" s="207"/>
      <c r="O680" s="207"/>
      <c r="P680" s="207"/>
      <c r="Q680" s="207"/>
      <c r="R680" s="207"/>
      <c r="S680" s="207"/>
      <c r="T680" s="207"/>
      <c r="U680" s="207"/>
      <c r="V680" s="207"/>
      <c r="W680" s="208"/>
      <c r="X680" s="208"/>
      <c r="Y680" s="208"/>
      <c r="Z680" s="208"/>
      <c r="AA680" s="208"/>
      <c r="AB680" s="208"/>
      <c r="AC680" s="208"/>
      <c r="AD680" s="208"/>
      <c r="AE680" s="208"/>
      <c r="AF680" s="208"/>
      <c r="AG680" s="208"/>
      <c r="AH680" s="208"/>
      <c r="AI680" s="100"/>
      <c r="AJ680" s="319"/>
      <c r="AK680" s="319"/>
      <c r="AL680" s="319"/>
      <c r="AM680" s="319"/>
      <c r="AN680" s="319"/>
      <c r="AO680" s="319"/>
      <c r="AP680" s="319"/>
      <c r="AQ680" s="319"/>
      <c r="AR680" s="319"/>
      <c r="AS680" s="319"/>
      <c r="AT680" s="319"/>
      <c r="AU680" s="319"/>
      <c r="AV680" s="319"/>
      <c r="AW680" s="319"/>
      <c r="AX680" s="319"/>
      <c r="AY680" s="319"/>
      <c r="AZ680" s="319"/>
      <c r="BA680" s="319"/>
      <c r="BB680" s="319"/>
      <c r="BC680" s="319"/>
      <c r="BD680" s="319"/>
      <c r="BE680" s="319"/>
      <c r="BF680" s="319"/>
      <c r="BG680" s="319"/>
      <c r="BH680" s="319"/>
      <c r="BI680" s="319"/>
      <c r="BJ680" s="319"/>
      <c r="BK680" s="319"/>
      <c r="BL680" s="319"/>
      <c r="BM680" s="319"/>
      <c r="BN680" s="319"/>
      <c r="BO680" s="319"/>
      <c r="BP680" s="319"/>
      <c r="BQ680" s="319"/>
      <c r="BR680" s="319"/>
    </row>
    <row r="681" ht="14.25" customHeight="1">
      <c r="A681" s="195"/>
      <c r="B681" s="100"/>
      <c r="C681" s="100"/>
      <c r="D681" s="100"/>
      <c r="E681" s="100"/>
      <c r="F681" s="206"/>
      <c r="G681" s="206"/>
      <c r="H681" s="207"/>
      <c r="I681" s="207"/>
      <c r="J681" s="207"/>
      <c r="K681" s="207"/>
      <c r="L681" s="207"/>
      <c r="M681" s="207"/>
      <c r="N681" s="207"/>
      <c r="O681" s="207"/>
      <c r="P681" s="207"/>
      <c r="Q681" s="207"/>
      <c r="R681" s="207"/>
      <c r="S681" s="207"/>
      <c r="T681" s="207"/>
      <c r="U681" s="207"/>
      <c r="V681" s="207"/>
      <c r="W681" s="208"/>
      <c r="X681" s="208"/>
      <c r="Y681" s="208"/>
      <c r="Z681" s="208"/>
      <c r="AA681" s="208"/>
      <c r="AB681" s="208"/>
      <c r="AC681" s="208"/>
      <c r="AD681" s="208"/>
      <c r="AE681" s="208"/>
      <c r="AF681" s="208"/>
      <c r="AG681" s="208"/>
      <c r="AH681" s="208"/>
      <c r="AI681" s="100"/>
      <c r="AJ681" s="319"/>
      <c r="AK681" s="319"/>
      <c r="AL681" s="319"/>
      <c r="AM681" s="319"/>
      <c r="AN681" s="319"/>
      <c r="AO681" s="319"/>
      <c r="AP681" s="319"/>
      <c r="AQ681" s="319"/>
      <c r="AR681" s="319"/>
      <c r="AS681" s="319"/>
      <c r="AT681" s="319"/>
      <c r="AU681" s="319"/>
      <c r="AV681" s="319"/>
      <c r="AW681" s="319"/>
      <c r="AX681" s="319"/>
      <c r="AY681" s="319"/>
      <c r="AZ681" s="319"/>
      <c r="BA681" s="319"/>
      <c r="BB681" s="319"/>
      <c r="BC681" s="319"/>
      <c r="BD681" s="319"/>
      <c r="BE681" s="319"/>
      <c r="BF681" s="319"/>
      <c r="BG681" s="319"/>
      <c r="BH681" s="319"/>
      <c r="BI681" s="319"/>
      <c r="BJ681" s="319"/>
      <c r="BK681" s="319"/>
      <c r="BL681" s="319"/>
      <c r="BM681" s="319"/>
      <c r="BN681" s="319"/>
      <c r="BO681" s="319"/>
      <c r="BP681" s="319"/>
      <c r="BQ681" s="319"/>
      <c r="BR681" s="319"/>
    </row>
    <row r="682" ht="14.25" customHeight="1">
      <c r="A682" s="195"/>
      <c r="B682" s="100"/>
      <c r="C682" s="100"/>
      <c r="D682" s="100"/>
      <c r="E682" s="100"/>
      <c r="F682" s="206"/>
      <c r="G682" s="206"/>
      <c r="H682" s="207"/>
      <c r="I682" s="207"/>
      <c r="J682" s="207"/>
      <c r="K682" s="207"/>
      <c r="L682" s="207"/>
      <c r="M682" s="207"/>
      <c r="N682" s="207"/>
      <c r="O682" s="207"/>
      <c r="P682" s="207"/>
      <c r="Q682" s="207"/>
      <c r="R682" s="207"/>
      <c r="S682" s="207"/>
      <c r="T682" s="207"/>
      <c r="U682" s="207"/>
      <c r="V682" s="207"/>
      <c r="W682" s="208"/>
      <c r="X682" s="208"/>
      <c r="Y682" s="208"/>
      <c r="Z682" s="208"/>
      <c r="AA682" s="208"/>
      <c r="AB682" s="208"/>
      <c r="AC682" s="208"/>
      <c r="AD682" s="208"/>
      <c r="AE682" s="208"/>
      <c r="AF682" s="208"/>
      <c r="AG682" s="208"/>
      <c r="AH682" s="208"/>
      <c r="AI682" s="100"/>
      <c r="AJ682" s="319"/>
      <c r="AK682" s="319"/>
      <c r="AL682" s="319"/>
      <c r="AM682" s="319"/>
      <c r="AN682" s="319"/>
      <c r="AO682" s="319"/>
      <c r="AP682" s="319"/>
      <c r="AQ682" s="319"/>
      <c r="AR682" s="319"/>
      <c r="AS682" s="319"/>
      <c r="AT682" s="319"/>
      <c r="AU682" s="319"/>
      <c r="AV682" s="319"/>
      <c r="AW682" s="319"/>
      <c r="AX682" s="319"/>
      <c r="AY682" s="319"/>
      <c r="AZ682" s="319"/>
      <c r="BA682" s="319"/>
      <c r="BB682" s="319"/>
      <c r="BC682" s="319"/>
      <c r="BD682" s="319"/>
      <c r="BE682" s="319"/>
      <c r="BF682" s="319"/>
      <c r="BG682" s="319"/>
      <c r="BH682" s="319"/>
      <c r="BI682" s="319"/>
      <c r="BJ682" s="319"/>
      <c r="BK682" s="319"/>
      <c r="BL682" s="319"/>
      <c r="BM682" s="319"/>
      <c r="BN682" s="319"/>
      <c r="BO682" s="319"/>
      <c r="BP682" s="319"/>
      <c r="BQ682" s="319"/>
      <c r="BR682" s="319"/>
    </row>
    <row r="683" ht="14.25" customHeight="1">
      <c r="A683" s="195"/>
      <c r="B683" s="100"/>
      <c r="C683" s="100"/>
      <c r="D683" s="100"/>
      <c r="E683" s="100"/>
      <c r="F683" s="206"/>
      <c r="G683" s="206"/>
      <c r="H683" s="207"/>
      <c r="I683" s="207"/>
      <c r="J683" s="207"/>
      <c r="K683" s="207"/>
      <c r="L683" s="207"/>
      <c r="M683" s="207"/>
      <c r="N683" s="207"/>
      <c r="O683" s="207"/>
      <c r="P683" s="207"/>
      <c r="Q683" s="207"/>
      <c r="R683" s="207"/>
      <c r="S683" s="207"/>
      <c r="T683" s="207"/>
      <c r="U683" s="207"/>
      <c r="V683" s="207"/>
      <c r="W683" s="208"/>
      <c r="X683" s="208"/>
      <c r="Y683" s="208"/>
      <c r="Z683" s="208"/>
      <c r="AA683" s="208"/>
      <c r="AB683" s="208"/>
      <c r="AC683" s="208"/>
      <c r="AD683" s="208"/>
      <c r="AE683" s="208"/>
      <c r="AF683" s="208"/>
      <c r="AG683" s="208"/>
      <c r="AH683" s="208"/>
      <c r="AI683" s="100"/>
      <c r="AJ683" s="319"/>
      <c r="AK683" s="319"/>
      <c r="AL683" s="319"/>
      <c r="AM683" s="319"/>
      <c r="AN683" s="319"/>
      <c r="AO683" s="319"/>
      <c r="AP683" s="319"/>
      <c r="AQ683" s="319"/>
      <c r="AR683" s="319"/>
      <c r="AS683" s="319"/>
      <c r="AT683" s="319"/>
      <c r="AU683" s="319"/>
      <c r="AV683" s="319"/>
      <c r="AW683" s="319"/>
      <c r="AX683" s="319"/>
      <c r="AY683" s="319"/>
      <c r="AZ683" s="319"/>
      <c r="BA683" s="319"/>
      <c r="BB683" s="319"/>
      <c r="BC683" s="319"/>
      <c r="BD683" s="319"/>
      <c r="BE683" s="319"/>
      <c r="BF683" s="319"/>
      <c r="BG683" s="319"/>
      <c r="BH683" s="319"/>
      <c r="BI683" s="319"/>
      <c r="BJ683" s="319"/>
      <c r="BK683" s="319"/>
      <c r="BL683" s="319"/>
      <c r="BM683" s="319"/>
      <c r="BN683" s="319"/>
      <c r="BO683" s="319"/>
      <c r="BP683" s="319"/>
      <c r="BQ683" s="319"/>
      <c r="BR683" s="319"/>
    </row>
    <row r="684" ht="14.25" customHeight="1">
      <c r="A684" s="195"/>
      <c r="B684" s="100"/>
      <c r="C684" s="100"/>
      <c r="D684" s="100"/>
      <c r="E684" s="100"/>
      <c r="F684" s="206"/>
      <c r="G684" s="206"/>
      <c r="H684" s="207"/>
      <c r="I684" s="207"/>
      <c r="J684" s="207"/>
      <c r="K684" s="207"/>
      <c r="L684" s="207"/>
      <c r="M684" s="207"/>
      <c r="N684" s="207"/>
      <c r="O684" s="207"/>
      <c r="P684" s="207"/>
      <c r="Q684" s="207"/>
      <c r="R684" s="207"/>
      <c r="S684" s="207"/>
      <c r="T684" s="207"/>
      <c r="U684" s="207"/>
      <c r="V684" s="207"/>
      <c r="W684" s="208"/>
      <c r="X684" s="208"/>
      <c r="Y684" s="208"/>
      <c r="Z684" s="208"/>
      <c r="AA684" s="208"/>
      <c r="AB684" s="208"/>
      <c r="AC684" s="208"/>
      <c r="AD684" s="208"/>
      <c r="AE684" s="208"/>
      <c r="AF684" s="208"/>
      <c r="AG684" s="208"/>
      <c r="AH684" s="208"/>
      <c r="AI684" s="100"/>
      <c r="AJ684" s="319"/>
      <c r="AK684" s="319"/>
      <c r="AL684" s="319"/>
      <c r="AM684" s="319"/>
      <c r="AN684" s="319"/>
      <c r="AO684" s="319"/>
      <c r="AP684" s="319"/>
      <c r="AQ684" s="319"/>
      <c r="AR684" s="319"/>
      <c r="AS684" s="319"/>
      <c r="AT684" s="319"/>
      <c r="AU684" s="319"/>
      <c r="AV684" s="319"/>
      <c r="AW684" s="319"/>
      <c r="AX684" s="319"/>
      <c r="AY684" s="319"/>
      <c r="AZ684" s="319"/>
      <c r="BA684" s="319"/>
      <c r="BB684" s="319"/>
      <c r="BC684" s="319"/>
      <c r="BD684" s="319"/>
      <c r="BE684" s="319"/>
      <c r="BF684" s="319"/>
      <c r="BG684" s="319"/>
      <c r="BH684" s="319"/>
      <c r="BI684" s="319"/>
      <c r="BJ684" s="319"/>
      <c r="BK684" s="319"/>
      <c r="BL684" s="319"/>
      <c r="BM684" s="319"/>
      <c r="BN684" s="319"/>
      <c r="BO684" s="319"/>
      <c r="BP684" s="319"/>
      <c r="BQ684" s="319"/>
      <c r="BR684" s="319"/>
    </row>
    <row r="685" ht="14.25" customHeight="1">
      <c r="A685" s="195"/>
      <c r="B685" s="100"/>
      <c r="C685" s="100"/>
      <c r="D685" s="100"/>
      <c r="E685" s="100"/>
      <c r="F685" s="206"/>
      <c r="G685" s="206"/>
      <c r="H685" s="207"/>
      <c r="I685" s="207"/>
      <c r="J685" s="207"/>
      <c r="K685" s="207"/>
      <c r="L685" s="207"/>
      <c r="M685" s="207"/>
      <c r="N685" s="207"/>
      <c r="O685" s="207"/>
      <c r="P685" s="207"/>
      <c r="Q685" s="207"/>
      <c r="R685" s="207"/>
      <c r="S685" s="207"/>
      <c r="T685" s="207"/>
      <c r="U685" s="207"/>
      <c r="V685" s="207"/>
      <c r="W685" s="208"/>
      <c r="X685" s="208"/>
      <c r="Y685" s="208"/>
      <c r="Z685" s="208"/>
      <c r="AA685" s="208"/>
      <c r="AB685" s="208"/>
      <c r="AC685" s="208"/>
      <c r="AD685" s="208"/>
      <c r="AE685" s="208"/>
      <c r="AF685" s="208"/>
      <c r="AG685" s="208"/>
      <c r="AH685" s="208"/>
      <c r="AI685" s="100"/>
      <c r="AJ685" s="319"/>
      <c r="AK685" s="319"/>
      <c r="AL685" s="319"/>
      <c r="AM685" s="319"/>
      <c r="AN685" s="319"/>
      <c r="AO685" s="319"/>
      <c r="AP685" s="319"/>
      <c r="AQ685" s="319"/>
      <c r="AR685" s="319"/>
      <c r="AS685" s="319"/>
      <c r="AT685" s="319"/>
      <c r="AU685" s="319"/>
      <c r="AV685" s="319"/>
      <c r="AW685" s="319"/>
      <c r="AX685" s="319"/>
      <c r="AY685" s="319"/>
      <c r="AZ685" s="319"/>
      <c r="BA685" s="319"/>
      <c r="BB685" s="319"/>
      <c r="BC685" s="319"/>
      <c r="BD685" s="319"/>
      <c r="BE685" s="319"/>
      <c r="BF685" s="319"/>
      <c r="BG685" s="319"/>
      <c r="BH685" s="319"/>
      <c r="BI685" s="319"/>
      <c r="BJ685" s="319"/>
      <c r="BK685" s="319"/>
      <c r="BL685" s="319"/>
      <c r="BM685" s="319"/>
      <c r="BN685" s="319"/>
      <c r="BO685" s="319"/>
      <c r="BP685" s="319"/>
      <c r="BQ685" s="319"/>
      <c r="BR685" s="319"/>
    </row>
    <row r="686" ht="14.25" customHeight="1">
      <c r="A686" s="195"/>
      <c r="B686" s="100"/>
      <c r="C686" s="100"/>
      <c r="D686" s="100"/>
      <c r="E686" s="100"/>
      <c r="F686" s="206"/>
      <c r="G686" s="206"/>
      <c r="H686" s="207"/>
      <c r="I686" s="207"/>
      <c r="J686" s="207"/>
      <c r="K686" s="207"/>
      <c r="L686" s="207"/>
      <c r="M686" s="207"/>
      <c r="N686" s="207"/>
      <c r="O686" s="207"/>
      <c r="P686" s="207"/>
      <c r="Q686" s="207"/>
      <c r="R686" s="207"/>
      <c r="S686" s="207"/>
      <c r="T686" s="207"/>
      <c r="U686" s="207"/>
      <c r="V686" s="207"/>
      <c r="W686" s="208"/>
      <c r="X686" s="208"/>
      <c r="Y686" s="208"/>
      <c r="Z686" s="208"/>
      <c r="AA686" s="208"/>
      <c r="AB686" s="208"/>
      <c r="AC686" s="208"/>
      <c r="AD686" s="208"/>
      <c r="AE686" s="208"/>
      <c r="AF686" s="208"/>
      <c r="AG686" s="208"/>
      <c r="AH686" s="208"/>
      <c r="AI686" s="100"/>
      <c r="AJ686" s="319"/>
      <c r="AK686" s="319"/>
      <c r="AL686" s="319"/>
      <c r="AM686" s="319"/>
      <c r="AN686" s="319"/>
      <c r="AO686" s="319"/>
      <c r="AP686" s="319"/>
      <c r="AQ686" s="319"/>
      <c r="AR686" s="319"/>
      <c r="AS686" s="319"/>
      <c r="AT686" s="319"/>
      <c r="AU686" s="319"/>
      <c r="AV686" s="319"/>
      <c r="AW686" s="319"/>
      <c r="AX686" s="319"/>
      <c r="AY686" s="319"/>
      <c r="AZ686" s="319"/>
      <c r="BA686" s="319"/>
      <c r="BB686" s="319"/>
      <c r="BC686" s="319"/>
      <c r="BD686" s="319"/>
      <c r="BE686" s="319"/>
      <c r="BF686" s="319"/>
      <c r="BG686" s="319"/>
      <c r="BH686" s="319"/>
      <c r="BI686" s="319"/>
      <c r="BJ686" s="319"/>
      <c r="BK686" s="319"/>
      <c r="BL686" s="319"/>
      <c r="BM686" s="319"/>
      <c r="BN686" s="319"/>
      <c r="BO686" s="319"/>
      <c r="BP686" s="319"/>
      <c r="BQ686" s="319"/>
      <c r="BR686" s="319"/>
    </row>
    <row r="687" ht="14.25" customHeight="1">
      <c r="A687" s="195"/>
      <c r="B687" s="100"/>
      <c r="C687" s="100"/>
      <c r="D687" s="100"/>
      <c r="E687" s="100"/>
      <c r="F687" s="206"/>
      <c r="G687" s="206"/>
      <c r="H687" s="207"/>
      <c r="I687" s="207"/>
      <c r="J687" s="207"/>
      <c r="K687" s="207"/>
      <c r="L687" s="207"/>
      <c r="M687" s="207"/>
      <c r="N687" s="207"/>
      <c r="O687" s="207"/>
      <c r="P687" s="207"/>
      <c r="Q687" s="207"/>
      <c r="R687" s="207"/>
      <c r="S687" s="207"/>
      <c r="T687" s="207"/>
      <c r="U687" s="207"/>
      <c r="V687" s="207"/>
      <c r="W687" s="208"/>
      <c r="X687" s="208"/>
      <c r="Y687" s="208"/>
      <c r="Z687" s="208"/>
      <c r="AA687" s="208"/>
      <c r="AB687" s="208"/>
      <c r="AC687" s="208"/>
      <c r="AD687" s="208"/>
      <c r="AE687" s="208"/>
      <c r="AF687" s="208"/>
      <c r="AG687" s="208"/>
      <c r="AH687" s="208"/>
      <c r="AI687" s="100"/>
      <c r="AJ687" s="319"/>
      <c r="AK687" s="319"/>
      <c r="AL687" s="319"/>
      <c r="AM687" s="319"/>
      <c r="AN687" s="319"/>
      <c r="AO687" s="319"/>
      <c r="AP687" s="319"/>
      <c r="AQ687" s="319"/>
      <c r="AR687" s="319"/>
      <c r="AS687" s="319"/>
      <c r="AT687" s="319"/>
      <c r="AU687" s="319"/>
      <c r="AV687" s="319"/>
      <c r="AW687" s="319"/>
      <c r="AX687" s="319"/>
      <c r="AY687" s="319"/>
      <c r="AZ687" s="319"/>
      <c r="BA687" s="319"/>
      <c r="BB687" s="319"/>
      <c r="BC687" s="319"/>
      <c r="BD687" s="319"/>
      <c r="BE687" s="319"/>
      <c r="BF687" s="319"/>
      <c r="BG687" s="319"/>
      <c r="BH687" s="319"/>
      <c r="BI687" s="319"/>
      <c r="BJ687" s="319"/>
      <c r="BK687" s="319"/>
      <c r="BL687" s="319"/>
      <c r="BM687" s="319"/>
      <c r="BN687" s="319"/>
      <c r="BO687" s="319"/>
      <c r="BP687" s="319"/>
      <c r="BQ687" s="319"/>
      <c r="BR687" s="319"/>
    </row>
    <row r="688" ht="14.25" customHeight="1">
      <c r="A688" s="195"/>
      <c r="B688" s="100"/>
      <c r="C688" s="100"/>
      <c r="D688" s="100"/>
      <c r="E688" s="100"/>
      <c r="F688" s="206"/>
      <c r="G688" s="206"/>
      <c r="H688" s="207"/>
      <c r="I688" s="207"/>
      <c r="J688" s="207"/>
      <c r="K688" s="207"/>
      <c r="L688" s="207"/>
      <c r="M688" s="207"/>
      <c r="N688" s="207"/>
      <c r="O688" s="207"/>
      <c r="P688" s="207"/>
      <c r="Q688" s="207"/>
      <c r="R688" s="207"/>
      <c r="S688" s="207"/>
      <c r="T688" s="207"/>
      <c r="U688" s="207"/>
      <c r="V688" s="207"/>
      <c r="W688" s="208"/>
      <c r="X688" s="208"/>
      <c r="Y688" s="208"/>
      <c r="Z688" s="208"/>
      <c r="AA688" s="208"/>
      <c r="AB688" s="208"/>
      <c r="AC688" s="208"/>
      <c r="AD688" s="208"/>
      <c r="AE688" s="208"/>
      <c r="AF688" s="208"/>
      <c r="AG688" s="208"/>
      <c r="AH688" s="208"/>
      <c r="AI688" s="100"/>
      <c r="AJ688" s="319"/>
      <c r="AK688" s="319"/>
      <c r="AL688" s="319"/>
      <c r="AM688" s="319"/>
      <c r="AN688" s="319"/>
      <c r="AO688" s="319"/>
      <c r="AP688" s="319"/>
      <c r="AQ688" s="319"/>
      <c r="AR688" s="319"/>
      <c r="AS688" s="319"/>
      <c r="AT688" s="319"/>
      <c r="AU688" s="319"/>
      <c r="AV688" s="319"/>
      <c r="AW688" s="319"/>
      <c r="AX688" s="319"/>
      <c r="AY688" s="319"/>
      <c r="AZ688" s="319"/>
      <c r="BA688" s="319"/>
      <c r="BB688" s="319"/>
      <c r="BC688" s="319"/>
      <c r="BD688" s="319"/>
      <c r="BE688" s="319"/>
      <c r="BF688" s="319"/>
      <c r="BG688" s="319"/>
      <c r="BH688" s="319"/>
      <c r="BI688" s="319"/>
      <c r="BJ688" s="319"/>
      <c r="BK688" s="319"/>
      <c r="BL688" s="319"/>
      <c r="BM688" s="319"/>
      <c r="BN688" s="319"/>
      <c r="BO688" s="319"/>
      <c r="BP688" s="319"/>
      <c r="BQ688" s="319"/>
      <c r="BR688" s="319"/>
    </row>
    <row r="689" ht="14.25" customHeight="1">
      <c r="A689" s="195"/>
      <c r="B689" s="100"/>
      <c r="C689" s="100"/>
      <c r="D689" s="100"/>
      <c r="E689" s="100"/>
      <c r="F689" s="206"/>
      <c r="G689" s="206"/>
      <c r="H689" s="207"/>
      <c r="I689" s="207"/>
      <c r="J689" s="207"/>
      <c r="K689" s="207"/>
      <c r="L689" s="207"/>
      <c r="M689" s="207"/>
      <c r="N689" s="207"/>
      <c r="O689" s="207"/>
      <c r="P689" s="207"/>
      <c r="Q689" s="207"/>
      <c r="R689" s="207"/>
      <c r="S689" s="207"/>
      <c r="T689" s="207"/>
      <c r="U689" s="207"/>
      <c r="V689" s="207"/>
      <c r="W689" s="208"/>
      <c r="X689" s="208"/>
      <c r="Y689" s="208"/>
      <c r="Z689" s="208"/>
      <c r="AA689" s="208"/>
      <c r="AB689" s="208"/>
      <c r="AC689" s="208"/>
      <c r="AD689" s="208"/>
      <c r="AE689" s="208"/>
      <c r="AF689" s="208"/>
      <c r="AG689" s="208"/>
      <c r="AH689" s="208"/>
      <c r="AI689" s="100"/>
      <c r="AJ689" s="319"/>
      <c r="AK689" s="319"/>
      <c r="AL689" s="319"/>
      <c r="AM689" s="319"/>
      <c r="AN689" s="319"/>
      <c r="AO689" s="319"/>
      <c r="AP689" s="319"/>
      <c r="AQ689" s="319"/>
      <c r="AR689" s="319"/>
      <c r="AS689" s="319"/>
      <c r="AT689" s="319"/>
      <c r="AU689" s="319"/>
      <c r="AV689" s="319"/>
      <c r="AW689" s="319"/>
      <c r="AX689" s="319"/>
      <c r="AY689" s="319"/>
      <c r="AZ689" s="319"/>
      <c r="BA689" s="319"/>
      <c r="BB689" s="319"/>
      <c r="BC689" s="319"/>
      <c r="BD689" s="319"/>
      <c r="BE689" s="319"/>
      <c r="BF689" s="319"/>
      <c r="BG689" s="319"/>
      <c r="BH689" s="319"/>
      <c r="BI689" s="319"/>
      <c r="BJ689" s="319"/>
      <c r="BK689" s="319"/>
      <c r="BL689" s="319"/>
      <c r="BM689" s="319"/>
      <c r="BN689" s="319"/>
      <c r="BO689" s="319"/>
      <c r="BP689" s="319"/>
      <c r="BQ689" s="319"/>
      <c r="BR689" s="319"/>
    </row>
    <row r="690" ht="14.25" customHeight="1">
      <c r="A690" s="195"/>
      <c r="B690" s="100"/>
      <c r="C690" s="100"/>
      <c r="D690" s="100"/>
      <c r="E690" s="100"/>
      <c r="F690" s="206"/>
      <c r="G690" s="206"/>
      <c r="H690" s="207"/>
      <c r="I690" s="207"/>
      <c r="J690" s="207"/>
      <c r="K690" s="207"/>
      <c r="L690" s="207"/>
      <c r="M690" s="207"/>
      <c r="N690" s="207"/>
      <c r="O690" s="207"/>
      <c r="P690" s="207"/>
      <c r="Q690" s="207"/>
      <c r="R690" s="207"/>
      <c r="S690" s="207"/>
      <c r="T690" s="207"/>
      <c r="U690" s="207"/>
      <c r="V690" s="207"/>
      <c r="W690" s="208"/>
      <c r="X690" s="208"/>
      <c r="Y690" s="208"/>
      <c r="Z690" s="208"/>
      <c r="AA690" s="208"/>
      <c r="AB690" s="208"/>
      <c r="AC690" s="208"/>
      <c r="AD690" s="208"/>
      <c r="AE690" s="208"/>
      <c r="AF690" s="208"/>
      <c r="AG690" s="208"/>
      <c r="AH690" s="208"/>
      <c r="AI690" s="100"/>
      <c r="AJ690" s="319"/>
      <c r="AK690" s="319"/>
      <c r="AL690" s="319"/>
      <c r="AM690" s="319"/>
      <c r="AN690" s="319"/>
      <c r="AO690" s="319"/>
      <c r="AP690" s="319"/>
      <c r="AQ690" s="319"/>
      <c r="AR690" s="319"/>
      <c r="AS690" s="319"/>
      <c r="AT690" s="319"/>
      <c r="AU690" s="319"/>
      <c r="AV690" s="319"/>
      <c r="AW690" s="319"/>
      <c r="AX690" s="319"/>
      <c r="AY690" s="319"/>
      <c r="AZ690" s="319"/>
      <c r="BA690" s="319"/>
      <c r="BB690" s="319"/>
      <c r="BC690" s="319"/>
      <c r="BD690" s="319"/>
      <c r="BE690" s="319"/>
      <c r="BF690" s="319"/>
      <c r="BG690" s="319"/>
      <c r="BH690" s="319"/>
      <c r="BI690" s="319"/>
      <c r="BJ690" s="319"/>
      <c r="BK690" s="319"/>
      <c r="BL690" s="319"/>
      <c r="BM690" s="319"/>
      <c r="BN690" s="319"/>
      <c r="BO690" s="319"/>
      <c r="BP690" s="319"/>
      <c r="BQ690" s="319"/>
      <c r="BR690" s="319"/>
    </row>
    <row r="691" ht="14.25" customHeight="1">
      <c r="A691" s="195"/>
      <c r="B691" s="100"/>
      <c r="C691" s="100"/>
      <c r="D691" s="100"/>
      <c r="E691" s="100"/>
      <c r="F691" s="206"/>
      <c r="G691" s="206"/>
      <c r="H691" s="207"/>
      <c r="I691" s="207"/>
      <c r="J691" s="207"/>
      <c r="K691" s="207"/>
      <c r="L691" s="207"/>
      <c r="M691" s="207"/>
      <c r="N691" s="207"/>
      <c r="O691" s="207"/>
      <c r="P691" s="207"/>
      <c r="Q691" s="207"/>
      <c r="R691" s="207"/>
      <c r="S691" s="207"/>
      <c r="T691" s="207"/>
      <c r="U691" s="207"/>
      <c r="V691" s="207"/>
      <c r="W691" s="208"/>
      <c r="X691" s="208"/>
      <c r="Y691" s="208"/>
      <c r="Z691" s="208"/>
      <c r="AA691" s="208"/>
      <c r="AB691" s="208"/>
      <c r="AC691" s="208"/>
      <c r="AD691" s="208"/>
      <c r="AE691" s="208"/>
      <c r="AF691" s="208"/>
      <c r="AG691" s="208"/>
      <c r="AH691" s="208"/>
      <c r="AI691" s="100"/>
      <c r="AJ691" s="319"/>
      <c r="AK691" s="319"/>
      <c r="AL691" s="319"/>
      <c r="AM691" s="319"/>
      <c r="AN691" s="319"/>
      <c r="AO691" s="319"/>
      <c r="AP691" s="319"/>
      <c r="AQ691" s="319"/>
      <c r="AR691" s="319"/>
      <c r="AS691" s="319"/>
      <c r="AT691" s="319"/>
      <c r="AU691" s="319"/>
      <c r="AV691" s="319"/>
      <c r="AW691" s="319"/>
      <c r="AX691" s="319"/>
      <c r="AY691" s="319"/>
      <c r="AZ691" s="319"/>
      <c r="BA691" s="319"/>
      <c r="BB691" s="319"/>
      <c r="BC691" s="319"/>
      <c r="BD691" s="319"/>
      <c r="BE691" s="319"/>
      <c r="BF691" s="319"/>
      <c r="BG691" s="319"/>
      <c r="BH691" s="319"/>
      <c r="BI691" s="319"/>
      <c r="BJ691" s="319"/>
      <c r="BK691" s="319"/>
      <c r="BL691" s="319"/>
      <c r="BM691" s="319"/>
      <c r="BN691" s="319"/>
      <c r="BO691" s="319"/>
      <c r="BP691" s="319"/>
      <c r="BQ691" s="319"/>
      <c r="BR691" s="319"/>
    </row>
    <row r="692" ht="14.25" customHeight="1">
      <c r="A692" s="195"/>
      <c r="B692" s="100"/>
      <c r="C692" s="100"/>
      <c r="D692" s="100"/>
      <c r="E692" s="100"/>
      <c r="F692" s="206"/>
      <c r="G692" s="206"/>
      <c r="H692" s="207"/>
      <c r="I692" s="207"/>
      <c r="J692" s="207"/>
      <c r="K692" s="207"/>
      <c r="L692" s="207"/>
      <c r="M692" s="207"/>
      <c r="N692" s="207"/>
      <c r="O692" s="207"/>
      <c r="P692" s="207"/>
      <c r="Q692" s="207"/>
      <c r="R692" s="207"/>
      <c r="S692" s="207"/>
      <c r="T692" s="207"/>
      <c r="U692" s="207"/>
      <c r="V692" s="207"/>
      <c r="W692" s="208"/>
      <c r="X692" s="208"/>
      <c r="Y692" s="208"/>
      <c r="Z692" s="208"/>
      <c r="AA692" s="208"/>
      <c r="AB692" s="208"/>
      <c r="AC692" s="208"/>
      <c r="AD692" s="208"/>
      <c r="AE692" s="208"/>
      <c r="AF692" s="208"/>
      <c r="AG692" s="208"/>
      <c r="AH692" s="208"/>
      <c r="AI692" s="100"/>
      <c r="AJ692" s="319"/>
      <c r="AK692" s="319"/>
      <c r="AL692" s="319"/>
      <c r="AM692" s="319"/>
      <c r="AN692" s="319"/>
      <c r="AO692" s="319"/>
      <c r="AP692" s="319"/>
      <c r="AQ692" s="319"/>
      <c r="AR692" s="319"/>
      <c r="AS692" s="319"/>
      <c r="AT692" s="319"/>
      <c r="AU692" s="319"/>
      <c r="AV692" s="319"/>
      <c r="AW692" s="319"/>
      <c r="AX692" s="319"/>
      <c r="AY692" s="319"/>
      <c r="AZ692" s="319"/>
      <c r="BA692" s="319"/>
      <c r="BB692" s="319"/>
      <c r="BC692" s="319"/>
      <c r="BD692" s="319"/>
      <c r="BE692" s="319"/>
      <c r="BF692" s="319"/>
      <c r="BG692" s="319"/>
      <c r="BH692" s="319"/>
      <c r="BI692" s="319"/>
      <c r="BJ692" s="319"/>
      <c r="BK692" s="319"/>
      <c r="BL692" s="319"/>
      <c r="BM692" s="319"/>
      <c r="BN692" s="319"/>
      <c r="BO692" s="319"/>
      <c r="BP692" s="319"/>
      <c r="BQ692" s="319"/>
      <c r="BR692" s="319"/>
    </row>
    <row r="693" ht="14.25" customHeight="1">
      <c r="A693" s="195"/>
      <c r="B693" s="100"/>
      <c r="C693" s="100"/>
      <c r="D693" s="100"/>
      <c r="E693" s="100"/>
      <c r="F693" s="206"/>
      <c r="G693" s="206"/>
      <c r="H693" s="207"/>
      <c r="I693" s="207"/>
      <c r="J693" s="207"/>
      <c r="K693" s="207"/>
      <c r="L693" s="207"/>
      <c r="M693" s="207"/>
      <c r="N693" s="207"/>
      <c r="O693" s="207"/>
      <c r="P693" s="207"/>
      <c r="Q693" s="207"/>
      <c r="R693" s="207"/>
      <c r="S693" s="207"/>
      <c r="T693" s="207"/>
      <c r="U693" s="207"/>
      <c r="V693" s="207"/>
      <c r="W693" s="208"/>
      <c r="X693" s="208"/>
      <c r="Y693" s="208"/>
      <c r="Z693" s="208"/>
      <c r="AA693" s="208"/>
      <c r="AB693" s="208"/>
      <c r="AC693" s="208"/>
      <c r="AD693" s="208"/>
      <c r="AE693" s="208"/>
      <c r="AF693" s="208"/>
      <c r="AG693" s="208"/>
      <c r="AH693" s="208"/>
      <c r="AI693" s="100"/>
      <c r="AJ693" s="319"/>
      <c r="AK693" s="319"/>
      <c r="AL693" s="319"/>
      <c r="AM693" s="319"/>
      <c r="AN693" s="319"/>
      <c r="AO693" s="319"/>
      <c r="AP693" s="319"/>
      <c r="AQ693" s="319"/>
      <c r="AR693" s="319"/>
      <c r="AS693" s="319"/>
      <c r="AT693" s="319"/>
      <c r="AU693" s="319"/>
      <c r="AV693" s="319"/>
      <c r="AW693" s="319"/>
      <c r="AX693" s="319"/>
      <c r="AY693" s="319"/>
      <c r="AZ693" s="319"/>
      <c r="BA693" s="319"/>
      <c r="BB693" s="319"/>
      <c r="BC693" s="319"/>
      <c r="BD693" s="319"/>
      <c r="BE693" s="319"/>
      <c r="BF693" s="319"/>
      <c r="BG693" s="319"/>
      <c r="BH693" s="319"/>
      <c r="BI693" s="319"/>
      <c r="BJ693" s="319"/>
      <c r="BK693" s="319"/>
      <c r="BL693" s="319"/>
      <c r="BM693" s="319"/>
      <c r="BN693" s="319"/>
      <c r="BO693" s="319"/>
      <c r="BP693" s="319"/>
      <c r="BQ693" s="319"/>
      <c r="BR693" s="319"/>
    </row>
    <row r="694" ht="14.25" customHeight="1">
      <c r="A694" s="195"/>
      <c r="B694" s="100"/>
      <c r="C694" s="100"/>
      <c r="D694" s="100"/>
      <c r="E694" s="100"/>
      <c r="F694" s="206"/>
      <c r="G694" s="206"/>
      <c r="H694" s="207"/>
      <c r="I694" s="207"/>
      <c r="J694" s="207"/>
      <c r="K694" s="207"/>
      <c r="L694" s="207"/>
      <c r="M694" s="207"/>
      <c r="N694" s="207"/>
      <c r="O694" s="207"/>
      <c r="P694" s="207"/>
      <c r="Q694" s="207"/>
      <c r="R694" s="207"/>
      <c r="S694" s="207"/>
      <c r="T694" s="207"/>
      <c r="U694" s="207"/>
      <c r="V694" s="207"/>
      <c r="W694" s="208"/>
      <c r="X694" s="208"/>
      <c r="Y694" s="208"/>
      <c r="Z694" s="208"/>
      <c r="AA694" s="208"/>
      <c r="AB694" s="208"/>
      <c r="AC694" s="208"/>
      <c r="AD694" s="208"/>
      <c r="AE694" s="208"/>
      <c r="AF694" s="208"/>
      <c r="AG694" s="208"/>
      <c r="AH694" s="208"/>
      <c r="AI694" s="100"/>
      <c r="AJ694" s="319"/>
      <c r="AK694" s="319"/>
      <c r="AL694" s="319"/>
      <c r="AM694" s="319"/>
      <c r="AN694" s="319"/>
      <c r="AO694" s="319"/>
      <c r="AP694" s="319"/>
      <c r="AQ694" s="319"/>
      <c r="AR694" s="319"/>
      <c r="AS694" s="319"/>
      <c r="AT694" s="319"/>
      <c r="AU694" s="319"/>
      <c r="AV694" s="319"/>
      <c r="AW694" s="319"/>
      <c r="AX694" s="319"/>
      <c r="AY694" s="319"/>
      <c r="AZ694" s="319"/>
      <c r="BA694" s="319"/>
      <c r="BB694" s="319"/>
      <c r="BC694" s="319"/>
      <c r="BD694" s="319"/>
      <c r="BE694" s="319"/>
      <c r="BF694" s="319"/>
      <c r="BG694" s="319"/>
      <c r="BH694" s="319"/>
      <c r="BI694" s="319"/>
      <c r="BJ694" s="319"/>
      <c r="BK694" s="319"/>
      <c r="BL694" s="319"/>
      <c r="BM694" s="319"/>
      <c r="BN694" s="319"/>
      <c r="BO694" s="319"/>
      <c r="BP694" s="319"/>
      <c r="BQ694" s="319"/>
      <c r="BR694" s="319"/>
    </row>
    <row r="695" ht="14.25" customHeight="1">
      <c r="A695" s="195"/>
      <c r="B695" s="100"/>
      <c r="C695" s="100"/>
      <c r="D695" s="100"/>
      <c r="E695" s="100"/>
      <c r="F695" s="206"/>
      <c r="G695" s="206"/>
      <c r="H695" s="207"/>
      <c r="I695" s="207"/>
      <c r="J695" s="207"/>
      <c r="K695" s="207"/>
      <c r="L695" s="207"/>
      <c r="M695" s="207"/>
      <c r="N695" s="207"/>
      <c r="O695" s="207"/>
      <c r="P695" s="207"/>
      <c r="Q695" s="207"/>
      <c r="R695" s="207"/>
      <c r="S695" s="207"/>
      <c r="T695" s="207"/>
      <c r="U695" s="207"/>
      <c r="V695" s="207"/>
      <c r="W695" s="208"/>
      <c r="X695" s="208"/>
      <c r="Y695" s="208"/>
      <c r="Z695" s="208"/>
      <c r="AA695" s="208"/>
      <c r="AB695" s="208"/>
      <c r="AC695" s="208"/>
      <c r="AD695" s="208"/>
      <c r="AE695" s="208"/>
      <c r="AF695" s="208"/>
      <c r="AG695" s="208"/>
      <c r="AH695" s="208"/>
      <c r="AI695" s="100"/>
      <c r="AJ695" s="319"/>
      <c r="AK695" s="319"/>
      <c r="AL695" s="319"/>
      <c r="AM695" s="319"/>
      <c r="AN695" s="319"/>
      <c r="AO695" s="319"/>
      <c r="AP695" s="319"/>
      <c r="AQ695" s="319"/>
      <c r="AR695" s="319"/>
      <c r="AS695" s="319"/>
      <c r="AT695" s="319"/>
      <c r="AU695" s="319"/>
      <c r="AV695" s="319"/>
      <c r="AW695" s="319"/>
      <c r="AX695" s="319"/>
      <c r="AY695" s="319"/>
      <c r="AZ695" s="319"/>
      <c r="BA695" s="319"/>
      <c r="BB695" s="319"/>
      <c r="BC695" s="319"/>
      <c r="BD695" s="319"/>
      <c r="BE695" s="319"/>
      <c r="BF695" s="319"/>
      <c r="BG695" s="319"/>
      <c r="BH695" s="319"/>
      <c r="BI695" s="319"/>
      <c r="BJ695" s="319"/>
      <c r="BK695" s="319"/>
      <c r="BL695" s="319"/>
      <c r="BM695" s="319"/>
      <c r="BN695" s="319"/>
      <c r="BO695" s="319"/>
      <c r="BP695" s="319"/>
      <c r="BQ695" s="319"/>
      <c r="BR695" s="319"/>
    </row>
    <row r="696" ht="14.25" customHeight="1">
      <c r="A696" s="195"/>
      <c r="B696" s="100"/>
      <c r="C696" s="100"/>
      <c r="D696" s="100"/>
      <c r="E696" s="100"/>
      <c r="F696" s="206"/>
      <c r="G696" s="206"/>
      <c r="H696" s="207"/>
      <c r="I696" s="207"/>
      <c r="J696" s="207"/>
      <c r="K696" s="207"/>
      <c r="L696" s="207"/>
      <c r="M696" s="207"/>
      <c r="N696" s="207"/>
      <c r="O696" s="207"/>
      <c r="P696" s="207"/>
      <c r="Q696" s="207"/>
      <c r="R696" s="207"/>
      <c r="S696" s="207"/>
      <c r="T696" s="207"/>
      <c r="U696" s="207"/>
      <c r="V696" s="207"/>
      <c r="W696" s="208"/>
      <c r="X696" s="208"/>
      <c r="Y696" s="208"/>
      <c r="Z696" s="208"/>
      <c r="AA696" s="208"/>
      <c r="AB696" s="208"/>
      <c r="AC696" s="208"/>
      <c r="AD696" s="208"/>
      <c r="AE696" s="208"/>
      <c r="AF696" s="208"/>
      <c r="AG696" s="208"/>
      <c r="AH696" s="208"/>
      <c r="AI696" s="100"/>
      <c r="AJ696" s="319"/>
      <c r="AK696" s="319"/>
      <c r="AL696" s="319"/>
      <c r="AM696" s="319"/>
      <c r="AN696" s="319"/>
      <c r="AO696" s="319"/>
      <c r="AP696" s="319"/>
      <c r="AQ696" s="319"/>
      <c r="AR696" s="319"/>
      <c r="AS696" s="319"/>
      <c r="AT696" s="319"/>
      <c r="AU696" s="319"/>
      <c r="AV696" s="319"/>
      <c r="AW696" s="319"/>
      <c r="AX696" s="319"/>
      <c r="AY696" s="319"/>
      <c r="AZ696" s="319"/>
      <c r="BA696" s="319"/>
      <c r="BB696" s="319"/>
      <c r="BC696" s="319"/>
      <c r="BD696" s="319"/>
      <c r="BE696" s="319"/>
      <c r="BF696" s="319"/>
      <c r="BG696" s="319"/>
      <c r="BH696" s="319"/>
      <c r="BI696" s="319"/>
      <c r="BJ696" s="319"/>
      <c r="BK696" s="319"/>
      <c r="BL696" s="319"/>
      <c r="BM696" s="319"/>
      <c r="BN696" s="319"/>
      <c r="BO696" s="319"/>
      <c r="BP696" s="319"/>
      <c r="BQ696" s="319"/>
      <c r="BR696" s="319"/>
    </row>
    <row r="697" ht="14.25" customHeight="1">
      <c r="A697" s="195"/>
      <c r="B697" s="100"/>
      <c r="C697" s="100"/>
      <c r="D697" s="100"/>
      <c r="E697" s="100"/>
      <c r="F697" s="206"/>
      <c r="G697" s="206"/>
      <c r="H697" s="207"/>
      <c r="I697" s="207"/>
      <c r="J697" s="207"/>
      <c r="K697" s="207"/>
      <c r="L697" s="207"/>
      <c r="M697" s="207"/>
      <c r="N697" s="207"/>
      <c r="O697" s="207"/>
      <c r="P697" s="207"/>
      <c r="Q697" s="207"/>
      <c r="R697" s="207"/>
      <c r="S697" s="207"/>
      <c r="T697" s="207"/>
      <c r="U697" s="207"/>
      <c r="V697" s="207"/>
      <c r="W697" s="208"/>
      <c r="X697" s="208"/>
      <c r="Y697" s="208"/>
      <c r="Z697" s="208"/>
      <c r="AA697" s="208"/>
      <c r="AB697" s="208"/>
      <c r="AC697" s="208"/>
      <c r="AD697" s="208"/>
      <c r="AE697" s="208"/>
      <c r="AF697" s="208"/>
      <c r="AG697" s="208"/>
      <c r="AH697" s="208"/>
      <c r="AI697" s="100"/>
      <c r="AJ697" s="319"/>
      <c r="AK697" s="319"/>
      <c r="AL697" s="319"/>
      <c r="AM697" s="319"/>
      <c r="AN697" s="319"/>
      <c r="AO697" s="319"/>
      <c r="AP697" s="319"/>
      <c r="AQ697" s="319"/>
      <c r="AR697" s="319"/>
      <c r="AS697" s="319"/>
      <c r="AT697" s="319"/>
      <c r="AU697" s="319"/>
      <c r="AV697" s="319"/>
      <c r="AW697" s="319"/>
      <c r="AX697" s="319"/>
      <c r="AY697" s="319"/>
      <c r="AZ697" s="319"/>
      <c r="BA697" s="319"/>
      <c r="BB697" s="319"/>
      <c r="BC697" s="319"/>
      <c r="BD697" s="319"/>
      <c r="BE697" s="319"/>
      <c r="BF697" s="319"/>
      <c r="BG697" s="319"/>
      <c r="BH697" s="319"/>
      <c r="BI697" s="319"/>
      <c r="BJ697" s="319"/>
      <c r="BK697" s="319"/>
      <c r="BL697" s="319"/>
      <c r="BM697" s="319"/>
      <c r="BN697" s="319"/>
      <c r="BO697" s="319"/>
      <c r="BP697" s="319"/>
      <c r="BQ697" s="319"/>
      <c r="BR697" s="319"/>
    </row>
    <row r="698" ht="14.25" customHeight="1">
      <c r="A698" s="195"/>
      <c r="B698" s="100"/>
      <c r="C698" s="100"/>
      <c r="D698" s="100"/>
      <c r="E698" s="100"/>
      <c r="F698" s="206"/>
      <c r="G698" s="206"/>
      <c r="H698" s="207"/>
      <c r="I698" s="207"/>
      <c r="J698" s="207"/>
      <c r="K698" s="207"/>
      <c r="L698" s="207"/>
      <c r="M698" s="207"/>
      <c r="N698" s="207"/>
      <c r="O698" s="207"/>
      <c r="P698" s="207"/>
      <c r="Q698" s="207"/>
      <c r="R698" s="207"/>
      <c r="S698" s="207"/>
      <c r="T698" s="207"/>
      <c r="U698" s="207"/>
      <c r="V698" s="207"/>
      <c r="W698" s="208"/>
      <c r="X698" s="208"/>
      <c r="Y698" s="208"/>
      <c r="Z698" s="208"/>
      <c r="AA698" s="208"/>
      <c r="AB698" s="208"/>
      <c r="AC698" s="208"/>
      <c r="AD698" s="208"/>
      <c r="AE698" s="208"/>
      <c r="AF698" s="208"/>
      <c r="AG698" s="208"/>
      <c r="AH698" s="208"/>
      <c r="AI698" s="100"/>
      <c r="AJ698" s="319"/>
      <c r="AK698" s="319"/>
      <c r="AL698" s="319"/>
      <c r="AM698" s="319"/>
      <c r="AN698" s="319"/>
      <c r="AO698" s="319"/>
      <c r="AP698" s="319"/>
      <c r="AQ698" s="319"/>
      <c r="AR698" s="319"/>
      <c r="AS698" s="319"/>
      <c r="AT698" s="319"/>
      <c r="AU698" s="319"/>
      <c r="AV698" s="319"/>
      <c r="AW698" s="319"/>
      <c r="AX698" s="319"/>
      <c r="AY698" s="319"/>
      <c r="AZ698" s="319"/>
      <c r="BA698" s="319"/>
      <c r="BB698" s="319"/>
      <c r="BC698" s="319"/>
      <c r="BD698" s="319"/>
      <c r="BE698" s="319"/>
      <c r="BF698" s="319"/>
      <c r="BG698" s="319"/>
      <c r="BH698" s="319"/>
      <c r="BI698" s="319"/>
      <c r="BJ698" s="319"/>
      <c r="BK698" s="319"/>
      <c r="BL698" s="319"/>
      <c r="BM698" s="319"/>
      <c r="BN698" s="319"/>
      <c r="BO698" s="319"/>
      <c r="BP698" s="319"/>
      <c r="BQ698" s="319"/>
      <c r="BR698" s="319"/>
    </row>
    <row r="699" ht="14.25" customHeight="1">
      <c r="A699" s="195"/>
      <c r="B699" s="100"/>
      <c r="C699" s="100"/>
      <c r="D699" s="100"/>
      <c r="E699" s="100"/>
      <c r="F699" s="206"/>
      <c r="G699" s="206"/>
      <c r="H699" s="207"/>
      <c r="I699" s="207"/>
      <c r="J699" s="207"/>
      <c r="K699" s="207"/>
      <c r="L699" s="207"/>
      <c r="M699" s="207"/>
      <c r="N699" s="207"/>
      <c r="O699" s="207"/>
      <c r="P699" s="207"/>
      <c r="Q699" s="207"/>
      <c r="R699" s="207"/>
      <c r="S699" s="207"/>
      <c r="T699" s="207"/>
      <c r="U699" s="207"/>
      <c r="V699" s="207"/>
      <c r="W699" s="208"/>
      <c r="X699" s="208"/>
      <c r="Y699" s="208"/>
      <c r="Z699" s="208"/>
      <c r="AA699" s="208"/>
      <c r="AB699" s="208"/>
      <c r="AC699" s="208"/>
      <c r="AD699" s="208"/>
      <c r="AE699" s="208"/>
      <c r="AF699" s="208"/>
      <c r="AG699" s="208"/>
      <c r="AH699" s="208"/>
      <c r="AI699" s="100"/>
      <c r="AJ699" s="319"/>
      <c r="AK699" s="319"/>
      <c r="AL699" s="319"/>
      <c r="AM699" s="319"/>
      <c r="AN699" s="319"/>
      <c r="AO699" s="319"/>
      <c r="AP699" s="319"/>
      <c r="AQ699" s="319"/>
      <c r="AR699" s="319"/>
      <c r="AS699" s="319"/>
      <c r="AT699" s="319"/>
      <c r="AU699" s="319"/>
      <c r="AV699" s="319"/>
      <c r="AW699" s="319"/>
      <c r="AX699" s="319"/>
      <c r="AY699" s="319"/>
      <c r="AZ699" s="319"/>
      <c r="BA699" s="319"/>
      <c r="BB699" s="319"/>
      <c r="BC699" s="319"/>
      <c r="BD699" s="319"/>
      <c r="BE699" s="319"/>
      <c r="BF699" s="319"/>
      <c r="BG699" s="319"/>
      <c r="BH699" s="319"/>
      <c r="BI699" s="319"/>
      <c r="BJ699" s="319"/>
      <c r="BK699" s="319"/>
      <c r="BL699" s="319"/>
      <c r="BM699" s="319"/>
      <c r="BN699" s="319"/>
      <c r="BO699" s="319"/>
      <c r="BP699" s="319"/>
      <c r="BQ699" s="319"/>
      <c r="BR699" s="319"/>
    </row>
    <row r="700" ht="14.25" customHeight="1">
      <c r="A700" s="195"/>
      <c r="B700" s="100"/>
      <c r="C700" s="100"/>
      <c r="D700" s="100"/>
      <c r="E700" s="100"/>
      <c r="F700" s="206"/>
      <c r="G700" s="206"/>
      <c r="H700" s="207"/>
      <c r="I700" s="207"/>
      <c r="J700" s="207"/>
      <c r="K700" s="207"/>
      <c r="L700" s="207"/>
      <c r="M700" s="207"/>
      <c r="N700" s="207"/>
      <c r="O700" s="207"/>
      <c r="P700" s="207"/>
      <c r="Q700" s="207"/>
      <c r="R700" s="207"/>
      <c r="S700" s="207"/>
      <c r="T700" s="207"/>
      <c r="U700" s="207"/>
      <c r="V700" s="207"/>
      <c r="W700" s="208"/>
      <c r="X700" s="208"/>
      <c r="Y700" s="208"/>
      <c r="Z700" s="208"/>
      <c r="AA700" s="208"/>
      <c r="AB700" s="208"/>
      <c r="AC700" s="208"/>
      <c r="AD700" s="208"/>
      <c r="AE700" s="208"/>
      <c r="AF700" s="208"/>
      <c r="AG700" s="208"/>
      <c r="AH700" s="208"/>
      <c r="AI700" s="100"/>
      <c r="AJ700" s="319"/>
      <c r="AK700" s="319"/>
      <c r="AL700" s="319"/>
      <c r="AM700" s="319"/>
      <c r="AN700" s="319"/>
      <c r="AO700" s="319"/>
      <c r="AP700" s="319"/>
      <c r="AQ700" s="319"/>
      <c r="AR700" s="319"/>
      <c r="AS700" s="319"/>
      <c r="AT700" s="319"/>
      <c r="AU700" s="319"/>
      <c r="AV700" s="319"/>
      <c r="AW700" s="319"/>
      <c r="AX700" s="319"/>
      <c r="AY700" s="319"/>
      <c r="AZ700" s="319"/>
      <c r="BA700" s="319"/>
      <c r="BB700" s="319"/>
      <c r="BC700" s="319"/>
      <c r="BD700" s="319"/>
      <c r="BE700" s="319"/>
      <c r="BF700" s="319"/>
      <c r="BG700" s="319"/>
      <c r="BH700" s="319"/>
      <c r="BI700" s="319"/>
      <c r="BJ700" s="319"/>
      <c r="BK700" s="319"/>
      <c r="BL700" s="319"/>
      <c r="BM700" s="319"/>
      <c r="BN700" s="319"/>
      <c r="BO700" s="319"/>
      <c r="BP700" s="319"/>
      <c r="BQ700" s="319"/>
      <c r="BR700" s="319"/>
    </row>
    <row r="701" ht="14.25" customHeight="1">
      <c r="A701" s="195"/>
      <c r="B701" s="100"/>
      <c r="C701" s="100"/>
      <c r="D701" s="100"/>
      <c r="E701" s="100"/>
      <c r="F701" s="206"/>
      <c r="G701" s="206"/>
      <c r="H701" s="207"/>
      <c r="I701" s="207"/>
      <c r="J701" s="207"/>
      <c r="K701" s="207"/>
      <c r="L701" s="207"/>
      <c r="M701" s="207"/>
      <c r="N701" s="207"/>
      <c r="O701" s="207"/>
      <c r="P701" s="207"/>
      <c r="Q701" s="207"/>
      <c r="R701" s="207"/>
      <c r="S701" s="207"/>
      <c r="T701" s="207"/>
      <c r="U701" s="207"/>
      <c r="V701" s="207"/>
      <c r="W701" s="208"/>
      <c r="X701" s="208"/>
      <c r="Y701" s="208"/>
      <c r="Z701" s="208"/>
      <c r="AA701" s="208"/>
      <c r="AB701" s="208"/>
      <c r="AC701" s="208"/>
      <c r="AD701" s="208"/>
      <c r="AE701" s="208"/>
      <c r="AF701" s="208"/>
      <c r="AG701" s="208"/>
      <c r="AH701" s="208"/>
      <c r="AI701" s="100"/>
      <c r="AJ701" s="319"/>
      <c r="AK701" s="319"/>
      <c r="AL701" s="319"/>
      <c r="AM701" s="319"/>
      <c r="AN701" s="319"/>
      <c r="AO701" s="319"/>
      <c r="AP701" s="319"/>
      <c r="AQ701" s="319"/>
      <c r="AR701" s="319"/>
      <c r="AS701" s="319"/>
      <c r="AT701" s="319"/>
      <c r="AU701" s="319"/>
      <c r="AV701" s="319"/>
      <c r="AW701" s="319"/>
      <c r="AX701" s="319"/>
      <c r="AY701" s="319"/>
      <c r="AZ701" s="319"/>
      <c r="BA701" s="319"/>
      <c r="BB701" s="319"/>
      <c r="BC701" s="319"/>
      <c r="BD701" s="319"/>
      <c r="BE701" s="319"/>
      <c r="BF701" s="319"/>
      <c r="BG701" s="319"/>
      <c r="BH701" s="319"/>
      <c r="BI701" s="319"/>
      <c r="BJ701" s="319"/>
      <c r="BK701" s="319"/>
      <c r="BL701" s="319"/>
      <c r="BM701" s="319"/>
      <c r="BN701" s="319"/>
      <c r="BO701" s="319"/>
      <c r="BP701" s="319"/>
      <c r="BQ701" s="319"/>
      <c r="BR701" s="319"/>
    </row>
    <row r="702" ht="14.25" customHeight="1">
      <c r="A702" s="195"/>
      <c r="B702" s="100"/>
      <c r="C702" s="100"/>
      <c r="D702" s="100"/>
      <c r="E702" s="100"/>
      <c r="F702" s="206"/>
      <c r="G702" s="206"/>
      <c r="H702" s="207"/>
      <c r="I702" s="207"/>
      <c r="J702" s="207"/>
      <c r="K702" s="207"/>
      <c r="L702" s="207"/>
      <c r="M702" s="207"/>
      <c r="N702" s="207"/>
      <c r="O702" s="207"/>
      <c r="P702" s="207"/>
      <c r="Q702" s="207"/>
      <c r="R702" s="207"/>
      <c r="S702" s="207"/>
      <c r="T702" s="207"/>
      <c r="U702" s="207"/>
      <c r="V702" s="207"/>
      <c r="W702" s="208"/>
      <c r="X702" s="208"/>
      <c r="Y702" s="208"/>
      <c r="Z702" s="208"/>
      <c r="AA702" s="208"/>
      <c r="AB702" s="208"/>
      <c r="AC702" s="208"/>
      <c r="AD702" s="208"/>
      <c r="AE702" s="208"/>
      <c r="AF702" s="208"/>
      <c r="AG702" s="208"/>
      <c r="AH702" s="208"/>
      <c r="AI702" s="100"/>
      <c r="AJ702" s="319"/>
      <c r="AK702" s="319"/>
      <c r="AL702" s="319"/>
      <c r="AM702" s="319"/>
      <c r="AN702" s="319"/>
      <c r="AO702" s="319"/>
      <c r="AP702" s="319"/>
      <c r="AQ702" s="319"/>
      <c r="AR702" s="319"/>
      <c r="AS702" s="319"/>
      <c r="AT702" s="319"/>
      <c r="AU702" s="319"/>
      <c r="AV702" s="319"/>
      <c r="AW702" s="319"/>
      <c r="AX702" s="319"/>
      <c r="AY702" s="319"/>
      <c r="AZ702" s="319"/>
      <c r="BA702" s="319"/>
      <c r="BB702" s="319"/>
      <c r="BC702" s="319"/>
      <c r="BD702" s="319"/>
      <c r="BE702" s="319"/>
      <c r="BF702" s="319"/>
      <c r="BG702" s="319"/>
      <c r="BH702" s="319"/>
      <c r="BI702" s="319"/>
      <c r="BJ702" s="319"/>
      <c r="BK702" s="319"/>
      <c r="BL702" s="319"/>
      <c r="BM702" s="319"/>
      <c r="BN702" s="319"/>
      <c r="BO702" s="319"/>
      <c r="BP702" s="319"/>
      <c r="BQ702" s="319"/>
      <c r="BR702" s="319"/>
    </row>
    <row r="703" ht="14.25" customHeight="1">
      <c r="A703" s="195"/>
      <c r="B703" s="100"/>
      <c r="C703" s="100"/>
      <c r="D703" s="100"/>
      <c r="E703" s="100"/>
      <c r="F703" s="206"/>
      <c r="G703" s="206"/>
      <c r="H703" s="207"/>
      <c r="I703" s="207"/>
      <c r="J703" s="207"/>
      <c r="K703" s="207"/>
      <c r="L703" s="207"/>
      <c r="M703" s="207"/>
      <c r="N703" s="207"/>
      <c r="O703" s="207"/>
      <c r="P703" s="207"/>
      <c r="Q703" s="207"/>
      <c r="R703" s="207"/>
      <c r="S703" s="207"/>
      <c r="T703" s="207"/>
      <c r="U703" s="207"/>
      <c r="V703" s="207"/>
      <c r="W703" s="208"/>
      <c r="X703" s="208"/>
      <c r="Y703" s="208"/>
      <c r="Z703" s="208"/>
      <c r="AA703" s="208"/>
      <c r="AB703" s="208"/>
      <c r="AC703" s="208"/>
      <c r="AD703" s="208"/>
      <c r="AE703" s="208"/>
      <c r="AF703" s="208"/>
      <c r="AG703" s="208"/>
      <c r="AH703" s="208"/>
      <c r="AI703" s="100"/>
      <c r="AJ703" s="319"/>
      <c r="AK703" s="319"/>
      <c r="AL703" s="319"/>
      <c r="AM703" s="319"/>
      <c r="AN703" s="319"/>
      <c r="AO703" s="319"/>
      <c r="AP703" s="319"/>
      <c r="AQ703" s="319"/>
      <c r="AR703" s="319"/>
      <c r="AS703" s="319"/>
      <c r="AT703" s="319"/>
      <c r="AU703" s="319"/>
      <c r="AV703" s="319"/>
      <c r="AW703" s="319"/>
      <c r="AX703" s="319"/>
      <c r="AY703" s="319"/>
      <c r="AZ703" s="319"/>
      <c r="BA703" s="319"/>
      <c r="BB703" s="319"/>
      <c r="BC703" s="319"/>
      <c r="BD703" s="319"/>
      <c r="BE703" s="319"/>
      <c r="BF703" s="319"/>
      <c r="BG703" s="319"/>
      <c r="BH703" s="319"/>
      <c r="BI703" s="319"/>
      <c r="BJ703" s="319"/>
      <c r="BK703" s="319"/>
      <c r="BL703" s="319"/>
      <c r="BM703" s="319"/>
      <c r="BN703" s="319"/>
      <c r="BO703" s="319"/>
      <c r="BP703" s="319"/>
      <c r="BQ703" s="319"/>
      <c r="BR703" s="319"/>
    </row>
    <row r="704" ht="14.25" customHeight="1">
      <c r="A704" s="195"/>
      <c r="B704" s="100"/>
      <c r="C704" s="100"/>
      <c r="D704" s="100"/>
      <c r="E704" s="100"/>
      <c r="F704" s="206"/>
      <c r="G704" s="206"/>
      <c r="H704" s="207"/>
      <c r="I704" s="207"/>
      <c r="J704" s="207"/>
      <c r="K704" s="207"/>
      <c r="L704" s="207"/>
      <c r="M704" s="207"/>
      <c r="N704" s="207"/>
      <c r="O704" s="207"/>
      <c r="P704" s="207"/>
      <c r="Q704" s="207"/>
      <c r="R704" s="207"/>
      <c r="S704" s="207"/>
      <c r="T704" s="207"/>
      <c r="U704" s="207"/>
      <c r="V704" s="207"/>
      <c r="W704" s="208"/>
      <c r="X704" s="208"/>
      <c r="Y704" s="208"/>
      <c r="Z704" s="208"/>
      <c r="AA704" s="208"/>
      <c r="AB704" s="208"/>
      <c r="AC704" s="208"/>
      <c r="AD704" s="208"/>
      <c r="AE704" s="208"/>
      <c r="AF704" s="208"/>
      <c r="AG704" s="208"/>
      <c r="AH704" s="208"/>
      <c r="AI704" s="100"/>
      <c r="AJ704" s="319"/>
      <c r="AK704" s="319"/>
      <c r="AL704" s="319"/>
      <c r="AM704" s="319"/>
      <c r="AN704" s="319"/>
      <c r="AO704" s="319"/>
      <c r="AP704" s="319"/>
      <c r="AQ704" s="319"/>
      <c r="AR704" s="319"/>
      <c r="AS704" s="319"/>
      <c r="AT704" s="319"/>
      <c r="AU704" s="319"/>
      <c r="AV704" s="319"/>
      <c r="AW704" s="319"/>
      <c r="AX704" s="319"/>
      <c r="AY704" s="319"/>
      <c r="AZ704" s="319"/>
      <c r="BA704" s="319"/>
      <c r="BB704" s="319"/>
      <c r="BC704" s="319"/>
      <c r="BD704" s="319"/>
      <c r="BE704" s="319"/>
      <c r="BF704" s="319"/>
      <c r="BG704" s="319"/>
      <c r="BH704" s="319"/>
      <c r="BI704" s="319"/>
      <c r="BJ704" s="319"/>
      <c r="BK704" s="319"/>
      <c r="BL704" s="319"/>
      <c r="BM704" s="319"/>
      <c r="BN704" s="319"/>
      <c r="BO704" s="319"/>
      <c r="BP704" s="319"/>
      <c r="BQ704" s="319"/>
      <c r="BR704" s="319"/>
    </row>
    <row r="705" ht="14.25" customHeight="1">
      <c r="A705" s="195"/>
      <c r="B705" s="100"/>
      <c r="C705" s="100"/>
      <c r="D705" s="100"/>
      <c r="E705" s="100"/>
      <c r="F705" s="206"/>
      <c r="G705" s="206"/>
      <c r="H705" s="207"/>
      <c r="I705" s="207"/>
      <c r="J705" s="207"/>
      <c r="K705" s="207"/>
      <c r="L705" s="207"/>
      <c r="M705" s="207"/>
      <c r="N705" s="207"/>
      <c r="O705" s="207"/>
      <c r="P705" s="207"/>
      <c r="Q705" s="207"/>
      <c r="R705" s="207"/>
      <c r="S705" s="207"/>
      <c r="T705" s="207"/>
      <c r="U705" s="207"/>
      <c r="V705" s="207"/>
      <c r="W705" s="208"/>
      <c r="X705" s="208"/>
      <c r="Y705" s="208"/>
      <c r="Z705" s="208"/>
      <c r="AA705" s="208"/>
      <c r="AB705" s="208"/>
      <c r="AC705" s="208"/>
      <c r="AD705" s="208"/>
      <c r="AE705" s="208"/>
      <c r="AF705" s="208"/>
      <c r="AG705" s="208"/>
      <c r="AH705" s="208"/>
      <c r="AI705" s="100"/>
      <c r="AJ705" s="319"/>
      <c r="AK705" s="319"/>
      <c r="AL705" s="319"/>
      <c r="AM705" s="319"/>
      <c r="AN705" s="319"/>
      <c r="AO705" s="319"/>
      <c r="AP705" s="319"/>
      <c r="AQ705" s="319"/>
      <c r="AR705" s="319"/>
      <c r="AS705" s="319"/>
      <c r="AT705" s="319"/>
      <c r="AU705" s="319"/>
      <c r="AV705" s="319"/>
      <c r="AW705" s="319"/>
      <c r="AX705" s="319"/>
      <c r="AY705" s="319"/>
      <c r="AZ705" s="319"/>
      <c r="BA705" s="319"/>
      <c r="BB705" s="319"/>
      <c r="BC705" s="319"/>
      <c r="BD705" s="319"/>
      <c r="BE705" s="319"/>
      <c r="BF705" s="319"/>
      <c r="BG705" s="319"/>
      <c r="BH705" s="319"/>
      <c r="BI705" s="319"/>
      <c r="BJ705" s="319"/>
      <c r="BK705" s="319"/>
      <c r="BL705" s="319"/>
      <c r="BM705" s="319"/>
      <c r="BN705" s="319"/>
      <c r="BO705" s="319"/>
      <c r="BP705" s="319"/>
      <c r="BQ705" s="319"/>
      <c r="BR705" s="319"/>
    </row>
    <row r="706" ht="14.25" customHeight="1">
      <c r="A706" s="195"/>
      <c r="B706" s="100"/>
      <c r="C706" s="100"/>
      <c r="D706" s="100"/>
      <c r="E706" s="100"/>
      <c r="F706" s="206"/>
      <c r="G706" s="206"/>
      <c r="H706" s="207"/>
      <c r="I706" s="207"/>
      <c r="J706" s="207"/>
      <c r="K706" s="207"/>
      <c r="L706" s="207"/>
      <c r="M706" s="207"/>
      <c r="N706" s="207"/>
      <c r="O706" s="207"/>
      <c r="P706" s="207"/>
      <c r="Q706" s="207"/>
      <c r="R706" s="207"/>
      <c r="S706" s="207"/>
      <c r="T706" s="207"/>
      <c r="U706" s="207"/>
      <c r="V706" s="207"/>
      <c r="W706" s="208"/>
      <c r="X706" s="208"/>
      <c r="Y706" s="208"/>
      <c r="Z706" s="208"/>
      <c r="AA706" s="208"/>
      <c r="AB706" s="208"/>
      <c r="AC706" s="208"/>
      <c r="AD706" s="208"/>
      <c r="AE706" s="208"/>
      <c r="AF706" s="208"/>
      <c r="AG706" s="208"/>
      <c r="AH706" s="208"/>
      <c r="AI706" s="100"/>
      <c r="AJ706" s="319"/>
      <c r="AK706" s="319"/>
      <c r="AL706" s="319"/>
      <c r="AM706" s="319"/>
      <c r="AN706" s="319"/>
      <c r="AO706" s="319"/>
      <c r="AP706" s="319"/>
      <c r="AQ706" s="319"/>
      <c r="AR706" s="319"/>
      <c r="AS706" s="319"/>
      <c r="AT706" s="319"/>
      <c r="AU706" s="319"/>
      <c r="AV706" s="319"/>
      <c r="AW706" s="319"/>
      <c r="AX706" s="319"/>
      <c r="AY706" s="319"/>
      <c r="AZ706" s="319"/>
      <c r="BA706" s="319"/>
      <c r="BB706" s="319"/>
      <c r="BC706" s="319"/>
      <c r="BD706" s="319"/>
      <c r="BE706" s="319"/>
      <c r="BF706" s="319"/>
      <c r="BG706" s="319"/>
      <c r="BH706" s="319"/>
      <c r="BI706" s="319"/>
      <c r="BJ706" s="319"/>
      <c r="BK706" s="319"/>
      <c r="BL706" s="319"/>
      <c r="BM706" s="319"/>
      <c r="BN706" s="319"/>
      <c r="BO706" s="319"/>
      <c r="BP706" s="319"/>
      <c r="BQ706" s="319"/>
      <c r="BR706" s="319"/>
    </row>
    <row r="707" ht="14.25" customHeight="1">
      <c r="A707" s="195"/>
      <c r="B707" s="100"/>
      <c r="C707" s="100"/>
      <c r="D707" s="100"/>
      <c r="E707" s="100"/>
      <c r="F707" s="206"/>
      <c r="G707" s="206"/>
      <c r="H707" s="207"/>
      <c r="I707" s="207"/>
      <c r="J707" s="207"/>
      <c r="K707" s="207"/>
      <c r="L707" s="207"/>
      <c r="M707" s="207"/>
      <c r="N707" s="207"/>
      <c r="O707" s="207"/>
      <c r="P707" s="207"/>
      <c r="Q707" s="207"/>
      <c r="R707" s="207"/>
      <c r="S707" s="207"/>
      <c r="T707" s="207"/>
      <c r="U707" s="207"/>
      <c r="V707" s="207"/>
      <c r="W707" s="208"/>
      <c r="X707" s="208"/>
      <c r="Y707" s="208"/>
      <c r="Z707" s="208"/>
      <c r="AA707" s="208"/>
      <c r="AB707" s="208"/>
      <c r="AC707" s="208"/>
      <c r="AD707" s="208"/>
      <c r="AE707" s="208"/>
      <c r="AF707" s="208"/>
      <c r="AG707" s="208"/>
      <c r="AH707" s="208"/>
      <c r="AI707" s="100"/>
      <c r="AJ707" s="319"/>
      <c r="AK707" s="319"/>
      <c r="AL707" s="319"/>
      <c r="AM707" s="319"/>
      <c r="AN707" s="319"/>
      <c r="AO707" s="319"/>
      <c r="AP707" s="319"/>
      <c r="AQ707" s="319"/>
      <c r="AR707" s="319"/>
      <c r="AS707" s="319"/>
      <c r="AT707" s="319"/>
      <c r="AU707" s="319"/>
      <c r="AV707" s="319"/>
      <c r="AW707" s="319"/>
      <c r="AX707" s="319"/>
      <c r="AY707" s="319"/>
      <c r="AZ707" s="319"/>
      <c r="BA707" s="319"/>
      <c r="BB707" s="319"/>
      <c r="BC707" s="319"/>
      <c r="BD707" s="319"/>
      <c r="BE707" s="319"/>
      <c r="BF707" s="319"/>
      <c r="BG707" s="319"/>
      <c r="BH707" s="319"/>
      <c r="BI707" s="319"/>
      <c r="BJ707" s="319"/>
      <c r="BK707" s="319"/>
      <c r="BL707" s="319"/>
      <c r="BM707" s="319"/>
      <c r="BN707" s="319"/>
      <c r="BO707" s="319"/>
      <c r="BP707" s="319"/>
      <c r="BQ707" s="319"/>
      <c r="BR707" s="319"/>
    </row>
    <row r="708" ht="14.25" customHeight="1">
      <c r="A708" s="195"/>
      <c r="B708" s="100"/>
      <c r="C708" s="100"/>
      <c r="D708" s="100"/>
      <c r="E708" s="100"/>
      <c r="F708" s="206"/>
      <c r="G708" s="206"/>
      <c r="H708" s="207"/>
      <c r="I708" s="207"/>
      <c r="J708" s="207"/>
      <c r="K708" s="207"/>
      <c r="L708" s="207"/>
      <c r="M708" s="207"/>
      <c r="N708" s="207"/>
      <c r="O708" s="207"/>
      <c r="P708" s="207"/>
      <c r="Q708" s="207"/>
      <c r="R708" s="207"/>
      <c r="S708" s="207"/>
      <c r="T708" s="207"/>
      <c r="U708" s="207"/>
      <c r="V708" s="207"/>
      <c r="W708" s="208"/>
      <c r="X708" s="208"/>
      <c r="Y708" s="208"/>
      <c r="Z708" s="208"/>
      <c r="AA708" s="208"/>
      <c r="AB708" s="208"/>
      <c r="AC708" s="208"/>
      <c r="AD708" s="208"/>
      <c r="AE708" s="208"/>
      <c r="AF708" s="208"/>
      <c r="AG708" s="208"/>
      <c r="AH708" s="208"/>
      <c r="AI708" s="100"/>
      <c r="AJ708" s="319"/>
      <c r="AK708" s="319"/>
      <c r="AL708" s="319"/>
      <c r="AM708" s="319"/>
      <c r="AN708" s="319"/>
      <c r="AO708" s="319"/>
      <c r="AP708" s="319"/>
      <c r="AQ708" s="319"/>
      <c r="AR708" s="319"/>
      <c r="AS708" s="319"/>
      <c r="AT708" s="319"/>
      <c r="AU708" s="319"/>
      <c r="AV708" s="319"/>
      <c r="AW708" s="319"/>
      <c r="AX708" s="319"/>
      <c r="AY708" s="319"/>
      <c r="AZ708" s="319"/>
      <c r="BA708" s="319"/>
      <c r="BB708" s="319"/>
      <c r="BC708" s="319"/>
      <c r="BD708" s="319"/>
      <c r="BE708" s="319"/>
      <c r="BF708" s="319"/>
      <c r="BG708" s="319"/>
      <c r="BH708" s="319"/>
      <c r="BI708" s="319"/>
      <c r="BJ708" s="319"/>
      <c r="BK708" s="319"/>
      <c r="BL708" s="319"/>
      <c r="BM708" s="319"/>
      <c r="BN708" s="319"/>
      <c r="BO708" s="319"/>
      <c r="BP708" s="319"/>
      <c r="BQ708" s="319"/>
      <c r="BR708" s="319"/>
    </row>
    <row r="709" ht="14.25" customHeight="1">
      <c r="A709" s="195"/>
      <c r="B709" s="100"/>
      <c r="C709" s="100"/>
      <c r="D709" s="100"/>
      <c r="E709" s="100"/>
      <c r="F709" s="206"/>
      <c r="G709" s="206"/>
      <c r="H709" s="207"/>
      <c r="I709" s="207"/>
      <c r="J709" s="207"/>
      <c r="K709" s="207"/>
      <c r="L709" s="207"/>
      <c r="M709" s="207"/>
      <c r="N709" s="207"/>
      <c r="O709" s="207"/>
      <c r="P709" s="207"/>
      <c r="Q709" s="207"/>
      <c r="R709" s="207"/>
      <c r="S709" s="207"/>
      <c r="T709" s="207"/>
      <c r="U709" s="207"/>
      <c r="V709" s="207"/>
      <c r="W709" s="208"/>
      <c r="X709" s="208"/>
      <c r="Y709" s="208"/>
      <c r="Z709" s="208"/>
      <c r="AA709" s="208"/>
      <c r="AB709" s="208"/>
      <c r="AC709" s="208"/>
      <c r="AD709" s="208"/>
      <c r="AE709" s="208"/>
      <c r="AF709" s="208"/>
      <c r="AG709" s="208"/>
      <c r="AH709" s="208"/>
      <c r="AI709" s="100"/>
      <c r="AJ709" s="319"/>
      <c r="AK709" s="319"/>
      <c r="AL709" s="319"/>
      <c r="AM709" s="319"/>
      <c r="AN709" s="319"/>
      <c r="AO709" s="319"/>
      <c r="AP709" s="319"/>
      <c r="AQ709" s="319"/>
      <c r="AR709" s="319"/>
      <c r="AS709" s="319"/>
      <c r="AT709" s="319"/>
      <c r="AU709" s="319"/>
      <c r="AV709" s="319"/>
      <c r="AW709" s="319"/>
      <c r="AX709" s="319"/>
      <c r="AY709" s="319"/>
      <c r="AZ709" s="319"/>
      <c r="BA709" s="319"/>
      <c r="BB709" s="319"/>
      <c r="BC709" s="319"/>
      <c r="BD709" s="319"/>
      <c r="BE709" s="319"/>
      <c r="BF709" s="319"/>
      <c r="BG709" s="319"/>
      <c r="BH709" s="319"/>
      <c r="BI709" s="319"/>
      <c r="BJ709" s="319"/>
      <c r="BK709" s="319"/>
      <c r="BL709" s="319"/>
      <c r="BM709" s="319"/>
      <c r="BN709" s="319"/>
      <c r="BO709" s="319"/>
      <c r="BP709" s="319"/>
      <c r="BQ709" s="319"/>
      <c r="BR709" s="319"/>
    </row>
    <row r="710" ht="14.25" customHeight="1">
      <c r="A710" s="195"/>
      <c r="B710" s="100"/>
      <c r="C710" s="100"/>
      <c r="D710" s="100"/>
      <c r="E710" s="100"/>
      <c r="F710" s="206"/>
      <c r="G710" s="206"/>
      <c r="H710" s="207"/>
      <c r="I710" s="207"/>
      <c r="J710" s="207"/>
      <c r="K710" s="207"/>
      <c r="L710" s="207"/>
      <c r="M710" s="207"/>
      <c r="N710" s="207"/>
      <c r="O710" s="207"/>
      <c r="P710" s="207"/>
      <c r="Q710" s="207"/>
      <c r="R710" s="207"/>
      <c r="S710" s="207"/>
      <c r="T710" s="207"/>
      <c r="U710" s="207"/>
      <c r="V710" s="207"/>
      <c r="W710" s="208"/>
      <c r="X710" s="208"/>
      <c r="Y710" s="208"/>
      <c r="Z710" s="208"/>
      <c r="AA710" s="208"/>
      <c r="AB710" s="208"/>
      <c r="AC710" s="208"/>
      <c r="AD710" s="208"/>
      <c r="AE710" s="208"/>
      <c r="AF710" s="208"/>
      <c r="AG710" s="208"/>
      <c r="AH710" s="208"/>
      <c r="AI710" s="100"/>
      <c r="AJ710" s="319"/>
      <c r="AK710" s="319"/>
      <c r="AL710" s="319"/>
      <c r="AM710" s="319"/>
      <c r="AN710" s="319"/>
      <c r="AO710" s="319"/>
      <c r="AP710" s="319"/>
      <c r="AQ710" s="319"/>
      <c r="AR710" s="319"/>
      <c r="AS710" s="319"/>
      <c r="AT710" s="319"/>
      <c r="AU710" s="319"/>
      <c r="AV710" s="319"/>
      <c r="AW710" s="319"/>
      <c r="AX710" s="319"/>
      <c r="AY710" s="319"/>
      <c r="AZ710" s="319"/>
      <c r="BA710" s="319"/>
      <c r="BB710" s="319"/>
      <c r="BC710" s="319"/>
      <c r="BD710" s="319"/>
      <c r="BE710" s="319"/>
      <c r="BF710" s="319"/>
      <c r="BG710" s="319"/>
      <c r="BH710" s="319"/>
      <c r="BI710" s="319"/>
      <c r="BJ710" s="319"/>
      <c r="BK710" s="319"/>
      <c r="BL710" s="319"/>
      <c r="BM710" s="319"/>
      <c r="BN710" s="319"/>
      <c r="BO710" s="319"/>
      <c r="BP710" s="319"/>
      <c r="BQ710" s="319"/>
      <c r="BR710" s="319"/>
    </row>
    <row r="711" ht="14.25" customHeight="1">
      <c r="A711" s="195"/>
      <c r="B711" s="100"/>
      <c r="C711" s="100"/>
      <c r="D711" s="100"/>
      <c r="E711" s="100"/>
      <c r="F711" s="206"/>
      <c r="G711" s="206"/>
      <c r="H711" s="207"/>
      <c r="I711" s="207"/>
      <c r="J711" s="207"/>
      <c r="K711" s="207"/>
      <c r="L711" s="207"/>
      <c r="M711" s="207"/>
      <c r="N711" s="207"/>
      <c r="O711" s="207"/>
      <c r="P711" s="207"/>
      <c r="Q711" s="207"/>
      <c r="R711" s="207"/>
      <c r="S711" s="207"/>
      <c r="T711" s="207"/>
      <c r="U711" s="207"/>
      <c r="V711" s="207"/>
      <c r="W711" s="208"/>
      <c r="X711" s="208"/>
      <c r="Y711" s="208"/>
      <c r="Z711" s="208"/>
      <c r="AA711" s="208"/>
      <c r="AB711" s="208"/>
      <c r="AC711" s="208"/>
      <c r="AD711" s="208"/>
      <c r="AE711" s="208"/>
      <c r="AF711" s="208"/>
      <c r="AG711" s="208"/>
      <c r="AH711" s="208"/>
      <c r="AI711" s="100"/>
      <c r="AJ711" s="319"/>
      <c r="AK711" s="319"/>
      <c r="AL711" s="319"/>
      <c r="AM711" s="319"/>
      <c r="AN711" s="319"/>
      <c r="AO711" s="319"/>
      <c r="AP711" s="319"/>
      <c r="AQ711" s="319"/>
      <c r="AR711" s="319"/>
      <c r="AS711" s="319"/>
      <c r="AT711" s="319"/>
      <c r="AU711" s="319"/>
      <c r="AV711" s="319"/>
      <c r="AW711" s="319"/>
      <c r="AX711" s="319"/>
      <c r="AY711" s="319"/>
      <c r="AZ711" s="319"/>
      <c r="BA711" s="319"/>
      <c r="BB711" s="319"/>
      <c r="BC711" s="319"/>
      <c r="BD711" s="319"/>
      <c r="BE711" s="319"/>
      <c r="BF711" s="319"/>
      <c r="BG711" s="319"/>
      <c r="BH711" s="319"/>
      <c r="BI711" s="319"/>
      <c r="BJ711" s="319"/>
      <c r="BK711" s="319"/>
      <c r="BL711" s="319"/>
      <c r="BM711" s="319"/>
      <c r="BN711" s="319"/>
      <c r="BO711" s="319"/>
      <c r="BP711" s="319"/>
      <c r="BQ711" s="319"/>
      <c r="BR711" s="319"/>
    </row>
    <row r="712" ht="14.25" customHeight="1">
      <c r="A712" s="195"/>
      <c r="B712" s="100"/>
      <c r="C712" s="100"/>
      <c r="D712" s="100"/>
      <c r="E712" s="100"/>
      <c r="F712" s="206"/>
      <c r="G712" s="206"/>
      <c r="H712" s="207"/>
      <c r="I712" s="207"/>
      <c r="J712" s="207"/>
      <c r="K712" s="207"/>
      <c r="L712" s="207"/>
      <c r="M712" s="207"/>
      <c r="N712" s="207"/>
      <c r="O712" s="207"/>
      <c r="P712" s="207"/>
      <c r="Q712" s="207"/>
      <c r="R712" s="207"/>
      <c r="S712" s="207"/>
      <c r="T712" s="207"/>
      <c r="U712" s="207"/>
      <c r="V712" s="207"/>
      <c r="W712" s="208"/>
      <c r="X712" s="208"/>
      <c r="Y712" s="208"/>
      <c r="Z712" s="208"/>
      <c r="AA712" s="208"/>
      <c r="AB712" s="208"/>
      <c r="AC712" s="208"/>
      <c r="AD712" s="208"/>
      <c r="AE712" s="208"/>
      <c r="AF712" s="208"/>
      <c r="AG712" s="208"/>
      <c r="AH712" s="208"/>
      <c r="AI712" s="100"/>
      <c r="AJ712" s="319"/>
      <c r="AK712" s="319"/>
      <c r="AL712" s="319"/>
      <c r="AM712" s="319"/>
      <c r="AN712" s="319"/>
      <c r="AO712" s="319"/>
      <c r="AP712" s="319"/>
      <c r="AQ712" s="319"/>
      <c r="AR712" s="319"/>
      <c r="AS712" s="319"/>
      <c r="AT712" s="319"/>
      <c r="AU712" s="319"/>
      <c r="AV712" s="319"/>
      <c r="AW712" s="319"/>
      <c r="AX712" s="319"/>
      <c r="AY712" s="319"/>
      <c r="AZ712" s="319"/>
      <c r="BA712" s="319"/>
      <c r="BB712" s="319"/>
      <c r="BC712" s="319"/>
      <c r="BD712" s="319"/>
      <c r="BE712" s="319"/>
      <c r="BF712" s="319"/>
      <c r="BG712" s="319"/>
      <c r="BH712" s="319"/>
      <c r="BI712" s="319"/>
      <c r="BJ712" s="319"/>
      <c r="BK712" s="319"/>
      <c r="BL712" s="319"/>
      <c r="BM712" s="319"/>
      <c r="BN712" s="319"/>
      <c r="BO712" s="319"/>
      <c r="BP712" s="319"/>
      <c r="BQ712" s="319"/>
      <c r="BR712" s="319"/>
    </row>
    <row r="713" ht="14.25" customHeight="1">
      <c r="A713" s="195"/>
      <c r="B713" s="100"/>
      <c r="C713" s="100"/>
      <c r="D713" s="100"/>
      <c r="E713" s="100"/>
      <c r="F713" s="206"/>
      <c r="G713" s="206"/>
      <c r="H713" s="207"/>
      <c r="I713" s="207"/>
      <c r="J713" s="207"/>
      <c r="K713" s="207"/>
      <c r="L713" s="207"/>
      <c r="M713" s="207"/>
      <c r="N713" s="207"/>
      <c r="O713" s="207"/>
      <c r="P713" s="207"/>
      <c r="Q713" s="207"/>
      <c r="R713" s="207"/>
      <c r="S713" s="207"/>
      <c r="T713" s="207"/>
      <c r="U713" s="207"/>
      <c r="V713" s="207"/>
      <c r="W713" s="208"/>
      <c r="X713" s="208"/>
      <c r="Y713" s="208"/>
      <c r="Z713" s="208"/>
      <c r="AA713" s="208"/>
      <c r="AB713" s="208"/>
      <c r="AC713" s="208"/>
      <c r="AD713" s="208"/>
      <c r="AE713" s="208"/>
      <c r="AF713" s="208"/>
      <c r="AG713" s="208"/>
      <c r="AH713" s="208"/>
      <c r="AI713" s="100"/>
      <c r="AJ713" s="319"/>
      <c r="AK713" s="319"/>
      <c r="AL713" s="319"/>
      <c r="AM713" s="319"/>
      <c r="AN713" s="319"/>
      <c r="AO713" s="319"/>
      <c r="AP713" s="319"/>
      <c r="AQ713" s="319"/>
      <c r="AR713" s="319"/>
      <c r="AS713" s="319"/>
      <c r="AT713" s="319"/>
      <c r="AU713" s="319"/>
      <c r="AV713" s="319"/>
      <c r="AW713" s="319"/>
      <c r="AX713" s="319"/>
      <c r="AY713" s="319"/>
      <c r="AZ713" s="319"/>
      <c r="BA713" s="319"/>
      <c r="BB713" s="319"/>
      <c r="BC713" s="319"/>
      <c r="BD713" s="319"/>
      <c r="BE713" s="319"/>
      <c r="BF713" s="319"/>
      <c r="BG713" s="319"/>
      <c r="BH713" s="319"/>
      <c r="BI713" s="319"/>
      <c r="BJ713" s="319"/>
      <c r="BK713" s="319"/>
      <c r="BL713" s="319"/>
      <c r="BM713" s="319"/>
      <c r="BN713" s="319"/>
      <c r="BO713" s="319"/>
      <c r="BP713" s="319"/>
      <c r="BQ713" s="319"/>
      <c r="BR713" s="319"/>
    </row>
    <row r="714" ht="14.25" customHeight="1">
      <c r="A714" s="195"/>
      <c r="B714" s="100"/>
      <c r="C714" s="100"/>
      <c r="D714" s="100"/>
      <c r="E714" s="100"/>
      <c r="F714" s="206"/>
      <c r="G714" s="206"/>
      <c r="H714" s="207"/>
      <c r="I714" s="207"/>
      <c r="J714" s="207"/>
      <c r="K714" s="207"/>
      <c r="L714" s="207"/>
      <c r="M714" s="207"/>
      <c r="N714" s="207"/>
      <c r="O714" s="207"/>
      <c r="P714" s="207"/>
      <c r="Q714" s="207"/>
      <c r="R714" s="207"/>
      <c r="S714" s="207"/>
      <c r="T714" s="207"/>
      <c r="U714" s="207"/>
      <c r="V714" s="207"/>
      <c r="W714" s="208"/>
      <c r="X714" s="208"/>
      <c r="Y714" s="208"/>
      <c r="Z714" s="208"/>
      <c r="AA714" s="208"/>
      <c r="AB714" s="208"/>
      <c r="AC714" s="208"/>
      <c r="AD714" s="208"/>
      <c r="AE714" s="208"/>
      <c r="AF714" s="208"/>
      <c r="AG714" s="208"/>
      <c r="AH714" s="208"/>
      <c r="AI714" s="100"/>
      <c r="AJ714" s="319"/>
      <c r="AK714" s="319"/>
      <c r="AL714" s="319"/>
      <c r="AM714" s="319"/>
      <c r="AN714" s="319"/>
      <c r="AO714" s="319"/>
      <c r="AP714" s="319"/>
      <c r="AQ714" s="319"/>
      <c r="AR714" s="319"/>
      <c r="AS714" s="319"/>
      <c r="AT714" s="319"/>
      <c r="AU714" s="319"/>
      <c r="AV714" s="319"/>
      <c r="AW714" s="319"/>
      <c r="AX714" s="319"/>
      <c r="AY714" s="319"/>
      <c r="AZ714" s="319"/>
      <c r="BA714" s="319"/>
      <c r="BB714" s="319"/>
      <c r="BC714" s="319"/>
      <c r="BD714" s="319"/>
      <c r="BE714" s="319"/>
      <c r="BF714" s="319"/>
      <c r="BG714" s="319"/>
      <c r="BH714" s="319"/>
      <c r="BI714" s="319"/>
      <c r="BJ714" s="319"/>
      <c r="BK714" s="319"/>
      <c r="BL714" s="319"/>
      <c r="BM714" s="319"/>
      <c r="BN714" s="319"/>
      <c r="BO714" s="319"/>
      <c r="BP714" s="319"/>
      <c r="BQ714" s="319"/>
      <c r="BR714" s="319"/>
    </row>
    <row r="715" ht="14.25" customHeight="1">
      <c r="A715" s="195"/>
      <c r="B715" s="100"/>
      <c r="C715" s="100"/>
      <c r="D715" s="100"/>
      <c r="E715" s="100"/>
      <c r="F715" s="206"/>
      <c r="G715" s="206"/>
      <c r="H715" s="207"/>
      <c r="I715" s="207"/>
      <c r="J715" s="207"/>
      <c r="K715" s="207"/>
      <c r="L715" s="207"/>
      <c r="M715" s="207"/>
      <c r="N715" s="207"/>
      <c r="O715" s="207"/>
      <c r="P715" s="207"/>
      <c r="Q715" s="207"/>
      <c r="R715" s="207"/>
      <c r="S715" s="207"/>
      <c r="T715" s="207"/>
      <c r="U715" s="207"/>
      <c r="V715" s="207"/>
      <c r="W715" s="208"/>
      <c r="X715" s="208"/>
      <c r="Y715" s="208"/>
      <c r="Z715" s="208"/>
      <c r="AA715" s="208"/>
      <c r="AB715" s="208"/>
      <c r="AC715" s="208"/>
      <c r="AD715" s="208"/>
      <c r="AE715" s="208"/>
      <c r="AF715" s="208"/>
      <c r="AG715" s="208"/>
      <c r="AH715" s="208"/>
      <c r="AI715" s="100"/>
      <c r="AJ715" s="319"/>
      <c r="AK715" s="319"/>
      <c r="AL715" s="319"/>
      <c r="AM715" s="319"/>
      <c r="AN715" s="319"/>
      <c r="AO715" s="319"/>
      <c r="AP715" s="319"/>
      <c r="AQ715" s="319"/>
      <c r="AR715" s="319"/>
      <c r="AS715" s="319"/>
      <c r="AT715" s="319"/>
      <c r="AU715" s="319"/>
      <c r="AV715" s="319"/>
      <c r="AW715" s="319"/>
      <c r="AX715" s="319"/>
      <c r="AY715" s="319"/>
      <c r="AZ715" s="319"/>
      <c r="BA715" s="319"/>
      <c r="BB715" s="319"/>
      <c r="BC715" s="319"/>
      <c r="BD715" s="319"/>
      <c r="BE715" s="319"/>
      <c r="BF715" s="319"/>
      <c r="BG715" s="319"/>
      <c r="BH715" s="319"/>
      <c r="BI715" s="319"/>
      <c r="BJ715" s="319"/>
      <c r="BK715" s="319"/>
      <c r="BL715" s="319"/>
      <c r="BM715" s="319"/>
      <c r="BN715" s="319"/>
      <c r="BO715" s="319"/>
      <c r="BP715" s="319"/>
      <c r="BQ715" s="319"/>
      <c r="BR715" s="319"/>
    </row>
    <row r="716" ht="14.25" customHeight="1">
      <c r="A716" s="195"/>
      <c r="B716" s="100"/>
      <c r="C716" s="100"/>
      <c r="D716" s="100"/>
      <c r="E716" s="100"/>
      <c r="F716" s="206"/>
      <c r="G716" s="206"/>
      <c r="H716" s="207"/>
      <c r="I716" s="207"/>
      <c r="J716" s="207"/>
      <c r="K716" s="207"/>
      <c r="L716" s="207"/>
      <c r="M716" s="207"/>
      <c r="N716" s="207"/>
      <c r="O716" s="207"/>
      <c r="P716" s="207"/>
      <c r="Q716" s="207"/>
      <c r="R716" s="207"/>
      <c r="S716" s="207"/>
      <c r="T716" s="207"/>
      <c r="U716" s="207"/>
      <c r="V716" s="207"/>
      <c r="W716" s="208"/>
      <c r="X716" s="208"/>
      <c r="Y716" s="208"/>
      <c r="Z716" s="208"/>
      <c r="AA716" s="208"/>
      <c r="AB716" s="208"/>
      <c r="AC716" s="208"/>
      <c r="AD716" s="208"/>
      <c r="AE716" s="208"/>
      <c r="AF716" s="208"/>
      <c r="AG716" s="208"/>
      <c r="AH716" s="208"/>
      <c r="AI716" s="100"/>
      <c r="AJ716" s="319"/>
      <c r="AK716" s="319"/>
      <c r="AL716" s="319"/>
      <c r="AM716" s="319"/>
      <c r="AN716" s="319"/>
      <c r="AO716" s="319"/>
      <c r="AP716" s="319"/>
      <c r="AQ716" s="319"/>
      <c r="AR716" s="319"/>
      <c r="AS716" s="319"/>
      <c r="AT716" s="319"/>
      <c r="AU716" s="319"/>
      <c r="AV716" s="319"/>
      <c r="AW716" s="319"/>
      <c r="AX716" s="319"/>
      <c r="AY716" s="319"/>
      <c r="AZ716" s="319"/>
      <c r="BA716" s="319"/>
      <c r="BB716" s="319"/>
      <c r="BC716" s="319"/>
      <c r="BD716" s="319"/>
      <c r="BE716" s="319"/>
      <c r="BF716" s="319"/>
      <c r="BG716" s="319"/>
      <c r="BH716" s="319"/>
      <c r="BI716" s="319"/>
      <c r="BJ716" s="319"/>
      <c r="BK716" s="319"/>
      <c r="BL716" s="319"/>
      <c r="BM716" s="319"/>
      <c r="BN716" s="319"/>
      <c r="BO716" s="319"/>
      <c r="BP716" s="319"/>
      <c r="BQ716" s="319"/>
      <c r="BR716" s="319"/>
    </row>
    <row r="717" ht="14.25" customHeight="1">
      <c r="A717" s="195"/>
      <c r="B717" s="100"/>
      <c r="C717" s="100"/>
      <c r="D717" s="100"/>
      <c r="E717" s="100"/>
      <c r="F717" s="206"/>
      <c r="G717" s="206"/>
      <c r="H717" s="207"/>
      <c r="I717" s="207"/>
      <c r="J717" s="207"/>
      <c r="K717" s="207"/>
      <c r="L717" s="207"/>
      <c r="M717" s="207"/>
      <c r="N717" s="207"/>
      <c r="O717" s="207"/>
      <c r="P717" s="207"/>
      <c r="Q717" s="207"/>
      <c r="R717" s="207"/>
      <c r="S717" s="207"/>
      <c r="T717" s="207"/>
      <c r="U717" s="207"/>
      <c r="V717" s="207"/>
      <c r="W717" s="208"/>
      <c r="X717" s="208"/>
      <c r="Y717" s="208"/>
      <c r="Z717" s="208"/>
      <c r="AA717" s="208"/>
      <c r="AB717" s="208"/>
      <c r="AC717" s="208"/>
      <c r="AD717" s="208"/>
      <c r="AE717" s="208"/>
      <c r="AF717" s="208"/>
      <c r="AG717" s="208"/>
      <c r="AH717" s="208"/>
      <c r="AI717" s="100"/>
      <c r="AJ717" s="319"/>
      <c r="AK717" s="319"/>
      <c r="AL717" s="319"/>
      <c r="AM717" s="319"/>
      <c r="AN717" s="319"/>
      <c r="AO717" s="319"/>
      <c r="AP717" s="319"/>
      <c r="AQ717" s="319"/>
      <c r="AR717" s="319"/>
      <c r="AS717" s="319"/>
      <c r="AT717" s="319"/>
      <c r="AU717" s="319"/>
      <c r="AV717" s="319"/>
      <c r="AW717" s="319"/>
      <c r="AX717" s="319"/>
      <c r="AY717" s="319"/>
      <c r="AZ717" s="319"/>
      <c r="BA717" s="319"/>
      <c r="BB717" s="319"/>
      <c r="BC717" s="319"/>
      <c r="BD717" s="319"/>
      <c r="BE717" s="319"/>
      <c r="BF717" s="319"/>
      <c r="BG717" s="319"/>
      <c r="BH717" s="319"/>
      <c r="BI717" s="319"/>
      <c r="BJ717" s="319"/>
      <c r="BK717" s="319"/>
      <c r="BL717" s="319"/>
      <c r="BM717" s="319"/>
      <c r="BN717" s="319"/>
      <c r="BO717" s="319"/>
      <c r="BP717" s="319"/>
      <c r="BQ717" s="319"/>
      <c r="BR717" s="319"/>
    </row>
    <row r="718" ht="14.25" customHeight="1">
      <c r="A718" s="195"/>
      <c r="B718" s="100"/>
      <c r="C718" s="100"/>
      <c r="D718" s="100"/>
      <c r="E718" s="100"/>
      <c r="F718" s="206"/>
      <c r="G718" s="206"/>
      <c r="H718" s="207"/>
      <c r="I718" s="207"/>
      <c r="J718" s="207"/>
      <c r="K718" s="207"/>
      <c r="L718" s="207"/>
      <c r="M718" s="207"/>
      <c r="N718" s="207"/>
      <c r="O718" s="207"/>
      <c r="P718" s="207"/>
      <c r="Q718" s="207"/>
      <c r="R718" s="207"/>
      <c r="S718" s="207"/>
      <c r="T718" s="207"/>
      <c r="U718" s="207"/>
      <c r="V718" s="207"/>
      <c r="W718" s="208"/>
      <c r="X718" s="208"/>
      <c r="Y718" s="208"/>
      <c r="Z718" s="208"/>
      <c r="AA718" s="208"/>
      <c r="AB718" s="208"/>
      <c r="AC718" s="208"/>
      <c r="AD718" s="208"/>
      <c r="AE718" s="208"/>
      <c r="AF718" s="208"/>
      <c r="AG718" s="208"/>
      <c r="AH718" s="208"/>
      <c r="AI718" s="100"/>
      <c r="AJ718" s="319"/>
      <c r="AK718" s="319"/>
      <c r="AL718" s="319"/>
      <c r="AM718" s="319"/>
      <c r="AN718" s="319"/>
      <c r="AO718" s="319"/>
      <c r="AP718" s="319"/>
      <c r="AQ718" s="319"/>
      <c r="AR718" s="319"/>
      <c r="AS718" s="319"/>
      <c r="AT718" s="319"/>
      <c r="AU718" s="319"/>
      <c r="AV718" s="319"/>
      <c r="AW718" s="319"/>
      <c r="AX718" s="319"/>
      <c r="AY718" s="319"/>
      <c r="AZ718" s="319"/>
      <c r="BA718" s="319"/>
      <c r="BB718" s="319"/>
      <c r="BC718" s="319"/>
      <c r="BD718" s="319"/>
      <c r="BE718" s="319"/>
      <c r="BF718" s="319"/>
      <c r="BG718" s="319"/>
      <c r="BH718" s="319"/>
      <c r="BI718" s="319"/>
      <c r="BJ718" s="319"/>
      <c r="BK718" s="319"/>
      <c r="BL718" s="319"/>
      <c r="BM718" s="319"/>
      <c r="BN718" s="319"/>
      <c r="BO718" s="319"/>
      <c r="BP718" s="319"/>
      <c r="BQ718" s="319"/>
      <c r="BR718" s="319"/>
    </row>
    <row r="719" ht="14.25" customHeight="1">
      <c r="A719" s="195"/>
      <c r="B719" s="100"/>
      <c r="C719" s="100"/>
      <c r="D719" s="100"/>
      <c r="E719" s="100"/>
      <c r="F719" s="206"/>
      <c r="G719" s="206"/>
      <c r="H719" s="207"/>
      <c r="I719" s="207"/>
      <c r="J719" s="207"/>
      <c r="K719" s="207"/>
      <c r="L719" s="207"/>
      <c r="M719" s="207"/>
      <c r="N719" s="207"/>
      <c r="O719" s="207"/>
      <c r="P719" s="207"/>
      <c r="Q719" s="207"/>
      <c r="R719" s="207"/>
      <c r="S719" s="207"/>
      <c r="T719" s="207"/>
      <c r="U719" s="207"/>
      <c r="V719" s="207"/>
      <c r="W719" s="208"/>
      <c r="X719" s="208"/>
      <c r="Y719" s="208"/>
      <c r="Z719" s="208"/>
      <c r="AA719" s="208"/>
      <c r="AB719" s="208"/>
      <c r="AC719" s="208"/>
      <c r="AD719" s="208"/>
      <c r="AE719" s="208"/>
      <c r="AF719" s="208"/>
      <c r="AG719" s="208"/>
      <c r="AH719" s="208"/>
      <c r="AI719" s="100"/>
      <c r="AJ719" s="319"/>
      <c r="AK719" s="319"/>
      <c r="AL719" s="319"/>
      <c r="AM719" s="319"/>
      <c r="AN719" s="319"/>
      <c r="AO719" s="319"/>
      <c r="AP719" s="319"/>
      <c r="AQ719" s="319"/>
      <c r="AR719" s="319"/>
      <c r="AS719" s="319"/>
      <c r="AT719" s="319"/>
      <c r="AU719" s="319"/>
      <c r="AV719" s="319"/>
      <c r="AW719" s="319"/>
      <c r="AX719" s="319"/>
      <c r="AY719" s="319"/>
      <c r="AZ719" s="319"/>
      <c r="BA719" s="319"/>
      <c r="BB719" s="319"/>
      <c r="BC719" s="319"/>
      <c r="BD719" s="319"/>
      <c r="BE719" s="319"/>
      <c r="BF719" s="319"/>
      <c r="BG719" s="319"/>
      <c r="BH719" s="319"/>
      <c r="BI719" s="319"/>
      <c r="BJ719" s="319"/>
      <c r="BK719" s="319"/>
      <c r="BL719" s="319"/>
      <c r="BM719" s="319"/>
      <c r="BN719" s="319"/>
      <c r="BO719" s="319"/>
      <c r="BP719" s="319"/>
      <c r="BQ719" s="319"/>
      <c r="BR719" s="319"/>
    </row>
    <row r="720" ht="14.25" customHeight="1">
      <c r="A720" s="195"/>
      <c r="B720" s="100"/>
      <c r="C720" s="100"/>
      <c r="D720" s="100"/>
      <c r="E720" s="100"/>
      <c r="F720" s="206"/>
      <c r="G720" s="206"/>
      <c r="H720" s="207"/>
      <c r="I720" s="207"/>
      <c r="J720" s="207"/>
      <c r="K720" s="207"/>
      <c r="L720" s="207"/>
      <c r="M720" s="207"/>
      <c r="N720" s="207"/>
      <c r="O720" s="207"/>
      <c r="P720" s="207"/>
      <c r="Q720" s="207"/>
      <c r="R720" s="207"/>
      <c r="S720" s="207"/>
      <c r="T720" s="207"/>
      <c r="U720" s="207"/>
      <c r="V720" s="207"/>
      <c r="W720" s="208"/>
      <c r="X720" s="208"/>
      <c r="Y720" s="208"/>
      <c r="Z720" s="208"/>
      <c r="AA720" s="208"/>
      <c r="AB720" s="208"/>
      <c r="AC720" s="208"/>
      <c r="AD720" s="208"/>
      <c r="AE720" s="208"/>
      <c r="AF720" s="208"/>
      <c r="AG720" s="208"/>
      <c r="AH720" s="208"/>
      <c r="AI720" s="100"/>
      <c r="AJ720" s="319"/>
      <c r="AK720" s="319"/>
      <c r="AL720" s="319"/>
      <c r="AM720" s="319"/>
      <c r="AN720" s="319"/>
      <c r="AO720" s="319"/>
      <c r="AP720" s="319"/>
      <c r="AQ720" s="319"/>
      <c r="AR720" s="319"/>
      <c r="AS720" s="319"/>
      <c r="AT720" s="319"/>
      <c r="AU720" s="319"/>
      <c r="AV720" s="319"/>
      <c r="AW720" s="319"/>
      <c r="AX720" s="319"/>
      <c r="AY720" s="319"/>
      <c r="AZ720" s="319"/>
      <c r="BA720" s="319"/>
      <c r="BB720" s="319"/>
      <c r="BC720" s="319"/>
      <c r="BD720" s="319"/>
      <c r="BE720" s="319"/>
      <c r="BF720" s="319"/>
      <c r="BG720" s="319"/>
      <c r="BH720" s="319"/>
      <c r="BI720" s="319"/>
      <c r="BJ720" s="319"/>
      <c r="BK720" s="319"/>
      <c r="BL720" s="319"/>
      <c r="BM720" s="319"/>
      <c r="BN720" s="319"/>
      <c r="BO720" s="319"/>
      <c r="BP720" s="319"/>
      <c r="BQ720" s="319"/>
      <c r="BR720" s="319"/>
    </row>
    <row r="721" ht="14.25" customHeight="1">
      <c r="A721" s="195"/>
      <c r="B721" s="100"/>
      <c r="C721" s="100"/>
      <c r="D721" s="100"/>
      <c r="E721" s="100"/>
      <c r="F721" s="206"/>
      <c r="G721" s="206"/>
      <c r="H721" s="207"/>
      <c r="I721" s="207"/>
      <c r="J721" s="207"/>
      <c r="K721" s="207"/>
      <c r="L721" s="207"/>
      <c r="M721" s="207"/>
      <c r="N721" s="207"/>
      <c r="O721" s="207"/>
      <c r="P721" s="207"/>
      <c r="Q721" s="207"/>
      <c r="R721" s="207"/>
      <c r="S721" s="207"/>
      <c r="T721" s="207"/>
      <c r="U721" s="207"/>
      <c r="V721" s="207"/>
      <c r="W721" s="208"/>
      <c r="X721" s="208"/>
      <c r="Y721" s="208"/>
      <c r="Z721" s="208"/>
      <c r="AA721" s="208"/>
      <c r="AB721" s="208"/>
      <c r="AC721" s="208"/>
      <c r="AD721" s="208"/>
      <c r="AE721" s="208"/>
      <c r="AF721" s="208"/>
      <c r="AG721" s="208"/>
      <c r="AH721" s="208"/>
      <c r="AI721" s="100"/>
      <c r="AJ721" s="319"/>
      <c r="AK721" s="319"/>
      <c r="AL721" s="319"/>
      <c r="AM721" s="319"/>
      <c r="AN721" s="319"/>
      <c r="AO721" s="319"/>
      <c r="AP721" s="319"/>
      <c r="AQ721" s="319"/>
      <c r="AR721" s="319"/>
      <c r="AS721" s="319"/>
      <c r="AT721" s="319"/>
      <c r="AU721" s="319"/>
      <c r="AV721" s="319"/>
      <c r="AW721" s="319"/>
      <c r="AX721" s="319"/>
      <c r="AY721" s="319"/>
      <c r="AZ721" s="319"/>
      <c r="BA721" s="319"/>
      <c r="BB721" s="319"/>
      <c r="BC721" s="319"/>
      <c r="BD721" s="319"/>
      <c r="BE721" s="319"/>
      <c r="BF721" s="319"/>
      <c r="BG721" s="319"/>
      <c r="BH721" s="319"/>
      <c r="BI721" s="319"/>
      <c r="BJ721" s="319"/>
      <c r="BK721" s="319"/>
      <c r="BL721" s="319"/>
      <c r="BM721" s="319"/>
      <c r="BN721" s="319"/>
      <c r="BO721" s="319"/>
      <c r="BP721" s="319"/>
      <c r="BQ721" s="319"/>
      <c r="BR721" s="319"/>
    </row>
    <row r="722" ht="14.25" customHeight="1">
      <c r="A722" s="195"/>
      <c r="B722" s="100"/>
      <c r="C722" s="100"/>
      <c r="D722" s="100"/>
      <c r="E722" s="100"/>
      <c r="F722" s="206"/>
      <c r="G722" s="206"/>
      <c r="H722" s="207"/>
      <c r="I722" s="207"/>
      <c r="J722" s="207"/>
      <c r="K722" s="207"/>
      <c r="L722" s="207"/>
      <c r="M722" s="207"/>
      <c r="N722" s="207"/>
      <c r="O722" s="207"/>
      <c r="P722" s="207"/>
      <c r="Q722" s="207"/>
      <c r="R722" s="207"/>
      <c r="S722" s="207"/>
      <c r="T722" s="207"/>
      <c r="U722" s="207"/>
      <c r="V722" s="207"/>
      <c r="W722" s="208"/>
      <c r="X722" s="208"/>
      <c r="Y722" s="208"/>
      <c r="Z722" s="208"/>
      <c r="AA722" s="208"/>
      <c r="AB722" s="208"/>
      <c r="AC722" s="208"/>
      <c r="AD722" s="208"/>
      <c r="AE722" s="208"/>
      <c r="AF722" s="208"/>
      <c r="AG722" s="208"/>
      <c r="AH722" s="208"/>
      <c r="AI722" s="100"/>
      <c r="AJ722" s="319"/>
      <c r="AK722" s="319"/>
      <c r="AL722" s="319"/>
      <c r="AM722" s="319"/>
      <c r="AN722" s="319"/>
      <c r="AO722" s="319"/>
      <c r="AP722" s="319"/>
      <c r="AQ722" s="319"/>
      <c r="AR722" s="319"/>
      <c r="AS722" s="319"/>
      <c r="AT722" s="319"/>
      <c r="AU722" s="319"/>
      <c r="AV722" s="319"/>
      <c r="AW722" s="319"/>
      <c r="AX722" s="319"/>
      <c r="AY722" s="319"/>
      <c r="AZ722" s="319"/>
      <c r="BA722" s="319"/>
      <c r="BB722" s="319"/>
      <c r="BC722" s="319"/>
      <c r="BD722" s="319"/>
      <c r="BE722" s="319"/>
      <c r="BF722" s="319"/>
      <c r="BG722" s="319"/>
      <c r="BH722" s="319"/>
      <c r="BI722" s="319"/>
      <c r="BJ722" s="319"/>
      <c r="BK722" s="319"/>
      <c r="BL722" s="319"/>
      <c r="BM722" s="319"/>
      <c r="BN722" s="319"/>
      <c r="BO722" s="319"/>
      <c r="BP722" s="319"/>
      <c r="BQ722" s="319"/>
      <c r="BR722" s="319"/>
    </row>
    <row r="723" ht="14.25" customHeight="1">
      <c r="A723" s="195"/>
      <c r="B723" s="100"/>
      <c r="C723" s="100"/>
      <c r="D723" s="100"/>
      <c r="E723" s="100"/>
      <c r="F723" s="206"/>
      <c r="G723" s="206"/>
      <c r="H723" s="207"/>
      <c r="I723" s="207"/>
      <c r="J723" s="207"/>
      <c r="K723" s="207"/>
      <c r="L723" s="207"/>
      <c r="M723" s="207"/>
      <c r="N723" s="207"/>
      <c r="O723" s="207"/>
      <c r="P723" s="207"/>
      <c r="Q723" s="207"/>
      <c r="R723" s="207"/>
      <c r="S723" s="207"/>
      <c r="T723" s="207"/>
      <c r="U723" s="207"/>
      <c r="V723" s="207"/>
      <c r="W723" s="208"/>
      <c r="X723" s="208"/>
      <c r="Y723" s="208"/>
      <c r="Z723" s="208"/>
      <c r="AA723" s="208"/>
      <c r="AB723" s="208"/>
      <c r="AC723" s="208"/>
      <c r="AD723" s="208"/>
      <c r="AE723" s="208"/>
      <c r="AF723" s="208"/>
      <c r="AG723" s="208"/>
      <c r="AH723" s="208"/>
      <c r="AI723" s="100"/>
      <c r="AJ723" s="319"/>
      <c r="AK723" s="319"/>
      <c r="AL723" s="319"/>
      <c r="AM723" s="319"/>
      <c r="AN723" s="319"/>
      <c r="AO723" s="319"/>
      <c r="AP723" s="319"/>
      <c r="AQ723" s="319"/>
      <c r="AR723" s="319"/>
      <c r="AS723" s="319"/>
      <c r="AT723" s="319"/>
      <c r="AU723" s="319"/>
      <c r="AV723" s="319"/>
      <c r="AW723" s="319"/>
      <c r="AX723" s="319"/>
      <c r="AY723" s="319"/>
      <c r="AZ723" s="319"/>
      <c r="BA723" s="319"/>
      <c r="BB723" s="319"/>
      <c r="BC723" s="319"/>
      <c r="BD723" s="319"/>
      <c r="BE723" s="319"/>
      <c r="BF723" s="319"/>
      <c r="BG723" s="319"/>
      <c r="BH723" s="319"/>
      <c r="BI723" s="319"/>
      <c r="BJ723" s="319"/>
      <c r="BK723" s="319"/>
      <c r="BL723" s="319"/>
      <c r="BM723" s="319"/>
      <c r="BN723" s="319"/>
      <c r="BO723" s="319"/>
      <c r="BP723" s="319"/>
      <c r="BQ723" s="319"/>
      <c r="BR723" s="319"/>
    </row>
    <row r="724" ht="14.25" customHeight="1">
      <c r="A724" s="195"/>
      <c r="B724" s="100"/>
      <c r="C724" s="100"/>
      <c r="D724" s="100"/>
      <c r="E724" s="100"/>
      <c r="F724" s="206"/>
      <c r="G724" s="206"/>
      <c r="H724" s="207"/>
      <c r="I724" s="207"/>
      <c r="J724" s="207"/>
      <c r="K724" s="207"/>
      <c r="L724" s="207"/>
      <c r="M724" s="207"/>
      <c r="N724" s="207"/>
      <c r="O724" s="207"/>
      <c r="P724" s="207"/>
      <c r="Q724" s="207"/>
      <c r="R724" s="207"/>
      <c r="S724" s="207"/>
      <c r="T724" s="207"/>
      <c r="U724" s="207"/>
      <c r="V724" s="207"/>
      <c r="W724" s="208"/>
      <c r="X724" s="208"/>
      <c r="Y724" s="208"/>
      <c r="Z724" s="208"/>
      <c r="AA724" s="208"/>
      <c r="AB724" s="208"/>
      <c r="AC724" s="208"/>
      <c r="AD724" s="208"/>
      <c r="AE724" s="208"/>
      <c r="AF724" s="208"/>
      <c r="AG724" s="208"/>
      <c r="AH724" s="208"/>
      <c r="AI724" s="100"/>
      <c r="AJ724" s="319"/>
      <c r="AK724" s="319"/>
      <c r="AL724" s="319"/>
      <c r="AM724" s="319"/>
      <c r="AN724" s="319"/>
      <c r="AO724" s="319"/>
      <c r="AP724" s="319"/>
      <c r="AQ724" s="319"/>
      <c r="AR724" s="319"/>
      <c r="AS724" s="319"/>
      <c r="AT724" s="319"/>
      <c r="AU724" s="319"/>
      <c r="AV724" s="319"/>
      <c r="AW724" s="319"/>
      <c r="AX724" s="319"/>
      <c r="AY724" s="319"/>
      <c r="AZ724" s="319"/>
      <c r="BA724" s="319"/>
      <c r="BB724" s="319"/>
      <c r="BC724" s="319"/>
      <c r="BD724" s="319"/>
      <c r="BE724" s="319"/>
      <c r="BF724" s="319"/>
      <c r="BG724" s="319"/>
      <c r="BH724" s="319"/>
      <c r="BI724" s="319"/>
      <c r="BJ724" s="319"/>
      <c r="BK724" s="319"/>
      <c r="BL724" s="319"/>
      <c r="BM724" s="319"/>
      <c r="BN724" s="319"/>
      <c r="BO724" s="319"/>
      <c r="BP724" s="319"/>
      <c r="BQ724" s="319"/>
      <c r="BR724" s="319"/>
    </row>
    <row r="725" ht="14.25" customHeight="1">
      <c r="A725" s="195"/>
      <c r="B725" s="100"/>
      <c r="C725" s="100"/>
      <c r="D725" s="100"/>
      <c r="E725" s="100"/>
      <c r="F725" s="206"/>
      <c r="G725" s="206"/>
      <c r="H725" s="207"/>
      <c r="I725" s="207"/>
      <c r="J725" s="207"/>
      <c r="K725" s="207"/>
      <c r="L725" s="207"/>
      <c r="M725" s="207"/>
      <c r="N725" s="207"/>
      <c r="O725" s="207"/>
      <c r="P725" s="207"/>
      <c r="Q725" s="207"/>
      <c r="R725" s="207"/>
      <c r="S725" s="207"/>
      <c r="T725" s="207"/>
      <c r="U725" s="207"/>
      <c r="V725" s="207"/>
      <c r="W725" s="208"/>
      <c r="X725" s="208"/>
      <c r="Y725" s="208"/>
      <c r="Z725" s="208"/>
      <c r="AA725" s="208"/>
      <c r="AB725" s="208"/>
      <c r="AC725" s="208"/>
      <c r="AD725" s="208"/>
      <c r="AE725" s="208"/>
      <c r="AF725" s="208"/>
      <c r="AG725" s="208"/>
      <c r="AH725" s="208"/>
      <c r="AI725" s="100"/>
      <c r="AJ725" s="319"/>
      <c r="AK725" s="319"/>
      <c r="AL725" s="319"/>
      <c r="AM725" s="319"/>
      <c r="AN725" s="319"/>
      <c r="AO725" s="319"/>
      <c r="AP725" s="319"/>
      <c r="AQ725" s="319"/>
      <c r="AR725" s="319"/>
      <c r="AS725" s="319"/>
      <c r="AT725" s="319"/>
      <c r="AU725" s="319"/>
      <c r="AV725" s="319"/>
      <c r="AW725" s="319"/>
      <c r="AX725" s="319"/>
      <c r="AY725" s="319"/>
      <c r="AZ725" s="319"/>
      <c r="BA725" s="319"/>
      <c r="BB725" s="319"/>
      <c r="BC725" s="319"/>
      <c r="BD725" s="319"/>
      <c r="BE725" s="319"/>
      <c r="BF725" s="319"/>
      <c r="BG725" s="319"/>
      <c r="BH725" s="319"/>
      <c r="BI725" s="319"/>
      <c r="BJ725" s="319"/>
      <c r="BK725" s="319"/>
      <c r="BL725" s="319"/>
      <c r="BM725" s="319"/>
      <c r="BN725" s="319"/>
      <c r="BO725" s="319"/>
      <c r="BP725" s="319"/>
      <c r="BQ725" s="319"/>
      <c r="BR725" s="319"/>
    </row>
    <row r="726" ht="14.25" customHeight="1">
      <c r="A726" s="195"/>
      <c r="B726" s="100"/>
      <c r="C726" s="100"/>
      <c r="D726" s="100"/>
      <c r="E726" s="100"/>
      <c r="F726" s="206"/>
      <c r="G726" s="206"/>
      <c r="H726" s="207"/>
      <c r="I726" s="207"/>
      <c r="J726" s="207"/>
      <c r="K726" s="207"/>
      <c r="L726" s="207"/>
      <c r="M726" s="207"/>
      <c r="N726" s="207"/>
      <c r="O726" s="207"/>
      <c r="P726" s="207"/>
      <c r="Q726" s="207"/>
      <c r="R726" s="207"/>
      <c r="S726" s="207"/>
      <c r="T726" s="207"/>
      <c r="U726" s="207"/>
      <c r="V726" s="207"/>
      <c r="W726" s="208"/>
      <c r="X726" s="208"/>
      <c r="Y726" s="208"/>
      <c r="Z726" s="208"/>
      <c r="AA726" s="208"/>
      <c r="AB726" s="208"/>
      <c r="AC726" s="208"/>
      <c r="AD726" s="208"/>
      <c r="AE726" s="208"/>
      <c r="AF726" s="208"/>
      <c r="AG726" s="208"/>
      <c r="AH726" s="208"/>
      <c r="AI726" s="100"/>
      <c r="AJ726" s="319"/>
      <c r="AK726" s="319"/>
      <c r="AL726" s="319"/>
      <c r="AM726" s="319"/>
      <c r="AN726" s="319"/>
      <c r="AO726" s="319"/>
      <c r="AP726" s="319"/>
      <c r="AQ726" s="319"/>
      <c r="AR726" s="319"/>
      <c r="AS726" s="319"/>
      <c r="AT726" s="319"/>
      <c r="AU726" s="319"/>
      <c r="AV726" s="319"/>
      <c r="AW726" s="319"/>
      <c r="AX726" s="319"/>
      <c r="AY726" s="319"/>
      <c r="AZ726" s="319"/>
      <c r="BA726" s="319"/>
      <c r="BB726" s="319"/>
      <c r="BC726" s="319"/>
      <c r="BD726" s="319"/>
      <c r="BE726" s="319"/>
      <c r="BF726" s="319"/>
      <c r="BG726" s="319"/>
      <c r="BH726" s="319"/>
      <c r="BI726" s="319"/>
      <c r="BJ726" s="319"/>
      <c r="BK726" s="319"/>
      <c r="BL726" s="319"/>
      <c r="BM726" s="319"/>
      <c r="BN726" s="319"/>
      <c r="BO726" s="319"/>
      <c r="BP726" s="319"/>
      <c r="BQ726" s="319"/>
      <c r="BR726" s="319"/>
    </row>
    <row r="727" ht="14.25" customHeight="1">
      <c r="A727" s="195"/>
      <c r="B727" s="100"/>
      <c r="C727" s="100"/>
      <c r="D727" s="100"/>
      <c r="E727" s="100"/>
      <c r="F727" s="206"/>
      <c r="G727" s="206"/>
      <c r="H727" s="207"/>
      <c r="I727" s="207"/>
      <c r="J727" s="207"/>
      <c r="K727" s="207"/>
      <c r="L727" s="207"/>
      <c r="M727" s="207"/>
      <c r="N727" s="207"/>
      <c r="O727" s="207"/>
      <c r="P727" s="207"/>
      <c r="Q727" s="207"/>
      <c r="R727" s="207"/>
      <c r="S727" s="207"/>
      <c r="T727" s="207"/>
      <c r="U727" s="207"/>
      <c r="V727" s="207"/>
      <c r="W727" s="208"/>
      <c r="X727" s="208"/>
      <c r="Y727" s="208"/>
      <c r="Z727" s="208"/>
      <c r="AA727" s="208"/>
      <c r="AB727" s="208"/>
      <c r="AC727" s="208"/>
      <c r="AD727" s="208"/>
      <c r="AE727" s="208"/>
      <c r="AF727" s="208"/>
      <c r="AG727" s="208"/>
      <c r="AH727" s="208"/>
      <c r="AI727" s="100"/>
      <c r="AJ727" s="319"/>
      <c r="AK727" s="319"/>
      <c r="AL727" s="319"/>
      <c r="AM727" s="319"/>
      <c r="AN727" s="319"/>
      <c r="AO727" s="319"/>
      <c r="AP727" s="319"/>
      <c r="AQ727" s="319"/>
      <c r="AR727" s="319"/>
      <c r="AS727" s="319"/>
      <c r="AT727" s="319"/>
      <c r="AU727" s="319"/>
      <c r="AV727" s="319"/>
      <c r="AW727" s="319"/>
      <c r="AX727" s="319"/>
      <c r="AY727" s="319"/>
      <c r="AZ727" s="319"/>
      <c r="BA727" s="319"/>
      <c r="BB727" s="319"/>
      <c r="BC727" s="319"/>
      <c r="BD727" s="319"/>
      <c r="BE727" s="319"/>
      <c r="BF727" s="319"/>
      <c r="BG727" s="319"/>
      <c r="BH727" s="319"/>
      <c r="BI727" s="319"/>
      <c r="BJ727" s="319"/>
      <c r="BK727" s="319"/>
      <c r="BL727" s="319"/>
      <c r="BM727" s="319"/>
      <c r="BN727" s="319"/>
      <c r="BO727" s="319"/>
      <c r="BP727" s="319"/>
      <c r="BQ727" s="319"/>
      <c r="BR727" s="319"/>
    </row>
    <row r="728" ht="14.25" customHeight="1">
      <c r="A728" s="195"/>
      <c r="B728" s="100"/>
      <c r="C728" s="100"/>
      <c r="D728" s="100"/>
      <c r="E728" s="100"/>
      <c r="F728" s="206"/>
      <c r="G728" s="206"/>
      <c r="H728" s="207"/>
      <c r="I728" s="207"/>
      <c r="J728" s="207"/>
      <c r="K728" s="207"/>
      <c r="L728" s="207"/>
      <c r="M728" s="207"/>
      <c r="N728" s="207"/>
      <c r="O728" s="207"/>
      <c r="P728" s="207"/>
      <c r="Q728" s="207"/>
      <c r="R728" s="207"/>
      <c r="S728" s="207"/>
      <c r="T728" s="207"/>
      <c r="U728" s="207"/>
      <c r="V728" s="207"/>
      <c r="W728" s="208"/>
      <c r="X728" s="208"/>
      <c r="Y728" s="208"/>
      <c r="Z728" s="208"/>
      <c r="AA728" s="208"/>
      <c r="AB728" s="208"/>
      <c r="AC728" s="208"/>
      <c r="AD728" s="208"/>
      <c r="AE728" s="208"/>
      <c r="AF728" s="208"/>
      <c r="AG728" s="208"/>
      <c r="AH728" s="208"/>
      <c r="AI728" s="100"/>
      <c r="AJ728" s="319"/>
      <c r="AK728" s="319"/>
      <c r="AL728" s="319"/>
      <c r="AM728" s="319"/>
      <c r="AN728" s="319"/>
      <c r="AO728" s="319"/>
      <c r="AP728" s="319"/>
      <c r="AQ728" s="319"/>
      <c r="AR728" s="319"/>
      <c r="AS728" s="319"/>
      <c r="AT728" s="319"/>
      <c r="AU728" s="319"/>
      <c r="AV728" s="319"/>
      <c r="AW728" s="319"/>
      <c r="AX728" s="319"/>
      <c r="AY728" s="319"/>
      <c r="AZ728" s="319"/>
      <c r="BA728" s="319"/>
      <c r="BB728" s="319"/>
      <c r="BC728" s="319"/>
      <c r="BD728" s="319"/>
      <c r="BE728" s="319"/>
      <c r="BF728" s="319"/>
      <c r="BG728" s="319"/>
      <c r="BH728" s="319"/>
      <c r="BI728" s="319"/>
      <c r="BJ728" s="319"/>
      <c r="BK728" s="319"/>
      <c r="BL728" s="319"/>
      <c r="BM728" s="319"/>
      <c r="BN728" s="319"/>
      <c r="BO728" s="319"/>
      <c r="BP728" s="319"/>
      <c r="BQ728" s="319"/>
      <c r="BR728" s="319"/>
    </row>
    <row r="729" ht="14.25" customHeight="1">
      <c r="A729" s="195"/>
      <c r="B729" s="100"/>
      <c r="C729" s="100"/>
      <c r="D729" s="100"/>
      <c r="E729" s="100"/>
      <c r="F729" s="206"/>
      <c r="G729" s="206"/>
      <c r="H729" s="207"/>
      <c r="I729" s="207"/>
      <c r="J729" s="207"/>
      <c r="K729" s="207"/>
      <c r="L729" s="207"/>
      <c r="M729" s="207"/>
      <c r="N729" s="207"/>
      <c r="O729" s="207"/>
      <c r="P729" s="207"/>
      <c r="Q729" s="207"/>
      <c r="R729" s="207"/>
      <c r="S729" s="207"/>
      <c r="T729" s="207"/>
      <c r="U729" s="207"/>
      <c r="V729" s="207"/>
      <c r="W729" s="208"/>
      <c r="X729" s="208"/>
      <c r="Y729" s="208"/>
      <c r="Z729" s="208"/>
      <c r="AA729" s="208"/>
      <c r="AB729" s="208"/>
      <c r="AC729" s="208"/>
      <c r="AD729" s="208"/>
      <c r="AE729" s="208"/>
      <c r="AF729" s="208"/>
      <c r="AG729" s="208"/>
      <c r="AH729" s="208"/>
      <c r="AI729" s="100"/>
      <c r="AJ729" s="319"/>
      <c r="AK729" s="319"/>
      <c r="AL729" s="319"/>
      <c r="AM729" s="319"/>
      <c r="AN729" s="319"/>
      <c r="AO729" s="319"/>
      <c r="AP729" s="319"/>
      <c r="AQ729" s="319"/>
      <c r="AR729" s="319"/>
      <c r="AS729" s="319"/>
      <c r="AT729" s="319"/>
      <c r="AU729" s="319"/>
      <c r="AV729" s="319"/>
      <c r="AW729" s="319"/>
      <c r="AX729" s="319"/>
      <c r="AY729" s="319"/>
      <c r="AZ729" s="319"/>
      <c r="BA729" s="319"/>
      <c r="BB729" s="319"/>
      <c r="BC729" s="319"/>
      <c r="BD729" s="319"/>
      <c r="BE729" s="319"/>
      <c r="BF729" s="319"/>
      <c r="BG729" s="319"/>
      <c r="BH729" s="319"/>
      <c r="BI729" s="319"/>
      <c r="BJ729" s="319"/>
      <c r="BK729" s="319"/>
      <c r="BL729" s="319"/>
      <c r="BM729" s="319"/>
      <c r="BN729" s="319"/>
      <c r="BO729" s="319"/>
      <c r="BP729" s="319"/>
      <c r="BQ729" s="319"/>
      <c r="BR729" s="319"/>
    </row>
    <row r="730" ht="14.25" customHeight="1">
      <c r="A730" s="195"/>
      <c r="B730" s="100"/>
      <c r="C730" s="100"/>
      <c r="D730" s="100"/>
      <c r="E730" s="100"/>
      <c r="F730" s="206"/>
      <c r="G730" s="206"/>
      <c r="H730" s="207"/>
      <c r="I730" s="207"/>
      <c r="J730" s="207"/>
      <c r="K730" s="207"/>
      <c r="L730" s="207"/>
      <c r="M730" s="207"/>
      <c r="N730" s="207"/>
      <c r="O730" s="207"/>
      <c r="P730" s="207"/>
      <c r="Q730" s="207"/>
      <c r="R730" s="207"/>
      <c r="S730" s="207"/>
      <c r="T730" s="207"/>
      <c r="U730" s="207"/>
      <c r="V730" s="207"/>
      <c r="W730" s="208"/>
      <c r="X730" s="208"/>
      <c r="Y730" s="208"/>
      <c r="Z730" s="208"/>
      <c r="AA730" s="208"/>
      <c r="AB730" s="208"/>
      <c r="AC730" s="208"/>
      <c r="AD730" s="208"/>
      <c r="AE730" s="208"/>
      <c r="AF730" s="208"/>
      <c r="AG730" s="208"/>
      <c r="AH730" s="208"/>
      <c r="AI730" s="100"/>
      <c r="AJ730" s="319"/>
      <c r="AK730" s="319"/>
      <c r="AL730" s="319"/>
      <c r="AM730" s="319"/>
      <c r="AN730" s="319"/>
      <c r="AO730" s="319"/>
      <c r="AP730" s="319"/>
      <c r="AQ730" s="319"/>
      <c r="AR730" s="319"/>
      <c r="AS730" s="319"/>
      <c r="AT730" s="319"/>
      <c r="AU730" s="319"/>
      <c r="AV730" s="319"/>
      <c r="AW730" s="319"/>
      <c r="AX730" s="319"/>
      <c r="AY730" s="319"/>
      <c r="AZ730" s="319"/>
      <c r="BA730" s="319"/>
      <c r="BB730" s="319"/>
      <c r="BC730" s="319"/>
      <c r="BD730" s="319"/>
      <c r="BE730" s="319"/>
      <c r="BF730" s="319"/>
      <c r="BG730" s="319"/>
      <c r="BH730" s="319"/>
      <c r="BI730" s="319"/>
      <c r="BJ730" s="319"/>
      <c r="BK730" s="319"/>
      <c r="BL730" s="319"/>
      <c r="BM730" s="319"/>
      <c r="BN730" s="319"/>
      <c r="BO730" s="319"/>
      <c r="BP730" s="319"/>
      <c r="BQ730" s="319"/>
      <c r="BR730" s="319"/>
    </row>
    <row r="731" ht="14.25" customHeight="1">
      <c r="A731" s="195"/>
      <c r="B731" s="100"/>
      <c r="C731" s="100"/>
      <c r="D731" s="100"/>
      <c r="E731" s="100"/>
      <c r="F731" s="206"/>
      <c r="G731" s="206"/>
      <c r="H731" s="207"/>
      <c r="I731" s="207"/>
      <c r="J731" s="207"/>
      <c r="K731" s="207"/>
      <c r="L731" s="207"/>
      <c r="M731" s="207"/>
      <c r="N731" s="207"/>
      <c r="O731" s="207"/>
      <c r="P731" s="207"/>
      <c r="Q731" s="207"/>
      <c r="R731" s="207"/>
      <c r="S731" s="207"/>
      <c r="T731" s="207"/>
      <c r="U731" s="207"/>
      <c r="V731" s="207"/>
      <c r="W731" s="208"/>
      <c r="X731" s="208"/>
      <c r="Y731" s="208"/>
      <c r="Z731" s="208"/>
      <c r="AA731" s="208"/>
      <c r="AB731" s="208"/>
      <c r="AC731" s="208"/>
      <c r="AD731" s="208"/>
      <c r="AE731" s="208"/>
      <c r="AF731" s="208"/>
      <c r="AG731" s="208"/>
      <c r="AH731" s="208"/>
      <c r="AI731" s="100"/>
      <c r="AJ731" s="319"/>
      <c r="AK731" s="319"/>
      <c r="AL731" s="319"/>
      <c r="AM731" s="319"/>
      <c r="AN731" s="319"/>
      <c r="AO731" s="319"/>
      <c r="AP731" s="319"/>
      <c r="AQ731" s="319"/>
      <c r="AR731" s="319"/>
      <c r="AS731" s="319"/>
      <c r="AT731" s="319"/>
      <c r="AU731" s="319"/>
      <c r="AV731" s="319"/>
      <c r="AW731" s="319"/>
      <c r="AX731" s="319"/>
      <c r="AY731" s="319"/>
      <c r="AZ731" s="319"/>
      <c r="BA731" s="319"/>
      <c r="BB731" s="319"/>
      <c r="BC731" s="319"/>
      <c r="BD731" s="319"/>
      <c r="BE731" s="319"/>
      <c r="BF731" s="319"/>
      <c r="BG731" s="319"/>
      <c r="BH731" s="319"/>
      <c r="BI731" s="319"/>
      <c r="BJ731" s="319"/>
      <c r="BK731" s="319"/>
      <c r="BL731" s="319"/>
      <c r="BM731" s="319"/>
      <c r="BN731" s="319"/>
      <c r="BO731" s="319"/>
      <c r="BP731" s="319"/>
      <c r="BQ731" s="319"/>
      <c r="BR731" s="319"/>
    </row>
    <row r="732" ht="14.25" customHeight="1">
      <c r="A732" s="195"/>
      <c r="B732" s="100"/>
      <c r="C732" s="100"/>
      <c r="D732" s="100"/>
      <c r="E732" s="100"/>
      <c r="F732" s="206"/>
      <c r="G732" s="206"/>
      <c r="H732" s="207"/>
      <c r="I732" s="207"/>
      <c r="J732" s="207"/>
      <c r="K732" s="207"/>
      <c r="L732" s="207"/>
      <c r="M732" s="207"/>
      <c r="N732" s="207"/>
      <c r="O732" s="207"/>
      <c r="P732" s="207"/>
      <c r="Q732" s="207"/>
      <c r="R732" s="207"/>
      <c r="S732" s="207"/>
      <c r="T732" s="207"/>
      <c r="U732" s="207"/>
      <c r="V732" s="207"/>
      <c r="W732" s="208"/>
      <c r="X732" s="208"/>
      <c r="Y732" s="208"/>
      <c r="Z732" s="208"/>
      <c r="AA732" s="208"/>
      <c r="AB732" s="208"/>
      <c r="AC732" s="208"/>
      <c r="AD732" s="208"/>
      <c r="AE732" s="208"/>
      <c r="AF732" s="208"/>
      <c r="AG732" s="208"/>
      <c r="AH732" s="208"/>
      <c r="AI732" s="100"/>
      <c r="AJ732" s="319"/>
      <c r="AK732" s="319"/>
      <c r="AL732" s="319"/>
      <c r="AM732" s="319"/>
      <c r="AN732" s="319"/>
      <c r="AO732" s="319"/>
      <c r="AP732" s="319"/>
      <c r="AQ732" s="319"/>
      <c r="AR732" s="319"/>
      <c r="AS732" s="319"/>
      <c r="AT732" s="319"/>
      <c r="AU732" s="319"/>
      <c r="AV732" s="319"/>
      <c r="AW732" s="319"/>
      <c r="AX732" s="319"/>
      <c r="AY732" s="319"/>
      <c r="AZ732" s="319"/>
      <c r="BA732" s="319"/>
      <c r="BB732" s="319"/>
      <c r="BC732" s="319"/>
      <c r="BD732" s="319"/>
      <c r="BE732" s="319"/>
      <c r="BF732" s="319"/>
      <c r="BG732" s="319"/>
      <c r="BH732" s="319"/>
      <c r="BI732" s="319"/>
      <c r="BJ732" s="319"/>
      <c r="BK732" s="319"/>
      <c r="BL732" s="319"/>
      <c r="BM732" s="319"/>
      <c r="BN732" s="319"/>
      <c r="BO732" s="319"/>
      <c r="BP732" s="319"/>
      <c r="BQ732" s="319"/>
      <c r="BR732" s="319"/>
    </row>
    <row r="733" ht="14.25" customHeight="1">
      <c r="A733" s="195"/>
      <c r="B733" s="100"/>
      <c r="C733" s="100"/>
      <c r="D733" s="100"/>
      <c r="E733" s="100"/>
      <c r="F733" s="206"/>
      <c r="G733" s="206"/>
      <c r="H733" s="207"/>
      <c r="I733" s="207"/>
      <c r="J733" s="207"/>
      <c r="K733" s="207"/>
      <c r="L733" s="207"/>
      <c r="M733" s="207"/>
      <c r="N733" s="207"/>
      <c r="O733" s="207"/>
      <c r="P733" s="207"/>
      <c r="Q733" s="207"/>
      <c r="R733" s="207"/>
      <c r="S733" s="207"/>
      <c r="T733" s="207"/>
      <c r="U733" s="207"/>
      <c r="V733" s="207"/>
      <c r="W733" s="208"/>
      <c r="X733" s="208"/>
      <c r="Y733" s="208"/>
      <c r="Z733" s="208"/>
      <c r="AA733" s="208"/>
      <c r="AB733" s="208"/>
      <c r="AC733" s="208"/>
      <c r="AD733" s="208"/>
      <c r="AE733" s="208"/>
      <c r="AF733" s="208"/>
      <c r="AG733" s="208"/>
      <c r="AH733" s="208"/>
      <c r="AI733" s="100"/>
      <c r="AJ733" s="319"/>
      <c r="AK733" s="319"/>
      <c r="AL733" s="319"/>
      <c r="AM733" s="319"/>
      <c r="AN733" s="319"/>
      <c r="AO733" s="319"/>
      <c r="AP733" s="319"/>
      <c r="AQ733" s="319"/>
      <c r="AR733" s="319"/>
      <c r="AS733" s="319"/>
      <c r="AT733" s="319"/>
      <c r="AU733" s="319"/>
      <c r="AV733" s="319"/>
      <c r="AW733" s="319"/>
      <c r="AX733" s="319"/>
      <c r="AY733" s="319"/>
      <c r="AZ733" s="319"/>
      <c r="BA733" s="319"/>
      <c r="BB733" s="319"/>
      <c r="BC733" s="319"/>
      <c r="BD733" s="319"/>
      <c r="BE733" s="319"/>
      <c r="BF733" s="319"/>
      <c r="BG733" s="319"/>
      <c r="BH733" s="319"/>
      <c r="BI733" s="319"/>
      <c r="BJ733" s="319"/>
      <c r="BK733" s="319"/>
      <c r="BL733" s="319"/>
      <c r="BM733" s="319"/>
      <c r="BN733" s="319"/>
      <c r="BO733" s="319"/>
      <c r="BP733" s="319"/>
      <c r="BQ733" s="319"/>
      <c r="BR733" s="319"/>
    </row>
    <row r="734" ht="14.25" customHeight="1">
      <c r="A734" s="195"/>
      <c r="B734" s="100"/>
      <c r="C734" s="100"/>
      <c r="D734" s="100"/>
      <c r="E734" s="100"/>
      <c r="F734" s="206"/>
      <c r="G734" s="206"/>
      <c r="H734" s="207"/>
      <c r="I734" s="207"/>
      <c r="J734" s="207"/>
      <c r="K734" s="207"/>
      <c r="L734" s="207"/>
      <c r="M734" s="207"/>
      <c r="N734" s="207"/>
      <c r="O734" s="207"/>
      <c r="P734" s="207"/>
      <c r="Q734" s="207"/>
      <c r="R734" s="207"/>
      <c r="S734" s="207"/>
      <c r="T734" s="207"/>
      <c r="U734" s="207"/>
      <c r="V734" s="207"/>
      <c r="W734" s="208"/>
      <c r="X734" s="208"/>
      <c r="Y734" s="208"/>
      <c r="Z734" s="208"/>
      <c r="AA734" s="208"/>
      <c r="AB734" s="208"/>
      <c r="AC734" s="208"/>
      <c r="AD734" s="208"/>
      <c r="AE734" s="208"/>
      <c r="AF734" s="208"/>
      <c r="AG734" s="208"/>
      <c r="AH734" s="208"/>
      <c r="AI734" s="100"/>
      <c r="AJ734" s="319"/>
      <c r="AK734" s="319"/>
      <c r="AL734" s="319"/>
      <c r="AM734" s="319"/>
      <c r="AN734" s="319"/>
      <c r="AO734" s="319"/>
      <c r="AP734" s="319"/>
      <c r="AQ734" s="319"/>
      <c r="AR734" s="319"/>
      <c r="AS734" s="319"/>
      <c r="AT734" s="319"/>
      <c r="AU734" s="319"/>
      <c r="AV734" s="319"/>
      <c r="AW734" s="319"/>
      <c r="AX734" s="319"/>
      <c r="AY734" s="319"/>
      <c r="AZ734" s="319"/>
      <c r="BA734" s="319"/>
      <c r="BB734" s="319"/>
      <c r="BC734" s="319"/>
      <c r="BD734" s="319"/>
      <c r="BE734" s="319"/>
      <c r="BF734" s="319"/>
      <c r="BG734" s="319"/>
      <c r="BH734" s="319"/>
      <c r="BI734" s="319"/>
      <c r="BJ734" s="319"/>
      <c r="BK734" s="319"/>
      <c r="BL734" s="319"/>
      <c r="BM734" s="319"/>
      <c r="BN734" s="319"/>
      <c r="BO734" s="319"/>
      <c r="BP734" s="319"/>
      <c r="BQ734" s="319"/>
      <c r="BR734" s="319"/>
    </row>
    <row r="735" ht="14.25" customHeight="1">
      <c r="A735" s="195"/>
      <c r="B735" s="100"/>
      <c r="C735" s="100"/>
      <c r="D735" s="100"/>
      <c r="E735" s="100"/>
      <c r="F735" s="206"/>
      <c r="G735" s="206"/>
      <c r="H735" s="207"/>
      <c r="I735" s="207"/>
      <c r="J735" s="207"/>
      <c r="K735" s="207"/>
      <c r="L735" s="207"/>
      <c r="M735" s="207"/>
      <c r="N735" s="207"/>
      <c r="O735" s="207"/>
      <c r="P735" s="207"/>
      <c r="Q735" s="207"/>
      <c r="R735" s="207"/>
      <c r="S735" s="207"/>
      <c r="T735" s="207"/>
      <c r="U735" s="207"/>
      <c r="V735" s="207"/>
      <c r="W735" s="208"/>
      <c r="X735" s="208"/>
      <c r="Y735" s="208"/>
      <c r="Z735" s="208"/>
      <c r="AA735" s="208"/>
      <c r="AB735" s="208"/>
      <c r="AC735" s="208"/>
      <c r="AD735" s="208"/>
      <c r="AE735" s="208"/>
      <c r="AF735" s="208"/>
      <c r="AG735" s="208"/>
      <c r="AH735" s="208"/>
      <c r="AI735" s="100"/>
      <c r="AJ735" s="319"/>
      <c r="AK735" s="319"/>
      <c r="AL735" s="319"/>
      <c r="AM735" s="319"/>
      <c r="AN735" s="319"/>
      <c r="AO735" s="319"/>
      <c r="AP735" s="319"/>
      <c r="AQ735" s="319"/>
      <c r="AR735" s="319"/>
      <c r="AS735" s="319"/>
      <c r="AT735" s="319"/>
      <c r="AU735" s="319"/>
      <c r="AV735" s="319"/>
      <c r="AW735" s="319"/>
      <c r="AX735" s="319"/>
      <c r="AY735" s="319"/>
      <c r="AZ735" s="319"/>
      <c r="BA735" s="319"/>
      <c r="BB735" s="319"/>
      <c r="BC735" s="319"/>
      <c r="BD735" s="319"/>
      <c r="BE735" s="319"/>
      <c r="BF735" s="319"/>
      <c r="BG735" s="319"/>
      <c r="BH735" s="319"/>
      <c r="BI735" s="319"/>
      <c r="BJ735" s="319"/>
      <c r="BK735" s="319"/>
      <c r="BL735" s="319"/>
      <c r="BM735" s="319"/>
      <c r="BN735" s="319"/>
      <c r="BO735" s="319"/>
      <c r="BP735" s="319"/>
      <c r="BQ735" s="319"/>
      <c r="BR735" s="319"/>
    </row>
    <row r="736" ht="14.25" customHeight="1">
      <c r="A736" s="195"/>
      <c r="B736" s="100"/>
      <c r="C736" s="100"/>
      <c r="D736" s="100"/>
      <c r="E736" s="100"/>
      <c r="F736" s="206"/>
      <c r="G736" s="206"/>
      <c r="H736" s="207"/>
      <c r="I736" s="207"/>
      <c r="J736" s="207"/>
      <c r="K736" s="207"/>
      <c r="L736" s="207"/>
      <c r="M736" s="207"/>
      <c r="N736" s="207"/>
      <c r="O736" s="207"/>
      <c r="P736" s="207"/>
      <c r="Q736" s="207"/>
      <c r="R736" s="207"/>
      <c r="S736" s="207"/>
      <c r="T736" s="207"/>
      <c r="U736" s="207"/>
      <c r="V736" s="207"/>
      <c r="W736" s="208"/>
      <c r="X736" s="208"/>
      <c r="Y736" s="208"/>
      <c r="Z736" s="208"/>
      <c r="AA736" s="208"/>
      <c r="AB736" s="208"/>
      <c r="AC736" s="208"/>
      <c r="AD736" s="208"/>
      <c r="AE736" s="208"/>
      <c r="AF736" s="208"/>
      <c r="AG736" s="208"/>
      <c r="AH736" s="208"/>
      <c r="AI736" s="100"/>
      <c r="AJ736" s="319"/>
      <c r="AK736" s="319"/>
      <c r="AL736" s="319"/>
      <c r="AM736" s="319"/>
      <c r="AN736" s="319"/>
      <c r="AO736" s="319"/>
      <c r="AP736" s="319"/>
      <c r="AQ736" s="319"/>
      <c r="AR736" s="319"/>
      <c r="AS736" s="319"/>
      <c r="AT736" s="319"/>
      <c r="AU736" s="319"/>
      <c r="AV736" s="319"/>
      <c r="AW736" s="319"/>
      <c r="AX736" s="319"/>
      <c r="AY736" s="319"/>
      <c r="AZ736" s="319"/>
      <c r="BA736" s="319"/>
      <c r="BB736" s="319"/>
      <c r="BC736" s="319"/>
      <c r="BD736" s="319"/>
      <c r="BE736" s="319"/>
      <c r="BF736" s="319"/>
      <c r="BG736" s="319"/>
      <c r="BH736" s="319"/>
      <c r="BI736" s="319"/>
      <c r="BJ736" s="319"/>
      <c r="BK736" s="319"/>
      <c r="BL736" s="319"/>
      <c r="BM736" s="319"/>
      <c r="BN736" s="319"/>
      <c r="BO736" s="319"/>
      <c r="BP736" s="319"/>
      <c r="BQ736" s="319"/>
      <c r="BR736" s="319"/>
    </row>
    <row r="737" ht="14.25" customHeight="1">
      <c r="A737" s="195"/>
      <c r="B737" s="100"/>
      <c r="C737" s="100"/>
      <c r="D737" s="100"/>
      <c r="E737" s="100"/>
      <c r="F737" s="206"/>
      <c r="G737" s="206"/>
      <c r="H737" s="207"/>
      <c r="I737" s="207"/>
      <c r="J737" s="207"/>
      <c r="K737" s="207"/>
      <c r="L737" s="207"/>
      <c r="M737" s="207"/>
      <c r="N737" s="207"/>
      <c r="O737" s="207"/>
      <c r="P737" s="207"/>
      <c r="Q737" s="207"/>
      <c r="R737" s="207"/>
      <c r="S737" s="207"/>
      <c r="T737" s="207"/>
      <c r="U737" s="207"/>
      <c r="V737" s="207"/>
      <c r="W737" s="208"/>
      <c r="X737" s="208"/>
      <c r="Y737" s="208"/>
      <c r="Z737" s="208"/>
      <c r="AA737" s="208"/>
      <c r="AB737" s="208"/>
      <c r="AC737" s="208"/>
      <c r="AD737" s="208"/>
      <c r="AE737" s="208"/>
      <c r="AF737" s="208"/>
      <c r="AG737" s="208"/>
      <c r="AH737" s="208"/>
      <c r="AI737" s="100"/>
      <c r="AJ737" s="319"/>
      <c r="AK737" s="319"/>
      <c r="AL737" s="319"/>
      <c r="AM737" s="319"/>
      <c r="AN737" s="319"/>
      <c r="AO737" s="319"/>
      <c r="AP737" s="319"/>
      <c r="AQ737" s="319"/>
      <c r="AR737" s="319"/>
      <c r="AS737" s="319"/>
      <c r="AT737" s="319"/>
      <c r="AU737" s="319"/>
      <c r="AV737" s="319"/>
      <c r="AW737" s="319"/>
      <c r="AX737" s="319"/>
      <c r="AY737" s="319"/>
      <c r="AZ737" s="319"/>
      <c r="BA737" s="319"/>
      <c r="BB737" s="319"/>
      <c r="BC737" s="319"/>
      <c r="BD737" s="319"/>
      <c r="BE737" s="319"/>
      <c r="BF737" s="319"/>
      <c r="BG737" s="319"/>
      <c r="BH737" s="319"/>
      <c r="BI737" s="319"/>
      <c r="BJ737" s="319"/>
      <c r="BK737" s="319"/>
      <c r="BL737" s="319"/>
      <c r="BM737" s="319"/>
      <c r="BN737" s="319"/>
      <c r="BO737" s="319"/>
      <c r="BP737" s="319"/>
      <c r="BQ737" s="319"/>
      <c r="BR737" s="319"/>
    </row>
    <row r="738" ht="14.25" customHeight="1">
      <c r="A738" s="195"/>
      <c r="B738" s="100"/>
      <c r="C738" s="100"/>
      <c r="D738" s="100"/>
      <c r="E738" s="100"/>
      <c r="F738" s="206"/>
      <c r="G738" s="206"/>
      <c r="H738" s="207"/>
      <c r="I738" s="207"/>
      <c r="J738" s="207"/>
      <c r="K738" s="207"/>
      <c r="L738" s="207"/>
      <c r="M738" s="207"/>
      <c r="N738" s="207"/>
      <c r="O738" s="207"/>
      <c r="P738" s="207"/>
      <c r="Q738" s="207"/>
      <c r="R738" s="207"/>
      <c r="S738" s="207"/>
      <c r="T738" s="207"/>
      <c r="U738" s="207"/>
      <c r="V738" s="207"/>
      <c r="W738" s="208"/>
      <c r="X738" s="208"/>
      <c r="Y738" s="208"/>
      <c r="Z738" s="208"/>
      <c r="AA738" s="208"/>
      <c r="AB738" s="208"/>
      <c r="AC738" s="208"/>
      <c r="AD738" s="208"/>
      <c r="AE738" s="208"/>
      <c r="AF738" s="208"/>
      <c r="AG738" s="208"/>
      <c r="AH738" s="208"/>
      <c r="AI738" s="100"/>
      <c r="AJ738" s="319"/>
      <c r="AK738" s="319"/>
      <c r="AL738" s="319"/>
      <c r="AM738" s="319"/>
      <c r="AN738" s="319"/>
      <c r="AO738" s="319"/>
      <c r="AP738" s="319"/>
      <c r="AQ738" s="319"/>
      <c r="AR738" s="319"/>
      <c r="AS738" s="319"/>
      <c r="AT738" s="319"/>
      <c r="AU738" s="319"/>
      <c r="AV738" s="319"/>
      <c r="AW738" s="319"/>
      <c r="AX738" s="319"/>
      <c r="AY738" s="319"/>
      <c r="AZ738" s="319"/>
      <c r="BA738" s="319"/>
      <c r="BB738" s="319"/>
      <c r="BC738" s="319"/>
      <c r="BD738" s="319"/>
      <c r="BE738" s="319"/>
      <c r="BF738" s="319"/>
      <c r="BG738" s="319"/>
      <c r="BH738" s="319"/>
      <c r="BI738" s="319"/>
      <c r="BJ738" s="319"/>
      <c r="BK738" s="319"/>
      <c r="BL738" s="319"/>
      <c r="BM738" s="319"/>
      <c r="BN738" s="319"/>
      <c r="BO738" s="319"/>
      <c r="BP738" s="319"/>
      <c r="BQ738" s="319"/>
      <c r="BR738" s="319"/>
    </row>
    <row r="739" ht="14.25" customHeight="1">
      <c r="A739" s="195"/>
      <c r="B739" s="100"/>
      <c r="C739" s="100"/>
      <c r="D739" s="100"/>
      <c r="E739" s="100"/>
      <c r="F739" s="206"/>
      <c r="G739" s="206"/>
      <c r="H739" s="207"/>
      <c r="I739" s="207"/>
      <c r="J739" s="207"/>
      <c r="K739" s="207"/>
      <c r="L739" s="207"/>
      <c r="M739" s="207"/>
      <c r="N739" s="207"/>
      <c r="O739" s="207"/>
      <c r="P739" s="207"/>
      <c r="Q739" s="207"/>
      <c r="R739" s="207"/>
      <c r="S739" s="207"/>
      <c r="T739" s="207"/>
      <c r="U739" s="207"/>
      <c r="V739" s="207"/>
      <c r="W739" s="208"/>
      <c r="X739" s="208"/>
      <c r="Y739" s="208"/>
      <c r="Z739" s="208"/>
      <c r="AA739" s="208"/>
      <c r="AB739" s="208"/>
      <c r="AC739" s="208"/>
      <c r="AD739" s="208"/>
      <c r="AE739" s="208"/>
      <c r="AF739" s="208"/>
      <c r="AG739" s="208"/>
      <c r="AH739" s="208"/>
      <c r="AI739" s="100"/>
      <c r="AJ739" s="319"/>
      <c r="AK739" s="319"/>
      <c r="AL739" s="319"/>
      <c r="AM739" s="319"/>
      <c r="AN739" s="319"/>
      <c r="AO739" s="319"/>
      <c r="AP739" s="319"/>
      <c r="AQ739" s="319"/>
      <c r="AR739" s="319"/>
      <c r="AS739" s="319"/>
      <c r="AT739" s="319"/>
      <c r="AU739" s="319"/>
      <c r="AV739" s="319"/>
      <c r="AW739" s="319"/>
      <c r="AX739" s="319"/>
      <c r="AY739" s="319"/>
      <c r="AZ739" s="319"/>
      <c r="BA739" s="319"/>
      <c r="BB739" s="319"/>
      <c r="BC739" s="319"/>
      <c r="BD739" s="319"/>
      <c r="BE739" s="319"/>
      <c r="BF739" s="319"/>
      <c r="BG739" s="319"/>
      <c r="BH739" s="319"/>
      <c r="BI739" s="319"/>
      <c r="BJ739" s="319"/>
      <c r="BK739" s="319"/>
      <c r="BL739" s="319"/>
      <c r="BM739" s="319"/>
      <c r="BN739" s="319"/>
      <c r="BO739" s="319"/>
      <c r="BP739" s="319"/>
      <c r="BQ739" s="319"/>
      <c r="BR739" s="319"/>
    </row>
    <row r="740" ht="14.25" customHeight="1">
      <c r="A740" s="195"/>
      <c r="B740" s="100"/>
      <c r="C740" s="100"/>
      <c r="D740" s="100"/>
      <c r="E740" s="100"/>
      <c r="F740" s="206"/>
      <c r="G740" s="206"/>
      <c r="H740" s="207"/>
      <c r="I740" s="207"/>
      <c r="J740" s="207"/>
      <c r="K740" s="207"/>
      <c r="L740" s="207"/>
      <c r="M740" s="207"/>
      <c r="N740" s="207"/>
      <c r="O740" s="207"/>
      <c r="P740" s="207"/>
      <c r="Q740" s="207"/>
      <c r="R740" s="207"/>
      <c r="S740" s="207"/>
      <c r="T740" s="207"/>
      <c r="U740" s="207"/>
      <c r="V740" s="207"/>
      <c r="W740" s="208"/>
      <c r="X740" s="208"/>
      <c r="Y740" s="208"/>
      <c r="Z740" s="208"/>
      <c r="AA740" s="208"/>
      <c r="AB740" s="208"/>
      <c r="AC740" s="208"/>
      <c r="AD740" s="208"/>
      <c r="AE740" s="208"/>
      <c r="AF740" s="208"/>
      <c r="AG740" s="208"/>
      <c r="AH740" s="208"/>
      <c r="AI740" s="100"/>
      <c r="AJ740" s="319"/>
      <c r="AK740" s="319"/>
      <c r="AL740" s="319"/>
      <c r="AM740" s="319"/>
      <c r="AN740" s="319"/>
      <c r="AO740" s="319"/>
      <c r="AP740" s="319"/>
      <c r="AQ740" s="319"/>
      <c r="AR740" s="319"/>
      <c r="AS740" s="319"/>
      <c r="AT740" s="319"/>
      <c r="AU740" s="319"/>
      <c r="AV740" s="319"/>
      <c r="AW740" s="319"/>
      <c r="AX740" s="319"/>
      <c r="AY740" s="319"/>
      <c r="AZ740" s="319"/>
      <c r="BA740" s="319"/>
      <c r="BB740" s="319"/>
      <c r="BC740" s="319"/>
      <c r="BD740" s="319"/>
      <c r="BE740" s="319"/>
      <c r="BF740" s="319"/>
      <c r="BG740" s="319"/>
      <c r="BH740" s="319"/>
      <c r="BI740" s="319"/>
      <c r="BJ740" s="319"/>
      <c r="BK740" s="319"/>
      <c r="BL740" s="319"/>
      <c r="BM740" s="319"/>
      <c r="BN740" s="319"/>
      <c r="BO740" s="319"/>
      <c r="BP740" s="319"/>
      <c r="BQ740" s="319"/>
      <c r="BR740" s="319"/>
    </row>
    <row r="741" ht="14.25" customHeight="1">
      <c r="A741" s="195"/>
      <c r="B741" s="100"/>
      <c r="C741" s="100"/>
      <c r="D741" s="100"/>
      <c r="E741" s="100"/>
      <c r="F741" s="206"/>
      <c r="G741" s="206"/>
      <c r="H741" s="207"/>
      <c r="I741" s="207"/>
      <c r="J741" s="207"/>
      <c r="K741" s="207"/>
      <c r="L741" s="207"/>
      <c r="M741" s="207"/>
      <c r="N741" s="207"/>
      <c r="O741" s="207"/>
      <c r="P741" s="207"/>
      <c r="Q741" s="207"/>
      <c r="R741" s="207"/>
      <c r="S741" s="207"/>
      <c r="T741" s="207"/>
      <c r="U741" s="207"/>
      <c r="V741" s="207"/>
      <c r="W741" s="208"/>
      <c r="X741" s="208"/>
      <c r="Y741" s="208"/>
      <c r="Z741" s="208"/>
      <c r="AA741" s="208"/>
      <c r="AB741" s="208"/>
      <c r="AC741" s="208"/>
      <c r="AD741" s="208"/>
      <c r="AE741" s="208"/>
      <c r="AF741" s="208"/>
      <c r="AG741" s="208"/>
      <c r="AH741" s="208"/>
      <c r="AI741" s="100"/>
      <c r="AJ741" s="319"/>
      <c r="AK741" s="319"/>
      <c r="AL741" s="319"/>
      <c r="AM741" s="319"/>
      <c r="AN741" s="319"/>
      <c r="AO741" s="319"/>
      <c r="AP741" s="319"/>
      <c r="AQ741" s="319"/>
      <c r="AR741" s="319"/>
      <c r="AS741" s="319"/>
      <c r="AT741" s="319"/>
      <c r="AU741" s="319"/>
      <c r="AV741" s="319"/>
      <c r="AW741" s="319"/>
      <c r="AX741" s="319"/>
      <c r="AY741" s="319"/>
      <c r="AZ741" s="319"/>
      <c r="BA741" s="319"/>
      <c r="BB741" s="319"/>
      <c r="BC741" s="319"/>
      <c r="BD741" s="319"/>
      <c r="BE741" s="319"/>
      <c r="BF741" s="319"/>
      <c r="BG741" s="319"/>
      <c r="BH741" s="319"/>
      <c r="BI741" s="319"/>
      <c r="BJ741" s="319"/>
      <c r="BK741" s="319"/>
      <c r="BL741" s="319"/>
      <c r="BM741" s="319"/>
      <c r="BN741" s="319"/>
      <c r="BO741" s="319"/>
      <c r="BP741" s="319"/>
      <c r="BQ741" s="319"/>
      <c r="BR741" s="319"/>
    </row>
    <row r="742" ht="14.25" customHeight="1">
      <c r="A742" s="195"/>
      <c r="B742" s="100"/>
      <c r="C742" s="100"/>
      <c r="D742" s="100"/>
      <c r="E742" s="100"/>
      <c r="F742" s="206"/>
      <c r="G742" s="206"/>
      <c r="H742" s="207"/>
      <c r="I742" s="207"/>
      <c r="J742" s="207"/>
      <c r="K742" s="207"/>
      <c r="L742" s="207"/>
      <c r="M742" s="207"/>
      <c r="N742" s="207"/>
      <c r="O742" s="207"/>
      <c r="P742" s="207"/>
      <c r="Q742" s="207"/>
      <c r="R742" s="207"/>
      <c r="S742" s="207"/>
      <c r="T742" s="207"/>
      <c r="U742" s="207"/>
      <c r="V742" s="207"/>
      <c r="W742" s="208"/>
      <c r="X742" s="208"/>
      <c r="Y742" s="208"/>
      <c r="Z742" s="208"/>
      <c r="AA742" s="208"/>
      <c r="AB742" s="208"/>
      <c r="AC742" s="208"/>
      <c r="AD742" s="208"/>
      <c r="AE742" s="208"/>
      <c r="AF742" s="208"/>
      <c r="AG742" s="208"/>
      <c r="AH742" s="208"/>
      <c r="AI742" s="100"/>
      <c r="AJ742" s="319"/>
      <c r="AK742" s="319"/>
      <c r="AL742" s="319"/>
      <c r="AM742" s="319"/>
      <c r="AN742" s="319"/>
      <c r="AO742" s="319"/>
      <c r="AP742" s="319"/>
      <c r="AQ742" s="319"/>
      <c r="AR742" s="319"/>
      <c r="AS742" s="319"/>
      <c r="AT742" s="319"/>
      <c r="AU742" s="319"/>
      <c r="AV742" s="319"/>
      <c r="AW742" s="319"/>
      <c r="AX742" s="319"/>
      <c r="AY742" s="319"/>
      <c r="AZ742" s="319"/>
      <c r="BA742" s="319"/>
      <c r="BB742" s="319"/>
      <c r="BC742" s="319"/>
      <c r="BD742" s="319"/>
      <c r="BE742" s="319"/>
      <c r="BF742" s="319"/>
      <c r="BG742" s="319"/>
      <c r="BH742" s="319"/>
      <c r="BI742" s="319"/>
      <c r="BJ742" s="319"/>
      <c r="BK742" s="319"/>
      <c r="BL742" s="319"/>
      <c r="BM742" s="319"/>
      <c r="BN742" s="319"/>
      <c r="BO742" s="319"/>
      <c r="BP742" s="319"/>
      <c r="BQ742" s="319"/>
      <c r="BR742" s="319"/>
    </row>
    <row r="743" ht="14.25" customHeight="1">
      <c r="A743" s="195"/>
      <c r="B743" s="100"/>
      <c r="C743" s="100"/>
      <c r="D743" s="100"/>
      <c r="E743" s="100"/>
      <c r="F743" s="206"/>
      <c r="G743" s="206"/>
      <c r="H743" s="207"/>
      <c r="I743" s="207"/>
      <c r="J743" s="207"/>
      <c r="K743" s="207"/>
      <c r="L743" s="207"/>
      <c r="M743" s="207"/>
      <c r="N743" s="207"/>
      <c r="O743" s="207"/>
      <c r="P743" s="207"/>
      <c r="Q743" s="207"/>
      <c r="R743" s="207"/>
      <c r="S743" s="207"/>
      <c r="T743" s="207"/>
      <c r="U743" s="207"/>
      <c r="V743" s="207"/>
      <c r="W743" s="208"/>
      <c r="X743" s="208"/>
      <c r="Y743" s="208"/>
      <c r="Z743" s="208"/>
      <c r="AA743" s="208"/>
      <c r="AB743" s="208"/>
      <c r="AC743" s="208"/>
      <c r="AD743" s="208"/>
      <c r="AE743" s="208"/>
      <c r="AF743" s="208"/>
      <c r="AG743" s="208"/>
      <c r="AH743" s="208"/>
      <c r="AI743" s="100"/>
      <c r="AJ743" s="319"/>
      <c r="AK743" s="319"/>
      <c r="AL743" s="319"/>
      <c r="AM743" s="319"/>
      <c r="AN743" s="319"/>
      <c r="AO743" s="319"/>
      <c r="AP743" s="319"/>
      <c r="AQ743" s="319"/>
      <c r="AR743" s="319"/>
      <c r="AS743" s="319"/>
      <c r="AT743" s="319"/>
      <c r="AU743" s="319"/>
      <c r="AV743" s="319"/>
      <c r="AW743" s="319"/>
      <c r="AX743" s="319"/>
      <c r="AY743" s="319"/>
      <c r="AZ743" s="319"/>
      <c r="BA743" s="319"/>
      <c r="BB743" s="319"/>
      <c r="BC743" s="319"/>
      <c r="BD743" s="319"/>
      <c r="BE743" s="319"/>
      <c r="BF743" s="319"/>
      <c r="BG743" s="319"/>
      <c r="BH743" s="319"/>
      <c r="BI743" s="319"/>
      <c r="BJ743" s="319"/>
      <c r="BK743" s="319"/>
      <c r="BL743" s="319"/>
      <c r="BM743" s="319"/>
      <c r="BN743" s="319"/>
      <c r="BO743" s="319"/>
      <c r="BP743" s="319"/>
      <c r="BQ743" s="319"/>
      <c r="BR743" s="319"/>
    </row>
    <row r="744" ht="14.25" customHeight="1">
      <c r="A744" s="195"/>
      <c r="B744" s="100"/>
      <c r="C744" s="100"/>
      <c r="D744" s="100"/>
      <c r="E744" s="100"/>
      <c r="F744" s="206"/>
      <c r="G744" s="206"/>
      <c r="H744" s="207"/>
      <c r="I744" s="207"/>
      <c r="J744" s="207"/>
      <c r="K744" s="207"/>
      <c r="L744" s="207"/>
      <c r="M744" s="207"/>
      <c r="N744" s="207"/>
      <c r="O744" s="207"/>
      <c r="P744" s="207"/>
      <c r="Q744" s="207"/>
      <c r="R744" s="207"/>
      <c r="S744" s="207"/>
      <c r="T744" s="207"/>
      <c r="U744" s="207"/>
      <c r="V744" s="207"/>
      <c r="W744" s="208"/>
      <c r="X744" s="208"/>
      <c r="Y744" s="208"/>
      <c r="Z744" s="208"/>
      <c r="AA744" s="208"/>
      <c r="AB744" s="208"/>
      <c r="AC744" s="208"/>
      <c r="AD744" s="208"/>
      <c r="AE744" s="208"/>
      <c r="AF744" s="208"/>
      <c r="AG744" s="208"/>
      <c r="AH744" s="208"/>
      <c r="AI744" s="100"/>
      <c r="AJ744" s="319"/>
      <c r="AK744" s="319"/>
      <c r="AL744" s="319"/>
      <c r="AM744" s="319"/>
      <c r="AN744" s="319"/>
      <c r="AO744" s="319"/>
      <c r="AP744" s="319"/>
      <c r="AQ744" s="319"/>
      <c r="AR744" s="319"/>
      <c r="AS744" s="319"/>
      <c r="AT744" s="319"/>
      <c r="AU744" s="319"/>
      <c r="AV744" s="319"/>
      <c r="AW744" s="319"/>
      <c r="AX744" s="319"/>
      <c r="AY744" s="319"/>
      <c r="AZ744" s="319"/>
      <c r="BA744" s="319"/>
      <c r="BB744" s="319"/>
      <c r="BC744" s="319"/>
      <c r="BD744" s="319"/>
      <c r="BE744" s="319"/>
      <c r="BF744" s="319"/>
      <c r="BG744" s="319"/>
      <c r="BH744" s="319"/>
      <c r="BI744" s="319"/>
      <c r="BJ744" s="319"/>
      <c r="BK744" s="319"/>
      <c r="BL744" s="319"/>
      <c r="BM744" s="319"/>
      <c r="BN744" s="319"/>
      <c r="BO744" s="319"/>
      <c r="BP744" s="319"/>
      <c r="BQ744" s="319"/>
      <c r="BR744" s="319"/>
    </row>
    <row r="745" ht="14.25" customHeight="1">
      <c r="A745" s="195"/>
      <c r="B745" s="100"/>
      <c r="C745" s="100"/>
      <c r="D745" s="100"/>
      <c r="E745" s="100"/>
      <c r="F745" s="206"/>
      <c r="G745" s="206"/>
      <c r="H745" s="207"/>
      <c r="I745" s="207"/>
      <c r="J745" s="207"/>
      <c r="K745" s="207"/>
      <c r="L745" s="207"/>
      <c r="M745" s="207"/>
      <c r="N745" s="207"/>
      <c r="O745" s="207"/>
      <c r="P745" s="207"/>
      <c r="Q745" s="207"/>
      <c r="R745" s="207"/>
      <c r="S745" s="207"/>
      <c r="T745" s="207"/>
      <c r="U745" s="207"/>
      <c r="V745" s="207"/>
      <c r="W745" s="208"/>
      <c r="X745" s="208"/>
      <c r="Y745" s="208"/>
      <c r="Z745" s="208"/>
      <c r="AA745" s="208"/>
      <c r="AB745" s="208"/>
      <c r="AC745" s="208"/>
      <c r="AD745" s="208"/>
      <c r="AE745" s="208"/>
      <c r="AF745" s="208"/>
      <c r="AG745" s="208"/>
      <c r="AH745" s="208"/>
      <c r="AI745" s="100"/>
      <c r="AJ745" s="319"/>
      <c r="AK745" s="319"/>
      <c r="AL745" s="319"/>
      <c r="AM745" s="319"/>
      <c r="AN745" s="319"/>
      <c r="AO745" s="319"/>
      <c r="AP745" s="319"/>
      <c r="AQ745" s="319"/>
      <c r="AR745" s="319"/>
      <c r="AS745" s="319"/>
      <c r="AT745" s="319"/>
      <c r="AU745" s="319"/>
      <c r="AV745" s="319"/>
      <c r="AW745" s="319"/>
      <c r="AX745" s="319"/>
      <c r="AY745" s="319"/>
      <c r="AZ745" s="319"/>
      <c r="BA745" s="319"/>
      <c r="BB745" s="319"/>
      <c r="BC745" s="319"/>
      <c r="BD745" s="319"/>
      <c r="BE745" s="319"/>
      <c r="BF745" s="319"/>
      <c r="BG745" s="319"/>
      <c r="BH745" s="319"/>
      <c r="BI745" s="319"/>
      <c r="BJ745" s="319"/>
      <c r="BK745" s="319"/>
      <c r="BL745" s="319"/>
      <c r="BM745" s="319"/>
      <c r="BN745" s="319"/>
      <c r="BO745" s="319"/>
      <c r="BP745" s="319"/>
      <c r="BQ745" s="319"/>
      <c r="BR745" s="319"/>
    </row>
    <row r="746" ht="14.25" customHeight="1">
      <c r="A746" s="195"/>
      <c r="B746" s="100"/>
      <c r="C746" s="100"/>
      <c r="D746" s="100"/>
      <c r="E746" s="100"/>
      <c r="F746" s="206"/>
      <c r="G746" s="206"/>
      <c r="H746" s="207"/>
      <c r="I746" s="207"/>
      <c r="J746" s="207"/>
      <c r="K746" s="207"/>
      <c r="L746" s="207"/>
      <c r="M746" s="207"/>
      <c r="N746" s="207"/>
      <c r="O746" s="207"/>
      <c r="P746" s="207"/>
      <c r="Q746" s="207"/>
      <c r="R746" s="207"/>
      <c r="S746" s="207"/>
      <c r="T746" s="207"/>
      <c r="U746" s="207"/>
      <c r="V746" s="207"/>
      <c r="W746" s="208"/>
      <c r="X746" s="208"/>
      <c r="Y746" s="208"/>
      <c r="Z746" s="208"/>
      <c r="AA746" s="208"/>
      <c r="AB746" s="208"/>
      <c r="AC746" s="208"/>
      <c r="AD746" s="208"/>
      <c r="AE746" s="208"/>
      <c r="AF746" s="208"/>
      <c r="AG746" s="208"/>
      <c r="AH746" s="208"/>
      <c r="AI746" s="100"/>
      <c r="AJ746" s="319"/>
      <c r="AK746" s="319"/>
      <c r="AL746" s="319"/>
      <c r="AM746" s="319"/>
      <c r="AN746" s="319"/>
      <c r="AO746" s="319"/>
      <c r="AP746" s="319"/>
      <c r="AQ746" s="319"/>
      <c r="AR746" s="319"/>
      <c r="AS746" s="319"/>
      <c r="AT746" s="319"/>
      <c r="AU746" s="319"/>
      <c r="AV746" s="319"/>
      <c r="AW746" s="319"/>
      <c r="AX746" s="319"/>
      <c r="AY746" s="319"/>
      <c r="AZ746" s="319"/>
      <c r="BA746" s="319"/>
      <c r="BB746" s="319"/>
      <c r="BC746" s="319"/>
      <c r="BD746" s="319"/>
      <c r="BE746" s="319"/>
      <c r="BF746" s="319"/>
      <c r="BG746" s="319"/>
      <c r="BH746" s="319"/>
      <c r="BI746" s="319"/>
      <c r="BJ746" s="319"/>
      <c r="BK746" s="319"/>
      <c r="BL746" s="319"/>
      <c r="BM746" s="319"/>
      <c r="BN746" s="319"/>
      <c r="BO746" s="319"/>
      <c r="BP746" s="319"/>
      <c r="BQ746" s="319"/>
      <c r="BR746" s="319"/>
    </row>
    <row r="747" ht="14.25" customHeight="1">
      <c r="A747" s="195"/>
      <c r="B747" s="100"/>
      <c r="C747" s="100"/>
      <c r="D747" s="100"/>
      <c r="E747" s="100"/>
      <c r="F747" s="206"/>
      <c r="G747" s="206"/>
      <c r="H747" s="207"/>
      <c r="I747" s="207"/>
      <c r="J747" s="207"/>
      <c r="K747" s="207"/>
      <c r="L747" s="207"/>
      <c r="M747" s="207"/>
      <c r="N747" s="207"/>
      <c r="O747" s="207"/>
      <c r="P747" s="207"/>
      <c r="Q747" s="207"/>
      <c r="R747" s="207"/>
      <c r="S747" s="207"/>
      <c r="T747" s="207"/>
      <c r="U747" s="207"/>
      <c r="V747" s="207"/>
      <c r="W747" s="208"/>
      <c r="X747" s="208"/>
      <c r="Y747" s="208"/>
      <c r="Z747" s="208"/>
      <c r="AA747" s="208"/>
      <c r="AB747" s="208"/>
      <c r="AC747" s="208"/>
      <c r="AD747" s="208"/>
      <c r="AE747" s="208"/>
      <c r="AF747" s="208"/>
      <c r="AG747" s="208"/>
      <c r="AH747" s="208"/>
      <c r="AI747" s="100"/>
      <c r="AJ747" s="319"/>
      <c r="AK747" s="319"/>
      <c r="AL747" s="319"/>
      <c r="AM747" s="319"/>
      <c r="AN747" s="319"/>
      <c r="AO747" s="319"/>
      <c r="AP747" s="319"/>
      <c r="AQ747" s="319"/>
      <c r="AR747" s="319"/>
      <c r="AS747" s="319"/>
      <c r="AT747" s="319"/>
      <c r="AU747" s="319"/>
      <c r="AV747" s="319"/>
      <c r="AW747" s="319"/>
      <c r="AX747" s="319"/>
      <c r="AY747" s="319"/>
      <c r="AZ747" s="319"/>
      <c r="BA747" s="319"/>
      <c r="BB747" s="319"/>
      <c r="BC747" s="319"/>
      <c r="BD747" s="319"/>
      <c r="BE747" s="319"/>
      <c r="BF747" s="319"/>
      <c r="BG747" s="319"/>
      <c r="BH747" s="319"/>
      <c r="BI747" s="319"/>
      <c r="BJ747" s="319"/>
      <c r="BK747" s="319"/>
      <c r="BL747" s="319"/>
      <c r="BM747" s="319"/>
      <c r="BN747" s="319"/>
      <c r="BO747" s="319"/>
      <c r="BP747" s="319"/>
      <c r="BQ747" s="319"/>
      <c r="BR747" s="319"/>
    </row>
    <row r="748" ht="14.25" customHeight="1">
      <c r="A748" s="195"/>
      <c r="B748" s="100"/>
      <c r="C748" s="100"/>
      <c r="D748" s="100"/>
      <c r="E748" s="100"/>
      <c r="F748" s="206"/>
      <c r="G748" s="206"/>
      <c r="H748" s="207"/>
      <c r="I748" s="207"/>
      <c r="J748" s="207"/>
      <c r="K748" s="207"/>
      <c r="L748" s="207"/>
      <c r="M748" s="207"/>
      <c r="N748" s="207"/>
      <c r="O748" s="207"/>
      <c r="P748" s="207"/>
      <c r="Q748" s="207"/>
      <c r="R748" s="207"/>
      <c r="S748" s="207"/>
      <c r="T748" s="207"/>
      <c r="U748" s="207"/>
      <c r="V748" s="207"/>
      <c r="W748" s="208"/>
      <c r="X748" s="208"/>
      <c r="Y748" s="208"/>
      <c r="Z748" s="208"/>
      <c r="AA748" s="208"/>
      <c r="AB748" s="208"/>
      <c r="AC748" s="208"/>
      <c r="AD748" s="208"/>
      <c r="AE748" s="208"/>
      <c r="AF748" s="208"/>
      <c r="AG748" s="208"/>
      <c r="AH748" s="208"/>
      <c r="AI748" s="100"/>
      <c r="AJ748" s="319"/>
      <c r="AK748" s="319"/>
      <c r="AL748" s="319"/>
      <c r="AM748" s="319"/>
      <c r="AN748" s="319"/>
      <c r="AO748" s="319"/>
      <c r="AP748" s="319"/>
      <c r="AQ748" s="319"/>
      <c r="AR748" s="319"/>
      <c r="AS748" s="319"/>
      <c r="AT748" s="319"/>
      <c r="AU748" s="319"/>
      <c r="AV748" s="319"/>
      <c r="AW748" s="319"/>
      <c r="AX748" s="319"/>
      <c r="AY748" s="319"/>
      <c r="AZ748" s="319"/>
      <c r="BA748" s="319"/>
      <c r="BB748" s="319"/>
      <c r="BC748" s="319"/>
      <c r="BD748" s="319"/>
      <c r="BE748" s="319"/>
      <c r="BF748" s="319"/>
      <c r="BG748" s="319"/>
      <c r="BH748" s="319"/>
      <c r="BI748" s="319"/>
      <c r="BJ748" s="319"/>
      <c r="BK748" s="319"/>
      <c r="BL748" s="319"/>
      <c r="BM748" s="319"/>
      <c r="BN748" s="319"/>
      <c r="BO748" s="319"/>
      <c r="BP748" s="319"/>
      <c r="BQ748" s="319"/>
      <c r="BR748" s="319"/>
    </row>
    <row r="749" ht="14.25" customHeight="1">
      <c r="A749" s="195"/>
      <c r="B749" s="100"/>
      <c r="C749" s="100"/>
      <c r="D749" s="100"/>
      <c r="E749" s="100"/>
      <c r="F749" s="206"/>
      <c r="G749" s="206"/>
      <c r="H749" s="207"/>
      <c r="I749" s="207"/>
      <c r="J749" s="207"/>
      <c r="K749" s="207"/>
      <c r="L749" s="207"/>
      <c r="M749" s="207"/>
      <c r="N749" s="207"/>
      <c r="O749" s="207"/>
      <c r="P749" s="207"/>
      <c r="Q749" s="207"/>
      <c r="R749" s="207"/>
      <c r="S749" s="207"/>
      <c r="T749" s="207"/>
      <c r="U749" s="207"/>
      <c r="V749" s="207"/>
      <c r="W749" s="208"/>
      <c r="X749" s="208"/>
      <c r="Y749" s="208"/>
      <c r="Z749" s="208"/>
      <c r="AA749" s="208"/>
      <c r="AB749" s="208"/>
      <c r="AC749" s="208"/>
      <c r="AD749" s="208"/>
      <c r="AE749" s="208"/>
      <c r="AF749" s="208"/>
      <c r="AG749" s="208"/>
      <c r="AH749" s="208"/>
      <c r="AI749" s="100"/>
      <c r="AJ749" s="319"/>
      <c r="AK749" s="319"/>
      <c r="AL749" s="319"/>
      <c r="AM749" s="319"/>
      <c r="AN749" s="319"/>
      <c r="AO749" s="319"/>
      <c r="AP749" s="319"/>
      <c r="AQ749" s="319"/>
      <c r="AR749" s="319"/>
      <c r="AS749" s="319"/>
      <c r="AT749" s="319"/>
      <c r="AU749" s="319"/>
      <c r="AV749" s="319"/>
      <c r="AW749" s="319"/>
      <c r="AX749" s="319"/>
      <c r="AY749" s="319"/>
      <c r="AZ749" s="319"/>
      <c r="BA749" s="319"/>
      <c r="BB749" s="319"/>
      <c r="BC749" s="319"/>
      <c r="BD749" s="319"/>
      <c r="BE749" s="319"/>
      <c r="BF749" s="319"/>
      <c r="BG749" s="319"/>
      <c r="BH749" s="319"/>
      <c r="BI749" s="319"/>
      <c r="BJ749" s="319"/>
      <c r="BK749" s="319"/>
      <c r="BL749" s="319"/>
      <c r="BM749" s="319"/>
      <c r="BN749" s="319"/>
      <c r="BO749" s="319"/>
      <c r="BP749" s="319"/>
      <c r="BQ749" s="319"/>
      <c r="BR749" s="319"/>
    </row>
    <row r="750" ht="14.25" customHeight="1">
      <c r="A750" s="195"/>
      <c r="B750" s="100"/>
      <c r="C750" s="100"/>
      <c r="D750" s="100"/>
      <c r="E750" s="100"/>
      <c r="F750" s="206"/>
      <c r="G750" s="206"/>
      <c r="H750" s="207"/>
      <c r="I750" s="207"/>
      <c r="J750" s="207"/>
      <c r="K750" s="207"/>
      <c r="L750" s="207"/>
      <c r="M750" s="207"/>
      <c r="N750" s="207"/>
      <c r="O750" s="207"/>
      <c r="P750" s="207"/>
      <c r="Q750" s="207"/>
      <c r="R750" s="207"/>
      <c r="S750" s="207"/>
      <c r="T750" s="207"/>
      <c r="U750" s="207"/>
      <c r="V750" s="207"/>
      <c r="W750" s="208"/>
      <c r="X750" s="208"/>
      <c r="Y750" s="208"/>
      <c r="Z750" s="208"/>
      <c r="AA750" s="208"/>
      <c r="AB750" s="208"/>
      <c r="AC750" s="208"/>
      <c r="AD750" s="208"/>
      <c r="AE750" s="208"/>
      <c r="AF750" s="208"/>
      <c r="AG750" s="208"/>
      <c r="AH750" s="208"/>
      <c r="AI750" s="100"/>
      <c r="AJ750" s="319"/>
      <c r="AK750" s="319"/>
      <c r="AL750" s="319"/>
      <c r="AM750" s="319"/>
      <c r="AN750" s="319"/>
      <c r="AO750" s="319"/>
      <c r="AP750" s="319"/>
      <c r="AQ750" s="319"/>
      <c r="AR750" s="319"/>
      <c r="AS750" s="319"/>
      <c r="AT750" s="319"/>
      <c r="AU750" s="319"/>
      <c r="AV750" s="319"/>
      <c r="AW750" s="319"/>
      <c r="AX750" s="319"/>
      <c r="AY750" s="319"/>
      <c r="AZ750" s="319"/>
      <c r="BA750" s="319"/>
      <c r="BB750" s="319"/>
      <c r="BC750" s="319"/>
      <c r="BD750" s="319"/>
      <c r="BE750" s="319"/>
      <c r="BF750" s="319"/>
      <c r="BG750" s="319"/>
      <c r="BH750" s="319"/>
      <c r="BI750" s="319"/>
      <c r="BJ750" s="319"/>
      <c r="BK750" s="319"/>
      <c r="BL750" s="319"/>
      <c r="BM750" s="319"/>
      <c r="BN750" s="319"/>
      <c r="BO750" s="319"/>
      <c r="BP750" s="319"/>
      <c r="BQ750" s="319"/>
      <c r="BR750" s="319"/>
    </row>
    <row r="751" ht="14.25" customHeight="1">
      <c r="A751" s="195"/>
      <c r="B751" s="100"/>
      <c r="C751" s="100"/>
      <c r="D751" s="100"/>
      <c r="E751" s="100"/>
      <c r="F751" s="206"/>
      <c r="G751" s="206"/>
      <c r="H751" s="207"/>
      <c r="I751" s="207"/>
      <c r="J751" s="207"/>
      <c r="K751" s="207"/>
      <c r="L751" s="207"/>
      <c r="M751" s="207"/>
      <c r="N751" s="207"/>
      <c r="O751" s="207"/>
      <c r="P751" s="207"/>
      <c r="Q751" s="207"/>
      <c r="R751" s="207"/>
      <c r="S751" s="207"/>
      <c r="T751" s="207"/>
      <c r="U751" s="207"/>
      <c r="V751" s="207"/>
      <c r="W751" s="208"/>
      <c r="X751" s="208"/>
      <c r="Y751" s="208"/>
      <c r="Z751" s="208"/>
      <c r="AA751" s="208"/>
      <c r="AB751" s="208"/>
      <c r="AC751" s="208"/>
      <c r="AD751" s="208"/>
      <c r="AE751" s="208"/>
      <c r="AF751" s="208"/>
      <c r="AG751" s="208"/>
      <c r="AH751" s="208"/>
      <c r="AI751" s="100"/>
      <c r="AJ751" s="319"/>
      <c r="AK751" s="319"/>
      <c r="AL751" s="319"/>
      <c r="AM751" s="319"/>
      <c r="AN751" s="319"/>
      <c r="AO751" s="319"/>
      <c r="AP751" s="319"/>
      <c r="AQ751" s="319"/>
      <c r="AR751" s="319"/>
      <c r="AS751" s="319"/>
      <c r="AT751" s="319"/>
      <c r="AU751" s="319"/>
      <c r="AV751" s="319"/>
      <c r="AW751" s="319"/>
      <c r="AX751" s="319"/>
      <c r="AY751" s="319"/>
      <c r="AZ751" s="319"/>
      <c r="BA751" s="319"/>
      <c r="BB751" s="319"/>
      <c r="BC751" s="319"/>
      <c r="BD751" s="319"/>
      <c r="BE751" s="319"/>
      <c r="BF751" s="319"/>
      <c r="BG751" s="319"/>
      <c r="BH751" s="319"/>
      <c r="BI751" s="319"/>
      <c r="BJ751" s="319"/>
      <c r="BK751" s="319"/>
      <c r="BL751" s="319"/>
      <c r="BM751" s="319"/>
      <c r="BN751" s="319"/>
      <c r="BO751" s="319"/>
      <c r="BP751" s="319"/>
      <c r="BQ751" s="319"/>
      <c r="BR751" s="319"/>
    </row>
    <row r="752" ht="14.25" customHeight="1">
      <c r="A752" s="195"/>
      <c r="B752" s="100"/>
      <c r="C752" s="100"/>
      <c r="D752" s="100"/>
      <c r="E752" s="100"/>
      <c r="F752" s="206"/>
      <c r="G752" s="206"/>
      <c r="H752" s="207"/>
      <c r="I752" s="207"/>
      <c r="J752" s="207"/>
      <c r="K752" s="207"/>
      <c r="L752" s="207"/>
      <c r="M752" s="207"/>
      <c r="N752" s="207"/>
      <c r="O752" s="207"/>
      <c r="P752" s="207"/>
      <c r="Q752" s="207"/>
      <c r="R752" s="207"/>
      <c r="S752" s="207"/>
      <c r="T752" s="207"/>
      <c r="U752" s="207"/>
      <c r="V752" s="207"/>
      <c r="W752" s="208"/>
      <c r="X752" s="208"/>
      <c r="Y752" s="208"/>
      <c r="Z752" s="208"/>
      <c r="AA752" s="208"/>
      <c r="AB752" s="208"/>
      <c r="AC752" s="208"/>
      <c r="AD752" s="208"/>
      <c r="AE752" s="208"/>
      <c r="AF752" s="208"/>
      <c r="AG752" s="208"/>
      <c r="AH752" s="208"/>
      <c r="AI752" s="100"/>
      <c r="AJ752" s="319"/>
      <c r="AK752" s="319"/>
      <c r="AL752" s="319"/>
      <c r="AM752" s="319"/>
      <c r="AN752" s="319"/>
      <c r="AO752" s="319"/>
      <c r="AP752" s="319"/>
      <c r="AQ752" s="319"/>
      <c r="AR752" s="319"/>
      <c r="AS752" s="319"/>
      <c r="AT752" s="319"/>
      <c r="AU752" s="319"/>
      <c r="AV752" s="319"/>
      <c r="AW752" s="319"/>
      <c r="AX752" s="319"/>
      <c r="AY752" s="319"/>
      <c r="AZ752" s="319"/>
      <c r="BA752" s="319"/>
      <c r="BB752" s="319"/>
      <c r="BC752" s="319"/>
      <c r="BD752" s="319"/>
      <c r="BE752" s="319"/>
      <c r="BF752" s="319"/>
      <c r="BG752" s="319"/>
      <c r="BH752" s="319"/>
      <c r="BI752" s="319"/>
      <c r="BJ752" s="319"/>
      <c r="BK752" s="319"/>
      <c r="BL752" s="319"/>
      <c r="BM752" s="319"/>
      <c r="BN752" s="319"/>
      <c r="BO752" s="319"/>
      <c r="BP752" s="319"/>
      <c r="BQ752" s="319"/>
      <c r="BR752" s="319"/>
    </row>
    <row r="753" ht="14.25" customHeight="1">
      <c r="A753" s="195"/>
      <c r="B753" s="100"/>
      <c r="C753" s="100"/>
      <c r="D753" s="100"/>
      <c r="E753" s="100"/>
      <c r="F753" s="206"/>
      <c r="G753" s="206"/>
      <c r="H753" s="207"/>
      <c r="I753" s="207"/>
      <c r="J753" s="207"/>
      <c r="K753" s="207"/>
      <c r="L753" s="207"/>
      <c r="M753" s="207"/>
      <c r="N753" s="207"/>
      <c r="O753" s="207"/>
      <c r="P753" s="207"/>
      <c r="Q753" s="207"/>
      <c r="R753" s="207"/>
      <c r="S753" s="207"/>
      <c r="T753" s="207"/>
      <c r="U753" s="207"/>
      <c r="V753" s="207"/>
      <c r="W753" s="208"/>
      <c r="X753" s="208"/>
      <c r="Y753" s="208"/>
      <c r="Z753" s="208"/>
      <c r="AA753" s="208"/>
      <c r="AB753" s="208"/>
      <c r="AC753" s="208"/>
      <c r="AD753" s="208"/>
      <c r="AE753" s="208"/>
      <c r="AF753" s="208"/>
      <c r="AG753" s="208"/>
      <c r="AH753" s="208"/>
      <c r="AI753" s="100"/>
      <c r="AJ753" s="319"/>
      <c r="AK753" s="319"/>
      <c r="AL753" s="319"/>
      <c r="AM753" s="319"/>
      <c r="AN753" s="319"/>
      <c r="AO753" s="319"/>
      <c r="AP753" s="319"/>
      <c r="AQ753" s="319"/>
      <c r="AR753" s="319"/>
      <c r="AS753" s="319"/>
      <c r="AT753" s="319"/>
      <c r="AU753" s="319"/>
      <c r="AV753" s="319"/>
      <c r="AW753" s="319"/>
      <c r="AX753" s="319"/>
      <c r="AY753" s="319"/>
      <c r="AZ753" s="319"/>
      <c r="BA753" s="319"/>
      <c r="BB753" s="319"/>
      <c r="BC753" s="319"/>
      <c r="BD753" s="319"/>
      <c r="BE753" s="319"/>
      <c r="BF753" s="319"/>
      <c r="BG753" s="319"/>
      <c r="BH753" s="319"/>
      <c r="BI753" s="319"/>
      <c r="BJ753" s="319"/>
      <c r="BK753" s="319"/>
      <c r="BL753" s="319"/>
      <c r="BM753" s="319"/>
      <c r="BN753" s="319"/>
      <c r="BO753" s="319"/>
      <c r="BP753" s="319"/>
      <c r="BQ753" s="319"/>
      <c r="BR753" s="319"/>
    </row>
    <row r="754" ht="14.25" customHeight="1">
      <c r="A754" s="195"/>
      <c r="B754" s="100"/>
      <c r="C754" s="100"/>
      <c r="D754" s="100"/>
      <c r="E754" s="100"/>
      <c r="F754" s="206"/>
      <c r="G754" s="206"/>
      <c r="H754" s="207"/>
      <c r="I754" s="207"/>
      <c r="J754" s="207"/>
      <c r="K754" s="207"/>
      <c r="L754" s="207"/>
      <c r="M754" s="207"/>
      <c r="N754" s="207"/>
      <c r="O754" s="207"/>
      <c r="P754" s="207"/>
      <c r="Q754" s="207"/>
      <c r="R754" s="207"/>
      <c r="S754" s="207"/>
      <c r="T754" s="207"/>
      <c r="U754" s="207"/>
      <c r="V754" s="207"/>
      <c r="W754" s="208"/>
      <c r="X754" s="208"/>
      <c r="Y754" s="208"/>
      <c r="Z754" s="208"/>
      <c r="AA754" s="208"/>
      <c r="AB754" s="208"/>
      <c r="AC754" s="208"/>
      <c r="AD754" s="208"/>
      <c r="AE754" s="208"/>
      <c r="AF754" s="208"/>
      <c r="AG754" s="208"/>
      <c r="AH754" s="208"/>
      <c r="AI754" s="100"/>
      <c r="AJ754" s="319"/>
      <c r="AK754" s="319"/>
      <c r="AL754" s="319"/>
      <c r="AM754" s="319"/>
      <c r="AN754" s="319"/>
      <c r="AO754" s="319"/>
      <c r="AP754" s="319"/>
      <c r="AQ754" s="319"/>
      <c r="AR754" s="319"/>
      <c r="AS754" s="319"/>
      <c r="AT754" s="319"/>
      <c r="AU754" s="319"/>
      <c r="AV754" s="319"/>
      <c r="AW754" s="319"/>
      <c r="AX754" s="319"/>
      <c r="AY754" s="319"/>
      <c r="AZ754" s="319"/>
      <c r="BA754" s="319"/>
      <c r="BB754" s="319"/>
      <c r="BC754" s="319"/>
      <c r="BD754" s="319"/>
      <c r="BE754" s="319"/>
      <c r="BF754" s="319"/>
      <c r="BG754" s="319"/>
      <c r="BH754" s="319"/>
      <c r="BI754" s="319"/>
      <c r="BJ754" s="319"/>
      <c r="BK754" s="319"/>
      <c r="BL754" s="319"/>
      <c r="BM754" s="319"/>
      <c r="BN754" s="319"/>
      <c r="BO754" s="319"/>
      <c r="BP754" s="319"/>
      <c r="BQ754" s="319"/>
      <c r="BR754" s="319"/>
    </row>
    <row r="755" ht="14.25" customHeight="1">
      <c r="A755" s="195"/>
      <c r="B755" s="100"/>
      <c r="C755" s="100"/>
      <c r="D755" s="100"/>
      <c r="E755" s="100"/>
      <c r="F755" s="206"/>
      <c r="G755" s="206"/>
      <c r="H755" s="207"/>
      <c r="I755" s="207"/>
      <c r="J755" s="207"/>
      <c r="K755" s="207"/>
      <c r="L755" s="207"/>
      <c r="M755" s="207"/>
      <c r="N755" s="207"/>
      <c r="O755" s="207"/>
      <c r="P755" s="207"/>
      <c r="Q755" s="207"/>
      <c r="R755" s="207"/>
      <c r="S755" s="207"/>
      <c r="T755" s="207"/>
      <c r="U755" s="207"/>
      <c r="V755" s="207"/>
      <c r="W755" s="208"/>
      <c r="X755" s="208"/>
      <c r="Y755" s="208"/>
      <c r="Z755" s="208"/>
      <c r="AA755" s="208"/>
      <c r="AB755" s="208"/>
      <c r="AC755" s="208"/>
      <c r="AD755" s="208"/>
      <c r="AE755" s="208"/>
      <c r="AF755" s="208"/>
      <c r="AG755" s="208"/>
      <c r="AH755" s="208"/>
      <c r="AI755" s="100"/>
      <c r="AJ755" s="319"/>
      <c r="AK755" s="319"/>
      <c r="AL755" s="319"/>
      <c r="AM755" s="319"/>
      <c r="AN755" s="319"/>
      <c r="AO755" s="319"/>
      <c r="AP755" s="319"/>
      <c r="AQ755" s="319"/>
      <c r="AR755" s="319"/>
      <c r="AS755" s="319"/>
      <c r="AT755" s="319"/>
      <c r="AU755" s="319"/>
      <c r="AV755" s="319"/>
      <c r="AW755" s="319"/>
      <c r="AX755" s="319"/>
      <c r="AY755" s="319"/>
      <c r="AZ755" s="319"/>
      <c r="BA755" s="319"/>
      <c r="BB755" s="319"/>
      <c r="BC755" s="319"/>
      <c r="BD755" s="319"/>
      <c r="BE755" s="319"/>
      <c r="BF755" s="319"/>
      <c r="BG755" s="319"/>
      <c r="BH755" s="319"/>
      <c r="BI755" s="319"/>
      <c r="BJ755" s="319"/>
      <c r="BK755" s="319"/>
      <c r="BL755" s="319"/>
      <c r="BM755" s="319"/>
      <c r="BN755" s="319"/>
      <c r="BO755" s="319"/>
      <c r="BP755" s="319"/>
      <c r="BQ755" s="319"/>
      <c r="BR755" s="319"/>
    </row>
    <row r="756" ht="14.25" customHeight="1">
      <c r="A756" s="195"/>
      <c r="B756" s="100"/>
      <c r="C756" s="100"/>
      <c r="D756" s="100"/>
      <c r="E756" s="100"/>
      <c r="F756" s="206"/>
      <c r="G756" s="206"/>
      <c r="H756" s="207"/>
      <c r="I756" s="207"/>
      <c r="J756" s="207"/>
      <c r="K756" s="207"/>
      <c r="L756" s="207"/>
      <c r="M756" s="207"/>
      <c r="N756" s="207"/>
      <c r="O756" s="207"/>
      <c r="P756" s="207"/>
      <c r="Q756" s="207"/>
      <c r="R756" s="207"/>
      <c r="S756" s="207"/>
      <c r="T756" s="207"/>
      <c r="U756" s="207"/>
      <c r="V756" s="207"/>
      <c r="W756" s="208"/>
      <c r="X756" s="208"/>
      <c r="Y756" s="208"/>
      <c r="Z756" s="208"/>
      <c r="AA756" s="208"/>
      <c r="AB756" s="208"/>
      <c r="AC756" s="208"/>
      <c r="AD756" s="208"/>
      <c r="AE756" s="208"/>
      <c r="AF756" s="208"/>
      <c r="AG756" s="208"/>
      <c r="AH756" s="208"/>
      <c r="AI756" s="100"/>
      <c r="AJ756" s="319"/>
      <c r="AK756" s="319"/>
      <c r="AL756" s="319"/>
      <c r="AM756" s="319"/>
      <c r="AN756" s="319"/>
      <c r="AO756" s="319"/>
      <c r="AP756" s="319"/>
      <c r="AQ756" s="319"/>
      <c r="AR756" s="319"/>
      <c r="AS756" s="319"/>
      <c r="AT756" s="319"/>
      <c r="AU756" s="319"/>
      <c r="AV756" s="319"/>
      <c r="AW756" s="319"/>
      <c r="AX756" s="319"/>
      <c r="AY756" s="319"/>
      <c r="AZ756" s="319"/>
      <c r="BA756" s="319"/>
      <c r="BB756" s="319"/>
      <c r="BC756" s="319"/>
      <c r="BD756" s="319"/>
      <c r="BE756" s="319"/>
      <c r="BF756" s="319"/>
      <c r="BG756" s="319"/>
      <c r="BH756" s="319"/>
      <c r="BI756" s="319"/>
      <c r="BJ756" s="319"/>
      <c r="BK756" s="319"/>
      <c r="BL756" s="319"/>
      <c r="BM756" s="319"/>
      <c r="BN756" s="319"/>
      <c r="BO756" s="319"/>
      <c r="BP756" s="319"/>
      <c r="BQ756" s="319"/>
      <c r="BR756" s="319"/>
    </row>
    <row r="757" ht="14.25" customHeight="1">
      <c r="A757" s="195"/>
      <c r="B757" s="100"/>
      <c r="C757" s="100"/>
      <c r="D757" s="100"/>
      <c r="E757" s="100"/>
      <c r="F757" s="206"/>
      <c r="G757" s="206"/>
      <c r="H757" s="207"/>
      <c r="I757" s="207"/>
      <c r="J757" s="207"/>
      <c r="K757" s="207"/>
      <c r="L757" s="207"/>
      <c r="M757" s="207"/>
      <c r="N757" s="207"/>
      <c r="O757" s="207"/>
      <c r="P757" s="207"/>
      <c r="Q757" s="207"/>
      <c r="R757" s="207"/>
      <c r="S757" s="207"/>
      <c r="T757" s="207"/>
      <c r="U757" s="207"/>
      <c r="V757" s="207"/>
      <c r="W757" s="208"/>
      <c r="X757" s="208"/>
      <c r="Y757" s="208"/>
      <c r="Z757" s="208"/>
      <c r="AA757" s="208"/>
      <c r="AB757" s="208"/>
      <c r="AC757" s="208"/>
      <c r="AD757" s="208"/>
      <c r="AE757" s="208"/>
      <c r="AF757" s="208"/>
      <c r="AG757" s="208"/>
      <c r="AH757" s="208"/>
      <c r="AI757" s="100"/>
      <c r="AJ757" s="319"/>
      <c r="AK757" s="319"/>
      <c r="AL757" s="319"/>
      <c r="AM757" s="319"/>
      <c r="AN757" s="319"/>
      <c r="AO757" s="319"/>
      <c r="AP757" s="319"/>
      <c r="AQ757" s="319"/>
      <c r="AR757" s="319"/>
      <c r="AS757" s="319"/>
      <c r="AT757" s="319"/>
      <c r="AU757" s="319"/>
      <c r="AV757" s="319"/>
      <c r="AW757" s="319"/>
      <c r="AX757" s="319"/>
      <c r="AY757" s="319"/>
      <c r="AZ757" s="319"/>
      <c r="BA757" s="319"/>
      <c r="BB757" s="319"/>
      <c r="BC757" s="319"/>
      <c r="BD757" s="319"/>
      <c r="BE757" s="319"/>
      <c r="BF757" s="319"/>
      <c r="BG757" s="319"/>
      <c r="BH757" s="319"/>
      <c r="BI757" s="319"/>
      <c r="BJ757" s="319"/>
      <c r="BK757" s="319"/>
      <c r="BL757" s="319"/>
      <c r="BM757" s="319"/>
      <c r="BN757" s="319"/>
      <c r="BO757" s="319"/>
      <c r="BP757" s="319"/>
      <c r="BQ757" s="319"/>
      <c r="BR757" s="319"/>
    </row>
    <row r="758" ht="14.25" customHeight="1">
      <c r="A758" s="195"/>
      <c r="B758" s="100"/>
      <c r="C758" s="100"/>
      <c r="D758" s="100"/>
      <c r="E758" s="100"/>
      <c r="F758" s="206"/>
      <c r="G758" s="206"/>
      <c r="H758" s="207"/>
      <c r="I758" s="207"/>
      <c r="J758" s="207"/>
      <c r="K758" s="207"/>
      <c r="L758" s="207"/>
      <c r="M758" s="207"/>
      <c r="N758" s="207"/>
      <c r="O758" s="207"/>
      <c r="P758" s="207"/>
      <c r="Q758" s="207"/>
      <c r="R758" s="207"/>
      <c r="S758" s="207"/>
      <c r="T758" s="207"/>
      <c r="U758" s="207"/>
      <c r="V758" s="207"/>
      <c r="W758" s="208"/>
      <c r="X758" s="208"/>
      <c r="Y758" s="208"/>
      <c r="Z758" s="208"/>
      <c r="AA758" s="208"/>
      <c r="AB758" s="208"/>
      <c r="AC758" s="208"/>
      <c r="AD758" s="208"/>
      <c r="AE758" s="208"/>
      <c r="AF758" s="208"/>
      <c r="AG758" s="208"/>
      <c r="AH758" s="208"/>
      <c r="AI758" s="100"/>
      <c r="AJ758" s="319"/>
      <c r="AK758" s="319"/>
      <c r="AL758" s="319"/>
      <c r="AM758" s="319"/>
      <c r="AN758" s="319"/>
      <c r="AO758" s="319"/>
      <c r="AP758" s="319"/>
      <c r="AQ758" s="319"/>
      <c r="AR758" s="319"/>
      <c r="AS758" s="319"/>
      <c r="AT758" s="319"/>
      <c r="AU758" s="319"/>
      <c r="AV758" s="319"/>
      <c r="AW758" s="319"/>
      <c r="AX758" s="319"/>
      <c r="AY758" s="319"/>
      <c r="AZ758" s="319"/>
      <c r="BA758" s="319"/>
      <c r="BB758" s="319"/>
      <c r="BC758" s="319"/>
      <c r="BD758" s="319"/>
      <c r="BE758" s="319"/>
      <c r="BF758" s="319"/>
      <c r="BG758" s="319"/>
      <c r="BH758" s="319"/>
      <c r="BI758" s="319"/>
      <c r="BJ758" s="319"/>
      <c r="BK758" s="319"/>
      <c r="BL758" s="319"/>
      <c r="BM758" s="319"/>
      <c r="BN758" s="319"/>
      <c r="BO758" s="319"/>
      <c r="BP758" s="319"/>
      <c r="BQ758" s="319"/>
      <c r="BR758" s="319"/>
    </row>
    <row r="759" ht="14.25" customHeight="1">
      <c r="A759" s="195"/>
      <c r="B759" s="100"/>
      <c r="C759" s="100"/>
      <c r="D759" s="100"/>
      <c r="E759" s="100"/>
      <c r="F759" s="206"/>
      <c r="G759" s="206"/>
      <c r="H759" s="207"/>
      <c r="I759" s="207"/>
      <c r="J759" s="207"/>
      <c r="K759" s="207"/>
      <c r="L759" s="207"/>
      <c r="M759" s="207"/>
      <c r="N759" s="207"/>
      <c r="O759" s="207"/>
      <c r="P759" s="207"/>
      <c r="Q759" s="207"/>
      <c r="R759" s="207"/>
      <c r="S759" s="207"/>
      <c r="T759" s="207"/>
      <c r="U759" s="207"/>
      <c r="V759" s="207"/>
      <c r="W759" s="208"/>
      <c r="X759" s="208"/>
      <c r="Y759" s="208"/>
      <c r="Z759" s="208"/>
      <c r="AA759" s="208"/>
      <c r="AB759" s="208"/>
      <c r="AC759" s="208"/>
      <c r="AD759" s="208"/>
      <c r="AE759" s="208"/>
      <c r="AF759" s="208"/>
      <c r="AG759" s="208"/>
      <c r="AH759" s="208"/>
      <c r="AI759" s="100"/>
      <c r="AJ759" s="319"/>
      <c r="AK759" s="319"/>
      <c r="AL759" s="319"/>
      <c r="AM759" s="319"/>
      <c r="AN759" s="319"/>
      <c r="AO759" s="319"/>
      <c r="AP759" s="319"/>
      <c r="AQ759" s="319"/>
      <c r="AR759" s="319"/>
      <c r="AS759" s="319"/>
      <c r="AT759" s="319"/>
      <c r="AU759" s="319"/>
      <c r="AV759" s="319"/>
      <c r="AW759" s="319"/>
      <c r="AX759" s="319"/>
      <c r="AY759" s="319"/>
      <c r="AZ759" s="319"/>
      <c r="BA759" s="319"/>
      <c r="BB759" s="319"/>
      <c r="BC759" s="319"/>
      <c r="BD759" s="319"/>
      <c r="BE759" s="319"/>
      <c r="BF759" s="319"/>
      <c r="BG759" s="319"/>
      <c r="BH759" s="319"/>
      <c r="BI759" s="319"/>
      <c r="BJ759" s="319"/>
      <c r="BK759" s="319"/>
      <c r="BL759" s="319"/>
      <c r="BM759" s="319"/>
      <c r="BN759" s="319"/>
      <c r="BO759" s="319"/>
      <c r="BP759" s="319"/>
      <c r="BQ759" s="319"/>
      <c r="BR759" s="319"/>
    </row>
    <row r="760" ht="14.25" customHeight="1">
      <c r="A760" s="195"/>
      <c r="B760" s="100"/>
      <c r="C760" s="100"/>
      <c r="D760" s="100"/>
      <c r="E760" s="100"/>
      <c r="F760" s="206"/>
      <c r="G760" s="206"/>
      <c r="H760" s="207"/>
      <c r="I760" s="207"/>
      <c r="J760" s="207"/>
      <c r="K760" s="207"/>
      <c r="L760" s="207"/>
      <c r="M760" s="207"/>
      <c r="N760" s="207"/>
      <c r="O760" s="207"/>
      <c r="P760" s="207"/>
      <c r="Q760" s="207"/>
      <c r="R760" s="207"/>
      <c r="S760" s="207"/>
      <c r="T760" s="207"/>
      <c r="U760" s="207"/>
      <c r="V760" s="207"/>
      <c r="W760" s="208"/>
      <c r="X760" s="208"/>
      <c r="Y760" s="208"/>
      <c r="Z760" s="208"/>
      <c r="AA760" s="208"/>
      <c r="AB760" s="208"/>
      <c r="AC760" s="208"/>
      <c r="AD760" s="208"/>
      <c r="AE760" s="208"/>
      <c r="AF760" s="208"/>
      <c r="AG760" s="208"/>
      <c r="AH760" s="208"/>
      <c r="AI760" s="100"/>
      <c r="AJ760" s="319"/>
      <c r="AK760" s="319"/>
      <c r="AL760" s="319"/>
      <c r="AM760" s="319"/>
      <c r="AN760" s="319"/>
      <c r="AO760" s="319"/>
      <c r="AP760" s="319"/>
      <c r="AQ760" s="319"/>
      <c r="AR760" s="319"/>
      <c r="AS760" s="319"/>
      <c r="AT760" s="319"/>
      <c r="AU760" s="319"/>
      <c r="AV760" s="319"/>
      <c r="AW760" s="319"/>
      <c r="AX760" s="319"/>
      <c r="AY760" s="319"/>
      <c r="AZ760" s="319"/>
      <c r="BA760" s="319"/>
      <c r="BB760" s="319"/>
      <c r="BC760" s="319"/>
      <c r="BD760" s="319"/>
      <c r="BE760" s="319"/>
      <c r="BF760" s="319"/>
      <c r="BG760" s="319"/>
      <c r="BH760" s="319"/>
      <c r="BI760" s="319"/>
      <c r="BJ760" s="319"/>
      <c r="BK760" s="319"/>
      <c r="BL760" s="319"/>
      <c r="BM760" s="319"/>
      <c r="BN760" s="319"/>
      <c r="BO760" s="319"/>
      <c r="BP760" s="319"/>
      <c r="BQ760" s="319"/>
      <c r="BR760" s="319"/>
    </row>
    <row r="761" ht="14.25" customHeight="1">
      <c r="A761" s="195"/>
      <c r="B761" s="100"/>
      <c r="C761" s="100"/>
      <c r="D761" s="100"/>
      <c r="E761" s="100"/>
      <c r="F761" s="206"/>
      <c r="G761" s="206"/>
      <c r="H761" s="207"/>
      <c r="I761" s="207"/>
      <c r="J761" s="207"/>
      <c r="K761" s="207"/>
      <c r="L761" s="207"/>
      <c r="M761" s="207"/>
      <c r="N761" s="207"/>
      <c r="O761" s="207"/>
      <c r="P761" s="207"/>
      <c r="Q761" s="207"/>
      <c r="R761" s="207"/>
      <c r="S761" s="207"/>
      <c r="T761" s="207"/>
      <c r="U761" s="207"/>
      <c r="V761" s="207"/>
      <c r="W761" s="208"/>
      <c r="X761" s="208"/>
      <c r="Y761" s="208"/>
      <c r="Z761" s="208"/>
      <c r="AA761" s="208"/>
      <c r="AB761" s="208"/>
      <c r="AC761" s="208"/>
      <c r="AD761" s="208"/>
      <c r="AE761" s="208"/>
      <c r="AF761" s="208"/>
      <c r="AG761" s="208"/>
      <c r="AH761" s="208"/>
      <c r="AI761" s="100"/>
      <c r="AJ761" s="319"/>
      <c r="AK761" s="319"/>
      <c r="AL761" s="319"/>
      <c r="AM761" s="319"/>
      <c r="AN761" s="319"/>
      <c r="AO761" s="319"/>
      <c r="AP761" s="319"/>
      <c r="AQ761" s="319"/>
      <c r="AR761" s="319"/>
      <c r="AS761" s="319"/>
      <c r="AT761" s="319"/>
      <c r="AU761" s="319"/>
      <c r="AV761" s="319"/>
      <c r="AW761" s="319"/>
      <c r="AX761" s="319"/>
      <c r="AY761" s="319"/>
      <c r="AZ761" s="319"/>
      <c r="BA761" s="319"/>
      <c r="BB761" s="319"/>
      <c r="BC761" s="319"/>
      <c r="BD761" s="319"/>
      <c r="BE761" s="319"/>
      <c r="BF761" s="319"/>
      <c r="BG761" s="319"/>
      <c r="BH761" s="319"/>
      <c r="BI761" s="319"/>
      <c r="BJ761" s="319"/>
      <c r="BK761" s="319"/>
      <c r="BL761" s="319"/>
      <c r="BM761" s="319"/>
      <c r="BN761" s="319"/>
      <c r="BO761" s="319"/>
      <c r="BP761" s="319"/>
      <c r="BQ761" s="319"/>
      <c r="BR761" s="319"/>
    </row>
    <row r="762" ht="14.25" customHeight="1">
      <c r="A762" s="195"/>
      <c r="B762" s="100"/>
      <c r="C762" s="100"/>
      <c r="D762" s="100"/>
      <c r="E762" s="100"/>
      <c r="F762" s="206"/>
      <c r="G762" s="206"/>
      <c r="H762" s="207"/>
      <c r="I762" s="207"/>
      <c r="J762" s="207"/>
      <c r="K762" s="207"/>
      <c r="L762" s="207"/>
      <c r="M762" s="207"/>
      <c r="N762" s="207"/>
      <c r="O762" s="207"/>
      <c r="P762" s="207"/>
      <c r="Q762" s="207"/>
      <c r="R762" s="207"/>
      <c r="S762" s="207"/>
      <c r="T762" s="207"/>
      <c r="U762" s="207"/>
      <c r="V762" s="207"/>
      <c r="W762" s="208"/>
      <c r="X762" s="208"/>
      <c r="Y762" s="208"/>
      <c r="Z762" s="208"/>
      <c r="AA762" s="208"/>
      <c r="AB762" s="208"/>
      <c r="AC762" s="208"/>
      <c r="AD762" s="208"/>
      <c r="AE762" s="208"/>
      <c r="AF762" s="208"/>
      <c r="AG762" s="208"/>
      <c r="AH762" s="208"/>
      <c r="AI762" s="100"/>
      <c r="AJ762" s="319"/>
      <c r="AK762" s="319"/>
      <c r="AL762" s="319"/>
      <c r="AM762" s="319"/>
      <c r="AN762" s="319"/>
      <c r="AO762" s="319"/>
      <c r="AP762" s="319"/>
      <c r="AQ762" s="319"/>
      <c r="AR762" s="319"/>
      <c r="AS762" s="319"/>
      <c r="AT762" s="319"/>
      <c r="AU762" s="319"/>
      <c r="AV762" s="319"/>
      <c r="AW762" s="319"/>
      <c r="AX762" s="319"/>
      <c r="AY762" s="319"/>
      <c r="AZ762" s="319"/>
      <c r="BA762" s="319"/>
      <c r="BB762" s="319"/>
      <c r="BC762" s="319"/>
      <c r="BD762" s="319"/>
      <c r="BE762" s="319"/>
      <c r="BF762" s="319"/>
      <c r="BG762" s="319"/>
      <c r="BH762" s="319"/>
      <c r="BI762" s="319"/>
      <c r="BJ762" s="319"/>
      <c r="BK762" s="319"/>
      <c r="BL762" s="319"/>
      <c r="BM762" s="319"/>
      <c r="BN762" s="319"/>
      <c r="BO762" s="319"/>
      <c r="BP762" s="319"/>
      <c r="BQ762" s="319"/>
      <c r="BR762" s="319"/>
    </row>
    <row r="763" ht="14.25" customHeight="1">
      <c r="A763" s="195"/>
      <c r="B763" s="100"/>
      <c r="C763" s="100"/>
      <c r="D763" s="100"/>
      <c r="E763" s="100"/>
      <c r="F763" s="206"/>
      <c r="G763" s="206"/>
      <c r="H763" s="207"/>
      <c r="I763" s="207"/>
      <c r="J763" s="207"/>
      <c r="K763" s="207"/>
      <c r="L763" s="207"/>
      <c r="M763" s="207"/>
      <c r="N763" s="207"/>
      <c r="O763" s="207"/>
      <c r="P763" s="207"/>
      <c r="Q763" s="207"/>
      <c r="R763" s="207"/>
      <c r="S763" s="207"/>
      <c r="T763" s="207"/>
      <c r="U763" s="207"/>
      <c r="V763" s="207"/>
      <c r="W763" s="208"/>
      <c r="X763" s="208"/>
      <c r="Y763" s="208"/>
      <c r="Z763" s="208"/>
      <c r="AA763" s="208"/>
      <c r="AB763" s="208"/>
      <c r="AC763" s="208"/>
      <c r="AD763" s="208"/>
      <c r="AE763" s="208"/>
      <c r="AF763" s="208"/>
      <c r="AG763" s="208"/>
      <c r="AH763" s="208"/>
      <c r="AI763" s="100"/>
      <c r="AJ763" s="319"/>
      <c r="AK763" s="319"/>
      <c r="AL763" s="319"/>
      <c r="AM763" s="319"/>
      <c r="AN763" s="319"/>
      <c r="AO763" s="319"/>
      <c r="AP763" s="319"/>
      <c r="AQ763" s="319"/>
      <c r="AR763" s="319"/>
      <c r="AS763" s="319"/>
      <c r="AT763" s="319"/>
      <c r="AU763" s="319"/>
      <c r="AV763" s="319"/>
      <c r="AW763" s="319"/>
      <c r="AX763" s="319"/>
      <c r="AY763" s="319"/>
      <c r="AZ763" s="319"/>
      <c r="BA763" s="319"/>
      <c r="BB763" s="319"/>
      <c r="BC763" s="319"/>
      <c r="BD763" s="319"/>
      <c r="BE763" s="319"/>
      <c r="BF763" s="319"/>
      <c r="BG763" s="319"/>
      <c r="BH763" s="319"/>
      <c r="BI763" s="319"/>
      <c r="BJ763" s="319"/>
      <c r="BK763" s="319"/>
      <c r="BL763" s="319"/>
      <c r="BM763" s="319"/>
      <c r="BN763" s="319"/>
      <c r="BO763" s="319"/>
      <c r="BP763" s="319"/>
      <c r="BQ763" s="319"/>
      <c r="BR763" s="319"/>
    </row>
    <row r="764" ht="14.25" customHeight="1">
      <c r="A764" s="195"/>
      <c r="B764" s="100"/>
      <c r="C764" s="100"/>
      <c r="D764" s="100"/>
      <c r="E764" s="100"/>
      <c r="F764" s="206"/>
      <c r="G764" s="206"/>
      <c r="H764" s="207"/>
      <c r="I764" s="207"/>
      <c r="J764" s="207"/>
      <c r="K764" s="207"/>
      <c r="L764" s="207"/>
      <c r="M764" s="207"/>
      <c r="N764" s="207"/>
      <c r="O764" s="207"/>
      <c r="P764" s="207"/>
      <c r="Q764" s="207"/>
      <c r="R764" s="207"/>
      <c r="S764" s="207"/>
      <c r="T764" s="207"/>
      <c r="U764" s="207"/>
      <c r="V764" s="207"/>
      <c r="W764" s="208"/>
      <c r="X764" s="208"/>
      <c r="Y764" s="208"/>
      <c r="Z764" s="208"/>
      <c r="AA764" s="208"/>
      <c r="AB764" s="208"/>
      <c r="AC764" s="208"/>
      <c r="AD764" s="208"/>
      <c r="AE764" s="208"/>
      <c r="AF764" s="208"/>
      <c r="AG764" s="208"/>
      <c r="AH764" s="208"/>
      <c r="AI764" s="100"/>
      <c r="AJ764" s="319"/>
      <c r="AK764" s="319"/>
      <c r="AL764" s="319"/>
      <c r="AM764" s="319"/>
      <c r="AN764" s="319"/>
      <c r="AO764" s="319"/>
      <c r="AP764" s="319"/>
      <c r="AQ764" s="319"/>
      <c r="AR764" s="319"/>
      <c r="AS764" s="319"/>
      <c r="AT764" s="319"/>
      <c r="AU764" s="319"/>
      <c r="AV764" s="319"/>
      <c r="AW764" s="319"/>
      <c r="AX764" s="319"/>
      <c r="AY764" s="319"/>
      <c r="AZ764" s="319"/>
      <c r="BA764" s="319"/>
      <c r="BB764" s="319"/>
      <c r="BC764" s="319"/>
      <c r="BD764" s="319"/>
      <c r="BE764" s="319"/>
      <c r="BF764" s="319"/>
      <c r="BG764" s="319"/>
      <c r="BH764" s="319"/>
      <c r="BI764" s="319"/>
      <c r="BJ764" s="319"/>
      <c r="BK764" s="319"/>
      <c r="BL764" s="319"/>
      <c r="BM764" s="319"/>
      <c r="BN764" s="319"/>
      <c r="BO764" s="319"/>
      <c r="BP764" s="319"/>
      <c r="BQ764" s="319"/>
      <c r="BR764" s="319"/>
    </row>
    <row r="765" ht="14.25" customHeight="1">
      <c r="A765" s="195"/>
      <c r="B765" s="100"/>
      <c r="C765" s="100"/>
      <c r="D765" s="100"/>
      <c r="E765" s="100"/>
      <c r="F765" s="206"/>
      <c r="G765" s="206"/>
      <c r="H765" s="207"/>
      <c r="I765" s="207"/>
      <c r="J765" s="207"/>
      <c r="K765" s="207"/>
      <c r="L765" s="207"/>
      <c r="M765" s="207"/>
      <c r="N765" s="207"/>
      <c r="O765" s="207"/>
      <c r="P765" s="207"/>
      <c r="Q765" s="207"/>
      <c r="R765" s="207"/>
      <c r="S765" s="207"/>
      <c r="T765" s="207"/>
      <c r="U765" s="207"/>
      <c r="V765" s="207"/>
      <c r="W765" s="208"/>
      <c r="X765" s="208"/>
      <c r="Y765" s="208"/>
      <c r="Z765" s="208"/>
      <c r="AA765" s="208"/>
      <c r="AB765" s="208"/>
      <c r="AC765" s="208"/>
      <c r="AD765" s="208"/>
      <c r="AE765" s="208"/>
      <c r="AF765" s="208"/>
      <c r="AG765" s="208"/>
      <c r="AH765" s="208"/>
      <c r="AI765" s="100"/>
      <c r="AJ765" s="319"/>
      <c r="AK765" s="319"/>
      <c r="AL765" s="319"/>
      <c r="AM765" s="319"/>
      <c r="AN765" s="319"/>
      <c r="AO765" s="319"/>
      <c r="AP765" s="319"/>
      <c r="AQ765" s="319"/>
      <c r="AR765" s="319"/>
      <c r="AS765" s="319"/>
      <c r="AT765" s="319"/>
      <c r="AU765" s="319"/>
      <c r="AV765" s="319"/>
      <c r="AW765" s="319"/>
      <c r="AX765" s="319"/>
      <c r="AY765" s="319"/>
      <c r="AZ765" s="319"/>
      <c r="BA765" s="319"/>
      <c r="BB765" s="319"/>
      <c r="BC765" s="319"/>
      <c r="BD765" s="319"/>
      <c r="BE765" s="319"/>
      <c r="BF765" s="319"/>
      <c r="BG765" s="319"/>
      <c r="BH765" s="319"/>
      <c r="BI765" s="319"/>
      <c r="BJ765" s="319"/>
      <c r="BK765" s="319"/>
      <c r="BL765" s="319"/>
      <c r="BM765" s="319"/>
      <c r="BN765" s="319"/>
      <c r="BO765" s="319"/>
      <c r="BP765" s="319"/>
      <c r="BQ765" s="319"/>
      <c r="BR765" s="319"/>
    </row>
    <row r="766" ht="14.25" customHeight="1">
      <c r="A766" s="195"/>
      <c r="B766" s="100"/>
      <c r="C766" s="100"/>
      <c r="D766" s="100"/>
      <c r="E766" s="100"/>
      <c r="F766" s="206"/>
      <c r="G766" s="206"/>
      <c r="H766" s="207"/>
      <c r="I766" s="207"/>
      <c r="J766" s="207"/>
      <c r="K766" s="207"/>
      <c r="L766" s="207"/>
      <c r="M766" s="207"/>
      <c r="N766" s="207"/>
      <c r="O766" s="207"/>
      <c r="P766" s="207"/>
      <c r="Q766" s="207"/>
      <c r="R766" s="207"/>
      <c r="S766" s="207"/>
      <c r="T766" s="207"/>
      <c r="U766" s="207"/>
      <c r="V766" s="207"/>
      <c r="W766" s="208"/>
      <c r="X766" s="208"/>
      <c r="Y766" s="208"/>
      <c r="Z766" s="208"/>
      <c r="AA766" s="208"/>
      <c r="AB766" s="208"/>
      <c r="AC766" s="208"/>
      <c r="AD766" s="208"/>
      <c r="AE766" s="208"/>
      <c r="AF766" s="208"/>
      <c r="AG766" s="208"/>
      <c r="AH766" s="208"/>
      <c r="AI766" s="100"/>
      <c r="AJ766" s="319"/>
      <c r="AK766" s="319"/>
      <c r="AL766" s="319"/>
      <c r="AM766" s="319"/>
      <c r="AN766" s="319"/>
      <c r="AO766" s="319"/>
      <c r="AP766" s="319"/>
      <c r="AQ766" s="319"/>
      <c r="AR766" s="319"/>
      <c r="AS766" s="319"/>
      <c r="AT766" s="319"/>
      <c r="AU766" s="319"/>
      <c r="AV766" s="319"/>
      <c r="AW766" s="319"/>
      <c r="AX766" s="319"/>
      <c r="AY766" s="319"/>
      <c r="AZ766" s="319"/>
      <c r="BA766" s="319"/>
      <c r="BB766" s="319"/>
      <c r="BC766" s="319"/>
      <c r="BD766" s="319"/>
      <c r="BE766" s="319"/>
      <c r="BF766" s="319"/>
      <c r="BG766" s="319"/>
      <c r="BH766" s="319"/>
      <c r="BI766" s="319"/>
      <c r="BJ766" s="319"/>
      <c r="BK766" s="319"/>
      <c r="BL766" s="319"/>
      <c r="BM766" s="319"/>
      <c r="BN766" s="319"/>
      <c r="BO766" s="319"/>
      <c r="BP766" s="319"/>
      <c r="BQ766" s="319"/>
      <c r="BR766" s="319"/>
    </row>
    <row r="767" ht="14.25" customHeight="1">
      <c r="A767" s="195"/>
      <c r="B767" s="100"/>
      <c r="C767" s="100"/>
      <c r="D767" s="100"/>
      <c r="E767" s="100"/>
      <c r="F767" s="206"/>
      <c r="G767" s="206"/>
      <c r="H767" s="207"/>
      <c r="I767" s="207"/>
      <c r="J767" s="207"/>
      <c r="K767" s="207"/>
      <c r="L767" s="207"/>
      <c r="M767" s="207"/>
      <c r="N767" s="207"/>
      <c r="O767" s="207"/>
      <c r="P767" s="207"/>
      <c r="Q767" s="207"/>
      <c r="R767" s="207"/>
      <c r="S767" s="207"/>
      <c r="T767" s="207"/>
      <c r="U767" s="207"/>
      <c r="V767" s="207"/>
      <c r="W767" s="208"/>
      <c r="X767" s="208"/>
      <c r="Y767" s="208"/>
      <c r="Z767" s="208"/>
      <c r="AA767" s="208"/>
      <c r="AB767" s="208"/>
      <c r="AC767" s="208"/>
      <c r="AD767" s="208"/>
      <c r="AE767" s="208"/>
      <c r="AF767" s="208"/>
      <c r="AG767" s="208"/>
      <c r="AH767" s="208"/>
      <c r="AI767" s="100"/>
      <c r="AJ767" s="319"/>
      <c r="AK767" s="319"/>
      <c r="AL767" s="319"/>
      <c r="AM767" s="319"/>
      <c r="AN767" s="319"/>
      <c r="AO767" s="319"/>
      <c r="AP767" s="319"/>
      <c r="AQ767" s="319"/>
      <c r="AR767" s="319"/>
      <c r="AS767" s="319"/>
      <c r="AT767" s="319"/>
      <c r="AU767" s="319"/>
      <c r="AV767" s="319"/>
      <c r="AW767" s="319"/>
      <c r="AX767" s="319"/>
      <c r="AY767" s="319"/>
      <c r="AZ767" s="319"/>
      <c r="BA767" s="319"/>
      <c r="BB767" s="319"/>
      <c r="BC767" s="319"/>
      <c r="BD767" s="319"/>
      <c r="BE767" s="319"/>
      <c r="BF767" s="319"/>
      <c r="BG767" s="319"/>
      <c r="BH767" s="319"/>
      <c r="BI767" s="319"/>
      <c r="BJ767" s="319"/>
      <c r="BK767" s="319"/>
      <c r="BL767" s="319"/>
      <c r="BM767" s="319"/>
      <c r="BN767" s="319"/>
      <c r="BO767" s="319"/>
      <c r="BP767" s="319"/>
      <c r="BQ767" s="319"/>
      <c r="BR767" s="319"/>
    </row>
    <row r="768" ht="14.25" customHeight="1">
      <c r="A768" s="195"/>
      <c r="B768" s="100"/>
      <c r="C768" s="100"/>
      <c r="D768" s="100"/>
      <c r="E768" s="100"/>
      <c r="F768" s="206"/>
      <c r="G768" s="206"/>
      <c r="H768" s="207"/>
      <c r="I768" s="207"/>
      <c r="J768" s="207"/>
      <c r="K768" s="207"/>
      <c r="L768" s="207"/>
      <c r="M768" s="207"/>
      <c r="N768" s="207"/>
      <c r="O768" s="207"/>
      <c r="P768" s="207"/>
      <c r="Q768" s="207"/>
      <c r="R768" s="207"/>
      <c r="S768" s="207"/>
      <c r="T768" s="207"/>
      <c r="U768" s="207"/>
      <c r="V768" s="207"/>
      <c r="W768" s="208"/>
      <c r="X768" s="208"/>
      <c r="Y768" s="208"/>
      <c r="Z768" s="208"/>
      <c r="AA768" s="208"/>
      <c r="AB768" s="208"/>
      <c r="AC768" s="208"/>
      <c r="AD768" s="208"/>
      <c r="AE768" s="208"/>
      <c r="AF768" s="208"/>
      <c r="AG768" s="208"/>
      <c r="AH768" s="208"/>
      <c r="AI768" s="100"/>
      <c r="AJ768" s="319"/>
      <c r="AK768" s="319"/>
      <c r="AL768" s="319"/>
      <c r="AM768" s="319"/>
      <c r="AN768" s="319"/>
      <c r="AO768" s="319"/>
      <c r="AP768" s="319"/>
      <c r="AQ768" s="319"/>
      <c r="AR768" s="319"/>
      <c r="AS768" s="319"/>
      <c r="AT768" s="319"/>
      <c r="AU768" s="319"/>
      <c r="AV768" s="319"/>
      <c r="AW768" s="319"/>
      <c r="AX768" s="319"/>
      <c r="AY768" s="319"/>
      <c r="AZ768" s="319"/>
      <c r="BA768" s="319"/>
      <c r="BB768" s="319"/>
      <c r="BC768" s="319"/>
      <c r="BD768" s="319"/>
      <c r="BE768" s="319"/>
      <c r="BF768" s="319"/>
      <c r="BG768" s="319"/>
      <c r="BH768" s="319"/>
      <c r="BI768" s="319"/>
      <c r="BJ768" s="319"/>
      <c r="BK768" s="319"/>
      <c r="BL768" s="319"/>
      <c r="BM768" s="319"/>
      <c r="BN768" s="319"/>
      <c r="BO768" s="319"/>
      <c r="BP768" s="319"/>
      <c r="BQ768" s="319"/>
      <c r="BR768" s="319"/>
    </row>
    <row r="769" ht="14.25" customHeight="1">
      <c r="A769" s="195"/>
      <c r="B769" s="100"/>
      <c r="C769" s="100"/>
      <c r="D769" s="100"/>
      <c r="E769" s="100"/>
      <c r="F769" s="206"/>
      <c r="G769" s="206"/>
      <c r="H769" s="207"/>
      <c r="I769" s="207"/>
      <c r="J769" s="207"/>
      <c r="K769" s="207"/>
      <c r="L769" s="207"/>
      <c r="M769" s="207"/>
      <c r="N769" s="207"/>
      <c r="O769" s="207"/>
      <c r="P769" s="207"/>
      <c r="Q769" s="207"/>
      <c r="R769" s="207"/>
      <c r="S769" s="207"/>
      <c r="T769" s="207"/>
      <c r="U769" s="207"/>
      <c r="V769" s="207"/>
      <c r="W769" s="208"/>
      <c r="X769" s="208"/>
      <c r="Y769" s="208"/>
      <c r="Z769" s="208"/>
      <c r="AA769" s="208"/>
      <c r="AB769" s="208"/>
      <c r="AC769" s="208"/>
      <c r="AD769" s="208"/>
      <c r="AE769" s="208"/>
      <c r="AF769" s="208"/>
      <c r="AG769" s="208"/>
      <c r="AH769" s="208"/>
      <c r="AI769" s="100"/>
      <c r="AJ769" s="319"/>
      <c r="AK769" s="319"/>
      <c r="AL769" s="319"/>
      <c r="AM769" s="319"/>
      <c r="AN769" s="319"/>
      <c r="AO769" s="319"/>
      <c r="AP769" s="319"/>
      <c r="AQ769" s="319"/>
      <c r="AR769" s="319"/>
      <c r="AS769" s="319"/>
      <c r="AT769" s="319"/>
      <c r="AU769" s="319"/>
      <c r="AV769" s="319"/>
      <c r="AW769" s="319"/>
      <c r="AX769" s="319"/>
      <c r="AY769" s="319"/>
      <c r="AZ769" s="319"/>
      <c r="BA769" s="319"/>
      <c r="BB769" s="319"/>
      <c r="BC769" s="319"/>
      <c r="BD769" s="319"/>
      <c r="BE769" s="319"/>
      <c r="BF769" s="319"/>
      <c r="BG769" s="319"/>
      <c r="BH769" s="319"/>
      <c r="BI769" s="319"/>
      <c r="BJ769" s="319"/>
      <c r="BK769" s="319"/>
      <c r="BL769" s="319"/>
      <c r="BM769" s="319"/>
      <c r="BN769" s="319"/>
      <c r="BO769" s="319"/>
      <c r="BP769" s="319"/>
      <c r="BQ769" s="319"/>
      <c r="BR769" s="319"/>
    </row>
    <row r="770" ht="14.25" customHeight="1">
      <c r="A770" s="195"/>
      <c r="B770" s="100"/>
      <c r="C770" s="100"/>
      <c r="D770" s="100"/>
      <c r="E770" s="100"/>
      <c r="F770" s="206"/>
      <c r="G770" s="206"/>
      <c r="H770" s="207"/>
      <c r="I770" s="207"/>
      <c r="J770" s="207"/>
      <c r="K770" s="207"/>
      <c r="L770" s="207"/>
      <c r="M770" s="207"/>
      <c r="N770" s="207"/>
      <c r="O770" s="207"/>
      <c r="P770" s="207"/>
      <c r="Q770" s="207"/>
      <c r="R770" s="207"/>
      <c r="S770" s="207"/>
      <c r="T770" s="207"/>
      <c r="U770" s="207"/>
      <c r="V770" s="207"/>
      <c r="W770" s="208"/>
      <c r="X770" s="208"/>
      <c r="Y770" s="208"/>
      <c r="Z770" s="208"/>
      <c r="AA770" s="208"/>
      <c r="AB770" s="208"/>
      <c r="AC770" s="208"/>
      <c r="AD770" s="208"/>
      <c r="AE770" s="208"/>
      <c r="AF770" s="208"/>
      <c r="AG770" s="208"/>
      <c r="AH770" s="208"/>
      <c r="AI770" s="100"/>
      <c r="AJ770" s="319"/>
      <c r="AK770" s="319"/>
      <c r="AL770" s="319"/>
      <c r="AM770" s="319"/>
      <c r="AN770" s="319"/>
      <c r="AO770" s="319"/>
      <c r="AP770" s="319"/>
      <c r="AQ770" s="319"/>
      <c r="AR770" s="319"/>
      <c r="AS770" s="319"/>
      <c r="AT770" s="319"/>
      <c r="AU770" s="319"/>
      <c r="AV770" s="319"/>
      <c r="AW770" s="319"/>
      <c r="AX770" s="319"/>
      <c r="AY770" s="319"/>
      <c r="AZ770" s="319"/>
      <c r="BA770" s="319"/>
      <c r="BB770" s="319"/>
      <c r="BC770" s="319"/>
      <c r="BD770" s="319"/>
      <c r="BE770" s="319"/>
      <c r="BF770" s="319"/>
      <c r="BG770" s="319"/>
      <c r="BH770" s="319"/>
      <c r="BI770" s="319"/>
      <c r="BJ770" s="319"/>
      <c r="BK770" s="319"/>
      <c r="BL770" s="319"/>
      <c r="BM770" s="319"/>
      <c r="BN770" s="319"/>
      <c r="BO770" s="319"/>
      <c r="BP770" s="319"/>
      <c r="BQ770" s="319"/>
      <c r="BR770" s="319"/>
    </row>
    <row r="771" ht="14.25" customHeight="1">
      <c r="A771" s="195"/>
      <c r="B771" s="100"/>
      <c r="C771" s="100"/>
      <c r="D771" s="100"/>
      <c r="E771" s="100"/>
      <c r="F771" s="206"/>
      <c r="G771" s="206"/>
      <c r="H771" s="207"/>
      <c r="I771" s="207"/>
      <c r="J771" s="207"/>
      <c r="K771" s="207"/>
      <c r="L771" s="207"/>
      <c r="M771" s="207"/>
      <c r="N771" s="207"/>
      <c r="O771" s="207"/>
      <c r="P771" s="207"/>
      <c r="Q771" s="207"/>
      <c r="R771" s="207"/>
      <c r="S771" s="207"/>
      <c r="T771" s="207"/>
      <c r="U771" s="207"/>
      <c r="V771" s="207"/>
      <c r="W771" s="208"/>
      <c r="X771" s="208"/>
      <c r="Y771" s="208"/>
      <c r="Z771" s="208"/>
      <c r="AA771" s="208"/>
      <c r="AB771" s="208"/>
      <c r="AC771" s="208"/>
      <c r="AD771" s="208"/>
      <c r="AE771" s="208"/>
      <c r="AF771" s="208"/>
      <c r="AG771" s="208"/>
      <c r="AH771" s="208"/>
      <c r="AI771" s="100"/>
      <c r="AJ771" s="319"/>
      <c r="AK771" s="319"/>
      <c r="AL771" s="319"/>
      <c r="AM771" s="319"/>
      <c r="AN771" s="319"/>
      <c r="AO771" s="319"/>
      <c r="AP771" s="319"/>
      <c r="AQ771" s="319"/>
      <c r="AR771" s="319"/>
      <c r="AS771" s="319"/>
      <c r="AT771" s="319"/>
      <c r="AU771" s="319"/>
      <c r="AV771" s="319"/>
      <c r="AW771" s="319"/>
      <c r="AX771" s="319"/>
      <c r="AY771" s="319"/>
      <c r="AZ771" s="319"/>
      <c r="BA771" s="319"/>
      <c r="BB771" s="319"/>
      <c r="BC771" s="319"/>
      <c r="BD771" s="319"/>
      <c r="BE771" s="319"/>
      <c r="BF771" s="319"/>
      <c r="BG771" s="319"/>
      <c r="BH771" s="319"/>
      <c r="BI771" s="319"/>
      <c r="BJ771" s="319"/>
      <c r="BK771" s="319"/>
      <c r="BL771" s="319"/>
      <c r="BM771" s="319"/>
      <c r="BN771" s="319"/>
      <c r="BO771" s="319"/>
      <c r="BP771" s="319"/>
      <c r="BQ771" s="319"/>
      <c r="BR771" s="319"/>
    </row>
    <row r="772" ht="14.25" customHeight="1">
      <c r="A772" s="195"/>
      <c r="B772" s="100"/>
      <c r="C772" s="100"/>
      <c r="D772" s="100"/>
      <c r="E772" s="100"/>
      <c r="F772" s="206"/>
      <c r="G772" s="206"/>
      <c r="H772" s="207"/>
      <c r="I772" s="207"/>
      <c r="J772" s="207"/>
      <c r="K772" s="207"/>
      <c r="L772" s="207"/>
      <c r="M772" s="207"/>
      <c r="N772" s="207"/>
      <c r="O772" s="207"/>
      <c r="P772" s="207"/>
      <c r="Q772" s="207"/>
      <c r="R772" s="207"/>
      <c r="S772" s="207"/>
      <c r="T772" s="207"/>
      <c r="U772" s="207"/>
      <c r="V772" s="207"/>
      <c r="W772" s="208"/>
      <c r="X772" s="208"/>
      <c r="Y772" s="208"/>
      <c r="Z772" s="208"/>
      <c r="AA772" s="208"/>
      <c r="AB772" s="208"/>
      <c r="AC772" s="208"/>
      <c r="AD772" s="208"/>
      <c r="AE772" s="208"/>
      <c r="AF772" s="208"/>
      <c r="AG772" s="208"/>
      <c r="AH772" s="208"/>
      <c r="AI772" s="100"/>
      <c r="AJ772" s="319"/>
      <c r="AK772" s="319"/>
      <c r="AL772" s="319"/>
      <c r="AM772" s="319"/>
      <c r="AN772" s="319"/>
      <c r="AO772" s="319"/>
      <c r="AP772" s="319"/>
      <c r="AQ772" s="319"/>
      <c r="AR772" s="319"/>
      <c r="AS772" s="319"/>
      <c r="AT772" s="319"/>
      <c r="AU772" s="319"/>
      <c r="AV772" s="319"/>
      <c r="AW772" s="319"/>
      <c r="AX772" s="319"/>
      <c r="AY772" s="319"/>
      <c r="AZ772" s="319"/>
      <c r="BA772" s="319"/>
      <c r="BB772" s="319"/>
      <c r="BC772" s="319"/>
      <c r="BD772" s="319"/>
      <c r="BE772" s="319"/>
      <c r="BF772" s="319"/>
      <c r="BG772" s="319"/>
      <c r="BH772" s="319"/>
      <c r="BI772" s="319"/>
      <c r="BJ772" s="319"/>
      <c r="BK772" s="319"/>
      <c r="BL772" s="319"/>
      <c r="BM772" s="319"/>
      <c r="BN772" s="319"/>
      <c r="BO772" s="319"/>
      <c r="BP772" s="319"/>
      <c r="BQ772" s="319"/>
      <c r="BR772" s="319"/>
    </row>
    <row r="773" ht="14.25" customHeight="1">
      <c r="A773" s="195"/>
      <c r="B773" s="100"/>
      <c r="C773" s="100"/>
      <c r="D773" s="100"/>
      <c r="E773" s="100"/>
      <c r="F773" s="206"/>
      <c r="G773" s="206"/>
      <c r="H773" s="207"/>
      <c r="I773" s="207"/>
      <c r="J773" s="207"/>
      <c r="K773" s="207"/>
      <c r="L773" s="207"/>
      <c r="M773" s="207"/>
      <c r="N773" s="207"/>
      <c r="O773" s="207"/>
      <c r="P773" s="207"/>
      <c r="Q773" s="207"/>
      <c r="R773" s="207"/>
      <c r="S773" s="207"/>
      <c r="T773" s="207"/>
      <c r="U773" s="207"/>
      <c r="V773" s="207"/>
      <c r="W773" s="208"/>
      <c r="X773" s="208"/>
      <c r="Y773" s="208"/>
      <c r="Z773" s="208"/>
      <c r="AA773" s="208"/>
      <c r="AB773" s="208"/>
      <c r="AC773" s="208"/>
      <c r="AD773" s="208"/>
      <c r="AE773" s="208"/>
      <c r="AF773" s="208"/>
      <c r="AG773" s="208"/>
      <c r="AH773" s="208"/>
      <c r="AI773" s="100"/>
      <c r="AJ773" s="319"/>
      <c r="AK773" s="319"/>
      <c r="AL773" s="319"/>
      <c r="AM773" s="319"/>
      <c r="AN773" s="319"/>
      <c r="AO773" s="319"/>
      <c r="AP773" s="319"/>
      <c r="AQ773" s="319"/>
      <c r="AR773" s="319"/>
      <c r="AS773" s="319"/>
      <c r="AT773" s="319"/>
      <c r="AU773" s="319"/>
      <c r="AV773" s="319"/>
      <c r="AW773" s="319"/>
      <c r="AX773" s="319"/>
      <c r="AY773" s="319"/>
      <c r="AZ773" s="319"/>
      <c r="BA773" s="319"/>
      <c r="BB773" s="319"/>
      <c r="BC773" s="319"/>
      <c r="BD773" s="319"/>
      <c r="BE773" s="319"/>
      <c r="BF773" s="319"/>
      <c r="BG773" s="319"/>
      <c r="BH773" s="319"/>
      <c r="BI773" s="319"/>
      <c r="BJ773" s="319"/>
      <c r="BK773" s="319"/>
      <c r="BL773" s="319"/>
      <c r="BM773" s="319"/>
      <c r="BN773" s="319"/>
      <c r="BO773" s="319"/>
      <c r="BP773" s="319"/>
      <c r="BQ773" s="319"/>
      <c r="BR773" s="319"/>
    </row>
    <row r="774" ht="14.25" customHeight="1">
      <c r="A774" s="195"/>
      <c r="B774" s="100"/>
      <c r="C774" s="100"/>
      <c r="D774" s="100"/>
      <c r="E774" s="100"/>
      <c r="F774" s="206"/>
      <c r="G774" s="206"/>
      <c r="H774" s="207"/>
      <c r="I774" s="207"/>
      <c r="J774" s="207"/>
      <c r="K774" s="207"/>
      <c r="L774" s="207"/>
      <c r="M774" s="207"/>
      <c r="N774" s="207"/>
      <c r="O774" s="207"/>
      <c r="P774" s="207"/>
      <c r="Q774" s="207"/>
      <c r="R774" s="207"/>
      <c r="S774" s="207"/>
      <c r="T774" s="207"/>
      <c r="U774" s="207"/>
      <c r="V774" s="207"/>
      <c r="W774" s="208"/>
      <c r="X774" s="208"/>
      <c r="Y774" s="208"/>
      <c r="Z774" s="208"/>
      <c r="AA774" s="208"/>
      <c r="AB774" s="208"/>
      <c r="AC774" s="208"/>
      <c r="AD774" s="208"/>
      <c r="AE774" s="208"/>
      <c r="AF774" s="208"/>
      <c r="AG774" s="208"/>
      <c r="AH774" s="208"/>
      <c r="AI774" s="100"/>
      <c r="AJ774" s="319"/>
      <c r="AK774" s="319"/>
      <c r="AL774" s="319"/>
      <c r="AM774" s="319"/>
      <c r="AN774" s="319"/>
      <c r="AO774" s="319"/>
      <c r="AP774" s="319"/>
      <c r="AQ774" s="319"/>
      <c r="AR774" s="319"/>
      <c r="AS774" s="319"/>
      <c r="AT774" s="319"/>
      <c r="AU774" s="319"/>
      <c r="AV774" s="319"/>
      <c r="AW774" s="319"/>
      <c r="AX774" s="319"/>
      <c r="AY774" s="319"/>
      <c r="AZ774" s="319"/>
      <c r="BA774" s="319"/>
      <c r="BB774" s="319"/>
      <c r="BC774" s="319"/>
      <c r="BD774" s="319"/>
      <c r="BE774" s="319"/>
      <c r="BF774" s="319"/>
      <c r="BG774" s="319"/>
      <c r="BH774" s="319"/>
      <c r="BI774" s="319"/>
      <c r="BJ774" s="319"/>
      <c r="BK774" s="319"/>
      <c r="BL774" s="319"/>
      <c r="BM774" s="319"/>
      <c r="BN774" s="319"/>
      <c r="BO774" s="319"/>
      <c r="BP774" s="319"/>
      <c r="BQ774" s="319"/>
      <c r="BR774" s="319"/>
    </row>
    <row r="775" ht="14.25" customHeight="1">
      <c r="A775" s="195"/>
      <c r="B775" s="100"/>
      <c r="C775" s="100"/>
      <c r="D775" s="100"/>
      <c r="E775" s="100"/>
      <c r="F775" s="206"/>
      <c r="G775" s="206"/>
      <c r="H775" s="207"/>
      <c r="I775" s="207"/>
      <c r="J775" s="207"/>
      <c r="K775" s="207"/>
      <c r="L775" s="207"/>
      <c r="M775" s="207"/>
      <c r="N775" s="207"/>
      <c r="O775" s="207"/>
      <c r="P775" s="207"/>
      <c r="Q775" s="207"/>
      <c r="R775" s="207"/>
      <c r="S775" s="207"/>
      <c r="T775" s="207"/>
      <c r="U775" s="207"/>
      <c r="V775" s="207"/>
      <c r="W775" s="208"/>
      <c r="X775" s="208"/>
      <c r="Y775" s="208"/>
      <c r="Z775" s="208"/>
      <c r="AA775" s="208"/>
      <c r="AB775" s="208"/>
      <c r="AC775" s="208"/>
      <c r="AD775" s="208"/>
      <c r="AE775" s="208"/>
      <c r="AF775" s="208"/>
      <c r="AG775" s="208"/>
      <c r="AH775" s="208"/>
      <c r="AI775" s="100"/>
      <c r="AJ775" s="319"/>
      <c r="AK775" s="319"/>
      <c r="AL775" s="319"/>
      <c r="AM775" s="319"/>
      <c r="AN775" s="319"/>
      <c r="AO775" s="319"/>
      <c r="AP775" s="319"/>
      <c r="AQ775" s="319"/>
      <c r="AR775" s="319"/>
      <c r="AS775" s="319"/>
      <c r="AT775" s="319"/>
      <c r="AU775" s="319"/>
      <c r="AV775" s="319"/>
      <c r="AW775" s="319"/>
      <c r="AX775" s="319"/>
      <c r="AY775" s="319"/>
      <c r="AZ775" s="319"/>
      <c r="BA775" s="319"/>
      <c r="BB775" s="319"/>
      <c r="BC775" s="319"/>
      <c r="BD775" s="319"/>
      <c r="BE775" s="319"/>
      <c r="BF775" s="319"/>
      <c r="BG775" s="319"/>
      <c r="BH775" s="319"/>
      <c r="BI775" s="319"/>
      <c r="BJ775" s="319"/>
      <c r="BK775" s="319"/>
      <c r="BL775" s="319"/>
      <c r="BM775" s="319"/>
      <c r="BN775" s="319"/>
      <c r="BO775" s="319"/>
      <c r="BP775" s="319"/>
      <c r="BQ775" s="319"/>
      <c r="BR775" s="319"/>
    </row>
    <row r="776" ht="14.25" customHeight="1">
      <c r="A776" s="195"/>
      <c r="B776" s="100"/>
      <c r="C776" s="100"/>
      <c r="D776" s="100"/>
      <c r="E776" s="100"/>
      <c r="F776" s="206"/>
      <c r="G776" s="206"/>
      <c r="H776" s="207"/>
      <c r="I776" s="207"/>
      <c r="J776" s="207"/>
      <c r="K776" s="207"/>
      <c r="L776" s="207"/>
      <c r="M776" s="207"/>
      <c r="N776" s="207"/>
      <c r="O776" s="207"/>
      <c r="P776" s="207"/>
      <c r="Q776" s="207"/>
      <c r="R776" s="207"/>
      <c r="S776" s="207"/>
      <c r="T776" s="207"/>
      <c r="U776" s="207"/>
      <c r="V776" s="207"/>
      <c r="W776" s="208"/>
      <c r="X776" s="208"/>
      <c r="Y776" s="208"/>
      <c r="Z776" s="208"/>
      <c r="AA776" s="208"/>
      <c r="AB776" s="208"/>
      <c r="AC776" s="208"/>
      <c r="AD776" s="208"/>
      <c r="AE776" s="208"/>
      <c r="AF776" s="208"/>
      <c r="AG776" s="208"/>
      <c r="AH776" s="208"/>
      <c r="AI776" s="100"/>
      <c r="AJ776" s="319"/>
      <c r="AK776" s="319"/>
      <c r="AL776" s="319"/>
      <c r="AM776" s="319"/>
      <c r="AN776" s="319"/>
      <c r="AO776" s="319"/>
      <c r="AP776" s="319"/>
      <c r="AQ776" s="319"/>
      <c r="AR776" s="319"/>
      <c r="AS776" s="319"/>
      <c r="AT776" s="319"/>
      <c r="AU776" s="319"/>
      <c r="AV776" s="319"/>
      <c r="AW776" s="319"/>
      <c r="AX776" s="319"/>
      <c r="AY776" s="319"/>
      <c r="AZ776" s="319"/>
      <c r="BA776" s="319"/>
      <c r="BB776" s="319"/>
      <c r="BC776" s="319"/>
      <c r="BD776" s="319"/>
      <c r="BE776" s="319"/>
      <c r="BF776" s="319"/>
      <c r="BG776" s="319"/>
      <c r="BH776" s="319"/>
      <c r="BI776" s="319"/>
      <c r="BJ776" s="319"/>
      <c r="BK776" s="319"/>
      <c r="BL776" s="319"/>
      <c r="BM776" s="319"/>
      <c r="BN776" s="319"/>
      <c r="BO776" s="319"/>
      <c r="BP776" s="319"/>
      <c r="BQ776" s="319"/>
      <c r="BR776" s="319"/>
    </row>
    <row r="777" ht="14.25" customHeight="1">
      <c r="A777" s="195"/>
      <c r="B777" s="100"/>
      <c r="C777" s="100"/>
      <c r="D777" s="100"/>
      <c r="E777" s="100"/>
      <c r="F777" s="206"/>
      <c r="G777" s="206"/>
      <c r="H777" s="207"/>
      <c r="I777" s="207"/>
      <c r="J777" s="207"/>
      <c r="K777" s="207"/>
      <c r="L777" s="207"/>
      <c r="M777" s="207"/>
      <c r="N777" s="207"/>
      <c r="O777" s="207"/>
      <c r="P777" s="207"/>
      <c r="Q777" s="207"/>
      <c r="R777" s="207"/>
      <c r="S777" s="207"/>
      <c r="T777" s="207"/>
      <c r="U777" s="207"/>
      <c r="V777" s="207"/>
      <c r="W777" s="208"/>
      <c r="X777" s="208"/>
      <c r="Y777" s="208"/>
      <c r="Z777" s="208"/>
      <c r="AA777" s="208"/>
      <c r="AB777" s="208"/>
      <c r="AC777" s="208"/>
      <c r="AD777" s="208"/>
      <c r="AE777" s="208"/>
      <c r="AF777" s="208"/>
      <c r="AG777" s="208"/>
      <c r="AH777" s="208"/>
      <c r="AI777" s="100"/>
      <c r="AJ777" s="319"/>
      <c r="AK777" s="319"/>
      <c r="AL777" s="319"/>
      <c r="AM777" s="319"/>
      <c r="AN777" s="319"/>
      <c r="AO777" s="319"/>
      <c r="AP777" s="319"/>
      <c r="AQ777" s="319"/>
      <c r="AR777" s="319"/>
      <c r="AS777" s="319"/>
      <c r="AT777" s="319"/>
      <c r="AU777" s="319"/>
      <c r="AV777" s="319"/>
      <c r="AW777" s="319"/>
      <c r="AX777" s="319"/>
      <c r="AY777" s="319"/>
      <c r="AZ777" s="319"/>
      <c r="BA777" s="319"/>
      <c r="BB777" s="319"/>
      <c r="BC777" s="319"/>
      <c r="BD777" s="319"/>
      <c r="BE777" s="319"/>
      <c r="BF777" s="319"/>
      <c r="BG777" s="319"/>
      <c r="BH777" s="319"/>
      <c r="BI777" s="319"/>
      <c r="BJ777" s="319"/>
      <c r="BK777" s="319"/>
      <c r="BL777" s="319"/>
      <c r="BM777" s="319"/>
      <c r="BN777" s="319"/>
      <c r="BO777" s="319"/>
      <c r="BP777" s="319"/>
      <c r="BQ777" s="319"/>
      <c r="BR777" s="319"/>
    </row>
    <row r="778" ht="14.25" customHeight="1">
      <c r="A778" s="195"/>
      <c r="B778" s="100"/>
      <c r="C778" s="100"/>
      <c r="D778" s="100"/>
      <c r="E778" s="100"/>
      <c r="F778" s="206"/>
      <c r="G778" s="206"/>
      <c r="H778" s="207"/>
      <c r="I778" s="207"/>
      <c r="J778" s="207"/>
      <c r="K778" s="207"/>
      <c r="L778" s="207"/>
      <c r="M778" s="207"/>
      <c r="N778" s="207"/>
      <c r="O778" s="207"/>
      <c r="P778" s="207"/>
      <c r="Q778" s="207"/>
      <c r="R778" s="207"/>
      <c r="S778" s="207"/>
      <c r="T778" s="207"/>
      <c r="U778" s="207"/>
      <c r="V778" s="207"/>
      <c r="W778" s="208"/>
      <c r="X778" s="208"/>
      <c r="Y778" s="208"/>
      <c r="Z778" s="208"/>
      <c r="AA778" s="208"/>
      <c r="AB778" s="208"/>
      <c r="AC778" s="208"/>
      <c r="AD778" s="208"/>
      <c r="AE778" s="208"/>
      <c r="AF778" s="208"/>
      <c r="AG778" s="208"/>
      <c r="AH778" s="208"/>
      <c r="AI778" s="100"/>
      <c r="AJ778" s="319"/>
      <c r="AK778" s="319"/>
      <c r="AL778" s="319"/>
      <c r="AM778" s="319"/>
      <c r="AN778" s="319"/>
      <c r="AO778" s="319"/>
      <c r="AP778" s="319"/>
      <c r="AQ778" s="319"/>
      <c r="AR778" s="319"/>
      <c r="AS778" s="319"/>
      <c r="AT778" s="319"/>
      <c r="AU778" s="319"/>
      <c r="AV778" s="319"/>
      <c r="AW778" s="319"/>
      <c r="AX778" s="319"/>
      <c r="AY778" s="319"/>
      <c r="AZ778" s="319"/>
      <c r="BA778" s="319"/>
      <c r="BB778" s="319"/>
      <c r="BC778" s="319"/>
      <c r="BD778" s="319"/>
      <c r="BE778" s="319"/>
      <c r="BF778" s="319"/>
      <c r="BG778" s="319"/>
      <c r="BH778" s="319"/>
      <c r="BI778" s="319"/>
      <c r="BJ778" s="319"/>
      <c r="BK778" s="319"/>
      <c r="BL778" s="319"/>
      <c r="BM778" s="319"/>
      <c r="BN778" s="319"/>
      <c r="BO778" s="319"/>
      <c r="BP778" s="319"/>
      <c r="BQ778" s="319"/>
      <c r="BR778" s="319"/>
    </row>
    <row r="779" ht="14.25" customHeight="1">
      <c r="A779" s="195"/>
      <c r="B779" s="100"/>
      <c r="C779" s="100"/>
      <c r="D779" s="100"/>
      <c r="E779" s="100"/>
      <c r="F779" s="206"/>
      <c r="G779" s="206"/>
      <c r="H779" s="207"/>
      <c r="I779" s="207"/>
      <c r="J779" s="207"/>
      <c r="K779" s="207"/>
      <c r="L779" s="207"/>
      <c r="M779" s="207"/>
      <c r="N779" s="207"/>
      <c r="O779" s="207"/>
      <c r="P779" s="207"/>
      <c r="Q779" s="207"/>
      <c r="R779" s="207"/>
      <c r="S779" s="207"/>
      <c r="T779" s="207"/>
      <c r="U779" s="207"/>
      <c r="V779" s="207"/>
      <c r="W779" s="208"/>
      <c r="X779" s="208"/>
      <c r="Y779" s="208"/>
      <c r="Z779" s="208"/>
      <c r="AA779" s="208"/>
      <c r="AB779" s="208"/>
      <c r="AC779" s="208"/>
      <c r="AD779" s="208"/>
      <c r="AE779" s="208"/>
      <c r="AF779" s="208"/>
      <c r="AG779" s="208"/>
      <c r="AH779" s="208"/>
      <c r="AI779" s="100"/>
      <c r="AJ779" s="319"/>
      <c r="AK779" s="319"/>
      <c r="AL779" s="319"/>
      <c r="AM779" s="319"/>
      <c r="AN779" s="319"/>
      <c r="AO779" s="319"/>
      <c r="AP779" s="319"/>
      <c r="AQ779" s="319"/>
      <c r="AR779" s="319"/>
      <c r="AS779" s="319"/>
      <c r="AT779" s="319"/>
      <c r="AU779" s="319"/>
      <c r="AV779" s="319"/>
      <c r="AW779" s="319"/>
      <c r="AX779" s="319"/>
      <c r="AY779" s="319"/>
      <c r="AZ779" s="319"/>
      <c r="BA779" s="319"/>
      <c r="BB779" s="319"/>
      <c r="BC779" s="319"/>
      <c r="BD779" s="319"/>
      <c r="BE779" s="319"/>
      <c r="BF779" s="319"/>
      <c r="BG779" s="319"/>
      <c r="BH779" s="319"/>
      <c r="BI779" s="319"/>
      <c r="BJ779" s="319"/>
      <c r="BK779" s="319"/>
      <c r="BL779" s="319"/>
      <c r="BM779" s="319"/>
      <c r="BN779" s="319"/>
      <c r="BO779" s="319"/>
      <c r="BP779" s="319"/>
      <c r="BQ779" s="319"/>
      <c r="BR779" s="319"/>
    </row>
    <row r="780" ht="14.25" customHeight="1">
      <c r="A780" s="195"/>
      <c r="B780" s="100"/>
      <c r="C780" s="100"/>
      <c r="D780" s="100"/>
      <c r="E780" s="100"/>
      <c r="F780" s="206"/>
      <c r="G780" s="206"/>
      <c r="H780" s="207"/>
      <c r="I780" s="207"/>
      <c r="J780" s="207"/>
      <c r="K780" s="207"/>
      <c r="L780" s="207"/>
      <c r="M780" s="207"/>
      <c r="N780" s="207"/>
      <c r="O780" s="207"/>
      <c r="P780" s="207"/>
      <c r="Q780" s="207"/>
      <c r="R780" s="207"/>
      <c r="S780" s="207"/>
      <c r="T780" s="207"/>
      <c r="U780" s="207"/>
      <c r="V780" s="207"/>
      <c r="W780" s="208"/>
      <c r="X780" s="208"/>
      <c r="Y780" s="208"/>
      <c r="Z780" s="208"/>
      <c r="AA780" s="208"/>
      <c r="AB780" s="208"/>
      <c r="AC780" s="208"/>
      <c r="AD780" s="208"/>
      <c r="AE780" s="208"/>
      <c r="AF780" s="208"/>
      <c r="AG780" s="208"/>
      <c r="AH780" s="208"/>
      <c r="AI780" s="100"/>
      <c r="AJ780" s="319"/>
      <c r="AK780" s="319"/>
      <c r="AL780" s="319"/>
      <c r="AM780" s="319"/>
      <c r="AN780" s="319"/>
      <c r="AO780" s="319"/>
      <c r="AP780" s="319"/>
      <c r="AQ780" s="319"/>
      <c r="AR780" s="319"/>
      <c r="AS780" s="319"/>
      <c r="AT780" s="319"/>
      <c r="AU780" s="319"/>
      <c r="AV780" s="319"/>
      <c r="AW780" s="319"/>
      <c r="AX780" s="319"/>
      <c r="AY780" s="319"/>
      <c r="AZ780" s="319"/>
      <c r="BA780" s="319"/>
      <c r="BB780" s="319"/>
      <c r="BC780" s="319"/>
      <c r="BD780" s="319"/>
      <c r="BE780" s="319"/>
      <c r="BF780" s="319"/>
      <c r="BG780" s="319"/>
      <c r="BH780" s="319"/>
      <c r="BI780" s="319"/>
      <c r="BJ780" s="319"/>
      <c r="BK780" s="319"/>
      <c r="BL780" s="319"/>
      <c r="BM780" s="319"/>
      <c r="BN780" s="319"/>
      <c r="BO780" s="319"/>
      <c r="BP780" s="319"/>
      <c r="BQ780" s="319"/>
      <c r="BR780" s="319"/>
    </row>
    <row r="781" ht="14.25" customHeight="1">
      <c r="A781" s="195"/>
      <c r="B781" s="100"/>
      <c r="C781" s="100"/>
      <c r="D781" s="100"/>
      <c r="E781" s="100"/>
      <c r="F781" s="206"/>
      <c r="G781" s="206"/>
      <c r="H781" s="207"/>
      <c r="I781" s="207"/>
      <c r="J781" s="207"/>
      <c r="K781" s="207"/>
      <c r="L781" s="207"/>
      <c r="M781" s="207"/>
      <c r="N781" s="207"/>
      <c r="O781" s="207"/>
      <c r="P781" s="207"/>
      <c r="Q781" s="207"/>
      <c r="R781" s="207"/>
      <c r="S781" s="207"/>
      <c r="T781" s="207"/>
      <c r="U781" s="207"/>
      <c r="V781" s="207"/>
      <c r="W781" s="208"/>
      <c r="X781" s="208"/>
      <c r="Y781" s="208"/>
      <c r="Z781" s="208"/>
      <c r="AA781" s="208"/>
      <c r="AB781" s="208"/>
      <c r="AC781" s="208"/>
      <c r="AD781" s="208"/>
      <c r="AE781" s="208"/>
      <c r="AF781" s="208"/>
      <c r="AG781" s="208"/>
      <c r="AH781" s="208"/>
      <c r="AI781" s="100"/>
      <c r="AJ781" s="319"/>
      <c r="AK781" s="319"/>
      <c r="AL781" s="319"/>
      <c r="AM781" s="319"/>
      <c r="AN781" s="319"/>
      <c r="AO781" s="319"/>
      <c r="AP781" s="319"/>
      <c r="AQ781" s="319"/>
      <c r="AR781" s="319"/>
      <c r="AS781" s="319"/>
      <c r="AT781" s="319"/>
      <c r="AU781" s="319"/>
      <c r="AV781" s="319"/>
      <c r="AW781" s="319"/>
      <c r="AX781" s="319"/>
      <c r="AY781" s="319"/>
      <c r="AZ781" s="319"/>
      <c r="BA781" s="319"/>
      <c r="BB781" s="319"/>
      <c r="BC781" s="319"/>
      <c r="BD781" s="319"/>
      <c r="BE781" s="319"/>
      <c r="BF781" s="319"/>
      <c r="BG781" s="319"/>
      <c r="BH781" s="319"/>
      <c r="BI781" s="319"/>
      <c r="BJ781" s="319"/>
      <c r="BK781" s="319"/>
      <c r="BL781" s="319"/>
      <c r="BM781" s="319"/>
      <c r="BN781" s="319"/>
      <c r="BO781" s="319"/>
      <c r="BP781" s="319"/>
      <c r="BQ781" s="319"/>
      <c r="BR781" s="319"/>
    </row>
    <row r="782" ht="14.25" customHeight="1">
      <c r="A782" s="195"/>
      <c r="B782" s="100"/>
      <c r="C782" s="100"/>
      <c r="D782" s="100"/>
      <c r="E782" s="100"/>
      <c r="F782" s="206"/>
      <c r="G782" s="206"/>
      <c r="H782" s="207"/>
      <c r="I782" s="207"/>
      <c r="J782" s="207"/>
      <c r="K782" s="207"/>
      <c r="L782" s="207"/>
      <c r="M782" s="207"/>
      <c r="N782" s="207"/>
      <c r="O782" s="207"/>
      <c r="P782" s="207"/>
      <c r="Q782" s="207"/>
      <c r="R782" s="207"/>
      <c r="S782" s="207"/>
      <c r="T782" s="207"/>
      <c r="U782" s="207"/>
      <c r="V782" s="207"/>
      <c r="W782" s="208"/>
      <c r="X782" s="208"/>
      <c r="Y782" s="208"/>
      <c r="Z782" s="208"/>
      <c r="AA782" s="208"/>
      <c r="AB782" s="208"/>
      <c r="AC782" s="208"/>
      <c r="AD782" s="208"/>
      <c r="AE782" s="208"/>
      <c r="AF782" s="208"/>
      <c r="AG782" s="208"/>
      <c r="AH782" s="208"/>
      <c r="AI782" s="100"/>
      <c r="AJ782" s="319"/>
      <c r="AK782" s="319"/>
      <c r="AL782" s="319"/>
      <c r="AM782" s="319"/>
      <c r="AN782" s="319"/>
      <c r="AO782" s="319"/>
      <c r="AP782" s="319"/>
      <c r="AQ782" s="319"/>
      <c r="AR782" s="319"/>
      <c r="AS782" s="319"/>
      <c r="AT782" s="319"/>
      <c r="AU782" s="319"/>
      <c r="AV782" s="319"/>
      <c r="AW782" s="319"/>
      <c r="AX782" s="319"/>
      <c r="AY782" s="319"/>
      <c r="AZ782" s="319"/>
      <c r="BA782" s="319"/>
      <c r="BB782" s="319"/>
      <c r="BC782" s="319"/>
      <c r="BD782" s="319"/>
      <c r="BE782" s="319"/>
      <c r="BF782" s="319"/>
      <c r="BG782" s="319"/>
      <c r="BH782" s="319"/>
      <c r="BI782" s="319"/>
      <c r="BJ782" s="319"/>
      <c r="BK782" s="319"/>
      <c r="BL782" s="319"/>
      <c r="BM782" s="319"/>
      <c r="BN782" s="319"/>
      <c r="BO782" s="319"/>
      <c r="BP782" s="319"/>
      <c r="BQ782" s="319"/>
      <c r="BR782" s="319"/>
    </row>
    <row r="783" ht="14.25" customHeight="1">
      <c r="A783" s="195"/>
      <c r="B783" s="100"/>
      <c r="C783" s="100"/>
      <c r="D783" s="100"/>
      <c r="E783" s="100"/>
      <c r="F783" s="206"/>
      <c r="G783" s="206"/>
      <c r="H783" s="207"/>
      <c r="I783" s="207"/>
      <c r="J783" s="207"/>
      <c r="K783" s="207"/>
      <c r="L783" s="207"/>
      <c r="M783" s="207"/>
      <c r="N783" s="207"/>
      <c r="O783" s="207"/>
      <c r="P783" s="207"/>
      <c r="Q783" s="207"/>
      <c r="R783" s="207"/>
      <c r="S783" s="207"/>
      <c r="T783" s="207"/>
      <c r="U783" s="207"/>
      <c r="V783" s="207"/>
      <c r="W783" s="208"/>
      <c r="X783" s="208"/>
      <c r="Y783" s="208"/>
      <c r="Z783" s="208"/>
      <c r="AA783" s="208"/>
      <c r="AB783" s="208"/>
      <c r="AC783" s="208"/>
      <c r="AD783" s="208"/>
      <c r="AE783" s="208"/>
      <c r="AF783" s="208"/>
      <c r="AG783" s="208"/>
      <c r="AH783" s="208"/>
      <c r="AI783" s="100"/>
      <c r="AJ783" s="319"/>
      <c r="AK783" s="319"/>
      <c r="AL783" s="319"/>
      <c r="AM783" s="319"/>
      <c r="AN783" s="319"/>
      <c r="AO783" s="319"/>
      <c r="AP783" s="319"/>
      <c r="AQ783" s="319"/>
      <c r="AR783" s="319"/>
      <c r="AS783" s="319"/>
      <c r="AT783" s="319"/>
      <c r="AU783" s="319"/>
      <c r="AV783" s="319"/>
      <c r="AW783" s="319"/>
      <c r="AX783" s="319"/>
      <c r="AY783" s="319"/>
      <c r="AZ783" s="319"/>
      <c r="BA783" s="319"/>
      <c r="BB783" s="319"/>
      <c r="BC783" s="319"/>
      <c r="BD783" s="319"/>
      <c r="BE783" s="319"/>
      <c r="BF783" s="319"/>
      <c r="BG783" s="319"/>
      <c r="BH783" s="319"/>
      <c r="BI783" s="319"/>
      <c r="BJ783" s="319"/>
      <c r="BK783" s="319"/>
      <c r="BL783" s="319"/>
      <c r="BM783" s="319"/>
      <c r="BN783" s="319"/>
      <c r="BO783" s="319"/>
      <c r="BP783" s="319"/>
      <c r="BQ783" s="319"/>
      <c r="BR783" s="319"/>
    </row>
    <row r="784" ht="14.25" customHeight="1">
      <c r="A784" s="195"/>
      <c r="B784" s="100"/>
      <c r="C784" s="100"/>
      <c r="D784" s="100"/>
      <c r="E784" s="100"/>
      <c r="F784" s="206"/>
      <c r="G784" s="206"/>
      <c r="H784" s="207"/>
      <c r="I784" s="207"/>
      <c r="J784" s="207"/>
      <c r="K784" s="207"/>
      <c r="L784" s="207"/>
      <c r="M784" s="207"/>
      <c r="N784" s="207"/>
      <c r="O784" s="207"/>
      <c r="P784" s="207"/>
      <c r="Q784" s="207"/>
      <c r="R784" s="207"/>
      <c r="S784" s="207"/>
      <c r="T784" s="207"/>
      <c r="U784" s="207"/>
      <c r="V784" s="207"/>
      <c r="W784" s="208"/>
      <c r="X784" s="208"/>
      <c r="Y784" s="208"/>
      <c r="Z784" s="208"/>
      <c r="AA784" s="208"/>
      <c r="AB784" s="208"/>
      <c r="AC784" s="208"/>
      <c r="AD784" s="208"/>
      <c r="AE784" s="208"/>
      <c r="AF784" s="208"/>
      <c r="AG784" s="208"/>
      <c r="AH784" s="208"/>
      <c r="AI784" s="100"/>
      <c r="AJ784" s="319"/>
      <c r="AK784" s="319"/>
      <c r="AL784" s="319"/>
      <c r="AM784" s="319"/>
      <c r="AN784" s="319"/>
      <c r="AO784" s="319"/>
      <c r="AP784" s="319"/>
      <c r="AQ784" s="319"/>
      <c r="AR784" s="319"/>
      <c r="AS784" s="319"/>
      <c r="AT784" s="319"/>
      <c r="AU784" s="319"/>
      <c r="AV784" s="319"/>
      <c r="AW784" s="319"/>
      <c r="AX784" s="319"/>
      <c r="AY784" s="319"/>
      <c r="AZ784" s="319"/>
      <c r="BA784" s="319"/>
      <c r="BB784" s="319"/>
      <c r="BC784" s="319"/>
      <c r="BD784" s="319"/>
      <c r="BE784" s="319"/>
      <c r="BF784" s="319"/>
      <c r="BG784" s="319"/>
      <c r="BH784" s="319"/>
      <c r="BI784" s="319"/>
      <c r="BJ784" s="319"/>
      <c r="BK784" s="319"/>
      <c r="BL784" s="319"/>
      <c r="BM784" s="319"/>
      <c r="BN784" s="319"/>
      <c r="BO784" s="319"/>
      <c r="BP784" s="319"/>
      <c r="BQ784" s="319"/>
      <c r="BR784" s="319"/>
    </row>
    <row r="785" ht="14.25" customHeight="1">
      <c r="A785" s="195"/>
      <c r="B785" s="100"/>
      <c r="C785" s="100"/>
      <c r="D785" s="100"/>
      <c r="E785" s="100"/>
      <c r="F785" s="206"/>
      <c r="G785" s="206"/>
      <c r="H785" s="207"/>
      <c r="I785" s="207"/>
      <c r="J785" s="207"/>
      <c r="K785" s="207"/>
      <c r="L785" s="207"/>
      <c r="M785" s="207"/>
      <c r="N785" s="207"/>
      <c r="O785" s="207"/>
      <c r="P785" s="207"/>
      <c r="Q785" s="207"/>
      <c r="R785" s="207"/>
      <c r="S785" s="207"/>
      <c r="T785" s="207"/>
      <c r="U785" s="207"/>
      <c r="V785" s="207"/>
      <c r="W785" s="208"/>
      <c r="X785" s="208"/>
      <c r="Y785" s="208"/>
      <c r="Z785" s="208"/>
      <c r="AA785" s="208"/>
      <c r="AB785" s="208"/>
      <c r="AC785" s="208"/>
      <c r="AD785" s="208"/>
      <c r="AE785" s="208"/>
      <c r="AF785" s="208"/>
      <c r="AG785" s="208"/>
      <c r="AH785" s="208"/>
      <c r="AI785" s="100"/>
      <c r="AJ785" s="319"/>
      <c r="AK785" s="319"/>
      <c r="AL785" s="319"/>
      <c r="AM785" s="319"/>
      <c r="AN785" s="319"/>
      <c r="AO785" s="319"/>
      <c r="AP785" s="319"/>
      <c r="AQ785" s="319"/>
      <c r="AR785" s="319"/>
      <c r="AS785" s="319"/>
      <c r="AT785" s="319"/>
      <c r="AU785" s="319"/>
      <c r="AV785" s="319"/>
      <c r="AW785" s="319"/>
      <c r="AX785" s="319"/>
      <c r="AY785" s="319"/>
      <c r="AZ785" s="319"/>
      <c r="BA785" s="319"/>
      <c r="BB785" s="319"/>
      <c r="BC785" s="319"/>
      <c r="BD785" s="319"/>
      <c r="BE785" s="319"/>
      <c r="BF785" s="319"/>
      <c r="BG785" s="319"/>
      <c r="BH785" s="319"/>
      <c r="BI785" s="319"/>
      <c r="BJ785" s="319"/>
      <c r="BK785" s="319"/>
      <c r="BL785" s="319"/>
      <c r="BM785" s="319"/>
      <c r="BN785" s="319"/>
      <c r="BO785" s="319"/>
      <c r="BP785" s="319"/>
      <c r="BQ785" s="319"/>
      <c r="BR785" s="319"/>
    </row>
    <row r="786" ht="14.25" customHeight="1">
      <c r="A786" s="195"/>
      <c r="B786" s="100"/>
      <c r="C786" s="100"/>
      <c r="D786" s="100"/>
      <c r="E786" s="100"/>
      <c r="F786" s="206"/>
      <c r="G786" s="206"/>
      <c r="H786" s="207"/>
      <c r="I786" s="207"/>
      <c r="J786" s="207"/>
      <c r="K786" s="207"/>
      <c r="L786" s="207"/>
      <c r="M786" s="207"/>
      <c r="N786" s="207"/>
      <c r="O786" s="207"/>
      <c r="P786" s="207"/>
      <c r="Q786" s="207"/>
      <c r="R786" s="207"/>
      <c r="S786" s="207"/>
      <c r="T786" s="207"/>
      <c r="U786" s="207"/>
      <c r="V786" s="207"/>
      <c r="W786" s="208"/>
      <c r="X786" s="208"/>
      <c r="Y786" s="208"/>
      <c r="Z786" s="208"/>
      <c r="AA786" s="208"/>
      <c r="AB786" s="208"/>
      <c r="AC786" s="208"/>
      <c r="AD786" s="208"/>
      <c r="AE786" s="208"/>
      <c r="AF786" s="208"/>
      <c r="AG786" s="208"/>
      <c r="AH786" s="208"/>
      <c r="AI786" s="100"/>
      <c r="AJ786" s="319"/>
      <c r="AK786" s="319"/>
      <c r="AL786" s="319"/>
      <c r="AM786" s="319"/>
      <c r="AN786" s="319"/>
      <c r="AO786" s="319"/>
      <c r="AP786" s="319"/>
      <c r="AQ786" s="319"/>
      <c r="AR786" s="319"/>
      <c r="AS786" s="319"/>
      <c r="AT786" s="319"/>
      <c r="AU786" s="319"/>
      <c r="AV786" s="319"/>
      <c r="AW786" s="319"/>
      <c r="AX786" s="319"/>
      <c r="AY786" s="319"/>
      <c r="AZ786" s="319"/>
      <c r="BA786" s="319"/>
      <c r="BB786" s="319"/>
      <c r="BC786" s="319"/>
      <c r="BD786" s="319"/>
      <c r="BE786" s="319"/>
      <c r="BF786" s="319"/>
      <c r="BG786" s="319"/>
      <c r="BH786" s="319"/>
      <c r="BI786" s="319"/>
      <c r="BJ786" s="319"/>
      <c r="BK786" s="319"/>
      <c r="BL786" s="319"/>
      <c r="BM786" s="319"/>
      <c r="BN786" s="319"/>
      <c r="BO786" s="319"/>
      <c r="BP786" s="319"/>
      <c r="BQ786" s="319"/>
      <c r="BR786" s="319"/>
    </row>
    <row r="787" ht="14.25" customHeight="1">
      <c r="A787" s="195"/>
      <c r="B787" s="100"/>
      <c r="C787" s="100"/>
      <c r="D787" s="100"/>
      <c r="E787" s="100"/>
      <c r="F787" s="206"/>
      <c r="G787" s="206"/>
      <c r="H787" s="207"/>
      <c r="I787" s="207"/>
      <c r="J787" s="207"/>
      <c r="K787" s="207"/>
      <c r="L787" s="207"/>
      <c r="M787" s="207"/>
      <c r="N787" s="207"/>
      <c r="O787" s="207"/>
      <c r="P787" s="207"/>
      <c r="Q787" s="207"/>
      <c r="R787" s="207"/>
      <c r="S787" s="207"/>
      <c r="T787" s="207"/>
      <c r="U787" s="207"/>
      <c r="V787" s="207"/>
      <c r="W787" s="208"/>
      <c r="X787" s="208"/>
      <c r="Y787" s="208"/>
      <c r="Z787" s="208"/>
      <c r="AA787" s="208"/>
      <c r="AB787" s="208"/>
      <c r="AC787" s="208"/>
      <c r="AD787" s="208"/>
      <c r="AE787" s="208"/>
      <c r="AF787" s="208"/>
      <c r="AG787" s="208"/>
      <c r="AH787" s="208"/>
      <c r="AI787" s="100"/>
      <c r="AJ787" s="319"/>
      <c r="AK787" s="319"/>
      <c r="AL787" s="319"/>
      <c r="AM787" s="319"/>
      <c r="AN787" s="319"/>
      <c r="AO787" s="319"/>
      <c r="AP787" s="319"/>
      <c r="AQ787" s="319"/>
      <c r="AR787" s="319"/>
      <c r="AS787" s="319"/>
      <c r="AT787" s="319"/>
      <c r="AU787" s="319"/>
      <c r="AV787" s="319"/>
      <c r="AW787" s="319"/>
      <c r="AX787" s="319"/>
      <c r="AY787" s="319"/>
      <c r="AZ787" s="319"/>
      <c r="BA787" s="319"/>
      <c r="BB787" s="319"/>
      <c r="BC787" s="319"/>
      <c r="BD787" s="319"/>
      <c r="BE787" s="319"/>
      <c r="BF787" s="319"/>
      <c r="BG787" s="319"/>
      <c r="BH787" s="319"/>
      <c r="BI787" s="319"/>
      <c r="BJ787" s="319"/>
      <c r="BK787" s="319"/>
      <c r="BL787" s="319"/>
      <c r="BM787" s="319"/>
      <c r="BN787" s="319"/>
      <c r="BO787" s="319"/>
      <c r="BP787" s="319"/>
      <c r="BQ787" s="319"/>
      <c r="BR787" s="319"/>
    </row>
    <row r="788" ht="14.25" customHeight="1">
      <c r="A788" s="195"/>
      <c r="B788" s="100"/>
      <c r="C788" s="100"/>
      <c r="D788" s="100"/>
      <c r="E788" s="100"/>
      <c r="F788" s="206"/>
      <c r="G788" s="206"/>
      <c r="H788" s="207"/>
      <c r="I788" s="207"/>
      <c r="J788" s="207"/>
      <c r="K788" s="207"/>
      <c r="L788" s="207"/>
      <c r="M788" s="207"/>
      <c r="N788" s="207"/>
      <c r="O788" s="207"/>
      <c r="P788" s="207"/>
      <c r="Q788" s="207"/>
      <c r="R788" s="207"/>
      <c r="S788" s="207"/>
      <c r="T788" s="207"/>
      <c r="U788" s="207"/>
      <c r="V788" s="207"/>
      <c r="W788" s="208"/>
      <c r="X788" s="208"/>
      <c r="Y788" s="208"/>
      <c r="Z788" s="208"/>
      <c r="AA788" s="208"/>
      <c r="AB788" s="208"/>
      <c r="AC788" s="208"/>
      <c r="AD788" s="208"/>
      <c r="AE788" s="208"/>
      <c r="AF788" s="208"/>
      <c r="AG788" s="208"/>
      <c r="AH788" s="208"/>
      <c r="AI788" s="100"/>
      <c r="AJ788" s="319"/>
      <c r="AK788" s="319"/>
      <c r="AL788" s="319"/>
      <c r="AM788" s="319"/>
      <c r="AN788" s="319"/>
      <c r="AO788" s="319"/>
      <c r="AP788" s="319"/>
      <c r="AQ788" s="319"/>
      <c r="AR788" s="319"/>
      <c r="AS788" s="319"/>
      <c r="AT788" s="319"/>
      <c r="AU788" s="319"/>
      <c r="AV788" s="319"/>
      <c r="AW788" s="319"/>
      <c r="AX788" s="319"/>
      <c r="AY788" s="319"/>
      <c r="AZ788" s="319"/>
      <c r="BA788" s="319"/>
      <c r="BB788" s="319"/>
      <c r="BC788" s="319"/>
      <c r="BD788" s="319"/>
      <c r="BE788" s="319"/>
      <c r="BF788" s="319"/>
      <c r="BG788" s="319"/>
      <c r="BH788" s="319"/>
      <c r="BI788" s="319"/>
      <c r="BJ788" s="319"/>
      <c r="BK788" s="319"/>
      <c r="BL788" s="319"/>
      <c r="BM788" s="319"/>
      <c r="BN788" s="319"/>
      <c r="BO788" s="319"/>
      <c r="BP788" s="319"/>
      <c r="BQ788" s="319"/>
      <c r="BR788" s="319"/>
    </row>
    <row r="789" ht="14.25" customHeight="1">
      <c r="A789" s="195"/>
      <c r="B789" s="100"/>
      <c r="C789" s="100"/>
      <c r="D789" s="100"/>
      <c r="E789" s="100"/>
      <c r="F789" s="206"/>
      <c r="G789" s="206"/>
      <c r="H789" s="207"/>
      <c r="I789" s="207"/>
      <c r="J789" s="207"/>
      <c r="K789" s="207"/>
      <c r="L789" s="207"/>
      <c r="M789" s="207"/>
      <c r="N789" s="207"/>
      <c r="O789" s="207"/>
      <c r="P789" s="207"/>
      <c r="Q789" s="207"/>
      <c r="R789" s="207"/>
      <c r="S789" s="207"/>
      <c r="T789" s="207"/>
      <c r="U789" s="207"/>
      <c r="V789" s="207"/>
      <c r="W789" s="208"/>
      <c r="X789" s="208"/>
      <c r="Y789" s="208"/>
      <c r="Z789" s="208"/>
      <c r="AA789" s="208"/>
      <c r="AB789" s="208"/>
      <c r="AC789" s="208"/>
      <c r="AD789" s="208"/>
      <c r="AE789" s="208"/>
      <c r="AF789" s="208"/>
      <c r="AG789" s="208"/>
      <c r="AH789" s="208"/>
      <c r="AI789" s="100"/>
      <c r="AJ789" s="319"/>
      <c r="AK789" s="319"/>
      <c r="AL789" s="319"/>
      <c r="AM789" s="319"/>
      <c r="AN789" s="319"/>
      <c r="AO789" s="319"/>
      <c r="AP789" s="319"/>
      <c r="AQ789" s="319"/>
      <c r="AR789" s="319"/>
      <c r="AS789" s="319"/>
      <c r="AT789" s="319"/>
      <c r="AU789" s="319"/>
      <c r="AV789" s="319"/>
      <c r="AW789" s="319"/>
      <c r="AX789" s="319"/>
      <c r="AY789" s="319"/>
      <c r="AZ789" s="319"/>
      <c r="BA789" s="319"/>
      <c r="BB789" s="319"/>
      <c r="BC789" s="319"/>
      <c r="BD789" s="319"/>
      <c r="BE789" s="319"/>
      <c r="BF789" s="319"/>
      <c r="BG789" s="319"/>
      <c r="BH789" s="319"/>
      <c r="BI789" s="319"/>
      <c r="BJ789" s="319"/>
      <c r="BK789" s="319"/>
      <c r="BL789" s="319"/>
      <c r="BM789" s="319"/>
      <c r="BN789" s="319"/>
      <c r="BO789" s="319"/>
      <c r="BP789" s="319"/>
      <c r="BQ789" s="319"/>
      <c r="BR789" s="319"/>
    </row>
    <row r="790" ht="14.25" customHeight="1">
      <c r="A790" s="195"/>
      <c r="B790" s="100"/>
      <c r="C790" s="100"/>
      <c r="D790" s="100"/>
      <c r="E790" s="100"/>
      <c r="F790" s="206"/>
      <c r="G790" s="206"/>
      <c r="H790" s="207"/>
      <c r="I790" s="207"/>
      <c r="J790" s="207"/>
      <c r="K790" s="207"/>
      <c r="L790" s="207"/>
      <c r="M790" s="207"/>
      <c r="N790" s="207"/>
      <c r="O790" s="207"/>
      <c r="P790" s="207"/>
      <c r="Q790" s="207"/>
      <c r="R790" s="207"/>
      <c r="S790" s="207"/>
      <c r="T790" s="207"/>
      <c r="U790" s="207"/>
      <c r="V790" s="207"/>
      <c r="W790" s="208"/>
      <c r="X790" s="208"/>
      <c r="Y790" s="208"/>
      <c r="Z790" s="208"/>
      <c r="AA790" s="208"/>
      <c r="AB790" s="208"/>
      <c r="AC790" s="208"/>
      <c r="AD790" s="208"/>
      <c r="AE790" s="208"/>
      <c r="AF790" s="208"/>
      <c r="AG790" s="208"/>
      <c r="AH790" s="208"/>
      <c r="AI790" s="100"/>
      <c r="AJ790" s="319"/>
      <c r="AK790" s="319"/>
      <c r="AL790" s="319"/>
      <c r="AM790" s="319"/>
      <c r="AN790" s="319"/>
      <c r="AO790" s="319"/>
      <c r="AP790" s="319"/>
      <c r="AQ790" s="319"/>
      <c r="AR790" s="319"/>
      <c r="AS790" s="319"/>
      <c r="AT790" s="319"/>
      <c r="AU790" s="319"/>
      <c r="AV790" s="319"/>
      <c r="AW790" s="319"/>
      <c r="AX790" s="319"/>
      <c r="AY790" s="319"/>
      <c r="AZ790" s="319"/>
      <c r="BA790" s="319"/>
      <c r="BB790" s="319"/>
      <c r="BC790" s="319"/>
      <c r="BD790" s="319"/>
      <c r="BE790" s="319"/>
      <c r="BF790" s="319"/>
      <c r="BG790" s="319"/>
      <c r="BH790" s="319"/>
      <c r="BI790" s="319"/>
      <c r="BJ790" s="319"/>
      <c r="BK790" s="319"/>
      <c r="BL790" s="319"/>
      <c r="BM790" s="319"/>
      <c r="BN790" s="319"/>
      <c r="BO790" s="319"/>
      <c r="BP790" s="319"/>
      <c r="BQ790" s="319"/>
      <c r="BR790" s="319"/>
    </row>
    <row r="791" ht="14.25" customHeight="1">
      <c r="A791" s="195"/>
      <c r="B791" s="100"/>
      <c r="C791" s="100"/>
      <c r="D791" s="100"/>
      <c r="E791" s="100"/>
      <c r="F791" s="206"/>
      <c r="G791" s="206"/>
      <c r="H791" s="207"/>
      <c r="I791" s="207"/>
      <c r="J791" s="207"/>
      <c r="K791" s="207"/>
      <c r="L791" s="207"/>
      <c r="M791" s="207"/>
      <c r="N791" s="207"/>
      <c r="O791" s="207"/>
      <c r="P791" s="207"/>
      <c r="Q791" s="207"/>
      <c r="R791" s="207"/>
      <c r="S791" s="207"/>
      <c r="T791" s="207"/>
      <c r="U791" s="207"/>
      <c r="V791" s="207"/>
      <c r="W791" s="208"/>
      <c r="X791" s="208"/>
      <c r="Y791" s="208"/>
      <c r="Z791" s="208"/>
      <c r="AA791" s="208"/>
      <c r="AB791" s="208"/>
      <c r="AC791" s="208"/>
      <c r="AD791" s="208"/>
      <c r="AE791" s="208"/>
      <c r="AF791" s="208"/>
      <c r="AG791" s="208"/>
      <c r="AH791" s="208"/>
      <c r="AI791" s="100"/>
      <c r="AJ791" s="319"/>
      <c r="AK791" s="319"/>
      <c r="AL791" s="319"/>
      <c r="AM791" s="319"/>
      <c r="AN791" s="319"/>
      <c r="AO791" s="319"/>
      <c r="AP791" s="319"/>
      <c r="AQ791" s="319"/>
      <c r="AR791" s="319"/>
      <c r="AS791" s="319"/>
      <c r="AT791" s="319"/>
      <c r="AU791" s="319"/>
      <c r="AV791" s="319"/>
      <c r="AW791" s="319"/>
      <c r="AX791" s="319"/>
      <c r="AY791" s="319"/>
      <c r="AZ791" s="319"/>
      <c r="BA791" s="319"/>
      <c r="BB791" s="319"/>
      <c r="BC791" s="319"/>
      <c r="BD791" s="319"/>
      <c r="BE791" s="319"/>
      <c r="BF791" s="319"/>
      <c r="BG791" s="319"/>
      <c r="BH791" s="319"/>
      <c r="BI791" s="319"/>
      <c r="BJ791" s="319"/>
      <c r="BK791" s="319"/>
      <c r="BL791" s="319"/>
      <c r="BM791" s="319"/>
      <c r="BN791" s="319"/>
      <c r="BO791" s="319"/>
      <c r="BP791" s="319"/>
      <c r="BQ791" s="319"/>
      <c r="BR791" s="319"/>
    </row>
    <row r="792" ht="14.25" customHeight="1">
      <c r="A792" s="195"/>
      <c r="B792" s="100"/>
      <c r="C792" s="100"/>
      <c r="D792" s="100"/>
      <c r="E792" s="100"/>
      <c r="F792" s="206"/>
      <c r="G792" s="206"/>
      <c r="H792" s="207"/>
      <c r="I792" s="207"/>
      <c r="J792" s="207"/>
      <c r="K792" s="207"/>
      <c r="L792" s="207"/>
      <c r="M792" s="207"/>
      <c r="N792" s="207"/>
      <c r="O792" s="207"/>
      <c r="P792" s="207"/>
      <c r="Q792" s="207"/>
      <c r="R792" s="207"/>
      <c r="S792" s="207"/>
      <c r="T792" s="207"/>
      <c r="U792" s="207"/>
      <c r="V792" s="207"/>
      <c r="W792" s="208"/>
      <c r="X792" s="208"/>
      <c r="Y792" s="208"/>
      <c r="Z792" s="208"/>
      <c r="AA792" s="208"/>
      <c r="AB792" s="208"/>
      <c r="AC792" s="208"/>
      <c r="AD792" s="208"/>
      <c r="AE792" s="208"/>
      <c r="AF792" s="208"/>
      <c r="AG792" s="208"/>
      <c r="AH792" s="208"/>
      <c r="AI792" s="100"/>
      <c r="AJ792" s="319"/>
      <c r="AK792" s="319"/>
      <c r="AL792" s="319"/>
      <c r="AM792" s="319"/>
      <c r="AN792" s="319"/>
      <c r="AO792" s="319"/>
      <c r="AP792" s="319"/>
      <c r="AQ792" s="319"/>
      <c r="AR792" s="319"/>
      <c r="AS792" s="319"/>
      <c r="AT792" s="319"/>
      <c r="AU792" s="319"/>
      <c r="AV792" s="319"/>
      <c r="AW792" s="319"/>
      <c r="AX792" s="319"/>
      <c r="AY792" s="319"/>
      <c r="AZ792" s="319"/>
      <c r="BA792" s="319"/>
      <c r="BB792" s="319"/>
      <c r="BC792" s="319"/>
      <c r="BD792" s="319"/>
      <c r="BE792" s="319"/>
      <c r="BF792" s="319"/>
      <c r="BG792" s="319"/>
      <c r="BH792" s="319"/>
      <c r="BI792" s="319"/>
      <c r="BJ792" s="319"/>
      <c r="BK792" s="319"/>
      <c r="BL792" s="319"/>
      <c r="BM792" s="319"/>
      <c r="BN792" s="319"/>
      <c r="BO792" s="319"/>
      <c r="BP792" s="319"/>
      <c r="BQ792" s="319"/>
      <c r="BR792" s="319"/>
    </row>
    <row r="793" ht="14.25" customHeight="1">
      <c r="A793" s="195"/>
      <c r="B793" s="100"/>
      <c r="C793" s="100"/>
      <c r="D793" s="100"/>
      <c r="E793" s="100"/>
      <c r="F793" s="206"/>
      <c r="G793" s="206"/>
      <c r="H793" s="207"/>
      <c r="I793" s="207"/>
      <c r="J793" s="207"/>
      <c r="K793" s="207"/>
      <c r="L793" s="207"/>
      <c r="M793" s="207"/>
      <c r="N793" s="207"/>
      <c r="O793" s="207"/>
      <c r="P793" s="207"/>
      <c r="Q793" s="207"/>
      <c r="R793" s="207"/>
      <c r="S793" s="207"/>
      <c r="T793" s="207"/>
      <c r="U793" s="207"/>
      <c r="V793" s="207"/>
      <c r="W793" s="208"/>
      <c r="X793" s="208"/>
      <c r="Y793" s="208"/>
      <c r="Z793" s="208"/>
      <c r="AA793" s="208"/>
      <c r="AB793" s="208"/>
      <c r="AC793" s="208"/>
      <c r="AD793" s="208"/>
      <c r="AE793" s="208"/>
      <c r="AF793" s="208"/>
      <c r="AG793" s="208"/>
      <c r="AH793" s="208"/>
      <c r="AI793" s="100"/>
      <c r="AJ793" s="319"/>
      <c r="AK793" s="319"/>
      <c r="AL793" s="319"/>
      <c r="AM793" s="319"/>
      <c r="AN793" s="319"/>
      <c r="AO793" s="319"/>
      <c r="AP793" s="319"/>
      <c r="AQ793" s="319"/>
      <c r="AR793" s="319"/>
      <c r="AS793" s="319"/>
      <c r="AT793" s="319"/>
      <c r="AU793" s="319"/>
      <c r="AV793" s="319"/>
      <c r="AW793" s="319"/>
      <c r="AX793" s="319"/>
      <c r="AY793" s="319"/>
      <c r="AZ793" s="319"/>
      <c r="BA793" s="319"/>
      <c r="BB793" s="319"/>
      <c r="BC793" s="319"/>
      <c r="BD793" s="319"/>
      <c r="BE793" s="319"/>
      <c r="BF793" s="319"/>
      <c r="BG793" s="319"/>
      <c r="BH793" s="319"/>
      <c r="BI793" s="319"/>
      <c r="BJ793" s="319"/>
      <c r="BK793" s="319"/>
      <c r="BL793" s="319"/>
      <c r="BM793" s="319"/>
      <c r="BN793" s="319"/>
      <c r="BO793" s="319"/>
      <c r="BP793" s="319"/>
      <c r="BQ793" s="319"/>
      <c r="BR793" s="319"/>
    </row>
    <row r="794" ht="14.25" customHeight="1">
      <c r="A794" s="195"/>
      <c r="B794" s="100"/>
      <c r="C794" s="100"/>
      <c r="D794" s="100"/>
      <c r="E794" s="100"/>
      <c r="F794" s="206"/>
      <c r="G794" s="206"/>
      <c r="H794" s="207"/>
      <c r="I794" s="207"/>
      <c r="J794" s="207"/>
      <c r="K794" s="207"/>
      <c r="L794" s="207"/>
      <c r="M794" s="207"/>
      <c r="N794" s="207"/>
      <c r="O794" s="207"/>
      <c r="P794" s="207"/>
      <c r="Q794" s="207"/>
      <c r="R794" s="207"/>
      <c r="S794" s="207"/>
      <c r="T794" s="207"/>
      <c r="U794" s="207"/>
      <c r="V794" s="207"/>
      <c r="W794" s="208"/>
      <c r="X794" s="208"/>
      <c r="Y794" s="208"/>
      <c r="Z794" s="208"/>
      <c r="AA794" s="208"/>
      <c r="AB794" s="208"/>
      <c r="AC794" s="208"/>
      <c r="AD794" s="208"/>
      <c r="AE794" s="208"/>
      <c r="AF794" s="208"/>
      <c r="AG794" s="208"/>
      <c r="AH794" s="208"/>
      <c r="AI794" s="100"/>
      <c r="AJ794" s="319"/>
      <c r="AK794" s="319"/>
      <c r="AL794" s="319"/>
      <c r="AM794" s="319"/>
      <c r="AN794" s="319"/>
      <c r="AO794" s="319"/>
      <c r="AP794" s="319"/>
      <c r="AQ794" s="319"/>
      <c r="AR794" s="319"/>
      <c r="AS794" s="319"/>
      <c r="AT794" s="319"/>
      <c r="AU794" s="319"/>
      <c r="AV794" s="319"/>
      <c r="AW794" s="319"/>
      <c r="AX794" s="319"/>
      <c r="AY794" s="319"/>
      <c r="AZ794" s="319"/>
      <c r="BA794" s="319"/>
      <c r="BB794" s="319"/>
      <c r="BC794" s="319"/>
      <c r="BD794" s="319"/>
      <c r="BE794" s="319"/>
      <c r="BF794" s="319"/>
      <c r="BG794" s="319"/>
      <c r="BH794" s="319"/>
      <c r="BI794" s="319"/>
      <c r="BJ794" s="319"/>
      <c r="BK794" s="319"/>
      <c r="BL794" s="319"/>
      <c r="BM794" s="319"/>
      <c r="BN794" s="319"/>
      <c r="BO794" s="319"/>
      <c r="BP794" s="319"/>
      <c r="BQ794" s="319"/>
      <c r="BR794" s="319"/>
    </row>
    <row r="795" ht="14.25" customHeight="1">
      <c r="A795" s="195"/>
      <c r="B795" s="100"/>
      <c r="C795" s="100"/>
      <c r="D795" s="100"/>
      <c r="E795" s="100"/>
      <c r="F795" s="206"/>
      <c r="G795" s="206"/>
      <c r="H795" s="207"/>
      <c r="I795" s="207"/>
      <c r="J795" s="207"/>
      <c r="K795" s="207"/>
      <c r="L795" s="207"/>
      <c r="M795" s="207"/>
      <c r="N795" s="207"/>
      <c r="O795" s="207"/>
      <c r="P795" s="207"/>
      <c r="Q795" s="207"/>
      <c r="R795" s="207"/>
      <c r="S795" s="207"/>
      <c r="T795" s="207"/>
      <c r="U795" s="207"/>
      <c r="V795" s="207"/>
      <c r="W795" s="208"/>
      <c r="X795" s="208"/>
      <c r="Y795" s="208"/>
      <c r="Z795" s="208"/>
      <c r="AA795" s="208"/>
      <c r="AB795" s="208"/>
      <c r="AC795" s="208"/>
      <c r="AD795" s="208"/>
      <c r="AE795" s="208"/>
      <c r="AF795" s="208"/>
      <c r="AG795" s="208"/>
      <c r="AH795" s="208"/>
      <c r="AI795" s="100"/>
      <c r="AJ795" s="319"/>
      <c r="AK795" s="319"/>
      <c r="AL795" s="319"/>
      <c r="AM795" s="319"/>
      <c r="AN795" s="319"/>
      <c r="AO795" s="319"/>
      <c r="AP795" s="319"/>
      <c r="AQ795" s="319"/>
      <c r="AR795" s="319"/>
      <c r="AS795" s="319"/>
      <c r="AT795" s="319"/>
      <c r="AU795" s="319"/>
      <c r="AV795" s="319"/>
      <c r="AW795" s="319"/>
      <c r="AX795" s="319"/>
      <c r="AY795" s="319"/>
      <c r="AZ795" s="319"/>
      <c r="BA795" s="319"/>
      <c r="BB795" s="319"/>
      <c r="BC795" s="319"/>
      <c r="BD795" s="319"/>
      <c r="BE795" s="319"/>
      <c r="BF795" s="319"/>
      <c r="BG795" s="319"/>
      <c r="BH795" s="319"/>
      <c r="BI795" s="319"/>
      <c r="BJ795" s="319"/>
      <c r="BK795" s="319"/>
      <c r="BL795" s="319"/>
      <c r="BM795" s="319"/>
      <c r="BN795" s="319"/>
      <c r="BO795" s="319"/>
      <c r="BP795" s="319"/>
      <c r="BQ795" s="319"/>
      <c r="BR795" s="319"/>
    </row>
    <row r="796" ht="14.25" customHeight="1">
      <c r="A796" s="195"/>
      <c r="B796" s="100"/>
      <c r="C796" s="100"/>
      <c r="D796" s="100"/>
      <c r="E796" s="100"/>
      <c r="F796" s="206"/>
      <c r="G796" s="206"/>
      <c r="H796" s="207"/>
      <c r="I796" s="207"/>
      <c r="J796" s="207"/>
      <c r="K796" s="207"/>
      <c r="L796" s="207"/>
      <c r="M796" s="207"/>
      <c r="N796" s="207"/>
      <c r="O796" s="207"/>
      <c r="P796" s="207"/>
      <c r="Q796" s="207"/>
      <c r="R796" s="207"/>
      <c r="S796" s="207"/>
      <c r="T796" s="207"/>
      <c r="U796" s="207"/>
      <c r="V796" s="207"/>
      <c r="W796" s="208"/>
      <c r="X796" s="208"/>
      <c r="Y796" s="208"/>
      <c r="Z796" s="208"/>
      <c r="AA796" s="208"/>
      <c r="AB796" s="208"/>
      <c r="AC796" s="208"/>
      <c r="AD796" s="208"/>
      <c r="AE796" s="208"/>
      <c r="AF796" s="208"/>
      <c r="AG796" s="208"/>
      <c r="AH796" s="208"/>
      <c r="AI796" s="100"/>
      <c r="AJ796" s="319"/>
      <c r="AK796" s="319"/>
      <c r="AL796" s="319"/>
      <c r="AM796" s="319"/>
      <c r="AN796" s="319"/>
      <c r="AO796" s="319"/>
      <c r="AP796" s="319"/>
      <c r="AQ796" s="319"/>
      <c r="AR796" s="319"/>
      <c r="AS796" s="319"/>
      <c r="AT796" s="319"/>
      <c r="AU796" s="319"/>
      <c r="AV796" s="319"/>
      <c r="AW796" s="319"/>
      <c r="AX796" s="319"/>
      <c r="AY796" s="319"/>
      <c r="AZ796" s="319"/>
      <c r="BA796" s="319"/>
      <c r="BB796" s="319"/>
      <c r="BC796" s="319"/>
      <c r="BD796" s="319"/>
      <c r="BE796" s="319"/>
      <c r="BF796" s="319"/>
      <c r="BG796" s="319"/>
      <c r="BH796" s="319"/>
      <c r="BI796" s="319"/>
      <c r="BJ796" s="319"/>
      <c r="BK796" s="319"/>
      <c r="BL796" s="319"/>
      <c r="BM796" s="319"/>
      <c r="BN796" s="319"/>
      <c r="BO796" s="319"/>
      <c r="BP796" s="319"/>
      <c r="BQ796" s="319"/>
      <c r="BR796" s="319"/>
    </row>
    <row r="797" ht="14.25" customHeight="1">
      <c r="A797" s="195"/>
      <c r="B797" s="100"/>
      <c r="C797" s="100"/>
      <c r="D797" s="100"/>
      <c r="E797" s="100"/>
      <c r="F797" s="206"/>
      <c r="G797" s="206"/>
      <c r="H797" s="207"/>
      <c r="I797" s="207"/>
      <c r="J797" s="207"/>
      <c r="K797" s="207"/>
      <c r="L797" s="207"/>
      <c r="M797" s="207"/>
      <c r="N797" s="207"/>
      <c r="O797" s="207"/>
      <c r="P797" s="207"/>
      <c r="Q797" s="207"/>
      <c r="R797" s="207"/>
      <c r="S797" s="207"/>
      <c r="T797" s="207"/>
      <c r="U797" s="207"/>
      <c r="V797" s="207"/>
      <c r="W797" s="208"/>
      <c r="X797" s="208"/>
      <c r="Y797" s="208"/>
      <c r="Z797" s="208"/>
      <c r="AA797" s="208"/>
      <c r="AB797" s="208"/>
      <c r="AC797" s="208"/>
      <c r="AD797" s="208"/>
      <c r="AE797" s="208"/>
      <c r="AF797" s="208"/>
      <c r="AG797" s="208"/>
      <c r="AH797" s="208"/>
      <c r="AI797" s="100"/>
      <c r="AJ797" s="319"/>
      <c r="AK797" s="319"/>
      <c r="AL797" s="319"/>
      <c r="AM797" s="319"/>
      <c r="AN797" s="319"/>
      <c r="AO797" s="319"/>
      <c r="AP797" s="319"/>
      <c r="AQ797" s="319"/>
      <c r="AR797" s="319"/>
      <c r="AS797" s="319"/>
      <c r="AT797" s="319"/>
      <c r="AU797" s="319"/>
      <c r="AV797" s="319"/>
      <c r="AW797" s="319"/>
      <c r="AX797" s="319"/>
      <c r="AY797" s="319"/>
      <c r="AZ797" s="319"/>
      <c r="BA797" s="319"/>
      <c r="BB797" s="319"/>
      <c r="BC797" s="319"/>
      <c r="BD797" s="319"/>
      <c r="BE797" s="319"/>
      <c r="BF797" s="319"/>
      <c r="BG797" s="319"/>
      <c r="BH797" s="319"/>
      <c r="BI797" s="319"/>
      <c r="BJ797" s="319"/>
      <c r="BK797" s="319"/>
      <c r="BL797" s="319"/>
      <c r="BM797" s="319"/>
      <c r="BN797" s="319"/>
      <c r="BO797" s="319"/>
      <c r="BP797" s="319"/>
      <c r="BQ797" s="319"/>
      <c r="BR797" s="319"/>
    </row>
    <row r="798" ht="14.25" customHeight="1">
      <c r="A798" s="195"/>
      <c r="B798" s="100"/>
      <c r="C798" s="100"/>
      <c r="D798" s="100"/>
      <c r="E798" s="100"/>
      <c r="F798" s="206"/>
      <c r="G798" s="206"/>
      <c r="H798" s="207"/>
      <c r="I798" s="207"/>
      <c r="J798" s="207"/>
      <c r="K798" s="207"/>
      <c r="L798" s="207"/>
      <c r="M798" s="207"/>
      <c r="N798" s="207"/>
      <c r="O798" s="207"/>
      <c r="P798" s="207"/>
      <c r="Q798" s="207"/>
      <c r="R798" s="207"/>
      <c r="S798" s="207"/>
      <c r="T798" s="207"/>
      <c r="U798" s="207"/>
      <c r="V798" s="207"/>
      <c r="W798" s="208"/>
      <c r="X798" s="208"/>
      <c r="Y798" s="208"/>
      <c r="Z798" s="208"/>
      <c r="AA798" s="208"/>
      <c r="AB798" s="208"/>
      <c r="AC798" s="208"/>
      <c r="AD798" s="208"/>
      <c r="AE798" s="208"/>
      <c r="AF798" s="208"/>
      <c r="AG798" s="208"/>
      <c r="AH798" s="208"/>
      <c r="AI798" s="100"/>
      <c r="AJ798" s="319"/>
      <c r="AK798" s="319"/>
      <c r="AL798" s="319"/>
      <c r="AM798" s="319"/>
      <c r="AN798" s="319"/>
      <c r="AO798" s="319"/>
      <c r="AP798" s="319"/>
      <c r="AQ798" s="319"/>
      <c r="AR798" s="319"/>
      <c r="AS798" s="319"/>
      <c r="AT798" s="319"/>
      <c r="AU798" s="319"/>
      <c r="AV798" s="319"/>
      <c r="AW798" s="319"/>
      <c r="AX798" s="319"/>
      <c r="AY798" s="319"/>
      <c r="AZ798" s="319"/>
      <c r="BA798" s="319"/>
      <c r="BB798" s="319"/>
      <c r="BC798" s="319"/>
      <c r="BD798" s="319"/>
      <c r="BE798" s="319"/>
      <c r="BF798" s="319"/>
      <c r="BG798" s="319"/>
      <c r="BH798" s="319"/>
      <c r="BI798" s="319"/>
      <c r="BJ798" s="319"/>
      <c r="BK798" s="319"/>
      <c r="BL798" s="319"/>
      <c r="BM798" s="319"/>
      <c r="BN798" s="319"/>
      <c r="BO798" s="319"/>
      <c r="BP798" s="319"/>
      <c r="BQ798" s="319"/>
      <c r="BR798" s="319"/>
    </row>
    <row r="799" ht="14.25" customHeight="1">
      <c r="A799" s="195"/>
      <c r="B799" s="100"/>
      <c r="C799" s="100"/>
      <c r="D799" s="100"/>
      <c r="E799" s="100"/>
      <c r="F799" s="206"/>
      <c r="G799" s="206"/>
      <c r="H799" s="207"/>
      <c r="I799" s="207"/>
      <c r="J799" s="207"/>
      <c r="K799" s="207"/>
      <c r="L799" s="207"/>
      <c r="M799" s="207"/>
      <c r="N799" s="207"/>
      <c r="O799" s="207"/>
      <c r="P799" s="207"/>
      <c r="Q799" s="207"/>
      <c r="R799" s="207"/>
      <c r="S799" s="207"/>
      <c r="T799" s="207"/>
      <c r="U799" s="207"/>
      <c r="V799" s="207"/>
      <c r="W799" s="208"/>
      <c r="X799" s="208"/>
      <c r="Y799" s="208"/>
      <c r="Z799" s="208"/>
      <c r="AA799" s="208"/>
      <c r="AB799" s="208"/>
      <c r="AC799" s="208"/>
      <c r="AD799" s="208"/>
      <c r="AE799" s="208"/>
      <c r="AF799" s="208"/>
      <c r="AG799" s="208"/>
      <c r="AH799" s="208"/>
      <c r="AI799" s="100"/>
      <c r="AJ799" s="319"/>
      <c r="AK799" s="319"/>
      <c r="AL799" s="319"/>
      <c r="AM799" s="319"/>
      <c r="AN799" s="319"/>
      <c r="AO799" s="319"/>
      <c r="AP799" s="319"/>
      <c r="AQ799" s="319"/>
      <c r="AR799" s="319"/>
      <c r="AS799" s="319"/>
      <c r="AT799" s="319"/>
      <c r="AU799" s="319"/>
      <c r="AV799" s="319"/>
      <c r="AW799" s="319"/>
      <c r="AX799" s="319"/>
      <c r="AY799" s="319"/>
      <c r="AZ799" s="319"/>
      <c r="BA799" s="319"/>
      <c r="BB799" s="319"/>
      <c r="BC799" s="319"/>
      <c r="BD799" s="319"/>
      <c r="BE799" s="319"/>
      <c r="BF799" s="319"/>
      <c r="BG799" s="319"/>
      <c r="BH799" s="319"/>
      <c r="BI799" s="319"/>
      <c r="BJ799" s="319"/>
      <c r="BK799" s="319"/>
      <c r="BL799" s="319"/>
      <c r="BM799" s="319"/>
      <c r="BN799" s="319"/>
      <c r="BO799" s="319"/>
      <c r="BP799" s="319"/>
      <c r="BQ799" s="319"/>
      <c r="BR799" s="319"/>
    </row>
    <row r="800" ht="14.25" customHeight="1">
      <c r="A800" s="195"/>
      <c r="B800" s="100"/>
      <c r="C800" s="100"/>
      <c r="D800" s="100"/>
      <c r="E800" s="100"/>
      <c r="F800" s="206"/>
      <c r="G800" s="206"/>
      <c r="H800" s="207"/>
      <c r="I800" s="207"/>
      <c r="J800" s="207"/>
      <c r="K800" s="207"/>
      <c r="L800" s="207"/>
      <c r="M800" s="207"/>
      <c r="N800" s="207"/>
      <c r="O800" s="207"/>
      <c r="P800" s="207"/>
      <c r="Q800" s="207"/>
      <c r="R800" s="207"/>
      <c r="S800" s="207"/>
      <c r="T800" s="207"/>
      <c r="U800" s="207"/>
      <c r="V800" s="207"/>
      <c r="W800" s="208"/>
      <c r="X800" s="208"/>
      <c r="Y800" s="208"/>
      <c r="Z800" s="208"/>
      <c r="AA800" s="208"/>
      <c r="AB800" s="208"/>
      <c r="AC800" s="208"/>
      <c r="AD800" s="208"/>
      <c r="AE800" s="208"/>
      <c r="AF800" s="208"/>
      <c r="AG800" s="208"/>
      <c r="AH800" s="208"/>
      <c r="AI800" s="100"/>
      <c r="AJ800" s="319"/>
      <c r="AK800" s="319"/>
      <c r="AL800" s="319"/>
      <c r="AM800" s="319"/>
      <c r="AN800" s="319"/>
      <c r="AO800" s="319"/>
      <c r="AP800" s="319"/>
      <c r="AQ800" s="319"/>
      <c r="AR800" s="319"/>
      <c r="AS800" s="319"/>
      <c r="AT800" s="319"/>
      <c r="AU800" s="319"/>
      <c r="AV800" s="319"/>
      <c r="AW800" s="319"/>
      <c r="AX800" s="319"/>
      <c r="AY800" s="319"/>
      <c r="AZ800" s="319"/>
      <c r="BA800" s="319"/>
      <c r="BB800" s="319"/>
      <c r="BC800" s="319"/>
      <c r="BD800" s="319"/>
      <c r="BE800" s="319"/>
      <c r="BF800" s="319"/>
      <c r="BG800" s="319"/>
      <c r="BH800" s="319"/>
      <c r="BI800" s="319"/>
      <c r="BJ800" s="319"/>
      <c r="BK800" s="319"/>
      <c r="BL800" s="319"/>
      <c r="BM800" s="319"/>
      <c r="BN800" s="319"/>
      <c r="BO800" s="319"/>
      <c r="BP800" s="319"/>
      <c r="BQ800" s="319"/>
      <c r="BR800" s="319"/>
    </row>
    <row r="801" ht="14.25" customHeight="1">
      <c r="A801" s="195"/>
      <c r="B801" s="100"/>
      <c r="C801" s="100"/>
      <c r="D801" s="100"/>
      <c r="E801" s="100"/>
      <c r="F801" s="206"/>
      <c r="G801" s="206"/>
      <c r="H801" s="207"/>
      <c r="I801" s="207"/>
      <c r="J801" s="207"/>
      <c r="K801" s="207"/>
      <c r="L801" s="207"/>
      <c r="M801" s="207"/>
      <c r="N801" s="207"/>
      <c r="O801" s="207"/>
      <c r="P801" s="207"/>
      <c r="Q801" s="207"/>
      <c r="R801" s="207"/>
      <c r="S801" s="207"/>
      <c r="T801" s="207"/>
      <c r="U801" s="207"/>
      <c r="V801" s="207"/>
      <c r="W801" s="208"/>
      <c r="X801" s="208"/>
      <c r="Y801" s="208"/>
      <c r="Z801" s="208"/>
      <c r="AA801" s="208"/>
      <c r="AB801" s="208"/>
      <c r="AC801" s="208"/>
      <c r="AD801" s="208"/>
      <c r="AE801" s="208"/>
      <c r="AF801" s="208"/>
      <c r="AG801" s="208"/>
      <c r="AH801" s="208"/>
      <c r="AI801" s="100"/>
      <c r="AJ801" s="319"/>
      <c r="AK801" s="319"/>
      <c r="AL801" s="319"/>
      <c r="AM801" s="319"/>
      <c r="AN801" s="319"/>
      <c r="AO801" s="319"/>
      <c r="AP801" s="319"/>
      <c r="AQ801" s="319"/>
      <c r="AR801" s="319"/>
      <c r="AS801" s="319"/>
      <c r="AT801" s="319"/>
      <c r="AU801" s="319"/>
      <c r="AV801" s="319"/>
      <c r="AW801" s="319"/>
      <c r="AX801" s="319"/>
      <c r="AY801" s="319"/>
      <c r="AZ801" s="319"/>
      <c r="BA801" s="319"/>
      <c r="BB801" s="319"/>
      <c r="BC801" s="319"/>
      <c r="BD801" s="319"/>
      <c r="BE801" s="319"/>
      <c r="BF801" s="319"/>
      <c r="BG801" s="319"/>
      <c r="BH801" s="319"/>
      <c r="BI801" s="319"/>
      <c r="BJ801" s="319"/>
      <c r="BK801" s="319"/>
      <c r="BL801" s="319"/>
      <c r="BM801" s="319"/>
      <c r="BN801" s="319"/>
      <c r="BO801" s="319"/>
      <c r="BP801" s="319"/>
      <c r="BQ801" s="319"/>
      <c r="BR801" s="319"/>
    </row>
    <row r="802" ht="14.25" customHeight="1">
      <c r="A802" s="195"/>
      <c r="B802" s="100"/>
      <c r="C802" s="100"/>
      <c r="D802" s="100"/>
      <c r="E802" s="100"/>
      <c r="F802" s="206"/>
      <c r="G802" s="206"/>
      <c r="H802" s="207"/>
      <c r="I802" s="207"/>
      <c r="J802" s="207"/>
      <c r="K802" s="207"/>
      <c r="L802" s="207"/>
      <c r="M802" s="207"/>
      <c r="N802" s="207"/>
      <c r="O802" s="207"/>
      <c r="P802" s="207"/>
      <c r="Q802" s="207"/>
      <c r="R802" s="207"/>
      <c r="S802" s="207"/>
      <c r="T802" s="207"/>
      <c r="U802" s="207"/>
      <c r="V802" s="207"/>
      <c r="W802" s="208"/>
      <c r="X802" s="208"/>
      <c r="Y802" s="208"/>
      <c r="Z802" s="208"/>
      <c r="AA802" s="208"/>
      <c r="AB802" s="208"/>
      <c r="AC802" s="208"/>
      <c r="AD802" s="208"/>
      <c r="AE802" s="208"/>
      <c r="AF802" s="208"/>
      <c r="AG802" s="208"/>
      <c r="AH802" s="208"/>
      <c r="AI802" s="100"/>
      <c r="AJ802" s="319"/>
      <c r="AK802" s="319"/>
      <c r="AL802" s="319"/>
      <c r="AM802" s="319"/>
      <c r="AN802" s="319"/>
      <c r="AO802" s="319"/>
      <c r="AP802" s="319"/>
      <c r="AQ802" s="319"/>
      <c r="AR802" s="319"/>
      <c r="AS802" s="319"/>
      <c r="AT802" s="319"/>
      <c r="AU802" s="319"/>
      <c r="AV802" s="319"/>
      <c r="AW802" s="319"/>
      <c r="AX802" s="319"/>
      <c r="AY802" s="319"/>
      <c r="AZ802" s="319"/>
      <c r="BA802" s="319"/>
      <c r="BB802" s="319"/>
      <c r="BC802" s="319"/>
      <c r="BD802" s="319"/>
      <c r="BE802" s="319"/>
      <c r="BF802" s="319"/>
      <c r="BG802" s="319"/>
      <c r="BH802" s="319"/>
      <c r="BI802" s="319"/>
      <c r="BJ802" s="319"/>
      <c r="BK802" s="319"/>
      <c r="BL802" s="319"/>
      <c r="BM802" s="319"/>
      <c r="BN802" s="319"/>
      <c r="BO802" s="319"/>
      <c r="BP802" s="319"/>
      <c r="BQ802" s="319"/>
      <c r="BR802" s="319"/>
    </row>
    <row r="803" ht="14.25" customHeight="1">
      <c r="A803" s="195"/>
      <c r="B803" s="100"/>
      <c r="C803" s="100"/>
      <c r="D803" s="100"/>
      <c r="E803" s="100"/>
      <c r="F803" s="206"/>
      <c r="G803" s="206"/>
      <c r="H803" s="207"/>
      <c r="I803" s="207"/>
      <c r="J803" s="207"/>
      <c r="K803" s="207"/>
      <c r="L803" s="207"/>
      <c r="M803" s="207"/>
      <c r="N803" s="207"/>
      <c r="O803" s="207"/>
      <c r="P803" s="207"/>
      <c r="Q803" s="207"/>
      <c r="R803" s="207"/>
      <c r="S803" s="207"/>
      <c r="T803" s="207"/>
      <c r="U803" s="207"/>
      <c r="V803" s="207"/>
      <c r="W803" s="208"/>
      <c r="X803" s="208"/>
      <c r="Y803" s="208"/>
      <c r="Z803" s="208"/>
      <c r="AA803" s="208"/>
      <c r="AB803" s="208"/>
      <c r="AC803" s="208"/>
      <c r="AD803" s="208"/>
      <c r="AE803" s="208"/>
      <c r="AF803" s="208"/>
      <c r="AG803" s="208"/>
      <c r="AH803" s="208"/>
      <c r="AI803" s="100"/>
      <c r="AJ803" s="319"/>
      <c r="AK803" s="319"/>
      <c r="AL803" s="319"/>
      <c r="AM803" s="319"/>
      <c r="AN803" s="319"/>
      <c r="AO803" s="319"/>
      <c r="AP803" s="319"/>
      <c r="AQ803" s="319"/>
      <c r="AR803" s="319"/>
      <c r="AS803" s="319"/>
      <c r="AT803" s="319"/>
      <c r="AU803" s="319"/>
      <c r="AV803" s="319"/>
      <c r="AW803" s="319"/>
      <c r="AX803" s="319"/>
      <c r="AY803" s="319"/>
      <c r="AZ803" s="319"/>
      <c r="BA803" s="319"/>
      <c r="BB803" s="319"/>
      <c r="BC803" s="319"/>
      <c r="BD803" s="319"/>
      <c r="BE803" s="319"/>
      <c r="BF803" s="319"/>
      <c r="BG803" s="319"/>
      <c r="BH803" s="319"/>
      <c r="BI803" s="319"/>
      <c r="BJ803" s="319"/>
      <c r="BK803" s="319"/>
      <c r="BL803" s="319"/>
      <c r="BM803" s="319"/>
      <c r="BN803" s="319"/>
      <c r="BO803" s="319"/>
      <c r="BP803" s="319"/>
      <c r="BQ803" s="319"/>
      <c r="BR803" s="319"/>
    </row>
    <row r="804" ht="14.25" customHeight="1">
      <c r="A804" s="195"/>
      <c r="B804" s="100"/>
      <c r="C804" s="100"/>
      <c r="D804" s="100"/>
      <c r="E804" s="100"/>
      <c r="F804" s="206"/>
      <c r="G804" s="206"/>
      <c r="H804" s="207"/>
      <c r="I804" s="207"/>
      <c r="J804" s="207"/>
      <c r="K804" s="207"/>
      <c r="L804" s="207"/>
      <c r="M804" s="207"/>
      <c r="N804" s="207"/>
      <c r="O804" s="207"/>
      <c r="P804" s="207"/>
      <c r="Q804" s="207"/>
      <c r="R804" s="207"/>
      <c r="S804" s="207"/>
      <c r="T804" s="207"/>
      <c r="U804" s="207"/>
      <c r="V804" s="207"/>
      <c r="W804" s="208"/>
      <c r="X804" s="208"/>
      <c r="Y804" s="208"/>
      <c r="Z804" s="208"/>
      <c r="AA804" s="208"/>
      <c r="AB804" s="208"/>
      <c r="AC804" s="208"/>
      <c r="AD804" s="208"/>
      <c r="AE804" s="208"/>
      <c r="AF804" s="208"/>
      <c r="AG804" s="208"/>
      <c r="AH804" s="208"/>
      <c r="AI804" s="100"/>
      <c r="AJ804" s="319"/>
      <c r="AK804" s="319"/>
      <c r="AL804" s="319"/>
      <c r="AM804" s="319"/>
      <c r="AN804" s="319"/>
      <c r="AO804" s="319"/>
      <c r="AP804" s="319"/>
      <c r="AQ804" s="319"/>
      <c r="AR804" s="319"/>
      <c r="AS804" s="319"/>
      <c r="AT804" s="319"/>
      <c r="AU804" s="319"/>
      <c r="AV804" s="319"/>
      <c r="AW804" s="319"/>
      <c r="AX804" s="319"/>
      <c r="AY804" s="319"/>
      <c r="AZ804" s="319"/>
      <c r="BA804" s="319"/>
      <c r="BB804" s="319"/>
      <c r="BC804" s="319"/>
      <c r="BD804" s="319"/>
      <c r="BE804" s="319"/>
      <c r="BF804" s="319"/>
      <c r="BG804" s="319"/>
      <c r="BH804" s="319"/>
      <c r="BI804" s="319"/>
      <c r="BJ804" s="319"/>
      <c r="BK804" s="319"/>
      <c r="BL804" s="319"/>
      <c r="BM804" s="319"/>
      <c r="BN804" s="319"/>
      <c r="BO804" s="319"/>
      <c r="BP804" s="319"/>
      <c r="BQ804" s="319"/>
      <c r="BR804" s="319"/>
    </row>
    <row r="805" ht="14.25" customHeight="1">
      <c r="A805" s="195"/>
      <c r="B805" s="100"/>
      <c r="C805" s="100"/>
      <c r="D805" s="100"/>
      <c r="E805" s="100"/>
      <c r="F805" s="206"/>
      <c r="G805" s="206"/>
      <c r="H805" s="207"/>
      <c r="I805" s="207"/>
      <c r="J805" s="207"/>
      <c r="K805" s="207"/>
      <c r="L805" s="207"/>
      <c r="M805" s="207"/>
      <c r="N805" s="207"/>
      <c r="O805" s="207"/>
      <c r="P805" s="207"/>
      <c r="Q805" s="207"/>
      <c r="R805" s="207"/>
      <c r="S805" s="207"/>
      <c r="T805" s="207"/>
      <c r="U805" s="207"/>
      <c r="V805" s="207"/>
      <c r="W805" s="208"/>
      <c r="X805" s="208"/>
      <c r="Y805" s="208"/>
      <c r="Z805" s="208"/>
      <c r="AA805" s="208"/>
      <c r="AB805" s="208"/>
      <c r="AC805" s="208"/>
      <c r="AD805" s="208"/>
      <c r="AE805" s="208"/>
      <c r="AF805" s="208"/>
      <c r="AG805" s="208"/>
      <c r="AH805" s="208"/>
      <c r="AI805" s="100"/>
      <c r="AJ805" s="319"/>
      <c r="AK805" s="319"/>
      <c r="AL805" s="319"/>
      <c r="AM805" s="319"/>
      <c r="AN805" s="319"/>
      <c r="AO805" s="319"/>
      <c r="AP805" s="319"/>
      <c r="AQ805" s="319"/>
      <c r="AR805" s="319"/>
      <c r="AS805" s="319"/>
      <c r="AT805" s="319"/>
      <c r="AU805" s="319"/>
      <c r="AV805" s="319"/>
      <c r="AW805" s="319"/>
      <c r="AX805" s="319"/>
      <c r="AY805" s="319"/>
      <c r="AZ805" s="319"/>
      <c r="BA805" s="319"/>
      <c r="BB805" s="319"/>
      <c r="BC805" s="319"/>
      <c r="BD805" s="319"/>
      <c r="BE805" s="319"/>
      <c r="BF805" s="319"/>
      <c r="BG805" s="319"/>
      <c r="BH805" s="319"/>
      <c r="BI805" s="319"/>
      <c r="BJ805" s="319"/>
      <c r="BK805" s="319"/>
      <c r="BL805" s="319"/>
      <c r="BM805" s="319"/>
      <c r="BN805" s="319"/>
      <c r="BO805" s="319"/>
      <c r="BP805" s="319"/>
      <c r="BQ805" s="319"/>
      <c r="BR805" s="319"/>
    </row>
    <row r="806" ht="14.25" customHeight="1">
      <c r="A806" s="195"/>
      <c r="B806" s="100"/>
      <c r="C806" s="100"/>
      <c r="D806" s="100"/>
      <c r="E806" s="100"/>
      <c r="F806" s="206"/>
      <c r="G806" s="206"/>
      <c r="H806" s="207"/>
      <c r="I806" s="207"/>
      <c r="J806" s="207"/>
      <c r="K806" s="207"/>
      <c r="L806" s="207"/>
      <c r="M806" s="207"/>
      <c r="N806" s="207"/>
      <c r="O806" s="207"/>
      <c r="P806" s="207"/>
      <c r="Q806" s="207"/>
      <c r="R806" s="207"/>
      <c r="S806" s="207"/>
      <c r="T806" s="207"/>
      <c r="U806" s="207"/>
      <c r="V806" s="207"/>
      <c r="W806" s="208"/>
      <c r="X806" s="208"/>
      <c r="Y806" s="208"/>
      <c r="Z806" s="208"/>
      <c r="AA806" s="208"/>
      <c r="AB806" s="208"/>
      <c r="AC806" s="208"/>
      <c r="AD806" s="208"/>
      <c r="AE806" s="208"/>
      <c r="AF806" s="208"/>
      <c r="AG806" s="208"/>
      <c r="AH806" s="208"/>
      <c r="AI806" s="100"/>
      <c r="AJ806" s="319"/>
      <c r="AK806" s="319"/>
      <c r="AL806" s="319"/>
      <c r="AM806" s="319"/>
      <c r="AN806" s="319"/>
      <c r="AO806" s="319"/>
      <c r="AP806" s="319"/>
      <c r="AQ806" s="319"/>
      <c r="AR806" s="319"/>
      <c r="AS806" s="319"/>
      <c r="AT806" s="319"/>
      <c r="AU806" s="319"/>
      <c r="AV806" s="319"/>
      <c r="AW806" s="319"/>
      <c r="AX806" s="319"/>
      <c r="AY806" s="319"/>
      <c r="AZ806" s="319"/>
      <c r="BA806" s="319"/>
      <c r="BB806" s="319"/>
      <c r="BC806" s="319"/>
      <c r="BD806" s="319"/>
      <c r="BE806" s="319"/>
      <c r="BF806" s="319"/>
      <c r="BG806" s="319"/>
      <c r="BH806" s="319"/>
      <c r="BI806" s="319"/>
      <c r="BJ806" s="319"/>
      <c r="BK806" s="319"/>
      <c r="BL806" s="319"/>
      <c r="BM806" s="319"/>
      <c r="BN806" s="319"/>
      <c r="BO806" s="319"/>
      <c r="BP806" s="319"/>
      <c r="BQ806" s="319"/>
      <c r="BR806" s="319"/>
    </row>
    <row r="807" ht="14.25" customHeight="1">
      <c r="A807" s="195"/>
      <c r="B807" s="100"/>
      <c r="C807" s="100"/>
      <c r="D807" s="100"/>
      <c r="E807" s="100"/>
      <c r="F807" s="206"/>
      <c r="G807" s="206"/>
      <c r="H807" s="207"/>
      <c r="I807" s="207"/>
      <c r="J807" s="207"/>
      <c r="K807" s="207"/>
      <c r="L807" s="207"/>
      <c r="M807" s="207"/>
      <c r="N807" s="207"/>
      <c r="O807" s="207"/>
      <c r="P807" s="207"/>
      <c r="Q807" s="207"/>
      <c r="R807" s="207"/>
      <c r="S807" s="207"/>
      <c r="T807" s="207"/>
      <c r="U807" s="207"/>
      <c r="V807" s="207"/>
      <c r="W807" s="208"/>
      <c r="X807" s="208"/>
      <c r="Y807" s="208"/>
      <c r="Z807" s="208"/>
      <c r="AA807" s="208"/>
      <c r="AB807" s="208"/>
      <c r="AC807" s="208"/>
      <c r="AD807" s="208"/>
      <c r="AE807" s="208"/>
      <c r="AF807" s="208"/>
      <c r="AG807" s="208"/>
      <c r="AH807" s="208"/>
      <c r="AI807" s="100"/>
      <c r="AJ807" s="319"/>
      <c r="AK807" s="319"/>
      <c r="AL807" s="319"/>
      <c r="AM807" s="319"/>
      <c r="AN807" s="319"/>
      <c r="AO807" s="319"/>
      <c r="AP807" s="319"/>
      <c r="AQ807" s="319"/>
      <c r="AR807" s="319"/>
      <c r="AS807" s="319"/>
      <c r="AT807" s="319"/>
      <c r="AU807" s="319"/>
      <c r="AV807" s="319"/>
      <c r="AW807" s="319"/>
      <c r="AX807" s="319"/>
      <c r="AY807" s="319"/>
      <c r="AZ807" s="319"/>
      <c r="BA807" s="319"/>
      <c r="BB807" s="319"/>
      <c r="BC807" s="319"/>
      <c r="BD807" s="319"/>
      <c r="BE807" s="319"/>
      <c r="BF807" s="319"/>
      <c r="BG807" s="319"/>
      <c r="BH807" s="319"/>
      <c r="BI807" s="319"/>
      <c r="BJ807" s="319"/>
      <c r="BK807" s="319"/>
      <c r="BL807" s="319"/>
      <c r="BM807" s="319"/>
      <c r="BN807" s="319"/>
      <c r="BO807" s="319"/>
      <c r="BP807" s="319"/>
      <c r="BQ807" s="319"/>
      <c r="BR807" s="319"/>
    </row>
    <row r="808" ht="14.25" customHeight="1">
      <c r="A808" s="195"/>
      <c r="B808" s="100"/>
      <c r="C808" s="100"/>
      <c r="D808" s="100"/>
      <c r="E808" s="100"/>
      <c r="F808" s="206"/>
      <c r="G808" s="206"/>
      <c r="H808" s="207"/>
      <c r="I808" s="207"/>
      <c r="J808" s="207"/>
      <c r="K808" s="207"/>
      <c r="L808" s="207"/>
      <c r="M808" s="207"/>
      <c r="N808" s="207"/>
      <c r="O808" s="207"/>
      <c r="P808" s="207"/>
      <c r="Q808" s="207"/>
      <c r="R808" s="207"/>
      <c r="S808" s="207"/>
      <c r="T808" s="207"/>
      <c r="U808" s="207"/>
      <c r="V808" s="207"/>
      <c r="W808" s="208"/>
      <c r="X808" s="208"/>
      <c r="Y808" s="208"/>
      <c r="Z808" s="208"/>
      <c r="AA808" s="208"/>
      <c r="AB808" s="208"/>
      <c r="AC808" s="208"/>
      <c r="AD808" s="208"/>
      <c r="AE808" s="208"/>
      <c r="AF808" s="208"/>
      <c r="AG808" s="208"/>
      <c r="AH808" s="208"/>
      <c r="AI808" s="100"/>
      <c r="AJ808" s="319"/>
      <c r="AK808" s="319"/>
      <c r="AL808" s="319"/>
      <c r="AM808" s="319"/>
      <c r="AN808" s="319"/>
      <c r="AO808" s="319"/>
      <c r="AP808" s="319"/>
      <c r="AQ808" s="319"/>
      <c r="AR808" s="319"/>
      <c r="AS808" s="319"/>
      <c r="AT808" s="319"/>
      <c r="AU808" s="319"/>
      <c r="AV808" s="319"/>
      <c r="AW808" s="319"/>
      <c r="AX808" s="319"/>
      <c r="AY808" s="319"/>
      <c r="AZ808" s="319"/>
      <c r="BA808" s="319"/>
      <c r="BB808" s="319"/>
      <c r="BC808" s="319"/>
      <c r="BD808" s="319"/>
      <c r="BE808" s="319"/>
      <c r="BF808" s="319"/>
      <c r="BG808" s="319"/>
      <c r="BH808" s="319"/>
      <c r="BI808" s="319"/>
      <c r="BJ808" s="319"/>
      <c r="BK808" s="319"/>
      <c r="BL808" s="319"/>
      <c r="BM808" s="319"/>
      <c r="BN808" s="319"/>
      <c r="BO808" s="319"/>
      <c r="BP808" s="319"/>
      <c r="BQ808" s="319"/>
      <c r="BR808" s="319"/>
    </row>
    <row r="809" ht="14.25" customHeight="1">
      <c r="A809" s="195"/>
      <c r="B809" s="100"/>
      <c r="C809" s="100"/>
      <c r="D809" s="100"/>
      <c r="E809" s="100"/>
      <c r="F809" s="206"/>
      <c r="G809" s="206"/>
      <c r="H809" s="207"/>
      <c r="I809" s="207"/>
      <c r="J809" s="207"/>
      <c r="K809" s="207"/>
      <c r="L809" s="207"/>
      <c r="M809" s="207"/>
      <c r="N809" s="207"/>
      <c r="O809" s="207"/>
      <c r="P809" s="207"/>
      <c r="Q809" s="207"/>
      <c r="R809" s="207"/>
      <c r="S809" s="207"/>
      <c r="T809" s="207"/>
      <c r="U809" s="207"/>
      <c r="V809" s="207"/>
      <c r="W809" s="208"/>
      <c r="X809" s="208"/>
      <c r="Y809" s="208"/>
      <c r="Z809" s="208"/>
      <c r="AA809" s="208"/>
      <c r="AB809" s="208"/>
      <c r="AC809" s="208"/>
      <c r="AD809" s="208"/>
      <c r="AE809" s="208"/>
      <c r="AF809" s="208"/>
      <c r="AG809" s="208"/>
      <c r="AH809" s="208"/>
      <c r="AI809" s="100"/>
      <c r="AJ809" s="319"/>
      <c r="AK809" s="319"/>
      <c r="AL809" s="319"/>
      <c r="AM809" s="319"/>
      <c r="AN809" s="319"/>
      <c r="AO809" s="319"/>
      <c r="AP809" s="319"/>
      <c r="AQ809" s="319"/>
      <c r="AR809" s="319"/>
      <c r="AS809" s="319"/>
      <c r="AT809" s="319"/>
      <c r="AU809" s="319"/>
      <c r="AV809" s="319"/>
      <c r="AW809" s="319"/>
      <c r="AX809" s="319"/>
      <c r="AY809" s="319"/>
      <c r="AZ809" s="319"/>
      <c r="BA809" s="319"/>
      <c r="BB809" s="319"/>
      <c r="BC809" s="319"/>
      <c r="BD809" s="319"/>
      <c r="BE809" s="319"/>
      <c r="BF809" s="319"/>
      <c r="BG809" s="319"/>
      <c r="BH809" s="319"/>
      <c r="BI809" s="319"/>
      <c r="BJ809" s="319"/>
      <c r="BK809" s="319"/>
      <c r="BL809" s="319"/>
      <c r="BM809" s="319"/>
      <c r="BN809" s="319"/>
      <c r="BO809" s="319"/>
      <c r="BP809" s="319"/>
      <c r="BQ809" s="319"/>
      <c r="BR809" s="319"/>
    </row>
    <row r="810" ht="14.25" customHeight="1">
      <c r="A810" s="195"/>
      <c r="B810" s="100"/>
      <c r="C810" s="100"/>
      <c r="D810" s="100"/>
      <c r="E810" s="100"/>
      <c r="F810" s="206"/>
      <c r="G810" s="206"/>
      <c r="H810" s="207"/>
      <c r="I810" s="207"/>
      <c r="J810" s="207"/>
      <c r="K810" s="207"/>
      <c r="L810" s="207"/>
      <c r="M810" s="207"/>
      <c r="N810" s="207"/>
      <c r="O810" s="207"/>
      <c r="P810" s="207"/>
      <c r="Q810" s="207"/>
      <c r="R810" s="207"/>
      <c r="S810" s="207"/>
      <c r="T810" s="207"/>
      <c r="U810" s="207"/>
      <c r="V810" s="207"/>
      <c r="W810" s="208"/>
      <c r="X810" s="208"/>
      <c r="Y810" s="208"/>
      <c r="Z810" s="208"/>
      <c r="AA810" s="208"/>
      <c r="AB810" s="208"/>
      <c r="AC810" s="208"/>
      <c r="AD810" s="208"/>
      <c r="AE810" s="208"/>
      <c r="AF810" s="208"/>
      <c r="AG810" s="208"/>
      <c r="AH810" s="208"/>
      <c r="AI810" s="100"/>
      <c r="AJ810" s="319"/>
      <c r="AK810" s="319"/>
      <c r="AL810" s="319"/>
      <c r="AM810" s="319"/>
      <c r="AN810" s="319"/>
      <c r="AO810" s="319"/>
      <c r="AP810" s="319"/>
      <c r="AQ810" s="319"/>
      <c r="AR810" s="319"/>
      <c r="AS810" s="319"/>
      <c r="AT810" s="319"/>
      <c r="AU810" s="319"/>
      <c r="AV810" s="319"/>
      <c r="AW810" s="319"/>
      <c r="AX810" s="319"/>
      <c r="AY810" s="319"/>
      <c r="AZ810" s="319"/>
      <c r="BA810" s="319"/>
      <c r="BB810" s="319"/>
      <c r="BC810" s="319"/>
      <c r="BD810" s="319"/>
      <c r="BE810" s="319"/>
      <c r="BF810" s="319"/>
      <c r="BG810" s="319"/>
      <c r="BH810" s="319"/>
      <c r="BI810" s="319"/>
      <c r="BJ810" s="319"/>
      <c r="BK810" s="319"/>
      <c r="BL810" s="319"/>
      <c r="BM810" s="319"/>
      <c r="BN810" s="319"/>
      <c r="BO810" s="319"/>
      <c r="BP810" s="319"/>
      <c r="BQ810" s="319"/>
      <c r="BR810" s="319"/>
    </row>
    <row r="811" ht="14.25" customHeight="1">
      <c r="A811" s="195"/>
      <c r="B811" s="100"/>
      <c r="C811" s="100"/>
      <c r="D811" s="100"/>
      <c r="E811" s="100"/>
      <c r="F811" s="206"/>
      <c r="G811" s="206"/>
      <c r="H811" s="207"/>
      <c r="I811" s="207"/>
      <c r="J811" s="207"/>
      <c r="K811" s="207"/>
      <c r="L811" s="207"/>
      <c r="M811" s="207"/>
      <c r="N811" s="207"/>
      <c r="O811" s="207"/>
      <c r="P811" s="207"/>
      <c r="Q811" s="207"/>
      <c r="R811" s="207"/>
      <c r="S811" s="207"/>
      <c r="T811" s="207"/>
      <c r="U811" s="207"/>
      <c r="V811" s="207"/>
      <c r="W811" s="208"/>
      <c r="X811" s="208"/>
      <c r="Y811" s="208"/>
      <c r="Z811" s="208"/>
      <c r="AA811" s="208"/>
      <c r="AB811" s="208"/>
      <c r="AC811" s="208"/>
      <c r="AD811" s="208"/>
      <c r="AE811" s="208"/>
      <c r="AF811" s="208"/>
      <c r="AG811" s="208"/>
      <c r="AH811" s="208"/>
      <c r="AI811" s="100"/>
      <c r="AJ811" s="319"/>
      <c r="AK811" s="319"/>
      <c r="AL811" s="319"/>
      <c r="AM811" s="319"/>
      <c r="AN811" s="319"/>
      <c r="AO811" s="319"/>
      <c r="AP811" s="319"/>
      <c r="AQ811" s="319"/>
      <c r="AR811" s="319"/>
      <c r="AS811" s="319"/>
      <c r="AT811" s="319"/>
      <c r="AU811" s="319"/>
      <c r="AV811" s="319"/>
      <c r="AW811" s="319"/>
      <c r="AX811" s="319"/>
      <c r="AY811" s="319"/>
      <c r="AZ811" s="319"/>
      <c r="BA811" s="319"/>
      <c r="BB811" s="319"/>
      <c r="BC811" s="319"/>
      <c r="BD811" s="319"/>
      <c r="BE811" s="319"/>
      <c r="BF811" s="319"/>
      <c r="BG811" s="319"/>
      <c r="BH811" s="319"/>
      <c r="BI811" s="319"/>
      <c r="BJ811" s="319"/>
      <c r="BK811" s="319"/>
      <c r="BL811" s="319"/>
      <c r="BM811" s="319"/>
      <c r="BN811" s="319"/>
      <c r="BO811" s="319"/>
      <c r="BP811" s="319"/>
      <c r="BQ811" s="319"/>
      <c r="BR811" s="319"/>
    </row>
    <row r="812" ht="14.25" customHeight="1">
      <c r="A812" s="195"/>
      <c r="B812" s="100"/>
      <c r="C812" s="100"/>
      <c r="D812" s="100"/>
      <c r="E812" s="100"/>
      <c r="F812" s="206"/>
      <c r="G812" s="206"/>
      <c r="H812" s="207"/>
      <c r="I812" s="207"/>
      <c r="J812" s="207"/>
      <c r="K812" s="207"/>
      <c r="L812" s="207"/>
      <c r="M812" s="207"/>
      <c r="N812" s="207"/>
      <c r="O812" s="207"/>
      <c r="P812" s="207"/>
      <c r="Q812" s="207"/>
      <c r="R812" s="207"/>
      <c r="S812" s="207"/>
      <c r="T812" s="207"/>
      <c r="U812" s="207"/>
      <c r="V812" s="207"/>
      <c r="W812" s="208"/>
      <c r="X812" s="208"/>
      <c r="Y812" s="208"/>
      <c r="Z812" s="208"/>
      <c r="AA812" s="208"/>
      <c r="AB812" s="208"/>
      <c r="AC812" s="208"/>
      <c r="AD812" s="208"/>
      <c r="AE812" s="208"/>
      <c r="AF812" s="208"/>
      <c r="AG812" s="208"/>
      <c r="AH812" s="208"/>
      <c r="AI812" s="100"/>
      <c r="AJ812" s="319"/>
      <c r="AK812" s="319"/>
      <c r="AL812" s="319"/>
      <c r="AM812" s="319"/>
      <c r="AN812" s="319"/>
      <c r="AO812" s="319"/>
      <c r="AP812" s="319"/>
      <c r="AQ812" s="319"/>
      <c r="AR812" s="319"/>
      <c r="AS812" s="319"/>
      <c r="AT812" s="319"/>
      <c r="AU812" s="319"/>
      <c r="AV812" s="319"/>
      <c r="AW812" s="319"/>
      <c r="AX812" s="319"/>
      <c r="AY812" s="319"/>
      <c r="AZ812" s="319"/>
      <c r="BA812" s="319"/>
      <c r="BB812" s="319"/>
      <c r="BC812" s="319"/>
      <c r="BD812" s="319"/>
      <c r="BE812" s="319"/>
      <c r="BF812" s="319"/>
      <c r="BG812" s="319"/>
      <c r="BH812" s="319"/>
      <c r="BI812" s="319"/>
      <c r="BJ812" s="319"/>
      <c r="BK812" s="319"/>
      <c r="BL812" s="319"/>
      <c r="BM812" s="319"/>
      <c r="BN812" s="319"/>
      <c r="BO812" s="319"/>
      <c r="BP812" s="319"/>
      <c r="BQ812" s="319"/>
      <c r="BR812" s="319"/>
    </row>
    <row r="813" ht="14.25" customHeight="1">
      <c r="A813" s="195"/>
      <c r="B813" s="100"/>
      <c r="C813" s="100"/>
      <c r="D813" s="100"/>
      <c r="E813" s="100"/>
      <c r="F813" s="206"/>
      <c r="G813" s="206"/>
      <c r="H813" s="207"/>
      <c r="I813" s="207"/>
      <c r="J813" s="207"/>
      <c r="K813" s="207"/>
      <c r="L813" s="207"/>
      <c r="M813" s="207"/>
      <c r="N813" s="207"/>
      <c r="O813" s="207"/>
      <c r="P813" s="207"/>
      <c r="Q813" s="207"/>
      <c r="R813" s="207"/>
      <c r="S813" s="207"/>
      <c r="T813" s="207"/>
      <c r="U813" s="207"/>
      <c r="V813" s="207"/>
      <c r="W813" s="208"/>
      <c r="X813" s="208"/>
      <c r="Y813" s="208"/>
      <c r="Z813" s="208"/>
      <c r="AA813" s="208"/>
      <c r="AB813" s="208"/>
      <c r="AC813" s="208"/>
      <c r="AD813" s="208"/>
      <c r="AE813" s="208"/>
      <c r="AF813" s="208"/>
      <c r="AG813" s="208"/>
      <c r="AH813" s="208"/>
      <c r="AI813" s="100"/>
      <c r="AJ813" s="319"/>
      <c r="AK813" s="319"/>
      <c r="AL813" s="319"/>
      <c r="AM813" s="319"/>
      <c r="AN813" s="319"/>
      <c r="AO813" s="319"/>
      <c r="AP813" s="319"/>
      <c r="AQ813" s="319"/>
      <c r="AR813" s="319"/>
      <c r="AS813" s="319"/>
      <c r="AT813" s="319"/>
      <c r="AU813" s="319"/>
      <c r="AV813" s="319"/>
      <c r="AW813" s="319"/>
      <c r="AX813" s="319"/>
      <c r="AY813" s="319"/>
      <c r="AZ813" s="319"/>
      <c r="BA813" s="319"/>
      <c r="BB813" s="319"/>
      <c r="BC813" s="319"/>
      <c r="BD813" s="319"/>
      <c r="BE813" s="319"/>
      <c r="BF813" s="319"/>
      <c r="BG813" s="319"/>
      <c r="BH813" s="319"/>
      <c r="BI813" s="319"/>
      <c r="BJ813" s="319"/>
      <c r="BK813" s="319"/>
      <c r="BL813" s="319"/>
      <c r="BM813" s="319"/>
      <c r="BN813" s="319"/>
      <c r="BO813" s="319"/>
      <c r="BP813" s="319"/>
      <c r="BQ813" s="319"/>
      <c r="BR813" s="319"/>
    </row>
    <row r="814" ht="14.25" customHeight="1">
      <c r="A814" s="195"/>
      <c r="B814" s="100"/>
      <c r="C814" s="100"/>
      <c r="D814" s="100"/>
      <c r="E814" s="100"/>
      <c r="F814" s="206"/>
      <c r="G814" s="206"/>
      <c r="H814" s="207"/>
      <c r="I814" s="207"/>
      <c r="J814" s="207"/>
      <c r="K814" s="207"/>
      <c r="L814" s="207"/>
      <c r="M814" s="207"/>
      <c r="N814" s="207"/>
      <c r="O814" s="207"/>
      <c r="P814" s="207"/>
      <c r="Q814" s="207"/>
      <c r="R814" s="207"/>
      <c r="S814" s="207"/>
      <c r="T814" s="207"/>
      <c r="U814" s="207"/>
      <c r="V814" s="207"/>
      <c r="W814" s="208"/>
      <c r="X814" s="208"/>
      <c r="Y814" s="208"/>
      <c r="Z814" s="208"/>
      <c r="AA814" s="208"/>
      <c r="AB814" s="208"/>
      <c r="AC814" s="208"/>
      <c r="AD814" s="208"/>
      <c r="AE814" s="208"/>
      <c r="AF814" s="208"/>
      <c r="AG814" s="208"/>
      <c r="AH814" s="208"/>
      <c r="AI814" s="100"/>
      <c r="AJ814" s="319"/>
      <c r="AK814" s="319"/>
      <c r="AL814" s="319"/>
      <c r="AM814" s="319"/>
      <c r="AN814" s="319"/>
      <c r="AO814" s="319"/>
      <c r="AP814" s="319"/>
      <c r="AQ814" s="319"/>
      <c r="AR814" s="319"/>
      <c r="AS814" s="319"/>
      <c r="AT814" s="319"/>
      <c r="AU814" s="319"/>
      <c r="AV814" s="319"/>
      <c r="AW814" s="319"/>
      <c r="AX814" s="319"/>
      <c r="AY814" s="319"/>
      <c r="AZ814" s="319"/>
      <c r="BA814" s="319"/>
      <c r="BB814" s="319"/>
      <c r="BC814" s="319"/>
      <c r="BD814" s="319"/>
      <c r="BE814" s="319"/>
      <c r="BF814" s="319"/>
      <c r="BG814" s="319"/>
      <c r="BH814" s="319"/>
      <c r="BI814" s="319"/>
      <c r="BJ814" s="319"/>
      <c r="BK814" s="319"/>
      <c r="BL814" s="319"/>
      <c r="BM814" s="319"/>
      <c r="BN814" s="319"/>
      <c r="BO814" s="319"/>
      <c r="BP814" s="319"/>
      <c r="BQ814" s="319"/>
      <c r="BR814" s="319"/>
    </row>
    <row r="815" ht="14.25" customHeight="1">
      <c r="A815" s="195"/>
      <c r="B815" s="100"/>
      <c r="C815" s="100"/>
      <c r="D815" s="100"/>
      <c r="E815" s="100"/>
      <c r="F815" s="206"/>
      <c r="G815" s="206"/>
      <c r="H815" s="207"/>
      <c r="I815" s="207"/>
      <c r="J815" s="207"/>
      <c r="K815" s="207"/>
      <c r="L815" s="207"/>
      <c r="M815" s="207"/>
      <c r="N815" s="207"/>
      <c r="O815" s="207"/>
      <c r="P815" s="207"/>
      <c r="Q815" s="207"/>
      <c r="R815" s="207"/>
      <c r="S815" s="207"/>
      <c r="T815" s="207"/>
      <c r="U815" s="207"/>
      <c r="V815" s="207"/>
      <c r="W815" s="208"/>
      <c r="X815" s="208"/>
      <c r="Y815" s="208"/>
      <c r="Z815" s="208"/>
      <c r="AA815" s="208"/>
      <c r="AB815" s="208"/>
      <c r="AC815" s="208"/>
      <c r="AD815" s="208"/>
      <c r="AE815" s="208"/>
      <c r="AF815" s="208"/>
      <c r="AG815" s="208"/>
      <c r="AH815" s="208"/>
      <c r="AI815" s="100"/>
      <c r="AJ815" s="319"/>
      <c r="AK815" s="319"/>
      <c r="AL815" s="319"/>
      <c r="AM815" s="319"/>
      <c r="AN815" s="319"/>
      <c r="AO815" s="319"/>
      <c r="AP815" s="319"/>
      <c r="AQ815" s="319"/>
      <c r="AR815" s="319"/>
      <c r="AS815" s="319"/>
      <c r="AT815" s="319"/>
      <c r="AU815" s="319"/>
      <c r="AV815" s="319"/>
      <c r="AW815" s="319"/>
      <c r="AX815" s="319"/>
      <c r="AY815" s="319"/>
      <c r="AZ815" s="319"/>
      <c r="BA815" s="319"/>
      <c r="BB815" s="319"/>
      <c r="BC815" s="319"/>
      <c r="BD815" s="319"/>
      <c r="BE815" s="319"/>
      <c r="BF815" s="319"/>
      <c r="BG815" s="319"/>
      <c r="BH815" s="319"/>
      <c r="BI815" s="319"/>
      <c r="BJ815" s="319"/>
      <c r="BK815" s="319"/>
      <c r="BL815" s="319"/>
      <c r="BM815" s="319"/>
      <c r="BN815" s="319"/>
      <c r="BO815" s="319"/>
      <c r="BP815" s="319"/>
      <c r="BQ815" s="319"/>
      <c r="BR815" s="319"/>
    </row>
    <row r="816" ht="14.25" customHeight="1">
      <c r="A816" s="195"/>
      <c r="B816" s="100"/>
      <c r="C816" s="100"/>
      <c r="D816" s="100"/>
      <c r="E816" s="100"/>
      <c r="F816" s="206"/>
      <c r="G816" s="206"/>
      <c r="H816" s="207"/>
      <c r="I816" s="207"/>
      <c r="J816" s="207"/>
      <c r="K816" s="207"/>
      <c r="L816" s="207"/>
      <c r="M816" s="207"/>
      <c r="N816" s="207"/>
      <c r="O816" s="207"/>
      <c r="P816" s="207"/>
      <c r="Q816" s="207"/>
      <c r="R816" s="207"/>
      <c r="S816" s="207"/>
      <c r="T816" s="207"/>
      <c r="U816" s="207"/>
      <c r="V816" s="207"/>
      <c r="W816" s="208"/>
      <c r="X816" s="208"/>
      <c r="Y816" s="208"/>
      <c r="Z816" s="208"/>
      <c r="AA816" s="208"/>
      <c r="AB816" s="208"/>
      <c r="AC816" s="208"/>
      <c r="AD816" s="208"/>
      <c r="AE816" s="208"/>
      <c r="AF816" s="208"/>
      <c r="AG816" s="208"/>
      <c r="AH816" s="208"/>
      <c r="AI816" s="100"/>
      <c r="AJ816" s="319"/>
      <c r="AK816" s="319"/>
      <c r="AL816" s="319"/>
      <c r="AM816" s="319"/>
      <c r="AN816" s="319"/>
      <c r="AO816" s="319"/>
      <c r="AP816" s="319"/>
      <c r="AQ816" s="319"/>
      <c r="AR816" s="319"/>
      <c r="AS816" s="319"/>
      <c r="AT816" s="319"/>
      <c r="AU816" s="319"/>
      <c r="AV816" s="319"/>
      <c r="AW816" s="319"/>
      <c r="AX816" s="319"/>
      <c r="AY816" s="319"/>
      <c r="AZ816" s="319"/>
      <c r="BA816" s="319"/>
      <c r="BB816" s="319"/>
      <c r="BC816" s="319"/>
      <c r="BD816" s="319"/>
      <c r="BE816" s="319"/>
      <c r="BF816" s="319"/>
      <c r="BG816" s="319"/>
      <c r="BH816" s="319"/>
      <c r="BI816" s="319"/>
      <c r="BJ816" s="319"/>
      <c r="BK816" s="319"/>
      <c r="BL816" s="319"/>
      <c r="BM816" s="319"/>
      <c r="BN816" s="319"/>
      <c r="BO816" s="319"/>
      <c r="BP816" s="319"/>
      <c r="BQ816" s="319"/>
      <c r="BR816" s="319"/>
    </row>
    <row r="817" ht="14.25" customHeight="1">
      <c r="A817" s="195"/>
      <c r="B817" s="100"/>
      <c r="C817" s="100"/>
      <c r="D817" s="100"/>
      <c r="E817" s="100"/>
      <c r="F817" s="206"/>
      <c r="G817" s="206"/>
      <c r="H817" s="207"/>
      <c r="I817" s="207"/>
      <c r="J817" s="207"/>
      <c r="K817" s="207"/>
      <c r="L817" s="207"/>
      <c r="M817" s="207"/>
      <c r="N817" s="207"/>
      <c r="O817" s="207"/>
      <c r="P817" s="207"/>
      <c r="Q817" s="207"/>
      <c r="R817" s="207"/>
      <c r="S817" s="207"/>
      <c r="T817" s="207"/>
      <c r="U817" s="207"/>
      <c r="V817" s="207"/>
      <c r="W817" s="208"/>
      <c r="X817" s="208"/>
      <c r="Y817" s="208"/>
      <c r="Z817" s="208"/>
      <c r="AA817" s="208"/>
      <c r="AB817" s="208"/>
      <c r="AC817" s="208"/>
      <c r="AD817" s="208"/>
      <c r="AE817" s="208"/>
      <c r="AF817" s="208"/>
      <c r="AG817" s="208"/>
      <c r="AH817" s="208"/>
      <c r="AI817" s="100"/>
      <c r="AJ817" s="319"/>
      <c r="AK817" s="319"/>
      <c r="AL817" s="319"/>
      <c r="AM817" s="319"/>
      <c r="AN817" s="319"/>
      <c r="AO817" s="319"/>
      <c r="AP817" s="319"/>
      <c r="AQ817" s="319"/>
      <c r="AR817" s="319"/>
      <c r="AS817" s="319"/>
      <c r="AT817" s="319"/>
      <c r="AU817" s="319"/>
      <c r="AV817" s="319"/>
      <c r="AW817" s="319"/>
      <c r="AX817" s="319"/>
      <c r="AY817" s="319"/>
      <c r="AZ817" s="319"/>
      <c r="BA817" s="319"/>
      <c r="BB817" s="319"/>
      <c r="BC817" s="319"/>
      <c r="BD817" s="319"/>
      <c r="BE817" s="319"/>
      <c r="BF817" s="319"/>
      <c r="BG817" s="319"/>
      <c r="BH817" s="319"/>
      <c r="BI817" s="319"/>
      <c r="BJ817" s="319"/>
      <c r="BK817" s="319"/>
      <c r="BL817" s="319"/>
      <c r="BM817" s="319"/>
      <c r="BN817" s="319"/>
      <c r="BO817" s="319"/>
      <c r="BP817" s="319"/>
      <c r="BQ817" s="319"/>
      <c r="BR817" s="319"/>
    </row>
    <row r="818" ht="14.25" customHeight="1">
      <c r="A818" s="195"/>
      <c r="B818" s="100"/>
      <c r="C818" s="100"/>
      <c r="D818" s="100"/>
      <c r="E818" s="100"/>
      <c r="F818" s="206"/>
      <c r="G818" s="206"/>
      <c r="H818" s="207"/>
      <c r="I818" s="207"/>
      <c r="J818" s="207"/>
      <c r="K818" s="207"/>
      <c r="L818" s="207"/>
      <c r="M818" s="207"/>
      <c r="N818" s="207"/>
      <c r="O818" s="207"/>
      <c r="P818" s="207"/>
      <c r="Q818" s="207"/>
      <c r="R818" s="207"/>
      <c r="S818" s="207"/>
      <c r="T818" s="207"/>
      <c r="U818" s="207"/>
      <c r="V818" s="207"/>
      <c r="W818" s="208"/>
      <c r="X818" s="208"/>
      <c r="Y818" s="208"/>
      <c r="Z818" s="208"/>
      <c r="AA818" s="208"/>
      <c r="AB818" s="208"/>
      <c r="AC818" s="208"/>
      <c r="AD818" s="208"/>
      <c r="AE818" s="208"/>
      <c r="AF818" s="208"/>
      <c r="AG818" s="208"/>
      <c r="AH818" s="208"/>
      <c r="AI818" s="100"/>
      <c r="AJ818" s="319"/>
      <c r="AK818" s="319"/>
      <c r="AL818" s="319"/>
      <c r="AM818" s="319"/>
      <c r="AN818" s="319"/>
      <c r="AO818" s="319"/>
      <c r="AP818" s="319"/>
      <c r="AQ818" s="319"/>
      <c r="AR818" s="319"/>
      <c r="AS818" s="319"/>
      <c r="AT818" s="319"/>
      <c r="AU818" s="319"/>
      <c r="AV818" s="319"/>
      <c r="AW818" s="319"/>
      <c r="AX818" s="319"/>
      <c r="AY818" s="319"/>
      <c r="AZ818" s="319"/>
      <c r="BA818" s="319"/>
      <c r="BB818" s="319"/>
      <c r="BC818" s="319"/>
      <c r="BD818" s="319"/>
      <c r="BE818" s="319"/>
      <c r="BF818" s="319"/>
      <c r="BG818" s="319"/>
      <c r="BH818" s="319"/>
      <c r="BI818" s="319"/>
      <c r="BJ818" s="319"/>
      <c r="BK818" s="319"/>
      <c r="BL818" s="319"/>
      <c r="BM818" s="319"/>
      <c r="BN818" s="319"/>
      <c r="BO818" s="319"/>
      <c r="BP818" s="319"/>
      <c r="BQ818" s="319"/>
      <c r="BR818" s="319"/>
    </row>
    <row r="819" ht="14.25" customHeight="1">
      <c r="A819" s="195"/>
      <c r="B819" s="100"/>
      <c r="C819" s="100"/>
      <c r="D819" s="100"/>
      <c r="E819" s="100"/>
      <c r="F819" s="206"/>
      <c r="G819" s="206"/>
      <c r="H819" s="207"/>
      <c r="I819" s="207"/>
      <c r="J819" s="207"/>
      <c r="K819" s="207"/>
      <c r="L819" s="207"/>
      <c r="M819" s="207"/>
      <c r="N819" s="207"/>
      <c r="O819" s="207"/>
      <c r="P819" s="207"/>
      <c r="Q819" s="207"/>
      <c r="R819" s="207"/>
      <c r="S819" s="207"/>
      <c r="T819" s="207"/>
      <c r="U819" s="207"/>
      <c r="V819" s="207"/>
      <c r="W819" s="208"/>
      <c r="X819" s="208"/>
      <c r="Y819" s="208"/>
      <c r="Z819" s="208"/>
      <c r="AA819" s="208"/>
      <c r="AB819" s="208"/>
      <c r="AC819" s="208"/>
      <c r="AD819" s="208"/>
      <c r="AE819" s="208"/>
      <c r="AF819" s="208"/>
      <c r="AG819" s="208"/>
      <c r="AH819" s="208"/>
      <c r="AI819" s="100"/>
      <c r="AJ819" s="319"/>
      <c r="AK819" s="319"/>
      <c r="AL819" s="319"/>
      <c r="AM819" s="319"/>
      <c r="AN819" s="319"/>
      <c r="AO819" s="319"/>
      <c r="AP819" s="319"/>
      <c r="AQ819" s="319"/>
      <c r="AR819" s="319"/>
      <c r="AS819" s="319"/>
      <c r="AT819" s="319"/>
      <c r="AU819" s="319"/>
      <c r="AV819" s="319"/>
      <c r="AW819" s="319"/>
      <c r="AX819" s="319"/>
      <c r="AY819" s="319"/>
      <c r="AZ819" s="319"/>
      <c r="BA819" s="319"/>
      <c r="BB819" s="319"/>
      <c r="BC819" s="319"/>
      <c r="BD819" s="319"/>
      <c r="BE819" s="319"/>
      <c r="BF819" s="319"/>
      <c r="BG819" s="319"/>
      <c r="BH819" s="319"/>
      <c r="BI819" s="319"/>
      <c r="BJ819" s="319"/>
      <c r="BK819" s="319"/>
      <c r="BL819" s="319"/>
      <c r="BM819" s="319"/>
      <c r="BN819" s="319"/>
      <c r="BO819" s="319"/>
      <c r="BP819" s="319"/>
      <c r="BQ819" s="319"/>
      <c r="BR819" s="319"/>
    </row>
    <row r="820" ht="14.25" customHeight="1">
      <c r="A820" s="195"/>
      <c r="B820" s="100"/>
      <c r="C820" s="100"/>
      <c r="D820" s="100"/>
      <c r="E820" s="100"/>
      <c r="F820" s="206"/>
      <c r="G820" s="206"/>
      <c r="H820" s="207"/>
      <c r="I820" s="207"/>
      <c r="J820" s="207"/>
      <c r="K820" s="207"/>
      <c r="L820" s="207"/>
      <c r="M820" s="207"/>
      <c r="N820" s="207"/>
      <c r="O820" s="207"/>
      <c r="P820" s="207"/>
      <c r="Q820" s="207"/>
      <c r="R820" s="207"/>
      <c r="S820" s="207"/>
      <c r="T820" s="207"/>
      <c r="U820" s="207"/>
      <c r="V820" s="207"/>
      <c r="W820" s="208"/>
      <c r="X820" s="208"/>
      <c r="Y820" s="208"/>
      <c r="Z820" s="208"/>
      <c r="AA820" s="208"/>
      <c r="AB820" s="208"/>
      <c r="AC820" s="208"/>
      <c r="AD820" s="208"/>
      <c r="AE820" s="208"/>
      <c r="AF820" s="208"/>
      <c r="AG820" s="208"/>
      <c r="AH820" s="208"/>
      <c r="AI820" s="100"/>
      <c r="AJ820" s="319"/>
      <c r="AK820" s="319"/>
      <c r="AL820" s="319"/>
      <c r="AM820" s="319"/>
      <c r="AN820" s="319"/>
      <c r="AO820" s="319"/>
      <c r="AP820" s="319"/>
      <c r="AQ820" s="319"/>
      <c r="AR820" s="319"/>
      <c r="AS820" s="319"/>
      <c r="AT820" s="319"/>
      <c r="AU820" s="319"/>
      <c r="AV820" s="319"/>
      <c r="AW820" s="319"/>
      <c r="AX820" s="319"/>
      <c r="AY820" s="319"/>
      <c r="AZ820" s="319"/>
      <c r="BA820" s="319"/>
      <c r="BB820" s="319"/>
      <c r="BC820" s="319"/>
      <c r="BD820" s="319"/>
      <c r="BE820" s="319"/>
      <c r="BF820" s="319"/>
      <c r="BG820" s="319"/>
      <c r="BH820" s="319"/>
      <c r="BI820" s="319"/>
      <c r="BJ820" s="319"/>
      <c r="BK820" s="319"/>
      <c r="BL820" s="319"/>
      <c r="BM820" s="319"/>
      <c r="BN820" s="319"/>
      <c r="BO820" s="319"/>
      <c r="BP820" s="319"/>
      <c r="BQ820" s="319"/>
      <c r="BR820" s="319"/>
    </row>
    <row r="821" ht="14.25" customHeight="1">
      <c r="A821" s="195"/>
      <c r="B821" s="100"/>
      <c r="C821" s="100"/>
      <c r="D821" s="100"/>
      <c r="E821" s="100"/>
      <c r="F821" s="206"/>
      <c r="G821" s="206"/>
      <c r="H821" s="207"/>
      <c r="I821" s="207"/>
      <c r="J821" s="207"/>
      <c r="K821" s="207"/>
      <c r="L821" s="207"/>
      <c r="M821" s="207"/>
      <c r="N821" s="207"/>
      <c r="O821" s="207"/>
      <c r="P821" s="207"/>
      <c r="Q821" s="207"/>
      <c r="R821" s="207"/>
      <c r="S821" s="207"/>
      <c r="T821" s="207"/>
      <c r="U821" s="207"/>
      <c r="V821" s="207"/>
      <c r="W821" s="208"/>
      <c r="X821" s="208"/>
      <c r="Y821" s="208"/>
      <c r="Z821" s="208"/>
      <c r="AA821" s="208"/>
      <c r="AB821" s="208"/>
      <c r="AC821" s="208"/>
      <c r="AD821" s="208"/>
      <c r="AE821" s="208"/>
      <c r="AF821" s="208"/>
      <c r="AG821" s="208"/>
      <c r="AH821" s="208"/>
      <c r="AI821" s="100"/>
      <c r="AJ821" s="319"/>
      <c r="AK821" s="319"/>
      <c r="AL821" s="319"/>
      <c r="AM821" s="319"/>
      <c r="AN821" s="319"/>
      <c r="AO821" s="319"/>
      <c r="AP821" s="319"/>
      <c r="AQ821" s="319"/>
      <c r="AR821" s="319"/>
      <c r="AS821" s="319"/>
      <c r="AT821" s="319"/>
      <c r="AU821" s="319"/>
      <c r="AV821" s="319"/>
      <c r="AW821" s="319"/>
      <c r="AX821" s="319"/>
      <c r="AY821" s="319"/>
      <c r="AZ821" s="319"/>
      <c r="BA821" s="319"/>
      <c r="BB821" s="319"/>
      <c r="BC821" s="319"/>
      <c r="BD821" s="319"/>
      <c r="BE821" s="319"/>
      <c r="BF821" s="319"/>
      <c r="BG821" s="319"/>
      <c r="BH821" s="319"/>
      <c r="BI821" s="319"/>
      <c r="BJ821" s="319"/>
      <c r="BK821" s="319"/>
      <c r="BL821" s="319"/>
      <c r="BM821" s="319"/>
      <c r="BN821" s="319"/>
      <c r="BO821" s="319"/>
      <c r="BP821" s="319"/>
      <c r="BQ821" s="319"/>
      <c r="BR821" s="319"/>
    </row>
    <row r="822" ht="14.25" customHeight="1">
      <c r="A822" s="195"/>
      <c r="B822" s="100"/>
      <c r="C822" s="100"/>
      <c r="D822" s="100"/>
      <c r="E822" s="100"/>
      <c r="F822" s="206"/>
      <c r="G822" s="206"/>
      <c r="H822" s="207"/>
      <c r="I822" s="207"/>
      <c r="J822" s="207"/>
      <c r="K822" s="207"/>
      <c r="L822" s="207"/>
      <c r="M822" s="207"/>
      <c r="N822" s="207"/>
      <c r="O822" s="207"/>
      <c r="P822" s="207"/>
      <c r="Q822" s="207"/>
      <c r="R822" s="207"/>
      <c r="S822" s="207"/>
      <c r="T822" s="207"/>
      <c r="U822" s="207"/>
      <c r="V822" s="207"/>
      <c r="W822" s="208"/>
      <c r="X822" s="208"/>
      <c r="Y822" s="208"/>
      <c r="Z822" s="208"/>
      <c r="AA822" s="208"/>
      <c r="AB822" s="208"/>
      <c r="AC822" s="208"/>
      <c r="AD822" s="208"/>
      <c r="AE822" s="208"/>
      <c r="AF822" s="208"/>
      <c r="AG822" s="208"/>
      <c r="AH822" s="208"/>
      <c r="AI822" s="100"/>
      <c r="AJ822" s="319"/>
      <c r="AK822" s="319"/>
      <c r="AL822" s="319"/>
      <c r="AM822" s="319"/>
      <c r="AN822" s="319"/>
      <c r="AO822" s="319"/>
      <c r="AP822" s="319"/>
      <c r="AQ822" s="319"/>
      <c r="AR822" s="319"/>
      <c r="AS822" s="319"/>
      <c r="AT822" s="319"/>
      <c r="AU822" s="319"/>
      <c r="AV822" s="319"/>
      <c r="AW822" s="319"/>
      <c r="AX822" s="319"/>
      <c r="AY822" s="319"/>
      <c r="AZ822" s="319"/>
      <c r="BA822" s="319"/>
      <c r="BB822" s="319"/>
      <c r="BC822" s="319"/>
      <c r="BD822" s="319"/>
      <c r="BE822" s="319"/>
      <c r="BF822" s="319"/>
      <c r="BG822" s="319"/>
      <c r="BH822" s="319"/>
      <c r="BI822" s="319"/>
      <c r="BJ822" s="319"/>
      <c r="BK822" s="319"/>
      <c r="BL822" s="319"/>
      <c r="BM822" s="319"/>
      <c r="BN822" s="319"/>
      <c r="BO822" s="319"/>
      <c r="BP822" s="319"/>
      <c r="BQ822" s="319"/>
      <c r="BR822" s="319"/>
    </row>
    <row r="823" ht="14.25" customHeight="1">
      <c r="A823" s="195"/>
      <c r="B823" s="100"/>
      <c r="C823" s="100"/>
      <c r="D823" s="100"/>
      <c r="E823" s="100"/>
      <c r="F823" s="206"/>
      <c r="G823" s="206"/>
      <c r="H823" s="207"/>
      <c r="I823" s="207"/>
      <c r="J823" s="207"/>
      <c r="K823" s="207"/>
      <c r="L823" s="207"/>
      <c r="M823" s="207"/>
      <c r="N823" s="207"/>
      <c r="O823" s="207"/>
      <c r="P823" s="207"/>
      <c r="Q823" s="207"/>
      <c r="R823" s="207"/>
      <c r="S823" s="207"/>
      <c r="T823" s="207"/>
      <c r="U823" s="207"/>
      <c r="V823" s="207"/>
      <c r="W823" s="208"/>
      <c r="X823" s="208"/>
      <c r="Y823" s="208"/>
      <c r="Z823" s="208"/>
      <c r="AA823" s="208"/>
      <c r="AB823" s="208"/>
      <c r="AC823" s="208"/>
      <c r="AD823" s="208"/>
      <c r="AE823" s="208"/>
      <c r="AF823" s="208"/>
      <c r="AG823" s="208"/>
      <c r="AH823" s="208"/>
      <c r="AI823" s="100"/>
      <c r="AJ823" s="319"/>
      <c r="AK823" s="319"/>
      <c r="AL823" s="319"/>
      <c r="AM823" s="319"/>
      <c r="AN823" s="319"/>
      <c r="AO823" s="319"/>
      <c r="AP823" s="319"/>
      <c r="AQ823" s="319"/>
      <c r="AR823" s="319"/>
      <c r="AS823" s="319"/>
      <c r="AT823" s="319"/>
      <c r="AU823" s="319"/>
      <c r="AV823" s="319"/>
      <c r="AW823" s="319"/>
      <c r="AX823" s="319"/>
      <c r="AY823" s="319"/>
      <c r="AZ823" s="319"/>
      <c r="BA823" s="319"/>
      <c r="BB823" s="319"/>
      <c r="BC823" s="319"/>
      <c r="BD823" s="319"/>
      <c r="BE823" s="319"/>
      <c r="BF823" s="319"/>
      <c r="BG823" s="319"/>
      <c r="BH823" s="319"/>
      <c r="BI823" s="319"/>
      <c r="BJ823" s="319"/>
      <c r="BK823" s="319"/>
      <c r="BL823" s="319"/>
      <c r="BM823" s="319"/>
      <c r="BN823" s="319"/>
      <c r="BO823" s="319"/>
      <c r="BP823" s="319"/>
      <c r="BQ823" s="319"/>
      <c r="BR823" s="319"/>
    </row>
    <row r="824" ht="14.25" customHeight="1">
      <c r="A824" s="195"/>
      <c r="B824" s="100"/>
      <c r="C824" s="100"/>
      <c r="D824" s="100"/>
      <c r="E824" s="100"/>
      <c r="F824" s="206"/>
      <c r="G824" s="206"/>
      <c r="H824" s="207"/>
      <c r="I824" s="207"/>
      <c r="J824" s="207"/>
      <c r="K824" s="207"/>
      <c r="L824" s="207"/>
      <c r="M824" s="207"/>
      <c r="N824" s="207"/>
      <c r="O824" s="207"/>
      <c r="P824" s="207"/>
      <c r="Q824" s="207"/>
      <c r="R824" s="207"/>
      <c r="S824" s="207"/>
      <c r="T824" s="207"/>
      <c r="U824" s="207"/>
      <c r="V824" s="207"/>
      <c r="W824" s="208"/>
      <c r="X824" s="208"/>
      <c r="Y824" s="208"/>
      <c r="Z824" s="208"/>
      <c r="AA824" s="208"/>
      <c r="AB824" s="208"/>
      <c r="AC824" s="208"/>
      <c r="AD824" s="208"/>
      <c r="AE824" s="208"/>
      <c r="AF824" s="208"/>
      <c r="AG824" s="208"/>
      <c r="AH824" s="208"/>
      <c r="AI824" s="100"/>
      <c r="AJ824" s="319"/>
      <c r="AK824" s="319"/>
      <c r="AL824" s="319"/>
      <c r="AM824" s="319"/>
      <c r="AN824" s="319"/>
      <c r="AO824" s="319"/>
      <c r="AP824" s="319"/>
      <c r="AQ824" s="319"/>
      <c r="AR824" s="319"/>
      <c r="AS824" s="319"/>
      <c r="AT824" s="319"/>
      <c r="AU824" s="319"/>
      <c r="AV824" s="319"/>
      <c r="AW824" s="319"/>
      <c r="AX824" s="319"/>
      <c r="AY824" s="319"/>
      <c r="AZ824" s="319"/>
      <c r="BA824" s="319"/>
      <c r="BB824" s="319"/>
      <c r="BC824" s="319"/>
      <c r="BD824" s="319"/>
      <c r="BE824" s="319"/>
      <c r="BF824" s="319"/>
      <c r="BG824" s="319"/>
      <c r="BH824" s="319"/>
      <c r="BI824" s="319"/>
      <c r="BJ824" s="319"/>
      <c r="BK824" s="319"/>
      <c r="BL824" s="319"/>
      <c r="BM824" s="319"/>
      <c r="BN824" s="319"/>
      <c r="BO824" s="319"/>
      <c r="BP824" s="319"/>
      <c r="BQ824" s="319"/>
      <c r="BR824" s="319"/>
    </row>
    <row r="825" ht="14.25" customHeight="1">
      <c r="A825" s="195"/>
      <c r="B825" s="100"/>
      <c r="C825" s="100"/>
      <c r="D825" s="100"/>
      <c r="E825" s="100"/>
      <c r="F825" s="206"/>
      <c r="G825" s="206"/>
      <c r="H825" s="207"/>
      <c r="I825" s="207"/>
      <c r="J825" s="207"/>
      <c r="K825" s="207"/>
      <c r="L825" s="207"/>
      <c r="M825" s="207"/>
      <c r="N825" s="207"/>
      <c r="O825" s="207"/>
      <c r="P825" s="207"/>
      <c r="Q825" s="207"/>
      <c r="R825" s="207"/>
      <c r="S825" s="207"/>
      <c r="T825" s="207"/>
      <c r="U825" s="207"/>
      <c r="V825" s="207"/>
      <c r="W825" s="208"/>
      <c r="X825" s="208"/>
      <c r="Y825" s="208"/>
      <c r="Z825" s="208"/>
      <c r="AA825" s="208"/>
      <c r="AB825" s="208"/>
      <c r="AC825" s="208"/>
      <c r="AD825" s="208"/>
      <c r="AE825" s="208"/>
      <c r="AF825" s="208"/>
      <c r="AG825" s="208"/>
      <c r="AH825" s="208"/>
      <c r="AI825" s="100"/>
      <c r="AJ825" s="319"/>
      <c r="AK825" s="319"/>
      <c r="AL825" s="319"/>
      <c r="AM825" s="319"/>
      <c r="AN825" s="319"/>
      <c r="AO825" s="319"/>
      <c r="AP825" s="319"/>
      <c r="AQ825" s="319"/>
      <c r="AR825" s="319"/>
      <c r="AS825" s="319"/>
      <c r="AT825" s="319"/>
      <c r="AU825" s="319"/>
      <c r="AV825" s="319"/>
      <c r="AW825" s="319"/>
      <c r="AX825" s="319"/>
      <c r="AY825" s="319"/>
      <c r="AZ825" s="319"/>
      <c r="BA825" s="319"/>
      <c r="BB825" s="319"/>
      <c r="BC825" s="319"/>
      <c r="BD825" s="319"/>
      <c r="BE825" s="319"/>
      <c r="BF825" s="319"/>
      <c r="BG825" s="319"/>
      <c r="BH825" s="319"/>
      <c r="BI825" s="319"/>
      <c r="BJ825" s="319"/>
      <c r="BK825" s="319"/>
      <c r="BL825" s="319"/>
      <c r="BM825" s="319"/>
      <c r="BN825" s="319"/>
      <c r="BO825" s="319"/>
      <c r="BP825" s="319"/>
      <c r="BQ825" s="319"/>
      <c r="BR825" s="319"/>
    </row>
    <row r="826" ht="14.25" customHeight="1">
      <c r="A826" s="195"/>
      <c r="B826" s="100"/>
      <c r="C826" s="100"/>
      <c r="D826" s="100"/>
      <c r="E826" s="100"/>
      <c r="F826" s="206"/>
      <c r="G826" s="206"/>
      <c r="H826" s="207"/>
      <c r="I826" s="207"/>
      <c r="J826" s="207"/>
      <c r="K826" s="207"/>
      <c r="L826" s="207"/>
      <c r="M826" s="207"/>
      <c r="N826" s="207"/>
      <c r="O826" s="207"/>
      <c r="P826" s="207"/>
      <c r="Q826" s="207"/>
      <c r="R826" s="207"/>
      <c r="S826" s="207"/>
      <c r="T826" s="207"/>
      <c r="U826" s="207"/>
      <c r="V826" s="207"/>
      <c r="W826" s="208"/>
      <c r="X826" s="208"/>
      <c r="Y826" s="208"/>
      <c r="Z826" s="208"/>
      <c r="AA826" s="208"/>
      <c r="AB826" s="208"/>
      <c r="AC826" s="208"/>
      <c r="AD826" s="208"/>
      <c r="AE826" s="208"/>
      <c r="AF826" s="208"/>
      <c r="AG826" s="208"/>
      <c r="AH826" s="208"/>
      <c r="AI826" s="100"/>
      <c r="AJ826" s="319"/>
      <c r="AK826" s="319"/>
      <c r="AL826" s="319"/>
      <c r="AM826" s="319"/>
      <c r="AN826" s="319"/>
      <c r="AO826" s="319"/>
      <c r="AP826" s="319"/>
      <c r="AQ826" s="319"/>
      <c r="AR826" s="319"/>
      <c r="AS826" s="319"/>
      <c r="AT826" s="319"/>
      <c r="AU826" s="319"/>
      <c r="AV826" s="319"/>
      <c r="AW826" s="319"/>
      <c r="AX826" s="319"/>
      <c r="AY826" s="319"/>
      <c r="AZ826" s="319"/>
      <c r="BA826" s="319"/>
      <c r="BB826" s="319"/>
      <c r="BC826" s="319"/>
      <c r="BD826" s="319"/>
      <c r="BE826" s="319"/>
      <c r="BF826" s="319"/>
      <c r="BG826" s="319"/>
      <c r="BH826" s="319"/>
      <c r="BI826" s="319"/>
      <c r="BJ826" s="319"/>
      <c r="BK826" s="319"/>
      <c r="BL826" s="319"/>
      <c r="BM826" s="319"/>
      <c r="BN826" s="319"/>
      <c r="BO826" s="319"/>
      <c r="BP826" s="319"/>
      <c r="BQ826" s="319"/>
      <c r="BR826" s="319"/>
    </row>
    <row r="827" ht="14.25" customHeight="1">
      <c r="A827" s="195"/>
      <c r="B827" s="100"/>
      <c r="C827" s="100"/>
      <c r="D827" s="100"/>
      <c r="E827" s="100"/>
      <c r="F827" s="206"/>
      <c r="G827" s="206"/>
      <c r="H827" s="207"/>
      <c r="I827" s="207"/>
      <c r="J827" s="207"/>
      <c r="K827" s="207"/>
      <c r="L827" s="207"/>
      <c r="M827" s="207"/>
      <c r="N827" s="207"/>
      <c r="O827" s="207"/>
      <c r="P827" s="207"/>
      <c r="Q827" s="207"/>
      <c r="R827" s="207"/>
      <c r="S827" s="207"/>
      <c r="T827" s="207"/>
      <c r="U827" s="207"/>
      <c r="V827" s="207"/>
      <c r="W827" s="208"/>
      <c r="X827" s="208"/>
      <c r="Y827" s="208"/>
      <c r="Z827" s="208"/>
      <c r="AA827" s="208"/>
      <c r="AB827" s="208"/>
      <c r="AC827" s="208"/>
      <c r="AD827" s="208"/>
      <c r="AE827" s="208"/>
      <c r="AF827" s="208"/>
      <c r="AG827" s="208"/>
      <c r="AH827" s="208"/>
      <c r="AI827" s="100"/>
      <c r="AJ827" s="319"/>
      <c r="AK827" s="319"/>
      <c r="AL827" s="319"/>
      <c r="AM827" s="319"/>
      <c r="AN827" s="319"/>
      <c r="AO827" s="319"/>
      <c r="AP827" s="319"/>
      <c r="AQ827" s="319"/>
      <c r="AR827" s="319"/>
      <c r="AS827" s="319"/>
      <c r="AT827" s="319"/>
      <c r="AU827" s="319"/>
      <c r="AV827" s="319"/>
      <c r="AW827" s="319"/>
      <c r="AX827" s="319"/>
      <c r="AY827" s="319"/>
      <c r="AZ827" s="319"/>
      <c r="BA827" s="319"/>
      <c r="BB827" s="319"/>
      <c r="BC827" s="319"/>
      <c r="BD827" s="319"/>
      <c r="BE827" s="319"/>
      <c r="BF827" s="319"/>
      <c r="BG827" s="319"/>
      <c r="BH827" s="319"/>
      <c r="BI827" s="319"/>
      <c r="BJ827" s="319"/>
      <c r="BK827" s="319"/>
      <c r="BL827" s="319"/>
      <c r="BM827" s="319"/>
      <c r="BN827" s="319"/>
      <c r="BO827" s="319"/>
      <c r="BP827" s="319"/>
      <c r="BQ827" s="319"/>
      <c r="BR827" s="319"/>
    </row>
    <row r="828" ht="14.25" customHeight="1">
      <c r="A828" s="195"/>
      <c r="B828" s="100"/>
      <c r="C828" s="100"/>
      <c r="D828" s="100"/>
      <c r="E828" s="100"/>
      <c r="F828" s="206"/>
      <c r="G828" s="206"/>
      <c r="H828" s="207"/>
      <c r="I828" s="207"/>
      <c r="J828" s="207"/>
      <c r="K828" s="207"/>
      <c r="L828" s="207"/>
      <c r="M828" s="207"/>
      <c r="N828" s="207"/>
      <c r="O828" s="207"/>
      <c r="P828" s="207"/>
      <c r="Q828" s="207"/>
      <c r="R828" s="207"/>
      <c r="S828" s="207"/>
      <c r="T828" s="207"/>
      <c r="U828" s="207"/>
      <c r="V828" s="207"/>
      <c r="W828" s="208"/>
      <c r="X828" s="208"/>
      <c r="Y828" s="208"/>
      <c r="Z828" s="208"/>
      <c r="AA828" s="208"/>
      <c r="AB828" s="208"/>
      <c r="AC828" s="208"/>
      <c r="AD828" s="208"/>
      <c r="AE828" s="208"/>
      <c r="AF828" s="208"/>
      <c r="AG828" s="208"/>
      <c r="AH828" s="208"/>
      <c r="AI828" s="100"/>
      <c r="AJ828" s="319"/>
      <c r="AK828" s="319"/>
      <c r="AL828" s="319"/>
      <c r="AM828" s="319"/>
      <c r="AN828" s="319"/>
      <c r="AO828" s="319"/>
      <c r="AP828" s="319"/>
      <c r="AQ828" s="319"/>
      <c r="AR828" s="319"/>
      <c r="AS828" s="319"/>
      <c r="AT828" s="319"/>
      <c r="AU828" s="319"/>
      <c r="AV828" s="319"/>
      <c r="AW828" s="319"/>
      <c r="AX828" s="319"/>
      <c r="AY828" s="319"/>
      <c r="AZ828" s="319"/>
      <c r="BA828" s="319"/>
      <c r="BB828" s="319"/>
      <c r="BC828" s="319"/>
      <c r="BD828" s="319"/>
      <c r="BE828" s="319"/>
      <c r="BF828" s="319"/>
      <c r="BG828" s="319"/>
      <c r="BH828" s="319"/>
      <c r="BI828" s="319"/>
      <c r="BJ828" s="319"/>
      <c r="BK828" s="319"/>
      <c r="BL828" s="319"/>
      <c r="BM828" s="319"/>
      <c r="BN828" s="319"/>
      <c r="BO828" s="319"/>
      <c r="BP828" s="319"/>
      <c r="BQ828" s="319"/>
      <c r="BR828" s="319"/>
    </row>
    <row r="829" ht="14.25" customHeight="1">
      <c r="A829" s="195"/>
      <c r="B829" s="100"/>
      <c r="C829" s="100"/>
      <c r="D829" s="100"/>
      <c r="E829" s="100"/>
      <c r="F829" s="206"/>
      <c r="G829" s="206"/>
      <c r="H829" s="207"/>
      <c r="I829" s="207"/>
      <c r="J829" s="207"/>
      <c r="K829" s="207"/>
      <c r="L829" s="207"/>
      <c r="M829" s="207"/>
      <c r="N829" s="207"/>
      <c r="O829" s="207"/>
      <c r="P829" s="207"/>
      <c r="Q829" s="207"/>
      <c r="R829" s="207"/>
      <c r="S829" s="207"/>
      <c r="T829" s="207"/>
      <c r="U829" s="207"/>
      <c r="V829" s="207"/>
      <c r="W829" s="208"/>
      <c r="X829" s="208"/>
      <c r="Y829" s="208"/>
      <c r="Z829" s="208"/>
      <c r="AA829" s="208"/>
      <c r="AB829" s="208"/>
      <c r="AC829" s="208"/>
      <c r="AD829" s="208"/>
      <c r="AE829" s="208"/>
      <c r="AF829" s="208"/>
      <c r="AG829" s="208"/>
      <c r="AH829" s="208"/>
      <c r="AI829" s="100"/>
      <c r="AJ829" s="319"/>
      <c r="AK829" s="319"/>
      <c r="AL829" s="319"/>
      <c r="AM829" s="319"/>
      <c r="AN829" s="319"/>
      <c r="AO829" s="319"/>
      <c r="AP829" s="319"/>
      <c r="AQ829" s="319"/>
      <c r="AR829" s="319"/>
      <c r="AS829" s="319"/>
      <c r="AT829" s="319"/>
      <c r="AU829" s="319"/>
      <c r="AV829" s="319"/>
      <c r="AW829" s="319"/>
      <c r="AX829" s="319"/>
      <c r="AY829" s="319"/>
      <c r="AZ829" s="319"/>
      <c r="BA829" s="319"/>
      <c r="BB829" s="319"/>
      <c r="BC829" s="319"/>
      <c r="BD829" s="319"/>
      <c r="BE829" s="319"/>
      <c r="BF829" s="319"/>
      <c r="BG829" s="319"/>
      <c r="BH829" s="319"/>
      <c r="BI829" s="319"/>
      <c r="BJ829" s="319"/>
      <c r="BK829" s="319"/>
      <c r="BL829" s="319"/>
      <c r="BM829" s="319"/>
      <c r="BN829" s="319"/>
      <c r="BO829" s="319"/>
      <c r="BP829" s="319"/>
      <c r="BQ829" s="319"/>
      <c r="BR829" s="319"/>
    </row>
    <row r="830" ht="14.25" customHeight="1">
      <c r="A830" s="195"/>
      <c r="B830" s="100"/>
      <c r="C830" s="100"/>
      <c r="D830" s="100"/>
      <c r="E830" s="100"/>
      <c r="F830" s="206"/>
      <c r="G830" s="206"/>
      <c r="H830" s="207"/>
      <c r="I830" s="207"/>
      <c r="J830" s="207"/>
      <c r="K830" s="207"/>
      <c r="L830" s="207"/>
      <c r="M830" s="207"/>
      <c r="N830" s="207"/>
      <c r="O830" s="207"/>
      <c r="P830" s="207"/>
      <c r="Q830" s="207"/>
      <c r="R830" s="207"/>
      <c r="S830" s="207"/>
      <c r="T830" s="207"/>
      <c r="U830" s="207"/>
      <c r="V830" s="207"/>
      <c r="W830" s="208"/>
      <c r="X830" s="208"/>
      <c r="Y830" s="208"/>
      <c r="Z830" s="208"/>
      <c r="AA830" s="208"/>
      <c r="AB830" s="208"/>
      <c r="AC830" s="208"/>
      <c r="AD830" s="208"/>
      <c r="AE830" s="208"/>
      <c r="AF830" s="208"/>
      <c r="AG830" s="208"/>
      <c r="AH830" s="208"/>
      <c r="AI830" s="100"/>
      <c r="AJ830" s="319"/>
      <c r="AK830" s="319"/>
      <c r="AL830" s="319"/>
      <c r="AM830" s="319"/>
      <c r="AN830" s="319"/>
      <c r="AO830" s="319"/>
      <c r="AP830" s="319"/>
      <c r="AQ830" s="319"/>
      <c r="AR830" s="319"/>
      <c r="AS830" s="319"/>
      <c r="AT830" s="319"/>
      <c r="AU830" s="319"/>
      <c r="AV830" s="319"/>
      <c r="AW830" s="319"/>
      <c r="AX830" s="319"/>
      <c r="AY830" s="319"/>
      <c r="AZ830" s="319"/>
      <c r="BA830" s="319"/>
      <c r="BB830" s="319"/>
      <c r="BC830" s="319"/>
      <c r="BD830" s="319"/>
      <c r="BE830" s="319"/>
      <c r="BF830" s="319"/>
      <c r="BG830" s="319"/>
      <c r="BH830" s="319"/>
      <c r="BI830" s="319"/>
      <c r="BJ830" s="319"/>
      <c r="BK830" s="319"/>
      <c r="BL830" s="319"/>
      <c r="BM830" s="319"/>
      <c r="BN830" s="319"/>
      <c r="BO830" s="319"/>
      <c r="BP830" s="319"/>
      <c r="BQ830" s="319"/>
      <c r="BR830" s="319"/>
    </row>
    <row r="831" ht="14.25" customHeight="1">
      <c r="A831" s="195"/>
      <c r="B831" s="100"/>
      <c r="C831" s="100"/>
      <c r="D831" s="100"/>
      <c r="E831" s="100"/>
      <c r="F831" s="206"/>
      <c r="G831" s="206"/>
      <c r="H831" s="207"/>
      <c r="I831" s="207"/>
      <c r="J831" s="207"/>
      <c r="K831" s="207"/>
      <c r="L831" s="207"/>
      <c r="M831" s="207"/>
      <c r="N831" s="207"/>
      <c r="O831" s="207"/>
      <c r="P831" s="207"/>
      <c r="Q831" s="207"/>
      <c r="R831" s="207"/>
      <c r="S831" s="207"/>
      <c r="T831" s="207"/>
      <c r="U831" s="207"/>
      <c r="V831" s="207"/>
      <c r="W831" s="208"/>
      <c r="X831" s="208"/>
      <c r="Y831" s="208"/>
      <c r="Z831" s="208"/>
      <c r="AA831" s="208"/>
      <c r="AB831" s="208"/>
      <c r="AC831" s="208"/>
      <c r="AD831" s="208"/>
      <c r="AE831" s="208"/>
      <c r="AF831" s="208"/>
      <c r="AG831" s="208"/>
      <c r="AH831" s="208"/>
      <c r="AI831" s="100"/>
      <c r="AJ831" s="319"/>
      <c r="AK831" s="319"/>
      <c r="AL831" s="319"/>
      <c r="AM831" s="319"/>
      <c r="AN831" s="319"/>
      <c r="AO831" s="319"/>
      <c r="AP831" s="319"/>
      <c r="AQ831" s="319"/>
      <c r="AR831" s="319"/>
      <c r="AS831" s="319"/>
      <c r="AT831" s="319"/>
      <c r="AU831" s="319"/>
      <c r="AV831" s="319"/>
      <c r="AW831" s="319"/>
      <c r="AX831" s="319"/>
      <c r="AY831" s="319"/>
      <c r="AZ831" s="319"/>
      <c r="BA831" s="319"/>
      <c r="BB831" s="319"/>
      <c r="BC831" s="319"/>
      <c r="BD831" s="319"/>
      <c r="BE831" s="319"/>
      <c r="BF831" s="319"/>
      <c r="BG831" s="319"/>
      <c r="BH831" s="319"/>
      <c r="BI831" s="319"/>
      <c r="BJ831" s="319"/>
      <c r="BK831" s="319"/>
      <c r="BL831" s="319"/>
      <c r="BM831" s="319"/>
      <c r="BN831" s="319"/>
      <c r="BO831" s="319"/>
      <c r="BP831" s="319"/>
      <c r="BQ831" s="319"/>
      <c r="BR831" s="319"/>
    </row>
    <row r="832" ht="14.25" customHeight="1">
      <c r="A832" s="195"/>
      <c r="B832" s="100"/>
      <c r="C832" s="100"/>
      <c r="D832" s="100"/>
      <c r="E832" s="100"/>
      <c r="F832" s="206"/>
      <c r="G832" s="206"/>
      <c r="H832" s="207"/>
      <c r="I832" s="207"/>
      <c r="J832" s="207"/>
      <c r="K832" s="207"/>
      <c r="L832" s="207"/>
      <c r="M832" s="207"/>
      <c r="N832" s="207"/>
      <c r="O832" s="207"/>
      <c r="P832" s="207"/>
      <c r="Q832" s="207"/>
      <c r="R832" s="207"/>
      <c r="S832" s="207"/>
      <c r="T832" s="207"/>
      <c r="U832" s="207"/>
      <c r="V832" s="207"/>
      <c r="W832" s="208"/>
      <c r="X832" s="208"/>
      <c r="Y832" s="208"/>
      <c r="Z832" s="208"/>
      <c r="AA832" s="208"/>
      <c r="AB832" s="208"/>
      <c r="AC832" s="208"/>
      <c r="AD832" s="208"/>
      <c r="AE832" s="208"/>
      <c r="AF832" s="208"/>
      <c r="AG832" s="208"/>
      <c r="AH832" s="208"/>
      <c r="AI832" s="100"/>
      <c r="AJ832" s="319"/>
      <c r="AK832" s="319"/>
      <c r="AL832" s="319"/>
      <c r="AM832" s="319"/>
      <c r="AN832" s="319"/>
      <c r="AO832" s="319"/>
      <c r="AP832" s="319"/>
      <c r="AQ832" s="319"/>
      <c r="AR832" s="319"/>
      <c r="AS832" s="319"/>
      <c r="AT832" s="319"/>
      <c r="AU832" s="319"/>
      <c r="AV832" s="319"/>
      <c r="AW832" s="319"/>
      <c r="AX832" s="319"/>
      <c r="AY832" s="319"/>
      <c r="AZ832" s="319"/>
      <c r="BA832" s="319"/>
      <c r="BB832" s="319"/>
      <c r="BC832" s="319"/>
      <c r="BD832" s="319"/>
      <c r="BE832" s="319"/>
      <c r="BF832" s="319"/>
      <c r="BG832" s="319"/>
      <c r="BH832" s="319"/>
      <c r="BI832" s="319"/>
      <c r="BJ832" s="319"/>
      <c r="BK832" s="319"/>
      <c r="BL832" s="319"/>
      <c r="BM832" s="319"/>
      <c r="BN832" s="319"/>
      <c r="BO832" s="319"/>
      <c r="BP832" s="319"/>
      <c r="BQ832" s="319"/>
      <c r="BR832" s="319"/>
    </row>
    <row r="833" ht="14.25" customHeight="1">
      <c r="A833" s="195"/>
      <c r="B833" s="100"/>
      <c r="C833" s="100"/>
      <c r="D833" s="100"/>
      <c r="E833" s="100"/>
      <c r="F833" s="206"/>
      <c r="G833" s="206"/>
      <c r="H833" s="207"/>
      <c r="I833" s="207"/>
      <c r="J833" s="207"/>
      <c r="K833" s="207"/>
      <c r="L833" s="207"/>
      <c r="M833" s="207"/>
      <c r="N833" s="207"/>
      <c r="O833" s="207"/>
      <c r="P833" s="207"/>
      <c r="Q833" s="207"/>
      <c r="R833" s="207"/>
      <c r="S833" s="207"/>
      <c r="T833" s="207"/>
      <c r="U833" s="207"/>
      <c r="V833" s="207"/>
      <c r="W833" s="208"/>
      <c r="X833" s="208"/>
      <c r="Y833" s="208"/>
      <c r="Z833" s="208"/>
      <c r="AA833" s="208"/>
      <c r="AB833" s="208"/>
      <c r="AC833" s="208"/>
      <c r="AD833" s="208"/>
      <c r="AE833" s="208"/>
      <c r="AF833" s="208"/>
      <c r="AG833" s="208"/>
      <c r="AH833" s="208"/>
      <c r="AI833" s="100"/>
      <c r="AJ833" s="319"/>
      <c r="AK833" s="319"/>
      <c r="AL833" s="319"/>
      <c r="AM833" s="319"/>
      <c r="AN833" s="319"/>
      <c r="AO833" s="319"/>
      <c r="AP833" s="319"/>
      <c r="AQ833" s="319"/>
      <c r="AR833" s="319"/>
      <c r="AS833" s="319"/>
      <c r="AT833" s="319"/>
      <c r="AU833" s="319"/>
      <c r="AV833" s="319"/>
      <c r="AW833" s="319"/>
      <c r="AX833" s="319"/>
      <c r="AY833" s="319"/>
      <c r="AZ833" s="319"/>
      <c r="BA833" s="319"/>
      <c r="BB833" s="319"/>
      <c r="BC833" s="319"/>
      <c r="BD833" s="319"/>
      <c r="BE833" s="319"/>
      <c r="BF833" s="319"/>
      <c r="BG833" s="319"/>
      <c r="BH833" s="319"/>
      <c r="BI833" s="319"/>
      <c r="BJ833" s="319"/>
      <c r="BK833" s="319"/>
      <c r="BL833" s="319"/>
      <c r="BM833" s="319"/>
      <c r="BN833" s="319"/>
      <c r="BO833" s="319"/>
      <c r="BP833" s="319"/>
      <c r="BQ833" s="319"/>
      <c r="BR833" s="319"/>
    </row>
    <row r="834" ht="14.25" customHeight="1">
      <c r="A834" s="195"/>
      <c r="B834" s="100"/>
      <c r="C834" s="100"/>
      <c r="D834" s="100"/>
      <c r="E834" s="100"/>
      <c r="F834" s="206"/>
      <c r="G834" s="206"/>
      <c r="H834" s="207"/>
      <c r="I834" s="207"/>
      <c r="J834" s="207"/>
      <c r="K834" s="207"/>
      <c r="L834" s="207"/>
      <c r="M834" s="207"/>
      <c r="N834" s="207"/>
      <c r="O834" s="207"/>
      <c r="P834" s="207"/>
      <c r="Q834" s="207"/>
      <c r="R834" s="207"/>
      <c r="S834" s="207"/>
      <c r="T834" s="207"/>
      <c r="U834" s="207"/>
      <c r="V834" s="207"/>
      <c r="W834" s="208"/>
      <c r="X834" s="208"/>
      <c r="Y834" s="208"/>
      <c r="Z834" s="208"/>
      <c r="AA834" s="208"/>
      <c r="AB834" s="208"/>
      <c r="AC834" s="208"/>
      <c r="AD834" s="208"/>
      <c r="AE834" s="208"/>
      <c r="AF834" s="208"/>
      <c r="AG834" s="208"/>
      <c r="AH834" s="208"/>
      <c r="AI834" s="100"/>
      <c r="AJ834" s="319"/>
      <c r="AK834" s="319"/>
      <c r="AL834" s="319"/>
      <c r="AM834" s="319"/>
      <c r="AN834" s="319"/>
      <c r="AO834" s="319"/>
      <c r="AP834" s="319"/>
      <c r="AQ834" s="319"/>
      <c r="AR834" s="319"/>
      <c r="AS834" s="319"/>
      <c r="AT834" s="319"/>
      <c r="AU834" s="319"/>
      <c r="AV834" s="319"/>
      <c r="AW834" s="319"/>
      <c r="AX834" s="319"/>
      <c r="AY834" s="319"/>
      <c r="AZ834" s="319"/>
      <c r="BA834" s="319"/>
      <c r="BB834" s="319"/>
      <c r="BC834" s="319"/>
      <c r="BD834" s="319"/>
      <c r="BE834" s="319"/>
      <c r="BF834" s="319"/>
      <c r="BG834" s="319"/>
      <c r="BH834" s="319"/>
      <c r="BI834" s="319"/>
      <c r="BJ834" s="319"/>
      <c r="BK834" s="319"/>
      <c r="BL834" s="319"/>
      <c r="BM834" s="319"/>
      <c r="BN834" s="319"/>
      <c r="BO834" s="319"/>
      <c r="BP834" s="319"/>
      <c r="BQ834" s="319"/>
      <c r="BR834" s="319"/>
    </row>
    <row r="835" ht="14.25" customHeight="1">
      <c r="A835" s="195"/>
      <c r="B835" s="100"/>
      <c r="C835" s="100"/>
      <c r="D835" s="100"/>
      <c r="E835" s="100"/>
      <c r="F835" s="206"/>
      <c r="G835" s="206"/>
      <c r="H835" s="207"/>
      <c r="I835" s="207"/>
      <c r="J835" s="207"/>
      <c r="K835" s="207"/>
      <c r="L835" s="207"/>
      <c r="M835" s="207"/>
      <c r="N835" s="207"/>
      <c r="O835" s="207"/>
      <c r="P835" s="207"/>
      <c r="Q835" s="207"/>
      <c r="R835" s="207"/>
      <c r="S835" s="207"/>
      <c r="T835" s="207"/>
      <c r="U835" s="207"/>
      <c r="V835" s="207"/>
      <c r="W835" s="208"/>
      <c r="X835" s="208"/>
      <c r="Y835" s="208"/>
      <c r="Z835" s="208"/>
      <c r="AA835" s="208"/>
      <c r="AB835" s="208"/>
      <c r="AC835" s="208"/>
      <c r="AD835" s="208"/>
      <c r="AE835" s="208"/>
      <c r="AF835" s="208"/>
      <c r="AG835" s="208"/>
      <c r="AH835" s="208"/>
      <c r="AI835" s="100"/>
      <c r="AJ835" s="319"/>
      <c r="AK835" s="319"/>
      <c r="AL835" s="319"/>
      <c r="AM835" s="319"/>
      <c r="AN835" s="319"/>
      <c r="AO835" s="319"/>
      <c r="AP835" s="319"/>
      <c r="AQ835" s="319"/>
      <c r="AR835" s="319"/>
      <c r="AS835" s="319"/>
      <c r="AT835" s="319"/>
      <c r="AU835" s="319"/>
      <c r="AV835" s="319"/>
      <c r="AW835" s="319"/>
      <c r="AX835" s="319"/>
      <c r="AY835" s="319"/>
      <c r="AZ835" s="319"/>
      <c r="BA835" s="319"/>
      <c r="BB835" s="319"/>
      <c r="BC835" s="319"/>
      <c r="BD835" s="319"/>
      <c r="BE835" s="319"/>
      <c r="BF835" s="319"/>
      <c r="BG835" s="319"/>
      <c r="BH835" s="319"/>
      <c r="BI835" s="319"/>
      <c r="BJ835" s="319"/>
      <c r="BK835" s="319"/>
      <c r="BL835" s="319"/>
      <c r="BM835" s="319"/>
      <c r="BN835" s="319"/>
      <c r="BO835" s="319"/>
      <c r="BP835" s="319"/>
      <c r="BQ835" s="319"/>
      <c r="BR835" s="319"/>
    </row>
    <row r="836" ht="14.25" customHeight="1">
      <c r="A836" s="195"/>
      <c r="B836" s="100"/>
      <c r="C836" s="100"/>
      <c r="D836" s="100"/>
      <c r="E836" s="100"/>
      <c r="F836" s="206"/>
      <c r="G836" s="206"/>
      <c r="H836" s="207"/>
      <c r="I836" s="207"/>
      <c r="J836" s="207"/>
      <c r="K836" s="207"/>
      <c r="L836" s="207"/>
      <c r="M836" s="207"/>
      <c r="N836" s="207"/>
      <c r="O836" s="207"/>
      <c r="P836" s="207"/>
      <c r="Q836" s="207"/>
      <c r="R836" s="207"/>
      <c r="S836" s="207"/>
      <c r="T836" s="207"/>
      <c r="U836" s="207"/>
      <c r="V836" s="207"/>
      <c r="W836" s="208"/>
      <c r="X836" s="208"/>
      <c r="Y836" s="208"/>
      <c r="Z836" s="208"/>
      <c r="AA836" s="208"/>
      <c r="AB836" s="208"/>
      <c r="AC836" s="208"/>
      <c r="AD836" s="208"/>
      <c r="AE836" s="208"/>
      <c r="AF836" s="208"/>
      <c r="AG836" s="208"/>
      <c r="AH836" s="208"/>
      <c r="AI836" s="100"/>
      <c r="AJ836" s="319"/>
      <c r="AK836" s="319"/>
      <c r="AL836" s="319"/>
      <c r="AM836" s="319"/>
      <c r="AN836" s="319"/>
      <c r="AO836" s="319"/>
      <c r="AP836" s="319"/>
      <c r="AQ836" s="319"/>
      <c r="AR836" s="319"/>
      <c r="AS836" s="319"/>
      <c r="AT836" s="319"/>
      <c r="AU836" s="319"/>
      <c r="AV836" s="319"/>
      <c r="AW836" s="319"/>
      <c r="AX836" s="319"/>
      <c r="AY836" s="319"/>
      <c r="AZ836" s="319"/>
      <c r="BA836" s="319"/>
      <c r="BB836" s="319"/>
      <c r="BC836" s="319"/>
      <c r="BD836" s="319"/>
      <c r="BE836" s="319"/>
      <c r="BF836" s="319"/>
      <c r="BG836" s="319"/>
      <c r="BH836" s="319"/>
      <c r="BI836" s="319"/>
      <c r="BJ836" s="319"/>
      <c r="BK836" s="319"/>
      <c r="BL836" s="319"/>
      <c r="BM836" s="319"/>
      <c r="BN836" s="319"/>
      <c r="BO836" s="319"/>
      <c r="BP836" s="319"/>
      <c r="BQ836" s="319"/>
      <c r="BR836" s="319"/>
    </row>
    <row r="837" ht="14.25" customHeight="1">
      <c r="A837" s="195"/>
      <c r="B837" s="100"/>
      <c r="C837" s="100"/>
      <c r="D837" s="100"/>
      <c r="E837" s="100"/>
      <c r="F837" s="206"/>
      <c r="G837" s="206"/>
      <c r="H837" s="207"/>
      <c r="I837" s="207"/>
      <c r="J837" s="207"/>
      <c r="K837" s="207"/>
      <c r="L837" s="207"/>
      <c r="M837" s="207"/>
      <c r="N837" s="207"/>
      <c r="O837" s="207"/>
      <c r="P837" s="207"/>
      <c r="Q837" s="207"/>
      <c r="R837" s="207"/>
      <c r="S837" s="207"/>
      <c r="T837" s="207"/>
      <c r="U837" s="207"/>
      <c r="V837" s="207"/>
      <c r="W837" s="208"/>
      <c r="X837" s="208"/>
      <c r="Y837" s="208"/>
      <c r="Z837" s="208"/>
      <c r="AA837" s="208"/>
      <c r="AB837" s="208"/>
      <c r="AC837" s="208"/>
      <c r="AD837" s="208"/>
      <c r="AE837" s="208"/>
      <c r="AF837" s="208"/>
      <c r="AG837" s="208"/>
      <c r="AH837" s="208"/>
      <c r="AI837" s="100"/>
      <c r="AJ837" s="319"/>
      <c r="AK837" s="319"/>
      <c r="AL837" s="319"/>
      <c r="AM837" s="319"/>
      <c r="AN837" s="319"/>
      <c r="AO837" s="319"/>
      <c r="AP837" s="319"/>
      <c r="AQ837" s="319"/>
      <c r="AR837" s="319"/>
      <c r="AS837" s="319"/>
      <c r="AT837" s="319"/>
      <c r="AU837" s="319"/>
      <c r="AV837" s="319"/>
      <c r="AW837" s="319"/>
      <c r="AX837" s="319"/>
      <c r="AY837" s="319"/>
      <c r="AZ837" s="319"/>
      <c r="BA837" s="319"/>
      <c r="BB837" s="319"/>
      <c r="BC837" s="319"/>
      <c r="BD837" s="319"/>
      <c r="BE837" s="319"/>
      <c r="BF837" s="319"/>
      <c r="BG837" s="319"/>
      <c r="BH837" s="319"/>
      <c r="BI837" s="319"/>
      <c r="BJ837" s="319"/>
      <c r="BK837" s="319"/>
      <c r="BL837" s="319"/>
      <c r="BM837" s="319"/>
      <c r="BN837" s="319"/>
      <c r="BO837" s="319"/>
      <c r="BP837" s="319"/>
      <c r="BQ837" s="319"/>
      <c r="BR837" s="319"/>
    </row>
    <row r="838" ht="14.25" customHeight="1">
      <c r="A838" s="195"/>
      <c r="B838" s="100"/>
      <c r="C838" s="100"/>
      <c r="D838" s="100"/>
      <c r="E838" s="100"/>
      <c r="F838" s="206"/>
      <c r="G838" s="206"/>
      <c r="H838" s="207"/>
      <c r="I838" s="207"/>
      <c r="J838" s="207"/>
      <c r="K838" s="207"/>
      <c r="L838" s="207"/>
      <c r="M838" s="207"/>
      <c r="N838" s="207"/>
      <c r="O838" s="207"/>
      <c r="P838" s="207"/>
      <c r="Q838" s="207"/>
      <c r="R838" s="207"/>
      <c r="S838" s="207"/>
      <c r="T838" s="207"/>
      <c r="U838" s="207"/>
      <c r="V838" s="207"/>
      <c r="W838" s="208"/>
      <c r="X838" s="208"/>
      <c r="Y838" s="208"/>
      <c r="Z838" s="208"/>
      <c r="AA838" s="208"/>
      <c r="AB838" s="208"/>
      <c r="AC838" s="208"/>
      <c r="AD838" s="208"/>
      <c r="AE838" s="208"/>
      <c r="AF838" s="208"/>
      <c r="AG838" s="208"/>
      <c r="AH838" s="208"/>
      <c r="AI838" s="100"/>
      <c r="AJ838" s="319"/>
      <c r="AK838" s="319"/>
      <c r="AL838" s="319"/>
      <c r="AM838" s="319"/>
      <c r="AN838" s="319"/>
      <c r="AO838" s="319"/>
      <c r="AP838" s="319"/>
      <c r="AQ838" s="319"/>
      <c r="AR838" s="319"/>
      <c r="AS838" s="319"/>
      <c r="AT838" s="319"/>
      <c r="AU838" s="319"/>
      <c r="AV838" s="319"/>
      <c r="AW838" s="319"/>
      <c r="AX838" s="319"/>
      <c r="AY838" s="319"/>
      <c r="AZ838" s="319"/>
      <c r="BA838" s="319"/>
      <c r="BB838" s="319"/>
      <c r="BC838" s="319"/>
      <c r="BD838" s="319"/>
      <c r="BE838" s="319"/>
      <c r="BF838" s="319"/>
      <c r="BG838" s="319"/>
      <c r="BH838" s="319"/>
      <c r="BI838" s="319"/>
      <c r="BJ838" s="319"/>
      <c r="BK838" s="319"/>
      <c r="BL838" s="319"/>
      <c r="BM838" s="319"/>
      <c r="BN838" s="319"/>
      <c r="BO838" s="319"/>
      <c r="BP838" s="319"/>
      <c r="BQ838" s="319"/>
      <c r="BR838" s="319"/>
    </row>
    <row r="839" ht="14.25" customHeight="1">
      <c r="A839" s="195"/>
      <c r="B839" s="100"/>
      <c r="C839" s="100"/>
      <c r="D839" s="100"/>
      <c r="E839" s="100"/>
      <c r="F839" s="206"/>
      <c r="G839" s="206"/>
      <c r="H839" s="207"/>
      <c r="I839" s="207"/>
      <c r="J839" s="207"/>
      <c r="K839" s="207"/>
      <c r="L839" s="207"/>
      <c r="M839" s="207"/>
      <c r="N839" s="207"/>
      <c r="O839" s="207"/>
      <c r="P839" s="207"/>
      <c r="Q839" s="207"/>
      <c r="R839" s="207"/>
      <c r="S839" s="207"/>
      <c r="T839" s="207"/>
      <c r="U839" s="207"/>
      <c r="V839" s="207"/>
      <c r="W839" s="208"/>
      <c r="X839" s="208"/>
      <c r="Y839" s="208"/>
      <c r="Z839" s="208"/>
      <c r="AA839" s="208"/>
      <c r="AB839" s="208"/>
      <c r="AC839" s="208"/>
      <c r="AD839" s="208"/>
      <c r="AE839" s="208"/>
      <c r="AF839" s="208"/>
      <c r="AG839" s="208"/>
      <c r="AH839" s="208"/>
      <c r="AI839" s="100"/>
      <c r="AJ839" s="319"/>
      <c r="AK839" s="319"/>
      <c r="AL839" s="319"/>
      <c r="AM839" s="319"/>
      <c r="AN839" s="319"/>
      <c r="AO839" s="319"/>
      <c r="AP839" s="319"/>
      <c r="AQ839" s="319"/>
      <c r="AR839" s="319"/>
      <c r="AS839" s="319"/>
      <c r="AT839" s="319"/>
      <c r="AU839" s="319"/>
      <c r="AV839" s="319"/>
      <c r="AW839" s="319"/>
      <c r="AX839" s="319"/>
      <c r="AY839" s="319"/>
      <c r="AZ839" s="319"/>
      <c r="BA839" s="319"/>
      <c r="BB839" s="319"/>
      <c r="BC839" s="319"/>
      <c r="BD839" s="319"/>
      <c r="BE839" s="319"/>
      <c r="BF839" s="319"/>
      <c r="BG839" s="319"/>
      <c r="BH839" s="319"/>
      <c r="BI839" s="319"/>
      <c r="BJ839" s="319"/>
      <c r="BK839" s="319"/>
      <c r="BL839" s="319"/>
      <c r="BM839" s="319"/>
      <c r="BN839" s="319"/>
      <c r="BO839" s="319"/>
      <c r="BP839" s="319"/>
      <c r="BQ839" s="319"/>
      <c r="BR839" s="319"/>
    </row>
    <row r="840" ht="14.25" customHeight="1">
      <c r="A840" s="195"/>
      <c r="B840" s="100"/>
      <c r="C840" s="100"/>
      <c r="D840" s="100"/>
      <c r="E840" s="100"/>
      <c r="F840" s="206"/>
      <c r="G840" s="206"/>
      <c r="H840" s="207"/>
      <c r="I840" s="207"/>
      <c r="J840" s="207"/>
      <c r="K840" s="207"/>
      <c r="L840" s="207"/>
      <c r="M840" s="207"/>
      <c r="N840" s="207"/>
      <c r="O840" s="207"/>
      <c r="P840" s="207"/>
      <c r="Q840" s="207"/>
      <c r="R840" s="207"/>
      <c r="S840" s="207"/>
      <c r="T840" s="207"/>
      <c r="U840" s="207"/>
      <c r="V840" s="207"/>
      <c r="W840" s="208"/>
      <c r="X840" s="208"/>
      <c r="Y840" s="208"/>
      <c r="Z840" s="208"/>
      <c r="AA840" s="208"/>
      <c r="AB840" s="208"/>
      <c r="AC840" s="208"/>
      <c r="AD840" s="208"/>
      <c r="AE840" s="208"/>
      <c r="AF840" s="208"/>
      <c r="AG840" s="208"/>
      <c r="AH840" s="208"/>
      <c r="AI840" s="100"/>
      <c r="AJ840" s="319"/>
      <c r="AK840" s="319"/>
      <c r="AL840" s="319"/>
      <c r="AM840" s="319"/>
      <c r="AN840" s="319"/>
      <c r="AO840" s="319"/>
      <c r="AP840" s="319"/>
      <c r="AQ840" s="319"/>
      <c r="AR840" s="319"/>
      <c r="AS840" s="319"/>
      <c r="AT840" s="319"/>
      <c r="AU840" s="319"/>
      <c r="AV840" s="319"/>
      <c r="AW840" s="319"/>
      <c r="AX840" s="319"/>
      <c r="AY840" s="319"/>
      <c r="AZ840" s="319"/>
      <c r="BA840" s="319"/>
      <c r="BB840" s="319"/>
      <c r="BC840" s="319"/>
      <c r="BD840" s="319"/>
      <c r="BE840" s="319"/>
      <c r="BF840" s="319"/>
      <c r="BG840" s="319"/>
      <c r="BH840" s="319"/>
      <c r="BI840" s="319"/>
      <c r="BJ840" s="319"/>
      <c r="BK840" s="319"/>
      <c r="BL840" s="319"/>
      <c r="BM840" s="319"/>
      <c r="BN840" s="319"/>
      <c r="BO840" s="319"/>
      <c r="BP840" s="319"/>
      <c r="BQ840" s="319"/>
      <c r="BR840" s="319"/>
    </row>
    <row r="841" ht="14.25" customHeight="1">
      <c r="A841" s="195"/>
      <c r="B841" s="100"/>
      <c r="C841" s="100"/>
      <c r="D841" s="100"/>
      <c r="E841" s="100"/>
      <c r="F841" s="206"/>
      <c r="G841" s="206"/>
      <c r="H841" s="207"/>
      <c r="I841" s="207"/>
      <c r="J841" s="207"/>
      <c r="K841" s="207"/>
      <c r="L841" s="207"/>
      <c r="M841" s="207"/>
      <c r="N841" s="207"/>
      <c r="O841" s="207"/>
      <c r="P841" s="207"/>
      <c r="Q841" s="207"/>
      <c r="R841" s="207"/>
      <c r="S841" s="207"/>
      <c r="T841" s="207"/>
      <c r="U841" s="207"/>
      <c r="V841" s="207"/>
      <c r="W841" s="208"/>
      <c r="X841" s="208"/>
      <c r="Y841" s="208"/>
      <c r="Z841" s="208"/>
      <c r="AA841" s="208"/>
      <c r="AB841" s="208"/>
      <c r="AC841" s="208"/>
      <c r="AD841" s="208"/>
      <c r="AE841" s="208"/>
      <c r="AF841" s="208"/>
      <c r="AG841" s="208"/>
      <c r="AH841" s="208"/>
      <c r="AI841" s="100"/>
      <c r="AJ841" s="319"/>
      <c r="AK841" s="319"/>
      <c r="AL841" s="319"/>
      <c r="AM841" s="319"/>
      <c r="AN841" s="319"/>
      <c r="AO841" s="319"/>
      <c r="AP841" s="319"/>
      <c r="AQ841" s="319"/>
      <c r="AR841" s="319"/>
      <c r="AS841" s="319"/>
      <c r="AT841" s="319"/>
      <c r="AU841" s="319"/>
      <c r="AV841" s="319"/>
      <c r="AW841" s="319"/>
      <c r="AX841" s="319"/>
      <c r="AY841" s="319"/>
      <c r="AZ841" s="319"/>
      <c r="BA841" s="319"/>
      <c r="BB841" s="319"/>
      <c r="BC841" s="319"/>
      <c r="BD841" s="319"/>
      <c r="BE841" s="319"/>
      <c r="BF841" s="319"/>
      <c r="BG841" s="319"/>
      <c r="BH841" s="319"/>
      <c r="BI841" s="319"/>
      <c r="BJ841" s="319"/>
      <c r="BK841" s="319"/>
      <c r="BL841" s="319"/>
      <c r="BM841" s="319"/>
      <c r="BN841" s="319"/>
      <c r="BO841" s="319"/>
      <c r="BP841" s="319"/>
      <c r="BQ841" s="319"/>
      <c r="BR841" s="319"/>
    </row>
    <row r="842" ht="14.25" customHeight="1">
      <c r="A842" s="195"/>
      <c r="B842" s="100"/>
      <c r="C842" s="100"/>
      <c r="D842" s="100"/>
      <c r="E842" s="100"/>
      <c r="F842" s="206"/>
      <c r="G842" s="206"/>
      <c r="H842" s="207"/>
      <c r="I842" s="207"/>
      <c r="J842" s="207"/>
      <c r="K842" s="207"/>
      <c r="L842" s="207"/>
      <c r="M842" s="207"/>
      <c r="N842" s="207"/>
      <c r="O842" s="207"/>
      <c r="P842" s="207"/>
      <c r="Q842" s="207"/>
      <c r="R842" s="207"/>
      <c r="S842" s="207"/>
      <c r="T842" s="207"/>
      <c r="U842" s="207"/>
      <c r="V842" s="207"/>
      <c r="W842" s="208"/>
      <c r="X842" s="208"/>
      <c r="Y842" s="208"/>
      <c r="Z842" s="208"/>
      <c r="AA842" s="208"/>
      <c r="AB842" s="208"/>
      <c r="AC842" s="208"/>
      <c r="AD842" s="208"/>
      <c r="AE842" s="208"/>
      <c r="AF842" s="208"/>
      <c r="AG842" s="208"/>
      <c r="AH842" s="208"/>
      <c r="AI842" s="100"/>
      <c r="AJ842" s="319"/>
      <c r="AK842" s="319"/>
      <c r="AL842" s="319"/>
      <c r="AM842" s="319"/>
      <c r="AN842" s="319"/>
      <c r="AO842" s="319"/>
      <c r="AP842" s="319"/>
      <c r="AQ842" s="319"/>
      <c r="AR842" s="319"/>
      <c r="AS842" s="319"/>
      <c r="AT842" s="319"/>
      <c r="AU842" s="319"/>
      <c r="AV842" s="319"/>
      <c r="AW842" s="319"/>
      <c r="AX842" s="319"/>
      <c r="AY842" s="319"/>
      <c r="AZ842" s="319"/>
      <c r="BA842" s="319"/>
      <c r="BB842" s="319"/>
      <c r="BC842" s="319"/>
      <c r="BD842" s="319"/>
      <c r="BE842" s="319"/>
      <c r="BF842" s="319"/>
      <c r="BG842" s="319"/>
      <c r="BH842" s="319"/>
      <c r="BI842" s="319"/>
      <c r="BJ842" s="319"/>
      <c r="BK842" s="319"/>
      <c r="BL842" s="319"/>
      <c r="BM842" s="319"/>
      <c r="BN842" s="319"/>
      <c r="BO842" s="319"/>
      <c r="BP842" s="319"/>
      <c r="BQ842" s="319"/>
      <c r="BR842" s="319"/>
    </row>
    <row r="843" ht="14.25" customHeight="1">
      <c r="A843" s="195"/>
      <c r="B843" s="100"/>
      <c r="C843" s="100"/>
      <c r="D843" s="100"/>
      <c r="E843" s="100"/>
      <c r="F843" s="206"/>
      <c r="G843" s="206"/>
      <c r="H843" s="207"/>
      <c r="I843" s="207"/>
      <c r="J843" s="207"/>
      <c r="K843" s="207"/>
      <c r="L843" s="207"/>
      <c r="M843" s="207"/>
      <c r="N843" s="207"/>
      <c r="O843" s="207"/>
      <c r="P843" s="207"/>
      <c r="Q843" s="207"/>
      <c r="R843" s="207"/>
      <c r="S843" s="207"/>
      <c r="T843" s="207"/>
      <c r="U843" s="207"/>
      <c r="V843" s="207"/>
      <c r="W843" s="208"/>
      <c r="X843" s="208"/>
      <c r="Y843" s="208"/>
      <c r="Z843" s="208"/>
      <c r="AA843" s="208"/>
      <c r="AB843" s="208"/>
      <c r="AC843" s="208"/>
      <c r="AD843" s="208"/>
      <c r="AE843" s="208"/>
      <c r="AF843" s="208"/>
      <c r="AG843" s="208"/>
      <c r="AH843" s="208"/>
      <c r="AI843" s="100"/>
      <c r="AJ843" s="319"/>
      <c r="AK843" s="319"/>
      <c r="AL843" s="319"/>
      <c r="AM843" s="319"/>
      <c r="AN843" s="319"/>
      <c r="AO843" s="319"/>
      <c r="AP843" s="319"/>
      <c r="AQ843" s="319"/>
      <c r="AR843" s="319"/>
      <c r="AS843" s="319"/>
      <c r="AT843" s="319"/>
      <c r="AU843" s="319"/>
      <c r="AV843" s="319"/>
      <c r="AW843" s="319"/>
      <c r="AX843" s="319"/>
      <c r="AY843" s="319"/>
      <c r="AZ843" s="319"/>
      <c r="BA843" s="319"/>
      <c r="BB843" s="319"/>
      <c r="BC843" s="319"/>
      <c r="BD843" s="319"/>
      <c r="BE843" s="319"/>
      <c r="BF843" s="319"/>
      <c r="BG843" s="319"/>
      <c r="BH843" s="319"/>
      <c r="BI843" s="319"/>
      <c r="BJ843" s="319"/>
      <c r="BK843" s="319"/>
      <c r="BL843" s="319"/>
      <c r="BM843" s="319"/>
      <c r="BN843" s="319"/>
      <c r="BO843" s="319"/>
      <c r="BP843" s="319"/>
      <c r="BQ843" s="319"/>
      <c r="BR843" s="319"/>
    </row>
    <row r="844" ht="14.25" customHeight="1">
      <c r="A844" s="195"/>
      <c r="B844" s="100"/>
      <c r="C844" s="100"/>
      <c r="D844" s="100"/>
      <c r="E844" s="100"/>
      <c r="F844" s="206"/>
      <c r="G844" s="206"/>
      <c r="H844" s="207"/>
      <c r="I844" s="207"/>
      <c r="J844" s="207"/>
      <c r="K844" s="207"/>
      <c r="L844" s="207"/>
      <c r="M844" s="207"/>
      <c r="N844" s="207"/>
      <c r="O844" s="207"/>
      <c r="P844" s="207"/>
      <c r="Q844" s="207"/>
      <c r="R844" s="207"/>
      <c r="S844" s="207"/>
      <c r="T844" s="207"/>
      <c r="U844" s="207"/>
      <c r="V844" s="207"/>
      <c r="W844" s="208"/>
      <c r="X844" s="208"/>
      <c r="Y844" s="208"/>
      <c r="Z844" s="208"/>
      <c r="AA844" s="208"/>
      <c r="AB844" s="208"/>
      <c r="AC844" s="208"/>
      <c r="AD844" s="208"/>
      <c r="AE844" s="208"/>
      <c r="AF844" s="208"/>
      <c r="AG844" s="208"/>
      <c r="AH844" s="208"/>
      <c r="AI844" s="100"/>
      <c r="AJ844" s="319"/>
      <c r="AK844" s="319"/>
      <c r="AL844" s="319"/>
      <c r="AM844" s="319"/>
      <c r="AN844" s="319"/>
      <c r="AO844" s="319"/>
      <c r="AP844" s="319"/>
      <c r="AQ844" s="319"/>
      <c r="AR844" s="319"/>
      <c r="AS844" s="319"/>
      <c r="AT844" s="319"/>
      <c r="AU844" s="319"/>
      <c r="AV844" s="319"/>
      <c r="AW844" s="319"/>
      <c r="AX844" s="319"/>
      <c r="AY844" s="319"/>
      <c r="AZ844" s="319"/>
      <c r="BA844" s="319"/>
      <c r="BB844" s="319"/>
      <c r="BC844" s="319"/>
      <c r="BD844" s="319"/>
      <c r="BE844" s="319"/>
      <c r="BF844" s="319"/>
      <c r="BG844" s="319"/>
      <c r="BH844" s="319"/>
      <c r="BI844" s="319"/>
      <c r="BJ844" s="319"/>
      <c r="BK844" s="319"/>
      <c r="BL844" s="319"/>
      <c r="BM844" s="319"/>
      <c r="BN844" s="319"/>
      <c r="BO844" s="319"/>
      <c r="BP844" s="319"/>
      <c r="BQ844" s="319"/>
      <c r="BR844" s="319"/>
    </row>
    <row r="845" ht="14.25" customHeight="1">
      <c r="A845" s="195"/>
      <c r="B845" s="100"/>
      <c r="C845" s="100"/>
      <c r="D845" s="100"/>
      <c r="E845" s="100"/>
      <c r="F845" s="206"/>
      <c r="G845" s="206"/>
      <c r="H845" s="207"/>
      <c r="I845" s="207"/>
      <c r="J845" s="207"/>
      <c r="K845" s="207"/>
      <c r="L845" s="207"/>
      <c r="M845" s="207"/>
      <c r="N845" s="207"/>
      <c r="O845" s="207"/>
      <c r="P845" s="207"/>
      <c r="Q845" s="207"/>
      <c r="R845" s="207"/>
      <c r="S845" s="207"/>
      <c r="T845" s="207"/>
      <c r="U845" s="207"/>
      <c r="V845" s="207"/>
      <c r="W845" s="208"/>
      <c r="X845" s="208"/>
      <c r="Y845" s="208"/>
      <c r="Z845" s="208"/>
      <c r="AA845" s="208"/>
      <c r="AB845" s="208"/>
      <c r="AC845" s="208"/>
      <c r="AD845" s="208"/>
      <c r="AE845" s="208"/>
      <c r="AF845" s="208"/>
      <c r="AG845" s="208"/>
      <c r="AH845" s="208"/>
      <c r="AI845" s="100"/>
      <c r="AJ845" s="319"/>
      <c r="AK845" s="319"/>
      <c r="AL845" s="319"/>
      <c r="AM845" s="319"/>
      <c r="AN845" s="319"/>
      <c r="AO845" s="319"/>
      <c r="AP845" s="319"/>
      <c r="AQ845" s="319"/>
      <c r="AR845" s="319"/>
      <c r="AS845" s="319"/>
      <c r="AT845" s="319"/>
      <c r="AU845" s="319"/>
      <c r="AV845" s="319"/>
      <c r="AW845" s="319"/>
      <c r="AX845" s="319"/>
      <c r="AY845" s="319"/>
      <c r="AZ845" s="319"/>
      <c r="BA845" s="319"/>
      <c r="BB845" s="319"/>
      <c r="BC845" s="319"/>
      <c r="BD845" s="319"/>
      <c r="BE845" s="319"/>
      <c r="BF845" s="319"/>
      <c r="BG845" s="319"/>
      <c r="BH845" s="319"/>
      <c r="BI845" s="319"/>
      <c r="BJ845" s="319"/>
      <c r="BK845" s="319"/>
      <c r="BL845" s="319"/>
      <c r="BM845" s="319"/>
      <c r="BN845" s="319"/>
      <c r="BO845" s="319"/>
      <c r="BP845" s="319"/>
      <c r="BQ845" s="319"/>
      <c r="BR845" s="319"/>
    </row>
    <row r="846" ht="14.25" customHeight="1">
      <c r="A846" s="195"/>
      <c r="B846" s="100"/>
      <c r="C846" s="100"/>
      <c r="D846" s="100"/>
      <c r="E846" s="100"/>
      <c r="F846" s="206"/>
      <c r="G846" s="206"/>
      <c r="H846" s="207"/>
      <c r="I846" s="207"/>
      <c r="J846" s="207"/>
      <c r="K846" s="207"/>
      <c r="L846" s="207"/>
      <c r="M846" s="207"/>
      <c r="N846" s="207"/>
      <c r="O846" s="207"/>
      <c r="P846" s="207"/>
      <c r="Q846" s="207"/>
      <c r="R846" s="207"/>
      <c r="S846" s="207"/>
      <c r="T846" s="207"/>
      <c r="U846" s="207"/>
      <c r="V846" s="207"/>
      <c r="W846" s="208"/>
      <c r="X846" s="208"/>
      <c r="Y846" s="208"/>
      <c r="Z846" s="208"/>
      <c r="AA846" s="208"/>
      <c r="AB846" s="208"/>
      <c r="AC846" s="208"/>
      <c r="AD846" s="208"/>
      <c r="AE846" s="208"/>
      <c r="AF846" s="208"/>
      <c r="AG846" s="208"/>
      <c r="AH846" s="208"/>
      <c r="AI846" s="100"/>
      <c r="AJ846" s="319"/>
      <c r="AK846" s="319"/>
      <c r="AL846" s="319"/>
      <c r="AM846" s="319"/>
      <c r="AN846" s="319"/>
      <c r="AO846" s="319"/>
      <c r="AP846" s="319"/>
      <c r="AQ846" s="319"/>
      <c r="AR846" s="319"/>
      <c r="AS846" s="319"/>
      <c r="AT846" s="319"/>
      <c r="AU846" s="319"/>
      <c r="AV846" s="319"/>
      <c r="AW846" s="319"/>
      <c r="AX846" s="319"/>
      <c r="AY846" s="319"/>
      <c r="AZ846" s="319"/>
      <c r="BA846" s="319"/>
      <c r="BB846" s="319"/>
      <c r="BC846" s="319"/>
      <c r="BD846" s="319"/>
      <c r="BE846" s="319"/>
      <c r="BF846" s="319"/>
      <c r="BG846" s="319"/>
      <c r="BH846" s="319"/>
      <c r="BI846" s="319"/>
      <c r="BJ846" s="319"/>
      <c r="BK846" s="319"/>
      <c r="BL846" s="319"/>
      <c r="BM846" s="319"/>
      <c r="BN846" s="319"/>
      <c r="BO846" s="319"/>
      <c r="BP846" s="319"/>
      <c r="BQ846" s="319"/>
      <c r="BR846" s="319"/>
    </row>
    <row r="847" ht="14.25" customHeight="1">
      <c r="A847" s="195"/>
      <c r="B847" s="100"/>
      <c r="C847" s="100"/>
      <c r="D847" s="100"/>
      <c r="E847" s="100"/>
      <c r="F847" s="206"/>
      <c r="G847" s="206"/>
      <c r="H847" s="207"/>
      <c r="I847" s="207"/>
      <c r="J847" s="207"/>
      <c r="K847" s="207"/>
      <c r="L847" s="207"/>
      <c r="M847" s="207"/>
      <c r="N847" s="207"/>
      <c r="O847" s="207"/>
      <c r="P847" s="207"/>
      <c r="Q847" s="207"/>
      <c r="R847" s="207"/>
      <c r="S847" s="207"/>
      <c r="T847" s="207"/>
      <c r="U847" s="207"/>
      <c r="V847" s="207"/>
      <c r="W847" s="208"/>
      <c r="X847" s="208"/>
      <c r="Y847" s="208"/>
      <c r="Z847" s="208"/>
      <c r="AA847" s="208"/>
      <c r="AB847" s="208"/>
      <c r="AC847" s="208"/>
      <c r="AD847" s="208"/>
      <c r="AE847" s="208"/>
      <c r="AF847" s="208"/>
      <c r="AG847" s="208"/>
      <c r="AH847" s="208"/>
      <c r="AI847" s="100"/>
      <c r="AJ847" s="319"/>
      <c r="AK847" s="319"/>
      <c r="AL847" s="319"/>
      <c r="AM847" s="319"/>
      <c r="AN847" s="319"/>
      <c r="AO847" s="319"/>
      <c r="AP847" s="319"/>
      <c r="AQ847" s="319"/>
      <c r="AR847" s="319"/>
      <c r="AS847" s="319"/>
      <c r="AT847" s="319"/>
      <c r="AU847" s="319"/>
      <c r="AV847" s="319"/>
      <c r="AW847" s="319"/>
      <c r="AX847" s="319"/>
      <c r="AY847" s="319"/>
      <c r="AZ847" s="319"/>
      <c r="BA847" s="319"/>
      <c r="BB847" s="319"/>
      <c r="BC847" s="319"/>
      <c r="BD847" s="319"/>
      <c r="BE847" s="319"/>
      <c r="BF847" s="319"/>
      <c r="BG847" s="319"/>
      <c r="BH847" s="319"/>
      <c r="BI847" s="319"/>
      <c r="BJ847" s="319"/>
      <c r="BK847" s="319"/>
      <c r="BL847" s="319"/>
      <c r="BM847" s="319"/>
      <c r="BN847" s="319"/>
      <c r="BO847" s="319"/>
      <c r="BP847" s="319"/>
      <c r="BQ847" s="319"/>
      <c r="BR847" s="319"/>
    </row>
    <row r="848" ht="14.25" customHeight="1">
      <c r="A848" s="195"/>
      <c r="B848" s="100"/>
      <c r="C848" s="100"/>
      <c r="D848" s="100"/>
      <c r="E848" s="100"/>
      <c r="F848" s="206"/>
      <c r="G848" s="206"/>
      <c r="H848" s="207"/>
      <c r="I848" s="207"/>
      <c r="J848" s="207"/>
      <c r="K848" s="207"/>
      <c r="L848" s="207"/>
      <c r="M848" s="207"/>
      <c r="N848" s="207"/>
      <c r="O848" s="207"/>
      <c r="P848" s="207"/>
      <c r="Q848" s="207"/>
      <c r="R848" s="207"/>
      <c r="S848" s="207"/>
      <c r="T848" s="207"/>
      <c r="U848" s="207"/>
      <c r="V848" s="207"/>
      <c r="W848" s="208"/>
      <c r="X848" s="208"/>
      <c r="Y848" s="208"/>
      <c r="Z848" s="208"/>
      <c r="AA848" s="208"/>
      <c r="AB848" s="208"/>
      <c r="AC848" s="208"/>
      <c r="AD848" s="208"/>
      <c r="AE848" s="208"/>
      <c r="AF848" s="208"/>
      <c r="AG848" s="208"/>
      <c r="AH848" s="208"/>
      <c r="AI848" s="100"/>
      <c r="AJ848" s="319"/>
      <c r="AK848" s="319"/>
      <c r="AL848" s="319"/>
      <c r="AM848" s="319"/>
      <c r="AN848" s="319"/>
      <c r="AO848" s="319"/>
      <c r="AP848" s="319"/>
      <c r="AQ848" s="319"/>
      <c r="AR848" s="319"/>
      <c r="AS848" s="319"/>
      <c r="AT848" s="319"/>
      <c r="AU848" s="319"/>
      <c r="AV848" s="319"/>
      <c r="AW848" s="319"/>
      <c r="AX848" s="319"/>
      <c r="AY848" s="319"/>
      <c r="AZ848" s="319"/>
      <c r="BA848" s="319"/>
      <c r="BB848" s="319"/>
      <c r="BC848" s="319"/>
      <c r="BD848" s="319"/>
      <c r="BE848" s="319"/>
      <c r="BF848" s="319"/>
      <c r="BG848" s="319"/>
      <c r="BH848" s="319"/>
      <c r="BI848" s="319"/>
      <c r="BJ848" s="319"/>
      <c r="BK848" s="319"/>
      <c r="BL848" s="319"/>
      <c r="BM848" s="319"/>
      <c r="BN848" s="319"/>
      <c r="BO848" s="319"/>
      <c r="BP848" s="319"/>
      <c r="BQ848" s="319"/>
      <c r="BR848" s="319"/>
    </row>
    <row r="849" ht="14.25" customHeight="1">
      <c r="A849" s="195"/>
      <c r="B849" s="100"/>
      <c r="C849" s="100"/>
      <c r="D849" s="100"/>
      <c r="E849" s="100"/>
      <c r="F849" s="206"/>
      <c r="G849" s="206"/>
      <c r="H849" s="207"/>
      <c r="I849" s="207"/>
      <c r="J849" s="207"/>
      <c r="K849" s="207"/>
      <c r="L849" s="207"/>
      <c r="M849" s="207"/>
      <c r="N849" s="207"/>
      <c r="O849" s="207"/>
      <c r="P849" s="207"/>
      <c r="Q849" s="207"/>
      <c r="R849" s="207"/>
      <c r="S849" s="207"/>
      <c r="T849" s="207"/>
      <c r="U849" s="207"/>
      <c r="V849" s="207"/>
      <c r="W849" s="208"/>
      <c r="X849" s="208"/>
      <c r="Y849" s="208"/>
      <c r="Z849" s="208"/>
      <c r="AA849" s="208"/>
      <c r="AB849" s="208"/>
      <c r="AC849" s="208"/>
      <c r="AD849" s="208"/>
      <c r="AE849" s="208"/>
      <c r="AF849" s="208"/>
      <c r="AG849" s="208"/>
      <c r="AH849" s="208"/>
      <c r="AI849" s="100"/>
      <c r="AJ849" s="319"/>
      <c r="AK849" s="319"/>
      <c r="AL849" s="319"/>
      <c r="AM849" s="319"/>
      <c r="AN849" s="319"/>
      <c r="AO849" s="319"/>
      <c r="AP849" s="319"/>
      <c r="AQ849" s="319"/>
      <c r="AR849" s="319"/>
      <c r="AS849" s="319"/>
      <c r="AT849" s="319"/>
      <c r="AU849" s="319"/>
      <c r="AV849" s="319"/>
      <c r="AW849" s="319"/>
      <c r="AX849" s="319"/>
      <c r="AY849" s="319"/>
      <c r="AZ849" s="319"/>
      <c r="BA849" s="319"/>
      <c r="BB849" s="319"/>
      <c r="BC849" s="319"/>
      <c r="BD849" s="319"/>
      <c r="BE849" s="319"/>
      <c r="BF849" s="319"/>
      <c r="BG849" s="319"/>
      <c r="BH849" s="319"/>
      <c r="BI849" s="319"/>
      <c r="BJ849" s="319"/>
      <c r="BK849" s="319"/>
      <c r="BL849" s="319"/>
      <c r="BM849" s="319"/>
      <c r="BN849" s="319"/>
      <c r="BO849" s="319"/>
      <c r="BP849" s="319"/>
      <c r="BQ849" s="319"/>
      <c r="BR849" s="319"/>
    </row>
    <row r="850" ht="14.25" customHeight="1">
      <c r="A850" s="195"/>
      <c r="B850" s="100"/>
      <c r="C850" s="100"/>
      <c r="D850" s="100"/>
      <c r="E850" s="100"/>
      <c r="F850" s="206"/>
      <c r="G850" s="206"/>
      <c r="H850" s="207"/>
      <c r="I850" s="207"/>
      <c r="J850" s="207"/>
      <c r="K850" s="207"/>
      <c r="L850" s="207"/>
      <c r="M850" s="207"/>
      <c r="N850" s="207"/>
      <c r="O850" s="207"/>
      <c r="P850" s="207"/>
      <c r="Q850" s="207"/>
      <c r="R850" s="207"/>
      <c r="S850" s="207"/>
      <c r="T850" s="207"/>
      <c r="U850" s="207"/>
      <c r="V850" s="207"/>
      <c r="W850" s="208"/>
      <c r="X850" s="208"/>
      <c r="Y850" s="208"/>
      <c r="Z850" s="208"/>
      <c r="AA850" s="208"/>
      <c r="AB850" s="208"/>
      <c r="AC850" s="208"/>
      <c r="AD850" s="208"/>
      <c r="AE850" s="208"/>
      <c r="AF850" s="208"/>
      <c r="AG850" s="208"/>
      <c r="AH850" s="208"/>
      <c r="AI850" s="100"/>
      <c r="AJ850" s="319"/>
      <c r="AK850" s="319"/>
      <c r="AL850" s="319"/>
      <c r="AM850" s="319"/>
      <c r="AN850" s="319"/>
      <c r="AO850" s="319"/>
      <c r="AP850" s="319"/>
      <c r="AQ850" s="319"/>
      <c r="AR850" s="319"/>
      <c r="AS850" s="319"/>
      <c r="AT850" s="319"/>
      <c r="AU850" s="319"/>
      <c r="AV850" s="319"/>
      <c r="AW850" s="319"/>
      <c r="AX850" s="319"/>
      <c r="AY850" s="319"/>
      <c r="AZ850" s="319"/>
      <c r="BA850" s="319"/>
      <c r="BB850" s="319"/>
      <c r="BC850" s="319"/>
      <c r="BD850" s="319"/>
      <c r="BE850" s="319"/>
      <c r="BF850" s="319"/>
      <c r="BG850" s="319"/>
      <c r="BH850" s="319"/>
      <c r="BI850" s="319"/>
      <c r="BJ850" s="319"/>
      <c r="BK850" s="319"/>
      <c r="BL850" s="319"/>
      <c r="BM850" s="319"/>
      <c r="BN850" s="319"/>
      <c r="BO850" s="319"/>
      <c r="BP850" s="319"/>
      <c r="BQ850" s="319"/>
      <c r="BR850" s="319"/>
    </row>
    <row r="851" ht="14.25" customHeight="1">
      <c r="A851" s="195"/>
      <c r="B851" s="100"/>
      <c r="C851" s="100"/>
      <c r="D851" s="100"/>
      <c r="E851" s="100"/>
      <c r="F851" s="206"/>
      <c r="G851" s="206"/>
      <c r="H851" s="207"/>
      <c r="I851" s="207"/>
      <c r="J851" s="207"/>
      <c r="K851" s="207"/>
      <c r="L851" s="207"/>
      <c r="M851" s="207"/>
      <c r="N851" s="207"/>
      <c r="O851" s="207"/>
      <c r="P851" s="207"/>
      <c r="Q851" s="207"/>
      <c r="R851" s="207"/>
      <c r="S851" s="207"/>
      <c r="T851" s="207"/>
      <c r="U851" s="207"/>
      <c r="V851" s="207"/>
      <c r="W851" s="208"/>
      <c r="X851" s="208"/>
      <c r="Y851" s="208"/>
      <c r="Z851" s="208"/>
      <c r="AA851" s="208"/>
      <c r="AB851" s="208"/>
      <c r="AC851" s="208"/>
      <c r="AD851" s="208"/>
      <c r="AE851" s="208"/>
      <c r="AF851" s="208"/>
      <c r="AG851" s="208"/>
      <c r="AH851" s="208"/>
      <c r="AI851" s="100"/>
      <c r="AJ851" s="319"/>
      <c r="AK851" s="319"/>
      <c r="AL851" s="319"/>
      <c r="AM851" s="319"/>
      <c r="AN851" s="319"/>
      <c r="AO851" s="319"/>
      <c r="AP851" s="319"/>
      <c r="AQ851" s="319"/>
      <c r="AR851" s="319"/>
      <c r="AS851" s="319"/>
      <c r="AT851" s="319"/>
      <c r="AU851" s="319"/>
      <c r="AV851" s="319"/>
      <c r="AW851" s="319"/>
      <c r="AX851" s="319"/>
      <c r="AY851" s="319"/>
      <c r="AZ851" s="319"/>
      <c r="BA851" s="319"/>
      <c r="BB851" s="319"/>
      <c r="BC851" s="319"/>
      <c r="BD851" s="319"/>
      <c r="BE851" s="319"/>
      <c r="BF851" s="319"/>
      <c r="BG851" s="319"/>
      <c r="BH851" s="319"/>
      <c r="BI851" s="319"/>
      <c r="BJ851" s="319"/>
      <c r="BK851" s="319"/>
      <c r="BL851" s="319"/>
      <c r="BM851" s="319"/>
      <c r="BN851" s="319"/>
      <c r="BO851" s="319"/>
      <c r="BP851" s="319"/>
      <c r="BQ851" s="319"/>
      <c r="BR851" s="319"/>
    </row>
    <row r="852" ht="14.25" customHeight="1">
      <c r="A852" s="195"/>
      <c r="B852" s="100"/>
      <c r="C852" s="100"/>
      <c r="D852" s="100"/>
      <c r="E852" s="100"/>
      <c r="F852" s="206"/>
      <c r="G852" s="206"/>
      <c r="H852" s="207"/>
      <c r="I852" s="207"/>
      <c r="J852" s="207"/>
      <c r="K852" s="207"/>
      <c r="L852" s="207"/>
      <c r="M852" s="207"/>
      <c r="N852" s="207"/>
      <c r="O852" s="207"/>
      <c r="P852" s="207"/>
      <c r="Q852" s="207"/>
      <c r="R852" s="207"/>
      <c r="S852" s="207"/>
      <c r="T852" s="207"/>
      <c r="U852" s="207"/>
      <c r="V852" s="207"/>
      <c r="W852" s="208"/>
      <c r="X852" s="208"/>
      <c r="Y852" s="208"/>
      <c r="Z852" s="208"/>
      <c r="AA852" s="208"/>
      <c r="AB852" s="208"/>
      <c r="AC852" s="208"/>
      <c r="AD852" s="208"/>
      <c r="AE852" s="208"/>
      <c r="AF852" s="208"/>
      <c r="AG852" s="208"/>
      <c r="AH852" s="208"/>
      <c r="AI852" s="100"/>
      <c r="AJ852" s="319"/>
      <c r="AK852" s="319"/>
      <c r="AL852" s="319"/>
      <c r="AM852" s="319"/>
      <c r="AN852" s="319"/>
      <c r="AO852" s="319"/>
      <c r="AP852" s="319"/>
      <c r="AQ852" s="319"/>
      <c r="AR852" s="319"/>
      <c r="AS852" s="319"/>
      <c r="AT852" s="319"/>
      <c r="AU852" s="319"/>
      <c r="AV852" s="319"/>
      <c r="AW852" s="319"/>
      <c r="AX852" s="319"/>
      <c r="AY852" s="319"/>
      <c r="AZ852" s="319"/>
      <c r="BA852" s="319"/>
      <c r="BB852" s="319"/>
      <c r="BC852" s="319"/>
      <c r="BD852" s="319"/>
      <c r="BE852" s="319"/>
      <c r="BF852" s="319"/>
      <c r="BG852" s="319"/>
      <c r="BH852" s="319"/>
      <c r="BI852" s="319"/>
      <c r="BJ852" s="319"/>
      <c r="BK852" s="319"/>
      <c r="BL852" s="319"/>
      <c r="BM852" s="319"/>
      <c r="BN852" s="319"/>
      <c r="BO852" s="319"/>
      <c r="BP852" s="319"/>
      <c r="BQ852" s="319"/>
      <c r="BR852" s="319"/>
    </row>
    <row r="853" ht="14.25" customHeight="1">
      <c r="A853" s="195"/>
      <c r="B853" s="100"/>
      <c r="C853" s="100"/>
      <c r="D853" s="100"/>
      <c r="E853" s="100"/>
      <c r="F853" s="206"/>
      <c r="G853" s="206"/>
      <c r="H853" s="207"/>
      <c r="I853" s="207"/>
      <c r="J853" s="207"/>
      <c r="K853" s="207"/>
      <c r="L853" s="207"/>
      <c r="M853" s="207"/>
      <c r="N853" s="207"/>
      <c r="O853" s="207"/>
      <c r="P853" s="207"/>
      <c r="Q853" s="207"/>
      <c r="R853" s="207"/>
      <c r="S853" s="207"/>
      <c r="T853" s="207"/>
      <c r="U853" s="207"/>
      <c r="V853" s="207"/>
      <c r="W853" s="208"/>
      <c r="X853" s="208"/>
      <c r="Y853" s="208"/>
      <c r="Z853" s="208"/>
      <c r="AA853" s="208"/>
      <c r="AB853" s="208"/>
      <c r="AC853" s="208"/>
      <c r="AD853" s="208"/>
      <c r="AE853" s="208"/>
      <c r="AF853" s="208"/>
      <c r="AG853" s="208"/>
      <c r="AH853" s="208"/>
      <c r="AI853" s="100"/>
      <c r="AJ853" s="319"/>
      <c r="AK853" s="319"/>
      <c r="AL853" s="319"/>
      <c r="AM853" s="319"/>
      <c r="AN853" s="319"/>
      <c r="AO853" s="319"/>
      <c r="AP853" s="319"/>
      <c r="AQ853" s="319"/>
      <c r="AR853" s="319"/>
      <c r="AS853" s="319"/>
      <c r="AT853" s="319"/>
      <c r="AU853" s="319"/>
      <c r="AV853" s="319"/>
      <c r="AW853" s="319"/>
      <c r="AX853" s="319"/>
      <c r="AY853" s="319"/>
      <c r="AZ853" s="319"/>
      <c r="BA853" s="319"/>
      <c r="BB853" s="319"/>
      <c r="BC853" s="319"/>
      <c r="BD853" s="319"/>
      <c r="BE853" s="319"/>
      <c r="BF853" s="319"/>
      <c r="BG853" s="319"/>
      <c r="BH853" s="319"/>
      <c r="BI853" s="319"/>
      <c r="BJ853" s="319"/>
      <c r="BK853" s="319"/>
      <c r="BL853" s="319"/>
      <c r="BM853" s="319"/>
      <c r="BN853" s="319"/>
      <c r="BO853" s="319"/>
      <c r="BP853" s="319"/>
      <c r="BQ853" s="319"/>
      <c r="BR853" s="319"/>
    </row>
    <row r="854" ht="14.25" customHeight="1">
      <c r="A854" s="195"/>
      <c r="B854" s="100"/>
      <c r="C854" s="100"/>
      <c r="D854" s="100"/>
      <c r="E854" s="100"/>
      <c r="F854" s="206"/>
      <c r="G854" s="206"/>
      <c r="H854" s="207"/>
      <c r="I854" s="207"/>
      <c r="J854" s="207"/>
      <c r="K854" s="207"/>
      <c r="L854" s="207"/>
      <c r="M854" s="207"/>
      <c r="N854" s="207"/>
      <c r="O854" s="207"/>
      <c r="P854" s="207"/>
      <c r="Q854" s="207"/>
      <c r="R854" s="207"/>
      <c r="S854" s="207"/>
      <c r="T854" s="207"/>
      <c r="U854" s="207"/>
      <c r="V854" s="207"/>
      <c r="W854" s="208"/>
      <c r="X854" s="208"/>
      <c r="Y854" s="208"/>
      <c r="Z854" s="208"/>
      <c r="AA854" s="208"/>
      <c r="AB854" s="208"/>
      <c r="AC854" s="208"/>
      <c r="AD854" s="208"/>
      <c r="AE854" s="208"/>
      <c r="AF854" s="208"/>
      <c r="AG854" s="208"/>
      <c r="AH854" s="208"/>
      <c r="AI854" s="100"/>
      <c r="AJ854" s="319"/>
      <c r="AK854" s="319"/>
      <c r="AL854" s="319"/>
      <c r="AM854" s="319"/>
      <c r="AN854" s="319"/>
      <c r="AO854" s="319"/>
      <c r="AP854" s="319"/>
      <c r="AQ854" s="319"/>
      <c r="AR854" s="319"/>
      <c r="AS854" s="319"/>
      <c r="AT854" s="319"/>
      <c r="AU854" s="319"/>
      <c r="AV854" s="319"/>
      <c r="AW854" s="319"/>
      <c r="AX854" s="319"/>
      <c r="AY854" s="319"/>
      <c r="AZ854" s="319"/>
      <c r="BA854" s="319"/>
      <c r="BB854" s="319"/>
      <c r="BC854" s="319"/>
      <c r="BD854" s="319"/>
      <c r="BE854" s="319"/>
      <c r="BF854" s="319"/>
      <c r="BG854" s="319"/>
      <c r="BH854" s="319"/>
      <c r="BI854" s="319"/>
      <c r="BJ854" s="319"/>
      <c r="BK854" s="319"/>
      <c r="BL854" s="319"/>
      <c r="BM854" s="319"/>
      <c r="BN854" s="319"/>
      <c r="BO854" s="319"/>
      <c r="BP854" s="319"/>
      <c r="BQ854" s="319"/>
      <c r="BR854" s="319"/>
    </row>
    <row r="855" ht="14.25" customHeight="1">
      <c r="A855" s="195"/>
      <c r="B855" s="100"/>
      <c r="C855" s="100"/>
      <c r="D855" s="100"/>
      <c r="E855" s="100"/>
      <c r="F855" s="206"/>
      <c r="G855" s="206"/>
      <c r="H855" s="207"/>
      <c r="I855" s="207"/>
      <c r="J855" s="207"/>
      <c r="K855" s="207"/>
      <c r="L855" s="207"/>
      <c r="M855" s="207"/>
      <c r="N855" s="207"/>
      <c r="O855" s="207"/>
      <c r="P855" s="207"/>
      <c r="Q855" s="207"/>
      <c r="R855" s="207"/>
      <c r="S855" s="207"/>
      <c r="T855" s="207"/>
      <c r="U855" s="207"/>
      <c r="V855" s="207"/>
      <c r="W855" s="208"/>
      <c r="X855" s="208"/>
      <c r="Y855" s="208"/>
      <c r="Z855" s="208"/>
      <c r="AA855" s="208"/>
      <c r="AB855" s="208"/>
      <c r="AC855" s="208"/>
      <c r="AD855" s="208"/>
      <c r="AE855" s="208"/>
      <c r="AF855" s="208"/>
      <c r="AG855" s="208"/>
      <c r="AH855" s="208"/>
      <c r="AI855" s="100"/>
      <c r="AJ855" s="319"/>
      <c r="AK855" s="319"/>
      <c r="AL855" s="319"/>
      <c r="AM855" s="319"/>
      <c r="AN855" s="319"/>
      <c r="AO855" s="319"/>
      <c r="AP855" s="319"/>
      <c r="AQ855" s="319"/>
      <c r="AR855" s="319"/>
      <c r="AS855" s="319"/>
      <c r="AT855" s="319"/>
      <c r="AU855" s="319"/>
      <c r="AV855" s="319"/>
      <c r="AW855" s="319"/>
      <c r="AX855" s="319"/>
      <c r="AY855" s="319"/>
      <c r="AZ855" s="319"/>
      <c r="BA855" s="319"/>
      <c r="BB855" s="319"/>
      <c r="BC855" s="319"/>
      <c r="BD855" s="319"/>
      <c r="BE855" s="319"/>
      <c r="BF855" s="319"/>
      <c r="BG855" s="319"/>
      <c r="BH855" s="319"/>
      <c r="BI855" s="319"/>
      <c r="BJ855" s="319"/>
      <c r="BK855" s="319"/>
      <c r="BL855" s="319"/>
      <c r="BM855" s="319"/>
      <c r="BN855" s="319"/>
      <c r="BO855" s="319"/>
      <c r="BP855" s="319"/>
      <c r="BQ855" s="319"/>
      <c r="BR855" s="319"/>
    </row>
    <row r="856" ht="14.25" customHeight="1">
      <c r="A856" s="195"/>
      <c r="B856" s="100"/>
      <c r="C856" s="100"/>
      <c r="D856" s="100"/>
      <c r="E856" s="100"/>
      <c r="F856" s="206"/>
      <c r="G856" s="206"/>
      <c r="H856" s="207"/>
      <c r="I856" s="207"/>
      <c r="J856" s="207"/>
      <c r="K856" s="207"/>
      <c r="L856" s="207"/>
      <c r="M856" s="207"/>
      <c r="N856" s="207"/>
      <c r="O856" s="207"/>
      <c r="P856" s="207"/>
      <c r="Q856" s="207"/>
      <c r="R856" s="207"/>
      <c r="S856" s="207"/>
      <c r="T856" s="207"/>
      <c r="U856" s="207"/>
      <c r="V856" s="207"/>
      <c r="W856" s="208"/>
      <c r="X856" s="208"/>
      <c r="Y856" s="208"/>
      <c r="Z856" s="208"/>
      <c r="AA856" s="208"/>
      <c r="AB856" s="208"/>
      <c r="AC856" s="208"/>
      <c r="AD856" s="208"/>
      <c r="AE856" s="208"/>
      <c r="AF856" s="208"/>
      <c r="AG856" s="208"/>
      <c r="AH856" s="208"/>
      <c r="AI856" s="100"/>
      <c r="AJ856" s="319"/>
      <c r="AK856" s="319"/>
      <c r="AL856" s="319"/>
      <c r="AM856" s="319"/>
      <c r="AN856" s="319"/>
      <c r="AO856" s="319"/>
      <c r="AP856" s="319"/>
      <c r="AQ856" s="319"/>
      <c r="AR856" s="319"/>
      <c r="AS856" s="319"/>
      <c r="AT856" s="319"/>
      <c r="AU856" s="319"/>
      <c r="AV856" s="319"/>
      <c r="AW856" s="319"/>
      <c r="AX856" s="319"/>
      <c r="AY856" s="319"/>
      <c r="AZ856" s="319"/>
      <c r="BA856" s="319"/>
      <c r="BB856" s="319"/>
      <c r="BC856" s="319"/>
      <c r="BD856" s="319"/>
      <c r="BE856" s="319"/>
      <c r="BF856" s="319"/>
      <c r="BG856" s="319"/>
      <c r="BH856" s="319"/>
      <c r="BI856" s="319"/>
      <c r="BJ856" s="319"/>
      <c r="BK856" s="319"/>
      <c r="BL856" s="319"/>
      <c r="BM856" s="319"/>
      <c r="BN856" s="319"/>
      <c r="BO856" s="319"/>
      <c r="BP856" s="319"/>
      <c r="BQ856" s="319"/>
      <c r="BR856" s="319"/>
    </row>
    <row r="857" ht="14.25" customHeight="1">
      <c r="A857" s="195"/>
      <c r="B857" s="100"/>
      <c r="C857" s="100"/>
      <c r="D857" s="100"/>
      <c r="E857" s="100"/>
      <c r="F857" s="206"/>
      <c r="G857" s="206"/>
      <c r="H857" s="207"/>
      <c r="I857" s="207"/>
      <c r="J857" s="207"/>
      <c r="K857" s="207"/>
      <c r="L857" s="207"/>
      <c r="M857" s="207"/>
      <c r="N857" s="207"/>
      <c r="O857" s="207"/>
      <c r="P857" s="207"/>
      <c r="Q857" s="207"/>
      <c r="R857" s="207"/>
      <c r="S857" s="207"/>
      <c r="T857" s="207"/>
      <c r="U857" s="207"/>
      <c r="V857" s="207"/>
      <c r="W857" s="208"/>
      <c r="X857" s="208"/>
      <c r="Y857" s="208"/>
      <c r="Z857" s="208"/>
      <c r="AA857" s="208"/>
      <c r="AB857" s="208"/>
      <c r="AC857" s="208"/>
      <c r="AD857" s="208"/>
      <c r="AE857" s="208"/>
      <c r="AF857" s="208"/>
      <c r="AG857" s="208"/>
      <c r="AH857" s="208"/>
      <c r="AI857" s="100"/>
      <c r="AJ857" s="319"/>
      <c r="AK857" s="319"/>
      <c r="AL857" s="319"/>
      <c r="AM857" s="319"/>
      <c r="AN857" s="319"/>
      <c r="AO857" s="319"/>
      <c r="AP857" s="319"/>
      <c r="AQ857" s="319"/>
      <c r="AR857" s="319"/>
      <c r="AS857" s="319"/>
      <c r="AT857" s="319"/>
      <c r="AU857" s="319"/>
      <c r="AV857" s="319"/>
      <c r="AW857" s="319"/>
      <c r="AX857" s="319"/>
      <c r="AY857" s="319"/>
      <c r="AZ857" s="319"/>
      <c r="BA857" s="319"/>
      <c r="BB857" s="319"/>
      <c r="BC857" s="319"/>
      <c r="BD857" s="319"/>
      <c r="BE857" s="319"/>
      <c r="BF857" s="319"/>
      <c r="BG857" s="319"/>
      <c r="BH857" s="319"/>
      <c r="BI857" s="319"/>
      <c r="BJ857" s="319"/>
      <c r="BK857" s="319"/>
      <c r="BL857" s="319"/>
      <c r="BM857" s="319"/>
      <c r="BN857" s="319"/>
      <c r="BO857" s="319"/>
      <c r="BP857" s="319"/>
      <c r="BQ857" s="319"/>
      <c r="BR857" s="319"/>
    </row>
    <row r="858" ht="14.25" customHeight="1">
      <c r="A858" s="195"/>
      <c r="B858" s="100"/>
      <c r="C858" s="100"/>
      <c r="D858" s="100"/>
      <c r="E858" s="100"/>
      <c r="F858" s="206"/>
      <c r="G858" s="206"/>
      <c r="H858" s="207"/>
      <c r="I858" s="207"/>
      <c r="J858" s="207"/>
      <c r="K858" s="207"/>
      <c r="L858" s="207"/>
      <c r="M858" s="207"/>
      <c r="N858" s="207"/>
      <c r="O858" s="207"/>
      <c r="P858" s="207"/>
      <c r="Q858" s="207"/>
      <c r="R858" s="207"/>
      <c r="S858" s="207"/>
      <c r="T858" s="207"/>
      <c r="U858" s="207"/>
      <c r="V858" s="207"/>
      <c r="W858" s="208"/>
      <c r="X858" s="208"/>
      <c r="Y858" s="208"/>
      <c r="Z858" s="208"/>
      <c r="AA858" s="208"/>
      <c r="AB858" s="208"/>
      <c r="AC858" s="208"/>
      <c r="AD858" s="208"/>
      <c r="AE858" s="208"/>
      <c r="AF858" s="208"/>
      <c r="AG858" s="208"/>
      <c r="AH858" s="208"/>
      <c r="AI858" s="100"/>
      <c r="AJ858" s="319"/>
      <c r="AK858" s="319"/>
      <c r="AL858" s="319"/>
      <c r="AM858" s="319"/>
      <c r="AN858" s="319"/>
      <c r="AO858" s="319"/>
      <c r="AP858" s="319"/>
      <c r="AQ858" s="319"/>
      <c r="AR858" s="319"/>
      <c r="AS858" s="319"/>
      <c r="AT858" s="319"/>
      <c r="AU858" s="319"/>
      <c r="AV858" s="319"/>
      <c r="AW858" s="319"/>
      <c r="AX858" s="319"/>
      <c r="AY858" s="319"/>
      <c r="AZ858" s="319"/>
      <c r="BA858" s="319"/>
      <c r="BB858" s="319"/>
      <c r="BC858" s="319"/>
      <c r="BD858" s="319"/>
      <c r="BE858" s="319"/>
      <c r="BF858" s="319"/>
      <c r="BG858" s="319"/>
      <c r="BH858" s="319"/>
      <c r="BI858" s="319"/>
      <c r="BJ858" s="319"/>
      <c r="BK858" s="319"/>
      <c r="BL858" s="319"/>
      <c r="BM858" s="319"/>
      <c r="BN858" s="319"/>
      <c r="BO858" s="319"/>
      <c r="BP858" s="319"/>
      <c r="BQ858" s="319"/>
      <c r="BR858" s="319"/>
    </row>
    <row r="859" ht="14.25" customHeight="1">
      <c r="A859" s="195"/>
      <c r="B859" s="100"/>
      <c r="C859" s="100"/>
      <c r="D859" s="100"/>
      <c r="E859" s="100"/>
      <c r="F859" s="206"/>
      <c r="G859" s="206"/>
      <c r="H859" s="207"/>
      <c r="I859" s="207"/>
      <c r="J859" s="207"/>
      <c r="K859" s="207"/>
      <c r="L859" s="207"/>
      <c r="M859" s="207"/>
      <c r="N859" s="207"/>
      <c r="O859" s="207"/>
      <c r="P859" s="207"/>
      <c r="Q859" s="207"/>
      <c r="R859" s="207"/>
      <c r="S859" s="207"/>
      <c r="T859" s="207"/>
      <c r="U859" s="207"/>
      <c r="V859" s="207"/>
      <c r="W859" s="208"/>
      <c r="X859" s="208"/>
      <c r="Y859" s="208"/>
      <c r="Z859" s="208"/>
      <c r="AA859" s="208"/>
      <c r="AB859" s="208"/>
      <c r="AC859" s="208"/>
      <c r="AD859" s="208"/>
      <c r="AE859" s="208"/>
      <c r="AF859" s="208"/>
      <c r="AG859" s="208"/>
      <c r="AH859" s="208"/>
      <c r="AI859" s="100"/>
      <c r="AJ859" s="319"/>
      <c r="AK859" s="319"/>
      <c r="AL859" s="319"/>
      <c r="AM859" s="319"/>
      <c r="AN859" s="319"/>
      <c r="AO859" s="319"/>
      <c r="AP859" s="319"/>
      <c r="AQ859" s="319"/>
      <c r="AR859" s="319"/>
      <c r="AS859" s="319"/>
      <c r="AT859" s="319"/>
      <c r="AU859" s="319"/>
      <c r="AV859" s="319"/>
      <c r="AW859" s="319"/>
      <c r="AX859" s="319"/>
      <c r="AY859" s="319"/>
      <c r="AZ859" s="319"/>
      <c r="BA859" s="319"/>
      <c r="BB859" s="319"/>
      <c r="BC859" s="319"/>
      <c r="BD859" s="319"/>
      <c r="BE859" s="319"/>
      <c r="BF859" s="319"/>
      <c r="BG859" s="319"/>
      <c r="BH859" s="319"/>
      <c r="BI859" s="319"/>
      <c r="BJ859" s="319"/>
      <c r="BK859" s="319"/>
      <c r="BL859" s="319"/>
      <c r="BM859" s="319"/>
      <c r="BN859" s="319"/>
      <c r="BO859" s="319"/>
      <c r="BP859" s="319"/>
      <c r="BQ859" s="319"/>
      <c r="BR859" s="319"/>
    </row>
    <row r="860" ht="14.25" customHeight="1">
      <c r="A860" s="195"/>
      <c r="B860" s="100"/>
      <c r="C860" s="100"/>
      <c r="D860" s="100"/>
      <c r="E860" s="100"/>
      <c r="F860" s="206"/>
      <c r="G860" s="206"/>
      <c r="H860" s="207"/>
      <c r="I860" s="207"/>
      <c r="J860" s="207"/>
      <c r="K860" s="207"/>
      <c r="L860" s="207"/>
      <c r="M860" s="207"/>
      <c r="N860" s="207"/>
      <c r="O860" s="207"/>
      <c r="P860" s="207"/>
      <c r="Q860" s="207"/>
      <c r="R860" s="207"/>
      <c r="S860" s="207"/>
      <c r="T860" s="207"/>
      <c r="U860" s="207"/>
      <c r="V860" s="207"/>
      <c r="W860" s="208"/>
      <c r="X860" s="208"/>
      <c r="Y860" s="208"/>
      <c r="Z860" s="208"/>
      <c r="AA860" s="208"/>
      <c r="AB860" s="208"/>
      <c r="AC860" s="208"/>
      <c r="AD860" s="208"/>
      <c r="AE860" s="208"/>
      <c r="AF860" s="208"/>
      <c r="AG860" s="208"/>
      <c r="AH860" s="208"/>
      <c r="AI860" s="100"/>
      <c r="AJ860" s="319"/>
      <c r="AK860" s="319"/>
      <c r="AL860" s="319"/>
      <c r="AM860" s="319"/>
      <c r="AN860" s="319"/>
      <c r="AO860" s="319"/>
      <c r="AP860" s="319"/>
      <c r="AQ860" s="319"/>
      <c r="AR860" s="319"/>
      <c r="AS860" s="319"/>
      <c r="AT860" s="319"/>
      <c r="AU860" s="319"/>
      <c r="AV860" s="319"/>
      <c r="AW860" s="319"/>
      <c r="AX860" s="319"/>
      <c r="AY860" s="319"/>
      <c r="AZ860" s="319"/>
      <c r="BA860" s="319"/>
      <c r="BB860" s="319"/>
      <c r="BC860" s="319"/>
      <c r="BD860" s="319"/>
      <c r="BE860" s="319"/>
      <c r="BF860" s="319"/>
      <c r="BG860" s="319"/>
      <c r="BH860" s="319"/>
      <c r="BI860" s="319"/>
      <c r="BJ860" s="319"/>
      <c r="BK860" s="319"/>
      <c r="BL860" s="319"/>
      <c r="BM860" s="319"/>
      <c r="BN860" s="319"/>
      <c r="BO860" s="319"/>
      <c r="BP860" s="319"/>
      <c r="BQ860" s="319"/>
      <c r="BR860" s="319"/>
    </row>
    <row r="861" ht="14.25" customHeight="1">
      <c r="A861" s="195"/>
      <c r="B861" s="100"/>
      <c r="C861" s="100"/>
      <c r="D861" s="100"/>
      <c r="E861" s="100"/>
      <c r="F861" s="206"/>
      <c r="G861" s="206"/>
      <c r="H861" s="207"/>
      <c r="I861" s="207"/>
      <c r="J861" s="207"/>
      <c r="K861" s="207"/>
      <c r="L861" s="207"/>
      <c r="M861" s="207"/>
      <c r="N861" s="207"/>
      <c r="O861" s="207"/>
      <c r="P861" s="207"/>
      <c r="Q861" s="207"/>
      <c r="R861" s="207"/>
      <c r="S861" s="207"/>
      <c r="T861" s="207"/>
      <c r="U861" s="207"/>
      <c r="V861" s="207"/>
      <c r="W861" s="208"/>
      <c r="X861" s="208"/>
      <c r="Y861" s="208"/>
      <c r="Z861" s="208"/>
      <c r="AA861" s="208"/>
      <c r="AB861" s="208"/>
      <c r="AC861" s="208"/>
      <c r="AD861" s="208"/>
      <c r="AE861" s="208"/>
      <c r="AF861" s="208"/>
      <c r="AG861" s="208"/>
      <c r="AH861" s="208"/>
      <c r="AI861" s="100"/>
      <c r="AJ861" s="319"/>
      <c r="AK861" s="319"/>
      <c r="AL861" s="319"/>
      <c r="AM861" s="319"/>
      <c r="AN861" s="319"/>
      <c r="AO861" s="319"/>
      <c r="AP861" s="319"/>
      <c r="AQ861" s="319"/>
      <c r="AR861" s="319"/>
      <c r="AS861" s="319"/>
      <c r="AT861" s="319"/>
      <c r="AU861" s="319"/>
      <c r="AV861" s="319"/>
      <c r="AW861" s="319"/>
      <c r="AX861" s="319"/>
      <c r="AY861" s="319"/>
      <c r="AZ861" s="319"/>
      <c r="BA861" s="319"/>
      <c r="BB861" s="319"/>
      <c r="BC861" s="319"/>
      <c r="BD861" s="319"/>
      <c r="BE861" s="319"/>
      <c r="BF861" s="319"/>
      <c r="BG861" s="319"/>
      <c r="BH861" s="319"/>
      <c r="BI861" s="319"/>
      <c r="BJ861" s="319"/>
      <c r="BK861" s="319"/>
      <c r="BL861" s="319"/>
      <c r="BM861" s="319"/>
      <c r="BN861" s="319"/>
      <c r="BO861" s="319"/>
      <c r="BP861" s="319"/>
      <c r="BQ861" s="319"/>
      <c r="BR861" s="319"/>
    </row>
    <row r="862" ht="14.25" customHeight="1">
      <c r="A862" s="195"/>
      <c r="B862" s="100"/>
      <c r="C862" s="100"/>
      <c r="D862" s="100"/>
      <c r="E862" s="100"/>
      <c r="F862" s="206"/>
      <c r="G862" s="206"/>
      <c r="H862" s="207"/>
      <c r="I862" s="207"/>
      <c r="J862" s="207"/>
      <c r="K862" s="207"/>
      <c r="L862" s="207"/>
      <c r="M862" s="207"/>
      <c r="N862" s="207"/>
      <c r="O862" s="207"/>
      <c r="P862" s="207"/>
      <c r="Q862" s="207"/>
      <c r="R862" s="207"/>
      <c r="S862" s="207"/>
      <c r="T862" s="207"/>
      <c r="U862" s="207"/>
      <c r="V862" s="207"/>
      <c r="W862" s="208"/>
      <c r="X862" s="208"/>
      <c r="Y862" s="208"/>
      <c r="Z862" s="208"/>
      <c r="AA862" s="208"/>
      <c r="AB862" s="208"/>
      <c r="AC862" s="208"/>
      <c r="AD862" s="208"/>
      <c r="AE862" s="208"/>
      <c r="AF862" s="208"/>
      <c r="AG862" s="208"/>
      <c r="AH862" s="208"/>
      <c r="AI862" s="100"/>
      <c r="AJ862" s="319"/>
      <c r="AK862" s="319"/>
      <c r="AL862" s="319"/>
      <c r="AM862" s="319"/>
      <c r="AN862" s="319"/>
      <c r="AO862" s="319"/>
      <c r="AP862" s="319"/>
      <c r="AQ862" s="319"/>
      <c r="AR862" s="319"/>
      <c r="AS862" s="319"/>
      <c r="AT862" s="319"/>
      <c r="AU862" s="319"/>
      <c r="AV862" s="319"/>
      <c r="AW862" s="319"/>
      <c r="AX862" s="319"/>
      <c r="AY862" s="319"/>
      <c r="AZ862" s="319"/>
      <c r="BA862" s="319"/>
      <c r="BB862" s="319"/>
      <c r="BC862" s="319"/>
      <c r="BD862" s="319"/>
      <c r="BE862" s="319"/>
      <c r="BF862" s="319"/>
      <c r="BG862" s="319"/>
      <c r="BH862" s="319"/>
      <c r="BI862" s="319"/>
      <c r="BJ862" s="319"/>
      <c r="BK862" s="319"/>
      <c r="BL862" s="319"/>
      <c r="BM862" s="319"/>
      <c r="BN862" s="319"/>
      <c r="BO862" s="319"/>
      <c r="BP862" s="319"/>
      <c r="BQ862" s="319"/>
      <c r="BR862" s="319"/>
    </row>
    <row r="863" ht="14.25" customHeight="1">
      <c r="A863" s="195"/>
      <c r="B863" s="100"/>
      <c r="C863" s="100"/>
      <c r="D863" s="100"/>
      <c r="E863" s="100"/>
      <c r="F863" s="206"/>
      <c r="G863" s="206"/>
      <c r="H863" s="207"/>
      <c r="I863" s="207"/>
      <c r="J863" s="207"/>
      <c r="K863" s="207"/>
      <c r="L863" s="207"/>
      <c r="M863" s="207"/>
      <c r="N863" s="207"/>
      <c r="O863" s="207"/>
      <c r="P863" s="207"/>
      <c r="Q863" s="207"/>
      <c r="R863" s="207"/>
      <c r="S863" s="207"/>
      <c r="T863" s="207"/>
      <c r="U863" s="207"/>
      <c r="V863" s="207"/>
      <c r="W863" s="208"/>
      <c r="X863" s="208"/>
      <c r="Y863" s="208"/>
      <c r="Z863" s="208"/>
      <c r="AA863" s="208"/>
      <c r="AB863" s="208"/>
      <c r="AC863" s="208"/>
      <c r="AD863" s="208"/>
      <c r="AE863" s="208"/>
      <c r="AF863" s="208"/>
      <c r="AG863" s="208"/>
      <c r="AH863" s="208"/>
      <c r="AI863" s="100"/>
      <c r="AJ863" s="319"/>
      <c r="AK863" s="319"/>
      <c r="AL863" s="319"/>
      <c r="AM863" s="319"/>
      <c r="AN863" s="319"/>
      <c r="AO863" s="319"/>
      <c r="AP863" s="319"/>
      <c r="AQ863" s="319"/>
      <c r="AR863" s="319"/>
      <c r="AS863" s="319"/>
      <c r="AT863" s="319"/>
      <c r="AU863" s="319"/>
      <c r="AV863" s="319"/>
      <c r="AW863" s="319"/>
      <c r="AX863" s="319"/>
      <c r="AY863" s="319"/>
      <c r="AZ863" s="319"/>
      <c r="BA863" s="319"/>
      <c r="BB863" s="319"/>
      <c r="BC863" s="319"/>
      <c r="BD863" s="319"/>
      <c r="BE863" s="319"/>
      <c r="BF863" s="319"/>
      <c r="BG863" s="319"/>
      <c r="BH863" s="319"/>
      <c r="BI863" s="319"/>
      <c r="BJ863" s="319"/>
      <c r="BK863" s="319"/>
      <c r="BL863" s="319"/>
      <c r="BM863" s="319"/>
      <c r="BN863" s="319"/>
      <c r="BO863" s="319"/>
      <c r="BP863" s="319"/>
      <c r="BQ863" s="319"/>
      <c r="BR863" s="319"/>
    </row>
    <row r="864" ht="14.25" customHeight="1">
      <c r="A864" s="195"/>
      <c r="B864" s="100"/>
      <c r="C864" s="100"/>
      <c r="D864" s="100"/>
      <c r="E864" s="100"/>
      <c r="F864" s="206"/>
      <c r="G864" s="206"/>
      <c r="H864" s="207"/>
      <c r="I864" s="207"/>
      <c r="J864" s="207"/>
      <c r="K864" s="207"/>
      <c r="L864" s="207"/>
      <c r="M864" s="207"/>
      <c r="N864" s="207"/>
      <c r="O864" s="207"/>
      <c r="P864" s="207"/>
      <c r="Q864" s="207"/>
      <c r="R864" s="207"/>
      <c r="S864" s="207"/>
      <c r="T864" s="207"/>
      <c r="U864" s="207"/>
      <c r="V864" s="207"/>
      <c r="W864" s="208"/>
      <c r="X864" s="208"/>
      <c r="Y864" s="208"/>
      <c r="Z864" s="208"/>
      <c r="AA864" s="208"/>
      <c r="AB864" s="208"/>
      <c r="AC864" s="208"/>
      <c r="AD864" s="208"/>
      <c r="AE864" s="208"/>
      <c r="AF864" s="208"/>
      <c r="AG864" s="208"/>
      <c r="AH864" s="208"/>
      <c r="AI864" s="100"/>
      <c r="AJ864" s="319"/>
      <c r="AK864" s="319"/>
      <c r="AL864" s="319"/>
      <c r="AM864" s="319"/>
      <c r="AN864" s="319"/>
      <c r="AO864" s="319"/>
      <c r="AP864" s="319"/>
      <c r="AQ864" s="319"/>
      <c r="AR864" s="319"/>
      <c r="AS864" s="319"/>
      <c r="AT864" s="319"/>
      <c r="AU864" s="319"/>
      <c r="AV864" s="319"/>
      <c r="AW864" s="319"/>
      <c r="AX864" s="319"/>
      <c r="AY864" s="319"/>
      <c r="AZ864" s="319"/>
      <c r="BA864" s="319"/>
      <c r="BB864" s="319"/>
      <c r="BC864" s="319"/>
      <c r="BD864" s="319"/>
      <c r="BE864" s="319"/>
      <c r="BF864" s="319"/>
      <c r="BG864" s="319"/>
      <c r="BH864" s="319"/>
      <c r="BI864" s="319"/>
      <c r="BJ864" s="319"/>
      <c r="BK864" s="319"/>
      <c r="BL864" s="319"/>
      <c r="BM864" s="319"/>
      <c r="BN864" s="319"/>
      <c r="BO864" s="319"/>
      <c r="BP864" s="319"/>
      <c r="BQ864" s="319"/>
      <c r="BR864" s="319"/>
    </row>
    <row r="865" ht="14.25" customHeight="1">
      <c r="A865" s="195"/>
      <c r="B865" s="100"/>
      <c r="C865" s="100"/>
      <c r="D865" s="100"/>
      <c r="E865" s="100"/>
      <c r="F865" s="206"/>
      <c r="G865" s="206"/>
      <c r="H865" s="207"/>
      <c r="I865" s="207"/>
      <c r="J865" s="207"/>
      <c r="K865" s="207"/>
      <c r="L865" s="207"/>
      <c r="M865" s="207"/>
      <c r="N865" s="207"/>
      <c r="O865" s="207"/>
      <c r="P865" s="207"/>
      <c r="Q865" s="207"/>
      <c r="R865" s="207"/>
      <c r="S865" s="207"/>
      <c r="T865" s="207"/>
      <c r="U865" s="207"/>
      <c r="V865" s="207"/>
      <c r="W865" s="208"/>
      <c r="X865" s="208"/>
      <c r="Y865" s="208"/>
      <c r="Z865" s="208"/>
      <c r="AA865" s="208"/>
      <c r="AB865" s="208"/>
      <c r="AC865" s="208"/>
      <c r="AD865" s="208"/>
      <c r="AE865" s="208"/>
      <c r="AF865" s="208"/>
      <c r="AG865" s="208"/>
      <c r="AH865" s="208"/>
      <c r="AI865" s="100"/>
      <c r="AJ865" s="319"/>
      <c r="AK865" s="319"/>
      <c r="AL865" s="319"/>
      <c r="AM865" s="319"/>
      <c r="AN865" s="319"/>
      <c r="AO865" s="319"/>
      <c r="AP865" s="319"/>
      <c r="AQ865" s="319"/>
      <c r="AR865" s="319"/>
      <c r="AS865" s="319"/>
      <c r="AT865" s="319"/>
      <c r="AU865" s="319"/>
      <c r="AV865" s="319"/>
      <c r="AW865" s="319"/>
      <c r="AX865" s="319"/>
      <c r="AY865" s="319"/>
      <c r="AZ865" s="319"/>
      <c r="BA865" s="319"/>
      <c r="BB865" s="319"/>
      <c r="BC865" s="319"/>
      <c r="BD865" s="319"/>
      <c r="BE865" s="319"/>
      <c r="BF865" s="319"/>
      <c r="BG865" s="319"/>
      <c r="BH865" s="319"/>
      <c r="BI865" s="319"/>
      <c r="BJ865" s="319"/>
      <c r="BK865" s="319"/>
      <c r="BL865" s="319"/>
      <c r="BM865" s="319"/>
      <c r="BN865" s="319"/>
      <c r="BO865" s="319"/>
      <c r="BP865" s="319"/>
      <c r="BQ865" s="319"/>
      <c r="BR865" s="319"/>
    </row>
    <row r="866" ht="14.25" customHeight="1">
      <c r="A866" s="195"/>
      <c r="B866" s="100"/>
      <c r="C866" s="100"/>
      <c r="D866" s="100"/>
      <c r="E866" s="100"/>
      <c r="F866" s="206"/>
      <c r="G866" s="206"/>
      <c r="H866" s="207"/>
      <c r="I866" s="207"/>
      <c r="J866" s="207"/>
      <c r="K866" s="207"/>
      <c r="L866" s="207"/>
      <c r="M866" s="207"/>
      <c r="N866" s="207"/>
      <c r="O866" s="207"/>
      <c r="P866" s="207"/>
      <c r="Q866" s="207"/>
      <c r="R866" s="207"/>
      <c r="S866" s="207"/>
      <c r="T866" s="207"/>
      <c r="U866" s="207"/>
      <c r="V866" s="207"/>
      <c r="W866" s="208"/>
      <c r="X866" s="208"/>
      <c r="Y866" s="208"/>
      <c r="Z866" s="208"/>
      <c r="AA866" s="208"/>
      <c r="AB866" s="208"/>
      <c r="AC866" s="208"/>
      <c r="AD866" s="208"/>
      <c r="AE866" s="208"/>
      <c r="AF866" s="208"/>
      <c r="AG866" s="208"/>
      <c r="AH866" s="208"/>
      <c r="AI866" s="100"/>
      <c r="AJ866" s="319"/>
      <c r="AK866" s="319"/>
      <c r="AL866" s="319"/>
      <c r="AM866" s="319"/>
      <c r="AN866" s="319"/>
      <c r="AO866" s="319"/>
      <c r="AP866" s="319"/>
      <c r="AQ866" s="319"/>
      <c r="AR866" s="319"/>
      <c r="AS866" s="319"/>
      <c r="AT866" s="319"/>
      <c r="AU866" s="319"/>
      <c r="AV866" s="319"/>
      <c r="AW866" s="319"/>
      <c r="AX866" s="319"/>
      <c r="AY866" s="319"/>
      <c r="AZ866" s="319"/>
      <c r="BA866" s="319"/>
      <c r="BB866" s="319"/>
      <c r="BC866" s="319"/>
      <c r="BD866" s="319"/>
      <c r="BE866" s="319"/>
      <c r="BF866" s="319"/>
      <c r="BG866" s="319"/>
      <c r="BH866" s="319"/>
      <c r="BI866" s="319"/>
      <c r="BJ866" s="319"/>
      <c r="BK866" s="319"/>
      <c r="BL866" s="319"/>
      <c r="BM866" s="319"/>
      <c r="BN866" s="319"/>
      <c r="BO866" s="319"/>
      <c r="BP866" s="319"/>
      <c r="BQ866" s="319"/>
      <c r="BR866" s="319"/>
    </row>
    <row r="867" ht="14.25" customHeight="1">
      <c r="A867" s="195"/>
      <c r="B867" s="100"/>
      <c r="C867" s="100"/>
      <c r="D867" s="100"/>
      <c r="E867" s="100"/>
      <c r="F867" s="206"/>
      <c r="G867" s="206"/>
      <c r="H867" s="207"/>
      <c r="I867" s="207"/>
      <c r="J867" s="207"/>
      <c r="K867" s="207"/>
      <c r="L867" s="207"/>
      <c r="M867" s="207"/>
      <c r="N867" s="207"/>
      <c r="O867" s="207"/>
      <c r="P867" s="207"/>
      <c r="Q867" s="207"/>
      <c r="R867" s="207"/>
      <c r="S867" s="207"/>
      <c r="T867" s="207"/>
      <c r="U867" s="207"/>
      <c r="V867" s="207"/>
      <c r="W867" s="208"/>
      <c r="X867" s="208"/>
      <c r="Y867" s="208"/>
      <c r="Z867" s="208"/>
      <c r="AA867" s="208"/>
      <c r="AB867" s="208"/>
      <c r="AC867" s="208"/>
      <c r="AD867" s="208"/>
      <c r="AE867" s="208"/>
      <c r="AF867" s="208"/>
      <c r="AG867" s="208"/>
      <c r="AH867" s="208"/>
      <c r="AI867" s="100"/>
      <c r="AJ867" s="319"/>
      <c r="AK867" s="319"/>
      <c r="AL867" s="319"/>
      <c r="AM867" s="319"/>
      <c r="AN867" s="319"/>
      <c r="AO867" s="319"/>
      <c r="AP867" s="319"/>
      <c r="AQ867" s="319"/>
      <c r="AR867" s="319"/>
      <c r="AS867" s="319"/>
      <c r="AT867" s="319"/>
      <c r="AU867" s="319"/>
      <c r="AV867" s="319"/>
      <c r="AW867" s="319"/>
      <c r="AX867" s="319"/>
      <c r="AY867" s="319"/>
      <c r="AZ867" s="319"/>
      <c r="BA867" s="319"/>
      <c r="BB867" s="319"/>
      <c r="BC867" s="319"/>
      <c r="BD867" s="319"/>
      <c r="BE867" s="319"/>
      <c r="BF867" s="319"/>
      <c r="BG867" s="319"/>
      <c r="BH867" s="319"/>
      <c r="BI867" s="319"/>
      <c r="BJ867" s="319"/>
      <c r="BK867" s="319"/>
      <c r="BL867" s="319"/>
      <c r="BM867" s="319"/>
      <c r="BN867" s="319"/>
      <c r="BO867" s="319"/>
      <c r="BP867" s="319"/>
      <c r="BQ867" s="319"/>
      <c r="BR867" s="319"/>
    </row>
    <row r="868" ht="14.25" customHeight="1">
      <c r="A868" s="195"/>
      <c r="B868" s="100"/>
      <c r="C868" s="100"/>
      <c r="D868" s="100"/>
      <c r="E868" s="100"/>
      <c r="F868" s="206"/>
      <c r="G868" s="206"/>
      <c r="H868" s="207"/>
      <c r="I868" s="207"/>
      <c r="J868" s="207"/>
      <c r="K868" s="207"/>
      <c r="L868" s="207"/>
      <c r="M868" s="207"/>
      <c r="N868" s="207"/>
      <c r="O868" s="207"/>
      <c r="P868" s="207"/>
      <c r="Q868" s="207"/>
      <c r="R868" s="207"/>
      <c r="S868" s="207"/>
      <c r="T868" s="207"/>
      <c r="U868" s="207"/>
      <c r="V868" s="207"/>
      <c r="W868" s="208"/>
      <c r="X868" s="208"/>
      <c r="Y868" s="208"/>
      <c r="Z868" s="208"/>
      <c r="AA868" s="208"/>
      <c r="AB868" s="208"/>
      <c r="AC868" s="208"/>
      <c r="AD868" s="208"/>
      <c r="AE868" s="208"/>
      <c r="AF868" s="208"/>
      <c r="AG868" s="208"/>
      <c r="AH868" s="208"/>
      <c r="AI868" s="100"/>
      <c r="AJ868" s="319"/>
      <c r="AK868" s="319"/>
      <c r="AL868" s="319"/>
      <c r="AM868" s="319"/>
      <c r="AN868" s="319"/>
      <c r="AO868" s="319"/>
      <c r="AP868" s="319"/>
      <c r="AQ868" s="319"/>
      <c r="AR868" s="319"/>
      <c r="AS868" s="319"/>
      <c r="AT868" s="319"/>
      <c r="AU868" s="319"/>
      <c r="AV868" s="319"/>
      <c r="AW868" s="319"/>
      <c r="AX868" s="319"/>
      <c r="AY868" s="319"/>
      <c r="AZ868" s="319"/>
      <c r="BA868" s="319"/>
      <c r="BB868" s="319"/>
      <c r="BC868" s="319"/>
      <c r="BD868" s="319"/>
      <c r="BE868" s="319"/>
      <c r="BF868" s="319"/>
      <c r="BG868" s="319"/>
      <c r="BH868" s="319"/>
      <c r="BI868" s="319"/>
      <c r="BJ868" s="319"/>
      <c r="BK868" s="319"/>
      <c r="BL868" s="319"/>
      <c r="BM868" s="319"/>
      <c r="BN868" s="319"/>
      <c r="BO868" s="319"/>
      <c r="BP868" s="319"/>
      <c r="BQ868" s="319"/>
      <c r="BR868" s="319"/>
    </row>
    <row r="869" ht="14.25" customHeight="1">
      <c r="A869" s="195"/>
      <c r="B869" s="100"/>
      <c r="C869" s="100"/>
      <c r="D869" s="100"/>
      <c r="E869" s="100"/>
      <c r="F869" s="206"/>
      <c r="G869" s="206"/>
      <c r="H869" s="207"/>
      <c r="I869" s="207"/>
      <c r="J869" s="207"/>
      <c r="K869" s="207"/>
      <c r="L869" s="207"/>
      <c r="M869" s="207"/>
      <c r="N869" s="207"/>
      <c r="O869" s="207"/>
      <c r="P869" s="207"/>
      <c r="Q869" s="207"/>
      <c r="R869" s="207"/>
      <c r="S869" s="207"/>
      <c r="T869" s="207"/>
      <c r="U869" s="207"/>
      <c r="V869" s="207"/>
      <c r="W869" s="208"/>
      <c r="X869" s="208"/>
      <c r="Y869" s="208"/>
      <c r="Z869" s="208"/>
      <c r="AA869" s="208"/>
      <c r="AB869" s="208"/>
      <c r="AC869" s="208"/>
      <c r="AD869" s="208"/>
      <c r="AE869" s="208"/>
      <c r="AF869" s="208"/>
      <c r="AG869" s="208"/>
      <c r="AH869" s="208"/>
      <c r="AI869" s="100"/>
      <c r="AJ869" s="319"/>
      <c r="AK869" s="319"/>
      <c r="AL869" s="319"/>
      <c r="AM869" s="319"/>
      <c r="AN869" s="319"/>
      <c r="AO869" s="319"/>
      <c r="AP869" s="319"/>
      <c r="AQ869" s="319"/>
      <c r="AR869" s="319"/>
      <c r="AS869" s="319"/>
      <c r="AT869" s="319"/>
      <c r="AU869" s="319"/>
      <c r="AV869" s="319"/>
      <c r="AW869" s="319"/>
      <c r="AX869" s="319"/>
      <c r="AY869" s="319"/>
      <c r="AZ869" s="319"/>
      <c r="BA869" s="319"/>
      <c r="BB869" s="319"/>
      <c r="BC869" s="319"/>
      <c r="BD869" s="319"/>
      <c r="BE869" s="319"/>
      <c r="BF869" s="319"/>
      <c r="BG869" s="319"/>
      <c r="BH869" s="319"/>
      <c r="BI869" s="319"/>
      <c r="BJ869" s="319"/>
      <c r="BK869" s="319"/>
      <c r="BL869" s="319"/>
      <c r="BM869" s="319"/>
      <c r="BN869" s="319"/>
      <c r="BO869" s="319"/>
      <c r="BP869" s="319"/>
      <c r="BQ869" s="319"/>
      <c r="BR869" s="319"/>
    </row>
    <row r="870" ht="14.25" customHeight="1">
      <c r="A870" s="195"/>
      <c r="B870" s="100"/>
      <c r="C870" s="100"/>
      <c r="D870" s="100"/>
      <c r="E870" s="100"/>
      <c r="F870" s="206"/>
      <c r="G870" s="206"/>
      <c r="H870" s="207"/>
      <c r="I870" s="207"/>
      <c r="J870" s="207"/>
      <c r="K870" s="207"/>
      <c r="L870" s="207"/>
      <c r="M870" s="207"/>
      <c r="N870" s="207"/>
      <c r="O870" s="207"/>
      <c r="P870" s="207"/>
      <c r="Q870" s="207"/>
      <c r="R870" s="207"/>
      <c r="S870" s="207"/>
      <c r="T870" s="207"/>
      <c r="U870" s="207"/>
      <c r="V870" s="207"/>
      <c r="W870" s="208"/>
      <c r="X870" s="208"/>
      <c r="Y870" s="208"/>
      <c r="Z870" s="208"/>
      <c r="AA870" s="208"/>
      <c r="AB870" s="208"/>
      <c r="AC870" s="208"/>
      <c r="AD870" s="208"/>
      <c r="AE870" s="208"/>
      <c r="AF870" s="208"/>
      <c r="AG870" s="208"/>
      <c r="AH870" s="208"/>
      <c r="AI870" s="100"/>
      <c r="AJ870" s="319"/>
      <c r="AK870" s="319"/>
      <c r="AL870" s="319"/>
      <c r="AM870" s="319"/>
      <c r="AN870" s="319"/>
      <c r="AO870" s="319"/>
      <c r="AP870" s="319"/>
      <c r="AQ870" s="319"/>
      <c r="AR870" s="319"/>
      <c r="AS870" s="319"/>
      <c r="AT870" s="319"/>
      <c r="AU870" s="319"/>
      <c r="AV870" s="319"/>
      <c r="AW870" s="319"/>
      <c r="AX870" s="319"/>
      <c r="AY870" s="319"/>
      <c r="AZ870" s="319"/>
      <c r="BA870" s="319"/>
      <c r="BB870" s="319"/>
      <c r="BC870" s="319"/>
      <c r="BD870" s="319"/>
      <c r="BE870" s="319"/>
      <c r="BF870" s="319"/>
      <c r="BG870" s="319"/>
      <c r="BH870" s="319"/>
      <c r="BI870" s="319"/>
      <c r="BJ870" s="319"/>
      <c r="BK870" s="319"/>
      <c r="BL870" s="319"/>
      <c r="BM870" s="319"/>
      <c r="BN870" s="319"/>
      <c r="BO870" s="319"/>
      <c r="BP870" s="319"/>
      <c r="BQ870" s="319"/>
      <c r="BR870" s="319"/>
    </row>
    <row r="871" ht="14.25" customHeight="1">
      <c r="A871" s="195"/>
      <c r="B871" s="100"/>
      <c r="C871" s="100"/>
      <c r="D871" s="100"/>
      <c r="E871" s="100"/>
      <c r="F871" s="206"/>
      <c r="G871" s="206"/>
      <c r="H871" s="207"/>
      <c r="I871" s="207"/>
      <c r="J871" s="207"/>
      <c r="K871" s="207"/>
      <c r="L871" s="207"/>
      <c r="M871" s="207"/>
      <c r="N871" s="207"/>
      <c r="O871" s="207"/>
      <c r="P871" s="207"/>
      <c r="Q871" s="207"/>
      <c r="R871" s="207"/>
      <c r="S871" s="207"/>
      <c r="T871" s="207"/>
      <c r="U871" s="207"/>
      <c r="V871" s="207"/>
      <c r="W871" s="208"/>
      <c r="X871" s="208"/>
      <c r="Y871" s="208"/>
      <c r="Z871" s="208"/>
      <c r="AA871" s="208"/>
      <c r="AB871" s="208"/>
      <c r="AC871" s="208"/>
      <c r="AD871" s="208"/>
      <c r="AE871" s="208"/>
      <c r="AF871" s="208"/>
      <c r="AG871" s="208"/>
      <c r="AH871" s="208"/>
      <c r="AI871" s="100"/>
      <c r="AJ871" s="319"/>
      <c r="AK871" s="319"/>
      <c r="AL871" s="319"/>
      <c r="AM871" s="319"/>
      <c r="AN871" s="319"/>
      <c r="AO871" s="319"/>
      <c r="AP871" s="319"/>
      <c r="AQ871" s="319"/>
      <c r="AR871" s="319"/>
      <c r="AS871" s="319"/>
      <c r="AT871" s="319"/>
      <c r="AU871" s="319"/>
      <c r="AV871" s="319"/>
      <c r="AW871" s="319"/>
      <c r="AX871" s="319"/>
      <c r="AY871" s="319"/>
      <c r="AZ871" s="319"/>
      <c r="BA871" s="319"/>
      <c r="BB871" s="319"/>
      <c r="BC871" s="319"/>
      <c r="BD871" s="319"/>
      <c r="BE871" s="319"/>
      <c r="BF871" s="319"/>
      <c r="BG871" s="319"/>
      <c r="BH871" s="319"/>
      <c r="BI871" s="319"/>
      <c r="BJ871" s="319"/>
      <c r="BK871" s="319"/>
      <c r="BL871" s="319"/>
      <c r="BM871" s="319"/>
      <c r="BN871" s="319"/>
      <c r="BO871" s="319"/>
      <c r="BP871" s="319"/>
      <c r="BQ871" s="319"/>
      <c r="BR871" s="319"/>
    </row>
    <row r="872" ht="14.25" customHeight="1">
      <c r="A872" s="195"/>
      <c r="B872" s="100"/>
      <c r="C872" s="100"/>
      <c r="D872" s="100"/>
      <c r="E872" s="100"/>
      <c r="F872" s="206"/>
      <c r="G872" s="206"/>
      <c r="H872" s="207"/>
      <c r="I872" s="207"/>
      <c r="J872" s="207"/>
      <c r="K872" s="207"/>
      <c r="L872" s="207"/>
      <c r="M872" s="207"/>
      <c r="N872" s="207"/>
      <c r="O872" s="207"/>
      <c r="P872" s="207"/>
      <c r="Q872" s="207"/>
      <c r="R872" s="207"/>
      <c r="S872" s="207"/>
      <c r="T872" s="207"/>
      <c r="U872" s="207"/>
      <c r="V872" s="207"/>
      <c r="W872" s="208"/>
      <c r="X872" s="208"/>
      <c r="Y872" s="208"/>
      <c r="Z872" s="208"/>
      <c r="AA872" s="208"/>
      <c r="AB872" s="208"/>
      <c r="AC872" s="208"/>
      <c r="AD872" s="208"/>
      <c r="AE872" s="208"/>
      <c r="AF872" s="208"/>
      <c r="AG872" s="208"/>
      <c r="AH872" s="208"/>
      <c r="AI872" s="100"/>
      <c r="AJ872" s="319"/>
      <c r="AK872" s="319"/>
      <c r="AL872" s="319"/>
      <c r="AM872" s="319"/>
      <c r="AN872" s="319"/>
      <c r="AO872" s="319"/>
      <c r="AP872" s="319"/>
      <c r="AQ872" s="319"/>
      <c r="AR872" s="319"/>
      <c r="AS872" s="319"/>
      <c r="AT872" s="319"/>
      <c r="AU872" s="319"/>
      <c r="AV872" s="319"/>
      <c r="AW872" s="319"/>
      <c r="AX872" s="319"/>
      <c r="AY872" s="319"/>
      <c r="AZ872" s="319"/>
      <c r="BA872" s="319"/>
      <c r="BB872" s="319"/>
      <c r="BC872" s="319"/>
      <c r="BD872" s="319"/>
      <c r="BE872" s="319"/>
      <c r="BF872" s="319"/>
      <c r="BG872" s="319"/>
      <c r="BH872" s="319"/>
      <c r="BI872" s="319"/>
      <c r="BJ872" s="319"/>
      <c r="BK872" s="319"/>
      <c r="BL872" s="319"/>
      <c r="BM872" s="319"/>
      <c r="BN872" s="319"/>
      <c r="BO872" s="319"/>
      <c r="BP872" s="319"/>
      <c r="BQ872" s="319"/>
      <c r="BR872" s="319"/>
    </row>
    <row r="873" ht="14.25" customHeight="1">
      <c r="A873" s="195"/>
      <c r="B873" s="100"/>
      <c r="C873" s="100"/>
      <c r="D873" s="100"/>
      <c r="E873" s="100"/>
      <c r="F873" s="206"/>
      <c r="G873" s="206"/>
      <c r="H873" s="207"/>
      <c r="I873" s="207"/>
      <c r="J873" s="207"/>
      <c r="K873" s="207"/>
      <c r="L873" s="207"/>
      <c r="M873" s="207"/>
      <c r="N873" s="207"/>
      <c r="O873" s="207"/>
      <c r="P873" s="207"/>
      <c r="Q873" s="207"/>
      <c r="R873" s="207"/>
      <c r="S873" s="207"/>
      <c r="T873" s="207"/>
      <c r="U873" s="207"/>
      <c r="V873" s="207"/>
      <c r="W873" s="208"/>
      <c r="X873" s="208"/>
      <c r="Y873" s="208"/>
      <c r="Z873" s="208"/>
      <c r="AA873" s="208"/>
      <c r="AB873" s="208"/>
      <c r="AC873" s="208"/>
      <c r="AD873" s="208"/>
      <c r="AE873" s="208"/>
      <c r="AF873" s="208"/>
      <c r="AG873" s="208"/>
      <c r="AH873" s="208"/>
      <c r="AI873" s="100"/>
      <c r="AJ873" s="319"/>
      <c r="AK873" s="319"/>
      <c r="AL873" s="319"/>
      <c r="AM873" s="319"/>
      <c r="AN873" s="319"/>
      <c r="AO873" s="319"/>
      <c r="AP873" s="319"/>
      <c r="AQ873" s="319"/>
      <c r="AR873" s="319"/>
      <c r="AS873" s="319"/>
      <c r="AT873" s="319"/>
      <c r="AU873" s="319"/>
      <c r="AV873" s="319"/>
      <c r="AW873" s="319"/>
      <c r="AX873" s="319"/>
      <c r="AY873" s="319"/>
      <c r="AZ873" s="319"/>
      <c r="BA873" s="319"/>
      <c r="BB873" s="319"/>
      <c r="BC873" s="319"/>
      <c r="BD873" s="319"/>
      <c r="BE873" s="319"/>
      <c r="BF873" s="319"/>
      <c r="BG873" s="319"/>
      <c r="BH873" s="319"/>
      <c r="BI873" s="319"/>
      <c r="BJ873" s="319"/>
      <c r="BK873" s="319"/>
      <c r="BL873" s="319"/>
      <c r="BM873" s="319"/>
      <c r="BN873" s="319"/>
      <c r="BO873" s="319"/>
      <c r="BP873" s="319"/>
      <c r="BQ873" s="319"/>
      <c r="BR873" s="319"/>
    </row>
    <row r="874" ht="14.25" customHeight="1">
      <c r="A874" s="195"/>
      <c r="B874" s="100"/>
      <c r="C874" s="100"/>
      <c r="D874" s="100"/>
      <c r="E874" s="100"/>
      <c r="F874" s="206"/>
      <c r="G874" s="206"/>
      <c r="H874" s="207"/>
      <c r="I874" s="207"/>
      <c r="J874" s="207"/>
      <c r="K874" s="207"/>
      <c r="L874" s="207"/>
      <c r="M874" s="207"/>
      <c r="N874" s="207"/>
      <c r="O874" s="207"/>
      <c r="P874" s="207"/>
      <c r="Q874" s="207"/>
      <c r="R874" s="207"/>
      <c r="S874" s="207"/>
      <c r="T874" s="207"/>
      <c r="U874" s="207"/>
      <c r="V874" s="207"/>
      <c r="W874" s="208"/>
      <c r="X874" s="208"/>
      <c r="Y874" s="208"/>
      <c r="Z874" s="208"/>
      <c r="AA874" s="208"/>
      <c r="AB874" s="208"/>
      <c r="AC874" s="208"/>
      <c r="AD874" s="208"/>
      <c r="AE874" s="208"/>
      <c r="AF874" s="208"/>
      <c r="AG874" s="208"/>
      <c r="AH874" s="208"/>
      <c r="AI874" s="100"/>
      <c r="AJ874" s="319"/>
      <c r="AK874" s="319"/>
      <c r="AL874" s="319"/>
      <c r="AM874" s="319"/>
      <c r="AN874" s="319"/>
      <c r="AO874" s="319"/>
      <c r="AP874" s="319"/>
      <c r="AQ874" s="319"/>
      <c r="AR874" s="319"/>
      <c r="AS874" s="319"/>
      <c r="AT874" s="319"/>
      <c r="AU874" s="319"/>
      <c r="AV874" s="319"/>
      <c r="AW874" s="319"/>
      <c r="AX874" s="319"/>
      <c r="AY874" s="319"/>
      <c r="AZ874" s="319"/>
      <c r="BA874" s="319"/>
      <c r="BB874" s="319"/>
      <c r="BC874" s="319"/>
      <c r="BD874" s="319"/>
      <c r="BE874" s="319"/>
      <c r="BF874" s="319"/>
      <c r="BG874" s="319"/>
      <c r="BH874" s="319"/>
      <c r="BI874" s="319"/>
      <c r="BJ874" s="319"/>
      <c r="BK874" s="319"/>
      <c r="BL874" s="319"/>
      <c r="BM874" s="319"/>
      <c r="BN874" s="319"/>
      <c r="BO874" s="319"/>
      <c r="BP874" s="319"/>
      <c r="BQ874" s="319"/>
      <c r="BR874" s="319"/>
    </row>
    <row r="875" ht="14.25" customHeight="1">
      <c r="A875" s="195"/>
      <c r="B875" s="100"/>
      <c r="C875" s="100"/>
      <c r="D875" s="100"/>
      <c r="E875" s="100"/>
      <c r="F875" s="206"/>
      <c r="G875" s="206"/>
      <c r="H875" s="207"/>
      <c r="I875" s="207"/>
      <c r="J875" s="207"/>
      <c r="K875" s="207"/>
      <c r="L875" s="207"/>
      <c r="M875" s="207"/>
      <c r="N875" s="207"/>
      <c r="O875" s="207"/>
      <c r="P875" s="207"/>
      <c r="Q875" s="207"/>
      <c r="R875" s="207"/>
      <c r="S875" s="207"/>
      <c r="T875" s="207"/>
      <c r="U875" s="207"/>
      <c r="V875" s="207"/>
      <c r="W875" s="208"/>
      <c r="X875" s="208"/>
      <c r="Y875" s="208"/>
      <c r="Z875" s="208"/>
      <c r="AA875" s="208"/>
      <c r="AB875" s="208"/>
      <c r="AC875" s="208"/>
      <c r="AD875" s="208"/>
      <c r="AE875" s="208"/>
      <c r="AF875" s="208"/>
      <c r="AG875" s="208"/>
      <c r="AH875" s="208"/>
      <c r="AI875" s="100"/>
      <c r="AJ875" s="319"/>
      <c r="AK875" s="319"/>
      <c r="AL875" s="319"/>
      <c r="AM875" s="319"/>
      <c r="AN875" s="319"/>
      <c r="AO875" s="319"/>
      <c r="AP875" s="319"/>
      <c r="AQ875" s="319"/>
      <c r="AR875" s="319"/>
      <c r="AS875" s="319"/>
      <c r="AT875" s="319"/>
      <c r="AU875" s="319"/>
      <c r="AV875" s="319"/>
      <c r="AW875" s="319"/>
      <c r="AX875" s="319"/>
      <c r="AY875" s="319"/>
      <c r="AZ875" s="319"/>
      <c r="BA875" s="319"/>
      <c r="BB875" s="319"/>
      <c r="BC875" s="319"/>
      <c r="BD875" s="319"/>
      <c r="BE875" s="319"/>
      <c r="BF875" s="319"/>
      <c r="BG875" s="319"/>
      <c r="BH875" s="319"/>
      <c r="BI875" s="319"/>
      <c r="BJ875" s="319"/>
      <c r="BK875" s="319"/>
      <c r="BL875" s="319"/>
      <c r="BM875" s="319"/>
      <c r="BN875" s="319"/>
      <c r="BO875" s="319"/>
      <c r="BP875" s="319"/>
      <c r="BQ875" s="319"/>
      <c r="BR875" s="319"/>
    </row>
    <row r="876" ht="14.25" customHeight="1">
      <c r="A876" s="195"/>
      <c r="B876" s="100"/>
      <c r="C876" s="100"/>
      <c r="D876" s="100"/>
      <c r="E876" s="100"/>
      <c r="F876" s="206"/>
      <c r="G876" s="206"/>
      <c r="H876" s="207"/>
      <c r="I876" s="207"/>
      <c r="J876" s="207"/>
      <c r="K876" s="207"/>
      <c r="L876" s="207"/>
      <c r="M876" s="207"/>
      <c r="N876" s="207"/>
      <c r="O876" s="207"/>
      <c r="P876" s="207"/>
      <c r="Q876" s="207"/>
      <c r="R876" s="207"/>
      <c r="S876" s="207"/>
      <c r="T876" s="207"/>
      <c r="U876" s="207"/>
      <c r="V876" s="207"/>
      <c r="W876" s="208"/>
      <c r="X876" s="208"/>
      <c r="Y876" s="208"/>
      <c r="Z876" s="208"/>
      <c r="AA876" s="208"/>
      <c r="AB876" s="208"/>
      <c r="AC876" s="208"/>
      <c r="AD876" s="208"/>
      <c r="AE876" s="208"/>
      <c r="AF876" s="208"/>
      <c r="AG876" s="208"/>
      <c r="AH876" s="208"/>
      <c r="AI876" s="100"/>
      <c r="AJ876" s="319"/>
      <c r="AK876" s="319"/>
      <c r="AL876" s="319"/>
      <c r="AM876" s="319"/>
      <c r="AN876" s="319"/>
      <c r="AO876" s="319"/>
      <c r="AP876" s="319"/>
      <c r="AQ876" s="319"/>
      <c r="AR876" s="319"/>
      <c r="AS876" s="319"/>
      <c r="AT876" s="319"/>
      <c r="AU876" s="319"/>
      <c r="AV876" s="319"/>
      <c r="AW876" s="319"/>
      <c r="AX876" s="319"/>
      <c r="AY876" s="319"/>
      <c r="AZ876" s="319"/>
      <c r="BA876" s="319"/>
      <c r="BB876" s="319"/>
      <c r="BC876" s="319"/>
      <c r="BD876" s="319"/>
      <c r="BE876" s="319"/>
      <c r="BF876" s="319"/>
      <c r="BG876" s="319"/>
      <c r="BH876" s="319"/>
      <c r="BI876" s="319"/>
      <c r="BJ876" s="319"/>
      <c r="BK876" s="319"/>
      <c r="BL876" s="319"/>
      <c r="BM876" s="319"/>
      <c r="BN876" s="319"/>
      <c r="BO876" s="319"/>
      <c r="BP876" s="319"/>
      <c r="BQ876" s="319"/>
      <c r="BR876" s="319"/>
    </row>
    <row r="877" ht="14.25" customHeight="1">
      <c r="A877" s="195"/>
      <c r="B877" s="100"/>
      <c r="C877" s="100"/>
      <c r="D877" s="100"/>
      <c r="E877" s="100"/>
      <c r="F877" s="206"/>
      <c r="G877" s="206"/>
      <c r="H877" s="207"/>
      <c r="I877" s="207"/>
      <c r="J877" s="207"/>
      <c r="K877" s="207"/>
      <c r="L877" s="207"/>
      <c r="M877" s="207"/>
      <c r="N877" s="207"/>
      <c r="O877" s="207"/>
      <c r="P877" s="207"/>
      <c r="Q877" s="207"/>
      <c r="R877" s="207"/>
      <c r="S877" s="207"/>
      <c r="T877" s="207"/>
      <c r="U877" s="207"/>
      <c r="V877" s="207"/>
      <c r="W877" s="208"/>
      <c r="X877" s="208"/>
      <c r="Y877" s="208"/>
      <c r="Z877" s="208"/>
      <c r="AA877" s="208"/>
      <c r="AB877" s="208"/>
      <c r="AC877" s="208"/>
      <c r="AD877" s="208"/>
      <c r="AE877" s="208"/>
      <c r="AF877" s="208"/>
      <c r="AG877" s="208"/>
      <c r="AH877" s="208"/>
      <c r="AI877" s="100"/>
      <c r="AJ877" s="319"/>
      <c r="AK877" s="319"/>
      <c r="AL877" s="319"/>
      <c r="AM877" s="319"/>
      <c r="AN877" s="319"/>
      <c r="AO877" s="319"/>
      <c r="AP877" s="319"/>
      <c r="AQ877" s="319"/>
      <c r="AR877" s="319"/>
      <c r="AS877" s="319"/>
      <c r="AT877" s="319"/>
      <c r="AU877" s="319"/>
      <c r="AV877" s="319"/>
      <c r="AW877" s="319"/>
      <c r="AX877" s="319"/>
      <c r="AY877" s="319"/>
      <c r="AZ877" s="319"/>
      <c r="BA877" s="319"/>
      <c r="BB877" s="319"/>
      <c r="BC877" s="319"/>
      <c r="BD877" s="319"/>
      <c r="BE877" s="319"/>
      <c r="BF877" s="319"/>
      <c r="BG877" s="319"/>
      <c r="BH877" s="319"/>
      <c r="BI877" s="319"/>
      <c r="BJ877" s="319"/>
      <c r="BK877" s="319"/>
      <c r="BL877" s="319"/>
      <c r="BM877" s="319"/>
      <c r="BN877" s="319"/>
      <c r="BO877" s="319"/>
      <c r="BP877" s="319"/>
      <c r="BQ877" s="319"/>
      <c r="BR877" s="319"/>
    </row>
    <row r="878" ht="14.25" customHeight="1">
      <c r="A878" s="195"/>
      <c r="B878" s="100"/>
      <c r="C878" s="100"/>
      <c r="D878" s="100"/>
      <c r="E878" s="100"/>
      <c r="F878" s="206"/>
      <c r="G878" s="206"/>
      <c r="H878" s="207"/>
      <c r="I878" s="207"/>
      <c r="J878" s="207"/>
      <c r="K878" s="207"/>
      <c r="L878" s="207"/>
      <c r="M878" s="207"/>
      <c r="N878" s="207"/>
      <c r="O878" s="207"/>
      <c r="P878" s="207"/>
      <c r="Q878" s="207"/>
      <c r="R878" s="207"/>
      <c r="S878" s="207"/>
      <c r="T878" s="207"/>
      <c r="U878" s="207"/>
      <c r="V878" s="207"/>
      <c r="W878" s="208"/>
      <c r="X878" s="208"/>
      <c r="Y878" s="208"/>
      <c r="Z878" s="208"/>
      <c r="AA878" s="208"/>
      <c r="AB878" s="208"/>
      <c r="AC878" s="208"/>
      <c r="AD878" s="208"/>
      <c r="AE878" s="208"/>
      <c r="AF878" s="208"/>
      <c r="AG878" s="208"/>
      <c r="AH878" s="208"/>
      <c r="AI878" s="100"/>
      <c r="AJ878" s="319"/>
      <c r="AK878" s="319"/>
      <c r="AL878" s="319"/>
      <c r="AM878" s="319"/>
      <c r="AN878" s="319"/>
      <c r="AO878" s="319"/>
      <c r="AP878" s="319"/>
      <c r="AQ878" s="319"/>
      <c r="AR878" s="319"/>
      <c r="AS878" s="319"/>
      <c r="AT878" s="319"/>
      <c r="AU878" s="319"/>
      <c r="AV878" s="319"/>
      <c r="AW878" s="319"/>
      <c r="AX878" s="319"/>
      <c r="AY878" s="319"/>
      <c r="AZ878" s="319"/>
      <c r="BA878" s="319"/>
      <c r="BB878" s="319"/>
      <c r="BC878" s="319"/>
      <c r="BD878" s="319"/>
      <c r="BE878" s="319"/>
      <c r="BF878" s="319"/>
      <c r="BG878" s="319"/>
      <c r="BH878" s="319"/>
      <c r="BI878" s="319"/>
      <c r="BJ878" s="319"/>
      <c r="BK878" s="319"/>
      <c r="BL878" s="319"/>
      <c r="BM878" s="319"/>
      <c r="BN878" s="319"/>
      <c r="BO878" s="319"/>
      <c r="BP878" s="319"/>
      <c r="BQ878" s="319"/>
      <c r="BR878" s="319"/>
    </row>
    <row r="879" ht="14.25" customHeight="1">
      <c r="A879" s="195"/>
      <c r="B879" s="100"/>
      <c r="C879" s="100"/>
      <c r="D879" s="100"/>
      <c r="E879" s="100"/>
      <c r="F879" s="206"/>
      <c r="G879" s="206"/>
      <c r="H879" s="207"/>
      <c r="I879" s="207"/>
      <c r="J879" s="207"/>
      <c r="K879" s="207"/>
      <c r="L879" s="207"/>
      <c r="M879" s="207"/>
      <c r="N879" s="207"/>
      <c r="O879" s="207"/>
      <c r="P879" s="207"/>
      <c r="Q879" s="207"/>
      <c r="R879" s="207"/>
      <c r="S879" s="207"/>
      <c r="T879" s="207"/>
      <c r="U879" s="207"/>
      <c r="V879" s="207"/>
      <c r="W879" s="208"/>
      <c r="X879" s="208"/>
      <c r="Y879" s="208"/>
      <c r="Z879" s="208"/>
      <c r="AA879" s="208"/>
      <c r="AB879" s="208"/>
      <c r="AC879" s="208"/>
      <c r="AD879" s="208"/>
      <c r="AE879" s="208"/>
      <c r="AF879" s="208"/>
      <c r="AG879" s="208"/>
      <c r="AH879" s="208"/>
      <c r="AI879" s="100"/>
      <c r="AJ879" s="319"/>
      <c r="AK879" s="319"/>
      <c r="AL879" s="319"/>
      <c r="AM879" s="319"/>
      <c r="AN879" s="319"/>
      <c r="AO879" s="319"/>
      <c r="AP879" s="319"/>
      <c r="AQ879" s="319"/>
      <c r="AR879" s="319"/>
      <c r="AS879" s="319"/>
      <c r="AT879" s="319"/>
      <c r="AU879" s="319"/>
      <c r="AV879" s="319"/>
      <c r="AW879" s="319"/>
      <c r="AX879" s="319"/>
      <c r="AY879" s="319"/>
      <c r="AZ879" s="319"/>
      <c r="BA879" s="319"/>
      <c r="BB879" s="319"/>
      <c r="BC879" s="319"/>
      <c r="BD879" s="319"/>
      <c r="BE879" s="319"/>
      <c r="BF879" s="319"/>
      <c r="BG879" s="319"/>
      <c r="BH879" s="319"/>
      <c r="BI879" s="319"/>
      <c r="BJ879" s="319"/>
      <c r="BK879" s="319"/>
      <c r="BL879" s="319"/>
      <c r="BM879" s="319"/>
      <c r="BN879" s="319"/>
      <c r="BO879" s="319"/>
      <c r="BP879" s="319"/>
      <c r="BQ879" s="319"/>
      <c r="BR879" s="319"/>
    </row>
    <row r="880" ht="14.25" customHeight="1">
      <c r="A880" s="195"/>
      <c r="B880" s="100"/>
      <c r="C880" s="100"/>
      <c r="D880" s="100"/>
      <c r="E880" s="100"/>
      <c r="F880" s="206"/>
      <c r="G880" s="206"/>
      <c r="H880" s="207"/>
      <c r="I880" s="207"/>
      <c r="J880" s="207"/>
      <c r="K880" s="207"/>
      <c r="L880" s="207"/>
      <c r="M880" s="207"/>
      <c r="N880" s="207"/>
      <c r="O880" s="207"/>
      <c r="P880" s="207"/>
      <c r="Q880" s="207"/>
      <c r="R880" s="207"/>
      <c r="S880" s="207"/>
      <c r="T880" s="207"/>
      <c r="U880" s="207"/>
      <c r="V880" s="207"/>
      <c r="W880" s="208"/>
      <c r="X880" s="208"/>
      <c r="Y880" s="208"/>
      <c r="Z880" s="208"/>
      <c r="AA880" s="208"/>
      <c r="AB880" s="208"/>
      <c r="AC880" s="208"/>
      <c r="AD880" s="208"/>
      <c r="AE880" s="208"/>
      <c r="AF880" s="208"/>
      <c r="AG880" s="208"/>
      <c r="AH880" s="208"/>
      <c r="AI880" s="100"/>
      <c r="AJ880" s="319"/>
      <c r="AK880" s="319"/>
      <c r="AL880" s="319"/>
      <c r="AM880" s="319"/>
      <c r="AN880" s="319"/>
      <c r="AO880" s="319"/>
      <c r="AP880" s="319"/>
      <c r="AQ880" s="319"/>
      <c r="AR880" s="319"/>
      <c r="AS880" s="319"/>
      <c r="AT880" s="319"/>
      <c r="AU880" s="319"/>
      <c r="AV880" s="319"/>
      <c r="AW880" s="319"/>
      <c r="AX880" s="319"/>
      <c r="AY880" s="319"/>
      <c r="AZ880" s="319"/>
      <c r="BA880" s="319"/>
      <c r="BB880" s="319"/>
      <c r="BC880" s="319"/>
      <c r="BD880" s="319"/>
      <c r="BE880" s="319"/>
      <c r="BF880" s="319"/>
      <c r="BG880" s="319"/>
      <c r="BH880" s="319"/>
      <c r="BI880" s="319"/>
      <c r="BJ880" s="319"/>
      <c r="BK880" s="319"/>
      <c r="BL880" s="319"/>
      <c r="BM880" s="319"/>
      <c r="BN880" s="319"/>
      <c r="BO880" s="319"/>
      <c r="BP880" s="319"/>
      <c r="BQ880" s="319"/>
      <c r="BR880" s="319"/>
    </row>
    <row r="881" ht="14.25" customHeight="1">
      <c r="A881" s="195"/>
      <c r="B881" s="100"/>
      <c r="C881" s="100"/>
      <c r="D881" s="100"/>
      <c r="E881" s="100"/>
      <c r="F881" s="206"/>
      <c r="G881" s="206"/>
      <c r="H881" s="207"/>
      <c r="I881" s="207"/>
      <c r="J881" s="207"/>
      <c r="K881" s="207"/>
      <c r="L881" s="207"/>
      <c r="M881" s="207"/>
      <c r="N881" s="207"/>
      <c r="O881" s="207"/>
      <c r="P881" s="207"/>
      <c r="Q881" s="207"/>
      <c r="R881" s="207"/>
      <c r="S881" s="207"/>
      <c r="T881" s="207"/>
      <c r="U881" s="207"/>
      <c r="V881" s="207"/>
      <c r="W881" s="208"/>
      <c r="X881" s="208"/>
      <c r="Y881" s="208"/>
      <c r="Z881" s="208"/>
      <c r="AA881" s="208"/>
      <c r="AB881" s="208"/>
      <c r="AC881" s="208"/>
      <c r="AD881" s="208"/>
      <c r="AE881" s="208"/>
      <c r="AF881" s="208"/>
      <c r="AG881" s="208"/>
      <c r="AH881" s="208"/>
      <c r="AI881" s="100"/>
      <c r="AJ881" s="319"/>
      <c r="AK881" s="319"/>
      <c r="AL881" s="319"/>
      <c r="AM881" s="319"/>
      <c r="AN881" s="319"/>
      <c r="AO881" s="319"/>
      <c r="AP881" s="319"/>
      <c r="AQ881" s="319"/>
      <c r="AR881" s="319"/>
      <c r="AS881" s="319"/>
      <c r="AT881" s="319"/>
      <c r="AU881" s="319"/>
      <c r="AV881" s="319"/>
      <c r="AW881" s="319"/>
      <c r="AX881" s="319"/>
      <c r="AY881" s="319"/>
      <c r="AZ881" s="319"/>
      <c r="BA881" s="319"/>
      <c r="BB881" s="319"/>
      <c r="BC881" s="319"/>
      <c r="BD881" s="319"/>
      <c r="BE881" s="319"/>
      <c r="BF881" s="319"/>
      <c r="BG881" s="319"/>
      <c r="BH881" s="319"/>
      <c r="BI881" s="319"/>
      <c r="BJ881" s="319"/>
      <c r="BK881" s="319"/>
      <c r="BL881" s="319"/>
      <c r="BM881" s="319"/>
      <c r="BN881" s="319"/>
      <c r="BO881" s="319"/>
      <c r="BP881" s="319"/>
      <c r="BQ881" s="319"/>
      <c r="BR881" s="319"/>
    </row>
    <row r="882" ht="14.25" customHeight="1">
      <c r="A882" s="195"/>
      <c r="B882" s="100"/>
      <c r="C882" s="100"/>
      <c r="D882" s="100"/>
      <c r="E882" s="100"/>
      <c r="F882" s="206"/>
      <c r="G882" s="206"/>
      <c r="H882" s="207"/>
      <c r="I882" s="207"/>
      <c r="J882" s="207"/>
      <c r="K882" s="207"/>
      <c r="L882" s="207"/>
      <c r="M882" s="207"/>
      <c r="N882" s="207"/>
      <c r="O882" s="207"/>
      <c r="P882" s="207"/>
      <c r="Q882" s="207"/>
      <c r="R882" s="207"/>
      <c r="S882" s="207"/>
      <c r="T882" s="207"/>
      <c r="U882" s="207"/>
      <c r="V882" s="207"/>
      <c r="W882" s="208"/>
      <c r="X882" s="208"/>
      <c r="Y882" s="208"/>
      <c r="Z882" s="208"/>
      <c r="AA882" s="208"/>
      <c r="AB882" s="208"/>
      <c r="AC882" s="208"/>
      <c r="AD882" s="208"/>
      <c r="AE882" s="208"/>
      <c r="AF882" s="208"/>
      <c r="AG882" s="208"/>
      <c r="AH882" s="208"/>
      <c r="AI882" s="100"/>
      <c r="AJ882" s="319"/>
      <c r="AK882" s="319"/>
      <c r="AL882" s="319"/>
      <c r="AM882" s="319"/>
      <c r="AN882" s="319"/>
      <c r="AO882" s="319"/>
      <c r="AP882" s="319"/>
      <c r="AQ882" s="319"/>
      <c r="AR882" s="319"/>
      <c r="AS882" s="319"/>
      <c r="AT882" s="319"/>
      <c r="AU882" s="319"/>
      <c r="AV882" s="319"/>
      <c r="AW882" s="319"/>
      <c r="AX882" s="319"/>
      <c r="AY882" s="319"/>
      <c r="AZ882" s="319"/>
      <c r="BA882" s="319"/>
      <c r="BB882" s="319"/>
      <c r="BC882" s="319"/>
      <c r="BD882" s="319"/>
      <c r="BE882" s="319"/>
      <c r="BF882" s="319"/>
      <c r="BG882" s="319"/>
      <c r="BH882" s="319"/>
      <c r="BI882" s="319"/>
      <c r="BJ882" s="319"/>
      <c r="BK882" s="319"/>
      <c r="BL882" s="319"/>
      <c r="BM882" s="319"/>
      <c r="BN882" s="319"/>
      <c r="BO882" s="319"/>
      <c r="BP882" s="319"/>
      <c r="BQ882" s="319"/>
      <c r="BR882" s="319"/>
    </row>
    <row r="883" ht="14.25" customHeight="1">
      <c r="A883" s="195"/>
      <c r="B883" s="100"/>
      <c r="C883" s="100"/>
      <c r="D883" s="100"/>
      <c r="E883" s="100"/>
      <c r="F883" s="206"/>
      <c r="G883" s="206"/>
      <c r="H883" s="207"/>
      <c r="I883" s="207"/>
      <c r="J883" s="207"/>
      <c r="K883" s="207"/>
      <c r="L883" s="207"/>
      <c r="M883" s="207"/>
      <c r="N883" s="207"/>
      <c r="O883" s="207"/>
      <c r="P883" s="207"/>
      <c r="Q883" s="207"/>
      <c r="R883" s="207"/>
      <c r="S883" s="207"/>
      <c r="T883" s="207"/>
      <c r="U883" s="207"/>
      <c r="V883" s="207"/>
      <c r="W883" s="208"/>
      <c r="X883" s="208"/>
      <c r="Y883" s="208"/>
      <c r="Z883" s="208"/>
      <c r="AA883" s="208"/>
      <c r="AB883" s="208"/>
      <c r="AC883" s="208"/>
      <c r="AD883" s="208"/>
      <c r="AE883" s="208"/>
      <c r="AF883" s="208"/>
      <c r="AG883" s="208"/>
      <c r="AH883" s="208"/>
      <c r="AI883" s="100"/>
      <c r="AJ883" s="319"/>
      <c r="AK883" s="319"/>
      <c r="AL883" s="319"/>
      <c r="AM883" s="319"/>
      <c r="AN883" s="319"/>
      <c r="AO883" s="319"/>
      <c r="AP883" s="319"/>
      <c r="AQ883" s="319"/>
      <c r="AR883" s="319"/>
      <c r="AS883" s="319"/>
      <c r="AT883" s="319"/>
      <c r="AU883" s="319"/>
      <c r="AV883" s="319"/>
      <c r="AW883" s="319"/>
      <c r="AX883" s="319"/>
      <c r="AY883" s="319"/>
      <c r="AZ883" s="319"/>
      <c r="BA883" s="319"/>
      <c r="BB883" s="319"/>
      <c r="BC883" s="319"/>
      <c r="BD883" s="319"/>
      <c r="BE883" s="319"/>
      <c r="BF883" s="319"/>
      <c r="BG883" s="319"/>
      <c r="BH883" s="319"/>
      <c r="BI883" s="319"/>
      <c r="BJ883" s="319"/>
      <c r="BK883" s="319"/>
      <c r="BL883" s="319"/>
      <c r="BM883" s="319"/>
      <c r="BN883" s="319"/>
      <c r="BO883" s="319"/>
      <c r="BP883" s="319"/>
      <c r="BQ883" s="319"/>
      <c r="BR883" s="319"/>
    </row>
    <row r="884" ht="14.25" customHeight="1">
      <c r="A884" s="195"/>
      <c r="B884" s="100"/>
      <c r="C884" s="100"/>
      <c r="D884" s="100"/>
      <c r="E884" s="100"/>
      <c r="F884" s="206"/>
      <c r="G884" s="206"/>
      <c r="H884" s="207"/>
      <c r="I884" s="207"/>
      <c r="J884" s="207"/>
      <c r="K884" s="207"/>
      <c r="L884" s="207"/>
      <c r="M884" s="207"/>
      <c r="N884" s="207"/>
      <c r="O884" s="207"/>
      <c r="P884" s="207"/>
      <c r="Q884" s="207"/>
      <c r="R884" s="207"/>
      <c r="S884" s="207"/>
      <c r="T884" s="207"/>
      <c r="U884" s="207"/>
      <c r="V884" s="207"/>
      <c r="W884" s="208"/>
      <c r="X884" s="208"/>
      <c r="Y884" s="208"/>
      <c r="Z884" s="208"/>
      <c r="AA884" s="208"/>
      <c r="AB884" s="208"/>
      <c r="AC884" s="208"/>
      <c r="AD884" s="208"/>
      <c r="AE884" s="208"/>
      <c r="AF884" s="208"/>
      <c r="AG884" s="208"/>
      <c r="AH884" s="208"/>
      <c r="AI884" s="100"/>
      <c r="AJ884" s="319"/>
      <c r="AK884" s="319"/>
      <c r="AL884" s="319"/>
      <c r="AM884" s="319"/>
      <c r="AN884" s="319"/>
      <c r="AO884" s="319"/>
      <c r="AP884" s="319"/>
      <c r="AQ884" s="319"/>
      <c r="AR884" s="319"/>
      <c r="AS884" s="319"/>
      <c r="AT884" s="319"/>
      <c r="AU884" s="319"/>
      <c r="AV884" s="319"/>
      <c r="AW884" s="319"/>
      <c r="AX884" s="319"/>
      <c r="AY884" s="319"/>
      <c r="AZ884" s="319"/>
      <c r="BA884" s="319"/>
      <c r="BB884" s="319"/>
      <c r="BC884" s="319"/>
      <c r="BD884" s="319"/>
      <c r="BE884" s="319"/>
      <c r="BF884" s="319"/>
      <c r="BG884" s="319"/>
      <c r="BH884" s="319"/>
      <c r="BI884" s="319"/>
      <c r="BJ884" s="319"/>
      <c r="BK884" s="319"/>
      <c r="BL884" s="319"/>
      <c r="BM884" s="319"/>
      <c r="BN884" s="319"/>
      <c r="BO884" s="319"/>
      <c r="BP884" s="319"/>
      <c r="BQ884" s="319"/>
      <c r="BR884" s="319"/>
    </row>
    <row r="885" ht="14.25" customHeight="1">
      <c r="A885" s="195"/>
      <c r="B885" s="100"/>
      <c r="C885" s="100"/>
      <c r="D885" s="100"/>
      <c r="E885" s="100"/>
      <c r="F885" s="206"/>
      <c r="G885" s="206"/>
      <c r="H885" s="207"/>
      <c r="I885" s="207"/>
      <c r="J885" s="207"/>
      <c r="K885" s="207"/>
      <c r="L885" s="207"/>
      <c r="M885" s="207"/>
      <c r="N885" s="207"/>
      <c r="O885" s="207"/>
      <c r="P885" s="207"/>
      <c r="Q885" s="207"/>
      <c r="R885" s="207"/>
      <c r="S885" s="207"/>
      <c r="T885" s="207"/>
      <c r="U885" s="207"/>
      <c r="V885" s="207"/>
      <c r="W885" s="208"/>
      <c r="X885" s="208"/>
      <c r="Y885" s="208"/>
      <c r="Z885" s="208"/>
      <c r="AA885" s="208"/>
      <c r="AB885" s="208"/>
      <c r="AC885" s="208"/>
      <c r="AD885" s="208"/>
      <c r="AE885" s="208"/>
      <c r="AF885" s="208"/>
      <c r="AG885" s="208"/>
      <c r="AH885" s="208"/>
      <c r="AI885" s="100"/>
      <c r="AJ885" s="319"/>
      <c r="AK885" s="319"/>
      <c r="AL885" s="319"/>
      <c r="AM885" s="319"/>
      <c r="AN885" s="319"/>
      <c r="AO885" s="319"/>
      <c r="AP885" s="319"/>
      <c r="AQ885" s="319"/>
      <c r="AR885" s="319"/>
      <c r="AS885" s="319"/>
      <c r="AT885" s="319"/>
      <c r="AU885" s="319"/>
      <c r="AV885" s="319"/>
      <c r="AW885" s="319"/>
      <c r="AX885" s="319"/>
      <c r="AY885" s="319"/>
      <c r="AZ885" s="319"/>
      <c r="BA885" s="319"/>
      <c r="BB885" s="319"/>
      <c r="BC885" s="319"/>
      <c r="BD885" s="319"/>
      <c r="BE885" s="319"/>
      <c r="BF885" s="319"/>
      <c r="BG885" s="319"/>
      <c r="BH885" s="319"/>
      <c r="BI885" s="319"/>
      <c r="BJ885" s="319"/>
      <c r="BK885" s="319"/>
      <c r="BL885" s="319"/>
      <c r="BM885" s="319"/>
      <c r="BN885" s="319"/>
      <c r="BO885" s="319"/>
      <c r="BP885" s="319"/>
      <c r="BQ885" s="319"/>
      <c r="BR885" s="319"/>
    </row>
    <row r="886" ht="14.25" customHeight="1">
      <c r="A886" s="195"/>
      <c r="B886" s="100"/>
      <c r="C886" s="100"/>
      <c r="D886" s="100"/>
      <c r="E886" s="100"/>
      <c r="F886" s="206"/>
      <c r="G886" s="206"/>
      <c r="H886" s="207"/>
      <c r="I886" s="207"/>
      <c r="J886" s="207"/>
      <c r="K886" s="207"/>
      <c r="L886" s="207"/>
      <c r="M886" s="207"/>
      <c r="N886" s="207"/>
      <c r="O886" s="207"/>
      <c r="P886" s="207"/>
      <c r="Q886" s="207"/>
      <c r="R886" s="207"/>
      <c r="S886" s="207"/>
      <c r="T886" s="207"/>
      <c r="U886" s="207"/>
      <c r="V886" s="207"/>
      <c r="W886" s="208"/>
      <c r="X886" s="208"/>
      <c r="Y886" s="208"/>
      <c r="Z886" s="208"/>
      <c r="AA886" s="208"/>
      <c r="AB886" s="208"/>
      <c r="AC886" s="208"/>
      <c r="AD886" s="208"/>
      <c r="AE886" s="208"/>
      <c r="AF886" s="208"/>
      <c r="AG886" s="208"/>
      <c r="AH886" s="208"/>
      <c r="AI886" s="100"/>
      <c r="AJ886" s="319"/>
      <c r="AK886" s="319"/>
      <c r="AL886" s="319"/>
      <c r="AM886" s="319"/>
      <c r="AN886" s="319"/>
      <c r="AO886" s="319"/>
      <c r="AP886" s="319"/>
      <c r="AQ886" s="319"/>
      <c r="AR886" s="319"/>
      <c r="AS886" s="319"/>
      <c r="AT886" s="319"/>
      <c r="AU886" s="319"/>
      <c r="AV886" s="319"/>
      <c r="AW886" s="319"/>
      <c r="AX886" s="319"/>
      <c r="AY886" s="319"/>
      <c r="AZ886" s="319"/>
      <c r="BA886" s="319"/>
      <c r="BB886" s="319"/>
      <c r="BC886" s="319"/>
      <c r="BD886" s="319"/>
      <c r="BE886" s="319"/>
      <c r="BF886" s="319"/>
      <c r="BG886" s="319"/>
      <c r="BH886" s="319"/>
      <c r="BI886" s="319"/>
      <c r="BJ886" s="319"/>
      <c r="BK886" s="319"/>
      <c r="BL886" s="319"/>
      <c r="BM886" s="319"/>
      <c r="BN886" s="319"/>
      <c r="BO886" s="319"/>
      <c r="BP886" s="319"/>
      <c r="BQ886" s="319"/>
      <c r="BR886" s="319"/>
    </row>
    <row r="887" ht="14.25" customHeight="1">
      <c r="A887" s="195"/>
      <c r="B887" s="100"/>
      <c r="C887" s="100"/>
      <c r="D887" s="100"/>
      <c r="E887" s="100"/>
      <c r="F887" s="206"/>
      <c r="G887" s="206"/>
      <c r="H887" s="207"/>
      <c r="I887" s="207"/>
      <c r="J887" s="207"/>
      <c r="K887" s="207"/>
      <c r="L887" s="207"/>
      <c r="M887" s="207"/>
      <c r="N887" s="207"/>
      <c r="O887" s="207"/>
      <c r="P887" s="207"/>
      <c r="Q887" s="207"/>
      <c r="R887" s="207"/>
      <c r="S887" s="207"/>
      <c r="T887" s="207"/>
      <c r="U887" s="207"/>
      <c r="V887" s="207"/>
      <c r="W887" s="208"/>
      <c r="X887" s="208"/>
      <c r="Y887" s="208"/>
      <c r="Z887" s="208"/>
      <c r="AA887" s="208"/>
      <c r="AB887" s="208"/>
      <c r="AC887" s="208"/>
      <c r="AD887" s="208"/>
      <c r="AE887" s="208"/>
      <c r="AF887" s="208"/>
      <c r="AG887" s="208"/>
      <c r="AH887" s="208"/>
      <c r="AI887" s="100"/>
      <c r="AJ887" s="319"/>
      <c r="AK887" s="319"/>
      <c r="AL887" s="319"/>
      <c r="AM887" s="319"/>
      <c r="AN887" s="319"/>
      <c r="AO887" s="319"/>
      <c r="AP887" s="319"/>
      <c r="AQ887" s="319"/>
      <c r="AR887" s="319"/>
      <c r="AS887" s="319"/>
      <c r="AT887" s="319"/>
      <c r="AU887" s="319"/>
      <c r="AV887" s="319"/>
      <c r="AW887" s="319"/>
      <c r="AX887" s="319"/>
      <c r="AY887" s="319"/>
      <c r="AZ887" s="319"/>
      <c r="BA887" s="319"/>
      <c r="BB887" s="319"/>
      <c r="BC887" s="319"/>
      <c r="BD887" s="319"/>
      <c r="BE887" s="319"/>
      <c r="BF887" s="319"/>
      <c r="BG887" s="319"/>
      <c r="BH887" s="319"/>
      <c r="BI887" s="319"/>
      <c r="BJ887" s="319"/>
      <c r="BK887" s="319"/>
      <c r="BL887" s="319"/>
      <c r="BM887" s="319"/>
      <c r="BN887" s="319"/>
      <c r="BO887" s="319"/>
      <c r="BP887" s="319"/>
      <c r="BQ887" s="319"/>
      <c r="BR887" s="319"/>
    </row>
    <row r="888" ht="14.25" customHeight="1">
      <c r="A888" s="195"/>
      <c r="B888" s="100"/>
      <c r="C888" s="100"/>
      <c r="D888" s="100"/>
      <c r="E888" s="100"/>
      <c r="F888" s="206"/>
      <c r="G888" s="206"/>
      <c r="H888" s="207"/>
      <c r="I888" s="207"/>
      <c r="J888" s="207"/>
      <c r="K888" s="207"/>
      <c r="L888" s="207"/>
      <c r="M888" s="207"/>
      <c r="N888" s="207"/>
      <c r="O888" s="207"/>
      <c r="P888" s="207"/>
      <c r="Q888" s="207"/>
      <c r="R888" s="207"/>
      <c r="S888" s="207"/>
      <c r="T888" s="207"/>
      <c r="U888" s="207"/>
      <c r="V888" s="207"/>
      <c r="W888" s="208"/>
      <c r="X888" s="208"/>
      <c r="Y888" s="208"/>
      <c r="Z888" s="208"/>
      <c r="AA888" s="208"/>
      <c r="AB888" s="208"/>
      <c r="AC888" s="208"/>
      <c r="AD888" s="208"/>
      <c r="AE888" s="208"/>
      <c r="AF888" s="208"/>
      <c r="AG888" s="208"/>
      <c r="AH888" s="208"/>
      <c r="AI888" s="100"/>
      <c r="AJ888" s="319"/>
      <c r="AK888" s="319"/>
      <c r="AL888" s="319"/>
      <c r="AM888" s="319"/>
      <c r="AN888" s="319"/>
      <c r="AO888" s="319"/>
      <c r="AP888" s="319"/>
      <c r="AQ888" s="319"/>
      <c r="AR888" s="319"/>
      <c r="AS888" s="319"/>
      <c r="AT888" s="319"/>
      <c r="AU888" s="319"/>
      <c r="AV888" s="319"/>
      <c r="AW888" s="319"/>
      <c r="AX888" s="319"/>
      <c r="AY888" s="319"/>
      <c r="AZ888" s="319"/>
      <c r="BA888" s="319"/>
      <c r="BB888" s="319"/>
      <c r="BC888" s="319"/>
      <c r="BD888" s="319"/>
      <c r="BE888" s="319"/>
      <c r="BF888" s="319"/>
      <c r="BG888" s="319"/>
      <c r="BH888" s="319"/>
      <c r="BI888" s="319"/>
      <c r="BJ888" s="319"/>
      <c r="BK888" s="319"/>
      <c r="BL888" s="319"/>
      <c r="BM888" s="319"/>
      <c r="BN888" s="319"/>
      <c r="BO888" s="319"/>
      <c r="BP888" s="319"/>
      <c r="BQ888" s="319"/>
      <c r="BR888" s="319"/>
    </row>
    <row r="889" ht="14.25" customHeight="1">
      <c r="A889" s="195"/>
      <c r="B889" s="100"/>
      <c r="C889" s="100"/>
      <c r="D889" s="100"/>
      <c r="E889" s="100"/>
      <c r="F889" s="206"/>
      <c r="G889" s="206"/>
      <c r="H889" s="207"/>
      <c r="I889" s="207"/>
      <c r="J889" s="207"/>
      <c r="K889" s="207"/>
      <c r="L889" s="207"/>
      <c r="M889" s="207"/>
      <c r="N889" s="207"/>
      <c r="O889" s="207"/>
      <c r="P889" s="207"/>
      <c r="Q889" s="207"/>
      <c r="R889" s="207"/>
      <c r="S889" s="207"/>
      <c r="T889" s="207"/>
      <c r="U889" s="207"/>
      <c r="V889" s="207"/>
      <c r="W889" s="208"/>
      <c r="X889" s="208"/>
      <c r="Y889" s="208"/>
      <c r="Z889" s="208"/>
      <c r="AA889" s="208"/>
      <c r="AB889" s="208"/>
      <c r="AC889" s="208"/>
      <c r="AD889" s="208"/>
      <c r="AE889" s="208"/>
      <c r="AF889" s="208"/>
      <c r="AG889" s="208"/>
      <c r="AH889" s="208"/>
      <c r="AI889" s="100"/>
      <c r="AJ889" s="319"/>
      <c r="AK889" s="319"/>
      <c r="AL889" s="319"/>
      <c r="AM889" s="319"/>
      <c r="AN889" s="319"/>
      <c r="AO889" s="319"/>
      <c r="AP889" s="319"/>
      <c r="AQ889" s="319"/>
      <c r="AR889" s="319"/>
      <c r="AS889" s="319"/>
      <c r="AT889" s="319"/>
      <c r="AU889" s="319"/>
      <c r="AV889" s="319"/>
      <c r="AW889" s="319"/>
      <c r="AX889" s="319"/>
      <c r="AY889" s="319"/>
      <c r="AZ889" s="319"/>
      <c r="BA889" s="319"/>
      <c r="BB889" s="319"/>
      <c r="BC889" s="319"/>
      <c r="BD889" s="319"/>
      <c r="BE889" s="319"/>
      <c r="BF889" s="319"/>
      <c r="BG889" s="319"/>
      <c r="BH889" s="319"/>
      <c r="BI889" s="319"/>
      <c r="BJ889" s="319"/>
      <c r="BK889" s="319"/>
      <c r="BL889" s="319"/>
      <c r="BM889" s="319"/>
      <c r="BN889" s="319"/>
      <c r="BO889" s="319"/>
      <c r="BP889" s="319"/>
      <c r="BQ889" s="319"/>
      <c r="BR889" s="319"/>
    </row>
    <row r="890" ht="14.25" customHeight="1">
      <c r="A890" s="195"/>
      <c r="B890" s="100"/>
      <c r="C890" s="100"/>
      <c r="D890" s="100"/>
      <c r="E890" s="100"/>
      <c r="F890" s="206"/>
      <c r="G890" s="206"/>
      <c r="H890" s="207"/>
      <c r="I890" s="207"/>
      <c r="J890" s="207"/>
      <c r="K890" s="207"/>
      <c r="L890" s="207"/>
      <c r="M890" s="207"/>
      <c r="N890" s="207"/>
      <c r="O890" s="207"/>
      <c r="P890" s="207"/>
      <c r="Q890" s="207"/>
      <c r="R890" s="207"/>
      <c r="S890" s="207"/>
      <c r="T890" s="207"/>
      <c r="U890" s="207"/>
      <c r="V890" s="207"/>
      <c r="W890" s="208"/>
      <c r="X890" s="208"/>
      <c r="Y890" s="208"/>
      <c r="Z890" s="208"/>
      <c r="AA890" s="208"/>
      <c r="AB890" s="208"/>
      <c r="AC890" s="208"/>
      <c r="AD890" s="208"/>
      <c r="AE890" s="208"/>
      <c r="AF890" s="208"/>
      <c r="AG890" s="208"/>
      <c r="AH890" s="208"/>
      <c r="AI890" s="100"/>
      <c r="AJ890" s="319"/>
      <c r="AK890" s="319"/>
      <c r="AL890" s="319"/>
      <c r="AM890" s="319"/>
      <c r="AN890" s="319"/>
      <c r="AO890" s="319"/>
      <c r="AP890" s="319"/>
      <c r="AQ890" s="319"/>
      <c r="AR890" s="319"/>
      <c r="AS890" s="319"/>
      <c r="AT890" s="319"/>
      <c r="AU890" s="319"/>
      <c r="AV890" s="319"/>
      <c r="AW890" s="319"/>
      <c r="AX890" s="319"/>
      <c r="AY890" s="319"/>
      <c r="AZ890" s="319"/>
      <c r="BA890" s="319"/>
      <c r="BB890" s="319"/>
      <c r="BC890" s="319"/>
      <c r="BD890" s="319"/>
      <c r="BE890" s="319"/>
      <c r="BF890" s="319"/>
      <c r="BG890" s="319"/>
      <c r="BH890" s="319"/>
      <c r="BI890" s="319"/>
      <c r="BJ890" s="319"/>
      <c r="BK890" s="319"/>
      <c r="BL890" s="319"/>
      <c r="BM890" s="319"/>
      <c r="BN890" s="319"/>
      <c r="BO890" s="319"/>
      <c r="BP890" s="319"/>
      <c r="BQ890" s="319"/>
      <c r="BR890" s="319"/>
    </row>
    <row r="891" ht="14.25" customHeight="1">
      <c r="A891" s="195"/>
      <c r="B891" s="100"/>
      <c r="C891" s="100"/>
      <c r="D891" s="100"/>
      <c r="E891" s="100"/>
      <c r="F891" s="206"/>
      <c r="G891" s="206"/>
      <c r="H891" s="207"/>
      <c r="I891" s="207"/>
      <c r="J891" s="207"/>
      <c r="K891" s="207"/>
      <c r="L891" s="207"/>
      <c r="M891" s="207"/>
      <c r="N891" s="207"/>
      <c r="O891" s="207"/>
      <c r="P891" s="207"/>
      <c r="Q891" s="207"/>
      <c r="R891" s="207"/>
      <c r="S891" s="207"/>
      <c r="T891" s="207"/>
      <c r="U891" s="207"/>
      <c r="V891" s="207"/>
      <c r="W891" s="208"/>
      <c r="X891" s="208"/>
      <c r="Y891" s="208"/>
      <c r="Z891" s="208"/>
      <c r="AA891" s="208"/>
      <c r="AB891" s="208"/>
      <c r="AC891" s="208"/>
      <c r="AD891" s="208"/>
      <c r="AE891" s="208"/>
      <c r="AF891" s="208"/>
      <c r="AG891" s="208"/>
      <c r="AH891" s="208"/>
      <c r="AI891" s="100"/>
      <c r="AJ891" s="319"/>
      <c r="AK891" s="319"/>
      <c r="AL891" s="319"/>
      <c r="AM891" s="319"/>
      <c r="AN891" s="319"/>
      <c r="AO891" s="319"/>
      <c r="AP891" s="319"/>
      <c r="AQ891" s="319"/>
      <c r="AR891" s="319"/>
      <c r="AS891" s="319"/>
      <c r="AT891" s="319"/>
      <c r="AU891" s="319"/>
      <c r="AV891" s="319"/>
      <c r="AW891" s="319"/>
      <c r="AX891" s="319"/>
      <c r="AY891" s="319"/>
      <c r="AZ891" s="319"/>
      <c r="BA891" s="319"/>
      <c r="BB891" s="319"/>
      <c r="BC891" s="319"/>
      <c r="BD891" s="319"/>
      <c r="BE891" s="319"/>
      <c r="BF891" s="319"/>
      <c r="BG891" s="319"/>
      <c r="BH891" s="319"/>
      <c r="BI891" s="319"/>
      <c r="BJ891" s="319"/>
      <c r="BK891" s="319"/>
      <c r="BL891" s="319"/>
      <c r="BM891" s="319"/>
      <c r="BN891" s="319"/>
      <c r="BO891" s="319"/>
      <c r="BP891" s="319"/>
      <c r="BQ891" s="319"/>
      <c r="BR891" s="319"/>
    </row>
    <row r="892" ht="14.25" customHeight="1">
      <c r="A892" s="195"/>
      <c r="B892" s="100"/>
      <c r="C892" s="100"/>
      <c r="D892" s="100"/>
      <c r="E892" s="100"/>
      <c r="F892" s="206"/>
      <c r="G892" s="206"/>
      <c r="H892" s="207"/>
      <c r="I892" s="207"/>
      <c r="J892" s="207"/>
      <c r="K892" s="207"/>
      <c r="L892" s="207"/>
      <c r="M892" s="207"/>
      <c r="N892" s="207"/>
      <c r="O892" s="207"/>
      <c r="P892" s="207"/>
      <c r="Q892" s="207"/>
      <c r="R892" s="207"/>
      <c r="S892" s="207"/>
      <c r="T892" s="207"/>
      <c r="U892" s="207"/>
      <c r="V892" s="207"/>
      <c r="W892" s="208"/>
      <c r="X892" s="208"/>
      <c r="Y892" s="208"/>
      <c r="Z892" s="208"/>
      <c r="AA892" s="208"/>
      <c r="AB892" s="208"/>
      <c r="AC892" s="208"/>
      <c r="AD892" s="208"/>
      <c r="AE892" s="208"/>
      <c r="AF892" s="208"/>
      <c r="AG892" s="208"/>
      <c r="AH892" s="208"/>
      <c r="AI892" s="100"/>
      <c r="AJ892" s="319"/>
      <c r="AK892" s="319"/>
      <c r="AL892" s="319"/>
      <c r="AM892" s="319"/>
      <c r="AN892" s="319"/>
      <c r="AO892" s="319"/>
      <c r="AP892" s="319"/>
      <c r="AQ892" s="319"/>
      <c r="AR892" s="319"/>
      <c r="AS892" s="319"/>
      <c r="AT892" s="319"/>
      <c r="AU892" s="319"/>
      <c r="AV892" s="319"/>
      <c r="AW892" s="319"/>
      <c r="AX892" s="319"/>
      <c r="AY892" s="319"/>
      <c r="AZ892" s="319"/>
      <c r="BA892" s="319"/>
      <c r="BB892" s="319"/>
      <c r="BC892" s="319"/>
      <c r="BD892" s="319"/>
      <c r="BE892" s="319"/>
      <c r="BF892" s="319"/>
      <c r="BG892" s="319"/>
      <c r="BH892" s="319"/>
      <c r="BI892" s="319"/>
      <c r="BJ892" s="319"/>
      <c r="BK892" s="319"/>
      <c r="BL892" s="319"/>
      <c r="BM892" s="319"/>
      <c r="BN892" s="319"/>
      <c r="BO892" s="319"/>
      <c r="BP892" s="319"/>
      <c r="BQ892" s="319"/>
      <c r="BR892" s="319"/>
    </row>
    <row r="893" ht="14.25" customHeight="1">
      <c r="A893" s="195"/>
      <c r="B893" s="100"/>
      <c r="C893" s="100"/>
      <c r="D893" s="100"/>
      <c r="E893" s="100"/>
      <c r="F893" s="206"/>
      <c r="G893" s="206"/>
      <c r="H893" s="207"/>
      <c r="I893" s="207"/>
      <c r="J893" s="207"/>
      <c r="K893" s="207"/>
      <c r="L893" s="207"/>
      <c r="M893" s="207"/>
      <c r="N893" s="207"/>
      <c r="O893" s="207"/>
      <c r="P893" s="207"/>
      <c r="Q893" s="207"/>
      <c r="R893" s="207"/>
      <c r="S893" s="207"/>
      <c r="T893" s="207"/>
      <c r="U893" s="207"/>
      <c r="V893" s="207"/>
      <c r="W893" s="208"/>
      <c r="X893" s="208"/>
      <c r="Y893" s="208"/>
      <c r="Z893" s="208"/>
      <c r="AA893" s="208"/>
      <c r="AB893" s="208"/>
      <c r="AC893" s="208"/>
      <c r="AD893" s="208"/>
      <c r="AE893" s="208"/>
      <c r="AF893" s="208"/>
      <c r="AG893" s="208"/>
      <c r="AH893" s="208"/>
      <c r="AI893" s="100"/>
      <c r="AJ893" s="319"/>
      <c r="AK893" s="319"/>
      <c r="AL893" s="319"/>
      <c r="AM893" s="319"/>
      <c r="AN893" s="319"/>
      <c r="AO893" s="319"/>
      <c r="AP893" s="319"/>
      <c r="AQ893" s="319"/>
      <c r="AR893" s="319"/>
      <c r="AS893" s="319"/>
      <c r="AT893" s="319"/>
      <c r="AU893" s="319"/>
      <c r="AV893" s="319"/>
      <c r="AW893" s="319"/>
      <c r="AX893" s="319"/>
      <c r="AY893" s="319"/>
      <c r="AZ893" s="319"/>
      <c r="BA893" s="319"/>
      <c r="BB893" s="319"/>
      <c r="BC893" s="319"/>
      <c r="BD893" s="319"/>
      <c r="BE893" s="319"/>
      <c r="BF893" s="319"/>
      <c r="BG893" s="319"/>
      <c r="BH893" s="319"/>
      <c r="BI893" s="319"/>
      <c r="BJ893" s="319"/>
      <c r="BK893" s="319"/>
      <c r="BL893" s="319"/>
      <c r="BM893" s="319"/>
      <c r="BN893" s="319"/>
      <c r="BO893" s="319"/>
      <c r="BP893" s="319"/>
      <c r="BQ893" s="319"/>
      <c r="BR893" s="319"/>
    </row>
    <row r="894" ht="14.25" customHeight="1">
      <c r="A894" s="195"/>
      <c r="B894" s="100"/>
      <c r="C894" s="100"/>
      <c r="D894" s="100"/>
      <c r="E894" s="100"/>
      <c r="F894" s="206"/>
      <c r="G894" s="206"/>
      <c r="H894" s="207"/>
      <c r="I894" s="207"/>
      <c r="J894" s="207"/>
      <c r="K894" s="207"/>
      <c r="L894" s="207"/>
      <c r="M894" s="207"/>
      <c r="N894" s="207"/>
      <c r="O894" s="207"/>
      <c r="P894" s="207"/>
      <c r="Q894" s="207"/>
      <c r="R894" s="207"/>
      <c r="S894" s="207"/>
      <c r="T894" s="207"/>
      <c r="U894" s="207"/>
      <c r="V894" s="207"/>
      <c r="W894" s="208"/>
      <c r="X894" s="208"/>
      <c r="Y894" s="208"/>
      <c r="Z894" s="208"/>
      <c r="AA894" s="208"/>
      <c r="AB894" s="208"/>
      <c r="AC894" s="208"/>
      <c r="AD894" s="208"/>
      <c r="AE894" s="208"/>
      <c r="AF894" s="208"/>
      <c r="AG894" s="208"/>
      <c r="AH894" s="208"/>
      <c r="AI894" s="100"/>
      <c r="AJ894" s="319"/>
      <c r="AK894" s="319"/>
      <c r="AL894" s="319"/>
      <c r="AM894" s="319"/>
      <c r="AN894" s="319"/>
      <c r="AO894" s="319"/>
      <c r="AP894" s="319"/>
      <c r="AQ894" s="319"/>
      <c r="AR894" s="319"/>
      <c r="AS894" s="319"/>
      <c r="AT894" s="319"/>
      <c r="AU894" s="319"/>
      <c r="AV894" s="319"/>
      <c r="AW894" s="319"/>
      <c r="AX894" s="319"/>
      <c r="AY894" s="319"/>
      <c r="AZ894" s="319"/>
      <c r="BA894" s="319"/>
      <c r="BB894" s="319"/>
      <c r="BC894" s="319"/>
      <c r="BD894" s="319"/>
      <c r="BE894" s="319"/>
      <c r="BF894" s="319"/>
      <c r="BG894" s="319"/>
      <c r="BH894" s="319"/>
      <c r="BI894" s="319"/>
      <c r="BJ894" s="319"/>
      <c r="BK894" s="319"/>
      <c r="BL894" s="319"/>
      <c r="BM894" s="319"/>
      <c r="BN894" s="319"/>
      <c r="BO894" s="319"/>
      <c r="BP894" s="319"/>
      <c r="BQ894" s="319"/>
      <c r="BR894" s="319"/>
    </row>
    <row r="895" ht="14.25" customHeight="1">
      <c r="A895" s="195"/>
      <c r="B895" s="100"/>
      <c r="C895" s="100"/>
      <c r="D895" s="100"/>
      <c r="E895" s="100"/>
      <c r="F895" s="206"/>
      <c r="G895" s="206"/>
      <c r="H895" s="207"/>
      <c r="I895" s="207"/>
      <c r="J895" s="207"/>
      <c r="K895" s="207"/>
      <c r="L895" s="207"/>
      <c r="M895" s="207"/>
      <c r="N895" s="207"/>
      <c r="O895" s="207"/>
      <c r="P895" s="207"/>
      <c r="Q895" s="207"/>
      <c r="R895" s="207"/>
      <c r="S895" s="207"/>
      <c r="T895" s="207"/>
      <c r="U895" s="207"/>
      <c r="V895" s="207"/>
      <c r="W895" s="208"/>
      <c r="X895" s="208"/>
      <c r="Y895" s="208"/>
      <c r="Z895" s="208"/>
      <c r="AA895" s="208"/>
      <c r="AB895" s="208"/>
      <c r="AC895" s="208"/>
      <c r="AD895" s="208"/>
      <c r="AE895" s="208"/>
      <c r="AF895" s="208"/>
      <c r="AG895" s="208"/>
      <c r="AH895" s="208"/>
      <c r="AI895" s="100"/>
      <c r="AJ895" s="319"/>
      <c r="AK895" s="319"/>
      <c r="AL895" s="319"/>
      <c r="AM895" s="319"/>
      <c r="AN895" s="319"/>
      <c r="AO895" s="319"/>
      <c r="AP895" s="319"/>
      <c r="AQ895" s="319"/>
      <c r="AR895" s="319"/>
      <c r="AS895" s="319"/>
      <c r="AT895" s="319"/>
      <c r="AU895" s="319"/>
      <c r="AV895" s="319"/>
      <c r="AW895" s="319"/>
      <c r="AX895" s="319"/>
      <c r="AY895" s="319"/>
      <c r="AZ895" s="319"/>
      <c r="BA895" s="319"/>
      <c r="BB895" s="319"/>
      <c r="BC895" s="319"/>
      <c r="BD895" s="319"/>
      <c r="BE895" s="319"/>
      <c r="BF895" s="319"/>
      <c r="BG895" s="319"/>
      <c r="BH895" s="319"/>
      <c r="BI895" s="319"/>
      <c r="BJ895" s="319"/>
      <c r="BK895" s="319"/>
      <c r="BL895" s="319"/>
      <c r="BM895" s="319"/>
      <c r="BN895" s="319"/>
      <c r="BO895" s="319"/>
      <c r="BP895" s="319"/>
      <c r="BQ895" s="319"/>
      <c r="BR895" s="319"/>
    </row>
    <row r="896" ht="14.25" customHeight="1">
      <c r="A896" s="195"/>
      <c r="B896" s="100"/>
      <c r="C896" s="100"/>
      <c r="D896" s="100"/>
      <c r="E896" s="100"/>
      <c r="F896" s="206"/>
      <c r="G896" s="206"/>
      <c r="H896" s="207"/>
      <c r="I896" s="207"/>
      <c r="J896" s="207"/>
      <c r="K896" s="207"/>
      <c r="L896" s="207"/>
      <c r="M896" s="207"/>
      <c r="N896" s="207"/>
      <c r="O896" s="207"/>
      <c r="P896" s="207"/>
      <c r="Q896" s="207"/>
      <c r="R896" s="207"/>
      <c r="S896" s="207"/>
      <c r="T896" s="207"/>
      <c r="U896" s="207"/>
      <c r="V896" s="207"/>
      <c r="W896" s="208"/>
      <c r="X896" s="208"/>
      <c r="Y896" s="208"/>
      <c r="Z896" s="208"/>
      <c r="AA896" s="208"/>
      <c r="AB896" s="208"/>
      <c r="AC896" s="208"/>
      <c r="AD896" s="208"/>
      <c r="AE896" s="208"/>
      <c r="AF896" s="208"/>
      <c r="AG896" s="208"/>
      <c r="AH896" s="208"/>
      <c r="AI896" s="100"/>
      <c r="AJ896" s="319"/>
      <c r="AK896" s="319"/>
      <c r="AL896" s="319"/>
      <c r="AM896" s="319"/>
      <c r="AN896" s="319"/>
      <c r="AO896" s="319"/>
      <c r="AP896" s="319"/>
      <c r="AQ896" s="319"/>
      <c r="AR896" s="319"/>
      <c r="AS896" s="319"/>
      <c r="AT896" s="319"/>
      <c r="AU896" s="319"/>
      <c r="AV896" s="319"/>
      <c r="AW896" s="319"/>
      <c r="AX896" s="319"/>
      <c r="AY896" s="319"/>
      <c r="AZ896" s="319"/>
      <c r="BA896" s="319"/>
      <c r="BB896" s="319"/>
      <c r="BC896" s="319"/>
      <c r="BD896" s="319"/>
      <c r="BE896" s="319"/>
      <c r="BF896" s="319"/>
      <c r="BG896" s="319"/>
      <c r="BH896" s="319"/>
      <c r="BI896" s="319"/>
      <c r="BJ896" s="319"/>
      <c r="BK896" s="319"/>
      <c r="BL896" s="319"/>
      <c r="BM896" s="319"/>
      <c r="BN896" s="319"/>
      <c r="BO896" s="319"/>
      <c r="BP896" s="319"/>
      <c r="BQ896" s="319"/>
      <c r="BR896" s="319"/>
    </row>
    <row r="897" ht="14.25" customHeight="1">
      <c r="A897" s="195"/>
      <c r="B897" s="100"/>
      <c r="C897" s="100"/>
      <c r="D897" s="100"/>
      <c r="E897" s="100"/>
      <c r="F897" s="206"/>
      <c r="G897" s="206"/>
      <c r="H897" s="207"/>
      <c r="I897" s="207"/>
      <c r="J897" s="207"/>
      <c r="K897" s="207"/>
      <c r="L897" s="207"/>
      <c r="M897" s="207"/>
      <c r="N897" s="207"/>
      <c r="O897" s="207"/>
      <c r="P897" s="207"/>
      <c r="Q897" s="207"/>
      <c r="R897" s="207"/>
      <c r="S897" s="207"/>
      <c r="T897" s="207"/>
      <c r="U897" s="207"/>
      <c r="V897" s="207"/>
      <c r="W897" s="208"/>
      <c r="X897" s="208"/>
      <c r="Y897" s="208"/>
      <c r="Z897" s="208"/>
      <c r="AA897" s="208"/>
      <c r="AB897" s="208"/>
      <c r="AC897" s="208"/>
      <c r="AD897" s="208"/>
      <c r="AE897" s="208"/>
      <c r="AF897" s="208"/>
      <c r="AG897" s="208"/>
      <c r="AH897" s="208"/>
      <c r="AI897" s="100"/>
      <c r="AJ897" s="319"/>
      <c r="AK897" s="319"/>
      <c r="AL897" s="319"/>
      <c r="AM897" s="319"/>
      <c r="AN897" s="319"/>
      <c r="AO897" s="319"/>
      <c r="AP897" s="319"/>
      <c r="AQ897" s="319"/>
      <c r="AR897" s="319"/>
      <c r="AS897" s="319"/>
      <c r="AT897" s="319"/>
      <c r="AU897" s="319"/>
      <c r="AV897" s="319"/>
      <c r="AW897" s="319"/>
      <c r="AX897" s="319"/>
      <c r="AY897" s="319"/>
      <c r="AZ897" s="319"/>
      <c r="BA897" s="319"/>
      <c r="BB897" s="319"/>
      <c r="BC897" s="319"/>
      <c r="BD897" s="319"/>
      <c r="BE897" s="319"/>
      <c r="BF897" s="319"/>
      <c r="BG897" s="319"/>
      <c r="BH897" s="319"/>
      <c r="BI897" s="319"/>
      <c r="BJ897" s="319"/>
      <c r="BK897" s="319"/>
      <c r="BL897" s="319"/>
      <c r="BM897" s="319"/>
      <c r="BN897" s="319"/>
      <c r="BO897" s="319"/>
      <c r="BP897" s="319"/>
      <c r="BQ897" s="319"/>
      <c r="BR897" s="319"/>
    </row>
    <row r="898" ht="14.25" customHeight="1">
      <c r="A898" s="195"/>
      <c r="B898" s="100"/>
      <c r="C898" s="100"/>
      <c r="D898" s="100"/>
      <c r="E898" s="100"/>
      <c r="F898" s="206"/>
      <c r="G898" s="206"/>
      <c r="H898" s="207"/>
      <c r="I898" s="207"/>
      <c r="J898" s="207"/>
      <c r="K898" s="207"/>
      <c r="L898" s="207"/>
      <c r="M898" s="207"/>
      <c r="N898" s="207"/>
      <c r="O898" s="207"/>
      <c r="P898" s="207"/>
      <c r="Q898" s="207"/>
      <c r="R898" s="207"/>
      <c r="S898" s="207"/>
      <c r="T898" s="207"/>
      <c r="U898" s="207"/>
      <c r="V898" s="207"/>
      <c r="W898" s="208"/>
      <c r="X898" s="208"/>
      <c r="Y898" s="208"/>
      <c r="Z898" s="208"/>
      <c r="AA898" s="208"/>
      <c r="AB898" s="208"/>
      <c r="AC898" s="208"/>
      <c r="AD898" s="208"/>
      <c r="AE898" s="208"/>
      <c r="AF898" s="208"/>
      <c r="AG898" s="208"/>
      <c r="AH898" s="208"/>
      <c r="AI898" s="100"/>
      <c r="AJ898" s="319"/>
      <c r="AK898" s="319"/>
      <c r="AL898" s="319"/>
      <c r="AM898" s="319"/>
      <c r="AN898" s="319"/>
      <c r="AO898" s="319"/>
      <c r="AP898" s="319"/>
      <c r="AQ898" s="319"/>
      <c r="AR898" s="319"/>
      <c r="AS898" s="319"/>
      <c r="AT898" s="319"/>
      <c r="AU898" s="319"/>
      <c r="AV898" s="319"/>
      <c r="AW898" s="319"/>
      <c r="AX898" s="319"/>
      <c r="AY898" s="319"/>
      <c r="AZ898" s="319"/>
      <c r="BA898" s="319"/>
      <c r="BB898" s="319"/>
      <c r="BC898" s="319"/>
      <c r="BD898" s="319"/>
      <c r="BE898" s="319"/>
      <c r="BF898" s="319"/>
      <c r="BG898" s="319"/>
      <c r="BH898" s="319"/>
      <c r="BI898" s="319"/>
      <c r="BJ898" s="319"/>
      <c r="BK898" s="319"/>
      <c r="BL898" s="319"/>
      <c r="BM898" s="319"/>
      <c r="BN898" s="319"/>
      <c r="BO898" s="319"/>
      <c r="BP898" s="319"/>
      <c r="BQ898" s="319"/>
      <c r="BR898" s="319"/>
    </row>
    <row r="899" ht="14.25" customHeight="1">
      <c r="A899" s="195"/>
      <c r="B899" s="100"/>
      <c r="C899" s="100"/>
      <c r="D899" s="100"/>
      <c r="E899" s="100"/>
      <c r="F899" s="206"/>
      <c r="G899" s="206"/>
      <c r="H899" s="207"/>
      <c r="I899" s="207"/>
      <c r="J899" s="207"/>
      <c r="K899" s="207"/>
      <c r="L899" s="207"/>
      <c r="M899" s="207"/>
      <c r="N899" s="207"/>
      <c r="O899" s="207"/>
      <c r="P899" s="207"/>
      <c r="Q899" s="207"/>
      <c r="R899" s="207"/>
      <c r="S899" s="207"/>
      <c r="T899" s="207"/>
      <c r="U899" s="207"/>
      <c r="V899" s="207"/>
      <c r="W899" s="208"/>
      <c r="X899" s="208"/>
      <c r="Y899" s="208"/>
      <c r="Z899" s="208"/>
      <c r="AA899" s="208"/>
      <c r="AB899" s="208"/>
      <c r="AC899" s="208"/>
      <c r="AD899" s="208"/>
      <c r="AE899" s="208"/>
      <c r="AF899" s="208"/>
      <c r="AG899" s="208"/>
      <c r="AH899" s="208"/>
      <c r="AI899" s="100"/>
      <c r="AJ899" s="319"/>
      <c r="AK899" s="319"/>
      <c r="AL899" s="319"/>
      <c r="AM899" s="319"/>
      <c r="AN899" s="319"/>
      <c r="AO899" s="319"/>
      <c r="AP899" s="319"/>
      <c r="AQ899" s="319"/>
      <c r="AR899" s="319"/>
      <c r="AS899" s="319"/>
      <c r="AT899" s="319"/>
      <c r="AU899" s="319"/>
      <c r="AV899" s="319"/>
      <c r="AW899" s="319"/>
      <c r="AX899" s="319"/>
      <c r="AY899" s="319"/>
      <c r="AZ899" s="319"/>
      <c r="BA899" s="319"/>
      <c r="BB899" s="319"/>
      <c r="BC899" s="319"/>
      <c r="BD899" s="319"/>
      <c r="BE899" s="319"/>
      <c r="BF899" s="319"/>
      <c r="BG899" s="319"/>
      <c r="BH899" s="319"/>
      <c r="BI899" s="319"/>
      <c r="BJ899" s="319"/>
      <c r="BK899" s="319"/>
      <c r="BL899" s="319"/>
      <c r="BM899" s="319"/>
      <c r="BN899" s="319"/>
      <c r="BO899" s="319"/>
      <c r="BP899" s="319"/>
      <c r="BQ899" s="319"/>
      <c r="BR899" s="319"/>
    </row>
    <row r="900" ht="14.25" customHeight="1">
      <c r="A900" s="195"/>
      <c r="B900" s="100"/>
      <c r="C900" s="100"/>
      <c r="D900" s="100"/>
      <c r="E900" s="100"/>
      <c r="F900" s="206"/>
      <c r="G900" s="206"/>
      <c r="H900" s="207"/>
      <c r="I900" s="207"/>
      <c r="J900" s="207"/>
      <c r="K900" s="207"/>
      <c r="L900" s="207"/>
      <c r="M900" s="207"/>
      <c r="N900" s="207"/>
      <c r="O900" s="207"/>
      <c r="P900" s="207"/>
      <c r="Q900" s="207"/>
      <c r="R900" s="207"/>
      <c r="S900" s="207"/>
      <c r="T900" s="207"/>
      <c r="U900" s="207"/>
      <c r="V900" s="207"/>
      <c r="W900" s="208"/>
      <c r="X900" s="208"/>
      <c r="Y900" s="208"/>
      <c r="Z900" s="208"/>
      <c r="AA900" s="208"/>
      <c r="AB900" s="208"/>
      <c r="AC900" s="208"/>
      <c r="AD900" s="208"/>
      <c r="AE900" s="208"/>
      <c r="AF900" s="208"/>
      <c r="AG900" s="208"/>
      <c r="AH900" s="208"/>
      <c r="AI900" s="100"/>
      <c r="AJ900" s="319"/>
      <c r="AK900" s="319"/>
      <c r="AL900" s="319"/>
      <c r="AM900" s="319"/>
      <c r="AN900" s="319"/>
      <c r="AO900" s="319"/>
      <c r="AP900" s="319"/>
      <c r="AQ900" s="319"/>
      <c r="AR900" s="319"/>
      <c r="AS900" s="319"/>
      <c r="AT900" s="319"/>
      <c r="AU900" s="319"/>
      <c r="AV900" s="319"/>
      <c r="AW900" s="319"/>
      <c r="AX900" s="319"/>
      <c r="AY900" s="319"/>
      <c r="AZ900" s="319"/>
      <c r="BA900" s="319"/>
      <c r="BB900" s="319"/>
      <c r="BC900" s="319"/>
      <c r="BD900" s="319"/>
      <c r="BE900" s="319"/>
      <c r="BF900" s="319"/>
      <c r="BG900" s="319"/>
      <c r="BH900" s="319"/>
      <c r="BI900" s="319"/>
      <c r="BJ900" s="319"/>
      <c r="BK900" s="319"/>
      <c r="BL900" s="319"/>
      <c r="BM900" s="319"/>
      <c r="BN900" s="319"/>
      <c r="BO900" s="319"/>
      <c r="BP900" s="319"/>
      <c r="BQ900" s="319"/>
      <c r="BR900" s="319"/>
    </row>
    <row r="901" ht="14.25" customHeight="1">
      <c r="A901" s="195"/>
      <c r="B901" s="100"/>
      <c r="C901" s="100"/>
      <c r="D901" s="100"/>
      <c r="E901" s="100"/>
      <c r="F901" s="206"/>
      <c r="G901" s="206"/>
      <c r="H901" s="207"/>
      <c r="I901" s="207"/>
      <c r="J901" s="207"/>
      <c r="K901" s="207"/>
      <c r="L901" s="207"/>
      <c r="M901" s="207"/>
      <c r="N901" s="207"/>
      <c r="O901" s="207"/>
      <c r="P901" s="207"/>
      <c r="Q901" s="207"/>
      <c r="R901" s="207"/>
      <c r="S901" s="207"/>
      <c r="T901" s="207"/>
      <c r="U901" s="207"/>
      <c r="V901" s="207"/>
      <c r="W901" s="208"/>
      <c r="X901" s="208"/>
      <c r="Y901" s="208"/>
      <c r="Z901" s="208"/>
      <c r="AA901" s="208"/>
      <c r="AB901" s="208"/>
      <c r="AC901" s="208"/>
      <c r="AD901" s="208"/>
      <c r="AE901" s="208"/>
      <c r="AF901" s="208"/>
      <c r="AG901" s="208"/>
      <c r="AH901" s="208"/>
      <c r="AI901" s="100"/>
      <c r="AJ901" s="319"/>
      <c r="AK901" s="319"/>
      <c r="AL901" s="319"/>
      <c r="AM901" s="319"/>
      <c r="AN901" s="319"/>
      <c r="AO901" s="319"/>
      <c r="AP901" s="319"/>
      <c r="AQ901" s="319"/>
      <c r="AR901" s="319"/>
      <c r="AS901" s="319"/>
      <c r="AT901" s="319"/>
      <c r="AU901" s="319"/>
      <c r="AV901" s="319"/>
      <c r="AW901" s="319"/>
      <c r="AX901" s="319"/>
      <c r="AY901" s="319"/>
      <c r="AZ901" s="319"/>
      <c r="BA901" s="319"/>
      <c r="BB901" s="319"/>
      <c r="BC901" s="319"/>
      <c r="BD901" s="319"/>
      <c r="BE901" s="319"/>
      <c r="BF901" s="319"/>
      <c r="BG901" s="319"/>
      <c r="BH901" s="319"/>
      <c r="BI901" s="319"/>
      <c r="BJ901" s="319"/>
      <c r="BK901" s="319"/>
      <c r="BL901" s="319"/>
      <c r="BM901" s="319"/>
      <c r="BN901" s="319"/>
      <c r="BO901" s="319"/>
      <c r="BP901" s="319"/>
      <c r="BQ901" s="319"/>
      <c r="BR901" s="319"/>
    </row>
    <row r="902" ht="14.25" customHeight="1">
      <c r="A902" s="195"/>
      <c r="B902" s="100"/>
      <c r="C902" s="100"/>
      <c r="D902" s="100"/>
      <c r="E902" s="100"/>
      <c r="F902" s="206"/>
      <c r="G902" s="206"/>
      <c r="H902" s="207"/>
      <c r="I902" s="207"/>
      <c r="J902" s="207"/>
      <c r="K902" s="207"/>
      <c r="L902" s="207"/>
      <c r="M902" s="207"/>
      <c r="N902" s="207"/>
      <c r="O902" s="207"/>
      <c r="P902" s="207"/>
      <c r="Q902" s="207"/>
      <c r="R902" s="207"/>
      <c r="S902" s="207"/>
      <c r="T902" s="207"/>
      <c r="U902" s="207"/>
      <c r="V902" s="207"/>
      <c r="W902" s="208"/>
      <c r="X902" s="208"/>
      <c r="Y902" s="208"/>
      <c r="Z902" s="208"/>
      <c r="AA902" s="208"/>
      <c r="AB902" s="208"/>
      <c r="AC902" s="208"/>
      <c r="AD902" s="208"/>
      <c r="AE902" s="208"/>
      <c r="AF902" s="208"/>
      <c r="AG902" s="208"/>
      <c r="AH902" s="208"/>
      <c r="AI902" s="100"/>
      <c r="AJ902" s="319"/>
      <c r="AK902" s="319"/>
      <c r="AL902" s="319"/>
      <c r="AM902" s="319"/>
      <c r="AN902" s="319"/>
      <c r="AO902" s="319"/>
      <c r="AP902" s="319"/>
      <c r="AQ902" s="319"/>
      <c r="AR902" s="319"/>
      <c r="AS902" s="319"/>
      <c r="AT902" s="319"/>
      <c r="AU902" s="319"/>
      <c r="AV902" s="319"/>
      <c r="AW902" s="319"/>
      <c r="AX902" s="319"/>
      <c r="AY902" s="319"/>
      <c r="AZ902" s="319"/>
      <c r="BA902" s="319"/>
      <c r="BB902" s="319"/>
      <c r="BC902" s="319"/>
      <c r="BD902" s="319"/>
      <c r="BE902" s="319"/>
      <c r="BF902" s="319"/>
      <c r="BG902" s="319"/>
      <c r="BH902" s="319"/>
      <c r="BI902" s="319"/>
      <c r="BJ902" s="319"/>
      <c r="BK902" s="319"/>
      <c r="BL902" s="319"/>
      <c r="BM902" s="319"/>
      <c r="BN902" s="319"/>
      <c r="BO902" s="319"/>
      <c r="BP902" s="319"/>
      <c r="BQ902" s="319"/>
      <c r="BR902" s="319"/>
    </row>
    <row r="903" ht="14.25" customHeight="1">
      <c r="A903" s="195"/>
      <c r="B903" s="100"/>
      <c r="C903" s="100"/>
      <c r="D903" s="100"/>
      <c r="E903" s="100"/>
      <c r="F903" s="206"/>
      <c r="G903" s="206"/>
      <c r="H903" s="207"/>
      <c r="I903" s="207"/>
      <c r="J903" s="207"/>
      <c r="K903" s="207"/>
      <c r="L903" s="207"/>
      <c r="M903" s="207"/>
      <c r="N903" s="207"/>
      <c r="O903" s="207"/>
      <c r="P903" s="207"/>
      <c r="Q903" s="207"/>
      <c r="R903" s="207"/>
      <c r="S903" s="207"/>
      <c r="T903" s="207"/>
      <c r="U903" s="207"/>
      <c r="V903" s="207"/>
      <c r="W903" s="208"/>
      <c r="X903" s="208"/>
      <c r="Y903" s="208"/>
      <c r="Z903" s="208"/>
      <c r="AA903" s="208"/>
      <c r="AB903" s="208"/>
      <c r="AC903" s="208"/>
      <c r="AD903" s="208"/>
      <c r="AE903" s="208"/>
      <c r="AF903" s="208"/>
      <c r="AG903" s="208"/>
      <c r="AH903" s="208"/>
      <c r="AI903" s="100"/>
      <c r="AJ903" s="319"/>
      <c r="AK903" s="319"/>
      <c r="AL903" s="319"/>
      <c r="AM903" s="319"/>
      <c r="AN903" s="319"/>
      <c r="AO903" s="319"/>
      <c r="AP903" s="319"/>
      <c r="AQ903" s="319"/>
      <c r="AR903" s="319"/>
      <c r="AS903" s="319"/>
      <c r="AT903" s="319"/>
      <c r="AU903" s="319"/>
      <c r="AV903" s="319"/>
      <c r="AW903" s="319"/>
      <c r="AX903" s="319"/>
      <c r="AY903" s="319"/>
      <c r="AZ903" s="319"/>
      <c r="BA903" s="319"/>
      <c r="BB903" s="319"/>
      <c r="BC903" s="319"/>
      <c r="BD903" s="319"/>
      <c r="BE903" s="319"/>
      <c r="BF903" s="319"/>
      <c r="BG903" s="319"/>
      <c r="BH903" s="319"/>
      <c r="BI903" s="319"/>
      <c r="BJ903" s="319"/>
      <c r="BK903" s="319"/>
      <c r="BL903" s="319"/>
      <c r="BM903" s="319"/>
      <c r="BN903" s="319"/>
      <c r="BO903" s="319"/>
      <c r="BP903" s="319"/>
      <c r="BQ903" s="319"/>
      <c r="BR903" s="319"/>
    </row>
    <row r="904" ht="14.25" customHeight="1">
      <c r="A904" s="195"/>
      <c r="B904" s="100"/>
      <c r="C904" s="100"/>
      <c r="D904" s="100"/>
      <c r="E904" s="100"/>
      <c r="F904" s="206"/>
      <c r="G904" s="206"/>
      <c r="H904" s="207"/>
      <c r="I904" s="207"/>
      <c r="J904" s="207"/>
      <c r="K904" s="207"/>
      <c r="L904" s="207"/>
      <c r="M904" s="207"/>
      <c r="N904" s="207"/>
      <c r="O904" s="207"/>
      <c r="P904" s="207"/>
      <c r="Q904" s="207"/>
      <c r="R904" s="207"/>
      <c r="S904" s="207"/>
      <c r="T904" s="207"/>
      <c r="U904" s="207"/>
      <c r="V904" s="207"/>
      <c r="W904" s="208"/>
      <c r="X904" s="208"/>
      <c r="Y904" s="208"/>
      <c r="Z904" s="208"/>
      <c r="AA904" s="208"/>
      <c r="AB904" s="208"/>
      <c r="AC904" s="208"/>
      <c r="AD904" s="208"/>
      <c r="AE904" s="208"/>
      <c r="AF904" s="208"/>
      <c r="AG904" s="208"/>
      <c r="AH904" s="208"/>
      <c r="AI904" s="100"/>
      <c r="AJ904" s="319"/>
      <c r="AK904" s="319"/>
      <c r="AL904" s="319"/>
      <c r="AM904" s="319"/>
      <c r="AN904" s="319"/>
      <c r="AO904" s="319"/>
      <c r="AP904" s="319"/>
      <c r="AQ904" s="319"/>
      <c r="AR904" s="319"/>
      <c r="AS904" s="319"/>
      <c r="AT904" s="319"/>
      <c r="AU904" s="319"/>
      <c r="AV904" s="319"/>
      <c r="AW904" s="319"/>
      <c r="AX904" s="319"/>
      <c r="AY904" s="319"/>
      <c r="AZ904" s="319"/>
      <c r="BA904" s="319"/>
      <c r="BB904" s="319"/>
      <c r="BC904" s="319"/>
      <c r="BD904" s="319"/>
      <c r="BE904" s="319"/>
      <c r="BF904" s="319"/>
      <c r="BG904" s="319"/>
      <c r="BH904" s="319"/>
      <c r="BI904" s="319"/>
      <c r="BJ904" s="319"/>
      <c r="BK904" s="319"/>
      <c r="BL904" s="319"/>
      <c r="BM904" s="319"/>
      <c r="BN904" s="319"/>
      <c r="BO904" s="319"/>
      <c r="BP904" s="319"/>
      <c r="BQ904" s="319"/>
      <c r="BR904" s="319"/>
    </row>
    <row r="905" ht="14.25" customHeight="1">
      <c r="A905" s="195"/>
      <c r="B905" s="100"/>
      <c r="C905" s="100"/>
      <c r="D905" s="100"/>
      <c r="E905" s="100"/>
      <c r="F905" s="206"/>
      <c r="G905" s="206"/>
      <c r="H905" s="207"/>
      <c r="I905" s="207"/>
      <c r="J905" s="207"/>
      <c r="K905" s="207"/>
      <c r="L905" s="207"/>
      <c r="M905" s="207"/>
      <c r="N905" s="207"/>
      <c r="O905" s="207"/>
      <c r="P905" s="207"/>
      <c r="Q905" s="207"/>
      <c r="R905" s="207"/>
      <c r="S905" s="207"/>
      <c r="T905" s="207"/>
      <c r="U905" s="207"/>
      <c r="V905" s="207"/>
      <c r="W905" s="208"/>
      <c r="X905" s="208"/>
      <c r="Y905" s="208"/>
      <c r="Z905" s="208"/>
      <c r="AA905" s="208"/>
      <c r="AB905" s="208"/>
      <c r="AC905" s="208"/>
      <c r="AD905" s="208"/>
      <c r="AE905" s="208"/>
      <c r="AF905" s="208"/>
      <c r="AG905" s="208"/>
      <c r="AH905" s="208"/>
      <c r="AI905" s="100"/>
      <c r="AJ905" s="319"/>
      <c r="AK905" s="319"/>
      <c r="AL905" s="319"/>
      <c r="AM905" s="319"/>
      <c r="AN905" s="319"/>
      <c r="AO905" s="319"/>
      <c r="AP905" s="319"/>
      <c r="AQ905" s="319"/>
      <c r="AR905" s="319"/>
      <c r="AS905" s="319"/>
      <c r="AT905" s="319"/>
      <c r="AU905" s="319"/>
      <c r="AV905" s="319"/>
      <c r="AW905" s="319"/>
      <c r="AX905" s="319"/>
      <c r="AY905" s="319"/>
      <c r="AZ905" s="319"/>
      <c r="BA905" s="319"/>
      <c r="BB905" s="319"/>
      <c r="BC905" s="319"/>
      <c r="BD905" s="319"/>
      <c r="BE905" s="319"/>
      <c r="BF905" s="319"/>
      <c r="BG905" s="319"/>
      <c r="BH905" s="319"/>
      <c r="BI905" s="319"/>
      <c r="BJ905" s="319"/>
      <c r="BK905" s="319"/>
      <c r="BL905" s="319"/>
      <c r="BM905" s="319"/>
      <c r="BN905" s="319"/>
      <c r="BO905" s="319"/>
      <c r="BP905" s="319"/>
      <c r="BQ905" s="319"/>
      <c r="BR905" s="319"/>
    </row>
    <row r="906" ht="14.25" customHeight="1">
      <c r="A906" s="195"/>
      <c r="B906" s="100"/>
      <c r="C906" s="100"/>
      <c r="D906" s="100"/>
      <c r="E906" s="100"/>
      <c r="F906" s="206"/>
      <c r="G906" s="206"/>
      <c r="H906" s="207"/>
      <c r="I906" s="207"/>
      <c r="J906" s="207"/>
      <c r="K906" s="207"/>
      <c r="L906" s="207"/>
      <c r="M906" s="207"/>
      <c r="N906" s="207"/>
      <c r="O906" s="207"/>
      <c r="P906" s="207"/>
      <c r="Q906" s="207"/>
      <c r="R906" s="207"/>
      <c r="S906" s="207"/>
      <c r="T906" s="207"/>
      <c r="U906" s="207"/>
      <c r="V906" s="207"/>
      <c r="W906" s="208"/>
      <c r="X906" s="208"/>
      <c r="Y906" s="208"/>
      <c r="Z906" s="208"/>
      <c r="AA906" s="208"/>
      <c r="AB906" s="208"/>
      <c r="AC906" s="208"/>
      <c r="AD906" s="208"/>
      <c r="AE906" s="208"/>
      <c r="AF906" s="208"/>
      <c r="AG906" s="208"/>
      <c r="AH906" s="208"/>
      <c r="AI906" s="100"/>
      <c r="AJ906" s="319"/>
      <c r="AK906" s="319"/>
      <c r="AL906" s="319"/>
      <c r="AM906" s="319"/>
      <c r="AN906" s="319"/>
      <c r="AO906" s="319"/>
      <c r="AP906" s="319"/>
      <c r="AQ906" s="319"/>
      <c r="AR906" s="319"/>
      <c r="AS906" s="319"/>
      <c r="AT906" s="319"/>
      <c r="AU906" s="319"/>
      <c r="AV906" s="319"/>
      <c r="AW906" s="319"/>
      <c r="AX906" s="319"/>
      <c r="AY906" s="319"/>
      <c r="AZ906" s="319"/>
      <c r="BA906" s="319"/>
      <c r="BB906" s="319"/>
      <c r="BC906" s="319"/>
      <c r="BD906" s="319"/>
      <c r="BE906" s="319"/>
      <c r="BF906" s="319"/>
      <c r="BG906" s="319"/>
      <c r="BH906" s="319"/>
      <c r="BI906" s="319"/>
      <c r="BJ906" s="319"/>
      <c r="BK906" s="319"/>
      <c r="BL906" s="319"/>
      <c r="BM906" s="319"/>
      <c r="BN906" s="319"/>
      <c r="BO906" s="319"/>
      <c r="BP906" s="319"/>
      <c r="BQ906" s="319"/>
      <c r="BR906" s="319"/>
    </row>
    <row r="907" ht="14.25" customHeight="1">
      <c r="A907" s="195"/>
      <c r="B907" s="100"/>
      <c r="C907" s="100"/>
      <c r="D907" s="100"/>
      <c r="E907" s="100"/>
      <c r="F907" s="206"/>
      <c r="G907" s="206"/>
      <c r="H907" s="207"/>
      <c r="I907" s="207"/>
      <c r="J907" s="207"/>
      <c r="K907" s="207"/>
      <c r="L907" s="207"/>
      <c r="M907" s="207"/>
      <c r="N907" s="207"/>
      <c r="O907" s="207"/>
      <c r="P907" s="207"/>
      <c r="Q907" s="207"/>
      <c r="R907" s="207"/>
      <c r="S907" s="207"/>
      <c r="T907" s="207"/>
      <c r="U907" s="207"/>
      <c r="V907" s="207"/>
      <c r="W907" s="208"/>
      <c r="X907" s="208"/>
      <c r="Y907" s="208"/>
      <c r="Z907" s="208"/>
      <c r="AA907" s="208"/>
      <c r="AB907" s="208"/>
      <c r="AC907" s="208"/>
      <c r="AD907" s="208"/>
      <c r="AE907" s="208"/>
      <c r="AF907" s="208"/>
      <c r="AG907" s="208"/>
      <c r="AH907" s="208"/>
      <c r="AI907" s="100"/>
      <c r="AJ907" s="319"/>
      <c r="AK907" s="319"/>
      <c r="AL907" s="319"/>
      <c r="AM907" s="319"/>
      <c r="AN907" s="319"/>
      <c r="AO907" s="319"/>
      <c r="AP907" s="319"/>
      <c r="AQ907" s="319"/>
      <c r="AR907" s="319"/>
      <c r="AS907" s="319"/>
      <c r="AT907" s="319"/>
      <c r="AU907" s="319"/>
      <c r="AV907" s="319"/>
      <c r="AW907" s="319"/>
      <c r="AX907" s="319"/>
      <c r="AY907" s="319"/>
      <c r="AZ907" s="319"/>
      <c r="BA907" s="319"/>
      <c r="BB907" s="319"/>
      <c r="BC907" s="319"/>
      <c r="BD907" s="319"/>
      <c r="BE907" s="319"/>
      <c r="BF907" s="319"/>
      <c r="BG907" s="319"/>
      <c r="BH907" s="319"/>
      <c r="BI907" s="319"/>
      <c r="BJ907" s="319"/>
      <c r="BK907" s="319"/>
      <c r="BL907" s="319"/>
      <c r="BM907" s="319"/>
      <c r="BN907" s="319"/>
      <c r="BO907" s="319"/>
      <c r="BP907" s="319"/>
      <c r="BQ907" s="319"/>
      <c r="BR907" s="319"/>
    </row>
    <row r="908" ht="14.25" customHeight="1">
      <c r="A908" s="195"/>
      <c r="B908" s="100"/>
      <c r="C908" s="100"/>
      <c r="D908" s="100"/>
      <c r="E908" s="100"/>
      <c r="F908" s="206"/>
      <c r="G908" s="206"/>
      <c r="H908" s="207"/>
      <c r="I908" s="207"/>
      <c r="J908" s="207"/>
      <c r="K908" s="207"/>
      <c r="L908" s="207"/>
      <c r="M908" s="207"/>
      <c r="N908" s="207"/>
      <c r="O908" s="207"/>
      <c r="P908" s="207"/>
      <c r="Q908" s="207"/>
      <c r="R908" s="207"/>
      <c r="S908" s="207"/>
      <c r="T908" s="207"/>
      <c r="U908" s="207"/>
      <c r="V908" s="207"/>
      <c r="W908" s="208"/>
      <c r="X908" s="208"/>
      <c r="Y908" s="208"/>
      <c r="Z908" s="208"/>
      <c r="AA908" s="208"/>
      <c r="AB908" s="208"/>
      <c r="AC908" s="208"/>
      <c r="AD908" s="208"/>
      <c r="AE908" s="208"/>
      <c r="AF908" s="208"/>
      <c r="AG908" s="208"/>
      <c r="AH908" s="208"/>
      <c r="AI908" s="100"/>
      <c r="AJ908" s="319"/>
      <c r="AK908" s="319"/>
      <c r="AL908" s="319"/>
      <c r="AM908" s="319"/>
      <c r="AN908" s="319"/>
      <c r="AO908" s="319"/>
      <c r="AP908" s="319"/>
      <c r="AQ908" s="319"/>
      <c r="AR908" s="319"/>
      <c r="AS908" s="319"/>
      <c r="AT908" s="319"/>
      <c r="AU908" s="319"/>
      <c r="AV908" s="319"/>
      <c r="AW908" s="319"/>
      <c r="AX908" s="319"/>
      <c r="AY908" s="319"/>
      <c r="AZ908" s="319"/>
      <c r="BA908" s="319"/>
      <c r="BB908" s="319"/>
      <c r="BC908" s="319"/>
      <c r="BD908" s="319"/>
      <c r="BE908" s="319"/>
      <c r="BF908" s="319"/>
      <c r="BG908" s="319"/>
      <c r="BH908" s="319"/>
      <c r="BI908" s="319"/>
      <c r="BJ908" s="319"/>
      <c r="BK908" s="319"/>
      <c r="BL908" s="319"/>
      <c r="BM908" s="319"/>
      <c r="BN908" s="319"/>
      <c r="BO908" s="319"/>
      <c r="BP908" s="319"/>
      <c r="BQ908" s="319"/>
      <c r="BR908" s="319"/>
    </row>
    <row r="909" ht="14.25" customHeight="1">
      <c r="A909" s="195"/>
      <c r="B909" s="100"/>
      <c r="C909" s="100"/>
      <c r="D909" s="100"/>
      <c r="E909" s="100"/>
      <c r="F909" s="206"/>
      <c r="G909" s="206"/>
      <c r="H909" s="207"/>
      <c r="I909" s="207"/>
      <c r="J909" s="207"/>
      <c r="K909" s="207"/>
      <c r="L909" s="207"/>
      <c r="M909" s="207"/>
      <c r="N909" s="207"/>
      <c r="O909" s="207"/>
      <c r="P909" s="207"/>
      <c r="Q909" s="207"/>
      <c r="R909" s="207"/>
      <c r="S909" s="207"/>
      <c r="T909" s="207"/>
      <c r="U909" s="207"/>
      <c r="V909" s="207"/>
      <c r="W909" s="208"/>
      <c r="X909" s="208"/>
      <c r="Y909" s="208"/>
      <c r="Z909" s="208"/>
      <c r="AA909" s="208"/>
      <c r="AB909" s="208"/>
      <c r="AC909" s="208"/>
      <c r="AD909" s="208"/>
      <c r="AE909" s="208"/>
      <c r="AF909" s="208"/>
      <c r="AG909" s="208"/>
      <c r="AH909" s="208"/>
      <c r="AI909" s="100"/>
      <c r="AJ909" s="319"/>
      <c r="AK909" s="319"/>
      <c r="AL909" s="319"/>
      <c r="AM909" s="319"/>
      <c r="AN909" s="319"/>
      <c r="AO909" s="319"/>
      <c r="AP909" s="319"/>
      <c r="AQ909" s="319"/>
      <c r="AR909" s="319"/>
      <c r="AS909" s="319"/>
      <c r="AT909" s="319"/>
      <c r="AU909" s="319"/>
      <c r="AV909" s="319"/>
      <c r="AW909" s="319"/>
      <c r="AX909" s="319"/>
      <c r="AY909" s="319"/>
      <c r="AZ909" s="319"/>
      <c r="BA909" s="319"/>
      <c r="BB909" s="319"/>
      <c r="BC909" s="319"/>
      <c r="BD909" s="319"/>
      <c r="BE909" s="319"/>
      <c r="BF909" s="319"/>
      <c r="BG909" s="319"/>
      <c r="BH909" s="319"/>
      <c r="BI909" s="319"/>
      <c r="BJ909" s="319"/>
      <c r="BK909" s="319"/>
      <c r="BL909" s="319"/>
      <c r="BM909" s="319"/>
      <c r="BN909" s="319"/>
      <c r="BO909" s="319"/>
      <c r="BP909" s="319"/>
      <c r="BQ909" s="319"/>
      <c r="BR909" s="319"/>
    </row>
    <row r="910" ht="14.25" customHeight="1">
      <c r="A910" s="195"/>
      <c r="B910" s="100"/>
      <c r="C910" s="100"/>
      <c r="D910" s="100"/>
      <c r="E910" s="100"/>
      <c r="F910" s="206"/>
      <c r="G910" s="206"/>
      <c r="H910" s="207"/>
      <c r="I910" s="207"/>
      <c r="J910" s="207"/>
      <c r="K910" s="207"/>
      <c r="L910" s="207"/>
      <c r="M910" s="207"/>
      <c r="N910" s="207"/>
      <c r="O910" s="207"/>
      <c r="P910" s="207"/>
      <c r="Q910" s="207"/>
      <c r="R910" s="207"/>
      <c r="S910" s="207"/>
      <c r="T910" s="207"/>
      <c r="U910" s="207"/>
      <c r="V910" s="207"/>
      <c r="W910" s="208"/>
      <c r="X910" s="208"/>
      <c r="Y910" s="208"/>
      <c r="Z910" s="208"/>
      <c r="AA910" s="208"/>
      <c r="AB910" s="208"/>
      <c r="AC910" s="208"/>
      <c r="AD910" s="208"/>
      <c r="AE910" s="208"/>
      <c r="AF910" s="208"/>
      <c r="AG910" s="208"/>
      <c r="AH910" s="208"/>
      <c r="AI910" s="100"/>
      <c r="AJ910" s="319"/>
      <c r="AK910" s="319"/>
      <c r="AL910" s="319"/>
      <c r="AM910" s="319"/>
      <c r="AN910" s="319"/>
      <c r="AO910" s="319"/>
      <c r="AP910" s="319"/>
      <c r="AQ910" s="319"/>
      <c r="AR910" s="319"/>
      <c r="AS910" s="319"/>
      <c r="AT910" s="319"/>
      <c r="AU910" s="319"/>
      <c r="AV910" s="319"/>
      <c r="AW910" s="319"/>
      <c r="AX910" s="319"/>
      <c r="AY910" s="319"/>
      <c r="AZ910" s="319"/>
      <c r="BA910" s="319"/>
      <c r="BB910" s="319"/>
      <c r="BC910" s="319"/>
      <c r="BD910" s="319"/>
      <c r="BE910" s="319"/>
      <c r="BF910" s="319"/>
      <c r="BG910" s="319"/>
      <c r="BH910" s="319"/>
      <c r="BI910" s="319"/>
      <c r="BJ910" s="319"/>
      <c r="BK910" s="319"/>
      <c r="BL910" s="319"/>
      <c r="BM910" s="319"/>
      <c r="BN910" s="319"/>
      <c r="BO910" s="319"/>
      <c r="BP910" s="319"/>
      <c r="BQ910" s="319"/>
      <c r="BR910" s="319"/>
    </row>
    <row r="911" ht="14.25" customHeight="1">
      <c r="A911" s="195"/>
      <c r="B911" s="100"/>
      <c r="C911" s="100"/>
      <c r="D911" s="100"/>
      <c r="E911" s="100"/>
      <c r="F911" s="206"/>
      <c r="G911" s="206"/>
      <c r="H911" s="207"/>
      <c r="I911" s="207"/>
      <c r="J911" s="207"/>
      <c r="K911" s="207"/>
      <c r="L911" s="207"/>
      <c r="M911" s="207"/>
      <c r="N911" s="207"/>
      <c r="O911" s="207"/>
      <c r="P911" s="207"/>
      <c r="Q911" s="207"/>
      <c r="R911" s="207"/>
      <c r="S911" s="207"/>
      <c r="T911" s="207"/>
      <c r="U911" s="207"/>
      <c r="V911" s="207"/>
      <c r="W911" s="208"/>
      <c r="X911" s="208"/>
      <c r="Y911" s="208"/>
      <c r="Z911" s="208"/>
      <c r="AA911" s="208"/>
      <c r="AB911" s="208"/>
      <c r="AC911" s="208"/>
      <c r="AD911" s="208"/>
      <c r="AE911" s="208"/>
      <c r="AF911" s="208"/>
      <c r="AG911" s="208"/>
      <c r="AH911" s="208"/>
      <c r="AI911" s="100"/>
      <c r="AJ911" s="319"/>
      <c r="AK911" s="319"/>
      <c r="AL911" s="319"/>
      <c r="AM911" s="319"/>
      <c r="AN911" s="319"/>
      <c r="AO911" s="319"/>
      <c r="AP911" s="319"/>
      <c r="AQ911" s="319"/>
      <c r="AR911" s="319"/>
      <c r="AS911" s="319"/>
      <c r="AT911" s="319"/>
      <c r="AU911" s="319"/>
      <c r="AV911" s="319"/>
      <c r="AW911" s="319"/>
      <c r="AX911" s="319"/>
      <c r="AY911" s="319"/>
      <c r="AZ911" s="319"/>
      <c r="BA911" s="319"/>
      <c r="BB911" s="319"/>
      <c r="BC911" s="319"/>
      <c r="BD911" s="319"/>
      <c r="BE911" s="319"/>
      <c r="BF911" s="319"/>
      <c r="BG911" s="319"/>
      <c r="BH911" s="319"/>
      <c r="BI911" s="319"/>
      <c r="BJ911" s="319"/>
      <c r="BK911" s="319"/>
      <c r="BL911" s="319"/>
      <c r="BM911" s="319"/>
      <c r="BN911" s="319"/>
      <c r="BO911" s="319"/>
      <c r="BP911" s="319"/>
      <c r="BQ911" s="319"/>
      <c r="BR911" s="319"/>
    </row>
    <row r="912" ht="14.25" customHeight="1">
      <c r="A912" s="195"/>
      <c r="B912" s="100"/>
      <c r="C912" s="100"/>
      <c r="D912" s="100"/>
      <c r="E912" s="100"/>
      <c r="F912" s="206"/>
      <c r="G912" s="206"/>
      <c r="H912" s="207"/>
      <c r="I912" s="207"/>
      <c r="J912" s="207"/>
      <c r="K912" s="207"/>
      <c r="L912" s="207"/>
      <c r="M912" s="207"/>
      <c r="N912" s="207"/>
      <c r="O912" s="207"/>
      <c r="P912" s="207"/>
      <c r="Q912" s="207"/>
      <c r="R912" s="207"/>
      <c r="S912" s="207"/>
      <c r="T912" s="207"/>
      <c r="U912" s="207"/>
      <c r="V912" s="207"/>
      <c r="W912" s="208"/>
      <c r="X912" s="208"/>
      <c r="Y912" s="208"/>
      <c r="Z912" s="208"/>
      <c r="AA912" s="208"/>
      <c r="AB912" s="208"/>
      <c r="AC912" s="208"/>
      <c r="AD912" s="208"/>
      <c r="AE912" s="208"/>
      <c r="AF912" s="208"/>
      <c r="AG912" s="208"/>
      <c r="AH912" s="208"/>
      <c r="AI912" s="100"/>
      <c r="AJ912" s="319"/>
      <c r="AK912" s="319"/>
      <c r="AL912" s="319"/>
      <c r="AM912" s="319"/>
      <c r="AN912" s="319"/>
      <c r="AO912" s="319"/>
      <c r="AP912" s="319"/>
      <c r="AQ912" s="319"/>
      <c r="AR912" s="319"/>
      <c r="AS912" s="319"/>
      <c r="AT912" s="319"/>
      <c r="AU912" s="319"/>
      <c r="AV912" s="319"/>
      <c r="AW912" s="319"/>
      <c r="AX912" s="319"/>
      <c r="AY912" s="319"/>
      <c r="AZ912" s="319"/>
      <c r="BA912" s="319"/>
      <c r="BB912" s="319"/>
      <c r="BC912" s="319"/>
      <c r="BD912" s="319"/>
      <c r="BE912" s="319"/>
      <c r="BF912" s="319"/>
      <c r="BG912" s="319"/>
      <c r="BH912" s="319"/>
      <c r="BI912" s="319"/>
      <c r="BJ912" s="319"/>
      <c r="BK912" s="319"/>
      <c r="BL912" s="319"/>
      <c r="BM912" s="319"/>
      <c r="BN912" s="319"/>
      <c r="BO912" s="319"/>
      <c r="BP912" s="319"/>
      <c r="BQ912" s="319"/>
      <c r="BR912" s="319"/>
    </row>
    <row r="913" ht="14.25" customHeight="1">
      <c r="A913" s="195"/>
      <c r="B913" s="100"/>
      <c r="C913" s="100"/>
      <c r="D913" s="100"/>
      <c r="E913" s="100"/>
      <c r="F913" s="206"/>
      <c r="G913" s="206"/>
      <c r="H913" s="207"/>
      <c r="I913" s="207"/>
      <c r="J913" s="207"/>
      <c r="K913" s="207"/>
      <c r="L913" s="207"/>
      <c r="M913" s="207"/>
      <c r="N913" s="207"/>
      <c r="O913" s="207"/>
      <c r="P913" s="207"/>
      <c r="Q913" s="207"/>
      <c r="R913" s="207"/>
      <c r="S913" s="207"/>
      <c r="T913" s="207"/>
      <c r="U913" s="207"/>
      <c r="V913" s="207"/>
      <c r="W913" s="208"/>
      <c r="X913" s="208"/>
      <c r="Y913" s="208"/>
      <c r="Z913" s="208"/>
      <c r="AA913" s="208"/>
      <c r="AB913" s="208"/>
      <c r="AC913" s="208"/>
      <c r="AD913" s="208"/>
      <c r="AE913" s="208"/>
      <c r="AF913" s="208"/>
      <c r="AG913" s="208"/>
      <c r="AH913" s="208"/>
      <c r="AI913" s="100"/>
      <c r="AJ913" s="319"/>
      <c r="AK913" s="319"/>
      <c r="AL913" s="319"/>
      <c r="AM913" s="319"/>
      <c r="AN913" s="319"/>
      <c r="AO913" s="319"/>
      <c r="AP913" s="319"/>
      <c r="AQ913" s="319"/>
      <c r="AR913" s="319"/>
      <c r="AS913" s="319"/>
      <c r="AT913" s="319"/>
      <c r="AU913" s="319"/>
      <c r="AV913" s="319"/>
      <c r="AW913" s="319"/>
      <c r="AX913" s="319"/>
      <c r="AY913" s="319"/>
      <c r="AZ913" s="319"/>
      <c r="BA913" s="319"/>
      <c r="BB913" s="319"/>
      <c r="BC913" s="319"/>
      <c r="BD913" s="319"/>
      <c r="BE913" s="319"/>
      <c r="BF913" s="319"/>
      <c r="BG913" s="319"/>
      <c r="BH913" s="319"/>
      <c r="BI913" s="319"/>
      <c r="BJ913" s="319"/>
      <c r="BK913" s="319"/>
      <c r="BL913" s="319"/>
      <c r="BM913" s="319"/>
      <c r="BN913" s="319"/>
      <c r="BO913" s="319"/>
      <c r="BP913" s="319"/>
      <c r="BQ913" s="319"/>
      <c r="BR913" s="319"/>
    </row>
    <row r="914" ht="14.25" customHeight="1">
      <c r="A914" s="195"/>
      <c r="B914" s="100"/>
      <c r="C914" s="100"/>
      <c r="D914" s="100"/>
      <c r="E914" s="100"/>
      <c r="F914" s="206"/>
      <c r="G914" s="206"/>
      <c r="H914" s="207"/>
      <c r="I914" s="207"/>
      <c r="J914" s="207"/>
      <c r="K914" s="207"/>
      <c r="L914" s="207"/>
      <c r="M914" s="207"/>
      <c r="N914" s="207"/>
      <c r="O914" s="207"/>
      <c r="P914" s="207"/>
      <c r="Q914" s="207"/>
      <c r="R914" s="207"/>
      <c r="S914" s="207"/>
      <c r="T914" s="207"/>
      <c r="U914" s="207"/>
      <c r="V914" s="207"/>
      <c r="W914" s="208"/>
      <c r="X914" s="208"/>
      <c r="Y914" s="208"/>
      <c r="Z914" s="208"/>
      <c r="AA914" s="208"/>
      <c r="AB914" s="208"/>
      <c r="AC914" s="208"/>
      <c r="AD914" s="208"/>
      <c r="AE914" s="208"/>
      <c r="AF914" s="208"/>
      <c r="AG914" s="208"/>
      <c r="AH914" s="208"/>
      <c r="AI914" s="100"/>
      <c r="AJ914" s="319"/>
      <c r="AK914" s="319"/>
      <c r="AL914" s="319"/>
      <c r="AM914" s="319"/>
      <c r="AN914" s="319"/>
      <c r="AO914" s="319"/>
      <c r="AP914" s="319"/>
      <c r="AQ914" s="319"/>
      <c r="AR914" s="319"/>
      <c r="AS914" s="319"/>
      <c r="AT914" s="319"/>
      <c r="AU914" s="319"/>
      <c r="AV914" s="319"/>
      <c r="AW914" s="319"/>
      <c r="AX914" s="319"/>
      <c r="AY914" s="319"/>
      <c r="AZ914" s="319"/>
      <c r="BA914" s="319"/>
      <c r="BB914" s="319"/>
      <c r="BC914" s="319"/>
      <c r="BD914" s="319"/>
      <c r="BE914" s="319"/>
      <c r="BF914" s="319"/>
      <c r="BG914" s="319"/>
      <c r="BH914" s="319"/>
      <c r="BI914" s="319"/>
      <c r="BJ914" s="319"/>
      <c r="BK914" s="319"/>
      <c r="BL914" s="319"/>
      <c r="BM914" s="319"/>
      <c r="BN914" s="319"/>
      <c r="BO914" s="319"/>
      <c r="BP914" s="319"/>
      <c r="BQ914" s="319"/>
      <c r="BR914" s="319"/>
    </row>
    <row r="915" ht="14.25" customHeight="1">
      <c r="A915" s="195"/>
      <c r="B915" s="100"/>
      <c r="C915" s="100"/>
      <c r="D915" s="100"/>
      <c r="E915" s="100"/>
      <c r="F915" s="206"/>
      <c r="G915" s="206"/>
      <c r="H915" s="207"/>
      <c r="I915" s="207"/>
      <c r="J915" s="207"/>
      <c r="K915" s="207"/>
      <c r="L915" s="207"/>
      <c r="M915" s="207"/>
      <c r="N915" s="207"/>
      <c r="O915" s="207"/>
      <c r="P915" s="207"/>
      <c r="Q915" s="207"/>
      <c r="R915" s="207"/>
      <c r="S915" s="207"/>
      <c r="T915" s="207"/>
      <c r="U915" s="207"/>
      <c r="V915" s="207"/>
      <c r="W915" s="208"/>
      <c r="X915" s="208"/>
      <c r="Y915" s="208"/>
      <c r="Z915" s="208"/>
      <c r="AA915" s="208"/>
      <c r="AB915" s="208"/>
      <c r="AC915" s="208"/>
      <c r="AD915" s="208"/>
      <c r="AE915" s="208"/>
      <c r="AF915" s="208"/>
      <c r="AG915" s="208"/>
      <c r="AH915" s="208"/>
      <c r="AI915" s="100"/>
      <c r="AJ915" s="319"/>
      <c r="AK915" s="319"/>
      <c r="AL915" s="319"/>
      <c r="AM915" s="319"/>
      <c r="AN915" s="319"/>
      <c r="AO915" s="319"/>
      <c r="AP915" s="319"/>
      <c r="AQ915" s="319"/>
      <c r="AR915" s="319"/>
      <c r="AS915" s="319"/>
      <c r="AT915" s="319"/>
      <c r="AU915" s="319"/>
      <c r="AV915" s="319"/>
      <c r="AW915" s="319"/>
      <c r="AX915" s="319"/>
      <c r="AY915" s="319"/>
      <c r="AZ915" s="319"/>
      <c r="BA915" s="319"/>
      <c r="BB915" s="319"/>
      <c r="BC915" s="319"/>
      <c r="BD915" s="319"/>
      <c r="BE915" s="319"/>
      <c r="BF915" s="319"/>
      <c r="BG915" s="319"/>
      <c r="BH915" s="319"/>
      <c r="BI915" s="319"/>
      <c r="BJ915" s="319"/>
      <c r="BK915" s="319"/>
      <c r="BL915" s="319"/>
      <c r="BM915" s="319"/>
      <c r="BN915" s="319"/>
      <c r="BO915" s="319"/>
      <c r="BP915" s="319"/>
      <c r="BQ915" s="319"/>
      <c r="BR915" s="319"/>
    </row>
    <row r="916" ht="14.25" customHeight="1">
      <c r="A916" s="195"/>
      <c r="B916" s="100"/>
      <c r="C916" s="100"/>
      <c r="D916" s="100"/>
      <c r="E916" s="100"/>
      <c r="F916" s="206"/>
      <c r="G916" s="206"/>
      <c r="H916" s="207"/>
      <c r="I916" s="207"/>
      <c r="J916" s="207"/>
      <c r="K916" s="207"/>
      <c r="L916" s="207"/>
      <c r="M916" s="207"/>
      <c r="N916" s="207"/>
      <c r="O916" s="207"/>
      <c r="P916" s="207"/>
      <c r="Q916" s="207"/>
      <c r="R916" s="207"/>
      <c r="S916" s="207"/>
      <c r="T916" s="207"/>
      <c r="U916" s="207"/>
      <c r="V916" s="207"/>
      <c r="W916" s="208"/>
      <c r="X916" s="208"/>
      <c r="Y916" s="208"/>
      <c r="Z916" s="208"/>
      <c r="AA916" s="208"/>
      <c r="AB916" s="208"/>
      <c r="AC916" s="208"/>
      <c r="AD916" s="208"/>
      <c r="AE916" s="208"/>
      <c r="AF916" s="208"/>
      <c r="AG916" s="208"/>
      <c r="AH916" s="208"/>
      <c r="AI916" s="100"/>
      <c r="AJ916" s="319"/>
      <c r="AK916" s="319"/>
      <c r="AL916" s="319"/>
      <c r="AM916" s="319"/>
      <c r="AN916" s="319"/>
      <c r="AO916" s="319"/>
      <c r="AP916" s="319"/>
      <c r="AQ916" s="319"/>
      <c r="AR916" s="319"/>
      <c r="AS916" s="319"/>
      <c r="AT916" s="319"/>
      <c r="AU916" s="319"/>
      <c r="AV916" s="319"/>
      <c r="AW916" s="319"/>
      <c r="AX916" s="319"/>
      <c r="AY916" s="319"/>
      <c r="AZ916" s="319"/>
      <c r="BA916" s="319"/>
      <c r="BB916" s="319"/>
      <c r="BC916" s="319"/>
      <c r="BD916" s="319"/>
      <c r="BE916" s="319"/>
      <c r="BF916" s="319"/>
      <c r="BG916" s="319"/>
      <c r="BH916" s="319"/>
      <c r="BI916" s="319"/>
      <c r="BJ916" s="319"/>
      <c r="BK916" s="319"/>
      <c r="BL916" s="319"/>
      <c r="BM916" s="319"/>
      <c r="BN916" s="319"/>
      <c r="BO916" s="319"/>
      <c r="BP916" s="319"/>
      <c r="BQ916" s="319"/>
      <c r="BR916" s="319"/>
    </row>
    <row r="917" ht="14.25" customHeight="1">
      <c r="A917" s="195"/>
      <c r="B917" s="100"/>
      <c r="C917" s="100"/>
      <c r="D917" s="100"/>
      <c r="E917" s="100"/>
      <c r="F917" s="206"/>
      <c r="G917" s="206"/>
      <c r="H917" s="207"/>
      <c r="I917" s="207"/>
      <c r="J917" s="207"/>
      <c r="K917" s="207"/>
      <c r="L917" s="207"/>
      <c r="M917" s="207"/>
      <c r="N917" s="207"/>
      <c r="O917" s="207"/>
      <c r="P917" s="207"/>
      <c r="Q917" s="207"/>
      <c r="R917" s="207"/>
      <c r="S917" s="207"/>
      <c r="T917" s="207"/>
      <c r="U917" s="207"/>
      <c r="V917" s="207"/>
      <c r="W917" s="208"/>
      <c r="X917" s="208"/>
      <c r="Y917" s="208"/>
      <c r="Z917" s="208"/>
      <c r="AA917" s="208"/>
      <c r="AB917" s="208"/>
      <c r="AC917" s="208"/>
      <c r="AD917" s="208"/>
      <c r="AE917" s="208"/>
      <c r="AF917" s="208"/>
      <c r="AG917" s="208"/>
      <c r="AH917" s="208"/>
      <c r="AI917" s="100"/>
      <c r="AJ917" s="319"/>
      <c r="AK917" s="319"/>
      <c r="AL917" s="319"/>
      <c r="AM917" s="319"/>
      <c r="AN917" s="319"/>
      <c r="AO917" s="319"/>
      <c r="AP917" s="319"/>
      <c r="AQ917" s="319"/>
      <c r="AR917" s="319"/>
      <c r="AS917" s="319"/>
      <c r="AT917" s="319"/>
      <c r="AU917" s="319"/>
      <c r="AV917" s="319"/>
      <c r="AW917" s="319"/>
      <c r="AX917" s="319"/>
      <c r="AY917" s="319"/>
      <c r="AZ917" s="319"/>
      <c r="BA917" s="319"/>
      <c r="BB917" s="319"/>
      <c r="BC917" s="319"/>
      <c r="BD917" s="319"/>
      <c r="BE917" s="319"/>
      <c r="BF917" s="319"/>
      <c r="BG917" s="319"/>
      <c r="BH917" s="319"/>
      <c r="BI917" s="319"/>
      <c r="BJ917" s="319"/>
      <c r="BK917" s="319"/>
      <c r="BL917" s="319"/>
      <c r="BM917" s="319"/>
      <c r="BN917" s="319"/>
      <c r="BO917" s="319"/>
      <c r="BP917" s="319"/>
      <c r="BQ917" s="319"/>
      <c r="BR917" s="319"/>
    </row>
    <row r="918" ht="14.25" customHeight="1">
      <c r="A918" s="195"/>
      <c r="B918" s="100"/>
      <c r="C918" s="100"/>
      <c r="D918" s="100"/>
      <c r="E918" s="100"/>
      <c r="F918" s="206"/>
      <c r="G918" s="206"/>
      <c r="H918" s="207"/>
      <c r="I918" s="207"/>
      <c r="J918" s="207"/>
      <c r="K918" s="207"/>
      <c r="L918" s="207"/>
      <c r="M918" s="207"/>
      <c r="N918" s="207"/>
      <c r="O918" s="207"/>
      <c r="P918" s="207"/>
      <c r="Q918" s="207"/>
      <c r="R918" s="207"/>
      <c r="S918" s="207"/>
      <c r="T918" s="207"/>
      <c r="U918" s="207"/>
      <c r="V918" s="207"/>
      <c r="W918" s="208"/>
      <c r="X918" s="208"/>
      <c r="Y918" s="208"/>
      <c r="Z918" s="208"/>
      <c r="AA918" s="208"/>
      <c r="AB918" s="208"/>
      <c r="AC918" s="208"/>
      <c r="AD918" s="208"/>
      <c r="AE918" s="208"/>
      <c r="AF918" s="208"/>
      <c r="AG918" s="208"/>
      <c r="AH918" s="208"/>
      <c r="AI918" s="100"/>
      <c r="AJ918" s="319"/>
      <c r="AK918" s="319"/>
      <c r="AL918" s="319"/>
      <c r="AM918" s="319"/>
      <c r="AN918" s="319"/>
      <c r="AO918" s="319"/>
      <c r="AP918" s="319"/>
      <c r="AQ918" s="319"/>
      <c r="AR918" s="319"/>
      <c r="AS918" s="319"/>
      <c r="AT918" s="319"/>
      <c r="AU918" s="319"/>
      <c r="AV918" s="319"/>
      <c r="AW918" s="319"/>
      <c r="AX918" s="319"/>
      <c r="AY918" s="319"/>
      <c r="AZ918" s="319"/>
      <c r="BA918" s="319"/>
      <c r="BB918" s="319"/>
      <c r="BC918" s="319"/>
      <c r="BD918" s="319"/>
      <c r="BE918" s="319"/>
      <c r="BF918" s="319"/>
      <c r="BG918" s="319"/>
      <c r="BH918" s="319"/>
      <c r="BI918" s="319"/>
      <c r="BJ918" s="319"/>
      <c r="BK918" s="319"/>
      <c r="BL918" s="319"/>
      <c r="BM918" s="319"/>
      <c r="BN918" s="319"/>
      <c r="BO918" s="319"/>
      <c r="BP918" s="319"/>
      <c r="BQ918" s="319"/>
      <c r="BR918" s="319"/>
    </row>
    <row r="919" ht="14.25" customHeight="1">
      <c r="A919" s="195"/>
      <c r="B919" s="100"/>
      <c r="C919" s="100"/>
      <c r="D919" s="100"/>
      <c r="E919" s="100"/>
      <c r="F919" s="206"/>
      <c r="G919" s="206"/>
      <c r="H919" s="207"/>
      <c r="I919" s="207"/>
      <c r="J919" s="207"/>
      <c r="K919" s="207"/>
      <c r="L919" s="207"/>
      <c r="M919" s="207"/>
      <c r="N919" s="207"/>
      <c r="O919" s="207"/>
      <c r="P919" s="207"/>
      <c r="Q919" s="207"/>
      <c r="R919" s="207"/>
      <c r="S919" s="207"/>
      <c r="T919" s="207"/>
      <c r="U919" s="207"/>
      <c r="V919" s="207"/>
      <c r="W919" s="208"/>
      <c r="X919" s="208"/>
      <c r="Y919" s="208"/>
      <c r="Z919" s="208"/>
      <c r="AA919" s="208"/>
      <c r="AB919" s="208"/>
      <c r="AC919" s="208"/>
      <c r="AD919" s="208"/>
      <c r="AE919" s="208"/>
      <c r="AF919" s="208"/>
      <c r="AG919" s="208"/>
      <c r="AH919" s="208"/>
      <c r="AI919" s="100"/>
      <c r="AJ919" s="319"/>
      <c r="AK919" s="319"/>
      <c r="AL919" s="319"/>
      <c r="AM919" s="319"/>
      <c r="AN919" s="319"/>
      <c r="AO919" s="319"/>
      <c r="AP919" s="319"/>
      <c r="AQ919" s="319"/>
      <c r="AR919" s="319"/>
      <c r="AS919" s="319"/>
      <c r="AT919" s="319"/>
      <c r="AU919" s="319"/>
      <c r="AV919" s="319"/>
      <c r="AW919" s="319"/>
      <c r="AX919" s="319"/>
      <c r="AY919" s="319"/>
      <c r="AZ919" s="319"/>
      <c r="BA919" s="319"/>
      <c r="BB919" s="319"/>
      <c r="BC919" s="319"/>
      <c r="BD919" s="319"/>
      <c r="BE919" s="319"/>
      <c r="BF919" s="319"/>
      <c r="BG919" s="319"/>
      <c r="BH919" s="319"/>
      <c r="BI919" s="319"/>
      <c r="BJ919" s="319"/>
      <c r="BK919" s="319"/>
      <c r="BL919" s="319"/>
      <c r="BM919" s="319"/>
      <c r="BN919" s="319"/>
      <c r="BO919" s="319"/>
      <c r="BP919" s="319"/>
      <c r="BQ919" s="319"/>
      <c r="BR919" s="319"/>
    </row>
    <row r="920" ht="14.25" customHeight="1">
      <c r="A920" s="195"/>
      <c r="B920" s="100"/>
      <c r="C920" s="100"/>
      <c r="D920" s="100"/>
      <c r="E920" s="100"/>
      <c r="F920" s="206"/>
      <c r="G920" s="206"/>
      <c r="H920" s="207"/>
      <c r="I920" s="207"/>
      <c r="J920" s="207"/>
      <c r="K920" s="207"/>
      <c r="L920" s="207"/>
      <c r="M920" s="207"/>
      <c r="N920" s="207"/>
      <c r="O920" s="207"/>
      <c r="P920" s="207"/>
      <c r="Q920" s="207"/>
      <c r="R920" s="207"/>
      <c r="S920" s="207"/>
      <c r="T920" s="207"/>
      <c r="U920" s="207"/>
      <c r="V920" s="207"/>
      <c r="W920" s="208"/>
      <c r="X920" s="208"/>
      <c r="Y920" s="208"/>
      <c r="Z920" s="208"/>
      <c r="AA920" s="208"/>
      <c r="AB920" s="208"/>
      <c r="AC920" s="208"/>
      <c r="AD920" s="208"/>
      <c r="AE920" s="208"/>
      <c r="AF920" s="208"/>
      <c r="AG920" s="208"/>
      <c r="AH920" s="208"/>
      <c r="AI920" s="100"/>
      <c r="AJ920" s="319"/>
      <c r="AK920" s="319"/>
      <c r="AL920" s="319"/>
      <c r="AM920" s="319"/>
      <c r="AN920" s="319"/>
      <c r="AO920" s="319"/>
      <c r="AP920" s="319"/>
      <c r="AQ920" s="319"/>
      <c r="AR920" s="319"/>
      <c r="AS920" s="319"/>
      <c r="AT920" s="319"/>
      <c r="AU920" s="319"/>
      <c r="AV920" s="319"/>
      <c r="AW920" s="319"/>
      <c r="AX920" s="319"/>
      <c r="AY920" s="319"/>
      <c r="AZ920" s="319"/>
      <c r="BA920" s="319"/>
      <c r="BB920" s="319"/>
      <c r="BC920" s="319"/>
      <c r="BD920" s="319"/>
      <c r="BE920" s="319"/>
      <c r="BF920" s="319"/>
      <c r="BG920" s="319"/>
      <c r="BH920" s="319"/>
      <c r="BI920" s="319"/>
      <c r="BJ920" s="319"/>
      <c r="BK920" s="319"/>
      <c r="BL920" s="319"/>
      <c r="BM920" s="319"/>
      <c r="BN920" s="319"/>
      <c r="BO920" s="319"/>
      <c r="BP920" s="319"/>
      <c r="BQ920" s="319"/>
      <c r="BR920" s="319"/>
    </row>
    <row r="921" ht="14.25" customHeight="1">
      <c r="A921" s="195"/>
      <c r="B921" s="100"/>
      <c r="C921" s="100"/>
      <c r="D921" s="100"/>
      <c r="E921" s="100"/>
      <c r="F921" s="206"/>
      <c r="G921" s="206"/>
      <c r="H921" s="207"/>
      <c r="I921" s="207"/>
      <c r="J921" s="207"/>
      <c r="K921" s="207"/>
      <c r="L921" s="207"/>
      <c r="M921" s="207"/>
      <c r="N921" s="207"/>
      <c r="O921" s="207"/>
      <c r="P921" s="207"/>
      <c r="Q921" s="207"/>
      <c r="R921" s="207"/>
      <c r="S921" s="207"/>
      <c r="T921" s="207"/>
      <c r="U921" s="207"/>
      <c r="V921" s="207"/>
      <c r="W921" s="208"/>
      <c r="X921" s="208"/>
      <c r="Y921" s="208"/>
      <c r="Z921" s="208"/>
      <c r="AA921" s="208"/>
      <c r="AB921" s="208"/>
      <c r="AC921" s="208"/>
      <c r="AD921" s="208"/>
      <c r="AE921" s="208"/>
      <c r="AF921" s="208"/>
      <c r="AG921" s="208"/>
      <c r="AH921" s="208"/>
      <c r="AI921" s="100"/>
      <c r="AJ921" s="319"/>
      <c r="AK921" s="319"/>
      <c r="AL921" s="319"/>
      <c r="AM921" s="319"/>
      <c r="AN921" s="319"/>
      <c r="AO921" s="319"/>
      <c r="AP921" s="319"/>
      <c r="AQ921" s="319"/>
      <c r="AR921" s="319"/>
      <c r="AS921" s="319"/>
      <c r="AT921" s="319"/>
      <c r="AU921" s="319"/>
      <c r="AV921" s="319"/>
      <c r="AW921" s="319"/>
      <c r="AX921" s="319"/>
      <c r="AY921" s="319"/>
      <c r="AZ921" s="319"/>
      <c r="BA921" s="319"/>
      <c r="BB921" s="319"/>
      <c r="BC921" s="319"/>
      <c r="BD921" s="319"/>
      <c r="BE921" s="319"/>
      <c r="BF921" s="319"/>
      <c r="BG921" s="319"/>
      <c r="BH921" s="319"/>
      <c r="BI921" s="319"/>
      <c r="BJ921" s="319"/>
      <c r="BK921" s="319"/>
      <c r="BL921" s="319"/>
      <c r="BM921" s="319"/>
      <c r="BN921" s="319"/>
      <c r="BO921" s="319"/>
      <c r="BP921" s="319"/>
      <c r="BQ921" s="319"/>
      <c r="BR921" s="319"/>
    </row>
    <row r="922" ht="14.25" customHeight="1">
      <c r="A922" s="195"/>
      <c r="B922" s="100"/>
      <c r="C922" s="100"/>
      <c r="D922" s="100"/>
      <c r="E922" s="100"/>
      <c r="F922" s="206"/>
      <c r="G922" s="206"/>
      <c r="H922" s="207"/>
      <c r="I922" s="207"/>
      <c r="J922" s="207"/>
      <c r="K922" s="207"/>
      <c r="L922" s="207"/>
      <c r="M922" s="207"/>
      <c r="N922" s="207"/>
      <c r="O922" s="207"/>
      <c r="P922" s="207"/>
      <c r="Q922" s="207"/>
      <c r="R922" s="207"/>
      <c r="S922" s="207"/>
      <c r="T922" s="207"/>
      <c r="U922" s="207"/>
      <c r="V922" s="207"/>
      <c r="W922" s="208"/>
      <c r="X922" s="208"/>
      <c r="Y922" s="208"/>
      <c r="Z922" s="208"/>
      <c r="AA922" s="208"/>
      <c r="AB922" s="208"/>
      <c r="AC922" s="208"/>
      <c r="AD922" s="208"/>
      <c r="AE922" s="208"/>
      <c r="AF922" s="208"/>
      <c r="AG922" s="208"/>
      <c r="AH922" s="208"/>
      <c r="AI922" s="100"/>
      <c r="AJ922" s="319"/>
      <c r="AK922" s="319"/>
      <c r="AL922" s="319"/>
      <c r="AM922" s="319"/>
      <c r="AN922" s="319"/>
      <c r="AO922" s="319"/>
      <c r="AP922" s="319"/>
      <c r="AQ922" s="319"/>
      <c r="AR922" s="319"/>
      <c r="AS922" s="319"/>
      <c r="AT922" s="319"/>
      <c r="AU922" s="319"/>
      <c r="AV922" s="319"/>
      <c r="AW922" s="319"/>
      <c r="AX922" s="319"/>
      <c r="AY922" s="319"/>
      <c r="AZ922" s="319"/>
      <c r="BA922" s="319"/>
      <c r="BB922" s="319"/>
      <c r="BC922" s="319"/>
      <c r="BD922" s="319"/>
      <c r="BE922" s="319"/>
      <c r="BF922" s="319"/>
      <c r="BG922" s="319"/>
      <c r="BH922" s="319"/>
      <c r="BI922" s="319"/>
      <c r="BJ922" s="319"/>
      <c r="BK922" s="319"/>
      <c r="BL922" s="319"/>
      <c r="BM922" s="319"/>
      <c r="BN922" s="319"/>
      <c r="BO922" s="319"/>
      <c r="BP922" s="319"/>
      <c r="BQ922" s="319"/>
      <c r="BR922" s="319"/>
    </row>
    <row r="923" ht="14.25" customHeight="1">
      <c r="A923" s="195"/>
      <c r="B923" s="100"/>
      <c r="C923" s="100"/>
      <c r="D923" s="100"/>
      <c r="E923" s="100"/>
      <c r="F923" s="206"/>
      <c r="G923" s="206"/>
      <c r="H923" s="207"/>
      <c r="I923" s="207"/>
      <c r="J923" s="207"/>
      <c r="K923" s="207"/>
      <c r="L923" s="207"/>
      <c r="M923" s="207"/>
      <c r="N923" s="207"/>
      <c r="O923" s="207"/>
      <c r="P923" s="207"/>
      <c r="Q923" s="207"/>
      <c r="R923" s="207"/>
      <c r="S923" s="207"/>
      <c r="T923" s="207"/>
      <c r="U923" s="207"/>
      <c r="V923" s="207"/>
      <c r="W923" s="208"/>
      <c r="X923" s="208"/>
      <c r="Y923" s="208"/>
      <c r="Z923" s="208"/>
      <c r="AA923" s="208"/>
      <c r="AB923" s="208"/>
      <c r="AC923" s="208"/>
      <c r="AD923" s="208"/>
      <c r="AE923" s="208"/>
      <c r="AF923" s="208"/>
      <c r="AG923" s="208"/>
      <c r="AH923" s="208"/>
      <c r="AI923" s="100"/>
      <c r="AJ923" s="319"/>
      <c r="AK923" s="319"/>
      <c r="AL923" s="319"/>
      <c r="AM923" s="319"/>
      <c r="AN923" s="319"/>
      <c r="AO923" s="319"/>
      <c r="AP923" s="319"/>
      <c r="AQ923" s="319"/>
      <c r="AR923" s="319"/>
      <c r="AS923" s="319"/>
      <c r="AT923" s="319"/>
      <c r="AU923" s="319"/>
      <c r="AV923" s="319"/>
      <c r="AW923" s="319"/>
      <c r="AX923" s="319"/>
      <c r="AY923" s="319"/>
      <c r="AZ923" s="319"/>
      <c r="BA923" s="319"/>
      <c r="BB923" s="319"/>
      <c r="BC923" s="319"/>
      <c r="BD923" s="319"/>
      <c r="BE923" s="319"/>
      <c r="BF923" s="319"/>
      <c r="BG923" s="319"/>
      <c r="BH923" s="319"/>
      <c r="BI923" s="319"/>
      <c r="BJ923" s="319"/>
      <c r="BK923" s="319"/>
      <c r="BL923" s="319"/>
      <c r="BM923" s="319"/>
      <c r="BN923" s="319"/>
      <c r="BO923" s="319"/>
      <c r="BP923" s="319"/>
      <c r="BQ923" s="319"/>
      <c r="BR923" s="319"/>
    </row>
    <row r="924" ht="14.25" customHeight="1">
      <c r="A924" s="195"/>
      <c r="B924" s="100"/>
      <c r="C924" s="100"/>
      <c r="D924" s="100"/>
      <c r="E924" s="100"/>
      <c r="F924" s="206"/>
      <c r="G924" s="206"/>
      <c r="H924" s="207"/>
      <c r="I924" s="207"/>
      <c r="J924" s="207"/>
      <c r="K924" s="207"/>
      <c r="L924" s="207"/>
      <c r="M924" s="207"/>
      <c r="N924" s="207"/>
      <c r="O924" s="207"/>
      <c r="P924" s="207"/>
      <c r="Q924" s="207"/>
      <c r="R924" s="207"/>
      <c r="S924" s="207"/>
      <c r="T924" s="207"/>
      <c r="U924" s="207"/>
      <c r="V924" s="207"/>
      <c r="W924" s="208"/>
      <c r="X924" s="208"/>
      <c r="Y924" s="208"/>
      <c r="Z924" s="208"/>
      <c r="AA924" s="208"/>
      <c r="AB924" s="208"/>
      <c r="AC924" s="208"/>
      <c r="AD924" s="208"/>
      <c r="AE924" s="208"/>
      <c r="AF924" s="208"/>
      <c r="AG924" s="208"/>
      <c r="AH924" s="208"/>
      <c r="AI924" s="100"/>
      <c r="AJ924" s="319"/>
      <c r="AK924" s="319"/>
      <c r="AL924" s="319"/>
      <c r="AM924" s="319"/>
      <c r="AN924" s="319"/>
      <c r="AO924" s="319"/>
      <c r="AP924" s="319"/>
      <c r="AQ924" s="319"/>
      <c r="AR924" s="319"/>
      <c r="AS924" s="319"/>
      <c r="AT924" s="319"/>
      <c r="AU924" s="319"/>
      <c r="AV924" s="319"/>
      <c r="AW924" s="319"/>
      <c r="AX924" s="319"/>
      <c r="AY924" s="319"/>
      <c r="AZ924" s="319"/>
      <c r="BA924" s="319"/>
      <c r="BB924" s="319"/>
      <c r="BC924" s="319"/>
      <c r="BD924" s="319"/>
      <c r="BE924" s="319"/>
      <c r="BF924" s="319"/>
      <c r="BG924" s="319"/>
      <c r="BH924" s="319"/>
      <c r="BI924" s="319"/>
      <c r="BJ924" s="319"/>
      <c r="BK924" s="319"/>
      <c r="BL924" s="319"/>
      <c r="BM924" s="319"/>
      <c r="BN924" s="319"/>
      <c r="BO924" s="319"/>
      <c r="BP924" s="319"/>
      <c r="BQ924" s="319"/>
      <c r="BR924" s="319"/>
    </row>
    <row r="925" ht="14.25" customHeight="1">
      <c r="A925" s="195"/>
      <c r="B925" s="100"/>
      <c r="C925" s="100"/>
      <c r="D925" s="100"/>
      <c r="E925" s="100"/>
      <c r="F925" s="206"/>
      <c r="G925" s="206"/>
      <c r="H925" s="207"/>
      <c r="I925" s="207"/>
      <c r="J925" s="207"/>
      <c r="K925" s="207"/>
      <c r="L925" s="207"/>
      <c r="M925" s="207"/>
      <c r="N925" s="207"/>
      <c r="O925" s="207"/>
      <c r="P925" s="207"/>
      <c r="Q925" s="207"/>
      <c r="R925" s="207"/>
      <c r="S925" s="207"/>
      <c r="T925" s="207"/>
      <c r="U925" s="207"/>
      <c r="V925" s="207"/>
      <c r="W925" s="208"/>
      <c r="X925" s="208"/>
      <c r="Y925" s="208"/>
      <c r="Z925" s="208"/>
      <c r="AA925" s="208"/>
      <c r="AB925" s="208"/>
      <c r="AC925" s="208"/>
      <c r="AD925" s="208"/>
      <c r="AE925" s="208"/>
      <c r="AF925" s="208"/>
      <c r="AG925" s="208"/>
      <c r="AH925" s="208"/>
      <c r="AI925" s="100"/>
      <c r="AJ925" s="319"/>
      <c r="AK925" s="319"/>
      <c r="AL925" s="319"/>
      <c r="AM925" s="319"/>
      <c r="AN925" s="319"/>
      <c r="AO925" s="319"/>
      <c r="AP925" s="319"/>
      <c r="AQ925" s="319"/>
      <c r="AR925" s="319"/>
      <c r="AS925" s="319"/>
      <c r="AT925" s="319"/>
      <c r="AU925" s="319"/>
      <c r="AV925" s="319"/>
      <c r="AW925" s="319"/>
      <c r="AX925" s="319"/>
      <c r="AY925" s="319"/>
      <c r="AZ925" s="319"/>
      <c r="BA925" s="319"/>
      <c r="BB925" s="319"/>
      <c r="BC925" s="319"/>
      <c r="BD925" s="319"/>
      <c r="BE925" s="319"/>
      <c r="BF925" s="319"/>
      <c r="BG925" s="319"/>
      <c r="BH925" s="319"/>
      <c r="BI925" s="319"/>
      <c r="BJ925" s="319"/>
      <c r="BK925" s="319"/>
      <c r="BL925" s="319"/>
      <c r="BM925" s="319"/>
      <c r="BN925" s="319"/>
      <c r="BO925" s="319"/>
      <c r="BP925" s="319"/>
      <c r="BQ925" s="319"/>
      <c r="BR925" s="319"/>
    </row>
    <row r="926" ht="14.25" customHeight="1">
      <c r="A926" s="195"/>
      <c r="B926" s="100"/>
      <c r="C926" s="100"/>
      <c r="D926" s="100"/>
      <c r="E926" s="100"/>
      <c r="F926" s="206"/>
      <c r="G926" s="206"/>
      <c r="H926" s="207"/>
      <c r="I926" s="207"/>
      <c r="J926" s="207"/>
      <c r="K926" s="207"/>
      <c r="L926" s="207"/>
      <c r="M926" s="207"/>
      <c r="N926" s="207"/>
      <c r="O926" s="207"/>
      <c r="P926" s="207"/>
      <c r="Q926" s="207"/>
      <c r="R926" s="207"/>
      <c r="S926" s="207"/>
      <c r="T926" s="207"/>
      <c r="U926" s="207"/>
      <c r="V926" s="207"/>
      <c r="W926" s="208"/>
      <c r="X926" s="208"/>
      <c r="Y926" s="208"/>
      <c r="Z926" s="208"/>
      <c r="AA926" s="208"/>
      <c r="AB926" s="208"/>
      <c r="AC926" s="208"/>
      <c r="AD926" s="208"/>
      <c r="AE926" s="208"/>
      <c r="AF926" s="208"/>
      <c r="AG926" s="208"/>
      <c r="AH926" s="208"/>
      <c r="AI926" s="100"/>
      <c r="AJ926" s="319"/>
      <c r="AK926" s="319"/>
      <c r="AL926" s="319"/>
      <c r="AM926" s="319"/>
      <c r="AN926" s="319"/>
      <c r="AO926" s="319"/>
      <c r="AP926" s="319"/>
      <c r="AQ926" s="319"/>
      <c r="AR926" s="319"/>
      <c r="AS926" s="319"/>
      <c r="AT926" s="319"/>
      <c r="AU926" s="319"/>
      <c r="AV926" s="319"/>
      <c r="AW926" s="319"/>
      <c r="AX926" s="319"/>
      <c r="AY926" s="319"/>
      <c r="AZ926" s="319"/>
      <c r="BA926" s="319"/>
      <c r="BB926" s="319"/>
      <c r="BC926" s="319"/>
      <c r="BD926" s="319"/>
      <c r="BE926" s="319"/>
      <c r="BF926" s="319"/>
      <c r="BG926" s="319"/>
      <c r="BH926" s="319"/>
      <c r="BI926" s="319"/>
      <c r="BJ926" s="319"/>
      <c r="BK926" s="319"/>
      <c r="BL926" s="319"/>
      <c r="BM926" s="319"/>
      <c r="BN926" s="319"/>
      <c r="BO926" s="319"/>
      <c r="BP926" s="319"/>
      <c r="BQ926" s="319"/>
      <c r="BR926" s="319"/>
    </row>
    <row r="927" ht="14.25" customHeight="1">
      <c r="A927" s="195"/>
      <c r="B927" s="100"/>
      <c r="C927" s="100"/>
      <c r="D927" s="100"/>
      <c r="E927" s="100"/>
      <c r="F927" s="206"/>
      <c r="G927" s="206"/>
      <c r="H927" s="207"/>
      <c r="I927" s="207"/>
      <c r="J927" s="207"/>
      <c r="K927" s="207"/>
      <c r="L927" s="207"/>
      <c r="M927" s="207"/>
      <c r="N927" s="207"/>
      <c r="O927" s="207"/>
      <c r="P927" s="207"/>
      <c r="Q927" s="207"/>
      <c r="R927" s="207"/>
      <c r="S927" s="207"/>
      <c r="T927" s="207"/>
      <c r="U927" s="207"/>
      <c r="V927" s="207"/>
      <c r="W927" s="208"/>
      <c r="X927" s="208"/>
      <c r="Y927" s="208"/>
      <c r="Z927" s="208"/>
      <c r="AA927" s="208"/>
      <c r="AB927" s="208"/>
      <c r="AC927" s="208"/>
      <c r="AD927" s="208"/>
      <c r="AE927" s="208"/>
      <c r="AF927" s="208"/>
      <c r="AG927" s="208"/>
      <c r="AH927" s="208"/>
      <c r="AI927" s="100"/>
      <c r="AJ927" s="319"/>
      <c r="AK927" s="319"/>
      <c r="AL927" s="319"/>
      <c r="AM927" s="319"/>
      <c r="AN927" s="319"/>
      <c r="AO927" s="319"/>
      <c r="AP927" s="319"/>
      <c r="AQ927" s="319"/>
      <c r="AR927" s="319"/>
      <c r="AS927" s="319"/>
      <c r="AT927" s="319"/>
      <c r="AU927" s="319"/>
      <c r="AV927" s="319"/>
      <c r="AW927" s="319"/>
      <c r="AX927" s="319"/>
      <c r="AY927" s="319"/>
      <c r="AZ927" s="319"/>
      <c r="BA927" s="319"/>
      <c r="BB927" s="319"/>
      <c r="BC927" s="319"/>
      <c r="BD927" s="319"/>
      <c r="BE927" s="319"/>
      <c r="BF927" s="319"/>
      <c r="BG927" s="319"/>
      <c r="BH927" s="319"/>
      <c r="BI927" s="319"/>
      <c r="BJ927" s="319"/>
      <c r="BK927" s="319"/>
      <c r="BL927" s="319"/>
      <c r="BM927" s="319"/>
      <c r="BN927" s="319"/>
      <c r="BO927" s="319"/>
      <c r="BP927" s="319"/>
      <c r="BQ927" s="319"/>
      <c r="BR927" s="319"/>
    </row>
    <row r="928" ht="14.25" customHeight="1">
      <c r="A928" s="195"/>
      <c r="B928" s="100"/>
      <c r="C928" s="100"/>
      <c r="D928" s="100"/>
      <c r="E928" s="100"/>
      <c r="F928" s="206"/>
      <c r="G928" s="206"/>
      <c r="H928" s="207"/>
      <c r="I928" s="207"/>
      <c r="J928" s="207"/>
      <c r="K928" s="207"/>
      <c r="L928" s="207"/>
      <c r="M928" s="207"/>
      <c r="N928" s="207"/>
      <c r="O928" s="207"/>
      <c r="P928" s="207"/>
      <c r="Q928" s="207"/>
      <c r="R928" s="207"/>
      <c r="S928" s="207"/>
      <c r="T928" s="207"/>
      <c r="U928" s="207"/>
      <c r="V928" s="207"/>
      <c r="W928" s="208"/>
      <c r="X928" s="208"/>
      <c r="Y928" s="208"/>
      <c r="Z928" s="208"/>
      <c r="AA928" s="208"/>
      <c r="AB928" s="208"/>
      <c r="AC928" s="208"/>
      <c r="AD928" s="208"/>
      <c r="AE928" s="208"/>
      <c r="AF928" s="208"/>
      <c r="AG928" s="208"/>
      <c r="AH928" s="208"/>
      <c r="AI928" s="100"/>
      <c r="AJ928" s="319"/>
      <c r="AK928" s="319"/>
      <c r="AL928" s="319"/>
      <c r="AM928" s="319"/>
      <c r="AN928" s="319"/>
      <c r="AO928" s="319"/>
      <c r="AP928" s="319"/>
      <c r="AQ928" s="319"/>
      <c r="AR928" s="319"/>
      <c r="AS928" s="319"/>
      <c r="AT928" s="319"/>
      <c r="AU928" s="319"/>
      <c r="AV928" s="319"/>
      <c r="AW928" s="319"/>
      <c r="AX928" s="319"/>
      <c r="AY928" s="319"/>
      <c r="AZ928" s="319"/>
      <c r="BA928" s="319"/>
      <c r="BB928" s="319"/>
      <c r="BC928" s="319"/>
      <c r="BD928" s="319"/>
      <c r="BE928" s="319"/>
      <c r="BF928" s="319"/>
      <c r="BG928" s="319"/>
      <c r="BH928" s="319"/>
      <c r="BI928" s="319"/>
      <c r="BJ928" s="319"/>
      <c r="BK928" s="319"/>
      <c r="BL928" s="319"/>
      <c r="BM928" s="319"/>
      <c r="BN928" s="319"/>
      <c r="BO928" s="319"/>
      <c r="BP928" s="319"/>
      <c r="BQ928" s="319"/>
      <c r="BR928" s="319"/>
    </row>
    <row r="929" ht="14.25" customHeight="1">
      <c r="A929" s="195"/>
      <c r="B929" s="100"/>
      <c r="C929" s="100"/>
      <c r="D929" s="100"/>
      <c r="E929" s="100"/>
      <c r="F929" s="206"/>
      <c r="G929" s="206"/>
      <c r="H929" s="207"/>
      <c r="I929" s="207"/>
      <c r="J929" s="207"/>
      <c r="K929" s="207"/>
      <c r="L929" s="207"/>
      <c r="M929" s="207"/>
      <c r="N929" s="207"/>
      <c r="O929" s="207"/>
      <c r="P929" s="207"/>
      <c r="Q929" s="207"/>
      <c r="R929" s="207"/>
      <c r="S929" s="207"/>
      <c r="T929" s="207"/>
      <c r="U929" s="207"/>
      <c r="V929" s="207"/>
      <c r="W929" s="208"/>
      <c r="X929" s="208"/>
      <c r="Y929" s="208"/>
      <c r="Z929" s="208"/>
      <c r="AA929" s="208"/>
      <c r="AB929" s="208"/>
      <c r="AC929" s="208"/>
      <c r="AD929" s="208"/>
      <c r="AE929" s="208"/>
      <c r="AF929" s="208"/>
      <c r="AG929" s="208"/>
      <c r="AH929" s="208"/>
      <c r="AI929" s="100"/>
      <c r="AJ929" s="319"/>
      <c r="AK929" s="319"/>
      <c r="AL929" s="319"/>
      <c r="AM929" s="319"/>
      <c r="AN929" s="319"/>
      <c r="AO929" s="319"/>
      <c r="AP929" s="319"/>
      <c r="AQ929" s="319"/>
      <c r="AR929" s="319"/>
      <c r="AS929" s="319"/>
      <c r="AT929" s="319"/>
      <c r="AU929" s="319"/>
      <c r="AV929" s="319"/>
      <c r="AW929" s="319"/>
      <c r="AX929" s="319"/>
      <c r="AY929" s="319"/>
      <c r="AZ929" s="319"/>
      <c r="BA929" s="319"/>
      <c r="BB929" s="319"/>
      <c r="BC929" s="319"/>
      <c r="BD929" s="319"/>
      <c r="BE929" s="319"/>
      <c r="BF929" s="319"/>
      <c r="BG929" s="319"/>
      <c r="BH929" s="319"/>
      <c r="BI929" s="319"/>
      <c r="BJ929" s="319"/>
      <c r="BK929" s="319"/>
      <c r="BL929" s="319"/>
      <c r="BM929" s="319"/>
      <c r="BN929" s="319"/>
      <c r="BO929" s="319"/>
      <c r="BP929" s="319"/>
      <c r="BQ929" s="319"/>
      <c r="BR929" s="319"/>
    </row>
    <row r="930" ht="14.25" customHeight="1">
      <c r="A930" s="195"/>
      <c r="B930" s="100"/>
      <c r="C930" s="100"/>
      <c r="D930" s="100"/>
      <c r="E930" s="100"/>
      <c r="F930" s="206"/>
      <c r="G930" s="206"/>
      <c r="H930" s="207"/>
      <c r="I930" s="207"/>
      <c r="J930" s="207"/>
      <c r="K930" s="207"/>
      <c r="L930" s="207"/>
      <c r="M930" s="207"/>
      <c r="N930" s="207"/>
      <c r="O930" s="207"/>
      <c r="P930" s="207"/>
      <c r="Q930" s="207"/>
      <c r="R930" s="207"/>
      <c r="S930" s="207"/>
      <c r="T930" s="207"/>
      <c r="U930" s="207"/>
      <c r="V930" s="207"/>
      <c r="W930" s="208"/>
      <c r="X930" s="208"/>
      <c r="Y930" s="208"/>
      <c r="Z930" s="208"/>
      <c r="AA930" s="208"/>
      <c r="AB930" s="208"/>
      <c r="AC930" s="208"/>
      <c r="AD930" s="208"/>
      <c r="AE930" s="208"/>
      <c r="AF930" s="208"/>
      <c r="AG930" s="208"/>
      <c r="AH930" s="208"/>
      <c r="AI930" s="100"/>
      <c r="AJ930" s="319"/>
      <c r="AK930" s="319"/>
      <c r="AL930" s="319"/>
      <c r="AM930" s="319"/>
      <c r="AN930" s="319"/>
      <c r="AO930" s="319"/>
      <c r="AP930" s="319"/>
      <c r="AQ930" s="319"/>
      <c r="AR930" s="319"/>
      <c r="AS930" s="319"/>
      <c r="AT930" s="319"/>
      <c r="AU930" s="319"/>
      <c r="AV930" s="319"/>
      <c r="AW930" s="319"/>
      <c r="AX930" s="319"/>
      <c r="AY930" s="319"/>
      <c r="AZ930" s="319"/>
      <c r="BA930" s="319"/>
      <c r="BB930" s="319"/>
      <c r="BC930" s="319"/>
      <c r="BD930" s="319"/>
      <c r="BE930" s="319"/>
      <c r="BF930" s="319"/>
      <c r="BG930" s="319"/>
      <c r="BH930" s="319"/>
      <c r="BI930" s="319"/>
      <c r="BJ930" s="319"/>
      <c r="BK930" s="319"/>
      <c r="BL930" s="319"/>
      <c r="BM930" s="319"/>
      <c r="BN930" s="319"/>
      <c r="BO930" s="319"/>
      <c r="BP930" s="319"/>
      <c r="BQ930" s="319"/>
      <c r="BR930" s="319"/>
    </row>
    <row r="931" ht="14.25" customHeight="1">
      <c r="A931" s="195"/>
      <c r="B931" s="100"/>
      <c r="C931" s="100"/>
      <c r="D931" s="100"/>
      <c r="E931" s="100"/>
      <c r="F931" s="206"/>
      <c r="G931" s="206"/>
      <c r="H931" s="207"/>
      <c r="I931" s="207"/>
      <c r="J931" s="207"/>
      <c r="K931" s="207"/>
      <c r="L931" s="207"/>
      <c r="M931" s="207"/>
      <c r="N931" s="207"/>
      <c r="O931" s="207"/>
      <c r="P931" s="207"/>
      <c r="Q931" s="207"/>
      <c r="R931" s="207"/>
      <c r="S931" s="207"/>
      <c r="T931" s="207"/>
      <c r="U931" s="207"/>
      <c r="V931" s="207"/>
      <c r="W931" s="208"/>
      <c r="X931" s="208"/>
      <c r="Y931" s="208"/>
      <c r="Z931" s="208"/>
      <c r="AA931" s="208"/>
      <c r="AB931" s="208"/>
      <c r="AC931" s="208"/>
      <c r="AD931" s="208"/>
      <c r="AE931" s="208"/>
      <c r="AF931" s="208"/>
      <c r="AG931" s="208"/>
      <c r="AH931" s="208"/>
      <c r="AI931" s="100"/>
      <c r="AJ931" s="319"/>
      <c r="AK931" s="319"/>
      <c r="AL931" s="319"/>
      <c r="AM931" s="319"/>
      <c r="AN931" s="319"/>
      <c r="AO931" s="319"/>
      <c r="AP931" s="319"/>
      <c r="AQ931" s="319"/>
      <c r="AR931" s="319"/>
      <c r="AS931" s="319"/>
      <c r="AT931" s="319"/>
      <c r="AU931" s="319"/>
      <c r="AV931" s="319"/>
      <c r="AW931" s="319"/>
      <c r="AX931" s="319"/>
      <c r="AY931" s="319"/>
      <c r="AZ931" s="319"/>
      <c r="BA931" s="319"/>
      <c r="BB931" s="319"/>
      <c r="BC931" s="319"/>
      <c r="BD931" s="319"/>
      <c r="BE931" s="319"/>
      <c r="BF931" s="319"/>
      <c r="BG931" s="319"/>
      <c r="BH931" s="319"/>
      <c r="BI931" s="319"/>
      <c r="BJ931" s="319"/>
      <c r="BK931" s="319"/>
      <c r="BL931" s="319"/>
      <c r="BM931" s="319"/>
      <c r="BN931" s="319"/>
      <c r="BO931" s="319"/>
      <c r="BP931" s="319"/>
      <c r="BQ931" s="319"/>
      <c r="BR931" s="319"/>
    </row>
    <row r="932" ht="14.25" customHeight="1">
      <c r="A932" s="195"/>
      <c r="B932" s="100"/>
      <c r="C932" s="100"/>
      <c r="D932" s="100"/>
      <c r="E932" s="100"/>
      <c r="F932" s="206"/>
      <c r="G932" s="206"/>
      <c r="H932" s="207"/>
      <c r="I932" s="207"/>
      <c r="J932" s="207"/>
      <c r="K932" s="207"/>
      <c r="L932" s="207"/>
      <c r="M932" s="207"/>
      <c r="N932" s="207"/>
      <c r="O932" s="207"/>
      <c r="P932" s="207"/>
      <c r="Q932" s="207"/>
      <c r="R932" s="207"/>
      <c r="S932" s="207"/>
      <c r="T932" s="207"/>
      <c r="U932" s="207"/>
      <c r="V932" s="207"/>
      <c r="W932" s="208"/>
      <c r="X932" s="208"/>
      <c r="Y932" s="208"/>
      <c r="Z932" s="208"/>
      <c r="AA932" s="208"/>
      <c r="AB932" s="208"/>
      <c r="AC932" s="208"/>
      <c r="AD932" s="208"/>
      <c r="AE932" s="208"/>
      <c r="AF932" s="208"/>
      <c r="AG932" s="208"/>
      <c r="AH932" s="208"/>
      <c r="AI932" s="100"/>
      <c r="AJ932" s="319"/>
      <c r="AK932" s="319"/>
      <c r="AL932" s="319"/>
      <c r="AM932" s="319"/>
      <c r="AN932" s="319"/>
      <c r="AO932" s="319"/>
      <c r="AP932" s="319"/>
      <c r="AQ932" s="319"/>
      <c r="AR932" s="319"/>
      <c r="AS932" s="319"/>
      <c r="AT932" s="319"/>
      <c r="AU932" s="319"/>
      <c r="AV932" s="319"/>
      <c r="AW932" s="319"/>
      <c r="AX932" s="319"/>
      <c r="AY932" s="319"/>
      <c r="AZ932" s="319"/>
      <c r="BA932" s="319"/>
      <c r="BB932" s="319"/>
      <c r="BC932" s="319"/>
      <c r="BD932" s="319"/>
      <c r="BE932" s="319"/>
      <c r="BF932" s="319"/>
      <c r="BG932" s="319"/>
      <c r="BH932" s="319"/>
      <c r="BI932" s="319"/>
      <c r="BJ932" s="319"/>
      <c r="BK932" s="319"/>
      <c r="BL932" s="319"/>
      <c r="BM932" s="319"/>
      <c r="BN932" s="319"/>
      <c r="BO932" s="319"/>
      <c r="BP932" s="319"/>
      <c r="BQ932" s="319"/>
      <c r="BR932" s="319"/>
    </row>
    <row r="933" ht="14.25" customHeight="1">
      <c r="A933" s="195"/>
      <c r="B933" s="100"/>
      <c r="C933" s="100"/>
      <c r="D933" s="100"/>
      <c r="E933" s="100"/>
      <c r="F933" s="206"/>
      <c r="G933" s="206"/>
      <c r="H933" s="207"/>
      <c r="I933" s="207"/>
      <c r="J933" s="207"/>
      <c r="K933" s="207"/>
      <c r="L933" s="207"/>
      <c r="M933" s="207"/>
      <c r="N933" s="207"/>
      <c r="O933" s="207"/>
      <c r="P933" s="207"/>
      <c r="Q933" s="207"/>
      <c r="R933" s="207"/>
      <c r="S933" s="207"/>
      <c r="T933" s="207"/>
      <c r="U933" s="207"/>
      <c r="V933" s="207"/>
      <c r="W933" s="208"/>
      <c r="X933" s="208"/>
      <c r="Y933" s="208"/>
      <c r="Z933" s="208"/>
      <c r="AA933" s="208"/>
      <c r="AB933" s="208"/>
      <c r="AC933" s="208"/>
      <c r="AD933" s="208"/>
      <c r="AE933" s="208"/>
      <c r="AF933" s="208"/>
      <c r="AG933" s="208"/>
      <c r="AH933" s="208"/>
      <c r="AI933" s="100"/>
      <c r="AJ933" s="319"/>
      <c r="AK933" s="319"/>
      <c r="AL933" s="319"/>
      <c r="AM933" s="319"/>
      <c r="AN933" s="319"/>
      <c r="AO933" s="319"/>
      <c r="AP933" s="319"/>
      <c r="AQ933" s="319"/>
      <c r="AR933" s="319"/>
      <c r="AS933" s="319"/>
      <c r="AT933" s="319"/>
      <c r="AU933" s="319"/>
      <c r="AV933" s="319"/>
      <c r="AW933" s="319"/>
      <c r="AX933" s="319"/>
      <c r="AY933" s="319"/>
      <c r="AZ933" s="319"/>
      <c r="BA933" s="319"/>
      <c r="BB933" s="319"/>
      <c r="BC933" s="319"/>
      <c r="BD933" s="319"/>
      <c r="BE933" s="319"/>
      <c r="BF933" s="319"/>
      <c r="BG933" s="319"/>
      <c r="BH933" s="319"/>
      <c r="BI933" s="319"/>
      <c r="BJ933" s="319"/>
      <c r="BK933" s="319"/>
      <c r="BL933" s="319"/>
      <c r="BM933" s="319"/>
      <c r="BN933" s="319"/>
      <c r="BO933" s="319"/>
      <c r="BP933" s="319"/>
      <c r="BQ933" s="319"/>
      <c r="BR933" s="319"/>
    </row>
    <row r="934" ht="14.25" customHeight="1">
      <c r="A934" s="195"/>
      <c r="B934" s="100"/>
      <c r="C934" s="100"/>
      <c r="D934" s="100"/>
      <c r="E934" s="100"/>
      <c r="F934" s="206"/>
      <c r="G934" s="206"/>
      <c r="H934" s="207"/>
      <c r="I934" s="207"/>
      <c r="J934" s="207"/>
      <c r="K934" s="207"/>
      <c r="L934" s="207"/>
      <c r="M934" s="207"/>
      <c r="N934" s="207"/>
      <c r="O934" s="207"/>
      <c r="P934" s="207"/>
      <c r="Q934" s="207"/>
      <c r="R934" s="207"/>
      <c r="S934" s="207"/>
      <c r="T934" s="207"/>
      <c r="U934" s="207"/>
      <c r="V934" s="207"/>
      <c r="W934" s="208"/>
      <c r="X934" s="208"/>
      <c r="Y934" s="208"/>
      <c r="Z934" s="208"/>
      <c r="AA934" s="208"/>
      <c r="AB934" s="208"/>
      <c r="AC934" s="208"/>
      <c r="AD934" s="208"/>
      <c r="AE934" s="208"/>
      <c r="AF934" s="208"/>
      <c r="AG934" s="208"/>
      <c r="AH934" s="208"/>
      <c r="AI934" s="100"/>
      <c r="AJ934" s="319"/>
      <c r="AK934" s="319"/>
      <c r="AL934" s="319"/>
      <c r="AM934" s="319"/>
      <c r="AN934" s="319"/>
      <c r="AO934" s="319"/>
      <c r="AP934" s="319"/>
      <c r="AQ934" s="319"/>
      <c r="AR934" s="319"/>
      <c r="AS934" s="319"/>
      <c r="AT934" s="319"/>
      <c r="AU934" s="319"/>
      <c r="AV934" s="319"/>
      <c r="AW934" s="319"/>
      <c r="AX934" s="319"/>
      <c r="AY934" s="319"/>
      <c r="AZ934" s="319"/>
      <c r="BA934" s="319"/>
      <c r="BB934" s="319"/>
      <c r="BC934" s="319"/>
      <c r="BD934" s="319"/>
      <c r="BE934" s="319"/>
      <c r="BF934" s="319"/>
      <c r="BG934" s="319"/>
      <c r="BH934" s="319"/>
      <c r="BI934" s="319"/>
      <c r="BJ934" s="319"/>
      <c r="BK934" s="319"/>
      <c r="BL934" s="319"/>
      <c r="BM934" s="319"/>
      <c r="BN934" s="319"/>
      <c r="BO934" s="319"/>
      <c r="BP934" s="319"/>
      <c r="BQ934" s="319"/>
      <c r="BR934" s="319"/>
    </row>
    <row r="935" ht="14.25" customHeight="1">
      <c r="A935" s="195"/>
      <c r="B935" s="100"/>
      <c r="C935" s="100"/>
      <c r="D935" s="100"/>
      <c r="E935" s="100"/>
      <c r="F935" s="206"/>
      <c r="G935" s="206"/>
      <c r="H935" s="207"/>
      <c r="I935" s="207"/>
      <c r="J935" s="207"/>
      <c r="K935" s="207"/>
      <c r="L935" s="207"/>
      <c r="M935" s="207"/>
      <c r="N935" s="207"/>
      <c r="O935" s="207"/>
      <c r="P935" s="207"/>
      <c r="Q935" s="207"/>
      <c r="R935" s="207"/>
      <c r="S935" s="207"/>
      <c r="T935" s="207"/>
      <c r="U935" s="207"/>
      <c r="V935" s="207"/>
      <c r="W935" s="208"/>
      <c r="X935" s="208"/>
      <c r="Y935" s="208"/>
      <c r="Z935" s="208"/>
      <c r="AA935" s="208"/>
      <c r="AB935" s="208"/>
      <c r="AC935" s="208"/>
      <c r="AD935" s="208"/>
      <c r="AE935" s="208"/>
      <c r="AF935" s="208"/>
      <c r="AG935" s="208"/>
      <c r="AH935" s="208"/>
      <c r="AI935" s="100"/>
      <c r="AJ935" s="319"/>
      <c r="AK935" s="319"/>
      <c r="AL935" s="319"/>
      <c r="AM935" s="319"/>
      <c r="AN935" s="319"/>
      <c r="AO935" s="319"/>
      <c r="AP935" s="319"/>
      <c r="AQ935" s="319"/>
      <c r="AR935" s="319"/>
      <c r="AS935" s="319"/>
      <c r="AT935" s="319"/>
      <c r="AU935" s="319"/>
      <c r="AV935" s="319"/>
      <c r="AW935" s="319"/>
      <c r="AX935" s="319"/>
      <c r="AY935" s="319"/>
      <c r="AZ935" s="319"/>
      <c r="BA935" s="319"/>
      <c r="BB935" s="319"/>
      <c r="BC935" s="319"/>
      <c r="BD935" s="319"/>
      <c r="BE935" s="319"/>
      <c r="BF935" s="319"/>
      <c r="BG935" s="319"/>
      <c r="BH935" s="319"/>
      <c r="BI935" s="319"/>
      <c r="BJ935" s="319"/>
      <c r="BK935" s="319"/>
      <c r="BL935" s="319"/>
      <c r="BM935" s="319"/>
      <c r="BN935" s="319"/>
      <c r="BO935" s="319"/>
      <c r="BP935" s="319"/>
      <c r="BQ935" s="319"/>
      <c r="BR935" s="319"/>
    </row>
    <row r="936" ht="14.25" customHeight="1">
      <c r="A936" s="195"/>
      <c r="B936" s="100"/>
      <c r="C936" s="100"/>
      <c r="D936" s="100"/>
      <c r="E936" s="100"/>
      <c r="F936" s="206"/>
      <c r="G936" s="206"/>
      <c r="H936" s="207"/>
      <c r="I936" s="207"/>
      <c r="J936" s="207"/>
      <c r="K936" s="207"/>
      <c r="L936" s="207"/>
      <c r="M936" s="207"/>
      <c r="N936" s="207"/>
      <c r="O936" s="207"/>
      <c r="P936" s="207"/>
      <c r="Q936" s="207"/>
      <c r="R936" s="207"/>
      <c r="S936" s="207"/>
      <c r="T936" s="207"/>
      <c r="U936" s="207"/>
      <c r="V936" s="207"/>
      <c r="W936" s="208"/>
      <c r="X936" s="208"/>
      <c r="Y936" s="208"/>
      <c r="Z936" s="208"/>
      <c r="AA936" s="208"/>
      <c r="AB936" s="208"/>
      <c r="AC936" s="208"/>
      <c r="AD936" s="208"/>
      <c r="AE936" s="208"/>
      <c r="AF936" s="208"/>
      <c r="AG936" s="208"/>
      <c r="AH936" s="208"/>
      <c r="AI936" s="100"/>
      <c r="AJ936" s="319"/>
      <c r="AK936" s="319"/>
      <c r="AL936" s="319"/>
      <c r="AM936" s="319"/>
      <c r="AN936" s="319"/>
      <c r="AO936" s="319"/>
      <c r="AP936" s="319"/>
      <c r="AQ936" s="319"/>
      <c r="AR936" s="319"/>
      <c r="AS936" s="319"/>
      <c r="AT936" s="319"/>
      <c r="AU936" s="319"/>
      <c r="AV936" s="319"/>
      <c r="AW936" s="319"/>
      <c r="AX936" s="319"/>
      <c r="AY936" s="319"/>
      <c r="AZ936" s="319"/>
      <c r="BA936" s="319"/>
      <c r="BB936" s="319"/>
      <c r="BC936" s="319"/>
      <c r="BD936" s="319"/>
      <c r="BE936" s="319"/>
      <c r="BF936" s="319"/>
      <c r="BG936" s="319"/>
      <c r="BH936" s="319"/>
      <c r="BI936" s="319"/>
      <c r="BJ936" s="319"/>
      <c r="BK936" s="319"/>
      <c r="BL936" s="319"/>
      <c r="BM936" s="319"/>
      <c r="BN936" s="319"/>
      <c r="BO936" s="319"/>
      <c r="BP936" s="319"/>
      <c r="BQ936" s="319"/>
      <c r="BR936" s="319"/>
    </row>
    <row r="937" ht="14.25" customHeight="1">
      <c r="A937" s="195"/>
      <c r="B937" s="100"/>
      <c r="C937" s="100"/>
      <c r="D937" s="100"/>
      <c r="E937" s="100"/>
      <c r="F937" s="206"/>
      <c r="G937" s="206"/>
      <c r="H937" s="207"/>
      <c r="I937" s="207"/>
      <c r="J937" s="207"/>
      <c r="K937" s="207"/>
      <c r="L937" s="207"/>
      <c r="M937" s="207"/>
      <c r="N937" s="207"/>
      <c r="O937" s="207"/>
      <c r="P937" s="207"/>
      <c r="Q937" s="207"/>
      <c r="R937" s="207"/>
      <c r="S937" s="207"/>
      <c r="T937" s="207"/>
      <c r="U937" s="207"/>
      <c r="V937" s="207"/>
      <c r="W937" s="208"/>
      <c r="X937" s="208"/>
      <c r="Y937" s="208"/>
      <c r="Z937" s="208"/>
      <c r="AA937" s="208"/>
      <c r="AB937" s="208"/>
      <c r="AC937" s="208"/>
      <c r="AD937" s="208"/>
      <c r="AE937" s="208"/>
      <c r="AF937" s="208"/>
      <c r="AG937" s="208"/>
      <c r="AH937" s="208"/>
      <c r="AI937" s="100"/>
      <c r="AJ937" s="319"/>
      <c r="AK937" s="319"/>
      <c r="AL937" s="319"/>
      <c r="AM937" s="319"/>
      <c r="AN937" s="319"/>
      <c r="AO937" s="319"/>
      <c r="AP937" s="319"/>
      <c r="AQ937" s="319"/>
      <c r="AR937" s="319"/>
      <c r="AS937" s="319"/>
      <c r="AT937" s="319"/>
      <c r="AU937" s="319"/>
      <c r="AV937" s="319"/>
      <c r="AW937" s="319"/>
      <c r="AX937" s="319"/>
      <c r="AY937" s="319"/>
      <c r="AZ937" s="319"/>
      <c r="BA937" s="319"/>
      <c r="BB937" s="319"/>
      <c r="BC937" s="319"/>
      <c r="BD937" s="319"/>
      <c r="BE937" s="319"/>
      <c r="BF937" s="319"/>
      <c r="BG937" s="319"/>
      <c r="BH937" s="319"/>
      <c r="BI937" s="319"/>
      <c r="BJ937" s="319"/>
      <c r="BK937" s="319"/>
      <c r="BL937" s="319"/>
      <c r="BM937" s="319"/>
      <c r="BN937" s="319"/>
      <c r="BO937" s="319"/>
      <c r="BP937" s="319"/>
      <c r="BQ937" s="319"/>
      <c r="BR937" s="319"/>
    </row>
    <row r="938" ht="14.25" customHeight="1">
      <c r="A938" s="195"/>
      <c r="B938" s="100"/>
      <c r="C938" s="100"/>
      <c r="D938" s="100"/>
      <c r="E938" s="100"/>
      <c r="F938" s="206"/>
      <c r="G938" s="206"/>
      <c r="H938" s="207"/>
      <c r="I938" s="207"/>
      <c r="J938" s="207"/>
      <c r="K938" s="207"/>
      <c r="L938" s="207"/>
      <c r="M938" s="207"/>
      <c r="N938" s="207"/>
      <c r="O938" s="207"/>
      <c r="P938" s="207"/>
      <c r="Q938" s="207"/>
      <c r="R938" s="207"/>
      <c r="S938" s="207"/>
      <c r="T938" s="207"/>
      <c r="U938" s="207"/>
      <c r="V938" s="207"/>
      <c r="W938" s="208"/>
      <c r="X938" s="208"/>
      <c r="Y938" s="208"/>
      <c r="Z938" s="208"/>
      <c r="AA938" s="208"/>
      <c r="AB938" s="208"/>
      <c r="AC938" s="208"/>
      <c r="AD938" s="208"/>
      <c r="AE938" s="208"/>
      <c r="AF938" s="208"/>
      <c r="AG938" s="208"/>
      <c r="AH938" s="208"/>
      <c r="AI938" s="100"/>
      <c r="AJ938" s="319"/>
      <c r="AK938" s="319"/>
      <c r="AL938" s="319"/>
      <c r="AM938" s="319"/>
      <c r="AN938" s="319"/>
      <c r="AO938" s="319"/>
      <c r="AP938" s="319"/>
      <c r="AQ938" s="319"/>
      <c r="AR938" s="319"/>
      <c r="AS938" s="319"/>
      <c r="AT938" s="319"/>
      <c r="AU938" s="319"/>
      <c r="AV938" s="319"/>
      <c r="AW938" s="319"/>
      <c r="AX938" s="319"/>
      <c r="AY938" s="319"/>
      <c r="AZ938" s="319"/>
      <c r="BA938" s="319"/>
      <c r="BB938" s="319"/>
      <c r="BC938" s="319"/>
      <c r="BD938" s="319"/>
      <c r="BE938" s="319"/>
      <c r="BF938" s="319"/>
      <c r="BG938" s="319"/>
      <c r="BH938" s="319"/>
      <c r="BI938" s="319"/>
      <c r="BJ938" s="319"/>
      <c r="BK938" s="319"/>
      <c r="BL938" s="319"/>
      <c r="BM938" s="319"/>
      <c r="BN938" s="319"/>
      <c r="BO938" s="319"/>
      <c r="BP938" s="319"/>
      <c r="BQ938" s="319"/>
      <c r="BR938" s="319"/>
    </row>
    <row r="939" ht="14.25" customHeight="1">
      <c r="A939" s="195"/>
      <c r="B939" s="100"/>
      <c r="C939" s="100"/>
      <c r="D939" s="100"/>
      <c r="E939" s="100"/>
      <c r="F939" s="206"/>
      <c r="G939" s="206"/>
      <c r="H939" s="207"/>
      <c r="I939" s="207"/>
      <c r="J939" s="207"/>
      <c r="K939" s="207"/>
      <c r="L939" s="207"/>
      <c r="M939" s="207"/>
      <c r="N939" s="207"/>
      <c r="O939" s="207"/>
      <c r="P939" s="207"/>
      <c r="Q939" s="207"/>
      <c r="R939" s="207"/>
      <c r="S939" s="207"/>
      <c r="T939" s="207"/>
      <c r="U939" s="207"/>
      <c r="V939" s="207"/>
      <c r="W939" s="208"/>
      <c r="X939" s="208"/>
      <c r="Y939" s="208"/>
      <c r="Z939" s="208"/>
      <c r="AA939" s="208"/>
      <c r="AB939" s="208"/>
      <c r="AC939" s="208"/>
      <c r="AD939" s="208"/>
      <c r="AE939" s="208"/>
      <c r="AF939" s="208"/>
      <c r="AG939" s="208"/>
      <c r="AH939" s="208"/>
      <c r="AI939" s="100"/>
      <c r="AJ939" s="319"/>
      <c r="AK939" s="319"/>
      <c r="AL939" s="319"/>
      <c r="AM939" s="319"/>
      <c r="AN939" s="319"/>
      <c r="AO939" s="319"/>
      <c r="AP939" s="319"/>
      <c r="AQ939" s="319"/>
      <c r="AR939" s="319"/>
      <c r="AS939" s="319"/>
      <c r="AT939" s="319"/>
      <c r="AU939" s="319"/>
      <c r="AV939" s="319"/>
      <c r="AW939" s="319"/>
      <c r="AX939" s="319"/>
      <c r="AY939" s="319"/>
      <c r="AZ939" s="319"/>
      <c r="BA939" s="319"/>
      <c r="BB939" s="319"/>
      <c r="BC939" s="319"/>
      <c r="BD939" s="319"/>
      <c r="BE939" s="319"/>
      <c r="BF939" s="319"/>
      <c r="BG939" s="319"/>
      <c r="BH939" s="319"/>
      <c r="BI939" s="319"/>
      <c r="BJ939" s="319"/>
      <c r="BK939" s="319"/>
      <c r="BL939" s="319"/>
      <c r="BM939" s="319"/>
      <c r="BN939" s="319"/>
      <c r="BO939" s="319"/>
      <c r="BP939" s="319"/>
      <c r="BQ939" s="319"/>
      <c r="BR939" s="319"/>
    </row>
    <row r="940" ht="14.25" customHeight="1">
      <c r="A940" s="195"/>
      <c r="B940" s="100"/>
      <c r="C940" s="100"/>
      <c r="D940" s="100"/>
      <c r="E940" s="100"/>
      <c r="F940" s="206"/>
      <c r="G940" s="206"/>
      <c r="H940" s="207"/>
      <c r="I940" s="207"/>
      <c r="J940" s="207"/>
      <c r="K940" s="207"/>
      <c r="L940" s="207"/>
      <c r="M940" s="207"/>
      <c r="N940" s="207"/>
      <c r="O940" s="207"/>
      <c r="P940" s="207"/>
      <c r="Q940" s="207"/>
      <c r="R940" s="207"/>
      <c r="S940" s="207"/>
      <c r="T940" s="207"/>
      <c r="U940" s="207"/>
      <c r="V940" s="207"/>
      <c r="W940" s="208"/>
      <c r="X940" s="208"/>
      <c r="Y940" s="208"/>
      <c r="Z940" s="208"/>
      <c r="AA940" s="208"/>
      <c r="AB940" s="208"/>
      <c r="AC940" s="208"/>
      <c r="AD940" s="208"/>
      <c r="AE940" s="208"/>
      <c r="AF940" s="208"/>
      <c r="AG940" s="208"/>
      <c r="AH940" s="208"/>
      <c r="AI940" s="100"/>
      <c r="AJ940" s="319"/>
      <c r="AK940" s="319"/>
      <c r="AL940" s="319"/>
      <c r="AM940" s="319"/>
      <c r="AN940" s="319"/>
      <c r="AO940" s="319"/>
      <c r="AP940" s="319"/>
      <c r="AQ940" s="319"/>
      <c r="AR940" s="319"/>
      <c r="AS940" s="319"/>
      <c r="AT940" s="319"/>
      <c r="AU940" s="319"/>
      <c r="AV940" s="319"/>
      <c r="AW940" s="319"/>
      <c r="AX940" s="319"/>
      <c r="AY940" s="319"/>
      <c r="AZ940" s="319"/>
      <c r="BA940" s="319"/>
      <c r="BB940" s="319"/>
      <c r="BC940" s="319"/>
      <c r="BD940" s="319"/>
      <c r="BE940" s="319"/>
      <c r="BF940" s="319"/>
      <c r="BG940" s="319"/>
      <c r="BH940" s="319"/>
      <c r="BI940" s="319"/>
      <c r="BJ940" s="319"/>
      <c r="BK940" s="319"/>
      <c r="BL940" s="319"/>
      <c r="BM940" s="319"/>
      <c r="BN940" s="319"/>
      <c r="BO940" s="319"/>
      <c r="BP940" s="319"/>
      <c r="BQ940" s="319"/>
      <c r="BR940" s="319"/>
    </row>
    <row r="941" ht="14.25" customHeight="1">
      <c r="A941" s="195"/>
      <c r="B941" s="100"/>
      <c r="C941" s="100"/>
      <c r="D941" s="100"/>
      <c r="E941" s="100"/>
      <c r="F941" s="206"/>
      <c r="G941" s="206"/>
      <c r="H941" s="207"/>
      <c r="I941" s="207"/>
      <c r="J941" s="207"/>
      <c r="K941" s="207"/>
      <c r="L941" s="207"/>
      <c r="M941" s="207"/>
      <c r="N941" s="207"/>
      <c r="O941" s="207"/>
      <c r="P941" s="207"/>
      <c r="Q941" s="207"/>
      <c r="R941" s="207"/>
      <c r="S941" s="207"/>
      <c r="T941" s="207"/>
      <c r="U941" s="207"/>
      <c r="V941" s="207"/>
      <c r="W941" s="208"/>
      <c r="X941" s="208"/>
      <c r="Y941" s="208"/>
      <c r="Z941" s="208"/>
      <c r="AA941" s="208"/>
      <c r="AB941" s="208"/>
      <c r="AC941" s="208"/>
      <c r="AD941" s="208"/>
      <c r="AE941" s="208"/>
      <c r="AF941" s="208"/>
      <c r="AG941" s="208"/>
      <c r="AH941" s="208"/>
      <c r="AI941" s="100"/>
      <c r="AJ941" s="319"/>
      <c r="AK941" s="319"/>
      <c r="AL941" s="319"/>
      <c r="AM941" s="319"/>
      <c r="AN941" s="319"/>
      <c r="AO941" s="319"/>
      <c r="AP941" s="319"/>
      <c r="AQ941" s="319"/>
      <c r="AR941" s="319"/>
      <c r="AS941" s="319"/>
      <c r="AT941" s="319"/>
      <c r="AU941" s="319"/>
      <c r="AV941" s="319"/>
      <c r="AW941" s="319"/>
      <c r="AX941" s="319"/>
      <c r="AY941" s="319"/>
      <c r="AZ941" s="319"/>
      <c r="BA941" s="319"/>
      <c r="BB941" s="319"/>
      <c r="BC941" s="319"/>
      <c r="BD941" s="319"/>
      <c r="BE941" s="319"/>
      <c r="BF941" s="319"/>
      <c r="BG941" s="319"/>
      <c r="BH941" s="319"/>
      <c r="BI941" s="319"/>
      <c r="BJ941" s="319"/>
      <c r="BK941" s="319"/>
      <c r="BL941" s="319"/>
      <c r="BM941" s="319"/>
      <c r="BN941" s="319"/>
      <c r="BO941" s="319"/>
      <c r="BP941" s="319"/>
      <c r="BQ941" s="319"/>
      <c r="BR941" s="319"/>
    </row>
    <row r="942" ht="14.25" customHeight="1">
      <c r="A942" s="195"/>
      <c r="B942" s="100"/>
      <c r="C942" s="100"/>
      <c r="D942" s="100"/>
      <c r="E942" s="100"/>
      <c r="F942" s="206"/>
      <c r="G942" s="206"/>
      <c r="H942" s="207"/>
      <c r="I942" s="207"/>
      <c r="J942" s="207"/>
      <c r="K942" s="207"/>
      <c r="L942" s="207"/>
      <c r="M942" s="207"/>
      <c r="N942" s="207"/>
      <c r="O942" s="207"/>
      <c r="P942" s="207"/>
      <c r="Q942" s="207"/>
      <c r="R942" s="207"/>
      <c r="S942" s="207"/>
      <c r="T942" s="207"/>
      <c r="U942" s="207"/>
      <c r="V942" s="207"/>
      <c r="W942" s="208"/>
      <c r="X942" s="208"/>
      <c r="Y942" s="208"/>
      <c r="Z942" s="208"/>
      <c r="AA942" s="208"/>
      <c r="AB942" s="208"/>
      <c r="AC942" s="208"/>
      <c r="AD942" s="208"/>
      <c r="AE942" s="208"/>
      <c r="AF942" s="208"/>
      <c r="AG942" s="208"/>
      <c r="AH942" s="208"/>
      <c r="AI942" s="100"/>
      <c r="AJ942" s="319"/>
      <c r="AK942" s="319"/>
      <c r="AL942" s="319"/>
      <c r="AM942" s="319"/>
      <c r="AN942" s="319"/>
      <c r="AO942" s="319"/>
      <c r="AP942" s="319"/>
      <c r="AQ942" s="319"/>
      <c r="AR942" s="319"/>
      <c r="AS942" s="319"/>
      <c r="AT942" s="319"/>
      <c r="AU942" s="319"/>
      <c r="AV942" s="319"/>
      <c r="AW942" s="319"/>
      <c r="AX942" s="319"/>
      <c r="AY942" s="319"/>
      <c r="AZ942" s="319"/>
      <c r="BA942" s="319"/>
      <c r="BB942" s="319"/>
      <c r="BC942" s="319"/>
      <c r="BD942" s="319"/>
      <c r="BE942" s="319"/>
      <c r="BF942" s="319"/>
      <c r="BG942" s="319"/>
      <c r="BH942" s="319"/>
      <c r="BI942" s="319"/>
      <c r="BJ942" s="319"/>
      <c r="BK942" s="319"/>
      <c r="BL942" s="319"/>
      <c r="BM942" s="319"/>
      <c r="BN942" s="319"/>
      <c r="BO942" s="319"/>
      <c r="BP942" s="319"/>
      <c r="BQ942" s="319"/>
      <c r="BR942" s="319"/>
    </row>
    <row r="943" ht="14.25" customHeight="1">
      <c r="A943" s="195"/>
      <c r="B943" s="100"/>
      <c r="C943" s="100"/>
      <c r="D943" s="100"/>
      <c r="E943" s="100"/>
      <c r="F943" s="206"/>
      <c r="G943" s="206"/>
      <c r="H943" s="207"/>
      <c r="I943" s="207"/>
      <c r="J943" s="207"/>
      <c r="K943" s="207"/>
      <c r="L943" s="207"/>
      <c r="M943" s="207"/>
      <c r="N943" s="207"/>
      <c r="O943" s="207"/>
      <c r="P943" s="207"/>
      <c r="Q943" s="207"/>
      <c r="R943" s="207"/>
      <c r="S943" s="207"/>
      <c r="T943" s="207"/>
      <c r="U943" s="207"/>
      <c r="V943" s="207"/>
      <c r="W943" s="208"/>
      <c r="X943" s="208"/>
      <c r="Y943" s="208"/>
      <c r="Z943" s="208"/>
      <c r="AA943" s="208"/>
      <c r="AB943" s="208"/>
      <c r="AC943" s="208"/>
      <c r="AD943" s="208"/>
      <c r="AE943" s="208"/>
      <c r="AF943" s="208"/>
      <c r="AG943" s="208"/>
      <c r="AH943" s="208"/>
      <c r="AI943" s="100"/>
      <c r="AJ943" s="319"/>
      <c r="AK943" s="319"/>
      <c r="AL943" s="319"/>
      <c r="AM943" s="319"/>
      <c r="AN943" s="319"/>
      <c r="AO943" s="319"/>
      <c r="AP943" s="319"/>
      <c r="AQ943" s="319"/>
      <c r="AR943" s="319"/>
      <c r="AS943" s="319"/>
      <c r="AT943" s="319"/>
      <c r="AU943" s="319"/>
      <c r="AV943" s="319"/>
      <c r="AW943" s="319"/>
      <c r="AX943" s="319"/>
      <c r="AY943" s="319"/>
      <c r="AZ943" s="319"/>
      <c r="BA943" s="319"/>
      <c r="BB943" s="319"/>
      <c r="BC943" s="319"/>
      <c r="BD943" s="319"/>
      <c r="BE943" s="319"/>
      <c r="BF943" s="319"/>
      <c r="BG943" s="319"/>
      <c r="BH943" s="319"/>
      <c r="BI943" s="319"/>
      <c r="BJ943" s="319"/>
      <c r="BK943" s="319"/>
      <c r="BL943" s="319"/>
      <c r="BM943" s="319"/>
      <c r="BN943" s="319"/>
      <c r="BO943" s="319"/>
      <c r="BP943" s="319"/>
      <c r="BQ943" s="319"/>
      <c r="BR943" s="319"/>
    </row>
    <row r="944" ht="14.25" customHeight="1">
      <c r="A944" s="195"/>
      <c r="B944" s="100"/>
      <c r="C944" s="100"/>
      <c r="D944" s="100"/>
      <c r="E944" s="100"/>
      <c r="F944" s="206"/>
      <c r="G944" s="206"/>
      <c r="H944" s="207"/>
      <c r="I944" s="207"/>
      <c r="J944" s="207"/>
      <c r="K944" s="207"/>
      <c r="L944" s="207"/>
      <c r="M944" s="207"/>
      <c r="N944" s="207"/>
      <c r="O944" s="207"/>
      <c r="P944" s="207"/>
      <c r="Q944" s="207"/>
      <c r="R944" s="207"/>
      <c r="S944" s="207"/>
      <c r="T944" s="207"/>
      <c r="U944" s="207"/>
      <c r="V944" s="207"/>
      <c r="W944" s="208"/>
      <c r="X944" s="208"/>
      <c r="Y944" s="208"/>
      <c r="Z944" s="208"/>
      <c r="AA944" s="208"/>
      <c r="AB944" s="208"/>
      <c r="AC944" s="208"/>
      <c r="AD944" s="208"/>
      <c r="AE944" s="208"/>
      <c r="AF944" s="208"/>
      <c r="AG944" s="208"/>
      <c r="AH944" s="208"/>
      <c r="AI944" s="100"/>
      <c r="AJ944" s="319"/>
      <c r="AK944" s="319"/>
      <c r="AL944" s="319"/>
      <c r="AM944" s="319"/>
      <c r="AN944" s="319"/>
      <c r="AO944" s="319"/>
      <c r="AP944" s="319"/>
      <c r="AQ944" s="319"/>
      <c r="AR944" s="319"/>
      <c r="AS944" s="319"/>
      <c r="AT944" s="319"/>
      <c r="AU944" s="319"/>
      <c r="AV944" s="319"/>
      <c r="AW944" s="319"/>
      <c r="AX944" s="319"/>
      <c r="AY944" s="319"/>
      <c r="AZ944" s="319"/>
      <c r="BA944" s="319"/>
      <c r="BB944" s="319"/>
      <c r="BC944" s="319"/>
      <c r="BD944" s="319"/>
      <c r="BE944" s="319"/>
      <c r="BF944" s="319"/>
      <c r="BG944" s="319"/>
      <c r="BH944" s="319"/>
      <c r="BI944" s="319"/>
      <c r="BJ944" s="319"/>
      <c r="BK944" s="319"/>
      <c r="BL944" s="319"/>
      <c r="BM944" s="319"/>
      <c r="BN944" s="319"/>
      <c r="BO944" s="319"/>
      <c r="BP944" s="319"/>
      <c r="BQ944" s="319"/>
      <c r="BR944" s="319"/>
    </row>
    <row r="945" ht="14.25" customHeight="1">
      <c r="A945" s="195"/>
      <c r="B945" s="100"/>
      <c r="C945" s="100"/>
      <c r="D945" s="100"/>
      <c r="E945" s="100"/>
      <c r="F945" s="206"/>
      <c r="G945" s="206"/>
      <c r="H945" s="207"/>
      <c r="I945" s="207"/>
      <c r="J945" s="207"/>
      <c r="K945" s="207"/>
      <c r="L945" s="207"/>
      <c r="M945" s="207"/>
      <c r="N945" s="207"/>
      <c r="O945" s="207"/>
      <c r="P945" s="207"/>
      <c r="Q945" s="207"/>
      <c r="R945" s="207"/>
      <c r="S945" s="207"/>
      <c r="T945" s="207"/>
      <c r="U945" s="207"/>
      <c r="V945" s="207"/>
      <c r="W945" s="208"/>
      <c r="X945" s="208"/>
      <c r="Y945" s="208"/>
      <c r="Z945" s="208"/>
      <c r="AA945" s="208"/>
      <c r="AB945" s="208"/>
      <c r="AC945" s="208"/>
      <c r="AD945" s="208"/>
      <c r="AE945" s="208"/>
      <c r="AF945" s="208"/>
      <c r="AG945" s="208"/>
      <c r="AH945" s="208"/>
      <c r="AI945" s="100"/>
      <c r="AJ945" s="319"/>
      <c r="AK945" s="319"/>
      <c r="AL945" s="319"/>
      <c r="AM945" s="319"/>
      <c r="AN945" s="319"/>
      <c r="AO945" s="319"/>
      <c r="AP945" s="319"/>
      <c r="AQ945" s="319"/>
      <c r="AR945" s="319"/>
      <c r="AS945" s="319"/>
      <c r="AT945" s="319"/>
      <c r="AU945" s="319"/>
      <c r="AV945" s="319"/>
      <c r="AW945" s="319"/>
      <c r="AX945" s="319"/>
      <c r="AY945" s="319"/>
      <c r="AZ945" s="319"/>
      <c r="BA945" s="319"/>
      <c r="BB945" s="319"/>
      <c r="BC945" s="319"/>
      <c r="BD945" s="319"/>
      <c r="BE945" s="319"/>
      <c r="BF945" s="319"/>
      <c r="BG945" s="319"/>
      <c r="BH945" s="319"/>
      <c r="BI945" s="319"/>
      <c r="BJ945" s="319"/>
      <c r="BK945" s="319"/>
      <c r="BL945" s="319"/>
      <c r="BM945" s="319"/>
      <c r="BN945" s="319"/>
      <c r="BO945" s="319"/>
      <c r="BP945" s="319"/>
      <c r="BQ945" s="319"/>
      <c r="BR945" s="319"/>
    </row>
    <row r="946" ht="14.25" customHeight="1">
      <c r="A946" s="195"/>
      <c r="B946" s="100"/>
      <c r="C946" s="100"/>
      <c r="D946" s="100"/>
      <c r="E946" s="100"/>
      <c r="F946" s="206"/>
      <c r="G946" s="206"/>
      <c r="H946" s="207"/>
      <c r="I946" s="207"/>
      <c r="J946" s="207"/>
      <c r="K946" s="207"/>
      <c r="L946" s="207"/>
      <c r="M946" s="207"/>
      <c r="N946" s="207"/>
      <c r="O946" s="207"/>
      <c r="P946" s="207"/>
      <c r="Q946" s="207"/>
      <c r="R946" s="207"/>
      <c r="S946" s="207"/>
      <c r="T946" s="207"/>
      <c r="U946" s="207"/>
      <c r="V946" s="207"/>
      <c r="W946" s="208"/>
      <c r="X946" s="208"/>
      <c r="Y946" s="208"/>
      <c r="Z946" s="208"/>
      <c r="AA946" s="208"/>
      <c r="AB946" s="208"/>
      <c r="AC946" s="208"/>
      <c r="AD946" s="208"/>
      <c r="AE946" s="208"/>
      <c r="AF946" s="208"/>
      <c r="AG946" s="208"/>
      <c r="AH946" s="208"/>
      <c r="AI946" s="100"/>
      <c r="AJ946" s="319"/>
      <c r="AK946" s="319"/>
      <c r="AL946" s="319"/>
      <c r="AM946" s="319"/>
      <c r="AN946" s="319"/>
      <c r="AO946" s="319"/>
      <c r="AP946" s="319"/>
      <c r="AQ946" s="319"/>
      <c r="AR946" s="319"/>
      <c r="AS946" s="319"/>
      <c r="AT946" s="319"/>
      <c r="AU946" s="319"/>
      <c r="AV946" s="319"/>
      <c r="AW946" s="319"/>
      <c r="AX946" s="319"/>
      <c r="AY946" s="319"/>
      <c r="AZ946" s="319"/>
      <c r="BA946" s="319"/>
      <c r="BB946" s="319"/>
      <c r="BC946" s="319"/>
      <c r="BD946" s="319"/>
      <c r="BE946" s="319"/>
      <c r="BF946" s="319"/>
      <c r="BG946" s="319"/>
      <c r="BH946" s="319"/>
      <c r="BI946" s="319"/>
      <c r="BJ946" s="319"/>
      <c r="BK946" s="319"/>
      <c r="BL946" s="319"/>
      <c r="BM946" s="319"/>
      <c r="BN946" s="319"/>
      <c r="BO946" s="319"/>
      <c r="BP946" s="319"/>
      <c r="BQ946" s="319"/>
      <c r="BR946" s="319"/>
    </row>
    <row r="947" ht="14.25" customHeight="1">
      <c r="A947" s="195"/>
      <c r="B947" s="100"/>
      <c r="C947" s="100"/>
      <c r="D947" s="100"/>
      <c r="E947" s="100"/>
      <c r="F947" s="206"/>
      <c r="G947" s="206"/>
      <c r="H947" s="207"/>
      <c r="I947" s="207"/>
      <c r="J947" s="207"/>
      <c r="K947" s="207"/>
      <c r="L947" s="207"/>
      <c r="M947" s="207"/>
      <c r="N947" s="207"/>
      <c r="O947" s="207"/>
      <c r="P947" s="207"/>
      <c r="Q947" s="207"/>
      <c r="R947" s="207"/>
      <c r="S947" s="207"/>
      <c r="T947" s="207"/>
      <c r="U947" s="207"/>
      <c r="V947" s="207"/>
      <c r="W947" s="208"/>
      <c r="X947" s="208"/>
      <c r="Y947" s="208"/>
      <c r="Z947" s="208"/>
      <c r="AA947" s="208"/>
      <c r="AB947" s="208"/>
      <c r="AC947" s="208"/>
      <c r="AD947" s="208"/>
      <c r="AE947" s="208"/>
      <c r="AF947" s="208"/>
      <c r="AG947" s="208"/>
      <c r="AH947" s="208"/>
      <c r="AI947" s="100"/>
      <c r="AJ947" s="319"/>
      <c r="AK947" s="319"/>
      <c r="AL947" s="319"/>
      <c r="AM947" s="319"/>
      <c r="AN947" s="319"/>
      <c r="AO947" s="319"/>
      <c r="AP947" s="319"/>
      <c r="AQ947" s="319"/>
      <c r="AR947" s="319"/>
      <c r="AS947" s="319"/>
      <c r="AT947" s="319"/>
      <c r="AU947" s="319"/>
      <c r="AV947" s="319"/>
      <c r="AW947" s="319"/>
      <c r="AX947" s="319"/>
      <c r="AY947" s="319"/>
      <c r="AZ947" s="319"/>
      <c r="BA947" s="319"/>
      <c r="BB947" s="319"/>
      <c r="BC947" s="319"/>
      <c r="BD947" s="319"/>
      <c r="BE947" s="319"/>
      <c r="BF947" s="319"/>
      <c r="BG947" s="319"/>
      <c r="BH947" s="319"/>
      <c r="BI947" s="319"/>
      <c r="BJ947" s="319"/>
      <c r="BK947" s="319"/>
      <c r="BL947" s="319"/>
      <c r="BM947" s="319"/>
      <c r="BN947" s="319"/>
      <c r="BO947" s="319"/>
      <c r="BP947" s="319"/>
      <c r="BQ947" s="319"/>
      <c r="BR947" s="319"/>
    </row>
    <row r="948" ht="14.25" customHeight="1">
      <c r="A948" s="195"/>
      <c r="B948" s="100"/>
      <c r="C948" s="100"/>
      <c r="D948" s="100"/>
      <c r="E948" s="100"/>
      <c r="F948" s="206"/>
      <c r="G948" s="206"/>
      <c r="H948" s="207"/>
      <c r="I948" s="207"/>
      <c r="J948" s="207"/>
      <c r="K948" s="207"/>
      <c r="L948" s="207"/>
      <c r="M948" s="207"/>
      <c r="N948" s="207"/>
      <c r="O948" s="207"/>
      <c r="P948" s="207"/>
      <c r="Q948" s="207"/>
      <c r="R948" s="207"/>
      <c r="S948" s="207"/>
      <c r="T948" s="207"/>
      <c r="U948" s="207"/>
      <c r="V948" s="207"/>
      <c r="W948" s="208"/>
      <c r="X948" s="208"/>
      <c r="Y948" s="208"/>
      <c r="Z948" s="208"/>
      <c r="AA948" s="208"/>
      <c r="AB948" s="208"/>
      <c r="AC948" s="208"/>
      <c r="AD948" s="208"/>
      <c r="AE948" s="208"/>
      <c r="AF948" s="208"/>
      <c r="AG948" s="208"/>
      <c r="AH948" s="208"/>
      <c r="AI948" s="100"/>
      <c r="AJ948" s="319"/>
      <c r="AK948" s="319"/>
      <c r="AL948" s="319"/>
      <c r="AM948" s="319"/>
      <c r="AN948" s="319"/>
      <c r="AO948" s="319"/>
      <c r="AP948" s="319"/>
      <c r="AQ948" s="319"/>
      <c r="AR948" s="319"/>
      <c r="AS948" s="319"/>
      <c r="AT948" s="319"/>
      <c r="AU948" s="319"/>
      <c r="AV948" s="319"/>
      <c r="AW948" s="319"/>
      <c r="AX948" s="319"/>
      <c r="AY948" s="319"/>
      <c r="AZ948" s="319"/>
      <c r="BA948" s="319"/>
      <c r="BB948" s="319"/>
      <c r="BC948" s="319"/>
      <c r="BD948" s="319"/>
      <c r="BE948" s="319"/>
      <c r="BF948" s="319"/>
      <c r="BG948" s="319"/>
      <c r="BH948" s="319"/>
      <c r="BI948" s="319"/>
      <c r="BJ948" s="319"/>
      <c r="BK948" s="319"/>
      <c r="BL948" s="319"/>
      <c r="BM948" s="319"/>
      <c r="BN948" s="319"/>
      <c r="BO948" s="319"/>
      <c r="BP948" s="319"/>
      <c r="BQ948" s="319"/>
      <c r="BR948" s="319"/>
    </row>
    <row r="949" ht="14.25" customHeight="1">
      <c r="A949" s="195"/>
      <c r="B949" s="100"/>
      <c r="C949" s="100"/>
      <c r="D949" s="100"/>
      <c r="E949" s="100"/>
      <c r="F949" s="206"/>
      <c r="G949" s="206"/>
      <c r="H949" s="207"/>
      <c r="I949" s="207"/>
      <c r="J949" s="207"/>
      <c r="K949" s="207"/>
      <c r="L949" s="207"/>
      <c r="M949" s="207"/>
      <c r="N949" s="207"/>
      <c r="O949" s="207"/>
      <c r="P949" s="207"/>
      <c r="Q949" s="207"/>
      <c r="R949" s="207"/>
      <c r="S949" s="207"/>
      <c r="T949" s="207"/>
      <c r="U949" s="207"/>
      <c r="V949" s="207"/>
      <c r="W949" s="208"/>
      <c r="X949" s="208"/>
      <c r="Y949" s="208"/>
      <c r="Z949" s="208"/>
      <c r="AA949" s="208"/>
      <c r="AB949" s="208"/>
      <c r="AC949" s="208"/>
      <c r="AD949" s="208"/>
      <c r="AE949" s="208"/>
      <c r="AF949" s="208"/>
      <c r="AG949" s="208"/>
      <c r="AH949" s="208"/>
      <c r="AI949" s="100"/>
      <c r="AJ949" s="319"/>
      <c r="AK949" s="319"/>
      <c r="AL949" s="319"/>
      <c r="AM949" s="319"/>
      <c r="AN949" s="319"/>
      <c r="AO949" s="319"/>
      <c r="AP949" s="319"/>
      <c r="AQ949" s="319"/>
      <c r="AR949" s="319"/>
      <c r="AS949" s="319"/>
      <c r="AT949" s="319"/>
      <c r="AU949" s="319"/>
      <c r="AV949" s="319"/>
      <c r="AW949" s="319"/>
      <c r="AX949" s="319"/>
      <c r="AY949" s="319"/>
      <c r="AZ949" s="319"/>
      <c r="BA949" s="319"/>
      <c r="BB949" s="319"/>
      <c r="BC949" s="319"/>
      <c r="BD949" s="319"/>
      <c r="BE949" s="319"/>
      <c r="BF949" s="319"/>
      <c r="BG949" s="319"/>
      <c r="BH949" s="319"/>
      <c r="BI949" s="319"/>
      <c r="BJ949" s="319"/>
      <c r="BK949" s="319"/>
      <c r="BL949" s="319"/>
      <c r="BM949" s="319"/>
      <c r="BN949" s="319"/>
      <c r="BO949" s="319"/>
      <c r="BP949" s="319"/>
      <c r="BQ949" s="319"/>
      <c r="BR949" s="319"/>
    </row>
    <row r="950" ht="14.25" customHeight="1">
      <c r="A950" s="195"/>
      <c r="B950" s="100"/>
      <c r="C950" s="100"/>
      <c r="D950" s="100"/>
      <c r="E950" s="100"/>
      <c r="F950" s="206"/>
      <c r="G950" s="206"/>
      <c r="H950" s="207"/>
      <c r="I950" s="207"/>
      <c r="J950" s="207"/>
      <c r="K950" s="207"/>
      <c r="L950" s="207"/>
      <c r="M950" s="207"/>
      <c r="N950" s="207"/>
      <c r="O950" s="207"/>
      <c r="P950" s="207"/>
      <c r="Q950" s="207"/>
      <c r="R950" s="207"/>
      <c r="S950" s="207"/>
      <c r="T950" s="207"/>
      <c r="U950" s="207"/>
      <c r="V950" s="207"/>
      <c r="W950" s="208"/>
      <c r="X950" s="208"/>
      <c r="Y950" s="208"/>
      <c r="Z950" s="208"/>
      <c r="AA950" s="208"/>
      <c r="AB950" s="208"/>
      <c r="AC950" s="208"/>
      <c r="AD950" s="208"/>
      <c r="AE950" s="208"/>
      <c r="AF950" s="208"/>
      <c r="AG950" s="208"/>
      <c r="AH950" s="208"/>
      <c r="AI950" s="100"/>
      <c r="AJ950" s="319"/>
      <c r="AK950" s="319"/>
      <c r="AL950" s="319"/>
      <c r="AM950" s="319"/>
      <c r="AN950" s="319"/>
      <c r="AO950" s="319"/>
      <c r="AP950" s="319"/>
      <c r="AQ950" s="319"/>
      <c r="AR950" s="319"/>
      <c r="AS950" s="319"/>
      <c r="AT950" s="319"/>
      <c r="AU950" s="319"/>
      <c r="AV950" s="319"/>
      <c r="AW950" s="319"/>
      <c r="AX950" s="319"/>
      <c r="AY950" s="319"/>
      <c r="AZ950" s="319"/>
      <c r="BA950" s="319"/>
      <c r="BB950" s="319"/>
      <c r="BC950" s="319"/>
      <c r="BD950" s="319"/>
      <c r="BE950" s="319"/>
      <c r="BF950" s="319"/>
      <c r="BG950" s="319"/>
      <c r="BH950" s="319"/>
      <c r="BI950" s="319"/>
      <c r="BJ950" s="319"/>
      <c r="BK950" s="319"/>
      <c r="BL950" s="319"/>
      <c r="BM950" s="319"/>
      <c r="BN950" s="319"/>
      <c r="BO950" s="319"/>
      <c r="BP950" s="319"/>
      <c r="BQ950" s="319"/>
      <c r="BR950" s="319"/>
    </row>
    <row r="951" ht="14.25" customHeight="1">
      <c r="A951" s="195"/>
      <c r="B951" s="100"/>
      <c r="C951" s="100"/>
      <c r="D951" s="100"/>
      <c r="E951" s="100"/>
      <c r="F951" s="206"/>
      <c r="G951" s="206"/>
      <c r="H951" s="207"/>
      <c r="I951" s="207"/>
      <c r="J951" s="207"/>
      <c r="K951" s="207"/>
      <c r="L951" s="207"/>
      <c r="M951" s="207"/>
      <c r="N951" s="207"/>
      <c r="O951" s="207"/>
      <c r="P951" s="207"/>
      <c r="Q951" s="207"/>
      <c r="R951" s="207"/>
      <c r="S951" s="207"/>
      <c r="T951" s="207"/>
      <c r="U951" s="207"/>
      <c r="V951" s="207"/>
      <c r="W951" s="208"/>
      <c r="X951" s="208"/>
      <c r="Y951" s="208"/>
      <c r="Z951" s="208"/>
      <c r="AA951" s="208"/>
      <c r="AB951" s="208"/>
      <c r="AC951" s="208"/>
      <c r="AD951" s="208"/>
      <c r="AE951" s="208"/>
      <c r="AF951" s="208"/>
      <c r="AG951" s="208"/>
      <c r="AH951" s="208"/>
      <c r="AI951" s="100"/>
      <c r="AJ951" s="319"/>
      <c r="AK951" s="319"/>
      <c r="AL951" s="319"/>
      <c r="AM951" s="319"/>
      <c r="AN951" s="319"/>
      <c r="AO951" s="319"/>
      <c r="AP951" s="319"/>
      <c r="AQ951" s="319"/>
      <c r="AR951" s="319"/>
      <c r="AS951" s="319"/>
      <c r="AT951" s="319"/>
      <c r="AU951" s="319"/>
      <c r="AV951" s="319"/>
      <c r="AW951" s="319"/>
      <c r="AX951" s="319"/>
      <c r="AY951" s="319"/>
      <c r="AZ951" s="319"/>
      <c r="BA951" s="319"/>
      <c r="BB951" s="319"/>
      <c r="BC951" s="319"/>
      <c r="BD951" s="319"/>
      <c r="BE951" s="319"/>
      <c r="BF951" s="319"/>
      <c r="BG951" s="319"/>
      <c r="BH951" s="319"/>
      <c r="BI951" s="319"/>
      <c r="BJ951" s="319"/>
      <c r="BK951" s="319"/>
      <c r="BL951" s="319"/>
      <c r="BM951" s="319"/>
      <c r="BN951" s="319"/>
      <c r="BO951" s="319"/>
      <c r="BP951" s="319"/>
      <c r="BQ951" s="319"/>
      <c r="BR951" s="319"/>
    </row>
    <row r="952" ht="14.25" customHeight="1">
      <c r="A952" s="195"/>
      <c r="B952" s="100"/>
      <c r="C952" s="100"/>
      <c r="D952" s="100"/>
      <c r="E952" s="100"/>
      <c r="F952" s="206"/>
      <c r="G952" s="206"/>
      <c r="H952" s="207"/>
      <c r="I952" s="207"/>
      <c r="J952" s="207"/>
      <c r="K952" s="207"/>
      <c r="L952" s="207"/>
      <c r="M952" s="207"/>
      <c r="N952" s="207"/>
      <c r="O952" s="207"/>
      <c r="P952" s="207"/>
      <c r="Q952" s="207"/>
      <c r="R952" s="207"/>
      <c r="S952" s="207"/>
      <c r="T952" s="207"/>
      <c r="U952" s="207"/>
      <c r="V952" s="207"/>
      <c r="W952" s="208"/>
      <c r="X952" s="208"/>
      <c r="Y952" s="208"/>
      <c r="Z952" s="208"/>
      <c r="AA952" s="208"/>
      <c r="AB952" s="208"/>
      <c r="AC952" s="208"/>
      <c r="AD952" s="208"/>
      <c r="AE952" s="208"/>
      <c r="AF952" s="208"/>
      <c r="AG952" s="208"/>
      <c r="AH952" s="208"/>
      <c r="AI952" s="100"/>
      <c r="AJ952" s="319"/>
      <c r="AK952" s="319"/>
      <c r="AL952" s="319"/>
      <c r="AM952" s="319"/>
      <c r="AN952" s="319"/>
      <c r="AO952" s="319"/>
      <c r="AP952" s="319"/>
      <c r="AQ952" s="319"/>
      <c r="AR952" s="319"/>
      <c r="AS952" s="319"/>
      <c r="AT952" s="319"/>
      <c r="AU952" s="319"/>
      <c r="AV952" s="319"/>
      <c r="AW952" s="319"/>
      <c r="AX952" s="319"/>
      <c r="AY952" s="319"/>
      <c r="AZ952" s="319"/>
      <c r="BA952" s="319"/>
      <c r="BB952" s="319"/>
      <c r="BC952" s="319"/>
      <c r="BD952" s="319"/>
      <c r="BE952" s="319"/>
      <c r="BF952" s="319"/>
      <c r="BG952" s="319"/>
      <c r="BH952" s="319"/>
      <c r="BI952" s="319"/>
      <c r="BJ952" s="319"/>
      <c r="BK952" s="319"/>
      <c r="BL952" s="319"/>
      <c r="BM952" s="319"/>
      <c r="BN952" s="319"/>
      <c r="BO952" s="319"/>
      <c r="BP952" s="319"/>
      <c r="BQ952" s="319"/>
      <c r="BR952" s="319"/>
    </row>
    <row r="953" ht="14.25" customHeight="1">
      <c r="A953" s="195"/>
      <c r="B953" s="100"/>
      <c r="C953" s="100"/>
      <c r="D953" s="100"/>
      <c r="E953" s="100"/>
      <c r="F953" s="206"/>
      <c r="G953" s="206"/>
      <c r="H953" s="207"/>
      <c r="I953" s="207"/>
      <c r="J953" s="207"/>
      <c r="K953" s="207"/>
      <c r="L953" s="207"/>
      <c r="M953" s="207"/>
      <c r="N953" s="207"/>
      <c r="O953" s="207"/>
      <c r="P953" s="207"/>
      <c r="Q953" s="207"/>
      <c r="R953" s="207"/>
      <c r="S953" s="207"/>
      <c r="T953" s="207"/>
      <c r="U953" s="207"/>
      <c r="V953" s="207"/>
      <c r="W953" s="208"/>
      <c r="X953" s="208"/>
      <c r="Y953" s="208"/>
      <c r="Z953" s="208"/>
      <c r="AA953" s="208"/>
      <c r="AB953" s="208"/>
      <c r="AC953" s="208"/>
      <c r="AD953" s="208"/>
      <c r="AE953" s="208"/>
      <c r="AF953" s="208"/>
      <c r="AG953" s="208"/>
      <c r="AH953" s="208"/>
      <c r="AI953" s="100"/>
      <c r="AJ953" s="319"/>
      <c r="AK953" s="319"/>
      <c r="AL953" s="319"/>
      <c r="AM953" s="319"/>
      <c r="AN953" s="319"/>
      <c r="AO953" s="319"/>
      <c r="AP953" s="319"/>
      <c r="AQ953" s="319"/>
      <c r="AR953" s="319"/>
      <c r="AS953" s="319"/>
      <c r="AT953" s="319"/>
      <c r="AU953" s="319"/>
      <c r="AV953" s="319"/>
      <c r="AW953" s="319"/>
      <c r="AX953" s="319"/>
      <c r="AY953" s="319"/>
      <c r="AZ953" s="319"/>
      <c r="BA953" s="319"/>
      <c r="BB953" s="319"/>
      <c r="BC953" s="319"/>
      <c r="BD953" s="319"/>
      <c r="BE953" s="319"/>
      <c r="BF953" s="319"/>
      <c r="BG953" s="319"/>
      <c r="BH953" s="319"/>
      <c r="BI953" s="319"/>
      <c r="BJ953" s="319"/>
      <c r="BK953" s="319"/>
      <c r="BL953" s="319"/>
      <c r="BM953" s="319"/>
      <c r="BN953" s="319"/>
      <c r="BO953" s="319"/>
      <c r="BP953" s="319"/>
      <c r="BQ953" s="319"/>
      <c r="BR953" s="319"/>
    </row>
    <row r="954" ht="14.25" customHeight="1">
      <c r="A954" s="195"/>
      <c r="B954" s="100"/>
      <c r="C954" s="100"/>
      <c r="D954" s="100"/>
      <c r="E954" s="100"/>
      <c r="F954" s="206"/>
      <c r="G954" s="206"/>
      <c r="H954" s="207"/>
      <c r="I954" s="207"/>
      <c r="J954" s="207"/>
      <c r="K954" s="207"/>
      <c r="L954" s="207"/>
      <c r="M954" s="207"/>
      <c r="N954" s="207"/>
      <c r="O954" s="207"/>
      <c r="P954" s="207"/>
      <c r="Q954" s="207"/>
      <c r="R954" s="207"/>
      <c r="S954" s="207"/>
      <c r="T954" s="207"/>
      <c r="U954" s="207"/>
      <c r="V954" s="207"/>
      <c r="W954" s="208"/>
      <c r="X954" s="208"/>
      <c r="Y954" s="208"/>
      <c r="Z954" s="208"/>
      <c r="AA954" s="208"/>
      <c r="AB954" s="208"/>
      <c r="AC954" s="208"/>
      <c r="AD954" s="208"/>
      <c r="AE954" s="208"/>
      <c r="AF954" s="208"/>
      <c r="AG954" s="208"/>
      <c r="AH954" s="208"/>
      <c r="AI954" s="100"/>
      <c r="AJ954" s="319"/>
      <c r="AK954" s="319"/>
      <c r="AL954" s="319"/>
      <c r="AM954" s="319"/>
      <c r="AN954" s="319"/>
      <c r="AO954" s="319"/>
      <c r="AP954" s="319"/>
      <c r="AQ954" s="319"/>
      <c r="AR954" s="319"/>
      <c r="AS954" s="319"/>
      <c r="AT954" s="319"/>
      <c r="AU954" s="319"/>
      <c r="AV954" s="319"/>
      <c r="AW954" s="319"/>
      <c r="AX954" s="319"/>
      <c r="AY954" s="319"/>
      <c r="AZ954" s="319"/>
      <c r="BA954" s="319"/>
      <c r="BB954" s="319"/>
      <c r="BC954" s="319"/>
      <c r="BD954" s="319"/>
      <c r="BE954" s="319"/>
      <c r="BF954" s="319"/>
      <c r="BG954" s="319"/>
      <c r="BH954" s="319"/>
      <c r="BI954" s="319"/>
      <c r="BJ954" s="319"/>
      <c r="BK954" s="319"/>
      <c r="BL954" s="319"/>
      <c r="BM954" s="319"/>
      <c r="BN954" s="319"/>
      <c r="BO954" s="319"/>
      <c r="BP954" s="319"/>
      <c r="BQ954" s="319"/>
      <c r="BR954" s="319"/>
    </row>
    <row r="955" ht="14.25" customHeight="1">
      <c r="A955" s="195"/>
      <c r="B955" s="100"/>
      <c r="C955" s="100"/>
      <c r="D955" s="100"/>
      <c r="E955" s="100"/>
      <c r="F955" s="206"/>
      <c r="G955" s="206"/>
      <c r="H955" s="207"/>
      <c r="I955" s="207"/>
      <c r="J955" s="207"/>
      <c r="K955" s="207"/>
      <c r="L955" s="207"/>
      <c r="M955" s="207"/>
      <c r="N955" s="207"/>
      <c r="O955" s="207"/>
      <c r="P955" s="207"/>
      <c r="Q955" s="207"/>
      <c r="R955" s="207"/>
      <c r="S955" s="207"/>
      <c r="T955" s="207"/>
      <c r="U955" s="207"/>
      <c r="V955" s="207"/>
      <c r="W955" s="208"/>
      <c r="X955" s="208"/>
      <c r="Y955" s="208"/>
      <c r="Z955" s="208"/>
      <c r="AA955" s="208"/>
      <c r="AB955" s="208"/>
      <c r="AC955" s="208"/>
      <c r="AD955" s="208"/>
      <c r="AE955" s="208"/>
      <c r="AF955" s="208"/>
      <c r="AG955" s="208"/>
      <c r="AH955" s="208"/>
      <c r="AI955" s="100"/>
      <c r="AJ955" s="319"/>
      <c r="AK955" s="319"/>
      <c r="AL955" s="319"/>
      <c r="AM955" s="319"/>
      <c r="AN955" s="319"/>
      <c r="AO955" s="319"/>
      <c r="AP955" s="319"/>
      <c r="AQ955" s="319"/>
      <c r="AR955" s="319"/>
      <c r="AS955" s="319"/>
      <c r="AT955" s="319"/>
      <c r="AU955" s="319"/>
      <c r="AV955" s="319"/>
      <c r="AW955" s="319"/>
      <c r="AX955" s="319"/>
      <c r="AY955" s="319"/>
      <c r="AZ955" s="319"/>
      <c r="BA955" s="319"/>
      <c r="BB955" s="319"/>
      <c r="BC955" s="319"/>
      <c r="BD955" s="319"/>
      <c r="BE955" s="319"/>
      <c r="BF955" s="319"/>
      <c r="BG955" s="319"/>
      <c r="BH955" s="319"/>
      <c r="BI955" s="319"/>
      <c r="BJ955" s="319"/>
      <c r="BK955" s="319"/>
      <c r="BL955" s="319"/>
      <c r="BM955" s="319"/>
      <c r="BN955" s="319"/>
      <c r="BO955" s="319"/>
      <c r="BP955" s="319"/>
      <c r="BQ955" s="319"/>
      <c r="BR955" s="319"/>
    </row>
    <row r="956" ht="14.25" customHeight="1">
      <c r="A956" s="195"/>
      <c r="B956" s="100"/>
      <c r="C956" s="100"/>
      <c r="D956" s="100"/>
      <c r="E956" s="100"/>
      <c r="F956" s="206"/>
      <c r="G956" s="206"/>
      <c r="H956" s="207"/>
      <c r="I956" s="207"/>
      <c r="J956" s="207"/>
      <c r="K956" s="207"/>
      <c r="L956" s="207"/>
      <c r="M956" s="207"/>
      <c r="N956" s="207"/>
      <c r="O956" s="207"/>
      <c r="P956" s="207"/>
      <c r="Q956" s="207"/>
      <c r="R956" s="207"/>
      <c r="S956" s="207"/>
      <c r="T956" s="207"/>
      <c r="U956" s="207"/>
      <c r="V956" s="207"/>
      <c r="W956" s="208"/>
      <c r="X956" s="208"/>
      <c r="Y956" s="208"/>
      <c r="Z956" s="208"/>
      <c r="AA956" s="208"/>
      <c r="AB956" s="208"/>
      <c r="AC956" s="208"/>
      <c r="AD956" s="208"/>
      <c r="AE956" s="208"/>
      <c r="AF956" s="208"/>
      <c r="AG956" s="208"/>
      <c r="AH956" s="208"/>
      <c r="AI956" s="100"/>
      <c r="AJ956" s="319"/>
      <c r="AK956" s="319"/>
      <c r="AL956" s="319"/>
      <c r="AM956" s="319"/>
      <c r="AN956" s="319"/>
      <c r="AO956" s="319"/>
      <c r="AP956" s="319"/>
      <c r="AQ956" s="319"/>
      <c r="AR956" s="319"/>
      <c r="AS956" s="319"/>
      <c r="AT956" s="319"/>
      <c r="AU956" s="319"/>
      <c r="AV956" s="319"/>
      <c r="AW956" s="319"/>
      <c r="AX956" s="319"/>
      <c r="AY956" s="319"/>
      <c r="AZ956" s="319"/>
      <c r="BA956" s="319"/>
      <c r="BB956" s="319"/>
      <c r="BC956" s="319"/>
      <c r="BD956" s="319"/>
      <c r="BE956" s="319"/>
      <c r="BF956" s="319"/>
      <c r="BG956" s="319"/>
      <c r="BH956" s="319"/>
      <c r="BI956" s="319"/>
      <c r="BJ956" s="319"/>
      <c r="BK956" s="319"/>
      <c r="BL956" s="319"/>
      <c r="BM956" s="319"/>
      <c r="BN956" s="319"/>
      <c r="BO956" s="319"/>
      <c r="BP956" s="319"/>
      <c r="BQ956" s="319"/>
      <c r="BR956" s="319"/>
    </row>
    <row r="957" ht="14.25" customHeight="1">
      <c r="A957" s="195"/>
      <c r="B957" s="100"/>
      <c r="C957" s="100"/>
      <c r="D957" s="100"/>
      <c r="E957" s="100"/>
      <c r="F957" s="206"/>
      <c r="G957" s="206"/>
      <c r="H957" s="207"/>
      <c r="I957" s="207"/>
      <c r="J957" s="207"/>
      <c r="K957" s="207"/>
      <c r="L957" s="207"/>
      <c r="M957" s="207"/>
      <c r="N957" s="207"/>
      <c r="O957" s="207"/>
      <c r="P957" s="207"/>
      <c r="Q957" s="207"/>
      <c r="R957" s="207"/>
      <c r="S957" s="207"/>
      <c r="T957" s="207"/>
      <c r="U957" s="207"/>
      <c r="V957" s="207"/>
      <c r="W957" s="208"/>
      <c r="X957" s="208"/>
      <c r="Y957" s="208"/>
      <c r="Z957" s="208"/>
      <c r="AA957" s="208"/>
      <c r="AB957" s="208"/>
      <c r="AC957" s="208"/>
      <c r="AD957" s="208"/>
      <c r="AE957" s="208"/>
      <c r="AF957" s="208"/>
      <c r="AG957" s="208"/>
      <c r="AH957" s="208"/>
      <c r="AI957" s="100"/>
      <c r="AJ957" s="319"/>
      <c r="AK957" s="319"/>
      <c r="AL957" s="319"/>
      <c r="AM957" s="319"/>
      <c r="AN957" s="319"/>
      <c r="AO957" s="319"/>
      <c r="AP957" s="319"/>
      <c r="AQ957" s="319"/>
      <c r="AR957" s="319"/>
      <c r="AS957" s="319"/>
      <c r="AT957" s="319"/>
      <c r="AU957" s="319"/>
      <c r="AV957" s="319"/>
      <c r="AW957" s="319"/>
      <c r="AX957" s="319"/>
      <c r="AY957" s="319"/>
      <c r="AZ957" s="319"/>
      <c r="BA957" s="319"/>
      <c r="BB957" s="319"/>
      <c r="BC957" s="319"/>
      <c r="BD957" s="319"/>
      <c r="BE957" s="319"/>
      <c r="BF957" s="319"/>
      <c r="BG957" s="319"/>
      <c r="BH957" s="319"/>
      <c r="BI957" s="319"/>
      <c r="BJ957" s="319"/>
      <c r="BK957" s="319"/>
      <c r="BL957" s="319"/>
      <c r="BM957" s="319"/>
      <c r="BN957" s="319"/>
      <c r="BO957" s="319"/>
      <c r="BP957" s="319"/>
      <c r="BQ957" s="319"/>
      <c r="BR957" s="319"/>
    </row>
    <row r="958" ht="14.25" customHeight="1">
      <c r="A958" s="195"/>
      <c r="B958" s="100"/>
      <c r="C958" s="100"/>
      <c r="D958" s="100"/>
      <c r="E958" s="100"/>
      <c r="F958" s="206"/>
      <c r="G958" s="206"/>
      <c r="H958" s="207"/>
      <c r="I958" s="207"/>
      <c r="J958" s="207"/>
      <c r="K958" s="207"/>
      <c r="L958" s="207"/>
      <c r="M958" s="207"/>
      <c r="N958" s="207"/>
      <c r="O958" s="207"/>
      <c r="P958" s="207"/>
      <c r="Q958" s="207"/>
      <c r="R958" s="207"/>
      <c r="S958" s="207"/>
      <c r="T958" s="207"/>
      <c r="U958" s="207"/>
      <c r="V958" s="207"/>
      <c r="W958" s="208"/>
      <c r="X958" s="208"/>
      <c r="Y958" s="208"/>
      <c r="Z958" s="208"/>
      <c r="AA958" s="208"/>
      <c r="AB958" s="208"/>
      <c r="AC958" s="208"/>
      <c r="AD958" s="208"/>
      <c r="AE958" s="208"/>
      <c r="AF958" s="208"/>
      <c r="AG958" s="208"/>
      <c r="AH958" s="208"/>
      <c r="AI958" s="100"/>
      <c r="AJ958" s="319"/>
      <c r="AK958" s="319"/>
      <c r="AL958" s="319"/>
      <c r="AM958" s="319"/>
      <c r="AN958" s="319"/>
      <c r="AO958" s="319"/>
      <c r="AP958" s="319"/>
      <c r="AQ958" s="319"/>
      <c r="AR958" s="319"/>
      <c r="AS958" s="319"/>
      <c r="AT958" s="319"/>
      <c r="AU958" s="319"/>
      <c r="AV958" s="319"/>
      <c r="AW958" s="319"/>
      <c r="AX958" s="319"/>
      <c r="AY958" s="319"/>
      <c r="AZ958" s="319"/>
      <c r="BA958" s="319"/>
      <c r="BB958" s="319"/>
      <c r="BC958" s="319"/>
      <c r="BD958" s="319"/>
      <c r="BE958" s="319"/>
      <c r="BF958" s="319"/>
      <c r="BG958" s="319"/>
      <c r="BH958" s="319"/>
      <c r="BI958" s="319"/>
      <c r="BJ958" s="319"/>
      <c r="BK958" s="319"/>
      <c r="BL958" s="319"/>
      <c r="BM958" s="319"/>
      <c r="BN958" s="319"/>
      <c r="BO958" s="319"/>
      <c r="BP958" s="319"/>
      <c r="BQ958" s="319"/>
      <c r="BR958" s="319"/>
    </row>
    <row r="959" ht="14.25" customHeight="1">
      <c r="A959" s="195"/>
      <c r="B959" s="100"/>
      <c r="C959" s="100"/>
      <c r="D959" s="100"/>
      <c r="E959" s="100"/>
      <c r="F959" s="206"/>
      <c r="G959" s="206"/>
      <c r="H959" s="207"/>
      <c r="I959" s="207"/>
      <c r="J959" s="207"/>
      <c r="K959" s="207"/>
      <c r="L959" s="207"/>
      <c r="M959" s="207"/>
      <c r="N959" s="207"/>
      <c r="O959" s="207"/>
      <c r="P959" s="207"/>
      <c r="Q959" s="207"/>
      <c r="R959" s="207"/>
      <c r="S959" s="207"/>
      <c r="T959" s="207"/>
      <c r="U959" s="207"/>
      <c r="V959" s="207"/>
      <c r="W959" s="208"/>
      <c r="X959" s="208"/>
      <c r="Y959" s="208"/>
      <c r="Z959" s="208"/>
      <c r="AA959" s="208"/>
      <c r="AB959" s="208"/>
      <c r="AC959" s="208"/>
      <c r="AD959" s="208"/>
      <c r="AE959" s="208"/>
      <c r="AF959" s="208"/>
      <c r="AG959" s="208"/>
      <c r="AH959" s="208"/>
      <c r="AI959" s="100"/>
      <c r="AJ959" s="319"/>
      <c r="AK959" s="319"/>
      <c r="AL959" s="319"/>
      <c r="AM959" s="319"/>
      <c r="AN959" s="319"/>
      <c r="AO959" s="319"/>
      <c r="AP959" s="319"/>
      <c r="AQ959" s="319"/>
      <c r="AR959" s="319"/>
      <c r="AS959" s="319"/>
      <c r="AT959" s="319"/>
      <c r="AU959" s="319"/>
      <c r="AV959" s="319"/>
      <c r="AW959" s="319"/>
      <c r="AX959" s="319"/>
      <c r="AY959" s="319"/>
      <c r="AZ959" s="319"/>
      <c r="BA959" s="319"/>
      <c r="BB959" s="319"/>
      <c r="BC959" s="319"/>
      <c r="BD959" s="319"/>
      <c r="BE959" s="319"/>
      <c r="BF959" s="319"/>
      <c r="BG959" s="319"/>
      <c r="BH959" s="319"/>
      <c r="BI959" s="319"/>
      <c r="BJ959" s="319"/>
      <c r="BK959" s="319"/>
      <c r="BL959" s="319"/>
      <c r="BM959" s="319"/>
      <c r="BN959" s="319"/>
      <c r="BO959" s="319"/>
      <c r="BP959" s="319"/>
      <c r="BQ959" s="319"/>
      <c r="BR959" s="319"/>
    </row>
    <row r="960" ht="14.25" customHeight="1">
      <c r="A960" s="195"/>
      <c r="B960" s="100"/>
      <c r="C960" s="100"/>
      <c r="D960" s="100"/>
      <c r="E960" s="100"/>
      <c r="F960" s="206"/>
      <c r="G960" s="206"/>
      <c r="H960" s="207"/>
      <c r="I960" s="207"/>
      <c r="J960" s="207"/>
      <c r="K960" s="207"/>
      <c r="L960" s="207"/>
      <c r="M960" s="207"/>
      <c r="N960" s="207"/>
      <c r="O960" s="207"/>
      <c r="P960" s="207"/>
      <c r="Q960" s="207"/>
      <c r="R960" s="207"/>
      <c r="S960" s="207"/>
      <c r="T960" s="207"/>
      <c r="U960" s="207"/>
      <c r="V960" s="207"/>
      <c r="W960" s="208"/>
      <c r="X960" s="208"/>
      <c r="Y960" s="208"/>
      <c r="Z960" s="208"/>
      <c r="AA960" s="208"/>
      <c r="AB960" s="208"/>
      <c r="AC960" s="208"/>
      <c r="AD960" s="208"/>
      <c r="AE960" s="208"/>
      <c r="AF960" s="208"/>
      <c r="AG960" s="208"/>
      <c r="AH960" s="208"/>
      <c r="AI960" s="100"/>
      <c r="AJ960" s="319"/>
      <c r="AK960" s="319"/>
      <c r="AL960" s="319"/>
      <c r="AM960" s="319"/>
      <c r="AN960" s="319"/>
      <c r="AO960" s="319"/>
      <c r="AP960" s="319"/>
      <c r="AQ960" s="319"/>
      <c r="AR960" s="319"/>
      <c r="AS960" s="319"/>
      <c r="AT960" s="319"/>
      <c r="AU960" s="319"/>
      <c r="AV960" s="319"/>
      <c r="AW960" s="319"/>
      <c r="AX960" s="319"/>
      <c r="AY960" s="319"/>
      <c r="AZ960" s="319"/>
      <c r="BA960" s="319"/>
      <c r="BB960" s="319"/>
      <c r="BC960" s="319"/>
      <c r="BD960" s="319"/>
      <c r="BE960" s="319"/>
      <c r="BF960" s="319"/>
      <c r="BG960" s="319"/>
      <c r="BH960" s="319"/>
      <c r="BI960" s="319"/>
      <c r="BJ960" s="319"/>
      <c r="BK960" s="319"/>
      <c r="BL960" s="319"/>
      <c r="BM960" s="319"/>
      <c r="BN960" s="319"/>
      <c r="BO960" s="319"/>
      <c r="BP960" s="319"/>
      <c r="BQ960" s="319"/>
      <c r="BR960" s="319"/>
    </row>
    <row r="961" ht="14.25" customHeight="1">
      <c r="A961" s="195"/>
      <c r="B961" s="100"/>
      <c r="C961" s="100"/>
      <c r="D961" s="100"/>
      <c r="E961" s="100"/>
      <c r="F961" s="206"/>
      <c r="G961" s="206"/>
      <c r="H961" s="207"/>
      <c r="I961" s="207"/>
      <c r="J961" s="207"/>
      <c r="K961" s="207"/>
      <c r="L961" s="207"/>
      <c r="M961" s="207"/>
      <c r="N961" s="207"/>
      <c r="O961" s="207"/>
      <c r="P961" s="207"/>
      <c r="Q961" s="207"/>
      <c r="R961" s="207"/>
      <c r="S961" s="207"/>
      <c r="T961" s="207"/>
      <c r="U961" s="207"/>
      <c r="V961" s="207"/>
      <c r="W961" s="208"/>
      <c r="X961" s="208"/>
      <c r="Y961" s="208"/>
      <c r="Z961" s="208"/>
      <c r="AA961" s="208"/>
      <c r="AB961" s="208"/>
      <c r="AC961" s="208"/>
      <c r="AD961" s="208"/>
      <c r="AE961" s="208"/>
      <c r="AF961" s="208"/>
      <c r="AG961" s="208"/>
      <c r="AH961" s="208"/>
      <c r="AI961" s="100"/>
      <c r="AJ961" s="319"/>
      <c r="AK961" s="319"/>
      <c r="AL961" s="319"/>
      <c r="AM961" s="319"/>
      <c r="AN961" s="319"/>
      <c r="AO961" s="319"/>
      <c r="AP961" s="319"/>
      <c r="AQ961" s="319"/>
      <c r="AR961" s="319"/>
      <c r="AS961" s="319"/>
      <c r="AT961" s="319"/>
      <c r="AU961" s="319"/>
      <c r="AV961" s="319"/>
      <c r="AW961" s="319"/>
      <c r="AX961" s="319"/>
      <c r="AY961" s="319"/>
      <c r="AZ961" s="319"/>
      <c r="BA961" s="319"/>
      <c r="BB961" s="319"/>
      <c r="BC961" s="319"/>
      <c r="BD961" s="319"/>
      <c r="BE961" s="319"/>
      <c r="BF961" s="319"/>
      <c r="BG961" s="319"/>
      <c r="BH961" s="319"/>
      <c r="BI961" s="319"/>
      <c r="BJ961" s="319"/>
      <c r="BK961" s="319"/>
      <c r="BL961" s="319"/>
      <c r="BM961" s="319"/>
      <c r="BN961" s="319"/>
      <c r="BO961" s="319"/>
      <c r="BP961" s="319"/>
      <c r="BQ961" s="319"/>
      <c r="BR961" s="319"/>
    </row>
    <row r="962" ht="14.25" customHeight="1">
      <c r="A962" s="195"/>
      <c r="B962" s="100"/>
      <c r="C962" s="100"/>
      <c r="D962" s="100"/>
      <c r="E962" s="100"/>
      <c r="F962" s="206"/>
      <c r="G962" s="206"/>
      <c r="H962" s="207"/>
      <c r="I962" s="207"/>
      <c r="J962" s="207"/>
      <c r="K962" s="207"/>
      <c r="L962" s="207"/>
      <c r="M962" s="207"/>
      <c r="N962" s="207"/>
      <c r="O962" s="207"/>
      <c r="P962" s="207"/>
      <c r="Q962" s="207"/>
      <c r="R962" s="207"/>
      <c r="S962" s="207"/>
      <c r="T962" s="207"/>
      <c r="U962" s="207"/>
      <c r="V962" s="207"/>
      <c r="W962" s="208"/>
      <c r="X962" s="208"/>
      <c r="Y962" s="208"/>
      <c r="Z962" s="208"/>
      <c r="AA962" s="208"/>
      <c r="AB962" s="208"/>
      <c r="AC962" s="208"/>
      <c r="AD962" s="208"/>
      <c r="AE962" s="208"/>
      <c r="AF962" s="208"/>
      <c r="AG962" s="208"/>
      <c r="AH962" s="208"/>
      <c r="AI962" s="100"/>
      <c r="AJ962" s="319"/>
      <c r="AK962" s="319"/>
      <c r="AL962" s="319"/>
      <c r="AM962" s="319"/>
      <c r="AN962" s="319"/>
      <c r="AO962" s="319"/>
      <c r="AP962" s="319"/>
      <c r="AQ962" s="319"/>
      <c r="AR962" s="319"/>
      <c r="AS962" s="319"/>
      <c r="AT962" s="319"/>
      <c r="AU962" s="319"/>
      <c r="AV962" s="319"/>
      <c r="AW962" s="319"/>
      <c r="AX962" s="319"/>
      <c r="AY962" s="319"/>
      <c r="AZ962" s="319"/>
      <c r="BA962" s="319"/>
      <c r="BB962" s="319"/>
      <c r="BC962" s="319"/>
      <c r="BD962" s="319"/>
      <c r="BE962" s="319"/>
      <c r="BF962" s="319"/>
      <c r="BG962" s="319"/>
      <c r="BH962" s="319"/>
      <c r="BI962" s="319"/>
      <c r="BJ962" s="319"/>
      <c r="BK962" s="319"/>
      <c r="BL962" s="319"/>
      <c r="BM962" s="319"/>
      <c r="BN962" s="319"/>
      <c r="BO962" s="319"/>
      <c r="BP962" s="319"/>
      <c r="BQ962" s="319"/>
      <c r="BR962" s="319"/>
    </row>
    <row r="963" ht="14.25" customHeight="1">
      <c r="A963" s="195"/>
      <c r="B963" s="100"/>
      <c r="C963" s="100"/>
      <c r="D963" s="100"/>
      <c r="E963" s="100"/>
      <c r="F963" s="206"/>
      <c r="G963" s="206"/>
      <c r="H963" s="207"/>
      <c r="I963" s="207"/>
      <c r="J963" s="207"/>
      <c r="K963" s="207"/>
      <c r="L963" s="207"/>
      <c r="M963" s="207"/>
      <c r="N963" s="207"/>
      <c r="O963" s="207"/>
      <c r="P963" s="207"/>
      <c r="Q963" s="207"/>
      <c r="R963" s="207"/>
      <c r="S963" s="207"/>
      <c r="T963" s="207"/>
      <c r="U963" s="207"/>
      <c r="V963" s="207"/>
      <c r="W963" s="208"/>
      <c r="X963" s="208"/>
      <c r="Y963" s="208"/>
      <c r="Z963" s="208"/>
      <c r="AA963" s="208"/>
      <c r="AB963" s="208"/>
      <c r="AC963" s="208"/>
      <c r="AD963" s="208"/>
      <c r="AE963" s="208"/>
      <c r="AF963" s="208"/>
      <c r="AG963" s="208"/>
      <c r="AH963" s="208"/>
      <c r="AI963" s="100"/>
      <c r="AJ963" s="319"/>
      <c r="AK963" s="319"/>
      <c r="AL963" s="319"/>
      <c r="AM963" s="319"/>
      <c r="AN963" s="319"/>
      <c r="AO963" s="319"/>
      <c r="AP963" s="319"/>
      <c r="AQ963" s="319"/>
      <c r="AR963" s="319"/>
      <c r="AS963" s="319"/>
      <c r="AT963" s="319"/>
      <c r="AU963" s="319"/>
      <c r="AV963" s="319"/>
      <c r="AW963" s="319"/>
      <c r="AX963" s="319"/>
      <c r="AY963" s="319"/>
      <c r="AZ963" s="319"/>
      <c r="BA963" s="319"/>
      <c r="BB963" s="319"/>
      <c r="BC963" s="319"/>
      <c r="BD963" s="319"/>
      <c r="BE963" s="319"/>
      <c r="BF963" s="319"/>
      <c r="BG963" s="319"/>
      <c r="BH963" s="319"/>
      <c r="BI963" s="319"/>
      <c r="BJ963" s="319"/>
      <c r="BK963" s="319"/>
      <c r="BL963" s="319"/>
      <c r="BM963" s="319"/>
      <c r="BN963" s="319"/>
      <c r="BO963" s="319"/>
      <c r="BP963" s="319"/>
      <c r="BQ963" s="319"/>
      <c r="BR963" s="319"/>
    </row>
    <row r="964" ht="14.25" customHeight="1">
      <c r="A964" s="195"/>
      <c r="B964" s="100"/>
      <c r="C964" s="100"/>
      <c r="D964" s="100"/>
      <c r="E964" s="100"/>
      <c r="F964" s="206"/>
      <c r="G964" s="206"/>
      <c r="H964" s="207"/>
      <c r="I964" s="207"/>
      <c r="J964" s="207"/>
      <c r="K964" s="207"/>
      <c r="L964" s="207"/>
      <c r="M964" s="207"/>
      <c r="N964" s="207"/>
      <c r="O964" s="207"/>
      <c r="P964" s="207"/>
      <c r="Q964" s="207"/>
      <c r="R964" s="207"/>
      <c r="S964" s="207"/>
      <c r="T964" s="207"/>
      <c r="U964" s="207"/>
      <c r="V964" s="207"/>
      <c r="W964" s="208"/>
      <c r="X964" s="208"/>
      <c r="Y964" s="208"/>
      <c r="Z964" s="208"/>
      <c r="AA964" s="208"/>
      <c r="AB964" s="208"/>
      <c r="AC964" s="208"/>
      <c r="AD964" s="208"/>
      <c r="AE964" s="208"/>
      <c r="AF964" s="208"/>
      <c r="AG964" s="208"/>
      <c r="AH964" s="208"/>
      <c r="AI964" s="100"/>
      <c r="AJ964" s="319"/>
      <c r="AK964" s="319"/>
      <c r="AL964" s="319"/>
      <c r="AM964" s="319"/>
      <c r="AN964" s="319"/>
      <c r="AO964" s="319"/>
      <c r="AP964" s="319"/>
      <c r="AQ964" s="319"/>
      <c r="AR964" s="319"/>
      <c r="AS964" s="319"/>
      <c r="AT964" s="319"/>
      <c r="AU964" s="319"/>
      <c r="AV964" s="319"/>
      <c r="AW964" s="319"/>
      <c r="AX964" s="319"/>
      <c r="AY964" s="319"/>
      <c r="AZ964" s="319"/>
      <c r="BA964" s="319"/>
      <c r="BB964" s="319"/>
      <c r="BC964" s="319"/>
      <c r="BD964" s="319"/>
      <c r="BE964" s="319"/>
      <c r="BF964" s="319"/>
      <c r="BG964" s="319"/>
      <c r="BH964" s="319"/>
      <c r="BI964" s="319"/>
      <c r="BJ964" s="319"/>
      <c r="BK964" s="319"/>
      <c r="BL964" s="319"/>
      <c r="BM964" s="319"/>
      <c r="BN964" s="319"/>
      <c r="BO964" s="319"/>
      <c r="BP964" s="319"/>
      <c r="BQ964" s="319"/>
      <c r="BR964" s="319"/>
    </row>
    <row r="965" ht="14.25" customHeight="1">
      <c r="A965" s="195"/>
      <c r="B965" s="100"/>
      <c r="C965" s="100"/>
      <c r="D965" s="100"/>
      <c r="E965" s="100"/>
      <c r="F965" s="206"/>
      <c r="G965" s="206"/>
      <c r="H965" s="207"/>
      <c r="I965" s="207"/>
      <c r="J965" s="207"/>
      <c r="K965" s="207"/>
      <c r="L965" s="207"/>
      <c r="M965" s="207"/>
      <c r="N965" s="207"/>
      <c r="O965" s="207"/>
      <c r="P965" s="207"/>
      <c r="Q965" s="207"/>
      <c r="R965" s="207"/>
      <c r="S965" s="207"/>
      <c r="T965" s="207"/>
      <c r="U965" s="207"/>
      <c r="V965" s="207"/>
      <c r="W965" s="208"/>
      <c r="X965" s="208"/>
      <c r="Y965" s="208"/>
      <c r="Z965" s="208"/>
      <c r="AA965" s="208"/>
      <c r="AB965" s="208"/>
      <c r="AC965" s="208"/>
      <c r="AD965" s="208"/>
      <c r="AE965" s="208"/>
      <c r="AF965" s="208"/>
      <c r="AG965" s="208"/>
      <c r="AH965" s="208"/>
      <c r="AI965" s="100"/>
      <c r="AJ965" s="319"/>
      <c r="AK965" s="319"/>
      <c r="AL965" s="319"/>
      <c r="AM965" s="319"/>
      <c r="AN965" s="319"/>
      <c r="AO965" s="319"/>
      <c r="AP965" s="319"/>
      <c r="AQ965" s="319"/>
      <c r="AR965" s="319"/>
      <c r="AS965" s="319"/>
      <c r="AT965" s="319"/>
      <c r="AU965" s="319"/>
      <c r="AV965" s="319"/>
      <c r="AW965" s="319"/>
      <c r="AX965" s="319"/>
      <c r="AY965" s="319"/>
      <c r="AZ965" s="319"/>
      <c r="BA965" s="319"/>
      <c r="BB965" s="319"/>
      <c r="BC965" s="319"/>
      <c r="BD965" s="319"/>
      <c r="BE965" s="319"/>
      <c r="BF965" s="319"/>
      <c r="BG965" s="319"/>
      <c r="BH965" s="319"/>
      <c r="BI965" s="319"/>
      <c r="BJ965" s="319"/>
      <c r="BK965" s="319"/>
      <c r="BL965" s="319"/>
      <c r="BM965" s="319"/>
      <c r="BN965" s="319"/>
      <c r="BO965" s="319"/>
      <c r="BP965" s="319"/>
      <c r="BQ965" s="319"/>
      <c r="BR965" s="319"/>
    </row>
    <row r="966" ht="14.25" customHeight="1">
      <c r="A966" s="195"/>
      <c r="B966" s="100"/>
      <c r="C966" s="100"/>
      <c r="D966" s="100"/>
      <c r="E966" s="100"/>
      <c r="F966" s="206"/>
      <c r="G966" s="206"/>
      <c r="H966" s="207"/>
      <c r="I966" s="207"/>
      <c r="J966" s="207"/>
      <c r="K966" s="207"/>
      <c r="L966" s="207"/>
      <c r="M966" s="207"/>
      <c r="N966" s="207"/>
      <c r="O966" s="207"/>
      <c r="P966" s="207"/>
      <c r="Q966" s="207"/>
      <c r="R966" s="207"/>
      <c r="S966" s="207"/>
      <c r="T966" s="207"/>
      <c r="U966" s="207"/>
      <c r="V966" s="207"/>
      <c r="W966" s="208"/>
      <c r="X966" s="208"/>
      <c r="Y966" s="208"/>
      <c r="Z966" s="208"/>
      <c r="AA966" s="208"/>
      <c r="AB966" s="208"/>
      <c r="AC966" s="208"/>
      <c r="AD966" s="208"/>
      <c r="AE966" s="208"/>
      <c r="AF966" s="208"/>
      <c r="AG966" s="208"/>
      <c r="AH966" s="208"/>
      <c r="AI966" s="100"/>
      <c r="AJ966" s="319"/>
      <c r="AK966" s="319"/>
      <c r="AL966" s="319"/>
      <c r="AM966" s="319"/>
      <c r="AN966" s="319"/>
      <c r="AO966" s="319"/>
      <c r="AP966" s="319"/>
      <c r="AQ966" s="319"/>
      <c r="AR966" s="319"/>
      <c r="AS966" s="319"/>
      <c r="AT966" s="319"/>
      <c r="AU966" s="319"/>
      <c r="AV966" s="319"/>
      <c r="AW966" s="319"/>
      <c r="AX966" s="319"/>
      <c r="AY966" s="319"/>
      <c r="AZ966" s="319"/>
      <c r="BA966" s="319"/>
      <c r="BB966" s="319"/>
      <c r="BC966" s="319"/>
      <c r="BD966" s="319"/>
      <c r="BE966" s="319"/>
      <c r="BF966" s="319"/>
      <c r="BG966" s="319"/>
      <c r="BH966" s="319"/>
      <c r="BI966" s="319"/>
      <c r="BJ966" s="319"/>
      <c r="BK966" s="319"/>
      <c r="BL966" s="319"/>
      <c r="BM966" s="319"/>
      <c r="BN966" s="319"/>
      <c r="BO966" s="319"/>
      <c r="BP966" s="319"/>
      <c r="BQ966" s="319"/>
      <c r="BR966" s="319"/>
    </row>
    <row r="967" ht="14.25" customHeight="1">
      <c r="A967" s="195"/>
      <c r="B967" s="100"/>
      <c r="C967" s="100"/>
      <c r="D967" s="100"/>
      <c r="E967" s="100"/>
      <c r="F967" s="206"/>
      <c r="G967" s="206"/>
      <c r="H967" s="207"/>
      <c r="I967" s="207"/>
      <c r="J967" s="207"/>
      <c r="K967" s="207"/>
      <c r="L967" s="207"/>
      <c r="M967" s="207"/>
      <c r="N967" s="207"/>
      <c r="O967" s="207"/>
      <c r="P967" s="207"/>
      <c r="Q967" s="207"/>
      <c r="R967" s="207"/>
      <c r="S967" s="207"/>
      <c r="T967" s="207"/>
      <c r="U967" s="207"/>
      <c r="V967" s="207"/>
      <c r="W967" s="208"/>
      <c r="X967" s="208"/>
      <c r="Y967" s="208"/>
      <c r="Z967" s="208"/>
      <c r="AA967" s="208"/>
      <c r="AB967" s="208"/>
      <c r="AC967" s="208"/>
      <c r="AD967" s="208"/>
      <c r="AE967" s="208"/>
      <c r="AF967" s="208"/>
      <c r="AG967" s="208"/>
      <c r="AH967" s="208"/>
      <c r="AI967" s="100"/>
      <c r="AJ967" s="319"/>
      <c r="AK967" s="319"/>
      <c r="AL967" s="319"/>
      <c r="AM967" s="319"/>
      <c r="AN967" s="319"/>
      <c r="AO967" s="319"/>
      <c r="AP967" s="319"/>
      <c r="AQ967" s="319"/>
      <c r="AR967" s="319"/>
      <c r="AS967" s="319"/>
      <c r="AT967" s="319"/>
      <c r="AU967" s="319"/>
      <c r="AV967" s="319"/>
      <c r="AW967" s="319"/>
      <c r="AX967" s="319"/>
      <c r="AY967" s="319"/>
      <c r="AZ967" s="319"/>
      <c r="BA967" s="319"/>
      <c r="BB967" s="319"/>
      <c r="BC967" s="319"/>
      <c r="BD967" s="319"/>
      <c r="BE967" s="319"/>
      <c r="BF967" s="319"/>
      <c r="BG967" s="319"/>
      <c r="BH967" s="319"/>
      <c r="BI967" s="319"/>
      <c r="BJ967" s="319"/>
      <c r="BK967" s="319"/>
      <c r="BL967" s="319"/>
      <c r="BM967" s="319"/>
      <c r="BN967" s="319"/>
      <c r="BO967" s="319"/>
      <c r="BP967" s="319"/>
      <c r="BQ967" s="319"/>
      <c r="BR967" s="319"/>
    </row>
    <row r="968" ht="14.25" customHeight="1">
      <c r="A968" s="195"/>
      <c r="B968" s="100"/>
      <c r="C968" s="100"/>
      <c r="D968" s="100"/>
      <c r="E968" s="100"/>
      <c r="F968" s="206"/>
      <c r="G968" s="206"/>
      <c r="H968" s="207"/>
      <c r="I968" s="207"/>
      <c r="J968" s="207"/>
      <c r="K968" s="207"/>
      <c r="L968" s="207"/>
      <c r="M968" s="207"/>
      <c r="N968" s="207"/>
      <c r="O968" s="207"/>
      <c r="P968" s="207"/>
      <c r="Q968" s="207"/>
      <c r="R968" s="207"/>
      <c r="S968" s="207"/>
      <c r="T968" s="207"/>
      <c r="U968" s="207"/>
      <c r="V968" s="207"/>
      <c r="W968" s="208"/>
      <c r="X968" s="208"/>
      <c r="Y968" s="208"/>
      <c r="Z968" s="208"/>
      <c r="AA968" s="208"/>
      <c r="AB968" s="208"/>
      <c r="AC968" s="208"/>
      <c r="AD968" s="208"/>
      <c r="AE968" s="208"/>
      <c r="AF968" s="208"/>
      <c r="AG968" s="208"/>
      <c r="AH968" s="208"/>
      <c r="AI968" s="100"/>
      <c r="AJ968" s="319"/>
      <c r="AK968" s="319"/>
      <c r="AL968" s="319"/>
      <c r="AM968" s="319"/>
      <c r="AN968" s="319"/>
      <c r="AO968" s="319"/>
      <c r="AP968" s="319"/>
      <c r="AQ968" s="319"/>
      <c r="AR968" s="319"/>
      <c r="AS968" s="319"/>
      <c r="AT968" s="319"/>
      <c r="AU968" s="319"/>
      <c r="AV968" s="319"/>
      <c r="AW968" s="319"/>
      <c r="AX968" s="319"/>
      <c r="AY968" s="319"/>
      <c r="AZ968" s="319"/>
      <c r="BA968" s="319"/>
      <c r="BB968" s="319"/>
      <c r="BC968" s="319"/>
      <c r="BD968" s="319"/>
      <c r="BE968" s="319"/>
      <c r="BF968" s="319"/>
      <c r="BG968" s="319"/>
      <c r="BH968" s="319"/>
      <c r="BI968" s="319"/>
      <c r="BJ968" s="319"/>
      <c r="BK968" s="319"/>
      <c r="BL968" s="319"/>
      <c r="BM968" s="319"/>
      <c r="BN968" s="319"/>
      <c r="BO968" s="319"/>
      <c r="BP968" s="319"/>
      <c r="BQ968" s="319"/>
      <c r="BR968" s="319"/>
    </row>
    <row r="969" ht="14.25" customHeight="1">
      <c r="A969" s="195"/>
      <c r="B969" s="100"/>
      <c r="C969" s="100"/>
      <c r="D969" s="100"/>
      <c r="E969" s="100"/>
      <c r="F969" s="206"/>
      <c r="G969" s="206"/>
      <c r="H969" s="207"/>
      <c r="I969" s="207"/>
      <c r="J969" s="207"/>
      <c r="K969" s="207"/>
      <c r="L969" s="207"/>
      <c r="M969" s="207"/>
      <c r="N969" s="207"/>
      <c r="O969" s="207"/>
      <c r="P969" s="207"/>
      <c r="Q969" s="207"/>
      <c r="R969" s="207"/>
      <c r="S969" s="207"/>
      <c r="T969" s="207"/>
      <c r="U969" s="207"/>
      <c r="V969" s="207"/>
      <c r="W969" s="208"/>
      <c r="X969" s="208"/>
      <c r="Y969" s="208"/>
      <c r="Z969" s="208"/>
      <c r="AA969" s="208"/>
      <c r="AB969" s="208"/>
      <c r="AC969" s="208"/>
      <c r="AD969" s="208"/>
      <c r="AE969" s="208"/>
      <c r="AF969" s="208"/>
      <c r="AG969" s="208"/>
      <c r="AH969" s="208"/>
      <c r="AI969" s="100"/>
      <c r="AJ969" s="319"/>
      <c r="AK969" s="319"/>
      <c r="AL969" s="319"/>
      <c r="AM969" s="319"/>
      <c r="AN969" s="319"/>
      <c r="AO969" s="319"/>
      <c r="AP969" s="319"/>
      <c r="AQ969" s="319"/>
      <c r="AR969" s="319"/>
      <c r="AS969" s="319"/>
      <c r="AT969" s="319"/>
      <c r="AU969" s="319"/>
      <c r="AV969" s="319"/>
      <c r="AW969" s="319"/>
      <c r="AX969" s="319"/>
      <c r="AY969" s="319"/>
      <c r="AZ969" s="319"/>
      <c r="BA969" s="319"/>
      <c r="BB969" s="319"/>
      <c r="BC969" s="319"/>
      <c r="BD969" s="319"/>
      <c r="BE969" s="319"/>
      <c r="BF969" s="319"/>
      <c r="BG969" s="319"/>
      <c r="BH969" s="319"/>
      <c r="BI969" s="319"/>
      <c r="BJ969" s="319"/>
      <c r="BK969" s="319"/>
      <c r="BL969" s="319"/>
      <c r="BM969" s="319"/>
      <c r="BN969" s="319"/>
      <c r="BO969" s="319"/>
      <c r="BP969" s="319"/>
      <c r="BQ969" s="319"/>
      <c r="BR969" s="319"/>
    </row>
    <row r="970" ht="14.25" customHeight="1">
      <c r="A970" s="195"/>
      <c r="B970" s="100"/>
      <c r="C970" s="100"/>
      <c r="D970" s="100"/>
      <c r="E970" s="100"/>
      <c r="F970" s="206"/>
      <c r="G970" s="206"/>
      <c r="H970" s="207"/>
      <c r="I970" s="207"/>
      <c r="J970" s="207"/>
      <c r="K970" s="207"/>
      <c r="L970" s="207"/>
      <c r="M970" s="207"/>
      <c r="N970" s="207"/>
      <c r="O970" s="207"/>
      <c r="P970" s="207"/>
      <c r="Q970" s="207"/>
      <c r="R970" s="207"/>
      <c r="S970" s="207"/>
      <c r="T970" s="207"/>
      <c r="U970" s="207"/>
      <c r="V970" s="207"/>
      <c r="W970" s="208"/>
      <c r="X970" s="208"/>
      <c r="Y970" s="208"/>
      <c r="Z970" s="208"/>
      <c r="AA970" s="208"/>
      <c r="AB970" s="208"/>
      <c r="AC970" s="208"/>
      <c r="AD970" s="208"/>
      <c r="AE970" s="208"/>
      <c r="AF970" s="208"/>
      <c r="AG970" s="208"/>
      <c r="AH970" s="208"/>
      <c r="AI970" s="100"/>
      <c r="AJ970" s="319"/>
      <c r="AK970" s="319"/>
      <c r="AL970" s="319"/>
      <c r="AM970" s="319"/>
      <c r="AN970" s="319"/>
      <c r="AO970" s="319"/>
      <c r="AP970" s="319"/>
      <c r="AQ970" s="319"/>
      <c r="AR970" s="319"/>
      <c r="AS970" s="319"/>
      <c r="AT970" s="319"/>
      <c r="AU970" s="319"/>
      <c r="AV970" s="319"/>
      <c r="AW970" s="319"/>
      <c r="AX970" s="319"/>
      <c r="AY970" s="319"/>
      <c r="AZ970" s="319"/>
      <c r="BA970" s="319"/>
      <c r="BB970" s="319"/>
      <c r="BC970" s="319"/>
      <c r="BD970" s="319"/>
      <c r="BE970" s="319"/>
      <c r="BF970" s="319"/>
      <c r="BG970" s="319"/>
      <c r="BH970" s="319"/>
      <c r="BI970" s="319"/>
      <c r="BJ970" s="319"/>
      <c r="BK970" s="319"/>
      <c r="BL970" s="319"/>
      <c r="BM970" s="319"/>
      <c r="BN970" s="319"/>
      <c r="BO970" s="319"/>
      <c r="BP970" s="319"/>
      <c r="BQ970" s="319"/>
      <c r="BR970" s="319"/>
    </row>
    <row r="971" ht="14.25" customHeight="1">
      <c r="A971" s="195"/>
      <c r="B971" s="100"/>
      <c r="C971" s="100"/>
      <c r="D971" s="100"/>
      <c r="E971" s="100"/>
      <c r="F971" s="206"/>
      <c r="G971" s="206"/>
      <c r="H971" s="207"/>
      <c r="I971" s="207"/>
      <c r="J971" s="207"/>
      <c r="K971" s="207"/>
      <c r="L971" s="207"/>
      <c r="M971" s="207"/>
      <c r="N971" s="207"/>
      <c r="O971" s="207"/>
      <c r="P971" s="207"/>
      <c r="Q971" s="207"/>
      <c r="R971" s="207"/>
      <c r="S971" s="207"/>
      <c r="T971" s="207"/>
      <c r="U971" s="207"/>
      <c r="V971" s="207"/>
      <c r="W971" s="208"/>
      <c r="X971" s="208"/>
      <c r="Y971" s="208"/>
      <c r="Z971" s="208"/>
      <c r="AA971" s="208"/>
      <c r="AB971" s="208"/>
      <c r="AC971" s="208"/>
      <c r="AD971" s="208"/>
      <c r="AE971" s="208"/>
      <c r="AF971" s="208"/>
      <c r="AG971" s="208"/>
      <c r="AH971" s="208"/>
      <c r="AI971" s="100"/>
      <c r="AJ971" s="319"/>
      <c r="AK971" s="319"/>
      <c r="AL971" s="319"/>
      <c r="AM971" s="319"/>
      <c r="AN971" s="319"/>
      <c r="AO971" s="319"/>
      <c r="AP971" s="319"/>
      <c r="AQ971" s="319"/>
      <c r="AR971" s="319"/>
      <c r="AS971" s="319"/>
      <c r="AT971" s="319"/>
      <c r="AU971" s="319"/>
      <c r="AV971" s="319"/>
      <c r="AW971" s="319"/>
      <c r="AX971" s="319"/>
      <c r="AY971" s="319"/>
      <c r="AZ971" s="319"/>
      <c r="BA971" s="319"/>
      <c r="BB971" s="319"/>
      <c r="BC971" s="319"/>
      <c r="BD971" s="319"/>
      <c r="BE971" s="319"/>
      <c r="BF971" s="319"/>
      <c r="BG971" s="319"/>
      <c r="BH971" s="319"/>
      <c r="BI971" s="319"/>
      <c r="BJ971" s="319"/>
      <c r="BK971" s="319"/>
      <c r="BL971" s="319"/>
      <c r="BM971" s="319"/>
      <c r="BN971" s="319"/>
      <c r="BO971" s="319"/>
      <c r="BP971" s="319"/>
      <c r="BQ971" s="319"/>
      <c r="BR971" s="319"/>
    </row>
    <row r="972" ht="14.25" customHeight="1">
      <c r="A972" s="195"/>
      <c r="B972" s="100"/>
      <c r="C972" s="100"/>
      <c r="D972" s="100"/>
      <c r="E972" s="100"/>
      <c r="F972" s="206"/>
      <c r="G972" s="206"/>
      <c r="H972" s="207"/>
      <c r="I972" s="207"/>
      <c r="J972" s="207"/>
      <c r="K972" s="207"/>
      <c r="L972" s="207"/>
      <c r="M972" s="207"/>
      <c r="N972" s="207"/>
      <c r="O972" s="207"/>
      <c r="P972" s="207"/>
      <c r="Q972" s="207"/>
      <c r="R972" s="207"/>
      <c r="S972" s="207"/>
      <c r="T972" s="207"/>
      <c r="U972" s="207"/>
      <c r="V972" s="207"/>
      <c r="W972" s="208"/>
      <c r="X972" s="208"/>
      <c r="Y972" s="208"/>
      <c r="Z972" s="208"/>
      <c r="AA972" s="208"/>
      <c r="AB972" s="208"/>
      <c r="AC972" s="208"/>
      <c r="AD972" s="208"/>
      <c r="AE972" s="208"/>
      <c r="AF972" s="208"/>
      <c r="AG972" s="208"/>
      <c r="AH972" s="208"/>
      <c r="AI972" s="100"/>
      <c r="AJ972" s="319"/>
      <c r="AK972" s="319"/>
      <c r="AL972" s="319"/>
      <c r="AM972" s="319"/>
      <c r="AN972" s="319"/>
      <c r="AO972" s="319"/>
      <c r="AP972" s="319"/>
      <c r="AQ972" s="319"/>
      <c r="AR972" s="319"/>
      <c r="AS972" s="319"/>
      <c r="AT972" s="319"/>
      <c r="AU972" s="319"/>
      <c r="AV972" s="319"/>
      <c r="AW972" s="319"/>
      <c r="AX972" s="319"/>
      <c r="AY972" s="319"/>
      <c r="AZ972" s="319"/>
      <c r="BA972" s="319"/>
      <c r="BB972" s="319"/>
      <c r="BC972" s="319"/>
      <c r="BD972" s="319"/>
      <c r="BE972" s="319"/>
      <c r="BF972" s="319"/>
      <c r="BG972" s="319"/>
      <c r="BH972" s="319"/>
      <c r="BI972" s="319"/>
      <c r="BJ972" s="319"/>
      <c r="BK972" s="319"/>
      <c r="BL972" s="319"/>
      <c r="BM972" s="319"/>
      <c r="BN972" s="319"/>
      <c r="BO972" s="319"/>
      <c r="BP972" s="319"/>
      <c r="BQ972" s="319"/>
      <c r="BR972" s="319"/>
    </row>
    <row r="973" ht="14.25" customHeight="1">
      <c r="A973" s="195"/>
      <c r="B973" s="100"/>
      <c r="C973" s="100"/>
      <c r="D973" s="100"/>
      <c r="E973" s="100"/>
      <c r="F973" s="206"/>
      <c r="G973" s="206"/>
      <c r="H973" s="207"/>
      <c r="I973" s="207"/>
      <c r="J973" s="207"/>
      <c r="K973" s="207"/>
      <c r="L973" s="207"/>
      <c r="M973" s="207"/>
      <c r="N973" s="207"/>
      <c r="O973" s="207"/>
      <c r="P973" s="207"/>
      <c r="Q973" s="207"/>
      <c r="R973" s="207"/>
      <c r="S973" s="207"/>
      <c r="T973" s="207"/>
      <c r="U973" s="207"/>
      <c r="V973" s="207"/>
      <c r="W973" s="208"/>
      <c r="X973" s="208"/>
      <c r="Y973" s="208"/>
      <c r="Z973" s="208"/>
      <c r="AA973" s="208"/>
      <c r="AB973" s="208"/>
      <c r="AC973" s="208"/>
      <c r="AD973" s="208"/>
      <c r="AE973" s="208"/>
      <c r="AF973" s="208"/>
      <c r="AG973" s="208"/>
      <c r="AH973" s="208"/>
      <c r="AI973" s="100"/>
      <c r="AJ973" s="319"/>
      <c r="AK973" s="319"/>
      <c r="AL973" s="319"/>
      <c r="AM973" s="319"/>
      <c r="AN973" s="319"/>
      <c r="AO973" s="319"/>
      <c r="AP973" s="319"/>
      <c r="AQ973" s="319"/>
      <c r="AR973" s="319"/>
      <c r="AS973" s="319"/>
      <c r="AT973" s="319"/>
      <c r="AU973" s="319"/>
      <c r="AV973" s="319"/>
      <c r="AW973" s="319"/>
      <c r="AX973" s="319"/>
      <c r="AY973" s="319"/>
      <c r="AZ973" s="319"/>
      <c r="BA973" s="319"/>
      <c r="BB973" s="319"/>
      <c r="BC973" s="319"/>
      <c r="BD973" s="319"/>
      <c r="BE973" s="319"/>
      <c r="BF973" s="319"/>
      <c r="BG973" s="319"/>
      <c r="BH973" s="319"/>
      <c r="BI973" s="319"/>
      <c r="BJ973" s="319"/>
      <c r="BK973" s="319"/>
      <c r="BL973" s="319"/>
      <c r="BM973" s="319"/>
      <c r="BN973" s="319"/>
      <c r="BO973" s="319"/>
      <c r="BP973" s="319"/>
      <c r="BQ973" s="319"/>
      <c r="BR973" s="319"/>
    </row>
    <row r="974" ht="14.25" customHeight="1">
      <c r="A974" s="195"/>
      <c r="B974" s="100"/>
      <c r="C974" s="100"/>
      <c r="D974" s="100"/>
      <c r="E974" s="100"/>
      <c r="F974" s="206"/>
      <c r="G974" s="206"/>
      <c r="H974" s="207"/>
      <c r="I974" s="207"/>
      <c r="J974" s="207"/>
      <c r="K974" s="207"/>
      <c r="L974" s="207"/>
      <c r="M974" s="207"/>
      <c r="N974" s="207"/>
      <c r="O974" s="207"/>
      <c r="P974" s="207"/>
      <c r="Q974" s="207"/>
      <c r="R974" s="207"/>
      <c r="S974" s="207"/>
      <c r="T974" s="207"/>
      <c r="U974" s="207"/>
      <c r="V974" s="207"/>
      <c r="W974" s="208"/>
      <c r="X974" s="208"/>
      <c r="Y974" s="208"/>
      <c r="Z974" s="208"/>
      <c r="AA974" s="208"/>
      <c r="AB974" s="208"/>
      <c r="AC974" s="208"/>
      <c r="AD974" s="208"/>
      <c r="AE974" s="208"/>
      <c r="AF974" s="208"/>
      <c r="AG974" s="208"/>
      <c r="AH974" s="208"/>
      <c r="AI974" s="100"/>
      <c r="AJ974" s="319"/>
      <c r="AK974" s="319"/>
      <c r="AL974" s="319"/>
      <c r="AM974" s="319"/>
      <c r="AN974" s="319"/>
      <c r="AO974" s="319"/>
      <c r="AP974" s="319"/>
      <c r="AQ974" s="319"/>
      <c r="AR974" s="319"/>
      <c r="AS974" s="319"/>
      <c r="AT974" s="319"/>
      <c r="AU974" s="319"/>
      <c r="AV974" s="319"/>
      <c r="AW974" s="319"/>
      <c r="AX974" s="319"/>
      <c r="AY974" s="319"/>
      <c r="AZ974" s="319"/>
      <c r="BA974" s="319"/>
      <c r="BB974" s="319"/>
      <c r="BC974" s="319"/>
      <c r="BD974" s="319"/>
      <c r="BE974" s="319"/>
      <c r="BF974" s="319"/>
      <c r="BG974" s="319"/>
      <c r="BH974" s="319"/>
      <c r="BI974" s="319"/>
      <c r="BJ974" s="319"/>
      <c r="BK974" s="319"/>
      <c r="BL974" s="319"/>
      <c r="BM974" s="319"/>
      <c r="BN974" s="319"/>
      <c r="BO974" s="319"/>
      <c r="BP974" s="319"/>
      <c r="BQ974" s="319"/>
      <c r="BR974" s="319"/>
    </row>
    <row r="975" ht="14.25" customHeight="1">
      <c r="A975" s="195"/>
      <c r="B975" s="100"/>
      <c r="C975" s="100"/>
      <c r="D975" s="100"/>
      <c r="E975" s="100"/>
      <c r="F975" s="206"/>
      <c r="G975" s="206"/>
      <c r="H975" s="207"/>
      <c r="I975" s="207"/>
      <c r="J975" s="207"/>
      <c r="K975" s="207"/>
      <c r="L975" s="207"/>
      <c r="M975" s="207"/>
      <c r="N975" s="207"/>
      <c r="O975" s="207"/>
      <c r="P975" s="207"/>
      <c r="Q975" s="207"/>
      <c r="R975" s="207"/>
      <c r="S975" s="207"/>
      <c r="T975" s="207"/>
      <c r="U975" s="207"/>
      <c r="V975" s="207"/>
      <c r="W975" s="208"/>
      <c r="X975" s="208"/>
      <c r="Y975" s="208"/>
      <c r="Z975" s="208"/>
      <c r="AA975" s="208"/>
      <c r="AB975" s="208"/>
      <c r="AC975" s="208"/>
      <c r="AD975" s="208"/>
      <c r="AE975" s="208"/>
      <c r="AF975" s="208"/>
      <c r="AG975" s="208"/>
      <c r="AH975" s="208"/>
      <c r="AI975" s="100"/>
      <c r="AJ975" s="319"/>
      <c r="AK975" s="319"/>
      <c r="AL975" s="319"/>
      <c r="AM975" s="319"/>
      <c r="AN975" s="319"/>
      <c r="AO975" s="319"/>
      <c r="AP975" s="319"/>
      <c r="AQ975" s="319"/>
      <c r="AR975" s="319"/>
      <c r="AS975" s="319"/>
      <c r="AT975" s="319"/>
      <c r="AU975" s="319"/>
      <c r="AV975" s="319"/>
      <c r="AW975" s="319"/>
      <c r="AX975" s="319"/>
      <c r="AY975" s="319"/>
      <c r="AZ975" s="319"/>
      <c r="BA975" s="319"/>
      <c r="BB975" s="319"/>
      <c r="BC975" s="319"/>
      <c r="BD975" s="319"/>
      <c r="BE975" s="319"/>
      <c r="BF975" s="319"/>
      <c r="BG975" s="319"/>
      <c r="BH975" s="319"/>
      <c r="BI975" s="319"/>
      <c r="BJ975" s="319"/>
      <c r="BK975" s="319"/>
      <c r="BL975" s="319"/>
      <c r="BM975" s="319"/>
      <c r="BN975" s="319"/>
      <c r="BO975" s="319"/>
      <c r="BP975" s="319"/>
      <c r="BQ975" s="319"/>
      <c r="BR975" s="319"/>
    </row>
    <row r="976" ht="14.25" customHeight="1">
      <c r="A976" s="195"/>
      <c r="B976" s="100"/>
      <c r="C976" s="100"/>
      <c r="D976" s="100"/>
      <c r="E976" s="100"/>
      <c r="F976" s="206"/>
      <c r="G976" s="206"/>
      <c r="H976" s="207"/>
      <c r="I976" s="207"/>
      <c r="J976" s="207"/>
      <c r="K976" s="207"/>
      <c r="L976" s="207"/>
      <c r="M976" s="207"/>
      <c r="N976" s="207"/>
      <c r="O976" s="207"/>
      <c r="P976" s="207"/>
      <c r="Q976" s="207"/>
      <c r="R976" s="207"/>
      <c r="S976" s="207"/>
      <c r="T976" s="207"/>
      <c r="U976" s="207"/>
      <c r="V976" s="207"/>
      <c r="W976" s="208"/>
      <c r="X976" s="208"/>
      <c r="Y976" s="208"/>
      <c r="Z976" s="208"/>
      <c r="AA976" s="208"/>
      <c r="AB976" s="208"/>
      <c r="AC976" s="208"/>
      <c r="AD976" s="208"/>
      <c r="AE976" s="208"/>
      <c r="AF976" s="208"/>
      <c r="AG976" s="208"/>
      <c r="AH976" s="208"/>
      <c r="AI976" s="100"/>
      <c r="AJ976" s="319"/>
      <c r="AK976" s="319"/>
      <c r="AL976" s="319"/>
      <c r="AM976" s="319"/>
      <c r="AN976" s="319"/>
      <c r="AO976" s="319"/>
      <c r="AP976" s="319"/>
      <c r="AQ976" s="319"/>
      <c r="AR976" s="319"/>
      <c r="AS976" s="319"/>
      <c r="AT976" s="319"/>
      <c r="AU976" s="319"/>
      <c r="AV976" s="319"/>
      <c r="AW976" s="319"/>
      <c r="AX976" s="319"/>
      <c r="AY976" s="319"/>
      <c r="AZ976" s="319"/>
      <c r="BA976" s="319"/>
      <c r="BB976" s="319"/>
      <c r="BC976" s="319"/>
      <c r="BD976" s="319"/>
      <c r="BE976" s="319"/>
      <c r="BF976" s="319"/>
      <c r="BG976" s="319"/>
      <c r="BH976" s="319"/>
      <c r="BI976" s="319"/>
      <c r="BJ976" s="319"/>
      <c r="BK976" s="319"/>
      <c r="BL976" s="319"/>
      <c r="BM976" s="319"/>
      <c r="BN976" s="319"/>
      <c r="BO976" s="319"/>
      <c r="BP976" s="319"/>
      <c r="BQ976" s="319"/>
      <c r="BR976" s="319"/>
    </row>
    <row r="977" ht="14.25" customHeight="1">
      <c r="A977" s="195"/>
      <c r="B977" s="100"/>
      <c r="C977" s="100"/>
      <c r="D977" s="100"/>
      <c r="E977" s="100"/>
      <c r="F977" s="206"/>
      <c r="G977" s="206"/>
      <c r="H977" s="207"/>
      <c r="I977" s="207"/>
      <c r="J977" s="207"/>
      <c r="K977" s="207"/>
      <c r="L977" s="207"/>
      <c r="M977" s="207"/>
      <c r="N977" s="207"/>
      <c r="O977" s="207"/>
      <c r="P977" s="207"/>
      <c r="Q977" s="207"/>
      <c r="R977" s="207"/>
      <c r="S977" s="207"/>
      <c r="T977" s="207"/>
      <c r="U977" s="207"/>
      <c r="V977" s="207"/>
      <c r="W977" s="208"/>
      <c r="X977" s="208"/>
      <c r="Y977" s="208"/>
      <c r="Z977" s="208"/>
      <c r="AA977" s="208"/>
      <c r="AB977" s="208"/>
      <c r="AC977" s="208"/>
      <c r="AD977" s="208"/>
      <c r="AE977" s="208"/>
      <c r="AF977" s="208"/>
      <c r="AG977" s="208"/>
      <c r="AH977" s="208"/>
      <c r="AI977" s="100"/>
      <c r="AJ977" s="319"/>
      <c r="AK977" s="319"/>
      <c r="AL977" s="319"/>
      <c r="AM977" s="319"/>
      <c r="AN977" s="319"/>
      <c r="AO977" s="319"/>
      <c r="AP977" s="319"/>
      <c r="AQ977" s="319"/>
      <c r="AR977" s="319"/>
      <c r="AS977" s="319"/>
      <c r="AT977" s="319"/>
      <c r="AU977" s="319"/>
      <c r="AV977" s="319"/>
      <c r="AW977" s="319"/>
      <c r="AX977" s="319"/>
      <c r="AY977" s="319"/>
      <c r="AZ977" s="319"/>
      <c r="BA977" s="319"/>
      <c r="BB977" s="319"/>
      <c r="BC977" s="319"/>
      <c r="BD977" s="319"/>
      <c r="BE977" s="319"/>
      <c r="BF977" s="319"/>
      <c r="BG977" s="319"/>
      <c r="BH977" s="319"/>
      <c r="BI977" s="319"/>
      <c r="BJ977" s="319"/>
      <c r="BK977" s="319"/>
      <c r="BL977" s="319"/>
      <c r="BM977" s="319"/>
      <c r="BN977" s="319"/>
      <c r="BO977" s="319"/>
      <c r="BP977" s="319"/>
      <c r="BQ977" s="319"/>
      <c r="BR977" s="319"/>
    </row>
    <row r="978" ht="14.25" customHeight="1">
      <c r="A978" s="195"/>
      <c r="B978" s="100"/>
      <c r="C978" s="100"/>
      <c r="D978" s="100"/>
      <c r="E978" s="100"/>
      <c r="F978" s="206"/>
      <c r="G978" s="206"/>
      <c r="H978" s="207"/>
      <c r="I978" s="207"/>
      <c r="J978" s="207"/>
      <c r="K978" s="207"/>
      <c r="L978" s="207"/>
      <c r="M978" s="207"/>
      <c r="N978" s="207"/>
      <c r="O978" s="207"/>
      <c r="P978" s="207"/>
      <c r="Q978" s="207"/>
      <c r="R978" s="207"/>
      <c r="S978" s="207"/>
      <c r="T978" s="207"/>
      <c r="U978" s="207"/>
      <c r="V978" s="207"/>
      <c r="W978" s="208"/>
      <c r="X978" s="208"/>
      <c r="Y978" s="208"/>
      <c r="Z978" s="208"/>
      <c r="AA978" s="208"/>
      <c r="AB978" s="208"/>
      <c r="AC978" s="208"/>
      <c r="AD978" s="208"/>
      <c r="AE978" s="208"/>
      <c r="AF978" s="208"/>
      <c r="AG978" s="208"/>
      <c r="AH978" s="208"/>
      <c r="AI978" s="100"/>
      <c r="AJ978" s="319"/>
      <c r="AK978" s="319"/>
      <c r="AL978" s="319"/>
      <c r="AM978" s="319"/>
      <c r="AN978" s="319"/>
      <c r="AO978" s="319"/>
      <c r="AP978" s="319"/>
      <c r="AQ978" s="319"/>
      <c r="AR978" s="319"/>
      <c r="AS978" s="319"/>
      <c r="AT978" s="319"/>
      <c r="AU978" s="319"/>
      <c r="AV978" s="319"/>
      <c r="AW978" s="319"/>
      <c r="AX978" s="319"/>
      <c r="AY978" s="319"/>
      <c r="AZ978" s="319"/>
      <c r="BA978" s="319"/>
      <c r="BB978" s="319"/>
      <c r="BC978" s="319"/>
      <c r="BD978" s="319"/>
      <c r="BE978" s="319"/>
      <c r="BF978" s="319"/>
      <c r="BG978" s="319"/>
      <c r="BH978" s="319"/>
      <c r="BI978" s="319"/>
      <c r="BJ978" s="319"/>
      <c r="BK978" s="319"/>
      <c r="BL978" s="319"/>
      <c r="BM978" s="319"/>
      <c r="BN978" s="319"/>
      <c r="BO978" s="319"/>
      <c r="BP978" s="319"/>
      <c r="BQ978" s="319"/>
      <c r="BR978" s="319"/>
    </row>
    <row r="979" ht="14.25" customHeight="1">
      <c r="A979" s="195"/>
      <c r="B979" s="100"/>
      <c r="C979" s="100"/>
      <c r="D979" s="100"/>
      <c r="E979" s="100"/>
      <c r="F979" s="206"/>
      <c r="G979" s="206"/>
      <c r="H979" s="207"/>
      <c r="I979" s="207"/>
      <c r="J979" s="207"/>
      <c r="K979" s="207"/>
      <c r="L979" s="207"/>
      <c r="M979" s="207"/>
      <c r="N979" s="207"/>
      <c r="O979" s="207"/>
      <c r="P979" s="207"/>
      <c r="Q979" s="207"/>
      <c r="R979" s="207"/>
      <c r="S979" s="207"/>
      <c r="T979" s="207"/>
      <c r="U979" s="207"/>
      <c r="V979" s="207"/>
      <c r="W979" s="208"/>
      <c r="X979" s="208"/>
      <c r="Y979" s="208"/>
      <c r="Z979" s="208"/>
      <c r="AA979" s="208"/>
      <c r="AB979" s="208"/>
      <c r="AC979" s="208"/>
      <c r="AD979" s="208"/>
      <c r="AE979" s="208"/>
      <c r="AF979" s="208"/>
      <c r="AG979" s="208"/>
      <c r="AH979" s="208"/>
      <c r="AI979" s="100"/>
      <c r="AJ979" s="319"/>
      <c r="AK979" s="319"/>
      <c r="AL979" s="319"/>
      <c r="AM979" s="319"/>
      <c r="AN979" s="319"/>
      <c r="AO979" s="319"/>
      <c r="AP979" s="319"/>
      <c r="AQ979" s="319"/>
      <c r="AR979" s="319"/>
      <c r="AS979" s="319"/>
      <c r="AT979" s="319"/>
      <c r="AU979" s="319"/>
      <c r="AV979" s="319"/>
      <c r="AW979" s="319"/>
      <c r="AX979" s="319"/>
      <c r="AY979" s="319"/>
      <c r="AZ979" s="319"/>
      <c r="BA979" s="319"/>
      <c r="BB979" s="319"/>
      <c r="BC979" s="319"/>
      <c r="BD979" s="319"/>
      <c r="BE979" s="319"/>
      <c r="BF979" s="319"/>
      <c r="BG979" s="319"/>
      <c r="BH979" s="319"/>
      <c r="BI979" s="319"/>
      <c r="BJ979" s="319"/>
      <c r="BK979" s="319"/>
      <c r="BL979" s="319"/>
      <c r="BM979" s="319"/>
      <c r="BN979" s="319"/>
      <c r="BO979" s="319"/>
      <c r="BP979" s="319"/>
      <c r="BQ979" s="319"/>
      <c r="BR979" s="319"/>
    </row>
    <row r="980" ht="14.25" customHeight="1">
      <c r="A980" s="195"/>
      <c r="B980" s="100"/>
      <c r="C980" s="100"/>
      <c r="D980" s="100"/>
      <c r="E980" s="100"/>
      <c r="F980" s="206"/>
      <c r="G980" s="206"/>
      <c r="H980" s="207"/>
      <c r="I980" s="207"/>
      <c r="J980" s="207"/>
      <c r="K980" s="207"/>
      <c r="L980" s="207"/>
      <c r="M980" s="207"/>
      <c r="N980" s="207"/>
      <c r="O980" s="207"/>
      <c r="P980" s="207"/>
      <c r="Q980" s="207"/>
      <c r="R980" s="207"/>
      <c r="S980" s="207"/>
      <c r="T980" s="207"/>
      <c r="U980" s="207"/>
      <c r="V980" s="207"/>
      <c r="W980" s="208"/>
      <c r="X980" s="208"/>
      <c r="Y980" s="208"/>
      <c r="Z980" s="208"/>
      <c r="AA980" s="208"/>
      <c r="AB980" s="208"/>
      <c r="AC980" s="208"/>
      <c r="AD980" s="208"/>
      <c r="AE980" s="208"/>
      <c r="AF980" s="208"/>
      <c r="AG980" s="208"/>
      <c r="AH980" s="208"/>
      <c r="AI980" s="100"/>
      <c r="AJ980" s="319"/>
      <c r="AK980" s="319"/>
      <c r="AL980" s="319"/>
      <c r="AM980" s="319"/>
      <c r="AN980" s="319"/>
      <c r="AO980" s="319"/>
      <c r="AP980" s="319"/>
      <c r="AQ980" s="319"/>
      <c r="AR980" s="319"/>
      <c r="AS980" s="319"/>
      <c r="AT980" s="319"/>
      <c r="AU980" s="319"/>
      <c r="AV980" s="319"/>
      <c r="AW980" s="319"/>
      <c r="AX980" s="319"/>
      <c r="AY980" s="319"/>
      <c r="AZ980" s="319"/>
      <c r="BA980" s="319"/>
      <c r="BB980" s="319"/>
      <c r="BC980" s="319"/>
      <c r="BD980" s="319"/>
      <c r="BE980" s="319"/>
      <c r="BF980" s="319"/>
      <c r="BG980" s="319"/>
      <c r="BH980" s="319"/>
      <c r="BI980" s="319"/>
      <c r="BJ980" s="319"/>
      <c r="BK980" s="319"/>
      <c r="BL980" s="319"/>
      <c r="BM980" s="319"/>
      <c r="BN980" s="319"/>
      <c r="BO980" s="319"/>
      <c r="BP980" s="319"/>
      <c r="BQ980" s="319"/>
      <c r="BR980" s="319"/>
    </row>
    <row r="981" ht="14.25" customHeight="1">
      <c r="A981" s="195"/>
      <c r="B981" s="100"/>
      <c r="C981" s="100"/>
      <c r="D981" s="100"/>
      <c r="E981" s="100"/>
      <c r="F981" s="206"/>
      <c r="G981" s="206"/>
      <c r="H981" s="207"/>
      <c r="I981" s="207"/>
      <c r="J981" s="207"/>
      <c r="K981" s="207"/>
      <c r="L981" s="207"/>
      <c r="M981" s="207"/>
      <c r="N981" s="207"/>
      <c r="O981" s="207"/>
      <c r="P981" s="207"/>
      <c r="Q981" s="207"/>
      <c r="R981" s="207"/>
      <c r="S981" s="207"/>
      <c r="T981" s="207"/>
      <c r="U981" s="207"/>
      <c r="V981" s="207"/>
      <c r="W981" s="208"/>
      <c r="X981" s="208"/>
      <c r="Y981" s="208"/>
      <c r="Z981" s="208"/>
      <c r="AA981" s="208"/>
      <c r="AB981" s="208"/>
      <c r="AC981" s="208"/>
      <c r="AD981" s="208"/>
      <c r="AE981" s="208"/>
      <c r="AF981" s="208"/>
      <c r="AG981" s="208"/>
      <c r="AH981" s="208"/>
      <c r="AI981" s="100"/>
      <c r="AJ981" s="319"/>
      <c r="AK981" s="319"/>
      <c r="AL981" s="319"/>
      <c r="AM981" s="319"/>
      <c r="AN981" s="319"/>
      <c r="AO981" s="319"/>
      <c r="AP981" s="319"/>
      <c r="AQ981" s="319"/>
      <c r="AR981" s="319"/>
      <c r="AS981" s="319"/>
      <c r="AT981" s="319"/>
      <c r="AU981" s="319"/>
      <c r="AV981" s="319"/>
      <c r="AW981" s="319"/>
      <c r="AX981" s="319"/>
      <c r="AY981" s="319"/>
      <c r="AZ981" s="319"/>
      <c r="BA981" s="319"/>
      <c r="BB981" s="319"/>
      <c r="BC981" s="319"/>
      <c r="BD981" s="319"/>
      <c r="BE981" s="319"/>
      <c r="BF981" s="319"/>
      <c r="BG981" s="319"/>
      <c r="BH981" s="319"/>
      <c r="BI981" s="319"/>
      <c r="BJ981" s="319"/>
      <c r="BK981" s="319"/>
      <c r="BL981" s="319"/>
      <c r="BM981" s="319"/>
      <c r="BN981" s="319"/>
      <c r="BO981" s="319"/>
      <c r="BP981" s="319"/>
      <c r="BQ981" s="319"/>
      <c r="BR981" s="319"/>
    </row>
    <row r="982" ht="14.25" customHeight="1">
      <c r="A982" s="195"/>
      <c r="B982" s="100"/>
      <c r="C982" s="100"/>
      <c r="D982" s="100"/>
      <c r="E982" s="100"/>
      <c r="F982" s="206"/>
      <c r="G982" s="206"/>
      <c r="H982" s="207"/>
      <c r="I982" s="207"/>
      <c r="J982" s="207"/>
      <c r="K982" s="207"/>
      <c r="L982" s="207"/>
      <c r="M982" s="207"/>
      <c r="N982" s="207"/>
      <c r="O982" s="207"/>
      <c r="P982" s="207"/>
      <c r="Q982" s="207"/>
      <c r="R982" s="207"/>
      <c r="S982" s="207"/>
      <c r="T982" s="207"/>
      <c r="U982" s="207"/>
      <c r="V982" s="207"/>
      <c r="W982" s="208"/>
      <c r="X982" s="208"/>
      <c r="Y982" s="208"/>
      <c r="Z982" s="208"/>
      <c r="AA982" s="208"/>
      <c r="AB982" s="208"/>
      <c r="AC982" s="208"/>
      <c r="AD982" s="208"/>
      <c r="AE982" s="208"/>
      <c r="AF982" s="208"/>
      <c r="AG982" s="208"/>
      <c r="AH982" s="208"/>
      <c r="AI982" s="100"/>
      <c r="AJ982" s="319"/>
      <c r="AK982" s="319"/>
      <c r="AL982" s="319"/>
      <c r="AM982" s="319"/>
      <c r="AN982" s="319"/>
      <c r="AO982" s="319"/>
      <c r="AP982" s="319"/>
      <c r="AQ982" s="319"/>
      <c r="AR982" s="319"/>
      <c r="AS982" s="319"/>
      <c r="AT982" s="319"/>
      <c r="AU982" s="319"/>
      <c r="AV982" s="319"/>
      <c r="AW982" s="319"/>
      <c r="AX982" s="319"/>
      <c r="AY982" s="319"/>
      <c r="AZ982" s="319"/>
      <c r="BA982" s="319"/>
      <c r="BB982" s="319"/>
      <c r="BC982" s="319"/>
      <c r="BD982" s="319"/>
      <c r="BE982" s="319"/>
      <c r="BF982" s="319"/>
      <c r="BG982" s="319"/>
      <c r="BH982" s="319"/>
      <c r="BI982" s="319"/>
      <c r="BJ982" s="319"/>
      <c r="BK982" s="319"/>
      <c r="BL982" s="319"/>
      <c r="BM982" s="319"/>
      <c r="BN982" s="319"/>
      <c r="BO982" s="319"/>
      <c r="BP982" s="319"/>
      <c r="BQ982" s="319"/>
      <c r="BR982" s="319"/>
    </row>
    <row r="983" ht="14.25" customHeight="1">
      <c r="A983" s="195"/>
      <c r="B983" s="100"/>
      <c r="C983" s="100"/>
      <c r="D983" s="100"/>
      <c r="E983" s="100"/>
      <c r="F983" s="206"/>
      <c r="G983" s="206"/>
      <c r="H983" s="207"/>
      <c r="I983" s="207"/>
      <c r="J983" s="207"/>
      <c r="K983" s="207"/>
      <c r="L983" s="207"/>
      <c r="M983" s="207"/>
      <c r="N983" s="207"/>
      <c r="O983" s="207"/>
      <c r="P983" s="207"/>
      <c r="Q983" s="207"/>
      <c r="R983" s="207"/>
      <c r="S983" s="207"/>
      <c r="T983" s="207"/>
      <c r="U983" s="207"/>
      <c r="V983" s="207"/>
      <c r="W983" s="208"/>
      <c r="X983" s="208"/>
      <c r="Y983" s="208"/>
      <c r="Z983" s="208"/>
      <c r="AA983" s="208"/>
      <c r="AB983" s="208"/>
      <c r="AC983" s="208"/>
      <c r="AD983" s="208"/>
      <c r="AE983" s="208"/>
      <c r="AF983" s="208"/>
      <c r="AG983" s="208"/>
      <c r="AH983" s="208"/>
      <c r="AI983" s="100"/>
      <c r="AJ983" s="319"/>
      <c r="AK983" s="319"/>
      <c r="AL983" s="319"/>
      <c r="AM983" s="319"/>
      <c r="AN983" s="319"/>
      <c r="AO983" s="319"/>
      <c r="AP983" s="319"/>
      <c r="AQ983" s="319"/>
      <c r="AR983" s="319"/>
      <c r="AS983" s="319"/>
      <c r="AT983" s="319"/>
      <c r="AU983" s="319"/>
      <c r="AV983" s="319"/>
      <c r="AW983" s="319"/>
      <c r="AX983" s="319"/>
      <c r="AY983" s="319"/>
      <c r="AZ983" s="319"/>
      <c r="BA983" s="319"/>
      <c r="BB983" s="319"/>
      <c r="BC983" s="319"/>
      <c r="BD983" s="319"/>
      <c r="BE983" s="319"/>
      <c r="BF983" s="319"/>
      <c r="BG983" s="319"/>
      <c r="BH983" s="319"/>
      <c r="BI983" s="319"/>
      <c r="BJ983" s="319"/>
      <c r="BK983" s="319"/>
      <c r="BL983" s="319"/>
      <c r="BM983" s="319"/>
      <c r="BN983" s="319"/>
      <c r="BO983" s="319"/>
      <c r="BP983" s="319"/>
      <c r="BQ983" s="319"/>
      <c r="BR983" s="319"/>
    </row>
    <row r="984" ht="14.25" customHeight="1">
      <c r="A984" s="195"/>
      <c r="B984" s="100"/>
      <c r="C984" s="100"/>
      <c r="D984" s="100"/>
      <c r="E984" s="100"/>
      <c r="F984" s="206"/>
      <c r="G984" s="206"/>
      <c r="H984" s="207"/>
      <c r="I984" s="207"/>
      <c r="J984" s="207"/>
      <c r="K984" s="207"/>
      <c r="L984" s="207"/>
      <c r="M984" s="207"/>
      <c r="N984" s="207"/>
      <c r="O984" s="207"/>
      <c r="P984" s="207"/>
      <c r="Q984" s="207"/>
      <c r="R984" s="207"/>
      <c r="S984" s="207"/>
      <c r="T984" s="207"/>
      <c r="U984" s="207"/>
      <c r="V984" s="207"/>
      <c r="W984" s="208"/>
      <c r="X984" s="208"/>
      <c r="Y984" s="208"/>
      <c r="Z984" s="208"/>
      <c r="AA984" s="208"/>
      <c r="AB984" s="208"/>
      <c r="AC984" s="208"/>
      <c r="AD984" s="208"/>
      <c r="AE984" s="208"/>
      <c r="AF984" s="208"/>
      <c r="AG984" s="208"/>
      <c r="AH984" s="208"/>
      <c r="AI984" s="100"/>
      <c r="AJ984" s="319"/>
      <c r="AK984" s="319"/>
      <c r="AL984" s="319"/>
      <c r="AM984" s="319"/>
      <c r="AN984" s="319"/>
      <c r="AO984" s="319"/>
      <c r="AP984" s="319"/>
      <c r="AQ984" s="319"/>
      <c r="AR984" s="319"/>
      <c r="AS984" s="319"/>
      <c r="AT984" s="319"/>
      <c r="AU984" s="319"/>
      <c r="AV984" s="319"/>
      <c r="AW984" s="319"/>
      <c r="AX984" s="319"/>
      <c r="AY984" s="319"/>
      <c r="AZ984" s="319"/>
      <c r="BA984" s="319"/>
      <c r="BB984" s="319"/>
      <c r="BC984" s="319"/>
      <c r="BD984" s="319"/>
      <c r="BE984" s="319"/>
      <c r="BF984" s="319"/>
      <c r="BG984" s="319"/>
      <c r="BH984" s="319"/>
      <c r="BI984" s="319"/>
      <c r="BJ984" s="319"/>
      <c r="BK984" s="319"/>
      <c r="BL984" s="319"/>
      <c r="BM984" s="319"/>
      <c r="BN984" s="319"/>
      <c r="BO984" s="319"/>
      <c r="BP984" s="319"/>
      <c r="BQ984" s="319"/>
      <c r="BR984" s="319"/>
    </row>
    <row r="985" ht="14.25" customHeight="1">
      <c r="A985" s="195"/>
      <c r="B985" s="100"/>
      <c r="C985" s="100"/>
      <c r="D985" s="100"/>
      <c r="E985" s="100"/>
      <c r="F985" s="206"/>
      <c r="G985" s="206"/>
      <c r="H985" s="207"/>
      <c r="I985" s="207"/>
      <c r="J985" s="207"/>
      <c r="K985" s="207"/>
      <c r="L985" s="207"/>
      <c r="M985" s="207"/>
      <c r="N985" s="207"/>
      <c r="O985" s="207"/>
      <c r="P985" s="207"/>
      <c r="Q985" s="207"/>
      <c r="R985" s="207"/>
      <c r="S985" s="207"/>
      <c r="T985" s="207"/>
      <c r="U985" s="207"/>
      <c r="V985" s="207"/>
      <c r="W985" s="208"/>
      <c r="X985" s="208"/>
      <c r="Y985" s="208"/>
      <c r="Z985" s="208"/>
      <c r="AA985" s="208"/>
      <c r="AB985" s="208"/>
      <c r="AC985" s="208"/>
      <c r="AD985" s="208"/>
      <c r="AE985" s="208"/>
      <c r="AF985" s="208"/>
      <c r="AG985" s="208"/>
      <c r="AH985" s="208"/>
      <c r="AI985" s="100"/>
      <c r="AJ985" s="319"/>
      <c r="AK985" s="319"/>
      <c r="AL985" s="319"/>
      <c r="AM985" s="319"/>
      <c r="AN985" s="319"/>
      <c r="AO985" s="319"/>
      <c r="AP985" s="319"/>
      <c r="AQ985" s="319"/>
      <c r="AR985" s="319"/>
      <c r="AS985" s="319"/>
      <c r="AT985" s="319"/>
      <c r="AU985" s="319"/>
      <c r="AV985" s="319"/>
      <c r="AW985" s="319"/>
      <c r="AX985" s="319"/>
      <c r="AY985" s="319"/>
      <c r="AZ985" s="319"/>
      <c r="BA985" s="319"/>
      <c r="BB985" s="319"/>
      <c r="BC985" s="319"/>
      <c r="BD985" s="319"/>
      <c r="BE985" s="319"/>
      <c r="BF985" s="319"/>
      <c r="BG985" s="319"/>
      <c r="BH985" s="319"/>
      <c r="BI985" s="319"/>
      <c r="BJ985" s="319"/>
      <c r="BK985" s="319"/>
      <c r="BL985" s="319"/>
      <c r="BM985" s="319"/>
      <c r="BN985" s="319"/>
      <c r="BO985" s="319"/>
      <c r="BP985" s="319"/>
      <c r="BQ985" s="319"/>
      <c r="BR985" s="319"/>
    </row>
    <row r="986" ht="14.25" customHeight="1">
      <c r="A986" s="195"/>
      <c r="B986" s="100"/>
      <c r="C986" s="100"/>
      <c r="D986" s="100"/>
      <c r="E986" s="100"/>
      <c r="F986" s="206"/>
      <c r="G986" s="206"/>
      <c r="H986" s="207"/>
      <c r="I986" s="207"/>
      <c r="J986" s="207"/>
      <c r="K986" s="207"/>
      <c r="L986" s="207"/>
      <c r="M986" s="207"/>
      <c r="N986" s="207"/>
      <c r="O986" s="207"/>
      <c r="P986" s="207"/>
      <c r="Q986" s="207"/>
      <c r="R986" s="207"/>
      <c r="S986" s="207"/>
      <c r="T986" s="207"/>
      <c r="U986" s="207"/>
      <c r="V986" s="207"/>
      <c r="W986" s="208"/>
      <c r="X986" s="208"/>
      <c r="Y986" s="208"/>
      <c r="Z986" s="208"/>
      <c r="AA986" s="208"/>
      <c r="AB986" s="208"/>
      <c r="AC986" s="208"/>
      <c r="AD986" s="208"/>
      <c r="AE986" s="208"/>
      <c r="AF986" s="208"/>
      <c r="AG986" s="208"/>
      <c r="AH986" s="208"/>
      <c r="AI986" s="100"/>
      <c r="AJ986" s="319"/>
      <c r="AK986" s="319"/>
      <c r="AL986" s="319"/>
      <c r="AM986" s="319"/>
      <c r="AN986" s="319"/>
      <c r="AO986" s="319"/>
      <c r="AP986" s="319"/>
      <c r="AQ986" s="319"/>
      <c r="AR986" s="319"/>
      <c r="AS986" s="319"/>
      <c r="AT986" s="319"/>
      <c r="AU986" s="319"/>
      <c r="AV986" s="319"/>
      <c r="AW986" s="319"/>
      <c r="AX986" s="319"/>
      <c r="AY986" s="319"/>
      <c r="AZ986" s="319"/>
      <c r="BA986" s="319"/>
      <c r="BB986" s="319"/>
      <c r="BC986" s="319"/>
      <c r="BD986" s="319"/>
      <c r="BE986" s="319"/>
      <c r="BF986" s="319"/>
      <c r="BG986" s="319"/>
      <c r="BH986" s="319"/>
      <c r="BI986" s="319"/>
      <c r="BJ986" s="319"/>
      <c r="BK986" s="319"/>
      <c r="BL986" s="319"/>
      <c r="BM986" s="319"/>
      <c r="BN986" s="319"/>
      <c r="BO986" s="319"/>
      <c r="BP986" s="319"/>
      <c r="BQ986" s="319"/>
      <c r="BR986" s="319"/>
    </row>
    <row r="987" ht="14.25" customHeight="1">
      <c r="A987" s="195"/>
      <c r="B987" s="100"/>
      <c r="C987" s="100"/>
      <c r="D987" s="100"/>
      <c r="E987" s="100"/>
      <c r="F987" s="206"/>
      <c r="G987" s="206"/>
      <c r="H987" s="207"/>
      <c r="I987" s="207"/>
      <c r="J987" s="207"/>
      <c r="K987" s="207"/>
      <c r="L987" s="207"/>
      <c r="M987" s="207"/>
      <c r="N987" s="207"/>
      <c r="O987" s="207"/>
      <c r="P987" s="207"/>
      <c r="Q987" s="207"/>
      <c r="R987" s="207"/>
      <c r="S987" s="207"/>
      <c r="T987" s="207"/>
      <c r="U987" s="207"/>
      <c r="V987" s="207"/>
      <c r="W987" s="208"/>
      <c r="X987" s="208"/>
      <c r="Y987" s="208"/>
      <c r="Z987" s="208"/>
      <c r="AA987" s="208"/>
      <c r="AB987" s="208"/>
      <c r="AC987" s="208"/>
      <c r="AD987" s="208"/>
      <c r="AE987" s="208"/>
      <c r="AF987" s="208"/>
      <c r="AG987" s="208"/>
      <c r="AH987" s="208"/>
      <c r="AI987" s="100"/>
      <c r="AJ987" s="319"/>
      <c r="AK987" s="319"/>
      <c r="AL987" s="319"/>
      <c r="AM987" s="319"/>
      <c r="AN987" s="319"/>
      <c r="AO987" s="319"/>
      <c r="AP987" s="319"/>
      <c r="AQ987" s="319"/>
      <c r="AR987" s="319"/>
      <c r="AS987" s="319"/>
      <c r="AT987" s="319"/>
      <c r="AU987" s="319"/>
      <c r="AV987" s="319"/>
      <c r="AW987" s="319"/>
      <c r="AX987" s="319"/>
      <c r="AY987" s="319"/>
      <c r="AZ987" s="319"/>
      <c r="BA987" s="319"/>
      <c r="BB987" s="319"/>
      <c r="BC987" s="319"/>
      <c r="BD987" s="319"/>
      <c r="BE987" s="319"/>
      <c r="BF987" s="319"/>
      <c r="BG987" s="319"/>
      <c r="BH987" s="319"/>
      <c r="BI987" s="319"/>
      <c r="BJ987" s="319"/>
      <c r="BK987" s="319"/>
      <c r="BL987" s="319"/>
      <c r="BM987" s="319"/>
      <c r="BN987" s="319"/>
      <c r="BO987" s="319"/>
      <c r="BP987" s="319"/>
      <c r="BQ987" s="319"/>
      <c r="BR987" s="319"/>
    </row>
    <row r="988" ht="14.25" customHeight="1">
      <c r="A988" s="195"/>
      <c r="B988" s="100"/>
      <c r="C988" s="100"/>
      <c r="D988" s="100"/>
      <c r="E988" s="100"/>
      <c r="F988" s="206"/>
      <c r="G988" s="206"/>
      <c r="H988" s="207"/>
      <c r="I988" s="207"/>
      <c r="J988" s="207"/>
      <c r="K988" s="207"/>
      <c r="L988" s="207"/>
      <c r="M988" s="207"/>
      <c r="N988" s="207"/>
      <c r="O988" s="207"/>
      <c r="P988" s="207"/>
      <c r="Q988" s="207"/>
      <c r="R988" s="207"/>
      <c r="S988" s="207"/>
      <c r="T988" s="207"/>
      <c r="U988" s="207"/>
      <c r="V988" s="207"/>
      <c r="W988" s="208"/>
      <c r="X988" s="208"/>
      <c r="Y988" s="208"/>
      <c r="Z988" s="208"/>
      <c r="AA988" s="208"/>
      <c r="AB988" s="208"/>
      <c r="AC988" s="208"/>
      <c r="AD988" s="208"/>
      <c r="AE988" s="208"/>
      <c r="AF988" s="208"/>
      <c r="AG988" s="208"/>
      <c r="AH988" s="208"/>
      <c r="AI988" s="100"/>
      <c r="AJ988" s="319"/>
      <c r="AK988" s="319"/>
      <c r="AL988" s="319"/>
      <c r="AM988" s="319"/>
      <c r="AN988" s="319"/>
      <c r="AO988" s="319"/>
      <c r="AP988" s="319"/>
      <c r="AQ988" s="319"/>
      <c r="AR988" s="319"/>
      <c r="AS988" s="319"/>
      <c r="AT988" s="319"/>
      <c r="AU988" s="319"/>
      <c r="AV988" s="319"/>
      <c r="AW988" s="319"/>
      <c r="AX988" s="319"/>
      <c r="AY988" s="319"/>
      <c r="AZ988" s="319"/>
      <c r="BA988" s="319"/>
      <c r="BB988" s="319"/>
      <c r="BC988" s="319"/>
      <c r="BD988" s="319"/>
      <c r="BE988" s="319"/>
      <c r="BF988" s="319"/>
      <c r="BG988" s="319"/>
      <c r="BH988" s="319"/>
      <c r="BI988" s="319"/>
      <c r="BJ988" s="319"/>
      <c r="BK988" s="319"/>
      <c r="BL988" s="319"/>
      <c r="BM988" s="319"/>
      <c r="BN988" s="319"/>
      <c r="BO988" s="319"/>
      <c r="BP988" s="319"/>
      <c r="BQ988" s="319"/>
      <c r="BR988" s="319"/>
    </row>
    <row r="989" ht="14.25" customHeight="1">
      <c r="A989" s="195"/>
      <c r="B989" s="100"/>
      <c r="C989" s="100"/>
      <c r="D989" s="100"/>
      <c r="E989" s="100"/>
      <c r="F989" s="206"/>
      <c r="G989" s="206"/>
      <c r="H989" s="207"/>
      <c r="I989" s="207"/>
      <c r="J989" s="207"/>
      <c r="K989" s="207"/>
      <c r="L989" s="207"/>
      <c r="M989" s="207"/>
      <c r="N989" s="207"/>
      <c r="O989" s="207"/>
      <c r="P989" s="207"/>
      <c r="Q989" s="207"/>
      <c r="R989" s="207"/>
      <c r="S989" s="207"/>
      <c r="T989" s="207"/>
      <c r="U989" s="207"/>
      <c r="V989" s="207"/>
      <c r="W989" s="208"/>
      <c r="X989" s="208"/>
      <c r="Y989" s="208"/>
      <c r="Z989" s="208"/>
      <c r="AA989" s="208"/>
      <c r="AB989" s="208"/>
      <c r="AC989" s="208"/>
      <c r="AD989" s="208"/>
      <c r="AE989" s="208"/>
      <c r="AF989" s="208"/>
      <c r="AG989" s="208"/>
      <c r="AH989" s="208"/>
      <c r="AI989" s="100"/>
      <c r="AJ989" s="319"/>
      <c r="AK989" s="319"/>
      <c r="AL989" s="319"/>
      <c r="AM989" s="319"/>
      <c r="AN989" s="319"/>
      <c r="AO989" s="319"/>
      <c r="AP989" s="319"/>
      <c r="AQ989" s="319"/>
      <c r="AR989" s="319"/>
      <c r="AS989" s="319"/>
      <c r="AT989" s="319"/>
      <c r="AU989" s="319"/>
      <c r="AV989" s="319"/>
      <c r="AW989" s="319"/>
      <c r="AX989" s="319"/>
      <c r="AY989" s="319"/>
      <c r="AZ989" s="319"/>
      <c r="BA989" s="319"/>
      <c r="BB989" s="319"/>
      <c r="BC989" s="319"/>
      <c r="BD989" s="319"/>
      <c r="BE989" s="319"/>
      <c r="BF989" s="319"/>
      <c r="BG989" s="319"/>
      <c r="BH989" s="319"/>
      <c r="BI989" s="319"/>
      <c r="BJ989" s="319"/>
      <c r="BK989" s="319"/>
      <c r="BL989" s="319"/>
      <c r="BM989" s="319"/>
      <c r="BN989" s="319"/>
      <c r="BO989" s="319"/>
      <c r="BP989" s="319"/>
      <c r="BQ989" s="319"/>
      <c r="BR989" s="319"/>
    </row>
    <row r="990" ht="14.25" customHeight="1">
      <c r="A990" s="195"/>
      <c r="B990" s="100"/>
      <c r="C990" s="100"/>
      <c r="D990" s="100"/>
      <c r="E990" s="100"/>
      <c r="F990" s="206"/>
      <c r="G990" s="206"/>
      <c r="H990" s="207"/>
      <c r="I990" s="207"/>
      <c r="J990" s="207"/>
      <c r="K990" s="207"/>
      <c r="L990" s="207"/>
      <c r="M990" s="207"/>
      <c r="N990" s="207"/>
      <c r="O990" s="207"/>
      <c r="P990" s="207"/>
      <c r="Q990" s="207"/>
      <c r="R990" s="207"/>
      <c r="S990" s="207"/>
      <c r="T990" s="207"/>
      <c r="U990" s="207"/>
      <c r="V990" s="207"/>
      <c r="W990" s="208"/>
      <c r="X990" s="208"/>
      <c r="Y990" s="208"/>
      <c r="Z990" s="208"/>
      <c r="AA990" s="208"/>
      <c r="AB990" s="208"/>
      <c r="AC990" s="208"/>
      <c r="AD990" s="208"/>
      <c r="AE990" s="208"/>
      <c r="AF990" s="208"/>
      <c r="AG990" s="208"/>
      <c r="AH990" s="208"/>
      <c r="AI990" s="100"/>
      <c r="AJ990" s="319"/>
      <c r="AK990" s="319"/>
      <c r="AL990" s="319"/>
      <c r="AM990" s="319"/>
      <c r="AN990" s="319"/>
      <c r="AO990" s="319"/>
      <c r="AP990" s="319"/>
      <c r="AQ990" s="319"/>
      <c r="AR990" s="319"/>
      <c r="AS990" s="319"/>
      <c r="AT990" s="319"/>
      <c r="AU990" s="319"/>
      <c r="AV990" s="319"/>
      <c r="AW990" s="319"/>
      <c r="AX990" s="319"/>
      <c r="AY990" s="319"/>
      <c r="AZ990" s="319"/>
      <c r="BA990" s="319"/>
      <c r="BB990" s="319"/>
      <c r="BC990" s="319"/>
      <c r="BD990" s="319"/>
      <c r="BE990" s="319"/>
      <c r="BF990" s="319"/>
      <c r="BG990" s="319"/>
      <c r="BH990" s="319"/>
      <c r="BI990" s="319"/>
      <c r="BJ990" s="319"/>
      <c r="BK990" s="319"/>
      <c r="BL990" s="319"/>
      <c r="BM990" s="319"/>
      <c r="BN990" s="319"/>
      <c r="BO990" s="319"/>
      <c r="BP990" s="319"/>
      <c r="BQ990" s="319"/>
      <c r="BR990" s="319"/>
    </row>
    <row r="991" ht="14.25" customHeight="1">
      <c r="A991" s="195"/>
      <c r="B991" s="100"/>
      <c r="C991" s="100"/>
      <c r="D991" s="100"/>
      <c r="E991" s="100"/>
      <c r="F991" s="206"/>
      <c r="G991" s="206"/>
      <c r="H991" s="207"/>
      <c r="I991" s="207"/>
      <c r="J991" s="207"/>
      <c r="K991" s="207"/>
      <c r="L991" s="207"/>
      <c r="M991" s="207"/>
      <c r="N991" s="207"/>
      <c r="O991" s="207"/>
      <c r="P991" s="207"/>
      <c r="Q991" s="207"/>
      <c r="R991" s="207"/>
      <c r="S991" s="207"/>
      <c r="T991" s="207"/>
      <c r="U991" s="207"/>
      <c r="V991" s="207"/>
      <c r="W991" s="208"/>
      <c r="X991" s="208"/>
      <c r="Y991" s="208"/>
      <c r="Z991" s="208"/>
      <c r="AA991" s="208"/>
      <c r="AB991" s="208"/>
      <c r="AC991" s="208"/>
      <c r="AD991" s="208"/>
      <c r="AE991" s="208"/>
      <c r="AF991" s="208"/>
      <c r="AG991" s="208"/>
      <c r="AH991" s="208"/>
      <c r="AI991" s="100"/>
      <c r="AJ991" s="319"/>
      <c r="AK991" s="319"/>
      <c r="AL991" s="319"/>
      <c r="AM991" s="319"/>
      <c r="AN991" s="319"/>
      <c r="AO991" s="319"/>
      <c r="AP991" s="319"/>
      <c r="AQ991" s="319"/>
      <c r="AR991" s="319"/>
      <c r="AS991" s="319"/>
      <c r="AT991" s="319"/>
      <c r="AU991" s="319"/>
      <c r="AV991" s="319"/>
      <c r="AW991" s="319"/>
      <c r="AX991" s="319"/>
      <c r="AY991" s="319"/>
      <c r="AZ991" s="319"/>
      <c r="BA991" s="319"/>
      <c r="BB991" s="319"/>
      <c r="BC991" s="319"/>
      <c r="BD991" s="319"/>
      <c r="BE991" s="319"/>
      <c r="BF991" s="319"/>
      <c r="BG991" s="319"/>
      <c r="BH991" s="319"/>
      <c r="BI991" s="319"/>
      <c r="BJ991" s="319"/>
      <c r="BK991" s="319"/>
      <c r="BL991" s="319"/>
      <c r="BM991" s="319"/>
      <c r="BN991" s="319"/>
      <c r="BO991" s="319"/>
      <c r="BP991" s="319"/>
      <c r="BQ991" s="319"/>
      <c r="BR991" s="319"/>
    </row>
    <row r="992" ht="14.25" customHeight="1">
      <c r="A992" s="195"/>
      <c r="B992" s="100"/>
      <c r="C992" s="100"/>
      <c r="D992" s="100"/>
      <c r="E992" s="100"/>
      <c r="F992" s="206"/>
      <c r="G992" s="206"/>
      <c r="H992" s="207"/>
      <c r="I992" s="207"/>
      <c r="J992" s="207"/>
      <c r="K992" s="207"/>
      <c r="L992" s="207"/>
      <c r="M992" s="207"/>
      <c r="N992" s="207"/>
      <c r="O992" s="207"/>
      <c r="P992" s="207"/>
      <c r="Q992" s="207"/>
      <c r="R992" s="207"/>
      <c r="S992" s="207"/>
      <c r="T992" s="207"/>
      <c r="U992" s="207"/>
      <c r="V992" s="207"/>
      <c r="W992" s="208"/>
      <c r="X992" s="208"/>
      <c r="Y992" s="208"/>
      <c r="Z992" s="208"/>
      <c r="AA992" s="208"/>
      <c r="AB992" s="208"/>
      <c r="AC992" s="208"/>
      <c r="AD992" s="208"/>
      <c r="AE992" s="208"/>
      <c r="AF992" s="208"/>
      <c r="AG992" s="208"/>
      <c r="AH992" s="208"/>
      <c r="AI992" s="100"/>
      <c r="AJ992" s="319"/>
      <c r="AK992" s="319"/>
      <c r="AL992" s="319"/>
      <c r="AM992" s="319"/>
      <c r="AN992" s="319"/>
      <c r="AO992" s="319"/>
      <c r="AP992" s="319"/>
      <c r="AQ992" s="319"/>
      <c r="AR992" s="319"/>
      <c r="AS992" s="319"/>
      <c r="AT992" s="319"/>
      <c r="AU992" s="319"/>
      <c r="AV992" s="319"/>
      <c r="AW992" s="319"/>
      <c r="AX992" s="319"/>
      <c r="AY992" s="319"/>
      <c r="AZ992" s="319"/>
      <c r="BA992" s="319"/>
      <c r="BB992" s="319"/>
      <c r="BC992" s="319"/>
      <c r="BD992" s="319"/>
      <c r="BE992" s="319"/>
      <c r="BF992" s="319"/>
      <c r="BG992" s="319"/>
      <c r="BH992" s="319"/>
      <c r="BI992" s="319"/>
      <c r="BJ992" s="319"/>
      <c r="BK992" s="319"/>
      <c r="BL992" s="319"/>
      <c r="BM992" s="319"/>
      <c r="BN992" s="319"/>
      <c r="BO992" s="319"/>
      <c r="BP992" s="319"/>
      <c r="BQ992" s="319"/>
      <c r="BR992" s="319"/>
    </row>
    <row r="993" ht="14.25" customHeight="1">
      <c r="A993" s="195"/>
      <c r="B993" s="100"/>
      <c r="C993" s="100"/>
      <c r="D993" s="100"/>
      <c r="E993" s="100"/>
      <c r="F993" s="206"/>
      <c r="G993" s="206"/>
      <c r="H993" s="207"/>
      <c r="I993" s="207"/>
      <c r="J993" s="207"/>
      <c r="K993" s="207"/>
      <c r="L993" s="207"/>
      <c r="M993" s="207"/>
      <c r="N993" s="207"/>
      <c r="O993" s="207"/>
      <c r="P993" s="207"/>
      <c r="Q993" s="207"/>
      <c r="R993" s="207"/>
      <c r="S993" s="207"/>
      <c r="T993" s="207"/>
      <c r="U993" s="207"/>
      <c r="V993" s="207"/>
      <c r="W993" s="208"/>
      <c r="X993" s="208"/>
      <c r="Y993" s="208"/>
      <c r="Z993" s="208"/>
      <c r="AA993" s="208"/>
      <c r="AB993" s="208"/>
      <c r="AC993" s="208"/>
      <c r="AD993" s="208"/>
      <c r="AE993" s="208"/>
      <c r="AF993" s="208"/>
      <c r="AG993" s="208"/>
      <c r="AH993" s="208"/>
      <c r="AI993" s="100"/>
      <c r="AJ993" s="319"/>
      <c r="AK993" s="319"/>
      <c r="AL993" s="319"/>
      <c r="AM993" s="319"/>
      <c r="AN993" s="319"/>
      <c r="AO993" s="319"/>
      <c r="AP993" s="319"/>
      <c r="AQ993" s="319"/>
      <c r="AR993" s="319"/>
      <c r="AS993" s="319"/>
      <c r="AT993" s="319"/>
      <c r="AU993" s="319"/>
      <c r="AV993" s="319"/>
      <c r="AW993" s="319"/>
      <c r="AX993" s="319"/>
      <c r="AY993" s="319"/>
      <c r="AZ993" s="319"/>
      <c r="BA993" s="319"/>
      <c r="BB993" s="319"/>
      <c r="BC993" s="319"/>
      <c r="BD993" s="319"/>
      <c r="BE993" s="319"/>
      <c r="BF993" s="319"/>
      <c r="BG993" s="319"/>
      <c r="BH993" s="319"/>
      <c r="BI993" s="319"/>
      <c r="BJ993" s="319"/>
      <c r="BK993" s="319"/>
      <c r="BL993" s="319"/>
      <c r="BM993" s="319"/>
      <c r="BN993" s="319"/>
      <c r="BO993" s="319"/>
      <c r="BP993" s="319"/>
      <c r="BQ993" s="319"/>
      <c r="BR993" s="319"/>
    </row>
    <row r="994" ht="14.25" customHeight="1">
      <c r="A994" s="195"/>
      <c r="B994" s="100"/>
      <c r="C994" s="100"/>
      <c r="D994" s="100"/>
      <c r="E994" s="100"/>
      <c r="F994" s="206"/>
      <c r="G994" s="206"/>
      <c r="H994" s="207"/>
      <c r="I994" s="207"/>
      <c r="J994" s="207"/>
      <c r="K994" s="207"/>
      <c r="L994" s="207"/>
      <c r="M994" s="207"/>
      <c r="N994" s="207"/>
      <c r="O994" s="207"/>
      <c r="P994" s="207"/>
      <c r="Q994" s="207"/>
      <c r="R994" s="207"/>
      <c r="S994" s="207"/>
      <c r="T994" s="207"/>
      <c r="U994" s="207"/>
      <c r="V994" s="207"/>
      <c r="W994" s="208"/>
      <c r="X994" s="208"/>
      <c r="Y994" s="208"/>
      <c r="Z994" s="208"/>
      <c r="AA994" s="208"/>
      <c r="AB994" s="208"/>
      <c r="AC994" s="208"/>
      <c r="AD994" s="208"/>
      <c r="AE994" s="208"/>
      <c r="AF994" s="208"/>
      <c r="AG994" s="208"/>
      <c r="AH994" s="208"/>
      <c r="AI994" s="100"/>
      <c r="AJ994" s="319"/>
      <c r="AK994" s="319"/>
      <c r="AL994" s="319"/>
      <c r="AM994" s="319"/>
      <c r="AN994" s="319"/>
      <c r="AO994" s="319"/>
      <c r="AP994" s="319"/>
      <c r="AQ994" s="319"/>
      <c r="AR994" s="319"/>
      <c r="AS994" s="319"/>
      <c r="AT994" s="319"/>
      <c r="AU994" s="319"/>
      <c r="AV994" s="319"/>
      <c r="AW994" s="319"/>
      <c r="AX994" s="319"/>
      <c r="AY994" s="319"/>
      <c r="AZ994" s="319"/>
      <c r="BA994" s="319"/>
      <c r="BB994" s="319"/>
      <c r="BC994" s="319"/>
      <c r="BD994" s="319"/>
      <c r="BE994" s="319"/>
      <c r="BF994" s="319"/>
      <c r="BG994" s="319"/>
      <c r="BH994" s="319"/>
      <c r="BI994" s="319"/>
      <c r="BJ994" s="319"/>
      <c r="BK994" s="319"/>
      <c r="BL994" s="319"/>
      <c r="BM994" s="319"/>
      <c r="BN994" s="319"/>
      <c r="BO994" s="319"/>
      <c r="BP994" s="319"/>
      <c r="BQ994" s="319"/>
      <c r="BR994" s="319"/>
    </row>
    <row r="995" ht="14.25" customHeight="1">
      <c r="A995" s="195"/>
      <c r="B995" s="100"/>
      <c r="C995" s="100"/>
      <c r="D995" s="100"/>
      <c r="E995" s="100"/>
      <c r="F995" s="206"/>
      <c r="G995" s="206"/>
      <c r="H995" s="207"/>
      <c r="I995" s="207"/>
      <c r="J995" s="207"/>
      <c r="K995" s="207"/>
      <c r="L995" s="207"/>
      <c r="M995" s="207"/>
      <c r="N995" s="207"/>
      <c r="O995" s="207"/>
      <c r="P995" s="207"/>
      <c r="Q995" s="207"/>
      <c r="R995" s="207"/>
      <c r="S995" s="207"/>
      <c r="T995" s="207"/>
      <c r="U995" s="207"/>
      <c r="V995" s="207"/>
      <c r="W995" s="208"/>
      <c r="X995" s="208"/>
      <c r="Y995" s="208"/>
      <c r="Z995" s="208"/>
      <c r="AA995" s="208"/>
      <c r="AB995" s="208"/>
      <c r="AC995" s="208"/>
      <c r="AD995" s="208"/>
      <c r="AE995" s="208"/>
      <c r="AF995" s="208"/>
      <c r="AG995" s="208"/>
      <c r="AH995" s="208"/>
      <c r="AI995" s="100"/>
      <c r="AJ995" s="319"/>
      <c r="AK995" s="319"/>
      <c r="AL995" s="319"/>
      <c r="AM995" s="319"/>
      <c r="AN995" s="319"/>
      <c r="AO995" s="319"/>
      <c r="AP995" s="319"/>
      <c r="AQ995" s="319"/>
      <c r="AR995" s="319"/>
      <c r="AS995" s="319"/>
      <c r="AT995" s="319"/>
      <c r="AU995" s="319"/>
      <c r="AV995" s="319"/>
      <c r="AW995" s="319"/>
      <c r="AX995" s="319"/>
      <c r="AY995" s="319"/>
      <c r="AZ995" s="319"/>
      <c r="BA995" s="319"/>
      <c r="BB995" s="319"/>
      <c r="BC995" s="319"/>
      <c r="BD995" s="319"/>
      <c r="BE995" s="319"/>
      <c r="BF995" s="319"/>
      <c r="BG995" s="319"/>
      <c r="BH995" s="319"/>
      <c r="BI995" s="319"/>
      <c r="BJ995" s="319"/>
      <c r="BK995" s="319"/>
      <c r="BL995" s="319"/>
      <c r="BM995" s="319"/>
      <c r="BN995" s="319"/>
      <c r="BO995" s="319"/>
      <c r="BP995" s="319"/>
      <c r="BQ995" s="319"/>
      <c r="BR995" s="319"/>
    </row>
    <row r="996" ht="14.25" customHeight="1">
      <c r="A996" s="195"/>
      <c r="B996" s="100"/>
      <c r="C996" s="100"/>
      <c r="D996" s="100"/>
      <c r="E996" s="100"/>
      <c r="F996" s="206"/>
      <c r="G996" s="206"/>
      <c r="H996" s="207"/>
      <c r="I996" s="207"/>
      <c r="J996" s="207"/>
      <c r="K996" s="207"/>
      <c r="L996" s="207"/>
      <c r="M996" s="207"/>
      <c r="N996" s="207"/>
      <c r="O996" s="207"/>
      <c r="P996" s="207"/>
      <c r="Q996" s="207"/>
      <c r="R996" s="207"/>
      <c r="S996" s="207"/>
      <c r="T996" s="207"/>
      <c r="U996" s="207"/>
      <c r="V996" s="207"/>
      <c r="W996" s="208"/>
      <c r="X996" s="208"/>
      <c r="Y996" s="208"/>
      <c r="Z996" s="208"/>
      <c r="AA996" s="208"/>
      <c r="AB996" s="208"/>
      <c r="AC996" s="208"/>
      <c r="AD996" s="208"/>
      <c r="AE996" s="208"/>
      <c r="AF996" s="208"/>
      <c r="AG996" s="208"/>
      <c r="AH996" s="208"/>
      <c r="AI996" s="100"/>
      <c r="AJ996" s="319"/>
      <c r="AK996" s="319"/>
      <c r="AL996" s="319"/>
      <c r="AM996" s="319"/>
      <c r="AN996" s="319"/>
      <c r="AO996" s="319"/>
      <c r="AP996" s="319"/>
      <c r="AQ996" s="319"/>
      <c r="AR996" s="319"/>
      <c r="AS996" s="319"/>
      <c r="AT996" s="319"/>
      <c r="AU996" s="319"/>
      <c r="AV996" s="319"/>
      <c r="AW996" s="319"/>
      <c r="AX996" s="319"/>
      <c r="AY996" s="319"/>
      <c r="AZ996" s="319"/>
      <c r="BA996" s="319"/>
      <c r="BB996" s="319"/>
      <c r="BC996" s="319"/>
      <c r="BD996" s="319"/>
      <c r="BE996" s="319"/>
      <c r="BF996" s="319"/>
      <c r="BG996" s="319"/>
      <c r="BH996" s="319"/>
      <c r="BI996" s="319"/>
      <c r="BJ996" s="319"/>
      <c r="BK996" s="319"/>
      <c r="BL996" s="319"/>
      <c r="BM996" s="319"/>
      <c r="BN996" s="319"/>
      <c r="BO996" s="319"/>
      <c r="BP996" s="319"/>
      <c r="BQ996" s="319"/>
      <c r="BR996" s="319"/>
    </row>
    <row r="997" ht="14.25" customHeight="1">
      <c r="A997" s="195"/>
      <c r="B997" s="100"/>
      <c r="C997" s="100"/>
      <c r="D997" s="100"/>
      <c r="E997" s="100"/>
      <c r="F997" s="206"/>
      <c r="G997" s="206"/>
      <c r="H997" s="207"/>
      <c r="I997" s="207"/>
      <c r="J997" s="207"/>
      <c r="K997" s="207"/>
      <c r="L997" s="207"/>
      <c r="M997" s="207"/>
      <c r="N997" s="207"/>
      <c r="O997" s="207"/>
      <c r="P997" s="207"/>
      <c r="Q997" s="207"/>
      <c r="R997" s="207"/>
      <c r="S997" s="207"/>
      <c r="T997" s="207"/>
      <c r="U997" s="207"/>
      <c r="V997" s="207"/>
      <c r="W997" s="208"/>
      <c r="X997" s="208"/>
      <c r="Y997" s="208"/>
      <c r="Z997" s="208"/>
      <c r="AA997" s="208"/>
      <c r="AB997" s="208"/>
      <c r="AC997" s="208"/>
      <c r="AD997" s="208"/>
      <c r="AE997" s="208"/>
      <c r="AF997" s="208"/>
      <c r="AG997" s="208"/>
      <c r="AH997" s="208"/>
      <c r="AI997" s="100"/>
      <c r="AJ997" s="319"/>
      <c r="AK997" s="319"/>
      <c r="AL997" s="319"/>
      <c r="AM997" s="319"/>
      <c r="AN997" s="319"/>
      <c r="AO997" s="319"/>
      <c r="AP997" s="319"/>
      <c r="AQ997" s="319"/>
      <c r="AR997" s="319"/>
      <c r="AS997" s="319"/>
      <c r="AT997" s="319"/>
      <c r="AU997" s="319"/>
      <c r="AV997" s="319"/>
      <c r="AW997" s="319"/>
      <c r="AX997" s="319"/>
      <c r="AY997" s="319"/>
      <c r="AZ997" s="319"/>
      <c r="BA997" s="319"/>
      <c r="BB997" s="319"/>
      <c r="BC997" s="319"/>
      <c r="BD997" s="319"/>
      <c r="BE997" s="319"/>
      <c r="BF997" s="319"/>
      <c r="BG997" s="319"/>
      <c r="BH997" s="319"/>
      <c r="BI997" s="319"/>
      <c r="BJ997" s="319"/>
      <c r="BK997" s="319"/>
      <c r="BL997" s="319"/>
      <c r="BM997" s="319"/>
      <c r="BN997" s="319"/>
      <c r="BO997" s="319"/>
      <c r="BP997" s="319"/>
      <c r="BQ997" s="319"/>
      <c r="BR997" s="319"/>
    </row>
    <row r="998" ht="14.25" customHeight="1">
      <c r="A998" s="195"/>
      <c r="B998" s="100"/>
      <c r="C998" s="100"/>
      <c r="D998" s="100"/>
      <c r="E998" s="100"/>
      <c r="F998" s="206"/>
      <c r="G998" s="206"/>
      <c r="H998" s="207"/>
      <c r="I998" s="207"/>
      <c r="J998" s="207"/>
      <c r="K998" s="207"/>
      <c r="L998" s="207"/>
      <c r="M998" s="207"/>
      <c r="N998" s="207"/>
      <c r="O998" s="207"/>
      <c r="P998" s="207"/>
      <c r="Q998" s="207"/>
      <c r="R998" s="207"/>
      <c r="S998" s="207"/>
      <c r="T998" s="207"/>
      <c r="U998" s="207"/>
      <c r="V998" s="207"/>
      <c r="W998" s="208"/>
      <c r="X998" s="208"/>
      <c r="Y998" s="208"/>
      <c r="Z998" s="208"/>
      <c r="AA998" s="208"/>
      <c r="AB998" s="208"/>
      <c r="AC998" s="208"/>
      <c r="AD998" s="208"/>
      <c r="AE998" s="208"/>
      <c r="AF998" s="208"/>
      <c r="AG998" s="208"/>
      <c r="AH998" s="208"/>
      <c r="AI998" s="100"/>
      <c r="AJ998" s="319"/>
      <c r="AK998" s="319"/>
      <c r="AL998" s="319"/>
      <c r="AM998" s="319"/>
      <c r="AN998" s="319"/>
      <c r="AO998" s="319"/>
      <c r="AP998" s="319"/>
      <c r="AQ998" s="319"/>
      <c r="AR998" s="319"/>
      <c r="AS998" s="319"/>
      <c r="AT998" s="319"/>
      <c r="AU998" s="319"/>
      <c r="AV998" s="319"/>
      <c r="AW998" s="319"/>
      <c r="AX998" s="319"/>
      <c r="AY998" s="319"/>
      <c r="AZ998" s="319"/>
      <c r="BA998" s="319"/>
      <c r="BB998" s="319"/>
      <c r="BC998" s="319"/>
      <c r="BD998" s="319"/>
      <c r="BE998" s="319"/>
      <c r="BF998" s="319"/>
      <c r="BG998" s="319"/>
      <c r="BH998" s="319"/>
      <c r="BI998" s="319"/>
      <c r="BJ998" s="319"/>
      <c r="BK998" s="319"/>
      <c r="BL998" s="319"/>
      <c r="BM998" s="319"/>
      <c r="BN998" s="319"/>
      <c r="BO998" s="319"/>
      <c r="BP998" s="319"/>
      <c r="BQ998" s="319"/>
      <c r="BR998" s="319"/>
    </row>
    <row r="999" ht="14.25" customHeight="1">
      <c r="A999" s="195"/>
      <c r="B999" s="100"/>
      <c r="C999" s="100"/>
      <c r="D999" s="100"/>
      <c r="E999" s="100"/>
      <c r="F999" s="206"/>
      <c r="G999" s="206"/>
      <c r="H999" s="207"/>
      <c r="I999" s="207"/>
      <c r="J999" s="207"/>
      <c r="K999" s="207"/>
      <c r="L999" s="207"/>
      <c r="M999" s="207"/>
      <c r="N999" s="207"/>
      <c r="O999" s="207"/>
      <c r="P999" s="207"/>
      <c r="Q999" s="207"/>
      <c r="R999" s="207"/>
      <c r="S999" s="207"/>
      <c r="T999" s="207"/>
      <c r="U999" s="207"/>
      <c r="V999" s="207"/>
      <c r="W999" s="208"/>
      <c r="X999" s="208"/>
      <c r="Y999" s="208"/>
      <c r="Z999" s="208"/>
      <c r="AA999" s="208"/>
      <c r="AB999" s="208"/>
      <c r="AC999" s="208"/>
      <c r="AD999" s="208"/>
      <c r="AE999" s="208"/>
      <c r="AF999" s="208"/>
      <c r="AG999" s="208"/>
      <c r="AH999" s="208"/>
      <c r="AI999" s="100"/>
      <c r="AJ999" s="319"/>
      <c r="AK999" s="319"/>
      <c r="AL999" s="319"/>
      <c r="AM999" s="319"/>
      <c r="AN999" s="319"/>
      <c r="AO999" s="319"/>
      <c r="AP999" s="319"/>
      <c r="AQ999" s="319"/>
      <c r="AR999" s="319"/>
      <c r="AS999" s="319"/>
      <c r="AT999" s="319"/>
      <c r="AU999" s="319"/>
      <c r="AV999" s="319"/>
      <c r="AW999" s="319"/>
      <c r="AX999" s="319"/>
      <c r="AY999" s="319"/>
      <c r="AZ999" s="319"/>
      <c r="BA999" s="319"/>
      <c r="BB999" s="319"/>
      <c r="BC999" s="319"/>
      <c r="BD999" s="319"/>
      <c r="BE999" s="319"/>
      <c r="BF999" s="319"/>
      <c r="BG999" s="319"/>
      <c r="BH999" s="319"/>
      <c r="BI999" s="319"/>
      <c r="BJ999" s="319"/>
      <c r="BK999" s="319"/>
      <c r="BL999" s="319"/>
      <c r="BM999" s="319"/>
      <c r="BN999" s="319"/>
      <c r="BO999" s="319"/>
      <c r="BP999" s="319"/>
      <c r="BQ999" s="319"/>
      <c r="BR999" s="319"/>
    </row>
    <row r="1000" ht="14.25" customHeight="1">
      <c r="A1000" s="195"/>
      <c r="B1000" s="100"/>
      <c r="C1000" s="100"/>
      <c r="D1000" s="100"/>
      <c r="E1000" s="100"/>
      <c r="F1000" s="206"/>
      <c r="G1000" s="206"/>
      <c r="H1000" s="207"/>
      <c r="I1000" s="207"/>
      <c r="J1000" s="207"/>
      <c r="K1000" s="207"/>
      <c r="L1000" s="207"/>
      <c r="M1000" s="207"/>
      <c r="N1000" s="207"/>
      <c r="O1000" s="207"/>
      <c r="P1000" s="207"/>
      <c r="Q1000" s="207"/>
      <c r="R1000" s="207"/>
      <c r="S1000" s="207"/>
      <c r="T1000" s="207"/>
      <c r="U1000" s="207"/>
      <c r="V1000" s="207"/>
      <c r="W1000" s="208"/>
      <c r="X1000" s="208"/>
      <c r="Y1000" s="208"/>
      <c r="Z1000" s="208"/>
      <c r="AA1000" s="208"/>
      <c r="AB1000" s="208"/>
      <c r="AC1000" s="208"/>
      <c r="AD1000" s="208"/>
      <c r="AE1000" s="208"/>
      <c r="AF1000" s="208"/>
      <c r="AG1000" s="208"/>
      <c r="AH1000" s="208"/>
      <c r="AI1000" s="100"/>
      <c r="AJ1000" s="319"/>
      <c r="AK1000" s="319"/>
      <c r="AL1000" s="319"/>
      <c r="AM1000" s="319"/>
      <c r="AN1000" s="319"/>
      <c r="AO1000" s="319"/>
      <c r="AP1000" s="319"/>
      <c r="AQ1000" s="319"/>
      <c r="AR1000" s="319"/>
      <c r="AS1000" s="319"/>
      <c r="AT1000" s="319"/>
      <c r="AU1000" s="319"/>
      <c r="AV1000" s="319"/>
      <c r="AW1000" s="319"/>
      <c r="AX1000" s="319"/>
      <c r="AY1000" s="319"/>
      <c r="AZ1000" s="319"/>
      <c r="BA1000" s="319"/>
      <c r="BB1000" s="319"/>
      <c r="BC1000" s="319"/>
      <c r="BD1000" s="319"/>
      <c r="BE1000" s="319"/>
      <c r="BF1000" s="319"/>
      <c r="BG1000" s="319"/>
      <c r="BH1000" s="319"/>
      <c r="BI1000" s="319"/>
      <c r="BJ1000" s="319"/>
      <c r="BK1000" s="319"/>
      <c r="BL1000" s="319"/>
      <c r="BM1000" s="319"/>
      <c r="BN1000" s="319"/>
      <c r="BO1000" s="319"/>
      <c r="BP1000" s="319"/>
      <c r="BQ1000" s="319"/>
      <c r="BR1000" s="319"/>
    </row>
  </sheetData>
  <mergeCells count="1">
    <mergeCell ref="A1:E1"/>
  </mergeCells>
  <conditionalFormatting sqref="A26 A27:V28 A29 C26:BR26 C29:V29 AB27:BR31">
    <cfRule type="expression" dxfId="0" priority="1">
      <formula>NOT(ISERROR(SEARCH("warning",A26)))</formula>
    </cfRule>
  </conditionalFormatting>
  <conditionalFormatting sqref="A30:V30 A31:W31">
    <cfRule type="expression" dxfId="0" priority="2">
      <formula>NOT(ISERROR(SEARCH("warning",A30)))</formula>
    </cfRule>
  </conditionalFormatting>
  <conditionalFormatting sqref="A32:V35 AB33:BR35">
    <cfRule type="expression" dxfId="0" priority="3">
      <formula>NOT(ISERROR(SEARCH("warning",A32)))</formula>
    </cfRule>
  </conditionalFormatting>
  <conditionalFormatting sqref="A1:BR24 A36:BR144 A156:BR1000 E25:BR25 G147:G149">
    <cfRule type="expression" dxfId="0" priority="4">
      <formula>NOT(ISERROR(SEARCH("Warning",A1)))</formula>
    </cfRule>
  </conditionalFormatting>
  <conditionalFormatting sqref="A1:BR24 A36:BR144 E25:BR25 G147:G149">
    <cfRule type="expression" dxfId="0" priority="5">
      <formula>NOT(ISERROR(SEARCH("Missing",A1)))</formula>
    </cfRule>
  </conditionalFormatting>
  <conditionalFormatting sqref="B26">
    <cfRule type="expression" dxfId="0" priority="6">
      <formula>NOT(ISERROR(SEARCH("Missing",B26)))</formula>
    </cfRule>
  </conditionalFormatting>
  <conditionalFormatting sqref="B26">
    <cfRule type="expression" dxfId="0" priority="7">
      <formula>NOT(ISERROR(SEARCH("Warning",B26)))</formula>
    </cfRule>
  </conditionalFormatting>
  <conditionalFormatting sqref="B29">
    <cfRule type="expression" dxfId="0" priority="8">
      <formula>NOT(ISERROR(SEARCH("Missing",B29)))</formula>
    </cfRule>
  </conditionalFormatting>
  <conditionalFormatting sqref="B29">
    <cfRule type="expression" dxfId="0" priority="9">
      <formula>NOT(ISERROR(SEARCH("Warning",B29)))</formula>
    </cfRule>
  </conditionalFormatting>
  <conditionalFormatting sqref="E30:F35">
    <cfRule type="expression" dxfId="0" priority="10">
      <formula>NOT(ISERROR(SEARCH("warning",E30)))</formula>
    </cfRule>
  </conditionalFormatting>
  <conditionalFormatting sqref="E145:F145">
    <cfRule type="expression" dxfId="0" priority="11">
      <formula>NOT(ISERROR(SEARCH("warning",E145)))</formula>
    </cfRule>
  </conditionalFormatting>
  <conditionalFormatting sqref="E147:F149">
    <cfRule type="expression" dxfId="0" priority="12">
      <formula>NOT(ISERROR(SEARCH("warning",E147)))</formula>
    </cfRule>
  </conditionalFormatting>
  <conditionalFormatting sqref="E151:F151">
    <cfRule type="expression" dxfId="0" priority="13">
      <formula>NOT(ISERROR(SEARCH("warning",E151)))</formula>
    </cfRule>
  </conditionalFormatting>
  <conditionalFormatting sqref="E153:F155">
    <cfRule type="expression" dxfId="0" priority="14">
      <formula>NOT(ISERROR(SEARCH("warning",E153)))</formula>
    </cfRule>
  </conditionalFormatting>
  <conditionalFormatting sqref="E150:G150">
    <cfRule type="expression" dxfId="0" priority="15">
      <formula>NOT(ISERROR(SEARCH("warning",E150)))</formula>
    </cfRule>
  </conditionalFormatting>
  <conditionalFormatting sqref="F8 H8:AH8">
    <cfRule type="expression" dxfId="0" priority="16">
      <formula>$F$8&lt;&gt;"Ok"</formula>
    </cfRule>
  </conditionalFormatting>
  <conditionalFormatting sqref="F48">
    <cfRule type="expression" dxfId="1" priority="17">
      <formula>$F$48="Use of partner's results"</formula>
    </cfRule>
  </conditionalFormatting>
  <conditionalFormatting sqref="F62">
    <cfRule type="expression" dxfId="1" priority="18">
      <formula>$F$62="Use of partner's results"</formula>
    </cfRule>
  </conditionalFormatting>
  <conditionalFormatting sqref="F114">
    <cfRule type="expression" dxfId="1" priority="19">
      <formula>$F$114="Use of partner's results"</formula>
    </cfRule>
  </conditionalFormatting>
  <conditionalFormatting sqref="G145">
    <cfRule type="expression" dxfId="0" priority="20">
      <formula>NOT(ISERROR(SEARCH("Missing",G145)))</formula>
    </cfRule>
  </conditionalFormatting>
  <conditionalFormatting sqref="G145">
    <cfRule type="expression" dxfId="0" priority="21">
      <formula>NOT(ISERROR(SEARCH("Warning",G145)))</formula>
    </cfRule>
  </conditionalFormatting>
  <conditionalFormatting sqref="G153">
    <cfRule type="expression" dxfId="0" priority="22">
      <formula>NOT(ISERROR(SEARCH("Missing",G153)))</formula>
    </cfRule>
  </conditionalFormatting>
  <conditionalFormatting sqref="G153">
    <cfRule type="expression" dxfId="0" priority="23">
      <formula>NOT(ISERROR(SEARCH("Warning",G153)))</formula>
    </cfRule>
  </conditionalFormatting>
  <conditionalFormatting sqref="G155">
    <cfRule type="expression" dxfId="0" priority="24">
      <formula>NOT(ISERROR(SEARCH("Missing",G155)))</formula>
    </cfRule>
  </conditionalFormatting>
  <conditionalFormatting sqref="G155">
    <cfRule type="expression" dxfId="0" priority="25">
      <formula>NOT(ISERROR(SEARCH("Warning",G155)))</formula>
    </cfRule>
  </conditionalFormatting>
  <conditionalFormatting sqref="H38:AH46">
    <cfRule type="cellIs" dxfId="2" priority="26" operator="greaterThanOrEqual">
      <formula>0.05</formula>
    </cfRule>
  </conditionalFormatting>
  <conditionalFormatting sqref="H38:AH46">
    <cfRule type="cellIs" dxfId="2" priority="27" operator="lessThanOrEqual">
      <formula>-0.05</formula>
    </cfRule>
  </conditionalFormatting>
  <conditionalFormatting sqref="H68:AH68">
    <cfRule type="cellIs" dxfId="2" priority="28" operator="greaterThanOrEqual">
      <formula>0.05</formula>
    </cfRule>
  </conditionalFormatting>
  <conditionalFormatting sqref="H68:AH68">
    <cfRule type="cellIs" dxfId="2" priority="29" operator="lessThanOrEqual">
      <formula>-0.05</formula>
    </cfRule>
  </conditionalFormatting>
  <conditionalFormatting sqref="H116:AH119">
    <cfRule type="cellIs" dxfId="2" priority="30" operator="greaterThanOrEqual">
      <formula>0.05</formula>
    </cfRule>
  </conditionalFormatting>
  <conditionalFormatting sqref="H116:AH119">
    <cfRule type="cellIs" dxfId="2" priority="31" operator="lessThanOrEqual">
      <formula>-0.05</formula>
    </cfRule>
  </conditionalFormatting>
  <conditionalFormatting sqref="H134:AH142">
    <cfRule type="cellIs" dxfId="2" priority="32" operator="greaterThanOrEqual">
      <formula>0.05</formula>
    </cfRule>
  </conditionalFormatting>
  <conditionalFormatting sqref="H134:AH142">
    <cfRule type="cellIs" dxfId="2" priority="33" operator="lessThanOrEqual">
      <formula>-0.05</formula>
    </cfRule>
  </conditionalFormatting>
  <conditionalFormatting sqref="W33">
    <cfRule type="expression" dxfId="0" priority="34">
      <formula>NOT(ISERROR(SEARCH("warning",W33)))</formula>
    </cfRule>
  </conditionalFormatting>
  <conditionalFormatting sqref="W35 AB35:AH35">
    <cfRule type="expression" dxfId="0" priority="35">
      <formula>NOT(ISERROR(SEARCH("warning",W35)))</formula>
    </cfRule>
  </conditionalFormatting>
  <conditionalFormatting sqref="AB32:AH32 AI30:BR32 AI34:BR35">
    <cfRule type="expression" dxfId="0" priority="36">
      <formula>NOT(ISERROR(SEARCH("warning",AB30)))</formula>
    </cfRule>
  </conditionalFormatting>
  <dataValidations>
    <dataValidation type="list" allowBlank="1" showErrorMessage="1" sqref="F37">
      <formula1>Residential!$G$69:$G$70</formula1>
    </dataValidation>
  </dataValidations>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8D0F4"/>
    <pageSetUpPr/>
  </sheetPr>
  <sheetViews>
    <sheetView showGridLines="0" workbookViewId="0"/>
  </sheetViews>
  <sheetFormatPr customHeight="1" defaultColWidth="14.43" defaultRowHeight="15.0"/>
  <cols>
    <col customWidth="1" min="1" max="1" width="29.43"/>
    <col customWidth="1" min="2" max="11" width="10.57"/>
    <col customWidth="1" min="12" max="12" width="21.43"/>
    <col customWidth="1" min="13" max="26" width="10.57"/>
  </cols>
  <sheetData>
    <row r="1" ht="14.25" customHeight="1">
      <c r="A1" s="340" t="str">
        <f>"Residential sector final energy consumption by energy carriers"&amp;IF('EDCM - Residential'!$F$8="Ok"," (secondary and vacant dwellings included)"," (secondary and vacant dwellings not or partially included)")</f>
        <v>Residential sector final energy consumption by energy carriers (secondary and vacant dwellings not or partially included)</v>
      </c>
      <c r="B1" s="62">
        <f>ReferenceYear</f>
        <v>2015</v>
      </c>
      <c r="C1" s="62">
        <f>IFERROR(IF(B1+5&lt;=TargetYear,B1+5,""),"")</f>
        <v>2020</v>
      </c>
      <c r="D1" s="62">
        <f>IFERROR(IF(C1+5&lt;=TargetYear,C1+5,""),"")</f>
        <v>2025</v>
      </c>
      <c r="E1" s="62">
        <f>IFERROR(IF(D1+5&lt;=TargetYear,D1+5,""),"")</f>
        <v>2030</v>
      </c>
      <c r="F1" s="62">
        <f>IFERROR(IF(E1+5&lt;=TargetYear,E1+5,""),"")</f>
        <v>2035</v>
      </c>
      <c r="G1" s="62">
        <f>IFERROR(IF(F1+5&lt;=TargetYear,F1+5,""),"")</f>
        <v>2040</v>
      </c>
      <c r="H1" s="62">
        <f>IFERROR(IF(G1+5&lt;=TargetYear,G1+5,""),"")</f>
        <v>2045</v>
      </c>
      <c r="I1" s="62">
        <f>IFERROR(IF(H1+5&lt;=TargetYear,H1+5,""),"")</f>
        <v>2050</v>
      </c>
      <c r="J1" s="341" t="s">
        <v>812</v>
      </c>
      <c r="L1" s="342" t="s">
        <v>248</v>
      </c>
      <c r="M1" s="1">
        <f>MATCH($L$1,$A$2:$A$10,0)</f>
        <v>1</v>
      </c>
    </row>
    <row r="2" ht="14.25" customHeight="1">
      <c r="A2" s="343" t="s">
        <v>248</v>
      </c>
      <c r="B2" s="274" t="str">
        <f>SUMPRODUCT(caltoccfres*(Years=B$1))</f>
        <v>#REF!</v>
      </c>
      <c r="C2" s="274" t="str">
        <f>SUMPRODUCT(caltoccfres*(Years=C$1))</f>
        <v>#REF!</v>
      </c>
      <c r="D2" s="274" t="str">
        <f>SUMPRODUCT(caltoccfres*(Years=D$1))</f>
        <v>#REF!</v>
      </c>
      <c r="E2" s="274" t="str">
        <f>SUMPRODUCT(caltoccfres*(Years=E$1))</f>
        <v>#REF!</v>
      </c>
      <c r="F2" s="274" t="str">
        <f>SUMPRODUCT(caltoccfres*(Years=F$1))</f>
        <v>#REF!</v>
      </c>
      <c r="G2" s="274" t="str">
        <f>SUMPRODUCT(caltoccfres*(Years=G$1))</f>
        <v>#REF!</v>
      </c>
      <c r="H2" s="274" t="str">
        <f>SUMPRODUCT(caltoccfres*(Years=H$1))</f>
        <v>#REF!</v>
      </c>
      <c r="I2" s="274" t="str">
        <f>SUMPRODUCT(caltoccfres*(Years=I$1))</f>
        <v>#REF!</v>
      </c>
      <c r="J2" s="344" t="str">
        <f t="shared" ref="J2:J10" si="1">(I2-B2)/B2</f>
        <v>#REF!</v>
      </c>
      <c r="M2" s="1">
        <v>1.0</v>
      </c>
      <c r="N2" s="1">
        <v>2.0</v>
      </c>
      <c r="O2" s="1">
        <v>3.0</v>
      </c>
      <c r="P2" s="1">
        <v>4.0</v>
      </c>
      <c r="Q2" s="1">
        <v>5.0</v>
      </c>
      <c r="R2" s="1">
        <v>6.0</v>
      </c>
      <c r="S2" s="1">
        <v>7.0</v>
      </c>
      <c r="T2" s="1">
        <v>8.0</v>
      </c>
    </row>
    <row r="3" ht="14.25" customHeight="1">
      <c r="A3" s="345" t="s">
        <v>813</v>
      </c>
      <c r="B3" s="274">
        <f>SUMPRODUCT(calcmscfres*(Years=B$1))</f>
        <v>1.0952</v>
      </c>
      <c r="C3" s="274">
        <f>SUMPRODUCT(calcmscfres*(Years=C$1))</f>
        <v>0.891550824</v>
      </c>
      <c r="D3" s="274">
        <f>SUMPRODUCT(calcmscfres*(Years=D$1))</f>
        <v>0.1713892634</v>
      </c>
      <c r="E3" s="274">
        <f>SUMPRODUCT(calcmscfres*(Years=E$1))</f>
        <v>0</v>
      </c>
      <c r="F3" s="274">
        <f>SUMPRODUCT(calcmscfres*(Years=F$1))</f>
        <v>0</v>
      </c>
      <c r="G3" s="274">
        <f>SUMPRODUCT(calcmscfres*(Years=G$1))</f>
        <v>0</v>
      </c>
      <c r="H3" s="274">
        <f>SUMPRODUCT(calcmscfres*(Years=H$1))</f>
        <v>0</v>
      </c>
      <c r="I3" s="274">
        <f>SUMPRODUCT(calcmscfres*(Years=I$1))</f>
        <v>0</v>
      </c>
      <c r="J3" s="344">
        <f t="shared" si="1"/>
        <v>-1</v>
      </c>
      <c r="L3" s="1" t="s">
        <v>814</v>
      </c>
      <c r="M3" s="346" t="str">
        <f t="shared" ref="M3:T3" si="2">INDEX($B$2:$I$10,$M$1,M$2)</f>
        <v>#REF!</v>
      </c>
      <c r="N3" s="346" t="str">
        <f t="shared" si="2"/>
        <v>#REF!</v>
      </c>
      <c r="O3" s="346" t="str">
        <f t="shared" si="2"/>
        <v>#REF!</v>
      </c>
      <c r="P3" s="346" t="str">
        <f t="shared" si="2"/>
        <v>#REF!</v>
      </c>
      <c r="Q3" s="346" t="str">
        <f t="shared" si="2"/>
        <v>#REF!</v>
      </c>
      <c r="R3" s="346" t="str">
        <f t="shared" si="2"/>
        <v>#REF!</v>
      </c>
      <c r="S3" s="346" t="str">
        <f t="shared" si="2"/>
        <v>#REF!</v>
      </c>
      <c r="T3" s="346" t="str">
        <f t="shared" si="2"/>
        <v>#REF!</v>
      </c>
    </row>
    <row r="4" ht="14.25" customHeight="1">
      <c r="A4" s="345" t="s">
        <v>175</v>
      </c>
      <c r="B4" s="274">
        <f>SUMPRODUCT(calenccfres*(Years=B$1))</f>
        <v>6.751522601</v>
      </c>
      <c r="C4" s="274">
        <f>SUMPRODUCT(calenccfres*(Years=C$1))</f>
        <v>6.678578024</v>
      </c>
      <c r="D4" s="274">
        <f>SUMPRODUCT(calenccfres*(Years=D$1))</f>
        <v>6.446347728</v>
      </c>
      <c r="E4" s="274">
        <f>SUMPRODUCT(calenccfres*(Years=E$1))</f>
        <v>5.843473363</v>
      </c>
      <c r="F4" s="274">
        <f>SUMPRODUCT(calenccfres*(Years=F$1))</f>
        <v>5.296015334</v>
      </c>
      <c r="G4" s="274">
        <f>SUMPRODUCT(calenccfres*(Years=G$1))</f>
        <v>4.747842012</v>
      </c>
      <c r="H4" s="274">
        <f>SUMPRODUCT(calenccfres*(Years=H$1))</f>
        <v>4.282792293</v>
      </c>
      <c r="I4" s="274">
        <f>SUMPRODUCT(calenccfres*(Years=I$1))</f>
        <v>3.916041904</v>
      </c>
      <c r="J4" s="344">
        <f t="shared" si="1"/>
        <v>-0.41997648</v>
      </c>
      <c r="L4" s="1" t="s">
        <v>815</v>
      </c>
      <c r="M4" s="346">
        <f t="shared" ref="M4:T4" si="3">INDEX($B$12:$I$20,$M$1,M$2)</f>
        <v>96.0487</v>
      </c>
      <c r="N4" s="346">
        <f t="shared" si="3"/>
        <v>0</v>
      </c>
      <c r="O4" s="346">
        <f t="shared" si="3"/>
        <v>0</v>
      </c>
      <c r="P4" s="346">
        <f t="shared" si="3"/>
        <v>0</v>
      </c>
      <c r="Q4" s="346">
        <f t="shared" si="3"/>
        <v>0</v>
      </c>
      <c r="R4" s="346">
        <f t="shared" si="3"/>
        <v>0</v>
      </c>
      <c r="S4" s="346">
        <f t="shared" si="3"/>
        <v>0</v>
      </c>
      <c r="T4" s="346">
        <f t="shared" si="3"/>
        <v>0</v>
      </c>
    </row>
    <row r="5" ht="14.25" customHeight="1">
      <c r="A5" s="345" t="s">
        <v>187</v>
      </c>
      <c r="B5" s="274">
        <f>SUMPRODUCT(calpetcfres*(Years=B$1))</f>
        <v>33.34383893</v>
      </c>
      <c r="C5" s="274">
        <f>SUMPRODUCT(calpetcfres*(Years=C$1))</f>
        <v>28.7600087</v>
      </c>
      <c r="D5" s="274">
        <f>SUMPRODUCT(calpetcfres*(Years=D$1))</f>
        <v>20.27087574</v>
      </c>
      <c r="E5" s="274">
        <f>SUMPRODUCT(calpetcfres*(Years=E$1))</f>
        <v>8.135080873</v>
      </c>
      <c r="F5" s="274">
        <f>SUMPRODUCT(calpetcfres*(Years=F$1))</f>
        <v>4.101325297</v>
      </c>
      <c r="G5" s="274">
        <f>SUMPRODUCT(calpetcfres*(Years=G$1))</f>
        <v>3.20359923</v>
      </c>
      <c r="H5" s="274">
        <f>SUMPRODUCT(calpetcfres*(Years=H$1))</f>
        <v>0.7221797493</v>
      </c>
      <c r="I5" s="274">
        <f>SUMPRODUCT(calpetcfres*(Years=I$1))</f>
        <v>0</v>
      </c>
      <c r="J5" s="344">
        <f t="shared" si="1"/>
        <v>-1</v>
      </c>
    </row>
    <row r="6" ht="14.25" customHeight="1">
      <c r="A6" s="345" t="s">
        <v>816</v>
      </c>
      <c r="B6" s="274">
        <f>SUMPRODUCT(calgazcfres*(Years=B$1))</f>
        <v>36.53905256</v>
      </c>
      <c r="C6" s="274">
        <f>SUMPRODUCT(calgazcfres*(Years=C$1))</f>
        <v>31.94220493</v>
      </c>
      <c r="D6" s="274">
        <f>SUMPRODUCT(calgazcfres*(Years=D$1))</f>
        <v>23.93655293</v>
      </c>
      <c r="E6" s="274">
        <f>SUMPRODUCT(calgazcfres*(Years=E$1))</f>
        <v>17.80280676</v>
      </c>
      <c r="F6" s="274">
        <f>SUMPRODUCT(calgazcfres*(Years=F$1))</f>
        <v>11.92658257</v>
      </c>
      <c r="G6" s="274">
        <f>SUMPRODUCT(calgazcfres*(Years=G$1))</f>
        <v>7.432360735</v>
      </c>
      <c r="H6" s="274">
        <f>SUMPRODUCT(calgazcfres*(Years=H$1))</f>
        <v>3.72402221</v>
      </c>
      <c r="I6" s="274">
        <f>SUMPRODUCT(calgazcfres*(Years=I$1))</f>
        <v>0.9071156979</v>
      </c>
      <c r="J6" s="344">
        <f t="shared" si="1"/>
        <v>-0.9751740772</v>
      </c>
    </row>
    <row r="7" ht="14.25" customHeight="1">
      <c r="A7" s="345" t="s">
        <v>817</v>
      </c>
      <c r="B7" s="274" t="str">
        <f>SUMPRODUCT(calelccfres*(Years=B$1))</f>
        <v>#REF!</v>
      </c>
      <c r="C7" s="274" t="str">
        <f>SUMPRODUCT(calelccfres*(Years=C$1))</f>
        <v>#REF!</v>
      </c>
      <c r="D7" s="274" t="str">
        <f>SUMPRODUCT(calelccfres*(Years=D$1))</f>
        <v>#REF!</v>
      </c>
      <c r="E7" s="274" t="str">
        <f>SUMPRODUCT(calelccfres*(Years=E$1))</f>
        <v>#REF!</v>
      </c>
      <c r="F7" s="274" t="str">
        <f>SUMPRODUCT(calelccfres*(Years=F$1))</f>
        <v>#REF!</v>
      </c>
      <c r="G7" s="274" t="str">
        <f>SUMPRODUCT(calelccfres*(Years=G$1))</f>
        <v>#REF!</v>
      </c>
      <c r="H7" s="274" t="str">
        <f>SUMPRODUCT(calelccfres*(Years=H$1))</f>
        <v>#REF!</v>
      </c>
      <c r="I7" s="274" t="str">
        <f>SUMPRODUCT(calelccfres*(Years=I$1))</f>
        <v>#REF!</v>
      </c>
      <c r="J7" s="344" t="str">
        <f t="shared" si="1"/>
        <v>#REF!</v>
      </c>
    </row>
    <row r="8" ht="14.25" customHeight="1">
      <c r="A8" s="345" t="s">
        <v>818</v>
      </c>
      <c r="B8" s="274">
        <f>SUMPRODUCT(calvapcfres*(Years=B$1))</f>
        <v>0.02527026102</v>
      </c>
      <c r="C8" s="274">
        <f>SUMPRODUCT(calvapcfres*(Years=C$1))</f>
        <v>0.3000979725</v>
      </c>
      <c r="D8" s="274">
        <f>SUMPRODUCT(calvapcfres*(Years=D$1))</f>
        <v>4.740835069</v>
      </c>
      <c r="E8" s="274">
        <f>SUMPRODUCT(calvapcfres*(Years=E$1))</f>
        <v>6.441532899</v>
      </c>
      <c r="F8" s="274">
        <f>SUMPRODUCT(calvapcfres*(Years=F$1))</f>
        <v>7.649587306</v>
      </c>
      <c r="G8" s="274">
        <f>SUMPRODUCT(calvapcfres*(Years=G$1))</f>
        <v>8.492641375</v>
      </c>
      <c r="H8" s="274">
        <f>SUMPRODUCT(calvapcfres*(Years=H$1))</f>
        <v>9.060270058</v>
      </c>
      <c r="I8" s="274">
        <f>SUMPRODUCT(calvapcfres*(Years=I$1))</f>
        <v>9.480068825</v>
      </c>
      <c r="J8" s="344">
        <f t="shared" si="1"/>
        <v>374.147246</v>
      </c>
    </row>
    <row r="9" ht="14.25" customHeight="1">
      <c r="A9" s="345" t="s">
        <v>819</v>
      </c>
      <c r="B9" s="274">
        <f>SUMPRODUCT(calpaccfres*(Years=B$1))</f>
        <v>1.23447605</v>
      </c>
      <c r="C9" s="274">
        <f>SUMPRODUCT(calpaccfres*(Years=C$1))</f>
        <v>4.544894976</v>
      </c>
      <c r="D9" s="274">
        <f>SUMPRODUCT(calpaccfres*(Years=D$1))</f>
        <v>8.758902586</v>
      </c>
      <c r="E9" s="274">
        <f>SUMPRODUCT(calpaccfres*(Years=E$1))</f>
        <v>12.8021394</v>
      </c>
      <c r="F9" s="274">
        <f>SUMPRODUCT(calpaccfres*(Years=F$1))</f>
        <v>14.67577439</v>
      </c>
      <c r="G9" s="274">
        <f>SUMPRODUCT(calpaccfres*(Years=G$1))</f>
        <v>13.9092073</v>
      </c>
      <c r="H9" s="274">
        <f>SUMPRODUCT(calpaccfres*(Years=H$1))</f>
        <v>14.39532949</v>
      </c>
      <c r="I9" s="274">
        <f>SUMPRODUCT(calpaccfres*(Years=I$1))</f>
        <v>14.28707224</v>
      </c>
      <c r="J9" s="344">
        <f t="shared" si="1"/>
        <v>10.57338957</v>
      </c>
    </row>
    <row r="10" ht="14.25" customHeight="1">
      <c r="A10" s="345" t="s">
        <v>820</v>
      </c>
      <c r="B10" s="274">
        <f>SUMPRODUCT(calsthcfres*(Years=B$1))</f>
        <v>0.2446949059</v>
      </c>
      <c r="C10" s="274">
        <f>SUMPRODUCT(calsthcfres*(Years=C$1))</f>
        <v>0.3067905493</v>
      </c>
      <c r="D10" s="274">
        <f>SUMPRODUCT(calsthcfres*(Years=D$1))</f>
        <v>0.3670945209</v>
      </c>
      <c r="E10" s="274">
        <f>SUMPRODUCT(calsthcfres*(Years=E$1))</f>
        <v>0.3957008262</v>
      </c>
      <c r="F10" s="274">
        <f>SUMPRODUCT(calsthcfres*(Years=F$1))</f>
        <v>0.5441213965</v>
      </c>
      <c r="G10" s="274">
        <f>SUMPRODUCT(calsthcfres*(Years=G$1))</f>
        <v>0.7542742198</v>
      </c>
      <c r="H10" s="274">
        <f>SUMPRODUCT(calsthcfres*(Years=H$1))</f>
        <v>0.9344767776</v>
      </c>
      <c r="I10" s="274">
        <f>SUMPRODUCT(calsthcfres*(Years=I$1))</f>
        <v>1.076878256</v>
      </c>
      <c r="J10" s="344">
        <f t="shared" si="1"/>
        <v>3.400901817</v>
      </c>
    </row>
    <row r="11" ht="14.25" customHeight="1">
      <c r="A11" s="347" t="s">
        <v>821</v>
      </c>
      <c r="B11" s="67"/>
      <c r="C11" s="67"/>
      <c r="D11" s="67"/>
      <c r="E11" s="67"/>
      <c r="F11" s="67"/>
      <c r="G11" s="67"/>
      <c r="H11" s="67"/>
      <c r="I11" s="67"/>
      <c r="J11" s="68"/>
    </row>
    <row r="12" ht="14.25" customHeight="1">
      <c r="A12" s="180" t="s">
        <v>822</v>
      </c>
      <c r="B12" s="348">
        <f>SUMPRODUCT(toccfres*(Years=B$1))</f>
        <v>96.0487</v>
      </c>
      <c r="C12" s="348">
        <f>SUMPRODUCT(toccfres*(Years=C$1))</f>
        <v>0</v>
      </c>
      <c r="D12" s="348">
        <f>SUMPRODUCT(toccfres*(Years=D$1))</f>
        <v>0</v>
      </c>
      <c r="E12" s="348">
        <f>SUMPRODUCT(toccfres*(Years=E$1))</f>
        <v>0</v>
      </c>
      <c r="F12" s="348">
        <f>SUMPRODUCT(toccfres*(Years=F$1))</f>
        <v>0</v>
      </c>
      <c r="G12" s="348">
        <f>SUMPRODUCT(toccfres*(Years=G$1))</f>
        <v>0</v>
      </c>
      <c r="H12" s="348">
        <f>SUMPRODUCT(toccfres*(Years=H$1))</f>
        <v>0</v>
      </c>
      <c r="I12" s="348">
        <f>SUMPRODUCT(toccfres*(Years=I$1))</f>
        <v>0</v>
      </c>
      <c r="J12" s="349">
        <f t="shared" ref="J12:J20" si="4">(I12-B12)/B12</f>
        <v>-1</v>
      </c>
    </row>
    <row r="13" ht="14.25" customHeight="1">
      <c r="A13" s="122" t="s">
        <v>823</v>
      </c>
      <c r="B13" s="348">
        <f>SUMPRODUCT(cmscfres*(Years=B$1))</f>
        <v>1.0978</v>
      </c>
      <c r="C13" s="348">
        <f>SUMPRODUCT(cmscfres*(Years=C$1))</f>
        <v>0</v>
      </c>
      <c r="D13" s="348">
        <f>SUMPRODUCT(cmscfres*(Years=D$1))</f>
        <v>0</v>
      </c>
      <c r="E13" s="348">
        <f>SUMPRODUCT(cmscfres*(Years=E$1))</f>
        <v>0</v>
      </c>
      <c r="F13" s="348">
        <f>SUMPRODUCT(cmscfres*(Years=F$1))</f>
        <v>0</v>
      </c>
      <c r="G13" s="348">
        <f>SUMPRODUCT(cmscfres*(Years=G$1))</f>
        <v>0</v>
      </c>
      <c r="H13" s="348">
        <f>SUMPRODUCT(cmscfres*(Years=H$1))</f>
        <v>0</v>
      </c>
      <c r="I13" s="348">
        <f>SUMPRODUCT(cmscfres*(Years=I$1))</f>
        <v>0</v>
      </c>
      <c r="J13" s="349">
        <f t="shared" si="4"/>
        <v>-1</v>
      </c>
    </row>
    <row r="14" ht="14.25" customHeight="1">
      <c r="A14" s="122" t="s">
        <v>824</v>
      </c>
      <c r="B14" s="348">
        <f>SUMPRODUCT(enccfres*(Years=B$1))</f>
        <v>6.9609</v>
      </c>
      <c r="C14" s="348">
        <f>SUMPRODUCT(enccfres*(Years=C$1))</f>
        <v>0</v>
      </c>
      <c r="D14" s="348">
        <f>SUMPRODUCT(enccfres*(Years=D$1))</f>
        <v>0</v>
      </c>
      <c r="E14" s="348">
        <f>SUMPRODUCT(enccfres*(Years=E$1))</f>
        <v>0</v>
      </c>
      <c r="F14" s="348">
        <f>SUMPRODUCT(enccfres*(Years=F$1))</f>
        <v>0</v>
      </c>
      <c r="G14" s="348">
        <f>SUMPRODUCT(enccfres*(Years=G$1))</f>
        <v>0</v>
      </c>
      <c r="H14" s="348">
        <f>SUMPRODUCT(enccfres*(Years=H$1))</f>
        <v>0</v>
      </c>
      <c r="I14" s="348">
        <f>SUMPRODUCT(enccfres*(Years=I$1))</f>
        <v>0</v>
      </c>
      <c r="J14" s="349">
        <f t="shared" si="4"/>
        <v>-1</v>
      </c>
    </row>
    <row r="15" ht="14.25" customHeight="1">
      <c r="A15" s="122" t="s">
        <v>825</v>
      </c>
      <c r="B15" s="348">
        <f>SUMPRODUCT(petcfres*(Years=B$1))</f>
        <v>31.8482</v>
      </c>
      <c r="C15" s="348">
        <f>SUMPRODUCT(petcfres*(Years=C$1))</f>
        <v>0</v>
      </c>
      <c r="D15" s="348">
        <f>SUMPRODUCT(petcfres*(Years=D$1))</f>
        <v>0</v>
      </c>
      <c r="E15" s="348">
        <f>SUMPRODUCT(petcfres*(Years=E$1))</f>
        <v>0</v>
      </c>
      <c r="F15" s="348">
        <f>SUMPRODUCT(petcfres*(Years=F$1))</f>
        <v>0</v>
      </c>
      <c r="G15" s="348">
        <f>SUMPRODUCT(petcfres*(Years=G$1))</f>
        <v>0</v>
      </c>
      <c r="H15" s="348">
        <f>SUMPRODUCT(petcfres*(Years=H$1))</f>
        <v>0</v>
      </c>
      <c r="I15" s="348">
        <f>SUMPRODUCT(petcfres*(Years=I$1))</f>
        <v>0</v>
      </c>
      <c r="J15" s="349">
        <f t="shared" si="4"/>
        <v>-1</v>
      </c>
    </row>
    <row r="16" ht="14.25" customHeight="1">
      <c r="A16" s="122" t="s">
        <v>826</v>
      </c>
      <c r="B16" s="348">
        <f>SUMPRODUCT(gazcfres*(Years=B$1))</f>
        <v>37.2976</v>
      </c>
      <c r="C16" s="348">
        <f>SUMPRODUCT(gazcfres*(Years=C$1))</f>
        <v>0</v>
      </c>
      <c r="D16" s="348">
        <f>SUMPRODUCT(gazcfres*(Years=D$1))</f>
        <v>0</v>
      </c>
      <c r="E16" s="348">
        <f>SUMPRODUCT(gazcfres*(Years=E$1))</f>
        <v>0</v>
      </c>
      <c r="F16" s="348">
        <f>SUMPRODUCT(gazcfres*(Years=F$1))</f>
        <v>0</v>
      </c>
      <c r="G16" s="348">
        <f>SUMPRODUCT(gazcfres*(Years=G$1))</f>
        <v>0</v>
      </c>
      <c r="H16" s="348">
        <f>SUMPRODUCT(gazcfres*(Years=H$1))</f>
        <v>0</v>
      </c>
      <c r="I16" s="348">
        <f>SUMPRODUCT(gazcfres*(Years=I$1))</f>
        <v>0</v>
      </c>
      <c r="J16" s="349">
        <f t="shared" si="4"/>
        <v>-1</v>
      </c>
    </row>
    <row r="17" ht="14.25" customHeight="1">
      <c r="A17" s="122" t="s">
        <v>827</v>
      </c>
      <c r="B17" s="348">
        <f>SUMPRODUCT(elccfres*(Years=B$1))</f>
        <v>18.8212</v>
      </c>
      <c r="C17" s="348">
        <f>SUMPRODUCT(elccfres*(Years=C$1))</f>
        <v>0</v>
      </c>
      <c r="D17" s="348">
        <f>SUMPRODUCT(elccfres*(Years=D$1))</f>
        <v>0</v>
      </c>
      <c r="E17" s="348">
        <f>SUMPRODUCT(elccfres*(Years=E$1))</f>
        <v>0</v>
      </c>
      <c r="F17" s="348">
        <f>SUMPRODUCT(elccfres*(Years=F$1))</f>
        <v>0</v>
      </c>
      <c r="G17" s="348">
        <f>SUMPRODUCT(elccfres*(Years=G$1))</f>
        <v>0</v>
      </c>
      <c r="H17" s="348">
        <f>SUMPRODUCT(elccfres*(Years=H$1))</f>
        <v>0</v>
      </c>
      <c r="I17" s="348">
        <f>SUMPRODUCT(elccfres*(Years=I$1))</f>
        <v>0</v>
      </c>
      <c r="J17" s="349">
        <f t="shared" si="4"/>
        <v>-1</v>
      </c>
    </row>
    <row r="18" ht="14.25" customHeight="1">
      <c r="A18" s="122" t="s">
        <v>828</v>
      </c>
      <c r="B18" s="348">
        <f>SUMPRODUCT(vapcfres*(Years=B$1))</f>
        <v>0.023</v>
      </c>
      <c r="C18" s="348">
        <f>SUMPRODUCT(vapcfres*(Years=C$1))</f>
        <v>0</v>
      </c>
      <c r="D18" s="348">
        <f>SUMPRODUCT(vapcfres*(Years=D$1))</f>
        <v>0</v>
      </c>
      <c r="E18" s="348">
        <f>SUMPRODUCT(vapcfres*(Years=E$1))</f>
        <v>0</v>
      </c>
      <c r="F18" s="348">
        <f>SUMPRODUCT(vapcfres*(Years=F$1))</f>
        <v>0</v>
      </c>
      <c r="G18" s="348">
        <f>SUMPRODUCT(vapcfres*(Years=G$1))</f>
        <v>0</v>
      </c>
      <c r="H18" s="348">
        <f>SUMPRODUCT(vapcfres*(Years=H$1))</f>
        <v>0</v>
      </c>
      <c r="I18" s="348">
        <f>SUMPRODUCT(vapcfres*(Years=I$1))</f>
        <v>0</v>
      </c>
      <c r="J18" s="349">
        <f t="shared" si="4"/>
        <v>-1</v>
      </c>
    </row>
    <row r="19" ht="14.25" customHeight="1">
      <c r="A19" s="122" t="s">
        <v>829</v>
      </c>
      <c r="B19" s="348">
        <f>SUMPRODUCT(paccfres*(Years=B$1))</f>
        <v>0</v>
      </c>
      <c r="C19" s="348">
        <f>SUMPRODUCT(paccfres*(Years=C$1))</f>
        <v>0</v>
      </c>
      <c r="D19" s="348">
        <f>SUMPRODUCT(paccfres*(Years=D$1))</f>
        <v>0</v>
      </c>
      <c r="E19" s="348">
        <f>SUMPRODUCT(paccfres*(Years=E$1))</f>
        <v>0</v>
      </c>
      <c r="F19" s="348">
        <f>SUMPRODUCT(paccfres*(Years=F$1))</f>
        <v>0</v>
      </c>
      <c r="G19" s="348">
        <f>SUMPRODUCT(paccfres*(Years=G$1))</f>
        <v>0</v>
      </c>
      <c r="H19" s="348">
        <f>SUMPRODUCT(paccfres*(Years=H$1))</f>
        <v>0</v>
      </c>
      <c r="I19" s="348">
        <f>SUMPRODUCT(paccfres*(Years=I$1))</f>
        <v>0</v>
      </c>
      <c r="J19" s="349" t="str">
        <f t="shared" si="4"/>
        <v>#DIV/0!</v>
      </c>
    </row>
    <row r="20" ht="14.25" customHeight="1">
      <c r="A20" s="122" t="s">
        <v>830</v>
      </c>
      <c r="B20" s="348">
        <f>SUMPRODUCT(sthcfres*(Years=B$1))</f>
        <v>0</v>
      </c>
      <c r="C20" s="348">
        <f>SUMPRODUCT(sthcfres*(Years=C$1))</f>
        <v>0</v>
      </c>
      <c r="D20" s="348">
        <f>SUMPRODUCT(sthcfres*(Years=D$1))</f>
        <v>0</v>
      </c>
      <c r="E20" s="348">
        <f>SUMPRODUCT(sthcfres*(Years=E$1))</f>
        <v>0</v>
      </c>
      <c r="F20" s="348">
        <f>SUMPRODUCT(sthcfres*(Years=F$1))</f>
        <v>0</v>
      </c>
      <c r="G20" s="348">
        <f>SUMPRODUCT(sthcfres*(Years=G$1))</f>
        <v>0</v>
      </c>
      <c r="H20" s="348">
        <f>SUMPRODUCT(sthcfres*(Years=H$1))</f>
        <v>0</v>
      </c>
      <c r="I20" s="348">
        <f>SUMPRODUCT(sthcfres*(Years=I$1))</f>
        <v>0</v>
      </c>
      <c r="J20" s="349" t="str">
        <f t="shared" si="4"/>
        <v>#DIV/0!</v>
      </c>
    </row>
    <row r="21" ht="14.25" customHeight="1"/>
    <row r="22" ht="14.25" customHeight="1"/>
    <row r="23" ht="14.25" customHeight="1">
      <c r="A23" s="340" t="str">
        <f>"Residential sector final energy consumption by energy uses"&amp;IF('EDCM - Residential'!$F$8="Ok"," (secondary and vacant dwellings included)"," (secondary and vacant dwellings not or partially included)")</f>
        <v>Residential sector final energy consumption by energy uses (secondary and vacant dwellings not or partially included)</v>
      </c>
      <c r="B23" s="62">
        <f>ReferenceYear</f>
        <v>2015</v>
      </c>
      <c r="C23" s="62">
        <f>IFERROR(IF(B23+5&lt;=TargetYear,B23+5,""),"")</f>
        <v>2020</v>
      </c>
      <c r="D23" s="62">
        <f>IFERROR(IF(C23+5&lt;=TargetYear,C23+5,""),"")</f>
        <v>2025</v>
      </c>
      <c r="E23" s="62">
        <f>IFERROR(IF(D23+5&lt;=TargetYear,D23+5,""),"")</f>
        <v>2030</v>
      </c>
      <c r="F23" s="62">
        <f>IFERROR(IF(E23+5&lt;=TargetYear,E23+5,""),"")</f>
        <v>2035</v>
      </c>
      <c r="G23" s="62">
        <f>IFERROR(IF(F23+5&lt;=TargetYear,F23+5,""),"")</f>
        <v>2040</v>
      </c>
      <c r="H23" s="62">
        <f>IFERROR(IF(G23+5&lt;=TargetYear,G23+5,""),"")</f>
        <v>2045</v>
      </c>
      <c r="I23" s="62">
        <f>IFERROR(IF(H23+5&lt;=TargetYear,H23+5,""),"")</f>
        <v>2050</v>
      </c>
      <c r="J23" s="341" t="s">
        <v>812</v>
      </c>
    </row>
    <row r="24" ht="14.25" customHeight="1">
      <c r="A24" s="343" t="s">
        <v>248</v>
      </c>
      <c r="B24" s="274" t="str">
        <f>SUMPRODUCT(caltoccfres*(Years=B$1))</f>
        <v>#REF!</v>
      </c>
      <c r="C24" s="274" t="str">
        <f>SUMPRODUCT(caltoccfres*(Years=C$1))</f>
        <v>#REF!</v>
      </c>
      <c r="D24" s="274" t="str">
        <f>SUMPRODUCT(caltoccfres*(Years=D$1))</f>
        <v>#REF!</v>
      </c>
      <c r="E24" s="274" t="str">
        <f>SUMPRODUCT(caltoccfres*(Years=E$1))</f>
        <v>#REF!</v>
      </c>
      <c r="F24" s="274" t="str">
        <f>SUMPRODUCT(caltoccfres*(Years=F$1))</f>
        <v>#REF!</v>
      </c>
      <c r="G24" s="274" t="str">
        <f>SUMPRODUCT(caltoccfres*(Years=G$1))</f>
        <v>#REF!</v>
      </c>
      <c r="H24" s="274" t="str">
        <f>SUMPRODUCT(caltoccfres*(Years=H$1))</f>
        <v>#REF!</v>
      </c>
      <c r="I24" s="274" t="str">
        <f>SUMPRODUCT(caltoccfres*(Years=I$1))</f>
        <v>#REF!</v>
      </c>
      <c r="J24" s="344" t="str">
        <f t="shared" ref="J24:J29" si="5">(I24-B24)/B24</f>
        <v>#REF!</v>
      </c>
    </row>
    <row r="25" ht="14.25" customHeight="1">
      <c r="A25" s="345" t="s">
        <v>647</v>
      </c>
      <c r="B25" s="330">
        <f>SUMPRODUCT(IF(crdalireschf=1,IF('EDCM - Residential'!$F$37="toccfreschf",toccfreschf,toccfreschc),caltoccfreschf)*(Years=B$1))</f>
        <v>71.24087605</v>
      </c>
      <c r="C25" s="330">
        <f>SUMPRODUCT(IF(crdalireschf=1,IF('EDCM - Residential'!$F$37="toccfreschf",toccfreschf,toccfreschc),caltoccfreschf)*(Years=C$1))</f>
        <v>68.87416021</v>
      </c>
      <c r="D25" s="330">
        <f>SUMPRODUCT(IF(crdalireschf=1,IF('EDCM - Residential'!$F$37="toccfreschf",toccfreschf,toccfreschc),caltoccfreschf)*(Years=D$1))</f>
        <v>63.46924284</v>
      </c>
      <c r="E25" s="330">
        <f>SUMPRODUCT(IF(crdalireschf=1,IF('EDCM - Residential'!$F$37="toccfreschf",toccfreschf,toccfreschc),caltoccfreschf)*(Years=E$1))</f>
        <v>53.35506174</v>
      </c>
      <c r="F25" s="330">
        <f>SUMPRODUCT(IF(crdalireschf=1,IF('EDCM - Residential'!$F$37="toccfreschf",toccfreschf,toccfreschc),caltoccfreschf)*(Years=F$1))</f>
        <v>47.37452921</v>
      </c>
      <c r="G25" s="330">
        <f>SUMPRODUCT(IF(crdalireschf=1,IF('EDCM - Residential'!$F$37="toccfreschf",toccfreschf,toccfreschc),caltoccfreschf)*(Years=G$1))</f>
        <v>41.57755692</v>
      </c>
      <c r="H25" s="330">
        <f>SUMPRODUCT(IF(crdalireschf=1,IF('EDCM - Residential'!$F$37="toccfreschf",toccfreschf,toccfreschc),caltoccfreschf)*(Years=H$1))</f>
        <v>36.47695226</v>
      </c>
      <c r="I25" s="330">
        <f>SUMPRODUCT(IF(crdalireschf=1,IF('EDCM - Residential'!$F$37="toccfreschf",toccfreschf,toccfreschc),caltoccfreschf)*(Years=I$1))</f>
        <v>32.90811914</v>
      </c>
      <c r="J25" s="344">
        <f t="shared" si="5"/>
        <v>-0.5380725088</v>
      </c>
    </row>
    <row r="26" ht="14.25" customHeight="1">
      <c r="A26" s="345" t="s">
        <v>696</v>
      </c>
      <c r="B26" s="274" t="str">
        <f>SUMPRODUCT(caltoccfrescli*(Years=B$1))</f>
        <v>#REF!</v>
      </c>
      <c r="C26" s="274" t="str">
        <f>SUMPRODUCT(caltoccfrescli*(Years=C$1))</f>
        <v>#REF!</v>
      </c>
      <c r="D26" s="274" t="str">
        <f>SUMPRODUCT(caltoccfrescli*(Years=D$1))</f>
        <v>#REF!</v>
      </c>
      <c r="E26" s="274" t="str">
        <f>SUMPRODUCT(caltoccfrescli*(Years=E$1))</f>
        <v>#REF!</v>
      </c>
      <c r="F26" s="274" t="str">
        <f>SUMPRODUCT(caltoccfrescli*(Years=F$1))</f>
        <v>#REF!</v>
      </c>
      <c r="G26" s="274" t="str">
        <f>SUMPRODUCT(caltoccfrescli*(Years=G$1))</f>
        <v>#REF!</v>
      </c>
      <c r="H26" s="274" t="str">
        <f>SUMPRODUCT(caltoccfrescli*(Years=H$1))</f>
        <v>#REF!</v>
      </c>
      <c r="I26" s="274" t="str">
        <f>SUMPRODUCT(caltoccfrescli*(Years=I$1))</f>
        <v>#REF!</v>
      </c>
      <c r="J26" s="344" t="str">
        <f t="shared" si="5"/>
        <v>#REF!</v>
      </c>
    </row>
    <row r="27" ht="14.25" customHeight="1">
      <c r="A27" s="345" t="s">
        <v>831</v>
      </c>
      <c r="B27" s="274">
        <f>SUMPRODUCT(toccfresecs*(Years=B$1))</f>
        <v>10.46406039</v>
      </c>
      <c r="C27" s="274">
        <f>SUMPRODUCT(toccfresecs*(Years=C$1))</f>
        <v>9.318691349</v>
      </c>
      <c r="D27" s="274">
        <f>SUMPRODUCT(toccfresecs*(Years=D$1))</f>
        <v>8.505519569</v>
      </c>
      <c r="E27" s="274">
        <f>SUMPRODUCT(toccfresecs*(Years=E$1))</f>
        <v>7.302527531</v>
      </c>
      <c r="F27" s="274">
        <f>SUMPRODUCT(toccfresecs*(Years=F$1))</f>
        <v>6.598809703</v>
      </c>
      <c r="G27" s="274">
        <f>SUMPRODUCT(toccfresecs*(Years=G$1))</f>
        <v>5.771537571</v>
      </c>
      <c r="H27" s="274">
        <f>SUMPRODUCT(toccfresecs*(Years=H$1))</f>
        <v>5.146146174</v>
      </c>
      <c r="I27" s="274">
        <f>SUMPRODUCT(toccfresecs*(Years=I$1))</f>
        <v>4.610689159</v>
      </c>
      <c r="J27" s="344">
        <f t="shared" si="5"/>
        <v>-0.5593785789</v>
      </c>
    </row>
    <row r="28" ht="14.25" customHeight="1">
      <c r="A28" s="345" t="s">
        <v>731</v>
      </c>
      <c r="B28" s="274">
        <f>SUMPRODUCT(toccfrescui*(Years=B$1))</f>
        <v>1.5855</v>
      </c>
      <c r="C28" s="274">
        <f>SUMPRODUCT(toccfrescui*(Years=C$1))</f>
        <v>1.599956855</v>
      </c>
      <c r="D28" s="274">
        <f>SUMPRODUCT(toccfrescui*(Years=D$1))</f>
        <v>1.60698037</v>
      </c>
      <c r="E28" s="274">
        <f>SUMPRODUCT(toccfrescui*(Years=E$1))</f>
        <v>1.637883839</v>
      </c>
      <c r="F28" s="274">
        <f>SUMPRODUCT(toccfrescui*(Years=F$1))</f>
        <v>1.644246318</v>
      </c>
      <c r="G28" s="274">
        <f>SUMPRODUCT(toccfrescui*(Years=G$1))</f>
        <v>1.650424377</v>
      </c>
      <c r="H28" s="274">
        <f>SUMPRODUCT(toccfrescui*(Years=H$1))</f>
        <v>1.680432093</v>
      </c>
      <c r="I28" s="274">
        <f>SUMPRODUCT(toccfrescui*(Years=I$1))</f>
        <v>1.686004954</v>
      </c>
      <c r="J28" s="344">
        <f t="shared" si="5"/>
        <v>0.06339006893</v>
      </c>
    </row>
    <row r="29" ht="14.25" customHeight="1">
      <c r="A29" s="345" t="s">
        <v>832</v>
      </c>
      <c r="B29" s="274">
        <f>SUMPRODUCT(caltotelccfresdom*(Years=B$1))+SUMPRODUCT(elccfresbmg*(Years=B$1))</f>
        <v>6.920444308</v>
      </c>
      <c r="C29" s="274">
        <f>SUMPRODUCT(caltotelccfresdom*(Years=C$1))+SUMPRODUCT(elccfresbmg*(Years=C$1))</f>
        <v>0</v>
      </c>
      <c r="D29" s="274">
        <f>SUMPRODUCT(caltotelccfresdom*(Years=D$1))+SUMPRODUCT(elccfresbmg*(Years=D$1))</f>
        <v>0</v>
      </c>
      <c r="E29" s="274">
        <f>SUMPRODUCT(caltotelccfresdom*(Years=E$1))+SUMPRODUCT(elccfresbmg*(Years=E$1))</f>
        <v>0</v>
      </c>
      <c r="F29" s="274">
        <f>SUMPRODUCT(caltotelccfresdom*(Years=F$1))+SUMPRODUCT(elccfresbmg*(Years=F$1))</f>
        <v>0</v>
      </c>
      <c r="G29" s="274">
        <f>SUMPRODUCT(caltotelccfresdom*(Years=G$1))+SUMPRODUCT(elccfresbmg*(Years=G$1))</f>
        <v>0</v>
      </c>
      <c r="H29" s="274">
        <f>SUMPRODUCT(caltotelccfresdom*(Years=H$1))+SUMPRODUCT(elccfresbmg*(Years=H$1))</f>
        <v>0</v>
      </c>
      <c r="I29" s="274">
        <f>SUMPRODUCT(caltotelccfresdom*(Years=I$1))+SUMPRODUCT(elccfresbmg*(Years=I$1))</f>
        <v>0</v>
      </c>
      <c r="J29" s="344">
        <f t="shared" si="5"/>
        <v>-1</v>
      </c>
    </row>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11:J11"/>
  </mergeCells>
  <dataValidations>
    <dataValidation type="list" allowBlank="1" showErrorMessage="1" sqref="L1">
      <formula1>$A$2:$A$10</formula1>
    </dataValidation>
  </dataValidations>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8D0F4"/>
    <pageSetUpPr/>
  </sheetPr>
  <sheetViews>
    <sheetView showGridLines="0" workbookViewId="0"/>
  </sheetViews>
  <sheetFormatPr customHeight="1" defaultColWidth="14.43" defaultRowHeight="15.0"/>
  <cols>
    <col customWidth="1" min="1" max="26" width="10.57"/>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55A11"/>
    <pageSetUpPr/>
  </sheetPr>
  <sheetViews>
    <sheetView showGridLines="0" workbookViewId="0"/>
  </sheetViews>
  <sheetFormatPr customHeight="1" defaultColWidth="14.43" defaultRowHeight="15.0" outlineLevelCol="1" outlineLevelRow="3"/>
  <cols>
    <col customWidth="1" min="1" max="4" width="2.43"/>
    <col customWidth="1" min="5" max="5" width="92.43"/>
    <col customWidth="1" min="6" max="6" width="17.43"/>
    <col customWidth="1" min="7" max="7" width="14.57"/>
    <col customWidth="1" hidden="1" min="8" max="22" width="10.57" outlineLevel="1"/>
    <col customWidth="1" min="23" max="23" width="10.57"/>
    <col customWidth="1" hidden="1" min="24" max="27" width="10.57" outlineLevel="1"/>
    <col customWidth="1" min="28" max="37" width="10.57"/>
    <col customWidth="1" min="38" max="38" width="55.43"/>
    <col customWidth="1" min="39" max="39" width="134.43"/>
    <col customWidth="1" hidden="1" min="40" max="40" width="10.57"/>
    <col customWidth="1" min="41" max="41" width="6.43"/>
  </cols>
  <sheetData>
    <row r="1" ht="14.25" customHeight="1">
      <c r="A1" s="147" t="s">
        <v>49</v>
      </c>
      <c r="B1" s="148"/>
      <c r="C1" s="148"/>
      <c r="D1" s="148"/>
      <c r="E1" s="149"/>
      <c r="F1" s="114" t="s">
        <v>50</v>
      </c>
      <c r="G1" s="114" t="s">
        <v>51</v>
      </c>
      <c r="H1" s="114">
        <v>2000.0</v>
      </c>
      <c r="I1" s="114">
        <v>2001.0</v>
      </c>
      <c r="J1" s="114">
        <v>2002.0</v>
      </c>
      <c r="K1" s="114">
        <v>2003.0</v>
      </c>
      <c r="L1" s="114">
        <v>2004.0</v>
      </c>
      <c r="M1" s="114">
        <v>2005.0</v>
      </c>
      <c r="N1" s="114">
        <v>2006.0</v>
      </c>
      <c r="O1" s="114">
        <v>2007.0</v>
      </c>
      <c r="P1" s="114">
        <v>2008.0</v>
      </c>
      <c r="Q1" s="114">
        <v>2009.0</v>
      </c>
      <c r="R1" s="114">
        <v>2010.0</v>
      </c>
      <c r="S1" s="114">
        <v>2011.0</v>
      </c>
      <c r="T1" s="114">
        <v>2012.0</v>
      </c>
      <c r="U1" s="114">
        <v>2013.0</v>
      </c>
      <c r="V1" s="114">
        <v>2014.0</v>
      </c>
      <c r="W1" s="114">
        <f>ReferenceYear</f>
        <v>2015</v>
      </c>
      <c r="X1" s="114">
        <v>2016.0</v>
      </c>
      <c r="Y1" s="114">
        <v>2017.0</v>
      </c>
      <c r="Z1" s="114">
        <v>2018.0</v>
      </c>
      <c r="AA1" s="114">
        <v>2019.0</v>
      </c>
      <c r="AB1" s="114">
        <f>IFERROR(IF(W1+5&lt;=TargetYear,W1+5,""),"")</f>
        <v>2020</v>
      </c>
      <c r="AC1" s="114">
        <f>IFERROR(IF(AB1+5&lt;=TargetYear,AB1+5,""),"")</f>
        <v>2025</v>
      </c>
      <c r="AD1" s="114">
        <f>IFERROR(IF(AC1+5&lt;=TargetYear,AC1+5,""),"")</f>
        <v>2030</v>
      </c>
      <c r="AE1" s="114">
        <f>IFERROR(IF(AD1+5&lt;=TargetYear,AD1+5,""),"")</f>
        <v>2035</v>
      </c>
      <c r="AF1" s="114">
        <f>IFERROR(IF(AE1+5&lt;=TargetYear,AE1+5,""),"")</f>
        <v>2040</v>
      </c>
      <c r="AG1" s="114">
        <f>IFERROR(IF(AF1+5&lt;=TargetYear,AF1+5,""),"")</f>
        <v>2045</v>
      </c>
      <c r="AH1" s="114">
        <f>IFERROR(IF(AG1+5&lt;=TargetYear,AG1+5,""),"")</f>
        <v>2050</v>
      </c>
      <c r="AI1" s="114" t="s">
        <v>52</v>
      </c>
      <c r="AJ1" s="114" t="s">
        <v>53</v>
      </c>
      <c r="AK1" s="114" t="s">
        <v>54</v>
      </c>
      <c r="AL1" s="114" t="s">
        <v>55</v>
      </c>
      <c r="AM1" s="114" t="s">
        <v>56</v>
      </c>
      <c r="AN1" s="115" t="s">
        <v>127</v>
      </c>
      <c r="AO1" s="150"/>
    </row>
    <row r="2" ht="14.25" customHeight="1">
      <c r="A2" s="218" t="s">
        <v>251</v>
      </c>
      <c r="B2" s="219"/>
      <c r="C2" s="219"/>
      <c r="D2" s="350"/>
      <c r="E2" s="219"/>
      <c r="F2" s="219"/>
      <c r="G2" s="219"/>
      <c r="H2" s="351"/>
      <c r="I2" s="351"/>
      <c r="J2" s="351"/>
      <c r="K2" s="351"/>
      <c r="L2" s="351"/>
      <c r="M2" s="351"/>
      <c r="N2" s="351"/>
      <c r="O2" s="351"/>
      <c r="P2" s="351"/>
      <c r="Q2" s="351"/>
      <c r="R2" s="351"/>
      <c r="S2" s="351"/>
      <c r="T2" s="351"/>
      <c r="U2" s="351"/>
      <c r="V2" s="351"/>
      <c r="W2" s="352"/>
      <c r="X2" s="352"/>
      <c r="Y2" s="352"/>
      <c r="Z2" s="352"/>
      <c r="AA2" s="352"/>
      <c r="AB2" s="352"/>
      <c r="AC2" s="352"/>
      <c r="AD2" s="352"/>
      <c r="AE2" s="352"/>
      <c r="AF2" s="352"/>
      <c r="AG2" s="352"/>
      <c r="AH2" s="352"/>
      <c r="AI2" s="353"/>
      <c r="AJ2" s="353"/>
      <c r="AK2" s="353"/>
      <c r="AL2" s="353"/>
      <c r="AM2" s="354"/>
      <c r="AN2" s="100" t="b">
        <f t="shared" ref="AN2:AN100" si="1">_xlfn.ISFORMULA(H2)</f>
        <v>0</v>
      </c>
      <c r="AO2" s="102"/>
    </row>
    <row r="3" ht="14.25" customHeight="1">
      <c r="A3" s="355" t="s">
        <v>833</v>
      </c>
      <c r="B3" s="162"/>
      <c r="C3" s="162"/>
      <c r="D3" s="271"/>
      <c r="E3" s="162"/>
      <c r="F3" s="162"/>
      <c r="G3" s="162"/>
      <c r="H3" s="178"/>
      <c r="I3" s="178"/>
      <c r="J3" s="178"/>
      <c r="K3" s="178"/>
      <c r="L3" s="178"/>
      <c r="M3" s="178"/>
      <c r="N3" s="178"/>
      <c r="O3" s="178"/>
      <c r="P3" s="178"/>
      <c r="Q3" s="178"/>
      <c r="R3" s="178"/>
      <c r="S3" s="178"/>
      <c r="T3" s="178"/>
      <c r="U3" s="178"/>
      <c r="V3" s="178"/>
      <c r="W3" s="178"/>
      <c r="X3" s="178"/>
      <c r="Y3" s="178"/>
      <c r="Z3" s="178"/>
      <c r="AA3" s="178"/>
      <c r="AB3" s="178"/>
      <c r="AC3" s="178"/>
      <c r="AD3" s="178"/>
      <c r="AE3" s="178"/>
      <c r="AF3" s="178"/>
      <c r="AG3" s="178"/>
      <c r="AH3" s="178"/>
      <c r="AI3" s="244"/>
      <c r="AJ3" s="244"/>
      <c r="AK3" s="244"/>
      <c r="AL3" s="244"/>
      <c r="AM3" s="162"/>
      <c r="AN3" s="100" t="b">
        <f t="shared" si="1"/>
        <v>0</v>
      </c>
      <c r="AO3" s="102"/>
    </row>
    <row r="4" ht="14.25" customHeight="1" outlineLevel="1">
      <c r="A4" s="355"/>
      <c r="B4" s="331" t="s">
        <v>257</v>
      </c>
      <c r="C4" s="331"/>
      <c r="D4" s="271"/>
      <c r="E4" s="162"/>
      <c r="F4" s="162"/>
      <c r="G4" s="162"/>
      <c r="H4" s="178"/>
      <c r="I4" s="178"/>
      <c r="J4" s="178"/>
      <c r="K4" s="178"/>
      <c r="L4" s="178"/>
      <c r="M4" s="178"/>
      <c r="N4" s="178"/>
      <c r="O4" s="178"/>
      <c r="P4" s="178"/>
      <c r="Q4" s="178"/>
      <c r="R4" s="178"/>
      <c r="S4" s="178"/>
      <c r="T4" s="178"/>
      <c r="U4" s="178"/>
      <c r="V4" s="178"/>
      <c r="W4" s="178"/>
      <c r="X4" s="178"/>
      <c r="Y4" s="178"/>
      <c r="Z4" s="178"/>
      <c r="AA4" s="178"/>
      <c r="AB4" s="178"/>
      <c r="AC4" s="178"/>
      <c r="AD4" s="178"/>
      <c r="AE4" s="178"/>
      <c r="AF4" s="178"/>
      <c r="AG4" s="178"/>
      <c r="AH4" s="178"/>
      <c r="AI4" s="244"/>
      <c r="AJ4" s="244"/>
      <c r="AK4" s="244"/>
      <c r="AL4" s="244"/>
      <c r="AM4" s="162"/>
      <c r="AN4" s="100" t="b">
        <f t="shared" si="1"/>
        <v>0</v>
      </c>
      <c r="AO4" s="102"/>
    </row>
    <row r="5" ht="14.25" customHeight="1" outlineLevel="2">
      <c r="A5" s="356"/>
      <c r="B5" s="357"/>
      <c r="C5" s="357"/>
      <c r="D5" s="271"/>
      <c r="E5" s="270" t="s">
        <v>834</v>
      </c>
      <c r="F5" s="249" t="s">
        <v>264</v>
      </c>
      <c r="G5" s="249" t="s">
        <v>835</v>
      </c>
      <c r="H5" s="260">
        <v>149.948031475848</v>
      </c>
      <c r="I5" s="181">
        <v>151.730471670538</v>
      </c>
      <c r="J5" s="181">
        <v>158.958125159171</v>
      </c>
      <c r="K5" s="181">
        <v>160.741651528444</v>
      </c>
      <c r="L5" s="181">
        <v>164.736275867078</v>
      </c>
      <c r="M5" s="181">
        <v>167.648668656518</v>
      </c>
      <c r="N5" s="181">
        <v>171.315339775166</v>
      </c>
      <c r="O5" s="181">
        <v>175.452416422424</v>
      </c>
      <c r="P5" s="181">
        <v>178.1124</v>
      </c>
      <c r="Q5" s="181">
        <v>177.003630401797</v>
      </c>
      <c r="R5" s="181">
        <v>180.669907182879</v>
      </c>
      <c r="S5" s="181">
        <v>183.543071007806</v>
      </c>
      <c r="T5" s="181">
        <v>184.946616407691</v>
      </c>
      <c r="U5" s="181">
        <v>185.974310484062</v>
      </c>
      <c r="V5" s="181">
        <v>187.251399961792</v>
      </c>
      <c r="W5" s="182">
        <v>187.878191742678</v>
      </c>
      <c r="X5" s="181"/>
      <c r="Y5" s="181"/>
      <c r="Z5" s="181"/>
      <c r="AA5" s="181"/>
      <c r="AB5" s="182">
        <v>190.0</v>
      </c>
      <c r="AC5" s="182">
        <v>190.0</v>
      </c>
      <c r="AD5" s="182">
        <v>190.0</v>
      </c>
      <c r="AE5" s="182">
        <v>190.0</v>
      </c>
      <c r="AF5" s="182">
        <v>190.0</v>
      </c>
      <c r="AG5" s="182">
        <v>190.0</v>
      </c>
      <c r="AH5" s="184">
        <v>190.0</v>
      </c>
      <c r="AI5" s="204"/>
      <c r="AJ5" s="204"/>
      <c r="AK5" s="204"/>
      <c r="AL5" s="204"/>
      <c r="AM5" s="251"/>
      <c r="AN5" s="100" t="b">
        <f t="shared" si="1"/>
        <v>0</v>
      </c>
      <c r="AO5" s="102"/>
    </row>
    <row r="6" ht="14.25" customHeight="1" outlineLevel="2">
      <c r="A6" s="356"/>
      <c r="B6" s="357"/>
      <c r="C6" s="357"/>
      <c r="D6" s="271"/>
      <c r="E6" s="358" t="s">
        <v>836</v>
      </c>
      <c r="F6" s="292" t="s">
        <v>270</v>
      </c>
      <c r="G6" s="123" t="s">
        <v>837</v>
      </c>
      <c r="H6" s="259">
        <f>surter*M/(pop*k)</f>
        <v>14.64467103</v>
      </c>
      <c r="I6" s="259">
        <f>surter*M/(pop*k)</f>
        <v>14.78362577</v>
      </c>
      <c r="J6" s="259">
        <f>surter*M/(pop*k)</f>
        <v>15.41827014</v>
      </c>
      <c r="K6" s="259">
        <f>surter*M/(pop*k)</f>
        <v>15.52183014</v>
      </c>
      <c r="L6" s="259">
        <f>surter*M/(pop*k)</f>
        <v>15.8454795</v>
      </c>
      <c r="M6" s="259">
        <f>surter*M/(pop*k)</f>
        <v>16.04930538</v>
      </c>
      <c r="N6" s="259">
        <f>surter*M/(pop*k)</f>
        <v>16.29807953</v>
      </c>
      <c r="O6" s="259">
        <f>surter*M/(pop*k)</f>
        <v>16.57630052</v>
      </c>
      <c r="P6" s="259">
        <f>surter*M/(pop*k)</f>
        <v>16.69772546</v>
      </c>
      <c r="Q6" s="259">
        <f>surter*M/(pop*k)</f>
        <v>16.4607378</v>
      </c>
      <c r="R6" s="259">
        <f>surter*M/(pop*k)</f>
        <v>16.66711168</v>
      </c>
      <c r="S6" s="259">
        <f>surter*M/(pop*k)</f>
        <v>16.75998656</v>
      </c>
      <c r="T6" s="259">
        <f>surter*M/(pop*k)</f>
        <v>16.75856178</v>
      </c>
      <c r="U6" s="259">
        <f>surter*M/(pop*k)</f>
        <v>16.75511561</v>
      </c>
      <c r="V6" s="259">
        <f>surter*M/(pop*k)</f>
        <v>16.79307038</v>
      </c>
      <c r="W6" s="259">
        <f>surter*M/(pop*k)</f>
        <v>16.7613038</v>
      </c>
      <c r="X6" s="259">
        <f>surter*M/(pop*k)</f>
        <v>0</v>
      </c>
      <c r="Y6" s="259">
        <f>surter*M/(pop*k)</f>
        <v>0</v>
      </c>
      <c r="Z6" s="259">
        <f>surter*M/(pop*k)</f>
        <v>0</v>
      </c>
      <c r="AA6" s="259">
        <f>surter*M/(pop*k)</f>
        <v>0</v>
      </c>
      <c r="AB6" s="259">
        <f>surter*M/(pop*k)</f>
        <v>16.51120355</v>
      </c>
      <c r="AC6" s="259">
        <f>surter*M/(pop*k)</f>
        <v>15.78931798</v>
      </c>
      <c r="AD6" s="259">
        <f>surter*M/(pop*k)</f>
        <v>16.15922449</v>
      </c>
      <c r="AE6" s="259">
        <f>surter*M/(pop*k)</f>
        <v>15.78931798</v>
      </c>
      <c r="AF6" s="259">
        <f>surter*M/(pop*k)</f>
        <v>15.97325774</v>
      </c>
      <c r="AG6" s="259">
        <f>surter*M/(pop*k)</f>
        <v>15.95172973</v>
      </c>
      <c r="AH6" s="259">
        <f>surter*M/(pop*k)</f>
        <v>15.93025967</v>
      </c>
      <c r="AI6" s="204"/>
      <c r="AJ6" s="204"/>
      <c r="AK6" s="204"/>
      <c r="AL6" s="204"/>
      <c r="AM6" s="251"/>
      <c r="AN6" s="100" t="b">
        <f t="shared" si="1"/>
        <v>1</v>
      </c>
      <c r="AO6" s="102"/>
    </row>
    <row r="7" ht="14.25" customHeight="1" outlineLevel="1">
      <c r="A7" s="356"/>
      <c r="B7" s="331" t="s">
        <v>281</v>
      </c>
      <c r="C7" s="331"/>
      <c r="D7" s="271"/>
      <c r="E7" s="162"/>
      <c r="F7" s="162"/>
      <c r="G7" s="162"/>
      <c r="H7" s="178"/>
      <c r="I7" s="178"/>
      <c r="J7" s="178"/>
      <c r="K7" s="178"/>
      <c r="L7" s="178"/>
      <c r="M7" s="178"/>
      <c r="N7" s="178"/>
      <c r="O7" s="178"/>
      <c r="P7" s="178"/>
      <c r="Q7" s="178"/>
      <c r="R7" s="178"/>
      <c r="S7" s="178"/>
      <c r="T7" s="178"/>
      <c r="U7" s="178"/>
      <c r="V7" s="178"/>
      <c r="W7" s="178"/>
      <c r="X7" s="178"/>
      <c r="Y7" s="178"/>
      <c r="Z7" s="178"/>
      <c r="AA7" s="178"/>
      <c r="AB7" s="178"/>
      <c r="AC7" s="178"/>
      <c r="AD7" s="178"/>
      <c r="AE7" s="178"/>
      <c r="AF7" s="178"/>
      <c r="AG7" s="178"/>
      <c r="AH7" s="178"/>
      <c r="AI7" s="244"/>
      <c r="AJ7" s="244"/>
      <c r="AK7" s="244"/>
      <c r="AL7" s="244"/>
      <c r="AM7" s="162"/>
      <c r="AN7" s="100" t="b">
        <f t="shared" si="1"/>
        <v>0</v>
      </c>
      <c r="AO7" s="102"/>
    </row>
    <row r="8" ht="14.25" customHeight="1" outlineLevel="2">
      <c r="A8" s="355"/>
      <c r="B8" s="331"/>
      <c r="C8" s="331" t="s">
        <v>282</v>
      </c>
      <c r="D8" s="271"/>
      <c r="E8" s="162"/>
      <c r="F8" s="162"/>
      <c r="G8" s="162"/>
      <c r="H8" s="178"/>
      <c r="I8" s="178"/>
      <c r="J8" s="178"/>
      <c r="K8" s="178"/>
      <c r="L8" s="178"/>
      <c r="M8" s="178"/>
      <c r="N8" s="178"/>
      <c r="O8" s="178"/>
      <c r="P8" s="178"/>
      <c r="Q8" s="178"/>
      <c r="R8" s="178"/>
      <c r="S8" s="178"/>
      <c r="T8" s="178"/>
      <c r="U8" s="178"/>
      <c r="V8" s="178"/>
      <c r="W8" s="178"/>
      <c r="X8" s="178"/>
      <c r="Y8" s="178"/>
      <c r="Z8" s="178"/>
      <c r="AA8" s="178"/>
      <c r="AB8" s="178"/>
      <c r="AC8" s="178"/>
      <c r="AD8" s="178"/>
      <c r="AE8" s="178"/>
      <c r="AF8" s="178"/>
      <c r="AG8" s="178"/>
      <c r="AH8" s="178"/>
      <c r="AI8" s="244"/>
      <c r="AJ8" s="244"/>
      <c r="AK8" s="244"/>
      <c r="AL8" s="244"/>
      <c r="AM8" s="162"/>
      <c r="AN8" s="100" t="b">
        <f t="shared" si="1"/>
        <v>0</v>
      </c>
      <c r="AO8" s="102"/>
    </row>
    <row r="9" ht="14.25" customHeight="1" outlineLevel="2">
      <c r="A9" s="356"/>
      <c r="B9" s="357"/>
      <c r="C9" s="357"/>
      <c r="D9" s="271"/>
      <c r="E9" s="270" t="s">
        <v>838</v>
      </c>
      <c r="F9" s="249" t="s">
        <v>264</v>
      </c>
      <c r="G9" s="249" t="s">
        <v>839</v>
      </c>
      <c r="H9" s="260"/>
      <c r="I9" s="181">
        <v>146.290762415462</v>
      </c>
      <c r="J9" s="181">
        <v>148.029728459061</v>
      </c>
      <c r="K9" s="181">
        <v>155.081097716264</v>
      </c>
      <c r="L9" s="181">
        <v>156.821123442385</v>
      </c>
      <c r="M9" s="181">
        <v>160.718317919101</v>
      </c>
      <c r="N9" s="181">
        <v>163.559676738065</v>
      </c>
      <c r="O9" s="181">
        <v>167.136916853821</v>
      </c>
      <c r="P9" s="181">
        <v>171.173089192609</v>
      </c>
      <c r="Q9" s="181">
        <v>172.659425523748</v>
      </c>
      <c r="R9" s="181">
        <v>172.68646868468</v>
      </c>
      <c r="S9" s="181">
        <v>176.263324080857</v>
      </c>
      <c r="T9" s="181">
        <v>179.066410739323</v>
      </c>
      <c r="U9" s="181">
        <v>180.435723324576</v>
      </c>
      <c r="V9" s="181">
        <v>181.438351691768</v>
      </c>
      <c r="W9" s="182">
        <v>182.684292645651</v>
      </c>
      <c r="X9" s="181"/>
      <c r="Y9" s="181"/>
      <c r="Z9" s="181"/>
      <c r="AA9" s="181"/>
      <c r="AB9" s="182"/>
      <c r="AC9" s="182"/>
      <c r="AD9" s="182"/>
      <c r="AE9" s="182"/>
      <c r="AF9" s="182"/>
      <c r="AG9" s="182"/>
      <c r="AH9" s="184"/>
      <c r="AI9" s="204"/>
      <c r="AJ9" s="204"/>
      <c r="AK9" s="204"/>
      <c r="AL9" s="204"/>
      <c r="AM9" s="251"/>
      <c r="AN9" s="100" t="b">
        <f t="shared" si="1"/>
        <v>0</v>
      </c>
      <c r="AO9" s="102"/>
    </row>
    <row r="10" ht="14.25" customHeight="1" outlineLevel="2">
      <c r="A10" s="356"/>
      <c r="B10" s="357"/>
      <c r="C10" s="357"/>
      <c r="D10" s="271"/>
      <c r="E10" s="358" t="s">
        <v>840</v>
      </c>
      <c r="F10" s="292" t="s">
        <v>270</v>
      </c>
      <c r="G10" s="123" t="s">
        <v>841</v>
      </c>
      <c r="H10" s="259">
        <f>surterex*M/(pop*k)</f>
        <v>0</v>
      </c>
      <c r="I10" s="259">
        <f>surterex*M/(pop*k)</f>
        <v>14.25361604</v>
      </c>
      <c r="J10" s="259">
        <f>surterex*M/(pop*k)</f>
        <v>14.35826159</v>
      </c>
      <c r="K10" s="259">
        <f>surterex*M/(pop*k)</f>
        <v>14.97522536</v>
      </c>
      <c r="L10" s="259">
        <f>surterex*M/(pop*k)</f>
        <v>15.08414515</v>
      </c>
      <c r="M10" s="259">
        <f>surterex*M/(pop*k)</f>
        <v>15.38585057</v>
      </c>
      <c r="N10" s="259">
        <f>surterex*M/(pop*k)</f>
        <v>15.56024476</v>
      </c>
      <c r="O10" s="259">
        <f>surterex*M/(pop*k)</f>
        <v>15.79067315</v>
      </c>
      <c r="P10" s="259">
        <f>surterex*M/(pop*k)</f>
        <v>16.04717723</v>
      </c>
      <c r="Q10" s="259">
        <f>surterex*M/(pop*k)</f>
        <v>16.05674147</v>
      </c>
      <c r="R10" s="259">
        <f>surterex*M/(pop*k)</f>
        <v>15.93062565</v>
      </c>
      <c r="S10" s="259">
        <f>surterex*M/(pop*k)</f>
        <v>16.09524635</v>
      </c>
      <c r="T10" s="259">
        <f>surterex*M/(pop*k)</f>
        <v>16.2257389</v>
      </c>
      <c r="U10" s="259">
        <f>surterex*M/(pop*k)</f>
        <v>16.25612374</v>
      </c>
      <c r="V10" s="259">
        <f>surterex*M/(pop*k)</f>
        <v>16.27174489</v>
      </c>
      <c r="W10" s="259">
        <f>surterex*M/(pop*k)</f>
        <v>16.29793697</v>
      </c>
      <c r="X10" s="259">
        <f>surterex*M/(pop*k)</f>
        <v>0</v>
      </c>
      <c r="Y10" s="259">
        <f>surterex*M/(pop*k)</f>
        <v>0</v>
      </c>
      <c r="Z10" s="259">
        <f>surterex*M/(pop*k)</f>
        <v>0</v>
      </c>
      <c r="AA10" s="259">
        <f>surterex*M/(pop*k)</f>
        <v>0</v>
      </c>
      <c r="AB10" s="259">
        <f>surterex*M/(pop*k)</f>
        <v>0</v>
      </c>
      <c r="AC10" s="259">
        <f>surterex*M/(pop*k)</f>
        <v>0</v>
      </c>
      <c r="AD10" s="259">
        <f>surterex*M/(pop*k)</f>
        <v>0</v>
      </c>
      <c r="AE10" s="259">
        <f>surterex*M/(pop*k)</f>
        <v>0</v>
      </c>
      <c r="AF10" s="259">
        <f>surterex*M/(pop*k)</f>
        <v>0</v>
      </c>
      <c r="AG10" s="259">
        <f>surterex*M/(pop*k)</f>
        <v>0</v>
      </c>
      <c r="AH10" s="259">
        <f>surterex*M/(pop*k)</f>
        <v>0</v>
      </c>
      <c r="AI10" s="204"/>
      <c r="AJ10" s="204"/>
      <c r="AK10" s="204"/>
      <c r="AL10" s="204"/>
      <c r="AM10" s="359"/>
      <c r="AN10" s="100" t="b">
        <f t="shared" si="1"/>
        <v>1</v>
      </c>
      <c r="AO10" s="102"/>
    </row>
    <row r="11" ht="14.25" customHeight="1" outlineLevel="2">
      <c r="A11" s="355"/>
      <c r="B11" s="331"/>
      <c r="C11" s="331" t="s">
        <v>289</v>
      </c>
      <c r="D11" s="271"/>
      <c r="E11" s="162"/>
      <c r="F11" s="162"/>
      <c r="G11" s="162"/>
      <c r="H11" s="178"/>
      <c r="I11" s="178"/>
      <c r="J11" s="178"/>
      <c r="K11" s="178"/>
      <c r="L11" s="178"/>
      <c r="M11" s="178"/>
      <c r="N11" s="178"/>
      <c r="O11" s="178"/>
      <c r="P11" s="178"/>
      <c r="Q11" s="178"/>
      <c r="R11" s="178"/>
      <c r="S11" s="178"/>
      <c r="T11" s="178"/>
      <c r="U11" s="178"/>
      <c r="V11" s="178"/>
      <c r="W11" s="178"/>
      <c r="X11" s="178"/>
      <c r="Y11" s="178"/>
      <c r="Z11" s="178"/>
      <c r="AA11" s="178"/>
      <c r="AB11" s="178"/>
      <c r="AC11" s="178"/>
      <c r="AD11" s="178"/>
      <c r="AE11" s="178"/>
      <c r="AF11" s="178"/>
      <c r="AG11" s="178"/>
      <c r="AH11" s="178"/>
      <c r="AI11" s="244"/>
      <c r="AJ11" s="244"/>
      <c r="AK11" s="244"/>
      <c r="AL11" s="244"/>
      <c r="AM11" s="162"/>
      <c r="AN11" s="100" t="b">
        <f t="shared" si="1"/>
        <v>0</v>
      </c>
      <c r="AO11" s="102"/>
    </row>
    <row r="12" ht="14.25" customHeight="1" outlineLevel="2">
      <c r="A12" s="356"/>
      <c r="B12" s="357"/>
      <c r="C12" s="357"/>
      <c r="D12" s="271"/>
      <c r="E12" s="270" t="s">
        <v>842</v>
      </c>
      <c r="F12" s="249" t="s">
        <v>294</v>
      </c>
      <c r="G12" s="249" t="s">
        <v>843</v>
      </c>
      <c r="H12" s="260"/>
      <c r="I12" s="181">
        <v>5.43970925507638</v>
      </c>
      <c r="J12" s="181">
        <v>10.9283967001098</v>
      </c>
      <c r="K12" s="181">
        <v>5.66055381217987</v>
      </c>
      <c r="L12" s="181">
        <v>7.91515242469328</v>
      </c>
      <c r="M12" s="181">
        <v>6.93035073741739</v>
      </c>
      <c r="N12" s="181">
        <v>7.7556630371005</v>
      </c>
      <c r="O12" s="181">
        <v>8.31549956860305</v>
      </c>
      <c r="P12" s="181">
        <v>6.93931080739124</v>
      </c>
      <c r="Q12" s="181">
        <v>4.34420487804878</v>
      </c>
      <c r="R12" s="181">
        <v>7.98343849819896</v>
      </c>
      <c r="S12" s="181">
        <v>7.27974692694852</v>
      </c>
      <c r="T12" s="181">
        <v>5.88020566836803</v>
      </c>
      <c r="U12" s="181">
        <v>5.53858715948581</v>
      </c>
      <c r="V12" s="181">
        <v>5.81304827002433</v>
      </c>
      <c r="W12" s="182">
        <v>5.19389909702731</v>
      </c>
      <c r="X12" s="181"/>
      <c r="Y12" s="181"/>
      <c r="Z12" s="181"/>
      <c r="AA12" s="181"/>
      <c r="AB12" s="182"/>
      <c r="AC12" s="182"/>
      <c r="AD12" s="182"/>
      <c r="AE12" s="182"/>
      <c r="AF12" s="182"/>
      <c r="AG12" s="182"/>
      <c r="AH12" s="184"/>
      <c r="AI12" s="204"/>
      <c r="AJ12" s="204"/>
      <c r="AK12" s="204"/>
      <c r="AL12" s="204"/>
      <c r="AM12" s="251"/>
      <c r="AN12" s="100" t="b">
        <f t="shared" si="1"/>
        <v>0</v>
      </c>
      <c r="AO12" s="102"/>
    </row>
    <row r="13" ht="14.25" customHeight="1" outlineLevel="2">
      <c r="A13" s="356"/>
      <c r="B13" s="357"/>
      <c r="C13" s="357"/>
      <c r="D13" s="271"/>
      <c r="E13" s="358" t="s">
        <v>844</v>
      </c>
      <c r="F13" s="292" t="s">
        <v>270</v>
      </c>
      <c r="G13" s="123" t="s">
        <v>845</v>
      </c>
      <c r="H13" s="259">
        <f>surternf*M/(pop*k)</f>
        <v>0</v>
      </c>
      <c r="I13" s="259">
        <f>surternf*M/(pop*k)</f>
        <v>0.5300097273</v>
      </c>
      <c r="J13" s="259">
        <f>surternf*M/(pop*k)</f>
        <v>1.060008555</v>
      </c>
      <c r="K13" s="259">
        <f>surternf*M/(pop*k)</f>
        <v>0.5466047782</v>
      </c>
      <c r="L13" s="259">
        <f>surternf*M/(pop*k)</f>
        <v>0.76133435</v>
      </c>
      <c r="M13" s="259">
        <f>surternf*M/(pop*k)</f>
        <v>0.6634548084</v>
      </c>
      <c r="N13" s="259">
        <f>surternf*M/(pop*k)</f>
        <v>0.7378347621</v>
      </c>
      <c r="O13" s="259">
        <f>surternf*M/(pop*k)</f>
        <v>0.7856273662</v>
      </c>
      <c r="P13" s="259">
        <f>surternf*M/(pop*k)</f>
        <v>0.6505482311</v>
      </c>
      <c r="Q13" s="259">
        <f>surternf*M/(pop*k)</f>
        <v>0.403996332</v>
      </c>
      <c r="R13" s="259">
        <f>surternf*M/(pop*k)</f>
        <v>0.7364860207</v>
      </c>
      <c r="S13" s="259">
        <f>surternf*M/(pop*k)</f>
        <v>0.6647402161</v>
      </c>
      <c r="T13" s="259">
        <f>surternf*M/(pop*k)</f>
        <v>0.5328228865</v>
      </c>
      <c r="U13" s="259">
        <f>surternf*M/(pop*k)</f>
        <v>0.4989918658</v>
      </c>
      <c r="V13" s="259">
        <f>surternf*M/(pop*k)</f>
        <v>0.5213254947</v>
      </c>
      <c r="W13" s="259">
        <f>surternf*M/(pop*k)</f>
        <v>0.4633668221</v>
      </c>
      <c r="X13" s="259">
        <f>surternf*M/(pop*k)</f>
        <v>0</v>
      </c>
      <c r="Y13" s="259">
        <f>surternf*M/(pop*k)</f>
        <v>0</v>
      </c>
      <c r="Z13" s="259">
        <f>surternf*M/(pop*k)</f>
        <v>0</v>
      </c>
      <c r="AA13" s="259">
        <f>surternf*M/(pop*k)</f>
        <v>0</v>
      </c>
      <c r="AB13" s="259">
        <f>surternf*M/(pop*k)</f>
        <v>0</v>
      </c>
      <c r="AC13" s="259">
        <f>surternf*M/(pop*k)</f>
        <v>0</v>
      </c>
      <c r="AD13" s="259">
        <f>surternf*M/(pop*k)</f>
        <v>0</v>
      </c>
      <c r="AE13" s="259">
        <f>surternf*M/(pop*k)</f>
        <v>0</v>
      </c>
      <c r="AF13" s="259">
        <f>surternf*M/(pop*k)</f>
        <v>0</v>
      </c>
      <c r="AG13" s="259">
        <f>surternf*M/(pop*k)</f>
        <v>0</v>
      </c>
      <c r="AH13" s="259">
        <f>surternf*M/(pop*k)</f>
        <v>0</v>
      </c>
      <c r="AI13" s="204"/>
      <c r="AJ13" s="204"/>
      <c r="AK13" s="204"/>
      <c r="AL13" s="204"/>
      <c r="AM13" s="359"/>
      <c r="AN13" s="100" t="b">
        <f t="shared" si="1"/>
        <v>1</v>
      </c>
      <c r="AO13" s="102"/>
    </row>
    <row r="14" ht="13.5" customHeight="1" outlineLevel="2">
      <c r="A14" s="247"/>
      <c r="B14" s="201"/>
      <c r="C14" s="162" t="s">
        <v>298</v>
      </c>
      <c r="D14" s="271"/>
      <c r="E14" s="162"/>
      <c r="F14" s="162"/>
      <c r="G14" s="162"/>
      <c r="H14" s="178"/>
      <c r="I14" s="178"/>
      <c r="J14" s="178"/>
      <c r="K14" s="178"/>
      <c r="L14" s="178"/>
      <c r="M14" s="178"/>
      <c r="N14" s="178"/>
      <c r="O14" s="178"/>
      <c r="P14" s="178"/>
      <c r="Q14" s="178"/>
      <c r="R14" s="178"/>
      <c r="S14" s="178"/>
      <c r="T14" s="178"/>
      <c r="U14" s="178"/>
      <c r="V14" s="178"/>
      <c r="W14" s="178"/>
      <c r="X14" s="178"/>
      <c r="Y14" s="178"/>
      <c r="Z14" s="178"/>
      <c r="AA14" s="178"/>
      <c r="AB14" s="272"/>
      <c r="AC14" s="272"/>
      <c r="AD14" s="272"/>
      <c r="AE14" s="272"/>
      <c r="AF14" s="272"/>
      <c r="AG14" s="272"/>
      <c r="AH14" s="272"/>
      <c r="AI14" s="244"/>
      <c r="AJ14" s="244"/>
      <c r="AK14" s="244"/>
      <c r="AL14" s="244"/>
      <c r="AM14" s="162"/>
      <c r="AN14" s="100" t="b">
        <f t="shared" si="1"/>
        <v>0</v>
      </c>
      <c r="AO14" s="102"/>
    </row>
    <row r="15" ht="14.25" customHeight="1" outlineLevel="3">
      <c r="A15" s="200"/>
      <c r="B15" s="100"/>
      <c r="C15" s="201"/>
      <c r="D15" s="271"/>
      <c r="E15" s="273" t="str">
        <f>'EDCM - Tertiary'!E25</f>
        <v>Existing building destructions</v>
      </c>
      <c r="F15" s="123" t="s">
        <v>294</v>
      </c>
      <c r="G15" s="162"/>
      <c r="H15" s="274" t="str">
        <f t="array" ref="H15:AH15">'EDCM - Tertiary'!H25:AH25</f>
        <v/>
      </c>
      <c r="I15" s="274"/>
      <c r="J15" s="274"/>
      <c r="K15" s="274"/>
      <c r="L15" s="274"/>
      <c r="M15" s="274"/>
      <c r="N15" s="274"/>
      <c r="O15" s="274"/>
      <c r="P15" s="274"/>
      <c r="Q15" s="274"/>
      <c r="R15" s="274"/>
      <c r="S15" s="274"/>
      <c r="T15" s="274"/>
      <c r="U15" s="274"/>
      <c r="V15" s="274"/>
      <c r="W15" s="274"/>
      <c r="X15" s="274"/>
      <c r="Y15" s="274"/>
      <c r="Z15" s="274"/>
      <c r="AA15" s="274"/>
      <c r="AB15" s="274">
        <v>41.73075762615751</v>
      </c>
      <c r="AC15" s="274">
        <v>0.0</v>
      </c>
      <c r="AD15" s="274">
        <v>0.0</v>
      </c>
      <c r="AE15" s="274">
        <v>0.0</v>
      </c>
      <c r="AF15" s="274">
        <v>0.0</v>
      </c>
      <c r="AG15" s="274">
        <v>0.0</v>
      </c>
      <c r="AH15" s="274">
        <v>0.0</v>
      </c>
      <c r="AI15" s="204"/>
      <c r="AJ15" s="275"/>
      <c r="AK15" s="204"/>
      <c r="AL15" s="204"/>
      <c r="AM15" s="251"/>
      <c r="AN15" s="100" t="b">
        <f t="shared" si="1"/>
        <v>1</v>
      </c>
      <c r="AO15" s="102"/>
    </row>
    <row r="16" ht="14.25" customHeight="1" outlineLevel="1">
      <c r="A16" s="356"/>
      <c r="B16" s="331" t="s">
        <v>846</v>
      </c>
      <c r="C16" s="331"/>
      <c r="D16" s="271"/>
      <c r="E16" s="162"/>
      <c r="F16" s="162"/>
      <c r="G16" s="162"/>
      <c r="H16" s="178"/>
      <c r="I16" s="178"/>
      <c r="J16" s="178"/>
      <c r="K16" s="178"/>
      <c r="L16" s="178"/>
      <c r="M16" s="178"/>
      <c r="N16" s="178"/>
      <c r="O16" s="178"/>
      <c r="P16" s="178"/>
      <c r="Q16" s="178"/>
      <c r="R16" s="178"/>
      <c r="S16" s="178"/>
      <c r="T16" s="178"/>
      <c r="U16" s="178"/>
      <c r="V16" s="178"/>
      <c r="W16" s="178"/>
      <c r="X16" s="178"/>
      <c r="Y16" s="178"/>
      <c r="Z16" s="178"/>
      <c r="AA16" s="178"/>
      <c r="AB16" s="178"/>
      <c r="AC16" s="178"/>
      <c r="AD16" s="178"/>
      <c r="AE16" s="178"/>
      <c r="AF16" s="178"/>
      <c r="AG16" s="178"/>
      <c r="AH16" s="178"/>
      <c r="AI16" s="244"/>
      <c r="AJ16" s="244"/>
      <c r="AK16" s="244"/>
      <c r="AL16" s="244"/>
      <c r="AM16" s="162"/>
      <c r="AN16" s="100" t="b">
        <f t="shared" si="1"/>
        <v>0</v>
      </c>
      <c r="AO16" s="102"/>
    </row>
    <row r="17" ht="14.25" customHeight="1" outlineLevel="2">
      <c r="A17" s="356"/>
      <c r="B17" s="357"/>
      <c r="C17" s="357"/>
      <c r="D17" s="271"/>
      <c r="E17" s="252" t="s">
        <v>847</v>
      </c>
      <c r="F17" s="249" t="s">
        <v>264</v>
      </c>
      <c r="G17" s="249" t="s">
        <v>848</v>
      </c>
      <c r="H17" s="260"/>
      <c r="I17" s="181"/>
      <c r="J17" s="181"/>
      <c r="K17" s="181"/>
      <c r="L17" s="181"/>
      <c r="M17" s="181"/>
      <c r="N17" s="181"/>
      <c r="O17" s="181"/>
      <c r="P17" s="181"/>
      <c r="Q17" s="181"/>
      <c r="R17" s="181"/>
      <c r="S17" s="181"/>
      <c r="T17" s="181"/>
      <c r="U17" s="181"/>
      <c r="V17" s="181"/>
      <c r="W17" s="182"/>
      <c r="X17" s="181"/>
      <c r="Y17" s="181"/>
      <c r="Z17" s="181"/>
      <c r="AA17" s="181"/>
      <c r="AB17" s="182"/>
      <c r="AC17" s="182"/>
      <c r="AD17" s="182"/>
      <c r="AE17" s="182"/>
      <c r="AF17" s="182"/>
      <c r="AG17" s="182"/>
      <c r="AH17" s="184"/>
      <c r="AI17" s="204"/>
      <c r="AJ17" s="204"/>
      <c r="AK17" s="204"/>
      <c r="AL17" s="204"/>
      <c r="AM17" s="360"/>
      <c r="AN17" s="100" t="b">
        <f t="shared" si="1"/>
        <v>0</v>
      </c>
      <c r="AO17" s="102"/>
    </row>
    <row r="18" ht="14.25" customHeight="1" outlineLevel="2">
      <c r="A18" s="356"/>
      <c r="B18" s="357"/>
      <c r="C18" s="357"/>
      <c r="D18" s="271"/>
      <c r="E18" s="252" t="s">
        <v>849</v>
      </c>
      <c r="F18" s="249" t="s">
        <v>264</v>
      </c>
      <c r="G18" s="249" t="s">
        <v>850</v>
      </c>
      <c r="H18" s="260"/>
      <c r="I18" s="181"/>
      <c r="J18" s="181"/>
      <c r="K18" s="181"/>
      <c r="L18" s="181"/>
      <c r="M18" s="181"/>
      <c r="N18" s="181"/>
      <c r="O18" s="181"/>
      <c r="P18" s="181"/>
      <c r="Q18" s="181"/>
      <c r="R18" s="181"/>
      <c r="S18" s="181"/>
      <c r="T18" s="181"/>
      <c r="U18" s="181"/>
      <c r="V18" s="181"/>
      <c r="W18" s="182"/>
      <c r="X18" s="181"/>
      <c r="Y18" s="181"/>
      <c r="Z18" s="181"/>
      <c r="AA18" s="181"/>
      <c r="AB18" s="182"/>
      <c r="AC18" s="182"/>
      <c r="AD18" s="182"/>
      <c r="AE18" s="182"/>
      <c r="AF18" s="182"/>
      <c r="AG18" s="182"/>
      <c r="AH18" s="184"/>
      <c r="AI18" s="204"/>
      <c r="AJ18" s="204"/>
      <c r="AK18" s="204"/>
      <c r="AL18" s="204"/>
      <c r="AM18" s="360"/>
      <c r="AN18" s="100" t="b">
        <f t="shared" si="1"/>
        <v>0</v>
      </c>
      <c r="AO18" s="102"/>
    </row>
    <row r="19" ht="14.25" customHeight="1" outlineLevel="2">
      <c r="A19" s="356"/>
      <c r="B19" s="357"/>
      <c r="C19" s="357"/>
      <c r="D19" s="271"/>
      <c r="E19" s="252" t="s">
        <v>851</v>
      </c>
      <c r="F19" s="249" t="s">
        <v>264</v>
      </c>
      <c r="G19" s="249" t="s">
        <v>852</v>
      </c>
      <c r="H19" s="260"/>
      <c r="I19" s="181"/>
      <c r="J19" s="181"/>
      <c r="K19" s="181"/>
      <c r="L19" s="181"/>
      <c r="M19" s="181"/>
      <c r="N19" s="181"/>
      <c r="O19" s="181"/>
      <c r="P19" s="181"/>
      <c r="Q19" s="181"/>
      <c r="R19" s="181"/>
      <c r="S19" s="181"/>
      <c r="T19" s="181"/>
      <c r="U19" s="181"/>
      <c r="V19" s="181"/>
      <c r="W19" s="182"/>
      <c r="X19" s="181"/>
      <c r="Y19" s="181"/>
      <c r="Z19" s="181"/>
      <c r="AA19" s="181"/>
      <c r="AB19" s="182"/>
      <c r="AC19" s="182"/>
      <c r="AD19" s="182"/>
      <c r="AE19" s="182"/>
      <c r="AF19" s="182"/>
      <c r="AG19" s="182"/>
      <c r="AH19" s="184"/>
      <c r="AI19" s="204"/>
      <c r="AJ19" s="204"/>
      <c r="AK19" s="204"/>
      <c r="AL19" s="204"/>
      <c r="AM19" s="360"/>
      <c r="AN19" s="100" t="b">
        <f t="shared" si="1"/>
        <v>0</v>
      </c>
      <c r="AO19" s="102"/>
    </row>
    <row r="20" ht="14.25" customHeight="1" outlineLevel="2">
      <c r="A20" s="356"/>
      <c r="B20" s="357"/>
      <c r="C20" s="357"/>
      <c r="D20" s="271"/>
      <c r="E20" s="252" t="s">
        <v>853</v>
      </c>
      <c r="F20" s="249" t="s">
        <v>264</v>
      </c>
      <c r="G20" s="249" t="s">
        <v>854</v>
      </c>
      <c r="H20" s="260"/>
      <c r="I20" s="181"/>
      <c r="J20" s="181"/>
      <c r="K20" s="181"/>
      <c r="L20" s="181"/>
      <c r="M20" s="181"/>
      <c r="N20" s="181"/>
      <c r="O20" s="181"/>
      <c r="P20" s="181"/>
      <c r="Q20" s="181"/>
      <c r="R20" s="181"/>
      <c r="S20" s="181"/>
      <c r="T20" s="181"/>
      <c r="U20" s="181"/>
      <c r="V20" s="181"/>
      <c r="W20" s="182"/>
      <c r="X20" s="181"/>
      <c r="Y20" s="181"/>
      <c r="Z20" s="181"/>
      <c r="AA20" s="181"/>
      <c r="AB20" s="182"/>
      <c r="AC20" s="182"/>
      <c r="AD20" s="182"/>
      <c r="AE20" s="182"/>
      <c r="AF20" s="182"/>
      <c r="AG20" s="182"/>
      <c r="AH20" s="184"/>
      <c r="AI20" s="204"/>
      <c r="AJ20" s="204"/>
      <c r="AK20" s="204"/>
      <c r="AL20" s="204"/>
      <c r="AM20" s="360"/>
      <c r="AN20" s="100" t="b">
        <f t="shared" si="1"/>
        <v>0</v>
      </c>
      <c r="AO20" s="102"/>
    </row>
    <row r="21" ht="14.25" customHeight="1" outlineLevel="2">
      <c r="A21" s="356"/>
      <c r="B21" s="357"/>
      <c r="C21" s="357"/>
      <c r="D21" s="271"/>
      <c r="E21" s="252" t="s">
        <v>855</v>
      </c>
      <c r="F21" s="249" t="s">
        <v>264</v>
      </c>
      <c r="G21" s="249" t="s">
        <v>856</v>
      </c>
      <c r="H21" s="260"/>
      <c r="I21" s="181"/>
      <c r="J21" s="181"/>
      <c r="K21" s="181"/>
      <c r="L21" s="181"/>
      <c r="M21" s="181"/>
      <c r="N21" s="181"/>
      <c r="O21" s="181"/>
      <c r="P21" s="181"/>
      <c r="Q21" s="181"/>
      <c r="R21" s="181"/>
      <c r="S21" s="181"/>
      <c r="T21" s="181"/>
      <c r="U21" s="181"/>
      <c r="V21" s="181"/>
      <c r="W21" s="182"/>
      <c r="X21" s="181"/>
      <c r="Y21" s="181"/>
      <c r="Z21" s="181"/>
      <c r="AA21" s="181"/>
      <c r="AB21" s="182"/>
      <c r="AC21" s="182"/>
      <c r="AD21" s="182"/>
      <c r="AE21" s="182"/>
      <c r="AF21" s="182"/>
      <c r="AG21" s="182"/>
      <c r="AH21" s="184"/>
      <c r="AI21" s="204"/>
      <c r="AJ21" s="204"/>
      <c r="AK21" s="204"/>
      <c r="AL21" s="204"/>
      <c r="AM21" s="360"/>
      <c r="AN21" s="100" t="b">
        <f t="shared" si="1"/>
        <v>0</v>
      </c>
      <c r="AO21" s="102"/>
    </row>
    <row r="22" ht="14.25" customHeight="1" outlineLevel="2">
      <c r="A22" s="356"/>
      <c r="B22" s="357"/>
      <c r="C22" s="357"/>
      <c r="D22" s="271"/>
      <c r="E22" s="252" t="s">
        <v>857</v>
      </c>
      <c r="F22" s="249" t="s">
        <v>264</v>
      </c>
      <c r="G22" s="249" t="s">
        <v>858</v>
      </c>
      <c r="H22" s="260"/>
      <c r="I22" s="181"/>
      <c r="J22" s="181"/>
      <c r="K22" s="181"/>
      <c r="L22" s="181"/>
      <c r="M22" s="181"/>
      <c r="N22" s="181"/>
      <c r="O22" s="181"/>
      <c r="P22" s="181"/>
      <c r="Q22" s="181"/>
      <c r="R22" s="181"/>
      <c r="S22" s="181"/>
      <c r="T22" s="181"/>
      <c r="U22" s="181"/>
      <c r="V22" s="181"/>
      <c r="W22" s="182"/>
      <c r="X22" s="181"/>
      <c r="Y22" s="181"/>
      <c r="Z22" s="181"/>
      <c r="AA22" s="181"/>
      <c r="AB22" s="182"/>
      <c r="AC22" s="182"/>
      <c r="AD22" s="182"/>
      <c r="AE22" s="182"/>
      <c r="AF22" s="182"/>
      <c r="AG22" s="182"/>
      <c r="AH22" s="184"/>
      <c r="AI22" s="204"/>
      <c r="AJ22" s="204"/>
      <c r="AK22" s="204"/>
      <c r="AL22" s="204"/>
      <c r="AM22" s="360"/>
      <c r="AN22" s="100" t="b">
        <f t="shared" si="1"/>
        <v>0</v>
      </c>
      <c r="AO22" s="102"/>
    </row>
    <row r="23" ht="14.25" customHeight="1" outlineLevel="2">
      <c r="A23" s="356"/>
      <c r="B23" s="357"/>
      <c r="C23" s="357"/>
      <c r="D23" s="271"/>
      <c r="E23" s="252" t="s">
        <v>859</v>
      </c>
      <c r="F23" s="123" t="s">
        <v>264</v>
      </c>
      <c r="G23" s="123" t="s">
        <v>860</v>
      </c>
      <c r="H23" s="260"/>
      <c r="I23" s="181"/>
      <c r="J23" s="181"/>
      <c r="K23" s="181"/>
      <c r="L23" s="181"/>
      <c r="M23" s="181"/>
      <c r="N23" s="181"/>
      <c r="O23" s="181"/>
      <c r="P23" s="181"/>
      <c r="Q23" s="181"/>
      <c r="R23" s="181"/>
      <c r="S23" s="181"/>
      <c r="T23" s="181"/>
      <c r="U23" s="181"/>
      <c r="V23" s="181"/>
      <c r="W23" s="182"/>
      <c r="X23" s="181"/>
      <c r="Y23" s="181"/>
      <c r="Z23" s="181"/>
      <c r="AA23" s="181"/>
      <c r="AB23" s="182"/>
      <c r="AC23" s="182"/>
      <c r="AD23" s="182"/>
      <c r="AE23" s="182"/>
      <c r="AF23" s="182"/>
      <c r="AG23" s="182"/>
      <c r="AH23" s="184"/>
      <c r="AI23" s="204"/>
      <c r="AJ23" s="204"/>
      <c r="AK23" s="204"/>
      <c r="AL23" s="204"/>
      <c r="AM23" s="360"/>
      <c r="AN23" s="100" t="b">
        <f t="shared" si="1"/>
        <v>0</v>
      </c>
      <c r="AO23" s="102"/>
    </row>
    <row r="24" ht="14.25" customHeight="1" outlineLevel="2">
      <c r="A24" s="356"/>
      <c r="B24" s="357"/>
      <c r="C24" s="357"/>
      <c r="D24" s="271"/>
      <c r="E24" s="358" t="s">
        <v>861</v>
      </c>
      <c r="F24" s="123" t="s">
        <v>264</v>
      </c>
      <c r="G24" s="123" t="s">
        <v>862</v>
      </c>
      <c r="H24" s="274">
        <f>surter-SUM(H17:H23)</f>
        <v>149.9480315</v>
      </c>
      <c r="I24" s="274">
        <f>surter-SUM(I17:I23)</f>
        <v>151.7304717</v>
      </c>
      <c r="J24" s="274">
        <f>surter-SUM(J17:J23)</f>
        <v>158.9581252</v>
      </c>
      <c r="K24" s="274">
        <f>surter-SUM(K17:K23)</f>
        <v>160.7416515</v>
      </c>
      <c r="L24" s="274">
        <f>surter-SUM(L17:L23)</f>
        <v>164.7362759</v>
      </c>
      <c r="M24" s="274">
        <f>surter-SUM(M17:M23)</f>
        <v>167.6486687</v>
      </c>
      <c r="N24" s="274">
        <f>surter-SUM(N17:N23)</f>
        <v>171.3153398</v>
      </c>
      <c r="O24" s="274">
        <f>surter-SUM(O17:O23)</f>
        <v>175.4524164</v>
      </c>
      <c r="P24" s="274">
        <f>surter-SUM(P17:P23)</f>
        <v>178.1124</v>
      </c>
      <c r="Q24" s="274">
        <f>surter-SUM(Q17:Q23)</f>
        <v>177.0036304</v>
      </c>
      <c r="R24" s="274">
        <f>surter-SUM(R17:R23)</f>
        <v>180.6699072</v>
      </c>
      <c r="S24" s="274">
        <f>surter-SUM(S17:S23)</f>
        <v>183.543071</v>
      </c>
      <c r="T24" s="274">
        <f>surter-SUM(T17:T23)</f>
        <v>184.9466164</v>
      </c>
      <c r="U24" s="274">
        <f>surter-SUM(U17:U23)</f>
        <v>185.9743105</v>
      </c>
      <c r="V24" s="274">
        <f>surter-SUM(V17:V23)</f>
        <v>187.2514</v>
      </c>
      <c r="W24" s="274">
        <f>surter-SUM(W17:W23)</f>
        <v>187.8781917</v>
      </c>
      <c r="X24" s="274">
        <f>surter-SUM(X17:X23)</f>
        <v>0</v>
      </c>
      <c r="Y24" s="274">
        <f>surter-SUM(Y17:Y23)</f>
        <v>0</v>
      </c>
      <c r="Z24" s="274">
        <f>surter-SUM(Z17:Z23)</f>
        <v>0</v>
      </c>
      <c r="AA24" s="274">
        <f>surter-SUM(AA17:AA23)</f>
        <v>0</v>
      </c>
      <c r="AB24" s="274">
        <f>surter-SUM(AB17:AB23)</f>
        <v>190</v>
      </c>
      <c r="AC24" s="274">
        <f>surter-SUM(AC17:AC23)</f>
        <v>190</v>
      </c>
      <c r="AD24" s="274">
        <f>surter-SUM(AD17:AD23)</f>
        <v>190</v>
      </c>
      <c r="AE24" s="274">
        <f>surter-SUM(AE17:AE23)</f>
        <v>190</v>
      </c>
      <c r="AF24" s="274">
        <f>surter-SUM(AF17:AF23)</f>
        <v>190</v>
      </c>
      <c r="AG24" s="274">
        <f>surter-SUM(AG17:AG23)</f>
        <v>190</v>
      </c>
      <c r="AH24" s="274">
        <f>surter-SUM(AH17:AH23)</f>
        <v>190</v>
      </c>
      <c r="AI24" s="204"/>
      <c r="AJ24" s="204"/>
      <c r="AK24" s="204"/>
      <c r="AL24" s="204"/>
      <c r="AM24" s="360"/>
      <c r="AN24" s="100" t="b">
        <f t="shared" si="1"/>
        <v>1</v>
      </c>
      <c r="AO24" s="102"/>
    </row>
    <row r="25" ht="14.25" customHeight="1">
      <c r="A25" s="355" t="s">
        <v>628</v>
      </c>
      <c r="B25" s="357"/>
      <c r="C25" s="357"/>
      <c r="D25" s="271"/>
      <c r="E25" s="162"/>
      <c r="F25" s="162"/>
      <c r="G25" s="162"/>
      <c r="H25" s="178"/>
      <c r="I25" s="178"/>
      <c r="J25" s="178"/>
      <c r="K25" s="178"/>
      <c r="L25" s="178"/>
      <c r="M25" s="178"/>
      <c r="N25" s="178"/>
      <c r="O25" s="178"/>
      <c r="P25" s="178"/>
      <c r="Q25" s="178"/>
      <c r="R25" s="178"/>
      <c r="S25" s="178"/>
      <c r="T25" s="178"/>
      <c r="U25" s="178"/>
      <c r="V25" s="178"/>
      <c r="W25" s="178"/>
      <c r="X25" s="178"/>
      <c r="Y25" s="178"/>
      <c r="Z25" s="178"/>
      <c r="AA25" s="178"/>
      <c r="AB25" s="178"/>
      <c r="AC25" s="178"/>
      <c r="AD25" s="178"/>
      <c r="AE25" s="178"/>
      <c r="AF25" s="178"/>
      <c r="AG25" s="178"/>
      <c r="AH25" s="178"/>
      <c r="AI25" s="244"/>
      <c r="AJ25" s="244"/>
      <c r="AK25" s="244"/>
      <c r="AL25" s="244"/>
      <c r="AM25" s="162"/>
      <c r="AN25" s="100" t="b">
        <f t="shared" si="1"/>
        <v>0</v>
      </c>
      <c r="AO25" s="102"/>
    </row>
    <row r="26" ht="14.25" customHeight="1" outlineLevel="1">
      <c r="A26" s="361"/>
      <c r="B26" s="331" t="s">
        <v>863</v>
      </c>
      <c r="C26" s="357"/>
      <c r="D26" s="271"/>
      <c r="E26" s="162"/>
      <c r="F26" s="162"/>
      <c r="G26" s="162"/>
      <c r="H26" s="178"/>
      <c r="I26" s="178"/>
      <c r="J26" s="178"/>
      <c r="K26" s="178"/>
      <c r="L26" s="178"/>
      <c r="M26" s="178"/>
      <c r="N26" s="178"/>
      <c r="O26" s="178"/>
      <c r="P26" s="178"/>
      <c r="Q26" s="178"/>
      <c r="R26" s="178"/>
      <c r="S26" s="178"/>
      <c r="T26" s="178"/>
      <c r="U26" s="178"/>
      <c r="V26" s="178"/>
      <c r="W26" s="178"/>
      <c r="X26" s="178"/>
      <c r="Y26" s="178"/>
      <c r="Z26" s="178"/>
      <c r="AA26" s="178"/>
      <c r="AB26" s="178"/>
      <c r="AC26" s="178"/>
      <c r="AD26" s="178"/>
      <c r="AE26" s="178"/>
      <c r="AF26" s="178"/>
      <c r="AG26" s="178"/>
      <c r="AH26" s="178"/>
      <c r="AI26" s="244"/>
      <c r="AJ26" s="244"/>
      <c r="AK26" s="244"/>
      <c r="AL26" s="244"/>
      <c r="AM26" s="162"/>
      <c r="AN26" s="100" t="b">
        <f t="shared" si="1"/>
        <v>0</v>
      </c>
      <c r="AO26" s="102"/>
    </row>
    <row r="27" ht="14.25" customHeight="1" outlineLevel="2">
      <c r="A27" s="361"/>
      <c r="B27" s="357"/>
      <c r="C27" s="357"/>
      <c r="D27" s="271"/>
      <c r="E27" s="270" t="s">
        <v>864</v>
      </c>
      <c r="F27" s="249" t="s">
        <v>303</v>
      </c>
      <c r="G27" s="249" t="s">
        <v>865</v>
      </c>
      <c r="H27" s="260">
        <v>112.05044609901</v>
      </c>
      <c r="I27" s="181">
        <v>119.304473124954</v>
      </c>
      <c r="J27" s="181">
        <v>117.207774984481</v>
      </c>
      <c r="K27" s="181">
        <v>125.392815142714</v>
      </c>
      <c r="L27" s="181">
        <v>129.190119879282</v>
      </c>
      <c r="M27" s="181">
        <v>125.462119720587</v>
      </c>
      <c r="N27" s="181">
        <v>131.361079194286</v>
      </c>
      <c r="O27" s="181">
        <v>107.722787556538</v>
      </c>
      <c r="P27" s="181">
        <v>144.634833213483</v>
      </c>
      <c r="Q27" s="181">
        <v>142.56897821333</v>
      </c>
      <c r="R27" s="181">
        <v>159.41691771384</v>
      </c>
      <c r="S27" s="181">
        <v>129.494900901932</v>
      </c>
      <c r="T27" s="181">
        <v>133.985165013204</v>
      </c>
      <c r="U27" s="181">
        <v>153.157660169176</v>
      </c>
      <c r="V27" s="181">
        <v>121.900470019097</v>
      </c>
      <c r="W27" s="182">
        <v>142.094737534522</v>
      </c>
      <c r="X27" s="181"/>
      <c r="Y27" s="181"/>
      <c r="Z27" s="181"/>
      <c r="AA27" s="181"/>
      <c r="AB27" s="182"/>
      <c r="AC27" s="182"/>
      <c r="AD27" s="182"/>
      <c r="AE27" s="182"/>
      <c r="AF27" s="182"/>
      <c r="AG27" s="182"/>
      <c r="AH27" s="184"/>
      <c r="AI27" s="204"/>
      <c r="AJ27" s="204"/>
      <c r="AK27" s="204"/>
      <c r="AL27" s="204"/>
      <c r="AM27" s="251"/>
      <c r="AN27" s="100" t="b">
        <f t="shared" si="1"/>
        <v>0</v>
      </c>
      <c r="AO27" s="102"/>
    </row>
    <row r="28" ht="14.25" customHeight="1" outlineLevel="2">
      <c r="A28" s="361"/>
      <c r="B28" s="357"/>
      <c r="C28" s="357"/>
      <c r="D28" s="271"/>
      <c r="E28" s="270" t="s">
        <v>866</v>
      </c>
      <c r="F28" s="249" t="s">
        <v>303</v>
      </c>
      <c r="G28" s="249" t="s">
        <v>867</v>
      </c>
      <c r="H28" s="260"/>
      <c r="I28" s="181"/>
      <c r="J28" s="181"/>
      <c r="K28" s="181"/>
      <c r="L28" s="181"/>
      <c r="M28" s="181"/>
      <c r="N28" s="181"/>
      <c r="O28" s="181"/>
      <c r="P28" s="181"/>
      <c r="Q28" s="181"/>
      <c r="R28" s="181"/>
      <c r="S28" s="181"/>
      <c r="T28" s="181"/>
      <c r="U28" s="181"/>
      <c r="V28" s="181"/>
      <c r="W28" s="182">
        <v>67.5</v>
      </c>
      <c r="X28" s="181">
        <v>67.5</v>
      </c>
      <c r="Y28" s="181">
        <v>67.5</v>
      </c>
      <c r="Z28" s="181">
        <v>67.5</v>
      </c>
      <c r="AA28" s="181">
        <v>67.5</v>
      </c>
      <c r="AB28" s="182">
        <v>67.5</v>
      </c>
      <c r="AC28" s="182">
        <v>27.0</v>
      </c>
      <c r="AD28" s="182">
        <v>27.0</v>
      </c>
      <c r="AE28" s="182">
        <v>27.0</v>
      </c>
      <c r="AF28" s="182">
        <v>27.0</v>
      </c>
      <c r="AG28" s="182">
        <v>27.0</v>
      </c>
      <c r="AH28" s="184">
        <v>27.0</v>
      </c>
      <c r="AI28" s="204"/>
      <c r="AJ28" s="204"/>
      <c r="AK28" s="204"/>
      <c r="AL28" s="204"/>
      <c r="AM28" s="251"/>
      <c r="AN28" s="100" t="b">
        <f t="shared" si="1"/>
        <v>0</v>
      </c>
      <c r="AO28" s="102"/>
    </row>
    <row r="29" ht="14.25" customHeight="1" outlineLevel="2">
      <c r="A29" s="361"/>
      <c r="B29" s="357"/>
      <c r="C29" s="357"/>
      <c r="D29" s="271"/>
      <c r="E29" s="270" t="s">
        <v>868</v>
      </c>
      <c r="F29" s="249" t="s">
        <v>303</v>
      </c>
      <c r="G29" s="249" t="s">
        <v>869</v>
      </c>
      <c r="H29" s="260"/>
      <c r="I29" s="181"/>
      <c r="J29" s="181"/>
      <c r="K29" s="181"/>
      <c r="L29" s="181"/>
      <c r="M29" s="181"/>
      <c r="N29" s="181"/>
      <c r="O29" s="181"/>
      <c r="P29" s="181"/>
      <c r="Q29" s="181"/>
      <c r="R29" s="181"/>
      <c r="S29" s="181"/>
      <c r="T29" s="181"/>
      <c r="U29" s="181"/>
      <c r="V29" s="181"/>
      <c r="W29" s="182"/>
      <c r="X29" s="181"/>
      <c r="Y29" s="181"/>
      <c r="Z29" s="181"/>
      <c r="AA29" s="181"/>
      <c r="AB29" s="182"/>
      <c r="AC29" s="182"/>
      <c r="AD29" s="182"/>
      <c r="AE29" s="182"/>
      <c r="AF29" s="182"/>
      <c r="AG29" s="182"/>
      <c r="AH29" s="184"/>
      <c r="AI29" s="204"/>
      <c r="AJ29" s="204"/>
      <c r="AK29" s="204"/>
      <c r="AL29" s="204"/>
      <c r="AM29" s="251"/>
      <c r="AN29" s="100" t="b">
        <f t="shared" si="1"/>
        <v>0</v>
      </c>
      <c r="AO29" s="102"/>
    </row>
    <row r="30" ht="14.25" customHeight="1" outlineLevel="2">
      <c r="A30" s="361"/>
      <c r="B30" s="357"/>
      <c r="C30" s="357"/>
      <c r="D30" s="271"/>
      <c r="E30" s="122" t="s">
        <v>870</v>
      </c>
      <c r="F30" s="123" t="s">
        <v>314</v>
      </c>
      <c r="G30" s="123" t="s">
        <v>871</v>
      </c>
      <c r="H30" s="253"/>
      <c r="I30" s="254"/>
      <c r="J30" s="254"/>
      <c r="K30" s="254"/>
      <c r="L30" s="254"/>
      <c r="M30" s="254"/>
      <c r="N30" s="254"/>
      <c r="O30" s="254"/>
      <c r="P30" s="254"/>
      <c r="Q30" s="254"/>
      <c r="R30" s="254"/>
      <c r="S30" s="254"/>
      <c r="T30" s="254"/>
      <c r="U30" s="254"/>
      <c r="V30" s="254"/>
      <c r="W30" s="256">
        <v>0.0</v>
      </c>
      <c r="X30" s="254">
        <v>0.01</v>
      </c>
      <c r="Y30" s="254">
        <v>0.02</v>
      </c>
      <c r="Z30" s="254">
        <v>0.03</v>
      </c>
      <c r="AA30" s="254">
        <v>0.04</v>
      </c>
      <c r="AB30" s="256">
        <v>0.05</v>
      </c>
      <c r="AC30" s="256">
        <v>0.1</v>
      </c>
      <c r="AD30" s="256">
        <v>0.24</v>
      </c>
      <c r="AE30" s="256">
        <v>0.38</v>
      </c>
      <c r="AF30" s="256">
        <v>0.52</v>
      </c>
      <c r="AG30" s="256">
        <v>0.66</v>
      </c>
      <c r="AH30" s="257">
        <v>0.8</v>
      </c>
      <c r="AI30" s="204"/>
      <c r="AJ30" s="204"/>
      <c r="AK30" s="204"/>
      <c r="AL30" s="204"/>
      <c r="AM30" s="251"/>
      <c r="AN30" s="100" t="b">
        <f t="shared" si="1"/>
        <v>0</v>
      </c>
      <c r="AO30" s="102"/>
    </row>
    <row r="31" ht="13.5" customHeight="1" outlineLevel="2">
      <c r="A31" s="247"/>
      <c r="B31" s="201"/>
      <c r="C31" s="162" t="s">
        <v>298</v>
      </c>
      <c r="D31" s="271"/>
      <c r="E31" s="162"/>
      <c r="F31" s="162"/>
      <c r="G31" s="162"/>
      <c r="H31" s="178"/>
      <c r="I31" s="178"/>
      <c r="J31" s="178"/>
      <c r="K31" s="178"/>
      <c r="L31" s="178"/>
      <c r="M31" s="178"/>
      <c r="N31" s="178"/>
      <c r="O31" s="178"/>
      <c r="P31" s="178"/>
      <c r="Q31" s="178"/>
      <c r="R31" s="178"/>
      <c r="S31" s="178"/>
      <c r="T31" s="178"/>
      <c r="U31" s="178"/>
      <c r="V31" s="178"/>
      <c r="W31" s="178"/>
      <c r="X31" s="178"/>
      <c r="Y31" s="178"/>
      <c r="Z31" s="178"/>
      <c r="AA31" s="178"/>
      <c r="AB31" s="272"/>
      <c r="AC31" s="272"/>
      <c r="AD31" s="272"/>
      <c r="AE31" s="272"/>
      <c r="AF31" s="272"/>
      <c r="AG31" s="272"/>
      <c r="AH31" s="272"/>
      <c r="AI31" s="244"/>
      <c r="AJ31" s="244"/>
      <c r="AK31" s="244"/>
      <c r="AL31" s="244"/>
      <c r="AM31" s="162"/>
      <c r="AN31" s="100" t="b">
        <f t="shared" si="1"/>
        <v>0</v>
      </c>
      <c r="AO31" s="102"/>
    </row>
    <row r="32" ht="14.25" customHeight="1" outlineLevel="3">
      <c r="A32" s="200"/>
      <c r="B32" s="100"/>
      <c r="C32" s="201"/>
      <c r="D32" s="271"/>
      <c r="E32" s="273" t="str">
        <f t="array" ref="E32:E33">'EDCM - Tertiary'!E31:E32</f>
        <v>Heating needs of unrenovated recently built buildings</v>
      </c>
      <c r="F32" s="249" t="s">
        <v>303</v>
      </c>
      <c r="G32" s="162"/>
      <c r="H32" s="274" t="str">
        <f t="array" ref="H32:AH33">'EDCM - Tertiary'!H31:AH32</f>
        <v/>
      </c>
      <c r="I32" s="274"/>
      <c r="J32" s="274"/>
      <c r="K32" s="274"/>
      <c r="L32" s="274"/>
      <c r="M32" s="274"/>
      <c r="N32" s="274"/>
      <c r="O32" s="274"/>
      <c r="P32" s="274"/>
      <c r="Q32" s="274"/>
      <c r="R32" s="274"/>
      <c r="S32" s="274"/>
      <c r="T32" s="274"/>
      <c r="U32" s="274"/>
      <c r="V32" s="274"/>
      <c r="W32" s="274"/>
      <c r="X32" s="274"/>
      <c r="Y32" s="274"/>
      <c r="Z32" s="274"/>
      <c r="AA32" s="274"/>
      <c r="AB32" s="274" t="s">
        <v>872</v>
      </c>
      <c r="AC32" s="274" t="s">
        <v>872</v>
      </c>
      <c r="AD32" s="274" t="s">
        <v>872</v>
      </c>
      <c r="AE32" s="274" t="s">
        <v>872</v>
      </c>
      <c r="AF32" s="274" t="s">
        <v>872</v>
      </c>
      <c r="AG32" s="274" t="s">
        <v>872</v>
      </c>
      <c r="AH32" s="274" t="s">
        <v>872</v>
      </c>
      <c r="AI32" s="204"/>
      <c r="AJ32" s="275"/>
      <c r="AK32" s="204"/>
      <c r="AL32" s="204"/>
      <c r="AM32" s="251"/>
      <c r="AN32" s="100" t="b">
        <f t="shared" si="1"/>
        <v>1</v>
      </c>
      <c r="AO32" s="102"/>
    </row>
    <row r="33" ht="14.25" customHeight="1" outlineLevel="3">
      <c r="A33" s="200"/>
      <c r="B33" s="201"/>
      <c r="C33" s="201"/>
      <c r="D33" s="271"/>
      <c r="E33" s="273" t="s">
        <v>316</v>
      </c>
      <c r="F33" s="123" t="s">
        <v>303</v>
      </c>
      <c r="G33" s="162"/>
      <c r="H33" s="274"/>
      <c r="I33" s="274"/>
      <c r="J33" s="274"/>
      <c r="K33" s="274"/>
      <c r="L33" s="274"/>
      <c r="M33" s="274"/>
      <c r="N33" s="274"/>
      <c r="O33" s="274"/>
      <c r="P33" s="274"/>
      <c r="Q33" s="274"/>
      <c r="R33" s="274"/>
      <c r="S33" s="274"/>
      <c r="T33" s="274"/>
      <c r="U33" s="274"/>
      <c r="V33" s="274"/>
      <c r="W33" s="274">
        <v>142.09473753452204</v>
      </c>
      <c r="X33" s="274"/>
      <c r="Y33" s="274"/>
      <c r="Z33" s="274"/>
      <c r="AA33" s="274"/>
      <c r="AB33" s="274" t="s">
        <v>872</v>
      </c>
      <c r="AC33" s="274" t="s">
        <v>872</v>
      </c>
      <c r="AD33" s="274" t="s">
        <v>872</v>
      </c>
      <c r="AE33" s="274" t="s">
        <v>872</v>
      </c>
      <c r="AF33" s="274" t="s">
        <v>872</v>
      </c>
      <c r="AG33" s="274" t="s">
        <v>872</v>
      </c>
      <c r="AH33" s="274" t="s">
        <v>872</v>
      </c>
      <c r="AI33" s="204"/>
      <c r="AJ33" s="275"/>
      <c r="AK33" s="204"/>
      <c r="AL33" s="204"/>
      <c r="AM33" s="251"/>
      <c r="AN33" s="100" t="b">
        <f t="shared" si="1"/>
        <v>0</v>
      </c>
      <c r="AO33" s="102"/>
    </row>
    <row r="34" ht="14.25" customHeight="1" outlineLevel="1">
      <c r="A34" s="361"/>
      <c r="B34" s="331" t="s">
        <v>319</v>
      </c>
      <c r="C34" s="357"/>
      <c r="D34" s="271"/>
      <c r="E34" s="162"/>
      <c r="F34" s="162"/>
      <c r="G34" s="162"/>
      <c r="H34" s="178"/>
      <c r="I34" s="178"/>
      <c r="J34" s="178"/>
      <c r="K34" s="178"/>
      <c r="L34" s="178"/>
      <c r="M34" s="178"/>
      <c r="N34" s="178"/>
      <c r="O34" s="178"/>
      <c r="P34" s="178"/>
      <c r="Q34" s="178"/>
      <c r="R34" s="178"/>
      <c r="S34" s="178"/>
      <c r="T34" s="178"/>
      <c r="U34" s="178"/>
      <c r="V34" s="178"/>
      <c r="W34" s="178"/>
      <c r="X34" s="178"/>
      <c r="Y34" s="178"/>
      <c r="Z34" s="178"/>
      <c r="AA34" s="178"/>
      <c r="AB34" s="178"/>
      <c r="AC34" s="178"/>
      <c r="AD34" s="178"/>
      <c r="AE34" s="178"/>
      <c r="AF34" s="178"/>
      <c r="AG34" s="178"/>
      <c r="AH34" s="178"/>
      <c r="AI34" s="244"/>
      <c r="AJ34" s="244"/>
      <c r="AK34" s="244"/>
      <c r="AL34" s="244"/>
      <c r="AM34" s="162"/>
      <c r="AN34" s="100" t="b">
        <f t="shared" si="1"/>
        <v>0</v>
      </c>
      <c r="AO34" s="102"/>
    </row>
    <row r="35" ht="14.25" customHeight="1" outlineLevel="2">
      <c r="A35" s="361"/>
      <c r="B35" s="357"/>
      <c r="C35" s="331" t="s">
        <v>873</v>
      </c>
      <c r="D35" s="271"/>
      <c r="E35" s="162"/>
      <c r="F35" s="162"/>
      <c r="G35" s="162"/>
      <c r="H35" s="178"/>
      <c r="I35" s="178"/>
      <c r="J35" s="178"/>
      <c r="K35" s="178"/>
      <c r="L35" s="178"/>
      <c r="M35" s="178"/>
      <c r="N35" s="178"/>
      <c r="O35" s="178"/>
      <c r="P35" s="178"/>
      <c r="Q35" s="178"/>
      <c r="R35" s="178"/>
      <c r="S35" s="178"/>
      <c r="T35" s="178"/>
      <c r="U35" s="178"/>
      <c r="V35" s="178"/>
      <c r="W35" s="178"/>
      <c r="X35" s="178"/>
      <c r="Y35" s="178"/>
      <c r="Z35" s="178"/>
      <c r="AA35" s="178"/>
      <c r="AB35" s="178"/>
      <c r="AC35" s="178"/>
      <c r="AD35" s="178"/>
      <c r="AE35" s="178"/>
      <c r="AF35" s="178"/>
      <c r="AG35" s="178"/>
      <c r="AH35" s="178"/>
      <c r="AI35" s="244"/>
      <c r="AJ35" s="244"/>
      <c r="AK35" s="244"/>
      <c r="AL35" s="244"/>
      <c r="AM35" s="162"/>
      <c r="AN35" s="100" t="b">
        <f t="shared" si="1"/>
        <v>0</v>
      </c>
      <c r="AO35" s="102"/>
    </row>
    <row r="36" ht="14.25" customHeight="1" outlineLevel="3">
      <c r="A36" s="361"/>
      <c r="B36" s="357"/>
      <c r="C36" s="357"/>
      <c r="D36" s="271"/>
      <c r="E36" s="270" t="s">
        <v>874</v>
      </c>
      <c r="F36" s="249" t="s">
        <v>261</v>
      </c>
      <c r="G36" s="249" t="s">
        <v>875</v>
      </c>
      <c r="H36" s="253"/>
      <c r="I36" s="254"/>
      <c r="J36" s="254"/>
      <c r="K36" s="254"/>
      <c r="L36" s="254"/>
      <c r="M36" s="254"/>
      <c r="N36" s="254"/>
      <c r="O36" s="254"/>
      <c r="P36" s="254"/>
      <c r="Q36" s="254"/>
      <c r="R36" s="254"/>
      <c r="S36" s="254"/>
      <c r="T36" s="254"/>
      <c r="U36" s="254"/>
      <c r="V36" s="254"/>
      <c r="W36" s="256"/>
      <c r="X36" s="254"/>
      <c r="Y36" s="254"/>
      <c r="Z36" s="254"/>
      <c r="AA36" s="254"/>
      <c r="AB36" s="256">
        <v>0.0</v>
      </c>
      <c r="AC36" s="256">
        <v>0.0</v>
      </c>
      <c r="AD36" s="256">
        <v>0.0</v>
      </c>
      <c r="AE36" s="256">
        <v>0.0</v>
      </c>
      <c r="AF36" s="256">
        <v>0.0</v>
      </c>
      <c r="AG36" s="256">
        <v>0.0</v>
      </c>
      <c r="AH36" s="257">
        <v>0.0</v>
      </c>
      <c r="AI36" s="204"/>
      <c r="AJ36" s="204"/>
      <c r="AK36" s="204"/>
      <c r="AL36" s="204"/>
      <c r="AM36" s="251"/>
      <c r="AN36" s="100" t="b">
        <f t="shared" si="1"/>
        <v>0</v>
      </c>
      <c r="AO36" s="102"/>
    </row>
    <row r="37" ht="14.25" customHeight="1" outlineLevel="3">
      <c r="A37" s="361"/>
      <c r="B37" s="357"/>
      <c r="C37" s="357"/>
      <c r="D37" s="271"/>
      <c r="E37" s="270" t="s">
        <v>876</v>
      </c>
      <c r="F37" s="249" t="s">
        <v>261</v>
      </c>
      <c r="G37" s="249" t="s">
        <v>877</v>
      </c>
      <c r="H37" s="253"/>
      <c r="I37" s="254"/>
      <c r="J37" s="254"/>
      <c r="K37" s="254"/>
      <c r="L37" s="254">
        <v>0.0013686682687988</v>
      </c>
      <c r="M37" s="254">
        <v>0.00175429484453284</v>
      </c>
      <c r="N37" s="254">
        <v>0.00161480474777313</v>
      </c>
      <c r="O37" s="254">
        <v>0.00200393624907922</v>
      </c>
      <c r="P37" s="254">
        <v>6.25894631980986E-4</v>
      </c>
      <c r="Q37" s="254">
        <v>4.02354977555294E-4</v>
      </c>
      <c r="R37" s="254">
        <v>9.29447638944537E-4</v>
      </c>
      <c r="S37" s="254">
        <v>0.00131555429192052</v>
      </c>
      <c r="T37" s="254">
        <v>0.00563770508041899</v>
      </c>
      <c r="U37" s="254">
        <v>0.0050451435375605</v>
      </c>
      <c r="V37" s="254">
        <v>0.00574170340264313</v>
      </c>
      <c r="W37" s="256">
        <v>0.00476856674141655</v>
      </c>
      <c r="X37" s="254"/>
      <c r="Y37" s="254"/>
      <c r="Z37" s="254"/>
      <c r="AA37" s="254"/>
      <c r="AB37" s="256">
        <v>0.015</v>
      </c>
      <c r="AC37" s="256">
        <v>0.03</v>
      </c>
      <c r="AD37" s="256">
        <v>0.05</v>
      </c>
      <c r="AE37" s="256">
        <v>0.05</v>
      </c>
      <c r="AF37" s="256">
        <v>0.05</v>
      </c>
      <c r="AG37" s="256">
        <v>0.05</v>
      </c>
      <c r="AH37" s="257">
        <v>0.05</v>
      </c>
      <c r="AI37" s="204"/>
      <c r="AJ37" s="204"/>
      <c r="AK37" s="204"/>
      <c r="AL37" s="204"/>
      <c r="AM37" s="251"/>
      <c r="AN37" s="100" t="b">
        <f t="shared" si="1"/>
        <v>0</v>
      </c>
      <c r="AO37" s="102"/>
    </row>
    <row r="38" ht="14.25" customHeight="1" outlineLevel="3">
      <c r="A38" s="361"/>
      <c r="B38" s="357"/>
      <c r="C38" s="357"/>
      <c r="D38" s="271"/>
      <c r="E38" s="270" t="s">
        <v>878</v>
      </c>
      <c r="F38" s="249" t="s">
        <v>261</v>
      </c>
      <c r="G38" s="249" t="s">
        <v>879</v>
      </c>
      <c r="H38" s="253">
        <v>0.300447797972801</v>
      </c>
      <c r="I38" s="254">
        <v>0.289358142226612</v>
      </c>
      <c r="J38" s="254">
        <v>0.39473728789746</v>
      </c>
      <c r="K38" s="254">
        <v>0.428042786235719</v>
      </c>
      <c r="L38" s="254">
        <v>0.402670520856475</v>
      </c>
      <c r="M38" s="254">
        <v>0.408088525247487</v>
      </c>
      <c r="N38" s="254">
        <v>0.327409751552789</v>
      </c>
      <c r="O38" s="254">
        <v>0.32429303691056</v>
      </c>
      <c r="P38" s="254">
        <v>0.299740924779934</v>
      </c>
      <c r="Q38" s="254">
        <v>0.244473077473926</v>
      </c>
      <c r="R38" s="254">
        <v>0.244819434634727</v>
      </c>
      <c r="S38" s="254">
        <v>0.245724301686651</v>
      </c>
      <c r="T38" s="254">
        <v>0.232773173298655</v>
      </c>
      <c r="U38" s="254">
        <v>0.224496574815994</v>
      </c>
      <c r="V38" s="254">
        <v>0.213295741782252</v>
      </c>
      <c r="W38" s="256">
        <v>0.222041279078979</v>
      </c>
      <c r="X38" s="254"/>
      <c r="Y38" s="254"/>
      <c r="Z38" s="254"/>
      <c r="AA38" s="254"/>
      <c r="AB38" s="256">
        <v>0.15</v>
      </c>
      <c r="AC38" s="256">
        <v>0.07</v>
      </c>
      <c r="AD38" s="256">
        <v>0.0</v>
      </c>
      <c r="AE38" s="256">
        <v>0.0</v>
      </c>
      <c r="AF38" s="256">
        <v>0.0</v>
      </c>
      <c r="AG38" s="256">
        <v>0.0</v>
      </c>
      <c r="AH38" s="257">
        <v>0.0</v>
      </c>
      <c r="AI38" s="204"/>
      <c r="AJ38" s="204"/>
      <c r="AK38" s="204"/>
      <c r="AL38" s="204"/>
      <c r="AM38" s="251"/>
      <c r="AN38" s="100" t="b">
        <f t="shared" si="1"/>
        <v>0</v>
      </c>
      <c r="AO38" s="102"/>
    </row>
    <row r="39" ht="14.25" customHeight="1" outlineLevel="3">
      <c r="A39" s="361"/>
      <c r="B39" s="357"/>
      <c r="C39" s="357"/>
      <c r="D39" s="271"/>
      <c r="E39" s="270" t="s">
        <v>880</v>
      </c>
      <c r="F39" s="249" t="s">
        <v>261</v>
      </c>
      <c r="G39" s="249" t="s">
        <v>881</v>
      </c>
      <c r="H39" s="253">
        <v>0.572012073436868</v>
      </c>
      <c r="I39" s="254">
        <v>0.578621146600108</v>
      </c>
      <c r="J39" s="254">
        <v>0.54991138826329</v>
      </c>
      <c r="K39" s="254">
        <v>0.530922582986224</v>
      </c>
      <c r="L39" s="254">
        <v>0.53201397923617</v>
      </c>
      <c r="M39" s="254">
        <v>0.54420048280064</v>
      </c>
      <c r="N39" s="254">
        <v>0.491199396073998</v>
      </c>
      <c r="O39" s="254">
        <v>0.456140205569424</v>
      </c>
      <c r="P39" s="254">
        <v>0.451366400886894</v>
      </c>
      <c r="Q39" s="254">
        <v>0.480262438530702</v>
      </c>
      <c r="R39" s="254">
        <v>0.49375405514608</v>
      </c>
      <c r="S39" s="254">
        <v>0.470161059390461</v>
      </c>
      <c r="T39" s="254">
        <v>0.498882466035919</v>
      </c>
      <c r="U39" s="254">
        <v>0.515358497779811</v>
      </c>
      <c r="V39" s="254">
        <v>0.478873648791933</v>
      </c>
      <c r="W39" s="256">
        <v>0.475890083781501</v>
      </c>
      <c r="X39" s="254"/>
      <c r="Y39" s="254"/>
      <c r="Z39" s="254"/>
      <c r="AA39" s="254"/>
      <c r="AB39" s="256">
        <v>0.42</v>
      </c>
      <c r="AC39" s="256">
        <v>0.35</v>
      </c>
      <c r="AD39" s="256">
        <v>0.28</v>
      </c>
      <c r="AE39" s="256">
        <v>0.2</v>
      </c>
      <c r="AF39" s="256">
        <v>0.13</v>
      </c>
      <c r="AG39" s="256">
        <v>0.07</v>
      </c>
      <c r="AH39" s="257">
        <v>0.02</v>
      </c>
      <c r="AI39" s="204"/>
      <c r="AJ39" s="204"/>
      <c r="AK39" s="204"/>
      <c r="AL39" s="204"/>
      <c r="AM39" s="251"/>
      <c r="AN39" s="100" t="b">
        <f t="shared" si="1"/>
        <v>0</v>
      </c>
      <c r="AO39" s="102"/>
    </row>
    <row r="40" ht="14.25" customHeight="1" outlineLevel="3">
      <c r="A40" s="362"/>
      <c r="B40" s="100"/>
      <c r="C40" s="100"/>
      <c r="D40" s="271"/>
      <c r="E40" s="270" t="s">
        <v>882</v>
      </c>
      <c r="F40" s="249" t="s">
        <v>261</v>
      </c>
      <c r="G40" s="249" t="s">
        <v>883</v>
      </c>
      <c r="H40" s="253">
        <v>0.0985513228714546</v>
      </c>
      <c r="I40" s="254">
        <v>0.104311907596917</v>
      </c>
      <c r="J40" s="254">
        <v>0.0285131423794857</v>
      </c>
      <c r="K40" s="254">
        <v>0.015872116126486</v>
      </c>
      <c r="L40" s="254">
        <v>0.0150159272132605</v>
      </c>
      <c r="M40" s="254">
        <v>0.0217455881765893</v>
      </c>
      <c r="N40" s="254">
        <v>0.13327953017703</v>
      </c>
      <c r="O40" s="254">
        <v>0.1594271586797</v>
      </c>
      <c r="P40" s="254">
        <v>0.180330598626814</v>
      </c>
      <c r="Q40" s="254">
        <v>0.199547032594</v>
      </c>
      <c r="R40" s="254">
        <v>0.183839375469042</v>
      </c>
      <c r="S40" s="254">
        <v>0.18827455450872</v>
      </c>
      <c r="T40" s="254">
        <v>0.175788032089594</v>
      </c>
      <c r="U40" s="254">
        <v>0.151581903192609</v>
      </c>
      <c r="V40" s="254">
        <v>0.150324032438977</v>
      </c>
      <c r="W40" s="256">
        <v>0.116018971563314</v>
      </c>
      <c r="X40" s="254"/>
      <c r="Y40" s="254"/>
      <c r="Z40" s="254"/>
      <c r="AA40" s="254"/>
      <c r="AB40" s="256">
        <v>0.085</v>
      </c>
      <c r="AC40" s="256">
        <v>0.06</v>
      </c>
      <c r="AD40" s="256">
        <v>0.02</v>
      </c>
      <c r="AE40" s="256">
        <v>0.02</v>
      </c>
      <c r="AF40" s="256">
        <v>0.02</v>
      </c>
      <c r="AG40" s="256">
        <v>0.02</v>
      </c>
      <c r="AH40" s="257">
        <v>0.02</v>
      </c>
      <c r="AI40" s="204"/>
      <c r="AJ40" s="204"/>
      <c r="AK40" s="204"/>
      <c r="AL40" s="204"/>
      <c r="AM40" s="251"/>
      <c r="AN40" s="100" t="b">
        <f t="shared" si="1"/>
        <v>0</v>
      </c>
      <c r="AO40" s="102"/>
    </row>
    <row r="41" ht="14.25" customHeight="1" outlineLevel="3">
      <c r="A41" s="362"/>
      <c r="B41" s="100"/>
      <c r="C41" s="100"/>
      <c r="D41" s="271"/>
      <c r="E41" s="270" t="s">
        <v>884</v>
      </c>
      <c r="F41" s="249" t="s">
        <v>261</v>
      </c>
      <c r="G41" s="249" t="s">
        <v>885</v>
      </c>
      <c r="H41" s="253">
        <v>0.0236621908224698</v>
      </c>
      <c r="I41" s="254">
        <v>0.0219405240623114</v>
      </c>
      <c r="J41" s="254">
        <v>0.0210847651963532</v>
      </c>
      <c r="K41" s="254">
        <v>0.0193403007500173</v>
      </c>
      <c r="L41" s="254">
        <v>0.0435423754226305</v>
      </c>
      <c r="M41" s="254">
        <v>0.0170722450589369</v>
      </c>
      <c r="N41" s="254">
        <v>0.019840216749456</v>
      </c>
      <c r="O41" s="254">
        <v>0.0228294971829565</v>
      </c>
      <c r="P41" s="254">
        <v>0.0245344793428423</v>
      </c>
      <c r="Q41" s="254">
        <v>0.0245150824275781</v>
      </c>
      <c r="R41" s="254">
        <v>0.0241554576075166</v>
      </c>
      <c r="S41" s="254">
        <v>0.0335378552619715</v>
      </c>
      <c r="T41" s="254">
        <v>0.0162730946326532</v>
      </c>
      <c r="U41" s="254">
        <v>0.0212934624658785</v>
      </c>
      <c r="V41" s="254">
        <v>0.0273023474336261</v>
      </c>
      <c r="W41" s="256">
        <v>0.0225574764562478</v>
      </c>
      <c r="X41" s="254"/>
      <c r="Y41" s="254"/>
      <c r="Z41" s="254"/>
      <c r="AA41" s="254"/>
      <c r="AB41" s="256">
        <v>0.03</v>
      </c>
      <c r="AC41" s="256">
        <v>0.04</v>
      </c>
      <c r="AD41" s="256">
        <v>0.05</v>
      </c>
      <c r="AE41" s="256">
        <v>0.07</v>
      </c>
      <c r="AF41" s="256">
        <v>0.09</v>
      </c>
      <c r="AG41" s="256">
        <v>0.1</v>
      </c>
      <c r="AH41" s="257">
        <v>0.1</v>
      </c>
      <c r="AI41" s="204"/>
      <c r="AJ41" s="204"/>
      <c r="AK41" s="204"/>
      <c r="AL41" s="204"/>
      <c r="AM41" s="251"/>
      <c r="AN41" s="100" t="b">
        <f t="shared" si="1"/>
        <v>0</v>
      </c>
      <c r="AO41" s="102"/>
    </row>
    <row r="42" ht="14.25" customHeight="1" outlineLevel="3">
      <c r="A42" s="362"/>
      <c r="B42" s="100"/>
      <c r="C42" s="100"/>
      <c r="D42" s="271"/>
      <c r="E42" s="270" t="s">
        <v>886</v>
      </c>
      <c r="F42" s="249" t="s">
        <v>261</v>
      </c>
      <c r="G42" s="249" t="s">
        <v>887</v>
      </c>
      <c r="H42" s="253">
        <v>0.00162456911949042</v>
      </c>
      <c r="I42" s="254">
        <v>0.00216513332758301</v>
      </c>
      <c r="J42" s="254">
        <v>0.0021750765176285</v>
      </c>
      <c r="K42" s="254">
        <v>0.00223572883621214</v>
      </c>
      <c r="L42" s="254">
        <v>0.00255497105998709</v>
      </c>
      <c r="M42" s="254">
        <v>0.00399922049087329</v>
      </c>
      <c r="N42" s="254">
        <v>0.024111228889738</v>
      </c>
      <c r="O42" s="254">
        <v>0.0328929381177145</v>
      </c>
      <c r="P42" s="254">
        <v>0.041106899549289</v>
      </c>
      <c r="Q42" s="254">
        <v>0.0486460663926833</v>
      </c>
      <c r="R42" s="254">
        <v>0.0503245496044253</v>
      </c>
      <c r="S42" s="254">
        <v>0.0589565720153294</v>
      </c>
      <c r="T42" s="254">
        <v>0.0686651147099036</v>
      </c>
      <c r="U42" s="254">
        <v>0.0803213770622747</v>
      </c>
      <c r="V42" s="254">
        <v>0.122877711702063</v>
      </c>
      <c r="W42" s="256">
        <v>0.157260207634069</v>
      </c>
      <c r="X42" s="254"/>
      <c r="Y42" s="254"/>
      <c r="Z42" s="254"/>
      <c r="AA42" s="254"/>
      <c r="AB42" s="256">
        <v>0.3</v>
      </c>
      <c r="AC42" s="256">
        <v>0.45</v>
      </c>
      <c r="AD42" s="256">
        <v>0.6</v>
      </c>
      <c r="AE42" s="256">
        <v>0.66</v>
      </c>
      <c r="AF42" s="256">
        <v>0.71</v>
      </c>
      <c r="AG42" s="256">
        <v>0.76</v>
      </c>
      <c r="AH42" s="257">
        <v>0.81</v>
      </c>
      <c r="AI42" s="204"/>
      <c r="AJ42" s="204"/>
      <c r="AK42" s="204"/>
      <c r="AL42" s="204"/>
      <c r="AM42" s="251"/>
      <c r="AN42" s="100" t="b">
        <f t="shared" si="1"/>
        <v>0</v>
      </c>
      <c r="AO42" s="102"/>
    </row>
    <row r="43" ht="14.25" customHeight="1" outlineLevel="3">
      <c r="A43" s="362"/>
      <c r="B43" s="100"/>
      <c r="C43" s="100"/>
      <c r="D43" s="271"/>
      <c r="E43" s="122" t="s">
        <v>888</v>
      </c>
      <c r="F43" s="123" t="s">
        <v>261</v>
      </c>
      <c r="G43" s="123" t="s">
        <v>889</v>
      </c>
      <c r="H43" s="253"/>
      <c r="I43" s="254"/>
      <c r="J43" s="254"/>
      <c r="K43" s="254"/>
      <c r="L43" s="254"/>
      <c r="M43" s="254"/>
      <c r="N43" s="254"/>
      <c r="O43" s="254"/>
      <c r="P43" s="254"/>
      <c r="Q43" s="254"/>
      <c r="R43" s="254"/>
      <c r="S43" s="254"/>
      <c r="T43" s="254"/>
      <c r="U43" s="254"/>
      <c r="V43" s="254"/>
      <c r="W43" s="256"/>
      <c r="X43" s="254"/>
      <c r="Y43" s="254"/>
      <c r="Z43" s="254"/>
      <c r="AA43" s="254"/>
      <c r="AB43" s="256">
        <v>0.0</v>
      </c>
      <c r="AC43" s="256">
        <v>0.0</v>
      </c>
      <c r="AD43" s="256">
        <v>0.0</v>
      </c>
      <c r="AE43" s="256">
        <v>0.0</v>
      </c>
      <c r="AF43" s="256">
        <v>0.0</v>
      </c>
      <c r="AG43" s="256">
        <v>0.0</v>
      </c>
      <c r="AH43" s="257">
        <v>0.0</v>
      </c>
      <c r="AI43" s="204"/>
      <c r="AJ43" s="204"/>
      <c r="AK43" s="204"/>
      <c r="AL43" s="204"/>
      <c r="AM43" s="251"/>
      <c r="AN43" s="100" t="b">
        <f t="shared" si="1"/>
        <v>0</v>
      </c>
      <c r="AO43" s="102"/>
    </row>
    <row r="44" ht="14.25" customHeight="1" outlineLevel="2">
      <c r="A44" s="363"/>
      <c r="B44" s="100"/>
      <c r="C44" s="331" t="s">
        <v>890</v>
      </c>
      <c r="D44" s="271"/>
      <c r="E44" s="162"/>
      <c r="F44" s="162"/>
      <c r="G44" s="162"/>
      <c r="H44" s="178"/>
      <c r="I44" s="178"/>
      <c r="J44" s="178"/>
      <c r="K44" s="178"/>
      <c r="L44" s="178"/>
      <c r="M44" s="178"/>
      <c r="N44" s="178"/>
      <c r="O44" s="178"/>
      <c r="P44" s="178"/>
      <c r="Q44" s="178"/>
      <c r="R44" s="178"/>
      <c r="S44" s="178"/>
      <c r="T44" s="178"/>
      <c r="U44" s="178"/>
      <c r="V44" s="178"/>
      <c r="W44" s="178"/>
      <c r="X44" s="178"/>
      <c r="Y44" s="178"/>
      <c r="Z44" s="178"/>
      <c r="AA44" s="178"/>
      <c r="AB44" s="178"/>
      <c r="AC44" s="178"/>
      <c r="AD44" s="178"/>
      <c r="AE44" s="178"/>
      <c r="AF44" s="178"/>
      <c r="AG44" s="178"/>
      <c r="AH44" s="178"/>
      <c r="AI44" s="244"/>
      <c r="AJ44" s="244"/>
      <c r="AK44" s="244"/>
      <c r="AL44" s="244"/>
      <c r="AM44" s="162"/>
      <c r="AN44" s="100" t="b">
        <f t="shared" si="1"/>
        <v>0</v>
      </c>
      <c r="AO44" s="102"/>
    </row>
    <row r="45" ht="14.25" customHeight="1" outlineLevel="3">
      <c r="A45" s="363"/>
      <c r="B45" s="100"/>
      <c r="C45" s="357"/>
      <c r="D45" s="271"/>
      <c r="E45" s="278" t="s">
        <v>891</v>
      </c>
      <c r="F45" s="249" t="s">
        <v>261</v>
      </c>
      <c r="G45" s="249" t="s">
        <v>892</v>
      </c>
      <c r="H45" s="253"/>
      <c r="I45" s="254"/>
      <c r="J45" s="254"/>
      <c r="K45" s="254"/>
      <c r="L45" s="254"/>
      <c r="M45" s="254"/>
      <c r="N45" s="254"/>
      <c r="O45" s="254"/>
      <c r="P45" s="254"/>
      <c r="Q45" s="254"/>
      <c r="R45" s="254"/>
      <c r="S45" s="254"/>
      <c r="T45" s="254"/>
      <c r="U45" s="254"/>
      <c r="V45" s="254"/>
      <c r="W45" s="364"/>
      <c r="X45" s="254"/>
      <c r="Y45" s="254"/>
      <c r="Z45" s="254"/>
      <c r="AA45" s="254"/>
      <c r="AB45" s="364"/>
      <c r="AC45" s="364"/>
      <c r="AD45" s="364"/>
      <c r="AE45" s="364"/>
      <c r="AF45" s="364"/>
      <c r="AG45" s="364"/>
      <c r="AH45" s="364"/>
      <c r="AI45" s="204"/>
      <c r="AJ45" s="204"/>
      <c r="AK45" s="204"/>
      <c r="AL45" s="204"/>
      <c r="AM45" s="251"/>
      <c r="AN45" s="100" t="b">
        <f t="shared" si="1"/>
        <v>0</v>
      </c>
      <c r="AO45" s="102"/>
    </row>
    <row r="46" ht="14.25" customHeight="1" outlineLevel="3">
      <c r="A46" s="363"/>
      <c r="B46" s="100"/>
      <c r="C46" s="357"/>
      <c r="D46" s="271"/>
      <c r="E46" s="278" t="s">
        <v>893</v>
      </c>
      <c r="F46" s="249" t="s">
        <v>261</v>
      </c>
      <c r="G46" s="249" t="s">
        <v>894</v>
      </c>
      <c r="H46" s="253"/>
      <c r="I46" s="254"/>
      <c r="J46" s="254"/>
      <c r="K46" s="254"/>
      <c r="L46" s="254">
        <v>0.611321971497629</v>
      </c>
      <c r="M46" s="254">
        <v>0.612149402583878</v>
      </c>
      <c r="N46" s="254">
        <v>0.612202571583318</v>
      </c>
      <c r="O46" s="254">
        <v>0.614444926893878</v>
      </c>
      <c r="P46" s="254">
        <v>0.620540894083051</v>
      </c>
      <c r="Q46" s="254">
        <v>0.623492585580676</v>
      </c>
      <c r="R46" s="254">
        <v>0.629877998884324</v>
      </c>
      <c r="S46" s="254">
        <v>0.632387233503251</v>
      </c>
      <c r="T46" s="254">
        <v>0.638706214646943</v>
      </c>
      <c r="U46" s="254">
        <v>0.638712868825877</v>
      </c>
      <c r="V46" s="254">
        <v>0.639332720689313</v>
      </c>
      <c r="W46" s="364">
        <v>0.640999624877467</v>
      </c>
      <c r="X46" s="254"/>
      <c r="Y46" s="254"/>
      <c r="Z46" s="254"/>
      <c r="AA46" s="254"/>
      <c r="AB46" s="364"/>
      <c r="AC46" s="364"/>
      <c r="AD46" s="364"/>
      <c r="AE46" s="364"/>
      <c r="AF46" s="364"/>
      <c r="AG46" s="364"/>
      <c r="AH46" s="364"/>
      <c r="AI46" s="204"/>
      <c r="AJ46" s="204"/>
      <c r="AK46" s="204"/>
      <c r="AL46" s="204"/>
      <c r="AM46" s="251"/>
      <c r="AN46" s="100" t="b">
        <f t="shared" si="1"/>
        <v>0</v>
      </c>
      <c r="AO46" s="102"/>
    </row>
    <row r="47" ht="14.25" customHeight="1" outlineLevel="3">
      <c r="A47" s="363"/>
      <c r="B47" s="100"/>
      <c r="C47" s="357"/>
      <c r="D47" s="271"/>
      <c r="E47" s="278" t="s">
        <v>895</v>
      </c>
      <c r="F47" s="249" t="s">
        <v>261</v>
      </c>
      <c r="G47" s="249" t="s">
        <v>896</v>
      </c>
      <c r="H47" s="253">
        <v>0.640575268308067</v>
      </c>
      <c r="I47" s="254">
        <v>0.642024331429895</v>
      </c>
      <c r="J47" s="254">
        <v>0.651032307279424</v>
      </c>
      <c r="K47" s="254">
        <v>0.653970372099415</v>
      </c>
      <c r="L47" s="254">
        <v>0.655555511757165</v>
      </c>
      <c r="M47" s="254">
        <v>0.657695275584293</v>
      </c>
      <c r="N47" s="254">
        <v>0.661239645609052</v>
      </c>
      <c r="O47" s="254">
        <v>0.663698212352575</v>
      </c>
      <c r="P47" s="254">
        <v>0.664891971281621</v>
      </c>
      <c r="Q47" s="254">
        <v>0.670456983212422</v>
      </c>
      <c r="R47" s="254">
        <v>0.675120652572234</v>
      </c>
      <c r="S47" s="254">
        <v>0.676244760748653</v>
      </c>
      <c r="T47" s="254">
        <v>0.676728669492542</v>
      </c>
      <c r="U47" s="254">
        <v>0.676995116634952</v>
      </c>
      <c r="V47" s="254">
        <v>0.677326903211894</v>
      </c>
      <c r="W47" s="364">
        <v>0.67958002564376</v>
      </c>
      <c r="X47" s="254"/>
      <c r="Y47" s="254"/>
      <c r="Z47" s="254"/>
      <c r="AA47" s="254"/>
      <c r="AB47" s="364"/>
      <c r="AC47" s="364"/>
      <c r="AD47" s="364"/>
      <c r="AE47" s="364"/>
      <c r="AF47" s="364"/>
      <c r="AG47" s="364"/>
      <c r="AH47" s="364"/>
      <c r="AI47" s="204"/>
      <c r="AJ47" s="204"/>
      <c r="AK47" s="204"/>
      <c r="AL47" s="204"/>
      <c r="AM47" s="251"/>
      <c r="AN47" s="100" t="b">
        <f t="shared" si="1"/>
        <v>0</v>
      </c>
      <c r="AO47" s="102"/>
    </row>
    <row r="48" ht="14.25" customHeight="1" outlineLevel="3">
      <c r="A48" s="363"/>
      <c r="B48" s="100"/>
      <c r="C48" s="357"/>
      <c r="D48" s="271"/>
      <c r="E48" s="278" t="s">
        <v>897</v>
      </c>
      <c r="F48" s="249" t="s">
        <v>261</v>
      </c>
      <c r="G48" s="249" t="s">
        <v>898</v>
      </c>
      <c r="H48" s="253">
        <v>0.684364427863174</v>
      </c>
      <c r="I48" s="254">
        <v>0.690565118447406</v>
      </c>
      <c r="J48" s="254">
        <v>0.697050476470265</v>
      </c>
      <c r="K48" s="254">
        <v>0.702038897337845</v>
      </c>
      <c r="L48" s="254">
        <v>0.711778254377582</v>
      </c>
      <c r="M48" s="254">
        <v>0.719349417380226</v>
      </c>
      <c r="N48" s="254">
        <v>0.722351504996674</v>
      </c>
      <c r="O48" s="254">
        <v>0.727163145294728</v>
      </c>
      <c r="P48" s="254">
        <v>0.735321418849276</v>
      </c>
      <c r="Q48" s="254">
        <v>0.747810872696487</v>
      </c>
      <c r="R48" s="254">
        <v>0.759365461823557</v>
      </c>
      <c r="S48" s="254">
        <v>0.766876358273382</v>
      </c>
      <c r="T48" s="254">
        <v>0.778124901640916</v>
      </c>
      <c r="U48" s="254">
        <v>0.78977155405648</v>
      </c>
      <c r="V48" s="254">
        <v>0.796837750404346</v>
      </c>
      <c r="W48" s="364">
        <v>0.806430938572152</v>
      </c>
      <c r="X48" s="254"/>
      <c r="Y48" s="254"/>
      <c r="Z48" s="254"/>
      <c r="AA48" s="254"/>
      <c r="AB48" s="364"/>
      <c r="AC48" s="364"/>
      <c r="AD48" s="364"/>
      <c r="AE48" s="364"/>
      <c r="AF48" s="364"/>
      <c r="AG48" s="364"/>
      <c r="AH48" s="364"/>
      <c r="AI48" s="204"/>
      <c r="AJ48" s="204"/>
      <c r="AK48" s="204"/>
      <c r="AL48" s="204"/>
      <c r="AM48" s="251"/>
      <c r="AN48" s="100" t="b">
        <f t="shared" si="1"/>
        <v>0</v>
      </c>
      <c r="AO48" s="102"/>
    </row>
    <row r="49" ht="14.25" customHeight="1" outlineLevel="3">
      <c r="A49" s="363"/>
      <c r="B49" s="100"/>
      <c r="C49" s="357"/>
      <c r="D49" s="271"/>
      <c r="E49" s="278" t="s">
        <v>899</v>
      </c>
      <c r="F49" s="249" t="s">
        <v>261</v>
      </c>
      <c r="G49" s="249" t="s">
        <v>900</v>
      </c>
      <c r="H49" s="253">
        <v>0.772757466530367</v>
      </c>
      <c r="I49" s="254">
        <v>0.77631016291709</v>
      </c>
      <c r="J49" s="254">
        <v>0.796339506672514</v>
      </c>
      <c r="K49" s="254">
        <v>0.799278880214728</v>
      </c>
      <c r="L49" s="254">
        <v>0.813428982886243</v>
      </c>
      <c r="M49" s="254">
        <v>0.820733810514665</v>
      </c>
      <c r="N49" s="254">
        <v>0.827844071855039</v>
      </c>
      <c r="O49" s="254">
        <v>0.829117578594179</v>
      </c>
      <c r="P49" s="254">
        <v>0.830568584347028</v>
      </c>
      <c r="Q49" s="254">
        <v>0.831913212934063</v>
      </c>
      <c r="R49" s="254">
        <v>0.832364242908314</v>
      </c>
      <c r="S49" s="254">
        <v>0.833391238089742</v>
      </c>
      <c r="T49" s="254">
        <v>0.83369344338839</v>
      </c>
      <c r="U49" s="254">
        <v>0.834559507961469</v>
      </c>
      <c r="V49" s="254">
        <v>0.835014664170036</v>
      </c>
      <c r="W49" s="364">
        <v>0.83716756979433</v>
      </c>
      <c r="X49" s="254"/>
      <c r="Y49" s="254"/>
      <c r="Z49" s="254"/>
      <c r="AA49" s="254"/>
      <c r="AB49" s="364"/>
      <c r="AC49" s="364"/>
      <c r="AD49" s="364"/>
      <c r="AE49" s="364"/>
      <c r="AF49" s="364"/>
      <c r="AG49" s="364"/>
      <c r="AH49" s="364"/>
      <c r="AI49" s="204"/>
      <c r="AJ49" s="204"/>
      <c r="AK49" s="204"/>
      <c r="AL49" s="204"/>
      <c r="AM49" s="251"/>
      <c r="AN49" s="100" t="b">
        <f t="shared" si="1"/>
        <v>0</v>
      </c>
      <c r="AO49" s="102"/>
    </row>
    <row r="50" ht="14.25" customHeight="1" outlineLevel="3">
      <c r="A50" s="363"/>
      <c r="B50" s="100"/>
      <c r="C50" s="357"/>
      <c r="D50" s="271"/>
      <c r="E50" s="278" t="s">
        <v>901</v>
      </c>
      <c r="F50" s="249" t="s">
        <v>261</v>
      </c>
      <c r="G50" s="249" t="s">
        <v>902</v>
      </c>
      <c r="H50" s="253">
        <v>0.813428912137228</v>
      </c>
      <c r="I50" s="254">
        <v>0.813838033056281</v>
      </c>
      <c r="J50" s="254">
        <v>0.816172901622138</v>
      </c>
      <c r="K50" s="254">
        <v>0.818758318458074</v>
      </c>
      <c r="L50" s="254">
        <v>0.821833290493737</v>
      </c>
      <c r="M50" s="254">
        <v>0.823024109622665</v>
      </c>
      <c r="N50" s="254">
        <v>0.834225984119452</v>
      </c>
      <c r="O50" s="254">
        <v>0.844120344039698</v>
      </c>
      <c r="P50" s="254">
        <v>0.850836690811868</v>
      </c>
      <c r="Q50" s="254">
        <v>0.854554909426181</v>
      </c>
      <c r="R50" s="254">
        <v>0.858915500379917</v>
      </c>
      <c r="S50" s="254">
        <v>0.866480447198735</v>
      </c>
      <c r="T50" s="254">
        <v>0.872842925247553</v>
      </c>
      <c r="U50" s="254">
        <v>0.877334914304738</v>
      </c>
      <c r="V50" s="254">
        <v>0.880769255604704</v>
      </c>
      <c r="W50" s="364">
        <v>0.880927884308264</v>
      </c>
      <c r="X50" s="254"/>
      <c r="Y50" s="254"/>
      <c r="Z50" s="254"/>
      <c r="AA50" s="254"/>
      <c r="AB50" s="364"/>
      <c r="AC50" s="364"/>
      <c r="AD50" s="364"/>
      <c r="AE50" s="364"/>
      <c r="AF50" s="364"/>
      <c r="AG50" s="364"/>
      <c r="AH50" s="364"/>
      <c r="AI50" s="204"/>
      <c r="AJ50" s="204"/>
      <c r="AK50" s="204"/>
      <c r="AL50" s="204"/>
      <c r="AM50" s="251"/>
      <c r="AN50" s="100" t="b">
        <f t="shared" si="1"/>
        <v>0</v>
      </c>
      <c r="AO50" s="102"/>
    </row>
    <row r="51" ht="14.25" customHeight="1" outlineLevel="3">
      <c r="A51" s="363"/>
      <c r="B51" s="100"/>
      <c r="C51" s="357"/>
      <c r="D51" s="271"/>
      <c r="E51" s="278" t="s">
        <v>903</v>
      </c>
      <c r="F51" s="249" t="s">
        <v>261</v>
      </c>
      <c r="G51" s="249" t="s">
        <v>904</v>
      </c>
      <c r="H51" s="253">
        <v>1.28115053661613</v>
      </c>
      <c r="I51" s="254">
        <v>1.30612655841142</v>
      </c>
      <c r="J51" s="254">
        <v>1.31109676487476</v>
      </c>
      <c r="K51" s="254">
        <v>1.31523652068544</v>
      </c>
      <c r="L51" s="254">
        <v>1.32281173001282</v>
      </c>
      <c r="M51" s="254">
        <v>1.33397358270527</v>
      </c>
      <c r="N51" s="254">
        <v>1.3438485982371</v>
      </c>
      <c r="O51" s="254">
        <v>1.34434532811551</v>
      </c>
      <c r="P51" s="254">
        <v>1.34461079789175</v>
      </c>
      <c r="Q51" s="254">
        <v>1.3447699992606</v>
      </c>
      <c r="R51" s="254">
        <v>1.36153461066853</v>
      </c>
      <c r="S51" s="254">
        <v>1.4345843755052</v>
      </c>
      <c r="T51" s="254">
        <v>1.51559883488718</v>
      </c>
      <c r="U51" s="254">
        <v>1.60144241349614</v>
      </c>
      <c r="V51" s="254">
        <v>1.79436374344977</v>
      </c>
      <c r="W51" s="364">
        <v>1.89475821409833</v>
      </c>
      <c r="X51" s="254"/>
      <c r="Y51" s="254"/>
      <c r="Z51" s="254"/>
      <c r="AA51" s="254"/>
      <c r="AB51" s="364"/>
      <c r="AC51" s="364"/>
      <c r="AD51" s="364"/>
      <c r="AE51" s="364"/>
      <c r="AF51" s="364"/>
      <c r="AG51" s="364"/>
      <c r="AH51" s="364"/>
      <c r="AI51" s="204"/>
      <c r="AJ51" s="204"/>
      <c r="AK51" s="204"/>
      <c r="AL51" s="204"/>
      <c r="AM51" s="251"/>
      <c r="AN51" s="100" t="b">
        <f t="shared" si="1"/>
        <v>0</v>
      </c>
      <c r="AO51" s="102"/>
    </row>
    <row r="52" ht="14.25" customHeight="1" outlineLevel="3">
      <c r="A52" s="98"/>
      <c r="B52" s="98"/>
      <c r="C52" s="98"/>
      <c r="D52" s="98"/>
      <c r="E52" s="122" t="s">
        <v>905</v>
      </c>
      <c r="F52" s="123" t="s">
        <v>303</v>
      </c>
      <c r="G52" s="123" t="s">
        <v>906</v>
      </c>
      <c r="H52" s="260"/>
      <c r="I52" s="260"/>
      <c r="J52" s="260"/>
      <c r="K52" s="260"/>
      <c r="L52" s="260"/>
      <c r="M52" s="260"/>
      <c r="N52" s="260"/>
      <c r="O52" s="260"/>
      <c r="P52" s="260"/>
      <c r="Q52" s="260"/>
      <c r="R52" s="260"/>
      <c r="S52" s="260"/>
      <c r="T52" s="260"/>
      <c r="U52" s="260"/>
      <c r="V52" s="260"/>
      <c r="W52" s="182"/>
      <c r="X52" s="181"/>
      <c r="Y52" s="181"/>
      <c r="Z52" s="181"/>
      <c r="AA52" s="181"/>
      <c r="AB52" s="182"/>
      <c r="AC52" s="182"/>
      <c r="AD52" s="182"/>
      <c r="AE52" s="182"/>
      <c r="AF52" s="182"/>
      <c r="AG52" s="182"/>
      <c r="AH52" s="184"/>
      <c r="AI52" s="204"/>
      <c r="AJ52" s="204"/>
      <c r="AK52" s="204"/>
      <c r="AL52" s="204"/>
      <c r="AM52" s="251"/>
      <c r="AN52" s="100" t="b">
        <f t="shared" si="1"/>
        <v>0</v>
      </c>
      <c r="AO52" s="102"/>
    </row>
    <row r="53" ht="13.5" customHeight="1" outlineLevel="2">
      <c r="A53" s="247"/>
      <c r="B53" s="201"/>
      <c r="C53" s="162" t="s">
        <v>354</v>
      </c>
      <c r="D53" s="271"/>
      <c r="E53" s="162"/>
      <c r="F53" s="162"/>
      <c r="G53" s="162"/>
      <c r="H53" s="178"/>
      <c r="I53" s="178"/>
      <c r="J53" s="178"/>
      <c r="K53" s="178"/>
      <c r="L53" s="178"/>
      <c r="M53" s="178"/>
      <c r="N53" s="178"/>
      <c r="O53" s="178"/>
      <c r="P53" s="178"/>
      <c r="Q53" s="178"/>
      <c r="R53" s="178"/>
      <c r="S53" s="178"/>
      <c r="T53" s="178"/>
      <c r="U53" s="178"/>
      <c r="V53" s="178"/>
      <c r="W53" s="178"/>
      <c r="X53" s="178"/>
      <c r="Y53" s="178"/>
      <c r="Z53" s="178"/>
      <c r="AA53" s="178"/>
      <c r="AB53" s="178"/>
      <c r="AC53" s="178"/>
      <c r="AD53" s="178"/>
      <c r="AE53" s="178"/>
      <c r="AF53" s="178"/>
      <c r="AG53" s="178"/>
      <c r="AH53" s="178"/>
      <c r="AI53" s="244"/>
      <c r="AJ53" s="244"/>
      <c r="AK53" s="244"/>
      <c r="AL53" s="244"/>
      <c r="AM53" s="162"/>
      <c r="AN53" s="100" t="b">
        <f t="shared" si="1"/>
        <v>0</v>
      </c>
      <c r="AO53" s="102"/>
    </row>
    <row r="54" ht="14.25" customHeight="1" outlineLevel="3">
      <c r="A54" s="200"/>
      <c r="B54" s="100"/>
      <c r="C54" s="201"/>
      <c r="D54" s="271"/>
      <c r="E54" s="299" t="s">
        <v>907</v>
      </c>
      <c r="F54" s="249" t="s">
        <v>135</v>
      </c>
      <c r="G54" s="123" t="s">
        <v>908</v>
      </c>
      <c r="H54" s="274">
        <f>caltoccfterchf</f>
        <v>0</v>
      </c>
      <c r="I54" s="274">
        <f>caltoccfterchf</f>
        <v>25.34344574</v>
      </c>
      <c r="J54" s="274">
        <f>caltoccfterchf</f>
        <v>25.31487937</v>
      </c>
      <c r="K54" s="274">
        <f>caltoccfterchf</f>
        <v>28.32323169</v>
      </c>
      <c r="L54" s="274">
        <f>caltoccfterchf</f>
        <v>29.13193591</v>
      </c>
      <c r="M54" s="274">
        <f>caltoccfterchf</f>
        <v>28.85686584</v>
      </c>
      <c r="N54" s="274">
        <f>caltoccfterchf</f>
        <v>29.79320179</v>
      </c>
      <c r="O54" s="274">
        <f>caltoccfterchf</f>
        <v>24.69108346</v>
      </c>
      <c r="P54" s="274">
        <f>caltoccfterchf</f>
        <v>33.48997152</v>
      </c>
      <c r="Q54" s="274">
        <f>caltoccfterchf</f>
        <v>32.60877873</v>
      </c>
      <c r="R54" s="274">
        <f>caltoccfterchf</f>
        <v>36.16331278</v>
      </c>
      <c r="S54" s="274">
        <f>caltoccfterchf</f>
        <v>29.72088396</v>
      </c>
      <c r="T54" s="274">
        <f>caltoccfterchf</f>
        <v>31.00019905</v>
      </c>
      <c r="U54" s="274">
        <f>caltoccfterchf</f>
        <v>35.32515141</v>
      </c>
      <c r="V54" s="274">
        <f>caltoccfterchf</f>
        <v>27.84048195</v>
      </c>
      <c r="W54" s="274">
        <f>caltoccfterchf</f>
        <v>32.33759085</v>
      </c>
      <c r="X54" s="274">
        <f>caltoccfterchf</f>
        <v>0</v>
      </c>
      <c r="Y54" s="274">
        <f>caltoccfterchf</f>
        <v>0</v>
      </c>
      <c r="Z54" s="274">
        <f>caltoccfterchf</f>
        <v>0</v>
      </c>
      <c r="AA54" s="274">
        <f>caltoccfterchf</f>
        <v>0</v>
      </c>
      <c r="AB54" s="274">
        <f>caltoccfterchf</f>
        <v>0</v>
      </c>
      <c r="AC54" s="274">
        <f>caltoccfterchf</f>
        <v>0</v>
      </c>
      <c r="AD54" s="274">
        <f>caltoccfterchf</f>
        <v>0</v>
      </c>
      <c r="AE54" s="274">
        <f>caltoccfterchf</f>
        <v>0</v>
      </c>
      <c r="AF54" s="274">
        <f>caltoccfterchf</f>
        <v>0</v>
      </c>
      <c r="AG54" s="274">
        <f>caltoccfterchf</f>
        <v>0</v>
      </c>
      <c r="AH54" s="274">
        <f>caltoccfterchf</f>
        <v>0</v>
      </c>
      <c r="AI54" s="204"/>
      <c r="AJ54" s="275"/>
      <c r="AK54" s="204"/>
      <c r="AL54" s="204"/>
      <c r="AM54" s="251"/>
      <c r="AN54" s="100" t="b">
        <f t="shared" si="1"/>
        <v>1</v>
      </c>
      <c r="AO54" s="102"/>
    </row>
    <row r="55" ht="14.25" customHeight="1" outlineLevel="3">
      <c r="A55" s="200"/>
      <c r="B55" s="201"/>
      <c r="C55" s="201"/>
      <c r="D55" s="271"/>
      <c r="E55" s="273" t="s">
        <v>909</v>
      </c>
      <c r="F55" s="249" t="s">
        <v>135</v>
      </c>
      <c r="G55" s="123" t="s">
        <v>910</v>
      </c>
      <c r="H55" s="274" t="str">
        <f>calcmscfterchf</f>
        <v/>
      </c>
      <c r="I55" s="274" t="str">
        <f>calcmscfterchf</f>
        <v/>
      </c>
      <c r="J55" s="274" t="str">
        <f>calcmscfterchf</f>
        <v/>
      </c>
      <c r="K55" s="274" t="str">
        <f>calcmscfterchf</f>
        <v/>
      </c>
      <c r="L55" s="274" t="str">
        <f>calcmscfterchf</f>
        <v/>
      </c>
      <c r="M55" s="274" t="str">
        <f>calcmscfterchf</f>
        <v/>
      </c>
      <c r="N55" s="274" t="str">
        <f>calcmscfterchf</f>
        <v/>
      </c>
      <c r="O55" s="274" t="str">
        <f>calcmscfterchf</f>
        <v/>
      </c>
      <c r="P55" s="274" t="str">
        <f>calcmscfterchf</f>
        <v/>
      </c>
      <c r="Q55" s="274" t="str">
        <f>calcmscfterchf</f>
        <v/>
      </c>
      <c r="R55" s="274" t="str">
        <f>calcmscfterchf</f>
        <v/>
      </c>
      <c r="S55" s="274" t="str">
        <f>calcmscfterchf</f>
        <v/>
      </c>
      <c r="T55" s="274" t="str">
        <f>calcmscfterchf</f>
        <v/>
      </c>
      <c r="U55" s="274" t="str">
        <f>calcmscfterchf</f>
        <v/>
      </c>
      <c r="V55" s="274" t="str">
        <f>calcmscfterchf</f>
        <v/>
      </c>
      <c r="W55" s="274" t="str">
        <f>calcmscfterchf</f>
        <v/>
      </c>
      <c r="X55" s="274" t="str">
        <f>calcmscfterchf</f>
        <v/>
      </c>
      <c r="Y55" s="274" t="str">
        <f>calcmscfterchf</f>
        <v/>
      </c>
      <c r="Z55" s="274" t="str">
        <f>calcmscfterchf</f>
        <v/>
      </c>
      <c r="AA55" s="274" t="str">
        <f>calcmscfterchf</f>
        <v/>
      </c>
      <c r="AB55" s="274" t="str">
        <f>calcmscfterchf</f>
        <v/>
      </c>
      <c r="AC55" s="274" t="str">
        <f>calcmscfterchf</f>
        <v/>
      </c>
      <c r="AD55" s="274" t="str">
        <f>calcmscfterchf</f>
        <v/>
      </c>
      <c r="AE55" s="274" t="str">
        <f>calcmscfterchf</f>
        <v/>
      </c>
      <c r="AF55" s="274" t="str">
        <f>calcmscfterchf</f>
        <v/>
      </c>
      <c r="AG55" s="274" t="str">
        <f>calcmscfterchf</f>
        <v/>
      </c>
      <c r="AH55" s="274" t="str">
        <f>calcmscfterchf</f>
        <v/>
      </c>
      <c r="AI55" s="204"/>
      <c r="AJ55" s="275"/>
      <c r="AK55" s="204"/>
      <c r="AL55" s="204"/>
      <c r="AM55" s="251"/>
      <c r="AN55" s="100" t="b">
        <f t="shared" si="1"/>
        <v>1</v>
      </c>
      <c r="AO55" s="102"/>
    </row>
    <row r="56" ht="14.25" customHeight="1" outlineLevel="3">
      <c r="A56" s="200"/>
      <c r="B56" s="201"/>
      <c r="C56" s="201"/>
      <c r="D56" s="271"/>
      <c r="E56" s="273" t="s">
        <v>911</v>
      </c>
      <c r="F56" s="123" t="s">
        <v>135</v>
      </c>
      <c r="G56" s="123" t="s">
        <v>912</v>
      </c>
      <c r="H56" s="274" t="str">
        <f>calenccfterchf</f>
        <v/>
      </c>
      <c r="I56" s="274" t="str">
        <f>calenccfterchf</f>
        <v/>
      </c>
      <c r="J56" s="274" t="str">
        <f>calenccfterchf</f>
        <v/>
      </c>
      <c r="K56" s="274" t="str">
        <f>calenccfterchf</f>
        <v/>
      </c>
      <c r="L56" s="274">
        <f>calenccfterchf</f>
        <v>0.04535885214</v>
      </c>
      <c r="M56" s="274">
        <f>calenccfterchf</f>
        <v>0.0577860696</v>
      </c>
      <c r="N56" s="274">
        <f>calenccfterchf</f>
        <v>0.05667190603</v>
      </c>
      <c r="O56" s="274">
        <f>calenccfterchf</f>
        <v>0.0587193052</v>
      </c>
      <c r="P56" s="274">
        <f>calenccfterchf</f>
        <v>0.02497118818</v>
      </c>
      <c r="Q56" s="274">
        <f>calenccfterchf</f>
        <v>0.01588522658</v>
      </c>
      <c r="R56" s="274">
        <f>calenccfterchf</f>
        <v>0.04062199103</v>
      </c>
      <c r="S56" s="274">
        <f>calenccfterchf</f>
        <v>0.04748323567</v>
      </c>
      <c r="T56" s="274">
        <f>calenccfterchf</f>
        <v>0.2117737151</v>
      </c>
      <c r="U56" s="274">
        <f>calenccfterchf</f>
        <v>0.2182876212</v>
      </c>
      <c r="V56" s="274">
        <f>calenccfterchf</f>
        <v>0.1986315788</v>
      </c>
      <c r="W56" s="274">
        <f>calenccfterchf</f>
        <v>0.1931120136</v>
      </c>
      <c r="X56" s="274" t="str">
        <f>calenccfterchf</f>
        <v/>
      </c>
      <c r="Y56" s="274" t="str">
        <f>calenccfterchf</f>
        <v/>
      </c>
      <c r="Z56" s="274" t="str">
        <f>calenccfterchf</f>
        <v/>
      </c>
      <c r="AA56" s="274" t="str">
        <f>calenccfterchf</f>
        <v/>
      </c>
      <c r="AB56" s="274" t="str">
        <f>calenccfterchf</f>
        <v/>
      </c>
      <c r="AC56" s="274" t="str">
        <f>calenccfterchf</f>
        <v/>
      </c>
      <c r="AD56" s="274" t="str">
        <f>calenccfterchf</f>
        <v/>
      </c>
      <c r="AE56" s="274" t="str">
        <f>calenccfterchf</f>
        <v/>
      </c>
      <c r="AF56" s="274" t="str">
        <f>calenccfterchf</f>
        <v/>
      </c>
      <c r="AG56" s="274" t="str">
        <f>calenccfterchf</f>
        <v/>
      </c>
      <c r="AH56" s="274" t="str">
        <f>calenccfterchf</f>
        <v/>
      </c>
      <c r="AI56" s="204"/>
      <c r="AJ56" s="275"/>
      <c r="AK56" s="204"/>
      <c r="AL56" s="204"/>
      <c r="AM56" s="251"/>
      <c r="AN56" s="100" t="b">
        <f t="shared" si="1"/>
        <v>1</v>
      </c>
      <c r="AO56" s="102"/>
    </row>
    <row r="57" ht="14.25" customHeight="1" outlineLevel="3">
      <c r="A57" s="200"/>
      <c r="B57" s="201"/>
      <c r="C57" s="201"/>
      <c r="D57" s="271"/>
      <c r="E57" s="273" t="s">
        <v>913</v>
      </c>
      <c r="F57" s="123" t="s">
        <v>135</v>
      </c>
      <c r="G57" s="123" t="s">
        <v>914</v>
      </c>
      <c r="H57" s="274">
        <f>calpetcfterchf</f>
        <v>0</v>
      </c>
      <c r="I57" s="274">
        <f>calpetcfterchf</f>
        <v>7.866070792</v>
      </c>
      <c r="J57" s="274">
        <f>calpetcfterchf</f>
        <v>10.51988461</v>
      </c>
      <c r="K57" s="274">
        <f>calpetcfterchf</f>
        <v>12.72801353</v>
      </c>
      <c r="L57" s="274">
        <f>calpetcfterchf</f>
        <v>12.44440754</v>
      </c>
      <c r="M57" s="274">
        <f>calpetcfterchf</f>
        <v>12.51145045</v>
      </c>
      <c r="N57" s="274">
        <f>calpetcfterchf</f>
        <v>10.63838436</v>
      </c>
      <c r="O57" s="274">
        <f>calpetcfterchf</f>
        <v>8.797250237</v>
      </c>
      <c r="P57" s="274">
        <f>calpetcfterchf</f>
        <v>11.161006</v>
      </c>
      <c r="Q57" s="274">
        <f>calpetcfterchf</f>
        <v>8.975847175</v>
      </c>
      <c r="R57" s="274">
        <f>calpetcfterchf</f>
        <v>9.982911326</v>
      </c>
      <c r="S57" s="274">
        <f>calpetcfterchf</f>
        <v>8.293900479</v>
      </c>
      <c r="T57" s="274">
        <f>calpetcfterchf</f>
        <v>8.252569596</v>
      </c>
      <c r="U57" s="274">
        <f>calpetcfterchf</f>
        <v>9.164007398</v>
      </c>
      <c r="V57" s="274">
        <f>calpetcfterchf</f>
        <v>6.964955264</v>
      </c>
      <c r="W57" s="274">
        <f>calpetcfterchf</f>
        <v>8.481493177</v>
      </c>
      <c r="X57" s="274" t="str">
        <f>calpetcfterchf</f>
        <v/>
      </c>
      <c r="Y57" s="274" t="str">
        <f>calpetcfterchf</f>
        <v/>
      </c>
      <c r="Z57" s="274" t="str">
        <f>calpetcfterchf</f>
        <v/>
      </c>
      <c r="AA57" s="274" t="str">
        <f>calpetcfterchf</f>
        <v/>
      </c>
      <c r="AB57" s="274" t="str">
        <f>calpetcfterchf</f>
        <v/>
      </c>
      <c r="AC57" s="274" t="str">
        <f>calpetcfterchf</f>
        <v/>
      </c>
      <c r="AD57" s="274" t="str">
        <f>calpetcfterchf</f>
        <v/>
      </c>
      <c r="AE57" s="274" t="str">
        <f>calpetcfterchf</f>
        <v/>
      </c>
      <c r="AF57" s="274" t="str">
        <f>calpetcfterchf</f>
        <v/>
      </c>
      <c r="AG57" s="274" t="str">
        <f>calpetcfterchf</f>
        <v/>
      </c>
      <c r="AH57" s="274" t="str">
        <f>calpetcfterchf</f>
        <v/>
      </c>
      <c r="AI57" s="204"/>
      <c r="AJ57" s="275"/>
      <c r="AK57" s="204"/>
      <c r="AL57" s="204"/>
      <c r="AM57" s="251"/>
      <c r="AN57" s="100" t="b">
        <f t="shared" si="1"/>
        <v>1</v>
      </c>
      <c r="AO57" s="102"/>
    </row>
    <row r="58" ht="14.25" customHeight="1" outlineLevel="3">
      <c r="A58" s="200"/>
      <c r="B58" s="201"/>
      <c r="C58" s="201"/>
      <c r="D58" s="271"/>
      <c r="E58" s="273" t="s">
        <v>915</v>
      </c>
      <c r="F58" s="123" t="s">
        <v>135</v>
      </c>
      <c r="G58" s="123" t="s">
        <v>916</v>
      </c>
      <c r="H58" s="274">
        <f>calgazcfterchf</f>
        <v>0</v>
      </c>
      <c r="I58" s="274">
        <f>calgazcfterchf</f>
        <v>14.62390289</v>
      </c>
      <c r="J58" s="274">
        <f>calgazcfterchf</f>
        <v>13.68780626</v>
      </c>
      <c r="K58" s="274">
        <f>calgazcfterchf</f>
        <v>14.70623638</v>
      </c>
      <c r="L58" s="274">
        <f>calgazcfterchf</f>
        <v>15.14300934</v>
      </c>
      <c r="M58" s="274">
        <f>calgazcfterchf</f>
        <v>15.25446658</v>
      </c>
      <c r="N58" s="274">
        <f>calgazcfterchf</f>
        <v>14.61006653</v>
      </c>
      <c r="O58" s="274">
        <f>calgazcfterchf</f>
        <v>11.29396569</v>
      </c>
      <c r="P58" s="274">
        <f>calgazcfterchf</f>
        <v>15.19708872</v>
      </c>
      <c r="Q58" s="274">
        <f>calgazcfterchf</f>
        <v>15.80891903</v>
      </c>
      <c r="R58" s="274">
        <f>calgazcfterchf</f>
        <v>17.89998025</v>
      </c>
      <c r="S58" s="274">
        <f>calgazcfterchf</f>
        <v>13.99380864</v>
      </c>
      <c r="T58" s="274">
        <f>calgazcfterchf</f>
        <v>15.38224663</v>
      </c>
      <c r="U58" s="274">
        <f>calgazcfterchf</f>
        <v>18.03305063</v>
      </c>
      <c r="V58" s="274">
        <f>calgazcfterchf</f>
        <v>13.29185243</v>
      </c>
      <c r="W58" s="274">
        <f>calgazcfterchf</f>
        <v>15.31858591</v>
      </c>
      <c r="X58" s="274" t="str">
        <f>calgazcfterchf</f>
        <v/>
      </c>
      <c r="Y58" s="274" t="str">
        <f>calgazcfterchf</f>
        <v/>
      </c>
      <c r="Z58" s="274" t="str">
        <f>calgazcfterchf</f>
        <v/>
      </c>
      <c r="AA58" s="274" t="str">
        <f>calgazcfterchf</f>
        <v/>
      </c>
      <c r="AB58" s="274" t="str">
        <f>calgazcfterchf</f>
        <v/>
      </c>
      <c r="AC58" s="274" t="str">
        <f>calgazcfterchf</f>
        <v/>
      </c>
      <c r="AD58" s="274" t="str">
        <f>calgazcfterchf</f>
        <v/>
      </c>
      <c r="AE58" s="274" t="str">
        <f>calgazcfterchf</f>
        <v/>
      </c>
      <c r="AF58" s="274" t="str">
        <f>calgazcfterchf</f>
        <v/>
      </c>
      <c r="AG58" s="274" t="str">
        <f>calgazcfterchf</f>
        <v/>
      </c>
      <c r="AH58" s="274" t="str">
        <f>calgazcfterchf</f>
        <v/>
      </c>
      <c r="AI58" s="204"/>
      <c r="AJ58" s="275"/>
      <c r="AK58" s="204"/>
      <c r="AL58" s="204"/>
      <c r="AM58" s="251"/>
      <c r="AN58" s="100" t="b">
        <f t="shared" si="1"/>
        <v>1</v>
      </c>
      <c r="AO58" s="102"/>
    </row>
    <row r="59" ht="14.25" customHeight="1" outlineLevel="3">
      <c r="A59" s="200"/>
      <c r="B59" s="201"/>
      <c r="C59" s="201"/>
      <c r="D59" s="271"/>
      <c r="E59" s="273" t="s">
        <v>917</v>
      </c>
      <c r="F59" s="123" t="s">
        <v>135</v>
      </c>
      <c r="G59" s="123" t="s">
        <v>918</v>
      </c>
      <c r="H59" s="274">
        <f>calelccfterchf</f>
        <v>0</v>
      </c>
      <c r="I59" s="274">
        <f>calelccfterchf</f>
        <v>2.374090386</v>
      </c>
      <c r="J59" s="274">
        <f>calelccfterchf</f>
        <v>0.6500132667</v>
      </c>
      <c r="K59" s="274">
        <f>calelccfterchf</f>
        <v>0.41921638</v>
      </c>
      <c r="L59" s="274">
        <f>calelccfterchf</f>
        <v>0.4131265754</v>
      </c>
      <c r="M59" s="274">
        <f>calelccfterchf</f>
        <v>0.5947041986</v>
      </c>
      <c r="N59" s="274">
        <f>calelccfterchf</f>
        <v>3.844547105</v>
      </c>
      <c r="O59" s="274">
        <f>calelccfterchf</f>
        <v>3.902518994</v>
      </c>
      <c r="P59" s="274">
        <f>calelccfterchf</f>
        <v>6.132174204</v>
      </c>
      <c r="Q59" s="274">
        <f>calelccfterchf</f>
        <v>6.794953861</v>
      </c>
      <c r="R59" s="274">
        <f>calelccfterchf</f>
        <v>7.09772189</v>
      </c>
      <c r="S59" s="274">
        <f>calelccfterchf</f>
        <v>6.094565999</v>
      </c>
      <c r="T59" s="274">
        <f>calelccfterchf</f>
        <v>6.14585578</v>
      </c>
      <c r="U59" s="274">
        <f>calelccfterchf</f>
        <v>6.405451004</v>
      </c>
      <c r="V59" s="274">
        <f>calelccfterchf</f>
        <v>5.496299339</v>
      </c>
      <c r="W59" s="274">
        <f>calelccfterchf</f>
        <v>5.751947541</v>
      </c>
      <c r="X59" s="274" t="str">
        <f>calelccfterchf</f>
        <v/>
      </c>
      <c r="Y59" s="274" t="str">
        <f>calelccfterchf</f>
        <v/>
      </c>
      <c r="Z59" s="274" t="str">
        <f>calelccfterchf</f>
        <v/>
      </c>
      <c r="AA59" s="274" t="str">
        <f>calelccfterchf</f>
        <v/>
      </c>
      <c r="AB59" s="274" t="str">
        <f>calelccfterchf</f>
        <v/>
      </c>
      <c r="AC59" s="274" t="str">
        <f>calelccfterchf</f>
        <v/>
      </c>
      <c r="AD59" s="274" t="str">
        <f>calelccfterchf</f>
        <v/>
      </c>
      <c r="AE59" s="274" t="str">
        <f>calelccfterchf</f>
        <v/>
      </c>
      <c r="AF59" s="274" t="str">
        <f>calelccfterchf</f>
        <v/>
      </c>
      <c r="AG59" s="274" t="str">
        <f>calelccfterchf</f>
        <v/>
      </c>
      <c r="AH59" s="274" t="str">
        <f>calelccfterchf</f>
        <v/>
      </c>
      <c r="AI59" s="204"/>
      <c r="AJ59" s="275"/>
      <c r="AK59" s="204"/>
      <c r="AL59" s="204"/>
      <c r="AM59" s="251"/>
      <c r="AN59" s="100" t="b">
        <f t="shared" si="1"/>
        <v>1</v>
      </c>
      <c r="AO59" s="102"/>
    </row>
    <row r="60" ht="14.25" customHeight="1" outlineLevel="3">
      <c r="A60" s="200"/>
      <c r="B60" s="201"/>
      <c r="C60" s="201"/>
      <c r="D60" s="271"/>
      <c r="E60" s="273" t="s">
        <v>919</v>
      </c>
      <c r="F60" s="123" t="s">
        <v>135</v>
      </c>
      <c r="G60" s="123" t="s">
        <v>920</v>
      </c>
      <c r="H60" s="274">
        <f>calvapcfterchf</f>
        <v>0</v>
      </c>
      <c r="I60" s="274">
        <f>calvapcfterchf</f>
        <v>0.4705249371</v>
      </c>
      <c r="J60" s="274">
        <f>calvapcfterchf</f>
        <v>0.4482207539</v>
      </c>
      <c r="K60" s="274">
        <f>calvapcfterchf</f>
        <v>0.4593450249</v>
      </c>
      <c r="L60" s="274">
        <f>calvapcfterchf</f>
        <v>1.07340163</v>
      </c>
      <c r="M60" s="274">
        <f>calvapcfterchf</f>
        <v>0.4182693849</v>
      </c>
      <c r="N60" s="274">
        <f>calvapcfterchf</f>
        <v>0.5109820575</v>
      </c>
      <c r="O60" s="274">
        <f>calvapcfterchf</f>
        <v>0.4869360728</v>
      </c>
      <c r="P60" s="274">
        <f>calvapcfterchf</f>
        <v>0.7139026991</v>
      </c>
      <c r="Q60" s="274">
        <f>calvapcfterchf</f>
        <v>0.7061691045</v>
      </c>
      <c r="R60" s="274">
        <f>calvapcfterchf</f>
        <v>0.7742078054</v>
      </c>
      <c r="S60" s="274">
        <f>calvapcfterchf</f>
        <v>0.8834686494</v>
      </c>
      <c r="T60" s="274">
        <f>calvapcfterchf</f>
        <v>0.4473061794</v>
      </c>
      <c r="U60" s="274">
        <f>calvapcfterchf</f>
        <v>0.6707213357</v>
      </c>
      <c r="V60" s="274">
        <f>calvapcfterchf</f>
        <v>0.6856023765</v>
      </c>
      <c r="W60" s="274">
        <f>calvapcfterchf</f>
        <v>0.6647056309</v>
      </c>
      <c r="X60" s="274" t="str">
        <f>calvapcfterchf</f>
        <v/>
      </c>
      <c r="Y60" s="274" t="str">
        <f>calvapcfterchf</f>
        <v/>
      </c>
      <c r="Z60" s="274" t="str">
        <f>calvapcfterchf</f>
        <v/>
      </c>
      <c r="AA60" s="274" t="str">
        <f>calvapcfterchf</f>
        <v/>
      </c>
      <c r="AB60" s="274" t="str">
        <f>calvapcfterchf</f>
        <v/>
      </c>
      <c r="AC60" s="274" t="str">
        <f>calvapcfterchf</f>
        <v/>
      </c>
      <c r="AD60" s="274" t="str">
        <f>calvapcfterchf</f>
        <v/>
      </c>
      <c r="AE60" s="274" t="str">
        <f>calvapcfterchf</f>
        <v/>
      </c>
      <c r="AF60" s="274" t="str">
        <f>calvapcfterchf</f>
        <v/>
      </c>
      <c r="AG60" s="274" t="str">
        <f>calvapcfterchf</f>
        <v/>
      </c>
      <c r="AH60" s="274" t="str">
        <f>calvapcfterchf</f>
        <v/>
      </c>
      <c r="AI60" s="204"/>
      <c r="AJ60" s="275"/>
      <c r="AK60" s="204"/>
      <c r="AL60" s="204"/>
      <c r="AM60" s="251"/>
      <c r="AN60" s="100" t="b">
        <f t="shared" si="1"/>
        <v>1</v>
      </c>
      <c r="AO60" s="102"/>
    </row>
    <row r="61" ht="14.25" customHeight="1" outlineLevel="3">
      <c r="A61" s="200"/>
      <c r="B61" s="201"/>
      <c r="C61" s="201"/>
      <c r="D61" s="271"/>
      <c r="E61" s="273" t="s">
        <v>921</v>
      </c>
      <c r="F61" s="123" t="s">
        <v>135</v>
      </c>
      <c r="G61" s="123" t="s">
        <v>922</v>
      </c>
      <c r="H61" s="274">
        <f>calpaccfterchf</f>
        <v>0</v>
      </c>
      <c r="I61" s="274">
        <f>calpaccfterchf</f>
        <v>0.008856742622</v>
      </c>
      <c r="J61" s="274">
        <f>calpaccfterchf</f>
        <v>0.008954485816</v>
      </c>
      <c r="K61" s="274">
        <f>calpaccfterchf</f>
        <v>0.01042037416</v>
      </c>
      <c r="L61" s="274">
        <f>calpaccfterchf</f>
        <v>0.01263197092</v>
      </c>
      <c r="M61" s="274">
        <f>calpaccfterchf</f>
        <v>0.02018915929</v>
      </c>
      <c r="N61" s="274">
        <f>calpaccfterchf</f>
        <v>0.1325498415</v>
      </c>
      <c r="O61" s="274">
        <f>calpaccfterchf</f>
        <v>0.1516931572</v>
      </c>
      <c r="P61" s="274">
        <f>calpaccfterchf</f>
        <v>0.2608287116</v>
      </c>
      <c r="Q61" s="274">
        <f>calpaccfterchf</f>
        <v>0.3070043386</v>
      </c>
      <c r="R61" s="274">
        <f>calpaccfterchf</f>
        <v>0.3678695214</v>
      </c>
      <c r="S61" s="274">
        <f>calpaccfterchf</f>
        <v>0.4076569579</v>
      </c>
      <c r="T61" s="274">
        <f>calpaccfterchf</f>
        <v>0.5604471416</v>
      </c>
      <c r="U61" s="274">
        <f>calpaccfterchf</f>
        <v>0.8336334222</v>
      </c>
      <c r="V61" s="274">
        <f>calpaccfterchf</f>
        <v>1.203140969</v>
      </c>
      <c r="W61" s="274">
        <f>calpaccfterchf</f>
        <v>1.927746585</v>
      </c>
      <c r="X61" s="274" t="str">
        <f>calpaccfterchf</f>
        <v/>
      </c>
      <c r="Y61" s="274" t="str">
        <f>calpaccfterchf</f>
        <v/>
      </c>
      <c r="Z61" s="274" t="str">
        <f>calpaccfterchf</f>
        <v/>
      </c>
      <c r="AA61" s="274" t="str">
        <f>calpaccfterchf</f>
        <v/>
      </c>
      <c r="AB61" s="274" t="str">
        <f>calpaccfterchf</f>
        <v/>
      </c>
      <c r="AC61" s="274" t="str">
        <f>calpaccfterchf</f>
        <v/>
      </c>
      <c r="AD61" s="274" t="str">
        <f>calpaccfterchf</f>
        <v/>
      </c>
      <c r="AE61" s="274" t="str">
        <f>calpaccfterchf</f>
        <v/>
      </c>
      <c r="AF61" s="274" t="str">
        <f>calpaccfterchf</f>
        <v/>
      </c>
      <c r="AG61" s="274" t="str">
        <f>calpaccfterchf</f>
        <v/>
      </c>
      <c r="AH61" s="274" t="str">
        <f>calpaccfterchf</f>
        <v/>
      </c>
      <c r="AI61" s="204"/>
      <c r="AJ61" s="275"/>
      <c r="AK61" s="204"/>
      <c r="AL61" s="204"/>
      <c r="AM61" s="251"/>
      <c r="AN61" s="100" t="b">
        <f t="shared" si="1"/>
        <v>1</v>
      </c>
      <c r="AO61" s="102"/>
    </row>
    <row r="62" ht="14.25" customHeight="1" outlineLevel="3">
      <c r="A62" s="200"/>
      <c r="B62" s="201"/>
      <c r="C62" s="201"/>
      <c r="D62" s="271"/>
      <c r="E62" s="273" t="s">
        <v>923</v>
      </c>
      <c r="F62" s="123" t="s">
        <v>135</v>
      </c>
      <c r="G62" s="123" t="s">
        <v>924</v>
      </c>
      <c r="H62" s="274">
        <f>calsthcfterchf</f>
        <v>0</v>
      </c>
      <c r="I62" s="274">
        <f>calsthcfterchf</f>
        <v>0</v>
      </c>
      <c r="J62" s="274">
        <f>calsthcfterchf</f>
        <v>0</v>
      </c>
      <c r="K62" s="274">
        <f>calsthcfterchf</f>
        <v>0</v>
      </c>
      <c r="L62" s="274">
        <f>calsthcfterchf</f>
        <v>0</v>
      </c>
      <c r="M62" s="274">
        <f>calsthcfterchf</f>
        <v>0</v>
      </c>
      <c r="N62" s="274">
        <f>calsthcfterchf</f>
        <v>0</v>
      </c>
      <c r="O62" s="274">
        <f>calsthcfterchf</f>
        <v>0</v>
      </c>
      <c r="P62" s="274">
        <f>calsthcfterchf</f>
        <v>0</v>
      </c>
      <c r="Q62" s="274">
        <f>calsthcfterchf</f>
        <v>0</v>
      </c>
      <c r="R62" s="274">
        <f>calsthcfterchf</f>
        <v>0</v>
      </c>
      <c r="S62" s="274">
        <f>calsthcfterchf</f>
        <v>0</v>
      </c>
      <c r="T62" s="274">
        <f>calsthcfterchf</f>
        <v>0</v>
      </c>
      <c r="U62" s="274">
        <f>calsthcfterchf</f>
        <v>0</v>
      </c>
      <c r="V62" s="274">
        <f>calsthcfterchf</f>
        <v>0</v>
      </c>
      <c r="W62" s="274">
        <f>calsthcfterchf</f>
        <v>0</v>
      </c>
      <c r="X62" s="274">
        <f>calsthcfterchf</f>
        <v>0</v>
      </c>
      <c r="Y62" s="274">
        <f>calsthcfterchf</f>
        <v>0</v>
      </c>
      <c r="Z62" s="274">
        <f>calsthcfterchf</f>
        <v>0</v>
      </c>
      <c r="AA62" s="274">
        <f>calsthcfterchf</f>
        <v>0</v>
      </c>
      <c r="AB62" s="274">
        <f>calsthcfterchf</f>
        <v>0</v>
      </c>
      <c r="AC62" s="274">
        <f>calsthcfterchf</f>
        <v>0</v>
      </c>
      <c r="AD62" s="274">
        <f>calsthcfterchf</f>
        <v>0</v>
      </c>
      <c r="AE62" s="274">
        <f>calsthcfterchf</f>
        <v>0</v>
      </c>
      <c r="AF62" s="274">
        <f>calsthcfterchf</f>
        <v>0</v>
      </c>
      <c r="AG62" s="274">
        <f>calsthcfterchf</f>
        <v>0</v>
      </c>
      <c r="AH62" s="274">
        <f>calsthcfterchf</f>
        <v>0</v>
      </c>
      <c r="AI62" s="204"/>
      <c r="AJ62" s="275"/>
      <c r="AK62" s="204"/>
      <c r="AL62" s="204"/>
      <c r="AM62" s="251"/>
      <c r="AN62" s="100" t="b">
        <f t="shared" si="1"/>
        <v>1</v>
      </c>
      <c r="AO62" s="102"/>
    </row>
    <row r="63" ht="14.25" customHeight="1" outlineLevel="3">
      <c r="A63" s="98"/>
      <c r="B63" s="98"/>
      <c r="C63" s="98"/>
      <c r="D63" s="98"/>
      <c r="E63" s="273" t="s">
        <v>925</v>
      </c>
      <c r="F63" s="123" t="s">
        <v>365</v>
      </c>
      <c r="G63" s="123" t="s">
        <v>926</v>
      </c>
      <c r="H63" s="274">
        <f>calcfterchfcap</f>
        <v>0</v>
      </c>
      <c r="I63" s="274">
        <f>calcfterchfcap</f>
        <v>2469.299762</v>
      </c>
      <c r="J63" s="274">
        <f>calcfterchfcap</f>
        <v>2455.436917</v>
      </c>
      <c r="K63" s="274">
        <f>calcfterchfcap</f>
        <v>2734.99984</v>
      </c>
      <c r="L63" s="274">
        <f>calcfterchfcap</f>
        <v>2802.111987</v>
      </c>
      <c r="M63" s="274">
        <f>calcfterchfcap</f>
        <v>2762.519117</v>
      </c>
      <c r="N63" s="274">
        <f>calcfterchfcap</f>
        <v>2834.375327</v>
      </c>
      <c r="O63" s="274">
        <f>calcfterchfcap</f>
        <v>2332.751112</v>
      </c>
      <c r="P63" s="274">
        <f>calcfterchfcap</f>
        <v>3139.626159</v>
      </c>
      <c r="Q63" s="274">
        <f>calcfterchfcap</f>
        <v>3032.505918</v>
      </c>
      <c r="R63" s="274">
        <f>calcfterchfcap</f>
        <v>3336.128202</v>
      </c>
      <c r="S63" s="274">
        <f>calcfterchfcap</f>
        <v>2713.922204</v>
      </c>
      <c r="T63" s="274">
        <f>calcfterchfcap</f>
        <v>2809.020036</v>
      </c>
      <c r="U63" s="274">
        <f>calcfterchfcap</f>
        <v>3182.57395</v>
      </c>
      <c r="V63" s="274">
        <f>calcfterchfcap</f>
        <v>2496.788665</v>
      </c>
      <c r="W63" s="274">
        <f>calcfterchfcap</f>
        <v>2884.955296</v>
      </c>
      <c r="X63" s="274">
        <f>calcfterchfcap</f>
        <v>0</v>
      </c>
      <c r="Y63" s="274">
        <f>calcfterchfcap</f>
        <v>0</v>
      </c>
      <c r="Z63" s="274">
        <f>calcfterchfcap</f>
        <v>0</v>
      </c>
      <c r="AA63" s="274">
        <f>calcfterchfcap</f>
        <v>0</v>
      </c>
      <c r="AB63" s="274">
        <f>calcfterchfcap</f>
        <v>0</v>
      </c>
      <c r="AC63" s="274">
        <f>calcfterchfcap</f>
        <v>0</v>
      </c>
      <c r="AD63" s="274">
        <f>calcfterchfcap</f>
        <v>0</v>
      </c>
      <c r="AE63" s="274">
        <f>calcfterchfcap</f>
        <v>0</v>
      </c>
      <c r="AF63" s="274">
        <f>calcfterchfcap</f>
        <v>0</v>
      </c>
      <c r="AG63" s="274">
        <f>calcfterchfcap</f>
        <v>0</v>
      </c>
      <c r="AH63" s="274">
        <f>calcfterchfcap</f>
        <v>0</v>
      </c>
      <c r="AI63" s="204"/>
      <c r="AJ63" s="204"/>
      <c r="AK63" s="204"/>
      <c r="AL63" s="204"/>
      <c r="AM63" s="251"/>
      <c r="AN63" s="100" t="b">
        <f t="shared" si="1"/>
        <v>1</v>
      </c>
      <c r="AO63" s="102"/>
    </row>
    <row r="64" ht="14.25" customHeight="1" outlineLevel="2">
      <c r="A64" s="363"/>
      <c r="B64" s="100"/>
      <c r="C64" s="331" t="s">
        <v>367</v>
      </c>
      <c r="D64" s="271"/>
      <c r="E64" s="162"/>
      <c r="F64" s="162"/>
      <c r="G64" s="162"/>
      <c r="H64" s="178"/>
      <c r="I64" s="178"/>
      <c r="J64" s="178"/>
      <c r="K64" s="178"/>
      <c r="L64" s="178"/>
      <c r="M64" s="178"/>
      <c r="N64" s="178"/>
      <c r="O64" s="178"/>
      <c r="P64" s="178"/>
      <c r="Q64" s="178"/>
      <c r="R64" s="178"/>
      <c r="S64" s="178"/>
      <c r="T64" s="178"/>
      <c r="U64" s="178"/>
      <c r="V64" s="178"/>
      <c r="W64" s="178"/>
      <c r="X64" s="178"/>
      <c r="Y64" s="178"/>
      <c r="Z64" s="178"/>
      <c r="AA64" s="178"/>
      <c r="AB64" s="178"/>
      <c r="AC64" s="178"/>
      <c r="AD64" s="178"/>
      <c r="AE64" s="178"/>
      <c r="AF64" s="178"/>
      <c r="AG64" s="178"/>
      <c r="AH64" s="178"/>
      <c r="AI64" s="244"/>
      <c r="AJ64" s="244"/>
      <c r="AK64" s="244"/>
      <c r="AL64" s="244"/>
      <c r="AM64" s="162"/>
      <c r="AN64" s="100" t="b">
        <f t="shared" si="1"/>
        <v>0</v>
      </c>
      <c r="AO64" s="102"/>
    </row>
    <row r="65" ht="14.25" customHeight="1" outlineLevel="3">
      <c r="A65" s="363"/>
      <c r="B65" s="100"/>
      <c r="C65" s="357"/>
      <c r="D65" s="271"/>
      <c r="E65" s="287" t="s">
        <v>927</v>
      </c>
      <c r="F65" s="249" t="s">
        <v>135</v>
      </c>
      <c r="G65" s="249" t="s">
        <v>928</v>
      </c>
      <c r="H65" s="260">
        <v>24.5767046020717</v>
      </c>
      <c r="I65" s="181">
        <v>26.2766361684752</v>
      </c>
      <c r="J65" s="181">
        <v>27.1741522274555</v>
      </c>
      <c r="K65" s="181">
        <v>29.3462460388016</v>
      </c>
      <c r="L65" s="181">
        <v>30.5890276856246</v>
      </c>
      <c r="M65" s="181">
        <v>30.0801459177413</v>
      </c>
      <c r="N65" s="181">
        <v>31.0670989857281</v>
      </c>
      <c r="O65" s="181">
        <v>25.7602892717598</v>
      </c>
      <c r="P65" s="181">
        <v>34.5762432873646</v>
      </c>
      <c r="Q65" s="181">
        <v>33.1145045757919</v>
      </c>
      <c r="R65" s="181">
        <v>37.4502962517221</v>
      </c>
      <c r="S65" s="181">
        <v>30.5238751870444</v>
      </c>
      <c r="T65" s="181">
        <v>31.4393363658705</v>
      </c>
      <c r="U65" s="181">
        <v>35.5502566662368</v>
      </c>
      <c r="V65" s="181">
        <v>27.4907666651122</v>
      </c>
      <c r="W65" s="202">
        <v>31.2744268810139</v>
      </c>
      <c r="X65" s="181"/>
      <c r="Y65" s="181"/>
      <c r="Z65" s="181"/>
      <c r="AA65" s="181"/>
      <c r="AB65" s="202"/>
      <c r="AC65" s="202"/>
      <c r="AD65" s="202"/>
      <c r="AE65" s="202"/>
      <c r="AF65" s="202"/>
      <c r="AG65" s="202"/>
      <c r="AH65" s="202"/>
      <c r="AI65" s="204"/>
      <c r="AJ65" s="204"/>
      <c r="AK65" s="204"/>
      <c r="AL65" s="204"/>
      <c r="AM65" s="251"/>
      <c r="AN65" s="100" t="b">
        <f t="shared" si="1"/>
        <v>0</v>
      </c>
      <c r="AO65" s="102"/>
    </row>
    <row r="66" ht="14.25" customHeight="1" outlineLevel="3">
      <c r="A66" s="363"/>
      <c r="B66" s="100"/>
      <c r="C66" s="357"/>
      <c r="D66" s="271"/>
      <c r="E66" s="287" t="s">
        <v>929</v>
      </c>
      <c r="F66" s="249" t="s">
        <v>135</v>
      </c>
      <c r="G66" s="249" t="s">
        <v>930</v>
      </c>
      <c r="H66" s="260"/>
      <c r="I66" s="181"/>
      <c r="J66" s="181"/>
      <c r="K66" s="181"/>
      <c r="L66" s="181"/>
      <c r="M66" s="181"/>
      <c r="N66" s="181"/>
      <c r="O66" s="181"/>
      <c r="P66" s="181"/>
      <c r="Q66" s="181"/>
      <c r="R66" s="181"/>
      <c r="S66" s="181"/>
      <c r="T66" s="181"/>
      <c r="U66" s="181"/>
      <c r="V66" s="181"/>
      <c r="W66" s="202"/>
      <c r="X66" s="181"/>
      <c r="Y66" s="181"/>
      <c r="Z66" s="181"/>
      <c r="AA66" s="181"/>
      <c r="AB66" s="202"/>
      <c r="AC66" s="202"/>
      <c r="AD66" s="202"/>
      <c r="AE66" s="202"/>
      <c r="AF66" s="202"/>
      <c r="AG66" s="202"/>
      <c r="AH66" s="202"/>
      <c r="AI66" s="204"/>
      <c r="AJ66" s="204"/>
      <c r="AK66" s="204"/>
      <c r="AL66" s="204"/>
      <c r="AM66" s="251"/>
      <c r="AN66" s="100" t="b">
        <f t="shared" si="1"/>
        <v>0</v>
      </c>
      <c r="AO66" s="102"/>
    </row>
    <row r="67" ht="14.25" customHeight="1" outlineLevel="3">
      <c r="A67" s="363"/>
      <c r="B67" s="100"/>
      <c r="C67" s="357"/>
      <c r="D67" s="271"/>
      <c r="E67" s="270" t="s">
        <v>909</v>
      </c>
      <c r="F67" s="249" t="s">
        <v>135</v>
      </c>
      <c r="G67" s="249" t="s">
        <v>931</v>
      </c>
      <c r="H67" s="260">
        <v>0.0</v>
      </c>
      <c r="I67" s="181">
        <v>0.0</v>
      </c>
      <c r="J67" s="181">
        <v>0.0</v>
      </c>
      <c r="K67" s="181">
        <v>0.0</v>
      </c>
      <c r="L67" s="181">
        <v>0.0</v>
      </c>
      <c r="M67" s="181">
        <v>0.0</v>
      </c>
      <c r="N67" s="181">
        <v>0.0</v>
      </c>
      <c r="O67" s="181">
        <v>0.0</v>
      </c>
      <c r="P67" s="181">
        <v>0.0</v>
      </c>
      <c r="Q67" s="181">
        <v>0.0</v>
      </c>
      <c r="R67" s="181">
        <v>0.0</v>
      </c>
      <c r="S67" s="181">
        <v>0.0</v>
      </c>
      <c r="T67" s="181">
        <v>0.0</v>
      </c>
      <c r="U67" s="181">
        <v>0.0</v>
      </c>
      <c r="V67" s="181">
        <v>0.0</v>
      </c>
      <c r="W67" s="202">
        <v>0.0</v>
      </c>
      <c r="X67" s="181"/>
      <c r="Y67" s="181"/>
      <c r="Z67" s="181"/>
      <c r="AA67" s="181"/>
      <c r="AB67" s="202"/>
      <c r="AC67" s="202"/>
      <c r="AD67" s="202"/>
      <c r="AE67" s="202"/>
      <c r="AF67" s="202"/>
      <c r="AG67" s="202"/>
      <c r="AH67" s="202"/>
      <c r="AI67" s="204"/>
      <c r="AJ67" s="204"/>
      <c r="AK67" s="204"/>
      <c r="AL67" s="204"/>
      <c r="AM67" s="251"/>
      <c r="AN67" s="100" t="b">
        <f t="shared" si="1"/>
        <v>0</v>
      </c>
      <c r="AO67" s="102"/>
    </row>
    <row r="68" ht="14.25" customHeight="1" outlineLevel="3">
      <c r="A68" s="363"/>
      <c r="B68" s="100"/>
      <c r="C68" s="357"/>
      <c r="D68" s="271"/>
      <c r="E68" s="270" t="s">
        <v>911</v>
      </c>
      <c r="F68" s="249" t="s">
        <v>135</v>
      </c>
      <c r="G68" s="249" t="s">
        <v>932</v>
      </c>
      <c r="H68" s="260">
        <v>0.0</v>
      </c>
      <c r="I68" s="181">
        <v>0.0</v>
      </c>
      <c r="J68" s="181">
        <v>0.0</v>
      </c>
      <c r="K68" s="181">
        <v>0.0</v>
      </c>
      <c r="L68" s="181">
        <v>0.0476482263</v>
      </c>
      <c r="M68" s="181">
        <v>0.0602778685145416</v>
      </c>
      <c r="N68" s="181">
        <v>0.0593591711</v>
      </c>
      <c r="O68" s="181">
        <v>0.0616407445</v>
      </c>
      <c r="P68" s="181">
        <v>0.0259835134</v>
      </c>
      <c r="Q68" s="181">
        <v>0.0162849075</v>
      </c>
      <c r="R68" s="181">
        <v>0.0424999793272567</v>
      </c>
      <c r="S68" s="181">
        <v>0.0494443125976033</v>
      </c>
      <c r="T68" s="181">
        <v>0.218727967429345</v>
      </c>
      <c r="U68" s="181">
        <v>0.224988095962631</v>
      </c>
      <c r="V68" s="181">
        <v>0.204995475648099</v>
      </c>
      <c r="W68" s="202">
        <v>0.19860238329271</v>
      </c>
      <c r="X68" s="181"/>
      <c r="Y68" s="181"/>
      <c r="Z68" s="181"/>
      <c r="AA68" s="181"/>
      <c r="AB68" s="202"/>
      <c r="AC68" s="202"/>
      <c r="AD68" s="202"/>
      <c r="AE68" s="202"/>
      <c r="AF68" s="202"/>
      <c r="AG68" s="202"/>
      <c r="AH68" s="202"/>
      <c r="AI68" s="204"/>
      <c r="AJ68" s="204"/>
      <c r="AK68" s="204"/>
      <c r="AL68" s="204"/>
      <c r="AM68" s="251"/>
      <c r="AN68" s="100" t="b">
        <f t="shared" si="1"/>
        <v>0</v>
      </c>
      <c r="AO68" s="102"/>
    </row>
    <row r="69" ht="14.25" customHeight="1" outlineLevel="3">
      <c r="A69" s="363"/>
      <c r="B69" s="100"/>
      <c r="C69" s="357"/>
      <c r="D69" s="271"/>
      <c r="E69" s="270" t="s">
        <v>913</v>
      </c>
      <c r="F69" s="249" t="s">
        <v>135</v>
      </c>
      <c r="G69" s="249" t="s">
        <v>933</v>
      </c>
      <c r="H69" s="260">
        <v>7.88048990045443</v>
      </c>
      <c r="I69" s="181">
        <v>8.15856457253369</v>
      </c>
      <c r="J69" s="181">
        <v>11.2965223389548</v>
      </c>
      <c r="K69" s="181">
        <v>13.1925937149035</v>
      </c>
      <c r="L69" s="181">
        <v>13.0725077607609</v>
      </c>
      <c r="M69" s="181">
        <v>13.0509579639896</v>
      </c>
      <c r="N69" s="181">
        <v>11.1428346364461</v>
      </c>
      <c r="O69" s="181">
        <v>9.23493648813963</v>
      </c>
      <c r="P69" s="181">
        <v>11.6134701730511</v>
      </c>
      <c r="Q69" s="181">
        <v>9.20168436310996</v>
      </c>
      <c r="R69" s="181">
        <v>10.4444295867339</v>
      </c>
      <c r="S69" s="181">
        <v>8.63644193936232</v>
      </c>
      <c r="T69" s="181">
        <v>8.52356853038267</v>
      </c>
      <c r="U69" s="181">
        <v>9.44530232508079</v>
      </c>
      <c r="V69" s="181">
        <v>7.18810335139248</v>
      </c>
      <c r="W69" s="202">
        <v>8.72263060087992</v>
      </c>
      <c r="X69" s="181"/>
      <c r="Y69" s="181"/>
      <c r="Z69" s="181"/>
      <c r="AA69" s="181"/>
      <c r="AB69" s="202"/>
      <c r="AC69" s="202"/>
      <c r="AD69" s="202"/>
      <c r="AE69" s="202"/>
      <c r="AF69" s="202"/>
      <c r="AG69" s="202"/>
      <c r="AH69" s="202"/>
      <c r="AI69" s="204"/>
      <c r="AJ69" s="204"/>
      <c r="AK69" s="204"/>
      <c r="AL69" s="204"/>
      <c r="AM69" s="251"/>
      <c r="AN69" s="100" t="b">
        <f t="shared" si="1"/>
        <v>0</v>
      </c>
      <c r="AO69" s="102"/>
    </row>
    <row r="70" ht="14.25" customHeight="1" outlineLevel="3">
      <c r="A70" s="363"/>
      <c r="B70" s="100"/>
      <c r="C70" s="357"/>
      <c r="D70" s="271"/>
      <c r="E70" s="270" t="s">
        <v>915</v>
      </c>
      <c r="F70" s="249" t="s">
        <v>135</v>
      </c>
      <c r="G70" s="249" t="s">
        <v>934</v>
      </c>
      <c r="H70" s="260">
        <v>14.0433954888696</v>
      </c>
      <c r="I70" s="181">
        <v>15.1676814440818</v>
      </c>
      <c r="J70" s="181">
        <v>14.6983179845793</v>
      </c>
      <c r="K70" s="181">
        <v>15.2430228965849</v>
      </c>
      <c r="L70" s="181">
        <v>15.9073147146688</v>
      </c>
      <c r="M70" s="181">
        <v>15.912255965996</v>
      </c>
      <c r="N70" s="181">
        <v>15.3028457928443</v>
      </c>
      <c r="O70" s="181">
        <v>11.8558700807364</v>
      </c>
      <c r="P70" s="181">
        <v>15.8131745886554</v>
      </c>
      <c r="Q70" s="181">
        <v>16.2066800136394</v>
      </c>
      <c r="R70" s="181">
        <v>18.7275111599028</v>
      </c>
      <c r="S70" s="181">
        <v>14.5717586199666</v>
      </c>
      <c r="T70" s="181">
        <v>15.887370814499</v>
      </c>
      <c r="U70" s="181">
        <v>18.5865863781817</v>
      </c>
      <c r="V70" s="181">
        <v>13.7177060500129</v>
      </c>
      <c r="W70" s="202">
        <v>15.7541087891774</v>
      </c>
      <c r="X70" s="181"/>
      <c r="Y70" s="181"/>
      <c r="Z70" s="181"/>
      <c r="AA70" s="181"/>
      <c r="AB70" s="202"/>
      <c r="AC70" s="202"/>
      <c r="AD70" s="202"/>
      <c r="AE70" s="202"/>
      <c r="AF70" s="202"/>
      <c r="AG70" s="202"/>
      <c r="AH70" s="202"/>
      <c r="AI70" s="204"/>
      <c r="AJ70" s="204"/>
      <c r="AK70" s="204"/>
      <c r="AL70" s="204"/>
      <c r="AM70" s="251"/>
      <c r="AN70" s="100" t="b">
        <f t="shared" si="1"/>
        <v>0</v>
      </c>
      <c r="AO70" s="102"/>
    </row>
    <row r="71" ht="14.25" customHeight="1" outlineLevel="3">
      <c r="A71" s="363"/>
      <c r="B71" s="100"/>
      <c r="C71" s="357"/>
      <c r="D71" s="271"/>
      <c r="E71" s="270" t="s">
        <v>917</v>
      </c>
      <c r="F71" s="249" t="s">
        <v>135</v>
      </c>
      <c r="G71" s="249" t="s">
        <v>935</v>
      </c>
      <c r="H71" s="260">
        <v>2.14276037642019</v>
      </c>
      <c r="I71" s="181">
        <v>2.43236166943663</v>
      </c>
      <c r="J71" s="181">
        <v>0.667092371564304</v>
      </c>
      <c r="K71" s="181">
        <v>0.400255744410839</v>
      </c>
      <c r="L71" s="181">
        <v>0.392871981276798</v>
      </c>
      <c r="M71" s="181">
        <v>0.557290402686831</v>
      </c>
      <c r="N71" s="181">
        <v>3.62307954935132</v>
      </c>
      <c r="O71" s="181">
        <v>3.63423595128985</v>
      </c>
      <c r="P71" s="181">
        <v>5.59320811301254</v>
      </c>
      <c r="Q71" s="181">
        <v>6.05305280864177</v>
      </c>
      <c r="R71" s="181">
        <v>6.36129227418843</v>
      </c>
      <c r="S71" s="181">
        <v>5.36949398327361</v>
      </c>
      <c r="T71" s="181">
        <v>5.22499674368519</v>
      </c>
      <c r="U71" s="181">
        <v>5.17346751378927</v>
      </c>
      <c r="V71" s="181">
        <v>4.10927085793555</v>
      </c>
      <c r="W71" s="202">
        <v>3.69973809074478</v>
      </c>
      <c r="X71" s="181"/>
      <c r="Y71" s="181"/>
      <c r="Z71" s="181"/>
      <c r="AA71" s="181"/>
      <c r="AB71" s="202"/>
      <c r="AC71" s="202"/>
      <c r="AD71" s="202"/>
      <c r="AE71" s="202"/>
      <c r="AF71" s="202"/>
      <c r="AG71" s="202"/>
      <c r="AH71" s="202"/>
      <c r="AI71" s="204"/>
      <c r="AJ71" s="204"/>
      <c r="AK71" s="204"/>
      <c r="AL71" s="204"/>
      <c r="AM71" s="251"/>
      <c r="AN71" s="100" t="b">
        <f t="shared" si="1"/>
        <v>0</v>
      </c>
      <c r="AO71" s="102"/>
    </row>
    <row r="72" ht="14.25" customHeight="1" outlineLevel="3">
      <c r="A72" s="363"/>
      <c r="B72" s="100"/>
      <c r="C72" s="357"/>
      <c r="D72" s="271"/>
      <c r="E72" s="270" t="s">
        <v>936</v>
      </c>
      <c r="F72" s="249" t="s">
        <v>135</v>
      </c>
      <c r="G72" s="249" t="s">
        <v>937</v>
      </c>
      <c r="H72" s="260">
        <v>0.488753304010183</v>
      </c>
      <c r="I72" s="181">
        <v>0.488021044264814</v>
      </c>
      <c r="J72" s="181">
        <v>0.481310959888916</v>
      </c>
      <c r="K72" s="181">
        <v>0.476111395989701</v>
      </c>
      <c r="L72" s="181">
        <v>1.12757888193363</v>
      </c>
      <c r="M72" s="181">
        <v>0.436305621107316</v>
      </c>
      <c r="N72" s="181">
        <v>0.53521177439588</v>
      </c>
      <c r="O72" s="181">
        <v>0.511162418333225</v>
      </c>
      <c r="P72" s="181">
        <v>0.742844121668022</v>
      </c>
      <c r="Q72" s="181">
        <v>0.723936702549122</v>
      </c>
      <c r="R72" s="181">
        <v>0.81000007361612</v>
      </c>
      <c r="S72" s="181">
        <v>0.919956263709066</v>
      </c>
      <c r="T72" s="181">
        <v>0.461994876887416</v>
      </c>
      <c r="U72" s="181">
        <v>0.69130954576249</v>
      </c>
      <c r="V72" s="181">
        <v>0.707568182863394</v>
      </c>
      <c r="W72" s="202">
        <v>0.68360388383539</v>
      </c>
      <c r="X72" s="181"/>
      <c r="Y72" s="181"/>
      <c r="Z72" s="181"/>
      <c r="AA72" s="181"/>
      <c r="AB72" s="202"/>
      <c r="AC72" s="202"/>
      <c r="AD72" s="202"/>
      <c r="AE72" s="202"/>
      <c r="AF72" s="202"/>
      <c r="AG72" s="202"/>
      <c r="AH72" s="202"/>
      <c r="AI72" s="204"/>
      <c r="AJ72" s="204"/>
      <c r="AK72" s="204"/>
      <c r="AL72" s="204"/>
      <c r="AM72" s="251"/>
      <c r="AN72" s="100" t="b">
        <f t="shared" si="1"/>
        <v>0</v>
      </c>
      <c r="AO72" s="102"/>
    </row>
    <row r="73" ht="14.25" customHeight="1" outlineLevel="3">
      <c r="A73" s="363"/>
      <c r="B73" s="100"/>
      <c r="C73" s="357"/>
      <c r="D73" s="271"/>
      <c r="E73" s="270" t="s">
        <v>938</v>
      </c>
      <c r="F73" s="249" t="s">
        <v>135</v>
      </c>
      <c r="G73" s="249" t="s">
        <v>939</v>
      </c>
      <c r="H73" s="260">
        <v>0.021305532317287</v>
      </c>
      <c r="I73" s="181">
        <v>0.030007438158258</v>
      </c>
      <c r="J73" s="181">
        <v>0.030908572468195</v>
      </c>
      <c r="K73" s="181">
        <v>0.034262286912677</v>
      </c>
      <c r="L73" s="181">
        <v>0.041106120684551</v>
      </c>
      <c r="M73" s="181">
        <v>0.063058095447005</v>
      </c>
      <c r="N73" s="181">
        <v>0.403768061590531</v>
      </c>
      <c r="O73" s="181">
        <v>0.462443588760795</v>
      </c>
      <c r="P73" s="181">
        <v>0.787562777577532</v>
      </c>
      <c r="Q73" s="181">
        <v>0.91286578035166</v>
      </c>
      <c r="R73" s="181">
        <v>1.06456317795355</v>
      </c>
      <c r="S73" s="181">
        <v>0.976780068135271</v>
      </c>
      <c r="T73" s="181">
        <v>1.12267743298681</v>
      </c>
      <c r="U73" s="181">
        <v>1.42860280745984</v>
      </c>
      <c r="V73" s="181">
        <v>1.56312274725981</v>
      </c>
      <c r="W73" s="202">
        <v>2.2157431330837</v>
      </c>
      <c r="X73" s="181"/>
      <c r="Y73" s="181"/>
      <c r="Z73" s="181"/>
      <c r="AA73" s="181"/>
      <c r="AB73" s="202"/>
      <c r="AC73" s="202"/>
      <c r="AD73" s="202"/>
      <c r="AE73" s="202"/>
      <c r="AF73" s="202"/>
      <c r="AG73" s="202"/>
      <c r="AH73" s="202"/>
      <c r="AI73" s="204"/>
      <c r="AJ73" s="204"/>
      <c r="AK73" s="204"/>
      <c r="AL73" s="204"/>
      <c r="AM73" s="251"/>
      <c r="AN73" s="100" t="b">
        <f t="shared" si="1"/>
        <v>0</v>
      </c>
      <c r="AO73" s="102"/>
    </row>
    <row r="74" ht="14.25" customHeight="1" outlineLevel="3">
      <c r="A74" s="363"/>
      <c r="B74" s="100"/>
      <c r="C74" s="357"/>
      <c r="D74" s="271"/>
      <c r="E74" s="122" t="s">
        <v>923</v>
      </c>
      <c r="F74" s="123" t="s">
        <v>135</v>
      </c>
      <c r="G74" s="123" t="s">
        <v>940</v>
      </c>
      <c r="H74" s="260"/>
      <c r="I74" s="181"/>
      <c r="J74" s="181"/>
      <c r="K74" s="181"/>
      <c r="L74" s="181"/>
      <c r="M74" s="181"/>
      <c r="N74" s="181"/>
      <c r="O74" s="181"/>
      <c r="P74" s="181"/>
      <c r="Q74" s="181"/>
      <c r="R74" s="181"/>
      <c r="S74" s="181"/>
      <c r="T74" s="181"/>
      <c r="U74" s="181"/>
      <c r="V74" s="181"/>
      <c r="W74" s="202"/>
      <c r="X74" s="181"/>
      <c r="Y74" s="181"/>
      <c r="Z74" s="181"/>
      <c r="AA74" s="181"/>
      <c r="AB74" s="202"/>
      <c r="AC74" s="202"/>
      <c r="AD74" s="202"/>
      <c r="AE74" s="202"/>
      <c r="AF74" s="202"/>
      <c r="AG74" s="202"/>
      <c r="AH74" s="202"/>
      <c r="AI74" s="204"/>
      <c r="AJ74" s="204"/>
      <c r="AK74" s="204"/>
      <c r="AL74" s="204"/>
      <c r="AM74" s="251"/>
      <c r="AN74" s="100" t="b">
        <f t="shared" si="1"/>
        <v>0</v>
      </c>
      <c r="AO74" s="102"/>
    </row>
    <row r="75" ht="14.25" customHeight="1" outlineLevel="1">
      <c r="A75" s="365"/>
      <c r="B75" s="331" t="s">
        <v>388</v>
      </c>
      <c r="C75" s="331"/>
      <c r="D75" s="271"/>
      <c r="E75" s="162"/>
      <c r="F75" s="162"/>
      <c r="G75" s="162"/>
      <c r="H75" s="178"/>
      <c r="I75" s="178"/>
      <c r="J75" s="178"/>
      <c r="K75" s="178"/>
      <c r="L75" s="178"/>
      <c r="M75" s="178"/>
      <c r="N75" s="178"/>
      <c r="O75" s="178"/>
      <c r="P75" s="178"/>
      <c r="Q75" s="178"/>
      <c r="R75" s="178"/>
      <c r="S75" s="178"/>
      <c r="T75" s="178"/>
      <c r="U75" s="178"/>
      <c r="V75" s="178"/>
      <c r="W75" s="178"/>
      <c r="X75" s="178"/>
      <c r="Y75" s="178"/>
      <c r="Z75" s="178"/>
      <c r="AA75" s="178"/>
      <c r="AB75" s="178"/>
      <c r="AC75" s="178"/>
      <c r="AD75" s="178"/>
      <c r="AE75" s="178"/>
      <c r="AF75" s="178"/>
      <c r="AG75" s="178"/>
      <c r="AH75" s="178"/>
      <c r="AI75" s="244"/>
      <c r="AJ75" s="244"/>
      <c r="AK75" s="244"/>
      <c r="AL75" s="244"/>
      <c r="AM75" s="162"/>
      <c r="AN75" s="100" t="b">
        <f t="shared" si="1"/>
        <v>0</v>
      </c>
      <c r="AO75" s="102"/>
    </row>
    <row r="76" ht="14.25" customHeight="1" outlineLevel="2">
      <c r="A76" s="365"/>
      <c r="B76" s="357"/>
      <c r="C76" s="331" t="s">
        <v>389</v>
      </c>
      <c r="D76" s="271"/>
      <c r="E76" s="162"/>
      <c r="F76" s="162"/>
      <c r="G76" s="162"/>
      <c r="H76" s="178"/>
      <c r="I76" s="178"/>
      <c r="J76" s="178"/>
      <c r="K76" s="178"/>
      <c r="L76" s="178"/>
      <c r="M76" s="178"/>
      <c r="N76" s="178"/>
      <c r="O76" s="178"/>
      <c r="P76" s="178"/>
      <c r="Q76" s="178"/>
      <c r="R76" s="178"/>
      <c r="S76" s="178"/>
      <c r="T76" s="178"/>
      <c r="U76" s="178"/>
      <c r="V76" s="178"/>
      <c r="W76" s="178"/>
      <c r="X76" s="178"/>
      <c r="Y76" s="178"/>
      <c r="Z76" s="178"/>
      <c r="AA76" s="178"/>
      <c r="AB76" s="178"/>
      <c r="AC76" s="178"/>
      <c r="AD76" s="178"/>
      <c r="AE76" s="178"/>
      <c r="AF76" s="178"/>
      <c r="AG76" s="178"/>
      <c r="AH76" s="178"/>
      <c r="AI76" s="244"/>
      <c r="AJ76" s="244"/>
      <c r="AK76" s="244"/>
      <c r="AL76" s="244"/>
      <c r="AM76" s="162"/>
      <c r="AN76" s="100" t="b">
        <f t="shared" si="1"/>
        <v>0</v>
      </c>
      <c r="AO76" s="102"/>
    </row>
    <row r="77" ht="14.25" customHeight="1" outlineLevel="3">
      <c r="A77" s="365"/>
      <c r="B77" s="357"/>
      <c r="C77" s="366"/>
      <c r="D77" s="271"/>
      <c r="E77" s="270" t="s">
        <v>941</v>
      </c>
      <c r="F77" s="249" t="s">
        <v>261</v>
      </c>
      <c r="G77" s="249" t="s">
        <v>942</v>
      </c>
      <c r="H77" s="253">
        <v>0.0578133507439048</v>
      </c>
      <c r="I77" s="254">
        <v>0.0767177486865337</v>
      </c>
      <c r="J77" s="254">
        <v>0.103393256347207</v>
      </c>
      <c r="K77" s="254">
        <v>0.123925749760883</v>
      </c>
      <c r="L77" s="254">
        <v>0.149646055157975</v>
      </c>
      <c r="M77" s="254">
        <v>0.17981385187315</v>
      </c>
      <c r="N77" s="254">
        <v>0.211684443885316</v>
      </c>
      <c r="O77" s="254">
        <v>0.250070692191661</v>
      </c>
      <c r="P77" s="254">
        <v>0.280757298069294</v>
      </c>
      <c r="Q77" s="254">
        <v>0.31710776326043</v>
      </c>
      <c r="R77" s="254">
        <v>0.349169444012549</v>
      </c>
      <c r="S77" s="254">
        <v>0.360573924084589</v>
      </c>
      <c r="T77" s="254">
        <v>0.361623789746513</v>
      </c>
      <c r="U77" s="254">
        <v>0.363489407273661</v>
      </c>
      <c r="V77" s="254">
        <v>0.374515201786129</v>
      </c>
      <c r="W77" s="285">
        <v>0.388251626258996</v>
      </c>
      <c r="X77" s="254"/>
      <c r="Y77" s="254"/>
      <c r="Z77" s="254"/>
      <c r="AA77" s="254"/>
      <c r="AB77" s="285"/>
      <c r="AC77" s="285"/>
      <c r="AD77" s="285"/>
      <c r="AE77" s="285"/>
      <c r="AF77" s="285"/>
      <c r="AG77" s="285"/>
      <c r="AH77" s="285"/>
      <c r="AI77" s="204"/>
      <c r="AJ77" s="204"/>
      <c r="AK77" s="204"/>
      <c r="AL77" s="204"/>
      <c r="AM77" s="251"/>
      <c r="AN77" s="100" t="b">
        <f t="shared" si="1"/>
        <v>0</v>
      </c>
      <c r="AO77" s="102"/>
    </row>
    <row r="78" ht="14.25" customHeight="1" outlineLevel="3">
      <c r="A78" s="365"/>
      <c r="B78" s="357"/>
      <c r="C78" s="366"/>
      <c r="D78" s="271"/>
      <c r="E78" s="270" t="s">
        <v>943</v>
      </c>
      <c r="F78" s="249" t="s">
        <v>261</v>
      </c>
      <c r="G78" s="249" t="s">
        <v>944</v>
      </c>
      <c r="H78" s="253"/>
      <c r="I78" s="254"/>
      <c r="J78" s="254"/>
      <c r="K78" s="254"/>
      <c r="L78" s="254"/>
      <c r="M78" s="254"/>
      <c r="N78" s="254"/>
      <c r="O78" s="254"/>
      <c r="P78" s="254"/>
      <c r="Q78" s="254"/>
      <c r="R78" s="254"/>
      <c r="S78" s="254"/>
      <c r="T78" s="254"/>
      <c r="U78" s="254"/>
      <c r="V78" s="254"/>
      <c r="W78" s="256"/>
      <c r="X78" s="254"/>
      <c r="Y78" s="254"/>
      <c r="Z78" s="254"/>
      <c r="AA78" s="254"/>
      <c r="AB78" s="256"/>
      <c r="AC78" s="256"/>
      <c r="AD78" s="256"/>
      <c r="AE78" s="256"/>
      <c r="AF78" s="256"/>
      <c r="AG78" s="256"/>
      <c r="AH78" s="257"/>
      <c r="AI78" s="204"/>
      <c r="AJ78" s="204"/>
      <c r="AK78" s="204"/>
      <c r="AL78" s="204"/>
      <c r="AM78" s="251"/>
      <c r="AN78" s="100" t="b">
        <f t="shared" si="1"/>
        <v>0</v>
      </c>
      <c r="AO78" s="102"/>
    </row>
    <row r="79" ht="14.25" customHeight="1" outlineLevel="3">
      <c r="A79" s="365"/>
      <c r="B79" s="357"/>
      <c r="C79" s="366"/>
      <c r="D79" s="271"/>
      <c r="E79" s="270" t="s">
        <v>945</v>
      </c>
      <c r="F79" s="249" t="s">
        <v>261</v>
      </c>
      <c r="G79" s="249" t="s">
        <v>946</v>
      </c>
      <c r="H79" s="253"/>
      <c r="I79" s="254">
        <v>0.546246484380631</v>
      </c>
      <c r="J79" s="254">
        <v>0.438744869985912</v>
      </c>
      <c r="K79" s="254">
        <v>0.615634373603709</v>
      </c>
      <c r="L79" s="254">
        <v>0.597853823597392</v>
      </c>
      <c r="M79" s="254">
        <v>0.792661043538608</v>
      </c>
      <c r="N79" s="254">
        <v>0.789002761920372</v>
      </c>
      <c r="O79" s="254">
        <v>0.915244445548543</v>
      </c>
      <c r="P79" s="254">
        <v>0.883495367962468</v>
      </c>
      <c r="Q79" s="254">
        <v>1.0</v>
      </c>
      <c r="R79" s="254">
        <v>0.871201765595652</v>
      </c>
      <c r="S79" s="254">
        <v>0.425349169696215</v>
      </c>
      <c r="T79" s="254">
        <v>0.119086136406773</v>
      </c>
      <c r="U79" s="254">
        <v>0.129743477739615</v>
      </c>
      <c r="V79" s="254">
        <v>0.435022012200718</v>
      </c>
      <c r="W79" s="256">
        <v>0.542081697906004</v>
      </c>
      <c r="X79" s="254"/>
      <c r="Y79" s="254"/>
      <c r="Z79" s="254"/>
      <c r="AA79" s="254"/>
      <c r="AB79" s="256"/>
      <c r="AC79" s="256"/>
      <c r="AD79" s="256"/>
      <c r="AE79" s="256"/>
      <c r="AF79" s="256"/>
      <c r="AG79" s="256"/>
      <c r="AH79" s="257"/>
      <c r="AI79" s="204"/>
      <c r="AJ79" s="204"/>
      <c r="AK79" s="204"/>
      <c r="AL79" s="204"/>
      <c r="AM79" s="251"/>
      <c r="AN79" s="100" t="b">
        <f t="shared" si="1"/>
        <v>0</v>
      </c>
      <c r="AO79" s="102"/>
    </row>
    <row r="80" ht="14.25" customHeight="1" outlineLevel="3">
      <c r="A80" s="365"/>
      <c r="B80" s="357"/>
      <c r="C80" s="366"/>
      <c r="D80" s="271"/>
      <c r="E80" s="122" t="s">
        <v>947</v>
      </c>
      <c r="F80" s="123" t="s">
        <v>261</v>
      </c>
      <c r="G80" s="123" t="s">
        <v>948</v>
      </c>
      <c r="H80" s="253"/>
      <c r="I80" s="254">
        <v>0.546246484380631</v>
      </c>
      <c r="J80" s="254">
        <v>0.438744869985912</v>
      </c>
      <c r="K80" s="254">
        <v>0.615634373603709</v>
      </c>
      <c r="L80" s="254">
        <v>0.597853823597392</v>
      </c>
      <c r="M80" s="254">
        <v>0.792661043538608</v>
      </c>
      <c r="N80" s="254">
        <v>0.789002761920372</v>
      </c>
      <c r="O80" s="254">
        <v>0.915244445548543</v>
      </c>
      <c r="P80" s="254">
        <v>0.883495367962468</v>
      </c>
      <c r="Q80" s="254">
        <v>1.0</v>
      </c>
      <c r="R80" s="254">
        <v>0.871201765595652</v>
      </c>
      <c r="S80" s="254">
        <v>0.425349169696215</v>
      </c>
      <c r="T80" s="254">
        <v>0.119086136406773</v>
      </c>
      <c r="U80" s="254">
        <v>0.129743477739615</v>
      </c>
      <c r="V80" s="254">
        <v>0.435022012200718</v>
      </c>
      <c r="W80" s="256">
        <v>0.542081697906004</v>
      </c>
      <c r="X80" s="254"/>
      <c r="Y80" s="254"/>
      <c r="Z80" s="254"/>
      <c r="AA80" s="254"/>
      <c r="AB80" s="256"/>
      <c r="AC80" s="256"/>
      <c r="AD80" s="256"/>
      <c r="AE80" s="256"/>
      <c r="AF80" s="256"/>
      <c r="AG80" s="256"/>
      <c r="AH80" s="257"/>
      <c r="AI80" s="204"/>
      <c r="AJ80" s="204"/>
      <c r="AK80" s="204"/>
      <c r="AL80" s="204"/>
      <c r="AM80" s="251"/>
      <c r="AN80" s="100" t="b">
        <f t="shared" si="1"/>
        <v>0</v>
      </c>
      <c r="AO80" s="102"/>
    </row>
    <row r="81" ht="14.25" customHeight="1" outlineLevel="2">
      <c r="A81" s="99"/>
      <c r="B81" s="357"/>
      <c r="C81" s="331" t="s">
        <v>629</v>
      </c>
      <c r="D81" s="271"/>
      <c r="E81" s="162"/>
      <c r="F81" s="162"/>
      <c r="G81" s="162"/>
      <c r="H81" s="178"/>
      <c r="I81" s="178"/>
      <c r="J81" s="178"/>
      <c r="K81" s="178"/>
      <c r="L81" s="178"/>
      <c r="M81" s="178"/>
      <c r="N81" s="178"/>
      <c r="O81" s="178"/>
      <c r="P81" s="178"/>
      <c r="Q81" s="178"/>
      <c r="R81" s="178"/>
      <c r="S81" s="178"/>
      <c r="T81" s="178"/>
      <c r="U81" s="178"/>
      <c r="V81" s="178"/>
      <c r="W81" s="178"/>
      <c r="X81" s="178"/>
      <c r="Y81" s="178"/>
      <c r="Z81" s="178"/>
      <c r="AA81" s="178"/>
      <c r="AB81" s="178"/>
      <c r="AC81" s="178"/>
      <c r="AD81" s="178"/>
      <c r="AE81" s="178"/>
      <c r="AF81" s="178"/>
      <c r="AG81" s="178"/>
      <c r="AH81" s="178"/>
      <c r="AI81" s="244"/>
      <c r="AJ81" s="244"/>
      <c r="AK81" s="244"/>
      <c r="AL81" s="244"/>
      <c r="AM81" s="162"/>
      <c r="AN81" s="100" t="b">
        <f t="shared" si="1"/>
        <v>0</v>
      </c>
      <c r="AO81" s="102"/>
    </row>
    <row r="82" ht="14.25" customHeight="1" outlineLevel="3">
      <c r="A82" s="98"/>
      <c r="B82" s="98"/>
      <c r="C82" s="98"/>
      <c r="D82" s="98"/>
      <c r="E82" s="270" t="s">
        <v>949</v>
      </c>
      <c r="F82" s="249" t="s">
        <v>303</v>
      </c>
      <c r="G82" s="249" t="s">
        <v>950</v>
      </c>
      <c r="H82" s="260"/>
      <c r="I82" s="181"/>
      <c r="J82" s="181"/>
      <c r="K82" s="181"/>
      <c r="L82" s="181"/>
      <c r="M82" s="181"/>
      <c r="N82" s="181"/>
      <c r="O82" s="181"/>
      <c r="P82" s="181"/>
      <c r="Q82" s="181"/>
      <c r="R82" s="181"/>
      <c r="S82" s="181"/>
      <c r="T82" s="181"/>
      <c r="U82" s="181"/>
      <c r="V82" s="181"/>
      <c r="W82" s="286"/>
      <c r="X82" s="181"/>
      <c r="Y82" s="181"/>
      <c r="Z82" s="181"/>
      <c r="AA82" s="181"/>
      <c r="AB82" s="286"/>
      <c r="AC82" s="286"/>
      <c r="AD82" s="286"/>
      <c r="AE82" s="286"/>
      <c r="AF82" s="286"/>
      <c r="AG82" s="286"/>
      <c r="AH82" s="286"/>
      <c r="AI82" s="204"/>
      <c r="AJ82" s="204"/>
      <c r="AK82" s="204"/>
      <c r="AL82" s="204"/>
      <c r="AM82" s="251"/>
      <c r="AN82" s="100" t="b">
        <f t="shared" si="1"/>
        <v>0</v>
      </c>
      <c r="AO82" s="102"/>
    </row>
    <row r="83" ht="14.25" customHeight="1" outlineLevel="3">
      <c r="A83" s="367"/>
      <c r="B83" s="357"/>
      <c r="C83" s="366"/>
      <c r="D83" s="271"/>
      <c r="E83" s="248" t="s">
        <v>951</v>
      </c>
      <c r="F83" s="249" t="s">
        <v>303</v>
      </c>
      <c r="G83" s="249" t="s">
        <v>952</v>
      </c>
      <c r="H83" s="260"/>
      <c r="I83" s="181"/>
      <c r="J83" s="181"/>
      <c r="K83" s="181"/>
      <c r="L83" s="181"/>
      <c r="M83" s="181"/>
      <c r="N83" s="181"/>
      <c r="O83" s="181"/>
      <c r="P83" s="181"/>
      <c r="Q83" s="181"/>
      <c r="R83" s="181"/>
      <c r="S83" s="181"/>
      <c r="T83" s="181"/>
      <c r="U83" s="181"/>
      <c r="V83" s="181"/>
      <c r="W83" s="182"/>
      <c r="X83" s="181"/>
      <c r="Y83" s="181"/>
      <c r="Z83" s="181"/>
      <c r="AA83" s="181"/>
      <c r="AB83" s="182"/>
      <c r="AC83" s="182"/>
      <c r="AD83" s="182"/>
      <c r="AE83" s="182"/>
      <c r="AF83" s="182"/>
      <c r="AG83" s="182"/>
      <c r="AH83" s="184"/>
      <c r="AI83" s="204"/>
      <c r="AJ83" s="204"/>
      <c r="AK83" s="204"/>
      <c r="AL83" s="204"/>
      <c r="AM83" s="251"/>
      <c r="AN83" s="100" t="b">
        <f t="shared" si="1"/>
        <v>0</v>
      </c>
      <c r="AO83" s="102"/>
    </row>
    <row r="84" ht="14.25" customHeight="1" outlineLevel="3">
      <c r="A84" s="367"/>
      <c r="B84" s="357"/>
      <c r="C84" s="366"/>
      <c r="D84" s="271"/>
      <c r="E84" s="248" t="s">
        <v>953</v>
      </c>
      <c r="F84" s="249" t="s">
        <v>303</v>
      </c>
      <c r="G84" s="249" t="s">
        <v>954</v>
      </c>
      <c r="H84" s="260"/>
      <c r="I84" s="181"/>
      <c r="J84" s="181"/>
      <c r="K84" s="181"/>
      <c r="L84" s="181"/>
      <c r="M84" s="181"/>
      <c r="N84" s="181"/>
      <c r="O84" s="181"/>
      <c r="P84" s="181"/>
      <c r="Q84" s="181"/>
      <c r="R84" s="181"/>
      <c r="S84" s="181"/>
      <c r="T84" s="181"/>
      <c r="U84" s="181"/>
      <c r="V84" s="181"/>
      <c r="W84" s="182"/>
      <c r="X84" s="181"/>
      <c r="Y84" s="181"/>
      <c r="Z84" s="181"/>
      <c r="AA84" s="181"/>
      <c r="AB84" s="182"/>
      <c r="AC84" s="182"/>
      <c r="AD84" s="182"/>
      <c r="AE84" s="182"/>
      <c r="AF84" s="182"/>
      <c r="AG84" s="182"/>
      <c r="AH84" s="184"/>
      <c r="AI84" s="204"/>
      <c r="AJ84" s="204"/>
      <c r="AK84" s="204"/>
      <c r="AL84" s="204"/>
      <c r="AM84" s="251"/>
      <c r="AN84" s="100" t="b">
        <f t="shared" si="1"/>
        <v>0</v>
      </c>
      <c r="AO84" s="102"/>
    </row>
    <row r="85" ht="14.25" customHeight="1" outlineLevel="3">
      <c r="A85" s="367"/>
      <c r="B85" s="357"/>
      <c r="C85" s="366"/>
      <c r="D85" s="271"/>
      <c r="E85" s="368" t="s">
        <v>955</v>
      </c>
      <c r="F85" s="123" t="s">
        <v>303</v>
      </c>
      <c r="G85" s="123" t="s">
        <v>956</v>
      </c>
      <c r="H85" s="260"/>
      <c r="I85" s="181"/>
      <c r="J85" s="181"/>
      <c r="K85" s="181"/>
      <c r="L85" s="181"/>
      <c r="M85" s="181"/>
      <c r="N85" s="181"/>
      <c r="O85" s="181"/>
      <c r="P85" s="181"/>
      <c r="Q85" s="181"/>
      <c r="R85" s="181"/>
      <c r="S85" s="181"/>
      <c r="T85" s="181"/>
      <c r="U85" s="181"/>
      <c r="V85" s="181"/>
      <c r="W85" s="182"/>
      <c r="X85" s="181"/>
      <c r="Y85" s="181"/>
      <c r="Z85" s="181"/>
      <c r="AA85" s="181"/>
      <c r="AB85" s="182"/>
      <c r="AC85" s="182"/>
      <c r="AD85" s="182"/>
      <c r="AE85" s="182"/>
      <c r="AF85" s="182"/>
      <c r="AG85" s="182"/>
      <c r="AH85" s="184"/>
      <c r="AI85" s="204"/>
      <c r="AJ85" s="204"/>
      <c r="AK85" s="204"/>
      <c r="AL85" s="204"/>
      <c r="AM85" s="251"/>
      <c r="AN85" s="100" t="b">
        <f t="shared" si="1"/>
        <v>0</v>
      </c>
      <c r="AO85" s="102"/>
    </row>
    <row r="86" ht="13.5" customHeight="1" outlineLevel="2">
      <c r="A86" s="99"/>
      <c r="B86" s="357"/>
      <c r="C86" s="331" t="s">
        <v>410</v>
      </c>
      <c r="D86" s="271"/>
      <c r="E86" s="162"/>
      <c r="F86" s="162"/>
      <c r="G86" s="162"/>
      <c r="H86" s="178"/>
      <c r="I86" s="178"/>
      <c r="J86" s="178"/>
      <c r="K86" s="178"/>
      <c r="L86" s="178"/>
      <c r="M86" s="178"/>
      <c r="N86" s="178"/>
      <c r="O86" s="178"/>
      <c r="P86" s="178"/>
      <c r="Q86" s="178"/>
      <c r="R86" s="178"/>
      <c r="S86" s="178"/>
      <c r="T86" s="178"/>
      <c r="U86" s="178"/>
      <c r="V86" s="178"/>
      <c r="W86" s="178"/>
      <c r="X86" s="178"/>
      <c r="Y86" s="178"/>
      <c r="Z86" s="178"/>
      <c r="AA86" s="178"/>
      <c r="AB86" s="178"/>
      <c r="AC86" s="178"/>
      <c r="AD86" s="178"/>
      <c r="AE86" s="178"/>
      <c r="AF86" s="178"/>
      <c r="AG86" s="178"/>
      <c r="AH86" s="178"/>
      <c r="AI86" s="244"/>
      <c r="AJ86" s="244"/>
      <c r="AK86" s="244"/>
      <c r="AL86" s="244"/>
      <c r="AM86" s="162"/>
      <c r="AN86" s="100" t="b">
        <f t="shared" si="1"/>
        <v>0</v>
      </c>
      <c r="AO86" s="102"/>
    </row>
    <row r="87" ht="13.5" customHeight="1" outlineLevel="3">
      <c r="A87" s="99"/>
      <c r="B87" s="357"/>
      <c r="C87" s="369"/>
      <c r="D87" s="271"/>
      <c r="E87" s="278" t="s">
        <v>957</v>
      </c>
      <c r="F87" s="123" t="s">
        <v>261</v>
      </c>
      <c r="G87" s="123" t="s">
        <v>958</v>
      </c>
      <c r="H87" s="253">
        <v>1.73331876537884</v>
      </c>
      <c r="I87" s="254">
        <v>1.82413242050993</v>
      </c>
      <c r="J87" s="254">
        <v>1.89752385552534</v>
      </c>
      <c r="K87" s="254">
        <v>1.93614365764116</v>
      </c>
      <c r="L87" s="254">
        <v>1.97228820742493</v>
      </c>
      <c r="M87" s="254">
        <v>2.0042860813728</v>
      </c>
      <c r="N87" s="254">
        <v>2.03390670072011</v>
      </c>
      <c r="O87" s="254">
        <v>2.06517506230265</v>
      </c>
      <c r="P87" s="254">
        <v>2.09144615123855</v>
      </c>
      <c r="Q87" s="254">
        <v>2.11920784280899</v>
      </c>
      <c r="R87" s="254">
        <v>2.15189202381459</v>
      </c>
      <c r="S87" s="254">
        <v>2.20832130295515</v>
      </c>
      <c r="T87" s="254">
        <v>2.292773027147</v>
      </c>
      <c r="U87" s="254">
        <v>2.37289243866461</v>
      </c>
      <c r="V87" s="254">
        <v>2.5194228156412</v>
      </c>
      <c r="W87" s="364">
        <v>2.73643460398078</v>
      </c>
      <c r="X87" s="254"/>
      <c r="Y87" s="254"/>
      <c r="Z87" s="254"/>
      <c r="AA87" s="254"/>
      <c r="AB87" s="364"/>
      <c r="AC87" s="364"/>
      <c r="AD87" s="364"/>
      <c r="AE87" s="364"/>
      <c r="AF87" s="364"/>
      <c r="AG87" s="364"/>
      <c r="AH87" s="364"/>
      <c r="AI87" s="204"/>
      <c r="AJ87" s="204"/>
      <c r="AK87" s="204"/>
      <c r="AL87" s="204"/>
      <c r="AM87" s="251"/>
      <c r="AN87" s="100" t="b">
        <f t="shared" si="1"/>
        <v>0</v>
      </c>
      <c r="AO87" s="102"/>
    </row>
    <row r="88" ht="13.5" customHeight="1" outlineLevel="2">
      <c r="A88" s="247"/>
      <c r="B88" s="201"/>
      <c r="C88" s="162" t="s">
        <v>413</v>
      </c>
      <c r="D88" s="271"/>
      <c r="E88" s="162"/>
      <c r="F88" s="162"/>
      <c r="G88" s="162"/>
      <c r="H88" s="178"/>
      <c r="I88" s="178"/>
      <c r="J88" s="178"/>
      <c r="K88" s="178"/>
      <c r="L88" s="178"/>
      <c r="M88" s="178"/>
      <c r="N88" s="178"/>
      <c r="O88" s="178"/>
      <c r="P88" s="178"/>
      <c r="Q88" s="178"/>
      <c r="R88" s="178"/>
      <c r="S88" s="178"/>
      <c r="T88" s="178"/>
      <c r="U88" s="178"/>
      <c r="V88" s="178"/>
      <c r="W88" s="178"/>
      <c r="X88" s="178"/>
      <c r="Y88" s="178"/>
      <c r="Z88" s="178"/>
      <c r="AA88" s="178"/>
      <c r="AB88" s="178"/>
      <c r="AC88" s="178"/>
      <c r="AD88" s="178"/>
      <c r="AE88" s="178"/>
      <c r="AF88" s="178"/>
      <c r="AG88" s="178"/>
      <c r="AH88" s="178"/>
      <c r="AI88" s="244"/>
      <c r="AJ88" s="244"/>
      <c r="AK88" s="244"/>
      <c r="AL88" s="244"/>
      <c r="AM88" s="162"/>
      <c r="AN88" s="100" t="b">
        <f t="shared" si="1"/>
        <v>0</v>
      </c>
      <c r="AO88" s="102"/>
    </row>
    <row r="89" ht="14.25" customHeight="1" outlineLevel="3">
      <c r="A89" s="247"/>
      <c r="B89" s="201"/>
      <c r="C89" s="201"/>
      <c r="D89" s="271"/>
      <c r="E89" s="273" t="s">
        <v>959</v>
      </c>
      <c r="F89" s="280" t="s">
        <v>135</v>
      </c>
      <c r="G89" s="123" t="s">
        <v>960</v>
      </c>
      <c r="H89" s="274">
        <f>caltoccftercli</f>
        <v>0.1456412746</v>
      </c>
      <c r="I89" s="274">
        <f>caltoccftercli</f>
        <v>0.1881985256</v>
      </c>
      <c r="J89" s="274">
        <f>caltoccftercli</f>
        <v>0.2576670141</v>
      </c>
      <c r="K89" s="274">
        <f>caltoccftercli</f>
        <v>0.3073400037</v>
      </c>
      <c r="L89" s="274">
        <f>caltoccftercli</f>
        <v>0.3761380301</v>
      </c>
      <c r="M89" s="274">
        <f>caltoccftercli</f>
        <v>0.4552441831</v>
      </c>
      <c r="N89" s="274">
        <f>caltoccftercli</f>
        <v>0.5423298414</v>
      </c>
      <c r="O89" s="274">
        <f>caltoccftercli</f>
        <v>0.6519372997</v>
      </c>
      <c r="P89" s="274">
        <f>caltoccftercli</f>
        <v>0.7345674679</v>
      </c>
      <c r="Q89" s="274">
        <f>caltoccftercli</f>
        <v>0.8177501226</v>
      </c>
      <c r="R89" s="274">
        <f>caltoccftercli</f>
        <v>0.9138826805</v>
      </c>
      <c r="S89" s="274">
        <f>caltoccftercli</f>
        <v>0.9277682359</v>
      </c>
      <c r="T89" s="274">
        <f>caltoccftercli</f>
        <v>0.9205123514</v>
      </c>
      <c r="U89" s="274">
        <f>caltoccftercli</f>
        <v>0.9155357255</v>
      </c>
      <c r="V89" s="274">
        <f>caltoccftercli</f>
        <v>0.9286942695</v>
      </c>
      <c r="W89" s="274">
        <f>caltoccftercli</f>
        <v>0.92284156</v>
      </c>
      <c r="X89" s="274">
        <f>caltoccftercli</f>
        <v>0</v>
      </c>
      <c r="Y89" s="274">
        <f>caltoccftercli</f>
        <v>0</v>
      </c>
      <c r="Z89" s="274">
        <f>caltoccftercli</f>
        <v>0</v>
      </c>
      <c r="AA89" s="274">
        <f>caltoccftercli</f>
        <v>0</v>
      </c>
      <c r="AB89" s="274">
        <f>caltoccftercli</f>
        <v>0</v>
      </c>
      <c r="AC89" s="274">
        <f>caltoccftercli</f>
        <v>0</v>
      </c>
      <c r="AD89" s="274">
        <f>caltoccftercli</f>
        <v>0</v>
      </c>
      <c r="AE89" s="274">
        <f>caltoccftercli</f>
        <v>0</v>
      </c>
      <c r="AF89" s="274">
        <f>caltoccftercli</f>
        <v>0</v>
      </c>
      <c r="AG89" s="274">
        <f>caltoccftercli</f>
        <v>0</v>
      </c>
      <c r="AH89" s="274">
        <f>caltoccftercli</f>
        <v>0</v>
      </c>
      <c r="AI89" s="204"/>
      <c r="AJ89" s="275"/>
      <c r="AK89" s="204"/>
      <c r="AL89" s="204"/>
      <c r="AM89" s="251"/>
      <c r="AN89" s="100" t="b">
        <f t="shared" si="1"/>
        <v>1</v>
      </c>
      <c r="AO89" s="102"/>
    </row>
    <row r="90" ht="14.25" customHeight="1" outlineLevel="3">
      <c r="A90" s="200"/>
      <c r="B90" s="201"/>
      <c r="C90" s="201"/>
      <c r="D90" s="271"/>
      <c r="E90" s="273" t="s">
        <v>961</v>
      </c>
      <c r="F90" s="123" t="s">
        <v>365</v>
      </c>
      <c r="G90" s="123" t="s">
        <v>962</v>
      </c>
      <c r="H90" s="274">
        <f>G*caltoccftercli/(k*pop)</f>
        <v>14.22405172</v>
      </c>
      <c r="I90" s="274">
        <f>G*caltoccftercli/(k*pop)</f>
        <v>18.33683466</v>
      </c>
      <c r="J90" s="274">
        <f>G*caltoccftercli/(k*pop)</f>
        <v>24.99261756</v>
      </c>
      <c r="K90" s="274">
        <f>G*caltoccftercli/(k*pop)</f>
        <v>29.67792907</v>
      </c>
      <c r="L90" s="274">
        <f>G*caltoccftercli/(k*pop)</f>
        <v>36.17956892</v>
      </c>
      <c r="M90" s="274">
        <f>G*caltoccftercli/(k*pop)</f>
        <v>43.58133574</v>
      </c>
      <c r="N90" s="274">
        <f>G*caltoccftercli/(k*pop)</f>
        <v>51.59453261</v>
      </c>
      <c r="O90" s="274">
        <f>G*caltoccftercli/(k*pop)</f>
        <v>61.59338707</v>
      </c>
      <c r="P90" s="274">
        <f>G*caltoccftercli/(k*pop)</f>
        <v>68.86441322</v>
      </c>
      <c r="Q90" s="274">
        <f>G*caltoccftercli/(k*pop)</f>
        <v>76.04799021</v>
      </c>
      <c r="R90" s="274">
        <f>G*caltoccftercli/(k*pop)</f>
        <v>84.3072592</v>
      </c>
      <c r="S90" s="274">
        <f>G*caltoccftercli/(k*pop)</f>
        <v>84.71789799</v>
      </c>
      <c r="T90" s="274">
        <f>G*caltoccftercli/(k*pop)</f>
        <v>83.41035599</v>
      </c>
      <c r="U90" s="274">
        <f>G*caltoccftercli/(k*pop)</f>
        <v>82.48401021</v>
      </c>
      <c r="V90" s="274">
        <f>G*caltoccftercli/(k*pop)</f>
        <v>83.28711152</v>
      </c>
      <c r="W90" s="274">
        <f>G*caltoccftercli/(k*pop)</f>
        <v>82.33008631</v>
      </c>
      <c r="X90" s="274">
        <f>G*caltoccftercli/(k*pop)</f>
        <v>0</v>
      </c>
      <c r="Y90" s="274">
        <f>G*caltoccftercli/(k*pop)</f>
        <v>0</v>
      </c>
      <c r="Z90" s="274">
        <f>G*caltoccftercli/(k*pop)</f>
        <v>0</v>
      </c>
      <c r="AA90" s="274">
        <f>G*caltoccftercli/(k*pop)</f>
        <v>0</v>
      </c>
      <c r="AB90" s="274">
        <f>G*caltoccftercli/(k*pop)</f>
        <v>0</v>
      </c>
      <c r="AC90" s="274">
        <f>G*caltoccftercli/(k*pop)</f>
        <v>0</v>
      </c>
      <c r="AD90" s="274">
        <f>G*caltoccftercli/(k*pop)</f>
        <v>0</v>
      </c>
      <c r="AE90" s="274">
        <f>G*caltoccftercli/(k*pop)</f>
        <v>0</v>
      </c>
      <c r="AF90" s="274">
        <f>G*caltoccftercli/(k*pop)</f>
        <v>0</v>
      </c>
      <c r="AG90" s="274">
        <f>G*caltoccftercli/(k*pop)</f>
        <v>0</v>
      </c>
      <c r="AH90" s="274">
        <f>G*caltoccftercli/(k*pop)</f>
        <v>0</v>
      </c>
      <c r="AI90" s="204"/>
      <c r="AJ90" s="204"/>
      <c r="AK90" s="275"/>
      <c r="AL90" s="275"/>
      <c r="AM90" s="251"/>
      <c r="AN90" s="100" t="b">
        <f t="shared" si="1"/>
        <v>1</v>
      </c>
      <c r="AO90" s="102"/>
    </row>
    <row r="91" ht="14.25" customHeight="1" outlineLevel="2">
      <c r="A91" s="99"/>
      <c r="B91" s="357"/>
      <c r="C91" s="331" t="s">
        <v>417</v>
      </c>
      <c r="D91" s="271"/>
      <c r="E91" s="162"/>
      <c r="F91" s="162"/>
      <c r="G91" s="162"/>
      <c r="H91" s="178"/>
      <c r="I91" s="178"/>
      <c r="J91" s="178"/>
      <c r="K91" s="178"/>
      <c r="L91" s="178"/>
      <c r="M91" s="178"/>
      <c r="N91" s="178"/>
      <c r="O91" s="178"/>
      <c r="P91" s="178"/>
      <c r="Q91" s="178"/>
      <c r="R91" s="178"/>
      <c r="S91" s="178"/>
      <c r="T91" s="178"/>
      <c r="U91" s="178"/>
      <c r="V91" s="178"/>
      <c r="W91" s="178"/>
      <c r="X91" s="178"/>
      <c r="Y91" s="178"/>
      <c r="Z91" s="178"/>
      <c r="AA91" s="178"/>
      <c r="AB91" s="178"/>
      <c r="AC91" s="178"/>
      <c r="AD91" s="178"/>
      <c r="AE91" s="178"/>
      <c r="AF91" s="178"/>
      <c r="AG91" s="178"/>
      <c r="AH91" s="178"/>
      <c r="AI91" s="244"/>
      <c r="AJ91" s="244"/>
      <c r="AK91" s="244"/>
      <c r="AL91" s="244"/>
      <c r="AM91" s="162"/>
      <c r="AN91" s="100" t="b">
        <f t="shared" si="1"/>
        <v>0</v>
      </c>
      <c r="AO91" s="102"/>
    </row>
    <row r="92" ht="14.25" customHeight="1" outlineLevel="3">
      <c r="A92" s="247"/>
      <c r="B92" s="100"/>
      <c r="C92" s="268"/>
      <c r="D92" s="201"/>
      <c r="E92" s="287" t="s">
        <v>963</v>
      </c>
      <c r="F92" s="249" t="s">
        <v>135</v>
      </c>
      <c r="G92" s="249" t="s">
        <v>964</v>
      </c>
      <c r="H92" s="260">
        <v>0.14564127455974</v>
      </c>
      <c r="I92" s="181">
        <v>0.188198525598749</v>
      </c>
      <c r="J92" s="181">
        <v>0.257667014123923</v>
      </c>
      <c r="K92" s="181">
        <v>0.307340003709886</v>
      </c>
      <c r="L92" s="181">
        <v>0.376138030076043</v>
      </c>
      <c r="M92" s="181">
        <v>0.45524418314469</v>
      </c>
      <c r="N92" s="181">
        <v>0.542329841412689</v>
      </c>
      <c r="O92" s="181">
        <v>0.651937299669489</v>
      </c>
      <c r="P92" s="181">
        <v>0.734567467935829</v>
      </c>
      <c r="Q92" s="181">
        <v>0.817750122581603</v>
      </c>
      <c r="R92" s="181">
        <v>0.913882680502229</v>
      </c>
      <c r="S92" s="181">
        <v>0.927768235880233</v>
      </c>
      <c r="T92" s="181">
        <v>0.920512351382175</v>
      </c>
      <c r="U92" s="181">
        <v>0.915535725508007</v>
      </c>
      <c r="V92" s="181">
        <v>0.928694269546896</v>
      </c>
      <c r="W92" s="286">
        <v>0.922841559995368</v>
      </c>
      <c r="X92" s="181">
        <v>0.0</v>
      </c>
      <c r="Y92" s="181">
        <v>0.0</v>
      </c>
      <c r="Z92" s="181">
        <v>0.0</v>
      </c>
      <c r="AA92" s="181">
        <v>0.0</v>
      </c>
      <c r="AB92" s="286">
        <v>0.0</v>
      </c>
      <c r="AC92" s="286">
        <v>0.0</v>
      </c>
      <c r="AD92" s="286">
        <v>0.0</v>
      </c>
      <c r="AE92" s="286">
        <v>0.0</v>
      </c>
      <c r="AF92" s="286">
        <v>0.0</v>
      </c>
      <c r="AG92" s="286">
        <v>0.0</v>
      </c>
      <c r="AH92" s="286">
        <v>0.0</v>
      </c>
      <c r="AI92" s="204"/>
      <c r="AJ92" s="204"/>
      <c r="AK92" s="204"/>
      <c r="AL92" s="204"/>
      <c r="AM92" s="251"/>
      <c r="AN92" s="100" t="b">
        <f t="shared" si="1"/>
        <v>0</v>
      </c>
      <c r="AO92" s="102"/>
    </row>
    <row r="93" ht="14.25" customHeight="1" outlineLevel="3">
      <c r="A93" s="98"/>
      <c r="B93" s="98"/>
      <c r="C93" s="98"/>
      <c r="D93" s="98"/>
      <c r="E93" s="270" t="s">
        <v>965</v>
      </c>
      <c r="F93" s="249" t="s">
        <v>135</v>
      </c>
      <c r="G93" s="249" t="s">
        <v>966</v>
      </c>
      <c r="H93" s="260">
        <v>0.14564127455974</v>
      </c>
      <c r="I93" s="181">
        <v>0.188198525598749</v>
      </c>
      <c r="J93" s="181">
        <v>0.257667014123923</v>
      </c>
      <c r="K93" s="181">
        <v>0.307340003709886</v>
      </c>
      <c r="L93" s="181">
        <v>0.376138030076043</v>
      </c>
      <c r="M93" s="181">
        <v>0.45524418314469</v>
      </c>
      <c r="N93" s="181">
        <v>0.542329841412689</v>
      </c>
      <c r="O93" s="181">
        <v>0.651937299669489</v>
      </c>
      <c r="P93" s="181">
        <v>0.734567467935829</v>
      </c>
      <c r="Q93" s="181">
        <v>0.817750122581603</v>
      </c>
      <c r="R93" s="181">
        <v>0.913882680502229</v>
      </c>
      <c r="S93" s="181">
        <v>0.927768235880233</v>
      </c>
      <c r="T93" s="181">
        <v>0.920512351382175</v>
      </c>
      <c r="U93" s="181">
        <v>0.915535725508007</v>
      </c>
      <c r="V93" s="181">
        <v>0.928694269546896</v>
      </c>
      <c r="W93" s="202">
        <v>0.922841559995368</v>
      </c>
      <c r="X93" s="181"/>
      <c r="Y93" s="181"/>
      <c r="Z93" s="181"/>
      <c r="AA93" s="181"/>
      <c r="AB93" s="202"/>
      <c r="AC93" s="202"/>
      <c r="AD93" s="202"/>
      <c r="AE93" s="202"/>
      <c r="AF93" s="202"/>
      <c r="AG93" s="202"/>
      <c r="AH93" s="202"/>
      <c r="AI93" s="204"/>
      <c r="AJ93" s="204"/>
      <c r="AK93" s="204"/>
      <c r="AL93" s="204"/>
      <c r="AM93" s="251"/>
      <c r="AN93" s="100" t="b">
        <f t="shared" si="1"/>
        <v>0</v>
      </c>
      <c r="AO93" s="102"/>
    </row>
    <row r="94" ht="14.25" customHeight="1" outlineLevel="3">
      <c r="A94" s="99"/>
      <c r="B94" s="357"/>
      <c r="C94" s="369"/>
      <c r="D94" s="271"/>
      <c r="E94" s="270" t="s">
        <v>967</v>
      </c>
      <c r="F94" s="249" t="s">
        <v>135</v>
      </c>
      <c r="G94" s="249" t="s">
        <v>968</v>
      </c>
      <c r="H94" s="260"/>
      <c r="I94" s="181"/>
      <c r="J94" s="181"/>
      <c r="K94" s="181"/>
      <c r="L94" s="181"/>
      <c r="M94" s="181"/>
      <c r="N94" s="181"/>
      <c r="O94" s="181"/>
      <c r="P94" s="181"/>
      <c r="Q94" s="181"/>
      <c r="R94" s="181"/>
      <c r="S94" s="181"/>
      <c r="T94" s="181"/>
      <c r="U94" s="181"/>
      <c r="V94" s="181"/>
      <c r="W94" s="182"/>
      <c r="X94" s="181"/>
      <c r="Y94" s="181"/>
      <c r="Z94" s="181"/>
      <c r="AA94" s="181"/>
      <c r="AB94" s="182"/>
      <c r="AC94" s="182"/>
      <c r="AD94" s="182"/>
      <c r="AE94" s="182"/>
      <c r="AF94" s="182"/>
      <c r="AG94" s="182"/>
      <c r="AH94" s="184"/>
      <c r="AI94" s="204"/>
      <c r="AJ94" s="204"/>
      <c r="AK94" s="204"/>
      <c r="AL94" s="204"/>
      <c r="AM94" s="251"/>
      <c r="AN94" s="100" t="b">
        <f t="shared" si="1"/>
        <v>0</v>
      </c>
      <c r="AO94" s="102"/>
    </row>
    <row r="95" ht="14.25" customHeight="1" outlineLevel="3">
      <c r="A95" s="99"/>
      <c r="B95" s="357"/>
      <c r="C95" s="369"/>
      <c r="D95" s="271"/>
      <c r="E95" s="122" t="s">
        <v>969</v>
      </c>
      <c r="F95" s="123" t="s">
        <v>135</v>
      </c>
      <c r="G95" s="123" t="s">
        <v>970</v>
      </c>
      <c r="H95" s="260"/>
      <c r="I95" s="181"/>
      <c r="J95" s="181"/>
      <c r="K95" s="181"/>
      <c r="L95" s="181"/>
      <c r="M95" s="181"/>
      <c r="N95" s="181"/>
      <c r="O95" s="181"/>
      <c r="P95" s="181"/>
      <c r="Q95" s="181"/>
      <c r="R95" s="181"/>
      <c r="S95" s="181"/>
      <c r="T95" s="181"/>
      <c r="U95" s="181"/>
      <c r="V95" s="181"/>
      <c r="W95" s="182"/>
      <c r="X95" s="181"/>
      <c r="Y95" s="181"/>
      <c r="Z95" s="181"/>
      <c r="AA95" s="181"/>
      <c r="AB95" s="182"/>
      <c r="AC95" s="182"/>
      <c r="AD95" s="182"/>
      <c r="AE95" s="182"/>
      <c r="AF95" s="182"/>
      <c r="AG95" s="182"/>
      <c r="AH95" s="184"/>
      <c r="AI95" s="204"/>
      <c r="AJ95" s="204"/>
      <c r="AK95" s="204"/>
      <c r="AL95" s="204"/>
      <c r="AM95" s="251"/>
      <c r="AN95" s="100" t="b">
        <f t="shared" si="1"/>
        <v>0</v>
      </c>
      <c r="AO95" s="102"/>
    </row>
    <row r="96" ht="14.25" customHeight="1">
      <c r="A96" s="355" t="s">
        <v>630</v>
      </c>
      <c r="B96" s="162"/>
      <c r="C96" s="162"/>
      <c r="D96" s="271"/>
      <c r="E96" s="162"/>
      <c r="F96" s="162"/>
      <c r="G96" s="162"/>
      <c r="H96" s="178"/>
      <c r="I96" s="178"/>
      <c r="J96" s="178"/>
      <c r="K96" s="178"/>
      <c r="L96" s="178"/>
      <c r="M96" s="178"/>
      <c r="N96" s="178"/>
      <c r="O96" s="178"/>
      <c r="P96" s="178"/>
      <c r="Q96" s="178"/>
      <c r="R96" s="178"/>
      <c r="S96" s="178"/>
      <c r="T96" s="178"/>
      <c r="U96" s="178"/>
      <c r="V96" s="178"/>
      <c r="W96" s="178"/>
      <c r="X96" s="178"/>
      <c r="Y96" s="178"/>
      <c r="Z96" s="178"/>
      <c r="AA96" s="178"/>
      <c r="AB96" s="178"/>
      <c r="AC96" s="178"/>
      <c r="AD96" s="178"/>
      <c r="AE96" s="178"/>
      <c r="AF96" s="178"/>
      <c r="AG96" s="178"/>
      <c r="AH96" s="178"/>
      <c r="AI96" s="244"/>
      <c r="AJ96" s="244"/>
      <c r="AK96" s="244"/>
      <c r="AL96" s="244"/>
      <c r="AM96" s="162"/>
      <c r="AN96" s="100" t="b">
        <f t="shared" si="1"/>
        <v>0</v>
      </c>
      <c r="AO96" s="102"/>
    </row>
    <row r="97" ht="14.25" customHeight="1" outlineLevel="1">
      <c r="A97" s="99"/>
      <c r="B97" s="331" t="s">
        <v>427</v>
      </c>
      <c r="C97" s="357"/>
      <c r="D97" s="271"/>
      <c r="E97" s="162"/>
      <c r="F97" s="162"/>
      <c r="G97" s="162"/>
      <c r="H97" s="178"/>
      <c r="I97" s="178"/>
      <c r="J97" s="178"/>
      <c r="K97" s="178"/>
      <c r="L97" s="178"/>
      <c r="M97" s="178"/>
      <c r="N97" s="178"/>
      <c r="O97" s="178"/>
      <c r="P97" s="178"/>
      <c r="Q97" s="178"/>
      <c r="R97" s="178"/>
      <c r="S97" s="178"/>
      <c r="T97" s="178"/>
      <c r="U97" s="178"/>
      <c r="V97" s="178"/>
      <c r="W97" s="178"/>
      <c r="X97" s="178"/>
      <c r="Y97" s="178"/>
      <c r="Z97" s="178"/>
      <c r="AA97" s="178"/>
      <c r="AB97" s="178"/>
      <c r="AC97" s="178"/>
      <c r="AD97" s="178"/>
      <c r="AE97" s="178"/>
      <c r="AF97" s="178"/>
      <c r="AG97" s="178"/>
      <c r="AH97" s="178"/>
      <c r="AI97" s="244"/>
      <c r="AJ97" s="244"/>
      <c r="AK97" s="244"/>
      <c r="AL97" s="244"/>
      <c r="AM97" s="162"/>
      <c r="AN97" s="100" t="b">
        <f t="shared" si="1"/>
        <v>0</v>
      </c>
      <c r="AO97" s="102"/>
    </row>
    <row r="98" ht="14.25" customHeight="1" outlineLevel="2">
      <c r="A98" s="99"/>
      <c r="B98" s="357"/>
      <c r="C98" s="331" t="s">
        <v>428</v>
      </c>
      <c r="D98" s="271"/>
      <c r="E98" s="162"/>
      <c r="F98" s="162"/>
      <c r="G98" s="162"/>
      <c r="H98" s="178"/>
      <c r="I98" s="178"/>
      <c r="J98" s="178"/>
      <c r="K98" s="178"/>
      <c r="L98" s="178"/>
      <c r="M98" s="178"/>
      <c r="N98" s="178"/>
      <c r="O98" s="178"/>
      <c r="P98" s="178"/>
      <c r="Q98" s="178"/>
      <c r="R98" s="178"/>
      <c r="S98" s="178"/>
      <c r="T98" s="178"/>
      <c r="U98" s="178"/>
      <c r="V98" s="178"/>
      <c r="W98" s="178"/>
      <c r="X98" s="178"/>
      <c r="Y98" s="178"/>
      <c r="Z98" s="178"/>
      <c r="AA98" s="178"/>
      <c r="AB98" s="178"/>
      <c r="AC98" s="178"/>
      <c r="AD98" s="178"/>
      <c r="AE98" s="178"/>
      <c r="AF98" s="178"/>
      <c r="AG98" s="178"/>
      <c r="AH98" s="178"/>
      <c r="AI98" s="244"/>
      <c r="AJ98" s="244"/>
      <c r="AK98" s="244"/>
      <c r="AL98" s="244"/>
      <c r="AM98" s="162"/>
      <c r="AN98" s="100" t="b">
        <f t="shared" si="1"/>
        <v>0</v>
      </c>
      <c r="AO98" s="102"/>
    </row>
    <row r="99" ht="14.25" customHeight="1" outlineLevel="3">
      <c r="A99" s="99"/>
      <c r="B99" s="357"/>
      <c r="C99" s="357"/>
      <c r="D99" s="271"/>
      <c r="E99" s="289" t="s">
        <v>971</v>
      </c>
      <c r="F99" s="249" t="s">
        <v>365</v>
      </c>
      <c r="G99" s="249" t="s">
        <v>972</v>
      </c>
      <c r="H99" s="260">
        <v>780.754677651115</v>
      </c>
      <c r="I99" s="181">
        <v>777.27050210775</v>
      </c>
      <c r="J99" s="181">
        <v>813.165684708383</v>
      </c>
      <c r="K99" s="181">
        <v>819.56754533744</v>
      </c>
      <c r="L99" s="181">
        <v>803.331515253491</v>
      </c>
      <c r="M99" s="181">
        <v>806.951519439765</v>
      </c>
      <c r="N99" s="181">
        <v>817.43873263588</v>
      </c>
      <c r="O99" s="181">
        <v>815.920664010979</v>
      </c>
      <c r="P99" s="181">
        <v>814.650826727217</v>
      </c>
      <c r="Q99" s="181">
        <v>790.623973316335</v>
      </c>
      <c r="R99" s="181">
        <v>805.798743484732</v>
      </c>
      <c r="S99" s="181">
        <v>814.927449209407</v>
      </c>
      <c r="T99" s="181">
        <v>829.980134183291</v>
      </c>
      <c r="U99" s="181">
        <v>846.581129206471</v>
      </c>
      <c r="V99" s="181">
        <v>853.443158552795</v>
      </c>
      <c r="W99" s="182">
        <v>859.966552870841</v>
      </c>
      <c r="X99" s="181"/>
      <c r="Y99" s="181"/>
      <c r="Z99" s="181"/>
      <c r="AA99" s="181"/>
      <c r="AB99" s="182"/>
      <c r="AC99" s="182"/>
      <c r="AD99" s="182"/>
      <c r="AE99" s="182"/>
      <c r="AF99" s="182"/>
      <c r="AG99" s="182"/>
      <c r="AH99" s="184"/>
      <c r="AI99" s="204"/>
      <c r="AJ99" s="204"/>
      <c r="AK99" s="204"/>
      <c r="AL99" s="204"/>
      <c r="AM99" s="251"/>
      <c r="AN99" s="100" t="b">
        <f t="shared" si="1"/>
        <v>0</v>
      </c>
      <c r="AO99" s="102"/>
    </row>
    <row r="100" ht="14.25" customHeight="1" outlineLevel="3">
      <c r="A100" s="99"/>
      <c r="B100" s="357"/>
      <c r="C100" s="357"/>
      <c r="D100" s="271"/>
      <c r="E100" s="252" t="s">
        <v>973</v>
      </c>
      <c r="F100" s="292" t="s">
        <v>432</v>
      </c>
      <c r="G100" s="292" t="s">
        <v>974</v>
      </c>
      <c r="H100" s="260"/>
      <c r="I100" s="181"/>
      <c r="J100" s="181"/>
      <c r="K100" s="181"/>
      <c r="L100" s="181"/>
      <c r="M100" s="181"/>
      <c r="N100" s="181"/>
      <c r="O100" s="181"/>
      <c r="P100" s="181"/>
      <c r="Q100" s="181"/>
      <c r="R100" s="181"/>
      <c r="S100" s="181"/>
      <c r="T100" s="181"/>
      <c r="U100" s="181"/>
      <c r="V100" s="181"/>
      <c r="W100" s="182">
        <v>100.0</v>
      </c>
      <c r="X100" s="181"/>
      <c r="Y100" s="181"/>
      <c r="Z100" s="181"/>
      <c r="AA100" s="181"/>
      <c r="AB100" s="182"/>
      <c r="AC100" s="182"/>
      <c r="AD100" s="182"/>
      <c r="AE100" s="182"/>
      <c r="AF100" s="182"/>
      <c r="AG100" s="182"/>
      <c r="AH100" s="184"/>
      <c r="AI100" s="204"/>
      <c r="AJ100" s="204"/>
      <c r="AK100" s="204"/>
      <c r="AL100" s="204"/>
      <c r="AM100" s="251"/>
      <c r="AN100" s="100" t="b">
        <f t="shared" si="1"/>
        <v>0</v>
      </c>
      <c r="AO100" s="102"/>
    </row>
    <row r="101" ht="14.25" customHeight="1" outlineLevel="2">
      <c r="A101" s="99"/>
      <c r="B101" s="357"/>
      <c r="C101" s="331" t="s">
        <v>975</v>
      </c>
      <c r="D101" s="271"/>
      <c r="E101" s="162"/>
      <c r="F101" s="162"/>
      <c r="G101" s="162"/>
      <c r="H101" s="178"/>
      <c r="I101" s="178"/>
      <c r="J101" s="178"/>
      <c r="K101" s="178"/>
      <c r="L101" s="178"/>
      <c r="M101" s="178"/>
      <c r="N101" s="178"/>
      <c r="O101" s="178"/>
      <c r="P101" s="178"/>
      <c r="Q101" s="178"/>
      <c r="R101" s="178"/>
      <c r="S101" s="178"/>
      <c r="T101" s="178"/>
      <c r="U101" s="178"/>
      <c r="V101" s="178"/>
      <c r="W101" s="178"/>
      <c r="X101" s="178"/>
      <c r="Y101" s="178"/>
      <c r="Z101" s="178"/>
      <c r="AA101" s="178"/>
      <c r="AB101" s="178"/>
      <c r="AC101" s="178"/>
      <c r="AD101" s="178"/>
      <c r="AE101" s="178"/>
      <c r="AF101" s="178"/>
      <c r="AG101" s="178"/>
      <c r="AH101" s="178"/>
      <c r="AI101" s="244"/>
      <c r="AJ101" s="244"/>
      <c r="AK101" s="244"/>
      <c r="AL101" s="244"/>
      <c r="AM101" s="162"/>
      <c r="AN101" s="100"/>
      <c r="AO101" s="102"/>
    </row>
    <row r="102" ht="14.25" customHeight="1" outlineLevel="3">
      <c r="A102" s="361"/>
      <c r="B102" s="357"/>
      <c r="C102" s="357"/>
      <c r="D102" s="271"/>
      <c r="E102" s="270" t="s">
        <v>976</v>
      </c>
      <c r="F102" s="249" t="s">
        <v>261</v>
      </c>
      <c r="G102" s="249" t="s">
        <v>977</v>
      </c>
      <c r="H102" s="253"/>
      <c r="I102" s="254"/>
      <c r="J102" s="254"/>
      <c r="K102" s="254"/>
      <c r="L102" s="254"/>
      <c r="M102" s="254"/>
      <c r="N102" s="254"/>
      <c r="O102" s="254"/>
      <c r="P102" s="254"/>
      <c r="Q102" s="254"/>
      <c r="R102" s="254"/>
      <c r="S102" s="254"/>
      <c r="T102" s="254"/>
      <c r="U102" s="254"/>
      <c r="V102" s="254"/>
      <c r="W102" s="256"/>
      <c r="X102" s="254"/>
      <c r="Y102" s="254"/>
      <c r="Z102" s="254"/>
      <c r="AA102" s="254"/>
      <c r="AB102" s="256"/>
      <c r="AC102" s="256"/>
      <c r="AD102" s="256"/>
      <c r="AE102" s="256"/>
      <c r="AF102" s="256"/>
      <c r="AG102" s="256"/>
      <c r="AH102" s="257"/>
      <c r="AI102" s="204"/>
      <c r="AJ102" s="204"/>
      <c r="AK102" s="204"/>
      <c r="AL102" s="204"/>
      <c r="AM102" s="251"/>
      <c r="AN102" s="100" t="b">
        <f t="shared" ref="AN102:AN111" si="2">_xlfn.ISFORMULA(H102)</f>
        <v>0</v>
      </c>
      <c r="AO102" s="102"/>
    </row>
    <row r="103" ht="14.25" customHeight="1" outlineLevel="3">
      <c r="A103" s="361"/>
      <c r="B103" s="357"/>
      <c r="C103" s="357"/>
      <c r="D103" s="271"/>
      <c r="E103" s="270" t="s">
        <v>978</v>
      </c>
      <c r="F103" s="249" t="s">
        <v>261</v>
      </c>
      <c r="G103" s="249" t="s">
        <v>979</v>
      </c>
      <c r="H103" s="253"/>
      <c r="I103" s="254"/>
      <c r="J103" s="254"/>
      <c r="K103" s="254"/>
      <c r="L103" s="254"/>
      <c r="M103" s="254"/>
      <c r="N103" s="254"/>
      <c r="O103" s="254"/>
      <c r="P103" s="254"/>
      <c r="Q103" s="254"/>
      <c r="R103" s="254"/>
      <c r="S103" s="254"/>
      <c r="T103" s="254"/>
      <c r="U103" s="254"/>
      <c r="V103" s="254"/>
      <c r="W103" s="256"/>
      <c r="X103" s="254"/>
      <c r="Y103" s="254"/>
      <c r="Z103" s="254"/>
      <c r="AA103" s="254"/>
      <c r="AB103" s="256"/>
      <c r="AC103" s="256"/>
      <c r="AD103" s="256"/>
      <c r="AE103" s="256"/>
      <c r="AF103" s="256"/>
      <c r="AG103" s="256"/>
      <c r="AH103" s="257"/>
      <c r="AI103" s="204"/>
      <c r="AJ103" s="204"/>
      <c r="AK103" s="204"/>
      <c r="AL103" s="204"/>
      <c r="AM103" s="251"/>
      <c r="AN103" s="100" t="b">
        <f t="shared" si="2"/>
        <v>0</v>
      </c>
      <c r="AO103" s="102"/>
    </row>
    <row r="104" ht="14.25" customHeight="1" outlineLevel="3">
      <c r="A104" s="361"/>
      <c r="B104" s="357"/>
      <c r="C104" s="357"/>
      <c r="D104" s="271"/>
      <c r="E104" s="270" t="s">
        <v>980</v>
      </c>
      <c r="F104" s="249" t="s">
        <v>261</v>
      </c>
      <c r="G104" s="249" t="s">
        <v>981</v>
      </c>
      <c r="H104" s="253"/>
      <c r="I104" s="254"/>
      <c r="J104" s="254"/>
      <c r="K104" s="254"/>
      <c r="L104" s="254"/>
      <c r="M104" s="254"/>
      <c r="N104" s="254"/>
      <c r="O104" s="254"/>
      <c r="P104" s="254"/>
      <c r="Q104" s="254"/>
      <c r="R104" s="254"/>
      <c r="S104" s="254"/>
      <c r="T104" s="254"/>
      <c r="U104" s="254"/>
      <c r="V104" s="254"/>
      <c r="W104" s="256"/>
      <c r="X104" s="254"/>
      <c r="Y104" s="254"/>
      <c r="Z104" s="254"/>
      <c r="AA104" s="254"/>
      <c r="AB104" s="256"/>
      <c r="AC104" s="256"/>
      <c r="AD104" s="256"/>
      <c r="AE104" s="256"/>
      <c r="AF104" s="256"/>
      <c r="AG104" s="256"/>
      <c r="AH104" s="257"/>
      <c r="AI104" s="204"/>
      <c r="AJ104" s="204"/>
      <c r="AK104" s="204"/>
      <c r="AL104" s="204"/>
      <c r="AM104" s="251"/>
      <c r="AN104" s="100" t="b">
        <f t="shared" si="2"/>
        <v>0</v>
      </c>
      <c r="AO104" s="102"/>
    </row>
    <row r="105" ht="14.25" customHeight="1" outlineLevel="3">
      <c r="A105" s="361"/>
      <c r="B105" s="357"/>
      <c r="C105" s="357"/>
      <c r="D105" s="271"/>
      <c r="E105" s="270" t="s">
        <v>982</v>
      </c>
      <c r="F105" s="249" t="s">
        <v>261</v>
      </c>
      <c r="G105" s="249" t="s">
        <v>983</v>
      </c>
      <c r="H105" s="253"/>
      <c r="I105" s="254"/>
      <c r="J105" s="254"/>
      <c r="K105" s="254"/>
      <c r="L105" s="254"/>
      <c r="M105" s="254"/>
      <c r="N105" s="254"/>
      <c r="O105" s="254"/>
      <c r="P105" s="254"/>
      <c r="Q105" s="254"/>
      <c r="R105" s="254"/>
      <c r="S105" s="254"/>
      <c r="T105" s="254"/>
      <c r="U105" s="254"/>
      <c r="V105" s="254"/>
      <c r="W105" s="256"/>
      <c r="X105" s="254"/>
      <c r="Y105" s="254"/>
      <c r="Z105" s="254"/>
      <c r="AA105" s="254"/>
      <c r="AB105" s="256"/>
      <c r="AC105" s="256"/>
      <c r="AD105" s="256"/>
      <c r="AE105" s="256"/>
      <c r="AF105" s="256"/>
      <c r="AG105" s="256"/>
      <c r="AH105" s="257"/>
      <c r="AI105" s="204"/>
      <c r="AJ105" s="204"/>
      <c r="AK105" s="204"/>
      <c r="AL105" s="204"/>
      <c r="AM105" s="251"/>
      <c r="AN105" s="100" t="b">
        <f t="shared" si="2"/>
        <v>0</v>
      </c>
      <c r="AO105" s="102"/>
    </row>
    <row r="106" ht="14.25" customHeight="1" outlineLevel="3">
      <c r="A106" s="362"/>
      <c r="B106" s="100"/>
      <c r="C106" s="100"/>
      <c r="D106" s="271"/>
      <c r="E106" s="270" t="s">
        <v>984</v>
      </c>
      <c r="F106" s="249" t="s">
        <v>261</v>
      </c>
      <c r="G106" s="249" t="s">
        <v>985</v>
      </c>
      <c r="H106" s="253"/>
      <c r="I106" s="254"/>
      <c r="J106" s="254"/>
      <c r="K106" s="254"/>
      <c r="L106" s="254"/>
      <c r="M106" s="254"/>
      <c r="N106" s="254"/>
      <c r="O106" s="254"/>
      <c r="P106" s="254"/>
      <c r="Q106" s="254"/>
      <c r="R106" s="254"/>
      <c r="S106" s="254"/>
      <c r="T106" s="254"/>
      <c r="U106" s="254"/>
      <c r="V106" s="254"/>
      <c r="W106" s="256"/>
      <c r="X106" s="254"/>
      <c r="Y106" s="254"/>
      <c r="Z106" s="254"/>
      <c r="AA106" s="254"/>
      <c r="AB106" s="256"/>
      <c r="AC106" s="256"/>
      <c r="AD106" s="256"/>
      <c r="AE106" s="256"/>
      <c r="AF106" s="256"/>
      <c r="AG106" s="256"/>
      <c r="AH106" s="257"/>
      <c r="AI106" s="204"/>
      <c r="AJ106" s="204"/>
      <c r="AK106" s="204"/>
      <c r="AL106" s="204"/>
      <c r="AM106" s="251"/>
      <c r="AN106" s="100" t="b">
        <f t="shared" si="2"/>
        <v>0</v>
      </c>
      <c r="AO106" s="102"/>
    </row>
    <row r="107" ht="14.25" customHeight="1" outlineLevel="3">
      <c r="A107" s="362"/>
      <c r="B107" s="100"/>
      <c r="C107" s="100"/>
      <c r="D107" s="271"/>
      <c r="E107" s="270" t="s">
        <v>986</v>
      </c>
      <c r="F107" s="249" t="s">
        <v>261</v>
      </c>
      <c r="G107" s="249" t="s">
        <v>987</v>
      </c>
      <c r="H107" s="253"/>
      <c r="I107" s="254"/>
      <c r="J107" s="254"/>
      <c r="K107" s="254"/>
      <c r="L107" s="254"/>
      <c r="M107" s="254"/>
      <c r="N107" s="254"/>
      <c r="O107" s="254"/>
      <c r="P107" s="254"/>
      <c r="Q107" s="254"/>
      <c r="R107" s="254"/>
      <c r="S107" s="254"/>
      <c r="T107" s="254"/>
      <c r="U107" s="254"/>
      <c r="V107" s="254"/>
      <c r="W107" s="256"/>
      <c r="X107" s="254"/>
      <c r="Y107" s="254"/>
      <c r="Z107" s="254"/>
      <c r="AA107" s="254"/>
      <c r="AB107" s="256"/>
      <c r="AC107" s="256"/>
      <c r="AD107" s="256"/>
      <c r="AE107" s="256"/>
      <c r="AF107" s="256"/>
      <c r="AG107" s="256"/>
      <c r="AH107" s="257"/>
      <c r="AI107" s="204"/>
      <c r="AJ107" s="204"/>
      <c r="AK107" s="204"/>
      <c r="AL107" s="204"/>
      <c r="AM107" s="251"/>
      <c r="AN107" s="100" t="b">
        <f t="shared" si="2"/>
        <v>0</v>
      </c>
      <c r="AO107" s="102"/>
    </row>
    <row r="108" ht="14.25" customHeight="1" outlineLevel="3">
      <c r="A108" s="362"/>
      <c r="B108" s="100"/>
      <c r="C108" s="100"/>
      <c r="D108" s="271"/>
      <c r="E108" s="270" t="s">
        <v>988</v>
      </c>
      <c r="F108" s="249" t="s">
        <v>261</v>
      </c>
      <c r="G108" s="249" t="s">
        <v>989</v>
      </c>
      <c r="H108" s="253"/>
      <c r="I108" s="254"/>
      <c r="J108" s="254"/>
      <c r="K108" s="254"/>
      <c r="L108" s="254"/>
      <c r="M108" s="254"/>
      <c r="N108" s="254"/>
      <c r="O108" s="254"/>
      <c r="P108" s="254"/>
      <c r="Q108" s="254"/>
      <c r="R108" s="254"/>
      <c r="S108" s="254"/>
      <c r="T108" s="254"/>
      <c r="U108" s="254"/>
      <c r="V108" s="254"/>
      <c r="W108" s="256"/>
      <c r="X108" s="254"/>
      <c r="Y108" s="254"/>
      <c r="Z108" s="254"/>
      <c r="AA108" s="254"/>
      <c r="AB108" s="256"/>
      <c r="AC108" s="256"/>
      <c r="AD108" s="256"/>
      <c r="AE108" s="256"/>
      <c r="AF108" s="256"/>
      <c r="AG108" s="256"/>
      <c r="AH108" s="257"/>
      <c r="AI108" s="204"/>
      <c r="AJ108" s="204"/>
      <c r="AK108" s="204"/>
      <c r="AL108" s="204"/>
      <c r="AM108" s="251"/>
      <c r="AN108" s="100" t="b">
        <f t="shared" si="2"/>
        <v>0</v>
      </c>
      <c r="AO108" s="102"/>
    </row>
    <row r="109" ht="14.25" customHeight="1" outlineLevel="3">
      <c r="A109" s="362"/>
      <c r="B109" s="100"/>
      <c r="C109" s="100"/>
      <c r="D109" s="271"/>
      <c r="E109" s="122" t="s">
        <v>990</v>
      </c>
      <c r="F109" s="123" t="s">
        <v>261</v>
      </c>
      <c r="G109" s="123" t="s">
        <v>991</v>
      </c>
      <c r="H109" s="253"/>
      <c r="I109" s="254"/>
      <c r="J109" s="254"/>
      <c r="K109" s="254"/>
      <c r="L109" s="254"/>
      <c r="M109" s="254"/>
      <c r="N109" s="254"/>
      <c r="O109" s="254"/>
      <c r="P109" s="254"/>
      <c r="Q109" s="254"/>
      <c r="R109" s="254"/>
      <c r="S109" s="254"/>
      <c r="T109" s="254"/>
      <c r="U109" s="254"/>
      <c r="V109" s="254"/>
      <c r="W109" s="256"/>
      <c r="X109" s="254"/>
      <c r="Y109" s="254"/>
      <c r="Z109" s="254"/>
      <c r="AA109" s="254"/>
      <c r="AB109" s="256"/>
      <c r="AC109" s="256"/>
      <c r="AD109" s="256"/>
      <c r="AE109" s="256"/>
      <c r="AF109" s="256"/>
      <c r="AG109" s="256"/>
      <c r="AH109" s="257"/>
      <c r="AI109" s="204"/>
      <c r="AJ109" s="204"/>
      <c r="AK109" s="204"/>
      <c r="AL109" s="204"/>
      <c r="AM109" s="251"/>
      <c r="AN109" s="100" t="b">
        <f t="shared" si="2"/>
        <v>0</v>
      </c>
      <c r="AO109" s="102"/>
    </row>
    <row r="110" ht="14.25" customHeight="1" outlineLevel="2">
      <c r="A110" s="99"/>
      <c r="B110" s="357"/>
      <c r="C110" s="331" t="s">
        <v>992</v>
      </c>
      <c r="D110" s="271"/>
      <c r="E110" s="162"/>
      <c r="F110" s="162"/>
      <c r="G110" s="162"/>
      <c r="H110" s="178"/>
      <c r="I110" s="178"/>
      <c r="J110" s="178"/>
      <c r="K110" s="178"/>
      <c r="L110" s="178"/>
      <c r="M110" s="178"/>
      <c r="N110" s="178"/>
      <c r="O110" s="178"/>
      <c r="P110" s="178"/>
      <c r="Q110" s="178"/>
      <c r="R110" s="178"/>
      <c r="S110" s="178"/>
      <c r="T110" s="178"/>
      <c r="U110" s="178"/>
      <c r="V110" s="178"/>
      <c r="W110" s="178"/>
      <c r="X110" s="178"/>
      <c r="Y110" s="178"/>
      <c r="Z110" s="178"/>
      <c r="AA110" s="178"/>
      <c r="AB110" s="178"/>
      <c r="AC110" s="178"/>
      <c r="AD110" s="178"/>
      <c r="AE110" s="178"/>
      <c r="AF110" s="178"/>
      <c r="AG110" s="178"/>
      <c r="AH110" s="178"/>
      <c r="AI110" s="244"/>
      <c r="AJ110" s="244"/>
      <c r="AK110" s="244"/>
      <c r="AL110" s="244"/>
      <c r="AM110" s="162"/>
      <c r="AN110" s="100" t="b">
        <f t="shared" si="2"/>
        <v>0</v>
      </c>
      <c r="AO110" s="102"/>
    </row>
    <row r="111" ht="14.25" customHeight="1" outlineLevel="3">
      <c r="A111" s="247"/>
      <c r="B111" s="201"/>
      <c r="C111" s="201"/>
      <c r="D111" s="201"/>
      <c r="E111" s="278" t="s">
        <v>993</v>
      </c>
      <c r="F111" s="123" t="s">
        <v>261</v>
      </c>
      <c r="G111" s="249" t="s">
        <v>994</v>
      </c>
      <c r="H111" s="253"/>
      <c r="I111" s="254"/>
      <c r="J111" s="254"/>
      <c r="K111" s="254"/>
      <c r="L111" s="254"/>
      <c r="M111" s="254"/>
      <c r="N111" s="254"/>
      <c r="O111" s="254"/>
      <c r="P111" s="254"/>
      <c r="Q111" s="254"/>
      <c r="R111" s="254"/>
      <c r="S111" s="254"/>
      <c r="T111" s="254"/>
      <c r="U111" s="254"/>
      <c r="V111" s="254"/>
      <c r="W111" s="364"/>
      <c r="X111" s="254"/>
      <c r="Y111" s="254"/>
      <c r="Z111" s="254"/>
      <c r="AA111" s="254"/>
      <c r="AB111" s="364"/>
      <c r="AC111" s="364"/>
      <c r="AD111" s="364"/>
      <c r="AE111" s="364"/>
      <c r="AF111" s="364"/>
      <c r="AG111" s="364"/>
      <c r="AH111" s="364"/>
      <c r="AI111" s="204"/>
      <c r="AJ111" s="204"/>
      <c r="AK111" s="204"/>
      <c r="AL111" s="204"/>
      <c r="AM111" s="251"/>
      <c r="AN111" s="100" t="b">
        <f t="shared" si="2"/>
        <v>0</v>
      </c>
      <c r="AO111" s="102"/>
    </row>
    <row r="112" ht="14.25" customHeight="1" outlineLevel="3">
      <c r="A112" s="247"/>
      <c r="B112" s="201"/>
      <c r="C112" s="201"/>
      <c r="D112" s="201"/>
      <c r="E112" s="278" t="s">
        <v>995</v>
      </c>
      <c r="F112" s="123" t="s">
        <v>261</v>
      </c>
      <c r="G112" s="249" t="s">
        <v>996</v>
      </c>
      <c r="H112" s="253"/>
      <c r="I112" s="254"/>
      <c r="J112" s="254"/>
      <c r="K112" s="254"/>
      <c r="L112" s="254"/>
      <c r="M112" s="254"/>
      <c r="N112" s="254"/>
      <c r="O112" s="254"/>
      <c r="P112" s="254"/>
      <c r="Q112" s="254"/>
      <c r="R112" s="254"/>
      <c r="S112" s="254"/>
      <c r="T112" s="254"/>
      <c r="U112" s="254"/>
      <c r="V112" s="254"/>
      <c r="W112" s="364"/>
      <c r="X112" s="254"/>
      <c r="Y112" s="254"/>
      <c r="Z112" s="254"/>
      <c r="AA112" s="254"/>
      <c r="AB112" s="364"/>
      <c r="AC112" s="364"/>
      <c r="AD112" s="364"/>
      <c r="AE112" s="364"/>
      <c r="AF112" s="364"/>
      <c r="AG112" s="364"/>
      <c r="AH112" s="364"/>
      <c r="AI112" s="204"/>
      <c r="AJ112" s="204"/>
      <c r="AK112" s="204"/>
      <c r="AL112" s="204"/>
      <c r="AM112" s="251"/>
      <c r="AN112" s="100"/>
      <c r="AO112" s="102"/>
    </row>
    <row r="113" ht="14.25" customHeight="1" outlineLevel="3">
      <c r="A113" s="247"/>
      <c r="B113" s="201"/>
      <c r="C113" s="201"/>
      <c r="D113" s="201"/>
      <c r="E113" s="278" t="s">
        <v>997</v>
      </c>
      <c r="F113" s="123" t="s">
        <v>261</v>
      </c>
      <c r="G113" s="249" t="s">
        <v>998</v>
      </c>
      <c r="H113" s="253">
        <v>0.567360376816911</v>
      </c>
      <c r="I113" s="254">
        <v>0.568341074845098</v>
      </c>
      <c r="J113" s="254">
        <v>0.569645688298282</v>
      </c>
      <c r="K113" s="254">
        <v>0.571449211034133</v>
      </c>
      <c r="L113" s="254">
        <v>0.573537934545923</v>
      </c>
      <c r="M113" s="254">
        <v>0.575835320683342</v>
      </c>
      <c r="N113" s="254">
        <v>0.577697006874281</v>
      </c>
      <c r="O113" s="254">
        <v>0.580304125619978</v>
      </c>
      <c r="P113" s="254">
        <v>0.583416592001743</v>
      </c>
      <c r="Q113" s="254">
        <v>0.585307533964532</v>
      </c>
      <c r="R113" s="254">
        <v>0.588439983560345</v>
      </c>
      <c r="S113" s="254">
        <v>0.592311895744903</v>
      </c>
      <c r="T113" s="254">
        <v>0.595752781188541</v>
      </c>
      <c r="U113" s="254">
        <v>0.599654315050324</v>
      </c>
      <c r="V113" s="254">
        <v>0.604037490064628</v>
      </c>
      <c r="W113" s="364">
        <v>0.60842596665817</v>
      </c>
      <c r="X113" s="254"/>
      <c r="Y113" s="254"/>
      <c r="Z113" s="254"/>
      <c r="AA113" s="254"/>
      <c r="AB113" s="364"/>
      <c r="AC113" s="364"/>
      <c r="AD113" s="364"/>
      <c r="AE113" s="364"/>
      <c r="AF113" s="364"/>
      <c r="AG113" s="364"/>
      <c r="AH113" s="364"/>
      <c r="AI113" s="204"/>
      <c r="AJ113" s="204"/>
      <c r="AK113" s="204"/>
      <c r="AL113" s="204"/>
      <c r="AM113" s="251"/>
      <c r="AN113" s="100"/>
      <c r="AO113" s="102"/>
    </row>
    <row r="114" ht="14.25" customHeight="1" outlineLevel="3">
      <c r="A114" s="247"/>
      <c r="B114" s="201"/>
      <c r="C114" s="201"/>
      <c r="D114" s="201"/>
      <c r="E114" s="278" t="s">
        <v>999</v>
      </c>
      <c r="F114" s="123" t="s">
        <v>261</v>
      </c>
      <c r="G114" s="249" t="s">
        <v>1000</v>
      </c>
      <c r="H114" s="253">
        <v>0.60788611801812</v>
      </c>
      <c r="I114" s="254">
        <v>0.609486349074123</v>
      </c>
      <c r="J114" s="254">
        <v>0.611450246527809</v>
      </c>
      <c r="K114" s="254">
        <v>0.613676919254888</v>
      </c>
      <c r="L114" s="254">
        <v>0.621597020244837</v>
      </c>
      <c r="M114" s="254">
        <v>0.623699178091922</v>
      </c>
      <c r="N114" s="254">
        <v>0.625880142337702</v>
      </c>
      <c r="O114" s="254">
        <v>0.628029970643238</v>
      </c>
      <c r="P114" s="254">
        <v>0.63022051419752</v>
      </c>
      <c r="Q114" s="254">
        <v>0.633059810282294</v>
      </c>
      <c r="R114" s="254">
        <v>0.635770952892017</v>
      </c>
      <c r="S114" s="254">
        <v>0.639658822107656</v>
      </c>
      <c r="T114" s="254">
        <v>0.643315305643646</v>
      </c>
      <c r="U114" s="254">
        <v>0.646891297717578</v>
      </c>
      <c r="V114" s="254">
        <v>0.650503387229914</v>
      </c>
      <c r="W114" s="364">
        <v>0.653338257620895</v>
      </c>
      <c r="X114" s="254"/>
      <c r="Y114" s="254"/>
      <c r="Z114" s="254"/>
      <c r="AA114" s="254"/>
      <c r="AB114" s="364"/>
      <c r="AC114" s="364"/>
      <c r="AD114" s="364"/>
      <c r="AE114" s="364"/>
      <c r="AF114" s="364"/>
      <c r="AG114" s="364"/>
      <c r="AH114" s="364"/>
      <c r="AI114" s="204"/>
      <c r="AJ114" s="204"/>
      <c r="AK114" s="204"/>
      <c r="AL114" s="204"/>
      <c r="AM114" s="251"/>
      <c r="AN114" s="100"/>
      <c r="AO114" s="102"/>
    </row>
    <row r="115" ht="14.25" customHeight="1" outlineLevel="3">
      <c r="A115" s="247"/>
      <c r="B115" s="201"/>
      <c r="C115" s="201"/>
      <c r="D115" s="201"/>
      <c r="E115" s="278" t="s">
        <v>1001</v>
      </c>
      <c r="F115" s="123" t="s">
        <v>261</v>
      </c>
      <c r="G115" s="249" t="s">
        <v>1002</v>
      </c>
      <c r="H115" s="253">
        <v>0.745673638102226</v>
      </c>
      <c r="I115" s="254">
        <v>0.748265600790391</v>
      </c>
      <c r="J115" s="254">
        <v>0.755108709988724</v>
      </c>
      <c r="K115" s="254">
        <v>0.7574047513444</v>
      </c>
      <c r="L115" s="254">
        <v>0.764964635042949</v>
      </c>
      <c r="M115" s="254">
        <v>0.770917810417038</v>
      </c>
      <c r="N115" s="254">
        <v>0.78404824427979</v>
      </c>
      <c r="O115" s="254">
        <v>0.788564698701814</v>
      </c>
      <c r="P115" s="254">
        <v>0.792499246723417</v>
      </c>
      <c r="Q115" s="254">
        <v>0.795187367869125</v>
      </c>
      <c r="R115" s="254">
        <v>0.799357059237156</v>
      </c>
      <c r="S115" s="254">
        <v>0.801511387911548</v>
      </c>
      <c r="T115" s="254">
        <v>0.80404154011441</v>
      </c>
      <c r="U115" s="254">
        <v>0.805984606368944</v>
      </c>
      <c r="V115" s="254">
        <v>0.807672840635851</v>
      </c>
      <c r="W115" s="364">
        <v>0.809306339493297</v>
      </c>
      <c r="X115" s="254"/>
      <c r="Y115" s="254"/>
      <c r="Z115" s="254"/>
      <c r="AA115" s="254"/>
      <c r="AB115" s="364"/>
      <c r="AC115" s="364"/>
      <c r="AD115" s="364"/>
      <c r="AE115" s="364"/>
      <c r="AF115" s="364"/>
      <c r="AG115" s="364"/>
      <c r="AH115" s="364"/>
      <c r="AI115" s="204"/>
      <c r="AJ115" s="204"/>
      <c r="AK115" s="204"/>
      <c r="AL115" s="204"/>
      <c r="AM115" s="251"/>
      <c r="AN115" s="100"/>
      <c r="AO115" s="102"/>
    </row>
    <row r="116" ht="14.25" customHeight="1" outlineLevel="3">
      <c r="A116" s="247"/>
      <c r="B116" s="201"/>
      <c r="C116" s="201"/>
      <c r="D116" s="201"/>
      <c r="E116" s="278" t="s">
        <v>1003</v>
      </c>
      <c r="F116" s="123" t="s">
        <v>261</v>
      </c>
      <c r="G116" s="249" t="s">
        <v>1004</v>
      </c>
      <c r="H116" s="253">
        <v>0.771918880023009</v>
      </c>
      <c r="I116" s="254">
        <v>0.773206254388449</v>
      </c>
      <c r="J116" s="254">
        <v>0.7747185668921</v>
      </c>
      <c r="K116" s="254">
        <v>0.774964996892239</v>
      </c>
      <c r="L116" s="254">
        <v>0.77802818995209</v>
      </c>
      <c r="M116" s="254">
        <v>0.779528902398118</v>
      </c>
      <c r="N116" s="254">
        <v>0.784224275528133</v>
      </c>
      <c r="O116" s="254">
        <v>0.798881325547815</v>
      </c>
      <c r="P116" s="254">
        <v>0.806976616268122</v>
      </c>
      <c r="Q116" s="254">
        <v>0.810745062244555</v>
      </c>
      <c r="R116" s="254">
        <v>0.815101426641225</v>
      </c>
      <c r="S116" s="254">
        <v>0.823158325147778</v>
      </c>
      <c r="T116" s="254">
        <v>0.837385865722853</v>
      </c>
      <c r="U116" s="254">
        <v>0.839873246799084</v>
      </c>
      <c r="V116" s="254">
        <v>0.84252705068404</v>
      </c>
      <c r="W116" s="364">
        <v>0.843863998846792</v>
      </c>
      <c r="X116" s="254"/>
      <c r="Y116" s="254"/>
      <c r="Z116" s="254"/>
      <c r="AA116" s="254"/>
      <c r="AB116" s="364"/>
      <c r="AC116" s="364"/>
      <c r="AD116" s="364"/>
      <c r="AE116" s="364"/>
      <c r="AF116" s="364"/>
      <c r="AG116" s="364"/>
      <c r="AH116" s="364"/>
      <c r="AI116" s="204"/>
      <c r="AJ116" s="204"/>
      <c r="AK116" s="204"/>
      <c r="AL116" s="204"/>
      <c r="AM116" s="251"/>
      <c r="AN116" s="100"/>
      <c r="AO116" s="102"/>
    </row>
    <row r="117" ht="14.25" customHeight="1" outlineLevel="3">
      <c r="A117" s="247"/>
      <c r="B117" s="201"/>
      <c r="C117" s="201"/>
      <c r="D117" s="201"/>
      <c r="E117" s="278" t="s">
        <v>1005</v>
      </c>
      <c r="F117" s="123" t="s">
        <v>261</v>
      </c>
      <c r="G117" s="249" t="s">
        <v>1006</v>
      </c>
      <c r="H117" s="253"/>
      <c r="I117" s="254"/>
      <c r="J117" s="254"/>
      <c r="K117" s="254"/>
      <c r="L117" s="254"/>
      <c r="M117" s="254"/>
      <c r="N117" s="254"/>
      <c r="O117" s="254"/>
      <c r="P117" s="254"/>
      <c r="Q117" s="254"/>
      <c r="R117" s="254"/>
      <c r="S117" s="254"/>
      <c r="T117" s="254"/>
      <c r="U117" s="254"/>
      <c r="V117" s="254"/>
      <c r="W117" s="364"/>
      <c r="X117" s="254"/>
      <c r="Y117" s="254"/>
      <c r="Z117" s="254"/>
      <c r="AA117" s="254"/>
      <c r="AB117" s="364"/>
      <c r="AC117" s="364"/>
      <c r="AD117" s="364"/>
      <c r="AE117" s="364"/>
      <c r="AF117" s="364"/>
      <c r="AG117" s="364"/>
      <c r="AH117" s="364"/>
      <c r="AI117" s="204"/>
      <c r="AJ117" s="204"/>
      <c r="AK117" s="204"/>
      <c r="AL117" s="204"/>
      <c r="AM117" s="251"/>
      <c r="AN117" s="100"/>
      <c r="AO117" s="102"/>
    </row>
    <row r="118" ht="14.25" customHeight="1" outlineLevel="3">
      <c r="A118" s="98"/>
      <c r="B118" s="98"/>
      <c r="C118" s="98"/>
      <c r="D118" s="98"/>
      <c r="E118" s="122" t="s">
        <v>1007</v>
      </c>
      <c r="F118" s="123" t="s">
        <v>261</v>
      </c>
      <c r="G118" s="123" t="s">
        <v>1008</v>
      </c>
      <c r="H118" s="253"/>
      <c r="I118" s="254"/>
      <c r="J118" s="254"/>
      <c r="K118" s="254"/>
      <c r="L118" s="254"/>
      <c r="M118" s="254"/>
      <c r="N118" s="254"/>
      <c r="O118" s="254"/>
      <c r="P118" s="254"/>
      <c r="Q118" s="254"/>
      <c r="R118" s="254"/>
      <c r="S118" s="254"/>
      <c r="T118" s="254"/>
      <c r="U118" s="254"/>
      <c r="V118" s="254"/>
      <c r="W118" s="256"/>
      <c r="X118" s="254"/>
      <c r="Y118" s="254"/>
      <c r="Z118" s="254"/>
      <c r="AA118" s="254"/>
      <c r="AB118" s="256"/>
      <c r="AC118" s="256"/>
      <c r="AD118" s="256"/>
      <c r="AE118" s="256"/>
      <c r="AF118" s="256"/>
      <c r="AG118" s="256"/>
      <c r="AH118" s="256"/>
      <c r="AI118" s="204"/>
      <c r="AJ118" s="204"/>
      <c r="AK118" s="204"/>
      <c r="AL118" s="204"/>
      <c r="AM118" s="251"/>
      <c r="AN118" s="100"/>
      <c r="AO118" s="102"/>
    </row>
    <row r="119" ht="14.25" customHeight="1" outlineLevel="2">
      <c r="A119" s="370"/>
      <c r="B119" s="357"/>
      <c r="C119" s="331" t="str">
        <f>IF(COUNTIF(H119:AH119,"warning")&gt;0,"\-&gt; FEC for hot water per final energy carrier &gt;&gt; WARNING: For some years, Total FEC ≠ ∑ FEC by final energy carrier!","\-&gt; FEC for hot water per final energy carrier")</f>
        <v>\-&gt; FEC for hot water per final energy carrier &gt;&gt; WARNING: For some years, Total FEC ≠ ∑ FEC by final energy carrier!</v>
      </c>
      <c r="D119" s="271"/>
      <c r="E119" s="162"/>
      <c r="F119" s="162"/>
      <c r="G119" s="162"/>
      <c r="H119" s="290" t="str">
        <f t="shared" ref="H119:AH119" si="3">IF(OR(ISBLANK(H120),COUNTA(H121:H126)=0),"",IF(ABS(H120-SUM(H121:H126))/H120&lt;10^-3,"","Warning"))</f>
        <v>Warning</v>
      </c>
      <c r="I119" s="290" t="str">
        <f t="shared" si="3"/>
        <v/>
      </c>
      <c r="J119" s="290" t="str">
        <f t="shared" si="3"/>
        <v/>
      </c>
      <c r="K119" s="290" t="str">
        <f t="shared" si="3"/>
        <v/>
      </c>
      <c r="L119" s="290" t="str">
        <f t="shared" si="3"/>
        <v/>
      </c>
      <c r="M119" s="290" t="str">
        <f t="shared" si="3"/>
        <v/>
      </c>
      <c r="N119" s="290" t="str">
        <f t="shared" si="3"/>
        <v>Warning</v>
      </c>
      <c r="O119" s="290" t="str">
        <f t="shared" si="3"/>
        <v>Warning</v>
      </c>
      <c r="P119" s="290" t="str">
        <f t="shared" si="3"/>
        <v>Warning</v>
      </c>
      <c r="Q119" s="290" t="str">
        <f t="shared" si="3"/>
        <v>Warning</v>
      </c>
      <c r="R119" s="290" t="str">
        <f t="shared" si="3"/>
        <v>Warning</v>
      </c>
      <c r="S119" s="290" t="str">
        <f t="shared" si="3"/>
        <v>Warning</v>
      </c>
      <c r="T119" s="290" t="str">
        <f t="shared" si="3"/>
        <v>Warning</v>
      </c>
      <c r="U119" s="290" t="str">
        <f t="shared" si="3"/>
        <v>Warning</v>
      </c>
      <c r="V119" s="290" t="str">
        <f t="shared" si="3"/>
        <v>Warning</v>
      </c>
      <c r="W119" s="290" t="str">
        <f t="shared" si="3"/>
        <v>Warning</v>
      </c>
      <c r="X119" s="290" t="str">
        <f t="shared" si="3"/>
        <v/>
      </c>
      <c r="Y119" s="290" t="str">
        <f t="shared" si="3"/>
        <v/>
      </c>
      <c r="Z119" s="290" t="str">
        <f t="shared" si="3"/>
        <v/>
      </c>
      <c r="AA119" s="290" t="str">
        <f t="shared" si="3"/>
        <v/>
      </c>
      <c r="AB119" s="290" t="str">
        <f t="shared" si="3"/>
        <v/>
      </c>
      <c r="AC119" s="290" t="str">
        <f t="shared" si="3"/>
        <v/>
      </c>
      <c r="AD119" s="290" t="str">
        <f t="shared" si="3"/>
        <v/>
      </c>
      <c r="AE119" s="290" t="str">
        <f t="shared" si="3"/>
        <v/>
      </c>
      <c r="AF119" s="290" t="str">
        <f t="shared" si="3"/>
        <v/>
      </c>
      <c r="AG119" s="290" t="str">
        <f t="shared" si="3"/>
        <v/>
      </c>
      <c r="AH119" s="290" t="str">
        <f t="shared" si="3"/>
        <v/>
      </c>
      <c r="AI119" s="244"/>
      <c r="AJ119" s="244"/>
      <c r="AK119" s="244"/>
      <c r="AL119" s="244"/>
      <c r="AM119" s="162"/>
      <c r="AN119" s="100" t="b">
        <f t="shared" ref="AN119:AN143" si="4">_xlfn.ISFORMULA(H119)</f>
        <v>1</v>
      </c>
      <c r="AO119" s="102"/>
    </row>
    <row r="120" ht="14.25" customHeight="1" outlineLevel="3">
      <c r="A120" s="363"/>
      <c r="B120" s="357"/>
      <c r="C120" s="369"/>
      <c r="D120" s="271"/>
      <c r="E120" s="287" t="s">
        <v>1009</v>
      </c>
      <c r="F120" s="249" t="s">
        <v>135</v>
      </c>
      <c r="G120" s="249" t="s">
        <v>1010</v>
      </c>
      <c r="H120" s="260">
        <v>3.91757674025907</v>
      </c>
      <c r="I120" s="181">
        <v>3.94907869617822</v>
      </c>
      <c r="J120" s="181">
        <v>4.11587714935855</v>
      </c>
      <c r="K120" s="181">
        <v>4.15855126860513</v>
      </c>
      <c r="L120" s="181">
        <v>4.19035655357902</v>
      </c>
      <c r="M120" s="181">
        <v>4.26302582207041</v>
      </c>
      <c r="N120" s="181">
        <v>4.26492355274767</v>
      </c>
      <c r="O120" s="181">
        <v>4.29451004879392</v>
      </c>
      <c r="P120" s="181">
        <v>4.34028443542513</v>
      </c>
      <c r="Q120" s="181">
        <v>4.2283687439485</v>
      </c>
      <c r="R120" s="181">
        <v>4.32102892259193</v>
      </c>
      <c r="S120" s="181">
        <v>4.40602472197734</v>
      </c>
      <c r="T120" s="181">
        <v>4.49076967771949</v>
      </c>
      <c r="U120" s="181">
        <v>4.55323477611874</v>
      </c>
      <c r="V120" s="181">
        <v>4.60536407938642</v>
      </c>
      <c r="W120" s="371">
        <v>4.6754194397711</v>
      </c>
      <c r="X120" s="181"/>
      <c r="Y120" s="181"/>
      <c r="Z120" s="181"/>
      <c r="AA120" s="181"/>
      <c r="AB120" s="371"/>
      <c r="AC120" s="371"/>
      <c r="AD120" s="371"/>
      <c r="AE120" s="371"/>
      <c r="AF120" s="371"/>
      <c r="AG120" s="371"/>
      <c r="AH120" s="372"/>
      <c r="AI120" s="204"/>
      <c r="AJ120" s="204"/>
      <c r="AK120" s="204"/>
      <c r="AL120" s="204"/>
      <c r="AM120" s="251"/>
      <c r="AN120" s="100" t="b">
        <f t="shared" si="4"/>
        <v>0</v>
      </c>
      <c r="AO120" s="102"/>
    </row>
    <row r="121" ht="14.25" customHeight="1" outlineLevel="3">
      <c r="A121" s="363"/>
      <c r="B121" s="357"/>
      <c r="C121" s="369"/>
      <c r="D121" s="271"/>
      <c r="E121" s="270" t="s">
        <v>1011</v>
      </c>
      <c r="F121" s="249" t="s">
        <v>135</v>
      </c>
      <c r="G121" s="249" t="s">
        <v>1012</v>
      </c>
      <c r="H121" s="260"/>
      <c r="I121" s="181"/>
      <c r="J121" s="181"/>
      <c r="K121" s="181"/>
      <c r="L121" s="181"/>
      <c r="M121" s="181"/>
      <c r="N121" s="181"/>
      <c r="O121" s="181"/>
      <c r="P121" s="181"/>
      <c r="Q121" s="181"/>
      <c r="R121" s="181"/>
      <c r="S121" s="181"/>
      <c r="T121" s="181"/>
      <c r="U121" s="181"/>
      <c r="V121" s="181"/>
      <c r="W121" s="371"/>
      <c r="X121" s="181"/>
      <c r="Y121" s="181"/>
      <c r="Z121" s="181"/>
      <c r="AA121" s="181"/>
      <c r="AB121" s="371"/>
      <c r="AC121" s="371"/>
      <c r="AD121" s="371"/>
      <c r="AE121" s="371"/>
      <c r="AF121" s="371"/>
      <c r="AG121" s="371"/>
      <c r="AH121" s="372"/>
      <c r="AI121" s="204"/>
      <c r="AJ121" s="204"/>
      <c r="AK121" s="204"/>
      <c r="AL121" s="204"/>
      <c r="AM121" s="251"/>
      <c r="AN121" s="100" t="b">
        <f t="shared" si="4"/>
        <v>0</v>
      </c>
      <c r="AO121" s="102"/>
    </row>
    <row r="122" ht="14.25" customHeight="1" outlineLevel="3">
      <c r="A122" s="363"/>
      <c r="B122" s="357"/>
      <c r="C122" s="369"/>
      <c r="D122" s="271"/>
      <c r="E122" s="270" t="s">
        <v>1013</v>
      </c>
      <c r="F122" s="249" t="s">
        <v>135</v>
      </c>
      <c r="G122" s="249" t="s">
        <v>1014</v>
      </c>
      <c r="H122" s="260"/>
      <c r="I122" s="181"/>
      <c r="J122" s="181"/>
      <c r="K122" s="181"/>
      <c r="L122" s="181"/>
      <c r="M122" s="181"/>
      <c r="N122" s="181"/>
      <c r="O122" s="181"/>
      <c r="P122" s="181"/>
      <c r="Q122" s="181"/>
      <c r="R122" s="181"/>
      <c r="S122" s="181"/>
      <c r="T122" s="181"/>
      <c r="U122" s="181"/>
      <c r="V122" s="181"/>
      <c r="W122" s="371"/>
      <c r="X122" s="181"/>
      <c r="Y122" s="181"/>
      <c r="Z122" s="181"/>
      <c r="AA122" s="181"/>
      <c r="AB122" s="371"/>
      <c r="AC122" s="371"/>
      <c r="AD122" s="371"/>
      <c r="AE122" s="371"/>
      <c r="AF122" s="371"/>
      <c r="AG122" s="371"/>
      <c r="AH122" s="372"/>
      <c r="AI122" s="204"/>
      <c r="AJ122" s="204"/>
      <c r="AK122" s="204"/>
      <c r="AL122" s="204"/>
      <c r="AM122" s="251"/>
      <c r="AN122" s="100" t="b">
        <f t="shared" si="4"/>
        <v>0</v>
      </c>
      <c r="AO122" s="102"/>
    </row>
    <row r="123" ht="14.25" customHeight="1" outlineLevel="3">
      <c r="A123" s="363"/>
      <c r="B123" s="357"/>
      <c r="C123" s="369"/>
      <c r="D123" s="271"/>
      <c r="E123" s="270" t="s">
        <v>1015</v>
      </c>
      <c r="F123" s="249" t="s">
        <v>135</v>
      </c>
      <c r="G123" s="249" t="s">
        <v>1016</v>
      </c>
      <c r="H123" s="260">
        <v>1.41839251268665</v>
      </c>
      <c r="I123" s="181">
        <v>1.40263544035686</v>
      </c>
      <c r="J123" s="181">
        <v>1.4034469888291</v>
      </c>
      <c r="K123" s="181">
        <v>1.40282291577248</v>
      </c>
      <c r="L123" s="181">
        <v>1.37912288022704</v>
      </c>
      <c r="M123" s="181">
        <v>1.37746157649271</v>
      </c>
      <c r="N123" s="181">
        <v>1.33382221121276</v>
      </c>
      <c r="O123" s="181">
        <v>1.31319747466789</v>
      </c>
      <c r="P123" s="181">
        <v>1.31686235021473</v>
      </c>
      <c r="Q123" s="181">
        <v>1.25600182622542</v>
      </c>
      <c r="R123" s="181">
        <v>1.2427305323925</v>
      </c>
      <c r="S123" s="181">
        <v>1.24045777817019</v>
      </c>
      <c r="T123" s="181">
        <v>1.22809733563839</v>
      </c>
      <c r="U123" s="181">
        <v>1.21090370578327</v>
      </c>
      <c r="V123" s="181">
        <v>1.19626148984064</v>
      </c>
      <c r="W123" s="371">
        <v>1.18442076467096</v>
      </c>
      <c r="X123" s="181"/>
      <c r="Y123" s="181"/>
      <c r="Z123" s="181"/>
      <c r="AA123" s="181"/>
      <c r="AB123" s="371"/>
      <c r="AC123" s="371"/>
      <c r="AD123" s="371"/>
      <c r="AE123" s="371"/>
      <c r="AF123" s="371"/>
      <c r="AG123" s="371"/>
      <c r="AH123" s="372"/>
      <c r="AI123" s="204"/>
      <c r="AJ123" s="204"/>
      <c r="AK123" s="204"/>
      <c r="AL123" s="204"/>
      <c r="AM123" s="251"/>
      <c r="AN123" s="100" t="b">
        <f t="shared" si="4"/>
        <v>0</v>
      </c>
      <c r="AO123" s="102"/>
    </row>
    <row r="124" ht="14.25" customHeight="1" outlineLevel="3">
      <c r="A124" s="363"/>
      <c r="B124" s="357"/>
      <c r="C124" s="369"/>
      <c r="D124" s="271"/>
      <c r="E124" s="270" t="s">
        <v>1017</v>
      </c>
      <c r="F124" s="249" t="s">
        <v>135</v>
      </c>
      <c r="G124" s="249" t="s">
        <v>1018</v>
      </c>
      <c r="H124" s="260">
        <v>1.77210932692167</v>
      </c>
      <c r="I124" s="181">
        <v>1.79732965277829</v>
      </c>
      <c r="J124" s="181">
        <v>1.82378963003072</v>
      </c>
      <c r="K124" s="181">
        <v>1.85027133503389</v>
      </c>
      <c r="L124" s="181">
        <v>2.26963197098109</v>
      </c>
      <c r="M124" s="181">
        <v>2.29907003215065</v>
      </c>
      <c r="N124" s="181">
        <v>2.01311303600034</v>
      </c>
      <c r="O124" s="181">
        <v>1.96161519304594</v>
      </c>
      <c r="P124" s="181">
        <v>1.92057573590059</v>
      </c>
      <c r="Q124" s="181">
        <v>1.8735801025629</v>
      </c>
      <c r="R124" s="181">
        <v>1.85371430539726</v>
      </c>
      <c r="S124" s="181">
        <v>1.8892875929325</v>
      </c>
      <c r="T124" s="181">
        <v>1.92705462352438</v>
      </c>
      <c r="U124" s="181">
        <v>1.95417600836791</v>
      </c>
      <c r="V124" s="181">
        <v>1.96951383411263</v>
      </c>
      <c r="W124" s="371">
        <v>1.98868710402563</v>
      </c>
      <c r="X124" s="181"/>
      <c r="Y124" s="181"/>
      <c r="Z124" s="181"/>
      <c r="AA124" s="181"/>
      <c r="AB124" s="371"/>
      <c r="AC124" s="371"/>
      <c r="AD124" s="371"/>
      <c r="AE124" s="371"/>
      <c r="AF124" s="371"/>
      <c r="AG124" s="371"/>
      <c r="AH124" s="372"/>
      <c r="AI124" s="204"/>
      <c r="AJ124" s="204"/>
      <c r="AK124" s="204"/>
      <c r="AL124" s="204"/>
      <c r="AM124" s="251"/>
      <c r="AN124" s="100" t="b">
        <f t="shared" si="4"/>
        <v>0</v>
      </c>
      <c r="AO124" s="102"/>
    </row>
    <row r="125" ht="14.25" customHeight="1" outlineLevel="3">
      <c r="A125" s="363"/>
      <c r="B125" s="357"/>
      <c r="C125" s="369"/>
      <c r="D125" s="271"/>
      <c r="E125" s="270" t="s">
        <v>1019</v>
      </c>
      <c r="F125" s="249" t="s">
        <v>135</v>
      </c>
      <c r="G125" s="249" t="s">
        <v>1020</v>
      </c>
      <c r="H125" s="260">
        <v>0.651660336599985</v>
      </c>
      <c r="I125" s="181">
        <v>0.679014203707882</v>
      </c>
      <c r="J125" s="181">
        <v>0.819686995487644</v>
      </c>
      <c r="K125" s="181">
        <v>0.840766900988463</v>
      </c>
      <c r="L125" s="181">
        <v>0.479077218204523</v>
      </c>
      <c r="M125" s="181">
        <v>0.526688275325825</v>
      </c>
      <c r="N125" s="181">
        <v>0.856578753930432</v>
      </c>
      <c r="O125" s="181">
        <v>0.941106453613316</v>
      </c>
      <c r="P125" s="181">
        <v>1.01156175017784</v>
      </c>
      <c r="Q125" s="181">
        <v>0.999186121609297</v>
      </c>
      <c r="R125" s="181">
        <v>1.1298634492531</v>
      </c>
      <c r="S125" s="181">
        <v>1.1459566205953</v>
      </c>
      <c r="T125" s="181">
        <v>1.267607259372</v>
      </c>
      <c r="U125" s="181">
        <v>1.300578293478</v>
      </c>
      <c r="V125" s="181">
        <v>1.34465627930731</v>
      </c>
      <c r="W125" s="371">
        <v>1.40535875045476</v>
      </c>
      <c r="X125" s="181"/>
      <c r="Y125" s="181"/>
      <c r="Z125" s="181"/>
      <c r="AA125" s="181"/>
      <c r="AB125" s="371"/>
      <c r="AC125" s="371"/>
      <c r="AD125" s="371"/>
      <c r="AE125" s="371"/>
      <c r="AF125" s="371"/>
      <c r="AG125" s="371"/>
      <c r="AH125" s="372"/>
      <c r="AI125" s="204"/>
      <c r="AJ125" s="204"/>
      <c r="AK125" s="204"/>
      <c r="AL125" s="204"/>
      <c r="AM125" s="251"/>
      <c r="AN125" s="100" t="b">
        <f t="shared" si="4"/>
        <v>0</v>
      </c>
      <c r="AO125" s="102"/>
    </row>
    <row r="126" ht="14.25" customHeight="1" outlineLevel="3">
      <c r="A126" s="363"/>
      <c r="B126" s="357"/>
      <c r="C126" s="369"/>
      <c r="D126" s="271"/>
      <c r="E126" s="270" t="s">
        <v>1021</v>
      </c>
      <c r="F126" s="249" t="s">
        <v>135</v>
      </c>
      <c r="G126" s="249" t="s">
        <v>1022</v>
      </c>
      <c r="H126" s="260">
        <v>0.0690256676706871</v>
      </c>
      <c r="I126" s="181">
        <v>0.0679397083351864</v>
      </c>
      <c r="J126" s="181">
        <v>0.0666275350110838</v>
      </c>
      <c r="K126" s="181">
        <v>0.0612011168102996</v>
      </c>
      <c r="L126" s="181">
        <v>0.05890115766637</v>
      </c>
      <c r="M126" s="181">
        <v>0.056194845374993</v>
      </c>
      <c r="N126" s="181">
        <v>0.0567574353041208</v>
      </c>
      <c r="O126" s="181">
        <v>0.0727745318667751</v>
      </c>
      <c r="P126" s="181">
        <v>0.0828897162319788</v>
      </c>
      <c r="Q126" s="181">
        <v>0.0821525534508792</v>
      </c>
      <c r="R126" s="181">
        <v>0.084442857771301</v>
      </c>
      <c r="S126" s="181">
        <v>0.117822765057122</v>
      </c>
      <c r="T126" s="181">
        <v>0.0585608967492332</v>
      </c>
      <c r="U126" s="181">
        <v>0.0786882258991845</v>
      </c>
      <c r="V126" s="181">
        <v>0.0854880609399722</v>
      </c>
      <c r="W126" s="371">
        <v>0.0869530005947938</v>
      </c>
      <c r="X126" s="181"/>
      <c r="Y126" s="181"/>
      <c r="Z126" s="181"/>
      <c r="AA126" s="181"/>
      <c r="AB126" s="371"/>
      <c r="AC126" s="371"/>
      <c r="AD126" s="371"/>
      <c r="AE126" s="371"/>
      <c r="AF126" s="371"/>
      <c r="AG126" s="371"/>
      <c r="AH126" s="372"/>
      <c r="AI126" s="204"/>
      <c r="AJ126" s="204"/>
      <c r="AK126" s="204"/>
      <c r="AL126" s="204"/>
      <c r="AM126" s="251"/>
      <c r="AN126" s="100" t="b">
        <f t="shared" si="4"/>
        <v>0</v>
      </c>
      <c r="AO126" s="102"/>
    </row>
    <row r="127" ht="14.25" customHeight="1" outlineLevel="3">
      <c r="A127" s="363"/>
      <c r="B127" s="357"/>
      <c r="C127" s="369"/>
      <c r="D127" s="271"/>
      <c r="E127" s="270" t="s">
        <v>1023</v>
      </c>
      <c r="F127" s="249" t="s">
        <v>135</v>
      </c>
      <c r="G127" s="249" t="s">
        <v>1024</v>
      </c>
      <c r="H127" s="260"/>
      <c r="I127" s="181"/>
      <c r="J127" s="181"/>
      <c r="K127" s="181"/>
      <c r="L127" s="181"/>
      <c r="M127" s="181"/>
      <c r="N127" s="181"/>
      <c r="O127" s="181"/>
      <c r="P127" s="181"/>
      <c r="Q127" s="181"/>
      <c r="R127" s="181"/>
      <c r="S127" s="181"/>
      <c r="T127" s="181"/>
      <c r="U127" s="181"/>
      <c r="V127" s="181"/>
      <c r="W127" s="371"/>
      <c r="X127" s="181"/>
      <c r="Y127" s="181"/>
      <c r="Z127" s="181"/>
      <c r="AA127" s="181"/>
      <c r="AB127" s="371"/>
      <c r="AC127" s="371"/>
      <c r="AD127" s="371"/>
      <c r="AE127" s="371"/>
      <c r="AF127" s="371"/>
      <c r="AG127" s="371"/>
      <c r="AH127" s="372"/>
      <c r="AI127" s="204"/>
      <c r="AJ127" s="204"/>
      <c r="AK127" s="204"/>
      <c r="AL127" s="204"/>
      <c r="AM127" s="251"/>
      <c r="AN127" s="100" t="b">
        <f t="shared" si="4"/>
        <v>0</v>
      </c>
      <c r="AO127" s="102"/>
    </row>
    <row r="128" ht="14.25" customHeight="1" outlineLevel="3">
      <c r="A128" s="363"/>
      <c r="B128" s="357"/>
      <c r="C128" s="369"/>
      <c r="D128" s="271"/>
      <c r="E128" s="122" t="s">
        <v>1025</v>
      </c>
      <c r="F128" s="123" t="s">
        <v>135</v>
      </c>
      <c r="G128" s="292" t="s">
        <v>1026</v>
      </c>
      <c r="H128" s="260">
        <v>0.00638889638007116</v>
      </c>
      <c r="I128" s="181">
        <v>0.002159691</v>
      </c>
      <c r="J128" s="181">
        <v>0.002326</v>
      </c>
      <c r="K128" s="181">
        <v>0.003489</v>
      </c>
      <c r="L128" s="181">
        <v>0.0036233265</v>
      </c>
      <c r="M128" s="181">
        <v>0.00361109272624585</v>
      </c>
      <c r="N128" s="181">
        <v>0.0046521163</v>
      </c>
      <c r="O128" s="181">
        <v>0.0058163956</v>
      </c>
      <c r="P128" s="181">
        <v>0.0083948829</v>
      </c>
      <c r="Q128" s="181">
        <v>0.0174481401</v>
      </c>
      <c r="R128" s="181">
        <v>0.0102777777777778</v>
      </c>
      <c r="S128" s="181">
        <v>0.0124999652222244</v>
      </c>
      <c r="T128" s="181">
        <v>0.00944956243549283</v>
      </c>
      <c r="U128" s="181">
        <v>0.00888854259037402</v>
      </c>
      <c r="V128" s="181">
        <v>0.00944441518585362</v>
      </c>
      <c r="W128" s="371">
        <v>0.00999982002496712</v>
      </c>
      <c r="X128" s="181"/>
      <c r="Y128" s="181"/>
      <c r="Z128" s="181"/>
      <c r="AA128" s="181"/>
      <c r="AB128" s="371"/>
      <c r="AC128" s="371"/>
      <c r="AD128" s="371"/>
      <c r="AE128" s="371"/>
      <c r="AF128" s="371"/>
      <c r="AG128" s="371"/>
      <c r="AH128" s="372"/>
      <c r="AI128" s="204"/>
      <c r="AJ128" s="204"/>
      <c r="AK128" s="204"/>
      <c r="AL128" s="204"/>
      <c r="AM128" s="251"/>
      <c r="AN128" s="100" t="b">
        <f t="shared" si="4"/>
        <v>0</v>
      </c>
      <c r="AO128" s="102"/>
    </row>
    <row r="129" ht="14.25" customHeight="1" outlineLevel="1">
      <c r="A129" s="363"/>
      <c r="B129" s="331" t="s">
        <v>486</v>
      </c>
      <c r="C129" s="331"/>
      <c r="D129" s="271"/>
      <c r="E129" s="162"/>
      <c r="F129" s="162"/>
      <c r="G129" s="162"/>
      <c r="H129" s="178"/>
      <c r="I129" s="178"/>
      <c r="J129" s="178"/>
      <c r="K129" s="178"/>
      <c r="L129" s="178"/>
      <c r="M129" s="178"/>
      <c r="N129" s="178"/>
      <c r="O129" s="178"/>
      <c r="P129" s="178"/>
      <c r="Q129" s="178"/>
      <c r="R129" s="178"/>
      <c r="S129" s="178"/>
      <c r="T129" s="178"/>
      <c r="U129" s="178"/>
      <c r="V129" s="178"/>
      <c r="W129" s="178"/>
      <c r="X129" s="178"/>
      <c r="Y129" s="178"/>
      <c r="Z129" s="178"/>
      <c r="AA129" s="178"/>
      <c r="AB129" s="178"/>
      <c r="AC129" s="178"/>
      <c r="AD129" s="178"/>
      <c r="AE129" s="178"/>
      <c r="AF129" s="178"/>
      <c r="AG129" s="178"/>
      <c r="AH129" s="178"/>
      <c r="AI129" s="244"/>
      <c r="AJ129" s="244"/>
      <c r="AK129" s="244"/>
      <c r="AL129" s="244"/>
      <c r="AM129" s="162"/>
      <c r="AN129" s="100" t="b">
        <f t="shared" si="4"/>
        <v>0</v>
      </c>
      <c r="AO129" s="102"/>
    </row>
    <row r="130" ht="14.25" customHeight="1" outlineLevel="1">
      <c r="A130" s="247"/>
      <c r="B130" s="373" t="s">
        <v>1027</v>
      </c>
      <c r="C130" s="246"/>
      <c r="D130" s="201"/>
      <c r="E130" s="162"/>
      <c r="F130" s="162"/>
      <c r="G130" s="162"/>
      <c r="H130" s="178"/>
      <c r="I130" s="178"/>
      <c r="J130" s="178"/>
      <c r="K130" s="178"/>
      <c r="L130" s="178"/>
      <c r="M130" s="178"/>
      <c r="N130" s="178"/>
      <c r="O130" s="178"/>
      <c r="P130" s="178"/>
      <c r="Q130" s="178"/>
      <c r="R130" s="178"/>
      <c r="S130" s="178"/>
      <c r="T130" s="178"/>
      <c r="U130" s="178"/>
      <c r="V130" s="178"/>
      <c r="W130" s="178"/>
      <c r="X130" s="178"/>
      <c r="Y130" s="178"/>
      <c r="Z130" s="178"/>
      <c r="AA130" s="178"/>
      <c r="AB130" s="178"/>
      <c r="AC130" s="178"/>
      <c r="AD130" s="178"/>
      <c r="AE130" s="178"/>
      <c r="AF130" s="178"/>
      <c r="AG130" s="178"/>
      <c r="AH130" s="178"/>
      <c r="AI130" s="244"/>
      <c r="AJ130" s="244"/>
      <c r="AK130" s="244"/>
      <c r="AL130" s="244"/>
      <c r="AM130" s="162"/>
      <c r="AN130" s="100" t="b">
        <f t="shared" si="4"/>
        <v>0</v>
      </c>
      <c r="AO130" s="102"/>
    </row>
    <row r="131" ht="14.25" customHeight="1" outlineLevel="2">
      <c r="A131" s="363"/>
      <c r="B131" s="357"/>
      <c r="C131" s="331" t="s">
        <v>428</v>
      </c>
      <c r="D131" s="271"/>
      <c r="E131" s="162"/>
      <c r="F131" s="162"/>
      <c r="G131" s="162"/>
      <c r="H131" s="178"/>
      <c r="I131" s="178"/>
      <c r="J131" s="178"/>
      <c r="K131" s="178"/>
      <c r="L131" s="178"/>
      <c r="M131" s="178"/>
      <c r="N131" s="178"/>
      <c r="O131" s="178"/>
      <c r="P131" s="178"/>
      <c r="Q131" s="178"/>
      <c r="R131" s="178"/>
      <c r="S131" s="178"/>
      <c r="T131" s="178"/>
      <c r="U131" s="178"/>
      <c r="V131" s="178"/>
      <c r="W131" s="178"/>
      <c r="X131" s="178"/>
      <c r="Y131" s="178"/>
      <c r="Z131" s="178"/>
      <c r="AA131" s="178"/>
      <c r="AB131" s="178"/>
      <c r="AC131" s="178"/>
      <c r="AD131" s="178"/>
      <c r="AE131" s="178"/>
      <c r="AF131" s="178"/>
      <c r="AG131" s="178"/>
      <c r="AH131" s="178"/>
      <c r="AI131" s="244"/>
      <c r="AJ131" s="244"/>
      <c r="AK131" s="244"/>
      <c r="AL131" s="244"/>
      <c r="AM131" s="162"/>
      <c r="AN131" s="100" t="b">
        <f t="shared" si="4"/>
        <v>0</v>
      </c>
      <c r="AO131" s="102"/>
    </row>
    <row r="132" ht="14.25" customHeight="1" outlineLevel="3">
      <c r="A132" s="363"/>
      <c r="B132" s="357"/>
      <c r="C132" s="357"/>
      <c r="D132" s="271"/>
      <c r="E132" s="252" t="s">
        <v>1028</v>
      </c>
      <c r="F132" s="123" t="s">
        <v>432</v>
      </c>
      <c r="G132" s="123" t="s">
        <v>1029</v>
      </c>
      <c r="H132" s="260"/>
      <c r="I132" s="181"/>
      <c r="J132" s="181"/>
      <c r="K132" s="181"/>
      <c r="L132" s="181"/>
      <c r="M132" s="181"/>
      <c r="N132" s="181"/>
      <c r="O132" s="181"/>
      <c r="P132" s="181"/>
      <c r="Q132" s="181"/>
      <c r="R132" s="181"/>
      <c r="S132" s="181"/>
      <c r="T132" s="181"/>
      <c r="U132" s="181"/>
      <c r="V132" s="181"/>
      <c r="W132" s="182"/>
      <c r="X132" s="181"/>
      <c r="Y132" s="181"/>
      <c r="Z132" s="181"/>
      <c r="AA132" s="181"/>
      <c r="AB132" s="182"/>
      <c r="AC132" s="182"/>
      <c r="AD132" s="182"/>
      <c r="AE132" s="182"/>
      <c r="AF132" s="182"/>
      <c r="AG132" s="182"/>
      <c r="AH132" s="184"/>
      <c r="AI132" s="204"/>
      <c r="AJ132" s="204"/>
      <c r="AK132" s="204"/>
      <c r="AL132" s="204"/>
      <c r="AM132" s="251"/>
      <c r="AN132" s="100" t="b">
        <f t="shared" si="4"/>
        <v>0</v>
      </c>
      <c r="AO132" s="102"/>
    </row>
    <row r="133" ht="13.5" customHeight="1" outlineLevel="2">
      <c r="A133" s="363"/>
      <c r="B133" s="357"/>
      <c r="C133" s="331" t="s">
        <v>496</v>
      </c>
      <c r="D133" s="271"/>
      <c r="E133" s="162"/>
      <c r="F133" s="162"/>
      <c r="G133" s="162"/>
      <c r="H133" s="178"/>
      <c r="I133" s="178"/>
      <c r="J133" s="178"/>
      <c r="K133" s="178"/>
      <c r="L133" s="178"/>
      <c r="M133" s="178"/>
      <c r="N133" s="178"/>
      <c r="O133" s="178"/>
      <c r="P133" s="178"/>
      <c r="Q133" s="178"/>
      <c r="R133" s="178"/>
      <c r="S133" s="178"/>
      <c r="T133" s="178"/>
      <c r="U133" s="178"/>
      <c r="V133" s="178"/>
      <c r="W133" s="178"/>
      <c r="X133" s="178"/>
      <c r="Y133" s="178"/>
      <c r="Z133" s="178"/>
      <c r="AA133" s="178"/>
      <c r="AB133" s="178"/>
      <c r="AC133" s="178"/>
      <c r="AD133" s="178"/>
      <c r="AE133" s="178"/>
      <c r="AF133" s="178"/>
      <c r="AG133" s="178"/>
      <c r="AH133" s="178"/>
      <c r="AI133" s="244"/>
      <c r="AJ133" s="244"/>
      <c r="AK133" s="244"/>
      <c r="AL133" s="244"/>
      <c r="AM133" s="162"/>
      <c r="AN133" s="100" t="b">
        <f t="shared" si="4"/>
        <v>0</v>
      </c>
      <c r="AO133" s="102"/>
    </row>
    <row r="134" ht="13.5" customHeight="1" outlineLevel="3">
      <c r="A134" s="363"/>
      <c r="B134" s="357"/>
      <c r="C134" s="369"/>
      <c r="D134" s="271"/>
      <c r="E134" s="278" t="s">
        <v>1030</v>
      </c>
      <c r="F134" s="123" t="s">
        <v>261</v>
      </c>
      <c r="G134" s="123" t="s">
        <v>1031</v>
      </c>
      <c r="H134" s="253">
        <v>0.531793204255744</v>
      </c>
      <c r="I134" s="254">
        <v>0.532279262482793</v>
      </c>
      <c r="J134" s="254">
        <v>0.548817974219457</v>
      </c>
      <c r="K134" s="254">
        <v>0.557441270981201</v>
      </c>
      <c r="L134" s="254">
        <v>0.560549026561759</v>
      </c>
      <c r="M134" s="254">
        <v>0.568092396574218</v>
      </c>
      <c r="N134" s="254">
        <v>0.578786700685655</v>
      </c>
      <c r="O134" s="254">
        <v>0.595128012225817</v>
      </c>
      <c r="P134" s="254">
        <v>0.591044701825474</v>
      </c>
      <c r="Q134" s="254">
        <v>0.588739134229124</v>
      </c>
      <c r="R134" s="254">
        <v>0.578543839996962</v>
      </c>
      <c r="S134" s="254">
        <v>0.601986047007607</v>
      </c>
      <c r="T134" s="254">
        <v>0.612353583270758</v>
      </c>
      <c r="U134" s="254">
        <v>0.614021699696814</v>
      </c>
      <c r="V134" s="254">
        <v>0.619349917471535</v>
      </c>
      <c r="W134" s="364">
        <v>0.625250017268306</v>
      </c>
      <c r="X134" s="254"/>
      <c r="Y134" s="254"/>
      <c r="Z134" s="254"/>
      <c r="AA134" s="254"/>
      <c r="AB134" s="364"/>
      <c r="AC134" s="364"/>
      <c r="AD134" s="364"/>
      <c r="AE134" s="364"/>
      <c r="AF134" s="364"/>
      <c r="AG134" s="364"/>
      <c r="AH134" s="364"/>
      <c r="AI134" s="204"/>
      <c r="AJ134" s="204"/>
      <c r="AK134" s="204"/>
      <c r="AL134" s="204"/>
      <c r="AM134" s="251"/>
      <c r="AN134" s="100" t="b">
        <f t="shared" si="4"/>
        <v>0</v>
      </c>
      <c r="AO134" s="102"/>
    </row>
    <row r="135" ht="14.25" customHeight="1" outlineLevel="2">
      <c r="A135" s="363"/>
      <c r="B135" s="357"/>
      <c r="C135" s="331" t="str">
        <f>IF(COUNTIF(H135:AH135,"warning")&gt;0,"\-&gt; FEC for cooking per final energy carrier &gt;&gt; WARNING: For some years, Total FEC ≠ ∑ FEC by final energy carrier!","\-&gt; FEC for cooking per final energy carrier")</f>
        <v>\-&gt; FEC for cooking per final energy carrier</v>
      </c>
      <c r="D135" s="271"/>
      <c r="E135" s="162"/>
      <c r="F135" s="162"/>
      <c r="G135" s="162"/>
      <c r="H135" s="290" t="str">
        <f t="shared" ref="H135:AH135" si="5">IF(OR(ISBLANK(H136),COUNTA(H137:H141)=0),"",IF(ABS(H136-SUM(H137:H141))/H136&lt;10^-3,"","Warning"))</f>
        <v/>
      </c>
      <c r="I135" s="290" t="str">
        <f t="shared" si="5"/>
        <v/>
      </c>
      <c r="J135" s="290" t="str">
        <f t="shared" si="5"/>
        <v/>
      </c>
      <c r="K135" s="290" t="str">
        <f t="shared" si="5"/>
        <v/>
      </c>
      <c r="L135" s="290" t="str">
        <f t="shared" si="5"/>
        <v/>
      </c>
      <c r="M135" s="290" t="str">
        <f t="shared" si="5"/>
        <v/>
      </c>
      <c r="N135" s="290" t="str">
        <f t="shared" si="5"/>
        <v/>
      </c>
      <c r="O135" s="290" t="str">
        <f t="shared" si="5"/>
        <v/>
      </c>
      <c r="P135" s="290" t="str">
        <f t="shared" si="5"/>
        <v/>
      </c>
      <c r="Q135" s="290" t="str">
        <f t="shared" si="5"/>
        <v/>
      </c>
      <c r="R135" s="290" t="str">
        <f t="shared" si="5"/>
        <v/>
      </c>
      <c r="S135" s="290" t="str">
        <f t="shared" si="5"/>
        <v/>
      </c>
      <c r="T135" s="290" t="str">
        <f t="shared" si="5"/>
        <v/>
      </c>
      <c r="U135" s="290" t="str">
        <f t="shared" si="5"/>
        <v/>
      </c>
      <c r="V135" s="290" t="str">
        <f t="shared" si="5"/>
        <v/>
      </c>
      <c r="W135" s="290" t="str">
        <f t="shared" si="5"/>
        <v/>
      </c>
      <c r="X135" s="290" t="str">
        <f t="shared" si="5"/>
        <v/>
      </c>
      <c r="Y135" s="290" t="str">
        <f t="shared" si="5"/>
        <v/>
      </c>
      <c r="Z135" s="290" t="str">
        <f t="shared" si="5"/>
        <v/>
      </c>
      <c r="AA135" s="290" t="str">
        <f t="shared" si="5"/>
        <v/>
      </c>
      <c r="AB135" s="290" t="str">
        <f t="shared" si="5"/>
        <v/>
      </c>
      <c r="AC135" s="290" t="str">
        <f t="shared" si="5"/>
        <v/>
      </c>
      <c r="AD135" s="290" t="str">
        <f t="shared" si="5"/>
        <v/>
      </c>
      <c r="AE135" s="290" t="str">
        <f t="shared" si="5"/>
        <v/>
      </c>
      <c r="AF135" s="290" t="str">
        <f t="shared" si="5"/>
        <v/>
      </c>
      <c r="AG135" s="290" t="str">
        <f t="shared" si="5"/>
        <v/>
      </c>
      <c r="AH135" s="290" t="str">
        <f t="shared" si="5"/>
        <v/>
      </c>
      <c r="AI135" s="244"/>
      <c r="AJ135" s="244"/>
      <c r="AK135" s="244"/>
      <c r="AL135" s="244"/>
      <c r="AM135" s="162"/>
      <c r="AN135" s="100" t="b">
        <f t="shared" si="4"/>
        <v>1</v>
      </c>
      <c r="AO135" s="102"/>
    </row>
    <row r="136" ht="14.25" customHeight="1" outlineLevel="3">
      <c r="A136" s="374"/>
      <c r="B136" s="357"/>
      <c r="C136" s="369"/>
      <c r="D136" s="271"/>
      <c r="E136" s="287" t="s">
        <v>1032</v>
      </c>
      <c r="F136" s="249" t="s">
        <v>135</v>
      </c>
      <c r="G136" s="249" t="s">
        <v>1033</v>
      </c>
      <c r="H136" s="260">
        <v>3.71174793833244</v>
      </c>
      <c r="I136" s="181">
        <v>3.75237726405189</v>
      </c>
      <c r="J136" s="181">
        <v>3.85443202041592</v>
      </c>
      <c r="K136" s="181">
        <v>3.85407669953861</v>
      </c>
      <c r="L136" s="181">
        <v>3.94722679493011</v>
      </c>
      <c r="M136" s="181">
        <v>3.9742292166706</v>
      </c>
      <c r="N136" s="181">
        <v>3.97508392701058</v>
      </c>
      <c r="O136" s="181">
        <v>4.02882588997996</v>
      </c>
      <c r="P136" s="181">
        <v>4.12237378371218</v>
      </c>
      <c r="Q136" s="181">
        <v>4.11970244183296</v>
      </c>
      <c r="R136" s="181">
        <v>4.30813545997332</v>
      </c>
      <c r="S136" s="181">
        <v>4.25728242566019</v>
      </c>
      <c r="T136" s="181">
        <v>4.25659135865057</v>
      </c>
      <c r="U136" s="181">
        <v>4.29628660205613</v>
      </c>
      <c r="V136" s="181">
        <v>4.38002774595282</v>
      </c>
      <c r="W136" s="182">
        <v>4.43440964482509</v>
      </c>
      <c r="X136" s="181"/>
      <c r="Y136" s="181"/>
      <c r="Z136" s="181"/>
      <c r="AA136" s="181"/>
      <c r="AB136" s="182"/>
      <c r="AC136" s="182"/>
      <c r="AD136" s="182"/>
      <c r="AE136" s="182"/>
      <c r="AF136" s="182"/>
      <c r="AG136" s="182"/>
      <c r="AH136" s="184"/>
      <c r="AI136" s="204"/>
      <c r="AJ136" s="204"/>
      <c r="AK136" s="204"/>
      <c r="AL136" s="204"/>
      <c r="AM136" s="251"/>
      <c r="AN136" s="100" t="b">
        <f t="shared" si="4"/>
        <v>0</v>
      </c>
      <c r="AO136" s="102"/>
    </row>
    <row r="137" ht="14.25" customHeight="1" outlineLevel="3">
      <c r="A137" s="374"/>
      <c r="B137" s="357"/>
      <c r="C137" s="369"/>
      <c r="D137" s="271"/>
      <c r="E137" s="270" t="s">
        <v>1034</v>
      </c>
      <c r="F137" s="249" t="s">
        <v>135</v>
      </c>
      <c r="G137" s="249" t="s">
        <v>1035</v>
      </c>
      <c r="H137" s="260"/>
      <c r="I137" s="181"/>
      <c r="J137" s="181"/>
      <c r="K137" s="181"/>
      <c r="L137" s="181"/>
      <c r="M137" s="181"/>
      <c r="N137" s="181"/>
      <c r="O137" s="181"/>
      <c r="P137" s="181"/>
      <c r="Q137" s="181"/>
      <c r="R137" s="181"/>
      <c r="S137" s="181"/>
      <c r="T137" s="181"/>
      <c r="U137" s="181"/>
      <c r="V137" s="181"/>
      <c r="W137" s="182"/>
      <c r="X137" s="181"/>
      <c r="Y137" s="181"/>
      <c r="Z137" s="181"/>
      <c r="AA137" s="181"/>
      <c r="AB137" s="182"/>
      <c r="AC137" s="182"/>
      <c r="AD137" s="182"/>
      <c r="AE137" s="182"/>
      <c r="AF137" s="182"/>
      <c r="AG137" s="182"/>
      <c r="AH137" s="184"/>
      <c r="AI137" s="204"/>
      <c r="AJ137" s="204"/>
      <c r="AK137" s="204"/>
      <c r="AL137" s="204"/>
      <c r="AM137" s="251"/>
      <c r="AN137" s="100" t="b">
        <f t="shared" si="4"/>
        <v>0</v>
      </c>
      <c r="AO137" s="102"/>
    </row>
    <row r="138" ht="14.25" customHeight="1" outlineLevel="3">
      <c r="A138" s="374"/>
      <c r="B138" s="357"/>
      <c r="C138" s="369"/>
      <c r="D138" s="271"/>
      <c r="E138" s="270" t="s">
        <v>1036</v>
      </c>
      <c r="F138" s="249" t="s">
        <v>135</v>
      </c>
      <c r="G138" s="249" t="s">
        <v>1037</v>
      </c>
      <c r="H138" s="260">
        <v>0.0</v>
      </c>
      <c r="I138" s="181">
        <v>0.0</v>
      </c>
      <c r="J138" s="181">
        <v>0.0</v>
      </c>
      <c r="K138" s="181">
        <v>0.0</v>
      </c>
      <c r="L138" s="181">
        <v>0.0</v>
      </c>
      <c r="M138" s="181">
        <v>0.0</v>
      </c>
      <c r="N138" s="181">
        <v>0.0</v>
      </c>
      <c r="O138" s="181">
        <v>0.0</v>
      </c>
      <c r="P138" s="181">
        <v>0.0082528806</v>
      </c>
      <c r="Q138" s="181">
        <v>0.0081425119</v>
      </c>
      <c r="R138" s="181">
        <v>0.00808618936642818</v>
      </c>
      <c r="S138" s="181">
        <v>0.00808615872964637</v>
      </c>
      <c r="T138" s="181">
        <v>0.00809029731742624</v>
      </c>
      <c r="U138" s="181">
        <v>0.00808578025536749</v>
      </c>
      <c r="V138" s="181">
        <v>0.00808616646863592</v>
      </c>
      <c r="W138" s="182">
        <v>0.00808618058747297</v>
      </c>
      <c r="X138" s="181"/>
      <c r="Y138" s="181"/>
      <c r="Z138" s="181"/>
      <c r="AA138" s="181"/>
      <c r="AB138" s="182"/>
      <c r="AC138" s="182"/>
      <c r="AD138" s="182"/>
      <c r="AE138" s="182"/>
      <c r="AF138" s="182"/>
      <c r="AG138" s="182"/>
      <c r="AH138" s="184"/>
      <c r="AI138" s="204"/>
      <c r="AJ138" s="204"/>
      <c r="AK138" s="204"/>
      <c r="AL138" s="204"/>
      <c r="AM138" s="251"/>
      <c r="AN138" s="100" t="b">
        <f t="shared" si="4"/>
        <v>0</v>
      </c>
      <c r="AO138" s="102"/>
    </row>
    <row r="139" ht="14.25" customHeight="1" outlineLevel="3">
      <c r="A139" s="374"/>
      <c r="B139" s="357"/>
      <c r="C139" s="369"/>
      <c r="D139" s="271"/>
      <c r="E139" s="270" t="s">
        <v>1038</v>
      </c>
      <c r="F139" s="249" t="s">
        <v>135</v>
      </c>
      <c r="G139" s="249" t="s">
        <v>1039</v>
      </c>
      <c r="H139" s="260">
        <v>0.742491025106857</v>
      </c>
      <c r="I139" s="181">
        <v>0.72735380280945</v>
      </c>
      <c r="J139" s="181">
        <v>0.533831513716144</v>
      </c>
      <c r="K139" s="181">
        <v>0.381931481224041</v>
      </c>
      <c r="L139" s="181">
        <v>0.395837003612101</v>
      </c>
      <c r="M139" s="181">
        <v>0.331753406907853</v>
      </c>
      <c r="N139" s="181">
        <v>0.242285173141189</v>
      </c>
      <c r="O139" s="181">
        <v>0.287959438792474</v>
      </c>
      <c r="P139" s="181">
        <v>0.533787675234136</v>
      </c>
      <c r="Q139" s="181">
        <v>0.650174958864615</v>
      </c>
      <c r="R139" s="181">
        <v>0.967044452014637</v>
      </c>
      <c r="S139" s="181">
        <v>0.54448042927445</v>
      </c>
      <c r="T139" s="181">
        <v>0.351154414102471</v>
      </c>
      <c r="U139" s="181">
        <v>0.334023986482184</v>
      </c>
      <c r="V139" s="181">
        <v>0.421717241109592</v>
      </c>
      <c r="W139" s="182">
        <v>0.393499326239474</v>
      </c>
      <c r="X139" s="181"/>
      <c r="Y139" s="181"/>
      <c r="Z139" s="181"/>
      <c r="AA139" s="181"/>
      <c r="AB139" s="182"/>
      <c r="AC139" s="182"/>
      <c r="AD139" s="182"/>
      <c r="AE139" s="182"/>
      <c r="AF139" s="182"/>
      <c r="AG139" s="182"/>
      <c r="AH139" s="184"/>
      <c r="AI139" s="204"/>
      <c r="AJ139" s="204"/>
      <c r="AK139" s="204"/>
      <c r="AL139" s="204"/>
      <c r="AM139" s="251"/>
      <c r="AN139" s="100" t="b">
        <f t="shared" si="4"/>
        <v>0</v>
      </c>
      <c r="AO139" s="102"/>
    </row>
    <row r="140" ht="14.25" customHeight="1" outlineLevel="3">
      <c r="A140" s="374"/>
      <c r="B140" s="357"/>
      <c r="C140" s="369"/>
      <c r="D140" s="271"/>
      <c r="E140" s="270" t="s">
        <v>1040</v>
      </c>
      <c r="F140" s="249" t="s">
        <v>135</v>
      </c>
      <c r="G140" s="249" t="s">
        <v>1041</v>
      </c>
      <c r="H140" s="260">
        <v>2.15453624536672</v>
      </c>
      <c r="I140" s="181">
        <v>2.23157684036369</v>
      </c>
      <c r="J140" s="181">
        <v>2.27235854897059</v>
      </c>
      <c r="K140" s="181">
        <v>2.33125269978785</v>
      </c>
      <c r="L140" s="181">
        <v>2.37807637438407</v>
      </c>
      <c r="M140" s="181">
        <v>2.3781237472688</v>
      </c>
      <c r="N140" s="181">
        <v>2.33526607038064</v>
      </c>
      <c r="O140" s="181">
        <v>2.06868384183213</v>
      </c>
      <c r="P140" s="181">
        <v>1.98984903485276</v>
      </c>
      <c r="Q140" s="181">
        <v>1.98281820921722</v>
      </c>
      <c r="R140" s="181">
        <v>2.06942608735137</v>
      </c>
      <c r="S140" s="181">
        <v>2.07959815674843</v>
      </c>
      <c r="T140" s="181">
        <v>2.15108044782138</v>
      </c>
      <c r="U140" s="181">
        <v>2.20305623169216</v>
      </c>
      <c r="V140" s="181">
        <v>2.17976312368745</v>
      </c>
      <c r="W140" s="182">
        <v>2.18553126523316</v>
      </c>
      <c r="X140" s="181"/>
      <c r="Y140" s="181"/>
      <c r="Z140" s="181"/>
      <c r="AA140" s="181"/>
      <c r="AB140" s="182"/>
      <c r="AC140" s="182"/>
      <c r="AD140" s="182"/>
      <c r="AE140" s="182"/>
      <c r="AF140" s="182"/>
      <c r="AG140" s="182"/>
      <c r="AH140" s="184"/>
      <c r="AI140" s="204"/>
      <c r="AJ140" s="204"/>
      <c r="AK140" s="204"/>
      <c r="AL140" s="204"/>
      <c r="AM140" s="251"/>
      <c r="AN140" s="100" t="b">
        <f t="shared" si="4"/>
        <v>0</v>
      </c>
      <c r="AO140" s="102"/>
    </row>
    <row r="141" ht="14.25" customHeight="1" outlineLevel="3">
      <c r="A141" s="374"/>
      <c r="B141" s="357"/>
      <c r="C141" s="369"/>
      <c r="D141" s="271"/>
      <c r="E141" s="122" t="s">
        <v>1042</v>
      </c>
      <c r="F141" s="123" t="s">
        <v>135</v>
      </c>
      <c r="G141" s="123" t="s">
        <v>1043</v>
      </c>
      <c r="H141" s="260">
        <v>0.814720667858876</v>
      </c>
      <c r="I141" s="181">
        <v>0.793446620878749</v>
      </c>
      <c r="J141" s="181">
        <v>1.04824195772918</v>
      </c>
      <c r="K141" s="181">
        <v>1.14089251852672</v>
      </c>
      <c r="L141" s="181">
        <v>1.17331341693394</v>
      </c>
      <c r="M141" s="181">
        <v>1.26435206249394</v>
      </c>
      <c r="N141" s="181">
        <v>1.39753268348876</v>
      </c>
      <c r="O141" s="181">
        <v>1.67218260935535</v>
      </c>
      <c r="P141" s="181">
        <v>1.59048419302528</v>
      </c>
      <c r="Q141" s="181">
        <v>1.47856676185112</v>
      </c>
      <c r="R141" s="181">
        <v>1.26357873124088</v>
      </c>
      <c r="S141" s="181">
        <v>1.62511768090767</v>
      </c>
      <c r="T141" s="181">
        <v>1.7462661994093</v>
      </c>
      <c r="U141" s="181">
        <v>1.75112060362643</v>
      </c>
      <c r="V141" s="181">
        <v>1.77046121468714</v>
      </c>
      <c r="W141" s="182">
        <v>1.84729287276499</v>
      </c>
      <c r="X141" s="181"/>
      <c r="Y141" s="181"/>
      <c r="Z141" s="181"/>
      <c r="AA141" s="181"/>
      <c r="AB141" s="182"/>
      <c r="AC141" s="182"/>
      <c r="AD141" s="182"/>
      <c r="AE141" s="182"/>
      <c r="AF141" s="182"/>
      <c r="AG141" s="182"/>
      <c r="AH141" s="184"/>
      <c r="AI141" s="204"/>
      <c r="AJ141" s="204"/>
      <c r="AK141" s="204"/>
      <c r="AL141" s="204"/>
      <c r="AM141" s="251"/>
      <c r="AN141" s="100" t="b">
        <f t="shared" si="4"/>
        <v>0</v>
      </c>
      <c r="AO141" s="102"/>
    </row>
    <row r="142" ht="14.25" customHeight="1">
      <c r="A142" s="355" t="s">
        <v>635</v>
      </c>
      <c r="B142" s="162"/>
      <c r="C142" s="162"/>
      <c r="D142" s="271"/>
      <c r="E142" s="162"/>
      <c r="F142" s="162"/>
      <c r="G142" s="162"/>
      <c r="H142" s="178"/>
      <c r="I142" s="178"/>
      <c r="J142" s="178"/>
      <c r="K142" s="178"/>
      <c r="L142" s="178"/>
      <c r="M142" s="178"/>
      <c r="N142" s="178"/>
      <c r="O142" s="178"/>
      <c r="P142" s="178"/>
      <c r="Q142" s="178"/>
      <c r="R142" s="178"/>
      <c r="S142" s="178"/>
      <c r="T142" s="178"/>
      <c r="U142" s="178"/>
      <c r="V142" s="178"/>
      <c r="W142" s="178"/>
      <c r="X142" s="178"/>
      <c r="Y142" s="178"/>
      <c r="Z142" s="178"/>
      <c r="AA142" s="178"/>
      <c r="AB142" s="178"/>
      <c r="AC142" s="178"/>
      <c r="AD142" s="178"/>
      <c r="AE142" s="178"/>
      <c r="AF142" s="178"/>
      <c r="AG142" s="178"/>
      <c r="AH142" s="178"/>
      <c r="AI142" s="244"/>
      <c r="AJ142" s="244"/>
      <c r="AK142" s="244"/>
      <c r="AL142" s="244"/>
      <c r="AM142" s="162"/>
      <c r="AN142" s="100" t="b">
        <f t="shared" si="4"/>
        <v>0</v>
      </c>
      <c r="AO142" s="102"/>
    </row>
    <row r="143" ht="14.25" customHeight="1" outlineLevel="1">
      <c r="A143" s="356"/>
      <c r="B143" s="331" t="s">
        <v>1044</v>
      </c>
      <c r="C143" s="357"/>
      <c r="D143" s="271"/>
      <c r="E143" s="162"/>
      <c r="F143" s="162"/>
      <c r="G143" s="162"/>
      <c r="H143" s="178"/>
      <c r="I143" s="178"/>
      <c r="J143" s="178"/>
      <c r="K143" s="178"/>
      <c r="L143" s="178"/>
      <c r="M143" s="178"/>
      <c r="N143" s="178"/>
      <c r="O143" s="178"/>
      <c r="P143" s="178"/>
      <c r="Q143" s="178"/>
      <c r="R143" s="178"/>
      <c r="S143" s="178"/>
      <c r="T143" s="178"/>
      <c r="U143" s="178"/>
      <c r="V143" s="178"/>
      <c r="W143" s="178"/>
      <c r="X143" s="178"/>
      <c r="Y143" s="178"/>
      <c r="Z143" s="178"/>
      <c r="AA143" s="178"/>
      <c r="AB143" s="178"/>
      <c r="AC143" s="178"/>
      <c r="AD143" s="178"/>
      <c r="AE143" s="178"/>
      <c r="AF143" s="178"/>
      <c r="AG143" s="178"/>
      <c r="AH143" s="178"/>
      <c r="AI143" s="244"/>
      <c r="AJ143" s="244"/>
      <c r="AK143" s="244"/>
      <c r="AL143" s="244"/>
      <c r="AM143" s="162"/>
      <c r="AN143" s="100" t="b">
        <f t="shared" si="4"/>
        <v>0</v>
      </c>
      <c r="AO143" s="102"/>
    </row>
    <row r="144" ht="14.25" customHeight="1" outlineLevel="1">
      <c r="A144" s="356"/>
      <c r="B144" s="373" t="s">
        <v>1045</v>
      </c>
      <c r="C144" s="357"/>
      <c r="D144" s="271"/>
      <c r="E144" s="162"/>
      <c r="F144" s="162"/>
      <c r="G144" s="162"/>
      <c r="H144" s="178"/>
      <c r="I144" s="178"/>
      <c r="J144" s="178"/>
      <c r="K144" s="178"/>
      <c r="L144" s="178"/>
      <c r="M144" s="178"/>
      <c r="N144" s="178"/>
      <c r="O144" s="178"/>
      <c r="P144" s="178"/>
      <c r="Q144" s="178"/>
      <c r="R144" s="178"/>
      <c r="S144" s="178"/>
      <c r="T144" s="178"/>
      <c r="U144" s="178"/>
      <c r="V144" s="178"/>
      <c r="W144" s="178"/>
      <c r="X144" s="178"/>
      <c r="Y144" s="178"/>
      <c r="Z144" s="178"/>
      <c r="AA144" s="178"/>
      <c r="AB144" s="178"/>
      <c r="AC144" s="178"/>
      <c r="AD144" s="178"/>
      <c r="AE144" s="178"/>
      <c r="AF144" s="178"/>
      <c r="AG144" s="178"/>
      <c r="AH144" s="178"/>
      <c r="AI144" s="244"/>
      <c r="AJ144" s="244"/>
      <c r="AK144" s="244"/>
      <c r="AL144" s="244"/>
      <c r="AM144" s="162"/>
      <c r="AN144" s="100"/>
      <c r="AO144" s="102"/>
    </row>
    <row r="145" ht="14.25" customHeight="1" outlineLevel="3">
      <c r="A145" s="356"/>
      <c r="B145" s="357"/>
      <c r="C145" s="357"/>
      <c r="D145" s="271"/>
      <c r="E145" s="252" t="s">
        <v>1046</v>
      </c>
      <c r="F145" s="249" t="s">
        <v>432</v>
      </c>
      <c r="G145" s="249" t="s">
        <v>1047</v>
      </c>
      <c r="H145" s="260"/>
      <c r="I145" s="181"/>
      <c r="J145" s="181"/>
      <c r="K145" s="181"/>
      <c r="L145" s="181"/>
      <c r="M145" s="181"/>
      <c r="N145" s="181"/>
      <c r="O145" s="181"/>
      <c r="P145" s="181"/>
      <c r="Q145" s="181"/>
      <c r="R145" s="181"/>
      <c r="S145" s="181"/>
      <c r="T145" s="181"/>
      <c r="U145" s="181"/>
      <c r="V145" s="181"/>
      <c r="W145" s="182">
        <v>100.0</v>
      </c>
      <c r="X145" s="181"/>
      <c r="Y145" s="181"/>
      <c r="Z145" s="181"/>
      <c r="AA145" s="181"/>
      <c r="AB145" s="182"/>
      <c r="AC145" s="182"/>
      <c r="AD145" s="182"/>
      <c r="AE145" s="182"/>
      <c r="AF145" s="182"/>
      <c r="AG145" s="182"/>
      <c r="AH145" s="184"/>
      <c r="AI145" s="204"/>
      <c r="AJ145" s="204"/>
      <c r="AK145" s="204"/>
      <c r="AL145" s="204"/>
      <c r="AM145" s="251"/>
      <c r="AN145" s="100" t="b">
        <f t="shared" ref="AN145:AN203" si="6">_xlfn.ISFORMULA(H145)</f>
        <v>0</v>
      </c>
      <c r="AO145" s="102"/>
    </row>
    <row r="146" ht="13.5" customHeight="1" outlineLevel="3">
      <c r="A146" s="356"/>
      <c r="B146" s="357"/>
      <c r="C146" s="357"/>
      <c r="D146" s="271"/>
      <c r="E146" s="252" t="s">
        <v>1048</v>
      </c>
      <c r="F146" s="249" t="s">
        <v>432</v>
      </c>
      <c r="G146" s="249" t="s">
        <v>1049</v>
      </c>
      <c r="H146" s="260"/>
      <c r="I146" s="181"/>
      <c r="J146" s="181"/>
      <c r="K146" s="181"/>
      <c r="L146" s="181"/>
      <c r="M146" s="181"/>
      <c r="N146" s="181"/>
      <c r="O146" s="181"/>
      <c r="P146" s="181"/>
      <c r="Q146" s="181"/>
      <c r="R146" s="181"/>
      <c r="S146" s="181"/>
      <c r="T146" s="181"/>
      <c r="U146" s="181"/>
      <c r="V146" s="181"/>
      <c r="W146" s="182">
        <v>100.0</v>
      </c>
      <c r="X146" s="181"/>
      <c r="Y146" s="181"/>
      <c r="Z146" s="181"/>
      <c r="AA146" s="181"/>
      <c r="AB146" s="182"/>
      <c r="AC146" s="182"/>
      <c r="AD146" s="182"/>
      <c r="AE146" s="182"/>
      <c r="AF146" s="182"/>
      <c r="AG146" s="182"/>
      <c r="AH146" s="184"/>
      <c r="AI146" s="204"/>
      <c r="AJ146" s="204"/>
      <c r="AK146" s="204"/>
      <c r="AL146" s="204"/>
      <c r="AM146" s="251"/>
      <c r="AN146" s="100" t="b">
        <f t="shared" si="6"/>
        <v>0</v>
      </c>
      <c r="AO146" s="102"/>
    </row>
    <row r="147" ht="14.25" customHeight="1" outlineLevel="3">
      <c r="A147" s="356"/>
      <c r="B147" s="357"/>
      <c r="C147" s="357"/>
      <c r="D147" s="271"/>
      <c r="E147" s="122" t="s">
        <v>1050</v>
      </c>
      <c r="F147" s="123" t="s">
        <v>135</v>
      </c>
      <c r="G147" s="123" t="s">
        <v>1051</v>
      </c>
      <c r="H147" s="260">
        <v>0.912941938024136</v>
      </c>
      <c r="I147" s="181">
        <v>0.969937398796488</v>
      </c>
      <c r="J147" s="181">
        <v>1.06571257865467</v>
      </c>
      <c r="K147" s="181">
        <v>1.13872893211551</v>
      </c>
      <c r="L147" s="181">
        <v>1.23193843307241</v>
      </c>
      <c r="M147" s="181">
        <v>1.3289602002975</v>
      </c>
      <c r="N147" s="181">
        <v>1.42268404401967</v>
      </c>
      <c r="O147" s="181">
        <v>1.5140124722892</v>
      </c>
      <c r="P147" s="181">
        <v>1.58395849482261</v>
      </c>
      <c r="Q147" s="181">
        <v>1.60427308505824</v>
      </c>
      <c r="R147" s="181">
        <v>1.66102843053094</v>
      </c>
      <c r="S147" s="181">
        <v>1.70357732818565</v>
      </c>
      <c r="T147" s="181">
        <v>1.73310727391483</v>
      </c>
      <c r="U147" s="181">
        <v>1.75955443720266</v>
      </c>
      <c r="V147" s="181">
        <v>1.78885000303058</v>
      </c>
      <c r="W147" s="182">
        <v>1.80376649595338</v>
      </c>
      <c r="X147" s="181"/>
      <c r="Y147" s="181"/>
      <c r="Z147" s="181"/>
      <c r="AA147" s="181"/>
      <c r="AB147" s="182"/>
      <c r="AC147" s="182"/>
      <c r="AD147" s="182"/>
      <c r="AE147" s="182"/>
      <c r="AF147" s="182"/>
      <c r="AG147" s="182"/>
      <c r="AH147" s="184"/>
      <c r="AI147" s="204"/>
      <c r="AJ147" s="204"/>
      <c r="AK147" s="204"/>
      <c r="AL147" s="204"/>
      <c r="AM147" s="251"/>
      <c r="AN147" s="100" t="b">
        <f t="shared" si="6"/>
        <v>0</v>
      </c>
      <c r="AO147" s="102"/>
    </row>
    <row r="148" ht="14.25" customHeight="1" outlineLevel="1">
      <c r="A148" s="356"/>
      <c r="B148" s="331" t="s">
        <v>1052</v>
      </c>
      <c r="C148" s="357"/>
      <c r="D148" s="271"/>
      <c r="E148" s="162"/>
      <c r="F148" s="162"/>
      <c r="G148" s="162"/>
      <c r="H148" s="178"/>
      <c r="I148" s="178"/>
      <c r="J148" s="178"/>
      <c r="K148" s="178"/>
      <c r="L148" s="178"/>
      <c r="M148" s="178"/>
      <c r="N148" s="178"/>
      <c r="O148" s="178"/>
      <c r="P148" s="178"/>
      <c r="Q148" s="178"/>
      <c r="R148" s="178"/>
      <c r="S148" s="178"/>
      <c r="T148" s="178"/>
      <c r="U148" s="178"/>
      <c r="V148" s="178"/>
      <c r="W148" s="178"/>
      <c r="X148" s="178"/>
      <c r="Y148" s="178"/>
      <c r="Z148" s="178"/>
      <c r="AA148" s="178"/>
      <c r="AB148" s="178"/>
      <c r="AC148" s="178"/>
      <c r="AD148" s="178"/>
      <c r="AE148" s="178"/>
      <c r="AF148" s="178"/>
      <c r="AG148" s="178"/>
      <c r="AH148" s="178"/>
      <c r="AI148" s="244"/>
      <c r="AJ148" s="244"/>
      <c r="AK148" s="244"/>
      <c r="AL148" s="244"/>
      <c r="AM148" s="162"/>
      <c r="AN148" s="100" t="b">
        <f t="shared" si="6"/>
        <v>0</v>
      </c>
      <c r="AO148" s="102"/>
    </row>
    <row r="149" ht="14.25" customHeight="1" outlineLevel="2">
      <c r="A149" s="356"/>
      <c r="B149" s="331"/>
      <c r="C149" s="331"/>
      <c r="D149" s="271"/>
      <c r="E149" s="252" t="s">
        <v>1053</v>
      </c>
      <c r="F149" s="249" t="s">
        <v>432</v>
      </c>
      <c r="G149" s="249" t="s">
        <v>1054</v>
      </c>
      <c r="H149" s="260"/>
      <c r="I149" s="181"/>
      <c r="J149" s="181"/>
      <c r="K149" s="181"/>
      <c r="L149" s="181"/>
      <c r="M149" s="181"/>
      <c r="N149" s="181"/>
      <c r="O149" s="181"/>
      <c r="P149" s="181"/>
      <c r="Q149" s="181"/>
      <c r="R149" s="181"/>
      <c r="S149" s="181"/>
      <c r="T149" s="181"/>
      <c r="U149" s="181"/>
      <c r="V149" s="181"/>
      <c r="W149" s="182">
        <v>100.0</v>
      </c>
      <c r="X149" s="181"/>
      <c r="Y149" s="181"/>
      <c r="Z149" s="181"/>
      <c r="AA149" s="181"/>
      <c r="AB149" s="182"/>
      <c r="AC149" s="182"/>
      <c r="AD149" s="182"/>
      <c r="AE149" s="182"/>
      <c r="AF149" s="182"/>
      <c r="AG149" s="182"/>
      <c r="AH149" s="184"/>
      <c r="AI149" s="204"/>
      <c r="AJ149" s="204"/>
      <c r="AK149" s="204"/>
      <c r="AL149" s="204"/>
      <c r="AM149" s="251"/>
      <c r="AN149" s="100" t="b">
        <f t="shared" si="6"/>
        <v>0</v>
      </c>
      <c r="AO149" s="102"/>
    </row>
    <row r="150" ht="14.25" customHeight="1" outlineLevel="2">
      <c r="A150" s="356"/>
      <c r="B150" s="331"/>
      <c r="C150" s="331"/>
      <c r="D150" s="271"/>
      <c r="E150" s="252" t="s">
        <v>1055</v>
      </c>
      <c r="F150" s="249" t="s">
        <v>432</v>
      </c>
      <c r="G150" s="249" t="s">
        <v>1056</v>
      </c>
      <c r="H150" s="260"/>
      <c r="I150" s="181"/>
      <c r="J150" s="181"/>
      <c r="K150" s="181"/>
      <c r="L150" s="181"/>
      <c r="M150" s="181"/>
      <c r="N150" s="181"/>
      <c r="O150" s="181"/>
      <c r="P150" s="181"/>
      <c r="Q150" s="181"/>
      <c r="R150" s="181"/>
      <c r="S150" s="181"/>
      <c r="T150" s="181"/>
      <c r="U150" s="181"/>
      <c r="V150" s="181"/>
      <c r="W150" s="182">
        <v>100.0</v>
      </c>
      <c r="X150" s="181"/>
      <c r="Y150" s="181"/>
      <c r="Z150" s="181"/>
      <c r="AA150" s="181"/>
      <c r="AB150" s="182"/>
      <c r="AC150" s="182"/>
      <c r="AD150" s="182"/>
      <c r="AE150" s="182"/>
      <c r="AF150" s="182"/>
      <c r="AG150" s="182"/>
      <c r="AH150" s="184"/>
      <c r="AI150" s="204"/>
      <c r="AJ150" s="204"/>
      <c r="AK150" s="204"/>
      <c r="AL150" s="204"/>
      <c r="AM150" s="251"/>
      <c r="AN150" s="100" t="b">
        <f t="shared" si="6"/>
        <v>0</v>
      </c>
      <c r="AO150" s="102"/>
    </row>
    <row r="151" ht="14.25" customHeight="1" outlineLevel="2">
      <c r="A151" s="356"/>
      <c r="B151" s="331"/>
      <c r="C151" s="331"/>
      <c r="D151" s="271"/>
      <c r="E151" s="122" t="s">
        <v>1057</v>
      </c>
      <c r="F151" s="123" t="s">
        <v>135</v>
      </c>
      <c r="G151" s="123" t="s">
        <v>1058</v>
      </c>
      <c r="H151" s="260">
        <v>0.523955120299206</v>
      </c>
      <c r="I151" s="181">
        <v>0.588712278850376</v>
      </c>
      <c r="J151" s="181">
        <v>0.633723705154953</v>
      </c>
      <c r="K151" s="181">
        <v>0.676310326793923</v>
      </c>
      <c r="L151" s="181">
        <v>0.743230460891962</v>
      </c>
      <c r="M151" s="181">
        <v>0.807463525866757</v>
      </c>
      <c r="N151" s="181">
        <v>0.887784734410982</v>
      </c>
      <c r="O151" s="181">
        <v>0.996361614963912</v>
      </c>
      <c r="P151" s="181">
        <v>1.08702636745086</v>
      </c>
      <c r="Q151" s="181">
        <v>1.14690005061182</v>
      </c>
      <c r="R151" s="181">
        <v>1.19700588293328</v>
      </c>
      <c r="S151" s="181">
        <v>1.2267753012623</v>
      </c>
      <c r="T151" s="181">
        <v>1.24313825944817</v>
      </c>
      <c r="U151" s="181">
        <v>1.24393438493856</v>
      </c>
      <c r="V151" s="181">
        <v>1.23563068803023</v>
      </c>
      <c r="W151" s="182">
        <v>1.21053545891077</v>
      </c>
      <c r="X151" s="181"/>
      <c r="Y151" s="181"/>
      <c r="Z151" s="181"/>
      <c r="AA151" s="181"/>
      <c r="AB151" s="182"/>
      <c r="AC151" s="182"/>
      <c r="AD151" s="182"/>
      <c r="AE151" s="182"/>
      <c r="AF151" s="182"/>
      <c r="AG151" s="182"/>
      <c r="AH151" s="184"/>
      <c r="AI151" s="204"/>
      <c r="AJ151" s="204"/>
      <c r="AK151" s="204"/>
      <c r="AL151" s="204"/>
      <c r="AM151" s="251"/>
      <c r="AN151" s="100" t="b">
        <f t="shared" si="6"/>
        <v>0</v>
      </c>
      <c r="AO151" s="102"/>
    </row>
    <row r="152" ht="14.25" customHeight="1" outlineLevel="1">
      <c r="A152" s="356"/>
      <c r="B152" s="331" t="s">
        <v>1059</v>
      </c>
      <c r="C152" s="357"/>
      <c r="D152" s="271"/>
      <c r="E152" s="162"/>
      <c r="F152" s="162"/>
      <c r="G152" s="162"/>
      <c r="H152" s="178"/>
      <c r="I152" s="178"/>
      <c r="J152" s="178"/>
      <c r="K152" s="178"/>
      <c r="L152" s="178"/>
      <c r="M152" s="178"/>
      <c r="N152" s="178"/>
      <c r="O152" s="178"/>
      <c r="P152" s="178"/>
      <c r="Q152" s="178"/>
      <c r="R152" s="178"/>
      <c r="S152" s="178"/>
      <c r="T152" s="178"/>
      <c r="U152" s="178"/>
      <c r="V152" s="178"/>
      <c r="W152" s="178"/>
      <c r="X152" s="178"/>
      <c r="Y152" s="178"/>
      <c r="Z152" s="178"/>
      <c r="AA152" s="178"/>
      <c r="AB152" s="178"/>
      <c r="AC152" s="178"/>
      <c r="AD152" s="178"/>
      <c r="AE152" s="178"/>
      <c r="AF152" s="178"/>
      <c r="AG152" s="178"/>
      <c r="AH152" s="178"/>
      <c r="AI152" s="244"/>
      <c r="AJ152" s="244"/>
      <c r="AK152" s="244"/>
      <c r="AL152" s="244"/>
      <c r="AM152" s="162"/>
      <c r="AN152" s="100" t="b">
        <f t="shared" si="6"/>
        <v>0</v>
      </c>
      <c r="AO152" s="102"/>
    </row>
    <row r="153" ht="14.25" customHeight="1" outlineLevel="2">
      <c r="A153" s="356"/>
      <c r="B153" s="331"/>
      <c r="C153" s="331"/>
      <c r="D153" s="271"/>
      <c r="E153" s="252" t="s">
        <v>1060</v>
      </c>
      <c r="F153" s="249" t="s">
        <v>432</v>
      </c>
      <c r="G153" s="249" t="s">
        <v>1061</v>
      </c>
      <c r="H153" s="260"/>
      <c r="I153" s="181"/>
      <c r="J153" s="181"/>
      <c r="K153" s="181"/>
      <c r="L153" s="181"/>
      <c r="M153" s="181"/>
      <c r="N153" s="181"/>
      <c r="O153" s="181"/>
      <c r="P153" s="181"/>
      <c r="Q153" s="181"/>
      <c r="R153" s="181"/>
      <c r="S153" s="181"/>
      <c r="T153" s="181"/>
      <c r="U153" s="181"/>
      <c r="V153" s="181"/>
      <c r="W153" s="182">
        <v>100.0</v>
      </c>
      <c r="X153" s="181"/>
      <c r="Y153" s="181"/>
      <c r="Z153" s="181"/>
      <c r="AA153" s="181"/>
      <c r="AB153" s="182"/>
      <c r="AC153" s="182"/>
      <c r="AD153" s="182"/>
      <c r="AE153" s="182"/>
      <c r="AF153" s="182"/>
      <c r="AG153" s="182"/>
      <c r="AH153" s="184"/>
      <c r="AI153" s="204"/>
      <c r="AJ153" s="204"/>
      <c r="AK153" s="204"/>
      <c r="AL153" s="204"/>
      <c r="AM153" s="251"/>
      <c r="AN153" s="100" t="b">
        <f t="shared" si="6"/>
        <v>0</v>
      </c>
      <c r="AO153" s="102"/>
    </row>
    <row r="154" ht="14.25" customHeight="1" outlineLevel="2">
      <c r="A154" s="356"/>
      <c r="B154" s="357"/>
      <c r="C154" s="369"/>
      <c r="D154" s="271"/>
      <c r="E154" s="252" t="s">
        <v>1062</v>
      </c>
      <c r="F154" s="249" t="s">
        <v>432</v>
      </c>
      <c r="G154" s="249" t="s">
        <v>1063</v>
      </c>
      <c r="H154" s="260"/>
      <c r="I154" s="181"/>
      <c r="J154" s="181"/>
      <c r="K154" s="181"/>
      <c r="L154" s="181"/>
      <c r="M154" s="181"/>
      <c r="N154" s="181"/>
      <c r="O154" s="181"/>
      <c r="P154" s="181"/>
      <c r="Q154" s="181"/>
      <c r="R154" s="181"/>
      <c r="S154" s="181"/>
      <c r="T154" s="181"/>
      <c r="U154" s="181"/>
      <c r="V154" s="181"/>
      <c r="W154" s="182">
        <v>100.0</v>
      </c>
      <c r="X154" s="181"/>
      <c r="Y154" s="181"/>
      <c r="Z154" s="181"/>
      <c r="AA154" s="181"/>
      <c r="AB154" s="182"/>
      <c r="AC154" s="182"/>
      <c r="AD154" s="182"/>
      <c r="AE154" s="182"/>
      <c r="AF154" s="182"/>
      <c r="AG154" s="182"/>
      <c r="AH154" s="184"/>
      <c r="AI154" s="204"/>
      <c r="AJ154" s="204"/>
      <c r="AK154" s="204"/>
      <c r="AL154" s="204"/>
      <c r="AM154" s="251"/>
      <c r="AN154" s="100" t="b">
        <f t="shared" si="6"/>
        <v>0</v>
      </c>
      <c r="AO154" s="102"/>
    </row>
    <row r="155" ht="14.25" customHeight="1" outlineLevel="2">
      <c r="A155" s="356"/>
      <c r="B155" s="357"/>
      <c r="C155" s="331"/>
      <c r="D155" s="271"/>
      <c r="E155" s="122" t="s">
        <v>1064</v>
      </c>
      <c r="F155" s="123" t="s">
        <v>135</v>
      </c>
      <c r="G155" s="123" t="s">
        <v>1065</v>
      </c>
      <c r="H155" s="260">
        <v>2.51755841988735</v>
      </c>
      <c r="I155" s="181">
        <v>2.57468443164501</v>
      </c>
      <c r="J155" s="181">
        <v>2.67318913589085</v>
      </c>
      <c r="K155" s="181">
        <v>2.73822183610447</v>
      </c>
      <c r="L155" s="181">
        <v>2.85387624913421</v>
      </c>
      <c r="M155" s="181">
        <v>3.03187274043822</v>
      </c>
      <c r="N155" s="181">
        <v>3.27622071099111</v>
      </c>
      <c r="O155" s="181">
        <v>3.45154470305762</v>
      </c>
      <c r="P155" s="181">
        <v>3.5780009616249</v>
      </c>
      <c r="Q155" s="181">
        <v>3.66216362801231</v>
      </c>
      <c r="R155" s="181">
        <v>3.75935363579303</v>
      </c>
      <c r="S155" s="181">
        <v>3.82993110841687</v>
      </c>
      <c r="T155" s="181">
        <v>3.87439167876918</v>
      </c>
      <c r="U155" s="181">
        <v>3.91795478800679</v>
      </c>
      <c r="V155" s="181">
        <v>3.9580696365508</v>
      </c>
      <c r="W155" s="182">
        <v>3.99282256304263</v>
      </c>
      <c r="X155" s="181"/>
      <c r="Y155" s="181"/>
      <c r="Z155" s="181"/>
      <c r="AA155" s="181"/>
      <c r="AB155" s="182"/>
      <c r="AC155" s="182"/>
      <c r="AD155" s="182"/>
      <c r="AE155" s="182"/>
      <c r="AF155" s="182"/>
      <c r="AG155" s="182"/>
      <c r="AH155" s="184"/>
      <c r="AI155" s="204"/>
      <c r="AJ155" s="204"/>
      <c r="AK155" s="204"/>
      <c r="AL155" s="204"/>
      <c r="AM155" s="251"/>
      <c r="AN155" s="100" t="b">
        <f t="shared" si="6"/>
        <v>0</v>
      </c>
      <c r="AO155" s="102"/>
    </row>
    <row r="156" ht="14.25" customHeight="1" outlineLevel="1">
      <c r="A156" s="356"/>
      <c r="B156" s="331" t="s">
        <v>1066</v>
      </c>
      <c r="C156" s="331"/>
      <c r="D156" s="271"/>
      <c r="E156" s="162"/>
      <c r="F156" s="162"/>
      <c r="G156" s="162"/>
      <c r="H156" s="178"/>
      <c r="I156" s="178"/>
      <c r="J156" s="178"/>
      <c r="K156" s="178"/>
      <c r="L156" s="178"/>
      <c r="M156" s="178"/>
      <c r="N156" s="178"/>
      <c r="O156" s="178"/>
      <c r="P156" s="178"/>
      <c r="Q156" s="178"/>
      <c r="R156" s="178"/>
      <c r="S156" s="178"/>
      <c r="T156" s="178"/>
      <c r="U156" s="178"/>
      <c r="V156" s="178"/>
      <c r="W156" s="178"/>
      <c r="X156" s="178"/>
      <c r="Y156" s="178"/>
      <c r="Z156" s="178"/>
      <c r="AA156" s="178"/>
      <c r="AB156" s="178"/>
      <c r="AC156" s="178"/>
      <c r="AD156" s="178"/>
      <c r="AE156" s="178"/>
      <c r="AF156" s="178"/>
      <c r="AG156" s="178"/>
      <c r="AH156" s="178"/>
      <c r="AI156" s="244"/>
      <c r="AJ156" s="244"/>
      <c r="AK156" s="244"/>
      <c r="AL156" s="244"/>
      <c r="AM156" s="162"/>
      <c r="AN156" s="100" t="b">
        <f t="shared" si="6"/>
        <v>0</v>
      </c>
      <c r="AO156" s="102"/>
    </row>
    <row r="157" ht="14.25" customHeight="1" outlineLevel="2">
      <c r="A157" s="356"/>
      <c r="B157" s="357"/>
      <c r="C157" s="331"/>
      <c r="D157" s="271"/>
      <c r="E157" s="252" t="s">
        <v>1067</v>
      </c>
      <c r="F157" s="249" t="s">
        <v>432</v>
      </c>
      <c r="G157" s="249" t="s">
        <v>1068</v>
      </c>
      <c r="H157" s="260"/>
      <c r="I157" s="181"/>
      <c r="J157" s="181"/>
      <c r="K157" s="181"/>
      <c r="L157" s="181"/>
      <c r="M157" s="181"/>
      <c r="N157" s="181"/>
      <c r="O157" s="181"/>
      <c r="P157" s="181"/>
      <c r="Q157" s="181"/>
      <c r="R157" s="181"/>
      <c r="S157" s="181"/>
      <c r="T157" s="181"/>
      <c r="U157" s="181"/>
      <c r="V157" s="181"/>
      <c r="W157" s="182">
        <v>100.0</v>
      </c>
      <c r="X157" s="181"/>
      <c r="Y157" s="181"/>
      <c r="Z157" s="181"/>
      <c r="AA157" s="181"/>
      <c r="AB157" s="182"/>
      <c r="AC157" s="182"/>
      <c r="AD157" s="182"/>
      <c r="AE157" s="182"/>
      <c r="AF157" s="182"/>
      <c r="AG157" s="182"/>
      <c r="AH157" s="184"/>
      <c r="AI157" s="204"/>
      <c r="AJ157" s="204"/>
      <c r="AK157" s="204"/>
      <c r="AL157" s="204"/>
      <c r="AM157" s="251"/>
      <c r="AN157" s="100" t="b">
        <f t="shared" si="6"/>
        <v>0</v>
      </c>
      <c r="AO157" s="102"/>
    </row>
    <row r="158" ht="14.25" customHeight="1" outlineLevel="2">
      <c r="A158" s="356"/>
      <c r="B158" s="331"/>
      <c r="C158" s="331"/>
      <c r="D158" s="271"/>
      <c r="E158" s="252" t="s">
        <v>1069</v>
      </c>
      <c r="F158" s="249" t="s">
        <v>432</v>
      </c>
      <c r="G158" s="249" t="s">
        <v>1070</v>
      </c>
      <c r="H158" s="260"/>
      <c r="I158" s="181"/>
      <c r="J158" s="181"/>
      <c r="K158" s="181"/>
      <c r="L158" s="181"/>
      <c r="M158" s="181"/>
      <c r="N158" s="181"/>
      <c r="O158" s="181"/>
      <c r="P158" s="181"/>
      <c r="Q158" s="181"/>
      <c r="R158" s="181"/>
      <c r="S158" s="181"/>
      <c r="T158" s="181"/>
      <c r="U158" s="181"/>
      <c r="V158" s="181"/>
      <c r="W158" s="182">
        <v>100.0</v>
      </c>
      <c r="X158" s="181"/>
      <c r="Y158" s="181"/>
      <c r="Z158" s="181"/>
      <c r="AA158" s="181"/>
      <c r="AB158" s="182"/>
      <c r="AC158" s="182"/>
      <c r="AD158" s="182"/>
      <c r="AE158" s="182"/>
      <c r="AF158" s="182"/>
      <c r="AG158" s="182"/>
      <c r="AH158" s="184"/>
      <c r="AI158" s="204"/>
      <c r="AJ158" s="204"/>
      <c r="AK158" s="204"/>
      <c r="AL158" s="204"/>
      <c r="AM158" s="251"/>
      <c r="AN158" s="100" t="b">
        <f t="shared" si="6"/>
        <v>0</v>
      </c>
      <c r="AO158" s="102"/>
    </row>
    <row r="159" ht="14.25" customHeight="1" outlineLevel="2">
      <c r="A159" s="356"/>
      <c r="B159" s="357"/>
      <c r="C159" s="369"/>
      <c r="D159" s="271"/>
      <c r="E159" s="122" t="s">
        <v>1071</v>
      </c>
      <c r="F159" s="123" t="s">
        <v>135</v>
      </c>
      <c r="G159" s="123" t="s">
        <v>1072</v>
      </c>
      <c r="H159" s="260">
        <v>3.67182264294596</v>
      </c>
      <c r="I159" s="181">
        <v>3.70143762851672</v>
      </c>
      <c r="J159" s="181">
        <v>3.82450382906597</v>
      </c>
      <c r="K159" s="181">
        <v>3.79626031071308</v>
      </c>
      <c r="L159" s="181">
        <v>3.80842893644106</v>
      </c>
      <c r="M159" s="181">
        <v>3.82754248698865</v>
      </c>
      <c r="N159" s="181">
        <v>3.89148396941221</v>
      </c>
      <c r="O159" s="181">
        <v>3.9630072972881</v>
      </c>
      <c r="P159" s="181">
        <v>4.00181976895693</v>
      </c>
      <c r="Q159" s="181">
        <v>3.9341179958536</v>
      </c>
      <c r="R159" s="181">
        <v>3.96925667229643</v>
      </c>
      <c r="S159" s="181">
        <v>3.98165612887382</v>
      </c>
      <c r="T159" s="181">
        <v>3.96027038340347</v>
      </c>
      <c r="U159" s="181">
        <v>3.92281799287842</v>
      </c>
      <c r="V159" s="181">
        <v>3.88402042104227</v>
      </c>
      <c r="W159" s="182">
        <v>3.83915763862362</v>
      </c>
      <c r="X159" s="181"/>
      <c r="Y159" s="181"/>
      <c r="Z159" s="181"/>
      <c r="AA159" s="181"/>
      <c r="AB159" s="182"/>
      <c r="AC159" s="182"/>
      <c r="AD159" s="182"/>
      <c r="AE159" s="182"/>
      <c r="AF159" s="182"/>
      <c r="AG159" s="182"/>
      <c r="AH159" s="184"/>
      <c r="AI159" s="204"/>
      <c r="AJ159" s="204"/>
      <c r="AK159" s="204"/>
      <c r="AL159" s="204"/>
      <c r="AM159" s="251"/>
      <c r="AN159" s="100" t="b">
        <f t="shared" si="6"/>
        <v>0</v>
      </c>
      <c r="AO159" s="102"/>
    </row>
    <row r="160" ht="14.25" customHeight="1" outlineLevel="1">
      <c r="A160" s="356"/>
      <c r="B160" s="331" t="s">
        <v>1073</v>
      </c>
      <c r="C160" s="357"/>
      <c r="D160" s="271"/>
      <c r="E160" s="162"/>
      <c r="F160" s="162"/>
      <c r="G160" s="162"/>
      <c r="H160" s="178"/>
      <c r="I160" s="178"/>
      <c r="J160" s="178"/>
      <c r="K160" s="178"/>
      <c r="L160" s="178"/>
      <c r="M160" s="178"/>
      <c r="N160" s="178"/>
      <c r="O160" s="178"/>
      <c r="P160" s="178"/>
      <c r="Q160" s="178"/>
      <c r="R160" s="178"/>
      <c r="S160" s="178"/>
      <c r="T160" s="178"/>
      <c r="U160" s="178"/>
      <c r="V160" s="178"/>
      <c r="W160" s="178"/>
      <c r="X160" s="178"/>
      <c r="Y160" s="178"/>
      <c r="Z160" s="178"/>
      <c r="AA160" s="178"/>
      <c r="AB160" s="178"/>
      <c r="AC160" s="178"/>
      <c r="AD160" s="178"/>
      <c r="AE160" s="178"/>
      <c r="AF160" s="178"/>
      <c r="AG160" s="178"/>
      <c r="AH160" s="178"/>
      <c r="AI160" s="244"/>
      <c r="AJ160" s="244"/>
      <c r="AK160" s="244"/>
      <c r="AL160" s="244"/>
      <c r="AM160" s="162"/>
      <c r="AN160" s="100" t="b">
        <f t="shared" si="6"/>
        <v>0</v>
      </c>
      <c r="AO160" s="102"/>
    </row>
    <row r="161" ht="14.25" customHeight="1" outlineLevel="2">
      <c r="A161" s="356"/>
      <c r="B161" s="357"/>
      <c r="C161" s="331"/>
      <c r="D161" s="271"/>
      <c r="E161" s="252" t="s">
        <v>1074</v>
      </c>
      <c r="F161" s="249" t="s">
        <v>432</v>
      </c>
      <c r="G161" s="249" t="s">
        <v>1075</v>
      </c>
      <c r="H161" s="260"/>
      <c r="I161" s="181"/>
      <c r="J161" s="181"/>
      <c r="K161" s="181"/>
      <c r="L161" s="181"/>
      <c r="M161" s="181"/>
      <c r="N161" s="181"/>
      <c r="O161" s="181"/>
      <c r="P161" s="181"/>
      <c r="Q161" s="181"/>
      <c r="R161" s="181"/>
      <c r="S161" s="181"/>
      <c r="T161" s="181"/>
      <c r="U161" s="181"/>
      <c r="V161" s="181"/>
      <c r="W161" s="182">
        <v>100.0</v>
      </c>
      <c r="X161" s="181"/>
      <c r="Y161" s="181"/>
      <c r="Z161" s="181"/>
      <c r="AA161" s="181"/>
      <c r="AB161" s="182"/>
      <c r="AC161" s="182"/>
      <c r="AD161" s="182"/>
      <c r="AE161" s="182"/>
      <c r="AF161" s="182"/>
      <c r="AG161" s="182"/>
      <c r="AH161" s="184"/>
      <c r="AI161" s="204"/>
      <c r="AJ161" s="204"/>
      <c r="AK161" s="204"/>
      <c r="AL161" s="204"/>
      <c r="AM161" s="251"/>
      <c r="AN161" s="100" t="b">
        <f t="shared" si="6"/>
        <v>0</v>
      </c>
      <c r="AO161" s="102"/>
    </row>
    <row r="162" ht="14.25" customHeight="1" outlineLevel="2">
      <c r="A162" s="356"/>
      <c r="B162" s="357"/>
      <c r="C162" s="331"/>
      <c r="D162" s="271"/>
      <c r="E162" s="252" t="s">
        <v>1076</v>
      </c>
      <c r="F162" s="249" t="s">
        <v>432</v>
      </c>
      <c r="G162" s="249" t="s">
        <v>1077</v>
      </c>
      <c r="H162" s="260"/>
      <c r="I162" s="181"/>
      <c r="J162" s="181"/>
      <c r="K162" s="181"/>
      <c r="L162" s="181"/>
      <c r="M162" s="181"/>
      <c r="N162" s="181"/>
      <c r="O162" s="181"/>
      <c r="P162" s="181"/>
      <c r="Q162" s="181"/>
      <c r="R162" s="181"/>
      <c r="S162" s="181"/>
      <c r="T162" s="181"/>
      <c r="U162" s="181"/>
      <c r="V162" s="181"/>
      <c r="W162" s="182">
        <v>100.0</v>
      </c>
      <c r="X162" s="181"/>
      <c r="Y162" s="181"/>
      <c r="Z162" s="181"/>
      <c r="AA162" s="181"/>
      <c r="AB162" s="182"/>
      <c r="AC162" s="182"/>
      <c r="AD162" s="182"/>
      <c r="AE162" s="182"/>
      <c r="AF162" s="182"/>
      <c r="AG162" s="182"/>
      <c r="AH162" s="184"/>
      <c r="AI162" s="204"/>
      <c r="AJ162" s="204"/>
      <c r="AK162" s="204"/>
      <c r="AL162" s="204"/>
      <c r="AM162" s="251"/>
      <c r="AN162" s="100" t="b">
        <f t="shared" si="6"/>
        <v>0</v>
      </c>
      <c r="AO162" s="102"/>
    </row>
    <row r="163" ht="14.25" customHeight="1" outlineLevel="2">
      <c r="A163" s="356"/>
      <c r="B163" s="357"/>
      <c r="C163" s="331"/>
      <c r="D163" s="271"/>
      <c r="E163" s="122" t="s">
        <v>1078</v>
      </c>
      <c r="F163" s="123" t="s">
        <v>135</v>
      </c>
      <c r="G163" s="123" t="s">
        <v>1079</v>
      </c>
      <c r="H163" s="260">
        <v>0.842941078507771</v>
      </c>
      <c r="I163" s="181">
        <v>0.843075248652362</v>
      </c>
      <c r="J163" s="181">
        <v>0.847951720391646</v>
      </c>
      <c r="K163" s="181">
        <v>0.844184978933789</v>
      </c>
      <c r="L163" s="181">
        <v>0.840315897609005</v>
      </c>
      <c r="M163" s="181">
        <v>0.851131067296673</v>
      </c>
      <c r="N163" s="181">
        <v>0.859112861944122</v>
      </c>
      <c r="O163" s="181">
        <v>0.869379688813229</v>
      </c>
      <c r="P163" s="181">
        <v>0.875525667894449</v>
      </c>
      <c r="Q163" s="181">
        <v>0.88067239223799</v>
      </c>
      <c r="R163" s="181">
        <v>0.878309282882975</v>
      </c>
      <c r="S163" s="181">
        <v>0.878181727613693</v>
      </c>
      <c r="T163" s="181">
        <v>0.870435735510938</v>
      </c>
      <c r="U163" s="181">
        <v>0.862392885660026</v>
      </c>
      <c r="V163" s="181">
        <v>0.846376439516859</v>
      </c>
      <c r="W163" s="182">
        <v>0.822742288009859</v>
      </c>
      <c r="X163" s="181"/>
      <c r="Y163" s="181"/>
      <c r="Z163" s="181"/>
      <c r="AA163" s="181"/>
      <c r="AB163" s="182"/>
      <c r="AC163" s="182"/>
      <c r="AD163" s="182"/>
      <c r="AE163" s="182"/>
      <c r="AF163" s="182"/>
      <c r="AG163" s="182"/>
      <c r="AH163" s="184"/>
      <c r="AI163" s="204"/>
      <c r="AJ163" s="204"/>
      <c r="AK163" s="204"/>
      <c r="AL163" s="204"/>
      <c r="AM163" s="251"/>
      <c r="AN163" s="100" t="b">
        <f t="shared" si="6"/>
        <v>0</v>
      </c>
      <c r="AO163" s="102"/>
    </row>
    <row r="164" ht="14.25" customHeight="1" outlineLevel="1">
      <c r="A164" s="356"/>
      <c r="B164" s="331" t="s">
        <v>1080</v>
      </c>
      <c r="C164" s="331"/>
      <c r="D164" s="271"/>
      <c r="E164" s="162"/>
      <c r="F164" s="162"/>
      <c r="G164" s="162"/>
      <c r="H164" s="178"/>
      <c r="I164" s="178"/>
      <c r="J164" s="178"/>
      <c r="K164" s="178"/>
      <c r="L164" s="178"/>
      <c r="M164" s="178"/>
      <c r="N164" s="178"/>
      <c r="O164" s="178"/>
      <c r="P164" s="178"/>
      <c r="Q164" s="178"/>
      <c r="R164" s="178"/>
      <c r="S164" s="178"/>
      <c r="T164" s="178"/>
      <c r="U164" s="178"/>
      <c r="V164" s="178"/>
      <c r="W164" s="178"/>
      <c r="X164" s="178"/>
      <c r="Y164" s="178"/>
      <c r="Z164" s="178"/>
      <c r="AA164" s="178"/>
      <c r="AB164" s="178"/>
      <c r="AC164" s="178"/>
      <c r="AD164" s="178"/>
      <c r="AE164" s="178"/>
      <c r="AF164" s="178"/>
      <c r="AG164" s="178"/>
      <c r="AH164" s="178"/>
      <c r="AI164" s="244"/>
      <c r="AJ164" s="244"/>
      <c r="AK164" s="244"/>
      <c r="AL164" s="244"/>
      <c r="AM164" s="162"/>
      <c r="AN164" s="100" t="b">
        <f t="shared" si="6"/>
        <v>0</v>
      </c>
      <c r="AO164" s="102"/>
    </row>
    <row r="165" ht="14.25" customHeight="1" outlineLevel="3">
      <c r="A165" s="355"/>
      <c r="B165" s="357"/>
      <c r="C165" s="331"/>
      <c r="D165" s="271"/>
      <c r="E165" s="180" t="s">
        <v>1081</v>
      </c>
      <c r="F165" s="123" t="s">
        <v>135</v>
      </c>
      <c r="G165" s="123" t="s">
        <v>1082</v>
      </c>
      <c r="H165" s="260">
        <v>8.46921919966442</v>
      </c>
      <c r="I165" s="181">
        <v>8.67784698646095</v>
      </c>
      <c r="J165" s="181">
        <v>9.04508096915807</v>
      </c>
      <c r="K165" s="181">
        <v>9.19370638466077</v>
      </c>
      <c r="L165" s="181">
        <v>9.47778997714864</v>
      </c>
      <c r="M165" s="181">
        <v>9.84697002088779</v>
      </c>
      <c r="N165" s="181">
        <v>10.3372863207781</v>
      </c>
      <c r="O165" s="181">
        <v>10.7943057764121</v>
      </c>
      <c r="P165" s="181">
        <v>11.1263312607497</v>
      </c>
      <c r="Q165" s="181">
        <v>11.2281271517739</v>
      </c>
      <c r="R165" s="181">
        <v>11.4649539044367</v>
      </c>
      <c r="S165" s="181">
        <v>11.6201215943523</v>
      </c>
      <c r="T165" s="181">
        <v>11.6813433310466</v>
      </c>
      <c r="U165" s="181">
        <v>11.7066544886864</v>
      </c>
      <c r="V165" s="181">
        <v>11.7129471881707</v>
      </c>
      <c r="W165" s="286">
        <v>11.6690244445403</v>
      </c>
      <c r="X165" s="181"/>
      <c r="Y165" s="181"/>
      <c r="Z165" s="181"/>
      <c r="AA165" s="181"/>
      <c r="AB165" s="286"/>
      <c r="AC165" s="286"/>
      <c r="AD165" s="286"/>
      <c r="AE165" s="286"/>
      <c r="AF165" s="286"/>
      <c r="AG165" s="286"/>
      <c r="AH165" s="286"/>
      <c r="AI165" s="204"/>
      <c r="AJ165" s="204"/>
      <c r="AK165" s="204"/>
      <c r="AL165" s="204"/>
      <c r="AM165" s="251"/>
      <c r="AN165" s="100" t="b">
        <f t="shared" si="6"/>
        <v>0</v>
      </c>
      <c r="AO165" s="102"/>
    </row>
    <row r="166" ht="14.25" customHeight="1" outlineLevel="2">
      <c r="A166" s="356"/>
      <c r="B166" s="357"/>
      <c r="C166" s="331" t="s">
        <v>1083</v>
      </c>
      <c r="D166" s="271"/>
      <c r="E166" s="162"/>
      <c r="F166" s="162"/>
      <c r="G166" s="162"/>
      <c r="H166" s="178"/>
      <c r="I166" s="178"/>
      <c r="J166" s="178"/>
      <c r="K166" s="178"/>
      <c r="L166" s="178"/>
      <c r="M166" s="178"/>
      <c r="N166" s="178"/>
      <c r="O166" s="178"/>
      <c r="P166" s="178"/>
      <c r="Q166" s="178"/>
      <c r="R166" s="178"/>
      <c r="S166" s="178"/>
      <c r="T166" s="178"/>
      <c r="U166" s="178"/>
      <c r="V166" s="178"/>
      <c r="W166" s="178"/>
      <c r="X166" s="178"/>
      <c r="Y166" s="178"/>
      <c r="Z166" s="178"/>
      <c r="AA166" s="178"/>
      <c r="AB166" s="178"/>
      <c r="AC166" s="178"/>
      <c r="AD166" s="178"/>
      <c r="AE166" s="178"/>
      <c r="AF166" s="178"/>
      <c r="AG166" s="178"/>
      <c r="AH166" s="178"/>
      <c r="AI166" s="244"/>
      <c r="AJ166" s="244"/>
      <c r="AK166" s="244"/>
      <c r="AL166" s="244"/>
      <c r="AM166" s="162"/>
      <c r="AN166" s="100" t="b">
        <f t="shared" si="6"/>
        <v>0</v>
      </c>
      <c r="AO166" s="102"/>
    </row>
    <row r="167" ht="14.25" customHeight="1" outlineLevel="3">
      <c r="A167" s="356"/>
      <c r="B167" s="331"/>
      <c r="C167" s="331"/>
      <c r="D167" s="271"/>
      <c r="E167" s="252" t="s">
        <v>1084</v>
      </c>
      <c r="F167" s="249" t="s">
        <v>432</v>
      </c>
      <c r="G167" s="249" t="s">
        <v>1085</v>
      </c>
      <c r="H167" s="260"/>
      <c r="I167" s="181"/>
      <c r="J167" s="181"/>
      <c r="K167" s="181"/>
      <c r="L167" s="181"/>
      <c r="M167" s="181"/>
      <c r="N167" s="181"/>
      <c r="O167" s="181"/>
      <c r="P167" s="181"/>
      <c r="Q167" s="181"/>
      <c r="R167" s="181"/>
      <c r="S167" s="181"/>
      <c r="T167" s="181"/>
      <c r="U167" s="181"/>
      <c r="V167" s="181"/>
      <c r="W167" s="182"/>
      <c r="X167" s="181"/>
      <c r="Y167" s="181"/>
      <c r="Z167" s="181"/>
      <c r="AA167" s="181"/>
      <c r="AB167" s="182"/>
      <c r="AC167" s="182"/>
      <c r="AD167" s="182"/>
      <c r="AE167" s="182"/>
      <c r="AF167" s="182"/>
      <c r="AG167" s="182"/>
      <c r="AH167" s="184"/>
      <c r="AI167" s="204"/>
      <c r="AJ167" s="204"/>
      <c r="AK167" s="204"/>
      <c r="AL167" s="204"/>
      <c r="AM167" s="251"/>
      <c r="AN167" s="100" t="b">
        <f t="shared" si="6"/>
        <v>0</v>
      </c>
      <c r="AO167" s="102"/>
    </row>
    <row r="168" ht="14.25" customHeight="1" outlineLevel="3">
      <c r="A168" s="356"/>
      <c r="B168" s="331"/>
      <c r="C168" s="331"/>
      <c r="D168" s="271"/>
      <c r="E168" s="252" t="s">
        <v>1086</v>
      </c>
      <c r="F168" s="249" t="s">
        <v>432</v>
      </c>
      <c r="G168" s="249" t="s">
        <v>1087</v>
      </c>
      <c r="H168" s="260"/>
      <c r="I168" s="181"/>
      <c r="J168" s="181"/>
      <c r="K168" s="181"/>
      <c r="L168" s="181"/>
      <c r="M168" s="181"/>
      <c r="N168" s="181"/>
      <c r="O168" s="181"/>
      <c r="P168" s="181"/>
      <c r="Q168" s="181"/>
      <c r="R168" s="181"/>
      <c r="S168" s="181"/>
      <c r="T168" s="181"/>
      <c r="U168" s="181"/>
      <c r="V168" s="181"/>
      <c r="W168" s="182"/>
      <c r="X168" s="181"/>
      <c r="Y168" s="181"/>
      <c r="Z168" s="181"/>
      <c r="AA168" s="181"/>
      <c r="AB168" s="182"/>
      <c r="AC168" s="182"/>
      <c r="AD168" s="182"/>
      <c r="AE168" s="182"/>
      <c r="AF168" s="182"/>
      <c r="AG168" s="182"/>
      <c r="AH168" s="184"/>
      <c r="AI168" s="204"/>
      <c r="AJ168" s="204"/>
      <c r="AK168" s="204"/>
      <c r="AL168" s="204"/>
      <c r="AM168" s="251"/>
      <c r="AN168" s="100" t="b">
        <f t="shared" si="6"/>
        <v>0</v>
      </c>
      <c r="AO168" s="102"/>
    </row>
    <row r="169" ht="14.25" customHeight="1" outlineLevel="3">
      <c r="A169" s="356"/>
      <c r="B169" s="331"/>
      <c r="C169" s="331"/>
      <c r="D169" s="271"/>
      <c r="E169" s="122" t="s">
        <v>1088</v>
      </c>
      <c r="F169" s="123" t="s">
        <v>135</v>
      </c>
      <c r="G169" s="123" t="s">
        <v>1089</v>
      </c>
      <c r="H169" s="260"/>
      <c r="I169" s="181"/>
      <c r="J169" s="181"/>
      <c r="K169" s="181"/>
      <c r="L169" s="181"/>
      <c r="M169" s="181"/>
      <c r="N169" s="181"/>
      <c r="O169" s="181"/>
      <c r="P169" s="181"/>
      <c r="Q169" s="181"/>
      <c r="R169" s="181"/>
      <c r="S169" s="181"/>
      <c r="T169" s="181"/>
      <c r="U169" s="181"/>
      <c r="V169" s="181"/>
      <c r="W169" s="182"/>
      <c r="X169" s="181"/>
      <c r="Y169" s="181"/>
      <c r="Z169" s="181"/>
      <c r="AA169" s="181"/>
      <c r="AB169" s="182"/>
      <c r="AC169" s="182"/>
      <c r="AD169" s="182"/>
      <c r="AE169" s="182"/>
      <c r="AF169" s="182"/>
      <c r="AG169" s="182"/>
      <c r="AH169" s="184"/>
      <c r="AI169" s="204"/>
      <c r="AJ169" s="204"/>
      <c r="AK169" s="204"/>
      <c r="AL169" s="204"/>
      <c r="AM169" s="251"/>
      <c r="AN169" s="100" t="b">
        <f t="shared" si="6"/>
        <v>0</v>
      </c>
      <c r="AO169" s="102"/>
    </row>
    <row r="170" ht="14.25" customHeight="1" outlineLevel="2">
      <c r="A170" s="355"/>
      <c r="B170" s="357"/>
      <c r="C170" s="331" t="s">
        <v>1090</v>
      </c>
      <c r="D170" s="271"/>
      <c r="E170" s="162"/>
      <c r="F170" s="162"/>
      <c r="G170" s="162"/>
      <c r="H170" s="178"/>
      <c r="I170" s="178"/>
      <c r="J170" s="178"/>
      <c r="K170" s="178"/>
      <c r="L170" s="178"/>
      <c r="M170" s="178"/>
      <c r="N170" s="178"/>
      <c r="O170" s="178"/>
      <c r="P170" s="178"/>
      <c r="Q170" s="178"/>
      <c r="R170" s="178"/>
      <c r="S170" s="178"/>
      <c r="T170" s="178"/>
      <c r="U170" s="178"/>
      <c r="V170" s="178"/>
      <c r="W170" s="178"/>
      <c r="X170" s="178"/>
      <c r="Y170" s="178"/>
      <c r="Z170" s="178"/>
      <c r="AA170" s="178"/>
      <c r="AB170" s="178"/>
      <c r="AC170" s="178"/>
      <c r="AD170" s="178"/>
      <c r="AE170" s="178"/>
      <c r="AF170" s="178"/>
      <c r="AG170" s="178"/>
      <c r="AH170" s="178"/>
      <c r="AI170" s="244"/>
      <c r="AJ170" s="244"/>
      <c r="AK170" s="244"/>
      <c r="AL170" s="244"/>
      <c r="AM170" s="162"/>
      <c r="AN170" s="100" t="b">
        <f t="shared" si="6"/>
        <v>0</v>
      </c>
      <c r="AO170" s="102"/>
    </row>
    <row r="171" ht="14.25" customHeight="1" outlineLevel="3">
      <c r="A171" s="355"/>
      <c r="B171" s="357"/>
      <c r="C171" s="331"/>
      <c r="D171" s="271"/>
      <c r="E171" s="122" t="s">
        <v>1091</v>
      </c>
      <c r="F171" s="123" t="s">
        <v>135</v>
      </c>
      <c r="G171" s="123" t="s">
        <v>1092</v>
      </c>
      <c r="H171" s="260"/>
      <c r="I171" s="181"/>
      <c r="J171" s="181"/>
      <c r="K171" s="181"/>
      <c r="L171" s="181"/>
      <c r="M171" s="181"/>
      <c r="N171" s="181"/>
      <c r="O171" s="181"/>
      <c r="P171" s="181"/>
      <c r="Q171" s="181"/>
      <c r="R171" s="181"/>
      <c r="S171" s="181"/>
      <c r="T171" s="181"/>
      <c r="U171" s="181"/>
      <c r="V171" s="181"/>
      <c r="W171" s="182"/>
      <c r="X171" s="181"/>
      <c r="Y171" s="181"/>
      <c r="Z171" s="181"/>
      <c r="AA171" s="181"/>
      <c r="AB171" s="182"/>
      <c r="AC171" s="182"/>
      <c r="AD171" s="182"/>
      <c r="AE171" s="182"/>
      <c r="AF171" s="182"/>
      <c r="AG171" s="182"/>
      <c r="AH171" s="184"/>
      <c r="AI171" s="204"/>
      <c r="AJ171" s="204"/>
      <c r="AK171" s="204"/>
      <c r="AL171" s="204"/>
      <c r="AM171" s="251"/>
      <c r="AN171" s="100" t="b">
        <f t="shared" si="6"/>
        <v>0</v>
      </c>
      <c r="AO171" s="102"/>
    </row>
    <row r="172" ht="14.25" customHeight="1" outlineLevel="1">
      <c r="A172" s="356"/>
      <c r="B172" s="331" t="s">
        <v>1093</v>
      </c>
      <c r="C172" s="331"/>
      <c r="D172" s="271"/>
      <c r="E172" s="162"/>
      <c r="F172" s="162"/>
      <c r="G172" s="162"/>
      <c r="H172" s="178"/>
      <c r="I172" s="178"/>
      <c r="J172" s="178"/>
      <c r="K172" s="178"/>
      <c r="L172" s="178"/>
      <c r="M172" s="178"/>
      <c r="N172" s="178"/>
      <c r="O172" s="178"/>
      <c r="P172" s="178"/>
      <c r="Q172" s="178"/>
      <c r="R172" s="178"/>
      <c r="S172" s="178"/>
      <c r="T172" s="178"/>
      <c r="U172" s="178"/>
      <c r="V172" s="178"/>
      <c r="W172" s="178"/>
      <c r="X172" s="178"/>
      <c r="Y172" s="178"/>
      <c r="Z172" s="178"/>
      <c r="AA172" s="178"/>
      <c r="AB172" s="178"/>
      <c r="AC172" s="178"/>
      <c r="AD172" s="178"/>
      <c r="AE172" s="178"/>
      <c r="AF172" s="178"/>
      <c r="AG172" s="178"/>
      <c r="AH172" s="178"/>
      <c r="AI172" s="244"/>
      <c r="AJ172" s="244"/>
      <c r="AK172" s="244"/>
      <c r="AL172" s="244"/>
      <c r="AM172" s="162"/>
      <c r="AN172" s="100" t="b">
        <f t="shared" si="6"/>
        <v>0</v>
      </c>
      <c r="AO172" s="102"/>
    </row>
    <row r="173" ht="14.25" customHeight="1" outlineLevel="2">
      <c r="A173" s="98"/>
      <c r="B173" s="98"/>
      <c r="C173" s="98"/>
      <c r="D173" s="98"/>
      <c r="E173" s="252" t="s">
        <v>1094</v>
      </c>
      <c r="F173" s="249" t="s">
        <v>432</v>
      </c>
      <c r="G173" s="249" t="s">
        <v>1095</v>
      </c>
      <c r="H173" s="260"/>
      <c r="I173" s="181"/>
      <c r="J173" s="181"/>
      <c r="K173" s="181"/>
      <c r="L173" s="181"/>
      <c r="M173" s="181"/>
      <c r="N173" s="181"/>
      <c r="O173" s="181"/>
      <c r="P173" s="181"/>
      <c r="Q173" s="181"/>
      <c r="R173" s="181"/>
      <c r="S173" s="181"/>
      <c r="T173" s="181"/>
      <c r="U173" s="181"/>
      <c r="V173" s="181"/>
      <c r="W173" s="182">
        <v>100.0</v>
      </c>
      <c r="X173" s="181"/>
      <c r="Y173" s="181"/>
      <c r="Z173" s="181"/>
      <c r="AA173" s="181"/>
      <c r="AB173" s="182"/>
      <c r="AC173" s="182"/>
      <c r="AD173" s="182"/>
      <c r="AE173" s="182"/>
      <c r="AF173" s="182"/>
      <c r="AG173" s="182"/>
      <c r="AH173" s="184"/>
      <c r="AI173" s="204"/>
      <c r="AJ173" s="204"/>
      <c r="AK173" s="204"/>
      <c r="AL173" s="204"/>
      <c r="AM173" s="251"/>
      <c r="AN173" s="100" t="b">
        <f t="shared" si="6"/>
        <v>0</v>
      </c>
      <c r="AO173" s="102"/>
    </row>
    <row r="174" ht="14.25" customHeight="1" outlineLevel="2">
      <c r="A174" s="98"/>
      <c r="B174" s="98"/>
      <c r="C174" s="98"/>
      <c r="D174" s="98"/>
      <c r="E174" s="252" t="s">
        <v>1096</v>
      </c>
      <c r="F174" s="249" t="s">
        <v>432</v>
      </c>
      <c r="G174" s="249" t="s">
        <v>1097</v>
      </c>
      <c r="H174" s="260"/>
      <c r="I174" s="181"/>
      <c r="J174" s="181"/>
      <c r="K174" s="181"/>
      <c r="L174" s="181"/>
      <c r="M174" s="181"/>
      <c r="N174" s="181"/>
      <c r="O174" s="181"/>
      <c r="P174" s="181"/>
      <c r="Q174" s="181"/>
      <c r="R174" s="181"/>
      <c r="S174" s="181"/>
      <c r="T174" s="181"/>
      <c r="U174" s="181"/>
      <c r="V174" s="181"/>
      <c r="W174" s="182">
        <v>100.0</v>
      </c>
      <c r="X174" s="181"/>
      <c r="Y174" s="181"/>
      <c r="Z174" s="181"/>
      <c r="AA174" s="181"/>
      <c r="AB174" s="182"/>
      <c r="AC174" s="182"/>
      <c r="AD174" s="182"/>
      <c r="AE174" s="182"/>
      <c r="AF174" s="182"/>
      <c r="AG174" s="182"/>
      <c r="AH174" s="184"/>
      <c r="AI174" s="204"/>
      <c r="AJ174" s="204"/>
      <c r="AK174" s="204"/>
      <c r="AL174" s="204"/>
      <c r="AM174" s="251"/>
      <c r="AN174" s="100" t="b">
        <f t="shared" si="6"/>
        <v>0</v>
      </c>
      <c r="AO174" s="102"/>
    </row>
    <row r="175" ht="14.25" customHeight="1" outlineLevel="2">
      <c r="A175" s="98"/>
      <c r="B175" s="98"/>
      <c r="C175" s="98"/>
      <c r="D175" s="98"/>
      <c r="E175" s="122" t="s">
        <v>1098</v>
      </c>
      <c r="F175" s="123" t="s">
        <v>135</v>
      </c>
      <c r="G175" s="123" t="s">
        <v>1099</v>
      </c>
      <c r="H175" s="260"/>
      <c r="I175" s="181"/>
      <c r="J175" s="181"/>
      <c r="K175" s="181"/>
      <c r="L175" s="181"/>
      <c r="M175" s="181"/>
      <c r="N175" s="181"/>
      <c r="O175" s="181"/>
      <c r="P175" s="181"/>
      <c r="Q175" s="181"/>
      <c r="R175" s="181"/>
      <c r="S175" s="181"/>
      <c r="T175" s="181"/>
      <c r="U175" s="181"/>
      <c r="V175" s="181"/>
      <c r="W175" s="182"/>
      <c r="X175" s="181"/>
      <c r="Y175" s="181"/>
      <c r="Z175" s="181"/>
      <c r="AA175" s="181"/>
      <c r="AB175" s="182"/>
      <c r="AC175" s="182"/>
      <c r="AD175" s="182"/>
      <c r="AE175" s="182"/>
      <c r="AF175" s="182"/>
      <c r="AG175" s="182"/>
      <c r="AH175" s="184"/>
      <c r="AI175" s="204"/>
      <c r="AJ175" s="204"/>
      <c r="AK175" s="204"/>
      <c r="AL175" s="204"/>
      <c r="AM175" s="251"/>
      <c r="AN175" s="100" t="b">
        <f t="shared" si="6"/>
        <v>0</v>
      </c>
      <c r="AO175" s="102"/>
    </row>
    <row r="176" ht="14.25" customHeight="1" outlineLevel="1">
      <c r="A176" s="356"/>
      <c r="B176" s="331" t="s">
        <v>1100</v>
      </c>
      <c r="C176" s="357"/>
      <c r="D176" s="271"/>
      <c r="E176" s="162"/>
      <c r="F176" s="162"/>
      <c r="G176" s="162"/>
      <c r="H176" s="178"/>
      <c r="I176" s="178"/>
      <c r="J176" s="178"/>
      <c r="K176" s="178"/>
      <c r="L176" s="178"/>
      <c r="M176" s="178"/>
      <c r="N176" s="178"/>
      <c r="O176" s="178"/>
      <c r="P176" s="178"/>
      <c r="Q176" s="178"/>
      <c r="R176" s="178"/>
      <c r="S176" s="178"/>
      <c r="T176" s="178"/>
      <c r="U176" s="178"/>
      <c r="V176" s="178"/>
      <c r="W176" s="178"/>
      <c r="X176" s="178"/>
      <c r="Y176" s="178"/>
      <c r="Z176" s="178"/>
      <c r="AA176" s="178"/>
      <c r="AB176" s="178"/>
      <c r="AC176" s="178"/>
      <c r="AD176" s="178"/>
      <c r="AE176" s="178"/>
      <c r="AF176" s="178"/>
      <c r="AG176" s="178"/>
      <c r="AH176" s="178"/>
      <c r="AI176" s="244"/>
      <c r="AJ176" s="244"/>
      <c r="AK176" s="244"/>
      <c r="AL176" s="244"/>
      <c r="AM176" s="162"/>
      <c r="AN176" s="100" t="b">
        <f t="shared" si="6"/>
        <v>0</v>
      </c>
      <c r="AO176" s="102"/>
    </row>
    <row r="177" ht="14.25" customHeight="1" outlineLevel="1">
      <c r="A177" s="247"/>
      <c r="B177" s="373" t="s">
        <v>1101</v>
      </c>
      <c r="C177" s="246"/>
      <c r="D177" s="201"/>
      <c r="E177" s="162"/>
      <c r="F177" s="162"/>
      <c r="G177" s="162"/>
      <c r="H177" s="178"/>
      <c r="I177" s="178"/>
      <c r="J177" s="178"/>
      <c r="K177" s="178"/>
      <c r="L177" s="178"/>
      <c r="M177" s="178"/>
      <c r="N177" s="178"/>
      <c r="O177" s="178"/>
      <c r="P177" s="178"/>
      <c r="Q177" s="178"/>
      <c r="R177" s="178"/>
      <c r="S177" s="178"/>
      <c r="T177" s="178"/>
      <c r="U177" s="178"/>
      <c r="V177" s="178"/>
      <c r="W177" s="178"/>
      <c r="X177" s="178"/>
      <c r="Y177" s="178"/>
      <c r="Z177" s="178"/>
      <c r="AA177" s="178"/>
      <c r="AB177" s="178"/>
      <c r="AC177" s="178"/>
      <c r="AD177" s="178"/>
      <c r="AE177" s="178"/>
      <c r="AF177" s="178"/>
      <c r="AG177" s="178"/>
      <c r="AH177" s="178"/>
      <c r="AI177" s="244"/>
      <c r="AJ177" s="244"/>
      <c r="AK177" s="244"/>
      <c r="AL177" s="244"/>
      <c r="AM177" s="162"/>
      <c r="AN177" s="100" t="b">
        <f t="shared" si="6"/>
        <v>0</v>
      </c>
      <c r="AO177" s="102"/>
    </row>
    <row r="178" ht="14.25" customHeight="1" outlineLevel="2">
      <c r="A178" s="98"/>
      <c r="B178" s="98"/>
      <c r="C178" s="98"/>
      <c r="D178" s="98"/>
      <c r="E178" s="252" t="s">
        <v>1102</v>
      </c>
      <c r="F178" s="249" t="s">
        <v>432</v>
      </c>
      <c r="G178" s="249" t="s">
        <v>1103</v>
      </c>
      <c r="H178" s="260"/>
      <c r="I178" s="181"/>
      <c r="J178" s="181"/>
      <c r="K178" s="181"/>
      <c r="L178" s="181"/>
      <c r="M178" s="181"/>
      <c r="N178" s="181"/>
      <c r="O178" s="181"/>
      <c r="P178" s="181"/>
      <c r="Q178" s="181"/>
      <c r="R178" s="181"/>
      <c r="S178" s="181"/>
      <c r="T178" s="181"/>
      <c r="U178" s="181"/>
      <c r="V178" s="181"/>
      <c r="W178" s="182">
        <v>100.0</v>
      </c>
      <c r="X178" s="181"/>
      <c r="Y178" s="181"/>
      <c r="Z178" s="181"/>
      <c r="AA178" s="181"/>
      <c r="AB178" s="182">
        <v>100.0</v>
      </c>
      <c r="AC178" s="182">
        <v>100.0</v>
      </c>
      <c r="AD178" s="182">
        <v>100.0</v>
      </c>
      <c r="AE178" s="182">
        <v>100.0</v>
      </c>
      <c r="AF178" s="182">
        <v>100.0</v>
      </c>
      <c r="AG178" s="182">
        <v>100.0</v>
      </c>
      <c r="AH178" s="184">
        <v>100.0</v>
      </c>
      <c r="AI178" s="204"/>
      <c r="AJ178" s="204"/>
      <c r="AK178" s="204"/>
      <c r="AL178" s="204"/>
      <c r="AM178" s="251"/>
      <c r="AN178" s="100" t="b">
        <f t="shared" si="6"/>
        <v>0</v>
      </c>
      <c r="AO178" s="102"/>
    </row>
    <row r="179" ht="14.25" customHeight="1" outlineLevel="2">
      <c r="A179" s="98"/>
      <c r="B179" s="98"/>
      <c r="C179" s="98"/>
      <c r="D179" s="98"/>
      <c r="E179" s="252" t="s">
        <v>1104</v>
      </c>
      <c r="F179" s="249" t="s">
        <v>432</v>
      </c>
      <c r="G179" s="249" t="s">
        <v>1105</v>
      </c>
      <c r="H179" s="260"/>
      <c r="I179" s="181"/>
      <c r="J179" s="181"/>
      <c r="K179" s="181"/>
      <c r="L179" s="181"/>
      <c r="M179" s="181"/>
      <c r="N179" s="181"/>
      <c r="O179" s="181"/>
      <c r="P179" s="181"/>
      <c r="Q179" s="181"/>
      <c r="R179" s="181"/>
      <c r="S179" s="181"/>
      <c r="T179" s="181"/>
      <c r="U179" s="181"/>
      <c r="V179" s="181"/>
      <c r="W179" s="182">
        <v>100.0</v>
      </c>
      <c r="X179" s="181"/>
      <c r="Y179" s="181"/>
      <c r="Z179" s="181"/>
      <c r="AA179" s="181"/>
      <c r="AB179" s="182">
        <v>105.0</v>
      </c>
      <c r="AC179" s="182">
        <v>110.0</v>
      </c>
      <c r="AD179" s="182">
        <v>115.0</v>
      </c>
      <c r="AE179" s="182">
        <v>120.0</v>
      </c>
      <c r="AF179" s="182">
        <v>125.0</v>
      </c>
      <c r="AG179" s="182">
        <v>128.0</v>
      </c>
      <c r="AH179" s="184">
        <v>130.0</v>
      </c>
      <c r="AI179" s="204"/>
      <c r="AJ179" s="204"/>
      <c r="AK179" s="204"/>
      <c r="AL179" s="204"/>
      <c r="AM179" s="251"/>
      <c r="AN179" s="100" t="b">
        <f t="shared" si="6"/>
        <v>0</v>
      </c>
      <c r="AO179" s="102"/>
    </row>
    <row r="180" ht="14.25" customHeight="1" outlineLevel="2">
      <c r="A180" s="98"/>
      <c r="B180" s="98"/>
      <c r="C180" s="98"/>
      <c r="D180" s="98"/>
      <c r="E180" s="122" t="s">
        <v>1106</v>
      </c>
      <c r="F180" s="123" t="s">
        <v>135</v>
      </c>
      <c r="G180" s="123" t="s">
        <v>1107</v>
      </c>
      <c r="H180" s="260"/>
      <c r="I180" s="181"/>
      <c r="J180" s="181"/>
      <c r="K180" s="181"/>
      <c r="L180" s="181"/>
      <c r="M180" s="181"/>
      <c r="N180" s="181"/>
      <c r="O180" s="181"/>
      <c r="P180" s="181"/>
      <c r="Q180" s="181"/>
      <c r="R180" s="181"/>
      <c r="S180" s="181"/>
      <c r="T180" s="181"/>
      <c r="U180" s="181"/>
      <c r="V180" s="181"/>
      <c r="W180" s="182"/>
      <c r="X180" s="181"/>
      <c r="Y180" s="181"/>
      <c r="Z180" s="181"/>
      <c r="AA180" s="181"/>
      <c r="AB180" s="182"/>
      <c r="AC180" s="182"/>
      <c r="AD180" s="182"/>
      <c r="AE180" s="182"/>
      <c r="AF180" s="182"/>
      <c r="AG180" s="182"/>
      <c r="AH180" s="184"/>
      <c r="AI180" s="204"/>
      <c r="AJ180" s="204"/>
      <c r="AK180" s="204"/>
      <c r="AL180" s="204"/>
      <c r="AM180" s="251"/>
      <c r="AN180" s="100" t="b">
        <f t="shared" si="6"/>
        <v>0</v>
      </c>
      <c r="AO180" s="102"/>
    </row>
    <row r="181" ht="14.25" customHeight="1" outlineLevel="2">
      <c r="A181" s="375"/>
      <c r="B181" s="376" t="s">
        <v>1108</v>
      </c>
      <c r="C181" s="127"/>
      <c r="D181" s="283"/>
      <c r="E181" s="162"/>
      <c r="F181" s="162"/>
      <c r="G181" s="162"/>
      <c r="H181" s="290" t="str">
        <f t="shared" ref="H181:AH181" si="7">IF(OR(ISBLANK(H182),COUNTA(#REF!)&lt;3),"",IF(ABS(H182-SUM(#REF!))/H182&lt;10^-3,"","Warning"))</f>
        <v/>
      </c>
      <c r="I181" s="290" t="str">
        <f t="shared" si="7"/>
        <v/>
      </c>
      <c r="J181" s="290" t="str">
        <f t="shared" si="7"/>
        <v/>
      </c>
      <c r="K181" s="290" t="str">
        <f t="shared" si="7"/>
        <v/>
      </c>
      <c r="L181" s="290" t="str">
        <f t="shared" si="7"/>
        <v/>
      </c>
      <c r="M181" s="290" t="str">
        <f t="shared" si="7"/>
        <v/>
      </c>
      <c r="N181" s="290" t="str">
        <f t="shared" si="7"/>
        <v/>
      </c>
      <c r="O181" s="290" t="str">
        <f t="shared" si="7"/>
        <v/>
      </c>
      <c r="P181" s="290" t="str">
        <f t="shared" si="7"/>
        <v/>
      </c>
      <c r="Q181" s="290" t="str">
        <f t="shared" si="7"/>
        <v/>
      </c>
      <c r="R181" s="290" t="str">
        <f t="shared" si="7"/>
        <v/>
      </c>
      <c r="S181" s="290" t="str">
        <f t="shared" si="7"/>
        <v/>
      </c>
      <c r="T181" s="290" t="str">
        <f t="shared" si="7"/>
        <v/>
      </c>
      <c r="U181" s="290" t="str">
        <f t="shared" si="7"/>
        <v/>
      </c>
      <c r="V181" s="290" t="str">
        <f t="shared" si="7"/>
        <v/>
      </c>
      <c r="W181" s="290" t="str">
        <f t="shared" si="7"/>
        <v/>
      </c>
      <c r="X181" s="290" t="str">
        <f t="shared" si="7"/>
        <v/>
      </c>
      <c r="Y181" s="290" t="str">
        <f t="shared" si="7"/>
        <v/>
      </c>
      <c r="Z181" s="290" t="str">
        <f t="shared" si="7"/>
        <v/>
      </c>
      <c r="AA181" s="290" t="str">
        <f t="shared" si="7"/>
        <v/>
      </c>
      <c r="AB181" s="290" t="str">
        <f t="shared" si="7"/>
        <v/>
      </c>
      <c r="AC181" s="290" t="str">
        <f t="shared" si="7"/>
        <v/>
      </c>
      <c r="AD181" s="290" t="str">
        <f t="shared" si="7"/>
        <v/>
      </c>
      <c r="AE181" s="290" t="str">
        <f t="shared" si="7"/>
        <v/>
      </c>
      <c r="AF181" s="290" t="str">
        <f t="shared" si="7"/>
        <v/>
      </c>
      <c r="AG181" s="290" t="str">
        <f t="shared" si="7"/>
        <v/>
      </c>
      <c r="AH181" s="290" t="str">
        <f t="shared" si="7"/>
        <v/>
      </c>
      <c r="AI181" s="244"/>
      <c r="AJ181" s="244"/>
      <c r="AK181" s="244"/>
      <c r="AL181" s="244"/>
      <c r="AM181" s="162"/>
      <c r="AN181" s="100" t="b">
        <f t="shared" si="6"/>
        <v>1</v>
      </c>
      <c r="AO181" s="102"/>
    </row>
    <row r="182" ht="14.25" customHeight="1" outlineLevel="3">
      <c r="A182" s="98"/>
      <c r="B182" s="98"/>
      <c r="C182" s="98"/>
      <c r="D182" s="98"/>
      <c r="E182" s="180" t="s">
        <v>1109</v>
      </c>
      <c r="F182" s="123" t="s">
        <v>135</v>
      </c>
      <c r="G182" s="123" t="s">
        <v>1110</v>
      </c>
      <c r="H182" s="260">
        <v>16.9384383993288</v>
      </c>
      <c r="I182" s="181">
        <v>17.3556939729219</v>
      </c>
      <c r="J182" s="181">
        <v>18.0901619383162</v>
      </c>
      <c r="K182" s="181">
        <v>18.3874127693215</v>
      </c>
      <c r="L182" s="181">
        <v>18.9555799542973</v>
      </c>
      <c r="M182" s="181">
        <v>19.6939400417756</v>
      </c>
      <c r="N182" s="181">
        <v>20.6745726415562</v>
      </c>
      <c r="O182" s="181">
        <v>21.5886115528242</v>
      </c>
      <c r="P182" s="181">
        <v>22.2526625214994</v>
      </c>
      <c r="Q182" s="181">
        <v>22.4562543035479</v>
      </c>
      <c r="R182" s="181">
        <v>22.9299078088734</v>
      </c>
      <c r="S182" s="181">
        <v>23.2402431887046</v>
      </c>
      <c r="T182" s="181">
        <v>23.3626866620932</v>
      </c>
      <c r="U182" s="181">
        <v>23.4133089773729</v>
      </c>
      <c r="V182" s="181">
        <v>23.4258943763414</v>
      </c>
      <c r="W182" s="202">
        <v>23.3380488890806</v>
      </c>
      <c r="X182" s="181">
        <v>0.0</v>
      </c>
      <c r="Y182" s="181">
        <v>0.0</v>
      </c>
      <c r="Z182" s="181">
        <v>0.0</v>
      </c>
      <c r="AA182" s="181">
        <v>0.0</v>
      </c>
      <c r="AB182" s="202">
        <v>0.0</v>
      </c>
      <c r="AC182" s="202">
        <v>0.0</v>
      </c>
      <c r="AD182" s="202">
        <v>0.0</v>
      </c>
      <c r="AE182" s="202">
        <v>0.0</v>
      </c>
      <c r="AF182" s="202">
        <v>0.0</v>
      </c>
      <c r="AG182" s="202">
        <v>0.0</v>
      </c>
      <c r="AH182" s="203">
        <v>0.0</v>
      </c>
      <c r="AI182" s="204"/>
      <c r="AJ182" s="204"/>
      <c r="AK182" s="204"/>
      <c r="AL182" s="204"/>
      <c r="AM182" s="251"/>
      <c r="AN182" s="100" t="b">
        <f t="shared" si="6"/>
        <v>0</v>
      </c>
      <c r="AO182" s="102"/>
    </row>
    <row r="183" ht="14.25" customHeight="1">
      <c r="A183" s="355" t="s">
        <v>1111</v>
      </c>
      <c r="B183" s="246"/>
      <c r="C183" s="246"/>
      <c r="D183" s="271"/>
      <c r="E183" s="162"/>
      <c r="F183" s="162"/>
      <c r="G183" s="162"/>
      <c r="H183" s="178"/>
      <c r="I183" s="178"/>
      <c r="J183" s="178"/>
      <c r="K183" s="178"/>
      <c r="L183" s="178"/>
      <c r="M183" s="178"/>
      <c r="N183" s="178"/>
      <c r="O183" s="178"/>
      <c r="P183" s="178"/>
      <c r="Q183" s="178"/>
      <c r="R183" s="178"/>
      <c r="S183" s="178"/>
      <c r="T183" s="178"/>
      <c r="U183" s="178"/>
      <c r="V183" s="178"/>
      <c r="W183" s="178"/>
      <c r="X183" s="178"/>
      <c r="Y183" s="178"/>
      <c r="Z183" s="178"/>
      <c r="AA183" s="178"/>
      <c r="AB183" s="178"/>
      <c r="AC183" s="178"/>
      <c r="AD183" s="178"/>
      <c r="AE183" s="178"/>
      <c r="AF183" s="178"/>
      <c r="AG183" s="178"/>
      <c r="AH183" s="178"/>
      <c r="AI183" s="336"/>
      <c r="AJ183" s="244"/>
      <c r="AK183" s="244"/>
      <c r="AL183" s="244"/>
      <c r="AM183" s="162"/>
      <c r="AN183" s="100" t="b">
        <f t="shared" si="6"/>
        <v>0</v>
      </c>
      <c r="AO183" s="102"/>
    </row>
    <row r="184" ht="13.5" customHeight="1" outlineLevel="1">
      <c r="A184" s="247"/>
      <c r="B184" s="302" t="s">
        <v>599</v>
      </c>
      <c r="C184" s="162"/>
      <c r="D184" s="201"/>
      <c r="E184" s="162"/>
      <c r="F184" s="162"/>
      <c r="G184" s="162"/>
      <c r="H184" s="178"/>
      <c r="I184" s="178"/>
      <c r="J184" s="178"/>
      <c r="K184" s="178"/>
      <c r="L184" s="178"/>
      <c r="M184" s="178"/>
      <c r="N184" s="178"/>
      <c r="O184" s="178"/>
      <c r="P184" s="178"/>
      <c r="Q184" s="178"/>
      <c r="R184" s="178"/>
      <c r="S184" s="178"/>
      <c r="T184" s="178"/>
      <c r="U184" s="178"/>
      <c r="V184" s="178"/>
      <c r="W184" s="178"/>
      <c r="X184" s="178"/>
      <c r="Y184" s="178"/>
      <c r="Z184" s="178"/>
      <c r="AA184" s="178"/>
      <c r="AB184" s="178"/>
      <c r="AC184" s="178"/>
      <c r="AD184" s="178"/>
      <c r="AE184" s="178"/>
      <c r="AF184" s="178"/>
      <c r="AG184" s="178"/>
      <c r="AH184" s="178"/>
      <c r="AI184" s="336"/>
      <c r="AJ184" s="244"/>
      <c r="AK184" s="244"/>
      <c r="AL184" s="244"/>
      <c r="AM184" s="162"/>
      <c r="AN184" s="100" t="b">
        <f t="shared" si="6"/>
        <v>0</v>
      </c>
      <c r="AO184" s="102"/>
    </row>
    <row r="185" ht="14.25" customHeight="1" outlineLevel="3">
      <c r="A185" s="200"/>
      <c r="B185" s="100"/>
      <c r="C185" s="201"/>
      <c r="D185" s="201"/>
      <c r="E185" s="299" t="s">
        <v>1112</v>
      </c>
      <c r="F185" s="123" t="s">
        <v>135</v>
      </c>
      <c r="G185" s="123" t="s">
        <v>1113</v>
      </c>
      <c r="H185" s="274">
        <f>caltoccfter</f>
        <v>49.29010895</v>
      </c>
      <c r="I185" s="274">
        <f>caltoccfter</f>
        <v>51.52198463</v>
      </c>
      <c r="J185" s="274">
        <f>caltoccfter</f>
        <v>53.49229035</v>
      </c>
      <c r="K185" s="274">
        <f>caltoccfter</f>
        <v>56.05362678</v>
      </c>
      <c r="L185" s="274">
        <f>caltoccfter</f>
        <v>58.05832902</v>
      </c>
      <c r="M185" s="274">
        <f>caltoccfter</f>
        <v>58.46658518</v>
      </c>
      <c r="N185" s="274">
        <f>caltoccfter</f>
        <v>60.52400895</v>
      </c>
      <c r="O185" s="274">
        <f>caltoccfter</f>
        <v>56.32417406</v>
      </c>
      <c r="P185" s="274">
        <f>caltoccfter</f>
        <v>66.0261315</v>
      </c>
      <c r="Q185" s="274">
        <f>caltoccfter</f>
        <v>64.73658019</v>
      </c>
      <c r="R185" s="274">
        <f>caltoccfter</f>
        <v>69.92325112</v>
      </c>
      <c r="S185" s="274">
        <f>caltoccfter</f>
        <v>63.35519376</v>
      </c>
      <c r="T185" s="274">
        <f>caltoccfter</f>
        <v>64.46989642</v>
      </c>
      <c r="U185" s="274">
        <f>caltoccfter</f>
        <v>68.72862275</v>
      </c>
      <c r="V185" s="274">
        <f>caltoccfter</f>
        <v>60.83074714</v>
      </c>
      <c r="W185" s="274">
        <f>caltoccfter</f>
        <v>64.64514641</v>
      </c>
      <c r="X185" s="274">
        <f>caltoccfter</f>
        <v>0</v>
      </c>
      <c r="Y185" s="274">
        <f>caltoccfter</f>
        <v>0</v>
      </c>
      <c r="Z185" s="274">
        <f>caltoccfter</f>
        <v>0</v>
      </c>
      <c r="AA185" s="274">
        <f>caltoccfter</f>
        <v>0</v>
      </c>
      <c r="AB185" s="274">
        <f>caltoccfter</f>
        <v>0</v>
      </c>
      <c r="AC185" s="274">
        <f>caltoccfter</f>
        <v>0</v>
      </c>
      <c r="AD185" s="274">
        <f>caltoccfter</f>
        <v>0</v>
      </c>
      <c r="AE185" s="274">
        <f>caltoccfter</f>
        <v>0</v>
      </c>
      <c r="AF185" s="274">
        <f>caltoccfter</f>
        <v>0</v>
      </c>
      <c r="AG185" s="274">
        <f>caltoccfter</f>
        <v>0</v>
      </c>
      <c r="AH185" s="274">
        <f>caltoccfter</f>
        <v>0</v>
      </c>
      <c r="AI185" s="204"/>
      <c r="AJ185" s="204"/>
      <c r="AK185" s="204"/>
      <c r="AL185" s="204"/>
      <c r="AM185" s="251"/>
      <c r="AN185" s="100" t="b">
        <f t="shared" si="6"/>
        <v>1</v>
      </c>
      <c r="AO185" s="102"/>
    </row>
    <row r="186" ht="14.25" customHeight="1" outlineLevel="3">
      <c r="A186" s="200"/>
      <c r="B186" s="201"/>
      <c r="C186" s="201"/>
      <c r="D186" s="201"/>
      <c r="E186" s="273" t="s">
        <v>1114</v>
      </c>
      <c r="F186" s="123" t="s">
        <v>135</v>
      </c>
      <c r="G186" s="123" t="s">
        <v>1115</v>
      </c>
      <c r="H186" s="274">
        <f>calcmscfter</f>
        <v>0</v>
      </c>
      <c r="I186" s="274">
        <f>calcmscfter</f>
        <v>0</v>
      </c>
      <c r="J186" s="274">
        <f>calcmscfter</f>
        <v>0</v>
      </c>
      <c r="K186" s="274">
        <f>calcmscfter</f>
        <v>0</v>
      </c>
      <c r="L186" s="274">
        <f>calcmscfter</f>
        <v>0</v>
      </c>
      <c r="M186" s="274">
        <f>calcmscfter</f>
        <v>0</v>
      </c>
      <c r="N186" s="274">
        <f>calcmscfter</f>
        <v>0</v>
      </c>
      <c r="O186" s="274">
        <f>calcmscfter</f>
        <v>0</v>
      </c>
      <c r="P186" s="274">
        <f>calcmscfter</f>
        <v>0</v>
      </c>
      <c r="Q186" s="274">
        <f>calcmscfter</f>
        <v>0</v>
      </c>
      <c r="R186" s="274">
        <f>calcmscfter</f>
        <v>0</v>
      </c>
      <c r="S186" s="274">
        <f>calcmscfter</f>
        <v>0</v>
      </c>
      <c r="T186" s="274">
        <f>calcmscfter</f>
        <v>0</v>
      </c>
      <c r="U186" s="274">
        <f>calcmscfter</f>
        <v>0</v>
      </c>
      <c r="V186" s="274">
        <f>calcmscfter</f>
        <v>0</v>
      </c>
      <c r="W186" s="274">
        <f>calcmscfter</f>
        <v>0</v>
      </c>
      <c r="X186" s="274">
        <f>calcmscfter</f>
        <v>0</v>
      </c>
      <c r="Y186" s="274">
        <f>calcmscfter</f>
        <v>0</v>
      </c>
      <c r="Z186" s="274">
        <f>calcmscfter</f>
        <v>0</v>
      </c>
      <c r="AA186" s="274">
        <f>calcmscfter</f>
        <v>0</v>
      </c>
      <c r="AB186" s="274">
        <f>calcmscfter</f>
        <v>0</v>
      </c>
      <c r="AC186" s="274">
        <f>calcmscfter</f>
        <v>0</v>
      </c>
      <c r="AD186" s="274">
        <f>calcmscfter</f>
        <v>0</v>
      </c>
      <c r="AE186" s="274">
        <f>calcmscfter</f>
        <v>0</v>
      </c>
      <c r="AF186" s="274">
        <f>calcmscfter</f>
        <v>0</v>
      </c>
      <c r="AG186" s="274">
        <f>calcmscfter</f>
        <v>0</v>
      </c>
      <c r="AH186" s="274">
        <f>calcmscfter</f>
        <v>0</v>
      </c>
      <c r="AI186" s="204"/>
      <c r="AJ186" s="204"/>
      <c r="AK186" s="204"/>
      <c r="AL186" s="204"/>
      <c r="AM186" s="251"/>
      <c r="AN186" s="100" t="b">
        <f t="shared" si="6"/>
        <v>1</v>
      </c>
      <c r="AO186" s="102"/>
    </row>
    <row r="187" ht="14.25" customHeight="1" outlineLevel="3">
      <c r="A187" s="200"/>
      <c r="B187" s="201"/>
      <c r="C187" s="201"/>
      <c r="D187" s="201"/>
      <c r="E187" s="273" t="s">
        <v>1116</v>
      </c>
      <c r="F187" s="123" t="s">
        <v>135</v>
      </c>
      <c r="G187" s="123" t="s">
        <v>1117</v>
      </c>
      <c r="H187" s="274">
        <f>calenccfter</f>
        <v>0</v>
      </c>
      <c r="I187" s="274">
        <f>calenccfter</f>
        <v>0</v>
      </c>
      <c r="J187" s="274">
        <f>calenccfter</f>
        <v>0</v>
      </c>
      <c r="K187" s="274">
        <f>calenccfter</f>
        <v>0</v>
      </c>
      <c r="L187" s="274">
        <f>calenccfter</f>
        <v>0.0476482263</v>
      </c>
      <c r="M187" s="274">
        <f>calenccfter</f>
        <v>0.06027786851</v>
      </c>
      <c r="N187" s="274">
        <f>calenccfter</f>
        <v>0.0593591711</v>
      </c>
      <c r="O187" s="274">
        <f>calenccfter</f>
        <v>0.0616407445</v>
      </c>
      <c r="P187" s="274">
        <f>calenccfter</f>
        <v>0.034236394</v>
      </c>
      <c r="Q187" s="274">
        <f>calenccfter</f>
        <v>0.0244274194</v>
      </c>
      <c r="R187" s="274">
        <f>calenccfter</f>
        <v>0.05058616869</v>
      </c>
      <c r="S187" s="274">
        <f>calenccfter</f>
        <v>0.05753047133</v>
      </c>
      <c r="T187" s="274">
        <f>calenccfter</f>
        <v>0.2268182647</v>
      </c>
      <c r="U187" s="274">
        <f>calenccfter</f>
        <v>0.2330738762</v>
      </c>
      <c r="V187" s="274">
        <f>calenccfter</f>
        <v>0.2130816421</v>
      </c>
      <c r="W187" s="274">
        <f>calenccfter</f>
        <v>0.2066885639</v>
      </c>
      <c r="X187" s="274">
        <f>calenccfter</f>
        <v>0</v>
      </c>
      <c r="Y187" s="274">
        <f>calenccfter</f>
        <v>0</v>
      </c>
      <c r="Z187" s="274">
        <f>calenccfter</f>
        <v>0</v>
      </c>
      <c r="AA187" s="274">
        <f>calenccfter</f>
        <v>0</v>
      </c>
      <c r="AB187" s="274">
        <f>calenccfter</f>
        <v>0</v>
      </c>
      <c r="AC187" s="274">
        <f>calenccfter</f>
        <v>0</v>
      </c>
      <c r="AD187" s="274">
        <f>calenccfter</f>
        <v>0</v>
      </c>
      <c r="AE187" s="274">
        <f>calenccfter</f>
        <v>0</v>
      </c>
      <c r="AF187" s="274">
        <f>calenccfter</f>
        <v>0</v>
      </c>
      <c r="AG187" s="274">
        <f>calenccfter</f>
        <v>0</v>
      </c>
      <c r="AH187" s="274">
        <f>calenccfter</f>
        <v>0</v>
      </c>
      <c r="AI187" s="204"/>
      <c r="AJ187" s="204"/>
      <c r="AK187" s="204"/>
      <c r="AL187" s="204"/>
      <c r="AM187" s="251"/>
      <c r="AN187" s="100" t="b">
        <f t="shared" si="6"/>
        <v>1</v>
      </c>
      <c r="AO187" s="102"/>
    </row>
    <row r="188" ht="14.25" customHeight="1" outlineLevel="3">
      <c r="A188" s="200"/>
      <c r="B188" s="201"/>
      <c r="C188" s="201"/>
      <c r="D188" s="201"/>
      <c r="E188" s="273" t="s">
        <v>1118</v>
      </c>
      <c r="F188" s="123" t="s">
        <v>135</v>
      </c>
      <c r="G188" s="123" t="s">
        <v>1119</v>
      </c>
      <c r="H188" s="274">
        <f>calpetcfter</f>
        <v>10.04137344</v>
      </c>
      <c r="I188" s="274">
        <f>calpetcfter</f>
        <v>10.28855382</v>
      </c>
      <c r="J188" s="274">
        <f>calpetcfter</f>
        <v>13.23380084</v>
      </c>
      <c r="K188" s="274">
        <f>calpetcfter</f>
        <v>14.97734811</v>
      </c>
      <c r="L188" s="274">
        <f>calpetcfter</f>
        <v>14.84746764</v>
      </c>
      <c r="M188" s="274">
        <f>calpetcfter</f>
        <v>14.76017295</v>
      </c>
      <c r="N188" s="274">
        <f>calpetcfter</f>
        <v>12.71894202</v>
      </c>
      <c r="O188" s="274">
        <f>calpetcfter</f>
        <v>10.8360934</v>
      </c>
      <c r="P188" s="274">
        <f>calpetcfter</f>
        <v>13.4641202</v>
      </c>
      <c r="Q188" s="274">
        <f>calpetcfter</f>
        <v>11.10786115</v>
      </c>
      <c r="R188" s="274">
        <f>calpetcfter</f>
        <v>12.65420457</v>
      </c>
      <c r="S188" s="274">
        <f>calpetcfter</f>
        <v>10.42138015</v>
      </c>
      <c r="T188" s="274">
        <f>calpetcfter</f>
        <v>10.10282028</v>
      </c>
      <c r="U188" s="274">
        <f>calpetcfter</f>
        <v>10.99023002</v>
      </c>
      <c r="V188" s="274">
        <f>calpetcfter</f>
        <v>8.806082082</v>
      </c>
      <c r="W188" s="274">
        <f>calpetcfter</f>
        <v>10.30055069</v>
      </c>
      <c r="X188" s="274">
        <f>calpetcfter</f>
        <v>0</v>
      </c>
      <c r="Y188" s="274">
        <f>calpetcfter</f>
        <v>0</v>
      </c>
      <c r="Z188" s="274">
        <f>calpetcfter</f>
        <v>0</v>
      </c>
      <c r="AA188" s="274">
        <f>calpetcfter</f>
        <v>0</v>
      </c>
      <c r="AB188" s="274">
        <f>calpetcfter</f>
        <v>0</v>
      </c>
      <c r="AC188" s="274">
        <f>calpetcfter</f>
        <v>0</v>
      </c>
      <c r="AD188" s="274">
        <f>calpetcfter</f>
        <v>0</v>
      </c>
      <c r="AE188" s="274">
        <f>calpetcfter</f>
        <v>0</v>
      </c>
      <c r="AF188" s="274">
        <f>calpetcfter</f>
        <v>0</v>
      </c>
      <c r="AG188" s="274">
        <f>calpetcfter</f>
        <v>0</v>
      </c>
      <c r="AH188" s="274">
        <f>calpetcfter</f>
        <v>0</v>
      </c>
      <c r="AI188" s="204"/>
      <c r="AJ188" s="204"/>
      <c r="AK188" s="204"/>
      <c r="AL188" s="204"/>
      <c r="AM188" s="251"/>
      <c r="AN188" s="100" t="b">
        <f t="shared" si="6"/>
        <v>1</v>
      </c>
      <c r="AO188" s="102"/>
    </row>
    <row r="189" ht="14.25" customHeight="1" outlineLevel="3">
      <c r="A189" s="200"/>
      <c r="B189" s="201"/>
      <c r="C189" s="201"/>
      <c r="D189" s="201"/>
      <c r="E189" s="273" t="s">
        <v>1120</v>
      </c>
      <c r="F189" s="123" t="s">
        <v>135</v>
      </c>
      <c r="G189" s="123" t="s">
        <v>1121</v>
      </c>
      <c r="H189" s="274">
        <f>calgazcfter</f>
        <v>17.97004106</v>
      </c>
      <c r="I189" s="274">
        <f>calgazcfter</f>
        <v>19.19658794</v>
      </c>
      <c r="J189" s="274">
        <f>calgazcfter</f>
        <v>18.79446616</v>
      </c>
      <c r="K189" s="274">
        <f>calgazcfter</f>
        <v>19.42454693</v>
      </c>
      <c r="L189" s="274">
        <f>calgazcfter</f>
        <v>20.55502306</v>
      </c>
      <c r="M189" s="274">
        <f>calgazcfter</f>
        <v>20.58944975</v>
      </c>
      <c r="N189" s="274">
        <f>calgazcfter</f>
        <v>19.6512249</v>
      </c>
      <c r="O189" s="274">
        <f>calgazcfter</f>
        <v>15.88616912</v>
      </c>
      <c r="P189" s="274">
        <f>calgazcfter</f>
        <v>19.72359936</v>
      </c>
      <c r="Q189" s="274">
        <f>calgazcfter</f>
        <v>20.06307833</v>
      </c>
      <c r="R189" s="274">
        <f>calgazcfter</f>
        <v>22.65065155</v>
      </c>
      <c r="S189" s="274">
        <f>calgazcfter</f>
        <v>18.54064437</v>
      </c>
      <c r="T189" s="274">
        <f>calgazcfter</f>
        <v>19.96550589</v>
      </c>
      <c r="U189" s="274">
        <f>calgazcfter</f>
        <v>22.74381862</v>
      </c>
      <c r="V189" s="274">
        <f>calgazcfter</f>
        <v>17.86698301</v>
      </c>
      <c r="W189" s="274">
        <f>calgazcfter</f>
        <v>19.92832716</v>
      </c>
      <c r="X189" s="274">
        <f>calgazcfter</f>
        <v>0</v>
      </c>
      <c r="Y189" s="274">
        <f>calgazcfter</f>
        <v>0</v>
      </c>
      <c r="Z189" s="274">
        <f>calgazcfter</f>
        <v>0</v>
      </c>
      <c r="AA189" s="274">
        <f>calgazcfter</f>
        <v>0</v>
      </c>
      <c r="AB189" s="274">
        <f>calgazcfter</f>
        <v>0</v>
      </c>
      <c r="AC189" s="274">
        <f>calgazcfter</f>
        <v>0</v>
      </c>
      <c r="AD189" s="274">
        <f>calgazcfter</f>
        <v>0</v>
      </c>
      <c r="AE189" s="274">
        <f>calgazcfter</f>
        <v>0</v>
      </c>
      <c r="AF189" s="274">
        <f>calgazcfter</f>
        <v>0</v>
      </c>
      <c r="AG189" s="274">
        <f>calgazcfter</f>
        <v>0</v>
      </c>
      <c r="AH189" s="274">
        <f>calgazcfter</f>
        <v>0</v>
      </c>
      <c r="AI189" s="204"/>
      <c r="AJ189" s="204"/>
      <c r="AK189" s="204"/>
      <c r="AL189" s="204"/>
      <c r="AM189" s="251"/>
      <c r="AN189" s="100" t="b">
        <f t="shared" si="6"/>
        <v>1</v>
      </c>
      <c r="AO189" s="102"/>
    </row>
    <row r="190" ht="14.25" customHeight="1" outlineLevel="3">
      <c r="A190" s="200"/>
      <c r="B190" s="201"/>
      <c r="C190" s="201"/>
      <c r="D190" s="201"/>
      <c r="E190" s="273" t="s">
        <v>1122</v>
      </c>
      <c r="F190" s="123" t="s">
        <v>135</v>
      </c>
      <c r="G190" s="123" t="s">
        <v>1123</v>
      </c>
      <c r="H190" s="274">
        <f>calelccfter</f>
        <v>20.69322105</v>
      </c>
      <c r="I190" s="274">
        <f>calelccfter</f>
        <v>21.44871499</v>
      </c>
      <c r="J190" s="274">
        <f>calelccfter</f>
        <v>20.88285028</v>
      </c>
      <c r="K190" s="274">
        <f>calelccfter</f>
        <v>21.07666794</v>
      </c>
      <c r="L190" s="274">
        <f>calelccfter</f>
        <v>21.3769806</v>
      </c>
      <c r="M190" s="274">
        <f>calelccfter</f>
        <v>22.49751497</v>
      </c>
      <c r="N190" s="274">
        <f>calelccfter</f>
        <v>27.09409347</v>
      </c>
      <c r="O190" s="274">
        <f>calelccfter</f>
        <v>28.48807387</v>
      </c>
      <c r="P190" s="274">
        <f>calelccfter</f>
        <v>31.18248405</v>
      </c>
      <c r="Q190" s="274">
        <f>calelccfter</f>
        <v>31.80481012</v>
      </c>
      <c r="R190" s="274">
        <f>calelccfter</f>
        <v>32.59852494</v>
      </c>
      <c r="S190" s="274">
        <f>calelccfter</f>
        <v>32.30857971</v>
      </c>
      <c r="T190" s="274">
        <f>calelccfter</f>
        <v>32.52206922</v>
      </c>
      <c r="U190" s="274">
        <f>calelccfter</f>
        <v>32.55401111</v>
      </c>
      <c r="V190" s="274">
        <f>calelccfter</f>
        <v>31.578977</v>
      </c>
      <c r="W190" s="274">
        <f>calelccfter</f>
        <v>31.21328016</v>
      </c>
      <c r="X190" s="274">
        <f>calelccfter</f>
        <v>0</v>
      </c>
      <c r="Y190" s="274">
        <f>calelccfter</f>
        <v>0</v>
      </c>
      <c r="Z190" s="274">
        <f>calelccfter</f>
        <v>0</v>
      </c>
      <c r="AA190" s="274">
        <f>calelccfter</f>
        <v>0</v>
      </c>
      <c r="AB190" s="274">
        <f>calelccfter</f>
        <v>0</v>
      </c>
      <c r="AC190" s="274">
        <f>calelccfter</f>
        <v>0</v>
      </c>
      <c r="AD190" s="274">
        <f>calelccfter</f>
        <v>0</v>
      </c>
      <c r="AE190" s="274">
        <f>calelccfter</f>
        <v>0</v>
      </c>
      <c r="AF190" s="274">
        <f>calelccfter</f>
        <v>0</v>
      </c>
      <c r="AG190" s="274">
        <f>calelccfter</f>
        <v>0</v>
      </c>
      <c r="AH190" s="274">
        <f>calelccfter</f>
        <v>0</v>
      </c>
      <c r="AI190" s="204"/>
      <c r="AJ190" s="204"/>
      <c r="AK190" s="204"/>
      <c r="AL190" s="204"/>
      <c r="AM190" s="251"/>
      <c r="AN190" s="100" t="b">
        <f t="shared" si="6"/>
        <v>1</v>
      </c>
      <c r="AO190" s="102"/>
    </row>
    <row r="191" ht="14.25" customHeight="1" outlineLevel="3">
      <c r="A191" s="200"/>
      <c r="B191" s="201"/>
      <c r="C191" s="201"/>
      <c r="D191" s="201"/>
      <c r="E191" s="273" t="s">
        <v>1124</v>
      </c>
      <c r="F191" s="123" t="s">
        <v>135</v>
      </c>
      <c r="G191" s="123" t="s">
        <v>1125</v>
      </c>
      <c r="H191" s="274">
        <f>calvapcfter</f>
        <v>0.5577789717</v>
      </c>
      <c r="I191" s="274">
        <f>calvapcfter</f>
        <v>0.5559607526</v>
      </c>
      <c r="J191" s="274">
        <f>calvapcfter</f>
        <v>0.5479384949</v>
      </c>
      <c r="K191" s="274">
        <f>calvapcfter</f>
        <v>0.5373125128</v>
      </c>
      <c r="L191" s="274">
        <f>calvapcfter</f>
        <v>1.18648004</v>
      </c>
      <c r="M191" s="274">
        <f>calvapcfter</f>
        <v>0.4925004665</v>
      </c>
      <c r="N191" s="274">
        <f>calvapcfter</f>
        <v>0.5919692097</v>
      </c>
      <c r="O191" s="274">
        <f>calvapcfter</f>
        <v>0.5839369502</v>
      </c>
      <c r="P191" s="274">
        <f>calvapcfter</f>
        <v>0.8257338379</v>
      </c>
      <c r="Q191" s="274">
        <f>calvapcfter</f>
        <v>0.806089256</v>
      </c>
      <c r="R191" s="274">
        <f>calvapcfter</f>
        <v>0.8944429314</v>
      </c>
      <c r="S191" s="274">
        <f>calvapcfter</f>
        <v>1.037779029</v>
      </c>
      <c r="T191" s="274">
        <f>calvapcfter</f>
        <v>0.5205557736</v>
      </c>
      <c r="U191" s="274">
        <f>calvapcfter</f>
        <v>0.7699977717</v>
      </c>
      <c r="V191" s="274">
        <f>calvapcfter</f>
        <v>0.7930562438</v>
      </c>
      <c r="W191" s="274">
        <f>calvapcfter</f>
        <v>0.7705568844</v>
      </c>
      <c r="X191" s="274">
        <f>calvapcfter</f>
        <v>0</v>
      </c>
      <c r="Y191" s="274">
        <f>calvapcfter</f>
        <v>0</v>
      </c>
      <c r="Z191" s="274">
        <f>calvapcfter</f>
        <v>0</v>
      </c>
      <c r="AA191" s="274">
        <f>calvapcfter</f>
        <v>0</v>
      </c>
      <c r="AB191" s="274">
        <f>calvapcfter</f>
        <v>0</v>
      </c>
      <c r="AC191" s="274">
        <f>calvapcfter</f>
        <v>0</v>
      </c>
      <c r="AD191" s="274">
        <f>calvapcfter</f>
        <v>0</v>
      </c>
      <c r="AE191" s="274">
        <f>calvapcfter</f>
        <v>0</v>
      </c>
      <c r="AF191" s="274">
        <f>calvapcfter</f>
        <v>0</v>
      </c>
      <c r="AG191" s="274">
        <f>calvapcfter</f>
        <v>0</v>
      </c>
      <c r="AH191" s="274">
        <f>calvapcfter</f>
        <v>0</v>
      </c>
      <c r="AI191" s="204"/>
      <c r="AJ191" s="204"/>
      <c r="AK191" s="204"/>
      <c r="AL191" s="204"/>
      <c r="AM191" s="251"/>
      <c r="AN191" s="100" t="b">
        <f t="shared" si="6"/>
        <v>1</v>
      </c>
      <c r="AO191" s="102"/>
    </row>
    <row r="192" ht="14.25" customHeight="1" outlineLevel="3">
      <c r="A192" s="200"/>
      <c r="B192" s="201"/>
      <c r="C192" s="201"/>
      <c r="D192" s="201"/>
      <c r="E192" s="273" t="s">
        <v>1126</v>
      </c>
      <c r="F192" s="123" t="s">
        <v>135</v>
      </c>
      <c r="G192" s="123" t="s">
        <v>1127</v>
      </c>
      <c r="H192" s="274">
        <f>calpaccfter</f>
        <v>0.02130553232</v>
      </c>
      <c r="I192" s="274">
        <f>calpaccfter</f>
        <v>0.03000743816</v>
      </c>
      <c r="J192" s="274">
        <f>calpaccfter</f>
        <v>0.03090857247</v>
      </c>
      <c r="K192" s="274">
        <f>calpaccfter</f>
        <v>0.03426228691</v>
      </c>
      <c r="L192" s="274">
        <f>calpaccfter</f>
        <v>0.04110612068</v>
      </c>
      <c r="M192" s="274">
        <f>calpaccfter</f>
        <v>0.06305809545</v>
      </c>
      <c r="N192" s="274">
        <f>calpaccfter</f>
        <v>0.4037680616</v>
      </c>
      <c r="O192" s="274">
        <f>calpaccfter</f>
        <v>0.4624435888</v>
      </c>
      <c r="P192" s="274">
        <f>calpaccfter</f>
        <v>0.7875627776</v>
      </c>
      <c r="Q192" s="274">
        <f>calpaccfter</f>
        <v>0.9128657804</v>
      </c>
      <c r="R192" s="274">
        <f>calpaccfter</f>
        <v>1.064563178</v>
      </c>
      <c r="S192" s="274">
        <f>calpaccfter</f>
        <v>0.9767800681</v>
      </c>
      <c r="T192" s="274">
        <f>calpaccfter</f>
        <v>1.122677433</v>
      </c>
      <c r="U192" s="274">
        <f>calpaccfter</f>
        <v>1.428602807</v>
      </c>
      <c r="V192" s="274">
        <f>calpaccfter</f>
        <v>1.563122747</v>
      </c>
      <c r="W192" s="274">
        <f>calpaccfter</f>
        <v>2.215743133</v>
      </c>
      <c r="X192" s="274">
        <f>calpaccfter</f>
        <v>0</v>
      </c>
      <c r="Y192" s="274">
        <f>calpaccfter</f>
        <v>0</v>
      </c>
      <c r="Z192" s="274">
        <f>calpaccfter</f>
        <v>0</v>
      </c>
      <c r="AA192" s="274">
        <f>calpaccfter</f>
        <v>0</v>
      </c>
      <c r="AB192" s="274">
        <f>calpaccfter</f>
        <v>0</v>
      </c>
      <c r="AC192" s="274">
        <f>calpaccfter</f>
        <v>0</v>
      </c>
      <c r="AD192" s="274">
        <f>calpaccfter</f>
        <v>0</v>
      </c>
      <c r="AE192" s="274">
        <f>calpaccfter</f>
        <v>0</v>
      </c>
      <c r="AF192" s="274">
        <f>calpaccfter</f>
        <v>0</v>
      </c>
      <c r="AG192" s="274">
        <f>calpaccfter</f>
        <v>0</v>
      </c>
      <c r="AH192" s="274">
        <f>calpaccfter</f>
        <v>0</v>
      </c>
      <c r="AI192" s="204"/>
      <c r="AJ192" s="204"/>
      <c r="AK192" s="204"/>
      <c r="AL192" s="204"/>
      <c r="AM192" s="251"/>
      <c r="AN192" s="100" t="b">
        <f t="shared" si="6"/>
        <v>1</v>
      </c>
      <c r="AO192" s="102"/>
    </row>
    <row r="193" ht="14.25" customHeight="1" outlineLevel="3">
      <c r="A193" s="200"/>
      <c r="B193" s="201"/>
      <c r="C193" s="201"/>
      <c r="D193" s="201"/>
      <c r="E193" s="273" t="s">
        <v>1128</v>
      </c>
      <c r="F193" s="123" t="s">
        <v>135</v>
      </c>
      <c r="G193" s="123" t="s">
        <v>1129</v>
      </c>
      <c r="H193" s="274">
        <f>calsthcfter</f>
        <v>0.00638889638</v>
      </c>
      <c r="I193" s="274">
        <f>calsthcfter</f>
        <v>0.002159691</v>
      </c>
      <c r="J193" s="274">
        <f>calsthcfter</f>
        <v>0.002326</v>
      </c>
      <c r="K193" s="274">
        <f>calsthcfter</f>
        <v>0.003489</v>
      </c>
      <c r="L193" s="274">
        <f>calsthcfter</f>
        <v>0.0036233265</v>
      </c>
      <c r="M193" s="274">
        <f>calsthcfter</f>
        <v>0.003611092726</v>
      </c>
      <c r="N193" s="274">
        <f>calsthcfter</f>
        <v>0.0046521163</v>
      </c>
      <c r="O193" s="274">
        <f>calsthcfter</f>
        <v>0.0058163956</v>
      </c>
      <c r="P193" s="274">
        <f>calsthcfter</f>
        <v>0.0083948829</v>
      </c>
      <c r="Q193" s="274">
        <f>calsthcfter</f>
        <v>0.0174481401</v>
      </c>
      <c r="R193" s="274">
        <f>calsthcfter</f>
        <v>0.01027777778</v>
      </c>
      <c r="S193" s="274">
        <f>calsthcfter</f>
        <v>0.01249996522</v>
      </c>
      <c r="T193" s="274">
        <f>calsthcfter</f>
        <v>0.009449562435</v>
      </c>
      <c r="U193" s="274">
        <f>calsthcfter</f>
        <v>0.00888854259</v>
      </c>
      <c r="V193" s="274">
        <f>calsthcfter</f>
        <v>0.009444415186</v>
      </c>
      <c r="W193" s="274">
        <f>calsthcfter</f>
        <v>0.009999820025</v>
      </c>
      <c r="X193" s="274">
        <f>calsthcfter</f>
        <v>0</v>
      </c>
      <c r="Y193" s="274">
        <f>calsthcfter</f>
        <v>0</v>
      </c>
      <c r="Z193" s="274">
        <f>calsthcfter</f>
        <v>0</v>
      </c>
      <c r="AA193" s="274">
        <f>calsthcfter</f>
        <v>0</v>
      </c>
      <c r="AB193" s="274">
        <f>calsthcfter</f>
        <v>0</v>
      </c>
      <c r="AC193" s="274">
        <f>calsthcfter</f>
        <v>0</v>
      </c>
      <c r="AD193" s="274">
        <f>calsthcfter</f>
        <v>0</v>
      </c>
      <c r="AE193" s="274">
        <f>calsthcfter</f>
        <v>0</v>
      </c>
      <c r="AF193" s="274">
        <f>calsthcfter</f>
        <v>0</v>
      </c>
      <c r="AG193" s="274">
        <f>calsthcfter</f>
        <v>0</v>
      </c>
      <c r="AH193" s="274">
        <f>calsthcfter</f>
        <v>0</v>
      </c>
      <c r="AI193" s="204"/>
      <c r="AJ193" s="204"/>
      <c r="AK193" s="204"/>
      <c r="AL193" s="204"/>
      <c r="AM193" s="251"/>
      <c r="AN193" s="100" t="b">
        <f t="shared" si="6"/>
        <v>1</v>
      </c>
      <c r="AO193" s="102"/>
    </row>
    <row r="194" ht="14.25" customHeight="1" outlineLevel="1">
      <c r="A194" s="243"/>
      <c r="B194" s="376" t="str">
        <f>IF(COUNTIF(H194:AH194,"warning")&gt;0,"• Optional input values &gt;&gt; WARNING: For some years, Total FEC ≠ ∑ FEC by final energy carrier!","• Optional input values")</f>
        <v>• Optional input values &gt;&gt; WARNING: For some years, Total FEC ≠ ∑ FEC by final energy carrier!</v>
      </c>
      <c r="C194" s="246"/>
      <c r="D194" s="201"/>
      <c r="E194" s="162"/>
      <c r="F194" s="162"/>
      <c r="G194" s="162"/>
      <c r="H194" s="290" t="str">
        <f t="shared" ref="H194:AH194" si="8">IF(OR(ISBLANK(H195),COUNTA(H196:H201)=0),"",IF(ABS(H195-SUM(H196:H201))/H195&lt;10^-3,"","Warning"))</f>
        <v/>
      </c>
      <c r="I194" s="290" t="str">
        <f t="shared" si="8"/>
        <v/>
      </c>
      <c r="J194" s="290" t="str">
        <f t="shared" si="8"/>
        <v/>
      </c>
      <c r="K194" s="290" t="str">
        <f t="shared" si="8"/>
        <v/>
      </c>
      <c r="L194" s="290" t="str">
        <f t="shared" si="8"/>
        <v/>
      </c>
      <c r="M194" s="290" t="str">
        <f t="shared" si="8"/>
        <v/>
      </c>
      <c r="N194" s="290" t="str">
        <f t="shared" si="8"/>
        <v/>
      </c>
      <c r="O194" s="290" t="str">
        <f t="shared" si="8"/>
        <v/>
      </c>
      <c r="P194" s="290" t="str">
        <f t="shared" si="8"/>
        <v/>
      </c>
      <c r="Q194" s="290" t="str">
        <f t="shared" si="8"/>
        <v/>
      </c>
      <c r="R194" s="290" t="str">
        <f t="shared" si="8"/>
        <v/>
      </c>
      <c r="S194" s="290" t="str">
        <f t="shared" si="8"/>
        <v/>
      </c>
      <c r="T194" s="290" t="str">
        <f t="shared" si="8"/>
        <v/>
      </c>
      <c r="U194" s="290" t="str">
        <f t="shared" si="8"/>
        <v/>
      </c>
      <c r="V194" s="290" t="str">
        <f t="shared" si="8"/>
        <v/>
      </c>
      <c r="W194" s="290" t="str">
        <f t="shared" si="8"/>
        <v>Warning</v>
      </c>
      <c r="X194" s="290" t="str">
        <f t="shared" si="8"/>
        <v/>
      </c>
      <c r="Y194" s="290" t="str">
        <f t="shared" si="8"/>
        <v/>
      </c>
      <c r="Z194" s="290" t="str">
        <f t="shared" si="8"/>
        <v/>
      </c>
      <c r="AA194" s="290" t="str">
        <f t="shared" si="8"/>
        <v/>
      </c>
      <c r="AB194" s="290" t="str">
        <f t="shared" si="8"/>
        <v>Warning</v>
      </c>
      <c r="AC194" s="290" t="str">
        <f t="shared" si="8"/>
        <v>Warning</v>
      </c>
      <c r="AD194" s="290" t="str">
        <f t="shared" si="8"/>
        <v>Warning</v>
      </c>
      <c r="AE194" s="290" t="str">
        <f t="shared" si="8"/>
        <v>Warning</v>
      </c>
      <c r="AF194" s="290" t="str">
        <f t="shared" si="8"/>
        <v>Warning</v>
      </c>
      <c r="AG194" s="290" t="str">
        <f t="shared" si="8"/>
        <v>Warning</v>
      </c>
      <c r="AH194" s="290" t="str">
        <f t="shared" si="8"/>
        <v>Warning</v>
      </c>
      <c r="AI194" s="244"/>
      <c r="AJ194" s="244"/>
      <c r="AK194" s="244"/>
      <c r="AL194" s="244"/>
      <c r="AM194" s="162"/>
      <c r="AN194" s="100" t="b">
        <f t="shared" si="6"/>
        <v>1</v>
      </c>
      <c r="AO194" s="102"/>
    </row>
    <row r="195" ht="14.25" customHeight="1" outlineLevel="3">
      <c r="A195" s="200"/>
      <c r="B195" s="100"/>
      <c r="C195" s="201"/>
      <c r="D195" s="271"/>
      <c r="E195" s="180" t="s">
        <v>1130</v>
      </c>
      <c r="F195" s="123" t="s">
        <v>135</v>
      </c>
      <c r="G195" s="123" t="s">
        <v>1131</v>
      </c>
      <c r="H195" s="260">
        <v>40.9532</v>
      </c>
      <c r="I195" s="181">
        <v>43.3793</v>
      </c>
      <c r="J195" s="181">
        <v>48.3636</v>
      </c>
      <c r="K195" s="181">
        <v>52.3538</v>
      </c>
      <c r="L195" s="181">
        <v>53.2736</v>
      </c>
      <c r="M195" s="181">
        <v>54.1836</v>
      </c>
      <c r="N195" s="181">
        <v>52.998</v>
      </c>
      <c r="O195" s="181">
        <v>50.9518</v>
      </c>
      <c r="P195" s="181">
        <v>56.7959</v>
      </c>
      <c r="Q195" s="181">
        <v>54.8641</v>
      </c>
      <c r="R195" s="181">
        <v>58.8697</v>
      </c>
      <c r="S195" s="181">
        <v>51.7192</v>
      </c>
      <c r="T195" s="181">
        <v>52.777</v>
      </c>
      <c r="U195" s="181">
        <v>57.0083</v>
      </c>
      <c r="V195" s="181">
        <v>49.174</v>
      </c>
      <c r="W195" s="202">
        <v>55.0635</v>
      </c>
      <c r="X195" s="181"/>
      <c r="Y195" s="181"/>
      <c r="Z195" s="181"/>
      <c r="AA195" s="181"/>
      <c r="AB195" s="202">
        <v>55.5948214870964</v>
      </c>
      <c r="AC195" s="202">
        <v>48.5147113918073</v>
      </c>
      <c r="AD195" s="202">
        <v>40.0947927975083</v>
      </c>
      <c r="AE195" s="202">
        <v>32.5103351395661</v>
      </c>
      <c r="AF195" s="202">
        <v>24.6430597383629</v>
      </c>
      <c r="AG195" s="202">
        <v>23.4867781352619</v>
      </c>
      <c r="AH195" s="203">
        <v>22.2329764649579</v>
      </c>
      <c r="AI195" s="204"/>
      <c r="AJ195" s="204"/>
      <c r="AK195" s="204"/>
      <c r="AL195" s="204"/>
      <c r="AM195" s="251"/>
      <c r="AN195" s="100" t="b">
        <f t="shared" si="6"/>
        <v>0</v>
      </c>
      <c r="AO195" s="102"/>
    </row>
    <row r="196" ht="14.25" customHeight="1" outlineLevel="3">
      <c r="A196" s="200"/>
      <c r="B196" s="201"/>
      <c r="C196" s="201"/>
      <c r="D196" s="271"/>
      <c r="E196" s="122" t="s">
        <v>1114</v>
      </c>
      <c r="F196" s="123" t="s">
        <v>135</v>
      </c>
      <c r="G196" s="123" t="s">
        <v>1132</v>
      </c>
      <c r="H196" s="260">
        <v>0.0</v>
      </c>
      <c r="I196" s="181">
        <v>0.0</v>
      </c>
      <c r="J196" s="181">
        <v>0.0</v>
      </c>
      <c r="K196" s="181">
        <v>0.0</v>
      </c>
      <c r="L196" s="181">
        <v>0.0</v>
      </c>
      <c r="M196" s="181">
        <v>0.0</v>
      </c>
      <c r="N196" s="181">
        <v>0.0</v>
      </c>
      <c r="O196" s="181">
        <v>0.0</v>
      </c>
      <c r="P196" s="181">
        <v>0.0</v>
      </c>
      <c r="Q196" s="181">
        <v>0.0</v>
      </c>
      <c r="R196" s="181">
        <v>0.0</v>
      </c>
      <c r="S196" s="181">
        <v>0.0</v>
      </c>
      <c r="T196" s="181">
        <v>0.0</v>
      </c>
      <c r="U196" s="181">
        <v>0.0</v>
      </c>
      <c r="V196" s="181">
        <v>0.0</v>
      </c>
      <c r="W196" s="202">
        <v>0.0</v>
      </c>
      <c r="X196" s="181"/>
      <c r="Y196" s="181"/>
      <c r="Z196" s="181"/>
      <c r="AA196" s="181"/>
      <c r="AB196" s="202">
        <v>0.0</v>
      </c>
      <c r="AC196" s="202">
        <v>0.0</v>
      </c>
      <c r="AD196" s="202">
        <v>0.0</v>
      </c>
      <c r="AE196" s="202">
        <v>0.0</v>
      </c>
      <c r="AF196" s="202">
        <v>0.0</v>
      </c>
      <c r="AG196" s="202">
        <v>0.0</v>
      </c>
      <c r="AH196" s="203">
        <v>0.0</v>
      </c>
      <c r="AI196" s="204"/>
      <c r="AJ196" s="204"/>
      <c r="AK196" s="204"/>
      <c r="AL196" s="204"/>
      <c r="AM196" s="251"/>
      <c r="AN196" s="100" t="b">
        <f t="shared" si="6"/>
        <v>0</v>
      </c>
      <c r="AO196" s="102"/>
    </row>
    <row r="197" ht="14.25" customHeight="1" outlineLevel="3">
      <c r="A197" s="200"/>
      <c r="B197" s="201"/>
      <c r="C197" s="201"/>
      <c r="D197" s="271"/>
      <c r="E197" s="122" t="s">
        <v>1116</v>
      </c>
      <c r="F197" s="123" t="s">
        <v>135</v>
      </c>
      <c r="G197" s="123" t="s">
        <v>1133</v>
      </c>
      <c r="H197" s="260">
        <v>0.0144</v>
      </c>
      <c r="I197" s="181">
        <v>0.0475</v>
      </c>
      <c r="J197" s="181">
        <v>0.0397</v>
      </c>
      <c r="K197" s="181">
        <v>0.0369</v>
      </c>
      <c r="L197" s="181">
        <v>0.0591</v>
      </c>
      <c r="M197" s="181">
        <v>0.0722</v>
      </c>
      <c r="N197" s="181">
        <v>0.0744</v>
      </c>
      <c r="O197" s="181">
        <v>0.0817</v>
      </c>
      <c r="P197" s="181">
        <v>0.0807</v>
      </c>
      <c r="Q197" s="181">
        <v>0.1072</v>
      </c>
      <c r="R197" s="181">
        <v>0.1099</v>
      </c>
      <c r="S197" s="181">
        <v>0.152</v>
      </c>
      <c r="T197" s="181">
        <v>0.4551</v>
      </c>
      <c r="U197" s="181">
        <v>0.4887</v>
      </c>
      <c r="V197" s="181">
        <v>0.7583</v>
      </c>
      <c r="W197" s="202">
        <v>0.229264185813889</v>
      </c>
      <c r="X197" s="181"/>
      <c r="Y197" s="181"/>
      <c r="Z197" s="181"/>
      <c r="AA197" s="181"/>
      <c r="AB197" s="202">
        <v>0.23147641329933</v>
      </c>
      <c r="AC197" s="202">
        <v>0.528372663435588</v>
      </c>
      <c r="AD197" s="202">
        <v>0.706403039462741</v>
      </c>
      <c r="AE197" s="202">
        <v>0.791485867428513</v>
      </c>
      <c r="AF197" s="202">
        <v>0.765734160571366</v>
      </c>
      <c r="AG197" s="202">
        <v>1.00066844338385</v>
      </c>
      <c r="AH197" s="203">
        <v>0.947249461925026</v>
      </c>
      <c r="AI197" s="204"/>
      <c r="AJ197" s="204"/>
      <c r="AK197" s="204"/>
      <c r="AL197" s="204"/>
      <c r="AM197" s="251"/>
      <c r="AN197" s="100" t="b">
        <f t="shared" si="6"/>
        <v>0</v>
      </c>
      <c r="AO197" s="102"/>
    </row>
    <row r="198" ht="14.25" customHeight="1" outlineLevel="3">
      <c r="A198" s="200"/>
      <c r="B198" s="201"/>
      <c r="C198" s="201"/>
      <c r="D198" s="271"/>
      <c r="E198" s="122" t="s">
        <v>1118</v>
      </c>
      <c r="F198" s="123" t="s">
        <v>135</v>
      </c>
      <c r="G198" s="123" t="s">
        <v>1134</v>
      </c>
      <c r="H198" s="260">
        <v>9.6481</v>
      </c>
      <c r="I198" s="181">
        <v>10.1061</v>
      </c>
      <c r="J198" s="181">
        <v>13.2276</v>
      </c>
      <c r="K198" s="181">
        <v>15.8028</v>
      </c>
      <c r="L198" s="181">
        <v>14.4736</v>
      </c>
      <c r="M198" s="181">
        <v>14.7533</v>
      </c>
      <c r="N198" s="181">
        <v>12.7131</v>
      </c>
      <c r="O198" s="181">
        <v>10.8252</v>
      </c>
      <c r="P198" s="181">
        <v>13.4481</v>
      </c>
      <c r="Q198" s="181">
        <v>11.0429</v>
      </c>
      <c r="R198" s="181">
        <v>12.6359</v>
      </c>
      <c r="S198" s="181">
        <v>10.4156</v>
      </c>
      <c r="T198" s="181">
        <v>10.0951</v>
      </c>
      <c r="U198" s="181">
        <v>10.9809</v>
      </c>
      <c r="V198" s="181">
        <v>8.3264</v>
      </c>
      <c r="W198" s="202">
        <v>9.10362558464549</v>
      </c>
      <c r="X198" s="181"/>
      <c r="Y198" s="181"/>
      <c r="Z198" s="181"/>
      <c r="AA198" s="181"/>
      <c r="AB198" s="202">
        <v>9.19146874542536</v>
      </c>
      <c r="AC198" s="202">
        <v>6.61725659434967</v>
      </c>
      <c r="AD198" s="202">
        <v>4.3087560360238</v>
      </c>
      <c r="AE198" s="202">
        <v>2.55308709766774</v>
      </c>
      <c r="AF198" s="202">
        <v>1.22226804935088</v>
      </c>
      <c r="AG198" s="202">
        <v>0.0</v>
      </c>
      <c r="AH198" s="203">
        <v>0.0</v>
      </c>
      <c r="AI198" s="204"/>
      <c r="AJ198" s="204"/>
      <c r="AK198" s="204"/>
      <c r="AL198" s="204"/>
      <c r="AM198" s="251"/>
      <c r="AN198" s="100" t="b">
        <f t="shared" si="6"/>
        <v>0</v>
      </c>
      <c r="AO198" s="102"/>
    </row>
    <row r="199" ht="14.25" customHeight="1" outlineLevel="3">
      <c r="A199" s="200"/>
      <c r="B199" s="201"/>
      <c r="C199" s="201"/>
      <c r="D199" s="271"/>
      <c r="E199" s="122" t="s">
        <v>1120</v>
      </c>
      <c r="F199" s="123" t="s">
        <v>135</v>
      </c>
      <c r="G199" s="123" t="s">
        <v>1135</v>
      </c>
      <c r="H199" s="260">
        <v>15.0041</v>
      </c>
      <c r="I199" s="181">
        <v>16.2997</v>
      </c>
      <c r="J199" s="181">
        <v>15.6805</v>
      </c>
      <c r="K199" s="181">
        <v>17.201</v>
      </c>
      <c r="L199" s="181">
        <v>18.7758</v>
      </c>
      <c r="M199" s="181">
        <v>18.4436</v>
      </c>
      <c r="N199" s="181">
        <v>18.6056</v>
      </c>
      <c r="O199" s="181">
        <v>17.9579</v>
      </c>
      <c r="P199" s="181">
        <v>20.5062</v>
      </c>
      <c r="Q199" s="181">
        <v>20.5415</v>
      </c>
      <c r="R199" s="181">
        <v>22.615</v>
      </c>
      <c r="S199" s="181">
        <v>18.4714</v>
      </c>
      <c r="T199" s="181">
        <v>19.763</v>
      </c>
      <c r="U199" s="181">
        <v>22.5175</v>
      </c>
      <c r="V199" s="181">
        <v>17.8855</v>
      </c>
      <c r="W199" s="202">
        <v>22.3929686969151</v>
      </c>
      <c r="X199" s="181"/>
      <c r="Y199" s="181"/>
      <c r="Z199" s="181"/>
      <c r="AA199" s="181"/>
      <c r="AB199" s="202">
        <v>22.6090440540672</v>
      </c>
      <c r="AC199" s="202">
        <v>16.2770336278606</v>
      </c>
      <c r="AD199" s="202">
        <v>10.5986167972529</v>
      </c>
      <c r="AE199" s="202">
        <v>6.28004732037735</v>
      </c>
      <c r="AF199" s="202">
        <v>3.00651755873148</v>
      </c>
      <c r="AG199" s="202">
        <v>0.0</v>
      </c>
      <c r="AH199" s="203">
        <v>0.0</v>
      </c>
      <c r="AI199" s="204"/>
      <c r="AJ199" s="204"/>
      <c r="AK199" s="204"/>
      <c r="AL199" s="204"/>
      <c r="AM199" s="251"/>
      <c r="AN199" s="100" t="b">
        <f t="shared" si="6"/>
        <v>0</v>
      </c>
      <c r="AO199" s="102"/>
    </row>
    <row r="200" ht="14.25" customHeight="1" outlineLevel="3">
      <c r="A200" s="200"/>
      <c r="B200" s="201"/>
      <c r="C200" s="201"/>
      <c r="D200" s="271"/>
      <c r="E200" s="122" t="s">
        <v>1122</v>
      </c>
      <c r="F200" s="123" t="s">
        <v>135</v>
      </c>
      <c r="G200" s="123" t="s">
        <v>1136</v>
      </c>
      <c r="H200" s="260">
        <v>16.1234</v>
      </c>
      <c r="I200" s="181">
        <v>16.7591</v>
      </c>
      <c r="J200" s="181">
        <v>19.2473</v>
      </c>
      <c r="K200" s="181">
        <v>19.1481</v>
      </c>
      <c r="L200" s="181">
        <v>19.8018</v>
      </c>
      <c r="M200" s="181">
        <v>20.762</v>
      </c>
      <c r="N200" s="181">
        <v>21.0338</v>
      </c>
      <c r="O200" s="181">
        <v>21.5117</v>
      </c>
      <c r="P200" s="181">
        <v>21.9355</v>
      </c>
      <c r="Q200" s="181">
        <v>22.3669</v>
      </c>
      <c r="R200" s="181">
        <v>22.615</v>
      </c>
      <c r="S200" s="181">
        <v>21.6429</v>
      </c>
      <c r="T200" s="181">
        <v>21.9436</v>
      </c>
      <c r="U200" s="181">
        <v>22.2515</v>
      </c>
      <c r="V200" s="181">
        <v>21.4111</v>
      </c>
      <c r="W200" s="202">
        <v>22.6315246854713</v>
      </c>
      <c r="X200" s="181"/>
      <c r="Y200" s="181"/>
      <c r="Z200" s="181"/>
      <c r="AA200" s="181"/>
      <c r="AB200" s="202">
        <v>22.8499019290381</v>
      </c>
      <c r="AC200" s="202">
        <v>22.0103958227566</v>
      </c>
      <c r="AD200" s="202">
        <v>19.9015402938414</v>
      </c>
      <c r="AE200" s="202">
        <v>17.5243534152128</v>
      </c>
      <c r="AF200" s="202">
        <v>14.3352793060789</v>
      </c>
      <c r="AG200" s="202">
        <v>15.3809667313314</v>
      </c>
      <c r="AH200" s="203">
        <v>14.5598800046816</v>
      </c>
      <c r="AI200" s="204"/>
      <c r="AJ200" s="204"/>
      <c r="AK200" s="204"/>
      <c r="AL200" s="204"/>
      <c r="AM200" s="251"/>
      <c r="AN200" s="100" t="b">
        <f t="shared" si="6"/>
        <v>0</v>
      </c>
      <c r="AO200" s="102"/>
    </row>
    <row r="201" ht="14.25" customHeight="1" outlineLevel="3">
      <c r="A201" s="200"/>
      <c r="B201" s="201"/>
      <c r="C201" s="201"/>
      <c r="D201" s="271"/>
      <c r="E201" s="122" t="s">
        <v>1124</v>
      </c>
      <c r="F201" s="123" t="s">
        <v>135</v>
      </c>
      <c r="G201" s="123" t="s">
        <v>1137</v>
      </c>
      <c r="H201" s="260">
        <v>0.1633</v>
      </c>
      <c r="I201" s="181">
        <v>0.1669</v>
      </c>
      <c r="J201" s="181">
        <v>0.1685</v>
      </c>
      <c r="K201" s="181">
        <v>0.1649</v>
      </c>
      <c r="L201" s="181">
        <v>0.1633</v>
      </c>
      <c r="M201" s="181">
        <v>0.1524</v>
      </c>
      <c r="N201" s="181">
        <v>0.5711</v>
      </c>
      <c r="O201" s="181">
        <v>0.5753</v>
      </c>
      <c r="P201" s="181">
        <v>0.8253</v>
      </c>
      <c r="Q201" s="181">
        <v>0.8056</v>
      </c>
      <c r="R201" s="181">
        <v>0.8939</v>
      </c>
      <c r="S201" s="181">
        <v>1.0373</v>
      </c>
      <c r="T201" s="181">
        <v>0.5202</v>
      </c>
      <c r="U201" s="181">
        <v>0.7696</v>
      </c>
      <c r="V201" s="181">
        <v>0.7927</v>
      </c>
      <c r="W201" s="202">
        <v>0.57761136044532</v>
      </c>
      <c r="X201" s="181"/>
      <c r="Y201" s="181"/>
      <c r="Z201" s="181"/>
      <c r="AA201" s="181"/>
      <c r="AB201" s="202">
        <v>0.583184876967073</v>
      </c>
      <c r="AC201" s="202">
        <v>1.43674089095643</v>
      </c>
      <c r="AD201" s="202">
        <v>1.95418682514411</v>
      </c>
      <c r="AE201" s="202">
        <v>2.20627470432746</v>
      </c>
      <c r="AF201" s="202">
        <v>2.14366086761519</v>
      </c>
      <c r="AG201" s="202">
        <v>2.81309353394331</v>
      </c>
      <c r="AH201" s="203">
        <v>2.66292132423166</v>
      </c>
      <c r="AI201" s="204"/>
      <c r="AJ201" s="204"/>
      <c r="AK201" s="204"/>
      <c r="AL201" s="204"/>
      <c r="AM201" s="251"/>
      <c r="AN201" s="100" t="b">
        <f t="shared" si="6"/>
        <v>0</v>
      </c>
      <c r="AO201" s="102"/>
    </row>
    <row r="202" ht="14.25" customHeight="1" outlineLevel="3">
      <c r="A202" s="200"/>
      <c r="B202" s="201"/>
      <c r="C202" s="201"/>
      <c r="D202" s="271"/>
      <c r="E202" s="122" t="s">
        <v>1126</v>
      </c>
      <c r="F202" s="123" t="s">
        <v>135</v>
      </c>
      <c r="G202" s="123" t="s">
        <v>1138</v>
      </c>
      <c r="H202" s="260"/>
      <c r="I202" s="181"/>
      <c r="J202" s="181"/>
      <c r="K202" s="181"/>
      <c r="L202" s="181"/>
      <c r="M202" s="181"/>
      <c r="N202" s="181"/>
      <c r="O202" s="181"/>
      <c r="P202" s="181"/>
      <c r="Q202" s="181"/>
      <c r="R202" s="181"/>
      <c r="S202" s="181"/>
      <c r="T202" s="181"/>
      <c r="U202" s="181"/>
      <c r="V202" s="181"/>
      <c r="W202" s="202">
        <v>0.113436128566484</v>
      </c>
      <c r="X202" s="181"/>
      <c r="Y202" s="181"/>
      <c r="Z202" s="181"/>
      <c r="AA202" s="181"/>
      <c r="AB202" s="202">
        <v>0.114530702150081</v>
      </c>
      <c r="AC202" s="202">
        <v>1.58931057168932</v>
      </c>
      <c r="AD202" s="202">
        <v>2.54435982116396</v>
      </c>
      <c r="AE202" s="202">
        <v>3.06110380503889</v>
      </c>
      <c r="AF202" s="202">
        <v>3.07686155341403</v>
      </c>
      <c r="AG202" s="202">
        <v>4.16853721288809</v>
      </c>
      <c r="AH202" s="281">
        <v>3.94600694968454</v>
      </c>
      <c r="AI202" s="204"/>
      <c r="AJ202" s="204"/>
      <c r="AK202" s="204"/>
      <c r="AL202" s="204"/>
      <c r="AM202" s="251"/>
      <c r="AN202" s="100" t="b">
        <f t="shared" si="6"/>
        <v>0</v>
      </c>
      <c r="AO202" s="102"/>
    </row>
    <row r="203" ht="14.25" customHeight="1" outlineLevel="3">
      <c r="A203" s="200"/>
      <c r="B203" s="201"/>
      <c r="C203" s="201"/>
      <c r="D203" s="271"/>
      <c r="E203" s="122" t="s">
        <v>1128</v>
      </c>
      <c r="F203" s="123" t="s">
        <v>135</v>
      </c>
      <c r="G203" s="123" t="s">
        <v>1139</v>
      </c>
      <c r="H203" s="260"/>
      <c r="I203" s="181"/>
      <c r="J203" s="181"/>
      <c r="K203" s="181"/>
      <c r="L203" s="181"/>
      <c r="M203" s="181"/>
      <c r="N203" s="181"/>
      <c r="O203" s="181"/>
      <c r="P203" s="181"/>
      <c r="Q203" s="181"/>
      <c r="R203" s="181"/>
      <c r="S203" s="181"/>
      <c r="T203" s="181"/>
      <c r="U203" s="181"/>
      <c r="V203" s="181"/>
      <c r="W203" s="202">
        <v>0.0150693581424262</v>
      </c>
      <c r="X203" s="181"/>
      <c r="Y203" s="181"/>
      <c r="Z203" s="181"/>
      <c r="AA203" s="181"/>
      <c r="AB203" s="202">
        <v>0.0152147661491425</v>
      </c>
      <c r="AC203" s="202">
        <v>0.0556012207590252</v>
      </c>
      <c r="AD203" s="202">
        <v>0.0809299846194281</v>
      </c>
      <c r="AE203" s="202">
        <v>0.0939829295133638</v>
      </c>
      <c r="AF203" s="202">
        <v>0.0927382426010799</v>
      </c>
      <c r="AG203" s="202">
        <v>0.123512213715203</v>
      </c>
      <c r="AH203" s="203">
        <v>0.116918724435097</v>
      </c>
      <c r="AI203" s="204"/>
      <c r="AJ203" s="204"/>
      <c r="AK203" s="204"/>
      <c r="AL203" s="204"/>
      <c r="AM203" s="251"/>
      <c r="AN203" s="100" t="b">
        <f t="shared" si="6"/>
        <v>0</v>
      </c>
      <c r="AO203" s="102"/>
    </row>
    <row r="204" ht="14.25" customHeight="1">
      <c r="A204" s="99"/>
      <c r="B204" s="357"/>
      <c r="C204" s="357"/>
      <c r="D204" s="271"/>
      <c r="E204" s="100"/>
      <c r="F204" s="206"/>
      <c r="G204" s="206"/>
      <c r="H204" s="207"/>
      <c r="I204" s="207"/>
      <c r="J204" s="207"/>
      <c r="K204" s="207"/>
      <c r="L204" s="207"/>
      <c r="M204" s="207"/>
      <c r="N204" s="207"/>
      <c r="O204" s="207"/>
      <c r="P204" s="207"/>
      <c r="Q204" s="207"/>
      <c r="R204" s="207"/>
      <c r="S204" s="207"/>
      <c r="T204" s="207"/>
      <c r="U204" s="207"/>
      <c r="V204" s="207"/>
      <c r="W204" s="208"/>
      <c r="X204" s="208"/>
      <c r="Y204" s="208"/>
      <c r="Z204" s="208"/>
      <c r="AA204" s="208"/>
      <c r="AB204" s="208"/>
      <c r="AC204" s="208"/>
      <c r="AD204" s="208"/>
      <c r="AE204" s="208"/>
      <c r="AF204" s="208"/>
      <c r="AG204" s="208"/>
      <c r="AH204" s="208"/>
      <c r="AI204" s="271"/>
      <c r="AJ204" s="271"/>
      <c r="AK204" s="271"/>
      <c r="AL204" s="271"/>
      <c r="AM204" s="100"/>
      <c r="AN204" s="100"/>
      <c r="AO204" s="102"/>
    </row>
    <row r="205" ht="14.25" customHeight="1">
      <c r="A205" s="99"/>
      <c r="B205" s="100"/>
      <c r="C205" s="100"/>
      <c r="D205" s="271"/>
      <c r="E205" s="100"/>
      <c r="F205" s="206"/>
      <c r="G205" s="206"/>
      <c r="H205" s="207"/>
      <c r="I205" s="207"/>
      <c r="J205" s="207"/>
      <c r="K205" s="207"/>
      <c r="L205" s="207"/>
      <c r="M205" s="207"/>
      <c r="N205" s="207"/>
      <c r="O205" s="207"/>
      <c r="P205" s="207"/>
      <c r="Q205" s="207"/>
      <c r="R205" s="207"/>
      <c r="S205" s="207"/>
      <c r="T205" s="207"/>
      <c r="U205" s="207"/>
      <c r="V205" s="207"/>
      <c r="W205" s="208"/>
      <c r="X205" s="208"/>
      <c r="Y205" s="208"/>
      <c r="Z205" s="208"/>
      <c r="AA205" s="208"/>
      <c r="AB205" s="208"/>
      <c r="AC205" s="208"/>
      <c r="AD205" s="208"/>
      <c r="AE205" s="208"/>
      <c r="AF205" s="208"/>
      <c r="AG205" s="208"/>
      <c r="AH205" s="208"/>
      <c r="AI205" s="271"/>
      <c r="AJ205" s="271"/>
      <c r="AK205" s="271"/>
      <c r="AL205" s="271"/>
      <c r="AM205" s="100"/>
      <c r="AN205" s="100"/>
      <c r="AO205" s="102"/>
    </row>
    <row r="206" ht="14.25" customHeight="1">
      <c r="A206" s="99"/>
      <c r="B206" s="100"/>
      <c r="C206" s="100"/>
      <c r="D206" s="271"/>
      <c r="E206" s="100"/>
      <c r="F206" s="206"/>
      <c r="G206" s="206"/>
      <c r="H206" s="207"/>
      <c r="I206" s="207"/>
      <c r="J206" s="207"/>
      <c r="K206" s="207"/>
      <c r="L206" s="207"/>
      <c r="M206" s="207"/>
      <c r="N206" s="207"/>
      <c r="O206" s="207"/>
      <c r="P206" s="207"/>
      <c r="Q206" s="207"/>
      <c r="R206" s="207"/>
      <c r="S206" s="207"/>
      <c r="T206" s="207"/>
      <c r="U206" s="207"/>
      <c r="V206" s="207"/>
      <c r="W206" s="208"/>
      <c r="X206" s="208"/>
      <c r="Y206" s="208"/>
      <c r="Z206" s="208"/>
      <c r="AA206" s="208"/>
      <c r="AB206" s="208"/>
      <c r="AC206" s="208"/>
      <c r="AD206" s="208"/>
      <c r="AE206" s="208"/>
      <c r="AF206" s="208"/>
      <c r="AG206" s="208"/>
      <c r="AH206" s="208"/>
      <c r="AI206" s="271"/>
      <c r="AJ206" s="271"/>
      <c r="AK206" s="271"/>
      <c r="AL206" s="271"/>
      <c r="AM206" s="100"/>
      <c r="AN206" s="100"/>
      <c r="AO206" s="102"/>
    </row>
    <row r="207" ht="14.25" customHeight="1">
      <c r="A207" s="99"/>
      <c r="B207" s="100"/>
      <c r="C207" s="100"/>
      <c r="D207" s="271"/>
      <c r="E207" s="377" t="s">
        <v>1140</v>
      </c>
      <c r="F207" s="206"/>
      <c r="G207" s="206"/>
      <c r="H207" s="207"/>
      <c r="I207" s="207"/>
      <c r="J207" s="207"/>
      <c r="K207" s="207"/>
      <c r="L207" s="207"/>
      <c r="M207" s="207"/>
      <c r="N207" s="207"/>
      <c r="O207" s="207"/>
      <c r="P207" s="207"/>
      <c r="Q207" s="207"/>
      <c r="R207" s="207"/>
      <c r="S207" s="207"/>
      <c r="T207" s="207"/>
      <c r="U207" s="207"/>
      <c r="V207" s="207"/>
      <c r="W207" s="208"/>
      <c r="X207" s="208"/>
      <c r="Y207" s="208"/>
      <c r="Z207" s="208"/>
      <c r="AA207" s="208"/>
      <c r="AB207" s="208"/>
      <c r="AC207" s="208"/>
      <c r="AD207" s="208"/>
      <c r="AE207" s="208"/>
      <c r="AF207" s="208"/>
      <c r="AG207" s="208"/>
      <c r="AH207" s="208"/>
      <c r="AI207" s="271"/>
      <c r="AJ207" s="271"/>
      <c r="AK207" s="271"/>
      <c r="AL207" s="271"/>
      <c r="AM207" s="100"/>
      <c r="AN207" s="100"/>
      <c r="AO207" s="102"/>
    </row>
    <row r="208" ht="60.0" customHeight="1">
      <c r="A208" s="99"/>
      <c r="B208" s="100"/>
      <c r="C208" s="100"/>
      <c r="D208" s="271"/>
      <c r="E208" s="304"/>
      <c r="F208" s="206"/>
      <c r="G208" s="206"/>
      <c r="H208" s="207"/>
      <c r="I208" s="207"/>
      <c r="J208" s="207"/>
      <c r="K208" s="207"/>
      <c r="L208" s="207"/>
      <c r="M208" s="207"/>
      <c r="N208" s="207"/>
      <c r="O208" s="207"/>
      <c r="P208" s="207"/>
      <c r="Q208" s="207"/>
      <c r="R208" s="207"/>
      <c r="S208" s="207"/>
      <c r="T208" s="207"/>
      <c r="U208" s="207"/>
      <c r="V208" s="207"/>
      <c r="W208" s="208"/>
      <c r="X208" s="208"/>
      <c r="Y208" s="208"/>
      <c r="Z208" s="208"/>
      <c r="AA208" s="208"/>
      <c r="AB208" s="208"/>
      <c r="AC208" s="208"/>
      <c r="AD208" s="208"/>
      <c r="AE208" s="208"/>
      <c r="AF208" s="208"/>
      <c r="AG208" s="208"/>
      <c r="AH208" s="208"/>
      <c r="AI208" s="271"/>
      <c r="AJ208" s="271"/>
      <c r="AK208" s="271"/>
      <c r="AL208" s="271"/>
      <c r="AM208" s="127"/>
      <c r="AN208" s="100"/>
      <c r="AO208" s="102"/>
    </row>
    <row r="209" ht="14.25" customHeight="1">
      <c r="A209" s="99"/>
      <c r="B209" s="100"/>
      <c r="C209" s="100"/>
      <c r="D209" s="271"/>
      <c r="E209" s="100"/>
      <c r="F209" s="206"/>
      <c r="G209" s="206"/>
      <c r="H209" s="207"/>
      <c r="I209" s="207"/>
      <c r="J209" s="207"/>
      <c r="K209" s="207"/>
      <c r="L209" s="207"/>
      <c r="M209" s="207"/>
      <c r="N209" s="207"/>
      <c r="O209" s="207"/>
      <c r="P209" s="207"/>
      <c r="Q209" s="207"/>
      <c r="R209" s="207"/>
      <c r="S209" s="207"/>
      <c r="T209" s="207"/>
      <c r="U209" s="207"/>
      <c r="V209" s="207"/>
      <c r="W209" s="208"/>
      <c r="X209" s="208"/>
      <c r="Y209" s="208"/>
      <c r="Z209" s="208"/>
      <c r="AA209" s="208"/>
      <c r="AB209" s="208"/>
      <c r="AC209" s="208"/>
      <c r="AD209" s="208"/>
      <c r="AE209" s="208"/>
      <c r="AF209" s="208"/>
      <c r="AG209" s="208"/>
      <c r="AH209" s="208"/>
      <c r="AI209" s="271"/>
      <c r="AJ209" s="271"/>
      <c r="AK209" s="271"/>
      <c r="AL209" s="271"/>
      <c r="AM209" s="100"/>
      <c r="AN209" s="100"/>
      <c r="AO209" s="102"/>
    </row>
    <row r="210" ht="14.25" customHeight="1">
      <c r="A210" s="99"/>
      <c r="B210" s="100"/>
      <c r="C210" s="100"/>
      <c r="D210" s="271"/>
      <c r="E210" s="100"/>
      <c r="F210" s="206"/>
      <c r="G210" s="206"/>
      <c r="H210" s="207"/>
      <c r="I210" s="207"/>
      <c r="J210" s="207"/>
      <c r="K210" s="207"/>
      <c r="L210" s="207"/>
      <c r="M210" s="207"/>
      <c r="N210" s="207"/>
      <c r="O210" s="207"/>
      <c r="P210" s="207"/>
      <c r="Q210" s="207"/>
      <c r="R210" s="207"/>
      <c r="S210" s="207"/>
      <c r="T210" s="207"/>
      <c r="U210" s="207"/>
      <c r="V210" s="207"/>
      <c r="W210" s="208"/>
      <c r="X210" s="208"/>
      <c r="Y210" s="208"/>
      <c r="Z210" s="208"/>
      <c r="AA210" s="208"/>
      <c r="AB210" s="208"/>
      <c r="AC210" s="208"/>
      <c r="AD210" s="208"/>
      <c r="AE210" s="208"/>
      <c r="AF210" s="208"/>
      <c r="AG210" s="208"/>
      <c r="AH210" s="208"/>
      <c r="AI210" s="271"/>
      <c r="AJ210" s="271"/>
      <c r="AK210" s="271"/>
      <c r="AL210" s="271"/>
      <c r="AM210" s="100"/>
      <c r="AN210" s="100"/>
      <c r="AO210" s="102"/>
    </row>
    <row r="211" ht="14.25" customHeight="1">
      <c r="A211" s="99"/>
      <c r="B211" s="100"/>
      <c r="C211" s="100"/>
      <c r="D211" s="271"/>
      <c r="E211" s="100"/>
      <c r="F211" s="206"/>
      <c r="G211" s="206"/>
      <c r="H211" s="207"/>
      <c r="I211" s="207"/>
      <c r="J211" s="207"/>
      <c r="K211" s="207"/>
      <c r="L211" s="207"/>
      <c r="M211" s="207"/>
      <c r="N211" s="207"/>
      <c r="O211" s="207"/>
      <c r="P211" s="207"/>
      <c r="Q211" s="207"/>
      <c r="R211" s="207"/>
      <c r="S211" s="207"/>
      <c r="T211" s="207"/>
      <c r="U211" s="207"/>
      <c r="V211" s="207"/>
      <c r="W211" s="208"/>
      <c r="X211" s="208"/>
      <c r="Y211" s="208"/>
      <c r="Z211" s="208"/>
      <c r="AA211" s="208"/>
      <c r="AB211" s="208"/>
      <c r="AC211" s="208"/>
      <c r="AD211" s="208"/>
      <c r="AE211" s="208"/>
      <c r="AF211" s="208"/>
      <c r="AG211" s="208"/>
      <c r="AH211" s="208"/>
      <c r="AI211" s="271"/>
      <c r="AJ211" s="271"/>
      <c r="AK211" s="271"/>
      <c r="AL211" s="271"/>
      <c r="AM211" s="100"/>
      <c r="AN211" s="100"/>
      <c r="AO211" s="102"/>
    </row>
    <row r="212" ht="14.25" customHeight="1">
      <c r="A212" s="136" t="s">
        <v>201</v>
      </c>
      <c r="B212" s="137"/>
      <c r="C212" s="137"/>
      <c r="D212" s="138"/>
      <c r="E212" s="137"/>
      <c r="F212" s="137"/>
      <c r="G212" s="137"/>
      <c r="H212" s="62">
        <v>2000.0</v>
      </c>
      <c r="I212" s="62">
        <v>2001.0</v>
      </c>
      <c r="J212" s="62">
        <v>2002.0</v>
      </c>
      <c r="K212" s="62">
        <v>2003.0</v>
      </c>
      <c r="L212" s="62">
        <v>2004.0</v>
      </c>
      <c r="M212" s="62">
        <v>2005.0</v>
      </c>
      <c r="N212" s="62">
        <v>2006.0</v>
      </c>
      <c r="O212" s="62">
        <v>2007.0</v>
      </c>
      <c r="P212" s="62">
        <v>2008.0</v>
      </c>
      <c r="Q212" s="62">
        <v>2009.0</v>
      </c>
      <c r="R212" s="62">
        <v>2010.0</v>
      </c>
      <c r="S212" s="62">
        <v>2011.0</v>
      </c>
      <c r="T212" s="62">
        <v>2012.0</v>
      </c>
      <c r="U212" s="62">
        <v>2013.0</v>
      </c>
      <c r="V212" s="62">
        <v>2014.0</v>
      </c>
      <c r="W212" s="62">
        <v>2015.0</v>
      </c>
      <c r="X212" s="62">
        <v>2016.0</v>
      </c>
      <c r="Y212" s="62">
        <v>2017.0</v>
      </c>
      <c r="Z212" s="62">
        <v>2018.0</v>
      </c>
      <c r="AA212" s="62">
        <v>2019.0</v>
      </c>
      <c r="AB212" s="62">
        <v>2020.0</v>
      </c>
      <c r="AC212" s="62">
        <v>2025.0</v>
      </c>
      <c r="AD212" s="62">
        <v>2030.0</v>
      </c>
      <c r="AE212" s="62">
        <v>2035.0</v>
      </c>
      <c r="AF212" s="62">
        <v>2040.0</v>
      </c>
      <c r="AG212" s="62">
        <v>2045.0</v>
      </c>
      <c r="AH212" s="62">
        <v>2050.0</v>
      </c>
      <c r="AI212" s="212" t="s">
        <v>243</v>
      </c>
      <c r="AJ212" s="212" t="s">
        <v>244</v>
      </c>
      <c r="AK212" s="212" t="s">
        <v>245</v>
      </c>
      <c r="AL212" s="212" t="s">
        <v>246</v>
      </c>
      <c r="AM212" s="212" t="s">
        <v>247</v>
      </c>
      <c r="AN212" s="100"/>
      <c r="AO212" s="102"/>
    </row>
    <row r="213" ht="14.25" customHeight="1">
      <c r="A213" s="218" t="s">
        <v>251</v>
      </c>
      <c r="B213" s="219"/>
      <c r="C213" s="219"/>
      <c r="D213" s="350"/>
      <c r="E213" s="219"/>
      <c r="F213" s="219"/>
      <c r="G213" s="219"/>
      <c r="H213" s="141">
        <f t="shared" ref="H213:AH213" si="9">AVERAGE(H214,H220,H231,H240,H247)</f>
        <v>0.6</v>
      </c>
      <c r="I213" s="141">
        <f t="shared" si="9"/>
        <v>0.65</v>
      </c>
      <c r="J213" s="141">
        <f t="shared" si="9"/>
        <v>0.65</v>
      </c>
      <c r="K213" s="141">
        <f t="shared" si="9"/>
        <v>0.65</v>
      </c>
      <c r="L213" s="141">
        <f t="shared" si="9"/>
        <v>0.6555555556</v>
      </c>
      <c r="M213" s="141">
        <f t="shared" si="9"/>
        <v>0.6555555556</v>
      </c>
      <c r="N213" s="141">
        <f t="shared" si="9"/>
        <v>0.6555555556</v>
      </c>
      <c r="O213" s="141">
        <f t="shared" si="9"/>
        <v>0.6555555556</v>
      </c>
      <c r="P213" s="141">
        <f t="shared" si="9"/>
        <v>0.6555555556</v>
      </c>
      <c r="Q213" s="141">
        <f t="shared" si="9"/>
        <v>0.6555555556</v>
      </c>
      <c r="R213" s="141">
        <f t="shared" si="9"/>
        <v>0.6555555556</v>
      </c>
      <c r="S213" s="141">
        <f t="shared" si="9"/>
        <v>0.6555555556</v>
      </c>
      <c r="T213" s="141">
        <f t="shared" si="9"/>
        <v>0.6555555556</v>
      </c>
      <c r="U213" s="141">
        <f t="shared" si="9"/>
        <v>0.6555555556</v>
      </c>
      <c r="V213" s="141">
        <f t="shared" si="9"/>
        <v>0.6555555556</v>
      </c>
      <c r="W213" s="141">
        <f t="shared" si="9"/>
        <v>0.8611111111</v>
      </c>
      <c r="X213" s="141">
        <f t="shared" si="9"/>
        <v>0.1333333333</v>
      </c>
      <c r="Y213" s="141">
        <f t="shared" si="9"/>
        <v>0.1333333333</v>
      </c>
      <c r="Z213" s="141">
        <f t="shared" si="9"/>
        <v>0.1333333333</v>
      </c>
      <c r="AA213" s="141">
        <f t="shared" si="9"/>
        <v>0.1333333333</v>
      </c>
      <c r="AB213" s="141">
        <f t="shared" si="9"/>
        <v>0.3722222222</v>
      </c>
      <c r="AC213" s="141">
        <f t="shared" si="9"/>
        <v>0.3722222222</v>
      </c>
      <c r="AD213" s="141">
        <f t="shared" si="9"/>
        <v>0.3722222222</v>
      </c>
      <c r="AE213" s="141">
        <f t="shared" si="9"/>
        <v>0.3722222222</v>
      </c>
      <c r="AF213" s="141">
        <f t="shared" si="9"/>
        <v>0.3722222222</v>
      </c>
      <c r="AG213" s="141">
        <f t="shared" si="9"/>
        <v>0.3722222222</v>
      </c>
      <c r="AH213" s="141">
        <f t="shared" si="9"/>
        <v>0.3722222222</v>
      </c>
      <c r="AI213" s="141">
        <f t="shared" ref="AI213:AI247" si="11">AVERAGE(H213:AA213)</f>
        <v>0.5577777778</v>
      </c>
      <c r="AJ213" s="141">
        <f t="shared" ref="AJ213:AJ247" si="12">W213</f>
        <v>0.8611111111</v>
      </c>
      <c r="AK213" s="141">
        <f t="shared" ref="AK213:AK247" si="13">AVERAGE(AB213:AH213)</f>
        <v>0.3722222222</v>
      </c>
      <c r="AL213" s="141">
        <f t="shared" ref="AL213:AL247" si="14">AVERAGE(W213,AB213,AC213,AD213,AE213,AF213,AG213,AH213)</f>
        <v>0.4333333333</v>
      </c>
      <c r="AM213" s="215">
        <f t="shared" ref="AM213:AM247" si="15">AVERAGE(H213:AH213)</f>
        <v>0.5096707819</v>
      </c>
      <c r="AN213" s="100"/>
      <c r="AO213" s="102"/>
    </row>
    <row r="214" ht="14.25" customHeight="1">
      <c r="A214" s="355" t="s">
        <v>833</v>
      </c>
      <c r="B214" s="162"/>
      <c r="C214" s="162"/>
      <c r="D214" s="100"/>
      <c r="E214" s="162"/>
      <c r="F214" s="162"/>
      <c r="G214" s="162"/>
      <c r="H214" s="141">
        <f t="shared" ref="H214:AH214" si="10">AVERAGE(H215,H216)</f>
        <v>0.75</v>
      </c>
      <c r="I214" s="141">
        <f t="shared" si="10"/>
        <v>1</v>
      </c>
      <c r="J214" s="141">
        <f t="shared" si="10"/>
        <v>1</v>
      </c>
      <c r="K214" s="141">
        <f t="shared" si="10"/>
        <v>1</v>
      </c>
      <c r="L214" s="141">
        <f t="shared" si="10"/>
        <v>1</v>
      </c>
      <c r="M214" s="141">
        <f t="shared" si="10"/>
        <v>1</v>
      </c>
      <c r="N214" s="141">
        <f t="shared" si="10"/>
        <v>1</v>
      </c>
      <c r="O214" s="141">
        <f t="shared" si="10"/>
        <v>1</v>
      </c>
      <c r="P214" s="141">
        <f t="shared" si="10"/>
        <v>1</v>
      </c>
      <c r="Q214" s="141">
        <f t="shared" si="10"/>
        <v>1</v>
      </c>
      <c r="R214" s="141">
        <f t="shared" si="10"/>
        <v>1</v>
      </c>
      <c r="S214" s="141">
        <f t="shared" si="10"/>
        <v>1</v>
      </c>
      <c r="T214" s="141">
        <f t="shared" si="10"/>
        <v>1</v>
      </c>
      <c r="U214" s="141">
        <f t="shared" si="10"/>
        <v>1</v>
      </c>
      <c r="V214" s="141">
        <f t="shared" si="10"/>
        <v>1</v>
      </c>
      <c r="W214" s="141">
        <f t="shared" si="10"/>
        <v>1</v>
      </c>
      <c r="X214" s="141">
        <f t="shared" si="10"/>
        <v>0.5</v>
      </c>
      <c r="Y214" s="141">
        <f t="shared" si="10"/>
        <v>0.5</v>
      </c>
      <c r="Z214" s="141">
        <f t="shared" si="10"/>
        <v>0.5</v>
      </c>
      <c r="AA214" s="141">
        <f t="shared" si="10"/>
        <v>0.5</v>
      </c>
      <c r="AB214" s="141">
        <f t="shared" si="10"/>
        <v>0.5833333333</v>
      </c>
      <c r="AC214" s="141">
        <f t="shared" si="10"/>
        <v>0.5833333333</v>
      </c>
      <c r="AD214" s="141">
        <f t="shared" si="10"/>
        <v>0.5833333333</v>
      </c>
      <c r="AE214" s="141">
        <f t="shared" si="10"/>
        <v>0.5833333333</v>
      </c>
      <c r="AF214" s="141">
        <f t="shared" si="10"/>
        <v>0.5833333333</v>
      </c>
      <c r="AG214" s="141">
        <f t="shared" si="10"/>
        <v>0.5833333333</v>
      </c>
      <c r="AH214" s="141">
        <f t="shared" si="10"/>
        <v>0.5833333333</v>
      </c>
      <c r="AI214" s="141">
        <f t="shared" si="11"/>
        <v>0.8875</v>
      </c>
      <c r="AJ214" s="141">
        <f t="shared" si="12"/>
        <v>1</v>
      </c>
      <c r="AK214" s="141">
        <f t="shared" si="13"/>
        <v>0.5833333333</v>
      </c>
      <c r="AL214" s="141">
        <f t="shared" si="14"/>
        <v>0.6354166667</v>
      </c>
      <c r="AM214" s="215">
        <f t="shared" si="15"/>
        <v>0.8086419753</v>
      </c>
      <c r="AN214" s="100"/>
      <c r="AO214" s="102"/>
    </row>
    <row r="215" ht="14.25" customHeight="1" outlineLevel="1">
      <c r="A215" s="245"/>
      <c r="B215" s="331" t="s">
        <v>257</v>
      </c>
      <c r="C215" s="246"/>
      <c r="D215" s="201"/>
      <c r="E215" s="162"/>
      <c r="F215" s="162"/>
      <c r="G215" s="162"/>
      <c r="H215" s="141">
        <f>(COUNTA(H5:H6)-COUNTIF($AN$5:$AN$6,1))/(COUNTA($G$5:$G$6)-COUNTIF($AN$5:$AN$6,1))</f>
        <v>1</v>
      </c>
      <c r="I215" s="141">
        <f t="shared" ref="I215:AH215" si="16">(COUNTA(I5:I13)-COUNTIF($AN$5:$AN$13,1))/(COUNTA($G$5:$G$13)-COUNTIF($AN$5:$AN$13,1))</f>
        <v>1</v>
      </c>
      <c r="J215" s="141">
        <f t="shared" si="16"/>
        <v>1</v>
      </c>
      <c r="K215" s="141">
        <f t="shared" si="16"/>
        <v>1</v>
      </c>
      <c r="L215" s="141">
        <f t="shared" si="16"/>
        <v>1</v>
      </c>
      <c r="M215" s="141">
        <f t="shared" si="16"/>
        <v>1</v>
      </c>
      <c r="N215" s="141">
        <f t="shared" si="16"/>
        <v>1</v>
      </c>
      <c r="O215" s="141">
        <f t="shared" si="16"/>
        <v>1</v>
      </c>
      <c r="P215" s="141">
        <f t="shared" si="16"/>
        <v>1</v>
      </c>
      <c r="Q215" s="141">
        <f t="shared" si="16"/>
        <v>1</v>
      </c>
      <c r="R215" s="141">
        <f t="shared" si="16"/>
        <v>1</v>
      </c>
      <c r="S215" s="141">
        <f t="shared" si="16"/>
        <v>1</v>
      </c>
      <c r="T215" s="141">
        <f t="shared" si="16"/>
        <v>1</v>
      </c>
      <c r="U215" s="141">
        <f t="shared" si="16"/>
        <v>1</v>
      </c>
      <c r="V215" s="141">
        <f t="shared" si="16"/>
        <v>1</v>
      </c>
      <c r="W215" s="141">
        <f t="shared" si="16"/>
        <v>1</v>
      </c>
      <c r="X215" s="141">
        <f t="shared" si="16"/>
        <v>0.5</v>
      </c>
      <c r="Y215" s="141">
        <f t="shared" si="16"/>
        <v>0.5</v>
      </c>
      <c r="Z215" s="141">
        <f t="shared" si="16"/>
        <v>0.5</v>
      </c>
      <c r="AA215" s="141">
        <f t="shared" si="16"/>
        <v>0.5</v>
      </c>
      <c r="AB215" s="141">
        <f t="shared" si="16"/>
        <v>0.6666666667</v>
      </c>
      <c r="AC215" s="141">
        <f t="shared" si="16"/>
        <v>0.6666666667</v>
      </c>
      <c r="AD215" s="141">
        <f t="shared" si="16"/>
        <v>0.6666666667</v>
      </c>
      <c r="AE215" s="141">
        <f t="shared" si="16"/>
        <v>0.6666666667</v>
      </c>
      <c r="AF215" s="141">
        <f t="shared" si="16"/>
        <v>0.6666666667</v>
      </c>
      <c r="AG215" s="141">
        <f t="shared" si="16"/>
        <v>0.6666666667</v>
      </c>
      <c r="AH215" s="141">
        <f t="shared" si="16"/>
        <v>0.6666666667</v>
      </c>
      <c r="AI215" s="141">
        <f t="shared" si="11"/>
        <v>0.9</v>
      </c>
      <c r="AJ215" s="141">
        <f t="shared" si="12"/>
        <v>1</v>
      </c>
      <c r="AK215" s="141">
        <f t="shared" si="13"/>
        <v>0.6666666667</v>
      </c>
      <c r="AL215" s="141">
        <f t="shared" si="14"/>
        <v>0.7083333333</v>
      </c>
      <c r="AM215" s="215">
        <f t="shared" si="15"/>
        <v>0.8395061728</v>
      </c>
      <c r="AN215" s="100"/>
      <c r="AO215" s="102"/>
    </row>
    <row r="216" ht="14.25" customHeight="1" outlineLevel="1">
      <c r="A216" s="269"/>
      <c r="B216" s="331" t="s">
        <v>281</v>
      </c>
      <c r="C216" s="246"/>
      <c r="D216" s="201"/>
      <c r="E216" s="162"/>
      <c r="F216" s="162"/>
      <c r="G216" s="162"/>
      <c r="H216" s="141">
        <f t="shared" ref="H216:AH216" si="17">AVERAGE(H217:H218)</f>
        <v>0.5</v>
      </c>
      <c r="I216" s="141">
        <f t="shared" si="17"/>
        <v>1</v>
      </c>
      <c r="J216" s="141">
        <f t="shared" si="17"/>
        <v>1</v>
      </c>
      <c r="K216" s="141">
        <f t="shared" si="17"/>
        <v>1</v>
      </c>
      <c r="L216" s="141">
        <f t="shared" si="17"/>
        <v>1</v>
      </c>
      <c r="M216" s="141">
        <f t="shared" si="17"/>
        <v>1</v>
      </c>
      <c r="N216" s="141">
        <f t="shared" si="17"/>
        <v>1</v>
      </c>
      <c r="O216" s="141">
        <f t="shared" si="17"/>
        <v>1</v>
      </c>
      <c r="P216" s="141">
        <f t="shared" si="17"/>
        <v>1</v>
      </c>
      <c r="Q216" s="141">
        <f t="shared" si="17"/>
        <v>1</v>
      </c>
      <c r="R216" s="141">
        <f t="shared" si="17"/>
        <v>1</v>
      </c>
      <c r="S216" s="141">
        <f t="shared" si="17"/>
        <v>1</v>
      </c>
      <c r="T216" s="141">
        <f t="shared" si="17"/>
        <v>1</v>
      </c>
      <c r="U216" s="141">
        <f t="shared" si="17"/>
        <v>1</v>
      </c>
      <c r="V216" s="141">
        <f t="shared" si="17"/>
        <v>1</v>
      </c>
      <c r="W216" s="141">
        <f t="shared" si="17"/>
        <v>1</v>
      </c>
      <c r="X216" s="141">
        <f t="shared" si="17"/>
        <v>0.5</v>
      </c>
      <c r="Y216" s="141">
        <f t="shared" si="17"/>
        <v>0.5</v>
      </c>
      <c r="Z216" s="141">
        <f t="shared" si="17"/>
        <v>0.5</v>
      </c>
      <c r="AA216" s="141">
        <f t="shared" si="17"/>
        <v>0.5</v>
      </c>
      <c r="AB216" s="141">
        <f t="shared" si="17"/>
        <v>0.5</v>
      </c>
      <c r="AC216" s="141">
        <f t="shared" si="17"/>
        <v>0.5</v>
      </c>
      <c r="AD216" s="141">
        <f t="shared" si="17"/>
        <v>0.5</v>
      </c>
      <c r="AE216" s="141">
        <f t="shared" si="17"/>
        <v>0.5</v>
      </c>
      <c r="AF216" s="141">
        <f t="shared" si="17"/>
        <v>0.5</v>
      </c>
      <c r="AG216" s="141">
        <f t="shared" si="17"/>
        <v>0.5</v>
      </c>
      <c r="AH216" s="141">
        <f t="shared" si="17"/>
        <v>0.5</v>
      </c>
      <c r="AI216" s="141">
        <f t="shared" si="11"/>
        <v>0.875</v>
      </c>
      <c r="AJ216" s="141">
        <f t="shared" si="12"/>
        <v>1</v>
      </c>
      <c r="AK216" s="141">
        <f t="shared" si="13"/>
        <v>0.5</v>
      </c>
      <c r="AL216" s="141">
        <f t="shared" si="14"/>
        <v>0.5625</v>
      </c>
      <c r="AM216" s="215">
        <f t="shared" si="15"/>
        <v>0.7777777778</v>
      </c>
      <c r="AN216" s="100"/>
      <c r="AO216" s="102"/>
    </row>
    <row r="217" ht="14.25" customHeight="1" outlineLevel="1">
      <c r="A217" s="269"/>
      <c r="B217" s="246"/>
      <c r="C217" s="331" t="s">
        <v>282</v>
      </c>
      <c r="D217" s="201"/>
      <c r="E217" s="162"/>
      <c r="F217" s="162"/>
      <c r="G217" s="162"/>
      <c r="H217" s="141">
        <f t="shared" ref="H217:AH217" si="18">(COUNTA(H9:H10)-COUNTIF($AN$9:$AN$10,1))/(COUNTA($G$9:$G$10)-COUNTIF($AN$9:$AN$10,1))</f>
        <v>0.5</v>
      </c>
      <c r="I217" s="141">
        <f t="shared" si="18"/>
        <v>1</v>
      </c>
      <c r="J217" s="141">
        <f t="shared" si="18"/>
        <v>1</v>
      </c>
      <c r="K217" s="141">
        <f t="shared" si="18"/>
        <v>1</v>
      </c>
      <c r="L217" s="141">
        <f t="shared" si="18"/>
        <v>1</v>
      </c>
      <c r="M217" s="141">
        <f t="shared" si="18"/>
        <v>1</v>
      </c>
      <c r="N217" s="141">
        <f t="shared" si="18"/>
        <v>1</v>
      </c>
      <c r="O217" s="141">
        <f t="shared" si="18"/>
        <v>1</v>
      </c>
      <c r="P217" s="141">
        <f t="shared" si="18"/>
        <v>1</v>
      </c>
      <c r="Q217" s="141">
        <f t="shared" si="18"/>
        <v>1</v>
      </c>
      <c r="R217" s="141">
        <f t="shared" si="18"/>
        <v>1</v>
      </c>
      <c r="S217" s="141">
        <f t="shared" si="18"/>
        <v>1</v>
      </c>
      <c r="T217" s="141">
        <f t="shared" si="18"/>
        <v>1</v>
      </c>
      <c r="U217" s="141">
        <f t="shared" si="18"/>
        <v>1</v>
      </c>
      <c r="V217" s="141">
        <f t="shared" si="18"/>
        <v>1</v>
      </c>
      <c r="W217" s="141">
        <f t="shared" si="18"/>
        <v>1</v>
      </c>
      <c r="X217" s="141">
        <f t="shared" si="18"/>
        <v>0.5</v>
      </c>
      <c r="Y217" s="141">
        <f t="shared" si="18"/>
        <v>0.5</v>
      </c>
      <c r="Z217" s="141">
        <f t="shared" si="18"/>
        <v>0.5</v>
      </c>
      <c r="AA217" s="141">
        <f t="shared" si="18"/>
        <v>0.5</v>
      </c>
      <c r="AB217" s="141">
        <f t="shared" si="18"/>
        <v>0.5</v>
      </c>
      <c r="AC217" s="141">
        <f t="shared" si="18"/>
        <v>0.5</v>
      </c>
      <c r="AD217" s="141">
        <f t="shared" si="18"/>
        <v>0.5</v>
      </c>
      <c r="AE217" s="141">
        <f t="shared" si="18"/>
        <v>0.5</v>
      </c>
      <c r="AF217" s="141">
        <f t="shared" si="18"/>
        <v>0.5</v>
      </c>
      <c r="AG217" s="141">
        <f t="shared" si="18"/>
        <v>0.5</v>
      </c>
      <c r="AH217" s="141">
        <f t="shared" si="18"/>
        <v>0.5</v>
      </c>
      <c r="AI217" s="141">
        <f t="shared" si="11"/>
        <v>0.875</v>
      </c>
      <c r="AJ217" s="141">
        <f t="shared" si="12"/>
        <v>1</v>
      </c>
      <c r="AK217" s="141">
        <f t="shared" si="13"/>
        <v>0.5</v>
      </c>
      <c r="AL217" s="141">
        <f t="shared" si="14"/>
        <v>0.5625</v>
      </c>
      <c r="AM217" s="215">
        <f t="shared" si="15"/>
        <v>0.7777777778</v>
      </c>
      <c r="AN217" s="100"/>
      <c r="AO217" s="102"/>
    </row>
    <row r="218" ht="14.25" customHeight="1" outlineLevel="1">
      <c r="A218" s="245"/>
      <c r="B218" s="246"/>
      <c r="C218" s="331" t="s">
        <v>289</v>
      </c>
      <c r="D218" s="201"/>
      <c r="E218" s="162"/>
      <c r="F218" s="162"/>
      <c r="G218" s="162"/>
      <c r="H218" s="141">
        <f t="shared" ref="H218:AH218" si="19">(COUNTA(H12:H13)-COUNTIF($AN$12:$AN$13,1))/(COUNTA($G$12:$G$13)-COUNTIF($AN$12:$AN$13,1))</f>
        <v>0.5</v>
      </c>
      <c r="I218" s="141">
        <f t="shared" si="19"/>
        <v>1</v>
      </c>
      <c r="J218" s="141">
        <f t="shared" si="19"/>
        <v>1</v>
      </c>
      <c r="K218" s="141">
        <f t="shared" si="19"/>
        <v>1</v>
      </c>
      <c r="L218" s="141">
        <f t="shared" si="19"/>
        <v>1</v>
      </c>
      <c r="M218" s="141">
        <f t="shared" si="19"/>
        <v>1</v>
      </c>
      <c r="N218" s="141">
        <f t="shared" si="19"/>
        <v>1</v>
      </c>
      <c r="O218" s="141">
        <f t="shared" si="19"/>
        <v>1</v>
      </c>
      <c r="P218" s="141">
        <f t="shared" si="19"/>
        <v>1</v>
      </c>
      <c r="Q218" s="141">
        <f t="shared" si="19"/>
        <v>1</v>
      </c>
      <c r="R218" s="141">
        <f t="shared" si="19"/>
        <v>1</v>
      </c>
      <c r="S218" s="141">
        <f t="shared" si="19"/>
        <v>1</v>
      </c>
      <c r="T218" s="141">
        <f t="shared" si="19"/>
        <v>1</v>
      </c>
      <c r="U218" s="141">
        <f t="shared" si="19"/>
        <v>1</v>
      </c>
      <c r="V218" s="141">
        <f t="shared" si="19"/>
        <v>1</v>
      </c>
      <c r="W218" s="141">
        <f t="shared" si="19"/>
        <v>1</v>
      </c>
      <c r="X218" s="141">
        <f t="shared" si="19"/>
        <v>0.5</v>
      </c>
      <c r="Y218" s="141">
        <f t="shared" si="19"/>
        <v>0.5</v>
      </c>
      <c r="Z218" s="141">
        <f t="shared" si="19"/>
        <v>0.5</v>
      </c>
      <c r="AA218" s="141">
        <f t="shared" si="19"/>
        <v>0.5</v>
      </c>
      <c r="AB218" s="141">
        <f t="shared" si="19"/>
        <v>0.5</v>
      </c>
      <c r="AC218" s="141">
        <f t="shared" si="19"/>
        <v>0.5</v>
      </c>
      <c r="AD218" s="141">
        <f t="shared" si="19"/>
        <v>0.5</v>
      </c>
      <c r="AE218" s="141">
        <f t="shared" si="19"/>
        <v>0.5</v>
      </c>
      <c r="AF218" s="141">
        <f t="shared" si="19"/>
        <v>0.5</v>
      </c>
      <c r="AG218" s="141">
        <f t="shared" si="19"/>
        <v>0.5</v>
      </c>
      <c r="AH218" s="141">
        <f t="shared" si="19"/>
        <v>0.5</v>
      </c>
      <c r="AI218" s="141">
        <f t="shared" si="11"/>
        <v>0.875</v>
      </c>
      <c r="AJ218" s="141">
        <f t="shared" si="12"/>
        <v>1</v>
      </c>
      <c r="AK218" s="141">
        <f t="shared" si="13"/>
        <v>0.5</v>
      </c>
      <c r="AL218" s="141">
        <f t="shared" si="14"/>
        <v>0.5625</v>
      </c>
      <c r="AM218" s="215">
        <f t="shared" si="15"/>
        <v>0.7777777778</v>
      </c>
      <c r="AN218" s="100"/>
      <c r="AO218" s="102"/>
    </row>
    <row r="219" ht="14.25" customHeight="1" outlineLevel="1">
      <c r="A219" s="245"/>
      <c r="B219" s="331" t="s">
        <v>846</v>
      </c>
      <c r="C219" s="331"/>
      <c r="D219" s="201"/>
      <c r="E219" s="162"/>
      <c r="F219" s="162"/>
      <c r="G219" s="162"/>
      <c r="H219" s="141">
        <f t="shared" ref="H219:AH219" si="20">(COUNTA(H17:H24)-COUNTIF($AN$17:$AN$24,1))/(COUNTA($G$17:$G$24)-COUNTIF($AN$17:$AN$24,1))</f>
        <v>0.125</v>
      </c>
      <c r="I219" s="141">
        <f t="shared" si="20"/>
        <v>0.125</v>
      </c>
      <c r="J219" s="141">
        <f t="shared" si="20"/>
        <v>0.125</v>
      </c>
      <c r="K219" s="141">
        <f t="shared" si="20"/>
        <v>0.125</v>
      </c>
      <c r="L219" s="141">
        <f t="shared" si="20"/>
        <v>0.125</v>
      </c>
      <c r="M219" s="141">
        <f t="shared" si="20"/>
        <v>0.125</v>
      </c>
      <c r="N219" s="141">
        <f t="shared" si="20"/>
        <v>0.125</v>
      </c>
      <c r="O219" s="141">
        <f t="shared" si="20"/>
        <v>0.125</v>
      </c>
      <c r="P219" s="141">
        <f t="shared" si="20"/>
        <v>0.125</v>
      </c>
      <c r="Q219" s="141">
        <f t="shared" si="20"/>
        <v>0.125</v>
      </c>
      <c r="R219" s="141">
        <f t="shared" si="20"/>
        <v>0.125</v>
      </c>
      <c r="S219" s="141">
        <f t="shared" si="20"/>
        <v>0.125</v>
      </c>
      <c r="T219" s="141">
        <f t="shared" si="20"/>
        <v>0.125</v>
      </c>
      <c r="U219" s="141">
        <f t="shared" si="20"/>
        <v>0.125</v>
      </c>
      <c r="V219" s="141">
        <f t="shared" si="20"/>
        <v>0.125</v>
      </c>
      <c r="W219" s="141">
        <f t="shared" si="20"/>
        <v>0.125</v>
      </c>
      <c r="X219" s="141">
        <f t="shared" si="20"/>
        <v>0.125</v>
      </c>
      <c r="Y219" s="141">
        <f t="shared" si="20"/>
        <v>0.125</v>
      </c>
      <c r="Z219" s="141">
        <f t="shared" si="20"/>
        <v>0.125</v>
      </c>
      <c r="AA219" s="141">
        <f t="shared" si="20"/>
        <v>0.125</v>
      </c>
      <c r="AB219" s="141">
        <f t="shared" si="20"/>
        <v>0.125</v>
      </c>
      <c r="AC219" s="141">
        <f t="shared" si="20"/>
        <v>0.125</v>
      </c>
      <c r="AD219" s="141">
        <f t="shared" si="20"/>
        <v>0.125</v>
      </c>
      <c r="AE219" s="141">
        <f t="shared" si="20"/>
        <v>0.125</v>
      </c>
      <c r="AF219" s="141">
        <f t="shared" si="20"/>
        <v>0.125</v>
      </c>
      <c r="AG219" s="141">
        <f t="shared" si="20"/>
        <v>0.125</v>
      </c>
      <c r="AH219" s="141">
        <f t="shared" si="20"/>
        <v>0.125</v>
      </c>
      <c r="AI219" s="141">
        <f t="shared" si="11"/>
        <v>0.125</v>
      </c>
      <c r="AJ219" s="141">
        <f t="shared" si="12"/>
        <v>0.125</v>
      </c>
      <c r="AK219" s="141">
        <f t="shared" si="13"/>
        <v>0.125</v>
      </c>
      <c r="AL219" s="141">
        <f t="shared" si="14"/>
        <v>0.125</v>
      </c>
      <c r="AM219" s="215">
        <f t="shared" si="15"/>
        <v>0.125</v>
      </c>
      <c r="AN219" s="100"/>
      <c r="AO219" s="102"/>
    </row>
    <row r="220" ht="14.25" customHeight="1">
      <c r="A220" s="355" t="s">
        <v>628</v>
      </c>
      <c r="B220" s="246"/>
      <c r="C220" s="246"/>
      <c r="D220" s="201"/>
      <c r="E220" s="162"/>
      <c r="F220" s="162"/>
      <c r="G220" s="162"/>
      <c r="H220" s="141">
        <f t="shared" ref="H220:AH220" si="21">AVERAGE(H221,H222,H225)</f>
        <v>0.5777777778</v>
      </c>
      <c r="I220" s="141">
        <f t="shared" si="21"/>
        <v>0.5777777778</v>
      </c>
      <c r="J220" s="141">
        <f t="shared" si="21"/>
        <v>0.5777777778</v>
      </c>
      <c r="K220" s="141">
        <f t="shared" si="21"/>
        <v>0.5777777778</v>
      </c>
      <c r="L220" s="141">
        <f t="shared" si="21"/>
        <v>0.6055555556</v>
      </c>
      <c r="M220" s="141">
        <f t="shared" si="21"/>
        <v>0.6055555556</v>
      </c>
      <c r="N220" s="141">
        <f t="shared" si="21"/>
        <v>0.6055555556</v>
      </c>
      <c r="O220" s="141">
        <f t="shared" si="21"/>
        <v>0.6055555556</v>
      </c>
      <c r="P220" s="141">
        <f t="shared" si="21"/>
        <v>0.6055555556</v>
      </c>
      <c r="Q220" s="141">
        <f t="shared" si="21"/>
        <v>0.6055555556</v>
      </c>
      <c r="R220" s="141">
        <f t="shared" si="21"/>
        <v>0.6055555556</v>
      </c>
      <c r="S220" s="141">
        <f t="shared" si="21"/>
        <v>0.6055555556</v>
      </c>
      <c r="T220" s="141">
        <f t="shared" si="21"/>
        <v>0.6055555556</v>
      </c>
      <c r="U220" s="141">
        <f t="shared" si="21"/>
        <v>0.6055555556</v>
      </c>
      <c r="V220" s="141">
        <f t="shared" si="21"/>
        <v>0.6055555556</v>
      </c>
      <c r="W220" s="141">
        <f t="shared" si="21"/>
        <v>0.7722222222</v>
      </c>
      <c r="X220" s="141">
        <f t="shared" si="21"/>
        <v>0.1666666667</v>
      </c>
      <c r="Y220" s="141">
        <f t="shared" si="21"/>
        <v>0.1666666667</v>
      </c>
      <c r="Z220" s="141">
        <f t="shared" si="21"/>
        <v>0.1666666667</v>
      </c>
      <c r="AA220" s="141">
        <f t="shared" si="21"/>
        <v>0.1666666667</v>
      </c>
      <c r="AB220" s="141">
        <f t="shared" si="21"/>
        <v>0.2777777778</v>
      </c>
      <c r="AC220" s="141">
        <f t="shared" si="21"/>
        <v>0.2777777778</v>
      </c>
      <c r="AD220" s="141">
        <f t="shared" si="21"/>
        <v>0.2777777778</v>
      </c>
      <c r="AE220" s="141">
        <f t="shared" si="21"/>
        <v>0.2777777778</v>
      </c>
      <c r="AF220" s="141">
        <f t="shared" si="21"/>
        <v>0.2777777778</v>
      </c>
      <c r="AG220" s="141">
        <f t="shared" si="21"/>
        <v>0.2777777778</v>
      </c>
      <c r="AH220" s="141">
        <f t="shared" si="21"/>
        <v>0.2777777778</v>
      </c>
      <c r="AI220" s="141">
        <f t="shared" si="11"/>
        <v>0.5205555556</v>
      </c>
      <c r="AJ220" s="141">
        <f t="shared" si="12"/>
        <v>0.7722222222</v>
      </c>
      <c r="AK220" s="141">
        <f t="shared" si="13"/>
        <v>0.2777777778</v>
      </c>
      <c r="AL220" s="141">
        <f t="shared" si="14"/>
        <v>0.3395833333</v>
      </c>
      <c r="AM220" s="215">
        <f t="shared" si="15"/>
        <v>0.4576131687</v>
      </c>
      <c r="AN220" s="100"/>
      <c r="AO220" s="102"/>
    </row>
    <row r="221" ht="14.25" customHeight="1" outlineLevel="1">
      <c r="A221" s="247"/>
      <c r="B221" s="331" t="s">
        <v>1141</v>
      </c>
      <c r="C221" s="246"/>
      <c r="D221" s="201"/>
      <c r="E221" s="162"/>
      <c r="F221" s="162"/>
      <c r="G221" s="162"/>
      <c r="H221" s="141">
        <f t="shared" ref="H221:AH221" si="22">(COUNTA(H27:H30)-COUNTIF($AN$27:$AN$30,1))/(COUNTA($G$27:$G$30)-COUNTIF($AN$27:$AN$30,1))</f>
        <v>0.25</v>
      </c>
      <c r="I221" s="141">
        <f t="shared" si="22"/>
        <v>0.25</v>
      </c>
      <c r="J221" s="141">
        <f t="shared" si="22"/>
        <v>0.25</v>
      </c>
      <c r="K221" s="141">
        <f t="shared" si="22"/>
        <v>0.25</v>
      </c>
      <c r="L221" s="141">
        <f t="shared" si="22"/>
        <v>0.25</v>
      </c>
      <c r="M221" s="141">
        <f t="shared" si="22"/>
        <v>0.25</v>
      </c>
      <c r="N221" s="141">
        <f t="shared" si="22"/>
        <v>0.25</v>
      </c>
      <c r="O221" s="141">
        <f t="shared" si="22"/>
        <v>0.25</v>
      </c>
      <c r="P221" s="141">
        <f t="shared" si="22"/>
        <v>0.25</v>
      </c>
      <c r="Q221" s="141">
        <f t="shared" si="22"/>
        <v>0.25</v>
      </c>
      <c r="R221" s="141">
        <f t="shared" si="22"/>
        <v>0.25</v>
      </c>
      <c r="S221" s="141">
        <f t="shared" si="22"/>
        <v>0.25</v>
      </c>
      <c r="T221" s="141">
        <f t="shared" si="22"/>
        <v>0.25</v>
      </c>
      <c r="U221" s="141">
        <f t="shared" si="22"/>
        <v>0.25</v>
      </c>
      <c r="V221" s="141">
        <f t="shared" si="22"/>
        <v>0.25</v>
      </c>
      <c r="W221" s="141">
        <f t="shared" si="22"/>
        <v>0.75</v>
      </c>
      <c r="X221" s="141">
        <f t="shared" si="22"/>
        <v>0.5</v>
      </c>
      <c r="Y221" s="141">
        <f t="shared" si="22"/>
        <v>0.5</v>
      </c>
      <c r="Z221" s="141">
        <f t="shared" si="22"/>
        <v>0.5</v>
      </c>
      <c r="AA221" s="141">
        <f t="shared" si="22"/>
        <v>0.5</v>
      </c>
      <c r="AB221" s="141">
        <f t="shared" si="22"/>
        <v>0.5</v>
      </c>
      <c r="AC221" s="141">
        <f t="shared" si="22"/>
        <v>0.5</v>
      </c>
      <c r="AD221" s="141">
        <f t="shared" si="22"/>
        <v>0.5</v>
      </c>
      <c r="AE221" s="141">
        <f t="shared" si="22"/>
        <v>0.5</v>
      </c>
      <c r="AF221" s="141">
        <f t="shared" si="22"/>
        <v>0.5</v>
      </c>
      <c r="AG221" s="141">
        <f t="shared" si="22"/>
        <v>0.5</v>
      </c>
      <c r="AH221" s="141">
        <f t="shared" si="22"/>
        <v>0.5</v>
      </c>
      <c r="AI221" s="141">
        <f t="shared" si="11"/>
        <v>0.325</v>
      </c>
      <c r="AJ221" s="141">
        <f t="shared" si="12"/>
        <v>0.75</v>
      </c>
      <c r="AK221" s="141">
        <f t="shared" si="13"/>
        <v>0.5</v>
      </c>
      <c r="AL221" s="141">
        <f t="shared" si="14"/>
        <v>0.53125</v>
      </c>
      <c r="AM221" s="215">
        <f t="shared" si="15"/>
        <v>0.3703703704</v>
      </c>
      <c r="AN221" s="100"/>
      <c r="AO221" s="102"/>
    </row>
    <row r="222" ht="14.25" customHeight="1" outlineLevel="1">
      <c r="A222" s="247"/>
      <c r="B222" s="331" t="s">
        <v>319</v>
      </c>
      <c r="C222" s="246"/>
      <c r="D222" s="201"/>
      <c r="E222" s="162"/>
      <c r="F222" s="162"/>
      <c r="G222" s="162"/>
      <c r="H222" s="141">
        <f t="shared" ref="H222:AH222" si="23">AVERAGE(H223:H225)</f>
        <v>0.6833333333</v>
      </c>
      <c r="I222" s="141">
        <f t="shared" si="23"/>
        <v>0.6833333333</v>
      </c>
      <c r="J222" s="141">
        <f t="shared" si="23"/>
        <v>0.6833333333</v>
      </c>
      <c r="K222" s="141">
        <f t="shared" si="23"/>
        <v>0.6833333333</v>
      </c>
      <c r="L222" s="141">
        <f t="shared" si="23"/>
        <v>0.7666666667</v>
      </c>
      <c r="M222" s="141">
        <f t="shared" si="23"/>
        <v>0.7666666667</v>
      </c>
      <c r="N222" s="141">
        <f t="shared" si="23"/>
        <v>0.7666666667</v>
      </c>
      <c r="O222" s="141">
        <f t="shared" si="23"/>
        <v>0.7666666667</v>
      </c>
      <c r="P222" s="141">
        <f t="shared" si="23"/>
        <v>0.7666666667</v>
      </c>
      <c r="Q222" s="141">
        <f t="shared" si="23"/>
        <v>0.7666666667</v>
      </c>
      <c r="R222" s="141">
        <f t="shared" si="23"/>
        <v>0.7666666667</v>
      </c>
      <c r="S222" s="141">
        <f t="shared" si="23"/>
        <v>0.7666666667</v>
      </c>
      <c r="T222" s="141">
        <f t="shared" si="23"/>
        <v>0.7666666667</v>
      </c>
      <c r="U222" s="141">
        <f t="shared" si="23"/>
        <v>0.7666666667</v>
      </c>
      <c r="V222" s="141">
        <f t="shared" si="23"/>
        <v>0.7666666667</v>
      </c>
      <c r="W222" s="141">
        <f t="shared" si="23"/>
        <v>0.7666666667</v>
      </c>
      <c r="X222" s="141">
        <f t="shared" si="23"/>
        <v>0</v>
      </c>
      <c r="Y222" s="141">
        <f t="shared" si="23"/>
        <v>0</v>
      </c>
      <c r="Z222" s="141">
        <f t="shared" si="23"/>
        <v>0</v>
      </c>
      <c r="AA222" s="141">
        <f t="shared" si="23"/>
        <v>0</v>
      </c>
      <c r="AB222" s="141">
        <f t="shared" si="23"/>
        <v>0.3333333333</v>
      </c>
      <c r="AC222" s="141">
        <f t="shared" si="23"/>
        <v>0.3333333333</v>
      </c>
      <c r="AD222" s="141">
        <f t="shared" si="23"/>
        <v>0.3333333333</v>
      </c>
      <c r="AE222" s="141">
        <f t="shared" si="23"/>
        <v>0.3333333333</v>
      </c>
      <c r="AF222" s="141">
        <f t="shared" si="23"/>
        <v>0.3333333333</v>
      </c>
      <c r="AG222" s="141">
        <f t="shared" si="23"/>
        <v>0.3333333333</v>
      </c>
      <c r="AH222" s="141">
        <f t="shared" si="23"/>
        <v>0.3333333333</v>
      </c>
      <c r="AI222" s="141">
        <f t="shared" si="11"/>
        <v>0.5966666667</v>
      </c>
      <c r="AJ222" s="141">
        <f t="shared" si="12"/>
        <v>0.7666666667</v>
      </c>
      <c r="AK222" s="141">
        <f t="shared" si="13"/>
        <v>0.3333333333</v>
      </c>
      <c r="AL222" s="141">
        <f t="shared" si="14"/>
        <v>0.3875</v>
      </c>
      <c r="AM222" s="215">
        <f t="shared" si="15"/>
        <v>0.5283950617</v>
      </c>
      <c r="AN222" s="100"/>
      <c r="AO222" s="102"/>
    </row>
    <row r="223" ht="14.25" customHeight="1" outlineLevel="2">
      <c r="A223" s="247"/>
      <c r="B223" s="201"/>
      <c r="C223" s="331" t="s">
        <v>873</v>
      </c>
      <c r="D223" s="201"/>
      <c r="E223" s="162"/>
      <c r="F223" s="162"/>
      <c r="G223" s="162"/>
      <c r="H223" s="141">
        <f t="shared" ref="H223:AH223" si="24">(COUNTA(H36:H43)-COUNTIF($AN$36:$AN$43,1))/(COUNTA($G$36:$G$43)-COUNTIF($AN$36:$AN$43,1))</f>
        <v>0.625</v>
      </c>
      <c r="I223" s="141">
        <f t="shared" si="24"/>
        <v>0.625</v>
      </c>
      <c r="J223" s="141">
        <f t="shared" si="24"/>
        <v>0.625</v>
      </c>
      <c r="K223" s="141">
        <f t="shared" si="24"/>
        <v>0.625</v>
      </c>
      <c r="L223" s="141">
        <f t="shared" si="24"/>
        <v>0.75</v>
      </c>
      <c r="M223" s="141">
        <f t="shared" si="24"/>
        <v>0.75</v>
      </c>
      <c r="N223" s="141">
        <f t="shared" si="24"/>
        <v>0.75</v>
      </c>
      <c r="O223" s="141">
        <f t="shared" si="24"/>
        <v>0.75</v>
      </c>
      <c r="P223" s="141">
        <f t="shared" si="24"/>
        <v>0.75</v>
      </c>
      <c r="Q223" s="141">
        <f t="shared" si="24"/>
        <v>0.75</v>
      </c>
      <c r="R223" s="141">
        <f t="shared" si="24"/>
        <v>0.75</v>
      </c>
      <c r="S223" s="141">
        <f t="shared" si="24"/>
        <v>0.75</v>
      </c>
      <c r="T223" s="141">
        <f t="shared" si="24"/>
        <v>0.75</v>
      </c>
      <c r="U223" s="141">
        <f t="shared" si="24"/>
        <v>0.75</v>
      </c>
      <c r="V223" s="141">
        <f t="shared" si="24"/>
        <v>0.75</v>
      </c>
      <c r="W223" s="141">
        <f t="shared" si="24"/>
        <v>0.75</v>
      </c>
      <c r="X223" s="141">
        <f t="shared" si="24"/>
        <v>0</v>
      </c>
      <c r="Y223" s="141">
        <f t="shared" si="24"/>
        <v>0</v>
      </c>
      <c r="Z223" s="141">
        <f t="shared" si="24"/>
        <v>0</v>
      </c>
      <c r="AA223" s="141">
        <f t="shared" si="24"/>
        <v>0</v>
      </c>
      <c r="AB223" s="141">
        <f t="shared" si="24"/>
        <v>1</v>
      </c>
      <c r="AC223" s="141">
        <f t="shared" si="24"/>
        <v>1</v>
      </c>
      <c r="AD223" s="141">
        <f t="shared" si="24"/>
        <v>1</v>
      </c>
      <c r="AE223" s="141">
        <f t="shared" si="24"/>
        <v>1</v>
      </c>
      <c r="AF223" s="141">
        <f t="shared" si="24"/>
        <v>1</v>
      </c>
      <c r="AG223" s="141">
        <f t="shared" si="24"/>
        <v>1</v>
      </c>
      <c r="AH223" s="141">
        <f t="shared" si="24"/>
        <v>1</v>
      </c>
      <c r="AI223" s="141">
        <f t="shared" si="11"/>
        <v>0.575</v>
      </c>
      <c r="AJ223" s="141">
        <f t="shared" si="12"/>
        <v>0.75</v>
      </c>
      <c r="AK223" s="141">
        <f t="shared" si="13"/>
        <v>1</v>
      </c>
      <c r="AL223" s="141">
        <f t="shared" si="14"/>
        <v>0.96875</v>
      </c>
      <c r="AM223" s="215">
        <f t="shared" si="15"/>
        <v>0.6851851852</v>
      </c>
      <c r="AN223" s="100"/>
      <c r="AO223" s="102"/>
    </row>
    <row r="224" ht="14.25" customHeight="1" outlineLevel="2">
      <c r="A224" s="247"/>
      <c r="B224" s="201"/>
      <c r="C224" s="331" t="s">
        <v>890</v>
      </c>
      <c r="D224" s="201"/>
      <c r="E224" s="162"/>
      <c r="F224" s="162"/>
      <c r="G224" s="162"/>
      <c r="H224" s="141">
        <f t="shared" ref="H224:AH224" si="25">(COUNTA(H45:H52)-COUNTIF($AN$45:$AN$52,1))/(COUNTA($G$45:$G$52)-COUNTIF($AN$45:$AN$52,1))</f>
        <v>0.625</v>
      </c>
      <c r="I224" s="141">
        <f t="shared" si="25"/>
        <v>0.625</v>
      </c>
      <c r="J224" s="141">
        <f t="shared" si="25"/>
        <v>0.625</v>
      </c>
      <c r="K224" s="141">
        <f t="shared" si="25"/>
        <v>0.625</v>
      </c>
      <c r="L224" s="141">
        <f t="shared" si="25"/>
        <v>0.75</v>
      </c>
      <c r="M224" s="141">
        <f t="shared" si="25"/>
        <v>0.75</v>
      </c>
      <c r="N224" s="141">
        <f t="shared" si="25"/>
        <v>0.75</v>
      </c>
      <c r="O224" s="141">
        <f t="shared" si="25"/>
        <v>0.75</v>
      </c>
      <c r="P224" s="141">
        <f t="shared" si="25"/>
        <v>0.75</v>
      </c>
      <c r="Q224" s="141">
        <f t="shared" si="25"/>
        <v>0.75</v>
      </c>
      <c r="R224" s="141">
        <f t="shared" si="25"/>
        <v>0.75</v>
      </c>
      <c r="S224" s="141">
        <f t="shared" si="25"/>
        <v>0.75</v>
      </c>
      <c r="T224" s="141">
        <f t="shared" si="25"/>
        <v>0.75</v>
      </c>
      <c r="U224" s="141">
        <f t="shared" si="25"/>
        <v>0.75</v>
      </c>
      <c r="V224" s="141">
        <f t="shared" si="25"/>
        <v>0.75</v>
      </c>
      <c r="W224" s="141">
        <f t="shared" si="25"/>
        <v>0.75</v>
      </c>
      <c r="X224" s="141">
        <f t="shared" si="25"/>
        <v>0</v>
      </c>
      <c r="Y224" s="141">
        <f t="shared" si="25"/>
        <v>0</v>
      </c>
      <c r="Z224" s="141">
        <f t="shared" si="25"/>
        <v>0</v>
      </c>
      <c r="AA224" s="141">
        <f t="shared" si="25"/>
        <v>0</v>
      </c>
      <c r="AB224" s="141">
        <f t="shared" si="25"/>
        <v>0</v>
      </c>
      <c r="AC224" s="141">
        <f t="shared" si="25"/>
        <v>0</v>
      </c>
      <c r="AD224" s="141">
        <f t="shared" si="25"/>
        <v>0</v>
      </c>
      <c r="AE224" s="141">
        <f t="shared" si="25"/>
        <v>0</v>
      </c>
      <c r="AF224" s="141">
        <f t="shared" si="25"/>
        <v>0</v>
      </c>
      <c r="AG224" s="141">
        <f t="shared" si="25"/>
        <v>0</v>
      </c>
      <c r="AH224" s="141">
        <f t="shared" si="25"/>
        <v>0</v>
      </c>
      <c r="AI224" s="141">
        <f t="shared" si="11"/>
        <v>0.575</v>
      </c>
      <c r="AJ224" s="141">
        <f t="shared" si="12"/>
        <v>0.75</v>
      </c>
      <c r="AK224" s="141">
        <f t="shared" si="13"/>
        <v>0</v>
      </c>
      <c r="AL224" s="141">
        <f t="shared" si="14"/>
        <v>0.09375</v>
      </c>
      <c r="AM224" s="215">
        <f t="shared" si="15"/>
        <v>0.4259259259</v>
      </c>
      <c r="AN224" s="100"/>
      <c r="AO224" s="102"/>
    </row>
    <row r="225" ht="14.25" customHeight="1" outlineLevel="2">
      <c r="A225" s="247"/>
      <c r="B225" s="100"/>
      <c r="C225" s="331" t="s">
        <v>367</v>
      </c>
      <c r="D225" s="201"/>
      <c r="E225" s="162"/>
      <c r="F225" s="162"/>
      <c r="G225" s="162"/>
      <c r="H225" s="141">
        <f t="shared" ref="H225:AH225" si="26">(COUNTA(H65:H74)-COUNTIF($AN$65:$AN$74,1))/(COUNTA($G$65:$G$74)-COUNTIF($AN$65:$AN$74,1))</f>
        <v>0.8</v>
      </c>
      <c r="I225" s="141">
        <f t="shared" si="26"/>
        <v>0.8</v>
      </c>
      <c r="J225" s="141">
        <f t="shared" si="26"/>
        <v>0.8</v>
      </c>
      <c r="K225" s="141">
        <f t="shared" si="26"/>
        <v>0.8</v>
      </c>
      <c r="L225" s="141">
        <f t="shared" si="26"/>
        <v>0.8</v>
      </c>
      <c r="M225" s="141">
        <f t="shared" si="26"/>
        <v>0.8</v>
      </c>
      <c r="N225" s="141">
        <f t="shared" si="26"/>
        <v>0.8</v>
      </c>
      <c r="O225" s="141">
        <f t="shared" si="26"/>
        <v>0.8</v>
      </c>
      <c r="P225" s="141">
        <f t="shared" si="26"/>
        <v>0.8</v>
      </c>
      <c r="Q225" s="141">
        <f t="shared" si="26"/>
        <v>0.8</v>
      </c>
      <c r="R225" s="141">
        <f t="shared" si="26"/>
        <v>0.8</v>
      </c>
      <c r="S225" s="141">
        <f t="shared" si="26"/>
        <v>0.8</v>
      </c>
      <c r="T225" s="141">
        <f t="shared" si="26"/>
        <v>0.8</v>
      </c>
      <c r="U225" s="141">
        <f t="shared" si="26"/>
        <v>0.8</v>
      </c>
      <c r="V225" s="141">
        <f t="shared" si="26"/>
        <v>0.8</v>
      </c>
      <c r="W225" s="141">
        <f t="shared" si="26"/>
        <v>0.8</v>
      </c>
      <c r="X225" s="141">
        <f t="shared" si="26"/>
        <v>0</v>
      </c>
      <c r="Y225" s="141">
        <f t="shared" si="26"/>
        <v>0</v>
      </c>
      <c r="Z225" s="141">
        <f t="shared" si="26"/>
        <v>0</v>
      </c>
      <c r="AA225" s="141">
        <f t="shared" si="26"/>
        <v>0</v>
      </c>
      <c r="AB225" s="141">
        <f t="shared" si="26"/>
        <v>0</v>
      </c>
      <c r="AC225" s="141">
        <f t="shared" si="26"/>
        <v>0</v>
      </c>
      <c r="AD225" s="141">
        <f t="shared" si="26"/>
        <v>0</v>
      </c>
      <c r="AE225" s="141">
        <f t="shared" si="26"/>
        <v>0</v>
      </c>
      <c r="AF225" s="141">
        <f t="shared" si="26"/>
        <v>0</v>
      </c>
      <c r="AG225" s="141">
        <f t="shared" si="26"/>
        <v>0</v>
      </c>
      <c r="AH225" s="141">
        <f t="shared" si="26"/>
        <v>0</v>
      </c>
      <c r="AI225" s="141">
        <f t="shared" si="11"/>
        <v>0.64</v>
      </c>
      <c r="AJ225" s="141">
        <f t="shared" si="12"/>
        <v>0.8</v>
      </c>
      <c r="AK225" s="141">
        <f t="shared" si="13"/>
        <v>0</v>
      </c>
      <c r="AL225" s="141">
        <f t="shared" si="14"/>
        <v>0.1</v>
      </c>
      <c r="AM225" s="215">
        <f t="shared" si="15"/>
        <v>0.4740740741</v>
      </c>
      <c r="AN225" s="100"/>
      <c r="AO225" s="102"/>
    </row>
    <row r="226" ht="13.5" customHeight="1" outlineLevel="1">
      <c r="A226" s="247"/>
      <c r="B226" s="331" t="s">
        <v>388</v>
      </c>
      <c r="C226" s="246"/>
      <c r="D226" s="201"/>
      <c r="E226" s="162"/>
      <c r="F226" s="162"/>
      <c r="G226" s="162"/>
      <c r="H226" s="141">
        <f t="shared" ref="H226:AH226" si="27">AVERAGE(H227:H230)</f>
        <v>0.5833333333</v>
      </c>
      <c r="I226" s="141">
        <f t="shared" si="27"/>
        <v>0.5833333333</v>
      </c>
      <c r="J226" s="141">
        <f t="shared" si="27"/>
        <v>0.5833333333</v>
      </c>
      <c r="K226" s="141">
        <f t="shared" si="27"/>
        <v>0.5833333333</v>
      </c>
      <c r="L226" s="141">
        <f t="shared" si="27"/>
        <v>0.5833333333</v>
      </c>
      <c r="M226" s="141">
        <f t="shared" si="27"/>
        <v>0.5833333333</v>
      </c>
      <c r="N226" s="141">
        <f t="shared" si="27"/>
        <v>0.5833333333</v>
      </c>
      <c r="O226" s="141">
        <f t="shared" si="27"/>
        <v>0.5833333333</v>
      </c>
      <c r="P226" s="141">
        <f t="shared" si="27"/>
        <v>0.5833333333</v>
      </c>
      <c r="Q226" s="141">
        <f t="shared" si="27"/>
        <v>0.5833333333</v>
      </c>
      <c r="R226" s="141">
        <f t="shared" si="27"/>
        <v>0.5833333333</v>
      </c>
      <c r="S226" s="141">
        <f t="shared" si="27"/>
        <v>0.5833333333</v>
      </c>
      <c r="T226" s="141">
        <f t="shared" si="27"/>
        <v>0.5833333333</v>
      </c>
      <c r="U226" s="141">
        <f t="shared" si="27"/>
        <v>0.5833333333</v>
      </c>
      <c r="V226" s="141">
        <f t="shared" si="27"/>
        <v>0.5833333333</v>
      </c>
      <c r="W226" s="141">
        <f t="shared" si="27"/>
        <v>0.5833333333</v>
      </c>
      <c r="X226" s="141">
        <f t="shared" si="27"/>
        <v>0</v>
      </c>
      <c r="Y226" s="141">
        <f t="shared" si="27"/>
        <v>0</v>
      </c>
      <c r="Z226" s="141">
        <f t="shared" si="27"/>
        <v>0</v>
      </c>
      <c r="AA226" s="141">
        <f t="shared" si="27"/>
        <v>0</v>
      </c>
      <c r="AB226" s="141">
        <f t="shared" si="27"/>
        <v>0</v>
      </c>
      <c r="AC226" s="141">
        <f t="shared" si="27"/>
        <v>0</v>
      </c>
      <c r="AD226" s="141">
        <f t="shared" si="27"/>
        <v>0</v>
      </c>
      <c r="AE226" s="141">
        <f t="shared" si="27"/>
        <v>0</v>
      </c>
      <c r="AF226" s="141">
        <f t="shared" si="27"/>
        <v>0</v>
      </c>
      <c r="AG226" s="141">
        <f t="shared" si="27"/>
        <v>0</v>
      </c>
      <c r="AH226" s="141">
        <f t="shared" si="27"/>
        <v>0</v>
      </c>
      <c r="AI226" s="141">
        <f t="shared" si="11"/>
        <v>0.4666666667</v>
      </c>
      <c r="AJ226" s="141">
        <f t="shared" si="12"/>
        <v>0.5833333333</v>
      </c>
      <c r="AK226" s="141">
        <f t="shared" si="13"/>
        <v>0</v>
      </c>
      <c r="AL226" s="141">
        <f t="shared" si="14"/>
        <v>0.07291666667</v>
      </c>
      <c r="AM226" s="215">
        <f t="shared" si="15"/>
        <v>0.3456790123</v>
      </c>
      <c r="AN226" s="100"/>
      <c r="AO226" s="102"/>
    </row>
    <row r="227" ht="13.5" customHeight="1" outlineLevel="2">
      <c r="A227" s="247"/>
      <c r="B227" s="201"/>
      <c r="C227" s="331" t="s">
        <v>389</v>
      </c>
      <c r="D227" s="201"/>
      <c r="E227" s="162"/>
      <c r="F227" s="162"/>
      <c r="G227" s="162"/>
      <c r="H227" s="141">
        <f t="shared" ref="H227:AH227" si="28">MAX(COUNTA(H77),(COUNTA(H78:H80)-COUNTIF($AN78:$AN80,1))/(COUNTA($G78:$G80)-COUNTIF($AN78:$AN80,1)))</f>
        <v>1</v>
      </c>
      <c r="I227" s="141">
        <f t="shared" si="28"/>
        <v>1</v>
      </c>
      <c r="J227" s="141">
        <f t="shared" si="28"/>
        <v>1</v>
      </c>
      <c r="K227" s="141">
        <f t="shared" si="28"/>
        <v>1</v>
      </c>
      <c r="L227" s="141">
        <f t="shared" si="28"/>
        <v>1</v>
      </c>
      <c r="M227" s="141">
        <f t="shared" si="28"/>
        <v>1</v>
      </c>
      <c r="N227" s="141">
        <f t="shared" si="28"/>
        <v>1</v>
      </c>
      <c r="O227" s="141">
        <f t="shared" si="28"/>
        <v>1</v>
      </c>
      <c r="P227" s="141">
        <f t="shared" si="28"/>
        <v>1</v>
      </c>
      <c r="Q227" s="141">
        <f t="shared" si="28"/>
        <v>1</v>
      </c>
      <c r="R227" s="141">
        <f t="shared" si="28"/>
        <v>1</v>
      </c>
      <c r="S227" s="141">
        <f t="shared" si="28"/>
        <v>1</v>
      </c>
      <c r="T227" s="141">
        <f t="shared" si="28"/>
        <v>1</v>
      </c>
      <c r="U227" s="141">
        <f t="shared" si="28"/>
        <v>1</v>
      </c>
      <c r="V227" s="141">
        <f t="shared" si="28"/>
        <v>1</v>
      </c>
      <c r="W227" s="141">
        <f t="shared" si="28"/>
        <v>1</v>
      </c>
      <c r="X227" s="141">
        <f t="shared" si="28"/>
        <v>0</v>
      </c>
      <c r="Y227" s="141">
        <f t="shared" si="28"/>
        <v>0</v>
      </c>
      <c r="Z227" s="141">
        <f t="shared" si="28"/>
        <v>0</v>
      </c>
      <c r="AA227" s="141">
        <f t="shared" si="28"/>
        <v>0</v>
      </c>
      <c r="AB227" s="141">
        <f t="shared" si="28"/>
        <v>0</v>
      </c>
      <c r="AC227" s="141">
        <f t="shared" si="28"/>
        <v>0</v>
      </c>
      <c r="AD227" s="141">
        <f t="shared" si="28"/>
        <v>0</v>
      </c>
      <c r="AE227" s="141">
        <f t="shared" si="28"/>
        <v>0</v>
      </c>
      <c r="AF227" s="141">
        <f t="shared" si="28"/>
        <v>0</v>
      </c>
      <c r="AG227" s="141">
        <f t="shared" si="28"/>
        <v>0</v>
      </c>
      <c r="AH227" s="141">
        <f t="shared" si="28"/>
        <v>0</v>
      </c>
      <c r="AI227" s="141">
        <f t="shared" si="11"/>
        <v>0.8</v>
      </c>
      <c r="AJ227" s="141">
        <f t="shared" si="12"/>
        <v>1</v>
      </c>
      <c r="AK227" s="141">
        <f t="shared" si="13"/>
        <v>0</v>
      </c>
      <c r="AL227" s="141">
        <f t="shared" si="14"/>
        <v>0.125</v>
      </c>
      <c r="AM227" s="215">
        <f t="shared" si="15"/>
        <v>0.5925925926</v>
      </c>
      <c r="AN227" s="100"/>
      <c r="AO227" s="102"/>
    </row>
    <row r="228" ht="13.5" customHeight="1" outlineLevel="2">
      <c r="A228" s="247"/>
      <c r="B228" s="201"/>
      <c r="C228" s="331" t="s">
        <v>629</v>
      </c>
      <c r="D228" s="201"/>
      <c r="E228" s="162"/>
      <c r="F228" s="162"/>
      <c r="G228" s="162"/>
      <c r="H228" s="141">
        <f t="shared" ref="H228:AH228" si="29">MAX(COUNTA(H82),(COUNTA(H83:H85)-COUNTIF($AN83:$AN85,1))/(COUNTA($G83:$G85)-COUNTIF($AN83:$AN85,1)))</f>
        <v>0</v>
      </c>
      <c r="I228" s="141">
        <f t="shared" si="29"/>
        <v>0</v>
      </c>
      <c r="J228" s="141">
        <f t="shared" si="29"/>
        <v>0</v>
      </c>
      <c r="K228" s="141">
        <f t="shared" si="29"/>
        <v>0</v>
      </c>
      <c r="L228" s="141">
        <f t="shared" si="29"/>
        <v>0</v>
      </c>
      <c r="M228" s="141">
        <f t="shared" si="29"/>
        <v>0</v>
      </c>
      <c r="N228" s="141">
        <f t="shared" si="29"/>
        <v>0</v>
      </c>
      <c r="O228" s="141">
        <f t="shared" si="29"/>
        <v>0</v>
      </c>
      <c r="P228" s="141">
        <f t="shared" si="29"/>
        <v>0</v>
      </c>
      <c r="Q228" s="141">
        <f t="shared" si="29"/>
        <v>0</v>
      </c>
      <c r="R228" s="141">
        <f t="shared" si="29"/>
        <v>0</v>
      </c>
      <c r="S228" s="141">
        <f t="shared" si="29"/>
        <v>0</v>
      </c>
      <c r="T228" s="141">
        <f t="shared" si="29"/>
        <v>0</v>
      </c>
      <c r="U228" s="141">
        <f t="shared" si="29"/>
        <v>0</v>
      </c>
      <c r="V228" s="141">
        <f t="shared" si="29"/>
        <v>0</v>
      </c>
      <c r="W228" s="141">
        <f t="shared" si="29"/>
        <v>0</v>
      </c>
      <c r="X228" s="141">
        <f t="shared" si="29"/>
        <v>0</v>
      </c>
      <c r="Y228" s="141">
        <f t="shared" si="29"/>
        <v>0</v>
      </c>
      <c r="Z228" s="141">
        <f t="shared" si="29"/>
        <v>0</v>
      </c>
      <c r="AA228" s="141">
        <f t="shared" si="29"/>
        <v>0</v>
      </c>
      <c r="AB228" s="141">
        <f t="shared" si="29"/>
        <v>0</v>
      </c>
      <c r="AC228" s="141">
        <f t="shared" si="29"/>
        <v>0</v>
      </c>
      <c r="AD228" s="141">
        <f t="shared" si="29"/>
        <v>0</v>
      </c>
      <c r="AE228" s="141">
        <f t="shared" si="29"/>
        <v>0</v>
      </c>
      <c r="AF228" s="141">
        <f t="shared" si="29"/>
        <v>0</v>
      </c>
      <c r="AG228" s="141">
        <f t="shared" si="29"/>
        <v>0</v>
      </c>
      <c r="AH228" s="141">
        <f t="shared" si="29"/>
        <v>0</v>
      </c>
      <c r="AI228" s="141">
        <f t="shared" si="11"/>
        <v>0</v>
      </c>
      <c r="AJ228" s="141">
        <f t="shared" si="12"/>
        <v>0</v>
      </c>
      <c r="AK228" s="141">
        <f t="shared" si="13"/>
        <v>0</v>
      </c>
      <c r="AL228" s="141">
        <f t="shared" si="14"/>
        <v>0</v>
      </c>
      <c r="AM228" s="215">
        <f t="shared" si="15"/>
        <v>0</v>
      </c>
      <c r="AN228" s="100"/>
      <c r="AO228" s="102"/>
    </row>
    <row r="229" ht="13.5" customHeight="1" outlineLevel="2">
      <c r="A229" s="247"/>
      <c r="B229" s="201"/>
      <c r="C229" s="331" t="s">
        <v>410</v>
      </c>
      <c r="D229" s="357"/>
      <c r="E229" s="162"/>
      <c r="F229" s="162"/>
      <c r="G229" s="162"/>
      <c r="H229" s="141">
        <f t="shared" ref="H229:AH229" si="30">(COUNTA(H87)-COUNTIF($AN87,1))/(COUNTA($G87)-COUNTIF($AN87,1))</f>
        <v>1</v>
      </c>
      <c r="I229" s="141">
        <f t="shared" si="30"/>
        <v>1</v>
      </c>
      <c r="J229" s="141">
        <f t="shared" si="30"/>
        <v>1</v>
      </c>
      <c r="K229" s="141">
        <f t="shared" si="30"/>
        <v>1</v>
      </c>
      <c r="L229" s="141">
        <f t="shared" si="30"/>
        <v>1</v>
      </c>
      <c r="M229" s="141">
        <f t="shared" si="30"/>
        <v>1</v>
      </c>
      <c r="N229" s="141">
        <f t="shared" si="30"/>
        <v>1</v>
      </c>
      <c r="O229" s="141">
        <f t="shared" si="30"/>
        <v>1</v>
      </c>
      <c r="P229" s="141">
        <f t="shared" si="30"/>
        <v>1</v>
      </c>
      <c r="Q229" s="141">
        <f t="shared" si="30"/>
        <v>1</v>
      </c>
      <c r="R229" s="141">
        <f t="shared" si="30"/>
        <v>1</v>
      </c>
      <c r="S229" s="141">
        <f t="shared" si="30"/>
        <v>1</v>
      </c>
      <c r="T229" s="141">
        <f t="shared" si="30"/>
        <v>1</v>
      </c>
      <c r="U229" s="141">
        <f t="shared" si="30"/>
        <v>1</v>
      </c>
      <c r="V229" s="141">
        <f t="shared" si="30"/>
        <v>1</v>
      </c>
      <c r="W229" s="141">
        <f t="shared" si="30"/>
        <v>1</v>
      </c>
      <c r="X229" s="141">
        <f t="shared" si="30"/>
        <v>0</v>
      </c>
      <c r="Y229" s="141">
        <f t="shared" si="30"/>
        <v>0</v>
      </c>
      <c r="Z229" s="141">
        <f t="shared" si="30"/>
        <v>0</v>
      </c>
      <c r="AA229" s="141">
        <f t="shared" si="30"/>
        <v>0</v>
      </c>
      <c r="AB229" s="141">
        <f t="shared" si="30"/>
        <v>0</v>
      </c>
      <c r="AC229" s="141">
        <f t="shared" si="30"/>
        <v>0</v>
      </c>
      <c r="AD229" s="141">
        <f t="shared" si="30"/>
        <v>0</v>
      </c>
      <c r="AE229" s="141">
        <f t="shared" si="30"/>
        <v>0</v>
      </c>
      <c r="AF229" s="141">
        <f t="shared" si="30"/>
        <v>0</v>
      </c>
      <c r="AG229" s="141">
        <f t="shared" si="30"/>
        <v>0</v>
      </c>
      <c r="AH229" s="141">
        <f t="shared" si="30"/>
        <v>0</v>
      </c>
      <c r="AI229" s="141">
        <f t="shared" si="11"/>
        <v>0.8</v>
      </c>
      <c r="AJ229" s="141">
        <f t="shared" si="12"/>
        <v>1</v>
      </c>
      <c r="AK229" s="141">
        <f t="shared" si="13"/>
        <v>0</v>
      </c>
      <c r="AL229" s="141">
        <f t="shared" si="14"/>
        <v>0.125</v>
      </c>
      <c r="AM229" s="215">
        <f t="shared" si="15"/>
        <v>0.5925925926</v>
      </c>
      <c r="AN229" s="100"/>
      <c r="AO229" s="102"/>
    </row>
    <row r="230" ht="13.5" customHeight="1" outlineLevel="2">
      <c r="A230" s="247"/>
      <c r="B230" s="201"/>
      <c r="C230" s="331" t="s">
        <v>417</v>
      </c>
      <c r="D230" s="201"/>
      <c r="E230" s="162"/>
      <c r="F230" s="162"/>
      <c r="G230" s="162"/>
      <c r="H230" s="141">
        <f t="shared" ref="H230:AH230" si="31">(COUNTA(H93:H95)-COUNTIF($AN93:$AN95,1))/(COUNTA($G93:$G95)-COUNTIF($AN93:$AN95,1))</f>
        <v>0.3333333333</v>
      </c>
      <c r="I230" s="141">
        <f t="shared" si="31"/>
        <v>0.3333333333</v>
      </c>
      <c r="J230" s="141">
        <f t="shared" si="31"/>
        <v>0.3333333333</v>
      </c>
      <c r="K230" s="141">
        <f t="shared" si="31"/>
        <v>0.3333333333</v>
      </c>
      <c r="L230" s="141">
        <f t="shared" si="31"/>
        <v>0.3333333333</v>
      </c>
      <c r="M230" s="141">
        <f t="shared" si="31"/>
        <v>0.3333333333</v>
      </c>
      <c r="N230" s="141">
        <f t="shared" si="31"/>
        <v>0.3333333333</v>
      </c>
      <c r="O230" s="141">
        <f t="shared" si="31"/>
        <v>0.3333333333</v>
      </c>
      <c r="P230" s="141">
        <f t="shared" si="31"/>
        <v>0.3333333333</v>
      </c>
      <c r="Q230" s="141">
        <f t="shared" si="31"/>
        <v>0.3333333333</v>
      </c>
      <c r="R230" s="141">
        <f t="shared" si="31"/>
        <v>0.3333333333</v>
      </c>
      <c r="S230" s="141">
        <f t="shared" si="31"/>
        <v>0.3333333333</v>
      </c>
      <c r="T230" s="141">
        <f t="shared" si="31"/>
        <v>0.3333333333</v>
      </c>
      <c r="U230" s="141">
        <f t="shared" si="31"/>
        <v>0.3333333333</v>
      </c>
      <c r="V230" s="141">
        <f t="shared" si="31"/>
        <v>0.3333333333</v>
      </c>
      <c r="W230" s="141">
        <f t="shared" si="31"/>
        <v>0.3333333333</v>
      </c>
      <c r="X230" s="141">
        <f t="shared" si="31"/>
        <v>0</v>
      </c>
      <c r="Y230" s="141">
        <f t="shared" si="31"/>
        <v>0</v>
      </c>
      <c r="Z230" s="141">
        <f t="shared" si="31"/>
        <v>0</v>
      </c>
      <c r="AA230" s="141">
        <f t="shared" si="31"/>
        <v>0</v>
      </c>
      <c r="AB230" s="141">
        <f t="shared" si="31"/>
        <v>0</v>
      </c>
      <c r="AC230" s="141">
        <f t="shared" si="31"/>
        <v>0</v>
      </c>
      <c r="AD230" s="141">
        <f t="shared" si="31"/>
        <v>0</v>
      </c>
      <c r="AE230" s="141">
        <f t="shared" si="31"/>
        <v>0</v>
      </c>
      <c r="AF230" s="141">
        <f t="shared" si="31"/>
        <v>0</v>
      </c>
      <c r="AG230" s="141">
        <f t="shared" si="31"/>
        <v>0</v>
      </c>
      <c r="AH230" s="141">
        <f t="shared" si="31"/>
        <v>0</v>
      </c>
      <c r="AI230" s="141">
        <f t="shared" si="11"/>
        <v>0.2666666667</v>
      </c>
      <c r="AJ230" s="141">
        <f t="shared" si="12"/>
        <v>0.3333333333</v>
      </c>
      <c r="AK230" s="141">
        <f t="shared" si="13"/>
        <v>0</v>
      </c>
      <c r="AL230" s="141">
        <f t="shared" si="14"/>
        <v>0.04166666667</v>
      </c>
      <c r="AM230" s="215">
        <f t="shared" si="15"/>
        <v>0.1975308642</v>
      </c>
      <c r="AN230" s="100"/>
      <c r="AO230" s="102"/>
    </row>
    <row r="231" ht="13.5" customHeight="1">
      <c r="A231" s="355" t="s">
        <v>630</v>
      </c>
      <c r="B231" s="246"/>
      <c r="C231" s="246"/>
      <c r="D231" s="201"/>
      <c r="E231" s="162"/>
      <c r="F231" s="162"/>
      <c r="G231" s="162"/>
      <c r="H231" s="141">
        <f t="shared" ref="H231:AH231" si="32">AVERAGE(H232,H236)</f>
        <v>0.5833333333</v>
      </c>
      <c r="I231" s="141">
        <f t="shared" si="32"/>
        <v>0.5833333333</v>
      </c>
      <c r="J231" s="141">
        <f t="shared" si="32"/>
        <v>0.5833333333</v>
      </c>
      <c r="K231" s="141">
        <f t="shared" si="32"/>
        <v>0.5833333333</v>
      </c>
      <c r="L231" s="141">
        <f t="shared" si="32"/>
        <v>0.5833333333</v>
      </c>
      <c r="M231" s="141">
        <f t="shared" si="32"/>
        <v>0.5833333333</v>
      </c>
      <c r="N231" s="141">
        <f t="shared" si="32"/>
        <v>0.5833333333</v>
      </c>
      <c r="O231" s="141">
        <f t="shared" si="32"/>
        <v>0.5833333333</v>
      </c>
      <c r="P231" s="141">
        <f t="shared" si="32"/>
        <v>0.5833333333</v>
      </c>
      <c r="Q231" s="141">
        <f t="shared" si="32"/>
        <v>0.5833333333</v>
      </c>
      <c r="R231" s="141">
        <f t="shared" si="32"/>
        <v>0.5833333333</v>
      </c>
      <c r="S231" s="141">
        <f t="shared" si="32"/>
        <v>0.5833333333</v>
      </c>
      <c r="T231" s="141">
        <f t="shared" si="32"/>
        <v>0.5833333333</v>
      </c>
      <c r="U231" s="141">
        <f t="shared" si="32"/>
        <v>0.5833333333</v>
      </c>
      <c r="V231" s="141">
        <f t="shared" si="32"/>
        <v>0.5833333333</v>
      </c>
      <c r="W231" s="141">
        <f t="shared" si="32"/>
        <v>0.6666666667</v>
      </c>
      <c r="X231" s="141">
        <f t="shared" si="32"/>
        <v>0</v>
      </c>
      <c r="Y231" s="141">
        <f t="shared" si="32"/>
        <v>0</v>
      </c>
      <c r="Z231" s="141">
        <f t="shared" si="32"/>
        <v>0</v>
      </c>
      <c r="AA231" s="141">
        <f t="shared" si="32"/>
        <v>0</v>
      </c>
      <c r="AB231" s="141">
        <f t="shared" si="32"/>
        <v>0</v>
      </c>
      <c r="AC231" s="141">
        <f t="shared" si="32"/>
        <v>0</v>
      </c>
      <c r="AD231" s="141">
        <f t="shared" si="32"/>
        <v>0</v>
      </c>
      <c r="AE231" s="141">
        <f t="shared" si="32"/>
        <v>0</v>
      </c>
      <c r="AF231" s="141">
        <f t="shared" si="32"/>
        <v>0</v>
      </c>
      <c r="AG231" s="141">
        <f t="shared" si="32"/>
        <v>0</v>
      </c>
      <c r="AH231" s="141">
        <f t="shared" si="32"/>
        <v>0</v>
      </c>
      <c r="AI231" s="141">
        <f t="shared" si="11"/>
        <v>0.4708333333</v>
      </c>
      <c r="AJ231" s="141">
        <f t="shared" si="12"/>
        <v>0.6666666667</v>
      </c>
      <c r="AK231" s="141">
        <f t="shared" si="13"/>
        <v>0</v>
      </c>
      <c r="AL231" s="141">
        <f t="shared" si="14"/>
        <v>0.08333333333</v>
      </c>
      <c r="AM231" s="215">
        <f t="shared" si="15"/>
        <v>0.3487654321</v>
      </c>
      <c r="AN231" s="100"/>
      <c r="AO231" s="102"/>
    </row>
    <row r="232" ht="13.5" customHeight="1" outlineLevel="1">
      <c r="A232" s="247"/>
      <c r="B232" s="331" t="s">
        <v>427</v>
      </c>
      <c r="C232" s="246"/>
      <c r="D232" s="201"/>
      <c r="E232" s="162"/>
      <c r="F232" s="162"/>
      <c r="G232" s="162"/>
      <c r="H232" s="141">
        <f t="shared" ref="H232:AH232" si="33">AVERAGE(H233:H235)</f>
        <v>0.5555555556</v>
      </c>
      <c r="I232" s="141">
        <f t="shared" si="33"/>
        <v>0.5555555556</v>
      </c>
      <c r="J232" s="141">
        <f t="shared" si="33"/>
        <v>0.5555555556</v>
      </c>
      <c r="K232" s="141">
        <f t="shared" si="33"/>
        <v>0.5555555556</v>
      </c>
      <c r="L232" s="141">
        <f t="shared" si="33"/>
        <v>0.5555555556</v>
      </c>
      <c r="M232" s="141">
        <f t="shared" si="33"/>
        <v>0.5555555556</v>
      </c>
      <c r="N232" s="141">
        <f t="shared" si="33"/>
        <v>0.5555555556</v>
      </c>
      <c r="O232" s="141">
        <f t="shared" si="33"/>
        <v>0.5555555556</v>
      </c>
      <c r="P232" s="141">
        <f t="shared" si="33"/>
        <v>0.5555555556</v>
      </c>
      <c r="Q232" s="141">
        <f t="shared" si="33"/>
        <v>0.5555555556</v>
      </c>
      <c r="R232" s="141">
        <f t="shared" si="33"/>
        <v>0.5555555556</v>
      </c>
      <c r="S232" s="141">
        <f t="shared" si="33"/>
        <v>0.5555555556</v>
      </c>
      <c r="T232" s="141">
        <f t="shared" si="33"/>
        <v>0.5555555556</v>
      </c>
      <c r="U232" s="141">
        <f t="shared" si="33"/>
        <v>0.5555555556</v>
      </c>
      <c r="V232" s="141">
        <f t="shared" si="33"/>
        <v>0.5555555556</v>
      </c>
      <c r="W232" s="141">
        <f t="shared" si="33"/>
        <v>0.7222222222</v>
      </c>
      <c r="X232" s="141">
        <f t="shared" si="33"/>
        <v>0</v>
      </c>
      <c r="Y232" s="141">
        <f t="shared" si="33"/>
        <v>0</v>
      </c>
      <c r="Z232" s="141">
        <f t="shared" si="33"/>
        <v>0</v>
      </c>
      <c r="AA232" s="141">
        <f t="shared" si="33"/>
        <v>0</v>
      </c>
      <c r="AB232" s="141">
        <f t="shared" si="33"/>
        <v>0</v>
      </c>
      <c r="AC232" s="141">
        <f t="shared" si="33"/>
        <v>0</v>
      </c>
      <c r="AD232" s="141">
        <f t="shared" si="33"/>
        <v>0</v>
      </c>
      <c r="AE232" s="141">
        <f t="shared" si="33"/>
        <v>0</v>
      </c>
      <c r="AF232" s="141">
        <f t="shared" si="33"/>
        <v>0</v>
      </c>
      <c r="AG232" s="141">
        <f t="shared" si="33"/>
        <v>0</v>
      </c>
      <c r="AH232" s="141">
        <f t="shared" si="33"/>
        <v>0</v>
      </c>
      <c r="AI232" s="141">
        <f t="shared" si="11"/>
        <v>0.4527777778</v>
      </c>
      <c r="AJ232" s="141">
        <f t="shared" si="12"/>
        <v>0.7222222222</v>
      </c>
      <c r="AK232" s="141">
        <f t="shared" si="13"/>
        <v>0</v>
      </c>
      <c r="AL232" s="141">
        <f t="shared" si="14"/>
        <v>0.09027777778</v>
      </c>
      <c r="AM232" s="215">
        <f t="shared" si="15"/>
        <v>0.3353909465</v>
      </c>
      <c r="AN232" s="100"/>
      <c r="AO232" s="102"/>
    </row>
    <row r="233" ht="13.5" customHeight="1" outlineLevel="2">
      <c r="A233" s="247"/>
      <c r="B233" s="201"/>
      <c r="C233" s="331" t="s">
        <v>428</v>
      </c>
      <c r="D233" s="201"/>
      <c r="E233" s="162"/>
      <c r="F233" s="162"/>
      <c r="G233" s="162"/>
      <c r="H233" s="141">
        <f t="shared" ref="H233:AH233" si="34">(COUNTA(H99:H100)-COUNTIF($AN99:$AN100,1))/(COUNTA($G99:$G100)-COUNTIF($AN99:$AN100,1))</f>
        <v>0.5</v>
      </c>
      <c r="I233" s="141">
        <f t="shared" si="34"/>
        <v>0.5</v>
      </c>
      <c r="J233" s="141">
        <f t="shared" si="34"/>
        <v>0.5</v>
      </c>
      <c r="K233" s="141">
        <f t="shared" si="34"/>
        <v>0.5</v>
      </c>
      <c r="L233" s="141">
        <f t="shared" si="34"/>
        <v>0.5</v>
      </c>
      <c r="M233" s="141">
        <f t="shared" si="34"/>
        <v>0.5</v>
      </c>
      <c r="N233" s="141">
        <f t="shared" si="34"/>
        <v>0.5</v>
      </c>
      <c r="O233" s="141">
        <f t="shared" si="34"/>
        <v>0.5</v>
      </c>
      <c r="P233" s="141">
        <f t="shared" si="34"/>
        <v>0.5</v>
      </c>
      <c r="Q233" s="141">
        <f t="shared" si="34"/>
        <v>0.5</v>
      </c>
      <c r="R233" s="141">
        <f t="shared" si="34"/>
        <v>0.5</v>
      </c>
      <c r="S233" s="141">
        <f t="shared" si="34"/>
        <v>0.5</v>
      </c>
      <c r="T233" s="141">
        <f t="shared" si="34"/>
        <v>0.5</v>
      </c>
      <c r="U233" s="141">
        <f t="shared" si="34"/>
        <v>0.5</v>
      </c>
      <c r="V233" s="141">
        <f t="shared" si="34"/>
        <v>0.5</v>
      </c>
      <c r="W233" s="141">
        <f t="shared" si="34"/>
        <v>1</v>
      </c>
      <c r="X233" s="141">
        <f t="shared" si="34"/>
        <v>0</v>
      </c>
      <c r="Y233" s="141">
        <f t="shared" si="34"/>
        <v>0</v>
      </c>
      <c r="Z233" s="141">
        <f t="shared" si="34"/>
        <v>0</v>
      </c>
      <c r="AA233" s="141">
        <f t="shared" si="34"/>
        <v>0</v>
      </c>
      <c r="AB233" s="141">
        <f t="shared" si="34"/>
        <v>0</v>
      </c>
      <c r="AC233" s="141">
        <f t="shared" si="34"/>
        <v>0</v>
      </c>
      <c r="AD233" s="141">
        <f t="shared" si="34"/>
        <v>0</v>
      </c>
      <c r="AE233" s="141">
        <f t="shared" si="34"/>
        <v>0</v>
      </c>
      <c r="AF233" s="141">
        <f t="shared" si="34"/>
        <v>0</v>
      </c>
      <c r="AG233" s="141">
        <f t="shared" si="34"/>
        <v>0</v>
      </c>
      <c r="AH233" s="141">
        <f t="shared" si="34"/>
        <v>0</v>
      </c>
      <c r="AI233" s="141">
        <f t="shared" si="11"/>
        <v>0.425</v>
      </c>
      <c r="AJ233" s="141">
        <f t="shared" si="12"/>
        <v>1</v>
      </c>
      <c r="AK233" s="141">
        <f t="shared" si="13"/>
        <v>0</v>
      </c>
      <c r="AL233" s="141">
        <f t="shared" si="14"/>
        <v>0.125</v>
      </c>
      <c r="AM233" s="215">
        <f t="shared" si="15"/>
        <v>0.3148148148</v>
      </c>
      <c r="AN233" s="100"/>
      <c r="AO233" s="102"/>
    </row>
    <row r="234" ht="13.5" customHeight="1" outlineLevel="2">
      <c r="A234" s="247"/>
      <c r="B234" s="201"/>
      <c r="C234" s="331" t="s">
        <v>631</v>
      </c>
      <c r="D234" s="201"/>
      <c r="E234" s="162"/>
      <c r="F234" s="162"/>
      <c r="G234" s="162"/>
      <c r="H234" s="141">
        <f t="shared" ref="H234:AH234" si="35">(COUNTA(H111:H118)-COUNTIF($AN111:$AN118,1))/(COUNTA($G111:$G118)-COUNTIF($AN111:$AN118,1))</f>
        <v>0.5</v>
      </c>
      <c r="I234" s="141">
        <f t="shared" si="35"/>
        <v>0.5</v>
      </c>
      <c r="J234" s="141">
        <f t="shared" si="35"/>
        <v>0.5</v>
      </c>
      <c r="K234" s="141">
        <f t="shared" si="35"/>
        <v>0.5</v>
      </c>
      <c r="L234" s="141">
        <f t="shared" si="35"/>
        <v>0.5</v>
      </c>
      <c r="M234" s="141">
        <f t="shared" si="35"/>
        <v>0.5</v>
      </c>
      <c r="N234" s="141">
        <f t="shared" si="35"/>
        <v>0.5</v>
      </c>
      <c r="O234" s="141">
        <f t="shared" si="35"/>
        <v>0.5</v>
      </c>
      <c r="P234" s="141">
        <f t="shared" si="35"/>
        <v>0.5</v>
      </c>
      <c r="Q234" s="141">
        <f t="shared" si="35"/>
        <v>0.5</v>
      </c>
      <c r="R234" s="141">
        <f t="shared" si="35"/>
        <v>0.5</v>
      </c>
      <c r="S234" s="141">
        <f t="shared" si="35"/>
        <v>0.5</v>
      </c>
      <c r="T234" s="141">
        <f t="shared" si="35"/>
        <v>0.5</v>
      </c>
      <c r="U234" s="141">
        <f t="shared" si="35"/>
        <v>0.5</v>
      </c>
      <c r="V234" s="141">
        <f t="shared" si="35"/>
        <v>0.5</v>
      </c>
      <c r="W234" s="141">
        <f t="shared" si="35"/>
        <v>0.5</v>
      </c>
      <c r="X234" s="141">
        <f t="shared" si="35"/>
        <v>0</v>
      </c>
      <c r="Y234" s="141">
        <f t="shared" si="35"/>
        <v>0</v>
      </c>
      <c r="Z234" s="141">
        <f t="shared" si="35"/>
        <v>0</v>
      </c>
      <c r="AA234" s="141">
        <f t="shared" si="35"/>
        <v>0</v>
      </c>
      <c r="AB234" s="141">
        <f t="shared" si="35"/>
        <v>0</v>
      </c>
      <c r="AC234" s="141">
        <f t="shared" si="35"/>
        <v>0</v>
      </c>
      <c r="AD234" s="141">
        <f t="shared" si="35"/>
        <v>0</v>
      </c>
      <c r="AE234" s="141">
        <f t="shared" si="35"/>
        <v>0</v>
      </c>
      <c r="AF234" s="141">
        <f t="shared" si="35"/>
        <v>0</v>
      </c>
      <c r="AG234" s="141">
        <f t="shared" si="35"/>
        <v>0</v>
      </c>
      <c r="AH234" s="141">
        <f t="shared" si="35"/>
        <v>0</v>
      </c>
      <c r="AI234" s="141">
        <f t="shared" si="11"/>
        <v>0.4</v>
      </c>
      <c r="AJ234" s="141">
        <f t="shared" si="12"/>
        <v>0.5</v>
      </c>
      <c r="AK234" s="141">
        <f t="shared" si="13"/>
        <v>0</v>
      </c>
      <c r="AL234" s="141">
        <f t="shared" si="14"/>
        <v>0.0625</v>
      </c>
      <c r="AM234" s="215">
        <f t="shared" si="15"/>
        <v>0.2962962963</v>
      </c>
      <c r="AN234" s="100"/>
      <c r="AO234" s="102"/>
    </row>
    <row r="235" ht="14.25" customHeight="1" outlineLevel="2">
      <c r="A235" s="247"/>
      <c r="B235" s="100"/>
      <c r="C235" s="331" t="s">
        <v>632</v>
      </c>
      <c r="D235" s="201"/>
      <c r="E235" s="162"/>
      <c r="F235" s="162"/>
      <c r="G235" s="162"/>
      <c r="H235" s="141">
        <f t="shared" ref="H235:AH235" si="36">(COUNTA(H120:H128)-COUNTIF($AN120:$AN128,1))/(COUNTA($G120:$G128)-COUNTIF($AN120:$AN128,1))</f>
        <v>0.6666666667</v>
      </c>
      <c r="I235" s="141">
        <f t="shared" si="36"/>
        <v>0.6666666667</v>
      </c>
      <c r="J235" s="141">
        <f t="shared" si="36"/>
        <v>0.6666666667</v>
      </c>
      <c r="K235" s="141">
        <f t="shared" si="36"/>
        <v>0.6666666667</v>
      </c>
      <c r="L235" s="141">
        <f t="shared" si="36"/>
        <v>0.6666666667</v>
      </c>
      <c r="M235" s="141">
        <f t="shared" si="36"/>
        <v>0.6666666667</v>
      </c>
      <c r="N235" s="141">
        <f t="shared" si="36"/>
        <v>0.6666666667</v>
      </c>
      <c r="O235" s="141">
        <f t="shared" si="36"/>
        <v>0.6666666667</v>
      </c>
      <c r="P235" s="141">
        <f t="shared" si="36"/>
        <v>0.6666666667</v>
      </c>
      <c r="Q235" s="141">
        <f t="shared" si="36"/>
        <v>0.6666666667</v>
      </c>
      <c r="R235" s="141">
        <f t="shared" si="36"/>
        <v>0.6666666667</v>
      </c>
      <c r="S235" s="141">
        <f t="shared" si="36"/>
        <v>0.6666666667</v>
      </c>
      <c r="T235" s="141">
        <f t="shared" si="36"/>
        <v>0.6666666667</v>
      </c>
      <c r="U235" s="141">
        <f t="shared" si="36"/>
        <v>0.6666666667</v>
      </c>
      <c r="V235" s="141">
        <f t="shared" si="36"/>
        <v>0.6666666667</v>
      </c>
      <c r="W235" s="141">
        <f t="shared" si="36"/>
        <v>0.6666666667</v>
      </c>
      <c r="X235" s="141">
        <f t="shared" si="36"/>
        <v>0</v>
      </c>
      <c r="Y235" s="141">
        <f t="shared" si="36"/>
        <v>0</v>
      </c>
      <c r="Z235" s="141">
        <f t="shared" si="36"/>
        <v>0</v>
      </c>
      <c r="AA235" s="141">
        <f t="shared" si="36"/>
        <v>0</v>
      </c>
      <c r="AB235" s="141">
        <f t="shared" si="36"/>
        <v>0</v>
      </c>
      <c r="AC235" s="141">
        <f t="shared" si="36"/>
        <v>0</v>
      </c>
      <c r="AD235" s="141">
        <f t="shared" si="36"/>
        <v>0</v>
      </c>
      <c r="AE235" s="141">
        <f t="shared" si="36"/>
        <v>0</v>
      </c>
      <c r="AF235" s="141">
        <f t="shared" si="36"/>
        <v>0</v>
      </c>
      <c r="AG235" s="141">
        <f t="shared" si="36"/>
        <v>0</v>
      </c>
      <c r="AH235" s="141">
        <f t="shared" si="36"/>
        <v>0</v>
      </c>
      <c r="AI235" s="141">
        <f t="shared" si="11"/>
        <v>0.5333333333</v>
      </c>
      <c r="AJ235" s="141">
        <f t="shared" si="12"/>
        <v>0.6666666667</v>
      </c>
      <c r="AK235" s="141">
        <f t="shared" si="13"/>
        <v>0</v>
      </c>
      <c r="AL235" s="141">
        <f t="shared" si="14"/>
        <v>0.08333333333</v>
      </c>
      <c r="AM235" s="215">
        <f t="shared" si="15"/>
        <v>0.3950617284</v>
      </c>
      <c r="AN235" s="100"/>
      <c r="AO235" s="102"/>
    </row>
    <row r="236" ht="14.25" customHeight="1" outlineLevel="1">
      <c r="A236" s="247"/>
      <c r="B236" s="331" t="s">
        <v>633</v>
      </c>
      <c r="C236" s="246"/>
      <c r="D236" s="201"/>
      <c r="E236" s="162"/>
      <c r="F236" s="162"/>
      <c r="G236" s="162"/>
      <c r="H236" s="141">
        <f t="shared" ref="H236:AH236" si="37">AVERAGE(H237:H239)</f>
        <v>0.6111111111</v>
      </c>
      <c r="I236" s="141">
        <f t="shared" si="37"/>
        <v>0.6111111111</v>
      </c>
      <c r="J236" s="141">
        <f t="shared" si="37"/>
        <v>0.6111111111</v>
      </c>
      <c r="K236" s="141">
        <f t="shared" si="37"/>
        <v>0.6111111111</v>
      </c>
      <c r="L236" s="141">
        <f t="shared" si="37"/>
        <v>0.6111111111</v>
      </c>
      <c r="M236" s="141">
        <f t="shared" si="37"/>
        <v>0.6111111111</v>
      </c>
      <c r="N236" s="141">
        <f t="shared" si="37"/>
        <v>0.6111111111</v>
      </c>
      <c r="O236" s="141">
        <f t="shared" si="37"/>
        <v>0.6111111111</v>
      </c>
      <c r="P236" s="141">
        <f t="shared" si="37"/>
        <v>0.6111111111</v>
      </c>
      <c r="Q236" s="141">
        <f t="shared" si="37"/>
        <v>0.6111111111</v>
      </c>
      <c r="R236" s="141">
        <f t="shared" si="37"/>
        <v>0.6111111111</v>
      </c>
      <c r="S236" s="141">
        <f t="shared" si="37"/>
        <v>0.6111111111</v>
      </c>
      <c r="T236" s="141">
        <f t="shared" si="37"/>
        <v>0.6111111111</v>
      </c>
      <c r="U236" s="141">
        <f t="shared" si="37"/>
        <v>0.6111111111</v>
      </c>
      <c r="V236" s="141">
        <f t="shared" si="37"/>
        <v>0.6111111111</v>
      </c>
      <c r="W236" s="141">
        <f t="shared" si="37"/>
        <v>0.6111111111</v>
      </c>
      <c r="X236" s="141">
        <f t="shared" si="37"/>
        <v>0</v>
      </c>
      <c r="Y236" s="141">
        <f t="shared" si="37"/>
        <v>0</v>
      </c>
      <c r="Z236" s="141">
        <f t="shared" si="37"/>
        <v>0</v>
      </c>
      <c r="AA236" s="141">
        <f t="shared" si="37"/>
        <v>0</v>
      </c>
      <c r="AB236" s="141">
        <f t="shared" si="37"/>
        <v>0</v>
      </c>
      <c r="AC236" s="141">
        <f t="shared" si="37"/>
        <v>0</v>
      </c>
      <c r="AD236" s="141">
        <f t="shared" si="37"/>
        <v>0</v>
      </c>
      <c r="AE236" s="141">
        <f t="shared" si="37"/>
        <v>0</v>
      </c>
      <c r="AF236" s="141">
        <f t="shared" si="37"/>
        <v>0</v>
      </c>
      <c r="AG236" s="141">
        <f t="shared" si="37"/>
        <v>0</v>
      </c>
      <c r="AH236" s="141">
        <f t="shared" si="37"/>
        <v>0</v>
      </c>
      <c r="AI236" s="141">
        <f t="shared" si="11"/>
        <v>0.4888888889</v>
      </c>
      <c r="AJ236" s="141">
        <f t="shared" si="12"/>
        <v>0.6111111111</v>
      </c>
      <c r="AK236" s="141">
        <f t="shared" si="13"/>
        <v>0</v>
      </c>
      <c r="AL236" s="141">
        <f t="shared" si="14"/>
        <v>0.07638888889</v>
      </c>
      <c r="AM236" s="215">
        <f t="shared" si="15"/>
        <v>0.3621399177</v>
      </c>
      <c r="AN236" s="100"/>
      <c r="AO236" s="102"/>
    </row>
    <row r="237" ht="14.25" customHeight="1" outlineLevel="2">
      <c r="A237" s="247"/>
      <c r="B237" s="201"/>
      <c r="C237" s="331" t="s">
        <v>428</v>
      </c>
      <c r="D237" s="201"/>
      <c r="E237" s="162"/>
      <c r="F237" s="162"/>
      <c r="G237" s="162"/>
      <c r="H237" s="141">
        <f t="shared" ref="H237:AH237" si="38">COUNTA(H132)</f>
        <v>0</v>
      </c>
      <c r="I237" s="141">
        <f t="shared" si="38"/>
        <v>0</v>
      </c>
      <c r="J237" s="141">
        <f t="shared" si="38"/>
        <v>0</v>
      </c>
      <c r="K237" s="141">
        <f t="shared" si="38"/>
        <v>0</v>
      </c>
      <c r="L237" s="141">
        <f t="shared" si="38"/>
        <v>0</v>
      </c>
      <c r="M237" s="141">
        <f t="shared" si="38"/>
        <v>0</v>
      </c>
      <c r="N237" s="141">
        <f t="shared" si="38"/>
        <v>0</v>
      </c>
      <c r="O237" s="141">
        <f t="shared" si="38"/>
        <v>0</v>
      </c>
      <c r="P237" s="141">
        <f t="shared" si="38"/>
        <v>0</v>
      </c>
      <c r="Q237" s="141">
        <f t="shared" si="38"/>
        <v>0</v>
      </c>
      <c r="R237" s="141">
        <f t="shared" si="38"/>
        <v>0</v>
      </c>
      <c r="S237" s="141">
        <f t="shared" si="38"/>
        <v>0</v>
      </c>
      <c r="T237" s="141">
        <f t="shared" si="38"/>
        <v>0</v>
      </c>
      <c r="U237" s="141">
        <f t="shared" si="38"/>
        <v>0</v>
      </c>
      <c r="V237" s="141">
        <f t="shared" si="38"/>
        <v>0</v>
      </c>
      <c r="W237" s="141">
        <f t="shared" si="38"/>
        <v>0</v>
      </c>
      <c r="X237" s="141">
        <f t="shared" si="38"/>
        <v>0</v>
      </c>
      <c r="Y237" s="141">
        <f t="shared" si="38"/>
        <v>0</v>
      </c>
      <c r="Z237" s="141">
        <f t="shared" si="38"/>
        <v>0</v>
      </c>
      <c r="AA237" s="141">
        <f t="shared" si="38"/>
        <v>0</v>
      </c>
      <c r="AB237" s="141">
        <f t="shared" si="38"/>
        <v>0</v>
      </c>
      <c r="AC237" s="141">
        <f t="shared" si="38"/>
        <v>0</v>
      </c>
      <c r="AD237" s="141">
        <f t="shared" si="38"/>
        <v>0</v>
      </c>
      <c r="AE237" s="141">
        <f t="shared" si="38"/>
        <v>0</v>
      </c>
      <c r="AF237" s="141">
        <f t="shared" si="38"/>
        <v>0</v>
      </c>
      <c r="AG237" s="141">
        <f t="shared" si="38"/>
        <v>0</v>
      </c>
      <c r="AH237" s="141">
        <f t="shared" si="38"/>
        <v>0</v>
      </c>
      <c r="AI237" s="141">
        <f t="shared" si="11"/>
        <v>0</v>
      </c>
      <c r="AJ237" s="141">
        <f t="shared" si="12"/>
        <v>0</v>
      </c>
      <c r="AK237" s="141">
        <f t="shared" si="13"/>
        <v>0</v>
      </c>
      <c r="AL237" s="141">
        <f t="shared" si="14"/>
        <v>0</v>
      </c>
      <c r="AM237" s="215">
        <f t="shared" si="15"/>
        <v>0</v>
      </c>
      <c r="AN237" s="100"/>
      <c r="AO237" s="102"/>
    </row>
    <row r="238" ht="13.5" customHeight="1" outlineLevel="2">
      <c r="A238" s="247"/>
      <c r="B238" s="201"/>
      <c r="C238" s="331" t="s">
        <v>496</v>
      </c>
      <c r="D238" s="201"/>
      <c r="E238" s="162"/>
      <c r="F238" s="162"/>
      <c r="G238" s="162"/>
      <c r="H238" s="141">
        <f t="shared" ref="H238:AH238" si="39">COUNTA(H134)</f>
        <v>1</v>
      </c>
      <c r="I238" s="141">
        <f t="shared" si="39"/>
        <v>1</v>
      </c>
      <c r="J238" s="141">
        <f t="shared" si="39"/>
        <v>1</v>
      </c>
      <c r="K238" s="141">
        <f t="shared" si="39"/>
        <v>1</v>
      </c>
      <c r="L238" s="141">
        <f t="shared" si="39"/>
        <v>1</v>
      </c>
      <c r="M238" s="141">
        <f t="shared" si="39"/>
        <v>1</v>
      </c>
      <c r="N238" s="141">
        <f t="shared" si="39"/>
        <v>1</v>
      </c>
      <c r="O238" s="141">
        <f t="shared" si="39"/>
        <v>1</v>
      </c>
      <c r="P238" s="141">
        <f t="shared" si="39"/>
        <v>1</v>
      </c>
      <c r="Q238" s="141">
        <f t="shared" si="39"/>
        <v>1</v>
      </c>
      <c r="R238" s="141">
        <f t="shared" si="39"/>
        <v>1</v>
      </c>
      <c r="S238" s="141">
        <f t="shared" si="39"/>
        <v>1</v>
      </c>
      <c r="T238" s="141">
        <f t="shared" si="39"/>
        <v>1</v>
      </c>
      <c r="U238" s="141">
        <f t="shared" si="39"/>
        <v>1</v>
      </c>
      <c r="V238" s="141">
        <f t="shared" si="39"/>
        <v>1</v>
      </c>
      <c r="W238" s="141">
        <f t="shared" si="39"/>
        <v>1</v>
      </c>
      <c r="X238" s="141">
        <f t="shared" si="39"/>
        <v>0</v>
      </c>
      <c r="Y238" s="141">
        <f t="shared" si="39"/>
        <v>0</v>
      </c>
      <c r="Z238" s="141">
        <f t="shared" si="39"/>
        <v>0</v>
      </c>
      <c r="AA238" s="141">
        <f t="shared" si="39"/>
        <v>0</v>
      </c>
      <c r="AB238" s="141">
        <f t="shared" si="39"/>
        <v>0</v>
      </c>
      <c r="AC238" s="141">
        <f t="shared" si="39"/>
        <v>0</v>
      </c>
      <c r="AD238" s="141">
        <f t="shared" si="39"/>
        <v>0</v>
      </c>
      <c r="AE238" s="141">
        <f t="shared" si="39"/>
        <v>0</v>
      </c>
      <c r="AF238" s="141">
        <f t="shared" si="39"/>
        <v>0</v>
      </c>
      <c r="AG238" s="141">
        <f t="shared" si="39"/>
        <v>0</v>
      </c>
      <c r="AH238" s="141">
        <f t="shared" si="39"/>
        <v>0</v>
      </c>
      <c r="AI238" s="141">
        <f t="shared" si="11"/>
        <v>0.8</v>
      </c>
      <c r="AJ238" s="141">
        <f t="shared" si="12"/>
        <v>1</v>
      </c>
      <c r="AK238" s="141">
        <f t="shared" si="13"/>
        <v>0</v>
      </c>
      <c r="AL238" s="141">
        <f t="shared" si="14"/>
        <v>0.125</v>
      </c>
      <c r="AM238" s="215">
        <f t="shared" si="15"/>
        <v>0.5925925926</v>
      </c>
      <c r="AN238" s="100"/>
      <c r="AO238" s="102"/>
    </row>
    <row r="239" ht="14.25" customHeight="1" outlineLevel="2">
      <c r="A239" s="247"/>
      <c r="B239" s="201"/>
      <c r="C239" s="331" t="s">
        <v>634</v>
      </c>
      <c r="D239" s="201"/>
      <c r="E239" s="162"/>
      <c r="F239" s="162"/>
      <c r="G239" s="162"/>
      <c r="H239" s="141">
        <f t="shared" ref="H239:AH239" si="40">(COUNTA(H136:H141)-COUNTIF($AN136:$AN141,1))/(COUNTA($G136:$G141)-COUNTIF($AN136:$AN141,1))</f>
        <v>0.8333333333</v>
      </c>
      <c r="I239" s="141">
        <f t="shared" si="40"/>
        <v>0.8333333333</v>
      </c>
      <c r="J239" s="141">
        <f t="shared" si="40"/>
        <v>0.8333333333</v>
      </c>
      <c r="K239" s="141">
        <f t="shared" si="40"/>
        <v>0.8333333333</v>
      </c>
      <c r="L239" s="141">
        <f t="shared" si="40"/>
        <v>0.8333333333</v>
      </c>
      <c r="M239" s="141">
        <f t="shared" si="40"/>
        <v>0.8333333333</v>
      </c>
      <c r="N239" s="141">
        <f t="shared" si="40"/>
        <v>0.8333333333</v>
      </c>
      <c r="O239" s="141">
        <f t="shared" si="40"/>
        <v>0.8333333333</v>
      </c>
      <c r="P239" s="141">
        <f t="shared" si="40"/>
        <v>0.8333333333</v>
      </c>
      <c r="Q239" s="141">
        <f t="shared" si="40"/>
        <v>0.8333333333</v>
      </c>
      <c r="R239" s="141">
        <f t="shared" si="40"/>
        <v>0.8333333333</v>
      </c>
      <c r="S239" s="141">
        <f t="shared" si="40"/>
        <v>0.8333333333</v>
      </c>
      <c r="T239" s="141">
        <f t="shared" si="40"/>
        <v>0.8333333333</v>
      </c>
      <c r="U239" s="141">
        <f t="shared" si="40"/>
        <v>0.8333333333</v>
      </c>
      <c r="V239" s="141">
        <f t="shared" si="40"/>
        <v>0.8333333333</v>
      </c>
      <c r="W239" s="141">
        <f t="shared" si="40"/>
        <v>0.8333333333</v>
      </c>
      <c r="X239" s="141">
        <f t="shared" si="40"/>
        <v>0</v>
      </c>
      <c r="Y239" s="141">
        <f t="shared" si="40"/>
        <v>0</v>
      </c>
      <c r="Z239" s="141">
        <f t="shared" si="40"/>
        <v>0</v>
      </c>
      <c r="AA239" s="141">
        <f t="shared" si="40"/>
        <v>0</v>
      </c>
      <c r="AB239" s="141">
        <f t="shared" si="40"/>
        <v>0</v>
      </c>
      <c r="AC239" s="141">
        <f t="shared" si="40"/>
        <v>0</v>
      </c>
      <c r="AD239" s="141">
        <f t="shared" si="40"/>
        <v>0</v>
      </c>
      <c r="AE239" s="141">
        <f t="shared" si="40"/>
        <v>0</v>
      </c>
      <c r="AF239" s="141">
        <f t="shared" si="40"/>
        <v>0</v>
      </c>
      <c r="AG239" s="141">
        <f t="shared" si="40"/>
        <v>0</v>
      </c>
      <c r="AH239" s="141">
        <f t="shared" si="40"/>
        <v>0</v>
      </c>
      <c r="AI239" s="141">
        <f t="shared" si="11"/>
        <v>0.6666666667</v>
      </c>
      <c r="AJ239" s="141">
        <f t="shared" si="12"/>
        <v>0.8333333333</v>
      </c>
      <c r="AK239" s="141">
        <f t="shared" si="13"/>
        <v>0</v>
      </c>
      <c r="AL239" s="141">
        <f t="shared" si="14"/>
        <v>0.1041666667</v>
      </c>
      <c r="AM239" s="215">
        <f t="shared" si="15"/>
        <v>0.4938271605</v>
      </c>
      <c r="AN239" s="100"/>
      <c r="AO239" s="102"/>
    </row>
    <row r="240" ht="14.25" customHeight="1">
      <c r="A240" s="355" t="s">
        <v>635</v>
      </c>
      <c r="B240" s="246"/>
      <c r="C240" s="246"/>
      <c r="D240" s="201"/>
      <c r="E240" s="162"/>
      <c r="F240" s="162"/>
      <c r="G240" s="162"/>
      <c r="H240" s="141">
        <f t="shared" ref="H240:AH240" si="41">AVERAGE(H241:H246)</f>
        <v>0.3111111111</v>
      </c>
      <c r="I240" s="141">
        <f t="shared" si="41"/>
        <v>0.3111111111</v>
      </c>
      <c r="J240" s="141">
        <f t="shared" si="41"/>
        <v>0.3111111111</v>
      </c>
      <c r="K240" s="141">
        <f t="shared" si="41"/>
        <v>0.3111111111</v>
      </c>
      <c r="L240" s="141">
        <f t="shared" si="41"/>
        <v>0.3111111111</v>
      </c>
      <c r="M240" s="141">
        <f t="shared" si="41"/>
        <v>0.3111111111</v>
      </c>
      <c r="N240" s="141">
        <f t="shared" si="41"/>
        <v>0.3111111111</v>
      </c>
      <c r="O240" s="141">
        <f t="shared" si="41"/>
        <v>0.3111111111</v>
      </c>
      <c r="P240" s="141">
        <f t="shared" si="41"/>
        <v>0.3111111111</v>
      </c>
      <c r="Q240" s="141">
        <f t="shared" si="41"/>
        <v>0.3111111111</v>
      </c>
      <c r="R240" s="141">
        <f t="shared" si="41"/>
        <v>0.3111111111</v>
      </c>
      <c r="S240" s="141">
        <f t="shared" si="41"/>
        <v>0.3111111111</v>
      </c>
      <c r="T240" s="141">
        <f t="shared" si="41"/>
        <v>0.3111111111</v>
      </c>
      <c r="U240" s="141">
        <f t="shared" si="41"/>
        <v>0.3111111111</v>
      </c>
      <c r="V240" s="141">
        <f t="shared" si="41"/>
        <v>0.3111111111</v>
      </c>
      <c r="W240" s="141">
        <f t="shared" si="41"/>
        <v>0.8666666667</v>
      </c>
      <c r="X240" s="141">
        <f t="shared" si="41"/>
        <v>0</v>
      </c>
      <c r="Y240" s="141">
        <f t="shared" si="41"/>
        <v>0</v>
      </c>
      <c r="Z240" s="141">
        <f t="shared" si="41"/>
        <v>0</v>
      </c>
      <c r="AA240" s="141">
        <f t="shared" si="41"/>
        <v>0</v>
      </c>
      <c r="AB240" s="141">
        <f t="shared" si="41"/>
        <v>0</v>
      </c>
      <c r="AC240" s="141">
        <f t="shared" si="41"/>
        <v>0</v>
      </c>
      <c r="AD240" s="141">
        <f t="shared" si="41"/>
        <v>0</v>
      </c>
      <c r="AE240" s="141">
        <f t="shared" si="41"/>
        <v>0</v>
      </c>
      <c r="AF240" s="141">
        <f t="shared" si="41"/>
        <v>0</v>
      </c>
      <c r="AG240" s="141">
        <f t="shared" si="41"/>
        <v>0</v>
      </c>
      <c r="AH240" s="141">
        <f t="shared" si="41"/>
        <v>0</v>
      </c>
      <c r="AI240" s="141">
        <f t="shared" si="11"/>
        <v>0.2766666667</v>
      </c>
      <c r="AJ240" s="141">
        <f t="shared" si="12"/>
        <v>0.8666666667</v>
      </c>
      <c r="AK240" s="141">
        <f t="shared" si="13"/>
        <v>0</v>
      </c>
      <c r="AL240" s="141">
        <f t="shared" si="14"/>
        <v>0.1083333333</v>
      </c>
      <c r="AM240" s="215">
        <f t="shared" si="15"/>
        <v>0.2049382716</v>
      </c>
      <c r="AN240" s="100"/>
      <c r="AO240" s="102"/>
    </row>
    <row r="241" ht="14.25" customHeight="1" outlineLevel="1">
      <c r="A241" s="247"/>
      <c r="B241" s="331" t="s">
        <v>1142</v>
      </c>
      <c r="C241" s="246"/>
      <c r="D241" s="201"/>
      <c r="E241" s="162"/>
      <c r="F241" s="162"/>
      <c r="G241" s="162"/>
      <c r="H241" s="141">
        <f t="shared" ref="H241:AH241" si="42">(COUNTA(H145:H147)-COUNTIF($AN145:$AN147,1))/(COUNTA($G145:$G147)-COUNTIF($AN145:$AN147,1))</f>
        <v>0.3333333333</v>
      </c>
      <c r="I241" s="141">
        <f t="shared" si="42"/>
        <v>0.3333333333</v>
      </c>
      <c r="J241" s="141">
        <f t="shared" si="42"/>
        <v>0.3333333333</v>
      </c>
      <c r="K241" s="141">
        <f t="shared" si="42"/>
        <v>0.3333333333</v>
      </c>
      <c r="L241" s="141">
        <f t="shared" si="42"/>
        <v>0.3333333333</v>
      </c>
      <c r="M241" s="141">
        <f t="shared" si="42"/>
        <v>0.3333333333</v>
      </c>
      <c r="N241" s="141">
        <f t="shared" si="42"/>
        <v>0.3333333333</v>
      </c>
      <c r="O241" s="141">
        <f t="shared" si="42"/>
        <v>0.3333333333</v>
      </c>
      <c r="P241" s="141">
        <f t="shared" si="42"/>
        <v>0.3333333333</v>
      </c>
      <c r="Q241" s="141">
        <f t="shared" si="42"/>
        <v>0.3333333333</v>
      </c>
      <c r="R241" s="141">
        <f t="shared" si="42"/>
        <v>0.3333333333</v>
      </c>
      <c r="S241" s="141">
        <f t="shared" si="42"/>
        <v>0.3333333333</v>
      </c>
      <c r="T241" s="141">
        <f t="shared" si="42"/>
        <v>0.3333333333</v>
      </c>
      <c r="U241" s="141">
        <f t="shared" si="42"/>
        <v>0.3333333333</v>
      </c>
      <c r="V241" s="141">
        <f t="shared" si="42"/>
        <v>0.3333333333</v>
      </c>
      <c r="W241" s="141">
        <f t="shared" si="42"/>
        <v>1</v>
      </c>
      <c r="X241" s="141">
        <f t="shared" si="42"/>
        <v>0</v>
      </c>
      <c r="Y241" s="141">
        <f t="shared" si="42"/>
        <v>0</v>
      </c>
      <c r="Z241" s="141">
        <f t="shared" si="42"/>
        <v>0</v>
      </c>
      <c r="AA241" s="141">
        <f t="shared" si="42"/>
        <v>0</v>
      </c>
      <c r="AB241" s="141">
        <f t="shared" si="42"/>
        <v>0</v>
      </c>
      <c r="AC241" s="141">
        <f t="shared" si="42"/>
        <v>0</v>
      </c>
      <c r="AD241" s="141">
        <f t="shared" si="42"/>
        <v>0</v>
      </c>
      <c r="AE241" s="141">
        <f t="shared" si="42"/>
        <v>0</v>
      </c>
      <c r="AF241" s="141">
        <f t="shared" si="42"/>
        <v>0</v>
      </c>
      <c r="AG241" s="141">
        <f t="shared" si="42"/>
        <v>0</v>
      </c>
      <c r="AH241" s="141">
        <f t="shared" si="42"/>
        <v>0</v>
      </c>
      <c r="AI241" s="141">
        <f t="shared" si="11"/>
        <v>0.3</v>
      </c>
      <c r="AJ241" s="141">
        <f t="shared" si="12"/>
        <v>1</v>
      </c>
      <c r="AK241" s="141">
        <f t="shared" si="13"/>
        <v>0</v>
      </c>
      <c r="AL241" s="141">
        <f t="shared" si="14"/>
        <v>0.125</v>
      </c>
      <c r="AM241" s="215">
        <f t="shared" si="15"/>
        <v>0.2222222222</v>
      </c>
      <c r="AN241" s="100"/>
      <c r="AO241" s="102"/>
    </row>
    <row r="242" ht="14.25" customHeight="1" outlineLevel="1">
      <c r="A242" s="305"/>
      <c r="B242" s="331" t="s">
        <v>1052</v>
      </c>
      <c r="C242" s="246"/>
      <c r="D242" s="201"/>
      <c r="E242" s="162"/>
      <c r="F242" s="162"/>
      <c r="G242" s="162"/>
      <c r="H242" s="141">
        <f t="shared" ref="H242:AH242" si="43">(COUNTA(H149:H151)-COUNTIF($AN149:$AN151,1))/(COUNTA($G149:$G151)-COUNTIF($AN149:$AN151,1))</f>
        <v>0.3333333333</v>
      </c>
      <c r="I242" s="141">
        <f t="shared" si="43"/>
        <v>0.3333333333</v>
      </c>
      <c r="J242" s="141">
        <f t="shared" si="43"/>
        <v>0.3333333333</v>
      </c>
      <c r="K242" s="141">
        <f t="shared" si="43"/>
        <v>0.3333333333</v>
      </c>
      <c r="L242" s="141">
        <f t="shared" si="43"/>
        <v>0.3333333333</v>
      </c>
      <c r="M242" s="141">
        <f t="shared" si="43"/>
        <v>0.3333333333</v>
      </c>
      <c r="N242" s="141">
        <f t="shared" si="43"/>
        <v>0.3333333333</v>
      </c>
      <c r="O242" s="141">
        <f t="shared" si="43"/>
        <v>0.3333333333</v>
      </c>
      <c r="P242" s="141">
        <f t="shared" si="43"/>
        <v>0.3333333333</v>
      </c>
      <c r="Q242" s="141">
        <f t="shared" si="43"/>
        <v>0.3333333333</v>
      </c>
      <c r="R242" s="141">
        <f t="shared" si="43"/>
        <v>0.3333333333</v>
      </c>
      <c r="S242" s="141">
        <f t="shared" si="43"/>
        <v>0.3333333333</v>
      </c>
      <c r="T242" s="141">
        <f t="shared" si="43"/>
        <v>0.3333333333</v>
      </c>
      <c r="U242" s="141">
        <f t="shared" si="43"/>
        <v>0.3333333333</v>
      </c>
      <c r="V242" s="141">
        <f t="shared" si="43"/>
        <v>0.3333333333</v>
      </c>
      <c r="W242" s="141">
        <f t="shared" si="43"/>
        <v>1</v>
      </c>
      <c r="X242" s="141">
        <f t="shared" si="43"/>
        <v>0</v>
      </c>
      <c r="Y242" s="141">
        <f t="shared" si="43"/>
        <v>0</v>
      </c>
      <c r="Z242" s="141">
        <f t="shared" si="43"/>
        <v>0</v>
      </c>
      <c r="AA242" s="141">
        <f t="shared" si="43"/>
        <v>0</v>
      </c>
      <c r="AB242" s="141">
        <f t="shared" si="43"/>
        <v>0</v>
      </c>
      <c r="AC242" s="141">
        <f t="shared" si="43"/>
        <v>0</v>
      </c>
      <c r="AD242" s="141">
        <f t="shared" si="43"/>
        <v>0</v>
      </c>
      <c r="AE242" s="141">
        <f t="shared" si="43"/>
        <v>0</v>
      </c>
      <c r="AF242" s="141">
        <f t="shared" si="43"/>
        <v>0</v>
      </c>
      <c r="AG242" s="141">
        <f t="shared" si="43"/>
        <v>0</v>
      </c>
      <c r="AH242" s="141">
        <f t="shared" si="43"/>
        <v>0</v>
      </c>
      <c r="AI242" s="141">
        <f t="shared" si="11"/>
        <v>0.3</v>
      </c>
      <c r="AJ242" s="141">
        <f t="shared" si="12"/>
        <v>1</v>
      </c>
      <c r="AK242" s="141">
        <f t="shared" si="13"/>
        <v>0</v>
      </c>
      <c r="AL242" s="141">
        <f t="shared" si="14"/>
        <v>0.125</v>
      </c>
      <c r="AM242" s="215">
        <f t="shared" si="15"/>
        <v>0.2222222222</v>
      </c>
      <c r="AN242" s="100"/>
      <c r="AO242" s="102"/>
    </row>
    <row r="243" ht="14.25" customHeight="1" outlineLevel="1">
      <c r="A243" s="305"/>
      <c r="B243" s="331" t="s">
        <v>1059</v>
      </c>
      <c r="C243" s="246"/>
      <c r="D243" s="201"/>
      <c r="E243" s="162"/>
      <c r="F243" s="162"/>
      <c r="G243" s="162"/>
      <c r="H243" s="141">
        <f t="shared" ref="H243:AH243" si="44">(COUNTA(H153:H155)-COUNTIF($AN153:$AN155,1))/(COUNTA($G153:$G155)-COUNTIF($AN153:$AN155,1))</f>
        <v>0.3333333333</v>
      </c>
      <c r="I243" s="141">
        <f t="shared" si="44"/>
        <v>0.3333333333</v>
      </c>
      <c r="J243" s="141">
        <f t="shared" si="44"/>
        <v>0.3333333333</v>
      </c>
      <c r="K243" s="141">
        <f t="shared" si="44"/>
        <v>0.3333333333</v>
      </c>
      <c r="L243" s="141">
        <f t="shared" si="44"/>
        <v>0.3333333333</v>
      </c>
      <c r="M243" s="141">
        <f t="shared" si="44"/>
        <v>0.3333333333</v>
      </c>
      <c r="N243" s="141">
        <f t="shared" si="44"/>
        <v>0.3333333333</v>
      </c>
      <c r="O243" s="141">
        <f t="shared" si="44"/>
        <v>0.3333333333</v>
      </c>
      <c r="P243" s="141">
        <f t="shared" si="44"/>
        <v>0.3333333333</v>
      </c>
      <c r="Q243" s="141">
        <f t="shared" si="44"/>
        <v>0.3333333333</v>
      </c>
      <c r="R243" s="141">
        <f t="shared" si="44"/>
        <v>0.3333333333</v>
      </c>
      <c r="S243" s="141">
        <f t="shared" si="44"/>
        <v>0.3333333333</v>
      </c>
      <c r="T243" s="141">
        <f t="shared" si="44"/>
        <v>0.3333333333</v>
      </c>
      <c r="U243" s="141">
        <f t="shared" si="44"/>
        <v>0.3333333333</v>
      </c>
      <c r="V243" s="141">
        <f t="shared" si="44"/>
        <v>0.3333333333</v>
      </c>
      <c r="W243" s="141">
        <f t="shared" si="44"/>
        <v>1</v>
      </c>
      <c r="X243" s="141">
        <f t="shared" si="44"/>
        <v>0</v>
      </c>
      <c r="Y243" s="141">
        <f t="shared" si="44"/>
        <v>0</v>
      </c>
      <c r="Z243" s="141">
        <f t="shared" si="44"/>
        <v>0</v>
      </c>
      <c r="AA243" s="141">
        <f t="shared" si="44"/>
        <v>0</v>
      </c>
      <c r="AB243" s="141">
        <f t="shared" si="44"/>
        <v>0</v>
      </c>
      <c r="AC243" s="141">
        <f t="shared" si="44"/>
        <v>0</v>
      </c>
      <c r="AD243" s="141">
        <f t="shared" si="44"/>
        <v>0</v>
      </c>
      <c r="AE243" s="141">
        <f t="shared" si="44"/>
        <v>0</v>
      </c>
      <c r="AF243" s="141">
        <f t="shared" si="44"/>
        <v>0</v>
      </c>
      <c r="AG243" s="141">
        <f t="shared" si="44"/>
        <v>0</v>
      </c>
      <c r="AH243" s="141">
        <f t="shared" si="44"/>
        <v>0</v>
      </c>
      <c r="AI243" s="141">
        <f t="shared" si="11"/>
        <v>0.3</v>
      </c>
      <c r="AJ243" s="141">
        <f t="shared" si="12"/>
        <v>1</v>
      </c>
      <c r="AK243" s="141">
        <f t="shared" si="13"/>
        <v>0</v>
      </c>
      <c r="AL243" s="141">
        <f t="shared" si="14"/>
        <v>0.125</v>
      </c>
      <c r="AM243" s="215">
        <f t="shared" si="15"/>
        <v>0.2222222222</v>
      </c>
      <c r="AN243" s="100"/>
      <c r="AO243" s="102"/>
    </row>
    <row r="244" ht="14.25" customHeight="1" outlineLevel="1">
      <c r="A244" s="305"/>
      <c r="B244" s="331" t="s">
        <v>1066</v>
      </c>
      <c r="C244" s="246"/>
      <c r="D244" s="201"/>
      <c r="E244" s="162"/>
      <c r="F244" s="162"/>
      <c r="G244" s="162"/>
      <c r="H244" s="141">
        <f t="shared" ref="H244:AH244" si="45">(COUNTA(H157:H159)-COUNTIF($AN157:$AN159,1))/(COUNTA($G157:$G159)-COUNTIF($AN157:$AN159,1))</f>
        <v>0.3333333333</v>
      </c>
      <c r="I244" s="141">
        <f t="shared" si="45"/>
        <v>0.3333333333</v>
      </c>
      <c r="J244" s="141">
        <f t="shared" si="45"/>
        <v>0.3333333333</v>
      </c>
      <c r="K244" s="141">
        <f t="shared" si="45"/>
        <v>0.3333333333</v>
      </c>
      <c r="L244" s="141">
        <f t="shared" si="45"/>
        <v>0.3333333333</v>
      </c>
      <c r="M244" s="141">
        <f t="shared" si="45"/>
        <v>0.3333333333</v>
      </c>
      <c r="N244" s="141">
        <f t="shared" si="45"/>
        <v>0.3333333333</v>
      </c>
      <c r="O244" s="141">
        <f t="shared" si="45"/>
        <v>0.3333333333</v>
      </c>
      <c r="P244" s="141">
        <f t="shared" si="45"/>
        <v>0.3333333333</v>
      </c>
      <c r="Q244" s="141">
        <f t="shared" si="45"/>
        <v>0.3333333333</v>
      </c>
      <c r="R244" s="141">
        <f t="shared" si="45"/>
        <v>0.3333333333</v>
      </c>
      <c r="S244" s="141">
        <f t="shared" si="45"/>
        <v>0.3333333333</v>
      </c>
      <c r="T244" s="141">
        <f t="shared" si="45"/>
        <v>0.3333333333</v>
      </c>
      <c r="U244" s="141">
        <f t="shared" si="45"/>
        <v>0.3333333333</v>
      </c>
      <c r="V244" s="141">
        <f t="shared" si="45"/>
        <v>0.3333333333</v>
      </c>
      <c r="W244" s="141">
        <f t="shared" si="45"/>
        <v>1</v>
      </c>
      <c r="X244" s="141">
        <f t="shared" si="45"/>
        <v>0</v>
      </c>
      <c r="Y244" s="141">
        <f t="shared" si="45"/>
        <v>0</v>
      </c>
      <c r="Z244" s="141">
        <f t="shared" si="45"/>
        <v>0</v>
      </c>
      <c r="AA244" s="141">
        <f t="shared" si="45"/>
        <v>0</v>
      </c>
      <c r="AB244" s="141">
        <f t="shared" si="45"/>
        <v>0</v>
      </c>
      <c r="AC244" s="141">
        <f t="shared" si="45"/>
        <v>0</v>
      </c>
      <c r="AD244" s="141">
        <f t="shared" si="45"/>
        <v>0</v>
      </c>
      <c r="AE244" s="141">
        <f t="shared" si="45"/>
        <v>0</v>
      </c>
      <c r="AF244" s="141">
        <f t="shared" si="45"/>
        <v>0</v>
      </c>
      <c r="AG244" s="141">
        <f t="shared" si="45"/>
        <v>0</v>
      </c>
      <c r="AH244" s="141">
        <f t="shared" si="45"/>
        <v>0</v>
      </c>
      <c r="AI244" s="141">
        <f t="shared" si="11"/>
        <v>0.3</v>
      </c>
      <c r="AJ244" s="141">
        <f t="shared" si="12"/>
        <v>1</v>
      </c>
      <c r="AK244" s="141">
        <f t="shared" si="13"/>
        <v>0</v>
      </c>
      <c r="AL244" s="141">
        <f t="shared" si="14"/>
        <v>0.125</v>
      </c>
      <c r="AM244" s="215">
        <f t="shared" si="15"/>
        <v>0.2222222222</v>
      </c>
      <c r="AN244" s="100"/>
      <c r="AO244" s="102"/>
    </row>
    <row r="245" ht="14.25" customHeight="1" outlineLevel="1">
      <c r="A245" s="305"/>
      <c r="B245" s="331" t="s">
        <v>1073</v>
      </c>
      <c r="C245" s="246"/>
      <c r="D245" s="201"/>
      <c r="E245" s="162"/>
      <c r="F245" s="162"/>
      <c r="G245" s="162"/>
      <c r="H245" s="141">
        <f t="shared" ref="H245:AH245" si="46">(COUNTA(H161:H163)-COUNTIF($AN161:$AN163,1))/(COUNTA($G161:$G163)-COUNTIF($AN161:$AN163,1))</f>
        <v>0.3333333333</v>
      </c>
      <c r="I245" s="141">
        <f t="shared" si="46"/>
        <v>0.3333333333</v>
      </c>
      <c r="J245" s="141">
        <f t="shared" si="46"/>
        <v>0.3333333333</v>
      </c>
      <c r="K245" s="141">
        <f t="shared" si="46"/>
        <v>0.3333333333</v>
      </c>
      <c r="L245" s="141">
        <f t="shared" si="46"/>
        <v>0.3333333333</v>
      </c>
      <c r="M245" s="141">
        <f t="shared" si="46"/>
        <v>0.3333333333</v>
      </c>
      <c r="N245" s="141">
        <f t="shared" si="46"/>
        <v>0.3333333333</v>
      </c>
      <c r="O245" s="141">
        <f t="shared" si="46"/>
        <v>0.3333333333</v>
      </c>
      <c r="P245" s="141">
        <f t="shared" si="46"/>
        <v>0.3333333333</v>
      </c>
      <c r="Q245" s="141">
        <f t="shared" si="46"/>
        <v>0.3333333333</v>
      </c>
      <c r="R245" s="141">
        <f t="shared" si="46"/>
        <v>0.3333333333</v>
      </c>
      <c r="S245" s="141">
        <f t="shared" si="46"/>
        <v>0.3333333333</v>
      </c>
      <c r="T245" s="141">
        <f t="shared" si="46"/>
        <v>0.3333333333</v>
      </c>
      <c r="U245" s="141">
        <f t="shared" si="46"/>
        <v>0.3333333333</v>
      </c>
      <c r="V245" s="141">
        <f t="shared" si="46"/>
        <v>0.3333333333</v>
      </c>
      <c r="W245" s="141">
        <f t="shared" si="46"/>
        <v>1</v>
      </c>
      <c r="X245" s="141">
        <f t="shared" si="46"/>
        <v>0</v>
      </c>
      <c r="Y245" s="141">
        <f t="shared" si="46"/>
        <v>0</v>
      </c>
      <c r="Z245" s="141">
        <f t="shared" si="46"/>
        <v>0</v>
      </c>
      <c r="AA245" s="141">
        <f t="shared" si="46"/>
        <v>0</v>
      </c>
      <c r="AB245" s="141">
        <f t="shared" si="46"/>
        <v>0</v>
      </c>
      <c r="AC245" s="141">
        <f t="shared" si="46"/>
        <v>0</v>
      </c>
      <c r="AD245" s="141">
        <f t="shared" si="46"/>
        <v>0</v>
      </c>
      <c r="AE245" s="141">
        <f t="shared" si="46"/>
        <v>0</v>
      </c>
      <c r="AF245" s="141">
        <f t="shared" si="46"/>
        <v>0</v>
      </c>
      <c r="AG245" s="141">
        <f t="shared" si="46"/>
        <v>0</v>
      </c>
      <c r="AH245" s="141">
        <f t="shared" si="46"/>
        <v>0</v>
      </c>
      <c r="AI245" s="141">
        <f t="shared" si="11"/>
        <v>0.3</v>
      </c>
      <c r="AJ245" s="141">
        <f t="shared" si="12"/>
        <v>1</v>
      </c>
      <c r="AK245" s="141">
        <f t="shared" si="13"/>
        <v>0</v>
      </c>
      <c r="AL245" s="141">
        <f t="shared" si="14"/>
        <v>0.125</v>
      </c>
      <c r="AM245" s="215">
        <f t="shared" si="15"/>
        <v>0.2222222222</v>
      </c>
      <c r="AN245" s="100"/>
      <c r="AO245" s="102"/>
    </row>
    <row r="246" ht="14.25" customHeight="1" outlineLevel="1">
      <c r="A246" s="305"/>
      <c r="B246" s="331" t="s">
        <v>1080</v>
      </c>
      <c r="C246" s="246"/>
      <c r="D246" s="201"/>
      <c r="E246" s="162"/>
      <c r="F246" s="162"/>
      <c r="G246" s="162"/>
      <c r="H246" s="141">
        <f t="shared" ref="H246:AH246" si="47">(COUNTA(H165:H171)-COUNTIF($AN165:$AN171,1))/(COUNTA($G165:$G171)-COUNTIF($AN165:$AN171,1))</f>
        <v>0.2</v>
      </c>
      <c r="I246" s="141">
        <f t="shared" si="47"/>
        <v>0.2</v>
      </c>
      <c r="J246" s="141">
        <f t="shared" si="47"/>
        <v>0.2</v>
      </c>
      <c r="K246" s="141">
        <f t="shared" si="47"/>
        <v>0.2</v>
      </c>
      <c r="L246" s="141">
        <f t="shared" si="47"/>
        <v>0.2</v>
      </c>
      <c r="M246" s="141">
        <f t="shared" si="47"/>
        <v>0.2</v>
      </c>
      <c r="N246" s="141">
        <f t="shared" si="47"/>
        <v>0.2</v>
      </c>
      <c r="O246" s="141">
        <f t="shared" si="47"/>
        <v>0.2</v>
      </c>
      <c r="P246" s="141">
        <f t="shared" si="47"/>
        <v>0.2</v>
      </c>
      <c r="Q246" s="141">
        <f t="shared" si="47"/>
        <v>0.2</v>
      </c>
      <c r="R246" s="141">
        <f t="shared" si="47"/>
        <v>0.2</v>
      </c>
      <c r="S246" s="141">
        <f t="shared" si="47"/>
        <v>0.2</v>
      </c>
      <c r="T246" s="141">
        <f t="shared" si="47"/>
        <v>0.2</v>
      </c>
      <c r="U246" s="141">
        <f t="shared" si="47"/>
        <v>0.2</v>
      </c>
      <c r="V246" s="141">
        <f t="shared" si="47"/>
        <v>0.2</v>
      </c>
      <c r="W246" s="141">
        <f t="shared" si="47"/>
        <v>0.2</v>
      </c>
      <c r="X246" s="141">
        <f t="shared" si="47"/>
        <v>0</v>
      </c>
      <c r="Y246" s="141">
        <f t="shared" si="47"/>
        <v>0</v>
      </c>
      <c r="Z246" s="141">
        <f t="shared" si="47"/>
        <v>0</v>
      </c>
      <c r="AA246" s="141">
        <f t="shared" si="47"/>
        <v>0</v>
      </c>
      <c r="AB246" s="141">
        <f t="shared" si="47"/>
        <v>0</v>
      </c>
      <c r="AC246" s="141">
        <f t="shared" si="47"/>
        <v>0</v>
      </c>
      <c r="AD246" s="141">
        <f t="shared" si="47"/>
        <v>0</v>
      </c>
      <c r="AE246" s="141">
        <f t="shared" si="47"/>
        <v>0</v>
      </c>
      <c r="AF246" s="141">
        <f t="shared" si="47"/>
        <v>0</v>
      </c>
      <c r="AG246" s="141">
        <f t="shared" si="47"/>
        <v>0</v>
      </c>
      <c r="AH246" s="141">
        <f t="shared" si="47"/>
        <v>0</v>
      </c>
      <c r="AI246" s="141">
        <f t="shared" si="11"/>
        <v>0.16</v>
      </c>
      <c r="AJ246" s="141">
        <f t="shared" si="12"/>
        <v>0.2</v>
      </c>
      <c r="AK246" s="141">
        <f t="shared" si="13"/>
        <v>0</v>
      </c>
      <c r="AL246" s="141">
        <f t="shared" si="14"/>
        <v>0.025</v>
      </c>
      <c r="AM246" s="215">
        <f t="shared" si="15"/>
        <v>0.1185185185</v>
      </c>
      <c r="AN246" s="100"/>
      <c r="AO246" s="102"/>
    </row>
    <row r="247" ht="14.25" customHeight="1">
      <c r="A247" s="355" t="s">
        <v>598</v>
      </c>
      <c r="B247" s="100"/>
      <c r="C247" s="100"/>
      <c r="D247" s="100"/>
      <c r="E247" s="100"/>
      <c r="F247" s="206"/>
      <c r="G247" s="162"/>
      <c r="H247" s="141">
        <f t="shared" ref="H247:AH247" si="48">(COUNTA(H195:H203)-COUNTIF($AN195:$AN203,1))/(COUNTA($G195:$G203)-COUNTIF($AN195:$AN203,1))</f>
        <v>0.7777777778</v>
      </c>
      <c r="I247" s="141">
        <f t="shared" si="48"/>
        <v>0.7777777778</v>
      </c>
      <c r="J247" s="141">
        <f t="shared" si="48"/>
        <v>0.7777777778</v>
      </c>
      <c r="K247" s="141">
        <f t="shared" si="48"/>
        <v>0.7777777778</v>
      </c>
      <c r="L247" s="141">
        <f t="shared" si="48"/>
        <v>0.7777777778</v>
      </c>
      <c r="M247" s="141">
        <f t="shared" si="48"/>
        <v>0.7777777778</v>
      </c>
      <c r="N247" s="141">
        <f t="shared" si="48"/>
        <v>0.7777777778</v>
      </c>
      <c r="O247" s="141">
        <f t="shared" si="48"/>
        <v>0.7777777778</v>
      </c>
      <c r="P247" s="141">
        <f t="shared" si="48"/>
        <v>0.7777777778</v>
      </c>
      <c r="Q247" s="141">
        <f t="shared" si="48"/>
        <v>0.7777777778</v>
      </c>
      <c r="R247" s="141">
        <f t="shared" si="48"/>
        <v>0.7777777778</v>
      </c>
      <c r="S247" s="141">
        <f t="shared" si="48"/>
        <v>0.7777777778</v>
      </c>
      <c r="T247" s="141">
        <f t="shared" si="48"/>
        <v>0.7777777778</v>
      </c>
      <c r="U247" s="141">
        <f t="shared" si="48"/>
        <v>0.7777777778</v>
      </c>
      <c r="V247" s="141">
        <f t="shared" si="48"/>
        <v>0.7777777778</v>
      </c>
      <c r="W247" s="141">
        <f t="shared" si="48"/>
        <v>1</v>
      </c>
      <c r="X247" s="141">
        <f t="shared" si="48"/>
        <v>0</v>
      </c>
      <c r="Y247" s="141">
        <f t="shared" si="48"/>
        <v>0</v>
      </c>
      <c r="Z247" s="141">
        <f t="shared" si="48"/>
        <v>0</v>
      </c>
      <c r="AA247" s="141">
        <f t="shared" si="48"/>
        <v>0</v>
      </c>
      <c r="AB247" s="141">
        <f t="shared" si="48"/>
        <v>1</v>
      </c>
      <c r="AC247" s="141">
        <f t="shared" si="48"/>
        <v>1</v>
      </c>
      <c r="AD247" s="141">
        <f t="shared" si="48"/>
        <v>1</v>
      </c>
      <c r="AE247" s="141">
        <f t="shared" si="48"/>
        <v>1</v>
      </c>
      <c r="AF247" s="141">
        <f t="shared" si="48"/>
        <v>1</v>
      </c>
      <c r="AG247" s="141">
        <f t="shared" si="48"/>
        <v>1</v>
      </c>
      <c r="AH247" s="141">
        <f t="shared" si="48"/>
        <v>1</v>
      </c>
      <c r="AI247" s="141">
        <f t="shared" si="11"/>
        <v>0.6333333333</v>
      </c>
      <c r="AJ247" s="141">
        <f t="shared" si="12"/>
        <v>1</v>
      </c>
      <c r="AK247" s="141">
        <f t="shared" si="13"/>
        <v>1</v>
      </c>
      <c r="AL247" s="141">
        <f t="shared" si="14"/>
        <v>1</v>
      </c>
      <c r="AM247" s="215">
        <f t="shared" si="15"/>
        <v>0.7283950617</v>
      </c>
      <c r="AN247" s="100"/>
      <c r="AO247" s="102"/>
    </row>
    <row r="248" ht="14.25" customHeight="1">
      <c r="A248" s="99"/>
      <c r="B248" s="100"/>
      <c r="C248" s="100"/>
      <c r="D248" s="271"/>
      <c r="E248" s="100"/>
      <c r="F248" s="206"/>
      <c r="G248" s="206"/>
      <c r="H248" s="207"/>
      <c r="I248" s="207"/>
      <c r="J248" s="207"/>
      <c r="K248" s="207"/>
      <c r="L248" s="207"/>
      <c r="M248" s="207"/>
      <c r="N248" s="207"/>
      <c r="O248" s="207"/>
      <c r="P248" s="207"/>
      <c r="Q248" s="207"/>
      <c r="R248" s="207"/>
      <c r="S248" s="207"/>
      <c r="T248" s="207"/>
      <c r="U248" s="207"/>
      <c r="V248" s="207"/>
      <c r="W248" s="208"/>
      <c r="X248" s="208"/>
      <c r="Y248" s="208"/>
      <c r="Z248" s="208"/>
      <c r="AA248" s="208"/>
      <c r="AB248" s="208"/>
      <c r="AC248" s="208"/>
      <c r="AD248" s="208"/>
      <c r="AE248" s="208"/>
      <c r="AF248" s="208"/>
      <c r="AG248" s="208"/>
      <c r="AH248" s="208"/>
      <c r="AI248" s="271"/>
      <c r="AJ248" s="271"/>
      <c r="AK248" s="271"/>
      <c r="AL248" s="271"/>
      <c r="AM248" s="100"/>
      <c r="AN248" s="100"/>
      <c r="AO248" s="102"/>
    </row>
    <row r="249" ht="14.25" customHeight="1">
      <c r="A249" s="229"/>
      <c r="B249" s="230"/>
      <c r="C249" s="230"/>
      <c r="D249" s="307"/>
      <c r="E249" s="230"/>
      <c r="F249" s="231"/>
      <c r="G249" s="231"/>
      <c r="H249" s="232"/>
      <c r="I249" s="232"/>
      <c r="J249" s="232"/>
      <c r="K249" s="232"/>
      <c r="L249" s="232"/>
      <c r="M249" s="232"/>
      <c r="N249" s="232"/>
      <c r="O249" s="232"/>
      <c r="P249" s="232"/>
      <c r="Q249" s="232"/>
      <c r="R249" s="232"/>
      <c r="S249" s="232"/>
      <c r="T249" s="232"/>
      <c r="U249" s="232"/>
      <c r="V249" s="232"/>
      <c r="W249" s="233"/>
      <c r="X249" s="233"/>
      <c r="Y249" s="233"/>
      <c r="Z249" s="233"/>
      <c r="AA249" s="233"/>
      <c r="AB249" s="233"/>
      <c r="AC249" s="233"/>
      <c r="AD249" s="233"/>
      <c r="AE249" s="233"/>
      <c r="AF249" s="233"/>
      <c r="AG249" s="233"/>
      <c r="AH249" s="233"/>
      <c r="AI249" s="307"/>
      <c r="AJ249" s="307"/>
      <c r="AK249" s="307"/>
      <c r="AL249" s="307"/>
      <c r="AM249" s="230"/>
      <c r="AN249" s="230"/>
      <c r="AO249" s="234"/>
    </row>
    <row r="250" ht="14.25" customHeight="1">
      <c r="A250" s="98"/>
      <c r="B250" s="98"/>
      <c r="C250" s="98"/>
      <c r="D250" s="308"/>
      <c r="E250" s="98"/>
      <c r="F250" s="235"/>
      <c r="G250" s="235"/>
      <c r="H250" s="236"/>
      <c r="I250" s="236"/>
      <c r="J250" s="236"/>
      <c r="K250" s="236"/>
      <c r="L250" s="236"/>
      <c r="M250" s="236"/>
      <c r="N250" s="236"/>
      <c r="O250" s="236"/>
      <c r="P250" s="236"/>
      <c r="Q250" s="236"/>
      <c r="R250" s="236"/>
      <c r="S250" s="236"/>
      <c r="T250" s="236"/>
      <c r="U250" s="236"/>
      <c r="V250" s="236"/>
      <c r="W250" s="237"/>
      <c r="X250" s="237"/>
      <c r="Y250" s="237"/>
      <c r="Z250" s="237"/>
      <c r="AA250" s="237"/>
      <c r="AB250" s="237"/>
      <c r="AC250" s="237"/>
      <c r="AD250" s="237"/>
      <c r="AE250" s="237"/>
      <c r="AF250" s="237"/>
      <c r="AG250" s="237"/>
      <c r="AH250" s="237"/>
      <c r="AI250" s="308"/>
      <c r="AJ250" s="308"/>
      <c r="AK250" s="308"/>
      <c r="AL250" s="308"/>
      <c r="AM250" s="98"/>
      <c r="AN250" s="98"/>
      <c r="AO250" s="98"/>
    </row>
    <row r="251" ht="14.25" customHeight="1">
      <c r="A251" s="98"/>
      <c r="B251" s="98"/>
      <c r="C251" s="378"/>
      <c r="D251" s="308"/>
      <c r="E251" s="98"/>
      <c r="F251" s="235"/>
      <c r="G251" s="235"/>
      <c r="H251" s="236"/>
      <c r="I251" s="236"/>
      <c r="J251" s="236"/>
      <c r="K251" s="236"/>
      <c r="L251" s="236"/>
      <c r="M251" s="236"/>
      <c r="N251" s="236"/>
      <c r="O251" s="236"/>
      <c r="P251" s="236"/>
      <c r="Q251" s="236"/>
      <c r="R251" s="236"/>
      <c r="S251" s="236"/>
      <c r="T251" s="236"/>
      <c r="U251" s="236"/>
      <c r="V251" s="236"/>
      <c r="W251" s="237"/>
      <c r="X251" s="237"/>
      <c r="Y251" s="237"/>
      <c r="Z251" s="237"/>
      <c r="AA251" s="237"/>
      <c r="AB251" s="237"/>
      <c r="AC251" s="237"/>
      <c r="AD251" s="237"/>
      <c r="AE251" s="237"/>
      <c r="AF251" s="237"/>
      <c r="AG251" s="237"/>
      <c r="AH251" s="237"/>
      <c r="AI251" s="308"/>
      <c r="AJ251" s="308"/>
      <c r="AK251" s="308"/>
      <c r="AL251" s="308"/>
      <c r="AM251" s="98"/>
      <c r="AN251" s="98"/>
      <c r="AO251" s="98"/>
    </row>
    <row r="252" ht="14.25" customHeight="1">
      <c r="A252" s="98"/>
      <c r="B252" s="98"/>
      <c r="C252" s="379"/>
      <c r="D252" s="308"/>
      <c r="E252" s="98"/>
      <c r="F252" s="235"/>
      <c r="G252" s="235"/>
      <c r="H252" s="236"/>
      <c r="I252" s="236"/>
      <c r="J252" s="236"/>
      <c r="K252" s="236"/>
      <c r="L252" s="236"/>
      <c r="M252" s="236"/>
      <c r="N252" s="236"/>
      <c r="O252" s="236"/>
      <c r="P252" s="236"/>
      <c r="Q252" s="236"/>
      <c r="R252" s="236"/>
      <c r="S252" s="236"/>
      <c r="T252" s="236"/>
      <c r="U252" s="236"/>
      <c r="V252" s="236"/>
      <c r="W252" s="237"/>
      <c r="X252" s="237"/>
      <c r="Y252" s="237"/>
      <c r="Z252" s="237"/>
      <c r="AA252" s="237"/>
      <c r="AB252" s="237"/>
      <c r="AC252" s="237"/>
      <c r="AD252" s="237"/>
      <c r="AE252" s="237"/>
      <c r="AF252" s="237"/>
      <c r="AG252" s="237"/>
      <c r="AH252" s="237"/>
      <c r="AI252" s="308"/>
      <c r="AJ252" s="308"/>
      <c r="AK252" s="308"/>
      <c r="AL252" s="308"/>
      <c r="AM252" s="98"/>
      <c r="AN252" s="98"/>
      <c r="AO252" s="98"/>
    </row>
    <row r="253" ht="14.25" customHeight="1">
      <c r="A253" s="98"/>
      <c r="B253" s="98"/>
      <c r="C253" s="378"/>
      <c r="D253" s="308"/>
      <c r="E253" s="98"/>
      <c r="F253" s="235"/>
      <c r="G253" s="235"/>
      <c r="H253" s="236"/>
      <c r="I253" s="236"/>
      <c r="J253" s="236"/>
      <c r="K253" s="236"/>
      <c r="L253" s="236"/>
      <c r="M253" s="236"/>
      <c r="N253" s="236"/>
      <c r="O253" s="236"/>
      <c r="P253" s="236"/>
      <c r="Q253" s="236"/>
      <c r="R253" s="236"/>
      <c r="S253" s="236"/>
      <c r="T253" s="236"/>
      <c r="U253" s="236"/>
      <c r="V253" s="236"/>
      <c r="W253" s="237"/>
      <c r="X253" s="237"/>
      <c r="Y253" s="237"/>
      <c r="Z253" s="237"/>
      <c r="AA253" s="237"/>
      <c r="AB253" s="237"/>
      <c r="AC253" s="237"/>
      <c r="AD253" s="237"/>
      <c r="AE253" s="237"/>
      <c r="AF253" s="237"/>
      <c r="AG253" s="237"/>
      <c r="AH253" s="237"/>
      <c r="AI253" s="308"/>
      <c r="AJ253" s="308"/>
      <c r="AK253" s="308"/>
      <c r="AL253" s="308"/>
      <c r="AM253" s="98"/>
      <c r="AN253" s="98"/>
      <c r="AO253" s="98"/>
    </row>
    <row r="254" ht="14.25" customHeight="1">
      <c r="A254" s="98"/>
      <c r="B254" s="98"/>
      <c r="C254" s="98"/>
      <c r="D254" s="308"/>
      <c r="E254" s="98"/>
      <c r="F254" s="235"/>
      <c r="G254" s="235"/>
      <c r="H254" s="236"/>
      <c r="I254" s="236"/>
      <c r="J254" s="236"/>
      <c r="K254" s="236"/>
      <c r="L254" s="236"/>
      <c r="M254" s="236"/>
      <c r="N254" s="236"/>
      <c r="O254" s="236"/>
      <c r="P254" s="236"/>
      <c r="Q254" s="236"/>
      <c r="R254" s="236"/>
      <c r="S254" s="236"/>
      <c r="T254" s="236"/>
      <c r="U254" s="236"/>
      <c r="V254" s="236"/>
      <c r="W254" s="237"/>
      <c r="X254" s="237"/>
      <c r="Y254" s="237"/>
      <c r="Z254" s="237"/>
      <c r="AA254" s="237"/>
      <c r="AB254" s="237"/>
      <c r="AC254" s="237"/>
      <c r="AD254" s="237"/>
      <c r="AE254" s="237"/>
      <c r="AF254" s="237"/>
      <c r="AG254" s="237"/>
      <c r="AH254" s="237"/>
      <c r="AI254" s="308"/>
      <c r="AJ254" s="308"/>
      <c r="AK254" s="308"/>
      <c r="AL254" s="308"/>
      <c r="AM254" s="98"/>
      <c r="AN254" s="98"/>
      <c r="AO254" s="98"/>
    </row>
    <row r="255" ht="14.25" customHeight="1">
      <c r="A255" s="98"/>
      <c r="B255" s="98"/>
      <c r="C255" s="98"/>
      <c r="D255" s="308"/>
      <c r="E255" s="98"/>
      <c r="F255" s="235"/>
      <c r="G255" s="235"/>
      <c r="H255" s="236"/>
      <c r="I255" s="236"/>
      <c r="J255" s="236"/>
      <c r="K255" s="236"/>
      <c r="L255" s="236"/>
      <c r="M255" s="236"/>
      <c r="N255" s="236"/>
      <c r="O255" s="236"/>
      <c r="P255" s="236"/>
      <c r="Q255" s="236"/>
      <c r="R255" s="236"/>
      <c r="S255" s="236"/>
      <c r="T255" s="236"/>
      <c r="U255" s="236"/>
      <c r="V255" s="236"/>
      <c r="W255" s="237"/>
      <c r="X255" s="237"/>
      <c r="Y255" s="237"/>
      <c r="Z255" s="237"/>
      <c r="AA255" s="237"/>
      <c r="AB255" s="237"/>
      <c r="AC255" s="237"/>
      <c r="AD255" s="237"/>
      <c r="AE255" s="237"/>
      <c r="AF255" s="237"/>
      <c r="AG255" s="237"/>
      <c r="AH255" s="237"/>
      <c r="AI255" s="308"/>
      <c r="AJ255" s="308"/>
      <c r="AK255" s="308"/>
      <c r="AL255" s="308"/>
      <c r="AM255" s="98"/>
      <c r="AN255" s="98"/>
      <c r="AO255" s="98"/>
    </row>
    <row r="256" ht="14.25" customHeight="1">
      <c r="A256" s="98"/>
      <c r="B256" s="98"/>
      <c r="C256" s="98"/>
      <c r="D256" s="308"/>
      <c r="E256" s="98"/>
      <c r="F256" s="235"/>
      <c r="G256" s="235"/>
      <c r="H256" s="236"/>
      <c r="I256" s="236"/>
      <c r="J256" s="236"/>
      <c r="K256" s="236"/>
      <c r="L256" s="236"/>
      <c r="M256" s="236"/>
      <c r="N256" s="236"/>
      <c r="O256" s="236"/>
      <c r="P256" s="236"/>
      <c r="Q256" s="236"/>
      <c r="R256" s="236"/>
      <c r="S256" s="236"/>
      <c r="T256" s="236"/>
      <c r="U256" s="236"/>
      <c r="V256" s="236"/>
      <c r="W256" s="237"/>
      <c r="X256" s="237"/>
      <c r="Y256" s="237"/>
      <c r="Z256" s="237"/>
      <c r="AA256" s="237"/>
      <c r="AB256" s="237"/>
      <c r="AC256" s="237"/>
      <c r="AD256" s="237"/>
      <c r="AE256" s="237"/>
      <c r="AF256" s="237"/>
      <c r="AG256" s="237"/>
      <c r="AH256" s="237"/>
      <c r="AI256" s="308"/>
      <c r="AJ256" s="308"/>
      <c r="AK256" s="308"/>
      <c r="AL256" s="308"/>
      <c r="AM256" s="98"/>
      <c r="AN256" s="98"/>
      <c r="AO256" s="98"/>
    </row>
    <row r="257" ht="14.25" customHeight="1">
      <c r="A257" s="98"/>
      <c r="B257" s="98"/>
      <c r="C257" s="98"/>
      <c r="D257" s="308"/>
      <c r="E257" s="98"/>
      <c r="F257" s="235"/>
      <c r="G257" s="235"/>
      <c r="H257" s="236"/>
      <c r="I257" s="236"/>
      <c r="J257" s="236"/>
      <c r="K257" s="236"/>
      <c r="L257" s="236"/>
      <c r="M257" s="236"/>
      <c r="N257" s="236"/>
      <c r="O257" s="236"/>
      <c r="P257" s="236"/>
      <c r="Q257" s="236"/>
      <c r="R257" s="236"/>
      <c r="S257" s="236"/>
      <c r="T257" s="236"/>
      <c r="U257" s="236"/>
      <c r="V257" s="236"/>
      <c r="W257" s="237"/>
      <c r="X257" s="237"/>
      <c r="Y257" s="237"/>
      <c r="Z257" s="237"/>
      <c r="AA257" s="237"/>
      <c r="AB257" s="237"/>
      <c r="AC257" s="237"/>
      <c r="AD257" s="237"/>
      <c r="AE257" s="237"/>
      <c r="AF257" s="237"/>
      <c r="AG257" s="237"/>
      <c r="AH257" s="237"/>
      <c r="AI257" s="308"/>
      <c r="AJ257" s="308"/>
      <c r="AK257" s="308"/>
      <c r="AL257" s="308"/>
      <c r="AM257" s="98"/>
      <c r="AN257" s="98"/>
      <c r="AO257" s="98"/>
    </row>
    <row r="258" ht="14.25" customHeight="1">
      <c r="A258" s="98"/>
      <c r="B258" s="98"/>
      <c r="C258" s="98"/>
      <c r="D258" s="308"/>
      <c r="E258" s="98"/>
      <c r="F258" s="235"/>
      <c r="G258" s="235"/>
      <c r="H258" s="236"/>
      <c r="I258" s="236"/>
      <c r="J258" s="236"/>
      <c r="K258" s="236"/>
      <c r="L258" s="236"/>
      <c r="M258" s="236"/>
      <c r="N258" s="236"/>
      <c r="O258" s="236"/>
      <c r="P258" s="236"/>
      <c r="Q258" s="236"/>
      <c r="R258" s="236"/>
      <c r="S258" s="236"/>
      <c r="T258" s="236"/>
      <c r="U258" s="236"/>
      <c r="V258" s="236"/>
      <c r="W258" s="237"/>
      <c r="X258" s="237"/>
      <c r="Y258" s="237"/>
      <c r="Z258" s="237"/>
      <c r="AA258" s="237"/>
      <c r="AB258" s="237"/>
      <c r="AC258" s="237"/>
      <c r="AD258" s="237"/>
      <c r="AE258" s="237"/>
      <c r="AF258" s="237"/>
      <c r="AG258" s="237"/>
      <c r="AH258" s="237"/>
      <c r="AI258" s="308"/>
      <c r="AJ258" s="308"/>
      <c r="AK258" s="308"/>
      <c r="AL258" s="308"/>
      <c r="AM258" s="98"/>
      <c r="AN258" s="98"/>
      <c r="AO258" s="98"/>
    </row>
    <row r="259" ht="14.25" customHeight="1">
      <c r="A259" s="98"/>
      <c r="B259" s="98"/>
      <c r="C259" s="98"/>
      <c r="D259" s="308"/>
      <c r="E259" s="98"/>
      <c r="F259" s="235"/>
      <c r="G259" s="235"/>
      <c r="H259" s="236"/>
      <c r="I259" s="236"/>
      <c r="J259" s="236"/>
      <c r="K259" s="236"/>
      <c r="L259" s="236"/>
      <c r="M259" s="236"/>
      <c r="N259" s="236"/>
      <c r="O259" s="236"/>
      <c r="P259" s="236"/>
      <c r="Q259" s="236"/>
      <c r="R259" s="236"/>
      <c r="S259" s="236"/>
      <c r="T259" s="236"/>
      <c r="U259" s="236"/>
      <c r="V259" s="236"/>
      <c r="W259" s="237"/>
      <c r="X259" s="237"/>
      <c r="Y259" s="237"/>
      <c r="Z259" s="237"/>
      <c r="AA259" s="237"/>
      <c r="AB259" s="237"/>
      <c r="AC259" s="237"/>
      <c r="AD259" s="237"/>
      <c r="AE259" s="237"/>
      <c r="AF259" s="237"/>
      <c r="AG259" s="237"/>
      <c r="AH259" s="237"/>
      <c r="AI259" s="308"/>
      <c r="AJ259" s="308"/>
      <c r="AK259" s="308"/>
      <c r="AL259" s="308"/>
      <c r="AM259" s="98"/>
      <c r="AN259" s="98"/>
      <c r="AO259" s="98"/>
    </row>
    <row r="260" ht="14.25" customHeight="1">
      <c r="A260" s="98"/>
      <c r="B260" s="98"/>
      <c r="C260" s="98"/>
      <c r="D260" s="308"/>
      <c r="E260" s="98"/>
      <c r="F260" s="235"/>
      <c r="G260" s="235"/>
      <c r="H260" s="236"/>
      <c r="I260" s="236"/>
      <c r="J260" s="236"/>
      <c r="K260" s="236"/>
      <c r="L260" s="236"/>
      <c r="M260" s="236"/>
      <c r="N260" s="236"/>
      <c r="O260" s="236"/>
      <c r="P260" s="236"/>
      <c r="Q260" s="236"/>
      <c r="R260" s="236"/>
      <c r="S260" s="236"/>
      <c r="T260" s="236"/>
      <c r="U260" s="236"/>
      <c r="V260" s="236"/>
      <c r="W260" s="237"/>
      <c r="X260" s="237"/>
      <c r="Y260" s="237"/>
      <c r="Z260" s="237"/>
      <c r="AA260" s="237"/>
      <c r="AB260" s="237"/>
      <c r="AC260" s="237"/>
      <c r="AD260" s="237"/>
      <c r="AE260" s="237"/>
      <c r="AF260" s="237"/>
      <c r="AG260" s="237"/>
      <c r="AH260" s="237"/>
      <c r="AI260" s="308"/>
      <c r="AJ260" s="308"/>
      <c r="AK260" s="308"/>
      <c r="AL260" s="308"/>
      <c r="AM260" s="98"/>
      <c r="AN260" s="98"/>
      <c r="AO260" s="98"/>
    </row>
    <row r="261" ht="14.25" customHeight="1">
      <c r="A261" s="98"/>
      <c r="B261" s="98"/>
      <c r="C261" s="98"/>
      <c r="D261" s="308"/>
      <c r="E261" s="98"/>
      <c r="F261" s="235"/>
      <c r="G261" s="235"/>
      <c r="H261" s="236"/>
      <c r="I261" s="236"/>
      <c r="J261" s="236"/>
      <c r="K261" s="236"/>
      <c r="L261" s="236"/>
      <c r="M261" s="236"/>
      <c r="N261" s="236"/>
      <c r="O261" s="236"/>
      <c r="P261" s="236"/>
      <c r="Q261" s="236"/>
      <c r="R261" s="236"/>
      <c r="S261" s="236"/>
      <c r="T261" s="236"/>
      <c r="U261" s="236"/>
      <c r="V261" s="236"/>
      <c r="W261" s="237"/>
      <c r="X261" s="237"/>
      <c r="Y261" s="237"/>
      <c r="Z261" s="237"/>
      <c r="AA261" s="237"/>
      <c r="AB261" s="237"/>
      <c r="AC261" s="237"/>
      <c r="AD261" s="237"/>
      <c r="AE261" s="237"/>
      <c r="AF261" s="237"/>
      <c r="AG261" s="237"/>
      <c r="AH261" s="237"/>
      <c r="AI261" s="308"/>
      <c r="AJ261" s="308"/>
      <c r="AK261" s="308"/>
      <c r="AL261" s="308"/>
      <c r="AM261" s="98"/>
      <c r="AN261" s="98"/>
      <c r="AO261" s="98"/>
    </row>
    <row r="262" ht="14.25" customHeight="1">
      <c r="A262" s="98"/>
      <c r="B262" s="98"/>
      <c r="C262" s="98"/>
      <c r="D262" s="308"/>
      <c r="E262" s="98"/>
      <c r="F262" s="235"/>
      <c r="G262" s="235"/>
      <c r="H262" s="236"/>
      <c r="I262" s="236"/>
      <c r="J262" s="236"/>
      <c r="K262" s="236"/>
      <c r="L262" s="236"/>
      <c r="M262" s="236"/>
      <c r="N262" s="236"/>
      <c r="O262" s="236"/>
      <c r="P262" s="236"/>
      <c r="Q262" s="236"/>
      <c r="R262" s="236"/>
      <c r="S262" s="236"/>
      <c r="T262" s="236"/>
      <c r="U262" s="236"/>
      <c r="V262" s="236"/>
      <c r="W262" s="237"/>
      <c r="X262" s="237"/>
      <c r="Y262" s="237"/>
      <c r="Z262" s="237"/>
      <c r="AA262" s="237"/>
      <c r="AB262" s="237"/>
      <c r="AC262" s="237"/>
      <c r="AD262" s="237"/>
      <c r="AE262" s="237"/>
      <c r="AF262" s="237"/>
      <c r="AG262" s="237"/>
      <c r="AH262" s="237"/>
      <c r="AI262" s="308"/>
      <c r="AJ262" s="308"/>
      <c r="AK262" s="308"/>
      <c r="AL262" s="308"/>
      <c r="AM262" s="98"/>
      <c r="AN262" s="98"/>
      <c r="AO262" s="98"/>
    </row>
    <row r="263" ht="14.25" customHeight="1">
      <c r="A263" s="98"/>
      <c r="B263" s="98"/>
      <c r="C263" s="98"/>
      <c r="D263" s="308"/>
      <c r="E263" s="98"/>
      <c r="F263" s="235"/>
      <c r="G263" s="235"/>
      <c r="H263" s="236"/>
      <c r="I263" s="236"/>
      <c r="J263" s="236"/>
      <c r="K263" s="236"/>
      <c r="L263" s="236"/>
      <c r="M263" s="236"/>
      <c r="N263" s="236"/>
      <c r="O263" s="236"/>
      <c r="P263" s="236"/>
      <c r="Q263" s="236"/>
      <c r="R263" s="236"/>
      <c r="S263" s="236"/>
      <c r="T263" s="236"/>
      <c r="U263" s="236"/>
      <c r="V263" s="236"/>
      <c r="W263" s="237"/>
      <c r="X263" s="237"/>
      <c r="Y263" s="237"/>
      <c r="Z263" s="237"/>
      <c r="AA263" s="237"/>
      <c r="AB263" s="237"/>
      <c r="AC263" s="237"/>
      <c r="AD263" s="237"/>
      <c r="AE263" s="237"/>
      <c r="AF263" s="237"/>
      <c r="AG263" s="237"/>
      <c r="AH263" s="237"/>
      <c r="AI263" s="308"/>
      <c r="AJ263" s="308"/>
      <c r="AK263" s="308"/>
      <c r="AL263" s="308"/>
      <c r="AM263" s="98"/>
      <c r="AN263" s="98"/>
      <c r="AO263" s="98"/>
    </row>
    <row r="264" ht="14.25" customHeight="1">
      <c r="A264" s="98"/>
      <c r="B264" s="98"/>
      <c r="C264" s="98"/>
      <c r="D264" s="308"/>
      <c r="E264" s="98"/>
      <c r="F264" s="235"/>
      <c r="G264" s="235"/>
      <c r="H264" s="236"/>
      <c r="I264" s="236"/>
      <c r="J264" s="236"/>
      <c r="K264" s="236"/>
      <c r="L264" s="236"/>
      <c r="M264" s="236"/>
      <c r="N264" s="236"/>
      <c r="O264" s="236"/>
      <c r="P264" s="236"/>
      <c r="Q264" s="236"/>
      <c r="R264" s="236"/>
      <c r="S264" s="236"/>
      <c r="T264" s="236"/>
      <c r="U264" s="236"/>
      <c r="V264" s="236"/>
      <c r="W264" s="237"/>
      <c r="X264" s="237"/>
      <c r="Y264" s="237"/>
      <c r="Z264" s="237"/>
      <c r="AA264" s="237"/>
      <c r="AB264" s="237"/>
      <c r="AC264" s="237"/>
      <c r="AD264" s="237"/>
      <c r="AE264" s="237"/>
      <c r="AF264" s="237"/>
      <c r="AG264" s="237"/>
      <c r="AH264" s="237"/>
      <c r="AI264" s="308"/>
      <c r="AJ264" s="308"/>
      <c r="AK264" s="308"/>
      <c r="AL264" s="308"/>
      <c r="AM264" s="98"/>
      <c r="AN264" s="98"/>
      <c r="AO264" s="98"/>
    </row>
    <row r="265" ht="14.25" customHeight="1">
      <c r="A265" s="98"/>
      <c r="B265" s="98"/>
      <c r="C265" s="98"/>
      <c r="D265" s="308"/>
      <c r="E265" s="98"/>
      <c r="F265" s="235"/>
      <c r="G265" s="235"/>
      <c r="H265" s="236"/>
      <c r="I265" s="236"/>
      <c r="J265" s="236"/>
      <c r="K265" s="236"/>
      <c r="L265" s="236"/>
      <c r="M265" s="236"/>
      <c r="N265" s="236"/>
      <c r="O265" s="236"/>
      <c r="P265" s="236"/>
      <c r="Q265" s="236"/>
      <c r="R265" s="236"/>
      <c r="S265" s="236"/>
      <c r="T265" s="236"/>
      <c r="U265" s="236"/>
      <c r="V265" s="236"/>
      <c r="W265" s="237"/>
      <c r="X265" s="237"/>
      <c r="Y265" s="237"/>
      <c r="Z265" s="237"/>
      <c r="AA265" s="237"/>
      <c r="AB265" s="237"/>
      <c r="AC265" s="237"/>
      <c r="AD265" s="237"/>
      <c r="AE265" s="237"/>
      <c r="AF265" s="237"/>
      <c r="AG265" s="237"/>
      <c r="AH265" s="237"/>
      <c r="AI265" s="308"/>
      <c r="AJ265" s="308"/>
      <c r="AK265" s="308"/>
      <c r="AL265" s="308"/>
      <c r="AM265" s="98"/>
      <c r="AN265" s="98"/>
      <c r="AO265" s="98"/>
    </row>
    <row r="266" ht="14.25" customHeight="1">
      <c r="A266" s="98"/>
      <c r="B266" s="98"/>
      <c r="C266" s="98"/>
      <c r="D266" s="308"/>
      <c r="E266" s="98"/>
      <c r="F266" s="235"/>
      <c r="G266" s="235"/>
      <c r="H266" s="236"/>
      <c r="I266" s="236"/>
      <c r="J266" s="236"/>
      <c r="K266" s="236"/>
      <c r="L266" s="236"/>
      <c r="M266" s="236"/>
      <c r="N266" s="236"/>
      <c r="O266" s="236"/>
      <c r="P266" s="236"/>
      <c r="Q266" s="236"/>
      <c r="R266" s="236"/>
      <c r="S266" s="236"/>
      <c r="T266" s="236"/>
      <c r="U266" s="236"/>
      <c r="V266" s="236"/>
      <c r="W266" s="237"/>
      <c r="X266" s="237"/>
      <c r="Y266" s="237"/>
      <c r="Z266" s="237"/>
      <c r="AA266" s="237"/>
      <c r="AB266" s="237"/>
      <c r="AC266" s="237"/>
      <c r="AD266" s="237"/>
      <c r="AE266" s="237"/>
      <c r="AF266" s="237"/>
      <c r="AG266" s="237"/>
      <c r="AH266" s="237"/>
      <c r="AI266" s="308"/>
      <c r="AJ266" s="308"/>
      <c r="AK266" s="308"/>
      <c r="AL266" s="308"/>
      <c r="AM266" s="98"/>
      <c r="AN266" s="98"/>
      <c r="AO266" s="98"/>
    </row>
    <row r="267" ht="14.25" customHeight="1">
      <c r="A267" s="98"/>
      <c r="B267" s="98"/>
      <c r="C267" s="98"/>
      <c r="D267" s="308"/>
      <c r="E267" s="98"/>
      <c r="F267" s="235"/>
      <c r="G267" s="235"/>
      <c r="H267" s="236"/>
      <c r="I267" s="236"/>
      <c r="J267" s="236"/>
      <c r="K267" s="236"/>
      <c r="L267" s="236"/>
      <c r="M267" s="236"/>
      <c r="N267" s="236"/>
      <c r="O267" s="236"/>
      <c r="P267" s="236"/>
      <c r="Q267" s="236"/>
      <c r="R267" s="236"/>
      <c r="S267" s="236"/>
      <c r="T267" s="236"/>
      <c r="U267" s="236"/>
      <c r="V267" s="236"/>
      <c r="W267" s="237"/>
      <c r="X267" s="237"/>
      <c r="Y267" s="237"/>
      <c r="Z267" s="237"/>
      <c r="AA267" s="237"/>
      <c r="AB267" s="237"/>
      <c r="AC267" s="237"/>
      <c r="AD267" s="237"/>
      <c r="AE267" s="237"/>
      <c r="AF267" s="237"/>
      <c r="AG267" s="237"/>
      <c r="AH267" s="237"/>
      <c r="AI267" s="308"/>
      <c r="AJ267" s="308"/>
      <c r="AK267" s="308"/>
      <c r="AL267" s="308"/>
      <c r="AM267" s="98"/>
      <c r="AN267" s="98"/>
      <c r="AO267" s="98"/>
    </row>
    <row r="268" ht="14.25" customHeight="1">
      <c r="A268" s="98"/>
      <c r="B268" s="98"/>
      <c r="C268" s="98"/>
      <c r="D268" s="308"/>
      <c r="E268" s="98"/>
      <c r="F268" s="235"/>
      <c r="G268" s="235"/>
      <c r="H268" s="236"/>
      <c r="I268" s="236"/>
      <c r="J268" s="236"/>
      <c r="K268" s="236"/>
      <c r="L268" s="236"/>
      <c r="M268" s="236"/>
      <c r="N268" s="236"/>
      <c r="O268" s="236"/>
      <c r="P268" s="236"/>
      <c r="Q268" s="236"/>
      <c r="R268" s="236"/>
      <c r="S268" s="236"/>
      <c r="T268" s="236"/>
      <c r="U268" s="236"/>
      <c r="V268" s="236"/>
      <c r="W268" s="237"/>
      <c r="X268" s="237"/>
      <c r="Y268" s="237"/>
      <c r="Z268" s="237"/>
      <c r="AA268" s="237"/>
      <c r="AB268" s="237"/>
      <c r="AC268" s="237"/>
      <c r="AD268" s="237"/>
      <c r="AE268" s="237"/>
      <c r="AF268" s="237"/>
      <c r="AG268" s="237"/>
      <c r="AH268" s="237"/>
      <c r="AI268" s="308"/>
      <c r="AJ268" s="308"/>
      <c r="AK268" s="308"/>
      <c r="AL268" s="308"/>
      <c r="AM268" s="98"/>
      <c r="AN268" s="98"/>
      <c r="AO268" s="98"/>
    </row>
    <row r="269" ht="14.25" customHeight="1">
      <c r="A269" s="98"/>
      <c r="B269" s="98"/>
      <c r="C269" s="98"/>
      <c r="D269" s="308"/>
      <c r="E269" s="98"/>
      <c r="F269" s="235"/>
      <c r="G269" s="235"/>
      <c r="H269" s="236"/>
      <c r="I269" s="236"/>
      <c r="J269" s="236"/>
      <c r="K269" s="236"/>
      <c r="L269" s="236"/>
      <c r="M269" s="236"/>
      <c r="N269" s="236"/>
      <c r="O269" s="236"/>
      <c r="P269" s="236"/>
      <c r="Q269" s="236"/>
      <c r="R269" s="236"/>
      <c r="S269" s="236"/>
      <c r="T269" s="236"/>
      <c r="U269" s="236"/>
      <c r="V269" s="236"/>
      <c r="W269" s="237"/>
      <c r="X269" s="237"/>
      <c r="Y269" s="237"/>
      <c r="Z269" s="237"/>
      <c r="AA269" s="237"/>
      <c r="AB269" s="237"/>
      <c r="AC269" s="237"/>
      <c r="AD269" s="237"/>
      <c r="AE269" s="237"/>
      <c r="AF269" s="237"/>
      <c r="AG269" s="237"/>
      <c r="AH269" s="237"/>
      <c r="AI269" s="308"/>
      <c r="AJ269" s="308"/>
      <c r="AK269" s="308"/>
      <c r="AL269" s="308"/>
      <c r="AM269" s="98"/>
      <c r="AN269" s="98"/>
      <c r="AO269" s="98"/>
    </row>
    <row r="270" ht="14.25" customHeight="1">
      <c r="A270" s="98"/>
      <c r="B270" s="98"/>
      <c r="C270" s="98"/>
      <c r="D270" s="308"/>
      <c r="E270" s="98"/>
      <c r="F270" s="235"/>
      <c r="G270" s="235"/>
      <c r="H270" s="236"/>
      <c r="I270" s="236"/>
      <c r="J270" s="236"/>
      <c r="K270" s="236"/>
      <c r="L270" s="236"/>
      <c r="M270" s="236"/>
      <c r="N270" s="236"/>
      <c r="O270" s="236"/>
      <c r="P270" s="236"/>
      <c r="Q270" s="236"/>
      <c r="R270" s="236"/>
      <c r="S270" s="236"/>
      <c r="T270" s="236"/>
      <c r="U270" s="236"/>
      <c r="V270" s="236"/>
      <c r="W270" s="237"/>
      <c r="X270" s="237"/>
      <c r="Y270" s="237"/>
      <c r="Z270" s="237"/>
      <c r="AA270" s="237"/>
      <c r="AB270" s="237"/>
      <c r="AC270" s="237"/>
      <c r="AD270" s="237"/>
      <c r="AE270" s="237"/>
      <c r="AF270" s="237"/>
      <c r="AG270" s="237"/>
      <c r="AH270" s="237"/>
      <c r="AI270" s="308"/>
      <c r="AJ270" s="308"/>
      <c r="AK270" s="308"/>
      <c r="AL270" s="308"/>
      <c r="AM270" s="98"/>
      <c r="AN270" s="98"/>
      <c r="AO270" s="98"/>
    </row>
    <row r="271" ht="14.25" customHeight="1">
      <c r="A271" s="98"/>
      <c r="B271" s="98"/>
      <c r="C271" s="98"/>
      <c r="D271" s="308"/>
      <c r="E271" s="98"/>
      <c r="F271" s="235"/>
      <c r="G271" s="235"/>
      <c r="H271" s="236"/>
      <c r="I271" s="236"/>
      <c r="J271" s="236"/>
      <c r="K271" s="236"/>
      <c r="L271" s="236"/>
      <c r="M271" s="236"/>
      <c r="N271" s="236"/>
      <c r="O271" s="236"/>
      <c r="P271" s="236"/>
      <c r="Q271" s="236"/>
      <c r="R271" s="236"/>
      <c r="S271" s="236"/>
      <c r="T271" s="236"/>
      <c r="U271" s="236"/>
      <c r="V271" s="236"/>
      <c r="W271" s="237"/>
      <c r="X271" s="237"/>
      <c r="Y271" s="237"/>
      <c r="Z271" s="237"/>
      <c r="AA271" s="237"/>
      <c r="AB271" s="237"/>
      <c r="AC271" s="237"/>
      <c r="AD271" s="237"/>
      <c r="AE271" s="237"/>
      <c r="AF271" s="237"/>
      <c r="AG271" s="237"/>
      <c r="AH271" s="237"/>
      <c r="AI271" s="308"/>
      <c r="AJ271" s="308"/>
      <c r="AK271" s="308"/>
      <c r="AL271" s="308"/>
      <c r="AM271" s="98"/>
      <c r="AN271" s="98"/>
      <c r="AO271" s="98"/>
    </row>
    <row r="272" ht="14.25" customHeight="1">
      <c r="A272" s="98"/>
      <c r="B272" s="98"/>
      <c r="C272" s="98"/>
      <c r="D272" s="308"/>
      <c r="E272" s="98"/>
      <c r="F272" s="235"/>
      <c r="G272" s="235"/>
      <c r="H272" s="236"/>
      <c r="I272" s="236"/>
      <c r="J272" s="236"/>
      <c r="K272" s="236"/>
      <c r="L272" s="236"/>
      <c r="M272" s="236"/>
      <c r="N272" s="236"/>
      <c r="O272" s="236"/>
      <c r="P272" s="236"/>
      <c r="Q272" s="236"/>
      <c r="R272" s="236"/>
      <c r="S272" s="236"/>
      <c r="T272" s="236"/>
      <c r="U272" s="236"/>
      <c r="V272" s="236"/>
      <c r="W272" s="237"/>
      <c r="X272" s="237"/>
      <c r="Y272" s="237"/>
      <c r="Z272" s="237"/>
      <c r="AA272" s="237"/>
      <c r="AB272" s="237"/>
      <c r="AC272" s="237"/>
      <c r="AD272" s="237"/>
      <c r="AE272" s="237"/>
      <c r="AF272" s="237"/>
      <c r="AG272" s="237"/>
      <c r="AH272" s="237"/>
      <c r="AI272" s="308"/>
      <c r="AJ272" s="308"/>
      <c r="AK272" s="308"/>
      <c r="AL272" s="308"/>
      <c r="AM272" s="98"/>
      <c r="AN272" s="98"/>
      <c r="AO272" s="98"/>
    </row>
    <row r="273" ht="14.25" customHeight="1">
      <c r="A273" s="98"/>
      <c r="B273" s="98"/>
      <c r="C273" s="98"/>
      <c r="D273" s="308"/>
      <c r="E273" s="98"/>
      <c r="F273" s="235"/>
      <c r="G273" s="235"/>
      <c r="H273" s="236"/>
      <c r="I273" s="236"/>
      <c r="J273" s="236"/>
      <c r="K273" s="236"/>
      <c r="L273" s="236"/>
      <c r="M273" s="236"/>
      <c r="N273" s="236"/>
      <c r="O273" s="236"/>
      <c r="P273" s="236"/>
      <c r="Q273" s="236"/>
      <c r="R273" s="236"/>
      <c r="S273" s="236"/>
      <c r="T273" s="236"/>
      <c r="U273" s="236"/>
      <c r="V273" s="236"/>
      <c r="W273" s="237"/>
      <c r="X273" s="237"/>
      <c r="Y273" s="237"/>
      <c r="Z273" s="237"/>
      <c r="AA273" s="237"/>
      <c r="AB273" s="237"/>
      <c r="AC273" s="237"/>
      <c r="AD273" s="237"/>
      <c r="AE273" s="237"/>
      <c r="AF273" s="237"/>
      <c r="AG273" s="237"/>
      <c r="AH273" s="237"/>
      <c r="AI273" s="308"/>
      <c r="AJ273" s="308"/>
      <c r="AK273" s="308"/>
      <c r="AL273" s="308"/>
      <c r="AM273" s="98"/>
      <c r="AN273" s="98"/>
      <c r="AO273" s="98"/>
    </row>
    <row r="274" ht="14.25" customHeight="1">
      <c r="A274" s="98"/>
      <c r="B274" s="98"/>
      <c r="C274" s="98"/>
      <c r="D274" s="308"/>
      <c r="E274" s="98"/>
      <c r="F274" s="235"/>
      <c r="G274" s="235"/>
      <c r="H274" s="236"/>
      <c r="I274" s="236"/>
      <c r="J274" s="236"/>
      <c r="K274" s="236"/>
      <c r="L274" s="236"/>
      <c r="M274" s="236"/>
      <c r="N274" s="236"/>
      <c r="O274" s="236"/>
      <c r="P274" s="236"/>
      <c r="Q274" s="236"/>
      <c r="R274" s="236"/>
      <c r="S274" s="236"/>
      <c r="T274" s="236"/>
      <c r="U274" s="236"/>
      <c r="V274" s="236"/>
      <c r="W274" s="237"/>
      <c r="X274" s="237"/>
      <c r="Y274" s="237"/>
      <c r="Z274" s="237"/>
      <c r="AA274" s="237"/>
      <c r="AB274" s="237"/>
      <c r="AC274" s="237"/>
      <c r="AD274" s="237"/>
      <c r="AE274" s="237"/>
      <c r="AF274" s="237"/>
      <c r="AG274" s="237"/>
      <c r="AH274" s="237"/>
      <c r="AI274" s="308"/>
      <c r="AJ274" s="308"/>
      <c r="AK274" s="308"/>
      <c r="AL274" s="308"/>
      <c r="AM274" s="98"/>
      <c r="AN274" s="98"/>
      <c r="AO274" s="98"/>
    </row>
    <row r="275" ht="14.25" customHeight="1">
      <c r="A275" s="98"/>
      <c r="B275" s="98"/>
      <c r="C275" s="98"/>
      <c r="D275" s="308"/>
      <c r="E275" s="98"/>
      <c r="F275" s="235"/>
      <c r="G275" s="235"/>
      <c r="H275" s="236"/>
      <c r="I275" s="236"/>
      <c r="J275" s="236"/>
      <c r="K275" s="236"/>
      <c r="L275" s="236"/>
      <c r="M275" s="236"/>
      <c r="N275" s="236"/>
      <c r="O275" s="236"/>
      <c r="P275" s="236"/>
      <c r="Q275" s="236"/>
      <c r="R275" s="236"/>
      <c r="S275" s="236"/>
      <c r="T275" s="236"/>
      <c r="U275" s="236"/>
      <c r="V275" s="236"/>
      <c r="W275" s="237"/>
      <c r="X275" s="237"/>
      <c r="Y275" s="237"/>
      <c r="Z275" s="237"/>
      <c r="AA275" s="237"/>
      <c r="AB275" s="237"/>
      <c r="AC275" s="237"/>
      <c r="AD275" s="237"/>
      <c r="AE275" s="237"/>
      <c r="AF275" s="237"/>
      <c r="AG275" s="237"/>
      <c r="AH275" s="237"/>
      <c r="AI275" s="308"/>
      <c r="AJ275" s="308"/>
      <c r="AK275" s="308"/>
      <c r="AL275" s="308"/>
      <c r="AM275" s="98"/>
      <c r="AN275" s="98"/>
      <c r="AO275" s="98"/>
    </row>
    <row r="276" ht="14.25" customHeight="1">
      <c r="A276" s="98"/>
      <c r="B276" s="98"/>
      <c r="C276" s="98"/>
      <c r="D276" s="308"/>
      <c r="E276" s="98"/>
      <c r="F276" s="235"/>
      <c r="G276" s="235"/>
      <c r="H276" s="236"/>
      <c r="I276" s="236"/>
      <c r="J276" s="236"/>
      <c r="K276" s="236"/>
      <c r="L276" s="236"/>
      <c r="M276" s="236"/>
      <c r="N276" s="236"/>
      <c r="O276" s="236"/>
      <c r="P276" s="236"/>
      <c r="Q276" s="236"/>
      <c r="R276" s="236"/>
      <c r="S276" s="236"/>
      <c r="T276" s="236"/>
      <c r="U276" s="236"/>
      <c r="V276" s="236"/>
      <c r="W276" s="237"/>
      <c r="X276" s="237"/>
      <c r="Y276" s="237"/>
      <c r="Z276" s="237"/>
      <c r="AA276" s="237"/>
      <c r="AB276" s="237"/>
      <c r="AC276" s="237"/>
      <c r="AD276" s="237"/>
      <c r="AE276" s="237"/>
      <c r="AF276" s="237"/>
      <c r="AG276" s="237"/>
      <c r="AH276" s="237"/>
      <c r="AI276" s="308"/>
      <c r="AJ276" s="308"/>
      <c r="AK276" s="308"/>
      <c r="AL276" s="308"/>
      <c r="AM276" s="98"/>
      <c r="AN276" s="98"/>
      <c r="AO276" s="98"/>
    </row>
    <row r="277" ht="14.25" customHeight="1">
      <c r="A277" s="98"/>
      <c r="B277" s="98"/>
      <c r="C277" s="98"/>
      <c r="D277" s="308"/>
      <c r="E277" s="98"/>
      <c r="F277" s="235"/>
      <c r="G277" s="235"/>
      <c r="H277" s="236"/>
      <c r="I277" s="236"/>
      <c r="J277" s="236"/>
      <c r="K277" s="236"/>
      <c r="L277" s="236"/>
      <c r="M277" s="236"/>
      <c r="N277" s="236"/>
      <c r="O277" s="236"/>
      <c r="P277" s="236"/>
      <c r="Q277" s="236"/>
      <c r="R277" s="236"/>
      <c r="S277" s="236"/>
      <c r="T277" s="236"/>
      <c r="U277" s="236"/>
      <c r="V277" s="236"/>
      <c r="W277" s="237"/>
      <c r="X277" s="237"/>
      <c r="Y277" s="237"/>
      <c r="Z277" s="237"/>
      <c r="AA277" s="237"/>
      <c r="AB277" s="237"/>
      <c r="AC277" s="237"/>
      <c r="AD277" s="237"/>
      <c r="AE277" s="237"/>
      <c r="AF277" s="237"/>
      <c r="AG277" s="237"/>
      <c r="AH277" s="237"/>
      <c r="AI277" s="308"/>
      <c r="AJ277" s="308"/>
      <c r="AK277" s="308"/>
      <c r="AL277" s="308"/>
      <c r="AM277" s="98"/>
      <c r="AN277" s="98"/>
      <c r="AO277" s="98"/>
    </row>
    <row r="278" ht="14.25" customHeight="1">
      <c r="A278" s="98"/>
      <c r="B278" s="98"/>
      <c r="C278" s="98"/>
      <c r="D278" s="308"/>
      <c r="E278" s="98"/>
      <c r="F278" s="235"/>
      <c r="G278" s="235"/>
      <c r="H278" s="236"/>
      <c r="I278" s="236"/>
      <c r="J278" s="236"/>
      <c r="K278" s="236"/>
      <c r="L278" s="236"/>
      <c r="M278" s="236"/>
      <c r="N278" s="236"/>
      <c r="O278" s="236"/>
      <c r="P278" s="236"/>
      <c r="Q278" s="236"/>
      <c r="R278" s="236"/>
      <c r="S278" s="236"/>
      <c r="T278" s="236"/>
      <c r="U278" s="236"/>
      <c r="V278" s="236"/>
      <c r="W278" s="237"/>
      <c r="X278" s="237"/>
      <c r="Y278" s="237"/>
      <c r="Z278" s="237"/>
      <c r="AA278" s="237"/>
      <c r="AB278" s="237"/>
      <c r="AC278" s="237"/>
      <c r="AD278" s="237"/>
      <c r="AE278" s="237"/>
      <c r="AF278" s="237"/>
      <c r="AG278" s="237"/>
      <c r="AH278" s="237"/>
      <c r="AI278" s="308"/>
      <c r="AJ278" s="308"/>
      <c r="AK278" s="308"/>
      <c r="AL278" s="308"/>
      <c r="AM278" s="98"/>
      <c r="AN278" s="98"/>
      <c r="AO278" s="98"/>
    </row>
    <row r="279" ht="14.25" customHeight="1">
      <c r="A279" s="98"/>
      <c r="B279" s="98"/>
      <c r="C279" s="98"/>
      <c r="D279" s="308"/>
      <c r="E279" s="98"/>
      <c r="F279" s="235"/>
      <c r="G279" s="235"/>
      <c r="H279" s="236"/>
      <c r="I279" s="236"/>
      <c r="J279" s="236"/>
      <c r="K279" s="236"/>
      <c r="L279" s="236"/>
      <c r="M279" s="236"/>
      <c r="N279" s="236"/>
      <c r="O279" s="236"/>
      <c r="P279" s="236"/>
      <c r="Q279" s="236"/>
      <c r="R279" s="236"/>
      <c r="S279" s="236"/>
      <c r="T279" s="236"/>
      <c r="U279" s="236"/>
      <c r="V279" s="236"/>
      <c r="W279" s="237"/>
      <c r="X279" s="237"/>
      <c r="Y279" s="237"/>
      <c r="Z279" s="237"/>
      <c r="AA279" s="237"/>
      <c r="AB279" s="237"/>
      <c r="AC279" s="237"/>
      <c r="AD279" s="237"/>
      <c r="AE279" s="237"/>
      <c r="AF279" s="237"/>
      <c r="AG279" s="237"/>
      <c r="AH279" s="237"/>
      <c r="AI279" s="308"/>
      <c r="AJ279" s="308"/>
      <c r="AK279" s="308"/>
      <c r="AL279" s="308"/>
      <c r="AM279" s="98"/>
      <c r="AN279" s="98"/>
      <c r="AO279" s="98"/>
    </row>
    <row r="280" ht="14.25" customHeight="1">
      <c r="A280" s="98"/>
      <c r="B280" s="98"/>
      <c r="C280" s="98"/>
      <c r="D280" s="308"/>
      <c r="E280" s="98"/>
      <c r="F280" s="235"/>
      <c r="G280" s="235"/>
      <c r="H280" s="236"/>
      <c r="I280" s="236"/>
      <c r="J280" s="236"/>
      <c r="K280" s="236"/>
      <c r="L280" s="236"/>
      <c r="M280" s="236"/>
      <c r="N280" s="236"/>
      <c r="O280" s="236"/>
      <c r="P280" s="236"/>
      <c r="Q280" s="236"/>
      <c r="R280" s="236"/>
      <c r="S280" s="236"/>
      <c r="T280" s="236"/>
      <c r="U280" s="236"/>
      <c r="V280" s="236"/>
      <c r="W280" s="237"/>
      <c r="X280" s="237"/>
      <c r="Y280" s="237"/>
      <c r="Z280" s="237"/>
      <c r="AA280" s="237"/>
      <c r="AB280" s="237"/>
      <c r="AC280" s="237"/>
      <c r="AD280" s="237"/>
      <c r="AE280" s="237"/>
      <c r="AF280" s="237"/>
      <c r="AG280" s="237"/>
      <c r="AH280" s="237"/>
      <c r="AI280" s="308"/>
      <c r="AJ280" s="308"/>
      <c r="AK280" s="308"/>
      <c r="AL280" s="308"/>
      <c r="AM280" s="98"/>
      <c r="AN280" s="98"/>
      <c r="AO280" s="98"/>
    </row>
    <row r="281" ht="14.25" customHeight="1">
      <c r="A281" s="98"/>
      <c r="B281" s="98"/>
      <c r="C281" s="98"/>
      <c r="D281" s="308"/>
      <c r="E281" s="98"/>
      <c r="F281" s="235"/>
      <c r="G281" s="235"/>
      <c r="H281" s="236"/>
      <c r="I281" s="236"/>
      <c r="J281" s="236"/>
      <c r="K281" s="236"/>
      <c r="L281" s="236"/>
      <c r="M281" s="236"/>
      <c r="N281" s="236"/>
      <c r="O281" s="236"/>
      <c r="P281" s="236"/>
      <c r="Q281" s="236"/>
      <c r="R281" s="236"/>
      <c r="S281" s="236"/>
      <c r="T281" s="236"/>
      <c r="U281" s="236"/>
      <c r="V281" s="236"/>
      <c r="W281" s="237"/>
      <c r="X281" s="237"/>
      <c r="Y281" s="237"/>
      <c r="Z281" s="237"/>
      <c r="AA281" s="237"/>
      <c r="AB281" s="237"/>
      <c r="AC281" s="237"/>
      <c r="AD281" s="237"/>
      <c r="AE281" s="237"/>
      <c r="AF281" s="237"/>
      <c r="AG281" s="237"/>
      <c r="AH281" s="237"/>
      <c r="AI281" s="308"/>
      <c r="AJ281" s="308"/>
      <c r="AK281" s="308"/>
      <c r="AL281" s="308"/>
      <c r="AM281" s="98"/>
      <c r="AN281" s="98"/>
      <c r="AO281" s="98"/>
    </row>
    <row r="282" ht="14.25" customHeight="1">
      <c r="A282" s="98"/>
      <c r="B282" s="98"/>
      <c r="C282" s="98"/>
      <c r="D282" s="308"/>
      <c r="E282" s="98"/>
      <c r="F282" s="235"/>
      <c r="G282" s="235"/>
      <c r="H282" s="236"/>
      <c r="I282" s="236"/>
      <c r="J282" s="236"/>
      <c r="K282" s="236"/>
      <c r="L282" s="236"/>
      <c r="M282" s="236"/>
      <c r="N282" s="236"/>
      <c r="O282" s="236"/>
      <c r="P282" s="236"/>
      <c r="Q282" s="236"/>
      <c r="R282" s="236"/>
      <c r="S282" s="236"/>
      <c r="T282" s="236"/>
      <c r="U282" s="236"/>
      <c r="V282" s="236"/>
      <c r="W282" s="237"/>
      <c r="X282" s="237"/>
      <c r="Y282" s="237"/>
      <c r="Z282" s="237"/>
      <c r="AA282" s="237"/>
      <c r="AB282" s="237"/>
      <c r="AC282" s="237"/>
      <c r="AD282" s="237"/>
      <c r="AE282" s="237"/>
      <c r="AF282" s="237"/>
      <c r="AG282" s="237"/>
      <c r="AH282" s="237"/>
      <c r="AI282" s="308"/>
      <c r="AJ282" s="308"/>
      <c r="AK282" s="308"/>
      <c r="AL282" s="308"/>
      <c r="AM282" s="98"/>
      <c r="AN282" s="98"/>
      <c r="AO282" s="98"/>
    </row>
    <row r="283" ht="14.25" customHeight="1">
      <c r="A283" s="98"/>
      <c r="B283" s="98"/>
      <c r="C283" s="98"/>
      <c r="D283" s="308"/>
      <c r="E283" s="98"/>
      <c r="F283" s="235"/>
      <c r="G283" s="235"/>
      <c r="H283" s="236"/>
      <c r="I283" s="236"/>
      <c r="J283" s="236"/>
      <c r="K283" s="236"/>
      <c r="L283" s="236"/>
      <c r="M283" s="236"/>
      <c r="N283" s="236"/>
      <c r="O283" s="236"/>
      <c r="P283" s="236"/>
      <c r="Q283" s="236"/>
      <c r="R283" s="236"/>
      <c r="S283" s="236"/>
      <c r="T283" s="236"/>
      <c r="U283" s="236"/>
      <c r="V283" s="236"/>
      <c r="W283" s="237"/>
      <c r="X283" s="237"/>
      <c r="Y283" s="237"/>
      <c r="Z283" s="237"/>
      <c r="AA283" s="237"/>
      <c r="AB283" s="237"/>
      <c r="AC283" s="237"/>
      <c r="AD283" s="237"/>
      <c r="AE283" s="237"/>
      <c r="AF283" s="237"/>
      <c r="AG283" s="237"/>
      <c r="AH283" s="237"/>
      <c r="AI283" s="308"/>
      <c r="AJ283" s="308"/>
      <c r="AK283" s="308"/>
      <c r="AL283" s="308"/>
      <c r="AM283" s="98"/>
      <c r="AN283" s="98"/>
      <c r="AO283" s="98"/>
    </row>
    <row r="284" ht="14.25" customHeight="1">
      <c r="A284" s="98"/>
      <c r="B284" s="98"/>
      <c r="C284" s="98"/>
      <c r="D284" s="308"/>
      <c r="E284" s="98"/>
      <c r="F284" s="235"/>
      <c r="G284" s="235"/>
      <c r="H284" s="236"/>
      <c r="I284" s="236"/>
      <c r="J284" s="236"/>
      <c r="K284" s="236"/>
      <c r="L284" s="236"/>
      <c r="M284" s="236"/>
      <c r="N284" s="236"/>
      <c r="O284" s="236"/>
      <c r="P284" s="236"/>
      <c r="Q284" s="236"/>
      <c r="R284" s="236"/>
      <c r="S284" s="236"/>
      <c r="T284" s="236"/>
      <c r="U284" s="236"/>
      <c r="V284" s="236"/>
      <c r="W284" s="237"/>
      <c r="X284" s="237"/>
      <c r="Y284" s="237"/>
      <c r="Z284" s="237"/>
      <c r="AA284" s="237"/>
      <c r="AB284" s="237"/>
      <c r="AC284" s="237"/>
      <c r="AD284" s="237"/>
      <c r="AE284" s="237"/>
      <c r="AF284" s="237"/>
      <c r="AG284" s="237"/>
      <c r="AH284" s="237"/>
      <c r="AI284" s="308"/>
      <c r="AJ284" s="308"/>
      <c r="AK284" s="308"/>
      <c r="AL284" s="308"/>
      <c r="AM284" s="98"/>
      <c r="AN284" s="98"/>
      <c r="AO284" s="98"/>
    </row>
    <row r="285" ht="14.25" customHeight="1">
      <c r="A285" s="98"/>
      <c r="B285" s="98"/>
      <c r="C285" s="98"/>
      <c r="D285" s="308"/>
      <c r="E285" s="98"/>
      <c r="F285" s="235"/>
      <c r="G285" s="235"/>
      <c r="H285" s="236"/>
      <c r="I285" s="236"/>
      <c r="J285" s="236"/>
      <c r="K285" s="236"/>
      <c r="L285" s="236"/>
      <c r="M285" s="236"/>
      <c r="N285" s="236"/>
      <c r="O285" s="236"/>
      <c r="P285" s="236"/>
      <c r="Q285" s="236"/>
      <c r="R285" s="236"/>
      <c r="S285" s="236"/>
      <c r="T285" s="236"/>
      <c r="U285" s="236"/>
      <c r="V285" s="236"/>
      <c r="W285" s="237"/>
      <c r="X285" s="237"/>
      <c r="Y285" s="237"/>
      <c r="Z285" s="237"/>
      <c r="AA285" s="237"/>
      <c r="AB285" s="237"/>
      <c r="AC285" s="237"/>
      <c r="AD285" s="237"/>
      <c r="AE285" s="237"/>
      <c r="AF285" s="237"/>
      <c r="AG285" s="237"/>
      <c r="AH285" s="237"/>
      <c r="AI285" s="308"/>
      <c r="AJ285" s="308"/>
      <c r="AK285" s="308"/>
      <c r="AL285" s="308"/>
      <c r="AM285" s="98"/>
      <c r="AN285" s="98"/>
      <c r="AO285" s="98"/>
    </row>
    <row r="286" ht="14.25" customHeight="1">
      <c r="A286" s="98"/>
      <c r="B286" s="98"/>
      <c r="C286" s="98"/>
      <c r="D286" s="308"/>
      <c r="E286" s="98"/>
      <c r="F286" s="235"/>
      <c r="G286" s="235"/>
      <c r="H286" s="236"/>
      <c r="I286" s="236"/>
      <c r="J286" s="236"/>
      <c r="K286" s="236"/>
      <c r="L286" s="236"/>
      <c r="M286" s="236"/>
      <c r="N286" s="236"/>
      <c r="O286" s="236"/>
      <c r="P286" s="236"/>
      <c r="Q286" s="236"/>
      <c r="R286" s="236"/>
      <c r="S286" s="236"/>
      <c r="T286" s="236"/>
      <c r="U286" s="236"/>
      <c r="V286" s="236"/>
      <c r="W286" s="237"/>
      <c r="X286" s="237"/>
      <c r="Y286" s="237"/>
      <c r="Z286" s="237"/>
      <c r="AA286" s="237"/>
      <c r="AB286" s="237"/>
      <c r="AC286" s="237"/>
      <c r="AD286" s="237"/>
      <c r="AE286" s="237"/>
      <c r="AF286" s="237"/>
      <c r="AG286" s="237"/>
      <c r="AH286" s="237"/>
      <c r="AI286" s="308"/>
      <c r="AJ286" s="308"/>
      <c r="AK286" s="308"/>
      <c r="AL286" s="308"/>
      <c r="AM286" s="98"/>
      <c r="AN286" s="98"/>
      <c r="AO286" s="98"/>
    </row>
    <row r="287" ht="14.25" customHeight="1">
      <c r="A287" s="98"/>
      <c r="B287" s="98"/>
      <c r="C287" s="98"/>
      <c r="D287" s="308"/>
      <c r="E287" s="98"/>
      <c r="F287" s="235"/>
      <c r="G287" s="235"/>
      <c r="H287" s="236"/>
      <c r="I287" s="236"/>
      <c r="J287" s="236"/>
      <c r="K287" s="236"/>
      <c r="L287" s="236"/>
      <c r="M287" s="236"/>
      <c r="N287" s="236"/>
      <c r="O287" s="236"/>
      <c r="P287" s="236"/>
      <c r="Q287" s="236"/>
      <c r="R287" s="236"/>
      <c r="S287" s="236"/>
      <c r="T287" s="236"/>
      <c r="U287" s="236"/>
      <c r="V287" s="236"/>
      <c r="W287" s="237"/>
      <c r="X287" s="237"/>
      <c r="Y287" s="237"/>
      <c r="Z287" s="237"/>
      <c r="AA287" s="237"/>
      <c r="AB287" s="237"/>
      <c r="AC287" s="237"/>
      <c r="AD287" s="237"/>
      <c r="AE287" s="237"/>
      <c r="AF287" s="237"/>
      <c r="AG287" s="237"/>
      <c r="AH287" s="237"/>
      <c r="AI287" s="308"/>
      <c r="AJ287" s="308"/>
      <c r="AK287" s="308"/>
      <c r="AL287" s="308"/>
      <c r="AM287" s="98"/>
      <c r="AN287" s="98"/>
      <c r="AO287" s="98"/>
    </row>
    <row r="288" ht="14.25" customHeight="1">
      <c r="A288" s="98"/>
      <c r="B288" s="98"/>
      <c r="C288" s="98"/>
      <c r="D288" s="308"/>
      <c r="E288" s="98"/>
      <c r="F288" s="235"/>
      <c r="G288" s="235"/>
      <c r="H288" s="236"/>
      <c r="I288" s="236"/>
      <c r="J288" s="236"/>
      <c r="K288" s="236"/>
      <c r="L288" s="236"/>
      <c r="M288" s="236"/>
      <c r="N288" s="236"/>
      <c r="O288" s="236"/>
      <c r="P288" s="236"/>
      <c r="Q288" s="236"/>
      <c r="R288" s="236"/>
      <c r="S288" s="236"/>
      <c r="T288" s="236"/>
      <c r="U288" s="236"/>
      <c r="V288" s="236"/>
      <c r="W288" s="237"/>
      <c r="X288" s="237"/>
      <c r="Y288" s="237"/>
      <c r="Z288" s="237"/>
      <c r="AA288" s="237"/>
      <c r="AB288" s="237"/>
      <c r="AC288" s="237"/>
      <c r="AD288" s="237"/>
      <c r="AE288" s="237"/>
      <c r="AF288" s="237"/>
      <c r="AG288" s="237"/>
      <c r="AH288" s="237"/>
      <c r="AI288" s="308"/>
      <c r="AJ288" s="308"/>
      <c r="AK288" s="308"/>
      <c r="AL288" s="308"/>
      <c r="AM288" s="98"/>
      <c r="AN288" s="98"/>
      <c r="AO288" s="98"/>
    </row>
    <row r="289" ht="14.25" customHeight="1">
      <c r="A289" s="98"/>
      <c r="B289" s="98"/>
      <c r="C289" s="98"/>
      <c r="D289" s="308"/>
      <c r="E289" s="98"/>
      <c r="F289" s="235"/>
      <c r="G289" s="235"/>
      <c r="H289" s="236"/>
      <c r="I289" s="236"/>
      <c r="J289" s="236"/>
      <c r="K289" s="236"/>
      <c r="L289" s="236"/>
      <c r="M289" s="236"/>
      <c r="N289" s="236"/>
      <c r="O289" s="236"/>
      <c r="P289" s="236"/>
      <c r="Q289" s="236"/>
      <c r="R289" s="236"/>
      <c r="S289" s="236"/>
      <c r="T289" s="236"/>
      <c r="U289" s="236"/>
      <c r="V289" s="236"/>
      <c r="W289" s="237"/>
      <c r="X289" s="237"/>
      <c r="Y289" s="237"/>
      <c r="Z289" s="237"/>
      <c r="AA289" s="237"/>
      <c r="AB289" s="237"/>
      <c r="AC289" s="237"/>
      <c r="AD289" s="237"/>
      <c r="AE289" s="237"/>
      <c r="AF289" s="237"/>
      <c r="AG289" s="237"/>
      <c r="AH289" s="237"/>
      <c r="AI289" s="308"/>
      <c r="AJ289" s="308"/>
      <c r="AK289" s="308"/>
      <c r="AL289" s="308"/>
      <c r="AM289" s="98"/>
      <c r="AN289" s="98"/>
      <c r="AO289" s="98"/>
    </row>
    <row r="290" ht="14.25" customHeight="1">
      <c r="A290" s="98"/>
      <c r="B290" s="98"/>
      <c r="C290" s="98"/>
      <c r="D290" s="308"/>
      <c r="E290" s="98"/>
      <c r="F290" s="235"/>
      <c r="G290" s="235"/>
      <c r="H290" s="236"/>
      <c r="I290" s="236"/>
      <c r="J290" s="236"/>
      <c r="K290" s="236"/>
      <c r="L290" s="236"/>
      <c r="M290" s="236"/>
      <c r="N290" s="236"/>
      <c r="O290" s="236"/>
      <c r="P290" s="236"/>
      <c r="Q290" s="236"/>
      <c r="R290" s="236"/>
      <c r="S290" s="236"/>
      <c r="T290" s="236"/>
      <c r="U290" s="236"/>
      <c r="V290" s="236"/>
      <c r="W290" s="237"/>
      <c r="X290" s="237"/>
      <c r="Y290" s="237"/>
      <c r="Z290" s="237"/>
      <c r="AA290" s="237"/>
      <c r="AB290" s="237"/>
      <c r="AC290" s="237"/>
      <c r="AD290" s="237"/>
      <c r="AE290" s="237"/>
      <c r="AF290" s="237"/>
      <c r="AG290" s="237"/>
      <c r="AH290" s="237"/>
      <c r="AI290" s="308"/>
      <c r="AJ290" s="308"/>
      <c r="AK290" s="308"/>
      <c r="AL290" s="308"/>
      <c r="AM290" s="98"/>
      <c r="AN290" s="98"/>
      <c r="AO290" s="98"/>
    </row>
    <row r="291" ht="14.25" customHeight="1">
      <c r="A291" s="98"/>
      <c r="B291" s="98"/>
      <c r="C291" s="98"/>
      <c r="D291" s="308"/>
      <c r="E291" s="98"/>
      <c r="F291" s="235"/>
      <c r="G291" s="235"/>
      <c r="H291" s="236"/>
      <c r="I291" s="236"/>
      <c r="J291" s="236"/>
      <c r="K291" s="236"/>
      <c r="L291" s="236"/>
      <c r="M291" s="236"/>
      <c r="N291" s="236"/>
      <c r="O291" s="236"/>
      <c r="P291" s="236"/>
      <c r="Q291" s="236"/>
      <c r="R291" s="236"/>
      <c r="S291" s="236"/>
      <c r="T291" s="236"/>
      <c r="U291" s="236"/>
      <c r="V291" s="236"/>
      <c r="W291" s="237"/>
      <c r="X291" s="237"/>
      <c r="Y291" s="237"/>
      <c r="Z291" s="237"/>
      <c r="AA291" s="237"/>
      <c r="AB291" s="237"/>
      <c r="AC291" s="237"/>
      <c r="AD291" s="237"/>
      <c r="AE291" s="237"/>
      <c r="AF291" s="237"/>
      <c r="AG291" s="237"/>
      <c r="AH291" s="237"/>
      <c r="AI291" s="308"/>
      <c r="AJ291" s="308"/>
      <c r="AK291" s="308"/>
      <c r="AL291" s="308"/>
      <c r="AM291" s="98"/>
      <c r="AN291" s="98"/>
      <c r="AO291" s="98"/>
    </row>
    <row r="292" ht="14.25" customHeight="1">
      <c r="A292" s="98"/>
      <c r="B292" s="98"/>
      <c r="C292" s="98"/>
      <c r="D292" s="308"/>
      <c r="E292" s="98"/>
      <c r="F292" s="235"/>
      <c r="G292" s="235"/>
      <c r="H292" s="236"/>
      <c r="I292" s="236"/>
      <c r="J292" s="236"/>
      <c r="K292" s="236"/>
      <c r="L292" s="236"/>
      <c r="M292" s="236"/>
      <c r="N292" s="236"/>
      <c r="O292" s="236"/>
      <c r="P292" s="236"/>
      <c r="Q292" s="236"/>
      <c r="R292" s="236"/>
      <c r="S292" s="236"/>
      <c r="T292" s="236"/>
      <c r="U292" s="236"/>
      <c r="V292" s="236"/>
      <c r="W292" s="237"/>
      <c r="X292" s="237"/>
      <c r="Y292" s="237"/>
      <c r="Z292" s="237"/>
      <c r="AA292" s="237"/>
      <c r="AB292" s="237"/>
      <c r="AC292" s="237"/>
      <c r="AD292" s="237"/>
      <c r="AE292" s="237"/>
      <c r="AF292" s="237"/>
      <c r="AG292" s="237"/>
      <c r="AH292" s="237"/>
      <c r="AI292" s="308"/>
      <c r="AJ292" s="308"/>
      <c r="AK292" s="308"/>
      <c r="AL292" s="308"/>
      <c r="AM292" s="98"/>
      <c r="AN292" s="98"/>
      <c r="AO292" s="98"/>
    </row>
    <row r="293" ht="14.25" customHeight="1">
      <c r="A293" s="98"/>
      <c r="B293" s="98"/>
      <c r="C293" s="98"/>
      <c r="D293" s="308"/>
      <c r="E293" s="98"/>
      <c r="F293" s="235"/>
      <c r="G293" s="235"/>
      <c r="H293" s="236"/>
      <c r="I293" s="236"/>
      <c r="J293" s="236"/>
      <c r="K293" s="236"/>
      <c r="L293" s="236"/>
      <c r="M293" s="236"/>
      <c r="N293" s="236"/>
      <c r="O293" s="236"/>
      <c r="P293" s="236"/>
      <c r="Q293" s="236"/>
      <c r="R293" s="236"/>
      <c r="S293" s="236"/>
      <c r="T293" s="236"/>
      <c r="U293" s="236"/>
      <c r="V293" s="236"/>
      <c r="W293" s="237"/>
      <c r="X293" s="237"/>
      <c r="Y293" s="237"/>
      <c r="Z293" s="237"/>
      <c r="AA293" s="237"/>
      <c r="AB293" s="237"/>
      <c r="AC293" s="237"/>
      <c r="AD293" s="237"/>
      <c r="AE293" s="237"/>
      <c r="AF293" s="237"/>
      <c r="AG293" s="237"/>
      <c r="AH293" s="237"/>
      <c r="AI293" s="308"/>
      <c r="AJ293" s="308"/>
      <c r="AK293" s="308"/>
      <c r="AL293" s="308"/>
      <c r="AM293" s="98"/>
      <c r="AN293" s="98"/>
      <c r="AO293" s="98"/>
    </row>
    <row r="294" ht="14.25" customHeight="1">
      <c r="A294" s="98"/>
      <c r="B294" s="98"/>
      <c r="C294" s="98"/>
      <c r="D294" s="308"/>
      <c r="E294" s="98"/>
      <c r="F294" s="235"/>
      <c r="G294" s="235"/>
      <c r="H294" s="236"/>
      <c r="I294" s="236"/>
      <c r="J294" s="236"/>
      <c r="K294" s="236"/>
      <c r="L294" s="236"/>
      <c r="M294" s="236"/>
      <c r="N294" s="236"/>
      <c r="O294" s="236"/>
      <c r="P294" s="236"/>
      <c r="Q294" s="236"/>
      <c r="R294" s="236"/>
      <c r="S294" s="236"/>
      <c r="T294" s="236"/>
      <c r="U294" s="236"/>
      <c r="V294" s="236"/>
      <c r="W294" s="237"/>
      <c r="X294" s="237"/>
      <c r="Y294" s="237"/>
      <c r="Z294" s="237"/>
      <c r="AA294" s="237"/>
      <c r="AB294" s="237"/>
      <c r="AC294" s="237"/>
      <c r="AD294" s="237"/>
      <c r="AE294" s="237"/>
      <c r="AF294" s="237"/>
      <c r="AG294" s="237"/>
      <c r="AH294" s="237"/>
      <c r="AI294" s="308"/>
      <c r="AJ294" s="308"/>
      <c r="AK294" s="308"/>
      <c r="AL294" s="308"/>
      <c r="AM294" s="98"/>
      <c r="AN294" s="98"/>
      <c r="AO294" s="98"/>
    </row>
    <row r="295" ht="14.25" customHeight="1">
      <c r="A295" s="98"/>
      <c r="B295" s="98"/>
      <c r="C295" s="98"/>
      <c r="D295" s="308"/>
      <c r="E295" s="98"/>
      <c r="F295" s="235"/>
      <c r="G295" s="235"/>
      <c r="H295" s="236"/>
      <c r="I295" s="236"/>
      <c r="J295" s="236"/>
      <c r="K295" s="236"/>
      <c r="L295" s="236"/>
      <c r="M295" s="236"/>
      <c r="N295" s="236"/>
      <c r="O295" s="236"/>
      <c r="P295" s="236"/>
      <c r="Q295" s="236"/>
      <c r="R295" s="236"/>
      <c r="S295" s="236"/>
      <c r="T295" s="236"/>
      <c r="U295" s="236"/>
      <c r="V295" s="236"/>
      <c r="W295" s="237"/>
      <c r="X295" s="237"/>
      <c r="Y295" s="237"/>
      <c r="Z295" s="237"/>
      <c r="AA295" s="237"/>
      <c r="AB295" s="237"/>
      <c r="AC295" s="237"/>
      <c r="AD295" s="237"/>
      <c r="AE295" s="237"/>
      <c r="AF295" s="237"/>
      <c r="AG295" s="237"/>
      <c r="AH295" s="237"/>
      <c r="AI295" s="308"/>
      <c r="AJ295" s="308"/>
      <c r="AK295" s="308"/>
      <c r="AL295" s="308"/>
      <c r="AM295" s="98"/>
      <c r="AN295" s="98"/>
      <c r="AO295" s="98"/>
    </row>
    <row r="296" ht="14.25" customHeight="1">
      <c r="A296" s="98"/>
      <c r="B296" s="98"/>
      <c r="C296" s="98"/>
      <c r="D296" s="308"/>
      <c r="E296" s="98"/>
      <c r="F296" s="235"/>
      <c r="G296" s="235"/>
      <c r="H296" s="236"/>
      <c r="I296" s="236"/>
      <c r="J296" s="236"/>
      <c r="K296" s="236"/>
      <c r="L296" s="236"/>
      <c r="M296" s="236"/>
      <c r="N296" s="236"/>
      <c r="O296" s="236"/>
      <c r="P296" s="236"/>
      <c r="Q296" s="236"/>
      <c r="R296" s="236"/>
      <c r="S296" s="236"/>
      <c r="T296" s="236"/>
      <c r="U296" s="236"/>
      <c r="V296" s="236"/>
      <c r="W296" s="237"/>
      <c r="X296" s="237"/>
      <c r="Y296" s="237"/>
      <c r="Z296" s="237"/>
      <c r="AA296" s="237"/>
      <c r="AB296" s="237"/>
      <c r="AC296" s="237"/>
      <c r="AD296" s="237"/>
      <c r="AE296" s="237"/>
      <c r="AF296" s="237"/>
      <c r="AG296" s="237"/>
      <c r="AH296" s="237"/>
      <c r="AI296" s="308"/>
      <c r="AJ296" s="308"/>
      <c r="AK296" s="308"/>
      <c r="AL296" s="308"/>
      <c r="AM296" s="98"/>
      <c r="AN296" s="98"/>
      <c r="AO296" s="98"/>
    </row>
    <row r="297" ht="14.25" customHeight="1">
      <c r="A297" s="98"/>
      <c r="B297" s="98"/>
      <c r="C297" s="98"/>
      <c r="D297" s="308"/>
      <c r="E297" s="98"/>
      <c r="F297" s="235"/>
      <c r="G297" s="235"/>
      <c r="H297" s="236"/>
      <c r="I297" s="236"/>
      <c r="J297" s="236"/>
      <c r="K297" s="236"/>
      <c r="L297" s="236"/>
      <c r="M297" s="236"/>
      <c r="N297" s="236"/>
      <c r="O297" s="236"/>
      <c r="P297" s="236"/>
      <c r="Q297" s="236"/>
      <c r="R297" s="236"/>
      <c r="S297" s="236"/>
      <c r="T297" s="236"/>
      <c r="U297" s="236"/>
      <c r="V297" s="236"/>
      <c r="W297" s="237"/>
      <c r="X297" s="237"/>
      <c r="Y297" s="237"/>
      <c r="Z297" s="237"/>
      <c r="AA297" s="237"/>
      <c r="AB297" s="237"/>
      <c r="AC297" s="237"/>
      <c r="AD297" s="237"/>
      <c r="AE297" s="237"/>
      <c r="AF297" s="237"/>
      <c r="AG297" s="237"/>
      <c r="AH297" s="237"/>
      <c r="AI297" s="308"/>
      <c r="AJ297" s="308"/>
      <c r="AK297" s="308"/>
      <c r="AL297" s="308"/>
      <c r="AM297" s="98"/>
      <c r="AN297" s="98"/>
      <c r="AO297" s="98"/>
    </row>
    <row r="298" ht="14.25" customHeight="1">
      <c r="A298" s="98"/>
      <c r="B298" s="98"/>
      <c r="C298" s="98"/>
      <c r="D298" s="308"/>
      <c r="E298" s="98"/>
      <c r="F298" s="235"/>
      <c r="G298" s="235"/>
      <c r="H298" s="236"/>
      <c r="I298" s="236"/>
      <c r="J298" s="236"/>
      <c r="K298" s="236"/>
      <c r="L298" s="236"/>
      <c r="M298" s="236"/>
      <c r="N298" s="236"/>
      <c r="O298" s="236"/>
      <c r="P298" s="236"/>
      <c r="Q298" s="236"/>
      <c r="R298" s="236"/>
      <c r="S298" s="236"/>
      <c r="T298" s="236"/>
      <c r="U298" s="236"/>
      <c r="V298" s="236"/>
      <c r="W298" s="237"/>
      <c r="X298" s="237"/>
      <c r="Y298" s="237"/>
      <c r="Z298" s="237"/>
      <c r="AA298" s="237"/>
      <c r="AB298" s="237"/>
      <c r="AC298" s="237"/>
      <c r="AD298" s="237"/>
      <c r="AE298" s="237"/>
      <c r="AF298" s="237"/>
      <c r="AG298" s="237"/>
      <c r="AH298" s="237"/>
      <c r="AI298" s="308"/>
      <c r="AJ298" s="308"/>
      <c r="AK298" s="308"/>
      <c r="AL298" s="308"/>
      <c r="AM298" s="98"/>
      <c r="AN298" s="98"/>
      <c r="AO298" s="98"/>
    </row>
    <row r="299" ht="14.25" customHeight="1">
      <c r="A299" s="98"/>
      <c r="B299" s="98"/>
      <c r="C299" s="98"/>
      <c r="D299" s="308"/>
      <c r="E299" s="98"/>
      <c r="F299" s="235"/>
      <c r="G299" s="235"/>
      <c r="H299" s="236"/>
      <c r="I299" s="236"/>
      <c r="J299" s="236"/>
      <c r="K299" s="236"/>
      <c r="L299" s="236"/>
      <c r="M299" s="236"/>
      <c r="N299" s="236"/>
      <c r="O299" s="236"/>
      <c r="P299" s="236"/>
      <c r="Q299" s="236"/>
      <c r="R299" s="236"/>
      <c r="S299" s="236"/>
      <c r="T299" s="236"/>
      <c r="U299" s="236"/>
      <c r="V299" s="236"/>
      <c r="W299" s="237"/>
      <c r="X299" s="237"/>
      <c r="Y299" s="237"/>
      <c r="Z299" s="237"/>
      <c r="AA299" s="237"/>
      <c r="AB299" s="237"/>
      <c r="AC299" s="237"/>
      <c r="AD299" s="237"/>
      <c r="AE299" s="237"/>
      <c r="AF299" s="237"/>
      <c r="AG299" s="237"/>
      <c r="AH299" s="237"/>
      <c r="AI299" s="308"/>
      <c r="AJ299" s="308"/>
      <c r="AK299" s="308"/>
      <c r="AL299" s="308"/>
      <c r="AM299" s="98"/>
      <c r="AN299" s="98"/>
      <c r="AO299" s="98"/>
    </row>
    <row r="300" ht="14.25" customHeight="1">
      <c r="A300" s="98"/>
      <c r="B300" s="98"/>
      <c r="C300" s="98"/>
      <c r="D300" s="308"/>
      <c r="E300" s="98"/>
      <c r="F300" s="235"/>
      <c r="G300" s="235"/>
      <c r="H300" s="236"/>
      <c r="I300" s="236"/>
      <c r="J300" s="236"/>
      <c r="K300" s="236"/>
      <c r="L300" s="236"/>
      <c r="M300" s="236"/>
      <c r="N300" s="236"/>
      <c r="O300" s="236"/>
      <c r="P300" s="236"/>
      <c r="Q300" s="236"/>
      <c r="R300" s="236"/>
      <c r="S300" s="236"/>
      <c r="T300" s="236"/>
      <c r="U300" s="236"/>
      <c r="V300" s="236"/>
      <c r="W300" s="237"/>
      <c r="X300" s="237"/>
      <c r="Y300" s="237"/>
      <c r="Z300" s="237"/>
      <c r="AA300" s="237"/>
      <c r="AB300" s="237"/>
      <c r="AC300" s="237"/>
      <c r="AD300" s="237"/>
      <c r="AE300" s="237"/>
      <c r="AF300" s="237"/>
      <c r="AG300" s="237"/>
      <c r="AH300" s="237"/>
      <c r="AI300" s="308"/>
      <c r="AJ300" s="308"/>
      <c r="AK300" s="308"/>
      <c r="AL300" s="308"/>
      <c r="AM300" s="98"/>
      <c r="AN300" s="98"/>
      <c r="AO300" s="98"/>
    </row>
    <row r="301" ht="14.25" customHeight="1">
      <c r="A301" s="98"/>
      <c r="B301" s="98"/>
      <c r="C301" s="98"/>
      <c r="D301" s="308"/>
      <c r="E301" s="98"/>
      <c r="F301" s="235"/>
      <c r="G301" s="235"/>
      <c r="H301" s="236"/>
      <c r="I301" s="236"/>
      <c r="J301" s="236"/>
      <c r="K301" s="236"/>
      <c r="L301" s="236"/>
      <c r="M301" s="236"/>
      <c r="N301" s="236"/>
      <c r="O301" s="236"/>
      <c r="P301" s="236"/>
      <c r="Q301" s="236"/>
      <c r="R301" s="236"/>
      <c r="S301" s="236"/>
      <c r="T301" s="236"/>
      <c r="U301" s="236"/>
      <c r="V301" s="236"/>
      <c r="W301" s="237"/>
      <c r="X301" s="237"/>
      <c r="Y301" s="237"/>
      <c r="Z301" s="237"/>
      <c r="AA301" s="237"/>
      <c r="AB301" s="237"/>
      <c r="AC301" s="237"/>
      <c r="AD301" s="237"/>
      <c r="AE301" s="237"/>
      <c r="AF301" s="237"/>
      <c r="AG301" s="237"/>
      <c r="AH301" s="237"/>
      <c r="AI301" s="308"/>
      <c r="AJ301" s="308"/>
      <c r="AK301" s="308"/>
      <c r="AL301" s="308"/>
      <c r="AM301" s="98"/>
      <c r="AN301" s="98"/>
      <c r="AO301" s="98"/>
    </row>
    <row r="302" ht="14.25" customHeight="1">
      <c r="A302" s="98"/>
      <c r="B302" s="98"/>
      <c r="C302" s="98"/>
      <c r="D302" s="308"/>
      <c r="E302" s="98"/>
      <c r="F302" s="235"/>
      <c r="G302" s="235"/>
      <c r="H302" s="236"/>
      <c r="I302" s="236"/>
      <c r="J302" s="236"/>
      <c r="K302" s="236"/>
      <c r="L302" s="236"/>
      <c r="M302" s="236"/>
      <c r="N302" s="236"/>
      <c r="O302" s="236"/>
      <c r="P302" s="236"/>
      <c r="Q302" s="236"/>
      <c r="R302" s="236"/>
      <c r="S302" s="236"/>
      <c r="T302" s="236"/>
      <c r="U302" s="236"/>
      <c r="V302" s="236"/>
      <c r="W302" s="237"/>
      <c r="X302" s="237"/>
      <c r="Y302" s="237"/>
      <c r="Z302" s="237"/>
      <c r="AA302" s="237"/>
      <c r="AB302" s="237"/>
      <c r="AC302" s="237"/>
      <c r="AD302" s="237"/>
      <c r="AE302" s="237"/>
      <c r="AF302" s="237"/>
      <c r="AG302" s="237"/>
      <c r="AH302" s="237"/>
      <c r="AI302" s="308"/>
      <c r="AJ302" s="308"/>
      <c r="AK302" s="308"/>
      <c r="AL302" s="308"/>
      <c r="AM302" s="98"/>
      <c r="AN302" s="98"/>
      <c r="AO302" s="98"/>
    </row>
    <row r="303" ht="14.25" customHeight="1">
      <c r="A303" s="98"/>
      <c r="B303" s="98"/>
      <c r="C303" s="98"/>
      <c r="D303" s="308"/>
      <c r="E303" s="98"/>
      <c r="F303" s="235"/>
      <c r="G303" s="235"/>
      <c r="H303" s="236"/>
      <c r="I303" s="236"/>
      <c r="J303" s="236"/>
      <c r="K303" s="236"/>
      <c r="L303" s="236"/>
      <c r="M303" s="236"/>
      <c r="N303" s="236"/>
      <c r="O303" s="236"/>
      <c r="P303" s="236"/>
      <c r="Q303" s="236"/>
      <c r="R303" s="236"/>
      <c r="S303" s="236"/>
      <c r="T303" s="236"/>
      <c r="U303" s="236"/>
      <c r="V303" s="236"/>
      <c r="W303" s="237"/>
      <c r="X303" s="237"/>
      <c r="Y303" s="237"/>
      <c r="Z303" s="237"/>
      <c r="AA303" s="237"/>
      <c r="AB303" s="237"/>
      <c r="AC303" s="237"/>
      <c r="AD303" s="237"/>
      <c r="AE303" s="237"/>
      <c r="AF303" s="237"/>
      <c r="AG303" s="237"/>
      <c r="AH303" s="237"/>
      <c r="AI303" s="308"/>
      <c r="AJ303" s="308"/>
      <c r="AK303" s="308"/>
      <c r="AL303" s="308"/>
      <c r="AM303" s="98"/>
      <c r="AN303" s="98"/>
      <c r="AO303" s="98"/>
    </row>
    <row r="304" ht="14.25" customHeight="1">
      <c r="A304" s="98"/>
      <c r="B304" s="98"/>
      <c r="C304" s="98"/>
      <c r="D304" s="308"/>
      <c r="E304" s="98"/>
      <c r="F304" s="235"/>
      <c r="G304" s="235"/>
      <c r="H304" s="236"/>
      <c r="I304" s="236"/>
      <c r="J304" s="236"/>
      <c r="K304" s="236"/>
      <c r="L304" s="236"/>
      <c r="M304" s="236"/>
      <c r="N304" s="236"/>
      <c r="O304" s="236"/>
      <c r="P304" s="236"/>
      <c r="Q304" s="236"/>
      <c r="R304" s="236"/>
      <c r="S304" s="236"/>
      <c r="T304" s="236"/>
      <c r="U304" s="236"/>
      <c r="V304" s="236"/>
      <c r="W304" s="237"/>
      <c r="X304" s="237"/>
      <c r="Y304" s="237"/>
      <c r="Z304" s="237"/>
      <c r="AA304" s="237"/>
      <c r="AB304" s="237"/>
      <c r="AC304" s="237"/>
      <c r="AD304" s="237"/>
      <c r="AE304" s="237"/>
      <c r="AF304" s="237"/>
      <c r="AG304" s="237"/>
      <c r="AH304" s="237"/>
      <c r="AI304" s="308"/>
      <c r="AJ304" s="308"/>
      <c r="AK304" s="308"/>
      <c r="AL304" s="308"/>
      <c r="AM304" s="98"/>
      <c r="AN304" s="98"/>
      <c r="AO304" s="98"/>
    </row>
    <row r="305" ht="14.25" customHeight="1">
      <c r="A305" s="98"/>
      <c r="B305" s="98"/>
      <c r="C305" s="98"/>
      <c r="D305" s="308"/>
      <c r="E305" s="98"/>
      <c r="F305" s="235"/>
      <c r="G305" s="235"/>
      <c r="H305" s="236"/>
      <c r="I305" s="236"/>
      <c r="J305" s="236"/>
      <c r="K305" s="236"/>
      <c r="L305" s="236"/>
      <c r="M305" s="236"/>
      <c r="N305" s="236"/>
      <c r="O305" s="236"/>
      <c r="P305" s="236"/>
      <c r="Q305" s="236"/>
      <c r="R305" s="236"/>
      <c r="S305" s="236"/>
      <c r="T305" s="236"/>
      <c r="U305" s="236"/>
      <c r="V305" s="236"/>
      <c r="W305" s="237"/>
      <c r="X305" s="237"/>
      <c r="Y305" s="237"/>
      <c r="Z305" s="237"/>
      <c r="AA305" s="237"/>
      <c r="AB305" s="237"/>
      <c r="AC305" s="237"/>
      <c r="AD305" s="237"/>
      <c r="AE305" s="237"/>
      <c r="AF305" s="237"/>
      <c r="AG305" s="237"/>
      <c r="AH305" s="237"/>
      <c r="AI305" s="308"/>
      <c r="AJ305" s="308"/>
      <c r="AK305" s="308"/>
      <c r="AL305" s="308"/>
      <c r="AM305" s="98"/>
      <c r="AN305" s="98"/>
      <c r="AO305" s="98"/>
    </row>
    <row r="306" ht="14.25" customHeight="1">
      <c r="A306" s="98"/>
      <c r="B306" s="98"/>
      <c r="C306" s="98"/>
      <c r="D306" s="308"/>
      <c r="E306" s="98"/>
      <c r="F306" s="235"/>
      <c r="G306" s="235"/>
      <c r="H306" s="236"/>
      <c r="I306" s="236"/>
      <c r="J306" s="236"/>
      <c r="K306" s="236"/>
      <c r="L306" s="236"/>
      <c r="M306" s="236"/>
      <c r="N306" s="236"/>
      <c r="O306" s="236"/>
      <c r="P306" s="236"/>
      <c r="Q306" s="236"/>
      <c r="R306" s="236"/>
      <c r="S306" s="236"/>
      <c r="T306" s="236"/>
      <c r="U306" s="236"/>
      <c r="V306" s="236"/>
      <c r="W306" s="237"/>
      <c r="X306" s="237"/>
      <c r="Y306" s="237"/>
      <c r="Z306" s="237"/>
      <c r="AA306" s="237"/>
      <c r="AB306" s="237"/>
      <c r="AC306" s="237"/>
      <c r="AD306" s="237"/>
      <c r="AE306" s="237"/>
      <c r="AF306" s="237"/>
      <c r="AG306" s="237"/>
      <c r="AH306" s="237"/>
      <c r="AI306" s="308"/>
      <c r="AJ306" s="308"/>
      <c r="AK306" s="308"/>
      <c r="AL306" s="308"/>
      <c r="AM306" s="98"/>
      <c r="AN306" s="98"/>
      <c r="AO306" s="98"/>
    </row>
    <row r="307" ht="14.25" customHeight="1">
      <c r="A307" s="98"/>
      <c r="B307" s="98"/>
      <c r="C307" s="98"/>
      <c r="D307" s="308"/>
      <c r="E307" s="98"/>
      <c r="F307" s="235"/>
      <c r="G307" s="235"/>
      <c r="H307" s="236"/>
      <c r="I307" s="236"/>
      <c r="J307" s="236"/>
      <c r="K307" s="236"/>
      <c r="L307" s="236"/>
      <c r="M307" s="236"/>
      <c r="N307" s="236"/>
      <c r="O307" s="236"/>
      <c r="P307" s="236"/>
      <c r="Q307" s="236"/>
      <c r="R307" s="236"/>
      <c r="S307" s="236"/>
      <c r="T307" s="236"/>
      <c r="U307" s="236"/>
      <c r="V307" s="236"/>
      <c r="W307" s="237"/>
      <c r="X307" s="237"/>
      <c r="Y307" s="237"/>
      <c r="Z307" s="237"/>
      <c r="AA307" s="237"/>
      <c r="AB307" s="237"/>
      <c r="AC307" s="237"/>
      <c r="AD307" s="237"/>
      <c r="AE307" s="237"/>
      <c r="AF307" s="237"/>
      <c r="AG307" s="237"/>
      <c r="AH307" s="237"/>
      <c r="AI307" s="308"/>
      <c r="AJ307" s="308"/>
      <c r="AK307" s="308"/>
      <c r="AL307" s="308"/>
      <c r="AM307" s="98"/>
      <c r="AN307" s="98"/>
      <c r="AO307" s="98"/>
    </row>
    <row r="308" ht="14.25" customHeight="1">
      <c r="A308" s="98"/>
      <c r="B308" s="98"/>
      <c r="C308" s="98"/>
      <c r="D308" s="308"/>
      <c r="E308" s="98"/>
      <c r="F308" s="235"/>
      <c r="G308" s="235"/>
      <c r="H308" s="236"/>
      <c r="I308" s="236"/>
      <c r="J308" s="236"/>
      <c r="K308" s="236"/>
      <c r="L308" s="236"/>
      <c r="M308" s="236"/>
      <c r="N308" s="236"/>
      <c r="O308" s="236"/>
      <c r="P308" s="236"/>
      <c r="Q308" s="236"/>
      <c r="R308" s="236"/>
      <c r="S308" s="236"/>
      <c r="T308" s="236"/>
      <c r="U308" s="236"/>
      <c r="V308" s="236"/>
      <c r="W308" s="237"/>
      <c r="X308" s="237"/>
      <c r="Y308" s="237"/>
      <c r="Z308" s="237"/>
      <c r="AA308" s="237"/>
      <c r="AB308" s="237"/>
      <c r="AC308" s="237"/>
      <c r="AD308" s="237"/>
      <c r="AE308" s="237"/>
      <c r="AF308" s="237"/>
      <c r="AG308" s="237"/>
      <c r="AH308" s="237"/>
      <c r="AI308" s="308"/>
      <c r="AJ308" s="308"/>
      <c r="AK308" s="308"/>
      <c r="AL308" s="308"/>
      <c r="AM308" s="98"/>
      <c r="AN308" s="98"/>
      <c r="AO308" s="98"/>
    </row>
    <row r="309" ht="14.25" customHeight="1">
      <c r="A309" s="98"/>
      <c r="B309" s="98"/>
      <c r="C309" s="98"/>
      <c r="D309" s="308"/>
      <c r="E309" s="98"/>
      <c r="F309" s="235"/>
      <c r="G309" s="235"/>
      <c r="H309" s="236"/>
      <c r="I309" s="236"/>
      <c r="J309" s="236"/>
      <c r="K309" s="236"/>
      <c r="L309" s="236"/>
      <c r="M309" s="236"/>
      <c r="N309" s="236"/>
      <c r="O309" s="236"/>
      <c r="P309" s="236"/>
      <c r="Q309" s="236"/>
      <c r="R309" s="236"/>
      <c r="S309" s="236"/>
      <c r="T309" s="236"/>
      <c r="U309" s="236"/>
      <c r="V309" s="236"/>
      <c r="W309" s="237"/>
      <c r="X309" s="237"/>
      <c r="Y309" s="237"/>
      <c r="Z309" s="237"/>
      <c r="AA309" s="237"/>
      <c r="AB309" s="237"/>
      <c r="AC309" s="237"/>
      <c r="AD309" s="237"/>
      <c r="AE309" s="237"/>
      <c r="AF309" s="237"/>
      <c r="AG309" s="237"/>
      <c r="AH309" s="237"/>
      <c r="AI309" s="308"/>
      <c r="AJ309" s="308"/>
      <c r="AK309" s="308"/>
      <c r="AL309" s="308"/>
      <c r="AM309" s="98"/>
      <c r="AN309" s="98"/>
      <c r="AO309" s="98"/>
    </row>
    <row r="310" ht="14.25" customHeight="1">
      <c r="A310" s="98"/>
      <c r="B310" s="98"/>
      <c r="C310" s="98"/>
      <c r="D310" s="308"/>
      <c r="E310" s="98"/>
      <c r="F310" s="235"/>
      <c r="G310" s="235"/>
      <c r="H310" s="236"/>
      <c r="I310" s="236"/>
      <c r="J310" s="236"/>
      <c r="K310" s="236"/>
      <c r="L310" s="236"/>
      <c r="M310" s="236"/>
      <c r="N310" s="236"/>
      <c r="O310" s="236"/>
      <c r="P310" s="236"/>
      <c r="Q310" s="236"/>
      <c r="R310" s="236"/>
      <c r="S310" s="236"/>
      <c r="T310" s="236"/>
      <c r="U310" s="236"/>
      <c r="V310" s="236"/>
      <c r="W310" s="237"/>
      <c r="X310" s="237"/>
      <c r="Y310" s="237"/>
      <c r="Z310" s="237"/>
      <c r="AA310" s="237"/>
      <c r="AB310" s="237"/>
      <c r="AC310" s="237"/>
      <c r="AD310" s="237"/>
      <c r="AE310" s="237"/>
      <c r="AF310" s="237"/>
      <c r="AG310" s="237"/>
      <c r="AH310" s="237"/>
      <c r="AI310" s="308"/>
      <c r="AJ310" s="308"/>
      <c r="AK310" s="308"/>
      <c r="AL310" s="308"/>
      <c r="AM310" s="98"/>
      <c r="AN310" s="98"/>
      <c r="AO310" s="98"/>
    </row>
    <row r="311" ht="14.25" customHeight="1">
      <c r="A311" s="98"/>
      <c r="B311" s="98"/>
      <c r="C311" s="98"/>
      <c r="D311" s="308"/>
      <c r="E311" s="98"/>
      <c r="F311" s="235"/>
      <c r="G311" s="235"/>
      <c r="H311" s="236"/>
      <c r="I311" s="236"/>
      <c r="J311" s="236"/>
      <c r="K311" s="236"/>
      <c r="L311" s="236"/>
      <c r="M311" s="236"/>
      <c r="N311" s="236"/>
      <c r="O311" s="236"/>
      <c r="P311" s="236"/>
      <c r="Q311" s="236"/>
      <c r="R311" s="236"/>
      <c r="S311" s="236"/>
      <c r="T311" s="236"/>
      <c r="U311" s="236"/>
      <c r="V311" s="236"/>
      <c r="W311" s="237"/>
      <c r="X311" s="237"/>
      <c r="Y311" s="237"/>
      <c r="Z311" s="237"/>
      <c r="AA311" s="237"/>
      <c r="AB311" s="237"/>
      <c r="AC311" s="237"/>
      <c r="AD311" s="237"/>
      <c r="AE311" s="237"/>
      <c r="AF311" s="237"/>
      <c r="AG311" s="237"/>
      <c r="AH311" s="237"/>
      <c r="AI311" s="308"/>
      <c r="AJ311" s="308"/>
      <c r="AK311" s="308"/>
      <c r="AL311" s="308"/>
      <c r="AM311" s="98"/>
      <c r="AN311" s="98"/>
      <c r="AO311" s="98"/>
    </row>
    <row r="312" ht="14.25" customHeight="1">
      <c r="A312" s="98"/>
      <c r="B312" s="98"/>
      <c r="C312" s="98"/>
      <c r="D312" s="308"/>
      <c r="E312" s="98"/>
      <c r="F312" s="235"/>
      <c r="G312" s="235"/>
      <c r="H312" s="236"/>
      <c r="I312" s="236"/>
      <c r="J312" s="236"/>
      <c r="K312" s="236"/>
      <c r="L312" s="236"/>
      <c r="M312" s="236"/>
      <c r="N312" s="236"/>
      <c r="O312" s="236"/>
      <c r="P312" s="236"/>
      <c r="Q312" s="236"/>
      <c r="R312" s="236"/>
      <c r="S312" s="236"/>
      <c r="T312" s="236"/>
      <c r="U312" s="236"/>
      <c r="V312" s="236"/>
      <c r="W312" s="237"/>
      <c r="X312" s="237"/>
      <c r="Y312" s="237"/>
      <c r="Z312" s="237"/>
      <c r="AA312" s="237"/>
      <c r="AB312" s="237"/>
      <c r="AC312" s="237"/>
      <c r="AD312" s="237"/>
      <c r="AE312" s="237"/>
      <c r="AF312" s="237"/>
      <c r="AG312" s="237"/>
      <c r="AH312" s="237"/>
      <c r="AI312" s="308"/>
      <c r="AJ312" s="308"/>
      <c r="AK312" s="308"/>
      <c r="AL312" s="308"/>
      <c r="AM312" s="98"/>
      <c r="AN312" s="98"/>
      <c r="AO312" s="98"/>
    </row>
    <row r="313" ht="14.25" customHeight="1">
      <c r="A313" s="98"/>
      <c r="B313" s="98"/>
      <c r="C313" s="98"/>
      <c r="D313" s="308"/>
      <c r="E313" s="98"/>
      <c r="F313" s="235"/>
      <c r="G313" s="235"/>
      <c r="H313" s="236"/>
      <c r="I313" s="236"/>
      <c r="J313" s="236"/>
      <c r="K313" s="236"/>
      <c r="L313" s="236"/>
      <c r="M313" s="236"/>
      <c r="N313" s="236"/>
      <c r="O313" s="236"/>
      <c r="P313" s="236"/>
      <c r="Q313" s="236"/>
      <c r="R313" s="236"/>
      <c r="S313" s="236"/>
      <c r="T313" s="236"/>
      <c r="U313" s="236"/>
      <c r="V313" s="236"/>
      <c r="W313" s="237"/>
      <c r="X313" s="237"/>
      <c r="Y313" s="237"/>
      <c r="Z313" s="237"/>
      <c r="AA313" s="237"/>
      <c r="AB313" s="237"/>
      <c r="AC313" s="237"/>
      <c r="AD313" s="237"/>
      <c r="AE313" s="237"/>
      <c r="AF313" s="237"/>
      <c r="AG313" s="237"/>
      <c r="AH313" s="237"/>
      <c r="AI313" s="308"/>
      <c r="AJ313" s="308"/>
      <c r="AK313" s="308"/>
      <c r="AL313" s="308"/>
      <c r="AM313" s="98"/>
      <c r="AN313" s="98"/>
      <c r="AO313" s="98"/>
    </row>
    <row r="314" ht="14.25" customHeight="1">
      <c r="A314" s="98"/>
      <c r="B314" s="98"/>
      <c r="C314" s="98"/>
      <c r="D314" s="308"/>
      <c r="E314" s="98"/>
      <c r="F314" s="235"/>
      <c r="G314" s="235"/>
      <c r="H314" s="236"/>
      <c r="I314" s="236"/>
      <c r="J314" s="236"/>
      <c r="K314" s="236"/>
      <c r="L314" s="236"/>
      <c r="M314" s="236"/>
      <c r="N314" s="236"/>
      <c r="O314" s="236"/>
      <c r="P314" s="236"/>
      <c r="Q314" s="236"/>
      <c r="R314" s="236"/>
      <c r="S314" s="236"/>
      <c r="T314" s="236"/>
      <c r="U314" s="236"/>
      <c r="V314" s="236"/>
      <c r="W314" s="237"/>
      <c r="X314" s="237"/>
      <c r="Y314" s="237"/>
      <c r="Z314" s="237"/>
      <c r="AA314" s="237"/>
      <c r="AB314" s="237"/>
      <c r="AC314" s="237"/>
      <c r="AD314" s="237"/>
      <c r="AE314" s="237"/>
      <c r="AF314" s="237"/>
      <c r="AG314" s="237"/>
      <c r="AH314" s="237"/>
      <c r="AI314" s="308"/>
      <c r="AJ314" s="308"/>
      <c r="AK314" s="308"/>
      <c r="AL314" s="308"/>
      <c r="AM314" s="98"/>
      <c r="AN314" s="98"/>
      <c r="AO314" s="98"/>
    </row>
    <row r="315" ht="14.25" customHeight="1">
      <c r="A315" s="98"/>
      <c r="B315" s="98"/>
      <c r="C315" s="98"/>
      <c r="D315" s="308"/>
      <c r="E315" s="98"/>
      <c r="F315" s="235"/>
      <c r="G315" s="235"/>
      <c r="H315" s="236"/>
      <c r="I315" s="236"/>
      <c r="J315" s="236"/>
      <c r="K315" s="236"/>
      <c r="L315" s="236"/>
      <c r="M315" s="236"/>
      <c r="N315" s="236"/>
      <c r="O315" s="236"/>
      <c r="P315" s="236"/>
      <c r="Q315" s="236"/>
      <c r="R315" s="236"/>
      <c r="S315" s="236"/>
      <c r="T315" s="236"/>
      <c r="U315" s="236"/>
      <c r="V315" s="236"/>
      <c r="W315" s="237"/>
      <c r="X315" s="237"/>
      <c r="Y315" s="237"/>
      <c r="Z315" s="237"/>
      <c r="AA315" s="237"/>
      <c r="AB315" s="237"/>
      <c r="AC315" s="237"/>
      <c r="AD315" s="237"/>
      <c r="AE315" s="237"/>
      <c r="AF315" s="237"/>
      <c r="AG315" s="237"/>
      <c r="AH315" s="237"/>
      <c r="AI315" s="308"/>
      <c r="AJ315" s="308"/>
      <c r="AK315" s="308"/>
      <c r="AL315" s="308"/>
      <c r="AM315" s="98"/>
      <c r="AN315" s="98"/>
      <c r="AO315" s="98"/>
    </row>
    <row r="316" ht="14.25" customHeight="1">
      <c r="A316" s="98"/>
      <c r="B316" s="98"/>
      <c r="C316" s="98"/>
      <c r="D316" s="308"/>
      <c r="E316" s="98"/>
      <c r="F316" s="235"/>
      <c r="G316" s="235"/>
      <c r="H316" s="236"/>
      <c r="I316" s="236"/>
      <c r="J316" s="236"/>
      <c r="K316" s="236"/>
      <c r="L316" s="236"/>
      <c r="M316" s="236"/>
      <c r="N316" s="236"/>
      <c r="O316" s="236"/>
      <c r="P316" s="236"/>
      <c r="Q316" s="236"/>
      <c r="R316" s="236"/>
      <c r="S316" s="236"/>
      <c r="T316" s="236"/>
      <c r="U316" s="236"/>
      <c r="V316" s="236"/>
      <c r="W316" s="237"/>
      <c r="X316" s="237"/>
      <c r="Y316" s="237"/>
      <c r="Z316" s="237"/>
      <c r="AA316" s="237"/>
      <c r="AB316" s="237"/>
      <c r="AC316" s="237"/>
      <c r="AD316" s="237"/>
      <c r="AE316" s="237"/>
      <c r="AF316" s="237"/>
      <c r="AG316" s="237"/>
      <c r="AH316" s="237"/>
      <c r="AI316" s="308"/>
      <c r="AJ316" s="308"/>
      <c r="AK316" s="308"/>
      <c r="AL316" s="308"/>
      <c r="AM316" s="98"/>
      <c r="AN316" s="98"/>
      <c r="AO316" s="98"/>
    </row>
    <row r="317" ht="14.25" customHeight="1">
      <c r="A317" s="98"/>
      <c r="B317" s="98"/>
      <c r="C317" s="98"/>
      <c r="D317" s="308"/>
      <c r="E317" s="98"/>
      <c r="F317" s="235"/>
      <c r="G317" s="235"/>
      <c r="H317" s="236"/>
      <c r="I317" s="236"/>
      <c r="J317" s="236"/>
      <c r="K317" s="236"/>
      <c r="L317" s="236"/>
      <c r="M317" s="236"/>
      <c r="N317" s="236"/>
      <c r="O317" s="236"/>
      <c r="P317" s="236"/>
      <c r="Q317" s="236"/>
      <c r="R317" s="236"/>
      <c r="S317" s="236"/>
      <c r="T317" s="236"/>
      <c r="U317" s="236"/>
      <c r="V317" s="236"/>
      <c r="W317" s="237"/>
      <c r="X317" s="237"/>
      <c r="Y317" s="237"/>
      <c r="Z317" s="237"/>
      <c r="AA317" s="237"/>
      <c r="AB317" s="237"/>
      <c r="AC317" s="237"/>
      <c r="AD317" s="237"/>
      <c r="AE317" s="237"/>
      <c r="AF317" s="237"/>
      <c r="AG317" s="237"/>
      <c r="AH317" s="237"/>
      <c r="AI317" s="308"/>
      <c r="AJ317" s="308"/>
      <c r="AK317" s="308"/>
      <c r="AL317" s="308"/>
      <c r="AM317" s="98"/>
      <c r="AN317" s="98"/>
      <c r="AO317" s="98"/>
    </row>
    <row r="318" ht="14.25" customHeight="1">
      <c r="A318" s="98"/>
      <c r="B318" s="98"/>
      <c r="C318" s="98"/>
      <c r="D318" s="308"/>
      <c r="E318" s="98"/>
      <c r="F318" s="235"/>
      <c r="G318" s="235"/>
      <c r="H318" s="236"/>
      <c r="I318" s="236"/>
      <c r="J318" s="236"/>
      <c r="K318" s="236"/>
      <c r="L318" s="236"/>
      <c r="M318" s="236"/>
      <c r="N318" s="236"/>
      <c r="O318" s="236"/>
      <c r="P318" s="236"/>
      <c r="Q318" s="236"/>
      <c r="R318" s="236"/>
      <c r="S318" s="236"/>
      <c r="T318" s="236"/>
      <c r="U318" s="236"/>
      <c r="V318" s="236"/>
      <c r="W318" s="237"/>
      <c r="X318" s="237"/>
      <c r="Y318" s="237"/>
      <c r="Z318" s="237"/>
      <c r="AA318" s="237"/>
      <c r="AB318" s="237"/>
      <c r="AC318" s="237"/>
      <c r="AD318" s="237"/>
      <c r="AE318" s="237"/>
      <c r="AF318" s="237"/>
      <c r="AG318" s="237"/>
      <c r="AH318" s="237"/>
      <c r="AI318" s="308"/>
      <c r="AJ318" s="308"/>
      <c r="AK318" s="308"/>
      <c r="AL318" s="308"/>
      <c r="AM318" s="98"/>
      <c r="AN318" s="98"/>
      <c r="AO318" s="98"/>
    </row>
    <row r="319" ht="14.25" customHeight="1">
      <c r="A319" s="98"/>
      <c r="B319" s="98"/>
      <c r="C319" s="98"/>
      <c r="D319" s="308"/>
      <c r="E319" s="98"/>
      <c r="F319" s="235"/>
      <c r="G319" s="235"/>
      <c r="H319" s="236"/>
      <c r="I319" s="236"/>
      <c r="J319" s="236"/>
      <c r="K319" s="236"/>
      <c r="L319" s="236"/>
      <c r="M319" s="236"/>
      <c r="N319" s="236"/>
      <c r="O319" s="236"/>
      <c r="P319" s="236"/>
      <c r="Q319" s="236"/>
      <c r="R319" s="236"/>
      <c r="S319" s="236"/>
      <c r="T319" s="236"/>
      <c r="U319" s="236"/>
      <c r="V319" s="236"/>
      <c r="W319" s="237"/>
      <c r="X319" s="237"/>
      <c r="Y319" s="237"/>
      <c r="Z319" s="237"/>
      <c r="AA319" s="237"/>
      <c r="AB319" s="237"/>
      <c r="AC319" s="237"/>
      <c r="AD319" s="237"/>
      <c r="AE319" s="237"/>
      <c r="AF319" s="237"/>
      <c r="AG319" s="237"/>
      <c r="AH319" s="237"/>
      <c r="AI319" s="308"/>
      <c r="AJ319" s="308"/>
      <c r="AK319" s="308"/>
      <c r="AL319" s="308"/>
      <c r="AM319" s="98"/>
      <c r="AN319" s="98"/>
      <c r="AO319" s="98"/>
    </row>
    <row r="320" ht="14.25" customHeight="1">
      <c r="A320" s="98"/>
      <c r="B320" s="98"/>
      <c r="C320" s="98"/>
      <c r="D320" s="308"/>
      <c r="E320" s="98"/>
      <c r="F320" s="235"/>
      <c r="G320" s="235"/>
      <c r="H320" s="236"/>
      <c r="I320" s="236"/>
      <c r="J320" s="236"/>
      <c r="K320" s="236"/>
      <c r="L320" s="236"/>
      <c r="M320" s="236"/>
      <c r="N320" s="236"/>
      <c r="O320" s="236"/>
      <c r="P320" s="236"/>
      <c r="Q320" s="236"/>
      <c r="R320" s="236"/>
      <c r="S320" s="236"/>
      <c r="T320" s="236"/>
      <c r="U320" s="236"/>
      <c r="V320" s="236"/>
      <c r="W320" s="237"/>
      <c r="X320" s="237"/>
      <c r="Y320" s="237"/>
      <c r="Z320" s="237"/>
      <c r="AA320" s="237"/>
      <c r="AB320" s="237"/>
      <c r="AC320" s="237"/>
      <c r="AD320" s="237"/>
      <c r="AE320" s="237"/>
      <c r="AF320" s="237"/>
      <c r="AG320" s="237"/>
      <c r="AH320" s="237"/>
      <c r="AI320" s="308"/>
      <c r="AJ320" s="308"/>
      <c r="AK320" s="308"/>
      <c r="AL320" s="308"/>
      <c r="AM320" s="98"/>
      <c r="AN320" s="98"/>
      <c r="AO320" s="98"/>
    </row>
    <row r="321" ht="14.25" customHeight="1">
      <c r="A321" s="98"/>
      <c r="B321" s="98"/>
      <c r="C321" s="98"/>
      <c r="D321" s="308"/>
      <c r="E321" s="98"/>
      <c r="F321" s="235"/>
      <c r="G321" s="235"/>
      <c r="H321" s="236"/>
      <c r="I321" s="236"/>
      <c r="J321" s="236"/>
      <c r="K321" s="236"/>
      <c r="L321" s="236"/>
      <c r="M321" s="236"/>
      <c r="N321" s="236"/>
      <c r="O321" s="236"/>
      <c r="P321" s="236"/>
      <c r="Q321" s="236"/>
      <c r="R321" s="236"/>
      <c r="S321" s="236"/>
      <c r="T321" s="236"/>
      <c r="U321" s="236"/>
      <c r="V321" s="236"/>
      <c r="W321" s="237"/>
      <c r="X321" s="237"/>
      <c r="Y321" s="237"/>
      <c r="Z321" s="237"/>
      <c r="AA321" s="237"/>
      <c r="AB321" s="237"/>
      <c r="AC321" s="237"/>
      <c r="AD321" s="237"/>
      <c r="AE321" s="237"/>
      <c r="AF321" s="237"/>
      <c r="AG321" s="237"/>
      <c r="AH321" s="237"/>
      <c r="AI321" s="308"/>
      <c r="AJ321" s="308"/>
      <c r="AK321" s="308"/>
      <c r="AL321" s="308"/>
      <c r="AM321" s="98"/>
      <c r="AN321" s="98"/>
      <c r="AO321" s="98"/>
    </row>
    <row r="322" ht="14.25" customHeight="1">
      <c r="A322" s="98"/>
      <c r="B322" s="98"/>
      <c r="C322" s="98"/>
      <c r="D322" s="308"/>
      <c r="E322" s="98"/>
      <c r="F322" s="235"/>
      <c r="G322" s="235"/>
      <c r="H322" s="236"/>
      <c r="I322" s="236"/>
      <c r="J322" s="236"/>
      <c r="K322" s="236"/>
      <c r="L322" s="236"/>
      <c r="M322" s="236"/>
      <c r="N322" s="236"/>
      <c r="O322" s="236"/>
      <c r="P322" s="236"/>
      <c r="Q322" s="236"/>
      <c r="R322" s="236"/>
      <c r="S322" s="236"/>
      <c r="T322" s="236"/>
      <c r="U322" s="236"/>
      <c r="V322" s="236"/>
      <c r="W322" s="237"/>
      <c r="X322" s="237"/>
      <c r="Y322" s="237"/>
      <c r="Z322" s="237"/>
      <c r="AA322" s="237"/>
      <c r="AB322" s="237"/>
      <c r="AC322" s="237"/>
      <c r="AD322" s="237"/>
      <c r="AE322" s="237"/>
      <c r="AF322" s="237"/>
      <c r="AG322" s="237"/>
      <c r="AH322" s="237"/>
      <c r="AI322" s="308"/>
      <c r="AJ322" s="308"/>
      <c r="AK322" s="308"/>
      <c r="AL322" s="308"/>
      <c r="AM322" s="98"/>
      <c r="AN322" s="98"/>
      <c r="AO322" s="98"/>
    </row>
    <row r="323" ht="14.25" customHeight="1">
      <c r="A323" s="98"/>
      <c r="B323" s="98"/>
      <c r="C323" s="98"/>
      <c r="D323" s="308"/>
      <c r="E323" s="98"/>
      <c r="F323" s="235"/>
      <c r="G323" s="235"/>
      <c r="H323" s="236"/>
      <c r="I323" s="236"/>
      <c r="J323" s="236"/>
      <c r="K323" s="236"/>
      <c r="L323" s="236"/>
      <c r="M323" s="236"/>
      <c r="N323" s="236"/>
      <c r="O323" s="236"/>
      <c r="P323" s="236"/>
      <c r="Q323" s="236"/>
      <c r="R323" s="236"/>
      <c r="S323" s="236"/>
      <c r="T323" s="236"/>
      <c r="U323" s="236"/>
      <c r="V323" s="236"/>
      <c r="W323" s="237"/>
      <c r="X323" s="237"/>
      <c r="Y323" s="237"/>
      <c r="Z323" s="237"/>
      <c r="AA323" s="237"/>
      <c r="AB323" s="237"/>
      <c r="AC323" s="237"/>
      <c r="AD323" s="237"/>
      <c r="AE323" s="237"/>
      <c r="AF323" s="237"/>
      <c r="AG323" s="237"/>
      <c r="AH323" s="237"/>
      <c r="AI323" s="308"/>
      <c r="AJ323" s="308"/>
      <c r="AK323" s="308"/>
      <c r="AL323" s="308"/>
      <c r="AM323" s="98"/>
      <c r="AN323" s="98"/>
      <c r="AO323" s="98"/>
    </row>
    <row r="324" ht="14.25" customHeight="1">
      <c r="A324" s="98"/>
      <c r="B324" s="98"/>
      <c r="C324" s="98"/>
      <c r="D324" s="308"/>
      <c r="E324" s="98"/>
      <c r="F324" s="235"/>
      <c r="G324" s="235"/>
      <c r="H324" s="236"/>
      <c r="I324" s="236"/>
      <c r="J324" s="236"/>
      <c r="K324" s="236"/>
      <c r="L324" s="236"/>
      <c r="M324" s="236"/>
      <c r="N324" s="236"/>
      <c r="O324" s="236"/>
      <c r="P324" s="236"/>
      <c r="Q324" s="236"/>
      <c r="R324" s="236"/>
      <c r="S324" s="236"/>
      <c r="T324" s="236"/>
      <c r="U324" s="236"/>
      <c r="V324" s="236"/>
      <c r="W324" s="237"/>
      <c r="X324" s="237"/>
      <c r="Y324" s="237"/>
      <c r="Z324" s="237"/>
      <c r="AA324" s="237"/>
      <c r="AB324" s="237"/>
      <c r="AC324" s="237"/>
      <c r="AD324" s="237"/>
      <c r="AE324" s="237"/>
      <c r="AF324" s="237"/>
      <c r="AG324" s="237"/>
      <c r="AH324" s="237"/>
      <c r="AI324" s="308"/>
      <c r="AJ324" s="308"/>
      <c r="AK324" s="308"/>
      <c r="AL324" s="308"/>
      <c r="AM324" s="98"/>
      <c r="AN324" s="98"/>
      <c r="AO324" s="98"/>
    </row>
    <row r="325" ht="14.25" customHeight="1">
      <c r="A325" s="98"/>
      <c r="B325" s="98"/>
      <c r="C325" s="98"/>
      <c r="D325" s="308"/>
      <c r="E325" s="98"/>
      <c r="F325" s="235"/>
      <c r="G325" s="235"/>
      <c r="H325" s="236"/>
      <c r="I325" s="236"/>
      <c r="J325" s="236"/>
      <c r="K325" s="236"/>
      <c r="L325" s="236"/>
      <c r="M325" s="236"/>
      <c r="N325" s="236"/>
      <c r="O325" s="236"/>
      <c r="P325" s="236"/>
      <c r="Q325" s="236"/>
      <c r="R325" s="236"/>
      <c r="S325" s="236"/>
      <c r="T325" s="236"/>
      <c r="U325" s="236"/>
      <c r="V325" s="236"/>
      <c r="W325" s="237"/>
      <c r="X325" s="237"/>
      <c r="Y325" s="237"/>
      <c r="Z325" s="237"/>
      <c r="AA325" s="237"/>
      <c r="AB325" s="237"/>
      <c r="AC325" s="237"/>
      <c r="AD325" s="237"/>
      <c r="AE325" s="237"/>
      <c r="AF325" s="237"/>
      <c r="AG325" s="237"/>
      <c r="AH325" s="237"/>
      <c r="AI325" s="308"/>
      <c r="AJ325" s="308"/>
      <c r="AK325" s="308"/>
      <c r="AL325" s="308"/>
      <c r="AM325" s="98"/>
      <c r="AN325" s="98"/>
      <c r="AO325" s="98"/>
    </row>
    <row r="326" ht="14.25" customHeight="1">
      <c r="A326" s="98"/>
      <c r="B326" s="98"/>
      <c r="C326" s="98"/>
      <c r="D326" s="308"/>
      <c r="E326" s="98"/>
      <c r="F326" s="235"/>
      <c r="G326" s="235"/>
      <c r="H326" s="236"/>
      <c r="I326" s="236"/>
      <c r="J326" s="236"/>
      <c r="K326" s="236"/>
      <c r="L326" s="236"/>
      <c r="M326" s="236"/>
      <c r="N326" s="236"/>
      <c r="O326" s="236"/>
      <c r="P326" s="236"/>
      <c r="Q326" s="236"/>
      <c r="R326" s="236"/>
      <c r="S326" s="236"/>
      <c r="T326" s="236"/>
      <c r="U326" s="236"/>
      <c r="V326" s="236"/>
      <c r="W326" s="237"/>
      <c r="X326" s="237"/>
      <c r="Y326" s="237"/>
      <c r="Z326" s="237"/>
      <c r="AA326" s="237"/>
      <c r="AB326" s="237"/>
      <c r="AC326" s="237"/>
      <c r="AD326" s="237"/>
      <c r="AE326" s="237"/>
      <c r="AF326" s="237"/>
      <c r="AG326" s="237"/>
      <c r="AH326" s="237"/>
      <c r="AI326" s="308"/>
      <c r="AJ326" s="308"/>
      <c r="AK326" s="308"/>
      <c r="AL326" s="308"/>
      <c r="AM326" s="98"/>
      <c r="AN326" s="98"/>
      <c r="AO326" s="98"/>
    </row>
    <row r="327" ht="14.25" customHeight="1">
      <c r="A327" s="98"/>
      <c r="B327" s="98"/>
      <c r="C327" s="98"/>
      <c r="D327" s="308"/>
      <c r="E327" s="98"/>
      <c r="F327" s="235"/>
      <c r="G327" s="235"/>
      <c r="H327" s="236"/>
      <c r="I327" s="236"/>
      <c r="J327" s="236"/>
      <c r="K327" s="236"/>
      <c r="L327" s="236"/>
      <c r="M327" s="236"/>
      <c r="N327" s="236"/>
      <c r="O327" s="236"/>
      <c r="P327" s="236"/>
      <c r="Q327" s="236"/>
      <c r="R327" s="236"/>
      <c r="S327" s="236"/>
      <c r="T327" s="236"/>
      <c r="U327" s="236"/>
      <c r="V327" s="236"/>
      <c r="W327" s="237"/>
      <c r="X327" s="237"/>
      <c r="Y327" s="237"/>
      <c r="Z327" s="237"/>
      <c r="AA327" s="237"/>
      <c r="AB327" s="237"/>
      <c r="AC327" s="237"/>
      <c r="AD327" s="237"/>
      <c r="AE327" s="237"/>
      <c r="AF327" s="237"/>
      <c r="AG327" s="237"/>
      <c r="AH327" s="237"/>
      <c r="AI327" s="308"/>
      <c r="AJ327" s="308"/>
      <c r="AK327" s="308"/>
      <c r="AL327" s="308"/>
      <c r="AM327" s="98"/>
      <c r="AN327" s="98"/>
      <c r="AO327" s="98"/>
    </row>
    <row r="328" ht="14.25" customHeight="1">
      <c r="A328" s="98"/>
      <c r="B328" s="98"/>
      <c r="C328" s="98"/>
      <c r="D328" s="308"/>
      <c r="E328" s="98"/>
      <c r="F328" s="235"/>
      <c r="G328" s="235"/>
      <c r="H328" s="236"/>
      <c r="I328" s="236"/>
      <c r="J328" s="236"/>
      <c r="K328" s="236"/>
      <c r="L328" s="236"/>
      <c r="M328" s="236"/>
      <c r="N328" s="236"/>
      <c r="O328" s="236"/>
      <c r="P328" s="236"/>
      <c r="Q328" s="236"/>
      <c r="R328" s="236"/>
      <c r="S328" s="236"/>
      <c r="T328" s="236"/>
      <c r="U328" s="236"/>
      <c r="V328" s="236"/>
      <c r="W328" s="237"/>
      <c r="X328" s="237"/>
      <c r="Y328" s="237"/>
      <c r="Z328" s="237"/>
      <c r="AA328" s="237"/>
      <c r="AB328" s="237"/>
      <c r="AC328" s="237"/>
      <c r="AD328" s="237"/>
      <c r="AE328" s="237"/>
      <c r="AF328" s="237"/>
      <c r="AG328" s="237"/>
      <c r="AH328" s="237"/>
      <c r="AI328" s="308"/>
      <c r="AJ328" s="308"/>
      <c r="AK328" s="308"/>
      <c r="AL328" s="308"/>
      <c r="AM328" s="98"/>
      <c r="AN328" s="98"/>
      <c r="AO328" s="98"/>
    </row>
    <row r="329" ht="14.25" customHeight="1">
      <c r="A329" s="98"/>
      <c r="B329" s="98"/>
      <c r="C329" s="98"/>
      <c r="D329" s="308"/>
      <c r="E329" s="98"/>
      <c r="F329" s="235"/>
      <c r="G329" s="235"/>
      <c r="H329" s="236"/>
      <c r="I329" s="236"/>
      <c r="J329" s="236"/>
      <c r="K329" s="236"/>
      <c r="L329" s="236"/>
      <c r="M329" s="236"/>
      <c r="N329" s="236"/>
      <c r="O329" s="236"/>
      <c r="P329" s="236"/>
      <c r="Q329" s="236"/>
      <c r="R329" s="236"/>
      <c r="S329" s="236"/>
      <c r="T329" s="236"/>
      <c r="U329" s="236"/>
      <c r="V329" s="236"/>
      <c r="W329" s="237"/>
      <c r="X329" s="237"/>
      <c r="Y329" s="237"/>
      <c r="Z329" s="237"/>
      <c r="AA329" s="237"/>
      <c r="AB329" s="237"/>
      <c r="AC329" s="237"/>
      <c r="AD329" s="237"/>
      <c r="AE329" s="237"/>
      <c r="AF329" s="237"/>
      <c r="AG329" s="237"/>
      <c r="AH329" s="237"/>
      <c r="AI329" s="308"/>
      <c r="AJ329" s="308"/>
      <c r="AK329" s="308"/>
      <c r="AL329" s="308"/>
      <c r="AM329" s="98"/>
      <c r="AN329" s="98"/>
      <c r="AO329" s="98"/>
    </row>
    <row r="330" ht="14.25" customHeight="1">
      <c r="A330" s="98"/>
      <c r="B330" s="98"/>
      <c r="C330" s="98"/>
      <c r="D330" s="308"/>
      <c r="E330" s="98"/>
      <c r="F330" s="235"/>
      <c r="G330" s="235"/>
      <c r="H330" s="236"/>
      <c r="I330" s="236"/>
      <c r="J330" s="236"/>
      <c r="K330" s="236"/>
      <c r="L330" s="236"/>
      <c r="M330" s="236"/>
      <c r="N330" s="236"/>
      <c r="O330" s="236"/>
      <c r="P330" s="236"/>
      <c r="Q330" s="236"/>
      <c r="R330" s="236"/>
      <c r="S330" s="236"/>
      <c r="T330" s="236"/>
      <c r="U330" s="236"/>
      <c r="V330" s="236"/>
      <c r="W330" s="237"/>
      <c r="X330" s="237"/>
      <c r="Y330" s="237"/>
      <c r="Z330" s="237"/>
      <c r="AA330" s="237"/>
      <c r="AB330" s="237"/>
      <c r="AC330" s="237"/>
      <c r="AD330" s="237"/>
      <c r="AE330" s="237"/>
      <c r="AF330" s="237"/>
      <c r="AG330" s="237"/>
      <c r="AH330" s="237"/>
      <c r="AI330" s="308"/>
      <c r="AJ330" s="308"/>
      <c r="AK330" s="308"/>
      <c r="AL330" s="308"/>
      <c r="AM330" s="98"/>
      <c r="AN330" s="98"/>
      <c r="AO330" s="98"/>
    </row>
    <row r="331" ht="14.25" customHeight="1">
      <c r="A331" s="98"/>
      <c r="B331" s="98"/>
      <c r="C331" s="98"/>
      <c r="D331" s="308"/>
      <c r="E331" s="98"/>
      <c r="F331" s="235"/>
      <c r="G331" s="235"/>
      <c r="H331" s="236"/>
      <c r="I331" s="236"/>
      <c r="J331" s="236"/>
      <c r="K331" s="236"/>
      <c r="L331" s="236"/>
      <c r="M331" s="236"/>
      <c r="N331" s="236"/>
      <c r="O331" s="236"/>
      <c r="P331" s="236"/>
      <c r="Q331" s="236"/>
      <c r="R331" s="236"/>
      <c r="S331" s="236"/>
      <c r="T331" s="236"/>
      <c r="U331" s="236"/>
      <c r="V331" s="236"/>
      <c r="W331" s="237"/>
      <c r="X331" s="237"/>
      <c r="Y331" s="237"/>
      <c r="Z331" s="237"/>
      <c r="AA331" s="237"/>
      <c r="AB331" s="237"/>
      <c r="AC331" s="237"/>
      <c r="AD331" s="237"/>
      <c r="AE331" s="237"/>
      <c r="AF331" s="237"/>
      <c r="AG331" s="237"/>
      <c r="AH331" s="237"/>
      <c r="AI331" s="308"/>
      <c r="AJ331" s="308"/>
      <c r="AK331" s="308"/>
      <c r="AL331" s="308"/>
      <c r="AM331" s="98"/>
      <c r="AN331" s="98"/>
      <c r="AO331" s="98"/>
    </row>
    <row r="332" ht="14.25" customHeight="1">
      <c r="A332" s="98"/>
      <c r="B332" s="98"/>
      <c r="C332" s="98"/>
      <c r="D332" s="308"/>
      <c r="E332" s="98"/>
      <c r="F332" s="235"/>
      <c r="G332" s="235"/>
      <c r="H332" s="236"/>
      <c r="I332" s="236"/>
      <c r="J332" s="236"/>
      <c r="K332" s="236"/>
      <c r="L332" s="236"/>
      <c r="M332" s="236"/>
      <c r="N332" s="236"/>
      <c r="O332" s="236"/>
      <c r="P332" s="236"/>
      <c r="Q332" s="236"/>
      <c r="R332" s="236"/>
      <c r="S332" s="236"/>
      <c r="T332" s="236"/>
      <c r="U332" s="236"/>
      <c r="V332" s="236"/>
      <c r="W332" s="237"/>
      <c r="X332" s="237"/>
      <c r="Y332" s="237"/>
      <c r="Z332" s="237"/>
      <c r="AA332" s="237"/>
      <c r="AB332" s="237"/>
      <c r="AC332" s="237"/>
      <c r="AD332" s="237"/>
      <c r="AE332" s="237"/>
      <c r="AF332" s="237"/>
      <c r="AG332" s="237"/>
      <c r="AH332" s="237"/>
      <c r="AI332" s="308"/>
      <c r="AJ332" s="308"/>
      <c r="AK332" s="308"/>
      <c r="AL332" s="308"/>
      <c r="AM332" s="98"/>
      <c r="AN332" s="98"/>
      <c r="AO332" s="98"/>
    </row>
    <row r="333" ht="14.25" customHeight="1">
      <c r="A333" s="98"/>
      <c r="B333" s="98"/>
      <c r="C333" s="98"/>
      <c r="D333" s="308"/>
      <c r="E333" s="98"/>
      <c r="F333" s="235"/>
      <c r="G333" s="235"/>
      <c r="H333" s="236"/>
      <c r="I333" s="236"/>
      <c r="J333" s="236"/>
      <c r="K333" s="236"/>
      <c r="L333" s="236"/>
      <c r="M333" s="236"/>
      <c r="N333" s="236"/>
      <c r="O333" s="236"/>
      <c r="P333" s="236"/>
      <c r="Q333" s="236"/>
      <c r="R333" s="236"/>
      <c r="S333" s="236"/>
      <c r="T333" s="236"/>
      <c r="U333" s="236"/>
      <c r="V333" s="236"/>
      <c r="W333" s="237"/>
      <c r="X333" s="237"/>
      <c r="Y333" s="237"/>
      <c r="Z333" s="237"/>
      <c r="AA333" s="237"/>
      <c r="AB333" s="237"/>
      <c r="AC333" s="237"/>
      <c r="AD333" s="237"/>
      <c r="AE333" s="237"/>
      <c r="AF333" s="237"/>
      <c r="AG333" s="237"/>
      <c r="AH333" s="237"/>
      <c r="AI333" s="308"/>
      <c r="AJ333" s="308"/>
      <c r="AK333" s="308"/>
      <c r="AL333" s="308"/>
      <c r="AM333" s="98"/>
      <c r="AN333" s="98"/>
      <c r="AO333" s="98"/>
    </row>
    <row r="334" ht="14.25" customHeight="1">
      <c r="A334" s="98"/>
      <c r="B334" s="98"/>
      <c r="C334" s="98"/>
      <c r="D334" s="308"/>
      <c r="E334" s="98"/>
      <c r="F334" s="235"/>
      <c r="G334" s="235"/>
      <c r="H334" s="236"/>
      <c r="I334" s="236"/>
      <c r="J334" s="236"/>
      <c r="K334" s="236"/>
      <c r="L334" s="236"/>
      <c r="M334" s="236"/>
      <c r="N334" s="236"/>
      <c r="O334" s="236"/>
      <c r="P334" s="236"/>
      <c r="Q334" s="236"/>
      <c r="R334" s="236"/>
      <c r="S334" s="236"/>
      <c r="T334" s="236"/>
      <c r="U334" s="236"/>
      <c r="V334" s="236"/>
      <c r="W334" s="237"/>
      <c r="X334" s="237"/>
      <c r="Y334" s="237"/>
      <c r="Z334" s="237"/>
      <c r="AA334" s="237"/>
      <c r="AB334" s="237"/>
      <c r="AC334" s="237"/>
      <c r="AD334" s="237"/>
      <c r="AE334" s="237"/>
      <c r="AF334" s="237"/>
      <c r="AG334" s="237"/>
      <c r="AH334" s="237"/>
      <c r="AI334" s="308"/>
      <c r="AJ334" s="308"/>
      <c r="AK334" s="308"/>
      <c r="AL334" s="308"/>
      <c r="AM334" s="98"/>
      <c r="AN334" s="98"/>
      <c r="AO334" s="98"/>
    </row>
    <row r="335" ht="14.25" customHeight="1">
      <c r="A335" s="98"/>
      <c r="B335" s="98"/>
      <c r="C335" s="98"/>
      <c r="D335" s="308"/>
      <c r="E335" s="98"/>
      <c r="F335" s="235"/>
      <c r="G335" s="235"/>
      <c r="H335" s="236"/>
      <c r="I335" s="236"/>
      <c r="J335" s="236"/>
      <c r="K335" s="236"/>
      <c r="L335" s="236"/>
      <c r="M335" s="236"/>
      <c r="N335" s="236"/>
      <c r="O335" s="236"/>
      <c r="P335" s="236"/>
      <c r="Q335" s="236"/>
      <c r="R335" s="236"/>
      <c r="S335" s="236"/>
      <c r="T335" s="236"/>
      <c r="U335" s="236"/>
      <c r="V335" s="236"/>
      <c r="W335" s="237"/>
      <c r="X335" s="237"/>
      <c r="Y335" s="237"/>
      <c r="Z335" s="237"/>
      <c r="AA335" s="237"/>
      <c r="AB335" s="237"/>
      <c r="AC335" s="237"/>
      <c r="AD335" s="237"/>
      <c r="AE335" s="237"/>
      <c r="AF335" s="237"/>
      <c r="AG335" s="237"/>
      <c r="AH335" s="237"/>
      <c r="AI335" s="308"/>
      <c r="AJ335" s="308"/>
      <c r="AK335" s="308"/>
      <c r="AL335" s="308"/>
      <c r="AM335" s="98"/>
      <c r="AN335" s="98"/>
      <c r="AO335" s="98"/>
    </row>
    <row r="336" ht="14.25" customHeight="1">
      <c r="A336" s="98"/>
      <c r="B336" s="98"/>
      <c r="C336" s="98"/>
      <c r="D336" s="308"/>
      <c r="E336" s="98"/>
      <c r="F336" s="235"/>
      <c r="G336" s="235"/>
      <c r="H336" s="236"/>
      <c r="I336" s="236"/>
      <c r="J336" s="236"/>
      <c r="K336" s="236"/>
      <c r="L336" s="236"/>
      <c r="M336" s="236"/>
      <c r="N336" s="236"/>
      <c r="O336" s="236"/>
      <c r="P336" s="236"/>
      <c r="Q336" s="236"/>
      <c r="R336" s="236"/>
      <c r="S336" s="236"/>
      <c r="T336" s="236"/>
      <c r="U336" s="236"/>
      <c r="V336" s="236"/>
      <c r="W336" s="237"/>
      <c r="X336" s="237"/>
      <c r="Y336" s="237"/>
      <c r="Z336" s="237"/>
      <c r="AA336" s="237"/>
      <c r="AB336" s="237"/>
      <c r="AC336" s="237"/>
      <c r="AD336" s="237"/>
      <c r="AE336" s="237"/>
      <c r="AF336" s="237"/>
      <c r="AG336" s="237"/>
      <c r="AH336" s="237"/>
      <c r="AI336" s="308"/>
      <c r="AJ336" s="308"/>
      <c r="AK336" s="308"/>
      <c r="AL336" s="308"/>
      <c r="AM336" s="98"/>
      <c r="AN336" s="98"/>
      <c r="AO336" s="98"/>
    </row>
    <row r="337" ht="14.25" customHeight="1">
      <c r="A337" s="98"/>
      <c r="B337" s="98"/>
      <c r="C337" s="98"/>
      <c r="D337" s="308"/>
      <c r="E337" s="98"/>
      <c r="F337" s="235"/>
      <c r="G337" s="235"/>
      <c r="H337" s="236"/>
      <c r="I337" s="236"/>
      <c r="J337" s="236"/>
      <c r="K337" s="236"/>
      <c r="L337" s="236"/>
      <c r="M337" s="236"/>
      <c r="N337" s="236"/>
      <c r="O337" s="236"/>
      <c r="P337" s="236"/>
      <c r="Q337" s="236"/>
      <c r="R337" s="236"/>
      <c r="S337" s="236"/>
      <c r="T337" s="236"/>
      <c r="U337" s="236"/>
      <c r="V337" s="236"/>
      <c r="W337" s="237"/>
      <c r="X337" s="237"/>
      <c r="Y337" s="237"/>
      <c r="Z337" s="237"/>
      <c r="AA337" s="237"/>
      <c r="AB337" s="237"/>
      <c r="AC337" s="237"/>
      <c r="AD337" s="237"/>
      <c r="AE337" s="237"/>
      <c r="AF337" s="237"/>
      <c r="AG337" s="237"/>
      <c r="AH337" s="237"/>
      <c r="AI337" s="308"/>
      <c r="AJ337" s="308"/>
      <c r="AK337" s="308"/>
      <c r="AL337" s="308"/>
      <c r="AM337" s="98"/>
      <c r="AN337" s="98"/>
      <c r="AO337" s="98"/>
    </row>
    <row r="338" ht="14.25" customHeight="1">
      <c r="A338" s="98"/>
      <c r="B338" s="98"/>
      <c r="C338" s="98"/>
      <c r="D338" s="308"/>
      <c r="E338" s="98"/>
      <c r="F338" s="235"/>
      <c r="G338" s="235"/>
      <c r="H338" s="236"/>
      <c r="I338" s="236"/>
      <c r="J338" s="236"/>
      <c r="K338" s="236"/>
      <c r="L338" s="236"/>
      <c r="M338" s="236"/>
      <c r="N338" s="236"/>
      <c r="O338" s="236"/>
      <c r="P338" s="236"/>
      <c r="Q338" s="236"/>
      <c r="R338" s="236"/>
      <c r="S338" s="236"/>
      <c r="T338" s="236"/>
      <c r="U338" s="236"/>
      <c r="V338" s="236"/>
      <c r="W338" s="237"/>
      <c r="X338" s="237"/>
      <c r="Y338" s="237"/>
      <c r="Z338" s="237"/>
      <c r="AA338" s="237"/>
      <c r="AB338" s="237"/>
      <c r="AC338" s="237"/>
      <c r="AD338" s="237"/>
      <c r="AE338" s="237"/>
      <c r="AF338" s="237"/>
      <c r="AG338" s="237"/>
      <c r="AH338" s="237"/>
      <c r="AI338" s="308"/>
      <c r="AJ338" s="308"/>
      <c r="AK338" s="308"/>
      <c r="AL338" s="308"/>
      <c r="AM338" s="98"/>
      <c r="AN338" s="98"/>
      <c r="AO338" s="98"/>
    </row>
    <row r="339" ht="14.25" customHeight="1">
      <c r="A339" s="98"/>
      <c r="B339" s="98"/>
      <c r="C339" s="98"/>
      <c r="D339" s="308"/>
      <c r="E339" s="98"/>
      <c r="F339" s="235"/>
      <c r="G339" s="235"/>
      <c r="H339" s="236"/>
      <c r="I339" s="236"/>
      <c r="J339" s="236"/>
      <c r="K339" s="236"/>
      <c r="L339" s="236"/>
      <c r="M339" s="236"/>
      <c r="N339" s="236"/>
      <c r="O339" s="236"/>
      <c r="P339" s="236"/>
      <c r="Q339" s="236"/>
      <c r="R339" s="236"/>
      <c r="S339" s="236"/>
      <c r="T339" s="236"/>
      <c r="U339" s="236"/>
      <c r="V339" s="236"/>
      <c r="W339" s="237"/>
      <c r="X339" s="237"/>
      <c r="Y339" s="237"/>
      <c r="Z339" s="237"/>
      <c r="AA339" s="237"/>
      <c r="AB339" s="237"/>
      <c r="AC339" s="237"/>
      <c r="AD339" s="237"/>
      <c r="AE339" s="237"/>
      <c r="AF339" s="237"/>
      <c r="AG339" s="237"/>
      <c r="AH339" s="237"/>
      <c r="AI339" s="308"/>
      <c r="AJ339" s="308"/>
      <c r="AK339" s="308"/>
      <c r="AL339" s="308"/>
      <c r="AM339" s="98"/>
      <c r="AN339" s="98"/>
      <c r="AO339" s="98"/>
    </row>
    <row r="340" ht="14.25" customHeight="1">
      <c r="A340" s="98"/>
      <c r="B340" s="98"/>
      <c r="C340" s="98"/>
      <c r="D340" s="308"/>
      <c r="E340" s="98"/>
      <c r="F340" s="235"/>
      <c r="G340" s="235"/>
      <c r="H340" s="236"/>
      <c r="I340" s="236"/>
      <c r="J340" s="236"/>
      <c r="K340" s="236"/>
      <c r="L340" s="236"/>
      <c r="M340" s="236"/>
      <c r="N340" s="236"/>
      <c r="O340" s="236"/>
      <c r="P340" s="236"/>
      <c r="Q340" s="236"/>
      <c r="R340" s="236"/>
      <c r="S340" s="236"/>
      <c r="T340" s="236"/>
      <c r="U340" s="236"/>
      <c r="V340" s="236"/>
      <c r="W340" s="237"/>
      <c r="X340" s="237"/>
      <c r="Y340" s="237"/>
      <c r="Z340" s="237"/>
      <c r="AA340" s="237"/>
      <c r="AB340" s="237"/>
      <c r="AC340" s="237"/>
      <c r="AD340" s="237"/>
      <c r="AE340" s="237"/>
      <c r="AF340" s="237"/>
      <c r="AG340" s="237"/>
      <c r="AH340" s="237"/>
      <c r="AI340" s="308"/>
      <c r="AJ340" s="308"/>
      <c r="AK340" s="308"/>
      <c r="AL340" s="308"/>
      <c r="AM340" s="98"/>
      <c r="AN340" s="98"/>
      <c r="AO340" s="98"/>
    </row>
    <row r="341" ht="14.25" customHeight="1">
      <c r="A341" s="98"/>
      <c r="B341" s="98"/>
      <c r="C341" s="98"/>
      <c r="D341" s="308"/>
      <c r="E341" s="98"/>
      <c r="F341" s="235"/>
      <c r="G341" s="235"/>
      <c r="H341" s="236"/>
      <c r="I341" s="236"/>
      <c r="J341" s="236"/>
      <c r="K341" s="236"/>
      <c r="L341" s="236"/>
      <c r="M341" s="236"/>
      <c r="N341" s="236"/>
      <c r="O341" s="236"/>
      <c r="P341" s="236"/>
      <c r="Q341" s="236"/>
      <c r="R341" s="236"/>
      <c r="S341" s="236"/>
      <c r="T341" s="236"/>
      <c r="U341" s="236"/>
      <c r="V341" s="236"/>
      <c r="W341" s="237"/>
      <c r="X341" s="237"/>
      <c r="Y341" s="237"/>
      <c r="Z341" s="237"/>
      <c r="AA341" s="237"/>
      <c r="AB341" s="237"/>
      <c r="AC341" s="237"/>
      <c r="AD341" s="237"/>
      <c r="AE341" s="237"/>
      <c r="AF341" s="237"/>
      <c r="AG341" s="237"/>
      <c r="AH341" s="237"/>
      <c r="AI341" s="308"/>
      <c r="AJ341" s="308"/>
      <c r="AK341" s="308"/>
      <c r="AL341" s="308"/>
      <c r="AM341" s="98"/>
      <c r="AN341" s="98"/>
      <c r="AO341" s="98"/>
    </row>
    <row r="342" ht="14.25" customHeight="1">
      <c r="A342" s="98"/>
      <c r="B342" s="98"/>
      <c r="C342" s="98"/>
      <c r="D342" s="308"/>
      <c r="E342" s="98"/>
      <c r="F342" s="235"/>
      <c r="G342" s="235"/>
      <c r="H342" s="236"/>
      <c r="I342" s="236"/>
      <c r="J342" s="236"/>
      <c r="K342" s="236"/>
      <c r="L342" s="236"/>
      <c r="M342" s="236"/>
      <c r="N342" s="236"/>
      <c r="O342" s="236"/>
      <c r="P342" s="236"/>
      <c r="Q342" s="236"/>
      <c r="R342" s="236"/>
      <c r="S342" s="236"/>
      <c r="T342" s="236"/>
      <c r="U342" s="236"/>
      <c r="V342" s="236"/>
      <c r="W342" s="237"/>
      <c r="X342" s="237"/>
      <c r="Y342" s="237"/>
      <c r="Z342" s="237"/>
      <c r="AA342" s="237"/>
      <c r="AB342" s="237"/>
      <c r="AC342" s="237"/>
      <c r="AD342" s="237"/>
      <c r="AE342" s="237"/>
      <c r="AF342" s="237"/>
      <c r="AG342" s="237"/>
      <c r="AH342" s="237"/>
      <c r="AI342" s="308"/>
      <c r="AJ342" s="308"/>
      <c r="AK342" s="308"/>
      <c r="AL342" s="308"/>
      <c r="AM342" s="98"/>
      <c r="AN342" s="98"/>
      <c r="AO342" s="98"/>
    </row>
    <row r="343" ht="14.25" customHeight="1">
      <c r="A343" s="98"/>
      <c r="B343" s="98"/>
      <c r="C343" s="98"/>
      <c r="D343" s="308"/>
      <c r="E343" s="98"/>
      <c r="F343" s="235"/>
      <c r="G343" s="235"/>
      <c r="H343" s="236"/>
      <c r="I343" s="236"/>
      <c r="J343" s="236"/>
      <c r="K343" s="236"/>
      <c r="L343" s="236"/>
      <c r="M343" s="236"/>
      <c r="N343" s="236"/>
      <c r="O343" s="236"/>
      <c r="P343" s="236"/>
      <c r="Q343" s="236"/>
      <c r="R343" s="236"/>
      <c r="S343" s="236"/>
      <c r="T343" s="236"/>
      <c r="U343" s="236"/>
      <c r="V343" s="236"/>
      <c r="W343" s="237"/>
      <c r="X343" s="237"/>
      <c r="Y343" s="237"/>
      <c r="Z343" s="237"/>
      <c r="AA343" s="237"/>
      <c r="AB343" s="237"/>
      <c r="AC343" s="237"/>
      <c r="AD343" s="237"/>
      <c r="AE343" s="237"/>
      <c r="AF343" s="237"/>
      <c r="AG343" s="237"/>
      <c r="AH343" s="237"/>
      <c r="AI343" s="308"/>
      <c r="AJ343" s="308"/>
      <c r="AK343" s="308"/>
      <c r="AL343" s="308"/>
      <c r="AM343" s="98"/>
      <c r="AN343" s="98"/>
      <c r="AO343" s="98"/>
    </row>
    <row r="344" ht="14.25" customHeight="1">
      <c r="A344" s="98"/>
      <c r="B344" s="98"/>
      <c r="C344" s="98"/>
      <c r="D344" s="308"/>
      <c r="E344" s="98"/>
      <c r="F344" s="235"/>
      <c r="G344" s="235"/>
      <c r="H344" s="236"/>
      <c r="I344" s="236"/>
      <c r="J344" s="236"/>
      <c r="K344" s="236"/>
      <c r="L344" s="236"/>
      <c r="M344" s="236"/>
      <c r="N344" s="236"/>
      <c r="O344" s="236"/>
      <c r="P344" s="236"/>
      <c r="Q344" s="236"/>
      <c r="R344" s="236"/>
      <c r="S344" s="236"/>
      <c r="T344" s="236"/>
      <c r="U344" s="236"/>
      <c r="V344" s="236"/>
      <c r="W344" s="237"/>
      <c r="X344" s="237"/>
      <c r="Y344" s="237"/>
      <c r="Z344" s="237"/>
      <c r="AA344" s="237"/>
      <c r="AB344" s="237"/>
      <c r="AC344" s="237"/>
      <c r="AD344" s="237"/>
      <c r="AE344" s="237"/>
      <c r="AF344" s="237"/>
      <c r="AG344" s="237"/>
      <c r="AH344" s="237"/>
      <c r="AI344" s="308"/>
      <c r="AJ344" s="308"/>
      <c r="AK344" s="308"/>
      <c r="AL344" s="308"/>
      <c r="AM344" s="98"/>
      <c r="AN344" s="98"/>
      <c r="AO344" s="98"/>
    </row>
    <row r="345" ht="14.25" customHeight="1">
      <c r="A345" s="98"/>
      <c r="B345" s="98"/>
      <c r="C345" s="98"/>
      <c r="D345" s="308"/>
      <c r="E345" s="98"/>
      <c r="F345" s="235"/>
      <c r="G345" s="235"/>
      <c r="H345" s="236"/>
      <c r="I345" s="236"/>
      <c r="J345" s="236"/>
      <c r="K345" s="236"/>
      <c r="L345" s="236"/>
      <c r="M345" s="236"/>
      <c r="N345" s="236"/>
      <c r="O345" s="236"/>
      <c r="P345" s="236"/>
      <c r="Q345" s="236"/>
      <c r="R345" s="236"/>
      <c r="S345" s="236"/>
      <c r="T345" s="236"/>
      <c r="U345" s="236"/>
      <c r="V345" s="236"/>
      <c r="W345" s="237"/>
      <c r="X345" s="237"/>
      <c r="Y345" s="237"/>
      <c r="Z345" s="237"/>
      <c r="AA345" s="237"/>
      <c r="AB345" s="237"/>
      <c r="AC345" s="237"/>
      <c r="AD345" s="237"/>
      <c r="AE345" s="237"/>
      <c r="AF345" s="237"/>
      <c r="AG345" s="237"/>
      <c r="AH345" s="237"/>
      <c r="AI345" s="308"/>
      <c r="AJ345" s="308"/>
      <c r="AK345" s="308"/>
      <c r="AL345" s="308"/>
      <c r="AM345" s="98"/>
      <c r="AN345" s="98"/>
      <c r="AO345" s="98"/>
    </row>
    <row r="346" ht="14.25" customHeight="1">
      <c r="A346" s="98"/>
      <c r="B346" s="98"/>
      <c r="C346" s="98"/>
      <c r="D346" s="308"/>
      <c r="E346" s="98"/>
      <c r="F346" s="235"/>
      <c r="G346" s="235"/>
      <c r="H346" s="236"/>
      <c r="I346" s="236"/>
      <c r="J346" s="236"/>
      <c r="K346" s="236"/>
      <c r="L346" s="236"/>
      <c r="M346" s="236"/>
      <c r="N346" s="236"/>
      <c r="O346" s="236"/>
      <c r="P346" s="236"/>
      <c r="Q346" s="236"/>
      <c r="R346" s="236"/>
      <c r="S346" s="236"/>
      <c r="T346" s="236"/>
      <c r="U346" s="236"/>
      <c r="V346" s="236"/>
      <c r="W346" s="237"/>
      <c r="X346" s="237"/>
      <c r="Y346" s="237"/>
      <c r="Z346" s="237"/>
      <c r="AA346" s="237"/>
      <c r="AB346" s="237"/>
      <c r="AC346" s="237"/>
      <c r="AD346" s="237"/>
      <c r="AE346" s="237"/>
      <c r="AF346" s="237"/>
      <c r="AG346" s="237"/>
      <c r="AH346" s="237"/>
      <c r="AI346" s="308"/>
      <c r="AJ346" s="308"/>
      <c r="AK346" s="308"/>
      <c r="AL346" s="308"/>
      <c r="AM346" s="98"/>
      <c r="AN346" s="98"/>
      <c r="AO346" s="98"/>
    </row>
    <row r="347" ht="14.25" customHeight="1">
      <c r="A347" s="98"/>
      <c r="B347" s="98"/>
      <c r="C347" s="98"/>
      <c r="D347" s="308"/>
      <c r="E347" s="98"/>
      <c r="F347" s="235"/>
      <c r="G347" s="235"/>
      <c r="H347" s="236"/>
      <c r="I347" s="236"/>
      <c r="J347" s="236"/>
      <c r="K347" s="236"/>
      <c r="L347" s="236"/>
      <c r="M347" s="236"/>
      <c r="N347" s="236"/>
      <c r="O347" s="236"/>
      <c r="P347" s="236"/>
      <c r="Q347" s="236"/>
      <c r="R347" s="236"/>
      <c r="S347" s="236"/>
      <c r="T347" s="236"/>
      <c r="U347" s="236"/>
      <c r="V347" s="236"/>
      <c r="W347" s="237"/>
      <c r="X347" s="237"/>
      <c r="Y347" s="237"/>
      <c r="Z347" s="237"/>
      <c r="AA347" s="237"/>
      <c r="AB347" s="237"/>
      <c r="AC347" s="237"/>
      <c r="AD347" s="237"/>
      <c r="AE347" s="237"/>
      <c r="AF347" s="237"/>
      <c r="AG347" s="237"/>
      <c r="AH347" s="237"/>
      <c r="AI347" s="308"/>
      <c r="AJ347" s="308"/>
      <c r="AK347" s="308"/>
      <c r="AL347" s="308"/>
      <c r="AM347" s="98"/>
      <c r="AN347" s="98"/>
      <c r="AO347" s="98"/>
    </row>
    <row r="348" ht="14.25" customHeight="1">
      <c r="A348" s="98"/>
      <c r="B348" s="98"/>
      <c r="C348" s="98"/>
      <c r="D348" s="308"/>
      <c r="E348" s="98"/>
      <c r="F348" s="235"/>
      <c r="G348" s="235"/>
      <c r="H348" s="236"/>
      <c r="I348" s="236"/>
      <c r="J348" s="236"/>
      <c r="K348" s="236"/>
      <c r="L348" s="236"/>
      <c r="M348" s="236"/>
      <c r="N348" s="236"/>
      <c r="O348" s="236"/>
      <c r="P348" s="236"/>
      <c r="Q348" s="236"/>
      <c r="R348" s="236"/>
      <c r="S348" s="236"/>
      <c r="T348" s="236"/>
      <c r="U348" s="236"/>
      <c r="V348" s="236"/>
      <c r="W348" s="237"/>
      <c r="X348" s="237"/>
      <c r="Y348" s="237"/>
      <c r="Z348" s="237"/>
      <c r="AA348" s="237"/>
      <c r="AB348" s="237"/>
      <c r="AC348" s="237"/>
      <c r="AD348" s="237"/>
      <c r="AE348" s="237"/>
      <c r="AF348" s="237"/>
      <c r="AG348" s="237"/>
      <c r="AH348" s="237"/>
      <c r="AI348" s="308"/>
      <c r="AJ348" s="308"/>
      <c r="AK348" s="308"/>
      <c r="AL348" s="308"/>
      <c r="AM348" s="98"/>
      <c r="AN348" s="98"/>
      <c r="AO348" s="98"/>
    </row>
    <row r="349" ht="14.25" customHeight="1">
      <c r="A349" s="98"/>
      <c r="B349" s="98"/>
      <c r="C349" s="98"/>
      <c r="D349" s="308"/>
      <c r="E349" s="98"/>
      <c r="F349" s="235"/>
      <c r="G349" s="235"/>
      <c r="H349" s="236"/>
      <c r="I349" s="236"/>
      <c r="J349" s="236"/>
      <c r="K349" s="236"/>
      <c r="L349" s="236"/>
      <c r="M349" s="236"/>
      <c r="N349" s="236"/>
      <c r="O349" s="236"/>
      <c r="P349" s="236"/>
      <c r="Q349" s="236"/>
      <c r="R349" s="236"/>
      <c r="S349" s="236"/>
      <c r="T349" s="236"/>
      <c r="U349" s="236"/>
      <c r="V349" s="236"/>
      <c r="W349" s="237"/>
      <c r="X349" s="237"/>
      <c r="Y349" s="237"/>
      <c r="Z349" s="237"/>
      <c r="AA349" s="237"/>
      <c r="AB349" s="237"/>
      <c r="AC349" s="237"/>
      <c r="AD349" s="237"/>
      <c r="AE349" s="237"/>
      <c r="AF349" s="237"/>
      <c r="AG349" s="237"/>
      <c r="AH349" s="237"/>
      <c r="AI349" s="308"/>
      <c r="AJ349" s="308"/>
      <c r="AK349" s="308"/>
      <c r="AL349" s="308"/>
      <c r="AM349" s="98"/>
      <c r="AN349" s="98"/>
      <c r="AO349" s="98"/>
    </row>
    <row r="350" ht="14.25" customHeight="1">
      <c r="A350" s="98"/>
      <c r="B350" s="98"/>
      <c r="C350" s="98"/>
      <c r="D350" s="308"/>
      <c r="E350" s="98"/>
      <c r="F350" s="235"/>
      <c r="G350" s="235"/>
      <c r="H350" s="236"/>
      <c r="I350" s="236"/>
      <c r="J350" s="236"/>
      <c r="K350" s="236"/>
      <c r="L350" s="236"/>
      <c r="M350" s="236"/>
      <c r="N350" s="236"/>
      <c r="O350" s="236"/>
      <c r="P350" s="236"/>
      <c r="Q350" s="236"/>
      <c r="R350" s="236"/>
      <c r="S350" s="236"/>
      <c r="T350" s="236"/>
      <c r="U350" s="236"/>
      <c r="V350" s="236"/>
      <c r="W350" s="237"/>
      <c r="X350" s="237"/>
      <c r="Y350" s="237"/>
      <c r="Z350" s="237"/>
      <c r="AA350" s="237"/>
      <c r="AB350" s="237"/>
      <c r="AC350" s="237"/>
      <c r="AD350" s="237"/>
      <c r="AE350" s="237"/>
      <c r="AF350" s="237"/>
      <c r="AG350" s="237"/>
      <c r="AH350" s="237"/>
      <c r="AI350" s="308"/>
      <c r="AJ350" s="308"/>
      <c r="AK350" s="308"/>
      <c r="AL350" s="308"/>
      <c r="AM350" s="98"/>
      <c r="AN350" s="98"/>
      <c r="AO350" s="98"/>
    </row>
    <row r="351" ht="14.25" customHeight="1">
      <c r="A351" s="98"/>
      <c r="B351" s="98"/>
      <c r="C351" s="98"/>
      <c r="D351" s="308"/>
      <c r="E351" s="98"/>
      <c r="F351" s="235"/>
      <c r="G351" s="235"/>
      <c r="H351" s="236"/>
      <c r="I351" s="236"/>
      <c r="J351" s="236"/>
      <c r="K351" s="236"/>
      <c r="L351" s="236"/>
      <c r="M351" s="236"/>
      <c r="N351" s="236"/>
      <c r="O351" s="236"/>
      <c r="P351" s="236"/>
      <c r="Q351" s="236"/>
      <c r="R351" s="236"/>
      <c r="S351" s="236"/>
      <c r="T351" s="236"/>
      <c r="U351" s="236"/>
      <c r="V351" s="236"/>
      <c r="W351" s="237"/>
      <c r="X351" s="237"/>
      <c r="Y351" s="237"/>
      <c r="Z351" s="237"/>
      <c r="AA351" s="237"/>
      <c r="AB351" s="237"/>
      <c r="AC351" s="237"/>
      <c r="AD351" s="237"/>
      <c r="AE351" s="237"/>
      <c r="AF351" s="237"/>
      <c r="AG351" s="237"/>
      <c r="AH351" s="237"/>
      <c r="AI351" s="308"/>
      <c r="AJ351" s="308"/>
      <c r="AK351" s="308"/>
      <c r="AL351" s="308"/>
      <c r="AM351" s="98"/>
      <c r="AN351" s="98"/>
      <c r="AO351" s="98"/>
    </row>
    <row r="352" ht="14.25" customHeight="1">
      <c r="A352" s="98"/>
      <c r="B352" s="98"/>
      <c r="C352" s="98"/>
      <c r="D352" s="308"/>
      <c r="E352" s="98"/>
      <c r="F352" s="235"/>
      <c r="G352" s="235"/>
      <c r="H352" s="236"/>
      <c r="I352" s="236"/>
      <c r="J352" s="236"/>
      <c r="K352" s="236"/>
      <c r="L352" s="236"/>
      <c r="M352" s="236"/>
      <c r="N352" s="236"/>
      <c r="O352" s="236"/>
      <c r="P352" s="236"/>
      <c r="Q352" s="236"/>
      <c r="R352" s="236"/>
      <c r="S352" s="236"/>
      <c r="T352" s="236"/>
      <c r="U352" s="236"/>
      <c r="V352" s="236"/>
      <c r="W352" s="237"/>
      <c r="X352" s="237"/>
      <c r="Y352" s="237"/>
      <c r="Z352" s="237"/>
      <c r="AA352" s="237"/>
      <c r="AB352" s="237"/>
      <c r="AC352" s="237"/>
      <c r="AD352" s="237"/>
      <c r="AE352" s="237"/>
      <c r="AF352" s="237"/>
      <c r="AG352" s="237"/>
      <c r="AH352" s="237"/>
      <c r="AI352" s="308"/>
      <c r="AJ352" s="308"/>
      <c r="AK352" s="308"/>
      <c r="AL352" s="308"/>
      <c r="AM352" s="98"/>
      <c r="AN352" s="98"/>
      <c r="AO352" s="98"/>
    </row>
    <row r="353" ht="14.25" customHeight="1">
      <c r="A353" s="98"/>
      <c r="B353" s="98"/>
      <c r="C353" s="98"/>
      <c r="D353" s="308"/>
      <c r="E353" s="98"/>
      <c r="F353" s="235"/>
      <c r="G353" s="235"/>
      <c r="H353" s="236"/>
      <c r="I353" s="236"/>
      <c r="J353" s="236"/>
      <c r="K353" s="236"/>
      <c r="L353" s="236"/>
      <c r="M353" s="236"/>
      <c r="N353" s="236"/>
      <c r="O353" s="236"/>
      <c r="P353" s="236"/>
      <c r="Q353" s="236"/>
      <c r="R353" s="236"/>
      <c r="S353" s="236"/>
      <c r="T353" s="236"/>
      <c r="U353" s="236"/>
      <c r="V353" s="236"/>
      <c r="W353" s="237"/>
      <c r="X353" s="237"/>
      <c r="Y353" s="237"/>
      <c r="Z353" s="237"/>
      <c r="AA353" s="237"/>
      <c r="AB353" s="237"/>
      <c r="AC353" s="237"/>
      <c r="AD353" s="237"/>
      <c r="AE353" s="237"/>
      <c r="AF353" s="237"/>
      <c r="AG353" s="237"/>
      <c r="AH353" s="237"/>
      <c r="AI353" s="308"/>
      <c r="AJ353" s="308"/>
      <c r="AK353" s="308"/>
      <c r="AL353" s="308"/>
      <c r="AM353" s="98"/>
      <c r="AN353" s="98"/>
      <c r="AO353" s="98"/>
    </row>
    <row r="354" ht="14.25" customHeight="1">
      <c r="A354" s="98"/>
      <c r="B354" s="98"/>
      <c r="C354" s="98"/>
      <c r="D354" s="308"/>
      <c r="E354" s="98"/>
      <c r="F354" s="235"/>
      <c r="G354" s="235"/>
      <c r="H354" s="236"/>
      <c r="I354" s="236"/>
      <c r="J354" s="236"/>
      <c r="K354" s="236"/>
      <c r="L354" s="236"/>
      <c r="M354" s="236"/>
      <c r="N354" s="236"/>
      <c r="O354" s="236"/>
      <c r="P354" s="236"/>
      <c r="Q354" s="236"/>
      <c r="R354" s="236"/>
      <c r="S354" s="236"/>
      <c r="T354" s="236"/>
      <c r="U354" s="236"/>
      <c r="V354" s="236"/>
      <c r="W354" s="237"/>
      <c r="X354" s="237"/>
      <c r="Y354" s="237"/>
      <c r="Z354" s="237"/>
      <c r="AA354" s="237"/>
      <c r="AB354" s="237"/>
      <c r="AC354" s="237"/>
      <c r="AD354" s="237"/>
      <c r="AE354" s="237"/>
      <c r="AF354" s="237"/>
      <c r="AG354" s="237"/>
      <c r="AH354" s="237"/>
      <c r="AI354" s="308"/>
      <c r="AJ354" s="308"/>
      <c r="AK354" s="308"/>
      <c r="AL354" s="308"/>
      <c r="AM354" s="98"/>
      <c r="AN354" s="98"/>
      <c r="AO354" s="98"/>
    </row>
    <row r="355" ht="14.25" customHeight="1">
      <c r="A355" s="98"/>
      <c r="B355" s="98"/>
      <c r="C355" s="98"/>
      <c r="D355" s="308"/>
      <c r="E355" s="98"/>
      <c r="F355" s="235"/>
      <c r="G355" s="235"/>
      <c r="H355" s="236"/>
      <c r="I355" s="236"/>
      <c r="J355" s="236"/>
      <c r="K355" s="236"/>
      <c r="L355" s="236"/>
      <c r="M355" s="236"/>
      <c r="N355" s="236"/>
      <c r="O355" s="236"/>
      <c r="P355" s="236"/>
      <c r="Q355" s="236"/>
      <c r="R355" s="236"/>
      <c r="S355" s="236"/>
      <c r="T355" s="236"/>
      <c r="U355" s="236"/>
      <c r="V355" s="236"/>
      <c r="W355" s="237"/>
      <c r="X355" s="237"/>
      <c r="Y355" s="237"/>
      <c r="Z355" s="237"/>
      <c r="AA355" s="237"/>
      <c r="AB355" s="237"/>
      <c r="AC355" s="237"/>
      <c r="AD355" s="237"/>
      <c r="AE355" s="237"/>
      <c r="AF355" s="237"/>
      <c r="AG355" s="237"/>
      <c r="AH355" s="237"/>
      <c r="AI355" s="308"/>
      <c r="AJ355" s="308"/>
      <c r="AK355" s="308"/>
      <c r="AL355" s="308"/>
      <c r="AM355" s="98"/>
      <c r="AN355" s="98"/>
      <c r="AO355" s="98"/>
    </row>
    <row r="356" ht="14.25" customHeight="1">
      <c r="A356" s="98"/>
      <c r="B356" s="98"/>
      <c r="C356" s="98"/>
      <c r="D356" s="308"/>
      <c r="E356" s="98"/>
      <c r="F356" s="235"/>
      <c r="G356" s="235"/>
      <c r="H356" s="236"/>
      <c r="I356" s="236"/>
      <c r="J356" s="236"/>
      <c r="K356" s="236"/>
      <c r="L356" s="236"/>
      <c r="M356" s="236"/>
      <c r="N356" s="236"/>
      <c r="O356" s="236"/>
      <c r="P356" s="236"/>
      <c r="Q356" s="236"/>
      <c r="R356" s="236"/>
      <c r="S356" s="236"/>
      <c r="T356" s="236"/>
      <c r="U356" s="236"/>
      <c r="V356" s="236"/>
      <c r="W356" s="237"/>
      <c r="X356" s="237"/>
      <c r="Y356" s="237"/>
      <c r="Z356" s="237"/>
      <c r="AA356" s="237"/>
      <c r="AB356" s="237"/>
      <c r="AC356" s="237"/>
      <c r="AD356" s="237"/>
      <c r="AE356" s="237"/>
      <c r="AF356" s="237"/>
      <c r="AG356" s="237"/>
      <c r="AH356" s="237"/>
      <c r="AI356" s="308"/>
      <c r="AJ356" s="308"/>
      <c r="AK356" s="308"/>
      <c r="AL356" s="308"/>
      <c r="AM356" s="98"/>
      <c r="AN356" s="98"/>
      <c r="AO356" s="98"/>
    </row>
    <row r="357" ht="14.25" customHeight="1">
      <c r="A357" s="98"/>
      <c r="B357" s="98"/>
      <c r="C357" s="98"/>
      <c r="D357" s="308"/>
      <c r="E357" s="98"/>
      <c r="F357" s="235"/>
      <c r="G357" s="235"/>
      <c r="H357" s="236"/>
      <c r="I357" s="236"/>
      <c r="J357" s="236"/>
      <c r="K357" s="236"/>
      <c r="L357" s="236"/>
      <c r="M357" s="236"/>
      <c r="N357" s="236"/>
      <c r="O357" s="236"/>
      <c r="P357" s="236"/>
      <c r="Q357" s="236"/>
      <c r="R357" s="236"/>
      <c r="S357" s="236"/>
      <c r="T357" s="236"/>
      <c r="U357" s="236"/>
      <c r="V357" s="236"/>
      <c r="W357" s="237"/>
      <c r="X357" s="237"/>
      <c r="Y357" s="237"/>
      <c r="Z357" s="237"/>
      <c r="AA357" s="237"/>
      <c r="AB357" s="237"/>
      <c r="AC357" s="237"/>
      <c r="AD357" s="237"/>
      <c r="AE357" s="237"/>
      <c r="AF357" s="237"/>
      <c r="AG357" s="237"/>
      <c r="AH357" s="237"/>
      <c r="AI357" s="308"/>
      <c r="AJ357" s="308"/>
      <c r="AK357" s="308"/>
      <c r="AL357" s="308"/>
      <c r="AM357" s="98"/>
      <c r="AN357" s="98"/>
      <c r="AO357" s="98"/>
    </row>
    <row r="358" ht="14.25" customHeight="1">
      <c r="A358" s="98"/>
      <c r="B358" s="98"/>
      <c r="C358" s="98"/>
      <c r="D358" s="308"/>
      <c r="E358" s="98"/>
      <c r="F358" s="235"/>
      <c r="G358" s="235"/>
      <c r="H358" s="236"/>
      <c r="I358" s="236"/>
      <c r="J358" s="236"/>
      <c r="K358" s="236"/>
      <c r="L358" s="236"/>
      <c r="M358" s="236"/>
      <c r="N358" s="236"/>
      <c r="O358" s="236"/>
      <c r="P358" s="236"/>
      <c r="Q358" s="236"/>
      <c r="R358" s="236"/>
      <c r="S358" s="236"/>
      <c r="T358" s="236"/>
      <c r="U358" s="236"/>
      <c r="V358" s="236"/>
      <c r="W358" s="237"/>
      <c r="X358" s="237"/>
      <c r="Y358" s="237"/>
      <c r="Z358" s="237"/>
      <c r="AA358" s="237"/>
      <c r="AB358" s="237"/>
      <c r="AC358" s="237"/>
      <c r="AD358" s="237"/>
      <c r="AE358" s="237"/>
      <c r="AF358" s="237"/>
      <c r="AG358" s="237"/>
      <c r="AH358" s="237"/>
      <c r="AI358" s="308"/>
      <c r="AJ358" s="308"/>
      <c r="AK358" s="308"/>
      <c r="AL358" s="308"/>
      <c r="AM358" s="98"/>
      <c r="AN358" s="98"/>
      <c r="AO358" s="98"/>
    </row>
    <row r="359" ht="14.25" customHeight="1">
      <c r="A359" s="98"/>
      <c r="B359" s="98"/>
      <c r="C359" s="98"/>
      <c r="D359" s="308"/>
      <c r="E359" s="98"/>
      <c r="F359" s="235"/>
      <c r="G359" s="235"/>
      <c r="H359" s="236"/>
      <c r="I359" s="236"/>
      <c r="J359" s="236"/>
      <c r="K359" s="236"/>
      <c r="L359" s="236"/>
      <c r="M359" s="236"/>
      <c r="N359" s="236"/>
      <c r="O359" s="236"/>
      <c r="P359" s="236"/>
      <c r="Q359" s="236"/>
      <c r="R359" s="236"/>
      <c r="S359" s="236"/>
      <c r="T359" s="236"/>
      <c r="U359" s="236"/>
      <c r="V359" s="236"/>
      <c r="W359" s="237"/>
      <c r="X359" s="237"/>
      <c r="Y359" s="237"/>
      <c r="Z359" s="237"/>
      <c r="AA359" s="237"/>
      <c r="AB359" s="237"/>
      <c r="AC359" s="237"/>
      <c r="AD359" s="237"/>
      <c r="AE359" s="237"/>
      <c r="AF359" s="237"/>
      <c r="AG359" s="237"/>
      <c r="AH359" s="237"/>
      <c r="AI359" s="308"/>
      <c r="AJ359" s="308"/>
      <c r="AK359" s="308"/>
      <c r="AL359" s="308"/>
      <c r="AM359" s="98"/>
      <c r="AN359" s="98"/>
      <c r="AO359" s="98"/>
    </row>
    <row r="360" ht="14.25" customHeight="1">
      <c r="A360" s="98"/>
      <c r="B360" s="98"/>
      <c r="C360" s="98"/>
      <c r="D360" s="308"/>
      <c r="E360" s="98"/>
      <c r="F360" s="235"/>
      <c r="G360" s="235"/>
      <c r="H360" s="236"/>
      <c r="I360" s="236"/>
      <c r="J360" s="236"/>
      <c r="K360" s="236"/>
      <c r="L360" s="236"/>
      <c r="M360" s="236"/>
      <c r="N360" s="236"/>
      <c r="O360" s="236"/>
      <c r="P360" s="236"/>
      <c r="Q360" s="236"/>
      <c r="R360" s="236"/>
      <c r="S360" s="236"/>
      <c r="T360" s="236"/>
      <c r="U360" s="236"/>
      <c r="V360" s="236"/>
      <c r="W360" s="237"/>
      <c r="X360" s="237"/>
      <c r="Y360" s="237"/>
      <c r="Z360" s="237"/>
      <c r="AA360" s="237"/>
      <c r="AB360" s="237"/>
      <c r="AC360" s="237"/>
      <c r="AD360" s="237"/>
      <c r="AE360" s="237"/>
      <c r="AF360" s="237"/>
      <c r="AG360" s="237"/>
      <c r="AH360" s="237"/>
      <c r="AI360" s="308"/>
      <c r="AJ360" s="308"/>
      <c r="AK360" s="308"/>
      <c r="AL360" s="308"/>
      <c r="AM360" s="98"/>
      <c r="AN360" s="98"/>
      <c r="AO360" s="98"/>
    </row>
    <row r="361" ht="14.25" customHeight="1">
      <c r="A361" s="98"/>
      <c r="B361" s="98"/>
      <c r="C361" s="98"/>
      <c r="D361" s="308"/>
      <c r="E361" s="98"/>
      <c r="F361" s="235"/>
      <c r="G361" s="235"/>
      <c r="H361" s="236"/>
      <c r="I361" s="236"/>
      <c r="J361" s="236"/>
      <c r="K361" s="236"/>
      <c r="L361" s="236"/>
      <c r="M361" s="236"/>
      <c r="N361" s="236"/>
      <c r="O361" s="236"/>
      <c r="P361" s="236"/>
      <c r="Q361" s="236"/>
      <c r="R361" s="236"/>
      <c r="S361" s="236"/>
      <c r="T361" s="236"/>
      <c r="U361" s="236"/>
      <c r="V361" s="236"/>
      <c r="W361" s="237"/>
      <c r="X361" s="237"/>
      <c r="Y361" s="237"/>
      <c r="Z361" s="237"/>
      <c r="AA361" s="237"/>
      <c r="AB361" s="237"/>
      <c r="AC361" s="237"/>
      <c r="AD361" s="237"/>
      <c r="AE361" s="237"/>
      <c r="AF361" s="237"/>
      <c r="AG361" s="237"/>
      <c r="AH361" s="237"/>
      <c r="AI361" s="308"/>
      <c r="AJ361" s="308"/>
      <c r="AK361" s="308"/>
      <c r="AL361" s="308"/>
      <c r="AM361" s="98"/>
      <c r="AN361" s="98"/>
      <c r="AO361" s="98"/>
    </row>
    <row r="362" ht="14.25" customHeight="1">
      <c r="A362" s="98"/>
      <c r="B362" s="98"/>
      <c r="C362" s="98"/>
      <c r="D362" s="308"/>
      <c r="E362" s="98"/>
      <c r="F362" s="235"/>
      <c r="G362" s="235"/>
      <c r="H362" s="236"/>
      <c r="I362" s="236"/>
      <c r="J362" s="236"/>
      <c r="K362" s="236"/>
      <c r="L362" s="236"/>
      <c r="M362" s="236"/>
      <c r="N362" s="236"/>
      <c r="O362" s="236"/>
      <c r="P362" s="236"/>
      <c r="Q362" s="236"/>
      <c r="R362" s="236"/>
      <c r="S362" s="236"/>
      <c r="T362" s="236"/>
      <c r="U362" s="236"/>
      <c r="V362" s="236"/>
      <c r="W362" s="237"/>
      <c r="X362" s="237"/>
      <c r="Y362" s="237"/>
      <c r="Z362" s="237"/>
      <c r="AA362" s="237"/>
      <c r="AB362" s="237"/>
      <c r="AC362" s="237"/>
      <c r="AD362" s="237"/>
      <c r="AE362" s="237"/>
      <c r="AF362" s="237"/>
      <c r="AG362" s="237"/>
      <c r="AH362" s="237"/>
      <c r="AI362" s="308"/>
      <c r="AJ362" s="308"/>
      <c r="AK362" s="308"/>
      <c r="AL362" s="308"/>
      <c r="AM362" s="98"/>
      <c r="AN362" s="98"/>
      <c r="AO362" s="98"/>
    </row>
    <row r="363" ht="14.25" customHeight="1">
      <c r="A363" s="98"/>
      <c r="B363" s="98"/>
      <c r="C363" s="98"/>
      <c r="D363" s="308"/>
      <c r="E363" s="98"/>
      <c r="F363" s="235"/>
      <c r="G363" s="235"/>
      <c r="H363" s="236"/>
      <c r="I363" s="236"/>
      <c r="J363" s="236"/>
      <c r="K363" s="236"/>
      <c r="L363" s="236"/>
      <c r="M363" s="236"/>
      <c r="N363" s="236"/>
      <c r="O363" s="236"/>
      <c r="P363" s="236"/>
      <c r="Q363" s="236"/>
      <c r="R363" s="236"/>
      <c r="S363" s="236"/>
      <c r="T363" s="236"/>
      <c r="U363" s="236"/>
      <c r="V363" s="236"/>
      <c r="W363" s="237"/>
      <c r="X363" s="237"/>
      <c r="Y363" s="237"/>
      <c r="Z363" s="237"/>
      <c r="AA363" s="237"/>
      <c r="AB363" s="237"/>
      <c r="AC363" s="237"/>
      <c r="AD363" s="237"/>
      <c r="AE363" s="237"/>
      <c r="AF363" s="237"/>
      <c r="AG363" s="237"/>
      <c r="AH363" s="237"/>
      <c r="AI363" s="308"/>
      <c r="AJ363" s="308"/>
      <c r="AK363" s="308"/>
      <c r="AL363" s="308"/>
      <c r="AM363" s="98"/>
      <c r="AN363" s="98"/>
      <c r="AO363" s="98"/>
    </row>
    <row r="364" ht="14.25" customHeight="1">
      <c r="A364" s="98"/>
      <c r="B364" s="98"/>
      <c r="C364" s="98"/>
      <c r="D364" s="308"/>
      <c r="E364" s="98"/>
      <c r="F364" s="235"/>
      <c r="G364" s="235"/>
      <c r="H364" s="236"/>
      <c r="I364" s="236"/>
      <c r="J364" s="236"/>
      <c r="K364" s="236"/>
      <c r="L364" s="236"/>
      <c r="M364" s="236"/>
      <c r="N364" s="236"/>
      <c r="O364" s="236"/>
      <c r="P364" s="236"/>
      <c r="Q364" s="236"/>
      <c r="R364" s="236"/>
      <c r="S364" s="236"/>
      <c r="T364" s="236"/>
      <c r="U364" s="236"/>
      <c r="V364" s="236"/>
      <c r="W364" s="237"/>
      <c r="X364" s="237"/>
      <c r="Y364" s="237"/>
      <c r="Z364" s="237"/>
      <c r="AA364" s="237"/>
      <c r="AB364" s="237"/>
      <c r="AC364" s="237"/>
      <c r="AD364" s="237"/>
      <c r="AE364" s="237"/>
      <c r="AF364" s="237"/>
      <c r="AG364" s="237"/>
      <c r="AH364" s="237"/>
      <c r="AI364" s="308"/>
      <c r="AJ364" s="308"/>
      <c r="AK364" s="308"/>
      <c r="AL364" s="308"/>
      <c r="AM364" s="98"/>
      <c r="AN364" s="98"/>
      <c r="AO364" s="98"/>
    </row>
    <row r="365" ht="14.25" customHeight="1">
      <c r="A365" s="98"/>
      <c r="B365" s="98"/>
      <c r="C365" s="98"/>
      <c r="D365" s="308"/>
      <c r="E365" s="98"/>
      <c r="F365" s="235"/>
      <c r="G365" s="235"/>
      <c r="H365" s="236"/>
      <c r="I365" s="236"/>
      <c r="J365" s="236"/>
      <c r="K365" s="236"/>
      <c r="L365" s="236"/>
      <c r="M365" s="236"/>
      <c r="N365" s="236"/>
      <c r="O365" s="236"/>
      <c r="P365" s="236"/>
      <c r="Q365" s="236"/>
      <c r="R365" s="236"/>
      <c r="S365" s="236"/>
      <c r="T365" s="236"/>
      <c r="U365" s="236"/>
      <c r="V365" s="236"/>
      <c r="W365" s="237"/>
      <c r="X365" s="237"/>
      <c r="Y365" s="237"/>
      <c r="Z365" s="237"/>
      <c r="AA365" s="237"/>
      <c r="AB365" s="237"/>
      <c r="AC365" s="237"/>
      <c r="AD365" s="237"/>
      <c r="AE365" s="237"/>
      <c r="AF365" s="237"/>
      <c r="AG365" s="237"/>
      <c r="AH365" s="237"/>
      <c r="AI365" s="308"/>
      <c r="AJ365" s="308"/>
      <c r="AK365" s="308"/>
      <c r="AL365" s="308"/>
      <c r="AM365" s="98"/>
      <c r="AN365" s="98"/>
      <c r="AO365" s="98"/>
    </row>
    <row r="366" ht="14.25" customHeight="1">
      <c r="A366" s="98"/>
      <c r="B366" s="98"/>
      <c r="C366" s="98"/>
      <c r="D366" s="308"/>
      <c r="E366" s="98"/>
      <c r="F366" s="235"/>
      <c r="G366" s="235"/>
      <c r="H366" s="236"/>
      <c r="I366" s="236"/>
      <c r="J366" s="236"/>
      <c r="K366" s="236"/>
      <c r="L366" s="236"/>
      <c r="M366" s="236"/>
      <c r="N366" s="236"/>
      <c r="O366" s="236"/>
      <c r="P366" s="236"/>
      <c r="Q366" s="236"/>
      <c r="R366" s="236"/>
      <c r="S366" s="236"/>
      <c r="T366" s="236"/>
      <c r="U366" s="236"/>
      <c r="V366" s="236"/>
      <c r="W366" s="237"/>
      <c r="X366" s="237"/>
      <c r="Y366" s="237"/>
      <c r="Z366" s="237"/>
      <c r="AA366" s="237"/>
      <c r="AB366" s="237"/>
      <c r="AC366" s="237"/>
      <c r="AD366" s="237"/>
      <c r="AE366" s="237"/>
      <c r="AF366" s="237"/>
      <c r="AG366" s="237"/>
      <c r="AH366" s="237"/>
      <c r="AI366" s="308"/>
      <c r="AJ366" s="308"/>
      <c r="AK366" s="308"/>
      <c r="AL366" s="308"/>
      <c r="AM366" s="98"/>
      <c r="AN366" s="98"/>
      <c r="AO366" s="98"/>
    </row>
    <row r="367" ht="14.25" customHeight="1">
      <c r="A367" s="98"/>
      <c r="B367" s="98"/>
      <c r="C367" s="98"/>
      <c r="D367" s="308"/>
      <c r="E367" s="98"/>
      <c r="F367" s="235"/>
      <c r="G367" s="235"/>
      <c r="H367" s="236"/>
      <c r="I367" s="236"/>
      <c r="J367" s="236"/>
      <c r="K367" s="236"/>
      <c r="L367" s="236"/>
      <c r="M367" s="236"/>
      <c r="N367" s="236"/>
      <c r="O367" s="236"/>
      <c r="P367" s="236"/>
      <c r="Q367" s="236"/>
      <c r="R367" s="236"/>
      <c r="S367" s="236"/>
      <c r="T367" s="236"/>
      <c r="U367" s="236"/>
      <c r="V367" s="236"/>
      <c r="W367" s="237"/>
      <c r="X367" s="237"/>
      <c r="Y367" s="237"/>
      <c r="Z367" s="237"/>
      <c r="AA367" s="237"/>
      <c r="AB367" s="237"/>
      <c r="AC367" s="237"/>
      <c r="AD367" s="237"/>
      <c r="AE367" s="237"/>
      <c r="AF367" s="237"/>
      <c r="AG367" s="237"/>
      <c r="AH367" s="237"/>
      <c r="AI367" s="308"/>
      <c r="AJ367" s="308"/>
      <c r="AK367" s="308"/>
      <c r="AL367" s="308"/>
      <c r="AM367" s="98"/>
      <c r="AN367" s="98"/>
      <c r="AO367" s="98"/>
    </row>
    <row r="368" ht="14.25" customHeight="1">
      <c r="A368" s="98"/>
      <c r="B368" s="98"/>
      <c r="C368" s="98"/>
      <c r="D368" s="308"/>
      <c r="E368" s="98"/>
      <c r="F368" s="235"/>
      <c r="G368" s="235"/>
      <c r="H368" s="236"/>
      <c r="I368" s="236"/>
      <c r="J368" s="236"/>
      <c r="K368" s="236"/>
      <c r="L368" s="236"/>
      <c r="M368" s="236"/>
      <c r="N368" s="236"/>
      <c r="O368" s="236"/>
      <c r="P368" s="236"/>
      <c r="Q368" s="236"/>
      <c r="R368" s="236"/>
      <c r="S368" s="236"/>
      <c r="T368" s="236"/>
      <c r="U368" s="236"/>
      <c r="V368" s="236"/>
      <c r="W368" s="237"/>
      <c r="X368" s="237"/>
      <c r="Y368" s="237"/>
      <c r="Z368" s="237"/>
      <c r="AA368" s="237"/>
      <c r="AB368" s="237"/>
      <c r="AC368" s="237"/>
      <c r="AD368" s="237"/>
      <c r="AE368" s="237"/>
      <c r="AF368" s="237"/>
      <c r="AG368" s="237"/>
      <c r="AH368" s="237"/>
      <c r="AI368" s="308"/>
      <c r="AJ368" s="308"/>
      <c r="AK368" s="308"/>
      <c r="AL368" s="308"/>
      <c r="AM368" s="98"/>
      <c r="AN368" s="98"/>
      <c r="AO368" s="98"/>
    </row>
    <row r="369" ht="14.25" customHeight="1">
      <c r="A369" s="98"/>
      <c r="B369" s="98"/>
      <c r="C369" s="98"/>
      <c r="D369" s="308"/>
      <c r="E369" s="98"/>
      <c r="F369" s="235"/>
      <c r="G369" s="235"/>
      <c r="H369" s="236"/>
      <c r="I369" s="236"/>
      <c r="J369" s="236"/>
      <c r="K369" s="236"/>
      <c r="L369" s="236"/>
      <c r="M369" s="236"/>
      <c r="N369" s="236"/>
      <c r="O369" s="236"/>
      <c r="P369" s="236"/>
      <c r="Q369" s="236"/>
      <c r="R369" s="236"/>
      <c r="S369" s="236"/>
      <c r="T369" s="236"/>
      <c r="U369" s="236"/>
      <c r="V369" s="236"/>
      <c r="W369" s="237"/>
      <c r="X369" s="237"/>
      <c r="Y369" s="237"/>
      <c r="Z369" s="237"/>
      <c r="AA369" s="237"/>
      <c r="AB369" s="237"/>
      <c r="AC369" s="237"/>
      <c r="AD369" s="237"/>
      <c r="AE369" s="237"/>
      <c r="AF369" s="237"/>
      <c r="AG369" s="237"/>
      <c r="AH369" s="237"/>
      <c r="AI369" s="308"/>
      <c r="AJ369" s="308"/>
      <c r="AK369" s="308"/>
      <c r="AL369" s="308"/>
      <c r="AM369" s="98"/>
      <c r="AN369" s="98"/>
      <c r="AO369" s="98"/>
    </row>
    <row r="370" ht="14.25" customHeight="1">
      <c r="A370" s="98"/>
      <c r="B370" s="98"/>
      <c r="C370" s="98"/>
      <c r="D370" s="308"/>
      <c r="E370" s="98"/>
      <c r="F370" s="235"/>
      <c r="G370" s="235"/>
      <c r="H370" s="236"/>
      <c r="I370" s="236"/>
      <c r="J370" s="236"/>
      <c r="K370" s="236"/>
      <c r="L370" s="236"/>
      <c r="M370" s="236"/>
      <c r="N370" s="236"/>
      <c r="O370" s="236"/>
      <c r="P370" s="236"/>
      <c r="Q370" s="236"/>
      <c r="R370" s="236"/>
      <c r="S370" s="236"/>
      <c r="T370" s="236"/>
      <c r="U370" s="236"/>
      <c r="V370" s="236"/>
      <c r="W370" s="237"/>
      <c r="X370" s="237"/>
      <c r="Y370" s="237"/>
      <c r="Z370" s="237"/>
      <c r="AA370" s="237"/>
      <c r="AB370" s="237"/>
      <c r="AC370" s="237"/>
      <c r="AD370" s="237"/>
      <c r="AE370" s="237"/>
      <c r="AF370" s="237"/>
      <c r="AG370" s="237"/>
      <c r="AH370" s="237"/>
      <c r="AI370" s="308"/>
      <c r="AJ370" s="308"/>
      <c r="AK370" s="308"/>
      <c r="AL370" s="308"/>
      <c r="AM370" s="98"/>
      <c r="AN370" s="98"/>
      <c r="AO370" s="98"/>
    </row>
    <row r="371" ht="14.25" customHeight="1">
      <c r="A371" s="98"/>
      <c r="B371" s="98"/>
      <c r="C371" s="98"/>
      <c r="D371" s="308"/>
      <c r="E371" s="98"/>
      <c r="F371" s="235"/>
      <c r="G371" s="235"/>
      <c r="H371" s="236"/>
      <c r="I371" s="236"/>
      <c r="J371" s="236"/>
      <c r="K371" s="236"/>
      <c r="L371" s="236"/>
      <c r="M371" s="236"/>
      <c r="N371" s="236"/>
      <c r="O371" s="236"/>
      <c r="P371" s="236"/>
      <c r="Q371" s="236"/>
      <c r="R371" s="236"/>
      <c r="S371" s="236"/>
      <c r="T371" s="236"/>
      <c r="U371" s="236"/>
      <c r="V371" s="236"/>
      <c r="W371" s="237"/>
      <c r="X371" s="237"/>
      <c r="Y371" s="237"/>
      <c r="Z371" s="237"/>
      <c r="AA371" s="237"/>
      <c r="AB371" s="237"/>
      <c r="AC371" s="237"/>
      <c r="AD371" s="237"/>
      <c r="AE371" s="237"/>
      <c r="AF371" s="237"/>
      <c r="AG371" s="237"/>
      <c r="AH371" s="237"/>
      <c r="AI371" s="308"/>
      <c r="AJ371" s="308"/>
      <c r="AK371" s="308"/>
      <c r="AL371" s="308"/>
      <c r="AM371" s="98"/>
      <c r="AN371" s="98"/>
      <c r="AO371" s="98"/>
    </row>
    <row r="372" ht="14.25" customHeight="1">
      <c r="A372" s="98"/>
      <c r="B372" s="98"/>
      <c r="C372" s="98"/>
      <c r="D372" s="308"/>
      <c r="E372" s="98"/>
      <c r="F372" s="235"/>
      <c r="G372" s="235"/>
      <c r="H372" s="236"/>
      <c r="I372" s="236"/>
      <c r="J372" s="236"/>
      <c r="K372" s="236"/>
      <c r="L372" s="236"/>
      <c r="M372" s="236"/>
      <c r="N372" s="236"/>
      <c r="O372" s="236"/>
      <c r="P372" s="236"/>
      <c r="Q372" s="236"/>
      <c r="R372" s="236"/>
      <c r="S372" s="236"/>
      <c r="T372" s="236"/>
      <c r="U372" s="236"/>
      <c r="V372" s="236"/>
      <c r="W372" s="237"/>
      <c r="X372" s="237"/>
      <c r="Y372" s="237"/>
      <c r="Z372" s="237"/>
      <c r="AA372" s="237"/>
      <c r="AB372" s="237"/>
      <c r="AC372" s="237"/>
      <c r="AD372" s="237"/>
      <c r="AE372" s="237"/>
      <c r="AF372" s="237"/>
      <c r="AG372" s="237"/>
      <c r="AH372" s="237"/>
      <c r="AI372" s="308"/>
      <c r="AJ372" s="308"/>
      <c r="AK372" s="308"/>
      <c r="AL372" s="308"/>
      <c r="AM372" s="98"/>
      <c r="AN372" s="98"/>
      <c r="AO372" s="98"/>
    </row>
    <row r="373" ht="14.25" customHeight="1">
      <c r="A373" s="98"/>
      <c r="B373" s="98"/>
      <c r="C373" s="98"/>
      <c r="D373" s="308"/>
      <c r="E373" s="98"/>
      <c r="F373" s="235"/>
      <c r="G373" s="235"/>
      <c r="H373" s="236"/>
      <c r="I373" s="236"/>
      <c r="J373" s="236"/>
      <c r="K373" s="236"/>
      <c r="L373" s="236"/>
      <c r="M373" s="236"/>
      <c r="N373" s="236"/>
      <c r="O373" s="236"/>
      <c r="P373" s="236"/>
      <c r="Q373" s="236"/>
      <c r="R373" s="236"/>
      <c r="S373" s="236"/>
      <c r="T373" s="236"/>
      <c r="U373" s="236"/>
      <c r="V373" s="236"/>
      <c r="W373" s="237"/>
      <c r="X373" s="237"/>
      <c r="Y373" s="237"/>
      <c r="Z373" s="237"/>
      <c r="AA373" s="237"/>
      <c r="AB373" s="237"/>
      <c r="AC373" s="237"/>
      <c r="AD373" s="237"/>
      <c r="AE373" s="237"/>
      <c r="AF373" s="237"/>
      <c r="AG373" s="237"/>
      <c r="AH373" s="237"/>
      <c r="AI373" s="308"/>
      <c r="AJ373" s="308"/>
      <c r="AK373" s="308"/>
      <c r="AL373" s="308"/>
      <c r="AM373" s="98"/>
      <c r="AN373" s="98"/>
      <c r="AO373" s="98"/>
    </row>
    <row r="374" ht="14.25" customHeight="1">
      <c r="A374" s="98"/>
      <c r="B374" s="98"/>
      <c r="C374" s="98"/>
      <c r="D374" s="308"/>
      <c r="E374" s="98"/>
      <c r="F374" s="235"/>
      <c r="G374" s="235"/>
      <c r="H374" s="236"/>
      <c r="I374" s="236"/>
      <c r="J374" s="236"/>
      <c r="K374" s="236"/>
      <c r="L374" s="236"/>
      <c r="M374" s="236"/>
      <c r="N374" s="236"/>
      <c r="O374" s="236"/>
      <c r="P374" s="236"/>
      <c r="Q374" s="236"/>
      <c r="R374" s="236"/>
      <c r="S374" s="236"/>
      <c r="T374" s="236"/>
      <c r="U374" s="236"/>
      <c r="V374" s="236"/>
      <c r="W374" s="237"/>
      <c r="X374" s="237"/>
      <c r="Y374" s="237"/>
      <c r="Z374" s="237"/>
      <c r="AA374" s="237"/>
      <c r="AB374" s="237"/>
      <c r="AC374" s="237"/>
      <c r="AD374" s="237"/>
      <c r="AE374" s="237"/>
      <c r="AF374" s="237"/>
      <c r="AG374" s="237"/>
      <c r="AH374" s="237"/>
      <c r="AI374" s="308"/>
      <c r="AJ374" s="308"/>
      <c r="AK374" s="308"/>
      <c r="AL374" s="308"/>
      <c r="AM374" s="98"/>
      <c r="AN374" s="98"/>
      <c r="AO374" s="98"/>
    </row>
    <row r="375" ht="14.25" customHeight="1">
      <c r="A375" s="98"/>
      <c r="B375" s="98"/>
      <c r="C375" s="98"/>
      <c r="D375" s="308"/>
      <c r="E375" s="98"/>
      <c r="F375" s="235"/>
      <c r="G375" s="235"/>
      <c r="H375" s="236"/>
      <c r="I375" s="236"/>
      <c r="J375" s="236"/>
      <c r="K375" s="236"/>
      <c r="L375" s="236"/>
      <c r="M375" s="236"/>
      <c r="N375" s="236"/>
      <c r="O375" s="236"/>
      <c r="P375" s="236"/>
      <c r="Q375" s="236"/>
      <c r="R375" s="236"/>
      <c r="S375" s="236"/>
      <c r="T375" s="236"/>
      <c r="U375" s="236"/>
      <c r="V375" s="236"/>
      <c r="W375" s="237"/>
      <c r="X375" s="237"/>
      <c r="Y375" s="237"/>
      <c r="Z375" s="237"/>
      <c r="AA375" s="237"/>
      <c r="AB375" s="237"/>
      <c r="AC375" s="237"/>
      <c r="AD375" s="237"/>
      <c r="AE375" s="237"/>
      <c r="AF375" s="237"/>
      <c r="AG375" s="237"/>
      <c r="AH375" s="237"/>
      <c r="AI375" s="308"/>
      <c r="AJ375" s="308"/>
      <c r="AK375" s="308"/>
      <c r="AL375" s="308"/>
      <c r="AM375" s="98"/>
      <c r="AN375" s="98"/>
      <c r="AO375" s="98"/>
    </row>
    <row r="376" ht="14.25" customHeight="1">
      <c r="A376" s="98"/>
      <c r="B376" s="98"/>
      <c r="C376" s="98"/>
      <c r="D376" s="308"/>
      <c r="E376" s="98"/>
      <c r="F376" s="235"/>
      <c r="G376" s="235"/>
      <c r="H376" s="236"/>
      <c r="I376" s="236"/>
      <c r="J376" s="236"/>
      <c r="K376" s="236"/>
      <c r="L376" s="236"/>
      <c r="M376" s="236"/>
      <c r="N376" s="236"/>
      <c r="O376" s="236"/>
      <c r="P376" s="236"/>
      <c r="Q376" s="236"/>
      <c r="R376" s="236"/>
      <c r="S376" s="236"/>
      <c r="T376" s="236"/>
      <c r="U376" s="236"/>
      <c r="V376" s="236"/>
      <c r="W376" s="237"/>
      <c r="X376" s="237"/>
      <c r="Y376" s="237"/>
      <c r="Z376" s="237"/>
      <c r="AA376" s="237"/>
      <c r="AB376" s="237"/>
      <c r="AC376" s="237"/>
      <c r="AD376" s="237"/>
      <c r="AE376" s="237"/>
      <c r="AF376" s="237"/>
      <c r="AG376" s="237"/>
      <c r="AH376" s="237"/>
      <c r="AI376" s="308"/>
      <c r="AJ376" s="308"/>
      <c r="AK376" s="308"/>
      <c r="AL376" s="308"/>
      <c r="AM376" s="98"/>
      <c r="AN376" s="98"/>
      <c r="AO376" s="98"/>
    </row>
    <row r="377" ht="14.25" customHeight="1">
      <c r="A377" s="98"/>
      <c r="B377" s="98"/>
      <c r="C377" s="98"/>
      <c r="D377" s="308"/>
      <c r="E377" s="98"/>
      <c r="F377" s="235"/>
      <c r="G377" s="235"/>
      <c r="H377" s="236"/>
      <c r="I377" s="236"/>
      <c r="J377" s="236"/>
      <c r="K377" s="236"/>
      <c r="L377" s="236"/>
      <c r="M377" s="236"/>
      <c r="N377" s="236"/>
      <c r="O377" s="236"/>
      <c r="P377" s="236"/>
      <c r="Q377" s="236"/>
      <c r="R377" s="236"/>
      <c r="S377" s="236"/>
      <c r="T377" s="236"/>
      <c r="U377" s="236"/>
      <c r="V377" s="236"/>
      <c r="W377" s="237"/>
      <c r="X377" s="237"/>
      <c r="Y377" s="237"/>
      <c r="Z377" s="237"/>
      <c r="AA377" s="237"/>
      <c r="AB377" s="237"/>
      <c r="AC377" s="237"/>
      <c r="AD377" s="237"/>
      <c r="AE377" s="237"/>
      <c r="AF377" s="237"/>
      <c r="AG377" s="237"/>
      <c r="AH377" s="237"/>
      <c r="AI377" s="308"/>
      <c r="AJ377" s="308"/>
      <c r="AK377" s="308"/>
      <c r="AL377" s="308"/>
      <c r="AM377" s="98"/>
      <c r="AN377" s="98"/>
      <c r="AO377" s="98"/>
    </row>
    <row r="378" ht="14.25" customHeight="1">
      <c r="A378" s="98"/>
      <c r="B378" s="98"/>
      <c r="C378" s="98"/>
      <c r="D378" s="308"/>
      <c r="E378" s="98"/>
      <c r="F378" s="235"/>
      <c r="G378" s="235"/>
      <c r="H378" s="236"/>
      <c r="I378" s="236"/>
      <c r="J378" s="236"/>
      <c r="K378" s="236"/>
      <c r="L378" s="236"/>
      <c r="M378" s="236"/>
      <c r="N378" s="236"/>
      <c r="O378" s="236"/>
      <c r="P378" s="236"/>
      <c r="Q378" s="236"/>
      <c r="R378" s="236"/>
      <c r="S378" s="236"/>
      <c r="T378" s="236"/>
      <c r="U378" s="236"/>
      <c r="V378" s="236"/>
      <c r="W378" s="237"/>
      <c r="X378" s="237"/>
      <c r="Y378" s="237"/>
      <c r="Z378" s="237"/>
      <c r="AA378" s="237"/>
      <c r="AB378" s="237"/>
      <c r="AC378" s="237"/>
      <c r="AD378" s="237"/>
      <c r="AE378" s="237"/>
      <c r="AF378" s="237"/>
      <c r="AG378" s="237"/>
      <c r="AH378" s="237"/>
      <c r="AI378" s="308"/>
      <c r="AJ378" s="308"/>
      <c r="AK378" s="308"/>
      <c r="AL378" s="308"/>
      <c r="AM378" s="98"/>
      <c r="AN378" s="98"/>
      <c r="AO378" s="98"/>
    </row>
    <row r="379" ht="14.25" customHeight="1">
      <c r="A379" s="98"/>
      <c r="B379" s="98"/>
      <c r="C379" s="98"/>
      <c r="D379" s="308"/>
      <c r="E379" s="98"/>
      <c r="F379" s="235"/>
      <c r="G379" s="235"/>
      <c r="H379" s="236"/>
      <c r="I379" s="236"/>
      <c r="J379" s="236"/>
      <c r="K379" s="236"/>
      <c r="L379" s="236"/>
      <c r="M379" s="236"/>
      <c r="N379" s="236"/>
      <c r="O379" s="236"/>
      <c r="P379" s="236"/>
      <c r="Q379" s="236"/>
      <c r="R379" s="236"/>
      <c r="S379" s="236"/>
      <c r="T379" s="236"/>
      <c r="U379" s="236"/>
      <c r="V379" s="236"/>
      <c r="W379" s="237"/>
      <c r="X379" s="237"/>
      <c r="Y379" s="237"/>
      <c r="Z379" s="237"/>
      <c r="AA379" s="237"/>
      <c r="AB379" s="237"/>
      <c r="AC379" s="237"/>
      <c r="AD379" s="237"/>
      <c r="AE379" s="237"/>
      <c r="AF379" s="237"/>
      <c r="AG379" s="237"/>
      <c r="AH379" s="237"/>
      <c r="AI379" s="308"/>
      <c r="AJ379" s="308"/>
      <c r="AK379" s="308"/>
      <c r="AL379" s="308"/>
      <c r="AM379" s="98"/>
      <c r="AN379" s="98"/>
      <c r="AO379" s="98"/>
    </row>
    <row r="380" ht="14.25" customHeight="1">
      <c r="A380" s="98"/>
      <c r="B380" s="98"/>
      <c r="C380" s="98"/>
      <c r="D380" s="308"/>
      <c r="E380" s="98"/>
      <c r="F380" s="235"/>
      <c r="G380" s="235"/>
      <c r="H380" s="236"/>
      <c r="I380" s="236"/>
      <c r="J380" s="236"/>
      <c r="K380" s="236"/>
      <c r="L380" s="236"/>
      <c r="M380" s="236"/>
      <c r="N380" s="236"/>
      <c r="O380" s="236"/>
      <c r="P380" s="236"/>
      <c r="Q380" s="236"/>
      <c r="R380" s="236"/>
      <c r="S380" s="236"/>
      <c r="T380" s="236"/>
      <c r="U380" s="236"/>
      <c r="V380" s="236"/>
      <c r="W380" s="237"/>
      <c r="X380" s="237"/>
      <c r="Y380" s="237"/>
      <c r="Z380" s="237"/>
      <c r="AA380" s="237"/>
      <c r="AB380" s="237"/>
      <c r="AC380" s="237"/>
      <c r="AD380" s="237"/>
      <c r="AE380" s="237"/>
      <c r="AF380" s="237"/>
      <c r="AG380" s="237"/>
      <c r="AH380" s="237"/>
      <c r="AI380" s="308"/>
      <c r="AJ380" s="308"/>
      <c r="AK380" s="308"/>
      <c r="AL380" s="308"/>
      <c r="AM380" s="98"/>
      <c r="AN380" s="98"/>
      <c r="AO380" s="98"/>
    </row>
    <row r="381" ht="14.25" customHeight="1">
      <c r="A381" s="98"/>
      <c r="B381" s="98"/>
      <c r="C381" s="98"/>
      <c r="D381" s="308"/>
      <c r="E381" s="98"/>
      <c r="F381" s="235"/>
      <c r="G381" s="235"/>
      <c r="H381" s="236"/>
      <c r="I381" s="236"/>
      <c r="J381" s="236"/>
      <c r="K381" s="236"/>
      <c r="L381" s="236"/>
      <c r="M381" s="236"/>
      <c r="N381" s="236"/>
      <c r="O381" s="236"/>
      <c r="P381" s="236"/>
      <c r="Q381" s="236"/>
      <c r="R381" s="236"/>
      <c r="S381" s="236"/>
      <c r="T381" s="236"/>
      <c r="U381" s="236"/>
      <c r="V381" s="236"/>
      <c r="W381" s="237"/>
      <c r="X381" s="237"/>
      <c r="Y381" s="237"/>
      <c r="Z381" s="237"/>
      <c r="AA381" s="237"/>
      <c r="AB381" s="237"/>
      <c r="AC381" s="237"/>
      <c r="AD381" s="237"/>
      <c r="AE381" s="237"/>
      <c r="AF381" s="237"/>
      <c r="AG381" s="237"/>
      <c r="AH381" s="237"/>
      <c r="AI381" s="308"/>
      <c r="AJ381" s="308"/>
      <c r="AK381" s="308"/>
      <c r="AL381" s="308"/>
      <c r="AM381" s="98"/>
      <c r="AN381" s="98"/>
      <c r="AO381" s="98"/>
    </row>
    <row r="382" ht="14.25" customHeight="1">
      <c r="A382" s="98"/>
      <c r="B382" s="98"/>
      <c r="C382" s="98"/>
      <c r="D382" s="308"/>
      <c r="E382" s="98"/>
      <c r="F382" s="235"/>
      <c r="G382" s="235"/>
      <c r="H382" s="236"/>
      <c r="I382" s="236"/>
      <c r="J382" s="236"/>
      <c r="K382" s="236"/>
      <c r="L382" s="236"/>
      <c r="M382" s="236"/>
      <c r="N382" s="236"/>
      <c r="O382" s="236"/>
      <c r="P382" s="236"/>
      <c r="Q382" s="236"/>
      <c r="R382" s="236"/>
      <c r="S382" s="236"/>
      <c r="T382" s="236"/>
      <c r="U382" s="236"/>
      <c r="V382" s="236"/>
      <c r="W382" s="237"/>
      <c r="X382" s="237"/>
      <c r="Y382" s="237"/>
      <c r="Z382" s="237"/>
      <c r="AA382" s="237"/>
      <c r="AB382" s="237"/>
      <c r="AC382" s="237"/>
      <c r="AD382" s="237"/>
      <c r="AE382" s="237"/>
      <c r="AF382" s="237"/>
      <c r="AG382" s="237"/>
      <c r="AH382" s="237"/>
      <c r="AI382" s="308"/>
      <c r="AJ382" s="308"/>
      <c r="AK382" s="308"/>
      <c r="AL382" s="308"/>
      <c r="AM382" s="98"/>
      <c r="AN382" s="98"/>
      <c r="AO382" s="98"/>
    </row>
    <row r="383" ht="14.25" customHeight="1">
      <c r="A383" s="98"/>
      <c r="B383" s="98"/>
      <c r="C383" s="98"/>
      <c r="D383" s="308"/>
      <c r="E383" s="98"/>
      <c r="F383" s="235"/>
      <c r="G383" s="235"/>
      <c r="H383" s="236"/>
      <c r="I383" s="236"/>
      <c r="J383" s="236"/>
      <c r="K383" s="236"/>
      <c r="L383" s="236"/>
      <c r="M383" s="236"/>
      <c r="N383" s="236"/>
      <c r="O383" s="236"/>
      <c r="P383" s="236"/>
      <c r="Q383" s="236"/>
      <c r="R383" s="236"/>
      <c r="S383" s="236"/>
      <c r="T383" s="236"/>
      <c r="U383" s="236"/>
      <c r="V383" s="236"/>
      <c r="W383" s="237"/>
      <c r="X383" s="237"/>
      <c r="Y383" s="237"/>
      <c r="Z383" s="237"/>
      <c r="AA383" s="237"/>
      <c r="AB383" s="237"/>
      <c r="AC383" s="237"/>
      <c r="AD383" s="237"/>
      <c r="AE383" s="237"/>
      <c r="AF383" s="237"/>
      <c r="AG383" s="237"/>
      <c r="AH383" s="237"/>
      <c r="AI383" s="308"/>
      <c r="AJ383" s="308"/>
      <c r="AK383" s="308"/>
      <c r="AL383" s="308"/>
      <c r="AM383" s="98"/>
      <c r="AN383" s="98"/>
      <c r="AO383" s="98"/>
    </row>
    <row r="384" ht="14.25" customHeight="1">
      <c r="A384" s="98"/>
      <c r="B384" s="98"/>
      <c r="C384" s="98"/>
      <c r="D384" s="308"/>
      <c r="E384" s="98"/>
      <c r="F384" s="235"/>
      <c r="G384" s="235"/>
      <c r="H384" s="236"/>
      <c r="I384" s="236"/>
      <c r="J384" s="236"/>
      <c r="K384" s="236"/>
      <c r="L384" s="236"/>
      <c r="M384" s="236"/>
      <c r="N384" s="236"/>
      <c r="O384" s="236"/>
      <c r="P384" s="236"/>
      <c r="Q384" s="236"/>
      <c r="R384" s="236"/>
      <c r="S384" s="236"/>
      <c r="T384" s="236"/>
      <c r="U384" s="236"/>
      <c r="V384" s="236"/>
      <c r="W384" s="237"/>
      <c r="X384" s="237"/>
      <c r="Y384" s="237"/>
      <c r="Z384" s="237"/>
      <c r="AA384" s="237"/>
      <c r="AB384" s="237"/>
      <c r="AC384" s="237"/>
      <c r="AD384" s="237"/>
      <c r="AE384" s="237"/>
      <c r="AF384" s="237"/>
      <c r="AG384" s="237"/>
      <c r="AH384" s="237"/>
      <c r="AI384" s="308"/>
      <c r="AJ384" s="308"/>
      <c r="AK384" s="308"/>
      <c r="AL384" s="308"/>
      <c r="AM384" s="98"/>
      <c r="AN384" s="98"/>
      <c r="AO384" s="98"/>
    </row>
    <row r="385" ht="14.25" customHeight="1">
      <c r="A385" s="98"/>
      <c r="B385" s="98"/>
      <c r="C385" s="98"/>
      <c r="D385" s="308"/>
      <c r="E385" s="98"/>
      <c r="F385" s="235"/>
      <c r="G385" s="235"/>
      <c r="H385" s="236"/>
      <c r="I385" s="236"/>
      <c r="J385" s="236"/>
      <c r="K385" s="236"/>
      <c r="L385" s="236"/>
      <c r="M385" s="236"/>
      <c r="N385" s="236"/>
      <c r="O385" s="236"/>
      <c r="P385" s="236"/>
      <c r="Q385" s="236"/>
      <c r="R385" s="236"/>
      <c r="S385" s="236"/>
      <c r="T385" s="236"/>
      <c r="U385" s="236"/>
      <c r="V385" s="236"/>
      <c r="W385" s="237"/>
      <c r="X385" s="237"/>
      <c r="Y385" s="237"/>
      <c r="Z385" s="237"/>
      <c r="AA385" s="237"/>
      <c r="AB385" s="237"/>
      <c r="AC385" s="237"/>
      <c r="AD385" s="237"/>
      <c r="AE385" s="237"/>
      <c r="AF385" s="237"/>
      <c r="AG385" s="237"/>
      <c r="AH385" s="237"/>
      <c r="AI385" s="308"/>
      <c r="AJ385" s="308"/>
      <c r="AK385" s="308"/>
      <c r="AL385" s="308"/>
      <c r="AM385" s="98"/>
      <c r="AN385" s="98"/>
      <c r="AO385" s="98"/>
    </row>
    <row r="386" ht="14.25" customHeight="1">
      <c r="A386" s="98"/>
      <c r="B386" s="98"/>
      <c r="C386" s="98"/>
      <c r="D386" s="308"/>
      <c r="E386" s="98"/>
      <c r="F386" s="235"/>
      <c r="G386" s="235"/>
      <c r="H386" s="236"/>
      <c r="I386" s="236"/>
      <c r="J386" s="236"/>
      <c r="K386" s="236"/>
      <c r="L386" s="236"/>
      <c r="M386" s="236"/>
      <c r="N386" s="236"/>
      <c r="O386" s="236"/>
      <c r="P386" s="236"/>
      <c r="Q386" s="236"/>
      <c r="R386" s="236"/>
      <c r="S386" s="236"/>
      <c r="T386" s="236"/>
      <c r="U386" s="236"/>
      <c r="V386" s="236"/>
      <c r="W386" s="237"/>
      <c r="X386" s="237"/>
      <c r="Y386" s="237"/>
      <c r="Z386" s="237"/>
      <c r="AA386" s="237"/>
      <c r="AB386" s="237"/>
      <c r="AC386" s="237"/>
      <c r="AD386" s="237"/>
      <c r="AE386" s="237"/>
      <c r="AF386" s="237"/>
      <c r="AG386" s="237"/>
      <c r="AH386" s="237"/>
      <c r="AI386" s="308"/>
      <c r="AJ386" s="308"/>
      <c r="AK386" s="308"/>
      <c r="AL386" s="308"/>
      <c r="AM386" s="98"/>
      <c r="AN386" s="98"/>
      <c r="AO386" s="98"/>
    </row>
    <row r="387" ht="14.25" customHeight="1">
      <c r="A387" s="98"/>
      <c r="B387" s="98"/>
      <c r="C387" s="98"/>
      <c r="D387" s="308"/>
      <c r="E387" s="98"/>
      <c r="F387" s="235"/>
      <c r="G387" s="235"/>
      <c r="H387" s="236"/>
      <c r="I387" s="236"/>
      <c r="J387" s="236"/>
      <c r="K387" s="236"/>
      <c r="L387" s="236"/>
      <c r="M387" s="236"/>
      <c r="N387" s="236"/>
      <c r="O387" s="236"/>
      <c r="P387" s="236"/>
      <c r="Q387" s="236"/>
      <c r="R387" s="236"/>
      <c r="S387" s="236"/>
      <c r="T387" s="236"/>
      <c r="U387" s="236"/>
      <c r="V387" s="236"/>
      <c r="W387" s="237"/>
      <c r="X387" s="237"/>
      <c r="Y387" s="237"/>
      <c r="Z387" s="237"/>
      <c r="AA387" s="237"/>
      <c r="AB387" s="237"/>
      <c r="AC387" s="237"/>
      <c r="AD387" s="237"/>
      <c r="AE387" s="237"/>
      <c r="AF387" s="237"/>
      <c r="AG387" s="237"/>
      <c r="AH387" s="237"/>
      <c r="AI387" s="308"/>
      <c r="AJ387" s="308"/>
      <c r="AK387" s="308"/>
      <c r="AL387" s="308"/>
      <c r="AM387" s="98"/>
      <c r="AN387" s="98"/>
      <c r="AO387" s="98"/>
    </row>
    <row r="388" ht="14.25" customHeight="1">
      <c r="A388" s="98"/>
      <c r="B388" s="98"/>
      <c r="C388" s="98"/>
      <c r="D388" s="308"/>
      <c r="E388" s="98"/>
      <c r="F388" s="235"/>
      <c r="G388" s="235"/>
      <c r="H388" s="236"/>
      <c r="I388" s="236"/>
      <c r="J388" s="236"/>
      <c r="K388" s="236"/>
      <c r="L388" s="236"/>
      <c r="M388" s="236"/>
      <c r="N388" s="236"/>
      <c r="O388" s="236"/>
      <c r="P388" s="236"/>
      <c r="Q388" s="236"/>
      <c r="R388" s="236"/>
      <c r="S388" s="236"/>
      <c r="T388" s="236"/>
      <c r="U388" s="236"/>
      <c r="V388" s="236"/>
      <c r="W388" s="237"/>
      <c r="X388" s="237"/>
      <c r="Y388" s="237"/>
      <c r="Z388" s="237"/>
      <c r="AA388" s="237"/>
      <c r="AB388" s="237"/>
      <c r="AC388" s="237"/>
      <c r="AD388" s="237"/>
      <c r="AE388" s="237"/>
      <c r="AF388" s="237"/>
      <c r="AG388" s="237"/>
      <c r="AH388" s="237"/>
      <c r="AI388" s="308"/>
      <c r="AJ388" s="308"/>
      <c r="AK388" s="308"/>
      <c r="AL388" s="308"/>
      <c r="AM388" s="98"/>
      <c r="AN388" s="98"/>
      <c r="AO388" s="98"/>
    </row>
    <row r="389" ht="14.25" customHeight="1">
      <c r="A389" s="98"/>
      <c r="B389" s="98"/>
      <c r="C389" s="98"/>
      <c r="D389" s="308"/>
      <c r="E389" s="98"/>
      <c r="F389" s="235"/>
      <c r="G389" s="235"/>
      <c r="H389" s="236"/>
      <c r="I389" s="236"/>
      <c r="J389" s="236"/>
      <c r="K389" s="236"/>
      <c r="L389" s="236"/>
      <c r="M389" s="236"/>
      <c r="N389" s="236"/>
      <c r="O389" s="236"/>
      <c r="P389" s="236"/>
      <c r="Q389" s="236"/>
      <c r="R389" s="236"/>
      <c r="S389" s="236"/>
      <c r="T389" s="236"/>
      <c r="U389" s="236"/>
      <c r="V389" s="236"/>
      <c r="W389" s="237"/>
      <c r="X389" s="237"/>
      <c r="Y389" s="237"/>
      <c r="Z389" s="237"/>
      <c r="AA389" s="237"/>
      <c r="AB389" s="237"/>
      <c r="AC389" s="237"/>
      <c r="AD389" s="237"/>
      <c r="AE389" s="237"/>
      <c r="AF389" s="237"/>
      <c r="AG389" s="237"/>
      <c r="AH389" s="237"/>
      <c r="AI389" s="308"/>
      <c r="AJ389" s="308"/>
      <c r="AK389" s="308"/>
      <c r="AL389" s="308"/>
      <c r="AM389" s="98"/>
      <c r="AN389" s="98"/>
      <c r="AO389" s="98"/>
    </row>
    <row r="390" ht="14.25" customHeight="1">
      <c r="A390" s="98"/>
      <c r="B390" s="98"/>
      <c r="C390" s="98"/>
      <c r="D390" s="308"/>
      <c r="E390" s="98"/>
      <c r="F390" s="235"/>
      <c r="G390" s="235"/>
      <c r="H390" s="236"/>
      <c r="I390" s="236"/>
      <c r="J390" s="236"/>
      <c r="K390" s="236"/>
      <c r="L390" s="236"/>
      <c r="M390" s="236"/>
      <c r="N390" s="236"/>
      <c r="O390" s="236"/>
      <c r="P390" s="236"/>
      <c r="Q390" s="236"/>
      <c r="R390" s="236"/>
      <c r="S390" s="236"/>
      <c r="T390" s="236"/>
      <c r="U390" s="236"/>
      <c r="V390" s="236"/>
      <c r="W390" s="237"/>
      <c r="X390" s="237"/>
      <c r="Y390" s="237"/>
      <c r="Z390" s="237"/>
      <c r="AA390" s="237"/>
      <c r="AB390" s="237"/>
      <c r="AC390" s="237"/>
      <c r="AD390" s="237"/>
      <c r="AE390" s="237"/>
      <c r="AF390" s="237"/>
      <c r="AG390" s="237"/>
      <c r="AH390" s="237"/>
      <c r="AI390" s="308"/>
      <c r="AJ390" s="308"/>
      <c r="AK390" s="308"/>
      <c r="AL390" s="308"/>
      <c r="AM390" s="98"/>
      <c r="AN390" s="98"/>
      <c r="AO390" s="98"/>
    </row>
    <row r="391" ht="14.25" customHeight="1">
      <c r="A391" s="98"/>
      <c r="B391" s="98"/>
      <c r="C391" s="98"/>
      <c r="D391" s="308"/>
      <c r="E391" s="98"/>
      <c r="F391" s="235"/>
      <c r="G391" s="235"/>
      <c r="H391" s="236"/>
      <c r="I391" s="236"/>
      <c r="J391" s="236"/>
      <c r="K391" s="236"/>
      <c r="L391" s="236"/>
      <c r="M391" s="236"/>
      <c r="N391" s="236"/>
      <c r="O391" s="236"/>
      <c r="P391" s="236"/>
      <c r="Q391" s="236"/>
      <c r="R391" s="236"/>
      <c r="S391" s="236"/>
      <c r="T391" s="236"/>
      <c r="U391" s="236"/>
      <c r="V391" s="236"/>
      <c r="W391" s="237"/>
      <c r="X391" s="237"/>
      <c r="Y391" s="237"/>
      <c r="Z391" s="237"/>
      <c r="AA391" s="237"/>
      <c r="AB391" s="237"/>
      <c r="AC391" s="237"/>
      <c r="AD391" s="237"/>
      <c r="AE391" s="237"/>
      <c r="AF391" s="237"/>
      <c r="AG391" s="237"/>
      <c r="AH391" s="237"/>
      <c r="AI391" s="308"/>
      <c r="AJ391" s="308"/>
      <c r="AK391" s="308"/>
      <c r="AL391" s="308"/>
      <c r="AM391" s="98"/>
      <c r="AN391" s="98"/>
      <c r="AO391" s="98"/>
    </row>
    <row r="392" ht="14.25" customHeight="1">
      <c r="A392" s="98"/>
      <c r="B392" s="98"/>
      <c r="C392" s="98"/>
      <c r="D392" s="308"/>
      <c r="E392" s="98"/>
      <c r="F392" s="235"/>
      <c r="G392" s="235"/>
      <c r="H392" s="236"/>
      <c r="I392" s="236"/>
      <c r="J392" s="236"/>
      <c r="K392" s="236"/>
      <c r="L392" s="236"/>
      <c r="M392" s="236"/>
      <c r="N392" s="236"/>
      <c r="O392" s="236"/>
      <c r="P392" s="236"/>
      <c r="Q392" s="236"/>
      <c r="R392" s="236"/>
      <c r="S392" s="236"/>
      <c r="T392" s="236"/>
      <c r="U392" s="236"/>
      <c r="V392" s="236"/>
      <c r="W392" s="237"/>
      <c r="X392" s="237"/>
      <c r="Y392" s="237"/>
      <c r="Z392" s="237"/>
      <c r="AA392" s="237"/>
      <c r="AB392" s="237"/>
      <c r="AC392" s="237"/>
      <c r="AD392" s="237"/>
      <c r="AE392" s="237"/>
      <c r="AF392" s="237"/>
      <c r="AG392" s="237"/>
      <c r="AH392" s="237"/>
      <c r="AI392" s="308"/>
      <c r="AJ392" s="308"/>
      <c r="AK392" s="308"/>
      <c r="AL392" s="308"/>
      <c r="AM392" s="98"/>
      <c r="AN392" s="98"/>
      <c r="AO392" s="98"/>
    </row>
    <row r="393" ht="14.25" customHeight="1">
      <c r="A393" s="98"/>
      <c r="B393" s="98"/>
      <c r="C393" s="98"/>
      <c r="D393" s="308"/>
      <c r="E393" s="98"/>
      <c r="F393" s="235"/>
      <c r="G393" s="235"/>
      <c r="H393" s="236"/>
      <c r="I393" s="236"/>
      <c r="J393" s="236"/>
      <c r="K393" s="236"/>
      <c r="L393" s="236"/>
      <c r="M393" s="236"/>
      <c r="N393" s="236"/>
      <c r="O393" s="236"/>
      <c r="P393" s="236"/>
      <c r="Q393" s="236"/>
      <c r="R393" s="236"/>
      <c r="S393" s="236"/>
      <c r="T393" s="236"/>
      <c r="U393" s="236"/>
      <c r="V393" s="236"/>
      <c r="W393" s="237"/>
      <c r="X393" s="237"/>
      <c r="Y393" s="237"/>
      <c r="Z393" s="237"/>
      <c r="AA393" s="237"/>
      <c r="AB393" s="237"/>
      <c r="AC393" s="237"/>
      <c r="AD393" s="237"/>
      <c r="AE393" s="237"/>
      <c r="AF393" s="237"/>
      <c r="AG393" s="237"/>
      <c r="AH393" s="237"/>
      <c r="AI393" s="308"/>
      <c r="AJ393" s="308"/>
      <c r="AK393" s="308"/>
      <c r="AL393" s="308"/>
      <c r="AM393" s="98"/>
      <c r="AN393" s="98"/>
      <c r="AO393" s="98"/>
    </row>
    <row r="394" ht="14.25" customHeight="1">
      <c r="A394" s="98"/>
      <c r="B394" s="98"/>
      <c r="C394" s="98"/>
      <c r="D394" s="308"/>
      <c r="E394" s="98"/>
      <c r="F394" s="235"/>
      <c r="G394" s="235"/>
      <c r="H394" s="236"/>
      <c r="I394" s="236"/>
      <c r="J394" s="236"/>
      <c r="K394" s="236"/>
      <c r="L394" s="236"/>
      <c r="M394" s="236"/>
      <c r="N394" s="236"/>
      <c r="O394" s="236"/>
      <c r="P394" s="236"/>
      <c r="Q394" s="236"/>
      <c r="R394" s="236"/>
      <c r="S394" s="236"/>
      <c r="T394" s="236"/>
      <c r="U394" s="236"/>
      <c r="V394" s="236"/>
      <c r="W394" s="237"/>
      <c r="X394" s="237"/>
      <c r="Y394" s="237"/>
      <c r="Z394" s="237"/>
      <c r="AA394" s="237"/>
      <c r="AB394" s="237"/>
      <c r="AC394" s="237"/>
      <c r="AD394" s="237"/>
      <c r="AE394" s="237"/>
      <c r="AF394" s="237"/>
      <c r="AG394" s="237"/>
      <c r="AH394" s="237"/>
      <c r="AI394" s="308"/>
      <c r="AJ394" s="308"/>
      <c r="AK394" s="308"/>
      <c r="AL394" s="308"/>
      <c r="AM394" s="98"/>
      <c r="AN394" s="98"/>
      <c r="AO394" s="98"/>
    </row>
    <row r="395" ht="14.25" customHeight="1">
      <c r="A395" s="98"/>
      <c r="B395" s="98"/>
      <c r="C395" s="98"/>
      <c r="D395" s="308"/>
      <c r="E395" s="98"/>
      <c r="F395" s="235"/>
      <c r="G395" s="235"/>
      <c r="H395" s="236"/>
      <c r="I395" s="236"/>
      <c r="J395" s="236"/>
      <c r="K395" s="236"/>
      <c r="L395" s="236"/>
      <c r="M395" s="236"/>
      <c r="N395" s="236"/>
      <c r="O395" s="236"/>
      <c r="P395" s="236"/>
      <c r="Q395" s="236"/>
      <c r="R395" s="236"/>
      <c r="S395" s="236"/>
      <c r="T395" s="236"/>
      <c r="U395" s="236"/>
      <c r="V395" s="236"/>
      <c r="W395" s="237"/>
      <c r="X395" s="237"/>
      <c r="Y395" s="237"/>
      <c r="Z395" s="237"/>
      <c r="AA395" s="237"/>
      <c r="AB395" s="237"/>
      <c r="AC395" s="237"/>
      <c r="AD395" s="237"/>
      <c r="AE395" s="237"/>
      <c r="AF395" s="237"/>
      <c r="AG395" s="237"/>
      <c r="AH395" s="237"/>
      <c r="AI395" s="308"/>
      <c r="AJ395" s="308"/>
      <c r="AK395" s="308"/>
      <c r="AL395" s="308"/>
      <c r="AM395" s="98"/>
      <c r="AN395" s="98"/>
      <c r="AO395" s="98"/>
    </row>
    <row r="396" ht="14.25" customHeight="1">
      <c r="A396" s="98"/>
      <c r="B396" s="98"/>
      <c r="C396" s="98"/>
      <c r="D396" s="308"/>
      <c r="E396" s="98"/>
      <c r="F396" s="235"/>
      <c r="G396" s="235"/>
      <c r="H396" s="236"/>
      <c r="I396" s="236"/>
      <c r="J396" s="236"/>
      <c r="K396" s="236"/>
      <c r="L396" s="236"/>
      <c r="M396" s="236"/>
      <c r="N396" s="236"/>
      <c r="O396" s="236"/>
      <c r="P396" s="236"/>
      <c r="Q396" s="236"/>
      <c r="R396" s="236"/>
      <c r="S396" s="236"/>
      <c r="T396" s="236"/>
      <c r="U396" s="236"/>
      <c r="V396" s="236"/>
      <c r="W396" s="237"/>
      <c r="X396" s="237"/>
      <c r="Y396" s="237"/>
      <c r="Z396" s="237"/>
      <c r="AA396" s="237"/>
      <c r="AB396" s="237"/>
      <c r="AC396" s="237"/>
      <c r="AD396" s="237"/>
      <c r="AE396" s="237"/>
      <c r="AF396" s="237"/>
      <c r="AG396" s="237"/>
      <c r="AH396" s="237"/>
      <c r="AI396" s="308"/>
      <c r="AJ396" s="308"/>
      <c r="AK396" s="308"/>
      <c r="AL396" s="308"/>
      <c r="AM396" s="98"/>
      <c r="AN396" s="98"/>
      <c r="AO396" s="98"/>
    </row>
    <row r="397" ht="14.25" customHeight="1">
      <c r="A397" s="98"/>
      <c r="B397" s="98"/>
      <c r="C397" s="98"/>
      <c r="D397" s="308"/>
      <c r="E397" s="98"/>
      <c r="F397" s="235"/>
      <c r="G397" s="235"/>
      <c r="H397" s="236"/>
      <c r="I397" s="236"/>
      <c r="J397" s="236"/>
      <c r="K397" s="236"/>
      <c r="L397" s="236"/>
      <c r="M397" s="236"/>
      <c r="N397" s="236"/>
      <c r="O397" s="236"/>
      <c r="P397" s="236"/>
      <c r="Q397" s="236"/>
      <c r="R397" s="236"/>
      <c r="S397" s="236"/>
      <c r="T397" s="236"/>
      <c r="U397" s="236"/>
      <c r="V397" s="236"/>
      <c r="W397" s="237"/>
      <c r="X397" s="237"/>
      <c r="Y397" s="237"/>
      <c r="Z397" s="237"/>
      <c r="AA397" s="237"/>
      <c r="AB397" s="237"/>
      <c r="AC397" s="237"/>
      <c r="AD397" s="237"/>
      <c r="AE397" s="237"/>
      <c r="AF397" s="237"/>
      <c r="AG397" s="237"/>
      <c r="AH397" s="237"/>
      <c r="AI397" s="308"/>
      <c r="AJ397" s="308"/>
      <c r="AK397" s="308"/>
      <c r="AL397" s="308"/>
      <c r="AM397" s="98"/>
      <c r="AN397" s="98"/>
      <c r="AO397" s="98"/>
    </row>
    <row r="398" ht="14.25" customHeight="1">
      <c r="A398" s="98"/>
      <c r="B398" s="98"/>
      <c r="C398" s="98"/>
      <c r="D398" s="308"/>
      <c r="E398" s="98"/>
      <c r="F398" s="235"/>
      <c r="G398" s="235"/>
      <c r="H398" s="236"/>
      <c r="I398" s="236"/>
      <c r="J398" s="236"/>
      <c r="K398" s="236"/>
      <c r="L398" s="236"/>
      <c r="M398" s="236"/>
      <c r="N398" s="236"/>
      <c r="O398" s="236"/>
      <c r="P398" s="236"/>
      <c r="Q398" s="236"/>
      <c r="R398" s="236"/>
      <c r="S398" s="236"/>
      <c r="T398" s="236"/>
      <c r="U398" s="236"/>
      <c r="V398" s="236"/>
      <c r="W398" s="237"/>
      <c r="X398" s="237"/>
      <c r="Y398" s="237"/>
      <c r="Z398" s="237"/>
      <c r="AA398" s="237"/>
      <c r="AB398" s="237"/>
      <c r="AC398" s="237"/>
      <c r="AD398" s="237"/>
      <c r="AE398" s="237"/>
      <c r="AF398" s="237"/>
      <c r="AG398" s="237"/>
      <c r="AH398" s="237"/>
      <c r="AI398" s="308"/>
      <c r="AJ398" s="308"/>
      <c r="AK398" s="308"/>
      <c r="AL398" s="308"/>
      <c r="AM398" s="98"/>
      <c r="AN398" s="98"/>
      <c r="AO398" s="98"/>
    </row>
    <row r="399" ht="14.25" customHeight="1">
      <c r="A399" s="98"/>
      <c r="B399" s="98"/>
      <c r="C399" s="98"/>
      <c r="D399" s="308"/>
      <c r="E399" s="98"/>
      <c r="F399" s="235"/>
      <c r="G399" s="235"/>
      <c r="H399" s="236"/>
      <c r="I399" s="236"/>
      <c r="J399" s="236"/>
      <c r="K399" s="236"/>
      <c r="L399" s="236"/>
      <c r="M399" s="236"/>
      <c r="N399" s="236"/>
      <c r="O399" s="236"/>
      <c r="P399" s="236"/>
      <c r="Q399" s="236"/>
      <c r="R399" s="236"/>
      <c r="S399" s="236"/>
      <c r="T399" s="236"/>
      <c r="U399" s="236"/>
      <c r="V399" s="236"/>
      <c r="W399" s="237"/>
      <c r="X399" s="237"/>
      <c r="Y399" s="237"/>
      <c r="Z399" s="237"/>
      <c r="AA399" s="237"/>
      <c r="AB399" s="237"/>
      <c r="AC399" s="237"/>
      <c r="AD399" s="237"/>
      <c r="AE399" s="237"/>
      <c r="AF399" s="237"/>
      <c r="AG399" s="237"/>
      <c r="AH399" s="237"/>
      <c r="AI399" s="308"/>
      <c r="AJ399" s="308"/>
      <c r="AK399" s="308"/>
      <c r="AL399" s="308"/>
      <c r="AM399" s="98"/>
      <c r="AN399" s="98"/>
      <c r="AO399" s="98"/>
    </row>
    <row r="400" ht="14.25" customHeight="1">
      <c r="A400" s="98"/>
      <c r="B400" s="98"/>
      <c r="C400" s="98"/>
      <c r="D400" s="308"/>
      <c r="E400" s="98"/>
      <c r="F400" s="235"/>
      <c r="G400" s="235"/>
      <c r="H400" s="236"/>
      <c r="I400" s="236"/>
      <c r="J400" s="236"/>
      <c r="K400" s="236"/>
      <c r="L400" s="236"/>
      <c r="M400" s="236"/>
      <c r="N400" s="236"/>
      <c r="O400" s="236"/>
      <c r="P400" s="236"/>
      <c r="Q400" s="236"/>
      <c r="R400" s="236"/>
      <c r="S400" s="236"/>
      <c r="T400" s="236"/>
      <c r="U400" s="236"/>
      <c r="V400" s="236"/>
      <c r="W400" s="237"/>
      <c r="X400" s="237"/>
      <c r="Y400" s="237"/>
      <c r="Z400" s="237"/>
      <c r="AA400" s="237"/>
      <c r="AB400" s="237"/>
      <c r="AC400" s="237"/>
      <c r="AD400" s="237"/>
      <c r="AE400" s="237"/>
      <c r="AF400" s="237"/>
      <c r="AG400" s="237"/>
      <c r="AH400" s="237"/>
      <c r="AI400" s="308"/>
      <c r="AJ400" s="308"/>
      <c r="AK400" s="308"/>
      <c r="AL400" s="308"/>
      <c r="AM400" s="98"/>
      <c r="AN400" s="98"/>
      <c r="AO400" s="98"/>
    </row>
    <row r="401" ht="14.25" customHeight="1">
      <c r="A401" s="98"/>
      <c r="B401" s="98"/>
      <c r="C401" s="98"/>
      <c r="D401" s="308"/>
      <c r="E401" s="98"/>
      <c r="F401" s="235"/>
      <c r="G401" s="235"/>
      <c r="H401" s="236"/>
      <c r="I401" s="236"/>
      <c r="J401" s="236"/>
      <c r="K401" s="236"/>
      <c r="L401" s="236"/>
      <c r="M401" s="236"/>
      <c r="N401" s="236"/>
      <c r="O401" s="236"/>
      <c r="P401" s="236"/>
      <c r="Q401" s="236"/>
      <c r="R401" s="236"/>
      <c r="S401" s="236"/>
      <c r="T401" s="236"/>
      <c r="U401" s="236"/>
      <c r="V401" s="236"/>
      <c r="W401" s="237"/>
      <c r="X401" s="237"/>
      <c r="Y401" s="237"/>
      <c r="Z401" s="237"/>
      <c r="AA401" s="237"/>
      <c r="AB401" s="237"/>
      <c r="AC401" s="237"/>
      <c r="AD401" s="237"/>
      <c r="AE401" s="237"/>
      <c r="AF401" s="237"/>
      <c r="AG401" s="237"/>
      <c r="AH401" s="237"/>
      <c r="AI401" s="308"/>
      <c r="AJ401" s="308"/>
      <c r="AK401" s="308"/>
      <c r="AL401" s="308"/>
      <c r="AM401" s="98"/>
      <c r="AN401" s="98"/>
      <c r="AO401" s="98"/>
    </row>
    <row r="402" ht="14.25" customHeight="1">
      <c r="A402" s="98"/>
      <c r="B402" s="98"/>
      <c r="C402" s="98"/>
      <c r="D402" s="308"/>
      <c r="E402" s="98"/>
      <c r="F402" s="235"/>
      <c r="G402" s="235"/>
      <c r="H402" s="236"/>
      <c r="I402" s="236"/>
      <c r="J402" s="236"/>
      <c r="K402" s="236"/>
      <c r="L402" s="236"/>
      <c r="M402" s="236"/>
      <c r="N402" s="236"/>
      <c r="O402" s="236"/>
      <c r="P402" s="236"/>
      <c r="Q402" s="236"/>
      <c r="R402" s="236"/>
      <c r="S402" s="236"/>
      <c r="T402" s="236"/>
      <c r="U402" s="236"/>
      <c r="V402" s="236"/>
      <c r="W402" s="237"/>
      <c r="X402" s="237"/>
      <c r="Y402" s="237"/>
      <c r="Z402" s="237"/>
      <c r="AA402" s="237"/>
      <c r="AB402" s="237"/>
      <c r="AC402" s="237"/>
      <c r="AD402" s="237"/>
      <c r="AE402" s="237"/>
      <c r="AF402" s="237"/>
      <c r="AG402" s="237"/>
      <c r="AH402" s="237"/>
      <c r="AI402" s="308"/>
      <c r="AJ402" s="308"/>
      <c r="AK402" s="308"/>
      <c r="AL402" s="308"/>
      <c r="AM402" s="98"/>
      <c r="AN402" s="98"/>
      <c r="AO402" s="98"/>
    </row>
    <row r="403" ht="14.25" customHeight="1">
      <c r="A403" s="98"/>
      <c r="B403" s="98"/>
      <c r="C403" s="98"/>
      <c r="D403" s="308"/>
      <c r="E403" s="98"/>
      <c r="F403" s="235"/>
      <c r="G403" s="235"/>
      <c r="H403" s="236"/>
      <c r="I403" s="236"/>
      <c r="J403" s="236"/>
      <c r="K403" s="236"/>
      <c r="L403" s="236"/>
      <c r="M403" s="236"/>
      <c r="N403" s="236"/>
      <c r="O403" s="236"/>
      <c r="P403" s="236"/>
      <c r="Q403" s="236"/>
      <c r="R403" s="236"/>
      <c r="S403" s="236"/>
      <c r="T403" s="236"/>
      <c r="U403" s="236"/>
      <c r="V403" s="236"/>
      <c r="W403" s="237"/>
      <c r="X403" s="237"/>
      <c r="Y403" s="237"/>
      <c r="Z403" s="237"/>
      <c r="AA403" s="237"/>
      <c r="AB403" s="237"/>
      <c r="AC403" s="237"/>
      <c r="AD403" s="237"/>
      <c r="AE403" s="237"/>
      <c r="AF403" s="237"/>
      <c r="AG403" s="237"/>
      <c r="AH403" s="237"/>
      <c r="AI403" s="308"/>
      <c r="AJ403" s="308"/>
      <c r="AK403" s="308"/>
      <c r="AL403" s="308"/>
      <c r="AM403" s="98"/>
      <c r="AN403" s="98"/>
      <c r="AO403" s="98"/>
    </row>
    <row r="404" ht="14.25" customHeight="1">
      <c r="A404" s="98"/>
      <c r="B404" s="98"/>
      <c r="C404" s="98"/>
      <c r="D404" s="308"/>
      <c r="E404" s="98"/>
      <c r="F404" s="235"/>
      <c r="G404" s="235"/>
      <c r="H404" s="236"/>
      <c r="I404" s="236"/>
      <c r="J404" s="236"/>
      <c r="K404" s="236"/>
      <c r="L404" s="236"/>
      <c r="M404" s="236"/>
      <c r="N404" s="236"/>
      <c r="O404" s="236"/>
      <c r="P404" s="236"/>
      <c r="Q404" s="236"/>
      <c r="R404" s="236"/>
      <c r="S404" s="236"/>
      <c r="T404" s="236"/>
      <c r="U404" s="236"/>
      <c r="V404" s="236"/>
      <c r="W404" s="237"/>
      <c r="X404" s="237"/>
      <c r="Y404" s="237"/>
      <c r="Z404" s="237"/>
      <c r="AA404" s="237"/>
      <c r="AB404" s="237"/>
      <c r="AC404" s="237"/>
      <c r="AD404" s="237"/>
      <c r="AE404" s="237"/>
      <c r="AF404" s="237"/>
      <c r="AG404" s="237"/>
      <c r="AH404" s="237"/>
      <c r="AI404" s="308"/>
      <c r="AJ404" s="308"/>
      <c r="AK404" s="308"/>
      <c r="AL404" s="308"/>
      <c r="AM404" s="98"/>
      <c r="AN404" s="98"/>
      <c r="AO404" s="98"/>
    </row>
    <row r="405" ht="14.25" customHeight="1">
      <c r="A405" s="98"/>
      <c r="B405" s="98"/>
      <c r="C405" s="98"/>
      <c r="D405" s="308"/>
      <c r="E405" s="98"/>
      <c r="F405" s="235"/>
      <c r="G405" s="235"/>
      <c r="H405" s="236"/>
      <c r="I405" s="236"/>
      <c r="J405" s="236"/>
      <c r="K405" s="236"/>
      <c r="L405" s="236"/>
      <c r="M405" s="236"/>
      <c r="N405" s="236"/>
      <c r="O405" s="236"/>
      <c r="P405" s="236"/>
      <c r="Q405" s="236"/>
      <c r="R405" s="236"/>
      <c r="S405" s="236"/>
      <c r="T405" s="236"/>
      <c r="U405" s="236"/>
      <c r="V405" s="236"/>
      <c r="W405" s="237"/>
      <c r="X405" s="237"/>
      <c r="Y405" s="237"/>
      <c r="Z405" s="237"/>
      <c r="AA405" s="237"/>
      <c r="AB405" s="237"/>
      <c r="AC405" s="237"/>
      <c r="AD405" s="237"/>
      <c r="AE405" s="237"/>
      <c r="AF405" s="237"/>
      <c r="AG405" s="237"/>
      <c r="AH405" s="237"/>
      <c r="AI405" s="308"/>
      <c r="AJ405" s="308"/>
      <c r="AK405" s="308"/>
      <c r="AL405" s="308"/>
      <c r="AM405" s="98"/>
      <c r="AN405" s="98"/>
      <c r="AO405" s="98"/>
    </row>
    <row r="406" ht="14.25" customHeight="1">
      <c r="A406" s="98"/>
      <c r="B406" s="98"/>
      <c r="C406" s="98"/>
      <c r="D406" s="308"/>
      <c r="E406" s="98"/>
      <c r="F406" s="235"/>
      <c r="G406" s="235"/>
      <c r="H406" s="236"/>
      <c r="I406" s="236"/>
      <c r="J406" s="236"/>
      <c r="K406" s="236"/>
      <c r="L406" s="236"/>
      <c r="M406" s="236"/>
      <c r="N406" s="236"/>
      <c r="O406" s="236"/>
      <c r="P406" s="236"/>
      <c r="Q406" s="236"/>
      <c r="R406" s="236"/>
      <c r="S406" s="236"/>
      <c r="T406" s="236"/>
      <c r="U406" s="236"/>
      <c r="V406" s="236"/>
      <c r="W406" s="237"/>
      <c r="X406" s="237"/>
      <c r="Y406" s="237"/>
      <c r="Z406" s="237"/>
      <c r="AA406" s="237"/>
      <c r="AB406" s="237"/>
      <c r="AC406" s="237"/>
      <c r="AD406" s="237"/>
      <c r="AE406" s="237"/>
      <c r="AF406" s="237"/>
      <c r="AG406" s="237"/>
      <c r="AH406" s="237"/>
      <c r="AI406" s="308"/>
      <c r="AJ406" s="308"/>
      <c r="AK406" s="308"/>
      <c r="AL406" s="308"/>
      <c r="AM406" s="98"/>
      <c r="AN406" s="98"/>
      <c r="AO406" s="98"/>
    </row>
    <row r="407" ht="14.25" customHeight="1">
      <c r="A407" s="98"/>
      <c r="B407" s="98"/>
      <c r="C407" s="98"/>
      <c r="D407" s="308"/>
      <c r="E407" s="98"/>
      <c r="F407" s="235"/>
      <c r="G407" s="235"/>
      <c r="H407" s="236"/>
      <c r="I407" s="236"/>
      <c r="J407" s="236"/>
      <c r="K407" s="236"/>
      <c r="L407" s="236"/>
      <c r="M407" s="236"/>
      <c r="N407" s="236"/>
      <c r="O407" s="236"/>
      <c r="P407" s="236"/>
      <c r="Q407" s="236"/>
      <c r="R407" s="236"/>
      <c r="S407" s="236"/>
      <c r="T407" s="236"/>
      <c r="U407" s="236"/>
      <c r="V407" s="236"/>
      <c r="W407" s="237"/>
      <c r="X407" s="237"/>
      <c r="Y407" s="237"/>
      <c r="Z407" s="237"/>
      <c r="AA407" s="237"/>
      <c r="AB407" s="237"/>
      <c r="AC407" s="237"/>
      <c r="AD407" s="237"/>
      <c r="AE407" s="237"/>
      <c r="AF407" s="237"/>
      <c r="AG407" s="237"/>
      <c r="AH407" s="237"/>
      <c r="AI407" s="308"/>
      <c r="AJ407" s="308"/>
      <c r="AK407" s="308"/>
      <c r="AL407" s="308"/>
      <c r="AM407" s="98"/>
      <c r="AN407" s="98"/>
      <c r="AO407" s="98"/>
    </row>
    <row r="408" ht="14.25" customHeight="1">
      <c r="A408" s="98"/>
      <c r="B408" s="98"/>
      <c r="C408" s="98"/>
      <c r="D408" s="308"/>
      <c r="E408" s="98"/>
      <c r="F408" s="235"/>
      <c r="G408" s="235"/>
      <c r="H408" s="236"/>
      <c r="I408" s="236"/>
      <c r="J408" s="236"/>
      <c r="K408" s="236"/>
      <c r="L408" s="236"/>
      <c r="M408" s="236"/>
      <c r="N408" s="236"/>
      <c r="O408" s="236"/>
      <c r="P408" s="236"/>
      <c r="Q408" s="236"/>
      <c r="R408" s="236"/>
      <c r="S408" s="236"/>
      <c r="T408" s="236"/>
      <c r="U408" s="236"/>
      <c r="V408" s="236"/>
      <c r="W408" s="237"/>
      <c r="X408" s="237"/>
      <c r="Y408" s="237"/>
      <c r="Z408" s="237"/>
      <c r="AA408" s="237"/>
      <c r="AB408" s="237"/>
      <c r="AC408" s="237"/>
      <c r="AD408" s="237"/>
      <c r="AE408" s="237"/>
      <c r="AF408" s="237"/>
      <c r="AG408" s="237"/>
      <c r="AH408" s="237"/>
      <c r="AI408" s="308"/>
      <c r="AJ408" s="308"/>
      <c r="AK408" s="308"/>
      <c r="AL408" s="308"/>
      <c r="AM408" s="98"/>
      <c r="AN408" s="98"/>
      <c r="AO408" s="98"/>
    </row>
    <row r="409" ht="14.25" customHeight="1">
      <c r="A409" s="98"/>
      <c r="B409" s="98"/>
      <c r="C409" s="98"/>
      <c r="D409" s="308"/>
      <c r="E409" s="98"/>
      <c r="F409" s="235"/>
      <c r="G409" s="235"/>
      <c r="H409" s="236"/>
      <c r="I409" s="236"/>
      <c r="J409" s="236"/>
      <c r="K409" s="236"/>
      <c r="L409" s="236"/>
      <c r="M409" s="236"/>
      <c r="N409" s="236"/>
      <c r="O409" s="236"/>
      <c r="P409" s="236"/>
      <c r="Q409" s="236"/>
      <c r="R409" s="236"/>
      <c r="S409" s="236"/>
      <c r="T409" s="236"/>
      <c r="U409" s="236"/>
      <c r="V409" s="236"/>
      <c r="W409" s="237"/>
      <c r="X409" s="237"/>
      <c r="Y409" s="237"/>
      <c r="Z409" s="237"/>
      <c r="AA409" s="237"/>
      <c r="AB409" s="237"/>
      <c r="AC409" s="237"/>
      <c r="AD409" s="237"/>
      <c r="AE409" s="237"/>
      <c r="AF409" s="237"/>
      <c r="AG409" s="237"/>
      <c r="AH409" s="237"/>
      <c r="AI409" s="308"/>
      <c r="AJ409" s="308"/>
      <c r="AK409" s="308"/>
      <c r="AL409" s="308"/>
      <c r="AM409" s="98"/>
      <c r="AN409" s="98"/>
      <c r="AO409" s="98"/>
    </row>
    <row r="410" ht="14.25" customHeight="1">
      <c r="A410" s="98"/>
      <c r="B410" s="98"/>
      <c r="C410" s="98"/>
      <c r="D410" s="308"/>
      <c r="E410" s="98"/>
      <c r="F410" s="235"/>
      <c r="G410" s="235"/>
      <c r="H410" s="236"/>
      <c r="I410" s="236"/>
      <c r="J410" s="236"/>
      <c r="K410" s="236"/>
      <c r="L410" s="236"/>
      <c r="M410" s="236"/>
      <c r="N410" s="236"/>
      <c r="O410" s="236"/>
      <c r="P410" s="236"/>
      <c r="Q410" s="236"/>
      <c r="R410" s="236"/>
      <c r="S410" s="236"/>
      <c r="T410" s="236"/>
      <c r="U410" s="236"/>
      <c r="V410" s="236"/>
      <c r="W410" s="237"/>
      <c r="X410" s="237"/>
      <c r="Y410" s="237"/>
      <c r="Z410" s="237"/>
      <c r="AA410" s="237"/>
      <c r="AB410" s="237"/>
      <c r="AC410" s="237"/>
      <c r="AD410" s="237"/>
      <c r="AE410" s="237"/>
      <c r="AF410" s="237"/>
      <c r="AG410" s="237"/>
      <c r="AH410" s="237"/>
      <c r="AI410" s="308"/>
      <c r="AJ410" s="308"/>
      <c r="AK410" s="308"/>
      <c r="AL410" s="308"/>
      <c r="AM410" s="98"/>
      <c r="AN410" s="98"/>
      <c r="AO410" s="98"/>
    </row>
    <row r="411" ht="14.25" customHeight="1">
      <c r="A411" s="98"/>
      <c r="B411" s="98"/>
      <c r="C411" s="98"/>
      <c r="D411" s="308"/>
      <c r="E411" s="98"/>
      <c r="F411" s="235"/>
      <c r="G411" s="235"/>
      <c r="H411" s="236"/>
      <c r="I411" s="236"/>
      <c r="J411" s="236"/>
      <c r="K411" s="236"/>
      <c r="L411" s="236"/>
      <c r="M411" s="236"/>
      <c r="N411" s="236"/>
      <c r="O411" s="236"/>
      <c r="P411" s="236"/>
      <c r="Q411" s="236"/>
      <c r="R411" s="236"/>
      <c r="S411" s="236"/>
      <c r="T411" s="236"/>
      <c r="U411" s="236"/>
      <c r="V411" s="236"/>
      <c r="W411" s="237"/>
      <c r="X411" s="237"/>
      <c r="Y411" s="237"/>
      <c r="Z411" s="237"/>
      <c r="AA411" s="237"/>
      <c r="AB411" s="237"/>
      <c r="AC411" s="237"/>
      <c r="AD411" s="237"/>
      <c r="AE411" s="237"/>
      <c r="AF411" s="237"/>
      <c r="AG411" s="237"/>
      <c r="AH411" s="237"/>
      <c r="AI411" s="308"/>
      <c r="AJ411" s="308"/>
      <c r="AK411" s="308"/>
      <c r="AL411" s="308"/>
      <c r="AM411" s="98"/>
      <c r="AN411" s="98"/>
      <c r="AO411" s="98"/>
    </row>
    <row r="412" ht="14.25" customHeight="1">
      <c r="A412" s="98"/>
      <c r="B412" s="98"/>
      <c r="C412" s="98"/>
      <c r="D412" s="308"/>
      <c r="E412" s="98"/>
      <c r="F412" s="235"/>
      <c r="G412" s="235"/>
      <c r="H412" s="236"/>
      <c r="I412" s="236"/>
      <c r="J412" s="236"/>
      <c r="K412" s="236"/>
      <c r="L412" s="236"/>
      <c r="M412" s="236"/>
      <c r="N412" s="236"/>
      <c r="O412" s="236"/>
      <c r="P412" s="236"/>
      <c r="Q412" s="236"/>
      <c r="R412" s="236"/>
      <c r="S412" s="236"/>
      <c r="T412" s="236"/>
      <c r="U412" s="236"/>
      <c r="V412" s="236"/>
      <c r="W412" s="237"/>
      <c r="X412" s="237"/>
      <c r="Y412" s="237"/>
      <c r="Z412" s="237"/>
      <c r="AA412" s="237"/>
      <c r="AB412" s="237"/>
      <c r="AC412" s="237"/>
      <c r="AD412" s="237"/>
      <c r="AE412" s="237"/>
      <c r="AF412" s="237"/>
      <c r="AG412" s="237"/>
      <c r="AH412" s="237"/>
      <c r="AI412" s="308"/>
      <c r="AJ412" s="308"/>
      <c r="AK412" s="308"/>
      <c r="AL412" s="308"/>
      <c r="AM412" s="98"/>
      <c r="AN412" s="98"/>
      <c r="AO412" s="98"/>
    </row>
    <row r="413" ht="14.25" customHeight="1">
      <c r="A413" s="98"/>
      <c r="B413" s="98"/>
      <c r="C413" s="98"/>
      <c r="D413" s="308"/>
      <c r="E413" s="98"/>
      <c r="F413" s="235"/>
      <c r="G413" s="235"/>
      <c r="H413" s="236"/>
      <c r="I413" s="236"/>
      <c r="J413" s="236"/>
      <c r="K413" s="236"/>
      <c r="L413" s="236"/>
      <c r="M413" s="236"/>
      <c r="N413" s="236"/>
      <c r="O413" s="236"/>
      <c r="P413" s="236"/>
      <c r="Q413" s="236"/>
      <c r="R413" s="236"/>
      <c r="S413" s="236"/>
      <c r="T413" s="236"/>
      <c r="U413" s="236"/>
      <c r="V413" s="236"/>
      <c r="W413" s="237"/>
      <c r="X413" s="237"/>
      <c r="Y413" s="237"/>
      <c r="Z413" s="237"/>
      <c r="AA413" s="237"/>
      <c r="AB413" s="237"/>
      <c r="AC413" s="237"/>
      <c r="AD413" s="237"/>
      <c r="AE413" s="237"/>
      <c r="AF413" s="237"/>
      <c r="AG413" s="237"/>
      <c r="AH413" s="237"/>
      <c r="AI413" s="308"/>
      <c r="AJ413" s="308"/>
      <c r="AK413" s="308"/>
      <c r="AL413" s="308"/>
      <c r="AM413" s="98"/>
      <c r="AN413" s="98"/>
      <c r="AO413" s="98"/>
    </row>
    <row r="414" ht="14.25" customHeight="1">
      <c r="A414" s="98"/>
      <c r="B414" s="98"/>
      <c r="C414" s="98"/>
      <c r="D414" s="308"/>
      <c r="E414" s="98"/>
      <c r="F414" s="235"/>
      <c r="G414" s="235"/>
      <c r="H414" s="236"/>
      <c r="I414" s="236"/>
      <c r="J414" s="236"/>
      <c r="K414" s="236"/>
      <c r="L414" s="236"/>
      <c r="M414" s="236"/>
      <c r="N414" s="236"/>
      <c r="O414" s="236"/>
      <c r="P414" s="236"/>
      <c r="Q414" s="236"/>
      <c r="R414" s="236"/>
      <c r="S414" s="236"/>
      <c r="T414" s="236"/>
      <c r="U414" s="236"/>
      <c r="V414" s="236"/>
      <c r="W414" s="237"/>
      <c r="X414" s="237"/>
      <c r="Y414" s="237"/>
      <c r="Z414" s="237"/>
      <c r="AA414" s="237"/>
      <c r="AB414" s="237"/>
      <c r="AC414" s="237"/>
      <c r="AD414" s="237"/>
      <c r="AE414" s="237"/>
      <c r="AF414" s="237"/>
      <c r="AG414" s="237"/>
      <c r="AH414" s="237"/>
      <c r="AI414" s="308"/>
      <c r="AJ414" s="308"/>
      <c r="AK414" s="308"/>
      <c r="AL414" s="308"/>
      <c r="AM414" s="98"/>
      <c r="AN414" s="98"/>
      <c r="AO414" s="98"/>
    </row>
    <row r="415" ht="14.25" customHeight="1">
      <c r="A415" s="98"/>
      <c r="B415" s="98"/>
      <c r="C415" s="98"/>
      <c r="D415" s="308"/>
      <c r="E415" s="98"/>
      <c r="F415" s="235"/>
      <c r="G415" s="235"/>
      <c r="H415" s="236"/>
      <c r="I415" s="236"/>
      <c r="J415" s="236"/>
      <c r="K415" s="236"/>
      <c r="L415" s="236"/>
      <c r="M415" s="236"/>
      <c r="N415" s="236"/>
      <c r="O415" s="236"/>
      <c r="P415" s="236"/>
      <c r="Q415" s="236"/>
      <c r="R415" s="236"/>
      <c r="S415" s="236"/>
      <c r="T415" s="236"/>
      <c r="U415" s="236"/>
      <c r="V415" s="236"/>
      <c r="W415" s="237"/>
      <c r="X415" s="237"/>
      <c r="Y415" s="237"/>
      <c r="Z415" s="237"/>
      <c r="AA415" s="237"/>
      <c r="AB415" s="237"/>
      <c r="AC415" s="237"/>
      <c r="AD415" s="237"/>
      <c r="AE415" s="237"/>
      <c r="AF415" s="237"/>
      <c r="AG415" s="237"/>
      <c r="AH415" s="237"/>
      <c r="AI415" s="308"/>
      <c r="AJ415" s="308"/>
      <c r="AK415" s="308"/>
      <c r="AL415" s="308"/>
      <c r="AM415" s="98"/>
      <c r="AN415" s="98"/>
      <c r="AO415" s="98"/>
    </row>
    <row r="416" ht="14.25" customHeight="1">
      <c r="A416" s="98"/>
      <c r="B416" s="98"/>
      <c r="C416" s="98"/>
      <c r="D416" s="308"/>
      <c r="E416" s="98"/>
      <c r="F416" s="235"/>
      <c r="G416" s="235"/>
      <c r="H416" s="236"/>
      <c r="I416" s="236"/>
      <c r="J416" s="236"/>
      <c r="K416" s="236"/>
      <c r="L416" s="236"/>
      <c r="M416" s="236"/>
      <c r="N416" s="236"/>
      <c r="O416" s="236"/>
      <c r="P416" s="236"/>
      <c r="Q416" s="236"/>
      <c r="R416" s="236"/>
      <c r="S416" s="236"/>
      <c r="T416" s="236"/>
      <c r="U416" s="236"/>
      <c r="V416" s="236"/>
      <c r="W416" s="237"/>
      <c r="X416" s="237"/>
      <c r="Y416" s="237"/>
      <c r="Z416" s="237"/>
      <c r="AA416" s="237"/>
      <c r="AB416" s="237"/>
      <c r="AC416" s="237"/>
      <c r="AD416" s="237"/>
      <c r="AE416" s="237"/>
      <c r="AF416" s="237"/>
      <c r="AG416" s="237"/>
      <c r="AH416" s="237"/>
      <c r="AI416" s="308"/>
      <c r="AJ416" s="308"/>
      <c r="AK416" s="308"/>
      <c r="AL416" s="308"/>
      <c r="AM416" s="98"/>
      <c r="AN416" s="98"/>
      <c r="AO416" s="98"/>
    </row>
    <row r="417" ht="14.25" customHeight="1">
      <c r="A417" s="98"/>
      <c r="B417" s="98"/>
      <c r="C417" s="98"/>
      <c r="D417" s="308"/>
      <c r="E417" s="98"/>
      <c r="F417" s="235"/>
      <c r="G417" s="235"/>
      <c r="H417" s="236"/>
      <c r="I417" s="236"/>
      <c r="J417" s="236"/>
      <c r="K417" s="236"/>
      <c r="L417" s="236"/>
      <c r="M417" s="236"/>
      <c r="N417" s="236"/>
      <c r="O417" s="236"/>
      <c r="P417" s="236"/>
      <c r="Q417" s="236"/>
      <c r="R417" s="236"/>
      <c r="S417" s="236"/>
      <c r="T417" s="236"/>
      <c r="U417" s="236"/>
      <c r="V417" s="236"/>
      <c r="W417" s="237"/>
      <c r="X417" s="237"/>
      <c r="Y417" s="237"/>
      <c r="Z417" s="237"/>
      <c r="AA417" s="237"/>
      <c r="AB417" s="237"/>
      <c r="AC417" s="237"/>
      <c r="AD417" s="237"/>
      <c r="AE417" s="237"/>
      <c r="AF417" s="237"/>
      <c r="AG417" s="237"/>
      <c r="AH417" s="237"/>
      <c r="AI417" s="308"/>
      <c r="AJ417" s="308"/>
      <c r="AK417" s="308"/>
      <c r="AL417" s="308"/>
      <c r="AM417" s="98"/>
      <c r="AN417" s="98"/>
      <c r="AO417" s="98"/>
    </row>
    <row r="418" ht="14.25" customHeight="1">
      <c r="A418" s="98"/>
      <c r="B418" s="98"/>
      <c r="C418" s="98"/>
      <c r="D418" s="308"/>
      <c r="E418" s="98"/>
      <c r="F418" s="235"/>
      <c r="G418" s="235"/>
      <c r="H418" s="236"/>
      <c r="I418" s="236"/>
      <c r="J418" s="236"/>
      <c r="K418" s="236"/>
      <c r="L418" s="236"/>
      <c r="M418" s="236"/>
      <c r="N418" s="236"/>
      <c r="O418" s="236"/>
      <c r="P418" s="236"/>
      <c r="Q418" s="236"/>
      <c r="R418" s="236"/>
      <c r="S418" s="236"/>
      <c r="T418" s="236"/>
      <c r="U418" s="236"/>
      <c r="V418" s="236"/>
      <c r="W418" s="237"/>
      <c r="X418" s="237"/>
      <c r="Y418" s="237"/>
      <c r="Z418" s="237"/>
      <c r="AA418" s="237"/>
      <c r="AB418" s="237"/>
      <c r="AC418" s="237"/>
      <c r="AD418" s="237"/>
      <c r="AE418" s="237"/>
      <c r="AF418" s="237"/>
      <c r="AG418" s="237"/>
      <c r="AH418" s="237"/>
      <c r="AI418" s="308"/>
      <c r="AJ418" s="308"/>
      <c r="AK418" s="308"/>
      <c r="AL418" s="308"/>
      <c r="AM418" s="98"/>
      <c r="AN418" s="98"/>
      <c r="AO418" s="98"/>
    </row>
    <row r="419" ht="14.25" customHeight="1">
      <c r="A419" s="98"/>
      <c r="B419" s="98"/>
      <c r="C419" s="98"/>
      <c r="D419" s="308"/>
      <c r="E419" s="98"/>
      <c r="F419" s="235"/>
      <c r="G419" s="235"/>
      <c r="H419" s="236"/>
      <c r="I419" s="236"/>
      <c r="J419" s="236"/>
      <c r="K419" s="236"/>
      <c r="L419" s="236"/>
      <c r="M419" s="236"/>
      <c r="N419" s="236"/>
      <c r="O419" s="236"/>
      <c r="P419" s="236"/>
      <c r="Q419" s="236"/>
      <c r="R419" s="236"/>
      <c r="S419" s="236"/>
      <c r="T419" s="236"/>
      <c r="U419" s="236"/>
      <c r="V419" s="236"/>
      <c r="W419" s="237"/>
      <c r="X419" s="237"/>
      <c r="Y419" s="237"/>
      <c r="Z419" s="237"/>
      <c r="AA419" s="237"/>
      <c r="AB419" s="237"/>
      <c r="AC419" s="237"/>
      <c r="AD419" s="237"/>
      <c r="AE419" s="237"/>
      <c r="AF419" s="237"/>
      <c r="AG419" s="237"/>
      <c r="AH419" s="237"/>
      <c r="AI419" s="308"/>
      <c r="AJ419" s="308"/>
      <c r="AK419" s="308"/>
      <c r="AL419" s="308"/>
      <c r="AM419" s="98"/>
      <c r="AN419" s="98"/>
      <c r="AO419" s="98"/>
    </row>
    <row r="420" ht="14.25" customHeight="1">
      <c r="A420" s="98"/>
      <c r="B420" s="98"/>
      <c r="C420" s="98"/>
      <c r="D420" s="308"/>
      <c r="E420" s="98"/>
      <c r="F420" s="235"/>
      <c r="G420" s="235"/>
      <c r="H420" s="236"/>
      <c r="I420" s="236"/>
      <c r="J420" s="236"/>
      <c r="K420" s="236"/>
      <c r="L420" s="236"/>
      <c r="M420" s="236"/>
      <c r="N420" s="236"/>
      <c r="O420" s="236"/>
      <c r="P420" s="236"/>
      <c r="Q420" s="236"/>
      <c r="R420" s="236"/>
      <c r="S420" s="236"/>
      <c r="T420" s="236"/>
      <c r="U420" s="236"/>
      <c r="V420" s="236"/>
      <c r="W420" s="237"/>
      <c r="X420" s="237"/>
      <c r="Y420" s="237"/>
      <c r="Z420" s="237"/>
      <c r="AA420" s="237"/>
      <c r="AB420" s="237"/>
      <c r="AC420" s="237"/>
      <c r="AD420" s="237"/>
      <c r="AE420" s="237"/>
      <c r="AF420" s="237"/>
      <c r="AG420" s="237"/>
      <c r="AH420" s="237"/>
      <c r="AI420" s="308"/>
      <c r="AJ420" s="308"/>
      <c r="AK420" s="308"/>
      <c r="AL420" s="308"/>
      <c r="AM420" s="98"/>
      <c r="AN420" s="98"/>
      <c r="AO420" s="98"/>
    </row>
    <row r="421" ht="14.25" customHeight="1">
      <c r="A421" s="98"/>
      <c r="B421" s="98"/>
      <c r="C421" s="98"/>
      <c r="D421" s="308"/>
      <c r="E421" s="98"/>
      <c r="F421" s="235"/>
      <c r="G421" s="235"/>
      <c r="H421" s="236"/>
      <c r="I421" s="236"/>
      <c r="J421" s="236"/>
      <c r="K421" s="236"/>
      <c r="L421" s="236"/>
      <c r="M421" s="236"/>
      <c r="N421" s="236"/>
      <c r="O421" s="236"/>
      <c r="P421" s="236"/>
      <c r="Q421" s="236"/>
      <c r="R421" s="236"/>
      <c r="S421" s="236"/>
      <c r="T421" s="236"/>
      <c r="U421" s="236"/>
      <c r="V421" s="236"/>
      <c r="W421" s="237"/>
      <c r="X421" s="237"/>
      <c r="Y421" s="237"/>
      <c r="Z421" s="237"/>
      <c r="AA421" s="237"/>
      <c r="AB421" s="237"/>
      <c r="AC421" s="237"/>
      <c r="AD421" s="237"/>
      <c r="AE421" s="237"/>
      <c r="AF421" s="237"/>
      <c r="AG421" s="237"/>
      <c r="AH421" s="237"/>
      <c r="AI421" s="308"/>
      <c r="AJ421" s="308"/>
      <c r="AK421" s="308"/>
      <c r="AL421" s="308"/>
      <c r="AM421" s="98"/>
      <c r="AN421" s="98"/>
      <c r="AO421" s="98"/>
    </row>
    <row r="422" ht="14.25" customHeight="1">
      <c r="A422" s="98"/>
      <c r="B422" s="98"/>
      <c r="C422" s="98"/>
      <c r="D422" s="308"/>
      <c r="E422" s="98"/>
      <c r="F422" s="235"/>
      <c r="G422" s="235"/>
      <c r="H422" s="236"/>
      <c r="I422" s="236"/>
      <c r="J422" s="236"/>
      <c r="K422" s="236"/>
      <c r="L422" s="236"/>
      <c r="M422" s="236"/>
      <c r="N422" s="236"/>
      <c r="O422" s="236"/>
      <c r="P422" s="236"/>
      <c r="Q422" s="236"/>
      <c r="R422" s="236"/>
      <c r="S422" s="236"/>
      <c r="T422" s="236"/>
      <c r="U422" s="236"/>
      <c r="V422" s="236"/>
      <c r="W422" s="237"/>
      <c r="X422" s="237"/>
      <c r="Y422" s="237"/>
      <c r="Z422" s="237"/>
      <c r="AA422" s="237"/>
      <c r="AB422" s="237"/>
      <c r="AC422" s="237"/>
      <c r="AD422" s="237"/>
      <c r="AE422" s="237"/>
      <c r="AF422" s="237"/>
      <c r="AG422" s="237"/>
      <c r="AH422" s="237"/>
      <c r="AI422" s="308"/>
      <c r="AJ422" s="308"/>
      <c r="AK422" s="308"/>
      <c r="AL422" s="308"/>
      <c r="AM422" s="98"/>
      <c r="AN422" s="98"/>
      <c r="AO422" s="98"/>
    </row>
    <row r="423" ht="14.25" customHeight="1">
      <c r="A423" s="98"/>
      <c r="B423" s="98"/>
      <c r="C423" s="98"/>
      <c r="D423" s="308"/>
      <c r="E423" s="98"/>
      <c r="F423" s="235"/>
      <c r="G423" s="235"/>
      <c r="H423" s="236"/>
      <c r="I423" s="236"/>
      <c r="J423" s="236"/>
      <c r="K423" s="236"/>
      <c r="L423" s="236"/>
      <c r="M423" s="236"/>
      <c r="N423" s="236"/>
      <c r="O423" s="236"/>
      <c r="P423" s="236"/>
      <c r="Q423" s="236"/>
      <c r="R423" s="236"/>
      <c r="S423" s="236"/>
      <c r="T423" s="236"/>
      <c r="U423" s="236"/>
      <c r="V423" s="236"/>
      <c r="W423" s="237"/>
      <c r="X423" s="237"/>
      <c r="Y423" s="237"/>
      <c r="Z423" s="237"/>
      <c r="AA423" s="237"/>
      <c r="AB423" s="237"/>
      <c r="AC423" s="237"/>
      <c r="AD423" s="237"/>
      <c r="AE423" s="237"/>
      <c r="AF423" s="237"/>
      <c r="AG423" s="237"/>
      <c r="AH423" s="237"/>
      <c r="AI423" s="308"/>
      <c r="AJ423" s="308"/>
      <c r="AK423" s="308"/>
      <c r="AL423" s="308"/>
      <c r="AM423" s="98"/>
      <c r="AN423" s="98"/>
      <c r="AO423" s="98"/>
    </row>
    <row r="424" ht="14.25" customHeight="1">
      <c r="A424" s="98"/>
      <c r="B424" s="98"/>
      <c r="C424" s="98"/>
      <c r="D424" s="308"/>
      <c r="E424" s="98"/>
      <c r="F424" s="235"/>
      <c r="G424" s="235"/>
      <c r="H424" s="236"/>
      <c r="I424" s="236"/>
      <c r="J424" s="236"/>
      <c r="K424" s="236"/>
      <c r="L424" s="236"/>
      <c r="M424" s="236"/>
      <c r="N424" s="236"/>
      <c r="O424" s="236"/>
      <c r="P424" s="236"/>
      <c r="Q424" s="236"/>
      <c r="R424" s="236"/>
      <c r="S424" s="236"/>
      <c r="T424" s="236"/>
      <c r="U424" s="236"/>
      <c r="V424" s="236"/>
      <c r="W424" s="237"/>
      <c r="X424" s="237"/>
      <c r="Y424" s="237"/>
      <c r="Z424" s="237"/>
      <c r="AA424" s="237"/>
      <c r="AB424" s="237"/>
      <c r="AC424" s="237"/>
      <c r="AD424" s="237"/>
      <c r="AE424" s="237"/>
      <c r="AF424" s="237"/>
      <c r="AG424" s="237"/>
      <c r="AH424" s="237"/>
      <c r="AI424" s="308"/>
      <c r="AJ424" s="308"/>
      <c r="AK424" s="308"/>
      <c r="AL424" s="308"/>
      <c r="AM424" s="98"/>
      <c r="AN424" s="98"/>
      <c r="AO424" s="98"/>
    </row>
    <row r="425" ht="14.25" customHeight="1">
      <c r="A425" s="98"/>
      <c r="B425" s="98"/>
      <c r="C425" s="98"/>
      <c r="D425" s="308"/>
      <c r="E425" s="98"/>
      <c r="F425" s="235"/>
      <c r="G425" s="235"/>
      <c r="H425" s="236"/>
      <c r="I425" s="236"/>
      <c r="J425" s="236"/>
      <c r="K425" s="236"/>
      <c r="L425" s="236"/>
      <c r="M425" s="236"/>
      <c r="N425" s="236"/>
      <c r="O425" s="236"/>
      <c r="P425" s="236"/>
      <c r="Q425" s="236"/>
      <c r="R425" s="236"/>
      <c r="S425" s="236"/>
      <c r="T425" s="236"/>
      <c r="U425" s="236"/>
      <c r="V425" s="236"/>
      <c r="W425" s="237"/>
      <c r="X425" s="237"/>
      <c r="Y425" s="237"/>
      <c r="Z425" s="237"/>
      <c r="AA425" s="237"/>
      <c r="AB425" s="237"/>
      <c r="AC425" s="237"/>
      <c r="AD425" s="237"/>
      <c r="AE425" s="237"/>
      <c r="AF425" s="237"/>
      <c r="AG425" s="237"/>
      <c r="AH425" s="237"/>
      <c r="AI425" s="308"/>
      <c r="AJ425" s="308"/>
      <c r="AK425" s="308"/>
      <c r="AL425" s="308"/>
      <c r="AM425" s="98"/>
      <c r="AN425" s="98"/>
      <c r="AO425" s="98"/>
    </row>
    <row r="426" ht="14.25" customHeight="1">
      <c r="A426" s="98"/>
      <c r="B426" s="98"/>
      <c r="C426" s="98"/>
      <c r="D426" s="308"/>
      <c r="E426" s="98"/>
      <c r="F426" s="235"/>
      <c r="G426" s="235"/>
      <c r="H426" s="236"/>
      <c r="I426" s="236"/>
      <c r="J426" s="236"/>
      <c r="K426" s="236"/>
      <c r="L426" s="236"/>
      <c r="M426" s="236"/>
      <c r="N426" s="236"/>
      <c r="O426" s="236"/>
      <c r="P426" s="236"/>
      <c r="Q426" s="236"/>
      <c r="R426" s="236"/>
      <c r="S426" s="236"/>
      <c r="T426" s="236"/>
      <c r="U426" s="236"/>
      <c r="V426" s="236"/>
      <c r="W426" s="237"/>
      <c r="X426" s="237"/>
      <c r="Y426" s="237"/>
      <c r="Z426" s="237"/>
      <c r="AA426" s="237"/>
      <c r="AB426" s="237"/>
      <c r="AC426" s="237"/>
      <c r="AD426" s="237"/>
      <c r="AE426" s="237"/>
      <c r="AF426" s="237"/>
      <c r="AG426" s="237"/>
      <c r="AH426" s="237"/>
      <c r="AI426" s="308"/>
      <c r="AJ426" s="308"/>
      <c r="AK426" s="308"/>
      <c r="AL426" s="308"/>
      <c r="AM426" s="98"/>
      <c r="AN426" s="98"/>
      <c r="AO426" s="98"/>
    </row>
    <row r="427" ht="14.25" customHeight="1">
      <c r="A427" s="98"/>
      <c r="B427" s="98"/>
      <c r="C427" s="98"/>
      <c r="D427" s="308"/>
      <c r="E427" s="98"/>
      <c r="F427" s="235"/>
      <c r="G427" s="235"/>
      <c r="H427" s="236"/>
      <c r="I427" s="236"/>
      <c r="J427" s="236"/>
      <c r="K427" s="236"/>
      <c r="L427" s="236"/>
      <c r="M427" s="236"/>
      <c r="N427" s="236"/>
      <c r="O427" s="236"/>
      <c r="P427" s="236"/>
      <c r="Q427" s="236"/>
      <c r="R427" s="236"/>
      <c r="S427" s="236"/>
      <c r="T427" s="236"/>
      <c r="U427" s="236"/>
      <c r="V427" s="236"/>
      <c r="W427" s="237"/>
      <c r="X427" s="237"/>
      <c r="Y427" s="237"/>
      <c r="Z427" s="237"/>
      <c r="AA427" s="237"/>
      <c r="AB427" s="237"/>
      <c r="AC427" s="237"/>
      <c r="AD427" s="237"/>
      <c r="AE427" s="237"/>
      <c r="AF427" s="237"/>
      <c r="AG427" s="237"/>
      <c r="AH427" s="237"/>
      <c r="AI427" s="308"/>
      <c r="AJ427" s="308"/>
      <c r="AK427" s="308"/>
      <c r="AL427" s="308"/>
      <c r="AM427" s="98"/>
      <c r="AN427" s="98"/>
      <c r="AO427" s="98"/>
    </row>
    <row r="428" ht="14.25" customHeight="1">
      <c r="A428" s="98"/>
      <c r="B428" s="98"/>
      <c r="C428" s="98"/>
      <c r="D428" s="308"/>
      <c r="E428" s="98"/>
      <c r="F428" s="235"/>
      <c r="G428" s="235"/>
      <c r="H428" s="236"/>
      <c r="I428" s="236"/>
      <c r="J428" s="236"/>
      <c r="K428" s="236"/>
      <c r="L428" s="236"/>
      <c r="M428" s="236"/>
      <c r="N428" s="236"/>
      <c r="O428" s="236"/>
      <c r="P428" s="236"/>
      <c r="Q428" s="236"/>
      <c r="R428" s="236"/>
      <c r="S428" s="236"/>
      <c r="T428" s="236"/>
      <c r="U428" s="236"/>
      <c r="V428" s="236"/>
      <c r="W428" s="237"/>
      <c r="X428" s="237"/>
      <c r="Y428" s="237"/>
      <c r="Z428" s="237"/>
      <c r="AA428" s="237"/>
      <c r="AB428" s="237"/>
      <c r="AC428" s="237"/>
      <c r="AD428" s="237"/>
      <c r="AE428" s="237"/>
      <c r="AF428" s="237"/>
      <c r="AG428" s="237"/>
      <c r="AH428" s="237"/>
      <c r="AI428" s="308"/>
      <c r="AJ428" s="308"/>
      <c r="AK428" s="308"/>
      <c r="AL428" s="308"/>
      <c r="AM428" s="98"/>
      <c r="AN428" s="98"/>
      <c r="AO428" s="98"/>
    </row>
    <row r="429" ht="14.25" customHeight="1">
      <c r="A429" s="98"/>
      <c r="B429" s="98"/>
      <c r="C429" s="98"/>
      <c r="D429" s="308"/>
      <c r="E429" s="98"/>
      <c r="F429" s="235"/>
      <c r="G429" s="235"/>
      <c r="H429" s="236"/>
      <c r="I429" s="236"/>
      <c r="J429" s="236"/>
      <c r="K429" s="236"/>
      <c r="L429" s="236"/>
      <c r="M429" s="236"/>
      <c r="N429" s="236"/>
      <c r="O429" s="236"/>
      <c r="P429" s="236"/>
      <c r="Q429" s="236"/>
      <c r="R429" s="236"/>
      <c r="S429" s="236"/>
      <c r="T429" s="236"/>
      <c r="U429" s="236"/>
      <c r="V429" s="236"/>
      <c r="W429" s="237"/>
      <c r="X429" s="237"/>
      <c r="Y429" s="237"/>
      <c r="Z429" s="237"/>
      <c r="AA429" s="237"/>
      <c r="AB429" s="237"/>
      <c r="AC429" s="237"/>
      <c r="AD429" s="237"/>
      <c r="AE429" s="237"/>
      <c r="AF429" s="237"/>
      <c r="AG429" s="237"/>
      <c r="AH429" s="237"/>
      <c r="AI429" s="308"/>
      <c r="AJ429" s="308"/>
      <c r="AK429" s="308"/>
      <c r="AL429" s="308"/>
      <c r="AM429" s="98"/>
      <c r="AN429" s="98"/>
      <c r="AO429" s="98"/>
    </row>
    <row r="430" ht="14.25" customHeight="1">
      <c r="A430" s="98"/>
      <c r="B430" s="98"/>
      <c r="C430" s="98"/>
      <c r="D430" s="308"/>
      <c r="E430" s="98"/>
      <c r="F430" s="235"/>
      <c r="G430" s="235"/>
      <c r="H430" s="236"/>
      <c r="I430" s="236"/>
      <c r="J430" s="236"/>
      <c r="K430" s="236"/>
      <c r="L430" s="236"/>
      <c r="M430" s="236"/>
      <c r="N430" s="236"/>
      <c r="O430" s="236"/>
      <c r="P430" s="236"/>
      <c r="Q430" s="236"/>
      <c r="R430" s="236"/>
      <c r="S430" s="236"/>
      <c r="T430" s="236"/>
      <c r="U430" s="236"/>
      <c r="V430" s="236"/>
      <c r="W430" s="237"/>
      <c r="X430" s="237"/>
      <c r="Y430" s="237"/>
      <c r="Z430" s="237"/>
      <c r="AA430" s="237"/>
      <c r="AB430" s="237"/>
      <c r="AC430" s="237"/>
      <c r="AD430" s="237"/>
      <c r="AE430" s="237"/>
      <c r="AF430" s="237"/>
      <c r="AG430" s="237"/>
      <c r="AH430" s="237"/>
      <c r="AI430" s="308"/>
      <c r="AJ430" s="308"/>
      <c r="AK430" s="308"/>
      <c r="AL430" s="308"/>
      <c r="AM430" s="98"/>
      <c r="AN430" s="98"/>
      <c r="AO430" s="98"/>
    </row>
    <row r="431" ht="14.25" customHeight="1">
      <c r="A431" s="98"/>
      <c r="B431" s="98"/>
      <c r="C431" s="98"/>
      <c r="D431" s="308"/>
      <c r="E431" s="98"/>
      <c r="F431" s="235"/>
      <c r="G431" s="235"/>
      <c r="H431" s="236"/>
      <c r="I431" s="236"/>
      <c r="J431" s="236"/>
      <c r="K431" s="236"/>
      <c r="L431" s="236"/>
      <c r="M431" s="236"/>
      <c r="N431" s="236"/>
      <c r="O431" s="236"/>
      <c r="P431" s="236"/>
      <c r="Q431" s="236"/>
      <c r="R431" s="236"/>
      <c r="S431" s="236"/>
      <c r="T431" s="236"/>
      <c r="U431" s="236"/>
      <c r="V431" s="236"/>
      <c r="W431" s="237"/>
      <c r="X431" s="237"/>
      <c r="Y431" s="237"/>
      <c r="Z431" s="237"/>
      <c r="AA431" s="237"/>
      <c r="AB431" s="237"/>
      <c r="AC431" s="237"/>
      <c r="AD431" s="237"/>
      <c r="AE431" s="237"/>
      <c r="AF431" s="237"/>
      <c r="AG431" s="237"/>
      <c r="AH431" s="237"/>
      <c r="AI431" s="308"/>
      <c r="AJ431" s="308"/>
      <c r="AK431" s="308"/>
      <c r="AL431" s="308"/>
      <c r="AM431" s="98"/>
      <c r="AN431" s="98"/>
      <c r="AO431" s="98"/>
    </row>
    <row r="432" ht="14.25" customHeight="1">
      <c r="A432" s="98"/>
      <c r="B432" s="98"/>
      <c r="C432" s="98"/>
      <c r="D432" s="308"/>
      <c r="E432" s="98"/>
      <c r="F432" s="235"/>
      <c r="G432" s="235"/>
      <c r="H432" s="236"/>
      <c r="I432" s="236"/>
      <c r="J432" s="236"/>
      <c r="K432" s="236"/>
      <c r="L432" s="236"/>
      <c r="M432" s="236"/>
      <c r="N432" s="236"/>
      <c r="O432" s="236"/>
      <c r="P432" s="236"/>
      <c r="Q432" s="236"/>
      <c r="R432" s="236"/>
      <c r="S432" s="236"/>
      <c r="T432" s="236"/>
      <c r="U432" s="236"/>
      <c r="V432" s="236"/>
      <c r="W432" s="237"/>
      <c r="X432" s="237"/>
      <c r="Y432" s="237"/>
      <c r="Z432" s="237"/>
      <c r="AA432" s="237"/>
      <c r="AB432" s="237"/>
      <c r="AC432" s="237"/>
      <c r="AD432" s="237"/>
      <c r="AE432" s="237"/>
      <c r="AF432" s="237"/>
      <c r="AG432" s="237"/>
      <c r="AH432" s="237"/>
      <c r="AI432" s="308"/>
      <c r="AJ432" s="308"/>
      <c r="AK432" s="308"/>
      <c r="AL432" s="308"/>
      <c r="AM432" s="98"/>
      <c r="AN432" s="98"/>
      <c r="AO432" s="98"/>
    </row>
    <row r="433" ht="14.25" customHeight="1">
      <c r="A433" s="98"/>
      <c r="B433" s="98"/>
      <c r="C433" s="98"/>
      <c r="D433" s="308"/>
      <c r="E433" s="98"/>
      <c r="F433" s="235"/>
      <c r="G433" s="235"/>
      <c r="H433" s="236"/>
      <c r="I433" s="236"/>
      <c r="J433" s="236"/>
      <c r="K433" s="236"/>
      <c r="L433" s="236"/>
      <c r="M433" s="236"/>
      <c r="N433" s="236"/>
      <c r="O433" s="236"/>
      <c r="P433" s="236"/>
      <c r="Q433" s="236"/>
      <c r="R433" s="236"/>
      <c r="S433" s="236"/>
      <c r="T433" s="236"/>
      <c r="U433" s="236"/>
      <c r="V433" s="236"/>
      <c r="W433" s="237"/>
      <c r="X433" s="237"/>
      <c r="Y433" s="237"/>
      <c r="Z433" s="237"/>
      <c r="AA433" s="237"/>
      <c r="AB433" s="237"/>
      <c r="AC433" s="237"/>
      <c r="AD433" s="237"/>
      <c r="AE433" s="237"/>
      <c r="AF433" s="237"/>
      <c r="AG433" s="237"/>
      <c r="AH433" s="237"/>
      <c r="AI433" s="308"/>
      <c r="AJ433" s="308"/>
      <c r="AK433" s="308"/>
      <c r="AL433" s="308"/>
      <c r="AM433" s="98"/>
      <c r="AN433" s="98"/>
      <c r="AO433" s="98"/>
    </row>
    <row r="434" ht="14.25" customHeight="1">
      <c r="A434" s="98"/>
      <c r="B434" s="98"/>
      <c r="C434" s="98"/>
      <c r="D434" s="308"/>
      <c r="E434" s="98"/>
      <c r="F434" s="235"/>
      <c r="G434" s="235"/>
      <c r="H434" s="236"/>
      <c r="I434" s="236"/>
      <c r="J434" s="236"/>
      <c r="K434" s="236"/>
      <c r="L434" s="236"/>
      <c r="M434" s="236"/>
      <c r="N434" s="236"/>
      <c r="O434" s="236"/>
      <c r="P434" s="236"/>
      <c r="Q434" s="236"/>
      <c r="R434" s="236"/>
      <c r="S434" s="236"/>
      <c r="T434" s="236"/>
      <c r="U434" s="236"/>
      <c r="V434" s="236"/>
      <c r="W434" s="237"/>
      <c r="X434" s="237"/>
      <c r="Y434" s="237"/>
      <c r="Z434" s="237"/>
      <c r="AA434" s="237"/>
      <c r="AB434" s="237"/>
      <c r="AC434" s="237"/>
      <c r="AD434" s="237"/>
      <c r="AE434" s="237"/>
      <c r="AF434" s="237"/>
      <c r="AG434" s="237"/>
      <c r="AH434" s="237"/>
      <c r="AI434" s="308"/>
      <c r="AJ434" s="308"/>
      <c r="AK434" s="308"/>
      <c r="AL434" s="308"/>
      <c r="AM434" s="98"/>
      <c r="AN434" s="98"/>
      <c r="AO434" s="98"/>
    </row>
    <row r="435" ht="14.25" customHeight="1">
      <c r="A435" s="98"/>
      <c r="B435" s="98"/>
      <c r="C435" s="98"/>
      <c r="D435" s="308"/>
      <c r="E435" s="98"/>
      <c r="F435" s="235"/>
      <c r="G435" s="235"/>
      <c r="H435" s="236"/>
      <c r="I435" s="236"/>
      <c r="J435" s="236"/>
      <c r="K435" s="236"/>
      <c r="L435" s="236"/>
      <c r="M435" s="236"/>
      <c r="N435" s="236"/>
      <c r="O435" s="236"/>
      <c r="P435" s="236"/>
      <c r="Q435" s="236"/>
      <c r="R435" s="236"/>
      <c r="S435" s="236"/>
      <c r="T435" s="236"/>
      <c r="U435" s="236"/>
      <c r="V435" s="236"/>
      <c r="W435" s="237"/>
      <c r="X435" s="237"/>
      <c r="Y435" s="237"/>
      <c r="Z435" s="237"/>
      <c r="AA435" s="237"/>
      <c r="AB435" s="237"/>
      <c r="AC435" s="237"/>
      <c r="AD435" s="237"/>
      <c r="AE435" s="237"/>
      <c r="AF435" s="237"/>
      <c r="AG435" s="237"/>
      <c r="AH435" s="237"/>
      <c r="AI435" s="308"/>
      <c r="AJ435" s="308"/>
      <c r="AK435" s="308"/>
      <c r="AL435" s="308"/>
      <c r="AM435" s="98"/>
      <c r="AN435" s="98"/>
      <c r="AO435" s="98"/>
    </row>
    <row r="436" ht="14.25" customHeight="1">
      <c r="A436" s="98"/>
      <c r="B436" s="98"/>
      <c r="C436" s="98"/>
      <c r="D436" s="308"/>
      <c r="E436" s="98"/>
      <c r="F436" s="235"/>
      <c r="G436" s="235"/>
      <c r="H436" s="236"/>
      <c r="I436" s="236"/>
      <c r="J436" s="236"/>
      <c r="K436" s="236"/>
      <c r="L436" s="236"/>
      <c r="M436" s="236"/>
      <c r="N436" s="236"/>
      <c r="O436" s="236"/>
      <c r="P436" s="236"/>
      <c r="Q436" s="236"/>
      <c r="R436" s="236"/>
      <c r="S436" s="236"/>
      <c r="T436" s="236"/>
      <c r="U436" s="236"/>
      <c r="V436" s="236"/>
      <c r="W436" s="237"/>
      <c r="X436" s="237"/>
      <c r="Y436" s="237"/>
      <c r="Z436" s="237"/>
      <c r="AA436" s="237"/>
      <c r="AB436" s="237"/>
      <c r="AC436" s="237"/>
      <c r="AD436" s="237"/>
      <c r="AE436" s="237"/>
      <c r="AF436" s="237"/>
      <c r="AG436" s="237"/>
      <c r="AH436" s="237"/>
      <c r="AI436" s="308"/>
      <c r="AJ436" s="308"/>
      <c r="AK436" s="308"/>
      <c r="AL436" s="308"/>
      <c r="AM436" s="98"/>
      <c r="AN436" s="98"/>
      <c r="AO436" s="98"/>
    </row>
    <row r="437" ht="14.25" customHeight="1">
      <c r="A437" s="98"/>
      <c r="B437" s="98"/>
      <c r="C437" s="98"/>
      <c r="D437" s="308"/>
      <c r="E437" s="98"/>
      <c r="F437" s="235"/>
      <c r="G437" s="235"/>
      <c r="H437" s="236"/>
      <c r="I437" s="236"/>
      <c r="J437" s="236"/>
      <c r="K437" s="236"/>
      <c r="L437" s="236"/>
      <c r="M437" s="236"/>
      <c r="N437" s="236"/>
      <c r="O437" s="236"/>
      <c r="P437" s="236"/>
      <c r="Q437" s="236"/>
      <c r="R437" s="236"/>
      <c r="S437" s="236"/>
      <c r="T437" s="236"/>
      <c r="U437" s="236"/>
      <c r="V437" s="236"/>
      <c r="W437" s="237"/>
      <c r="X437" s="237"/>
      <c r="Y437" s="237"/>
      <c r="Z437" s="237"/>
      <c r="AA437" s="237"/>
      <c r="AB437" s="237"/>
      <c r="AC437" s="237"/>
      <c r="AD437" s="237"/>
      <c r="AE437" s="237"/>
      <c r="AF437" s="237"/>
      <c r="AG437" s="237"/>
      <c r="AH437" s="237"/>
      <c r="AI437" s="308"/>
      <c r="AJ437" s="308"/>
      <c r="AK437" s="308"/>
      <c r="AL437" s="308"/>
      <c r="AM437" s="98"/>
      <c r="AN437" s="98"/>
      <c r="AO437" s="98"/>
    </row>
    <row r="438" ht="14.25" customHeight="1">
      <c r="A438" s="98"/>
      <c r="B438" s="98"/>
      <c r="C438" s="98"/>
      <c r="D438" s="308"/>
      <c r="E438" s="98"/>
      <c r="F438" s="235"/>
      <c r="G438" s="235"/>
      <c r="H438" s="236"/>
      <c r="I438" s="236"/>
      <c r="J438" s="236"/>
      <c r="K438" s="236"/>
      <c r="L438" s="236"/>
      <c r="M438" s="236"/>
      <c r="N438" s="236"/>
      <c r="O438" s="236"/>
      <c r="P438" s="236"/>
      <c r="Q438" s="236"/>
      <c r="R438" s="236"/>
      <c r="S438" s="236"/>
      <c r="T438" s="236"/>
      <c r="U438" s="236"/>
      <c r="V438" s="236"/>
      <c r="W438" s="237"/>
      <c r="X438" s="237"/>
      <c r="Y438" s="237"/>
      <c r="Z438" s="237"/>
      <c r="AA438" s="237"/>
      <c r="AB438" s="237"/>
      <c r="AC438" s="237"/>
      <c r="AD438" s="237"/>
      <c r="AE438" s="237"/>
      <c r="AF438" s="237"/>
      <c r="AG438" s="237"/>
      <c r="AH438" s="237"/>
      <c r="AI438" s="308"/>
      <c r="AJ438" s="308"/>
      <c r="AK438" s="308"/>
      <c r="AL438" s="308"/>
      <c r="AM438" s="98"/>
      <c r="AN438" s="98"/>
      <c r="AO438" s="98"/>
    </row>
    <row r="439" ht="14.25" customHeight="1">
      <c r="A439" s="98"/>
      <c r="B439" s="98"/>
      <c r="C439" s="98"/>
      <c r="D439" s="308"/>
      <c r="E439" s="98"/>
      <c r="F439" s="235"/>
      <c r="G439" s="235"/>
      <c r="H439" s="236"/>
      <c r="I439" s="236"/>
      <c r="J439" s="236"/>
      <c r="K439" s="236"/>
      <c r="L439" s="236"/>
      <c r="M439" s="236"/>
      <c r="N439" s="236"/>
      <c r="O439" s="236"/>
      <c r="P439" s="236"/>
      <c r="Q439" s="236"/>
      <c r="R439" s="236"/>
      <c r="S439" s="236"/>
      <c r="T439" s="236"/>
      <c r="U439" s="236"/>
      <c r="V439" s="236"/>
      <c r="W439" s="237"/>
      <c r="X439" s="237"/>
      <c r="Y439" s="237"/>
      <c r="Z439" s="237"/>
      <c r="AA439" s="237"/>
      <c r="AB439" s="237"/>
      <c r="AC439" s="237"/>
      <c r="AD439" s="237"/>
      <c r="AE439" s="237"/>
      <c r="AF439" s="237"/>
      <c r="AG439" s="237"/>
      <c r="AH439" s="237"/>
      <c r="AI439" s="308"/>
      <c r="AJ439" s="308"/>
      <c r="AK439" s="308"/>
      <c r="AL439" s="308"/>
      <c r="AM439" s="98"/>
      <c r="AN439" s="98"/>
      <c r="AO439" s="98"/>
    </row>
    <row r="440" ht="14.25" customHeight="1">
      <c r="A440" s="98"/>
      <c r="B440" s="98"/>
      <c r="C440" s="98"/>
      <c r="D440" s="308"/>
      <c r="E440" s="98"/>
      <c r="F440" s="235"/>
      <c r="G440" s="235"/>
      <c r="H440" s="236"/>
      <c r="I440" s="236"/>
      <c r="J440" s="236"/>
      <c r="K440" s="236"/>
      <c r="L440" s="236"/>
      <c r="M440" s="236"/>
      <c r="N440" s="236"/>
      <c r="O440" s="236"/>
      <c r="P440" s="236"/>
      <c r="Q440" s="236"/>
      <c r="R440" s="236"/>
      <c r="S440" s="236"/>
      <c r="T440" s="236"/>
      <c r="U440" s="236"/>
      <c r="V440" s="236"/>
      <c r="W440" s="237"/>
      <c r="X440" s="237"/>
      <c r="Y440" s="237"/>
      <c r="Z440" s="237"/>
      <c r="AA440" s="237"/>
      <c r="AB440" s="237"/>
      <c r="AC440" s="237"/>
      <c r="AD440" s="237"/>
      <c r="AE440" s="237"/>
      <c r="AF440" s="237"/>
      <c r="AG440" s="237"/>
      <c r="AH440" s="237"/>
      <c r="AI440" s="308"/>
      <c r="AJ440" s="308"/>
      <c r="AK440" s="308"/>
      <c r="AL440" s="308"/>
      <c r="AM440" s="98"/>
      <c r="AN440" s="98"/>
      <c r="AO440" s="98"/>
    </row>
    <row r="441" ht="14.25" customHeight="1">
      <c r="A441" s="98"/>
      <c r="B441" s="98"/>
      <c r="C441" s="98"/>
      <c r="D441" s="308"/>
      <c r="E441" s="98"/>
      <c r="F441" s="235"/>
      <c r="G441" s="235"/>
      <c r="H441" s="236"/>
      <c r="I441" s="236"/>
      <c r="J441" s="236"/>
      <c r="K441" s="236"/>
      <c r="L441" s="236"/>
      <c r="M441" s="236"/>
      <c r="N441" s="236"/>
      <c r="O441" s="236"/>
      <c r="P441" s="236"/>
      <c r="Q441" s="236"/>
      <c r="R441" s="236"/>
      <c r="S441" s="236"/>
      <c r="T441" s="236"/>
      <c r="U441" s="236"/>
      <c r="V441" s="236"/>
      <c r="W441" s="237"/>
      <c r="X441" s="237"/>
      <c r="Y441" s="237"/>
      <c r="Z441" s="237"/>
      <c r="AA441" s="237"/>
      <c r="AB441" s="237"/>
      <c r="AC441" s="237"/>
      <c r="AD441" s="237"/>
      <c r="AE441" s="237"/>
      <c r="AF441" s="237"/>
      <c r="AG441" s="237"/>
      <c r="AH441" s="237"/>
      <c r="AI441" s="308"/>
      <c r="AJ441" s="308"/>
      <c r="AK441" s="308"/>
      <c r="AL441" s="308"/>
      <c r="AM441" s="98"/>
      <c r="AN441" s="98"/>
      <c r="AO441" s="98"/>
    </row>
    <row r="442" ht="14.25" customHeight="1">
      <c r="A442" s="98"/>
      <c r="B442" s="98"/>
      <c r="C442" s="98"/>
      <c r="D442" s="308"/>
      <c r="E442" s="98"/>
      <c r="F442" s="235"/>
      <c r="G442" s="235"/>
      <c r="H442" s="236"/>
      <c r="I442" s="236"/>
      <c r="J442" s="236"/>
      <c r="K442" s="236"/>
      <c r="L442" s="236"/>
      <c r="M442" s="236"/>
      <c r="N442" s="236"/>
      <c r="O442" s="236"/>
      <c r="P442" s="236"/>
      <c r="Q442" s="236"/>
      <c r="R442" s="236"/>
      <c r="S442" s="236"/>
      <c r="T442" s="236"/>
      <c r="U442" s="236"/>
      <c r="V442" s="236"/>
      <c r="W442" s="237"/>
      <c r="X442" s="237"/>
      <c r="Y442" s="237"/>
      <c r="Z442" s="237"/>
      <c r="AA442" s="237"/>
      <c r="AB442" s="237"/>
      <c r="AC442" s="237"/>
      <c r="AD442" s="237"/>
      <c r="AE442" s="237"/>
      <c r="AF442" s="237"/>
      <c r="AG442" s="237"/>
      <c r="AH442" s="237"/>
      <c r="AI442" s="308"/>
      <c r="AJ442" s="308"/>
      <c r="AK442" s="308"/>
      <c r="AL442" s="308"/>
      <c r="AM442" s="98"/>
      <c r="AN442" s="98"/>
      <c r="AO442" s="98"/>
    </row>
    <row r="443" ht="14.25" customHeight="1">
      <c r="A443" s="98"/>
      <c r="B443" s="98"/>
      <c r="C443" s="98"/>
      <c r="D443" s="308"/>
      <c r="E443" s="98"/>
      <c r="F443" s="235"/>
      <c r="G443" s="235"/>
      <c r="H443" s="236"/>
      <c r="I443" s="236"/>
      <c r="J443" s="236"/>
      <c r="K443" s="236"/>
      <c r="L443" s="236"/>
      <c r="M443" s="236"/>
      <c r="N443" s="236"/>
      <c r="O443" s="236"/>
      <c r="P443" s="236"/>
      <c r="Q443" s="236"/>
      <c r="R443" s="236"/>
      <c r="S443" s="236"/>
      <c r="T443" s="236"/>
      <c r="U443" s="236"/>
      <c r="V443" s="236"/>
      <c r="W443" s="237"/>
      <c r="X443" s="237"/>
      <c r="Y443" s="237"/>
      <c r="Z443" s="237"/>
      <c r="AA443" s="237"/>
      <c r="AB443" s="237"/>
      <c r="AC443" s="237"/>
      <c r="AD443" s="237"/>
      <c r="AE443" s="237"/>
      <c r="AF443" s="237"/>
      <c r="AG443" s="237"/>
      <c r="AH443" s="237"/>
      <c r="AI443" s="308"/>
      <c r="AJ443" s="308"/>
      <c r="AK443" s="308"/>
      <c r="AL443" s="308"/>
      <c r="AM443" s="98"/>
      <c r="AN443" s="98"/>
      <c r="AO443" s="98"/>
    </row>
    <row r="444" ht="14.25" customHeight="1">
      <c r="A444" s="98"/>
      <c r="B444" s="98"/>
      <c r="C444" s="98"/>
      <c r="D444" s="308"/>
      <c r="E444" s="98"/>
      <c r="F444" s="235"/>
      <c r="G444" s="235"/>
      <c r="H444" s="236"/>
      <c r="I444" s="236"/>
      <c r="J444" s="236"/>
      <c r="K444" s="236"/>
      <c r="L444" s="236"/>
      <c r="M444" s="236"/>
      <c r="N444" s="236"/>
      <c r="O444" s="236"/>
      <c r="P444" s="236"/>
      <c r="Q444" s="236"/>
      <c r="R444" s="236"/>
      <c r="S444" s="236"/>
      <c r="T444" s="236"/>
      <c r="U444" s="236"/>
      <c r="V444" s="236"/>
      <c r="W444" s="237"/>
      <c r="X444" s="237"/>
      <c r="Y444" s="237"/>
      <c r="Z444" s="237"/>
      <c r="AA444" s="237"/>
      <c r="AB444" s="237"/>
      <c r="AC444" s="237"/>
      <c r="AD444" s="237"/>
      <c r="AE444" s="237"/>
      <c r="AF444" s="237"/>
      <c r="AG444" s="237"/>
      <c r="AH444" s="237"/>
      <c r="AI444" s="308"/>
      <c r="AJ444" s="308"/>
      <c r="AK444" s="308"/>
      <c r="AL444" s="308"/>
      <c r="AM444" s="98"/>
      <c r="AN444" s="98"/>
      <c r="AO444" s="98"/>
    </row>
    <row r="445" ht="14.25" customHeight="1">
      <c r="A445" s="98"/>
      <c r="B445" s="98"/>
      <c r="C445" s="98"/>
      <c r="D445" s="308"/>
      <c r="E445" s="98"/>
      <c r="F445" s="235"/>
      <c r="G445" s="235"/>
      <c r="H445" s="236"/>
      <c r="I445" s="236"/>
      <c r="J445" s="236"/>
      <c r="K445" s="236"/>
      <c r="L445" s="236"/>
      <c r="M445" s="236"/>
      <c r="N445" s="236"/>
      <c r="O445" s="236"/>
      <c r="P445" s="236"/>
      <c r="Q445" s="236"/>
      <c r="R445" s="236"/>
      <c r="S445" s="236"/>
      <c r="T445" s="236"/>
      <c r="U445" s="236"/>
      <c r="V445" s="236"/>
      <c r="W445" s="237"/>
      <c r="X445" s="237"/>
      <c r="Y445" s="237"/>
      <c r="Z445" s="237"/>
      <c r="AA445" s="237"/>
      <c r="AB445" s="237"/>
      <c r="AC445" s="237"/>
      <c r="AD445" s="237"/>
      <c r="AE445" s="237"/>
      <c r="AF445" s="237"/>
      <c r="AG445" s="237"/>
      <c r="AH445" s="237"/>
      <c r="AI445" s="308"/>
      <c r="AJ445" s="308"/>
      <c r="AK445" s="308"/>
      <c r="AL445" s="308"/>
      <c r="AM445" s="98"/>
      <c r="AN445" s="98"/>
      <c r="AO445" s="98"/>
    </row>
    <row r="446" ht="14.25" customHeight="1">
      <c r="A446" s="98"/>
      <c r="B446" s="98"/>
      <c r="C446" s="98"/>
      <c r="D446" s="308"/>
      <c r="E446" s="98"/>
      <c r="F446" s="235"/>
      <c r="G446" s="235"/>
      <c r="H446" s="236"/>
      <c r="I446" s="236"/>
      <c r="J446" s="236"/>
      <c r="K446" s="236"/>
      <c r="L446" s="236"/>
      <c r="M446" s="236"/>
      <c r="N446" s="236"/>
      <c r="O446" s="236"/>
      <c r="P446" s="236"/>
      <c r="Q446" s="236"/>
      <c r="R446" s="236"/>
      <c r="S446" s="236"/>
      <c r="T446" s="236"/>
      <c r="U446" s="236"/>
      <c r="V446" s="236"/>
      <c r="W446" s="237"/>
      <c r="X446" s="237"/>
      <c r="Y446" s="237"/>
      <c r="Z446" s="237"/>
      <c r="AA446" s="237"/>
      <c r="AB446" s="237"/>
      <c r="AC446" s="237"/>
      <c r="AD446" s="237"/>
      <c r="AE446" s="237"/>
      <c r="AF446" s="237"/>
      <c r="AG446" s="237"/>
      <c r="AH446" s="237"/>
      <c r="AI446" s="308"/>
      <c r="AJ446" s="308"/>
      <c r="AK446" s="308"/>
      <c r="AL446" s="308"/>
      <c r="AM446" s="98"/>
      <c r="AN446" s="98"/>
      <c r="AO446" s="98"/>
    </row>
    <row r="447" ht="14.25" customHeight="1">
      <c r="A447" s="98"/>
      <c r="B447" s="98"/>
      <c r="C447" s="98"/>
      <c r="D447" s="308"/>
      <c r="E447" s="98"/>
      <c r="F447" s="235"/>
      <c r="G447" s="235"/>
      <c r="H447" s="236"/>
      <c r="I447" s="236"/>
      <c r="J447" s="236"/>
      <c r="K447" s="236"/>
      <c r="L447" s="236"/>
      <c r="M447" s="236"/>
      <c r="N447" s="236"/>
      <c r="O447" s="236"/>
      <c r="P447" s="236"/>
      <c r="Q447" s="236"/>
      <c r="R447" s="236"/>
      <c r="S447" s="236"/>
      <c r="T447" s="236"/>
      <c r="U447" s="236"/>
      <c r="V447" s="236"/>
      <c r="W447" s="237"/>
      <c r="X447" s="237"/>
      <c r="Y447" s="237"/>
      <c r="Z447" s="237"/>
      <c r="AA447" s="237"/>
      <c r="AB447" s="237"/>
      <c r="AC447" s="237"/>
      <c r="AD447" s="237"/>
      <c r="AE447" s="237"/>
      <c r="AF447" s="237"/>
      <c r="AG447" s="237"/>
      <c r="AH447" s="237"/>
      <c r="AI447" s="308"/>
      <c r="AJ447" s="308"/>
      <c r="AK447" s="308"/>
      <c r="AL447" s="308"/>
      <c r="AM447" s="98"/>
      <c r="AN447" s="98"/>
      <c r="AO447" s="98"/>
    </row>
    <row r="448" ht="14.25" customHeight="1">
      <c r="A448" s="98"/>
      <c r="B448" s="98"/>
      <c r="C448" s="98"/>
      <c r="D448" s="308"/>
      <c r="E448" s="98"/>
      <c r="F448" s="235"/>
      <c r="G448" s="235"/>
      <c r="H448" s="236"/>
      <c r="I448" s="236"/>
      <c r="J448" s="236"/>
      <c r="K448" s="236"/>
      <c r="L448" s="236"/>
      <c r="M448" s="236"/>
      <c r="N448" s="236"/>
      <c r="O448" s="236"/>
      <c r="P448" s="236"/>
      <c r="Q448" s="236"/>
      <c r="R448" s="236"/>
      <c r="S448" s="236"/>
      <c r="T448" s="236"/>
      <c r="U448" s="236"/>
      <c r="V448" s="236"/>
      <c r="W448" s="237"/>
      <c r="X448" s="237"/>
      <c r="Y448" s="237"/>
      <c r="Z448" s="237"/>
      <c r="AA448" s="237"/>
      <c r="AB448" s="237"/>
      <c r="AC448" s="237"/>
      <c r="AD448" s="237"/>
      <c r="AE448" s="237"/>
      <c r="AF448" s="237"/>
      <c r="AG448" s="237"/>
      <c r="AH448" s="237"/>
      <c r="AI448" s="308"/>
      <c r="AJ448" s="308"/>
      <c r="AK448" s="308"/>
      <c r="AL448" s="308"/>
      <c r="AM448" s="98"/>
      <c r="AN448" s="98"/>
      <c r="AO448" s="98"/>
    </row>
    <row r="449" ht="14.25" customHeight="1">
      <c r="A449" s="98"/>
      <c r="B449" s="98"/>
      <c r="C449" s="98"/>
      <c r="D449" s="308"/>
      <c r="E449" s="98"/>
      <c r="F449" s="235"/>
      <c r="G449" s="235"/>
      <c r="H449" s="236"/>
      <c r="I449" s="236"/>
      <c r="J449" s="236"/>
      <c r="K449" s="236"/>
      <c r="L449" s="236"/>
      <c r="M449" s="236"/>
      <c r="N449" s="236"/>
      <c r="O449" s="236"/>
      <c r="P449" s="236"/>
      <c r="Q449" s="236"/>
      <c r="R449" s="236"/>
      <c r="S449" s="236"/>
      <c r="T449" s="236"/>
      <c r="U449" s="236"/>
      <c r="V449" s="236"/>
      <c r="W449" s="237"/>
      <c r="X449" s="237"/>
      <c r="Y449" s="237"/>
      <c r="Z449" s="237"/>
      <c r="AA449" s="237"/>
      <c r="AB449" s="237"/>
      <c r="AC449" s="237"/>
      <c r="AD449" s="237"/>
      <c r="AE449" s="237"/>
      <c r="AF449" s="237"/>
      <c r="AG449" s="237"/>
      <c r="AH449" s="237"/>
      <c r="AI449" s="308"/>
      <c r="AJ449" s="308"/>
      <c r="AK449" s="308"/>
      <c r="AL449" s="308"/>
      <c r="AM449" s="98"/>
      <c r="AN449" s="98"/>
      <c r="AO449" s="98"/>
    </row>
    <row r="450" ht="14.25" customHeight="1">
      <c r="A450" s="98"/>
      <c r="B450" s="98"/>
      <c r="C450" s="98"/>
      <c r="D450" s="308"/>
      <c r="E450" s="98"/>
      <c r="F450" s="235"/>
      <c r="G450" s="235"/>
      <c r="H450" s="236"/>
      <c r="I450" s="236"/>
      <c r="J450" s="236"/>
      <c r="K450" s="236"/>
      <c r="L450" s="236"/>
      <c r="M450" s="236"/>
      <c r="N450" s="236"/>
      <c r="O450" s="236"/>
      <c r="P450" s="236"/>
      <c r="Q450" s="236"/>
      <c r="R450" s="236"/>
      <c r="S450" s="236"/>
      <c r="T450" s="236"/>
      <c r="U450" s="236"/>
      <c r="V450" s="236"/>
      <c r="W450" s="237"/>
      <c r="X450" s="237"/>
      <c r="Y450" s="237"/>
      <c r="Z450" s="237"/>
      <c r="AA450" s="237"/>
      <c r="AB450" s="237"/>
      <c r="AC450" s="237"/>
      <c r="AD450" s="237"/>
      <c r="AE450" s="237"/>
      <c r="AF450" s="237"/>
      <c r="AG450" s="237"/>
      <c r="AH450" s="237"/>
      <c r="AI450" s="308"/>
      <c r="AJ450" s="308"/>
      <c r="AK450" s="308"/>
      <c r="AL450" s="308"/>
      <c r="AM450" s="98"/>
      <c r="AN450" s="98"/>
      <c r="AO450" s="98"/>
    </row>
    <row r="451" ht="14.25" customHeight="1">
      <c r="A451" s="98"/>
      <c r="B451" s="98"/>
      <c r="C451" s="98"/>
      <c r="D451" s="308"/>
      <c r="E451" s="98"/>
      <c r="F451" s="235"/>
      <c r="G451" s="235"/>
      <c r="H451" s="236"/>
      <c r="I451" s="236"/>
      <c r="J451" s="236"/>
      <c r="K451" s="236"/>
      <c r="L451" s="236"/>
      <c r="M451" s="236"/>
      <c r="N451" s="236"/>
      <c r="O451" s="236"/>
      <c r="P451" s="236"/>
      <c r="Q451" s="236"/>
      <c r="R451" s="236"/>
      <c r="S451" s="236"/>
      <c r="T451" s="236"/>
      <c r="U451" s="236"/>
      <c r="V451" s="236"/>
      <c r="W451" s="237"/>
      <c r="X451" s="237"/>
      <c r="Y451" s="237"/>
      <c r="Z451" s="237"/>
      <c r="AA451" s="237"/>
      <c r="AB451" s="237"/>
      <c r="AC451" s="237"/>
      <c r="AD451" s="237"/>
      <c r="AE451" s="237"/>
      <c r="AF451" s="237"/>
      <c r="AG451" s="237"/>
      <c r="AH451" s="237"/>
      <c r="AI451" s="308"/>
      <c r="AJ451" s="308"/>
      <c r="AK451" s="308"/>
      <c r="AL451" s="308"/>
      <c r="AM451" s="98"/>
      <c r="AN451" s="98"/>
      <c r="AO451" s="98"/>
    </row>
    <row r="452" ht="14.25" customHeight="1">
      <c r="A452" s="98"/>
      <c r="B452" s="98"/>
      <c r="C452" s="98"/>
      <c r="D452" s="308"/>
      <c r="E452" s="98"/>
      <c r="F452" s="235"/>
      <c r="G452" s="235"/>
      <c r="H452" s="236"/>
      <c r="I452" s="236"/>
      <c r="J452" s="236"/>
      <c r="K452" s="236"/>
      <c r="L452" s="236"/>
      <c r="M452" s="236"/>
      <c r="N452" s="236"/>
      <c r="O452" s="236"/>
      <c r="P452" s="236"/>
      <c r="Q452" s="236"/>
      <c r="R452" s="236"/>
      <c r="S452" s="236"/>
      <c r="T452" s="236"/>
      <c r="U452" s="236"/>
      <c r="V452" s="236"/>
      <c r="W452" s="237"/>
      <c r="X452" s="237"/>
      <c r="Y452" s="237"/>
      <c r="Z452" s="237"/>
      <c r="AA452" s="237"/>
      <c r="AB452" s="237"/>
      <c r="AC452" s="237"/>
      <c r="AD452" s="237"/>
      <c r="AE452" s="237"/>
      <c r="AF452" s="237"/>
      <c r="AG452" s="237"/>
      <c r="AH452" s="237"/>
      <c r="AI452" s="308"/>
      <c r="AJ452" s="308"/>
      <c r="AK452" s="308"/>
      <c r="AL452" s="308"/>
      <c r="AM452" s="98"/>
      <c r="AN452" s="98"/>
      <c r="AO452" s="98"/>
    </row>
    <row r="453" ht="14.25" customHeight="1">
      <c r="A453" s="98"/>
      <c r="B453" s="98"/>
      <c r="C453" s="98"/>
      <c r="D453" s="308"/>
      <c r="E453" s="98"/>
      <c r="F453" s="235"/>
      <c r="G453" s="235"/>
      <c r="H453" s="236"/>
      <c r="I453" s="236"/>
      <c r="J453" s="236"/>
      <c r="K453" s="236"/>
      <c r="L453" s="236"/>
      <c r="M453" s="236"/>
      <c r="N453" s="236"/>
      <c r="O453" s="236"/>
      <c r="P453" s="236"/>
      <c r="Q453" s="236"/>
      <c r="R453" s="236"/>
      <c r="S453" s="236"/>
      <c r="T453" s="236"/>
      <c r="U453" s="236"/>
      <c r="V453" s="236"/>
      <c r="W453" s="237"/>
      <c r="X453" s="237"/>
      <c r="Y453" s="237"/>
      <c r="Z453" s="237"/>
      <c r="AA453" s="237"/>
      <c r="AB453" s="237"/>
      <c r="AC453" s="237"/>
      <c r="AD453" s="237"/>
      <c r="AE453" s="237"/>
      <c r="AF453" s="237"/>
      <c r="AG453" s="237"/>
      <c r="AH453" s="237"/>
      <c r="AI453" s="308"/>
      <c r="AJ453" s="308"/>
      <c r="AK453" s="308"/>
      <c r="AL453" s="308"/>
      <c r="AM453" s="98"/>
      <c r="AN453" s="98"/>
      <c r="AO453" s="98"/>
    </row>
    <row r="454" ht="14.25" customHeight="1">
      <c r="A454" s="98"/>
      <c r="B454" s="98"/>
      <c r="C454" s="98"/>
      <c r="D454" s="308"/>
      <c r="E454" s="98"/>
      <c r="F454" s="235"/>
      <c r="G454" s="235"/>
      <c r="H454" s="236"/>
      <c r="I454" s="236"/>
      <c r="J454" s="236"/>
      <c r="K454" s="236"/>
      <c r="L454" s="236"/>
      <c r="M454" s="236"/>
      <c r="N454" s="236"/>
      <c r="O454" s="236"/>
      <c r="P454" s="236"/>
      <c r="Q454" s="236"/>
      <c r="R454" s="236"/>
      <c r="S454" s="236"/>
      <c r="T454" s="236"/>
      <c r="U454" s="236"/>
      <c r="V454" s="236"/>
      <c r="W454" s="237"/>
      <c r="X454" s="237"/>
      <c r="Y454" s="237"/>
      <c r="Z454" s="237"/>
      <c r="AA454" s="237"/>
      <c r="AB454" s="237"/>
      <c r="AC454" s="237"/>
      <c r="AD454" s="237"/>
      <c r="AE454" s="237"/>
      <c r="AF454" s="237"/>
      <c r="AG454" s="237"/>
      <c r="AH454" s="237"/>
      <c r="AI454" s="308"/>
      <c r="AJ454" s="308"/>
      <c r="AK454" s="308"/>
      <c r="AL454" s="308"/>
      <c r="AM454" s="98"/>
      <c r="AN454" s="98"/>
      <c r="AO454" s="98"/>
    </row>
    <row r="455" ht="14.25" customHeight="1">
      <c r="A455" s="98"/>
      <c r="B455" s="98"/>
      <c r="C455" s="98"/>
      <c r="D455" s="308"/>
      <c r="E455" s="98"/>
      <c r="F455" s="235"/>
      <c r="G455" s="235"/>
      <c r="H455" s="236"/>
      <c r="I455" s="236"/>
      <c r="J455" s="236"/>
      <c r="K455" s="236"/>
      <c r="L455" s="236"/>
      <c r="M455" s="236"/>
      <c r="N455" s="236"/>
      <c r="O455" s="236"/>
      <c r="P455" s="236"/>
      <c r="Q455" s="236"/>
      <c r="R455" s="236"/>
      <c r="S455" s="236"/>
      <c r="T455" s="236"/>
      <c r="U455" s="236"/>
      <c r="V455" s="236"/>
      <c r="W455" s="237"/>
      <c r="X455" s="237"/>
      <c r="Y455" s="237"/>
      <c r="Z455" s="237"/>
      <c r="AA455" s="237"/>
      <c r="AB455" s="237"/>
      <c r="AC455" s="237"/>
      <c r="AD455" s="237"/>
      <c r="AE455" s="237"/>
      <c r="AF455" s="237"/>
      <c r="AG455" s="237"/>
      <c r="AH455" s="237"/>
      <c r="AI455" s="308"/>
      <c r="AJ455" s="308"/>
      <c r="AK455" s="308"/>
      <c r="AL455" s="308"/>
      <c r="AM455" s="98"/>
      <c r="AN455" s="98"/>
      <c r="AO455" s="98"/>
    </row>
    <row r="456" ht="14.25" customHeight="1">
      <c r="A456" s="98"/>
      <c r="B456" s="98"/>
      <c r="C456" s="98"/>
      <c r="D456" s="308"/>
      <c r="E456" s="98"/>
      <c r="F456" s="235"/>
      <c r="G456" s="235"/>
      <c r="H456" s="236"/>
      <c r="I456" s="236"/>
      <c r="J456" s="236"/>
      <c r="K456" s="236"/>
      <c r="L456" s="236"/>
      <c r="M456" s="236"/>
      <c r="N456" s="236"/>
      <c r="O456" s="236"/>
      <c r="P456" s="236"/>
      <c r="Q456" s="236"/>
      <c r="R456" s="236"/>
      <c r="S456" s="236"/>
      <c r="T456" s="236"/>
      <c r="U456" s="236"/>
      <c r="V456" s="236"/>
      <c r="W456" s="237"/>
      <c r="X456" s="237"/>
      <c r="Y456" s="237"/>
      <c r="Z456" s="237"/>
      <c r="AA456" s="237"/>
      <c r="AB456" s="237"/>
      <c r="AC456" s="237"/>
      <c r="AD456" s="237"/>
      <c r="AE456" s="237"/>
      <c r="AF456" s="237"/>
      <c r="AG456" s="237"/>
      <c r="AH456" s="237"/>
      <c r="AI456" s="308"/>
      <c r="AJ456" s="308"/>
      <c r="AK456" s="308"/>
      <c r="AL456" s="308"/>
      <c r="AM456" s="98"/>
      <c r="AN456" s="98"/>
      <c r="AO456" s="98"/>
    </row>
    <row r="457" ht="14.25" customHeight="1">
      <c r="A457" s="98"/>
      <c r="B457" s="98"/>
      <c r="C457" s="98"/>
      <c r="D457" s="308"/>
      <c r="E457" s="98"/>
      <c r="F457" s="235"/>
      <c r="G457" s="235"/>
      <c r="H457" s="236"/>
      <c r="I457" s="236"/>
      <c r="J457" s="236"/>
      <c r="K457" s="236"/>
      <c r="L457" s="236"/>
      <c r="M457" s="236"/>
      <c r="N457" s="236"/>
      <c r="O457" s="236"/>
      <c r="P457" s="236"/>
      <c r="Q457" s="236"/>
      <c r="R457" s="236"/>
      <c r="S457" s="236"/>
      <c r="T457" s="236"/>
      <c r="U457" s="236"/>
      <c r="V457" s="236"/>
      <c r="W457" s="237"/>
      <c r="X457" s="237"/>
      <c r="Y457" s="237"/>
      <c r="Z457" s="237"/>
      <c r="AA457" s="237"/>
      <c r="AB457" s="237"/>
      <c r="AC457" s="237"/>
      <c r="AD457" s="237"/>
      <c r="AE457" s="237"/>
      <c r="AF457" s="237"/>
      <c r="AG457" s="237"/>
      <c r="AH457" s="237"/>
      <c r="AI457" s="308"/>
      <c r="AJ457" s="308"/>
      <c r="AK457" s="308"/>
      <c r="AL457" s="308"/>
      <c r="AM457" s="98"/>
      <c r="AN457" s="98"/>
      <c r="AO457" s="98"/>
    </row>
    <row r="458" ht="14.25" customHeight="1">
      <c r="A458" s="98"/>
      <c r="B458" s="98"/>
      <c r="C458" s="98"/>
      <c r="D458" s="308"/>
      <c r="E458" s="98"/>
      <c r="F458" s="235"/>
      <c r="G458" s="235"/>
      <c r="H458" s="236"/>
      <c r="I458" s="236"/>
      <c r="J458" s="236"/>
      <c r="K458" s="236"/>
      <c r="L458" s="236"/>
      <c r="M458" s="236"/>
      <c r="N458" s="236"/>
      <c r="O458" s="236"/>
      <c r="P458" s="236"/>
      <c r="Q458" s="236"/>
      <c r="R458" s="236"/>
      <c r="S458" s="236"/>
      <c r="T458" s="236"/>
      <c r="U458" s="236"/>
      <c r="V458" s="236"/>
      <c r="W458" s="237"/>
      <c r="X458" s="237"/>
      <c r="Y458" s="237"/>
      <c r="Z458" s="237"/>
      <c r="AA458" s="237"/>
      <c r="AB458" s="237"/>
      <c r="AC458" s="237"/>
      <c r="AD458" s="237"/>
      <c r="AE458" s="237"/>
      <c r="AF458" s="237"/>
      <c r="AG458" s="237"/>
      <c r="AH458" s="237"/>
      <c r="AI458" s="308"/>
      <c r="AJ458" s="308"/>
      <c r="AK458" s="308"/>
      <c r="AL458" s="308"/>
      <c r="AM458" s="98"/>
      <c r="AN458" s="98"/>
      <c r="AO458" s="98"/>
    </row>
    <row r="459" ht="14.25" customHeight="1">
      <c r="A459" s="98"/>
      <c r="B459" s="98"/>
      <c r="C459" s="98"/>
      <c r="D459" s="308"/>
      <c r="E459" s="98"/>
      <c r="F459" s="235"/>
      <c r="G459" s="235"/>
      <c r="H459" s="236"/>
      <c r="I459" s="236"/>
      <c r="J459" s="236"/>
      <c r="K459" s="236"/>
      <c r="L459" s="236"/>
      <c r="M459" s="236"/>
      <c r="N459" s="236"/>
      <c r="O459" s="236"/>
      <c r="P459" s="236"/>
      <c r="Q459" s="236"/>
      <c r="R459" s="236"/>
      <c r="S459" s="236"/>
      <c r="T459" s="236"/>
      <c r="U459" s="236"/>
      <c r="V459" s="236"/>
      <c r="W459" s="237"/>
      <c r="X459" s="237"/>
      <c r="Y459" s="237"/>
      <c r="Z459" s="237"/>
      <c r="AA459" s="237"/>
      <c r="AB459" s="237"/>
      <c r="AC459" s="237"/>
      <c r="AD459" s="237"/>
      <c r="AE459" s="237"/>
      <c r="AF459" s="237"/>
      <c r="AG459" s="237"/>
      <c r="AH459" s="237"/>
      <c r="AI459" s="308"/>
      <c r="AJ459" s="308"/>
      <c r="AK459" s="308"/>
      <c r="AL459" s="308"/>
      <c r="AM459" s="98"/>
      <c r="AN459" s="98"/>
      <c r="AO459" s="98"/>
    </row>
    <row r="460" ht="14.25" customHeight="1">
      <c r="A460" s="98"/>
      <c r="B460" s="98"/>
      <c r="C460" s="98"/>
      <c r="D460" s="308"/>
      <c r="E460" s="98"/>
      <c r="F460" s="235"/>
      <c r="G460" s="235"/>
      <c r="H460" s="236"/>
      <c r="I460" s="236"/>
      <c r="J460" s="236"/>
      <c r="K460" s="236"/>
      <c r="L460" s="236"/>
      <c r="M460" s="236"/>
      <c r="N460" s="236"/>
      <c r="O460" s="236"/>
      <c r="P460" s="236"/>
      <c r="Q460" s="236"/>
      <c r="R460" s="236"/>
      <c r="S460" s="236"/>
      <c r="T460" s="236"/>
      <c r="U460" s="236"/>
      <c r="V460" s="236"/>
      <c r="W460" s="237"/>
      <c r="X460" s="237"/>
      <c r="Y460" s="237"/>
      <c r="Z460" s="237"/>
      <c r="AA460" s="237"/>
      <c r="AB460" s="237"/>
      <c r="AC460" s="237"/>
      <c r="AD460" s="237"/>
      <c r="AE460" s="237"/>
      <c r="AF460" s="237"/>
      <c r="AG460" s="237"/>
      <c r="AH460" s="237"/>
      <c r="AI460" s="308"/>
      <c r="AJ460" s="308"/>
      <c r="AK460" s="308"/>
      <c r="AL460" s="308"/>
      <c r="AM460" s="98"/>
      <c r="AN460" s="98"/>
      <c r="AO460" s="98"/>
    </row>
    <row r="461" ht="14.25" customHeight="1">
      <c r="A461" s="98"/>
      <c r="B461" s="98"/>
      <c r="C461" s="98"/>
      <c r="D461" s="308"/>
      <c r="E461" s="98"/>
      <c r="F461" s="235"/>
      <c r="G461" s="235"/>
      <c r="H461" s="236"/>
      <c r="I461" s="236"/>
      <c r="J461" s="236"/>
      <c r="K461" s="236"/>
      <c r="L461" s="236"/>
      <c r="M461" s="236"/>
      <c r="N461" s="236"/>
      <c r="O461" s="236"/>
      <c r="P461" s="236"/>
      <c r="Q461" s="236"/>
      <c r="R461" s="236"/>
      <c r="S461" s="236"/>
      <c r="T461" s="236"/>
      <c r="U461" s="236"/>
      <c r="V461" s="236"/>
      <c r="W461" s="237"/>
      <c r="X461" s="237"/>
      <c r="Y461" s="237"/>
      <c r="Z461" s="237"/>
      <c r="AA461" s="237"/>
      <c r="AB461" s="237"/>
      <c r="AC461" s="237"/>
      <c r="AD461" s="237"/>
      <c r="AE461" s="237"/>
      <c r="AF461" s="237"/>
      <c r="AG461" s="237"/>
      <c r="AH461" s="237"/>
      <c r="AI461" s="308"/>
      <c r="AJ461" s="308"/>
      <c r="AK461" s="308"/>
      <c r="AL461" s="308"/>
      <c r="AM461" s="98"/>
      <c r="AN461" s="98"/>
      <c r="AO461" s="98"/>
    </row>
    <row r="462" ht="14.25" customHeight="1">
      <c r="A462" s="98"/>
      <c r="B462" s="98"/>
      <c r="C462" s="98"/>
      <c r="D462" s="308"/>
      <c r="E462" s="98"/>
      <c r="F462" s="235"/>
      <c r="G462" s="235"/>
      <c r="H462" s="236"/>
      <c r="I462" s="236"/>
      <c r="J462" s="236"/>
      <c r="K462" s="236"/>
      <c r="L462" s="236"/>
      <c r="M462" s="236"/>
      <c r="N462" s="236"/>
      <c r="O462" s="236"/>
      <c r="P462" s="236"/>
      <c r="Q462" s="236"/>
      <c r="R462" s="236"/>
      <c r="S462" s="236"/>
      <c r="T462" s="236"/>
      <c r="U462" s="236"/>
      <c r="V462" s="236"/>
      <c r="W462" s="237"/>
      <c r="X462" s="237"/>
      <c r="Y462" s="237"/>
      <c r="Z462" s="237"/>
      <c r="AA462" s="237"/>
      <c r="AB462" s="237"/>
      <c r="AC462" s="237"/>
      <c r="AD462" s="237"/>
      <c r="AE462" s="237"/>
      <c r="AF462" s="237"/>
      <c r="AG462" s="237"/>
      <c r="AH462" s="237"/>
      <c r="AI462" s="308"/>
      <c r="AJ462" s="308"/>
      <c r="AK462" s="308"/>
      <c r="AL462" s="308"/>
      <c r="AM462" s="98"/>
      <c r="AN462" s="98"/>
      <c r="AO462" s="98"/>
    </row>
    <row r="463" ht="14.25" customHeight="1">
      <c r="A463" s="98"/>
      <c r="B463" s="98"/>
      <c r="C463" s="98"/>
      <c r="D463" s="308"/>
      <c r="E463" s="98"/>
      <c r="F463" s="235"/>
      <c r="G463" s="235"/>
      <c r="H463" s="236"/>
      <c r="I463" s="236"/>
      <c r="J463" s="236"/>
      <c r="K463" s="236"/>
      <c r="L463" s="236"/>
      <c r="M463" s="236"/>
      <c r="N463" s="236"/>
      <c r="O463" s="236"/>
      <c r="P463" s="236"/>
      <c r="Q463" s="236"/>
      <c r="R463" s="236"/>
      <c r="S463" s="236"/>
      <c r="T463" s="236"/>
      <c r="U463" s="236"/>
      <c r="V463" s="236"/>
      <c r="W463" s="237"/>
      <c r="X463" s="237"/>
      <c r="Y463" s="237"/>
      <c r="Z463" s="237"/>
      <c r="AA463" s="237"/>
      <c r="AB463" s="237"/>
      <c r="AC463" s="237"/>
      <c r="AD463" s="237"/>
      <c r="AE463" s="237"/>
      <c r="AF463" s="237"/>
      <c r="AG463" s="237"/>
      <c r="AH463" s="237"/>
      <c r="AI463" s="308"/>
      <c r="AJ463" s="308"/>
      <c r="AK463" s="308"/>
      <c r="AL463" s="308"/>
      <c r="AM463" s="98"/>
      <c r="AN463" s="98"/>
      <c r="AO463" s="98"/>
    </row>
    <row r="464" ht="14.25" customHeight="1">
      <c r="A464" s="98"/>
      <c r="B464" s="98"/>
      <c r="C464" s="98"/>
      <c r="D464" s="308"/>
      <c r="E464" s="98"/>
      <c r="F464" s="235"/>
      <c r="G464" s="235"/>
      <c r="H464" s="236"/>
      <c r="I464" s="236"/>
      <c r="J464" s="236"/>
      <c r="K464" s="236"/>
      <c r="L464" s="236"/>
      <c r="M464" s="236"/>
      <c r="N464" s="236"/>
      <c r="O464" s="236"/>
      <c r="P464" s="236"/>
      <c r="Q464" s="236"/>
      <c r="R464" s="236"/>
      <c r="S464" s="236"/>
      <c r="T464" s="236"/>
      <c r="U464" s="236"/>
      <c r="V464" s="236"/>
      <c r="W464" s="237"/>
      <c r="X464" s="237"/>
      <c r="Y464" s="237"/>
      <c r="Z464" s="237"/>
      <c r="AA464" s="237"/>
      <c r="AB464" s="237"/>
      <c r="AC464" s="237"/>
      <c r="AD464" s="237"/>
      <c r="AE464" s="237"/>
      <c r="AF464" s="237"/>
      <c r="AG464" s="237"/>
      <c r="AH464" s="237"/>
      <c r="AI464" s="308"/>
      <c r="AJ464" s="308"/>
      <c r="AK464" s="308"/>
      <c r="AL464" s="308"/>
      <c r="AM464" s="98"/>
      <c r="AN464" s="98"/>
      <c r="AO464" s="98"/>
    </row>
    <row r="465" ht="14.25" customHeight="1">
      <c r="A465" s="98"/>
      <c r="B465" s="98"/>
      <c r="C465" s="98"/>
      <c r="D465" s="308"/>
      <c r="E465" s="98"/>
      <c r="F465" s="235"/>
      <c r="G465" s="235"/>
      <c r="H465" s="236"/>
      <c r="I465" s="236"/>
      <c r="J465" s="236"/>
      <c r="K465" s="236"/>
      <c r="L465" s="236"/>
      <c r="M465" s="236"/>
      <c r="N465" s="236"/>
      <c r="O465" s="236"/>
      <c r="P465" s="236"/>
      <c r="Q465" s="236"/>
      <c r="R465" s="236"/>
      <c r="S465" s="236"/>
      <c r="T465" s="236"/>
      <c r="U465" s="236"/>
      <c r="V465" s="236"/>
      <c r="W465" s="237"/>
      <c r="X465" s="237"/>
      <c r="Y465" s="237"/>
      <c r="Z465" s="237"/>
      <c r="AA465" s="237"/>
      <c r="AB465" s="237"/>
      <c r="AC465" s="237"/>
      <c r="AD465" s="237"/>
      <c r="AE465" s="237"/>
      <c r="AF465" s="237"/>
      <c r="AG465" s="237"/>
      <c r="AH465" s="237"/>
      <c r="AI465" s="308"/>
      <c r="AJ465" s="308"/>
      <c r="AK465" s="308"/>
      <c r="AL465" s="308"/>
      <c r="AM465" s="98"/>
      <c r="AN465" s="98"/>
      <c r="AO465" s="98"/>
    </row>
    <row r="466" ht="14.25" customHeight="1">
      <c r="A466" s="98"/>
      <c r="B466" s="98"/>
      <c r="C466" s="98"/>
      <c r="D466" s="308"/>
      <c r="E466" s="98"/>
      <c r="F466" s="235"/>
      <c r="G466" s="235"/>
      <c r="H466" s="236"/>
      <c r="I466" s="236"/>
      <c r="J466" s="236"/>
      <c r="K466" s="236"/>
      <c r="L466" s="236"/>
      <c r="M466" s="236"/>
      <c r="N466" s="236"/>
      <c r="O466" s="236"/>
      <c r="P466" s="236"/>
      <c r="Q466" s="236"/>
      <c r="R466" s="236"/>
      <c r="S466" s="236"/>
      <c r="T466" s="236"/>
      <c r="U466" s="236"/>
      <c r="V466" s="236"/>
      <c r="W466" s="237"/>
      <c r="X466" s="237"/>
      <c r="Y466" s="237"/>
      <c r="Z466" s="237"/>
      <c r="AA466" s="237"/>
      <c r="AB466" s="237"/>
      <c r="AC466" s="237"/>
      <c r="AD466" s="237"/>
      <c r="AE466" s="237"/>
      <c r="AF466" s="237"/>
      <c r="AG466" s="237"/>
      <c r="AH466" s="237"/>
      <c r="AI466" s="308"/>
      <c r="AJ466" s="308"/>
      <c r="AK466" s="308"/>
      <c r="AL466" s="308"/>
      <c r="AM466" s="98"/>
      <c r="AN466" s="98"/>
      <c r="AO466" s="98"/>
    </row>
    <row r="467" ht="14.25" customHeight="1">
      <c r="A467" s="98"/>
      <c r="B467" s="98"/>
      <c r="C467" s="98"/>
      <c r="D467" s="308"/>
      <c r="E467" s="98"/>
      <c r="F467" s="235"/>
      <c r="G467" s="235"/>
      <c r="H467" s="236"/>
      <c r="I467" s="236"/>
      <c r="J467" s="236"/>
      <c r="K467" s="236"/>
      <c r="L467" s="236"/>
      <c r="M467" s="236"/>
      <c r="N467" s="236"/>
      <c r="O467" s="236"/>
      <c r="P467" s="236"/>
      <c r="Q467" s="236"/>
      <c r="R467" s="236"/>
      <c r="S467" s="236"/>
      <c r="T467" s="236"/>
      <c r="U467" s="236"/>
      <c r="V467" s="236"/>
      <c r="W467" s="237"/>
      <c r="X467" s="237"/>
      <c r="Y467" s="237"/>
      <c r="Z467" s="237"/>
      <c r="AA467" s="237"/>
      <c r="AB467" s="237"/>
      <c r="AC467" s="237"/>
      <c r="AD467" s="237"/>
      <c r="AE467" s="237"/>
      <c r="AF467" s="237"/>
      <c r="AG467" s="237"/>
      <c r="AH467" s="237"/>
      <c r="AI467" s="308"/>
      <c r="AJ467" s="308"/>
      <c r="AK467" s="308"/>
      <c r="AL467" s="308"/>
      <c r="AM467" s="98"/>
      <c r="AN467" s="98"/>
      <c r="AO467" s="98"/>
    </row>
    <row r="468" ht="14.25" customHeight="1">
      <c r="A468" s="98"/>
      <c r="B468" s="98"/>
      <c r="C468" s="98"/>
      <c r="D468" s="308"/>
      <c r="E468" s="98"/>
      <c r="F468" s="235"/>
      <c r="G468" s="235"/>
      <c r="H468" s="236"/>
      <c r="I468" s="236"/>
      <c r="J468" s="236"/>
      <c r="K468" s="236"/>
      <c r="L468" s="236"/>
      <c r="M468" s="236"/>
      <c r="N468" s="236"/>
      <c r="O468" s="236"/>
      <c r="P468" s="236"/>
      <c r="Q468" s="236"/>
      <c r="R468" s="236"/>
      <c r="S468" s="236"/>
      <c r="T468" s="236"/>
      <c r="U468" s="236"/>
      <c r="V468" s="236"/>
      <c r="W468" s="237"/>
      <c r="X468" s="237"/>
      <c r="Y468" s="237"/>
      <c r="Z468" s="237"/>
      <c r="AA468" s="237"/>
      <c r="AB468" s="237"/>
      <c r="AC468" s="237"/>
      <c r="AD468" s="237"/>
      <c r="AE468" s="237"/>
      <c r="AF468" s="237"/>
      <c r="AG468" s="237"/>
      <c r="AH468" s="237"/>
      <c r="AI468" s="308"/>
      <c r="AJ468" s="308"/>
      <c r="AK468" s="308"/>
      <c r="AL468" s="308"/>
      <c r="AM468" s="98"/>
      <c r="AN468" s="98"/>
      <c r="AO468" s="98"/>
    </row>
    <row r="469" ht="14.25" customHeight="1">
      <c r="A469" s="98"/>
      <c r="B469" s="98"/>
      <c r="C469" s="98"/>
      <c r="D469" s="308"/>
      <c r="E469" s="98"/>
      <c r="F469" s="235"/>
      <c r="G469" s="235"/>
      <c r="H469" s="236"/>
      <c r="I469" s="236"/>
      <c r="J469" s="236"/>
      <c r="K469" s="236"/>
      <c r="L469" s="236"/>
      <c r="M469" s="236"/>
      <c r="N469" s="236"/>
      <c r="O469" s="236"/>
      <c r="P469" s="236"/>
      <c r="Q469" s="236"/>
      <c r="R469" s="236"/>
      <c r="S469" s="236"/>
      <c r="T469" s="236"/>
      <c r="U469" s="236"/>
      <c r="V469" s="236"/>
      <c r="W469" s="237"/>
      <c r="X469" s="237"/>
      <c r="Y469" s="237"/>
      <c r="Z469" s="237"/>
      <c r="AA469" s="237"/>
      <c r="AB469" s="237"/>
      <c r="AC469" s="237"/>
      <c r="AD469" s="237"/>
      <c r="AE469" s="237"/>
      <c r="AF469" s="237"/>
      <c r="AG469" s="237"/>
      <c r="AH469" s="237"/>
      <c r="AI469" s="308"/>
      <c r="AJ469" s="308"/>
      <c r="AK469" s="308"/>
      <c r="AL469" s="308"/>
      <c r="AM469" s="98"/>
      <c r="AN469" s="98"/>
      <c r="AO469" s="98"/>
    </row>
    <row r="470" ht="14.25" customHeight="1">
      <c r="A470" s="98"/>
      <c r="B470" s="98"/>
      <c r="C470" s="98"/>
      <c r="D470" s="308"/>
      <c r="E470" s="98"/>
      <c r="F470" s="235"/>
      <c r="G470" s="235"/>
      <c r="H470" s="236"/>
      <c r="I470" s="236"/>
      <c r="J470" s="236"/>
      <c r="K470" s="236"/>
      <c r="L470" s="236"/>
      <c r="M470" s="236"/>
      <c r="N470" s="236"/>
      <c r="O470" s="236"/>
      <c r="P470" s="236"/>
      <c r="Q470" s="236"/>
      <c r="R470" s="236"/>
      <c r="S470" s="236"/>
      <c r="T470" s="236"/>
      <c r="U470" s="236"/>
      <c r="V470" s="236"/>
      <c r="W470" s="237"/>
      <c r="X470" s="237"/>
      <c r="Y470" s="237"/>
      <c r="Z470" s="237"/>
      <c r="AA470" s="237"/>
      <c r="AB470" s="237"/>
      <c r="AC470" s="237"/>
      <c r="AD470" s="237"/>
      <c r="AE470" s="237"/>
      <c r="AF470" s="237"/>
      <c r="AG470" s="237"/>
      <c r="AH470" s="237"/>
      <c r="AI470" s="308"/>
      <c r="AJ470" s="308"/>
      <c r="AK470" s="308"/>
      <c r="AL470" s="308"/>
      <c r="AM470" s="98"/>
      <c r="AN470" s="98"/>
      <c r="AO470" s="98"/>
    </row>
    <row r="471" ht="14.25" customHeight="1">
      <c r="A471" s="98"/>
      <c r="B471" s="98"/>
      <c r="C471" s="98"/>
      <c r="D471" s="308"/>
      <c r="E471" s="98"/>
      <c r="F471" s="235"/>
      <c r="G471" s="235"/>
      <c r="H471" s="236"/>
      <c r="I471" s="236"/>
      <c r="J471" s="236"/>
      <c r="K471" s="236"/>
      <c r="L471" s="236"/>
      <c r="M471" s="236"/>
      <c r="N471" s="236"/>
      <c r="O471" s="236"/>
      <c r="P471" s="236"/>
      <c r="Q471" s="236"/>
      <c r="R471" s="236"/>
      <c r="S471" s="236"/>
      <c r="T471" s="236"/>
      <c r="U471" s="236"/>
      <c r="V471" s="236"/>
      <c r="W471" s="237"/>
      <c r="X471" s="237"/>
      <c r="Y471" s="237"/>
      <c r="Z471" s="237"/>
      <c r="AA471" s="237"/>
      <c r="AB471" s="237"/>
      <c r="AC471" s="237"/>
      <c r="AD471" s="237"/>
      <c r="AE471" s="237"/>
      <c r="AF471" s="237"/>
      <c r="AG471" s="237"/>
      <c r="AH471" s="237"/>
      <c r="AI471" s="308"/>
      <c r="AJ471" s="308"/>
      <c r="AK471" s="308"/>
      <c r="AL471" s="308"/>
      <c r="AM471" s="98"/>
      <c r="AN471" s="98"/>
      <c r="AO471" s="98"/>
    </row>
    <row r="472" ht="14.25" customHeight="1">
      <c r="A472" s="98"/>
      <c r="B472" s="98"/>
      <c r="C472" s="98"/>
      <c r="D472" s="308"/>
      <c r="E472" s="98"/>
      <c r="F472" s="235"/>
      <c r="G472" s="235"/>
      <c r="H472" s="236"/>
      <c r="I472" s="236"/>
      <c r="J472" s="236"/>
      <c r="K472" s="236"/>
      <c r="L472" s="236"/>
      <c r="M472" s="236"/>
      <c r="N472" s="236"/>
      <c r="O472" s="236"/>
      <c r="P472" s="236"/>
      <c r="Q472" s="236"/>
      <c r="R472" s="236"/>
      <c r="S472" s="236"/>
      <c r="T472" s="236"/>
      <c r="U472" s="236"/>
      <c r="V472" s="236"/>
      <c r="W472" s="237"/>
      <c r="X472" s="237"/>
      <c r="Y472" s="237"/>
      <c r="Z472" s="237"/>
      <c r="AA472" s="237"/>
      <c r="AB472" s="237"/>
      <c r="AC472" s="237"/>
      <c r="AD472" s="237"/>
      <c r="AE472" s="237"/>
      <c r="AF472" s="237"/>
      <c r="AG472" s="237"/>
      <c r="AH472" s="237"/>
      <c r="AI472" s="308"/>
      <c r="AJ472" s="308"/>
      <c r="AK472" s="308"/>
      <c r="AL472" s="308"/>
      <c r="AM472" s="98"/>
      <c r="AN472" s="98"/>
      <c r="AO472" s="98"/>
    </row>
    <row r="473" ht="14.25" customHeight="1">
      <c r="A473" s="98"/>
      <c r="B473" s="98"/>
      <c r="C473" s="98"/>
      <c r="D473" s="308"/>
      <c r="E473" s="98"/>
      <c r="F473" s="235"/>
      <c r="G473" s="235"/>
      <c r="H473" s="236"/>
      <c r="I473" s="236"/>
      <c r="J473" s="236"/>
      <c r="K473" s="236"/>
      <c r="L473" s="236"/>
      <c r="M473" s="236"/>
      <c r="N473" s="236"/>
      <c r="O473" s="236"/>
      <c r="P473" s="236"/>
      <c r="Q473" s="236"/>
      <c r="R473" s="236"/>
      <c r="S473" s="236"/>
      <c r="T473" s="236"/>
      <c r="U473" s="236"/>
      <c r="V473" s="236"/>
      <c r="W473" s="237"/>
      <c r="X473" s="237"/>
      <c r="Y473" s="237"/>
      <c r="Z473" s="237"/>
      <c r="AA473" s="237"/>
      <c r="AB473" s="237"/>
      <c r="AC473" s="237"/>
      <c r="AD473" s="237"/>
      <c r="AE473" s="237"/>
      <c r="AF473" s="237"/>
      <c r="AG473" s="237"/>
      <c r="AH473" s="237"/>
      <c r="AI473" s="308"/>
      <c r="AJ473" s="308"/>
      <c r="AK473" s="308"/>
      <c r="AL473" s="308"/>
      <c r="AM473" s="98"/>
      <c r="AN473" s="98"/>
      <c r="AO473" s="98"/>
    </row>
    <row r="474" ht="14.25" customHeight="1">
      <c r="A474" s="98"/>
      <c r="B474" s="98"/>
      <c r="C474" s="98"/>
      <c r="D474" s="308"/>
      <c r="E474" s="98"/>
      <c r="F474" s="235"/>
      <c r="G474" s="235"/>
      <c r="H474" s="236"/>
      <c r="I474" s="236"/>
      <c r="J474" s="236"/>
      <c r="K474" s="236"/>
      <c r="L474" s="236"/>
      <c r="M474" s="236"/>
      <c r="N474" s="236"/>
      <c r="O474" s="236"/>
      <c r="P474" s="236"/>
      <c r="Q474" s="236"/>
      <c r="R474" s="236"/>
      <c r="S474" s="236"/>
      <c r="T474" s="236"/>
      <c r="U474" s="236"/>
      <c r="V474" s="236"/>
      <c r="W474" s="237"/>
      <c r="X474" s="237"/>
      <c r="Y474" s="237"/>
      <c r="Z474" s="237"/>
      <c r="AA474" s="237"/>
      <c r="AB474" s="237"/>
      <c r="AC474" s="237"/>
      <c r="AD474" s="237"/>
      <c r="AE474" s="237"/>
      <c r="AF474" s="237"/>
      <c r="AG474" s="237"/>
      <c r="AH474" s="237"/>
      <c r="AI474" s="308"/>
      <c r="AJ474" s="308"/>
      <c r="AK474" s="308"/>
      <c r="AL474" s="308"/>
      <c r="AM474" s="98"/>
      <c r="AN474" s="98"/>
      <c r="AO474" s="98"/>
    </row>
    <row r="475" ht="14.25" customHeight="1">
      <c r="A475" s="98"/>
      <c r="B475" s="98"/>
      <c r="C475" s="98"/>
      <c r="D475" s="308"/>
      <c r="E475" s="98"/>
      <c r="F475" s="235"/>
      <c r="G475" s="235"/>
      <c r="H475" s="236"/>
      <c r="I475" s="236"/>
      <c r="J475" s="236"/>
      <c r="K475" s="236"/>
      <c r="L475" s="236"/>
      <c r="M475" s="236"/>
      <c r="N475" s="236"/>
      <c r="O475" s="236"/>
      <c r="P475" s="236"/>
      <c r="Q475" s="236"/>
      <c r="R475" s="236"/>
      <c r="S475" s="236"/>
      <c r="T475" s="236"/>
      <c r="U475" s="236"/>
      <c r="V475" s="236"/>
      <c r="W475" s="237"/>
      <c r="X475" s="237"/>
      <c r="Y475" s="237"/>
      <c r="Z475" s="237"/>
      <c r="AA475" s="237"/>
      <c r="AB475" s="237"/>
      <c r="AC475" s="237"/>
      <c r="AD475" s="237"/>
      <c r="AE475" s="237"/>
      <c r="AF475" s="237"/>
      <c r="AG475" s="237"/>
      <c r="AH475" s="237"/>
      <c r="AI475" s="308"/>
      <c r="AJ475" s="308"/>
      <c r="AK475" s="308"/>
      <c r="AL475" s="308"/>
      <c r="AM475" s="98"/>
      <c r="AN475" s="98"/>
      <c r="AO475" s="98"/>
    </row>
    <row r="476" ht="14.25" customHeight="1">
      <c r="A476" s="98"/>
      <c r="B476" s="98"/>
      <c r="C476" s="98"/>
      <c r="D476" s="308"/>
      <c r="E476" s="98"/>
      <c r="F476" s="235"/>
      <c r="G476" s="235"/>
      <c r="H476" s="236"/>
      <c r="I476" s="236"/>
      <c r="J476" s="236"/>
      <c r="K476" s="236"/>
      <c r="L476" s="236"/>
      <c r="M476" s="236"/>
      <c r="N476" s="236"/>
      <c r="O476" s="236"/>
      <c r="P476" s="236"/>
      <c r="Q476" s="236"/>
      <c r="R476" s="236"/>
      <c r="S476" s="236"/>
      <c r="T476" s="236"/>
      <c r="U476" s="236"/>
      <c r="V476" s="236"/>
      <c r="W476" s="237"/>
      <c r="X476" s="237"/>
      <c r="Y476" s="237"/>
      <c r="Z476" s="237"/>
      <c r="AA476" s="237"/>
      <c r="AB476" s="237"/>
      <c r="AC476" s="237"/>
      <c r="AD476" s="237"/>
      <c r="AE476" s="237"/>
      <c r="AF476" s="237"/>
      <c r="AG476" s="237"/>
      <c r="AH476" s="237"/>
      <c r="AI476" s="308"/>
      <c r="AJ476" s="308"/>
      <c r="AK476" s="308"/>
      <c r="AL476" s="308"/>
      <c r="AM476" s="98"/>
      <c r="AN476" s="98"/>
      <c r="AO476" s="98"/>
    </row>
    <row r="477" ht="14.25" customHeight="1">
      <c r="A477" s="98"/>
      <c r="B477" s="98"/>
      <c r="C477" s="98"/>
      <c r="D477" s="308"/>
      <c r="E477" s="98"/>
      <c r="F477" s="235"/>
      <c r="G477" s="235"/>
      <c r="H477" s="236"/>
      <c r="I477" s="236"/>
      <c r="J477" s="236"/>
      <c r="K477" s="236"/>
      <c r="L477" s="236"/>
      <c r="M477" s="236"/>
      <c r="N477" s="236"/>
      <c r="O477" s="236"/>
      <c r="P477" s="236"/>
      <c r="Q477" s="236"/>
      <c r="R477" s="236"/>
      <c r="S477" s="236"/>
      <c r="T477" s="236"/>
      <c r="U477" s="236"/>
      <c r="V477" s="236"/>
      <c r="W477" s="237"/>
      <c r="X477" s="237"/>
      <c r="Y477" s="237"/>
      <c r="Z477" s="237"/>
      <c r="AA477" s="237"/>
      <c r="AB477" s="237"/>
      <c r="AC477" s="237"/>
      <c r="AD477" s="237"/>
      <c r="AE477" s="237"/>
      <c r="AF477" s="237"/>
      <c r="AG477" s="237"/>
      <c r="AH477" s="237"/>
      <c r="AI477" s="308"/>
      <c r="AJ477" s="308"/>
      <c r="AK477" s="308"/>
      <c r="AL477" s="308"/>
      <c r="AM477" s="98"/>
      <c r="AN477" s="98"/>
      <c r="AO477" s="98"/>
    </row>
    <row r="478" ht="14.25" customHeight="1">
      <c r="A478" s="98"/>
      <c r="B478" s="98"/>
      <c r="C478" s="98"/>
      <c r="D478" s="308"/>
      <c r="E478" s="98"/>
      <c r="F478" s="235"/>
      <c r="G478" s="235"/>
      <c r="H478" s="236"/>
      <c r="I478" s="236"/>
      <c r="J478" s="236"/>
      <c r="K478" s="236"/>
      <c r="L478" s="236"/>
      <c r="M478" s="236"/>
      <c r="N478" s="236"/>
      <c r="O478" s="236"/>
      <c r="P478" s="236"/>
      <c r="Q478" s="236"/>
      <c r="R478" s="236"/>
      <c r="S478" s="236"/>
      <c r="T478" s="236"/>
      <c r="U478" s="236"/>
      <c r="V478" s="236"/>
      <c r="W478" s="237"/>
      <c r="X478" s="237"/>
      <c r="Y478" s="237"/>
      <c r="Z478" s="237"/>
      <c r="AA478" s="237"/>
      <c r="AB478" s="237"/>
      <c r="AC478" s="237"/>
      <c r="AD478" s="237"/>
      <c r="AE478" s="237"/>
      <c r="AF478" s="237"/>
      <c r="AG478" s="237"/>
      <c r="AH478" s="237"/>
      <c r="AI478" s="308"/>
      <c r="AJ478" s="308"/>
      <c r="AK478" s="308"/>
      <c r="AL478" s="308"/>
      <c r="AM478" s="98"/>
      <c r="AN478" s="98"/>
      <c r="AO478" s="98"/>
    </row>
    <row r="479" ht="14.25" customHeight="1">
      <c r="A479" s="98"/>
      <c r="B479" s="98"/>
      <c r="C479" s="98"/>
      <c r="D479" s="308"/>
      <c r="E479" s="98"/>
      <c r="F479" s="235"/>
      <c r="G479" s="235"/>
      <c r="H479" s="236"/>
      <c r="I479" s="236"/>
      <c r="J479" s="236"/>
      <c r="K479" s="236"/>
      <c r="L479" s="236"/>
      <c r="M479" s="236"/>
      <c r="N479" s="236"/>
      <c r="O479" s="236"/>
      <c r="P479" s="236"/>
      <c r="Q479" s="236"/>
      <c r="R479" s="236"/>
      <c r="S479" s="236"/>
      <c r="T479" s="236"/>
      <c r="U479" s="236"/>
      <c r="V479" s="236"/>
      <c r="W479" s="237"/>
      <c r="X479" s="237"/>
      <c r="Y479" s="237"/>
      <c r="Z479" s="237"/>
      <c r="AA479" s="237"/>
      <c r="AB479" s="237"/>
      <c r="AC479" s="237"/>
      <c r="AD479" s="237"/>
      <c r="AE479" s="237"/>
      <c r="AF479" s="237"/>
      <c r="AG479" s="237"/>
      <c r="AH479" s="237"/>
      <c r="AI479" s="308"/>
      <c r="AJ479" s="308"/>
      <c r="AK479" s="308"/>
      <c r="AL479" s="308"/>
      <c r="AM479" s="98"/>
      <c r="AN479" s="98"/>
      <c r="AO479" s="98"/>
    </row>
    <row r="480" ht="14.25" customHeight="1">
      <c r="A480" s="98"/>
      <c r="B480" s="98"/>
      <c r="C480" s="98"/>
      <c r="D480" s="308"/>
      <c r="E480" s="98"/>
      <c r="F480" s="235"/>
      <c r="G480" s="235"/>
      <c r="H480" s="236"/>
      <c r="I480" s="236"/>
      <c r="J480" s="236"/>
      <c r="K480" s="236"/>
      <c r="L480" s="236"/>
      <c r="M480" s="236"/>
      <c r="N480" s="236"/>
      <c r="O480" s="236"/>
      <c r="P480" s="236"/>
      <c r="Q480" s="236"/>
      <c r="R480" s="236"/>
      <c r="S480" s="236"/>
      <c r="T480" s="236"/>
      <c r="U480" s="236"/>
      <c r="V480" s="236"/>
      <c r="W480" s="237"/>
      <c r="X480" s="237"/>
      <c r="Y480" s="237"/>
      <c r="Z480" s="237"/>
      <c r="AA480" s="237"/>
      <c r="AB480" s="237"/>
      <c r="AC480" s="237"/>
      <c r="AD480" s="237"/>
      <c r="AE480" s="237"/>
      <c r="AF480" s="237"/>
      <c r="AG480" s="237"/>
      <c r="AH480" s="237"/>
      <c r="AI480" s="308"/>
      <c r="AJ480" s="308"/>
      <c r="AK480" s="308"/>
      <c r="AL480" s="308"/>
      <c r="AM480" s="98"/>
      <c r="AN480" s="98"/>
      <c r="AO480" s="98"/>
    </row>
    <row r="481" ht="14.25" customHeight="1">
      <c r="A481" s="98"/>
      <c r="B481" s="98"/>
      <c r="C481" s="98"/>
      <c r="D481" s="308"/>
      <c r="E481" s="98"/>
      <c r="F481" s="235"/>
      <c r="G481" s="235"/>
      <c r="H481" s="236"/>
      <c r="I481" s="236"/>
      <c r="J481" s="236"/>
      <c r="K481" s="236"/>
      <c r="L481" s="236"/>
      <c r="M481" s="236"/>
      <c r="N481" s="236"/>
      <c r="O481" s="236"/>
      <c r="P481" s="236"/>
      <c r="Q481" s="236"/>
      <c r="R481" s="236"/>
      <c r="S481" s="236"/>
      <c r="T481" s="236"/>
      <c r="U481" s="236"/>
      <c r="V481" s="236"/>
      <c r="W481" s="237"/>
      <c r="X481" s="237"/>
      <c r="Y481" s="237"/>
      <c r="Z481" s="237"/>
      <c r="AA481" s="237"/>
      <c r="AB481" s="237"/>
      <c r="AC481" s="237"/>
      <c r="AD481" s="237"/>
      <c r="AE481" s="237"/>
      <c r="AF481" s="237"/>
      <c r="AG481" s="237"/>
      <c r="AH481" s="237"/>
      <c r="AI481" s="308"/>
      <c r="AJ481" s="308"/>
      <c r="AK481" s="308"/>
      <c r="AL481" s="308"/>
      <c r="AM481" s="98"/>
      <c r="AN481" s="98"/>
      <c r="AO481" s="98"/>
    </row>
    <row r="482" ht="14.25" customHeight="1">
      <c r="A482" s="98"/>
      <c r="B482" s="98"/>
      <c r="C482" s="98"/>
      <c r="D482" s="308"/>
      <c r="E482" s="98"/>
      <c r="F482" s="235"/>
      <c r="G482" s="235"/>
      <c r="H482" s="236"/>
      <c r="I482" s="236"/>
      <c r="J482" s="236"/>
      <c r="K482" s="236"/>
      <c r="L482" s="236"/>
      <c r="M482" s="236"/>
      <c r="N482" s="236"/>
      <c r="O482" s="236"/>
      <c r="P482" s="236"/>
      <c r="Q482" s="236"/>
      <c r="R482" s="236"/>
      <c r="S482" s="236"/>
      <c r="T482" s="236"/>
      <c r="U482" s="236"/>
      <c r="V482" s="236"/>
      <c r="W482" s="237"/>
      <c r="X482" s="237"/>
      <c r="Y482" s="237"/>
      <c r="Z482" s="237"/>
      <c r="AA482" s="237"/>
      <c r="AB482" s="237"/>
      <c r="AC482" s="237"/>
      <c r="AD482" s="237"/>
      <c r="AE482" s="237"/>
      <c r="AF482" s="237"/>
      <c r="AG482" s="237"/>
      <c r="AH482" s="237"/>
      <c r="AI482" s="308"/>
      <c r="AJ482" s="308"/>
      <c r="AK482" s="308"/>
      <c r="AL482" s="308"/>
      <c r="AM482" s="98"/>
      <c r="AN482" s="98"/>
      <c r="AO482" s="98"/>
    </row>
    <row r="483" ht="14.25" customHeight="1">
      <c r="A483" s="98"/>
      <c r="B483" s="98"/>
      <c r="C483" s="98"/>
      <c r="D483" s="308"/>
      <c r="E483" s="98"/>
      <c r="F483" s="235"/>
      <c r="G483" s="235"/>
      <c r="H483" s="236"/>
      <c r="I483" s="236"/>
      <c r="J483" s="236"/>
      <c r="K483" s="236"/>
      <c r="L483" s="236"/>
      <c r="M483" s="236"/>
      <c r="N483" s="236"/>
      <c r="O483" s="236"/>
      <c r="P483" s="236"/>
      <c r="Q483" s="236"/>
      <c r="R483" s="236"/>
      <c r="S483" s="236"/>
      <c r="T483" s="236"/>
      <c r="U483" s="236"/>
      <c r="V483" s="236"/>
      <c r="W483" s="237"/>
      <c r="X483" s="237"/>
      <c r="Y483" s="237"/>
      <c r="Z483" s="237"/>
      <c r="AA483" s="237"/>
      <c r="AB483" s="237"/>
      <c r="AC483" s="237"/>
      <c r="AD483" s="237"/>
      <c r="AE483" s="237"/>
      <c r="AF483" s="237"/>
      <c r="AG483" s="237"/>
      <c r="AH483" s="237"/>
      <c r="AI483" s="308"/>
      <c r="AJ483" s="308"/>
      <c r="AK483" s="308"/>
      <c r="AL483" s="308"/>
      <c r="AM483" s="98"/>
      <c r="AN483" s="98"/>
      <c r="AO483" s="98"/>
    </row>
    <row r="484" ht="14.25" customHeight="1">
      <c r="A484" s="98"/>
      <c r="B484" s="98"/>
      <c r="C484" s="98"/>
      <c r="D484" s="308"/>
      <c r="E484" s="98"/>
      <c r="F484" s="235"/>
      <c r="G484" s="235"/>
      <c r="H484" s="236"/>
      <c r="I484" s="236"/>
      <c r="J484" s="236"/>
      <c r="K484" s="236"/>
      <c r="L484" s="236"/>
      <c r="M484" s="236"/>
      <c r="N484" s="236"/>
      <c r="O484" s="236"/>
      <c r="P484" s="236"/>
      <c r="Q484" s="236"/>
      <c r="R484" s="236"/>
      <c r="S484" s="236"/>
      <c r="T484" s="236"/>
      <c r="U484" s="236"/>
      <c r="V484" s="236"/>
      <c r="W484" s="237"/>
      <c r="X484" s="237"/>
      <c r="Y484" s="237"/>
      <c r="Z484" s="237"/>
      <c r="AA484" s="237"/>
      <c r="AB484" s="237"/>
      <c r="AC484" s="237"/>
      <c r="AD484" s="237"/>
      <c r="AE484" s="237"/>
      <c r="AF484" s="237"/>
      <c r="AG484" s="237"/>
      <c r="AH484" s="237"/>
      <c r="AI484" s="308"/>
      <c r="AJ484" s="308"/>
      <c r="AK484" s="308"/>
      <c r="AL484" s="308"/>
      <c r="AM484" s="98"/>
      <c r="AN484" s="98"/>
      <c r="AO484" s="98"/>
    </row>
    <row r="485" ht="14.25" customHeight="1">
      <c r="A485" s="98"/>
      <c r="B485" s="98"/>
      <c r="C485" s="98"/>
      <c r="D485" s="308"/>
      <c r="E485" s="98"/>
      <c r="F485" s="235"/>
      <c r="G485" s="235"/>
      <c r="H485" s="236"/>
      <c r="I485" s="236"/>
      <c r="J485" s="236"/>
      <c r="K485" s="236"/>
      <c r="L485" s="236"/>
      <c r="M485" s="236"/>
      <c r="N485" s="236"/>
      <c r="O485" s="236"/>
      <c r="P485" s="236"/>
      <c r="Q485" s="236"/>
      <c r="R485" s="236"/>
      <c r="S485" s="236"/>
      <c r="T485" s="236"/>
      <c r="U485" s="236"/>
      <c r="V485" s="236"/>
      <c r="W485" s="237"/>
      <c r="X485" s="237"/>
      <c r="Y485" s="237"/>
      <c r="Z485" s="237"/>
      <c r="AA485" s="237"/>
      <c r="AB485" s="237"/>
      <c r="AC485" s="237"/>
      <c r="AD485" s="237"/>
      <c r="AE485" s="237"/>
      <c r="AF485" s="237"/>
      <c r="AG485" s="237"/>
      <c r="AH485" s="237"/>
      <c r="AI485" s="308"/>
      <c r="AJ485" s="308"/>
      <c r="AK485" s="308"/>
      <c r="AL485" s="308"/>
      <c r="AM485" s="98"/>
      <c r="AN485" s="98"/>
      <c r="AO485" s="98"/>
    </row>
    <row r="486" ht="14.25" customHeight="1">
      <c r="A486" s="98"/>
      <c r="B486" s="98"/>
      <c r="C486" s="98"/>
      <c r="D486" s="308"/>
      <c r="E486" s="98"/>
      <c r="F486" s="235"/>
      <c r="G486" s="235"/>
      <c r="H486" s="236"/>
      <c r="I486" s="236"/>
      <c r="J486" s="236"/>
      <c r="K486" s="236"/>
      <c r="L486" s="236"/>
      <c r="M486" s="236"/>
      <c r="N486" s="236"/>
      <c r="O486" s="236"/>
      <c r="P486" s="236"/>
      <c r="Q486" s="236"/>
      <c r="R486" s="236"/>
      <c r="S486" s="236"/>
      <c r="T486" s="236"/>
      <c r="U486" s="236"/>
      <c r="V486" s="236"/>
      <c r="W486" s="237"/>
      <c r="X486" s="237"/>
      <c r="Y486" s="237"/>
      <c r="Z486" s="237"/>
      <c r="AA486" s="237"/>
      <c r="AB486" s="237"/>
      <c r="AC486" s="237"/>
      <c r="AD486" s="237"/>
      <c r="AE486" s="237"/>
      <c r="AF486" s="237"/>
      <c r="AG486" s="237"/>
      <c r="AH486" s="237"/>
      <c r="AI486" s="308"/>
      <c r="AJ486" s="308"/>
      <c r="AK486" s="308"/>
      <c r="AL486" s="308"/>
      <c r="AM486" s="98"/>
      <c r="AN486" s="98"/>
      <c r="AO486" s="98"/>
    </row>
    <row r="487" ht="14.25" customHeight="1">
      <c r="A487" s="98"/>
      <c r="B487" s="98"/>
      <c r="C487" s="98"/>
      <c r="D487" s="308"/>
      <c r="E487" s="98"/>
      <c r="F487" s="235"/>
      <c r="G487" s="235"/>
      <c r="H487" s="236"/>
      <c r="I487" s="236"/>
      <c r="J487" s="236"/>
      <c r="K487" s="236"/>
      <c r="L487" s="236"/>
      <c r="M487" s="236"/>
      <c r="N487" s="236"/>
      <c r="O487" s="236"/>
      <c r="P487" s="236"/>
      <c r="Q487" s="236"/>
      <c r="R487" s="236"/>
      <c r="S487" s="236"/>
      <c r="T487" s="236"/>
      <c r="U487" s="236"/>
      <c r="V487" s="236"/>
      <c r="W487" s="237"/>
      <c r="X487" s="237"/>
      <c r="Y487" s="237"/>
      <c r="Z487" s="237"/>
      <c r="AA487" s="237"/>
      <c r="AB487" s="237"/>
      <c r="AC487" s="237"/>
      <c r="AD487" s="237"/>
      <c r="AE487" s="237"/>
      <c r="AF487" s="237"/>
      <c r="AG487" s="237"/>
      <c r="AH487" s="237"/>
      <c r="AI487" s="308"/>
      <c r="AJ487" s="308"/>
      <c r="AK487" s="308"/>
      <c r="AL487" s="308"/>
      <c r="AM487" s="98"/>
      <c r="AN487" s="98"/>
      <c r="AO487" s="98"/>
    </row>
    <row r="488" ht="14.25" customHeight="1">
      <c r="A488" s="98"/>
      <c r="B488" s="98"/>
      <c r="C488" s="98"/>
      <c r="D488" s="308"/>
      <c r="E488" s="98"/>
      <c r="F488" s="235"/>
      <c r="G488" s="235"/>
      <c r="H488" s="236"/>
      <c r="I488" s="236"/>
      <c r="J488" s="236"/>
      <c r="K488" s="236"/>
      <c r="L488" s="236"/>
      <c r="M488" s="236"/>
      <c r="N488" s="236"/>
      <c r="O488" s="236"/>
      <c r="P488" s="236"/>
      <c r="Q488" s="236"/>
      <c r="R488" s="236"/>
      <c r="S488" s="236"/>
      <c r="T488" s="236"/>
      <c r="U488" s="236"/>
      <c r="V488" s="236"/>
      <c r="W488" s="237"/>
      <c r="X488" s="237"/>
      <c r="Y488" s="237"/>
      <c r="Z488" s="237"/>
      <c r="AA488" s="237"/>
      <c r="AB488" s="237"/>
      <c r="AC488" s="237"/>
      <c r="AD488" s="237"/>
      <c r="AE488" s="237"/>
      <c r="AF488" s="237"/>
      <c r="AG488" s="237"/>
      <c r="AH488" s="237"/>
      <c r="AI488" s="308"/>
      <c r="AJ488" s="308"/>
      <c r="AK488" s="308"/>
      <c r="AL488" s="308"/>
      <c r="AM488" s="98"/>
      <c r="AN488" s="98"/>
      <c r="AO488" s="98"/>
    </row>
    <row r="489" ht="14.25" customHeight="1">
      <c r="A489" s="98"/>
      <c r="B489" s="98"/>
      <c r="C489" s="98"/>
      <c r="D489" s="308"/>
      <c r="E489" s="98"/>
      <c r="F489" s="235"/>
      <c r="G489" s="235"/>
      <c r="H489" s="236"/>
      <c r="I489" s="236"/>
      <c r="J489" s="236"/>
      <c r="K489" s="236"/>
      <c r="L489" s="236"/>
      <c r="M489" s="236"/>
      <c r="N489" s="236"/>
      <c r="O489" s="236"/>
      <c r="P489" s="236"/>
      <c r="Q489" s="236"/>
      <c r="R489" s="236"/>
      <c r="S489" s="236"/>
      <c r="T489" s="236"/>
      <c r="U489" s="236"/>
      <c r="V489" s="236"/>
      <c r="W489" s="237"/>
      <c r="X489" s="237"/>
      <c r="Y489" s="237"/>
      <c r="Z489" s="237"/>
      <c r="AA489" s="237"/>
      <c r="AB489" s="237"/>
      <c r="AC489" s="237"/>
      <c r="AD489" s="237"/>
      <c r="AE489" s="237"/>
      <c r="AF489" s="237"/>
      <c r="AG489" s="237"/>
      <c r="AH489" s="237"/>
      <c r="AI489" s="308"/>
      <c r="AJ489" s="308"/>
      <c r="AK489" s="308"/>
      <c r="AL489" s="308"/>
      <c r="AM489" s="98"/>
      <c r="AN489" s="98"/>
      <c r="AO489" s="98"/>
    </row>
    <row r="490" ht="14.25" customHeight="1">
      <c r="A490" s="98"/>
      <c r="B490" s="98"/>
      <c r="C490" s="98"/>
      <c r="D490" s="308"/>
      <c r="E490" s="98"/>
      <c r="F490" s="235"/>
      <c r="G490" s="235"/>
      <c r="H490" s="236"/>
      <c r="I490" s="236"/>
      <c r="J490" s="236"/>
      <c r="K490" s="236"/>
      <c r="L490" s="236"/>
      <c r="M490" s="236"/>
      <c r="N490" s="236"/>
      <c r="O490" s="236"/>
      <c r="P490" s="236"/>
      <c r="Q490" s="236"/>
      <c r="R490" s="236"/>
      <c r="S490" s="236"/>
      <c r="T490" s="236"/>
      <c r="U490" s="236"/>
      <c r="V490" s="236"/>
      <c r="W490" s="237"/>
      <c r="X490" s="237"/>
      <c r="Y490" s="237"/>
      <c r="Z490" s="237"/>
      <c r="AA490" s="237"/>
      <c r="AB490" s="237"/>
      <c r="AC490" s="237"/>
      <c r="AD490" s="237"/>
      <c r="AE490" s="237"/>
      <c r="AF490" s="237"/>
      <c r="AG490" s="237"/>
      <c r="AH490" s="237"/>
      <c r="AI490" s="308"/>
      <c r="AJ490" s="308"/>
      <c r="AK490" s="308"/>
      <c r="AL490" s="308"/>
      <c r="AM490" s="98"/>
      <c r="AN490" s="98"/>
      <c r="AO490" s="98"/>
    </row>
    <row r="491" ht="14.25" customHeight="1">
      <c r="A491" s="98"/>
      <c r="B491" s="98"/>
      <c r="C491" s="98"/>
      <c r="D491" s="308"/>
      <c r="E491" s="98"/>
      <c r="F491" s="235"/>
      <c r="G491" s="235"/>
      <c r="H491" s="236"/>
      <c r="I491" s="236"/>
      <c r="J491" s="236"/>
      <c r="K491" s="236"/>
      <c r="L491" s="236"/>
      <c r="M491" s="236"/>
      <c r="N491" s="236"/>
      <c r="O491" s="236"/>
      <c r="P491" s="236"/>
      <c r="Q491" s="236"/>
      <c r="R491" s="236"/>
      <c r="S491" s="236"/>
      <c r="T491" s="236"/>
      <c r="U491" s="236"/>
      <c r="V491" s="236"/>
      <c r="W491" s="237"/>
      <c r="X491" s="237"/>
      <c r="Y491" s="237"/>
      <c r="Z491" s="237"/>
      <c r="AA491" s="237"/>
      <c r="AB491" s="237"/>
      <c r="AC491" s="237"/>
      <c r="AD491" s="237"/>
      <c r="AE491" s="237"/>
      <c r="AF491" s="237"/>
      <c r="AG491" s="237"/>
      <c r="AH491" s="237"/>
      <c r="AI491" s="308"/>
      <c r="AJ491" s="308"/>
      <c r="AK491" s="308"/>
      <c r="AL491" s="308"/>
      <c r="AM491" s="98"/>
      <c r="AN491" s="98"/>
      <c r="AO491" s="98"/>
    </row>
    <row r="492" ht="14.25" customHeight="1">
      <c r="A492" s="98"/>
      <c r="B492" s="98"/>
      <c r="C492" s="98"/>
      <c r="D492" s="308"/>
      <c r="E492" s="98"/>
      <c r="F492" s="235"/>
      <c r="G492" s="235"/>
      <c r="H492" s="236"/>
      <c r="I492" s="236"/>
      <c r="J492" s="236"/>
      <c r="K492" s="236"/>
      <c r="L492" s="236"/>
      <c r="M492" s="236"/>
      <c r="N492" s="236"/>
      <c r="O492" s="236"/>
      <c r="P492" s="236"/>
      <c r="Q492" s="236"/>
      <c r="R492" s="236"/>
      <c r="S492" s="236"/>
      <c r="T492" s="236"/>
      <c r="U492" s="236"/>
      <c r="V492" s="236"/>
      <c r="W492" s="237"/>
      <c r="X492" s="237"/>
      <c r="Y492" s="237"/>
      <c r="Z492" s="237"/>
      <c r="AA492" s="237"/>
      <c r="AB492" s="237"/>
      <c r="AC492" s="237"/>
      <c r="AD492" s="237"/>
      <c r="AE492" s="237"/>
      <c r="AF492" s="237"/>
      <c r="AG492" s="237"/>
      <c r="AH492" s="237"/>
      <c r="AI492" s="308"/>
      <c r="AJ492" s="308"/>
      <c r="AK492" s="308"/>
      <c r="AL492" s="308"/>
      <c r="AM492" s="98"/>
      <c r="AN492" s="98"/>
      <c r="AO492" s="98"/>
    </row>
    <row r="493" ht="14.25" customHeight="1">
      <c r="A493" s="98"/>
      <c r="B493" s="98"/>
      <c r="C493" s="98"/>
      <c r="D493" s="308"/>
      <c r="E493" s="98"/>
      <c r="F493" s="235"/>
      <c r="G493" s="235"/>
      <c r="H493" s="236"/>
      <c r="I493" s="236"/>
      <c r="J493" s="236"/>
      <c r="K493" s="236"/>
      <c r="L493" s="236"/>
      <c r="M493" s="236"/>
      <c r="N493" s="236"/>
      <c r="O493" s="236"/>
      <c r="P493" s="236"/>
      <c r="Q493" s="236"/>
      <c r="R493" s="236"/>
      <c r="S493" s="236"/>
      <c r="T493" s="236"/>
      <c r="U493" s="236"/>
      <c r="V493" s="236"/>
      <c r="W493" s="237"/>
      <c r="X493" s="237"/>
      <c r="Y493" s="237"/>
      <c r="Z493" s="237"/>
      <c r="AA493" s="237"/>
      <c r="AB493" s="237"/>
      <c r="AC493" s="237"/>
      <c r="AD493" s="237"/>
      <c r="AE493" s="237"/>
      <c r="AF493" s="237"/>
      <c r="AG493" s="237"/>
      <c r="AH493" s="237"/>
      <c r="AI493" s="308"/>
      <c r="AJ493" s="308"/>
      <c r="AK493" s="308"/>
      <c r="AL493" s="308"/>
      <c r="AM493" s="98"/>
      <c r="AN493" s="98"/>
      <c r="AO493" s="98"/>
    </row>
    <row r="494" ht="14.25" customHeight="1">
      <c r="A494" s="98"/>
      <c r="B494" s="98"/>
      <c r="C494" s="98"/>
      <c r="D494" s="308"/>
      <c r="E494" s="98"/>
      <c r="F494" s="235"/>
      <c r="G494" s="235"/>
      <c r="H494" s="236"/>
      <c r="I494" s="236"/>
      <c r="J494" s="236"/>
      <c r="K494" s="236"/>
      <c r="L494" s="236"/>
      <c r="M494" s="236"/>
      <c r="N494" s="236"/>
      <c r="O494" s="236"/>
      <c r="P494" s="236"/>
      <c r="Q494" s="236"/>
      <c r="R494" s="236"/>
      <c r="S494" s="236"/>
      <c r="T494" s="236"/>
      <c r="U494" s="236"/>
      <c r="V494" s="236"/>
      <c r="W494" s="237"/>
      <c r="X494" s="237"/>
      <c r="Y494" s="237"/>
      <c r="Z494" s="237"/>
      <c r="AA494" s="237"/>
      <c r="AB494" s="237"/>
      <c r="AC494" s="237"/>
      <c r="AD494" s="237"/>
      <c r="AE494" s="237"/>
      <c r="AF494" s="237"/>
      <c r="AG494" s="237"/>
      <c r="AH494" s="237"/>
      <c r="AI494" s="308"/>
      <c r="AJ494" s="308"/>
      <c r="AK494" s="308"/>
      <c r="AL494" s="308"/>
      <c r="AM494" s="98"/>
      <c r="AN494" s="98"/>
      <c r="AO494" s="98"/>
    </row>
    <row r="495" ht="14.25" customHeight="1">
      <c r="A495" s="98"/>
      <c r="B495" s="98"/>
      <c r="C495" s="98"/>
      <c r="D495" s="308"/>
      <c r="E495" s="98"/>
      <c r="F495" s="235"/>
      <c r="G495" s="235"/>
      <c r="H495" s="236"/>
      <c r="I495" s="236"/>
      <c r="J495" s="236"/>
      <c r="K495" s="236"/>
      <c r="L495" s="236"/>
      <c r="M495" s="236"/>
      <c r="N495" s="236"/>
      <c r="O495" s="236"/>
      <c r="P495" s="236"/>
      <c r="Q495" s="236"/>
      <c r="R495" s="236"/>
      <c r="S495" s="236"/>
      <c r="T495" s="236"/>
      <c r="U495" s="236"/>
      <c r="V495" s="236"/>
      <c r="W495" s="237"/>
      <c r="X495" s="237"/>
      <c r="Y495" s="237"/>
      <c r="Z495" s="237"/>
      <c r="AA495" s="237"/>
      <c r="AB495" s="237"/>
      <c r="AC495" s="237"/>
      <c r="AD495" s="237"/>
      <c r="AE495" s="237"/>
      <c r="AF495" s="237"/>
      <c r="AG495" s="237"/>
      <c r="AH495" s="237"/>
      <c r="AI495" s="308"/>
      <c r="AJ495" s="308"/>
      <c r="AK495" s="308"/>
      <c r="AL495" s="308"/>
      <c r="AM495" s="98"/>
      <c r="AN495" s="98"/>
      <c r="AO495" s="98"/>
    </row>
    <row r="496" ht="14.25" customHeight="1">
      <c r="A496" s="98"/>
      <c r="B496" s="98"/>
      <c r="C496" s="98"/>
      <c r="D496" s="308"/>
      <c r="E496" s="98"/>
      <c r="F496" s="235"/>
      <c r="G496" s="235"/>
      <c r="H496" s="236"/>
      <c r="I496" s="236"/>
      <c r="J496" s="236"/>
      <c r="K496" s="236"/>
      <c r="L496" s="236"/>
      <c r="M496" s="236"/>
      <c r="N496" s="236"/>
      <c r="O496" s="236"/>
      <c r="P496" s="236"/>
      <c r="Q496" s="236"/>
      <c r="R496" s="236"/>
      <c r="S496" s="236"/>
      <c r="T496" s="236"/>
      <c r="U496" s="236"/>
      <c r="V496" s="236"/>
      <c r="W496" s="237"/>
      <c r="X496" s="237"/>
      <c r="Y496" s="237"/>
      <c r="Z496" s="237"/>
      <c r="AA496" s="237"/>
      <c r="AB496" s="237"/>
      <c r="AC496" s="237"/>
      <c r="AD496" s="237"/>
      <c r="AE496" s="237"/>
      <c r="AF496" s="237"/>
      <c r="AG496" s="237"/>
      <c r="AH496" s="237"/>
      <c r="AI496" s="308"/>
      <c r="AJ496" s="308"/>
      <c r="AK496" s="308"/>
      <c r="AL496" s="308"/>
      <c r="AM496" s="98"/>
      <c r="AN496" s="98"/>
      <c r="AO496" s="98"/>
    </row>
    <row r="497" ht="14.25" customHeight="1">
      <c r="A497" s="98"/>
      <c r="B497" s="98"/>
      <c r="C497" s="98"/>
      <c r="D497" s="308"/>
      <c r="E497" s="98"/>
      <c r="F497" s="235"/>
      <c r="G497" s="235"/>
      <c r="H497" s="236"/>
      <c r="I497" s="236"/>
      <c r="J497" s="236"/>
      <c r="K497" s="236"/>
      <c r="L497" s="236"/>
      <c r="M497" s="236"/>
      <c r="N497" s="236"/>
      <c r="O497" s="236"/>
      <c r="P497" s="236"/>
      <c r="Q497" s="236"/>
      <c r="R497" s="236"/>
      <c r="S497" s="236"/>
      <c r="T497" s="236"/>
      <c r="U497" s="236"/>
      <c r="V497" s="236"/>
      <c r="W497" s="237"/>
      <c r="X497" s="237"/>
      <c r="Y497" s="237"/>
      <c r="Z497" s="237"/>
      <c r="AA497" s="237"/>
      <c r="AB497" s="237"/>
      <c r="AC497" s="237"/>
      <c r="AD497" s="237"/>
      <c r="AE497" s="237"/>
      <c r="AF497" s="237"/>
      <c r="AG497" s="237"/>
      <c r="AH497" s="237"/>
      <c r="AI497" s="308"/>
      <c r="AJ497" s="308"/>
      <c r="AK497" s="308"/>
      <c r="AL497" s="308"/>
      <c r="AM497" s="98"/>
      <c r="AN497" s="98"/>
      <c r="AO497" s="98"/>
    </row>
    <row r="498" ht="14.25" customHeight="1">
      <c r="A498" s="98"/>
      <c r="B498" s="98"/>
      <c r="C498" s="98"/>
      <c r="D498" s="308"/>
      <c r="E498" s="98"/>
      <c r="F498" s="235"/>
      <c r="G498" s="235"/>
      <c r="H498" s="236"/>
      <c r="I498" s="236"/>
      <c r="J498" s="236"/>
      <c r="K498" s="236"/>
      <c r="L498" s="236"/>
      <c r="M498" s="236"/>
      <c r="N498" s="236"/>
      <c r="O498" s="236"/>
      <c r="P498" s="236"/>
      <c r="Q498" s="236"/>
      <c r="R498" s="236"/>
      <c r="S498" s="236"/>
      <c r="T498" s="236"/>
      <c r="U498" s="236"/>
      <c r="V498" s="236"/>
      <c r="W498" s="237"/>
      <c r="X498" s="237"/>
      <c r="Y498" s="237"/>
      <c r="Z498" s="237"/>
      <c r="AA498" s="237"/>
      <c r="AB498" s="237"/>
      <c r="AC498" s="237"/>
      <c r="AD498" s="237"/>
      <c r="AE498" s="237"/>
      <c r="AF498" s="237"/>
      <c r="AG498" s="237"/>
      <c r="AH498" s="237"/>
      <c r="AI498" s="308"/>
      <c r="AJ498" s="308"/>
      <c r="AK498" s="308"/>
      <c r="AL498" s="308"/>
      <c r="AM498" s="98"/>
      <c r="AN498" s="98"/>
      <c r="AO498" s="98"/>
    </row>
    <row r="499" ht="14.25" customHeight="1">
      <c r="A499" s="98"/>
      <c r="B499" s="98"/>
      <c r="C499" s="98"/>
      <c r="D499" s="308"/>
      <c r="E499" s="98"/>
      <c r="F499" s="235"/>
      <c r="G499" s="235"/>
      <c r="H499" s="236"/>
      <c r="I499" s="236"/>
      <c r="J499" s="236"/>
      <c r="K499" s="236"/>
      <c r="L499" s="236"/>
      <c r="M499" s="236"/>
      <c r="N499" s="236"/>
      <c r="O499" s="236"/>
      <c r="P499" s="236"/>
      <c r="Q499" s="236"/>
      <c r="R499" s="236"/>
      <c r="S499" s="236"/>
      <c r="T499" s="236"/>
      <c r="U499" s="236"/>
      <c r="V499" s="236"/>
      <c r="W499" s="237"/>
      <c r="X499" s="237"/>
      <c r="Y499" s="237"/>
      <c r="Z499" s="237"/>
      <c r="AA499" s="237"/>
      <c r="AB499" s="237"/>
      <c r="AC499" s="237"/>
      <c r="AD499" s="237"/>
      <c r="AE499" s="237"/>
      <c r="AF499" s="237"/>
      <c r="AG499" s="237"/>
      <c r="AH499" s="237"/>
      <c r="AI499" s="308"/>
      <c r="AJ499" s="308"/>
      <c r="AK499" s="308"/>
      <c r="AL499" s="308"/>
      <c r="AM499" s="98"/>
      <c r="AN499" s="98"/>
      <c r="AO499" s="98"/>
    </row>
    <row r="500" ht="14.25" customHeight="1">
      <c r="A500" s="98"/>
      <c r="B500" s="98"/>
      <c r="C500" s="98"/>
      <c r="D500" s="308"/>
      <c r="E500" s="98"/>
      <c r="F500" s="235"/>
      <c r="G500" s="235"/>
      <c r="H500" s="236"/>
      <c r="I500" s="236"/>
      <c r="J500" s="236"/>
      <c r="K500" s="236"/>
      <c r="L500" s="236"/>
      <c r="M500" s="236"/>
      <c r="N500" s="236"/>
      <c r="O500" s="236"/>
      <c r="P500" s="236"/>
      <c r="Q500" s="236"/>
      <c r="R500" s="236"/>
      <c r="S500" s="236"/>
      <c r="T500" s="236"/>
      <c r="U500" s="236"/>
      <c r="V500" s="236"/>
      <c r="W500" s="237"/>
      <c r="X500" s="237"/>
      <c r="Y500" s="237"/>
      <c r="Z500" s="237"/>
      <c r="AA500" s="237"/>
      <c r="AB500" s="237"/>
      <c r="AC500" s="237"/>
      <c r="AD500" s="237"/>
      <c r="AE500" s="237"/>
      <c r="AF500" s="237"/>
      <c r="AG500" s="237"/>
      <c r="AH500" s="237"/>
      <c r="AI500" s="308"/>
      <c r="AJ500" s="308"/>
      <c r="AK500" s="308"/>
      <c r="AL500" s="308"/>
      <c r="AM500" s="98"/>
      <c r="AN500" s="98"/>
      <c r="AO500" s="98"/>
    </row>
    <row r="501" ht="14.25" customHeight="1">
      <c r="A501" s="98"/>
      <c r="B501" s="98"/>
      <c r="C501" s="98"/>
      <c r="D501" s="308"/>
      <c r="E501" s="98"/>
      <c r="F501" s="235"/>
      <c r="G501" s="235"/>
      <c r="H501" s="236"/>
      <c r="I501" s="236"/>
      <c r="J501" s="236"/>
      <c r="K501" s="236"/>
      <c r="L501" s="236"/>
      <c r="M501" s="236"/>
      <c r="N501" s="236"/>
      <c r="O501" s="236"/>
      <c r="P501" s="236"/>
      <c r="Q501" s="236"/>
      <c r="R501" s="236"/>
      <c r="S501" s="236"/>
      <c r="T501" s="236"/>
      <c r="U501" s="236"/>
      <c r="V501" s="236"/>
      <c r="W501" s="237"/>
      <c r="X501" s="237"/>
      <c r="Y501" s="237"/>
      <c r="Z501" s="237"/>
      <c r="AA501" s="237"/>
      <c r="AB501" s="237"/>
      <c r="AC501" s="237"/>
      <c r="AD501" s="237"/>
      <c r="AE501" s="237"/>
      <c r="AF501" s="237"/>
      <c r="AG501" s="237"/>
      <c r="AH501" s="237"/>
      <c r="AI501" s="308"/>
      <c r="AJ501" s="308"/>
      <c r="AK501" s="308"/>
      <c r="AL501" s="308"/>
      <c r="AM501" s="98"/>
      <c r="AN501" s="98"/>
      <c r="AO501" s="98"/>
    </row>
    <row r="502" ht="14.25" customHeight="1">
      <c r="A502" s="98"/>
      <c r="B502" s="98"/>
      <c r="C502" s="98"/>
      <c r="D502" s="308"/>
      <c r="E502" s="98"/>
      <c r="F502" s="235"/>
      <c r="G502" s="235"/>
      <c r="H502" s="236"/>
      <c r="I502" s="236"/>
      <c r="J502" s="236"/>
      <c r="K502" s="236"/>
      <c r="L502" s="236"/>
      <c r="M502" s="236"/>
      <c r="N502" s="236"/>
      <c r="O502" s="236"/>
      <c r="P502" s="236"/>
      <c r="Q502" s="236"/>
      <c r="R502" s="236"/>
      <c r="S502" s="236"/>
      <c r="T502" s="236"/>
      <c r="U502" s="236"/>
      <c r="V502" s="236"/>
      <c r="W502" s="237"/>
      <c r="X502" s="237"/>
      <c r="Y502" s="237"/>
      <c r="Z502" s="237"/>
      <c r="AA502" s="237"/>
      <c r="AB502" s="237"/>
      <c r="AC502" s="237"/>
      <c r="AD502" s="237"/>
      <c r="AE502" s="237"/>
      <c r="AF502" s="237"/>
      <c r="AG502" s="237"/>
      <c r="AH502" s="237"/>
      <c r="AI502" s="308"/>
      <c r="AJ502" s="308"/>
      <c r="AK502" s="308"/>
      <c r="AL502" s="308"/>
      <c r="AM502" s="98"/>
      <c r="AN502" s="98"/>
      <c r="AO502" s="98"/>
    </row>
    <row r="503" ht="14.25" customHeight="1">
      <c r="A503" s="98"/>
      <c r="B503" s="98"/>
      <c r="C503" s="98"/>
      <c r="D503" s="308"/>
      <c r="E503" s="98"/>
      <c r="F503" s="235"/>
      <c r="G503" s="235"/>
      <c r="H503" s="236"/>
      <c r="I503" s="236"/>
      <c r="J503" s="236"/>
      <c r="K503" s="236"/>
      <c r="L503" s="236"/>
      <c r="M503" s="236"/>
      <c r="N503" s="236"/>
      <c r="O503" s="236"/>
      <c r="P503" s="236"/>
      <c r="Q503" s="236"/>
      <c r="R503" s="236"/>
      <c r="S503" s="236"/>
      <c r="T503" s="236"/>
      <c r="U503" s="236"/>
      <c r="V503" s="236"/>
      <c r="W503" s="237"/>
      <c r="X503" s="237"/>
      <c r="Y503" s="237"/>
      <c r="Z503" s="237"/>
      <c r="AA503" s="237"/>
      <c r="AB503" s="237"/>
      <c r="AC503" s="237"/>
      <c r="AD503" s="237"/>
      <c r="AE503" s="237"/>
      <c r="AF503" s="237"/>
      <c r="AG503" s="237"/>
      <c r="AH503" s="237"/>
      <c r="AI503" s="308"/>
      <c r="AJ503" s="308"/>
      <c r="AK503" s="308"/>
      <c r="AL503" s="308"/>
      <c r="AM503" s="98"/>
      <c r="AN503" s="98"/>
      <c r="AO503" s="98"/>
    </row>
    <row r="504" ht="14.25" customHeight="1">
      <c r="A504" s="98"/>
      <c r="B504" s="98"/>
      <c r="C504" s="98"/>
      <c r="D504" s="308"/>
      <c r="E504" s="98"/>
      <c r="F504" s="235"/>
      <c r="G504" s="235"/>
      <c r="H504" s="236"/>
      <c r="I504" s="236"/>
      <c r="J504" s="236"/>
      <c r="K504" s="236"/>
      <c r="L504" s="236"/>
      <c r="M504" s="236"/>
      <c r="N504" s="236"/>
      <c r="O504" s="236"/>
      <c r="P504" s="236"/>
      <c r="Q504" s="236"/>
      <c r="R504" s="236"/>
      <c r="S504" s="236"/>
      <c r="T504" s="236"/>
      <c r="U504" s="236"/>
      <c r="V504" s="236"/>
      <c r="W504" s="237"/>
      <c r="X504" s="237"/>
      <c r="Y504" s="237"/>
      <c r="Z504" s="237"/>
      <c r="AA504" s="237"/>
      <c r="AB504" s="237"/>
      <c r="AC504" s="237"/>
      <c r="AD504" s="237"/>
      <c r="AE504" s="237"/>
      <c r="AF504" s="237"/>
      <c r="AG504" s="237"/>
      <c r="AH504" s="237"/>
      <c r="AI504" s="308"/>
      <c r="AJ504" s="308"/>
      <c r="AK504" s="308"/>
      <c r="AL504" s="308"/>
      <c r="AM504" s="98"/>
      <c r="AN504" s="98"/>
      <c r="AO504" s="98"/>
    </row>
    <row r="505" ht="14.25" customHeight="1">
      <c r="A505" s="98"/>
      <c r="B505" s="98"/>
      <c r="C505" s="98"/>
      <c r="D505" s="308"/>
      <c r="E505" s="98"/>
      <c r="F505" s="235"/>
      <c r="G505" s="235"/>
      <c r="H505" s="236"/>
      <c r="I505" s="236"/>
      <c r="J505" s="236"/>
      <c r="K505" s="236"/>
      <c r="L505" s="236"/>
      <c r="M505" s="236"/>
      <c r="N505" s="236"/>
      <c r="O505" s="236"/>
      <c r="P505" s="236"/>
      <c r="Q505" s="236"/>
      <c r="R505" s="236"/>
      <c r="S505" s="236"/>
      <c r="T505" s="236"/>
      <c r="U505" s="236"/>
      <c r="V505" s="236"/>
      <c r="W505" s="237"/>
      <c r="X505" s="237"/>
      <c r="Y505" s="237"/>
      <c r="Z505" s="237"/>
      <c r="AA505" s="237"/>
      <c r="AB505" s="237"/>
      <c r="AC505" s="237"/>
      <c r="AD505" s="237"/>
      <c r="AE505" s="237"/>
      <c r="AF505" s="237"/>
      <c r="AG505" s="237"/>
      <c r="AH505" s="237"/>
      <c r="AI505" s="308"/>
      <c r="AJ505" s="308"/>
      <c r="AK505" s="308"/>
      <c r="AL505" s="308"/>
      <c r="AM505" s="98"/>
      <c r="AN505" s="98"/>
      <c r="AO505" s="98"/>
    </row>
    <row r="506" ht="14.25" customHeight="1">
      <c r="A506" s="98"/>
      <c r="B506" s="98"/>
      <c r="C506" s="98"/>
      <c r="D506" s="308"/>
      <c r="E506" s="98"/>
      <c r="F506" s="235"/>
      <c r="G506" s="235"/>
      <c r="H506" s="236"/>
      <c r="I506" s="236"/>
      <c r="J506" s="236"/>
      <c r="K506" s="236"/>
      <c r="L506" s="236"/>
      <c r="M506" s="236"/>
      <c r="N506" s="236"/>
      <c r="O506" s="236"/>
      <c r="P506" s="236"/>
      <c r="Q506" s="236"/>
      <c r="R506" s="236"/>
      <c r="S506" s="236"/>
      <c r="T506" s="236"/>
      <c r="U506" s="236"/>
      <c r="V506" s="236"/>
      <c r="W506" s="237"/>
      <c r="X506" s="237"/>
      <c r="Y506" s="237"/>
      <c r="Z506" s="237"/>
      <c r="AA506" s="237"/>
      <c r="AB506" s="237"/>
      <c r="AC506" s="237"/>
      <c r="AD506" s="237"/>
      <c r="AE506" s="237"/>
      <c r="AF506" s="237"/>
      <c r="AG506" s="237"/>
      <c r="AH506" s="237"/>
      <c r="AI506" s="308"/>
      <c r="AJ506" s="308"/>
      <c r="AK506" s="308"/>
      <c r="AL506" s="308"/>
      <c r="AM506" s="98"/>
      <c r="AN506" s="98"/>
      <c r="AO506" s="98"/>
    </row>
    <row r="507" ht="14.25" customHeight="1">
      <c r="A507" s="98"/>
      <c r="B507" s="98"/>
      <c r="C507" s="98"/>
      <c r="D507" s="308"/>
      <c r="E507" s="98"/>
      <c r="F507" s="235"/>
      <c r="G507" s="235"/>
      <c r="H507" s="236"/>
      <c r="I507" s="236"/>
      <c r="J507" s="236"/>
      <c r="K507" s="236"/>
      <c r="L507" s="236"/>
      <c r="M507" s="236"/>
      <c r="N507" s="236"/>
      <c r="O507" s="236"/>
      <c r="P507" s="236"/>
      <c r="Q507" s="236"/>
      <c r="R507" s="236"/>
      <c r="S507" s="236"/>
      <c r="T507" s="236"/>
      <c r="U507" s="236"/>
      <c r="V507" s="236"/>
      <c r="W507" s="237"/>
      <c r="X507" s="237"/>
      <c r="Y507" s="237"/>
      <c r="Z507" s="237"/>
      <c r="AA507" s="237"/>
      <c r="AB507" s="237"/>
      <c r="AC507" s="237"/>
      <c r="AD507" s="237"/>
      <c r="AE507" s="237"/>
      <c r="AF507" s="237"/>
      <c r="AG507" s="237"/>
      <c r="AH507" s="237"/>
      <c r="AI507" s="308"/>
      <c r="AJ507" s="308"/>
      <c r="AK507" s="308"/>
      <c r="AL507" s="308"/>
      <c r="AM507" s="98"/>
      <c r="AN507" s="98"/>
      <c r="AO507" s="98"/>
    </row>
    <row r="508" ht="14.25" customHeight="1">
      <c r="A508" s="98"/>
      <c r="B508" s="98"/>
      <c r="C508" s="98"/>
      <c r="D508" s="308"/>
      <c r="E508" s="98"/>
      <c r="F508" s="235"/>
      <c r="G508" s="235"/>
      <c r="H508" s="236"/>
      <c r="I508" s="236"/>
      <c r="J508" s="236"/>
      <c r="K508" s="236"/>
      <c r="L508" s="236"/>
      <c r="M508" s="236"/>
      <c r="N508" s="236"/>
      <c r="O508" s="236"/>
      <c r="P508" s="236"/>
      <c r="Q508" s="236"/>
      <c r="R508" s="236"/>
      <c r="S508" s="236"/>
      <c r="T508" s="236"/>
      <c r="U508" s="236"/>
      <c r="V508" s="236"/>
      <c r="W508" s="237"/>
      <c r="X508" s="237"/>
      <c r="Y508" s="237"/>
      <c r="Z508" s="237"/>
      <c r="AA508" s="237"/>
      <c r="AB508" s="237"/>
      <c r="AC508" s="237"/>
      <c r="AD508" s="237"/>
      <c r="AE508" s="237"/>
      <c r="AF508" s="237"/>
      <c r="AG508" s="237"/>
      <c r="AH508" s="237"/>
      <c r="AI508" s="308"/>
      <c r="AJ508" s="308"/>
      <c r="AK508" s="308"/>
      <c r="AL508" s="308"/>
      <c r="AM508" s="98"/>
      <c r="AN508" s="98"/>
      <c r="AO508" s="98"/>
    </row>
    <row r="509" ht="14.25" customHeight="1">
      <c r="A509" s="98"/>
      <c r="B509" s="98"/>
      <c r="C509" s="98"/>
      <c r="D509" s="308"/>
      <c r="E509" s="98"/>
      <c r="F509" s="235"/>
      <c r="G509" s="235"/>
      <c r="H509" s="236"/>
      <c r="I509" s="236"/>
      <c r="J509" s="236"/>
      <c r="K509" s="236"/>
      <c r="L509" s="236"/>
      <c r="M509" s="236"/>
      <c r="N509" s="236"/>
      <c r="O509" s="236"/>
      <c r="P509" s="236"/>
      <c r="Q509" s="236"/>
      <c r="R509" s="236"/>
      <c r="S509" s="236"/>
      <c r="T509" s="236"/>
      <c r="U509" s="236"/>
      <c r="V509" s="236"/>
      <c r="W509" s="237"/>
      <c r="X509" s="237"/>
      <c r="Y509" s="237"/>
      <c r="Z509" s="237"/>
      <c r="AA509" s="237"/>
      <c r="AB509" s="237"/>
      <c r="AC509" s="237"/>
      <c r="AD509" s="237"/>
      <c r="AE509" s="237"/>
      <c r="AF509" s="237"/>
      <c r="AG509" s="237"/>
      <c r="AH509" s="237"/>
      <c r="AI509" s="308"/>
      <c r="AJ509" s="308"/>
      <c r="AK509" s="308"/>
      <c r="AL509" s="308"/>
      <c r="AM509" s="98"/>
      <c r="AN509" s="98"/>
      <c r="AO509" s="98"/>
    </row>
    <row r="510" ht="14.25" customHeight="1">
      <c r="A510" s="98"/>
      <c r="B510" s="98"/>
      <c r="C510" s="98"/>
      <c r="D510" s="308"/>
      <c r="E510" s="98"/>
      <c r="F510" s="235"/>
      <c r="G510" s="235"/>
      <c r="H510" s="236"/>
      <c r="I510" s="236"/>
      <c r="J510" s="236"/>
      <c r="K510" s="236"/>
      <c r="L510" s="236"/>
      <c r="M510" s="236"/>
      <c r="N510" s="236"/>
      <c r="O510" s="236"/>
      <c r="P510" s="236"/>
      <c r="Q510" s="236"/>
      <c r="R510" s="236"/>
      <c r="S510" s="236"/>
      <c r="T510" s="236"/>
      <c r="U510" s="236"/>
      <c r="V510" s="236"/>
      <c r="W510" s="237"/>
      <c r="X510" s="237"/>
      <c r="Y510" s="237"/>
      <c r="Z510" s="237"/>
      <c r="AA510" s="237"/>
      <c r="AB510" s="237"/>
      <c r="AC510" s="237"/>
      <c r="AD510" s="237"/>
      <c r="AE510" s="237"/>
      <c r="AF510" s="237"/>
      <c r="AG510" s="237"/>
      <c r="AH510" s="237"/>
      <c r="AI510" s="308"/>
      <c r="AJ510" s="308"/>
      <c r="AK510" s="308"/>
      <c r="AL510" s="308"/>
      <c r="AM510" s="98"/>
      <c r="AN510" s="98"/>
      <c r="AO510" s="98"/>
    </row>
    <row r="511" ht="14.25" customHeight="1">
      <c r="A511" s="98"/>
      <c r="B511" s="98"/>
      <c r="C511" s="98"/>
      <c r="D511" s="308"/>
      <c r="E511" s="98"/>
      <c r="F511" s="235"/>
      <c r="G511" s="235"/>
      <c r="H511" s="236"/>
      <c r="I511" s="236"/>
      <c r="J511" s="236"/>
      <c r="K511" s="236"/>
      <c r="L511" s="236"/>
      <c r="M511" s="236"/>
      <c r="N511" s="236"/>
      <c r="O511" s="236"/>
      <c r="P511" s="236"/>
      <c r="Q511" s="236"/>
      <c r="R511" s="236"/>
      <c r="S511" s="236"/>
      <c r="T511" s="236"/>
      <c r="U511" s="236"/>
      <c r="V511" s="236"/>
      <c r="W511" s="237"/>
      <c r="X511" s="237"/>
      <c r="Y511" s="237"/>
      <c r="Z511" s="237"/>
      <c r="AA511" s="237"/>
      <c r="AB511" s="237"/>
      <c r="AC511" s="237"/>
      <c r="AD511" s="237"/>
      <c r="AE511" s="237"/>
      <c r="AF511" s="237"/>
      <c r="AG511" s="237"/>
      <c r="AH511" s="237"/>
      <c r="AI511" s="308"/>
      <c r="AJ511" s="308"/>
      <c r="AK511" s="308"/>
      <c r="AL511" s="308"/>
      <c r="AM511" s="98"/>
      <c r="AN511" s="98"/>
      <c r="AO511" s="98"/>
    </row>
    <row r="512" ht="14.25" customHeight="1">
      <c r="A512" s="98"/>
      <c r="B512" s="98"/>
      <c r="C512" s="98"/>
      <c r="D512" s="308"/>
      <c r="E512" s="98"/>
      <c r="F512" s="235"/>
      <c r="G512" s="235"/>
      <c r="H512" s="236"/>
      <c r="I512" s="236"/>
      <c r="J512" s="236"/>
      <c r="K512" s="236"/>
      <c r="L512" s="236"/>
      <c r="M512" s="236"/>
      <c r="N512" s="236"/>
      <c r="O512" s="236"/>
      <c r="P512" s="236"/>
      <c r="Q512" s="236"/>
      <c r="R512" s="236"/>
      <c r="S512" s="236"/>
      <c r="T512" s="236"/>
      <c r="U512" s="236"/>
      <c r="V512" s="236"/>
      <c r="W512" s="237"/>
      <c r="X512" s="237"/>
      <c r="Y512" s="237"/>
      <c r="Z512" s="237"/>
      <c r="AA512" s="237"/>
      <c r="AB512" s="237"/>
      <c r="AC512" s="237"/>
      <c r="AD512" s="237"/>
      <c r="AE512" s="237"/>
      <c r="AF512" s="237"/>
      <c r="AG512" s="237"/>
      <c r="AH512" s="237"/>
      <c r="AI512" s="308"/>
      <c r="AJ512" s="308"/>
      <c r="AK512" s="308"/>
      <c r="AL512" s="308"/>
      <c r="AM512" s="98"/>
      <c r="AN512" s="98"/>
      <c r="AO512" s="98"/>
    </row>
    <row r="513" ht="14.25" customHeight="1">
      <c r="A513" s="98"/>
      <c r="B513" s="98"/>
      <c r="C513" s="98"/>
      <c r="D513" s="308"/>
      <c r="E513" s="98"/>
      <c r="F513" s="235"/>
      <c r="G513" s="235"/>
      <c r="H513" s="236"/>
      <c r="I513" s="236"/>
      <c r="J513" s="236"/>
      <c r="K513" s="236"/>
      <c r="L513" s="236"/>
      <c r="M513" s="236"/>
      <c r="N513" s="236"/>
      <c r="O513" s="236"/>
      <c r="P513" s="236"/>
      <c r="Q513" s="236"/>
      <c r="R513" s="236"/>
      <c r="S513" s="236"/>
      <c r="T513" s="236"/>
      <c r="U513" s="236"/>
      <c r="V513" s="236"/>
      <c r="W513" s="237"/>
      <c r="X513" s="237"/>
      <c r="Y513" s="237"/>
      <c r="Z513" s="237"/>
      <c r="AA513" s="237"/>
      <c r="AB513" s="237"/>
      <c r="AC513" s="237"/>
      <c r="AD513" s="237"/>
      <c r="AE513" s="237"/>
      <c r="AF513" s="237"/>
      <c r="AG513" s="237"/>
      <c r="AH513" s="237"/>
      <c r="AI513" s="308"/>
      <c r="AJ513" s="308"/>
      <c r="AK513" s="308"/>
      <c r="AL513" s="308"/>
      <c r="AM513" s="98"/>
      <c r="AN513" s="98"/>
      <c r="AO513" s="98"/>
    </row>
    <row r="514" ht="14.25" customHeight="1">
      <c r="A514" s="98"/>
      <c r="B514" s="98"/>
      <c r="C514" s="98"/>
      <c r="D514" s="308"/>
      <c r="E514" s="98"/>
      <c r="F514" s="235"/>
      <c r="G514" s="235"/>
      <c r="H514" s="236"/>
      <c r="I514" s="236"/>
      <c r="J514" s="236"/>
      <c r="K514" s="236"/>
      <c r="L514" s="236"/>
      <c r="M514" s="236"/>
      <c r="N514" s="236"/>
      <c r="O514" s="236"/>
      <c r="P514" s="236"/>
      <c r="Q514" s="236"/>
      <c r="R514" s="236"/>
      <c r="S514" s="236"/>
      <c r="T514" s="236"/>
      <c r="U514" s="236"/>
      <c r="V514" s="236"/>
      <c r="W514" s="237"/>
      <c r="X514" s="237"/>
      <c r="Y514" s="237"/>
      <c r="Z514" s="237"/>
      <c r="AA514" s="237"/>
      <c r="AB514" s="237"/>
      <c r="AC514" s="237"/>
      <c r="AD514" s="237"/>
      <c r="AE514" s="237"/>
      <c r="AF514" s="237"/>
      <c r="AG514" s="237"/>
      <c r="AH514" s="237"/>
      <c r="AI514" s="308"/>
      <c r="AJ514" s="308"/>
      <c r="AK514" s="308"/>
      <c r="AL514" s="308"/>
      <c r="AM514" s="98"/>
      <c r="AN514" s="98"/>
      <c r="AO514" s="98"/>
    </row>
    <row r="515" ht="14.25" customHeight="1">
      <c r="A515" s="98"/>
      <c r="B515" s="98"/>
      <c r="C515" s="98"/>
      <c r="D515" s="308"/>
      <c r="E515" s="98"/>
      <c r="F515" s="235"/>
      <c r="G515" s="235"/>
      <c r="H515" s="236"/>
      <c r="I515" s="236"/>
      <c r="J515" s="236"/>
      <c r="K515" s="236"/>
      <c r="L515" s="236"/>
      <c r="M515" s="236"/>
      <c r="N515" s="236"/>
      <c r="O515" s="236"/>
      <c r="P515" s="236"/>
      <c r="Q515" s="236"/>
      <c r="R515" s="236"/>
      <c r="S515" s="236"/>
      <c r="T515" s="236"/>
      <c r="U515" s="236"/>
      <c r="V515" s="236"/>
      <c r="W515" s="237"/>
      <c r="X515" s="237"/>
      <c r="Y515" s="237"/>
      <c r="Z515" s="237"/>
      <c r="AA515" s="237"/>
      <c r="AB515" s="237"/>
      <c r="AC515" s="237"/>
      <c r="AD515" s="237"/>
      <c r="AE515" s="237"/>
      <c r="AF515" s="237"/>
      <c r="AG515" s="237"/>
      <c r="AH515" s="237"/>
      <c r="AI515" s="308"/>
      <c r="AJ515" s="308"/>
      <c r="AK515" s="308"/>
      <c r="AL515" s="308"/>
      <c r="AM515" s="98"/>
      <c r="AN515" s="98"/>
      <c r="AO515" s="98"/>
    </row>
    <row r="516" ht="14.25" customHeight="1">
      <c r="A516" s="98"/>
      <c r="B516" s="98"/>
      <c r="C516" s="98"/>
      <c r="D516" s="308"/>
      <c r="E516" s="98"/>
      <c r="F516" s="235"/>
      <c r="G516" s="235"/>
      <c r="H516" s="236"/>
      <c r="I516" s="236"/>
      <c r="J516" s="236"/>
      <c r="K516" s="236"/>
      <c r="L516" s="236"/>
      <c r="M516" s="236"/>
      <c r="N516" s="236"/>
      <c r="O516" s="236"/>
      <c r="P516" s="236"/>
      <c r="Q516" s="236"/>
      <c r="R516" s="236"/>
      <c r="S516" s="236"/>
      <c r="T516" s="236"/>
      <c r="U516" s="236"/>
      <c r="V516" s="236"/>
      <c r="W516" s="237"/>
      <c r="X516" s="237"/>
      <c r="Y516" s="237"/>
      <c r="Z516" s="237"/>
      <c r="AA516" s="237"/>
      <c r="AB516" s="237"/>
      <c r="AC516" s="237"/>
      <c r="AD516" s="237"/>
      <c r="AE516" s="237"/>
      <c r="AF516" s="237"/>
      <c r="AG516" s="237"/>
      <c r="AH516" s="237"/>
      <c r="AI516" s="308"/>
      <c r="AJ516" s="308"/>
      <c r="AK516" s="308"/>
      <c r="AL516" s="308"/>
      <c r="AM516" s="98"/>
      <c r="AN516" s="98"/>
      <c r="AO516" s="98"/>
    </row>
    <row r="517" ht="14.25" customHeight="1">
      <c r="A517" s="98"/>
      <c r="B517" s="98"/>
      <c r="C517" s="98"/>
      <c r="D517" s="308"/>
      <c r="E517" s="98"/>
      <c r="F517" s="235"/>
      <c r="G517" s="235"/>
      <c r="H517" s="236"/>
      <c r="I517" s="236"/>
      <c r="J517" s="236"/>
      <c r="K517" s="236"/>
      <c r="L517" s="236"/>
      <c r="M517" s="236"/>
      <c r="N517" s="236"/>
      <c r="O517" s="236"/>
      <c r="P517" s="236"/>
      <c r="Q517" s="236"/>
      <c r="R517" s="236"/>
      <c r="S517" s="236"/>
      <c r="T517" s="236"/>
      <c r="U517" s="236"/>
      <c r="V517" s="236"/>
      <c r="W517" s="237"/>
      <c r="X517" s="237"/>
      <c r="Y517" s="237"/>
      <c r="Z517" s="237"/>
      <c r="AA517" s="237"/>
      <c r="AB517" s="237"/>
      <c r="AC517" s="237"/>
      <c r="AD517" s="237"/>
      <c r="AE517" s="237"/>
      <c r="AF517" s="237"/>
      <c r="AG517" s="237"/>
      <c r="AH517" s="237"/>
      <c r="AI517" s="308"/>
      <c r="AJ517" s="308"/>
      <c r="AK517" s="308"/>
      <c r="AL517" s="308"/>
      <c r="AM517" s="98"/>
      <c r="AN517" s="98"/>
      <c r="AO517" s="98"/>
    </row>
    <row r="518" ht="14.25" customHeight="1">
      <c r="A518" s="98"/>
      <c r="B518" s="98"/>
      <c r="C518" s="98"/>
      <c r="D518" s="308"/>
      <c r="E518" s="98"/>
      <c r="F518" s="235"/>
      <c r="G518" s="235"/>
      <c r="H518" s="236"/>
      <c r="I518" s="236"/>
      <c r="J518" s="236"/>
      <c r="K518" s="236"/>
      <c r="L518" s="236"/>
      <c r="M518" s="236"/>
      <c r="N518" s="236"/>
      <c r="O518" s="236"/>
      <c r="P518" s="236"/>
      <c r="Q518" s="236"/>
      <c r="R518" s="236"/>
      <c r="S518" s="236"/>
      <c r="T518" s="236"/>
      <c r="U518" s="236"/>
      <c r="V518" s="236"/>
      <c r="W518" s="237"/>
      <c r="X518" s="237"/>
      <c r="Y518" s="237"/>
      <c r="Z518" s="237"/>
      <c r="AA518" s="237"/>
      <c r="AB518" s="237"/>
      <c r="AC518" s="237"/>
      <c r="AD518" s="237"/>
      <c r="AE518" s="237"/>
      <c r="AF518" s="237"/>
      <c r="AG518" s="237"/>
      <c r="AH518" s="237"/>
      <c r="AI518" s="308"/>
      <c r="AJ518" s="308"/>
      <c r="AK518" s="308"/>
      <c r="AL518" s="308"/>
      <c r="AM518" s="98"/>
      <c r="AN518" s="98"/>
      <c r="AO518" s="98"/>
    </row>
    <row r="519" ht="14.25" customHeight="1">
      <c r="A519" s="98"/>
      <c r="B519" s="98"/>
      <c r="C519" s="98"/>
      <c r="D519" s="308"/>
      <c r="E519" s="98"/>
      <c r="F519" s="235"/>
      <c r="G519" s="235"/>
      <c r="H519" s="236"/>
      <c r="I519" s="236"/>
      <c r="J519" s="236"/>
      <c r="K519" s="236"/>
      <c r="L519" s="236"/>
      <c r="M519" s="236"/>
      <c r="N519" s="236"/>
      <c r="O519" s="236"/>
      <c r="P519" s="236"/>
      <c r="Q519" s="236"/>
      <c r="R519" s="236"/>
      <c r="S519" s="236"/>
      <c r="T519" s="236"/>
      <c r="U519" s="236"/>
      <c r="V519" s="236"/>
      <c r="W519" s="237"/>
      <c r="X519" s="237"/>
      <c r="Y519" s="237"/>
      <c r="Z519" s="237"/>
      <c r="AA519" s="237"/>
      <c r="AB519" s="237"/>
      <c r="AC519" s="237"/>
      <c r="AD519" s="237"/>
      <c r="AE519" s="237"/>
      <c r="AF519" s="237"/>
      <c r="AG519" s="237"/>
      <c r="AH519" s="237"/>
      <c r="AI519" s="308"/>
      <c r="AJ519" s="308"/>
      <c r="AK519" s="308"/>
      <c r="AL519" s="308"/>
      <c r="AM519" s="98"/>
      <c r="AN519" s="98"/>
      <c r="AO519" s="98"/>
    </row>
    <row r="520" ht="14.25" customHeight="1">
      <c r="A520" s="98"/>
      <c r="B520" s="98"/>
      <c r="C520" s="98"/>
      <c r="D520" s="308"/>
      <c r="E520" s="98"/>
      <c r="F520" s="235"/>
      <c r="G520" s="235"/>
      <c r="H520" s="236"/>
      <c r="I520" s="236"/>
      <c r="J520" s="236"/>
      <c r="K520" s="236"/>
      <c r="L520" s="236"/>
      <c r="M520" s="236"/>
      <c r="N520" s="236"/>
      <c r="O520" s="236"/>
      <c r="P520" s="236"/>
      <c r="Q520" s="236"/>
      <c r="R520" s="236"/>
      <c r="S520" s="236"/>
      <c r="T520" s="236"/>
      <c r="U520" s="236"/>
      <c r="V520" s="236"/>
      <c r="W520" s="237"/>
      <c r="X520" s="237"/>
      <c r="Y520" s="237"/>
      <c r="Z520" s="237"/>
      <c r="AA520" s="237"/>
      <c r="AB520" s="237"/>
      <c r="AC520" s="237"/>
      <c r="AD520" s="237"/>
      <c r="AE520" s="237"/>
      <c r="AF520" s="237"/>
      <c r="AG520" s="237"/>
      <c r="AH520" s="237"/>
      <c r="AI520" s="308"/>
      <c r="AJ520" s="308"/>
      <c r="AK520" s="308"/>
      <c r="AL520" s="308"/>
      <c r="AM520" s="98"/>
      <c r="AN520" s="98"/>
      <c r="AO520" s="98"/>
    </row>
    <row r="521" ht="14.25" customHeight="1">
      <c r="A521" s="98"/>
      <c r="B521" s="98"/>
      <c r="C521" s="98"/>
      <c r="D521" s="308"/>
      <c r="E521" s="98"/>
      <c r="F521" s="235"/>
      <c r="G521" s="235"/>
      <c r="H521" s="236"/>
      <c r="I521" s="236"/>
      <c r="J521" s="236"/>
      <c r="K521" s="236"/>
      <c r="L521" s="236"/>
      <c r="M521" s="236"/>
      <c r="N521" s="236"/>
      <c r="O521" s="236"/>
      <c r="P521" s="236"/>
      <c r="Q521" s="236"/>
      <c r="R521" s="236"/>
      <c r="S521" s="236"/>
      <c r="T521" s="236"/>
      <c r="U521" s="236"/>
      <c r="V521" s="236"/>
      <c r="W521" s="237"/>
      <c r="X521" s="237"/>
      <c r="Y521" s="237"/>
      <c r="Z521" s="237"/>
      <c r="AA521" s="237"/>
      <c r="AB521" s="237"/>
      <c r="AC521" s="237"/>
      <c r="AD521" s="237"/>
      <c r="AE521" s="237"/>
      <c r="AF521" s="237"/>
      <c r="AG521" s="237"/>
      <c r="AH521" s="237"/>
      <c r="AI521" s="308"/>
      <c r="AJ521" s="308"/>
      <c r="AK521" s="308"/>
      <c r="AL521" s="308"/>
      <c r="AM521" s="98"/>
      <c r="AN521" s="98"/>
      <c r="AO521" s="98"/>
    </row>
    <row r="522" ht="14.25" customHeight="1">
      <c r="A522" s="98"/>
      <c r="B522" s="98"/>
      <c r="C522" s="98"/>
      <c r="D522" s="308"/>
      <c r="E522" s="98"/>
      <c r="F522" s="235"/>
      <c r="G522" s="235"/>
      <c r="H522" s="236"/>
      <c r="I522" s="236"/>
      <c r="J522" s="236"/>
      <c r="K522" s="236"/>
      <c r="L522" s="236"/>
      <c r="M522" s="236"/>
      <c r="N522" s="236"/>
      <c r="O522" s="236"/>
      <c r="P522" s="236"/>
      <c r="Q522" s="236"/>
      <c r="R522" s="236"/>
      <c r="S522" s="236"/>
      <c r="T522" s="236"/>
      <c r="U522" s="236"/>
      <c r="V522" s="236"/>
      <c r="W522" s="237"/>
      <c r="X522" s="237"/>
      <c r="Y522" s="237"/>
      <c r="Z522" s="237"/>
      <c r="AA522" s="237"/>
      <c r="AB522" s="237"/>
      <c r="AC522" s="237"/>
      <c r="AD522" s="237"/>
      <c r="AE522" s="237"/>
      <c r="AF522" s="237"/>
      <c r="AG522" s="237"/>
      <c r="AH522" s="237"/>
      <c r="AI522" s="308"/>
      <c r="AJ522" s="308"/>
      <c r="AK522" s="308"/>
      <c r="AL522" s="308"/>
      <c r="AM522" s="98"/>
      <c r="AN522" s="98"/>
      <c r="AO522" s="98"/>
    </row>
    <row r="523" ht="14.25" customHeight="1">
      <c r="A523" s="98"/>
      <c r="B523" s="98"/>
      <c r="C523" s="98"/>
      <c r="D523" s="308"/>
      <c r="E523" s="98"/>
      <c r="F523" s="235"/>
      <c r="G523" s="235"/>
      <c r="H523" s="236"/>
      <c r="I523" s="236"/>
      <c r="J523" s="236"/>
      <c r="K523" s="236"/>
      <c r="L523" s="236"/>
      <c r="M523" s="236"/>
      <c r="N523" s="236"/>
      <c r="O523" s="236"/>
      <c r="P523" s="236"/>
      <c r="Q523" s="236"/>
      <c r="R523" s="236"/>
      <c r="S523" s="236"/>
      <c r="T523" s="236"/>
      <c r="U523" s="236"/>
      <c r="V523" s="236"/>
      <c r="W523" s="237"/>
      <c r="X523" s="237"/>
      <c r="Y523" s="237"/>
      <c r="Z523" s="237"/>
      <c r="AA523" s="237"/>
      <c r="AB523" s="237"/>
      <c r="AC523" s="237"/>
      <c r="AD523" s="237"/>
      <c r="AE523" s="237"/>
      <c r="AF523" s="237"/>
      <c r="AG523" s="237"/>
      <c r="AH523" s="237"/>
      <c r="AI523" s="308"/>
      <c r="AJ523" s="308"/>
      <c r="AK523" s="308"/>
      <c r="AL523" s="308"/>
      <c r="AM523" s="98"/>
      <c r="AN523" s="98"/>
      <c r="AO523" s="98"/>
    </row>
    <row r="524" ht="14.25" customHeight="1">
      <c r="A524" s="98"/>
      <c r="B524" s="98"/>
      <c r="C524" s="98"/>
      <c r="D524" s="308"/>
      <c r="E524" s="98"/>
      <c r="F524" s="235"/>
      <c r="G524" s="235"/>
      <c r="H524" s="236"/>
      <c r="I524" s="236"/>
      <c r="J524" s="236"/>
      <c r="K524" s="236"/>
      <c r="L524" s="236"/>
      <c r="M524" s="236"/>
      <c r="N524" s="236"/>
      <c r="O524" s="236"/>
      <c r="P524" s="236"/>
      <c r="Q524" s="236"/>
      <c r="R524" s="236"/>
      <c r="S524" s="236"/>
      <c r="T524" s="236"/>
      <c r="U524" s="236"/>
      <c r="V524" s="236"/>
      <c r="W524" s="237"/>
      <c r="X524" s="237"/>
      <c r="Y524" s="237"/>
      <c r="Z524" s="237"/>
      <c r="AA524" s="237"/>
      <c r="AB524" s="237"/>
      <c r="AC524" s="237"/>
      <c r="AD524" s="237"/>
      <c r="AE524" s="237"/>
      <c r="AF524" s="237"/>
      <c r="AG524" s="237"/>
      <c r="AH524" s="237"/>
      <c r="AI524" s="308"/>
      <c r="AJ524" s="308"/>
      <c r="AK524" s="308"/>
      <c r="AL524" s="308"/>
      <c r="AM524" s="98"/>
      <c r="AN524" s="98"/>
      <c r="AO524" s="98"/>
    </row>
    <row r="525" ht="14.25" customHeight="1">
      <c r="A525" s="98"/>
      <c r="B525" s="98"/>
      <c r="C525" s="98"/>
      <c r="D525" s="308"/>
      <c r="E525" s="98"/>
      <c r="F525" s="235"/>
      <c r="G525" s="235"/>
      <c r="H525" s="236"/>
      <c r="I525" s="236"/>
      <c r="J525" s="236"/>
      <c r="K525" s="236"/>
      <c r="L525" s="236"/>
      <c r="M525" s="236"/>
      <c r="N525" s="236"/>
      <c r="O525" s="236"/>
      <c r="P525" s="236"/>
      <c r="Q525" s="236"/>
      <c r="R525" s="236"/>
      <c r="S525" s="236"/>
      <c r="T525" s="236"/>
      <c r="U525" s="236"/>
      <c r="V525" s="236"/>
      <c r="W525" s="237"/>
      <c r="X525" s="237"/>
      <c r="Y525" s="237"/>
      <c r="Z525" s="237"/>
      <c r="AA525" s="237"/>
      <c r="AB525" s="237"/>
      <c r="AC525" s="237"/>
      <c r="AD525" s="237"/>
      <c r="AE525" s="237"/>
      <c r="AF525" s="237"/>
      <c r="AG525" s="237"/>
      <c r="AH525" s="237"/>
      <c r="AI525" s="308"/>
      <c r="AJ525" s="308"/>
      <c r="AK525" s="308"/>
      <c r="AL525" s="308"/>
      <c r="AM525" s="98"/>
      <c r="AN525" s="98"/>
      <c r="AO525" s="98"/>
    </row>
    <row r="526" ht="14.25" customHeight="1">
      <c r="A526" s="98"/>
      <c r="B526" s="98"/>
      <c r="C526" s="98"/>
      <c r="D526" s="308"/>
      <c r="E526" s="98"/>
      <c r="F526" s="235"/>
      <c r="G526" s="235"/>
      <c r="H526" s="236"/>
      <c r="I526" s="236"/>
      <c r="J526" s="236"/>
      <c r="K526" s="236"/>
      <c r="L526" s="236"/>
      <c r="M526" s="236"/>
      <c r="N526" s="236"/>
      <c r="O526" s="236"/>
      <c r="P526" s="236"/>
      <c r="Q526" s="236"/>
      <c r="R526" s="236"/>
      <c r="S526" s="236"/>
      <c r="T526" s="236"/>
      <c r="U526" s="236"/>
      <c r="V526" s="236"/>
      <c r="W526" s="237"/>
      <c r="X526" s="237"/>
      <c r="Y526" s="237"/>
      <c r="Z526" s="237"/>
      <c r="AA526" s="237"/>
      <c r="AB526" s="237"/>
      <c r="AC526" s="237"/>
      <c r="AD526" s="237"/>
      <c r="AE526" s="237"/>
      <c r="AF526" s="237"/>
      <c r="AG526" s="237"/>
      <c r="AH526" s="237"/>
      <c r="AI526" s="308"/>
      <c r="AJ526" s="308"/>
      <c r="AK526" s="308"/>
      <c r="AL526" s="308"/>
      <c r="AM526" s="98"/>
      <c r="AN526" s="98"/>
      <c r="AO526" s="98"/>
    </row>
    <row r="527" ht="14.25" customHeight="1">
      <c r="A527" s="98"/>
      <c r="B527" s="98"/>
      <c r="C527" s="98"/>
      <c r="D527" s="308"/>
      <c r="E527" s="98"/>
      <c r="F527" s="235"/>
      <c r="G527" s="235"/>
      <c r="H527" s="236"/>
      <c r="I527" s="236"/>
      <c r="J527" s="236"/>
      <c r="K527" s="236"/>
      <c r="L527" s="236"/>
      <c r="M527" s="236"/>
      <c r="N527" s="236"/>
      <c r="O527" s="236"/>
      <c r="P527" s="236"/>
      <c r="Q527" s="236"/>
      <c r="R527" s="236"/>
      <c r="S527" s="236"/>
      <c r="T527" s="236"/>
      <c r="U527" s="236"/>
      <c r="V527" s="236"/>
      <c r="W527" s="237"/>
      <c r="X527" s="237"/>
      <c r="Y527" s="237"/>
      <c r="Z527" s="237"/>
      <c r="AA527" s="237"/>
      <c r="AB527" s="237"/>
      <c r="AC527" s="237"/>
      <c r="AD527" s="237"/>
      <c r="AE527" s="237"/>
      <c r="AF527" s="237"/>
      <c r="AG527" s="237"/>
      <c r="AH527" s="237"/>
      <c r="AI527" s="308"/>
      <c r="AJ527" s="308"/>
      <c r="AK527" s="308"/>
      <c r="AL527" s="308"/>
      <c r="AM527" s="98"/>
      <c r="AN527" s="98"/>
      <c r="AO527" s="98"/>
    </row>
    <row r="528" ht="14.25" customHeight="1">
      <c r="A528" s="98"/>
      <c r="B528" s="98"/>
      <c r="C528" s="98"/>
      <c r="D528" s="308"/>
      <c r="E528" s="98"/>
      <c r="F528" s="235"/>
      <c r="G528" s="235"/>
      <c r="H528" s="236"/>
      <c r="I528" s="236"/>
      <c r="J528" s="236"/>
      <c r="K528" s="236"/>
      <c r="L528" s="236"/>
      <c r="M528" s="236"/>
      <c r="N528" s="236"/>
      <c r="O528" s="236"/>
      <c r="P528" s="236"/>
      <c r="Q528" s="236"/>
      <c r="R528" s="236"/>
      <c r="S528" s="236"/>
      <c r="T528" s="236"/>
      <c r="U528" s="236"/>
      <c r="V528" s="236"/>
      <c r="W528" s="237"/>
      <c r="X528" s="237"/>
      <c r="Y528" s="237"/>
      <c r="Z528" s="237"/>
      <c r="AA528" s="237"/>
      <c r="AB528" s="237"/>
      <c r="AC528" s="237"/>
      <c r="AD528" s="237"/>
      <c r="AE528" s="237"/>
      <c r="AF528" s="237"/>
      <c r="AG528" s="237"/>
      <c r="AH528" s="237"/>
      <c r="AI528" s="308"/>
      <c r="AJ528" s="308"/>
      <c r="AK528" s="308"/>
      <c r="AL528" s="308"/>
      <c r="AM528" s="98"/>
      <c r="AN528" s="98"/>
      <c r="AO528" s="98"/>
    </row>
    <row r="529" ht="14.25" customHeight="1">
      <c r="A529" s="98"/>
      <c r="B529" s="98"/>
      <c r="C529" s="98"/>
      <c r="D529" s="308"/>
      <c r="E529" s="98"/>
      <c r="F529" s="235"/>
      <c r="G529" s="235"/>
      <c r="H529" s="236"/>
      <c r="I529" s="236"/>
      <c r="J529" s="236"/>
      <c r="K529" s="236"/>
      <c r="L529" s="236"/>
      <c r="M529" s="236"/>
      <c r="N529" s="236"/>
      <c r="O529" s="236"/>
      <c r="P529" s="236"/>
      <c r="Q529" s="236"/>
      <c r="R529" s="236"/>
      <c r="S529" s="236"/>
      <c r="T529" s="236"/>
      <c r="U529" s="236"/>
      <c r="V529" s="236"/>
      <c r="W529" s="237"/>
      <c r="X529" s="237"/>
      <c r="Y529" s="237"/>
      <c r="Z529" s="237"/>
      <c r="AA529" s="237"/>
      <c r="AB529" s="237"/>
      <c r="AC529" s="237"/>
      <c r="AD529" s="237"/>
      <c r="AE529" s="237"/>
      <c r="AF529" s="237"/>
      <c r="AG529" s="237"/>
      <c r="AH529" s="237"/>
      <c r="AI529" s="308"/>
      <c r="AJ529" s="308"/>
      <c r="AK529" s="308"/>
      <c r="AL529" s="308"/>
      <c r="AM529" s="98"/>
      <c r="AN529" s="98"/>
      <c r="AO529" s="98"/>
    </row>
    <row r="530" ht="14.25" customHeight="1">
      <c r="A530" s="98"/>
      <c r="B530" s="98"/>
      <c r="C530" s="98"/>
      <c r="D530" s="308"/>
      <c r="E530" s="98"/>
      <c r="F530" s="235"/>
      <c r="G530" s="235"/>
      <c r="H530" s="236"/>
      <c r="I530" s="236"/>
      <c r="J530" s="236"/>
      <c r="K530" s="236"/>
      <c r="L530" s="236"/>
      <c r="M530" s="236"/>
      <c r="N530" s="236"/>
      <c r="O530" s="236"/>
      <c r="P530" s="236"/>
      <c r="Q530" s="236"/>
      <c r="R530" s="236"/>
      <c r="S530" s="236"/>
      <c r="T530" s="236"/>
      <c r="U530" s="236"/>
      <c r="V530" s="236"/>
      <c r="W530" s="237"/>
      <c r="X530" s="237"/>
      <c r="Y530" s="237"/>
      <c r="Z530" s="237"/>
      <c r="AA530" s="237"/>
      <c r="AB530" s="237"/>
      <c r="AC530" s="237"/>
      <c r="AD530" s="237"/>
      <c r="AE530" s="237"/>
      <c r="AF530" s="237"/>
      <c r="AG530" s="237"/>
      <c r="AH530" s="237"/>
      <c r="AI530" s="308"/>
      <c r="AJ530" s="308"/>
      <c r="AK530" s="308"/>
      <c r="AL530" s="308"/>
      <c r="AM530" s="98"/>
      <c r="AN530" s="98"/>
      <c r="AO530" s="98"/>
    </row>
    <row r="531" ht="14.25" customHeight="1">
      <c r="A531" s="98"/>
      <c r="B531" s="98"/>
      <c r="C531" s="98"/>
      <c r="D531" s="308"/>
      <c r="E531" s="98"/>
      <c r="F531" s="235"/>
      <c r="G531" s="235"/>
      <c r="H531" s="236"/>
      <c r="I531" s="236"/>
      <c r="J531" s="236"/>
      <c r="K531" s="236"/>
      <c r="L531" s="236"/>
      <c r="M531" s="236"/>
      <c r="N531" s="236"/>
      <c r="O531" s="236"/>
      <c r="P531" s="236"/>
      <c r="Q531" s="236"/>
      <c r="R531" s="236"/>
      <c r="S531" s="236"/>
      <c r="T531" s="236"/>
      <c r="U531" s="236"/>
      <c r="V531" s="236"/>
      <c r="W531" s="237"/>
      <c r="X531" s="237"/>
      <c r="Y531" s="237"/>
      <c r="Z531" s="237"/>
      <c r="AA531" s="237"/>
      <c r="AB531" s="237"/>
      <c r="AC531" s="237"/>
      <c r="AD531" s="237"/>
      <c r="AE531" s="237"/>
      <c r="AF531" s="237"/>
      <c r="AG531" s="237"/>
      <c r="AH531" s="237"/>
      <c r="AI531" s="308"/>
      <c r="AJ531" s="308"/>
      <c r="AK531" s="308"/>
      <c r="AL531" s="308"/>
      <c r="AM531" s="98"/>
      <c r="AN531" s="98"/>
      <c r="AO531" s="98"/>
    </row>
    <row r="532" ht="14.25" customHeight="1">
      <c r="A532" s="98"/>
      <c r="B532" s="98"/>
      <c r="C532" s="98"/>
      <c r="D532" s="308"/>
      <c r="E532" s="98"/>
      <c r="F532" s="235"/>
      <c r="G532" s="235"/>
      <c r="H532" s="236"/>
      <c r="I532" s="236"/>
      <c r="J532" s="236"/>
      <c r="K532" s="236"/>
      <c r="L532" s="236"/>
      <c r="M532" s="236"/>
      <c r="N532" s="236"/>
      <c r="O532" s="236"/>
      <c r="P532" s="236"/>
      <c r="Q532" s="236"/>
      <c r="R532" s="236"/>
      <c r="S532" s="236"/>
      <c r="T532" s="236"/>
      <c r="U532" s="236"/>
      <c r="V532" s="236"/>
      <c r="W532" s="237"/>
      <c r="X532" s="237"/>
      <c r="Y532" s="237"/>
      <c r="Z532" s="237"/>
      <c r="AA532" s="237"/>
      <c r="AB532" s="237"/>
      <c r="AC532" s="237"/>
      <c r="AD532" s="237"/>
      <c r="AE532" s="237"/>
      <c r="AF532" s="237"/>
      <c r="AG532" s="237"/>
      <c r="AH532" s="237"/>
      <c r="AI532" s="308"/>
      <c r="AJ532" s="308"/>
      <c r="AK532" s="308"/>
      <c r="AL532" s="308"/>
      <c r="AM532" s="98"/>
      <c r="AN532" s="98"/>
      <c r="AO532" s="98"/>
    </row>
    <row r="533" ht="14.25" customHeight="1">
      <c r="A533" s="98"/>
      <c r="B533" s="98"/>
      <c r="C533" s="98"/>
      <c r="D533" s="308"/>
      <c r="E533" s="98"/>
      <c r="F533" s="235"/>
      <c r="G533" s="235"/>
      <c r="H533" s="236"/>
      <c r="I533" s="236"/>
      <c r="J533" s="236"/>
      <c r="K533" s="236"/>
      <c r="L533" s="236"/>
      <c r="M533" s="236"/>
      <c r="N533" s="236"/>
      <c r="O533" s="236"/>
      <c r="P533" s="236"/>
      <c r="Q533" s="236"/>
      <c r="R533" s="236"/>
      <c r="S533" s="236"/>
      <c r="T533" s="236"/>
      <c r="U533" s="236"/>
      <c r="V533" s="236"/>
      <c r="W533" s="237"/>
      <c r="X533" s="237"/>
      <c r="Y533" s="237"/>
      <c r="Z533" s="237"/>
      <c r="AA533" s="237"/>
      <c r="AB533" s="237"/>
      <c r="AC533" s="237"/>
      <c r="AD533" s="237"/>
      <c r="AE533" s="237"/>
      <c r="AF533" s="237"/>
      <c r="AG533" s="237"/>
      <c r="AH533" s="237"/>
      <c r="AI533" s="308"/>
      <c r="AJ533" s="308"/>
      <c r="AK533" s="308"/>
      <c r="AL533" s="308"/>
      <c r="AM533" s="98"/>
      <c r="AN533" s="98"/>
      <c r="AO533" s="98"/>
    </row>
    <row r="534" ht="14.25" customHeight="1">
      <c r="A534" s="98"/>
      <c r="B534" s="98"/>
      <c r="C534" s="98"/>
      <c r="D534" s="308"/>
      <c r="E534" s="98"/>
      <c r="F534" s="235"/>
      <c r="G534" s="235"/>
      <c r="H534" s="236"/>
      <c r="I534" s="236"/>
      <c r="J534" s="236"/>
      <c r="K534" s="236"/>
      <c r="L534" s="236"/>
      <c r="M534" s="236"/>
      <c r="N534" s="236"/>
      <c r="O534" s="236"/>
      <c r="P534" s="236"/>
      <c r="Q534" s="236"/>
      <c r="R534" s="236"/>
      <c r="S534" s="236"/>
      <c r="T534" s="236"/>
      <c r="U534" s="236"/>
      <c r="V534" s="236"/>
      <c r="W534" s="237"/>
      <c r="X534" s="237"/>
      <c r="Y534" s="237"/>
      <c r="Z534" s="237"/>
      <c r="AA534" s="237"/>
      <c r="AB534" s="237"/>
      <c r="AC534" s="237"/>
      <c r="AD534" s="237"/>
      <c r="AE534" s="237"/>
      <c r="AF534" s="237"/>
      <c r="AG534" s="237"/>
      <c r="AH534" s="237"/>
      <c r="AI534" s="308"/>
      <c r="AJ534" s="308"/>
      <c r="AK534" s="308"/>
      <c r="AL534" s="308"/>
      <c r="AM534" s="98"/>
      <c r="AN534" s="98"/>
      <c r="AO534" s="98"/>
    </row>
    <row r="535" ht="14.25" customHeight="1">
      <c r="A535" s="98"/>
      <c r="B535" s="98"/>
      <c r="C535" s="98"/>
      <c r="D535" s="308"/>
      <c r="E535" s="98"/>
      <c r="F535" s="235"/>
      <c r="G535" s="235"/>
      <c r="H535" s="236"/>
      <c r="I535" s="236"/>
      <c r="J535" s="236"/>
      <c r="K535" s="236"/>
      <c r="L535" s="236"/>
      <c r="M535" s="236"/>
      <c r="N535" s="236"/>
      <c r="O535" s="236"/>
      <c r="P535" s="236"/>
      <c r="Q535" s="236"/>
      <c r="R535" s="236"/>
      <c r="S535" s="236"/>
      <c r="T535" s="236"/>
      <c r="U535" s="236"/>
      <c r="V535" s="236"/>
      <c r="W535" s="237"/>
      <c r="X535" s="237"/>
      <c r="Y535" s="237"/>
      <c r="Z535" s="237"/>
      <c r="AA535" s="237"/>
      <c r="AB535" s="237"/>
      <c r="AC535" s="237"/>
      <c r="AD535" s="237"/>
      <c r="AE535" s="237"/>
      <c r="AF535" s="237"/>
      <c r="AG535" s="237"/>
      <c r="AH535" s="237"/>
      <c r="AI535" s="308"/>
      <c r="AJ535" s="308"/>
      <c r="AK535" s="308"/>
      <c r="AL535" s="308"/>
      <c r="AM535" s="98"/>
      <c r="AN535" s="98"/>
      <c r="AO535" s="98"/>
    </row>
    <row r="536" ht="14.25" customHeight="1">
      <c r="A536" s="98"/>
      <c r="B536" s="98"/>
      <c r="C536" s="98"/>
      <c r="D536" s="308"/>
      <c r="E536" s="98"/>
      <c r="F536" s="235"/>
      <c r="G536" s="235"/>
      <c r="H536" s="236"/>
      <c r="I536" s="236"/>
      <c r="J536" s="236"/>
      <c r="K536" s="236"/>
      <c r="L536" s="236"/>
      <c r="M536" s="236"/>
      <c r="N536" s="236"/>
      <c r="O536" s="236"/>
      <c r="P536" s="236"/>
      <c r="Q536" s="236"/>
      <c r="R536" s="236"/>
      <c r="S536" s="236"/>
      <c r="T536" s="236"/>
      <c r="U536" s="236"/>
      <c r="V536" s="236"/>
      <c r="W536" s="237"/>
      <c r="X536" s="237"/>
      <c r="Y536" s="237"/>
      <c r="Z536" s="237"/>
      <c r="AA536" s="237"/>
      <c r="AB536" s="237"/>
      <c r="AC536" s="237"/>
      <c r="AD536" s="237"/>
      <c r="AE536" s="237"/>
      <c r="AF536" s="237"/>
      <c r="AG536" s="237"/>
      <c r="AH536" s="237"/>
      <c r="AI536" s="308"/>
      <c r="AJ536" s="308"/>
      <c r="AK536" s="308"/>
      <c r="AL536" s="308"/>
      <c r="AM536" s="98"/>
      <c r="AN536" s="98"/>
      <c r="AO536" s="98"/>
    </row>
    <row r="537" ht="14.25" customHeight="1">
      <c r="A537" s="98"/>
      <c r="B537" s="98"/>
      <c r="C537" s="98"/>
      <c r="D537" s="308"/>
      <c r="E537" s="98"/>
      <c r="F537" s="235"/>
      <c r="G537" s="235"/>
      <c r="H537" s="236"/>
      <c r="I537" s="236"/>
      <c r="J537" s="236"/>
      <c r="K537" s="236"/>
      <c r="L537" s="236"/>
      <c r="M537" s="236"/>
      <c r="N537" s="236"/>
      <c r="O537" s="236"/>
      <c r="P537" s="236"/>
      <c r="Q537" s="236"/>
      <c r="R537" s="236"/>
      <c r="S537" s="236"/>
      <c r="T537" s="236"/>
      <c r="U537" s="236"/>
      <c r="V537" s="236"/>
      <c r="W537" s="237"/>
      <c r="X537" s="237"/>
      <c r="Y537" s="237"/>
      <c r="Z537" s="237"/>
      <c r="AA537" s="237"/>
      <c r="AB537" s="237"/>
      <c r="AC537" s="237"/>
      <c r="AD537" s="237"/>
      <c r="AE537" s="237"/>
      <c r="AF537" s="237"/>
      <c r="AG537" s="237"/>
      <c r="AH537" s="237"/>
      <c r="AI537" s="308"/>
      <c r="AJ537" s="308"/>
      <c r="AK537" s="308"/>
      <c r="AL537" s="308"/>
      <c r="AM537" s="98"/>
      <c r="AN537" s="98"/>
      <c r="AO537" s="98"/>
    </row>
    <row r="538" ht="14.25" customHeight="1">
      <c r="A538" s="98"/>
      <c r="B538" s="98"/>
      <c r="C538" s="98"/>
      <c r="D538" s="308"/>
      <c r="E538" s="98"/>
      <c r="F538" s="235"/>
      <c r="G538" s="235"/>
      <c r="H538" s="236"/>
      <c r="I538" s="236"/>
      <c r="J538" s="236"/>
      <c r="K538" s="236"/>
      <c r="L538" s="236"/>
      <c r="M538" s="236"/>
      <c r="N538" s="236"/>
      <c r="O538" s="236"/>
      <c r="P538" s="236"/>
      <c r="Q538" s="236"/>
      <c r="R538" s="236"/>
      <c r="S538" s="236"/>
      <c r="T538" s="236"/>
      <c r="U538" s="236"/>
      <c r="V538" s="236"/>
      <c r="W538" s="237"/>
      <c r="X538" s="237"/>
      <c r="Y538" s="237"/>
      <c r="Z538" s="237"/>
      <c r="AA538" s="237"/>
      <c r="AB538" s="237"/>
      <c r="AC538" s="237"/>
      <c r="AD538" s="237"/>
      <c r="AE538" s="237"/>
      <c r="AF538" s="237"/>
      <c r="AG538" s="237"/>
      <c r="AH538" s="237"/>
      <c r="AI538" s="308"/>
      <c r="AJ538" s="308"/>
      <c r="AK538" s="308"/>
      <c r="AL538" s="308"/>
      <c r="AM538" s="98"/>
      <c r="AN538" s="98"/>
      <c r="AO538" s="98"/>
    </row>
    <row r="539" ht="14.25" customHeight="1">
      <c r="A539" s="98"/>
      <c r="B539" s="98"/>
      <c r="C539" s="98"/>
      <c r="D539" s="308"/>
      <c r="E539" s="98"/>
      <c r="F539" s="235"/>
      <c r="G539" s="235"/>
      <c r="H539" s="236"/>
      <c r="I539" s="236"/>
      <c r="J539" s="236"/>
      <c r="K539" s="236"/>
      <c r="L539" s="236"/>
      <c r="M539" s="236"/>
      <c r="N539" s="236"/>
      <c r="O539" s="236"/>
      <c r="P539" s="236"/>
      <c r="Q539" s="236"/>
      <c r="R539" s="236"/>
      <c r="S539" s="236"/>
      <c r="T539" s="236"/>
      <c r="U539" s="236"/>
      <c r="V539" s="236"/>
      <c r="W539" s="237"/>
      <c r="X539" s="237"/>
      <c r="Y539" s="237"/>
      <c r="Z539" s="237"/>
      <c r="AA539" s="237"/>
      <c r="AB539" s="237"/>
      <c r="AC539" s="237"/>
      <c r="AD539" s="237"/>
      <c r="AE539" s="237"/>
      <c r="AF539" s="237"/>
      <c r="AG539" s="237"/>
      <c r="AH539" s="237"/>
      <c r="AI539" s="308"/>
      <c r="AJ539" s="308"/>
      <c r="AK539" s="308"/>
      <c r="AL539" s="308"/>
      <c r="AM539" s="98"/>
      <c r="AN539" s="98"/>
      <c r="AO539" s="98"/>
    </row>
    <row r="540" ht="14.25" customHeight="1">
      <c r="A540" s="98"/>
      <c r="B540" s="98"/>
      <c r="C540" s="98"/>
      <c r="D540" s="308"/>
      <c r="E540" s="98"/>
      <c r="F540" s="235"/>
      <c r="G540" s="235"/>
      <c r="H540" s="236"/>
      <c r="I540" s="236"/>
      <c r="J540" s="236"/>
      <c r="K540" s="236"/>
      <c r="L540" s="236"/>
      <c r="M540" s="236"/>
      <c r="N540" s="236"/>
      <c r="O540" s="236"/>
      <c r="P540" s="236"/>
      <c r="Q540" s="236"/>
      <c r="R540" s="236"/>
      <c r="S540" s="236"/>
      <c r="T540" s="236"/>
      <c r="U540" s="236"/>
      <c r="V540" s="236"/>
      <c r="W540" s="237"/>
      <c r="X540" s="237"/>
      <c r="Y540" s="237"/>
      <c r="Z540" s="237"/>
      <c r="AA540" s="237"/>
      <c r="AB540" s="237"/>
      <c r="AC540" s="237"/>
      <c r="AD540" s="237"/>
      <c r="AE540" s="237"/>
      <c r="AF540" s="237"/>
      <c r="AG540" s="237"/>
      <c r="AH540" s="237"/>
      <c r="AI540" s="308"/>
      <c r="AJ540" s="308"/>
      <c r="AK540" s="308"/>
      <c r="AL540" s="308"/>
      <c r="AM540" s="98"/>
      <c r="AN540" s="98"/>
      <c r="AO540" s="98"/>
    </row>
    <row r="541" ht="14.25" customHeight="1">
      <c r="A541" s="98"/>
      <c r="B541" s="98"/>
      <c r="C541" s="98"/>
      <c r="D541" s="308"/>
      <c r="E541" s="98"/>
      <c r="F541" s="235"/>
      <c r="G541" s="235"/>
      <c r="H541" s="236"/>
      <c r="I541" s="236"/>
      <c r="J541" s="236"/>
      <c r="K541" s="236"/>
      <c r="L541" s="236"/>
      <c r="M541" s="236"/>
      <c r="N541" s="236"/>
      <c r="O541" s="236"/>
      <c r="P541" s="236"/>
      <c r="Q541" s="236"/>
      <c r="R541" s="236"/>
      <c r="S541" s="236"/>
      <c r="T541" s="236"/>
      <c r="U541" s="236"/>
      <c r="V541" s="236"/>
      <c r="W541" s="237"/>
      <c r="X541" s="237"/>
      <c r="Y541" s="237"/>
      <c r="Z541" s="237"/>
      <c r="AA541" s="237"/>
      <c r="AB541" s="237"/>
      <c r="AC541" s="237"/>
      <c r="AD541" s="237"/>
      <c r="AE541" s="237"/>
      <c r="AF541" s="237"/>
      <c r="AG541" s="237"/>
      <c r="AH541" s="237"/>
      <c r="AI541" s="308"/>
      <c r="AJ541" s="308"/>
      <c r="AK541" s="308"/>
      <c r="AL541" s="308"/>
      <c r="AM541" s="98"/>
      <c r="AN541" s="98"/>
      <c r="AO541" s="98"/>
    </row>
    <row r="542" ht="14.25" customHeight="1">
      <c r="A542" s="98"/>
      <c r="B542" s="98"/>
      <c r="C542" s="98"/>
      <c r="D542" s="308"/>
      <c r="E542" s="98"/>
      <c r="F542" s="235"/>
      <c r="G542" s="235"/>
      <c r="H542" s="236"/>
      <c r="I542" s="236"/>
      <c r="J542" s="236"/>
      <c r="K542" s="236"/>
      <c r="L542" s="236"/>
      <c r="M542" s="236"/>
      <c r="N542" s="236"/>
      <c r="O542" s="236"/>
      <c r="P542" s="236"/>
      <c r="Q542" s="236"/>
      <c r="R542" s="236"/>
      <c r="S542" s="236"/>
      <c r="T542" s="236"/>
      <c r="U542" s="236"/>
      <c r="V542" s="236"/>
      <c r="W542" s="237"/>
      <c r="X542" s="237"/>
      <c r="Y542" s="237"/>
      <c r="Z542" s="237"/>
      <c r="AA542" s="237"/>
      <c r="AB542" s="237"/>
      <c r="AC542" s="237"/>
      <c r="AD542" s="237"/>
      <c r="AE542" s="237"/>
      <c r="AF542" s="237"/>
      <c r="AG542" s="237"/>
      <c r="AH542" s="237"/>
      <c r="AI542" s="308"/>
      <c r="AJ542" s="308"/>
      <c r="AK542" s="308"/>
      <c r="AL542" s="308"/>
      <c r="AM542" s="98"/>
      <c r="AN542" s="98"/>
      <c r="AO542" s="98"/>
    </row>
    <row r="543" ht="14.25" customHeight="1">
      <c r="A543" s="98"/>
      <c r="B543" s="98"/>
      <c r="C543" s="98"/>
      <c r="D543" s="308"/>
      <c r="E543" s="98"/>
      <c r="F543" s="235"/>
      <c r="G543" s="235"/>
      <c r="H543" s="236"/>
      <c r="I543" s="236"/>
      <c r="J543" s="236"/>
      <c r="K543" s="236"/>
      <c r="L543" s="236"/>
      <c r="M543" s="236"/>
      <c r="N543" s="236"/>
      <c r="O543" s="236"/>
      <c r="P543" s="236"/>
      <c r="Q543" s="236"/>
      <c r="R543" s="236"/>
      <c r="S543" s="236"/>
      <c r="T543" s="236"/>
      <c r="U543" s="236"/>
      <c r="V543" s="236"/>
      <c r="W543" s="237"/>
      <c r="X543" s="237"/>
      <c r="Y543" s="237"/>
      <c r="Z543" s="237"/>
      <c r="AA543" s="237"/>
      <c r="AB543" s="237"/>
      <c r="AC543" s="237"/>
      <c r="AD543" s="237"/>
      <c r="AE543" s="237"/>
      <c r="AF543" s="237"/>
      <c r="AG543" s="237"/>
      <c r="AH543" s="237"/>
      <c r="AI543" s="308"/>
      <c r="AJ543" s="308"/>
      <c r="AK543" s="308"/>
      <c r="AL543" s="308"/>
      <c r="AM543" s="98"/>
      <c r="AN543" s="98"/>
      <c r="AO543" s="98"/>
    </row>
    <row r="544" ht="14.25" customHeight="1">
      <c r="A544" s="98"/>
      <c r="B544" s="98"/>
      <c r="C544" s="98"/>
      <c r="D544" s="308"/>
      <c r="E544" s="98"/>
      <c r="F544" s="235"/>
      <c r="G544" s="235"/>
      <c r="H544" s="236"/>
      <c r="I544" s="236"/>
      <c r="J544" s="236"/>
      <c r="K544" s="236"/>
      <c r="L544" s="236"/>
      <c r="M544" s="236"/>
      <c r="N544" s="236"/>
      <c r="O544" s="236"/>
      <c r="P544" s="236"/>
      <c r="Q544" s="236"/>
      <c r="R544" s="236"/>
      <c r="S544" s="236"/>
      <c r="T544" s="236"/>
      <c r="U544" s="236"/>
      <c r="V544" s="236"/>
      <c r="W544" s="237"/>
      <c r="X544" s="237"/>
      <c r="Y544" s="237"/>
      <c r="Z544" s="237"/>
      <c r="AA544" s="237"/>
      <c r="AB544" s="237"/>
      <c r="AC544" s="237"/>
      <c r="AD544" s="237"/>
      <c r="AE544" s="237"/>
      <c r="AF544" s="237"/>
      <c r="AG544" s="237"/>
      <c r="AH544" s="237"/>
      <c r="AI544" s="308"/>
      <c r="AJ544" s="308"/>
      <c r="AK544" s="308"/>
      <c r="AL544" s="308"/>
      <c r="AM544" s="98"/>
      <c r="AN544" s="98"/>
      <c r="AO544" s="98"/>
    </row>
    <row r="545" ht="14.25" customHeight="1">
      <c r="A545" s="98"/>
      <c r="B545" s="98"/>
      <c r="C545" s="98"/>
      <c r="D545" s="308"/>
      <c r="E545" s="98"/>
      <c r="F545" s="235"/>
      <c r="G545" s="235"/>
      <c r="H545" s="236"/>
      <c r="I545" s="236"/>
      <c r="J545" s="236"/>
      <c r="K545" s="236"/>
      <c r="L545" s="236"/>
      <c r="M545" s="236"/>
      <c r="N545" s="236"/>
      <c r="O545" s="236"/>
      <c r="P545" s="236"/>
      <c r="Q545" s="236"/>
      <c r="R545" s="236"/>
      <c r="S545" s="236"/>
      <c r="T545" s="236"/>
      <c r="U545" s="236"/>
      <c r="V545" s="236"/>
      <c r="W545" s="237"/>
      <c r="X545" s="237"/>
      <c r="Y545" s="237"/>
      <c r="Z545" s="237"/>
      <c r="AA545" s="237"/>
      <c r="AB545" s="237"/>
      <c r="AC545" s="237"/>
      <c r="AD545" s="237"/>
      <c r="AE545" s="237"/>
      <c r="AF545" s="237"/>
      <c r="AG545" s="237"/>
      <c r="AH545" s="237"/>
      <c r="AI545" s="308"/>
      <c r="AJ545" s="308"/>
      <c r="AK545" s="308"/>
      <c r="AL545" s="308"/>
      <c r="AM545" s="98"/>
      <c r="AN545" s="98"/>
      <c r="AO545" s="98"/>
    </row>
    <row r="546" ht="14.25" customHeight="1">
      <c r="A546" s="98"/>
      <c r="B546" s="98"/>
      <c r="C546" s="98"/>
      <c r="D546" s="308"/>
      <c r="E546" s="98"/>
      <c r="F546" s="235"/>
      <c r="G546" s="235"/>
      <c r="H546" s="236"/>
      <c r="I546" s="236"/>
      <c r="J546" s="236"/>
      <c r="K546" s="236"/>
      <c r="L546" s="236"/>
      <c r="M546" s="236"/>
      <c r="N546" s="236"/>
      <c r="O546" s="236"/>
      <c r="P546" s="236"/>
      <c r="Q546" s="236"/>
      <c r="R546" s="236"/>
      <c r="S546" s="236"/>
      <c r="T546" s="236"/>
      <c r="U546" s="236"/>
      <c r="V546" s="236"/>
      <c r="W546" s="237"/>
      <c r="X546" s="237"/>
      <c r="Y546" s="237"/>
      <c r="Z546" s="237"/>
      <c r="AA546" s="237"/>
      <c r="AB546" s="237"/>
      <c r="AC546" s="237"/>
      <c r="AD546" s="237"/>
      <c r="AE546" s="237"/>
      <c r="AF546" s="237"/>
      <c r="AG546" s="237"/>
      <c r="AH546" s="237"/>
      <c r="AI546" s="308"/>
      <c r="AJ546" s="308"/>
      <c r="AK546" s="308"/>
      <c r="AL546" s="308"/>
      <c r="AM546" s="98"/>
      <c r="AN546" s="98"/>
      <c r="AO546" s="98"/>
    </row>
    <row r="547" ht="14.25" customHeight="1">
      <c r="A547" s="98"/>
      <c r="B547" s="98"/>
      <c r="C547" s="98"/>
      <c r="D547" s="308"/>
      <c r="E547" s="98"/>
      <c r="F547" s="235"/>
      <c r="G547" s="235"/>
      <c r="H547" s="236"/>
      <c r="I547" s="236"/>
      <c r="J547" s="236"/>
      <c r="K547" s="236"/>
      <c r="L547" s="236"/>
      <c r="M547" s="236"/>
      <c r="N547" s="236"/>
      <c r="O547" s="236"/>
      <c r="P547" s="236"/>
      <c r="Q547" s="236"/>
      <c r="R547" s="236"/>
      <c r="S547" s="236"/>
      <c r="T547" s="236"/>
      <c r="U547" s="236"/>
      <c r="V547" s="236"/>
      <c r="W547" s="237"/>
      <c r="X547" s="237"/>
      <c r="Y547" s="237"/>
      <c r="Z547" s="237"/>
      <c r="AA547" s="237"/>
      <c r="AB547" s="237"/>
      <c r="AC547" s="237"/>
      <c r="AD547" s="237"/>
      <c r="AE547" s="237"/>
      <c r="AF547" s="237"/>
      <c r="AG547" s="237"/>
      <c r="AH547" s="237"/>
      <c r="AI547" s="308"/>
      <c r="AJ547" s="308"/>
      <c r="AK547" s="308"/>
      <c r="AL547" s="308"/>
      <c r="AM547" s="98"/>
      <c r="AN547" s="98"/>
      <c r="AO547" s="98"/>
    </row>
    <row r="548" ht="14.25" customHeight="1">
      <c r="A548" s="98"/>
      <c r="B548" s="98"/>
      <c r="C548" s="98"/>
      <c r="D548" s="308"/>
      <c r="E548" s="98"/>
      <c r="F548" s="235"/>
      <c r="G548" s="235"/>
      <c r="H548" s="236"/>
      <c r="I548" s="236"/>
      <c r="J548" s="236"/>
      <c r="K548" s="236"/>
      <c r="L548" s="236"/>
      <c r="M548" s="236"/>
      <c r="N548" s="236"/>
      <c r="O548" s="236"/>
      <c r="P548" s="236"/>
      <c r="Q548" s="236"/>
      <c r="R548" s="236"/>
      <c r="S548" s="236"/>
      <c r="T548" s="236"/>
      <c r="U548" s="236"/>
      <c r="V548" s="236"/>
      <c r="W548" s="237"/>
      <c r="X548" s="237"/>
      <c r="Y548" s="237"/>
      <c r="Z548" s="237"/>
      <c r="AA548" s="237"/>
      <c r="AB548" s="237"/>
      <c r="AC548" s="237"/>
      <c r="AD548" s="237"/>
      <c r="AE548" s="237"/>
      <c r="AF548" s="237"/>
      <c r="AG548" s="237"/>
      <c r="AH548" s="237"/>
      <c r="AI548" s="308"/>
      <c r="AJ548" s="308"/>
      <c r="AK548" s="308"/>
      <c r="AL548" s="308"/>
      <c r="AM548" s="98"/>
      <c r="AN548" s="98"/>
      <c r="AO548" s="98"/>
    </row>
    <row r="549" ht="14.25" customHeight="1">
      <c r="A549" s="98"/>
      <c r="B549" s="98"/>
      <c r="C549" s="98"/>
      <c r="D549" s="308"/>
      <c r="E549" s="98"/>
      <c r="F549" s="235"/>
      <c r="G549" s="235"/>
      <c r="H549" s="236"/>
      <c r="I549" s="236"/>
      <c r="J549" s="236"/>
      <c r="K549" s="236"/>
      <c r="L549" s="236"/>
      <c r="M549" s="236"/>
      <c r="N549" s="236"/>
      <c r="O549" s="236"/>
      <c r="P549" s="236"/>
      <c r="Q549" s="236"/>
      <c r="R549" s="236"/>
      <c r="S549" s="236"/>
      <c r="T549" s="236"/>
      <c r="U549" s="236"/>
      <c r="V549" s="236"/>
      <c r="W549" s="237"/>
      <c r="X549" s="237"/>
      <c r="Y549" s="237"/>
      <c r="Z549" s="237"/>
      <c r="AA549" s="237"/>
      <c r="AB549" s="237"/>
      <c r="AC549" s="237"/>
      <c r="AD549" s="237"/>
      <c r="AE549" s="237"/>
      <c r="AF549" s="237"/>
      <c r="AG549" s="237"/>
      <c r="AH549" s="237"/>
      <c r="AI549" s="308"/>
      <c r="AJ549" s="308"/>
      <c r="AK549" s="308"/>
      <c r="AL549" s="308"/>
      <c r="AM549" s="98"/>
      <c r="AN549" s="98"/>
      <c r="AO549" s="98"/>
    </row>
    <row r="550" ht="14.25" customHeight="1">
      <c r="A550" s="98"/>
      <c r="B550" s="98"/>
      <c r="C550" s="98"/>
      <c r="D550" s="308"/>
      <c r="E550" s="98"/>
      <c r="F550" s="235"/>
      <c r="G550" s="235"/>
      <c r="H550" s="236"/>
      <c r="I550" s="236"/>
      <c r="J550" s="236"/>
      <c r="K550" s="236"/>
      <c r="L550" s="236"/>
      <c r="M550" s="236"/>
      <c r="N550" s="236"/>
      <c r="O550" s="236"/>
      <c r="P550" s="236"/>
      <c r="Q550" s="236"/>
      <c r="R550" s="236"/>
      <c r="S550" s="236"/>
      <c r="T550" s="236"/>
      <c r="U550" s="236"/>
      <c r="V550" s="236"/>
      <c r="W550" s="237"/>
      <c r="X550" s="237"/>
      <c r="Y550" s="237"/>
      <c r="Z550" s="237"/>
      <c r="AA550" s="237"/>
      <c r="AB550" s="237"/>
      <c r="AC550" s="237"/>
      <c r="AD550" s="237"/>
      <c r="AE550" s="237"/>
      <c r="AF550" s="237"/>
      <c r="AG550" s="237"/>
      <c r="AH550" s="237"/>
      <c r="AI550" s="308"/>
      <c r="AJ550" s="308"/>
      <c r="AK550" s="308"/>
      <c r="AL550" s="308"/>
      <c r="AM550" s="98"/>
      <c r="AN550" s="98"/>
      <c r="AO550" s="98"/>
    </row>
    <row r="551" ht="14.25" customHeight="1">
      <c r="A551" s="98"/>
      <c r="B551" s="98"/>
      <c r="C551" s="98"/>
      <c r="D551" s="308"/>
      <c r="E551" s="98"/>
      <c r="F551" s="235"/>
      <c r="G551" s="235"/>
      <c r="H551" s="236"/>
      <c r="I551" s="236"/>
      <c r="J551" s="236"/>
      <c r="K551" s="236"/>
      <c r="L551" s="236"/>
      <c r="M551" s="236"/>
      <c r="N551" s="236"/>
      <c r="O551" s="236"/>
      <c r="P551" s="236"/>
      <c r="Q551" s="236"/>
      <c r="R551" s="236"/>
      <c r="S551" s="236"/>
      <c r="T551" s="236"/>
      <c r="U551" s="236"/>
      <c r="V551" s="236"/>
      <c r="W551" s="237"/>
      <c r="X551" s="237"/>
      <c r="Y551" s="237"/>
      <c r="Z551" s="237"/>
      <c r="AA551" s="237"/>
      <c r="AB551" s="237"/>
      <c r="AC551" s="237"/>
      <c r="AD551" s="237"/>
      <c r="AE551" s="237"/>
      <c r="AF551" s="237"/>
      <c r="AG551" s="237"/>
      <c r="AH551" s="237"/>
      <c r="AI551" s="308"/>
      <c r="AJ551" s="308"/>
      <c r="AK551" s="308"/>
      <c r="AL551" s="308"/>
      <c r="AM551" s="98"/>
      <c r="AN551" s="98"/>
      <c r="AO551" s="98"/>
    </row>
    <row r="552" ht="14.25" customHeight="1">
      <c r="A552" s="98"/>
      <c r="B552" s="98"/>
      <c r="C552" s="98"/>
      <c r="D552" s="308"/>
      <c r="E552" s="98"/>
      <c r="F552" s="235"/>
      <c r="G552" s="235"/>
      <c r="H552" s="236"/>
      <c r="I552" s="236"/>
      <c r="J552" s="236"/>
      <c r="K552" s="236"/>
      <c r="L552" s="236"/>
      <c r="M552" s="236"/>
      <c r="N552" s="236"/>
      <c r="O552" s="236"/>
      <c r="P552" s="236"/>
      <c r="Q552" s="236"/>
      <c r="R552" s="236"/>
      <c r="S552" s="236"/>
      <c r="T552" s="236"/>
      <c r="U552" s="236"/>
      <c r="V552" s="236"/>
      <c r="W552" s="237"/>
      <c r="X552" s="237"/>
      <c r="Y552" s="237"/>
      <c r="Z552" s="237"/>
      <c r="AA552" s="237"/>
      <c r="AB552" s="237"/>
      <c r="AC552" s="237"/>
      <c r="AD552" s="237"/>
      <c r="AE552" s="237"/>
      <c r="AF552" s="237"/>
      <c r="AG552" s="237"/>
      <c r="AH552" s="237"/>
      <c r="AI552" s="308"/>
      <c r="AJ552" s="308"/>
      <c r="AK552" s="308"/>
      <c r="AL552" s="308"/>
      <c r="AM552" s="98"/>
      <c r="AN552" s="98"/>
      <c r="AO552" s="98"/>
    </row>
    <row r="553" ht="14.25" customHeight="1">
      <c r="A553" s="98"/>
      <c r="B553" s="98"/>
      <c r="C553" s="98"/>
      <c r="D553" s="308"/>
      <c r="E553" s="98"/>
      <c r="F553" s="235"/>
      <c r="G553" s="235"/>
      <c r="H553" s="236"/>
      <c r="I553" s="236"/>
      <c r="J553" s="236"/>
      <c r="K553" s="236"/>
      <c r="L553" s="236"/>
      <c r="M553" s="236"/>
      <c r="N553" s="236"/>
      <c r="O553" s="236"/>
      <c r="P553" s="236"/>
      <c r="Q553" s="236"/>
      <c r="R553" s="236"/>
      <c r="S553" s="236"/>
      <c r="T553" s="236"/>
      <c r="U553" s="236"/>
      <c r="V553" s="236"/>
      <c r="W553" s="237"/>
      <c r="X553" s="237"/>
      <c r="Y553" s="237"/>
      <c r="Z553" s="237"/>
      <c r="AA553" s="237"/>
      <c r="AB553" s="237"/>
      <c r="AC553" s="237"/>
      <c r="AD553" s="237"/>
      <c r="AE553" s="237"/>
      <c r="AF553" s="237"/>
      <c r="AG553" s="237"/>
      <c r="AH553" s="237"/>
      <c r="AI553" s="308"/>
      <c r="AJ553" s="308"/>
      <c r="AK553" s="308"/>
      <c r="AL553" s="308"/>
      <c r="AM553" s="98"/>
      <c r="AN553" s="98"/>
      <c r="AO553" s="98"/>
    </row>
    <row r="554" ht="14.25" customHeight="1">
      <c r="A554" s="98"/>
      <c r="B554" s="98"/>
      <c r="C554" s="98"/>
      <c r="D554" s="308"/>
      <c r="E554" s="98"/>
      <c r="F554" s="235"/>
      <c r="G554" s="235"/>
      <c r="H554" s="236"/>
      <c r="I554" s="236"/>
      <c r="J554" s="236"/>
      <c r="K554" s="236"/>
      <c r="L554" s="236"/>
      <c r="M554" s="236"/>
      <c r="N554" s="236"/>
      <c r="O554" s="236"/>
      <c r="P554" s="236"/>
      <c r="Q554" s="236"/>
      <c r="R554" s="236"/>
      <c r="S554" s="236"/>
      <c r="T554" s="236"/>
      <c r="U554" s="236"/>
      <c r="V554" s="236"/>
      <c r="W554" s="237"/>
      <c r="X554" s="237"/>
      <c r="Y554" s="237"/>
      <c r="Z554" s="237"/>
      <c r="AA554" s="237"/>
      <c r="AB554" s="237"/>
      <c r="AC554" s="237"/>
      <c r="AD554" s="237"/>
      <c r="AE554" s="237"/>
      <c r="AF554" s="237"/>
      <c r="AG554" s="237"/>
      <c r="AH554" s="237"/>
      <c r="AI554" s="308"/>
      <c r="AJ554" s="308"/>
      <c r="AK554" s="308"/>
      <c r="AL554" s="308"/>
      <c r="AM554" s="98"/>
      <c r="AN554" s="98"/>
      <c r="AO554" s="98"/>
    </row>
    <row r="555" ht="14.25" customHeight="1">
      <c r="A555" s="98"/>
      <c r="B555" s="98"/>
      <c r="C555" s="98"/>
      <c r="D555" s="308"/>
      <c r="E555" s="98"/>
      <c r="F555" s="235"/>
      <c r="G555" s="235"/>
      <c r="H555" s="236"/>
      <c r="I555" s="236"/>
      <c r="J555" s="236"/>
      <c r="K555" s="236"/>
      <c r="L555" s="236"/>
      <c r="M555" s="236"/>
      <c r="N555" s="236"/>
      <c r="O555" s="236"/>
      <c r="P555" s="236"/>
      <c r="Q555" s="236"/>
      <c r="R555" s="236"/>
      <c r="S555" s="236"/>
      <c r="T555" s="236"/>
      <c r="U555" s="236"/>
      <c r="V555" s="236"/>
      <c r="W555" s="237"/>
      <c r="X555" s="237"/>
      <c r="Y555" s="237"/>
      <c r="Z555" s="237"/>
      <c r="AA555" s="237"/>
      <c r="AB555" s="237"/>
      <c r="AC555" s="237"/>
      <c r="AD555" s="237"/>
      <c r="AE555" s="237"/>
      <c r="AF555" s="237"/>
      <c r="AG555" s="237"/>
      <c r="AH555" s="237"/>
      <c r="AI555" s="308"/>
      <c r="AJ555" s="308"/>
      <c r="AK555" s="308"/>
      <c r="AL555" s="308"/>
      <c r="AM555" s="98"/>
      <c r="AN555" s="98"/>
      <c r="AO555" s="98"/>
    </row>
    <row r="556" ht="14.25" customHeight="1">
      <c r="A556" s="98"/>
      <c r="B556" s="98"/>
      <c r="C556" s="98"/>
      <c r="D556" s="308"/>
      <c r="E556" s="98"/>
      <c r="F556" s="235"/>
      <c r="G556" s="235"/>
      <c r="H556" s="236"/>
      <c r="I556" s="236"/>
      <c r="J556" s="236"/>
      <c r="K556" s="236"/>
      <c r="L556" s="236"/>
      <c r="M556" s="236"/>
      <c r="N556" s="236"/>
      <c r="O556" s="236"/>
      <c r="P556" s="236"/>
      <c r="Q556" s="236"/>
      <c r="R556" s="236"/>
      <c r="S556" s="236"/>
      <c r="T556" s="236"/>
      <c r="U556" s="236"/>
      <c r="V556" s="236"/>
      <c r="W556" s="237"/>
      <c r="X556" s="237"/>
      <c r="Y556" s="237"/>
      <c r="Z556" s="237"/>
      <c r="AA556" s="237"/>
      <c r="AB556" s="237"/>
      <c r="AC556" s="237"/>
      <c r="AD556" s="237"/>
      <c r="AE556" s="237"/>
      <c r="AF556" s="237"/>
      <c r="AG556" s="237"/>
      <c r="AH556" s="237"/>
      <c r="AI556" s="308"/>
      <c r="AJ556" s="308"/>
      <c r="AK556" s="308"/>
      <c r="AL556" s="308"/>
      <c r="AM556" s="98"/>
      <c r="AN556" s="98"/>
      <c r="AO556" s="98"/>
    </row>
    <row r="557" ht="14.25" customHeight="1">
      <c r="A557" s="98"/>
      <c r="B557" s="98"/>
      <c r="C557" s="98"/>
      <c r="D557" s="308"/>
      <c r="E557" s="98"/>
      <c r="F557" s="235"/>
      <c r="G557" s="235"/>
      <c r="H557" s="236"/>
      <c r="I557" s="236"/>
      <c r="J557" s="236"/>
      <c r="K557" s="236"/>
      <c r="L557" s="236"/>
      <c r="M557" s="236"/>
      <c r="N557" s="236"/>
      <c r="O557" s="236"/>
      <c r="P557" s="236"/>
      <c r="Q557" s="236"/>
      <c r="R557" s="236"/>
      <c r="S557" s="236"/>
      <c r="T557" s="236"/>
      <c r="U557" s="236"/>
      <c r="V557" s="236"/>
      <c r="W557" s="237"/>
      <c r="X557" s="237"/>
      <c r="Y557" s="237"/>
      <c r="Z557" s="237"/>
      <c r="AA557" s="237"/>
      <c r="AB557" s="237"/>
      <c r="AC557" s="237"/>
      <c r="AD557" s="237"/>
      <c r="AE557" s="237"/>
      <c r="AF557" s="237"/>
      <c r="AG557" s="237"/>
      <c r="AH557" s="237"/>
      <c r="AI557" s="308"/>
      <c r="AJ557" s="308"/>
      <c r="AK557" s="308"/>
      <c r="AL557" s="308"/>
      <c r="AM557" s="98"/>
      <c r="AN557" s="98"/>
      <c r="AO557" s="98"/>
    </row>
    <row r="558" ht="14.25" customHeight="1">
      <c r="A558" s="98"/>
      <c r="B558" s="98"/>
      <c r="C558" s="98"/>
      <c r="D558" s="308"/>
      <c r="E558" s="98"/>
      <c r="F558" s="235"/>
      <c r="G558" s="235"/>
      <c r="H558" s="236"/>
      <c r="I558" s="236"/>
      <c r="J558" s="236"/>
      <c r="K558" s="236"/>
      <c r="L558" s="236"/>
      <c r="M558" s="236"/>
      <c r="N558" s="236"/>
      <c r="O558" s="236"/>
      <c r="P558" s="236"/>
      <c r="Q558" s="236"/>
      <c r="R558" s="236"/>
      <c r="S558" s="236"/>
      <c r="T558" s="236"/>
      <c r="U558" s="236"/>
      <c r="V558" s="236"/>
      <c r="W558" s="237"/>
      <c r="X558" s="237"/>
      <c r="Y558" s="237"/>
      <c r="Z558" s="237"/>
      <c r="AA558" s="237"/>
      <c r="AB558" s="237"/>
      <c r="AC558" s="237"/>
      <c r="AD558" s="237"/>
      <c r="AE558" s="237"/>
      <c r="AF558" s="237"/>
      <c r="AG558" s="237"/>
      <c r="AH558" s="237"/>
      <c r="AI558" s="308"/>
      <c r="AJ558" s="308"/>
      <c r="AK558" s="308"/>
      <c r="AL558" s="308"/>
      <c r="AM558" s="98"/>
      <c r="AN558" s="98"/>
      <c r="AO558" s="98"/>
    </row>
    <row r="559" ht="14.25" customHeight="1">
      <c r="A559" s="98"/>
      <c r="B559" s="98"/>
      <c r="C559" s="98"/>
      <c r="D559" s="308"/>
      <c r="E559" s="98"/>
      <c r="F559" s="235"/>
      <c r="G559" s="235"/>
      <c r="H559" s="236"/>
      <c r="I559" s="236"/>
      <c r="J559" s="236"/>
      <c r="K559" s="236"/>
      <c r="L559" s="236"/>
      <c r="M559" s="236"/>
      <c r="N559" s="236"/>
      <c r="O559" s="236"/>
      <c r="P559" s="236"/>
      <c r="Q559" s="236"/>
      <c r="R559" s="236"/>
      <c r="S559" s="236"/>
      <c r="T559" s="236"/>
      <c r="U559" s="236"/>
      <c r="V559" s="236"/>
      <c r="W559" s="237"/>
      <c r="X559" s="237"/>
      <c r="Y559" s="237"/>
      <c r="Z559" s="237"/>
      <c r="AA559" s="237"/>
      <c r="AB559" s="237"/>
      <c r="AC559" s="237"/>
      <c r="AD559" s="237"/>
      <c r="AE559" s="237"/>
      <c r="AF559" s="237"/>
      <c r="AG559" s="237"/>
      <c r="AH559" s="237"/>
      <c r="AI559" s="308"/>
      <c r="AJ559" s="308"/>
      <c r="AK559" s="308"/>
      <c r="AL559" s="308"/>
      <c r="AM559" s="98"/>
      <c r="AN559" s="98"/>
      <c r="AO559" s="98"/>
    </row>
    <row r="560" ht="14.25" customHeight="1">
      <c r="A560" s="98"/>
      <c r="B560" s="98"/>
      <c r="C560" s="98"/>
      <c r="D560" s="308"/>
      <c r="E560" s="98"/>
      <c r="F560" s="235"/>
      <c r="G560" s="235"/>
      <c r="H560" s="236"/>
      <c r="I560" s="236"/>
      <c r="J560" s="236"/>
      <c r="K560" s="236"/>
      <c r="L560" s="236"/>
      <c r="M560" s="236"/>
      <c r="N560" s="236"/>
      <c r="O560" s="236"/>
      <c r="P560" s="236"/>
      <c r="Q560" s="236"/>
      <c r="R560" s="236"/>
      <c r="S560" s="236"/>
      <c r="T560" s="236"/>
      <c r="U560" s="236"/>
      <c r="V560" s="236"/>
      <c r="W560" s="237"/>
      <c r="X560" s="237"/>
      <c r="Y560" s="237"/>
      <c r="Z560" s="237"/>
      <c r="AA560" s="237"/>
      <c r="AB560" s="237"/>
      <c r="AC560" s="237"/>
      <c r="AD560" s="237"/>
      <c r="AE560" s="237"/>
      <c r="AF560" s="237"/>
      <c r="AG560" s="237"/>
      <c r="AH560" s="237"/>
      <c r="AI560" s="308"/>
      <c r="AJ560" s="308"/>
      <c r="AK560" s="308"/>
      <c r="AL560" s="308"/>
      <c r="AM560" s="98"/>
      <c r="AN560" s="98"/>
      <c r="AO560" s="98"/>
    </row>
    <row r="561" ht="14.25" customHeight="1">
      <c r="A561" s="98"/>
      <c r="B561" s="98"/>
      <c r="C561" s="98"/>
      <c r="D561" s="308"/>
      <c r="E561" s="98"/>
      <c r="F561" s="235"/>
      <c r="G561" s="235"/>
      <c r="H561" s="236"/>
      <c r="I561" s="236"/>
      <c r="J561" s="236"/>
      <c r="K561" s="236"/>
      <c r="L561" s="236"/>
      <c r="M561" s="236"/>
      <c r="N561" s="236"/>
      <c r="O561" s="236"/>
      <c r="P561" s="236"/>
      <c r="Q561" s="236"/>
      <c r="R561" s="236"/>
      <c r="S561" s="236"/>
      <c r="T561" s="236"/>
      <c r="U561" s="236"/>
      <c r="V561" s="236"/>
      <c r="W561" s="237"/>
      <c r="X561" s="237"/>
      <c r="Y561" s="237"/>
      <c r="Z561" s="237"/>
      <c r="AA561" s="237"/>
      <c r="AB561" s="237"/>
      <c r="AC561" s="237"/>
      <c r="AD561" s="237"/>
      <c r="AE561" s="237"/>
      <c r="AF561" s="237"/>
      <c r="AG561" s="237"/>
      <c r="AH561" s="237"/>
      <c r="AI561" s="308"/>
      <c r="AJ561" s="308"/>
      <c r="AK561" s="308"/>
      <c r="AL561" s="308"/>
      <c r="AM561" s="98"/>
      <c r="AN561" s="98"/>
      <c r="AO561" s="98"/>
    </row>
    <row r="562" ht="14.25" customHeight="1">
      <c r="A562" s="98"/>
      <c r="B562" s="98"/>
      <c r="C562" s="98"/>
      <c r="D562" s="308"/>
      <c r="E562" s="98"/>
      <c r="F562" s="235"/>
      <c r="G562" s="235"/>
      <c r="H562" s="236"/>
      <c r="I562" s="236"/>
      <c r="J562" s="236"/>
      <c r="K562" s="236"/>
      <c r="L562" s="236"/>
      <c r="M562" s="236"/>
      <c r="N562" s="236"/>
      <c r="O562" s="236"/>
      <c r="P562" s="236"/>
      <c r="Q562" s="236"/>
      <c r="R562" s="236"/>
      <c r="S562" s="236"/>
      <c r="T562" s="236"/>
      <c r="U562" s="236"/>
      <c r="V562" s="236"/>
      <c r="W562" s="237"/>
      <c r="X562" s="237"/>
      <c r="Y562" s="237"/>
      <c r="Z562" s="237"/>
      <c r="AA562" s="237"/>
      <c r="AB562" s="237"/>
      <c r="AC562" s="237"/>
      <c r="AD562" s="237"/>
      <c r="AE562" s="237"/>
      <c r="AF562" s="237"/>
      <c r="AG562" s="237"/>
      <c r="AH562" s="237"/>
      <c r="AI562" s="308"/>
      <c r="AJ562" s="308"/>
      <c r="AK562" s="308"/>
      <c r="AL562" s="308"/>
      <c r="AM562" s="98"/>
      <c r="AN562" s="98"/>
      <c r="AO562" s="98"/>
    </row>
    <row r="563" ht="14.25" customHeight="1">
      <c r="A563" s="98"/>
      <c r="B563" s="98"/>
      <c r="C563" s="98"/>
      <c r="D563" s="308"/>
      <c r="E563" s="98"/>
      <c r="F563" s="235"/>
      <c r="G563" s="235"/>
      <c r="H563" s="236"/>
      <c r="I563" s="236"/>
      <c r="J563" s="236"/>
      <c r="K563" s="236"/>
      <c r="L563" s="236"/>
      <c r="M563" s="236"/>
      <c r="N563" s="236"/>
      <c r="O563" s="236"/>
      <c r="P563" s="236"/>
      <c r="Q563" s="236"/>
      <c r="R563" s="236"/>
      <c r="S563" s="236"/>
      <c r="T563" s="236"/>
      <c r="U563" s="236"/>
      <c r="V563" s="236"/>
      <c r="W563" s="237"/>
      <c r="X563" s="237"/>
      <c r="Y563" s="237"/>
      <c r="Z563" s="237"/>
      <c r="AA563" s="237"/>
      <c r="AB563" s="237"/>
      <c r="AC563" s="237"/>
      <c r="AD563" s="237"/>
      <c r="AE563" s="237"/>
      <c r="AF563" s="237"/>
      <c r="AG563" s="237"/>
      <c r="AH563" s="237"/>
      <c r="AI563" s="308"/>
      <c r="AJ563" s="308"/>
      <c r="AK563" s="308"/>
      <c r="AL563" s="308"/>
      <c r="AM563" s="98"/>
      <c r="AN563" s="98"/>
      <c r="AO563" s="98"/>
    </row>
    <row r="564" ht="14.25" customHeight="1">
      <c r="A564" s="98"/>
      <c r="B564" s="98"/>
      <c r="C564" s="98"/>
      <c r="D564" s="308"/>
      <c r="E564" s="98"/>
      <c r="F564" s="235"/>
      <c r="G564" s="235"/>
      <c r="H564" s="236"/>
      <c r="I564" s="236"/>
      <c r="J564" s="236"/>
      <c r="K564" s="236"/>
      <c r="L564" s="236"/>
      <c r="M564" s="236"/>
      <c r="N564" s="236"/>
      <c r="O564" s="236"/>
      <c r="P564" s="236"/>
      <c r="Q564" s="236"/>
      <c r="R564" s="236"/>
      <c r="S564" s="236"/>
      <c r="T564" s="236"/>
      <c r="U564" s="236"/>
      <c r="V564" s="236"/>
      <c r="W564" s="237"/>
      <c r="X564" s="237"/>
      <c r="Y564" s="237"/>
      <c r="Z564" s="237"/>
      <c r="AA564" s="237"/>
      <c r="AB564" s="237"/>
      <c r="AC564" s="237"/>
      <c r="AD564" s="237"/>
      <c r="AE564" s="237"/>
      <c r="AF564" s="237"/>
      <c r="AG564" s="237"/>
      <c r="AH564" s="237"/>
      <c r="AI564" s="308"/>
      <c r="AJ564" s="308"/>
      <c r="AK564" s="308"/>
      <c r="AL564" s="308"/>
      <c r="AM564" s="98"/>
      <c r="AN564" s="98"/>
      <c r="AO564" s="98"/>
    </row>
    <row r="565" ht="14.25" customHeight="1">
      <c r="A565" s="98"/>
      <c r="B565" s="98"/>
      <c r="C565" s="98"/>
      <c r="D565" s="308"/>
      <c r="E565" s="98"/>
      <c r="F565" s="235"/>
      <c r="G565" s="235"/>
      <c r="H565" s="236"/>
      <c r="I565" s="236"/>
      <c r="J565" s="236"/>
      <c r="K565" s="236"/>
      <c r="L565" s="236"/>
      <c r="M565" s="236"/>
      <c r="N565" s="236"/>
      <c r="O565" s="236"/>
      <c r="P565" s="236"/>
      <c r="Q565" s="236"/>
      <c r="R565" s="236"/>
      <c r="S565" s="236"/>
      <c r="T565" s="236"/>
      <c r="U565" s="236"/>
      <c r="V565" s="236"/>
      <c r="W565" s="237"/>
      <c r="X565" s="237"/>
      <c r="Y565" s="237"/>
      <c r="Z565" s="237"/>
      <c r="AA565" s="237"/>
      <c r="AB565" s="237"/>
      <c r="AC565" s="237"/>
      <c r="AD565" s="237"/>
      <c r="AE565" s="237"/>
      <c r="AF565" s="237"/>
      <c r="AG565" s="237"/>
      <c r="AH565" s="237"/>
      <c r="AI565" s="308"/>
      <c r="AJ565" s="308"/>
      <c r="AK565" s="308"/>
      <c r="AL565" s="308"/>
      <c r="AM565" s="98"/>
      <c r="AN565" s="98"/>
      <c r="AO565" s="98"/>
    </row>
    <row r="566" ht="14.25" customHeight="1">
      <c r="A566" s="98"/>
      <c r="B566" s="98"/>
      <c r="C566" s="98"/>
      <c r="D566" s="308"/>
      <c r="E566" s="98"/>
      <c r="F566" s="235"/>
      <c r="G566" s="235"/>
      <c r="H566" s="236"/>
      <c r="I566" s="236"/>
      <c r="J566" s="236"/>
      <c r="K566" s="236"/>
      <c r="L566" s="236"/>
      <c r="M566" s="236"/>
      <c r="N566" s="236"/>
      <c r="O566" s="236"/>
      <c r="P566" s="236"/>
      <c r="Q566" s="236"/>
      <c r="R566" s="236"/>
      <c r="S566" s="236"/>
      <c r="T566" s="236"/>
      <c r="U566" s="236"/>
      <c r="V566" s="236"/>
      <c r="W566" s="237"/>
      <c r="X566" s="237"/>
      <c r="Y566" s="237"/>
      <c r="Z566" s="237"/>
      <c r="AA566" s="237"/>
      <c r="AB566" s="237"/>
      <c r="AC566" s="237"/>
      <c r="AD566" s="237"/>
      <c r="AE566" s="237"/>
      <c r="AF566" s="237"/>
      <c r="AG566" s="237"/>
      <c r="AH566" s="237"/>
      <c r="AI566" s="308"/>
      <c r="AJ566" s="308"/>
      <c r="AK566" s="308"/>
      <c r="AL566" s="308"/>
      <c r="AM566" s="98"/>
      <c r="AN566" s="98"/>
      <c r="AO566" s="98"/>
    </row>
    <row r="567" ht="14.25" customHeight="1">
      <c r="A567" s="98"/>
      <c r="B567" s="98"/>
      <c r="C567" s="98"/>
      <c r="D567" s="308"/>
      <c r="E567" s="98"/>
      <c r="F567" s="235"/>
      <c r="G567" s="235"/>
      <c r="H567" s="236"/>
      <c r="I567" s="236"/>
      <c r="J567" s="236"/>
      <c r="K567" s="236"/>
      <c r="L567" s="236"/>
      <c r="M567" s="236"/>
      <c r="N567" s="236"/>
      <c r="O567" s="236"/>
      <c r="P567" s="236"/>
      <c r="Q567" s="236"/>
      <c r="R567" s="236"/>
      <c r="S567" s="236"/>
      <c r="T567" s="236"/>
      <c r="U567" s="236"/>
      <c r="V567" s="236"/>
      <c r="W567" s="237"/>
      <c r="X567" s="237"/>
      <c r="Y567" s="237"/>
      <c r="Z567" s="237"/>
      <c r="AA567" s="237"/>
      <c r="AB567" s="237"/>
      <c r="AC567" s="237"/>
      <c r="AD567" s="237"/>
      <c r="AE567" s="237"/>
      <c r="AF567" s="237"/>
      <c r="AG567" s="237"/>
      <c r="AH567" s="237"/>
      <c r="AI567" s="308"/>
      <c r="AJ567" s="308"/>
      <c r="AK567" s="308"/>
      <c r="AL567" s="308"/>
      <c r="AM567" s="98"/>
      <c r="AN567" s="98"/>
      <c r="AO567" s="98"/>
    </row>
    <row r="568" ht="14.25" customHeight="1">
      <c r="A568" s="98"/>
      <c r="B568" s="98"/>
      <c r="C568" s="98"/>
      <c r="D568" s="308"/>
      <c r="E568" s="98"/>
      <c r="F568" s="235"/>
      <c r="G568" s="235"/>
      <c r="H568" s="236"/>
      <c r="I568" s="236"/>
      <c r="J568" s="236"/>
      <c r="K568" s="236"/>
      <c r="L568" s="236"/>
      <c r="M568" s="236"/>
      <c r="N568" s="236"/>
      <c r="O568" s="236"/>
      <c r="P568" s="236"/>
      <c r="Q568" s="236"/>
      <c r="R568" s="236"/>
      <c r="S568" s="236"/>
      <c r="T568" s="236"/>
      <c r="U568" s="236"/>
      <c r="V568" s="236"/>
      <c r="W568" s="237"/>
      <c r="X568" s="237"/>
      <c r="Y568" s="237"/>
      <c r="Z568" s="237"/>
      <c r="AA568" s="237"/>
      <c r="AB568" s="237"/>
      <c r="AC568" s="237"/>
      <c r="AD568" s="237"/>
      <c r="AE568" s="237"/>
      <c r="AF568" s="237"/>
      <c r="AG568" s="237"/>
      <c r="AH568" s="237"/>
      <c r="AI568" s="308"/>
      <c r="AJ568" s="308"/>
      <c r="AK568" s="308"/>
      <c r="AL568" s="308"/>
      <c r="AM568" s="98"/>
      <c r="AN568" s="98"/>
      <c r="AO568" s="98"/>
    </row>
    <row r="569" ht="14.25" customHeight="1">
      <c r="A569" s="98"/>
      <c r="B569" s="98"/>
      <c r="C569" s="98"/>
      <c r="D569" s="308"/>
      <c r="E569" s="98"/>
      <c r="F569" s="235"/>
      <c r="G569" s="235"/>
      <c r="H569" s="236"/>
      <c r="I569" s="236"/>
      <c r="J569" s="236"/>
      <c r="K569" s="236"/>
      <c r="L569" s="236"/>
      <c r="M569" s="236"/>
      <c r="N569" s="236"/>
      <c r="O569" s="236"/>
      <c r="P569" s="236"/>
      <c r="Q569" s="236"/>
      <c r="R569" s="236"/>
      <c r="S569" s="236"/>
      <c r="T569" s="236"/>
      <c r="U569" s="236"/>
      <c r="V569" s="236"/>
      <c r="W569" s="237"/>
      <c r="X569" s="237"/>
      <c r="Y569" s="237"/>
      <c r="Z569" s="237"/>
      <c r="AA569" s="237"/>
      <c r="AB569" s="237"/>
      <c r="AC569" s="237"/>
      <c r="AD569" s="237"/>
      <c r="AE569" s="237"/>
      <c r="AF569" s="237"/>
      <c r="AG569" s="237"/>
      <c r="AH569" s="237"/>
      <c r="AI569" s="308"/>
      <c r="AJ569" s="308"/>
      <c r="AK569" s="308"/>
      <c r="AL569" s="308"/>
      <c r="AM569" s="98"/>
      <c r="AN569" s="98"/>
      <c r="AO569" s="98"/>
    </row>
    <row r="570" ht="14.25" customHeight="1">
      <c r="A570" s="98"/>
      <c r="B570" s="98"/>
      <c r="C570" s="98"/>
      <c r="D570" s="308"/>
      <c r="E570" s="98"/>
      <c r="F570" s="235"/>
      <c r="G570" s="235"/>
      <c r="H570" s="236"/>
      <c r="I570" s="236"/>
      <c r="J570" s="236"/>
      <c r="K570" s="236"/>
      <c r="L570" s="236"/>
      <c r="M570" s="236"/>
      <c r="N570" s="236"/>
      <c r="O570" s="236"/>
      <c r="P570" s="236"/>
      <c r="Q570" s="236"/>
      <c r="R570" s="236"/>
      <c r="S570" s="236"/>
      <c r="T570" s="236"/>
      <c r="U570" s="236"/>
      <c r="V570" s="236"/>
      <c r="W570" s="237"/>
      <c r="X570" s="237"/>
      <c r="Y570" s="237"/>
      <c r="Z570" s="237"/>
      <c r="AA570" s="237"/>
      <c r="AB570" s="237"/>
      <c r="AC570" s="237"/>
      <c r="AD570" s="237"/>
      <c r="AE570" s="237"/>
      <c r="AF570" s="237"/>
      <c r="AG570" s="237"/>
      <c r="AH570" s="237"/>
      <c r="AI570" s="308"/>
      <c r="AJ570" s="308"/>
      <c r="AK570" s="308"/>
      <c r="AL570" s="308"/>
      <c r="AM570" s="98"/>
      <c r="AN570" s="98"/>
      <c r="AO570" s="98"/>
    </row>
    <row r="571" ht="14.25" customHeight="1">
      <c r="A571" s="98"/>
      <c r="B571" s="98"/>
      <c r="C571" s="98"/>
      <c r="D571" s="308"/>
      <c r="E571" s="98"/>
      <c r="F571" s="235"/>
      <c r="G571" s="235"/>
      <c r="H571" s="236"/>
      <c r="I571" s="236"/>
      <c r="J571" s="236"/>
      <c r="K571" s="236"/>
      <c r="L571" s="236"/>
      <c r="M571" s="236"/>
      <c r="N571" s="236"/>
      <c r="O571" s="236"/>
      <c r="P571" s="236"/>
      <c r="Q571" s="236"/>
      <c r="R571" s="236"/>
      <c r="S571" s="236"/>
      <c r="T571" s="236"/>
      <c r="U571" s="236"/>
      <c r="V571" s="236"/>
      <c r="W571" s="237"/>
      <c r="X571" s="237"/>
      <c r="Y571" s="237"/>
      <c r="Z571" s="237"/>
      <c r="AA571" s="237"/>
      <c r="AB571" s="237"/>
      <c r="AC571" s="237"/>
      <c r="AD571" s="237"/>
      <c r="AE571" s="237"/>
      <c r="AF571" s="237"/>
      <c r="AG571" s="237"/>
      <c r="AH571" s="237"/>
      <c r="AI571" s="308"/>
      <c r="AJ571" s="308"/>
      <c r="AK571" s="308"/>
      <c r="AL571" s="308"/>
      <c r="AM571" s="98"/>
      <c r="AN571" s="98"/>
      <c r="AO571" s="98"/>
    </row>
    <row r="572" ht="14.25" customHeight="1">
      <c r="A572" s="98"/>
      <c r="B572" s="98"/>
      <c r="C572" s="98"/>
      <c r="D572" s="308"/>
      <c r="E572" s="98"/>
      <c r="F572" s="235"/>
      <c r="G572" s="235"/>
      <c r="H572" s="236"/>
      <c r="I572" s="236"/>
      <c r="J572" s="236"/>
      <c r="K572" s="236"/>
      <c r="L572" s="236"/>
      <c r="M572" s="236"/>
      <c r="N572" s="236"/>
      <c r="O572" s="236"/>
      <c r="P572" s="236"/>
      <c r="Q572" s="236"/>
      <c r="R572" s="236"/>
      <c r="S572" s="236"/>
      <c r="T572" s="236"/>
      <c r="U572" s="236"/>
      <c r="V572" s="236"/>
      <c r="W572" s="237"/>
      <c r="X572" s="237"/>
      <c r="Y572" s="237"/>
      <c r="Z572" s="237"/>
      <c r="AA572" s="237"/>
      <c r="AB572" s="237"/>
      <c r="AC572" s="237"/>
      <c r="AD572" s="237"/>
      <c r="AE572" s="237"/>
      <c r="AF572" s="237"/>
      <c r="AG572" s="237"/>
      <c r="AH572" s="237"/>
      <c r="AI572" s="308"/>
      <c r="AJ572" s="308"/>
      <c r="AK572" s="308"/>
      <c r="AL572" s="308"/>
      <c r="AM572" s="98"/>
      <c r="AN572" s="98"/>
      <c r="AO572" s="98"/>
    </row>
    <row r="573" ht="14.25" customHeight="1">
      <c r="A573" s="98"/>
      <c r="B573" s="98"/>
      <c r="C573" s="98"/>
      <c r="D573" s="308"/>
      <c r="E573" s="98"/>
      <c r="F573" s="235"/>
      <c r="G573" s="235"/>
      <c r="H573" s="236"/>
      <c r="I573" s="236"/>
      <c r="J573" s="236"/>
      <c r="K573" s="236"/>
      <c r="L573" s="236"/>
      <c r="M573" s="236"/>
      <c r="N573" s="236"/>
      <c r="O573" s="236"/>
      <c r="P573" s="236"/>
      <c r="Q573" s="236"/>
      <c r="R573" s="236"/>
      <c r="S573" s="236"/>
      <c r="T573" s="236"/>
      <c r="U573" s="236"/>
      <c r="V573" s="236"/>
      <c r="W573" s="237"/>
      <c r="X573" s="237"/>
      <c r="Y573" s="237"/>
      <c r="Z573" s="237"/>
      <c r="AA573" s="237"/>
      <c r="AB573" s="237"/>
      <c r="AC573" s="237"/>
      <c r="AD573" s="237"/>
      <c r="AE573" s="237"/>
      <c r="AF573" s="237"/>
      <c r="AG573" s="237"/>
      <c r="AH573" s="237"/>
      <c r="AI573" s="308"/>
      <c r="AJ573" s="308"/>
      <c r="AK573" s="308"/>
      <c r="AL573" s="308"/>
      <c r="AM573" s="98"/>
      <c r="AN573" s="98"/>
      <c r="AO573" s="98"/>
    </row>
    <row r="574" ht="14.25" customHeight="1">
      <c r="A574" s="98"/>
      <c r="B574" s="98"/>
      <c r="C574" s="98"/>
      <c r="D574" s="308"/>
      <c r="E574" s="98"/>
      <c r="F574" s="235"/>
      <c r="G574" s="235"/>
      <c r="H574" s="236"/>
      <c r="I574" s="236"/>
      <c r="J574" s="236"/>
      <c r="K574" s="236"/>
      <c r="L574" s="236"/>
      <c r="M574" s="236"/>
      <c r="N574" s="236"/>
      <c r="O574" s="236"/>
      <c r="P574" s="236"/>
      <c r="Q574" s="236"/>
      <c r="R574" s="236"/>
      <c r="S574" s="236"/>
      <c r="T574" s="236"/>
      <c r="U574" s="236"/>
      <c r="V574" s="236"/>
      <c r="W574" s="237"/>
      <c r="X574" s="237"/>
      <c r="Y574" s="237"/>
      <c r="Z574" s="237"/>
      <c r="AA574" s="237"/>
      <c r="AB574" s="237"/>
      <c r="AC574" s="237"/>
      <c r="AD574" s="237"/>
      <c r="AE574" s="237"/>
      <c r="AF574" s="237"/>
      <c r="AG574" s="237"/>
      <c r="AH574" s="237"/>
      <c r="AI574" s="308"/>
      <c r="AJ574" s="308"/>
      <c r="AK574" s="308"/>
      <c r="AL574" s="308"/>
      <c r="AM574" s="98"/>
      <c r="AN574" s="98"/>
      <c r="AO574" s="98"/>
    </row>
    <row r="575" ht="14.25" customHeight="1">
      <c r="A575" s="98"/>
      <c r="B575" s="98"/>
      <c r="C575" s="98"/>
      <c r="D575" s="308"/>
      <c r="E575" s="98"/>
      <c r="F575" s="235"/>
      <c r="G575" s="235"/>
      <c r="H575" s="236"/>
      <c r="I575" s="236"/>
      <c r="J575" s="236"/>
      <c r="K575" s="236"/>
      <c r="L575" s="236"/>
      <c r="M575" s="236"/>
      <c r="N575" s="236"/>
      <c r="O575" s="236"/>
      <c r="P575" s="236"/>
      <c r="Q575" s="236"/>
      <c r="R575" s="236"/>
      <c r="S575" s="236"/>
      <c r="T575" s="236"/>
      <c r="U575" s="236"/>
      <c r="V575" s="236"/>
      <c r="W575" s="237"/>
      <c r="X575" s="237"/>
      <c r="Y575" s="237"/>
      <c r="Z575" s="237"/>
      <c r="AA575" s="237"/>
      <c r="AB575" s="237"/>
      <c r="AC575" s="237"/>
      <c r="AD575" s="237"/>
      <c r="AE575" s="237"/>
      <c r="AF575" s="237"/>
      <c r="AG575" s="237"/>
      <c r="AH575" s="237"/>
      <c r="AI575" s="308"/>
      <c r="AJ575" s="308"/>
      <c r="AK575" s="308"/>
      <c r="AL575" s="308"/>
      <c r="AM575" s="98"/>
      <c r="AN575" s="98"/>
      <c r="AO575" s="98"/>
    </row>
    <row r="576" ht="14.25" customHeight="1">
      <c r="A576" s="98"/>
      <c r="B576" s="98"/>
      <c r="C576" s="98"/>
      <c r="D576" s="308"/>
      <c r="E576" s="98"/>
      <c r="F576" s="235"/>
      <c r="G576" s="235"/>
      <c r="H576" s="236"/>
      <c r="I576" s="236"/>
      <c r="J576" s="236"/>
      <c r="K576" s="236"/>
      <c r="L576" s="236"/>
      <c r="M576" s="236"/>
      <c r="N576" s="236"/>
      <c r="O576" s="236"/>
      <c r="P576" s="236"/>
      <c r="Q576" s="236"/>
      <c r="R576" s="236"/>
      <c r="S576" s="236"/>
      <c r="T576" s="236"/>
      <c r="U576" s="236"/>
      <c r="V576" s="236"/>
      <c r="W576" s="237"/>
      <c r="X576" s="237"/>
      <c r="Y576" s="237"/>
      <c r="Z576" s="237"/>
      <c r="AA576" s="237"/>
      <c r="AB576" s="237"/>
      <c r="AC576" s="237"/>
      <c r="AD576" s="237"/>
      <c r="AE576" s="237"/>
      <c r="AF576" s="237"/>
      <c r="AG576" s="237"/>
      <c r="AH576" s="237"/>
      <c r="AI576" s="308"/>
      <c r="AJ576" s="308"/>
      <c r="AK576" s="308"/>
      <c r="AL576" s="308"/>
      <c r="AM576" s="98"/>
      <c r="AN576" s="98"/>
      <c r="AO576" s="98"/>
    </row>
    <row r="577" ht="14.25" customHeight="1">
      <c r="A577" s="98"/>
      <c r="B577" s="98"/>
      <c r="C577" s="98"/>
      <c r="D577" s="308"/>
      <c r="E577" s="98"/>
      <c r="F577" s="235"/>
      <c r="G577" s="235"/>
      <c r="H577" s="236"/>
      <c r="I577" s="236"/>
      <c r="J577" s="236"/>
      <c r="K577" s="236"/>
      <c r="L577" s="236"/>
      <c r="M577" s="236"/>
      <c r="N577" s="236"/>
      <c r="O577" s="236"/>
      <c r="P577" s="236"/>
      <c r="Q577" s="236"/>
      <c r="R577" s="236"/>
      <c r="S577" s="236"/>
      <c r="T577" s="236"/>
      <c r="U577" s="236"/>
      <c r="V577" s="236"/>
      <c r="W577" s="237"/>
      <c r="X577" s="237"/>
      <c r="Y577" s="237"/>
      <c r="Z577" s="237"/>
      <c r="AA577" s="237"/>
      <c r="AB577" s="237"/>
      <c r="AC577" s="237"/>
      <c r="AD577" s="237"/>
      <c r="AE577" s="237"/>
      <c r="AF577" s="237"/>
      <c r="AG577" s="237"/>
      <c r="AH577" s="237"/>
      <c r="AI577" s="308"/>
      <c r="AJ577" s="308"/>
      <c r="AK577" s="308"/>
      <c r="AL577" s="308"/>
      <c r="AM577" s="98"/>
      <c r="AN577" s="98"/>
      <c r="AO577" s="98"/>
    </row>
    <row r="578" ht="14.25" customHeight="1">
      <c r="A578" s="98"/>
      <c r="B578" s="98"/>
      <c r="C578" s="98"/>
      <c r="D578" s="308"/>
      <c r="E578" s="98"/>
      <c r="F578" s="235"/>
      <c r="G578" s="235"/>
      <c r="H578" s="236"/>
      <c r="I578" s="236"/>
      <c r="J578" s="236"/>
      <c r="K578" s="236"/>
      <c r="L578" s="236"/>
      <c r="M578" s="236"/>
      <c r="N578" s="236"/>
      <c r="O578" s="236"/>
      <c r="P578" s="236"/>
      <c r="Q578" s="236"/>
      <c r="R578" s="236"/>
      <c r="S578" s="236"/>
      <c r="T578" s="236"/>
      <c r="U578" s="236"/>
      <c r="V578" s="236"/>
      <c r="W578" s="237"/>
      <c r="X578" s="237"/>
      <c r="Y578" s="237"/>
      <c r="Z578" s="237"/>
      <c r="AA578" s="237"/>
      <c r="AB578" s="237"/>
      <c r="AC578" s="237"/>
      <c r="AD578" s="237"/>
      <c r="AE578" s="237"/>
      <c r="AF578" s="237"/>
      <c r="AG578" s="237"/>
      <c r="AH578" s="237"/>
      <c r="AI578" s="308"/>
      <c r="AJ578" s="308"/>
      <c r="AK578" s="308"/>
      <c r="AL578" s="308"/>
      <c r="AM578" s="98"/>
      <c r="AN578" s="98"/>
      <c r="AO578" s="98"/>
    </row>
    <row r="579" ht="14.25" customHeight="1">
      <c r="A579" s="98"/>
      <c r="B579" s="98"/>
      <c r="C579" s="98"/>
      <c r="D579" s="308"/>
      <c r="E579" s="98"/>
      <c r="F579" s="235"/>
      <c r="G579" s="235"/>
      <c r="H579" s="236"/>
      <c r="I579" s="236"/>
      <c r="J579" s="236"/>
      <c r="K579" s="236"/>
      <c r="L579" s="236"/>
      <c r="M579" s="236"/>
      <c r="N579" s="236"/>
      <c r="O579" s="236"/>
      <c r="P579" s="236"/>
      <c r="Q579" s="236"/>
      <c r="R579" s="236"/>
      <c r="S579" s="236"/>
      <c r="T579" s="236"/>
      <c r="U579" s="236"/>
      <c r="V579" s="236"/>
      <c r="W579" s="237"/>
      <c r="X579" s="237"/>
      <c r="Y579" s="237"/>
      <c r="Z579" s="237"/>
      <c r="AA579" s="237"/>
      <c r="AB579" s="237"/>
      <c r="AC579" s="237"/>
      <c r="AD579" s="237"/>
      <c r="AE579" s="237"/>
      <c r="AF579" s="237"/>
      <c r="AG579" s="237"/>
      <c r="AH579" s="237"/>
      <c r="AI579" s="308"/>
      <c r="AJ579" s="308"/>
      <c r="AK579" s="308"/>
      <c r="AL579" s="308"/>
      <c r="AM579" s="98"/>
      <c r="AN579" s="98"/>
      <c r="AO579" s="98"/>
    </row>
    <row r="580" ht="14.25" customHeight="1">
      <c r="A580" s="98"/>
      <c r="B580" s="98"/>
      <c r="C580" s="98"/>
      <c r="D580" s="308"/>
      <c r="E580" s="98"/>
      <c r="F580" s="235"/>
      <c r="G580" s="235"/>
      <c r="H580" s="236"/>
      <c r="I580" s="236"/>
      <c r="J580" s="236"/>
      <c r="K580" s="236"/>
      <c r="L580" s="236"/>
      <c r="M580" s="236"/>
      <c r="N580" s="236"/>
      <c r="O580" s="236"/>
      <c r="P580" s="236"/>
      <c r="Q580" s="236"/>
      <c r="R580" s="236"/>
      <c r="S580" s="236"/>
      <c r="T580" s="236"/>
      <c r="U580" s="236"/>
      <c r="V580" s="236"/>
      <c r="W580" s="237"/>
      <c r="X580" s="237"/>
      <c r="Y580" s="237"/>
      <c r="Z580" s="237"/>
      <c r="AA580" s="237"/>
      <c r="AB580" s="237"/>
      <c r="AC580" s="237"/>
      <c r="AD580" s="237"/>
      <c r="AE580" s="237"/>
      <c r="AF580" s="237"/>
      <c r="AG580" s="237"/>
      <c r="AH580" s="237"/>
      <c r="AI580" s="308"/>
      <c r="AJ580" s="308"/>
      <c r="AK580" s="308"/>
      <c r="AL580" s="308"/>
      <c r="AM580" s="98"/>
      <c r="AN580" s="98"/>
      <c r="AO580" s="98"/>
    </row>
    <row r="581" ht="14.25" customHeight="1">
      <c r="A581" s="98"/>
      <c r="B581" s="98"/>
      <c r="C581" s="98"/>
      <c r="D581" s="308"/>
      <c r="E581" s="98"/>
      <c r="F581" s="235"/>
      <c r="G581" s="235"/>
      <c r="H581" s="236"/>
      <c r="I581" s="236"/>
      <c r="J581" s="236"/>
      <c r="K581" s="236"/>
      <c r="L581" s="236"/>
      <c r="M581" s="236"/>
      <c r="N581" s="236"/>
      <c r="O581" s="236"/>
      <c r="P581" s="236"/>
      <c r="Q581" s="236"/>
      <c r="R581" s="236"/>
      <c r="S581" s="236"/>
      <c r="T581" s="236"/>
      <c r="U581" s="236"/>
      <c r="V581" s="236"/>
      <c r="W581" s="237"/>
      <c r="X581" s="237"/>
      <c r="Y581" s="237"/>
      <c r="Z581" s="237"/>
      <c r="AA581" s="237"/>
      <c r="AB581" s="237"/>
      <c r="AC581" s="237"/>
      <c r="AD581" s="237"/>
      <c r="AE581" s="237"/>
      <c r="AF581" s="237"/>
      <c r="AG581" s="237"/>
      <c r="AH581" s="237"/>
      <c r="AI581" s="308"/>
      <c r="AJ581" s="308"/>
      <c r="AK581" s="308"/>
      <c r="AL581" s="308"/>
      <c r="AM581" s="98"/>
      <c r="AN581" s="98"/>
      <c r="AO581" s="98"/>
    </row>
    <row r="582" ht="14.25" customHeight="1">
      <c r="A582" s="98"/>
      <c r="B582" s="98"/>
      <c r="C582" s="98"/>
      <c r="D582" s="308"/>
      <c r="E582" s="98"/>
      <c r="F582" s="235"/>
      <c r="G582" s="235"/>
      <c r="H582" s="236"/>
      <c r="I582" s="236"/>
      <c r="J582" s="236"/>
      <c r="K582" s="236"/>
      <c r="L582" s="236"/>
      <c r="M582" s="236"/>
      <c r="N582" s="236"/>
      <c r="O582" s="236"/>
      <c r="P582" s="236"/>
      <c r="Q582" s="236"/>
      <c r="R582" s="236"/>
      <c r="S582" s="236"/>
      <c r="T582" s="236"/>
      <c r="U582" s="236"/>
      <c r="V582" s="236"/>
      <c r="W582" s="237"/>
      <c r="X582" s="237"/>
      <c r="Y582" s="237"/>
      <c r="Z582" s="237"/>
      <c r="AA582" s="237"/>
      <c r="AB582" s="237"/>
      <c r="AC582" s="237"/>
      <c r="AD582" s="237"/>
      <c r="AE582" s="237"/>
      <c r="AF582" s="237"/>
      <c r="AG582" s="237"/>
      <c r="AH582" s="237"/>
      <c r="AI582" s="308"/>
      <c r="AJ582" s="308"/>
      <c r="AK582" s="308"/>
      <c r="AL582" s="308"/>
      <c r="AM582" s="98"/>
      <c r="AN582" s="98"/>
      <c r="AO582" s="98"/>
    </row>
    <row r="583" ht="14.25" customHeight="1">
      <c r="A583" s="98"/>
      <c r="B583" s="98"/>
      <c r="C583" s="98"/>
      <c r="D583" s="308"/>
      <c r="E583" s="98"/>
      <c r="F583" s="235"/>
      <c r="G583" s="235"/>
      <c r="H583" s="236"/>
      <c r="I583" s="236"/>
      <c r="J583" s="236"/>
      <c r="K583" s="236"/>
      <c r="L583" s="236"/>
      <c r="M583" s="236"/>
      <c r="N583" s="236"/>
      <c r="O583" s="236"/>
      <c r="P583" s="236"/>
      <c r="Q583" s="236"/>
      <c r="R583" s="236"/>
      <c r="S583" s="236"/>
      <c r="T583" s="236"/>
      <c r="U583" s="236"/>
      <c r="V583" s="236"/>
      <c r="W583" s="237"/>
      <c r="X583" s="237"/>
      <c r="Y583" s="237"/>
      <c r="Z583" s="237"/>
      <c r="AA583" s="237"/>
      <c r="AB583" s="237"/>
      <c r="AC583" s="237"/>
      <c r="AD583" s="237"/>
      <c r="AE583" s="237"/>
      <c r="AF583" s="237"/>
      <c r="AG583" s="237"/>
      <c r="AH583" s="237"/>
      <c r="AI583" s="308"/>
      <c r="AJ583" s="308"/>
      <c r="AK583" s="308"/>
      <c r="AL583" s="308"/>
      <c r="AM583" s="98"/>
      <c r="AN583" s="98"/>
      <c r="AO583" s="98"/>
    </row>
    <row r="584" ht="14.25" customHeight="1">
      <c r="A584" s="98"/>
      <c r="B584" s="98"/>
      <c r="C584" s="98"/>
      <c r="D584" s="308"/>
      <c r="E584" s="98"/>
      <c r="F584" s="235"/>
      <c r="G584" s="235"/>
      <c r="H584" s="236"/>
      <c r="I584" s="236"/>
      <c r="J584" s="236"/>
      <c r="K584" s="236"/>
      <c r="L584" s="236"/>
      <c r="M584" s="236"/>
      <c r="N584" s="236"/>
      <c r="O584" s="236"/>
      <c r="P584" s="236"/>
      <c r="Q584" s="236"/>
      <c r="R584" s="236"/>
      <c r="S584" s="236"/>
      <c r="T584" s="236"/>
      <c r="U584" s="236"/>
      <c r="V584" s="236"/>
      <c r="W584" s="237"/>
      <c r="X584" s="237"/>
      <c r="Y584" s="237"/>
      <c r="Z584" s="237"/>
      <c r="AA584" s="237"/>
      <c r="AB584" s="237"/>
      <c r="AC584" s="237"/>
      <c r="AD584" s="237"/>
      <c r="AE584" s="237"/>
      <c r="AF584" s="237"/>
      <c r="AG584" s="237"/>
      <c r="AH584" s="237"/>
      <c r="AI584" s="308"/>
      <c r="AJ584" s="308"/>
      <c r="AK584" s="308"/>
      <c r="AL584" s="308"/>
      <c r="AM584" s="98"/>
      <c r="AN584" s="98"/>
      <c r="AO584" s="98"/>
    </row>
    <row r="585" ht="14.25" customHeight="1">
      <c r="A585" s="98"/>
      <c r="B585" s="98"/>
      <c r="C585" s="98"/>
      <c r="D585" s="308"/>
      <c r="E585" s="98"/>
      <c r="F585" s="235"/>
      <c r="G585" s="235"/>
      <c r="H585" s="236"/>
      <c r="I585" s="236"/>
      <c r="J585" s="236"/>
      <c r="K585" s="236"/>
      <c r="L585" s="236"/>
      <c r="M585" s="236"/>
      <c r="N585" s="236"/>
      <c r="O585" s="236"/>
      <c r="P585" s="236"/>
      <c r="Q585" s="236"/>
      <c r="R585" s="236"/>
      <c r="S585" s="236"/>
      <c r="T585" s="236"/>
      <c r="U585" s="236"/>
      <c r="V585" s="236"/>
      <c r="W585" s="237"/>
      <c r="X585" s="237"/>
      <c r="Y585" s="237"/>
      <c r="Z585" s="237"/>
      <c r="AA585" s="237"/>
      <c r="AB585" s="237"/>
      <c r="AC585" s="237"/>
      <c r="AD585" s="237"/>
      <c r="AE585" s="237"/>
      <c r="AF585" s="237"/>
      <c r="AG585" s="237"/>
      <c r="AH585" s="237"/>
      <c r="AI585" s="308"/>
      <c r="AJ585" s="308"/>
      <c r="AK585" s="308"/>
      <c r="AL585" s="308"/>
      <c r="AM585" s="98"/>
      <c r="AN585" s="98"/>
      <c r="AO585" s="98"/>
    </row>
    <row r="586" ht="14.25" customHeight="1">
      <c r="A586" s="98"/>
      <c r="B586" s="98"/>
      <c r="C586" s="98"/>
      <c r="D586" s="308"/>
      <c r="E586" s="98"/>
      <c r="F586" s="235"/>
      <c r="G586" s="235"/>
      <c r="H586" s="236"/>
      <c r="I586" s="236"/>
      <c r="J586" s="236"/>
      <c r="K586" s="236"/>
      <c r="L586" s="236"/>
      <c r="M586" s="236"/>
      <c r="N586" s="236"/>
      <c r="O586" s="236"/>
      <c r="P586" s="236"/>
      <c r="Q586" s="236"/>
      <c r="R586" s="236"/>
      <c r="S586" s="236"/>
      <c r="T586" s="236"/>
      <c r="U586" s="236"/>
      <c r="V586" s="236"/>
      <c r="W586" s="237"/>
      <c r="X586" s="237"/>
      <c r="Y586" s="237"/>
      <c r="Z586" s="237"/>
      <c r="AA586" s="237"/>
      <c r="AB586" s="237"/>
      <c r="AC586" s="237"/>
      <c r="AD586" s="237"/>
      <c r="AE586" s="237"/>
      <c r="AF586" s="237"/>
      <c r="AG586" s="237"/>
      <c r="AH586" s="237"/>
      <c r="AI586" s="308"/>
      <c r="AJ586" s="308"/>
      <c r="AK586" s="308"/>
      <c r="AL586" s="308"/>
      <c r="AM586" s="98"/>
      <c r="AN586" s="98"/>
      <c r="AO586" s="98"/>
    </row>
    <row r="587" ht="14.25" customHeight="1">
      <c r="A587" s="98"/>
      <c r="B587" s="98"/>
      <c r="C587" s="98"/>
      <c r="D587" s="308"/>
      <c r="E587" s="98"/>
      <c r="F587" s="235"/>
      <c r="G587" s="235"/>
      <c r="H587" s="236"/>
      <c r="I587" s="236"/>
      <c r="J587" s="236"/>
      <c r="K587" s="236"/>
      <c r="L587" s="236"/>
      <c r="M587" s="236"/>
      <c r="N587" s="236"/>
      <c r="O587" s="236"/>
      <c r="P587" s="236"/>
      <c r="Q587" s="236"/>
      <c r="R587" s="236"/>
      <c r="S587" s="236"/>
      <c r="T587" s="236"/>
      <c r="U587" s="236"/>
      <c r="V587" s="236"/>
      <c r="W587" s="237"/>
      <c r="X587" s="237"/>
      <c r="Y587" s="237"/>
      <c r="Z587" s="237"/>
      <c r="AA587" s="237"/>
      <c r="AB587" s="237"/>
      <c r="AC587" s="237"/>
      <c r="AD587" s="237"/>
      <c r="AE587" s="237"/>
      <c r="AF587" s="237"/>
      <c r="AG587" s="237"/>
      <c r="AH587" s="237"/>
      <c r="AI587" s="308"/>
      <c r="AJ587" s="308"/>
      <c r="AK587" s="308"/>
      <c r="AL587" s="308"/>
      <c r="AM587" s="98"/>
      <c r="AN587" s="98"/>
      <c r="AO587" s="98"/>
    </row>
    <row r="588" ht="14.25" customHeight="1">
      <c r="A588" s="98"/>
      <c r="B588" s="98"/>
      <c r="C588" s="98"/>
      <c r="D588" s="308"/>
      <c r="E588" s="98"/>
      <c r="F588" s="235"/>
      <c r="G588" s="235"/>
      <c r="H588" s="236"/>
      <c r="I588" s="236"/>
      <c r="J588" s="236"/>
      <c r="K588" s="236"/>
      <c r="L588" s="236"/>
      <c r="M588" s="236"/>
      <c r="N588" s="236"/>
      <c r="O588" s="236"/>
      <c r="P588" s="236"/>
      <c r="Q588" s="236"/>
      <c r="R588" s="236"/>
      <c r="S588" s="236"/>
      <c r="T588" s="236"/>
      <c r="U588" s="236"/>
      <c r="V588" s="236"/>
      <c r="W588" s="237"/>
      <c r="X588" s="237"/>
      <c r="Y588" s="237"/>
      <c r="Z588" s="237"/>
      <c r="AA588" s="237"/>
      <c r="AB588" s="237"/>
      <c r="AC588" s="237"/>
      <c r="AD588" s="237"/>
      <c r="AE588" s="237"/>
      <c r="AF588" s="237"/>
      <c r="AG588" s="237"/>
      <c r="AH588" s="237"/>
      <c r="AI588" s="308"/>
      <c r="AJ588" s="308"/>
      <c r="AK588" s="308"/>
      <c r="AL588" s="308"/>
      <c r="AM588" s="98"/>
      <c r="AN588" s="98"/>
      <c r="AO588" s="98"/>
    </row>
    <row r="589" ht="14.25" customHeight="1">
      <c r="A589" s="98"/>
      <c r="B589" s="98"/>
      <c r="C589" s="98"/>
      <c r="D589" s="308"/>
      <c r="E589" s="98"/>
      <c r="F589" s="235"/>
      <c r="G589" s="235"/>
      <c r="H589" s="236"/>
      <c r="I589" s="236"/>
      <c r="J589" s="236"/>
      <c r="K589" s="236"/>
      <c r="L589" s="236"/>
      <c r="M589" s="236"/>
      <c r="N589" s="236"/>
      <c r="O589" s="236"/>
      <c r="P589" s="236"/>
      <c r="Q589" s="236"/>
      <c r="R589" s="236"/>
      <c r="S589" s="236"/>
      <c r="T589" s="236"/>
      <c r="U589" s="236"/>
      <c r="V589" s="236"/>
      <c r="W589" s="237"/>
      <c r="X589" s="237"/>
      <c r="Y589" s="237"/>
      <c r="Z589" s="237"/>
      <c r="AA589" s="237"/>
      <c r="AB589" s="237"/>
      <c r="AC589" s="237"/>
      <c r="AD589" s="237"/>
      <c r="AE589" s="237"/>
      <c r="AF589" s="237"/>
      <c r="AG589" s="237"/>
      <c r="AH589" s="237"/>
      <c r="AI589" s="308"/>
      <c r="AJ589" s="308"/>
      <c r="AK589" s="308"/>
      <c r="AL589" s="308"/>
      <c r="AM589" s="98"/>
      <c r="AN589" s="98"/>
      <c r="AO589" s="98"/>
    </row>
    <row r="590" ht="14.25" customHeight="1">
      <c r="A590" s="98"/>
      <c r="B590" s="98"/>
      <c r="C590" s="98"/>
      <c r="D590" s="308"/>
      <c r="E590" s="98"/>
      <c r="F590" s="235"/>
      <c r="G590" s="235"/>
      <c r="H590" s="236"/>
      <c r="I590" s="236"/>
      <c r="J590" s="236"/>
      <c r="K590" s="236"/>
      <c r="L590" s="236"/>
      <c r="M590" s="236"/>
      <c r="N590" s="236"/>
      <c r="O590" s="236"/>
      <c r="P590" s="236"/>
      <c r="Q590" s="236"/>
      <c r="R590" s="236"/>
      <c r="S590" s="236"/>
      <c r="T590" s="236"/>
      <c r="U590" s="236"/>
      <c r="V590" s="236"/>
      <c r="W590" s="237"/>
      <c r="X590" s="237"/>
      <c r="Y590" s="237"/>
      <c r="Z590" s="237"/>
      <c r="AA590" s="237"/>
      <c r="AB590" s="237"/>
      <c r="AC590" s="237"/>
      <c r="AD590" s="237"/>
      <c r="AE590" s="237"/>
      <c r="AF590" s="237"/>
      <c r="AG590" s="237"/>
      <c r="AH590" s="237"/>
      <c r="AI590" s="308"/>
      <c r="AJ590" s="308"/>
      <c r="AK590" s="308"/>
      <c r="AL590" s="308"/>
      <c r="AM590" s="98"/>
      <c r="AN590" s="98"/>
      <c r="AO590" s="98"/>
    </row>
    <row r="591" ht="14.25" customHeight="1">
      <c r="A591" s="98"/>
      <c r="B591" s="98"/>
      <c r="C591" s="98"/>
      <c r="D591" s="308"/>
      <c r="E591" s="98"/>
      <c r="F591" s="235"/>
      <c r="G591" s="235"/>
      <c r="H591" s="236"/>
      <c r="I591" s="236"/>
      <c r="J591" s="236"/>
      <c r="K591" s="236"/>
      <c r="L591" s="236"/>
      <c r="M591" s="236"/>
      <c r="N591" s="236"/>
      <c r="O591" s="236"/>
      <c r="P591" s="236"/>
      <c r="Q591" s="236"/>
      <c r="R591" s="236"/>
      <c r="S591" s="236"/>
      <c r="T591" s="236"/>
      <c r="U591" s="236"/>
      <c r="V591" s="236"/>
      <c r="W591" s="237"/>
      <c r="X591" s="237"/>
      <c r="Y591" s="237"/>
      <c r="Z591" s="237"/>
      <c r="AA591" s="237"/>
      <c r="AB591" s="237"/>
      <c r="AC591" s="237"/>
      <c r="AD591" s="237"/>
      <c r="AE591" s="237"/>
      <c r="AF591" s="237"/>
      <c r="AG591" s="237"/>
      <c r="AH591" s="237"/>
      <c r="AI591" s="308"/>
      <c r="AJ591" s="308"/>
      <c r="AK591" s="308"/>
      <c r="AL591" s="308"/>
      <c r="AM591" s="98"/>
      <c r="AN591" s="98"/>
      <c r="AO591" s="98"/>
    </row>
    <row r="592" ht="14.25" customHeight="1">
      <c r="A592" s="98"/>
      <c r="B592" s="98"/>
      <c r="C592" s="98"/>
      <c r="D592" s="308"/>
      <c r="E592" s="98"/>
      <c r="F592" s="235"/>
      <c r="G592" s="235"/>
      <c r="H592" s="236"/>
      <c r="I592" s="236"/>
      <c r="J592" s="236"/>
      <c r="K592" s="236"/>
      <c r="L592" s="236"/>
      <c r="M592" s="236"/>
      <c r="N592" s="236"/>
      <c r="O592" s="236"/>
      <c r="P592" s="236"/>
      <c r="Q592" s="236"/>
      <c r="R592" s="236"/>
      <c r="S592" s="236"/>
      <c r="T592" s="236"/>
      <c r="U592" s="236"/>
      <c r="V592" s="236"/>
      <c r="W592" s="237"/>
      <c r="X592" s="237"/>
      <c r="Y592" s="237"/>
      <c r="Z592" s="237"/>
      <c r="AA592" s="237"/>
      <c r="AB592" s="237"/>
      <c r="AC592" s="237"/>
      <c r="AD592" s="237"/>
      <c r="AE592" s="237"/>
      <c r="AF592" s="237"/>
      <c r="AG592" s="237"/>
      <c r="AH592" s="237"/>
      <c r="AI592" s="308"/>
      <c r="AJ592" s="308"/>
      <c r="AK592" s="308"/>
      <c r="AL592" s="308"/>
      <c r="AM592" s="98"/>
      <c r="AN592" s="98"/>
      <c r="AO592" s="98"/>
    </row>
    <row r="593" ht="14.25" customHeight="1">
      <c r="A593" s="98"/>
      <c r="B593" s="98"/>
      <c r="C593" s="98"/>
      <c r="D593" s="308"/>
      <c r="E593" s="98"/>
      <c r="F593" s="235"/>
      <c r="G593" s="235"/>
      <c r="H593" s="236"/>
      <c r="I593" s="236"/>
      <c r="J593" s="236"/>
      <c r="K593" s="236"/>
      <c r="L593" s="236"/>
      <c r="M593" s="236"/>
      <c r="N593" s="236"/>
      <c r="O593" s="236"/>
      <c r="P593" s="236"/>
      <c r="Q593" s="236"/>
      <c r="R593" s="236"/>
      <c r="S593" s="236"/>
      <c r="T593" s="236"/>
      <c r="U593" s="236"/>
      <c r="V593" s="236"/>
      <c r="W593" s="237"/>
      <c r="X593" s="237"/>
      <c r="Y593" s="237"/>
      <c r="Z593" s="237"/>
      <c r="AA593" s="237"/>
      <c r="AB593" s="237"/>
      <c r="AC593" s="237"/>
      <c r="AD593" s="237"/>
      <c r="AE593" s="237"/>
      <c r="AF593" s="237"/>
      <c r="AG593" s="237"/>
      <c r="AH593" s="237"/>
      <c r="AI593" s="308"/>
      <c r="AJ593" s="308"/>
      <c r="AK593" s="308"/>
      <c r="AL593" s="308"/>
      <c r="AM593" s="98"/>
      <c r="AN593" s="98"/>
      <c r="AO593" s="98"/>
    </row>
    <row r="594" ht="14.25" customHeight="1">
      <c r="A594" s="98"/>
      <c r="B594" s="98"/>
      <c r="C594" s="98"/>
      <c r="D594" s="308"/>
      <c r="E594" s="98"/>
      <c r="F594" s="235"/>
      <c r="G594" s="235"/>
      <c r="H594" s="236"/>
      <c r="I594" s="236"/>
      <c r="J594" s="236"/>
      <c r="K594" s="236"/>
      <c r="L594" s="236"/>
      <c r="M594" s="236"/>
      <c r="N594" s="236"/>
      <c r="O594" s="236"/>
      <c r="P594" s="236"/>
      <c r="Q594" s="236"/>
      <c r="R594" s="236"/>
      <c r="S594" s="236"/>
      <c r="T594" s="236"/>
      <c r="U594" s="236"/>
      <c r="V594" s="236"/>
      <c r="W594" s="237"/>
      <c r="X594" s="237"/>
      <c r="Y594" s="237"/>
      <c r="Z594" s="237"/>
      <c r="AA594" s="237"/>
      <c r="AB594" s="237"/>
      <c r="AC594" s="237"/>
      <c r="AD594" s="237"/>
      <c r="AE594" s="237"/>
      <c r="AF594" s="237"/>
      <c r="AG594" s="237"/>
      <c r="AH594" s="237"/>
      <c r="AI594" s="308"/>
      <c r="AJ594" s="308"/>
      <c r="AK594" s="308"/>
      <c r="AL594" s="308"/>
      <c r="AM594" s="98"/>
      <c r="AN594" s="98"/>
      <c r="AO594" s="98"/>
    </row>
    <row r="595" ht="14.25" customHeight="1">
      <c r="A595" s="98"/>
      <c r="B595" s="98"/>
      <c r="C595" s="98"/>
      <c r="D595" s="308"/>
      <c r="E595" s="98"/>
      <c r="F595" s="235"/>
      <c r="G595" s="235"/>
      <c r="H595" s="236"/>
      <c r="I595" s="236"/>
      <c r="J595" s="236"/>
      <c r="K595" s="236"/>
      <c r="L595" s="236"/>
      <c r="M595" s="236"/>
      <c r="N595" s="236"/>
      <c r="O595" s="236"/>
      <c r="P595" s="236"/>
      <c r="Q595" s="236"/>
      <c r="R595" s="236"/>
      <c r="S595" s="236"/>
      <c r="T595" s="236"/>
      <c r="U595" s="236"/>
      <c r="V595" s="236"/>
      <c r="W595" s="237"/>
      <c r="X595" s="237"/>
      <c r="Y595" s="237"/>
      <c r="Z595" s="237"/>
      <c r="AA595" s="237"/>
      <c r="AB595" s="237"/>
      <c r="AC595" s="237"/>
      <c r="AD595" s="237"/>
      <c r="AE595" s="237"/>
      <c r="AF595" s="237"/>
      <c r="AG595" s="237"/>
      <c r="AH595" s="237"/>
      <c r="AI595" s="308"/>
      <c r="AJ595" s="308"/>
      <c r="AK595" s="308"/>
      <c r="AL595" s="308"/>
      <c r="AM595" s="98"/>
      <c r="AN595" s="98"/>
      <c r="AO595" s="98"/>
    </row>
    <row r="596" ht="14.25" customHeight="1">
      <c r="A596" s="98"/>
      <c r="B596" s="98"/>
      <c r="C596" s="98"/>
      <c r="D596" s="308"/>
      <c r="E596" s="98"/>
      <c r="F596" s="235"/>
      <c r="G596" s="235"/>
      <c r="H596" s="236"/>
      <c r="I596" s="236"/>
      <c r="J596" s="236"/>
      <c r="K596" s="236"/>
      <c r="L596" s="236"/>
      <c r="M596" s="236"/>
      <c r="N596" s="236"/>
      <c r="O596" s="236"/>
      <c r="P596" s="236"/>
      <c r="Q596" s="236"/>
      <c r="R596" s="236"/>
      <c r="S596" s="236"/>
      <c r="T596" s="236"/>
      <c r="U596" s="236"/>
      <c r="V596" s="236"/>
      <c r="W596" s="237"/>
      <c r="X596" s="237"/>
      <c r="Y596" s="237"/>
      <c r="Z596" s="237"/>
      <c r="AA596" s="237"/>
      <c r="AB596" s="237"/>
      <c r="AC596" s="237"/>
      <c r="AD596" s="237"/>
      <c r="AE596" s="237"/>
      <c r="AF596" s="237"/>
      <c r="AG596" s="237"/>
      <c r="AH596" s="237"/>
      <c r="AI596" s="308"/>
      <c r="AJ596" s="308"/>
      <c r="AK596" s="308"/>
      <c r="AL596" s="308"/>
      <c r="AM596" s="98"/>
      <c r="AN596" s="98"/>
      <c r="AO596" s="98"/>
    </row>
    <row r="597" ht="14.25" customHeight="1">
      <c r="A597" s="98"/>
      <c r="B597" s="98"/>
      <c r="C597" s="98"/>
      <c r="D597" s="308"/>
      <c r="E597" s="98"/>
      <c r="F597" s="235"/>
      <c r="G597" s="235"/>
      <c r="H597" s="236"/>
      <c r="I597" s="236"/>
      <c r="J597" s="236"/>
      <c r="K597" s="236"/>
      <c r="L597" s="236"/>
      <c r="M597" s="236"/>
      <c r="N597" s="236"/>
      <c r="O597" s="236"/>
      <c r="P597" s="236"/>
      <c r="Q597" s="236"/>
      <c r="R597" s="236"/>
      <c r="S597" s="236"/>
      <c r="T597" s="236"/>
      <c r="U597" s="236"/>
      <c r="V597" s="236"/>
      <c r="W597" s="237"/>
      <c r="X597" s="237"/>
      <c r="Y597" s="237"/>
      <c r="Z597" s="237"/>
      <c r="AA597" s="237"/>
      <c r="AB597" s="237"/>
      <c r="AC597" s="237"/>
      <c r="AD597" s="237"/>
      <c r="AE597" s="237"/>
      <c r="AF597" s="237"/>
      <c r="AG597" s="237"/>
      <c r="AH597" s="237"/>
      <c r="AI597" s="308"/>
      <c r="AJ597" s="308"/>
      <c r="AK597" s="308"/>
      <c r="AL597" s="308"/>
      <c r="AM597" s="98"/>
      <c r="AN597" s="98"/>
      <c r="AO597" s="98"/>
    </row>
    <row r="598" ht="14.25" customHeight="1">
      <c r="A598" s="98"/>
      <c r="B598" s="98"/>
      <c r="C598" s="98"/>
      <c r="D598" s="308"/>
      <c r="E598" s="98"/>
      <c r="F598" s="235"/>
      <c r="G598" s="235"/>
      <c r="H598" s="236"/>
      <c r="I598" s="236"/>
      <c r="J598" s="236"/>
      <c r="K598" s="236"/>
      <c r="L598" s="236"/>
      <c r="M598" s="236"/>
      <c r="N598" s="236"/>
      <c r="O598" s="236"/>
      <c r="P598" s="236"/>
      <c r="Q598" s="236"/>
      <c r="R598" s="236"/>
      <c r="S598" s="236"/>
      <c r="T598" s="236"/>
      <c r="U598" s="236"/>
      <c r="V598" s="236"/>
      <c r="W598" s="237"/>
      <c r="X598" s="237"/>
      <c r="Y598" s="237"/>
      <c r="Z598" s="237"/>
      <c r="AA598" s="237"/>
      <c r="AB598" s="237"/>
      <c r="AC598" s="237"/>
      <c r="AD598" s="237"/>
      <c r="AE598" s="237"/>
      <c r="AF598" s="237"/>
      <c r="AG598" s="237"/>
      <c r="AH598" s="237"/>
      <c r="AI598" s="308"/>
      <c r="AJ598" s="308"/>
      <c r="AK598" s="308"/>
      <c r="AL598" s="308"/>
      <c r="AM598" s="98"/>
      <c r="AN598" s="98"/>
      <c r="AO598" s="98"/>
    </row>
    <row r="599" ht="14.25" customHeight="1">
      <c r="A599" s="98"/>
      <c r="B599" s="98"/>
      <c r="C599" s="98"/>
      <c r="D599" s="308"/>
      <c r="E599" s="98"/>
      <c r="F599" s="235"/>
      <c r="G599" s="235"/>
      <c r="H599" s="236"/>
      <c r="I599" s="236"/>
      <c r="J599" s="236"/>
      <c r="K599" s="236"/>
      <c r="L599" s="236"/>
      <c r="M599" s="236"/>
      <c r="N599" s="236"/>
      <c r="O599" s="236"/>
      <c r="P599" s="236"/>
      <c r="Q599" s="236"/>
      <c r="R599" s="236"/>
      <c r="S599" s="236"/>
      <c r="T599" s="236"/>
      <c r="U599" s="236"/>
      <c r="V599" s="236"/>
      <c r="W599" s="237"/>
      <c r="X599" s="237"/>
      <c r="Y599" s="237"/>
      <c r="Z599" s="237"/>
      <c r="AA599" s="237"/>
      <c r="AB599" s="237"/>
      <c r="AC599" s="237"/>
      <c r="AD599" s="237"/>
      <c r="AE599" s="237"/>
      <c r="AF599" s="237"/>
      <c r="AG599" s="237"/>
      <c r="AH599" s="237"/>
      <c r="AI599" s="308"/>
      <c r="AJ599" s="308"/>
      <c r="AK599" s="308"/>
      <c r="AL599" s="308"/>
      <c r="AM599" s="98"/>
      <c r="AN599" s="98"/>
      <c r="AO599" s="98"/>
    </row>
    <row r="600" ht="14.25" customHeight="1">
      <c r="A600" s="98"/>
      <c r="B600" s="98"/>
      <c r="C600" s="98"/>
      <c r="D600" s="308"/>
      <c r="E600" s="98"/>
      <c r="F600" s="235"/>
      <c r="G600" s="235"/>
      <c r="H600" s="236"/>
      <c r="I600" s="236"/>
      <c r="J600" s="236"/>
      <c r="K600" s="236"/>
      <c r="L600" s="236"/>
      <c r="M600" s="236"/>
      <c r="N600" s="236"/>
      <c r="O600" s="236"/>
      <c r="P600" s="236"/>
      <c r="Q600" s="236"/>
      <c r="R600" s="236"/>
      <c r="S600" s="236"/>
      <c r="T600" s="236"/>
      <c r="U600" s="236"/>
      <c r="V600" s="236"/>
      <c r="W600" s="237"/>
      <c r="X600" s="237"/>
      <c r="Y600" s="237"/>
      <c r="Z600" s="237"/>
      <c r="AA600" s="237"/>
      <c r="AB600" s="237"/>
      <c r="AC600" s="237"/>
      <c r="AD600" s="237"/>
      <c r="AE600" s="237"/>
      <c r="AF600" s="237"/>
      <c r="AG600" s="237"/>
      <c r="AH600" s="237"/>
      <c r="AI600" s="308"/>
      <c r="AJ600" s="308"/>
      <c r="AK600" s="308"/>
      <c r="AL600" s="308"/>
      <c r="AM600" s="98"/>
      <c r="AN600" s="98"/>
      <c r="AO600" s="98"/>
    </row>
    <row r="601" ht="14.25" customHeight="1">
      <c r="A601" s="98"/>
      <c r="B601" s="98"/>
      <c r="C601" s="98"/>
      <c r="D601" s="308"/>
      <c r="E601" s="98"/>
      <c r="F601" s="235"/>
      <c r="G601" s="235"/>
      <c r="H601" s="236"/>
      <c r="I601" s="236"/>
      <c r="J601" s="236"/>
      <c r="K601" s="236"/>
      <c r="L601" s="236"/>
      <c r="M601" s="236"/>
      <c r="N601" s="236"/>
      <c r="O601" s="236"/>
      <c r="P601" s="236"/>
      <c r="Q601" s="236"/>
      <c r="R601" s="236"/>
      <c r="S601" s="236"/>
      <c r="T601" s="236"/>
      <c r="U601" s="236"/>
      <c r="V601" s="236"/>
      <c r="W601" s="237"/>
      <c r="X601" s="237"/>
      <c r="Y601" s="237"/>
      <c r="Z601" s="237"/>
      <c r="AA601" s="237"/>
      <c r="AB601" s="237"/>
      <c r="AC601" s="237"/>
      <c r="AD601" s="237"/>
      <c r="AE601" s="237"/>
      <c r="AF601" s="237"/>
      <c r="AG601" s="237"/>
      <c r="AH601" s="237"/>
      <c r="AI601" s="308"/>
      <c r="AJ601" s="308"/>
      <c r="AK601" s="308"/>
      <c r="AL601" s="308"/>
      <c r="AM601" s="98"/>
      <c r="AN601" s="98"/>
      <c r="AO601" s="98"/>
    </row>
    <row r="602" ht="14.25" customHeight="1">
      <c r="A602" s="98"/>
      <c r="B602" s="98"/>
      <c r="C602" s="98"/>
      <c r="D602" s="308"/>
      <c r="E602" s="98"/>
      <c r="F602" s="235"/>
      <c r="G602" s="235"/>
      <c r="H602" s="236"/>
      <c r="I602" s="236"/>
      <c r="J602" s="236"/>
      <c r="K602" s="236"/>
      <c r="L602" s="236"/>
      <c r="M602" s="236"/>
      <c r="N602" s="236"/>
      <c r="O602" s="236"/>
      <c r="P602" s="236"/>
      <c r="Q602" s="236"/>
      <c r="R602" s="236"/>
      <c r="S602" s="236"/>
      <c r="T602" s="236"/>
      <c r="U602" s="236"/>
      <c r="V602" s="236"/>
      <c r="W602" s="237"/>
      <c r="X602" s="237"/>
      <c r="Y602" s="237"/>
      <c r="Z602" s="237"/>
      <c r="AA602" s="237"/>
      <c r="AB602" s="237"/>
      <c r="AC602" s="237"/>
      <c r="AD602" s="237"/>
      <c r="AE602" s="237"/>
      <c r="AF602" s="237"/>
      <c r="AG602" s="237"/>
      <c r="AH602" s="237"/>
      <c r="AI602" s="308"/>
      <c r="AJ602" s="308"/>
      <c r="AK602" s="308"/>
      <c r="AL602" s="308"/>
      <c r="AM602" s="98"/>
      <c r="AN602" s="98"/>
      <c r="AO602" s="98"/>
    </row>
    <row r="603" ht="14.25" customHeight="1">
      <c r="A603" s="98"/>
      <c r="B603" s="98"/>
      <c r="C603" s="98"/>
      <c r="D603" s="308"/>
      <c r="E603" s="98"/>
      <c r="F603" s="235"/>
      <c r="G603" s="235"/>
      <c r="H603" s="236"/>
      <c r="I603" s="236"/>
      <c r="J603" s="236"/>
      <c r="K603" s="236"/>
      <c r="L603" s="236"/>
      <c r="M603" s="236"/>
      <c r="N603" s="236"/>
      <c r="O603" s="236"/>
      <c r="P603" s="236"/>
      <c r="Q603" s="236"/>
      <c r="R603" s="236"/>
      <c r="S603" s="236"/>
      <c r="T603" s="236"/>
      <c r="U603" s="236"/>
      <c r="V603" s="236"/>
      <c r="W603" s="237"/>
      <c r="X603" s="237"/>
      <c r="Y603" s="237"/>
      <c r="Z603" s="237"/>
      <c r="AA603" s="237"/>
      <c r="AB603" s="237"/>
      <c r="AC603" s="237"/>
      <c r="AD603" s="237"/>
      <c r="AE603" s="237"/>
      <c r="AF603" s="237"/>
      <c r="AG603" s="237"/>
      <c r="AH603" s="237"/>
      <c r="AI603" s="308"/>
      <c r="AJ603" s="308"/>
      <c r="AK603" s="308"/>
      <c r="AL603" s="308"/>
      <c r="AM603" s="98"/>
      <c r="AN603" s="98"/>
      <c r="AO603" s="98"/>
    </row>
    <row r="604" ht="14.25" customHeight="1">
      <c r="A604" s="98"/>
      <c r="B604" s="98"/>
      <c r="C604" s="98"/>
      <c r="D604" s="308"/>
      <c r="E604" s="98"/>
      <c r="F604" s="235"/>
      <c r="G604" s="235"/>
      <c r="H604" s="236"/>
      <c r="I604" s="236"/>
      <c r="J604" s="236"/>
      <c r="K604" s="236"/>
      <c r="L604" s="236"/>
      <c r="M604" s="236"/>
      <c r="N604" s="236"/>
      <c r="O604" s="236"/>
      <c r="P604" s="236"/>
      <c r="Q604" s="236"/>
      <c r="R604" s="236"/>
      <c r="S604" s="236"/>
      <c r="T604" s="236"/>
      <c r="U604" s="236"/>
      <c r="V604" s="236"/>
      <c r="W604" s="237"/>
      <c r="X604" s="237"/>
      <c r="Y604" s="237"/>
      <c r="Z604" s="237"/>
      <c r="AA604" s="237"/>
      <c r="AB604" s="237"/>
      <c r="AC604" s="237"/>
      <c r="AD604" s="237"/>
      <c r="AE604" s="237"/>
      <c r="AF604" s="237"/>
      <c r="AG604" s="237"/>
      <c r="AH604" s="237"/>
      <c r="AI604" s="308"/>
      <c r="AJ604" s="308"/>
      <c r="AK604" s="308"/>
      <c r="AL604" s="308"/>
      <c r="AM604" s="98"/>
      <c r="AN604" s="98"/>
      <c r="AO604" s="98"/>
    </row>
    <row r="605" ht="14.25" customHeight="1">
      <c r="A605" s="98"/>
      <c r="B605" s="98"/>
      <c r="C605" s="98"/>
      <c r="D605" s="308"/>
      <c r="E605" s="98"/>
      <c r="F605" s="235"/>
      <c r="G605" s="235"/>
      <c r="H605" s="236"/>
      <c r="I605" s="236"/>
      <c r="J605" s="236"/>
      <c r="K605" s="236"/>
      <c r="L605" s="236"/>
      <c r="M605" s="236"/>
      <c r="N605" s="236"/>
      <c r="O605" s="236"/>
      <c r="P605" s="236"/>
      <c r="Q605" s="236"/>
      <c r="R605" s="236"/>
      <c r="S605" s="236"/>
      <c r="T605" s="236"/>
      <c r="U605" s="236"/>
      <c r="V605" s="236"/>
      <c r="W605" s="237"/>
      <c r="X605" s="237"/>
      <c r="Y605" s="237"/>
      <c r="Z605" s="237"/>
      <c r="AA605" s="237"/>
      <c r="AB605" s="237"/>
      <c r="AC605" s="237"/>
      <c r="AD605" s="237"/>
      <c r="AE605" s="237"/>
      <c r="AF605" s="237"/>
      <c r="AG605" s="237"/>
      <c r="AH605" s="237"/>
      <c r="AI605" s="308"/>
      <c r="AJ605" s="308"/>
      <c r="AK605" s="308"/>
      <c r="AL605" s="308"/>
      <c r="AM605" s="98"/>
      <c r="AN605" s="98"/>
      <c r="AO605" s="98"/>
    </row>
    <row r="606" ht="14.25" customHeight="1">
      <c r="A606" s="98"/>
      <c r="B606" s="98"/>
      <c r="C606" s="98"/>
      <c r="D606" s="308"/>
      <c r="E606" s="98"/>
      <c r="F606" s="235"/>
      <c r="G606" s="235"/>
      <c r="H606" s="236"/>
      <c r="I606" s="236"/>
      <c r="J606" s="236"/>
      <c r="K606" s="236"/>
      <c r="L606" s="236"/>
      <c r="M606" s="236"/>
      <c r="N606" s="236"/>
      <c r="O606" s="236"/>
      <c r="P606" s="236"/>
      <c r="Q606" s="236"/>
      <c r="R606" s="236"/>
      <c r="S606" s="236"/>
      <c r="T606" s="236"/>
      <c r="U606" s="236"/>
      <c r="V606" s="236"/>
      <c r="W606" s="237"/>
      <c r="X606" s="237"/>
      <c r="Y606" s="237"/>
      <c r="Z606" s="237"/>
      <c r="AA606" s="237"/>
      <c r="AB606" s="237"/>
      <c r="AC606" s="237"/>
      <c r="AD606" s="237"/>
      <c r="AE606" s="237"/>
      <c r="AF606" s="237"/>
      <c r="AG606" s="237"/>
      <c r="AH606" s="237"/>
      <c r="AI606" s="308"/>
      <c r="AJ606" s="308"/>
      <c r="AK606" s="308"/>
      <c r="AL606" s="308"/>
      <c r="AM606" s="98"/>
      <c r="AN606" s="98"/>
      <c r="AO606" s="98"/>
    </row>
    <row r="607" ht="14.25" customHeight="1">
      <c r="A607" s="98"/>
      <c r="B607" s="98"/>
      <c r="C607" s="98"/>
      <c r="D607" s="308"/>
      <c r="E607" s="98"/>
      <c r="F607" s="235"/>
      <c r="G607" s="235"/>
      <c r="H607" s="236"/>
      <c r="I607" s="236"/>
      <c r="J607" s="236"/>
      <c r="K607" s="236"/>
      <c r="L607" s="236"/>
      <c r="M607" s="236"/>
      <c r="N607" s="236"/>
      <c r="O607" s="236"/>
      <c r="P607" s="236"/>
      <c r="Q607" s="236"/>
      <c r="R607" s="236"/>
      <c r="S607" s="236"/>
      <c r="T607" s="236"/>
      <c r="U607" s="236"/>
      <c r="V607" s="236"/>
      <c r="W607" s="237"/>
      <c r="X607" s="237"/>
      <c r="Y607" s="237"/>
      <c r="Z607" s="237"/>
      <c r="AA607" s="237"/>
      <c r="AB607" s="237"/>
      <c r="AC607" s="237"/>
      <c r="AD607" s="237"/>
      <c r="AE607" s="237"/>
      <c r="AF607" s="237"/>
      <c r="AG607" s="237"/>
      <c r="AH607" s="237"/>
      <c r="AI607" s="308"/>
      <c r="AJ607" s="308"/>
      <c r="AK607" s="308"/>
      <c r="AL607" s="308"/>
      <c r="AM607" s="98"/>
      <c r="AN607" s="98"/>
      <c r="AO607" s="98"/>
    </row>
    <row r="608" ht="14.25" customHeight="1">
      <c r="A608" s="98"/>
      <c r="B608" s="98"/>
      <c r="C608" s="98"/>
      <c r="D608" s="308"/>
      <c r="E608" s="98"/>
      <c r="F608" s="235"/>
      <c r="G608" s="235"/>
      <c r="H608" s="236"/>
      <c r="I608" s="236"/>
      <c r="J608" s="236"/>
      <c r="K608" s="236"/>
      <c r="L608" s="236"/>
      <c r="M608" s="236"/>
      <c r="N608" s="236"/>
      <c r="O608" s="236"/>
      <c r="P608" s="236"/>
      <c r="Q608" s="236"/>
      <c r="R608" s="236"/>
      <c r="S608" s="236"/>
      <c r="T608" s="236"/>
      <c r="U608" s="236"/>
      <c r="V608" s="236"/>
      <c r="W608" s="237"/>
      <c r="X608" s="237"/>
      <c r="Y608" s="237"/>
      <c r="Z608" s="237"/>
      <c r="AA608" s="237"/>
      <c r="AB608" s="237"/>
      <c r="AC608" s="237"/>
      <c r="AD608" s="237"/>
      <c r="AE608" s="237"/>
      <c r="AF608" s="237"/>
      <c r="AG608" s="237"/>
      <c r="AH608" s="237"/>
      <c r="AI608" s="308"/>
      <c r="AJ608" s="308"/>
      <c r="AK608" s="308"/>
      <c r="AL608" s="308"/>
      <c r="AM608" s="98"/>
      <c r="AN608" s="98"/>
      <c r="AO608" s="98"/>
    </row>
    <row r="609" ht="14.25" customHeight="1">
      <c r="A609" s="98"/>
      <c r="B609" s="98"/>
      <c r="C609" s="98"/>
      <c r="D609" s="308"/>
      <c r="E609" s="98"/>
      <c r="F609" s="235"/>
      <c r="G609" s="235"/>
      <c r="H609" s="236"/>
      <c r="I609" s="236"/>
      <c r="J609" s="236"/>
      <c r="K609" s="236"/>
      <c r="L609" s="236"/>
      <c r="M609" s="236"/>
      <c r="N609" s="236"/>
      <c r="O609" s="236"/>
      <c r="P609" s="236"/>
      <c r="Q609" s="236"/>
      <c r="R609" s="236"/>
      <c r="S609" s="236"/>
      <c r="T609" s="236"/>
      <c r="U609" s="236"/>
      <c r="V609" s="236"/>
      <c r="W609" s="237"/>
      <c r="X609" s="237"/>
      <c r="Y609" s="237"/>
      <c r="Z609" s="237"/>
      <c r="AA609" s="237"/>
      <c r="AB609" s="237"/>
      <c r="AC609" s="237"/>
      <c r="AD609" s="237"/>
      <c r="AE609" s="237"/>
      <c r="AF609" s="237"/>
      <c r="AG609" s="237"/>
      <c r="AH609" s="237"/>
      <c r="AI609" s="308"/>
      <c r="AJ609" s="308"/>
      <c r="AK609" s="308"/>
      <c r="AL609" s="308"/>
      <c r="AM609" s="98"/>
      <c r="AN609" s="98"/>
      <c r="AO609" s="98"/>
    </row>
    <row r="610" ht="14.25" customHeight="1">
      <c r="A610" s="98"/>
      <c r="B610" s="98"/>
      <c r="C610" s="98"/>
      <c r="D610" s="308"/>
      <c r="E610" s="98"/>
      <c r="F610" s="235"/>
      <c r="G610" s="235"/>
      <c r="H610" s="236"/>
      <c r="I610" s="236"/>
      <c r="J610" s="236"/>
      <c r="K610" s="236"/>
      <c r="L610" s="236"/>
      <c r="M610" s="236"/>
      <c r="N610" s="236"/>
      <c r="O610" s="236"/>
      <c r="P610" s="236"/>
      <c r="Q610" s="236"/>
      <c r="R610" s="236"/>
      <c r="S610" s="236"/>
      <c r="T610" s="236"/>
      <c r="U610" s="236"/>
      <c r="V610" s="236"/>
      <c r="W610" s="237"/>
      <c r="X610" s="237"/>
      <c r="Y610" s="237"/>
      <c r="Z610" s="237"/>
      <c r="AA610" s="237"/>
      <c r="AB610" s="237"/>
      <c r="AC610" s="237"/>
      <c r="AD610" s="237"/>
      <c r="AE610" s="237"/>
      <c r="AF610" s="237"/>
      <c r="AG610" s="237"/>
      <c r="AH610" s="237"/>
      <c r="AI610" s="308"/>
      <c r="AJ610" s="308"/>
      <c r="AK610" s="308"/>
      <c r="AL610" s="308"/>
      <c r="AM610" s="98"/>
      <c r="AN610" s="98"/>
      <c r="AO610" s="98"/>
    </row>
    <row r="611" ht="14.25" customHeight="1">
      <c r="A611" s="98"/>
      <c r="B611" s="98"/>
      <c r="C611" s="98"/>
      <c r="D611" s="308"/>
      <c r="E611" s="98"/>
      <c r="F611" s="235"/>
      <c r="G611" s="235"/>
      <c r="H611" s="236"/>
      <c r="I611" s="236"/>
      <c r="J611" s="236"/>
      <c r="K611" s="236"/>
      <c r="L611" s="236"/>
      <c r="M611" s="236"/>
      <c r="N611" s="236"/>
      <c r="O611" s="236"/>
      <c r="P611" s="236"/>
      <c r="Q611" s="236"/>
      <c r="R611" s="236"/>
      <c r="S611" s="236"/>
      <c r="T611" s="236"/>
      <c r="U611" s="236"/>
      <c r="V611" s="236"/>
      <c r="W611" s="237"/>
      <c r="X611" s="237"/>
      <c r="Y611" s="237"/>
      <c r="Z611" s="237"/>
      <c r="AA611" s="237"/>
      <c r="AB611" s="237"/>
      <c r="AC611" s="237"/>
      <c r="AD611" s="237"/>
      <c r="AE611" s="237"/>
      <c r="AF611" s="237"/>
      <c r="AG611" s="237"/>
      <c r="AH611" s="237"/>
      <c r="AI611" s="308"/>
      <c r="AJ611" s="308"/>
      <c r="AK611" s="308"/>
      <c r="AL611" s="308"/>
      <c r="AM611" s="98"/>
      <c r="AN611" s="98"/>
      <c r="AO611" s="98"/>
    </row>
    <row r="612" ht="14.25" customHeight="1">
      <c r="A612" s="98"/>
      <c r="B612" s="98"/>
      <c r="C612" s="98"/>
      <c r="D612" s="308"/>
      <c r="E612" s="98"/>
      <c r="F612" s="235"/>
      <c r="G612" s="235"/>
      <c r="H612" s="236"/>
      <c r="I612" s="236"/>
      <c r="J612" s="236"/>
      <c r="K612" s="236"/>
      <c r="L612" s="236"/>
      <c r="M612" s="236"/>
      <c r="N612" s="236"/>
      <c r="O612" s="236"/>
      <c r="P612" s="236"/>
      <c r="Q612" s="236"/>
      <c r="R612" s="236"/>
      <c r="S612" s="236"/>
      <c r="T612" s="236"/>
      <c r="U612" s="236"/>
      <c r="V612" s="236"/>
      <c r="W612" s="237"/>
      <c r="X612" s="237"/>
      <c r="Y612" s="237"/>
      <c r="Z612" s="237"/>
      <c r="AA612" s="237"/>
      <c r="AB612" s="237"/>
      <c r="AC612" s="237"/>
      <c r="AD612" s="237"/>
      <c r="AE612" s="237"/>
      <c r="AF612" s="237"/>
      <c r="AG612" s="237"/>
      <c r="AH612" s="237"/>
      <c r="AI612" s="308"/>
      <c r="AJ612" s="308"/>
      <c r="AK612" s="308"/>
      <c r="AL612" s="308"/>
      <c r="AM612" s="98"/>
      <c r="AN612" s="98"/>
      <c r="AO612" s="98"/>
    </row>
    <row r="613" ht="14.25" customHeight="1">
      <c r="A613" s="98"/>
      <c r="B613" s="98"/>
      <c r="C613" s="98"/>
      <c r="D613" s="308"/>
      <c r="E613" s="98"/>
      <c r="F613" s="235"/>
      <c r="G613" s="235"/>
      <c r="H613" s="236"/>
      <c r="I613" s="236"/>
      <c r="J613" s="236"/>
      <c r="K613" s="236"/>
      <c r="L613" s="236"/>
      <c r="M613" s="236"/>
      <c r="N613" s="236"/>
      <c r="O613" s="236"/>
      <c r="P613" s="236"/>
      <c r="Q613" s="236"/>
      <c r="R613" s="236"/>
      <c r="S613" s="236"/>
      <c r="T613" s="236"/>
      <c r="U613" s="236"/>
      <c r="V613" s="236"/>
      <c r="W613" s="237"/>
      <c r="X613" s="237"/>
      <c r="Y613" s="237"/>
      <c r="Z613" s="237"/>
      <c r="AA613" s="237"/>
      <c r="AB613" s="237"/>
      <c r="AC613" s="237"/>
      <c r="AD613" s="237"/>
      <c r="AE613" s="237"/>
      <c r="AF613" s="237"/>
      <c r="AG613" s="237"/>
      <c r="AH613" s="237"/>
      <c r="AI613" s="308"/>
      <c r="AJ613" s="308"/>
      <c r="AK613" s="308"/>
      <c r="AL613" s="308"/>
      <c r="AM613" s="98"/>
      <c r="AN613" s="98"/>
      <c r="AO613" s="98"/>
    </row>
    <row r="614" ht="14.25" customHeight="1">
      <c r="A614" s="98"/>
      <c r="B614" s="98"/>
      <c r="C614" s="98"/>
      <c r="D614" s="308"/>
      <c r="E614" s="98"/>
      <c r="F614" s="235"/>
      <c r="G614" s="235"/>
      <c r="H614" s="236"/>
      <c r="I614" s="236"/>
      <c r="J614" s="236"/>
      <c r="K614" s="236"/>
      <c r="L614" s="236"/>
      <c r="M614" s="236"/>
      <c r="N614" s="236"/>
      <c r="O614" s="236"/>
      <c r="P614" s="236"/>
      <c r="Q614" s="236"/>
      <c r="R614" s="236"/>
      <c r="S614" s="236"/>
      <c r="T614" s="236"/>
      <c r="U614" s="236"/>
      <c r="V614" s="236"/>
      <c r="W614" s="237"/>
      <c r="X614" s="237"/>
      <c r="Y614" s="237"/>
      <c r="Z614" s="237"/>
      <c r="AA614" s="237"/>
      <c r="AB614" s="237"/>
      <c r="AC614" s="237"/>
      <c r="AD614" s="237"/>
      <c r="AE614" s="237"/>
      <c r="AF614" s="237"/>
      <c r="AG614" s="237"/>
      <c r="AH614" s="237"/>
      <c r="AI614" s="308"/>
      <c r="AJ614" s="308"/>
      <c r="AK614" s="308"/>
      <c r="AL614" s="308"/>
      <c r="AM614" s="98"/>
      <c r="AN614" s="98"/>
      <c r="AO614" s="98"/>
    </row>
    <row r="615" ht="14.25" customHeight="1">
      <c r="A615" s="98"/>
      <c r="B615" s="98"/>
      <c r="C615" s="98"/>
      <c r="D615" s="308"/>
      <c r="E615" s="98"/>
      <c r="F615" s="235"/>
      <c r="G615" s="235"/>
      <c r="H615" s="236"/>
      <c r="I615" s="236"/>
      <c r="J615" s="236"/>
      <c r="K615" s="236"/>
      <c r="L615" s="236"/>
      <c r="M615" s="236"/>
      <c r="N615" s="236"/>
      <c r="O615" s="236"/>
      <c r="P615" s="236"/>
      <c r="Q615" s="236"/>
      <c r="R615" s="236"/>
      <c r="S615" s="236"/>
      <c r="T615" s="236"/>
      <c r="U615" s="236"/>
      <c r="V615" s="236"/>
      <c r="W615" s="237"/>
      <c r="X615" s="237"/>
      <c r="Y615" s="237"/>
      <c r="Z615" s="237"/>
      <c r="AA615" s="237"/>
      <c r="AB615" s="237"/>
      <c r="AC615" s="237"/>
      <c r="AD615" s="237"/>
      <c r="AE615" s="237"/>
      <c r="AF615" s="237"/>
      <c r="AG615" s="237"/>
      <c r="AH615" s="237"/>
      <c r="AI615" s="308"/>
      <c r="AJ615" s="308"/>
      <c r="AK615" s="308"/>
      <c r="AL615" s="308"/>
      <c r="AM615" s="98"/>
      <c r="AN615" s="98"/>
      <c r="AO615" s="98"/>
    </row>
    <row r="616" ht="14.25" customHeight="1">
      <c r="A616" s="98"/>
      <c r="B616" s="98"/>
      <c r="C616" s="98"/>
      <c r="D616" s="308"/>
      <c r="E616" s="98"/>
      <c r="F616" s="235"/>
      <c r="G616" s="235"/>
      <c r="H616" s="236"/>
      <c r="I616" s="236"/>
      <c r="J616" s="236"/>
      <c r="K616" s="236"/>
      <c r="L616" s="236"/>
      <c r="M616" s="236"/>
      <c r="N616" s="236"/>
      <c r="O616" s="236"/>
      <c r="P616" s="236"/>
      <c r="Q616" s="236"/>
      <c r="R616" s="236"/>
      <c r="S616" s="236"/>
      <c r="T616" s="236"/>
      <c r="U616" s="236"/>
      <c r="V616" s="236"/>
      <c r="W616" s="237"/>
      <c r="X616" s="237"/>
      <c r="Y616" s="237"/>
      <c r="Z616" s="237"/>
      <c r="AA616" s="237"/>
      <c r="AB616" s="237"/>
      <c r="AC616" s="237"/>
      <c r="AD616" s="237"/>
      <c r="AE616" s="237"/>
      <c r="AF616" s="237"/>
      <c r="AG616" s="237"/>
      <c r="AH616" s="237"/>
      <c r="AI616" s="308"/>
      <c r="AJ616" s="308"/>
      <c r="AK616" s="308"/>
      <c r="AL616" s="308"/>
      <c r="AM616" s="98"/>
      <c r="AN616" s="98"/>
      <c r="AO616" s="98"/>
    </row>
    <row r="617" ht="14.25" customHeight="1">
      <c r="A617" s="98"/>
      <c r="B617" s="98"/>
      <c r="C617" s="98"/>
      <c r="D617" s="308"/>
      <c r="E617" s="98"/>
      <c r="F617" s="235"/>
      <c r="G617" s="235"/>
      <c r="H617" s="236"/>
      <c r="I617" s="236"/>
      <c r="J617" s="236"/>
      <c r="K617" s="236"/>
      <c r="L617" s="236"/>
      <c r="M617" s="236"/>
      <c r="N617" s="236"/>
      <c r="O617" s="236"/>
      <c r="P617" s="236"/>
      <c r="Q617" s="236"/>
      <c r="R617" s="236"/>
      <c r="S617" s="236"/>
      <c r="T617" s="236"/>
      <c r="U617" s="236"/>
      <c r="V617" s="236"/>
      <c r="W617" s="237"/>
      <c r="X617" s="237"/>
      <c r="Y617" s="237"/>
      <c r="Z617" s="237"/>
      <c r="AA617" s="237"/>
      <c r="AB617" s="237"/>
      <c r="AC617" s="237"/>
      <c r="AD617" s="237"/>
      <c r="AE617" s="237"/>
      <c r="AF617" s="237"/>
      <c r="AG617" s="237"/>
      <c r="AH617" s="237"/>
      <c r="AI617" s="308"/>
      <c r="AJ617" s="308"/>
      <c r="AK617" s="308"/>
      <c r="AL617" s="308"/>
      <c r="AM617" s="98"/>
      <c r="AN617" s="98"/>
      <c r="AO617" s="98"/>
    </row>
    <row r="618" ht="14.25" customHeight="1">
      <c r="A618" s="98"/>
      <c r="B618" s="98"/>
      <c r="C618" s="98"/>
      <c r="D618" s="308"/>
      <c r="E618" s="98"/>
      <c r="F618" s="235"/>
      <c r="G618" s="235"/>
      <c r="H618" s="236"/>
      <c r="I618" s="236"/>
      <c r="J618" s="236"/>
      <c r="K618" s="236"/>
      <c r="L618" s="236"/>
      <c r="M618" s="236"/>
      <c r="N618" s="236"/>
      <c r="O618" s="236"/>
      <c r="P618" s="236"/>
      <c r="Q618" s="236"/>
      <c r="R618" s="236"/>
      <c r="S618" s="236"/>
      <c r="T618" s="236"/>
      <c r="U618" s="236"/>
      <c r="V618" s="236"/>
      <c r="W618" s="237"/>
      <c r="X618" s="237"/>
      <c r="Y618" s="237"/>
      <c r="Z618" s="237"/>
      <c r="AA618" s="237"/>
      <c r="AB618" s="237"/>
      <c r="AC618" s="237"/>
      <c r="AD618" s="237"/>
      <c r="AE618" s="237"/>
      <c r="AF618" s="237"/>
      <c r="AG618" s="237"/>
      <c r="AH618" s="237"/>
      <c r="AI618" s="308"/>
      <c r="AJ618" s="308"/>
      <c r="AK618" s="308"/>
      <c r="AL618" s="308"/>
      <c r="AM618" s="98"/>
      <c r="AN618" s="98"/>
      <c r="AO618" s="98"/>
    </row>
    <row r="619" ht="14.25" customHeight="1">
      <c r="A619" s="98"/>
      <c r="B619" s="98"/>
      <c r="C619" s="98"/>
      <c r="D619" s="308"/>
      <c r="E619" s="98"/>
      <c r="F619" s="235"/>
      <c r="G619" s="235"/>
      <c r="H619" s="236"/>
      <c r="I619" s="236"/>
      <c r="J619" s="236"/>
      <c r="K619" s="236"/>
      <c r="L619" s="236"/>
      <c r="M619" s="236"/>
      <c r="N619" s="236"/>
      <c r="O619" s="236"/>
      <c r="P619" s="236"/>
      <c r="Q619" s="236"/>
      <c r="R619" s="236"/>
      <c r="S619" s="236"/>
      <c r="T619" s="236"/>
      <c r="U619" s="236"/>
      <c r="V619" s="236"/>
      <c r="W619" s="237"/>
      <c r="X619" s="237"/>
      <c r="Y619" s="237"/>
      <c r="Z619" s="237"/>
      <c r="AA619" s="237"/>
      <c r="AB619" s="237"/>
      <c r="AC619" s="237"/>
      <c r="AD619" s="237"/>
      <c r="AE619" s="237"/>
      <c r="AF619" s="237"/>
      <c r="AG619" s="237"/>
      <c r="AH619" s="237"/>
      <c r="AI619" s="308"/>
      <c r="AJ619" s="308"/>
      <c r="AK619" s="308"/>
      <c r="AL619" s="308"/>
      <c r="AM619" s="98"/>
      <c r="AN619" s="98"/>
      <c r="AO619" s="98"/>
    </row>
    <row r="620" ht="14.25" customHeight="1">
      <c r="A620" s="98"/>
      <c r="B620" s="98"/>
      <c r="C620" s="98"/>
      <c r="D620" s="308"/>
      <c r="E620" s="98"/>
      <c r="F620" s="235"/>
      <c r="G620" s="235"/>
      <c r="H620" s="236"/>
      <c r="I620" s="236"/>
      <c r="J620" s="236"/>
      <c r="K620" s="236"/>
      <c r="L620" s="236"/>
      <c r="M620" s="236"/>
      <c r="N620" s="236"/>
      <c r="O620" s="236"/>
      <c r="P620" s="236"/>
      <c r="Q620" s="236"/>
      <c r="R620" s="236"/>
      <c r="S620" s="236"/>
      <c r="T620" s="236"/>
      <c r="U620" s="236"/>
      <c r="V620" s="236"/>
      <c r="W620" s="237"/>
      <c r="X620" s="237"/>
      <c r="Y620" s="237"/>
      <c r="Z620" s="237"/>
      <c r="AA620" s="237"/>
      <c r="AB620" s="237"/>
      <c r="AC620" s="237"/>
      <c r="AD620" s="237"/>
      <c r="AE620" s="237"/>
      <c r="AF620" s="237"/>
      <c r="AG620" s="237"/>
      <c r="AH620" s="237"/>
      <c r="AI620" s="308"/>
      <c r="AJ620" s="308"/>
      <c r="AK620" s="308"/>
      <c r="AL620" s="308"/>
      <c r="AM620" s="98"/>
      <c r="AN620" s="98"/>
      <c r="AO620" s="98"/>
    </row>
    <row r="621" ht="14.25" customHeight="1">
      <c r="A621" s="98"/>
      <c r="B621" s="98"/>
      <c r="C621" s="98"/>
      <c r="D621" s="308"/>
      <c r="E621" s="98"/>
      <c r="F621" s="235"/>
      <c r="G621" s="235"/>
      <c r="H621" s="236"/>
      <c r="I621" s="236"/>
      <c r="J621" s="236"/>
      <c r="K621" s="236"/>
      <c r="L621" s="236"/>
      <c r="M621" s="236"/>
      <c r="N621" s="236"/>
      <c r="O621" s="236"/>
      <c r="P621" s="236"/>
      <c r="Q621" s="236"/>
      <c r="R621" s="236"/>
      <c r="S621" s="236"/>
      <c r="T621" s="236"/>
      <c r="U621" s="236"/>
      <c r="V621" s="236"/>
      <c r="W621" s="237"/>
      <c r="X621" s="237"/>
      <c r="Y621" s="237"/>
      <c r="Z621" s="237"/>
      <c r="AA621" s="237"/>
      <c r="AB621" s="237"/>
      <c r="AC621" s="237"/>
      <c r="AD621" s="237"/>
      <c r="AE621" s="237"/>
      <c r="AF621" s="237"/>
      <c r="AG621" s="237"/>
      <c r="AH621" s="237"/>
      <c r="AI621" s="308"/>
      <c r="AJ621" s="308"/>
      <c r="AK621" s="308"/>
      <c r="AL621" s="308"/>
      <c r="AM621" s="98"/>
      <c r="AN621" s="98"/>
      <c r="AO621" s="98"/>
    </row>
    <row r="622" ht="14.25" customHeight="1">
      <c r="A622" s="98"/>
      <c r="B622" s="98"/>
      <c r="C622" s="98"/>
      <c r="D622" s="308"/>
      <c r="E622" s="98"/>
      <c r="F622" s="235"/>
      <c r="G622" s="235"/>
      <c r="H622" s="236"/>
      <c r="I622" s="236"/>
      <c r="J622" s="236"/>
      <c r="K622" s="236"/>
      <c r="L622" s="236"/>
      <c r="M622" s="236"/>
      <c r="N622" s="236"/>
      <c r="O622" s="236"/>
      <c r="P622" s="236"/>
      <c r="Q622" s="236"/>
      <c r="R622" s="236"/>
      <c r="S622" s="236"/>
      <c r="T622" s="236"/>
      <c r="U622" s="236"/>
      <c r="V622" s="236"/>
      <c r="W622" s="237"/>
      <c r="X622" s="237"/>
      <c r="Y622" s="237"/>
      <c r="Z622" s="237"/>
      <c r="AA622" s="237"/>
      <c r="AB622" s="237"/>
      <c r="AC622" s="237"/>
      <c r="AD622" s="237"/>
      <c r="AE622" s="237"/>
      <c r="AF622" s="237"/>
      <c r="AG622" s="237"/>
      <c r="AH622" s="237"/>
      <c r="AI622" s="308"/>
      <c r="AJ622" s="308"/>
      <c r="AK622" s="308"/>
      <c r="AL622" s="308"/>
      <c r="AM622" s="98"/>
      <c r="AN622" s="98"/>
      <c r="AO622" s="98"/>
    </row>
    <row r="623" ht="14.25" customHeight="1">
      <c r="A623" s="98"/>
      <c r="B623" s="98"/>
      <c r="C623" s="98"/>
      <c r="D623" s="308"/>
      <c r="E623" s="98"/>
      <c r="F623" s="235"/>
      <c r="G623" s="235"/>
      <c r="H623" s="236"/>
      <c r="I623" s="236"/>
      <c r="J623" s="236"/>
      <c r="K623" s="236"/>
      <c r="L623" s="236"/>
      <c r="M623" s="236"/>
      <c r="N623" s="236"/>
      <c r="O623" s="236"/>
      <c r="P623" s="236"/>
      <c r="Q623" s="236"/>
      <c r="R623" s="236"/>
      <c r="S623" s="236"/>
      <c r="T623" s="236"/>
      <c r="U623" s="236"/>
      <c r="V623" s="236"/>
      <c r="W623" s="237"/>
      <c r="X623" s="237"/>
      <c r="Y623" s="237"/>
      <c r="Z623" s="237"/>
      <c r="AA623" s="237"/>
      <c r="AB623" s="237"/>
      <c r="AC623" s="237"/>
      <c r="AD623" s="237"/>
      <c r="AE623" s="237"/>
      <c r="AF623" s="237"/>
      <c r="AG623" s="237"/>
      <c r="AH623" s="237"/>
      <c r="AI623" s="308"/>
      <c r="AJ623" s="308"/>
      <c r="AK623" s="308"/>
      <c r="AL623" s="308"/>
      <c r="AM623" s="98"/>
      <c r="AN623" s="98"/>
      <c r="AO623" s="98"/>
    </row>
    <row r="624" ht="14.25" customHeight="1">
      <c r="A624" s="98"/>
      <c r="B624" s="98"/>
      <c r="C624" s="98"/>
      <c r="D624" s="308"/>
      <c r="E624" s="98"/>
      <c r="F624" s="235"/>
      <c r="G624" s="235"/>
      <c r="H624" s="236"/>
      <c r="I624" s="236"/>
      <c r="J624" s="236"/>
      <c r="K624" s="236"/>
      <c r="L624" s="236"/>
      <c r="M624" s="236"/>
      <c r="N624" s="236"/>
      <c r="O624" s="236"/>
      <c r="P624" s="236"/>
      <c r="Q624" s="236"/>
      <c r="R624" s="236"/>
      <c r="S624" s="236"/>
      <c r="T624" s="236"/>
      <c r="U624" s="236"/>
      <c r="V624" s="236"/>
      <c r="W624" s="237"/>
      <c r="X624" s="237"/>
      <c r="Y624" s="237"/>
      <c r="Z624" s="237"/>
      <c r="AA624" s="237"/>
      <c r="AB624" s="237"/>
      <c r="AC624" s="237"/>
      <c r="AD624" s="237"/>
      <c r="AE624" s="237"/>
      <c r="AF624" s="237"/>
      <c r="AG624" s="237"/>
      <c r="AH624" s="237"/>
      <c r="AI624" s="308"/>
      <c r="AJ624" s="308"/>
      <c r="AK624" s="308"/>
      <c r="AL624" s="308"/>
      <c r="AM624" s="98"/>
      <c r="AN624" s="98"/>
      <c r="AO624" s="98"/>
    </row>
    <row r="625" ht="14.25" customHeight="1">
      <c r="A625" s="98"/>
      <c r="B625" s="98"/>
      <c r="C625" s="98"/>
      <c r="D625" s="308"/>
      <c r="E625" s="98"/>
      <c r="F625" s="235"/>
      <c r="G625" s="235"/>
      <c r="H625" s="236"/>
      <c r="I625" s="236"/>
      <c r="J625" s="236"/>
      <c r="K625" s="236"/>
      <c r="L625" s="236"/>
      <c r="M625" s="236"/>
      <c r="N625" s="236"/>
      <c r="O625" s="236"/>
      <c r="P625" s="236"/>
      <c r="Q625" s="236"/>
      <c r="R625" s="236"/>
      <c r="S625" s="236"/>
      <c r="T625" s="236"/>
      <c r="U625" s="236"/>
      <c r="V625" s="236"/>
      <c r="W625" s="237"/>
      <c r="X625" s="237"/>
      <c r="Y625" s="237"/>
      <c r="Z625" s="237"/>
      <c r="AA625" s="237"/>
      <c r="AB625" s="237"/>
      <c r="AC625" s="237"/>
      <c r="AD625" s="237"/>
      <c r="AE625" s="237"/>
      <c r="AF625" s="237"/>
      <c r="AG625" s="237"/>
      <c r="AH625" s="237"/>
      <c r="AI625" s="308"/>
      <c r="AJ625" s="308"/>
      <c r="AK625" s="308"/>
      <c r="AL625" s="308"/>
      <c r="AM625" s="98"/>
      <c r="AN625" s="98"/>
      <c r="AO625" s="98"/>
    </row>
    <row r="626" ht="14.25" customHeight="1">
      <c r="A626" s="98"/>
      <c r="B626" s="98"/>
      <c r="C626" s="98"/>
      <c r="D626" s="308"/>
      <c r="E626" s="98"/>
      <c r="F626" s="235"/>
      <c r="G626" s="235"/>
      <c r="H626" s="236"/>
      <c r="I626" s="236"/>
      <c r="J626" s="236"/>
      <c r="K626" s="236"/>
      <c r="L626" s="236"/>
      <c r="M626" s="236"/>
      <c r="N626" s="236"/>
      <c r="O626" s="236"/>
      <c r="P626" s="236"/>
      <c r="Q626" s="236"/>
      <c r="R626" s="236"/>
      <c r="S626" s="236"/>
      <c r="T626" s="236"/>
      <c r="U626" s="236"/>
      <c r="V626" s="236"/>
      <c r="W626" s="237"/>
      <c r="X626" s="237"/>
      <c r="Y626" s="237"/>
      <c r="Z626" s="237"/>
      <c r="AA626" s="237"/>
      <c r="AB626" s="237"/>
      <c r="AC626" s="237"/>
      <c r="AD626" s="237"/>
      <c r="AE626" s="237"/>
      <c r="AF626" s="237"/>
      <c r="AG626" s="237"/>
      <c r="AH626" s="237"/>
      <c r="AI626" s="308"/>
      <c r="AJ626" s="308"/>
      <c r="AK626" s="308"/>
      <c r="AL626" s="308"/>
      <c r="AM626" s="98"/>
      <c r="AN626" s="98"/>
      <c r="AO626" s="98"/>
    </row>
    <row r="627" ht="14.25" customHeight="1">
      <c r="A627" s="98"/>
      <c r="B627" s="98"/>
      <c r="C627" s="98"/>
      <c r="D627" s="308"/>
      <c r="E627" s="98"/>
      <c r="F627" s="235"/>
      <c r="G627" s="235"/>
      <c r="H627" s="236"/>
      <c r="I627" s="236"/>
      <c r="J627" s="236"/>
      <c r="K627" s="236"/>
      <c r="L627" s="236"/>
      <c r="M627" s="236"/>
      <c r="N627" s="236"/>
      <c r="O627" s="236"/>
      <c r="P627" s="236"/>
      <c r="Q627" s="236"/>
      <c r="R627" s="236"/>
      <c r="S627" s="236"/>
      <c r="T627" s="236"/>
      <c r="U627" s="236"/>
      <c r="V627" s="236"/>
      <c r="W627" s="237"/>
      <c r="X627" s="237"/>
      <c r="Y627" s="237"/>
      <c r="Z627" s="237"/>
      <c r="AA627" s="237"/>
      <c r="AB627" s="237"/>
      <c r="AC627" s="237"/>
      <c r="AD627" s="237"/>
      <c r="AE627" s="237"/>
      <c r="AF627" s="237"/>
      <c r="AG627" s="237"/>
      <c r="AH627" s="237"/>
      <c r="AI627" s="308"/>
      <c r="AJ627" s="308"/>
      <c r="AK627" s="308"/>
      <c r="AL627" s="308"/>
      <c r="AM627" s="98"/>
      <c r="AN627" s="98"/>
      <c r="AO627" s="98"/>
    </row>
    <row r="628" ht="14.25" customHeight="1">
      <c r="A628" s="98"/>
      <c r="B628" s="98"/>
      <c r="C628" s="98"/>
      <c r="D628" s="308"/>
      <c r="E628" s="98"/>
      <c r="F628" s="235"/>
      <c r="G628" s="235"/>
      <c r="H628" s="236"/>
      <c r="I628" s="236"/>
      <c r="J628" s="236"/>
      <c r="K628" s="236"/>
      <c r="L628" s="236"/>
      <c r="M628" s="236"/>
      <c r="N628" s="236"/>
      <c r="O628" s="236"/>
      <c r="P628" s="236"/>
      <c r="Q628" s="236"/>
      <c r="R628" s="236"/>
      <c r="S628" s="236"/>
      <c r="T628" s="236"/>
      <c r="U628" s="236"/>
      <c r="V628" s="236"/>
      <c r="W628" s="237"/>
      <c r="X628" s="237"/>
      <c r="Y628" s="237"/>
      <c r="Z628" s="237"/>
      <c r="AA628" s="237"/>
      <c r="AB628" s="237"/>
      <c r="AC628" s="237"/>
      <c r="AD628" s="237"/>
      <c r="AE628" s="237"/>
      <c r="AF628" s="237"/>
      <c r="AG628" s="237"/>
      <c r="AH628" s="237"/>
      <c r="AI628" s="308"/>
      <c r="AJ628" s="308"/>
      <c r="AK628" s="308"/>
      <c r="AL628" s="308"/>
      <c r="AM628" s="98"/>
      <c r="AN628" s="98"/>
      <c r="AO628" s="98"/>
    </row>
    <row r="629" ht="14.25" customHeight="1">
      <c r="A629" s="98"/>
      <c r="B629" s="98"/>
      <c r="C629" s="98"/>
      <c r="D629" s="308"/>
      <c r="E629" s="98"/>
      <c r="F629" s="235"/>
      <c r="G629" s="235"/>
      <c r="H629" s="236"/>
      <c r="I629" s="236"/>
      <c r="J629" s="236"/>
      <c r="K629" s="236"/>
      <c r="L629" s="236"/>
      <c r="M629" s="236"/>
      <c r="N629" s="236"/>
      <c r="O629" s="236"/>
      <c r="P629" s="236"/>
      <c r="Q629" s="236"/>
      <c r="R629" s="236"/>
      <c r="S629" s="236"/>
      <c r="T629" s="236"/>
      <c r="U629" s="236"/>
      <c r="V629" s="236"/>
      <c r="W629" s="237"/>
      <c r="X629" s="237"/>
      <c r="Y629" s="237"/>
      <c r="Z629" s="237"/>
      <c r="AA629" s="237"/>
      <c r="AB629" s="237"/>
      <c r="AC629" s="237"/>
      <c r="AD629" s="237"/>
      <c r="AE629" s="237"/>
      <c r="AF629" s="237"/>
      <c r="AG629" s="237"/>
      <c r="AH629" s="237"/>
      <c r="AI629" s="308"/>
      <c r="AJ629" s="308"/>
      <c r="AK629" s="308"/>
      <c r="AL629" s="308"/>
      <c r="AM629" s="98"/>
      <c r="AN629" s="98"/>
      <c r="AO629" s="98"/>
    </row>
    <row r="630" ht="14.25" customHeight="1">
      <c r="A630" s="98"/>
      <c r="B630" s="98"/>
      <c r="C630" s="98"/>
      <c r="D630" s="308"/>
      <c r="E630" s="98"/>
      <c r="F630" s="235"/>
      <c r="G630" s="235"/>
      <c r="H630" s="236"/>
      <c r="I630" s="236"/>
      <c r="J630" s="236"/>
      <c r="K630" s="236"/>
      <c r="L630" s="236"/>
      <c r="M630" s="236"/>
      <c r="N630" s="236"/>
      <c r="O630" s="236"/>
      <c r="P630" s="236"/>
      <c r="Q630" s="236"/>
      <c r="R630" s="236"/>
      <c r="S630" s="236"/>
      <c r="T630" s="236"/>
      <c r="U630" s="236"/>
      <c r="V630" s="236"/>
      <c r="W630" s="237"/>
      <c r="X630" s="237"/>
      <c r="Y630" s="237"/>
      <c r="Z630" s="237"/>
      <c r="AA630" s="237"/>
      <c r="AB630" s="237"/>
      <c r="AC630" s="237"/>
      <c r="AD630" s="237"/>
      <c r="AE630" s="237"/>
      <c r="AF630" s="237"/>
      <c r="AG630" s="237"/>
      <c r="AH630" s="237"/>
      <c r="AI630" s="308"/>
      <c r="AJ630" s="308"/>
      <c r="AK630" s="308"/>
      <c r="AL630" s="308"/>
      <c r="AM630" s="98"/>
      <c r="AN630" s="98"/>
      <c r="AO630" s="98"/>
    </row>
    <row r="631" ht="14.25" customHeight="1">
      <c r="A631" s="98"/>
      <c r="B631" s="98"/>
      <c r="C631" s="98"/>
      <c r="D631" s="308"/>
      <c r="E631" s="98"/>
      <c r="F631" s="235"/>
      <c r="G631" s="235"/>
      <c r="H631" s="236"/>
      <c r="I631" s="236"/>
      <c r="J631" s="236"/>
      <c r="K631" s="236"/>
      <c r="L631" s="236"/>
      <c r="M631" s="236"/>
      <c r="N631" s="236"/>
      <c r="O631" s="236"/>
      <c r="P631" s="236"/>
      <c r="Q631" s="236"/>
      <c r="R631" s="236"/>
      <c r="S631" s="236"/>
      <c r="T631" s="236"/>
      <c r="U631" s="236"/>
      <c r="V631" s="236"/>
      <c r="W631" s="237"/>
      <c r="X631" s="237"/>
      <c r="Y631" s="237"/>
      <c r="Z631" s="237"/>
      <c r="AA631" s="237"/>
      <c r="AB631" s="237"/>
      <c r="AC631" s="237"/>
      <c r="AD631" s="237"/>
      <c r="AE631" s="237"/>
      <c r="AF631" s="237"/>
      <c r="AG631" s="237"/>
      <c r="AH631" s="237"/>
      <c r="AI631" s="308"/>
      <c r="AJ631" s="308"/>
      <c r="AK631" s="308"/>
      <c r="AL631" s="308"/>
      <c r="AM631" s="98"/>
      <c r="AN631" s="98"/>
      <c r="AO631" s="98"/>
    </row>
    <row r="632" ht="14.25" customHeight="1">
      <c r="A632" s="98"/>
      <c r="B632" s="98"/>
      <c r="C632" s="98"/>
      <c r="D632" s="308"/>
      <c r="E632" s="98"/>
      <c r="F632" s="235"/>
      <c r="G632" s="235"/>
      <c r="H632" s="236"/>
      <c r="I632" s="236"/>
      <c r="J632" s="236"/>
      <c r="K632" s="236"/>
      <c r="L632" s="236"/>
      <c r="M632" s="236"/>
      <c r="N632" s="236"/>
      <c r="O632" s="236"/>
      <c r="P632" s="236"/>
      <c r="Q632" s="236"/>
      <c r="R632" s="236"/>
      <c r="S632" s="236"/>
      <c r="T632" s="236"/>
      <c r="U632" s="236"/>
      <c r="V632" s="236"/>
      <c r="W632" s="237"/>
      <c r="X632" s="237"/>
      <c r="Y632" s="237"/>
      <c r="Z632" s="237"/>
      <c r="AA632" s="237"/>
      <c r="AB632" s="237"/>
      <c r="AC632" s="237"/>
      <c r="AD632" s="237"/>
      <c r="AE632" s="237"/>
      <c r="AF632" s="237"/>
      <c r="AG632" s="237"/>
      <c r="AH632" s="237"/>
      <c r="AI632" s="308"/>
      <c r="AJ632" s="308"/>
      <c r="AK632" s="308"/>
      <c r="AL632" s="308"/>
      <c r="AM632" s="98"/>
      <c r="AN632" s="98"/>
      <c r="AO632" s="98"/>
    </row>
    <row r="633" ht="14.25" customHeight="1">
      <c r="A633" s="98"/>
      <c r="B633" s="98"/>
      <c r="C633" s="98"/>
      <c r="D633" s="308"/>
      <c r="E633" s="98"/>
      <c r="F633" s="235"/>
      <c r="G633" s="235"/>
      <c r="H633" s="236"/>
      <c r="I633" s="236"/>
      <c r="J633" s="236"/>
      <c r="K633" s="236"/>
      <c r="L633" s="236"/>
      <c r="M633" s="236"/>
      <c r="N633" s="236"/>
      <c r="O633" s="236"/>
      <c r="P633" s="236"/>
      <c r="Q633" s="236"/>
      <c r="R633" s="236"/>
      <c r="S633" s="236"/>
      <c r="T633" s="236"/>
      <c r="U633" s="236"/>
      <c r="V633" s="236"/>
      <c r="W633" s="237"/>
      <c r="X633" s="237"/>
      <c r="Y633" s="237"/>
      <c r="Z633" s="237"/>
      <c r="AA633" s="237"/>
      <c r="AB633" s="237"/>
      <c r="AC633" s="237"/>
      <c r="AD633" s="237"/>
      <c r="AE633" s="237"/>
      <c r="AF633" s="237"/>
      <c r="AG633" s="237"/>
      <c r="AH633" s="237"/>
      <c r="AI633" s="308"/>
      <c r="AJ633" s="308"/>
      <c r="AK633" s="308"/>
      <c r="AL633" s="308"/>
      <c r="AM633" s="98"/>
      <c r="AN633" s="98"/>
      <c r="AO633" s="98"/>
    </row>
    <row r="634" ht="14.25" customHeight="1">
      <c r="A634" s="98"/>
      <c r="B634" s="98"/>
      <c r="C634" s="98"/>
      <c r="D634" s="308"/>
      <c r="E634" s="98"/>
      <c r="F634" s="235"/>
      <c r="G634" s="235"/>
      <c r="H634" s="236"/>
      <c r="I634" s="236"/>
      <c r="J634" s="236"/>
      <c r="K634" s="236"/>
      <c r="L634" s="236"/>
      <c r="M634" s="236"/>
      <c r="N634" s="236"/>
      <c r="O634" s="236"/>
      <c r="P634" s="236"/>
      <c r="Q634" s="236"/>
      <c r="R634" s="236"/>
      <c r="S634" s="236"/>
      <c r="T634" s="236"/>
      <c r="U634" s="236"/>
      <c r="V634" s="236"/>
      <c r="W634" s="237"/>
      <c r="X634" s="237"/>
      <c r="Y634" s="237"/>
      <c r="Z634" s="237"/>
      <c r="AA634" s="237"/>
      <c r="AB634" s="237"/>
      <c r="AC634" s="237"/>
      <c r="AD634" s="237"/>
      <c r="AE634" s="237"/>
      <c r="AF634" s="237"/>
      <c r="AG634" s="237"/>
      <c r="AH634" s="237"/>
      <c r="AI634" s="308"/>
      <c r="AJ634" s="308"/>
      <c r="AK634" s="308"/>
      <c r="AL634" s="308"/>
      <c r="AM634" s="98"/>
      <c r="AN634" s="98"/>
      <c r="AO634" s="98"/>
    </row>
    <row r="635" ht="14.25" customHeight="1">
      <c r="A635" s="98"/>
      <c r="B635" s="98"/>
      <c r="C635" s="98"/>
      <c r="D635" s="308"/>
      <c r="E635" s="98"/>
      <c r="F635" s="235"/>
      <c r="G635" s="235"/>
      <c r="H635" s="236"/>
      <c r="I635" s="236"/>
      <c r="J635" s="236"/>
      <c r="K635" s="236"/>
      <c r="L635" s="236"/>
      <c r="M635" s="236"/>
      <c r="N635" s="236"/>
      <c r="O635" s="236"/>
      <c r="P635" s="236"/>
      <c r="Q635" s="236"/>
      <c r="R635" s="236"/>
      <c r="S635" s="236"/>
      <c r="T635" s="236"/>
      <c r="U635" s="236"/>
      <c r="V635" s="236"/>
      <c r="W635" s="237"/>
      <c r="X635" s="237"/>
      <c r="Y635" s="237"/>
      <c r="Z635" s="237"/>
      <c r="AA635" s="237"/>
      <c r="AB635" s="237"/>
      <c r="AC635" s="237"/>
      <c r="AD635" s="237"/>
      <c r="AE635" s="237"/>
      <c r="AF635" s="237"/>
      <c r="AG635" s="237"/>
      <c r="AH635" s="237"/>
      <c r="AI635" s="308"/>
      <c r="AJ635" s="308"/>
      <c r="AK635" s="308"/>
      <c r="AL635" s="308"/>
      <c r="AM635" s="98"/>
      <c r="AN635" s="98"/>
      <c r="AO635" s="98"/>
    </row>
    <row r="636" ht="14.25" customHeight="1">
      <c r="A636" s="98"/>
      <c r="B636" s="98"/>
      <c r="C636" s="98"/>
      <c r="D636" s="308"/>
      <c r="E636" s="98"/>
      <c r="F636" s="235"/>
      <c r="G636" s="235"/>
      <c r="H636" s="236"/>
      <c r="I636" s="236"/>
      <c r="J636" s="236"/>
      <c r="K636" s="236"/>
      <c r="L636" s="236"/>
      <c r="M636" s="236"/>
      <c r="N636" s="236"/>
      <c r="O636" s="236"/>
      <c r="P636" s="236"/>
      <c r="Q636" s="236"/>
      <c r="R636" s="236"/>
      <c r="S636" s="236"/>
      <c r="T636" s="236"/>
      <c r="U636" s="236"/>
      <c r="V636" s="236"/>
      <c r="W636" s="237"/>
      <c r="X636" s="237"/>
      <c r="Y636" s="237"/>
      <c r="Z636" s="237"/>
      <c r="AA636" s="237"/>
      <c r="AB636" s="237"/>
      <c r="AC636" s="237"/>
      <c r="AD636" s="237"/>
      <c r="AE636" s="237"/>
      <c r="AF636" s="237"/>
      <c r="AG636" s="237"/>
      <c r="AH636" s="237"/>
      <c r="AI636" s="308"/>
      <c r="AJ636" s="308"/>
      <c r="AK636" s="308"/>
      <c r="AL636" s="308"/>
      <c r="AM636" s="98"/>
      <c r="AN636" s="98"/>
      <c r="AO636" s="98"/>
    </row>
    <row r="637" ht="14.25" customHeight="1">
      <c r="A637" s="98"/>
      <c r="B637" s="98"/>
      <c r="C637" s="98"/>
      <c r="D637" s="308"/>
      <c r="E637" s="98"/>
      <c r="F637" s="235"/>
      <c r="G637" s="235"/>
      <c r="H637" s="236"/>
      <c r="I637" s="236"/>
      <c r="J637" s="236"/>
      <c r="K637" s="236"/>
      <c r="L637" s="236"/>
      <c r="M637" s="236"/>
      <c r="N637" s="236"/>
      <c r="O637" s="236"/>
      <c r="P637" s="236"/>
      <c r="Q637" s="236"/>
      <c r="R637" s="236"/>
      <c r="S637" s="236"/>
      <c r="T637" s="236"/>
      <c r="U637" s="236"/>
      <c r="V637" s="236"/>
      <c r="W637" s="237"/>
      <c r="X637" s="237"/>
      <c r="Y637" s="237"/>
      <c r="Z637" s="237"/>
      <c r="AA637" s="237"/>
      <c r="AB637" s="237"/>
      <c r="AC637" s="237"/>
      <c r="AD637" s="237"/>
      <c r="AE637" s="237"/>
      <c r="AF637" s="237"/>
      <c r="AG637" s="237"/>
      <c r="AH637" s="237"/>
      <c r="AI637" s="308"/>
      <c r="AJ637" s="308"/>
      <c r="AK637" s="308"/>
      <c r="AL637" s="308"/>
      <c r="AM637" s="98"/>
      <c r="AN637" s="98"/>
      <c r="AO637" s="98"/>
    </row>
    <row r="638" ht="14.25" customHeight="1">
      <c r="A638" s="98"/>
      <c r="B638" s="98"/>
      <c r="C638" s="98"/>
      <c r="D638" s="308"/>
      <c r="E638" s="98"/>
      <c r="F638" s="235"/>
      <c r="G638" s="235"/>
      <c r="H638" s="236"/>
      <c r="I638" s="236"/>
      <c r="J638" s="236"/>
      <c r="K638" s="236"/>
      <c r="L638" s="236"/>
      <c r="M638" s="236"/>
      <c r="N638" s="236"/>
      <c r="O638" s="236"/>
      <c r="P638" s="236"/>
      <c r="Q638" s="236"/>
      <c r="R638" s="236"/>
      <c r="S638" s="236"/>
      <c r="T638" s="236"/>
      <c r="U638" s="236"/>
      <c r="V638" s="236"/>
      <c r="W638" s="237"/>
      <c r="X638" s="237"/>
      <c r="Y638" s="237"/>
      <c r="Z638" s="237"/>
      <c r="AA638" s="237"/>
      <c r="AB638" s="237"/>
      <c r="AC638" s="237"/>
      <c r="AD638" s="237"/>
      <c r="AE638" s="237"/>
      <c r="AF638" s="237"/>
      <c r="AG638" s="237"/>
      <c r="AH638" s="237"/>
      <c r="AI638" s="308"/>
      <c r="AJ638" s="308"/>
      <c r="AK638" s="308"/>
      <c r="AL638" s="308"/>
      <c r="AM638" s="98"/>
      <c r="AN638" s="98"/>
      <c r="AO638" s="98"/>
    </row>
    <row r="639" ht="14.25" customHeight="1">
      <c r="A639" s="98"/>
      <c r="B639" s="98"/>
      <c r="C639" s="98"/>
      <c r="D639" s="308"/>
      <c r="E639" s="98"/>
      <c r="F639" s="235"/>
      <c r="G639" s="235"/>
      <c r="H639" s="236"/>
      <c r="I639" s="236"/>
      <c r="J639" s="236"/>
      <c r="K639" s="236"/>
      <c r="L639" s="236"/>
      <c r="M639" s="236"/>
      <c r="N639" s="236"/>
      <c r="O639" s="236"/>
      <c r="P639" s="236"/>
      <c r="Q639" s="236"/>
      <c r="R639" s="236"/>
      <c r="S639" s="236"/>
      <c r="T639" s="236"/>
      <c r="U639" s="236"/>
      <c r="V639" s="236"/>
      <c r="W639" s="237"/>
      <c r="X639" s="237"/>
      <c r="Y639" s="237"/>
      <c r="Z639" s="237"/>
      <c r="AA639" s="237"/>
      <c r="AB639" s="237"/>
      <c r="AC639" s="237"/>
      <c r="AD639" s="237"/>
      <c r="AE639" s="237"/>
      <c r="AF639" s="237"/>
      <c r="AG639" s="237"/>
      <c r="AH639" s="237"/>
      <c r="AI639" s="308"/>
      <c r="AJ639" s="308"/>
      <c r="AK639" s="308"/>
      <c r="AL639" s="308"/>
      <c r="AM639" s="98"/>
      <c r="AN639" s="98"/>
      <c r="AO639" s="98"/>
    </row>
    <row r="640" ht="14.25" customHeight="1">
      <c r="A640" s="98"/>
      <c r="B640" s="98"/>
      <c r="C640" s="98"/>
      <c r="D640" s="308"/>
      <c r="E640" s="98"/>
      <c r="F640" s="235"/>
      <c r="G640" s="235"/>
      <c r="H640" s="236"/>
      <c r="I640" s="236"/>
      <c r="J640" s="236"/>
      <c r="K640" s="236"/>
      <c r="L640" s="236"/>
      <c r="M640" s="236"/>
      <c r="N640" s="236"/>
      <c r="O640" s="236"/>
      <c r="P640" s="236"/>
      <c r="Q640" s="236"/>
      <c r="R640" s="236"/>
      <c r="S640" s="236"/>
      <c r="T640" s="236"/>
      <c r="U640" s="236"/>
      <c r="V640" s="236"/>
      <c r="W640" s="237"/>
      <c r="X640" s="237"/>
      <c r="Y640" s="237"/>
      <c r="Z640" s="237"/>
      <c r="AA640" s="237"/>
      <c r="AB640" s="237"/>
      <c r="AC640" s="237"/>
      <c r="AD640" s="237"/>
      <c r="AE640" s="237"/>
      <c r="AF640" s="237"/>
      <c r="AG640" s="237"/>
      <c r="AH640" s="237"/>
      <c r="AI640" s="308"/>
      <c r="AJ640" s="308"/>
      <c r="AK640" s="308"/>
      <c r="AL640" s="308"/>
      <c r="AM640" s="98"/>
      <c r="AN640" s="98"/>
      <c r="AO640" s="98"/>
    </row>
    <row r="641" ht="14.25" customHeight="1">
      <c r="A641" s="98"/>
      <c r="B641" s="98"/>
      <c r="C641" s="98"/>
      <c r="D641" s="308"/>
      <c r="E641" s="98"/>
      <c r="F641" s="235"/>
      <c r="G641" s="235"/>
      <c r="H641" s="236"/>
      <c r="I641" s="236"/>
      <c r="J641" s="236"/>
      <c r="K641" s="236"/>
      <c r="L641" s="236"/>
      <c r="M641" s="236"/>
      <c r="N641" s="236"/>
      <c r="O641" s="236"/>
      <c r="P641" s="236"/>
      <c r="Q641" s="236"/>
      <c r="R641" s="236"/>
      <c r="S641" s="236"/>
      <c r="T641" s="236"/>
      <c r="U641" s="236"/>
      <c r="V641" s="236"/>
      <c r="W641" s="237"/>
      <c r="X641" s="237"/>
      <c r="Y641" s="237"/>
      <c r="Z641" s="237"/>
      <c r="AA641" s="237"/>
      <c r="AB641" s="237"/>
      <c r="AC641" s="237"/>
      <c r="AD641" s="237"/>
      <c r="AE641" s="237"/>
      <c r="AF641" s="237"/>
      <c r="AG641" s="237"/>
      <c r="AH641" s="237"/>
      <c r="AI641" s="308"/>
      <c r="AJ641" s="308"/>
      <c r="AK641" s="308"/>
      <c r="AL641" s="308"/>
      <c r="AM641" s="98"/>
      <c r="AN641" s="98"/>
      <c r="AO641" s="98"/>
    </row>
    <row r="642" ht="14.25" customHeight="1">
      <c r="A642" s="98"/>
      <c r="B642" s="98"/>
      <c r="C642" s="98"/>
      <c r="D642" s="308"/>
      <c r="E642" s="98"/>
      <c r="F642" s="235"/>
      <c r="G642" s="235"/>
      <c r="H642" s="236"/>
      <c r="I642" s="236"/>
      <c r="J642" s="236"/>
      <c r="K642" s="236"/>
      <c r="L642" s="236"/>
      <c r="M642" s="236"/>
      <c r="N642" s="236"/>
      <c r="O642" s="236"/>
      <c r="P642" s="236"/>
      <c r="Q642" s="236"/>
      <c r="R642" s="236"/>
      <c r="S642" s="236"/>
      <c r="T642" s="236"/>
      <c r="U642" s="236"/>
      <c r="V642" s="236"/>
      <c r="W642" s="237"/>
      <c r="X642" s="237"/>
      <c r="Y642" s="237"/>
      <c r="Z642" s="237"/>
      <c r="AA642" s="237"/>
      <c r="AB642" s="237"/>
      <c r="AC642" s="237"/>
      <c r="AD642" s="237"/>
      <c r="AE642" s="237"/>
      <c r="AF642" s="237"/>
      <c r="AG642" s="237"/>
      <c r="AH642" s="237"/>
      <c r="AI642" s="308"/>
      <c r="AJ642" s="308"/>
      <c r="AK642" s="308"/>
      <c r="AL642" s="308"/>
      <c r="AM642" s="98"/>
      <c r="AN642" s="98"/>
      <c r="AO642" s="98"/>
    </row>
    <row r="643" ht="14.25" customHeight="1">
      <c r="A643" s="98"/>
      <c r="B643" s="98"/>
      <c r="C643" s="98"/>
      <c r="D643" s="308"/>
      <c r="E643" s="98"/>
      <c r="F643" s="235"/>
      <c r="G643" s="235"/>
      <c r="H643" s="236"/>
      <c r="I643" s="236"/>
      <c r="J643" s="236"/>
      <c r="K643" s="236"/>
      <c r="L643" s="236"/>
      <c r="M643" s="236"/>
      <c r="N643" s="236"/>
      <c r="O643" s="236"/>
      <c r="P643" s="236"/>
      <c r="Q643" s="236"/>
      <c r="R643" s="236"/>
      <c r="S643" s="236"/>
      <c r="T643" s="236"/>
      <c r="U643" s="236"/>
      <c r="V643" s="236"/>
      <c r="W643" s="237"/>
      <c r="X643" s="237"/>
      <c r="Y643" s="237"/>
      <c r="Z643" s="237"/>
      <c r="AA643" s="237"/>
      <c r="AB643" s="237"/>
      <c r="AC643" s="237"/>
      <c r="AD643" s="237"/>
      <c r="AE643" s="237"/>
      <c r="AF643" s="237"/>
      <c r="AG643" s="237"/>
      <c r="AH643" s="237"/>
      <c r="AI643" s="308"/>
      <c r="AJ643" s="308"/>
      <c r="AK643" s="308"/>
      <c r="AL643" s="308"/>
      <c r="AM643" s="98"/>
      <c r="AN643" s="98"/>
      <c r="AO643" s="98"/>
    </row>
    <row r="644" ht="14.25" customHeight="1">
      <c r="A644" s="98"/>
      <c r="B644" s="98"/>
      <c r="C644" s="98"/>
      <c r="D644" s="308"/>
      <c r="E644" s="98"/>
      <c r="F644" s="235"/>
      <c r="G644" s="235"/>
      <c r="H644" s="236"/>
      <c r="I644" s="236"/>
      <c r="J644" s="236"/>
      <c r="K644" s="236"/>
      <c r="L644" s="236"/>
      <c r="M644" s="236"/>
      <c r="N644" s="236"/>
      <c r="O644" s="236"/>
      <c r="P644" s="236"/>
      <c r="Q644" s="236"/>
      <c r="R644" s="236"/>
      <c r="S644" s="236"/>
      <c r="T644" s="236"/>
      <c r="U644" s="236"/>
      <c r="V644" s="236"/>
      <c r="W644" s="237"/>
      <c r="X644" s="237"/>
      <c r="Y644" s="237"/>
      <c r="Z644" s="237"/>
      <c r="AA644" s="237"/>
      <c r="AB644" s="237"/>
      <c r="AC644" s="237"/>
      <c r="AD644" s="237"/>
      <c r="AE644" s="237"/>
      <c r="AF644" s="237"/>
      <c r="AG644" s="237"/>
      <c r="AH644" s="237"/>
      <c r="AI644" s="308"/>
      <c r="AJ644" s="308"/>
      <c r="AK644" s="308"/>
      <c r="AL644" s="308"/>
      <c r="AM644" s="98"/>
      <c r="AN644" s="98"/>
      <c r="AO644" s="98"/>
    </row>
    <row r="645" ht="14.25" customHeight="1">
      <c r="A645" s="98"/>
      <c r="B645" s="98"/>
      <c r="C645" s="98"/>
      <c r="D645" s="308"/>
      <c r="E645" s="98"/>
      <c r="F645" s="235"/>
      <c r="G645" s="235"/>
      <c r="H645" s="236"/>
      <c r="I645" s="236"/>
      <c r="J645" s="236"/>
      <c r="K645" s="236"/>
      <c r="L645" s="236"/>
      <c r="M645" s="236"/>
      <c r="N645" s="236"/>
      <c r="O645" s="236"/>
      <c r="P645" s="236"/>
      <c r="Q645" s="236"/>
      <c r="R645" s="236"/>
      <c r="S645" s="236"/>
      <c r="T645" s="236"/>
      <c r="U645" s="236"/>
      <c r="V645" s="236"/>
      <c r="W645" s="237"/>
      <c r="X645" s="237"/>
      <c r="Y645" s="237"/>
      <c r="Z645" s="237"/>
      <c r="AA645" s="237"/>
      <c r="AB645" s="237"/>
      <c r="AC645" s="237"/>
      <c r="AD645" s="237"/>
      <c r="AE645" s="237"/>
      <c r="AF645" s="237"/>
      <c r="AG645" s="237"/>
      <c r="AH645" s="237"/>
      <c r="AI645" s="308"/>
      <c r="AJ645" s="308"/>
      <c r="AK645" s="308"/>
      <c r="AL645" s="308"/>
      <c r="AM645" s="98"/>
      <c r="AN645" s="98"/>
      <c r="AO645" s="98"/>
    </row>
    <row r="646" ht="14.25" customHeight="1">
      <c r="A646" s="98"/>
      <c r="B646" s="98"/>
      <c r="C646" s="98"/>
      <c r="D646" s="308"/>
      <c r="E646" s="98"/>
      <c r="F646" s="235"/>
      <c r="G646" s="235"/>
      <c r="H646" s="236"/>
      <c r="I646" s="236"/>
      <c r="J646" s="236"/>
      <c r="K646" s="236"/>
      <c r="L646" s="236"/>
      <c r="M646" s="236"/>
      <c r="N646" s="236"/>
      <c r="O646" s="236"/>
      <c r="P646" s="236"/>
      <c r="Q646" s="236"/>
      <c r="R646" s="236"/>
      <c r="S646" s="236"/>
      <c r="T646" s="236"/>
      <c r="U646" s="236"/>
      <c r="V646" s="236"/>
      <c r="W646" s="237"/>
      <c r="X646" s="237"/>
      <c r="Y646" s="237"/>
      <c r="Z646" s="237"/>
      <c r="AA646" s="237"/>
      <c r="AB646" s="237"/>
      <c r="AC646" s="237"/>
      <c r="AD646" s="237"/>
      <c r="AE646" s="237"/>
      <c r="AF646" s="237"/>
      <c r="AG646" s="237"/>
      <c r="AH646" s="237"/>
      <c r="AI646" s="308"/>
      <c r="AJ646" s="308"/>
      <c r="AK646" s="308"/>
      <c r="AL646" s="308"/>
      <c r="AM646" s="98"/>
      <c r="AN646" s="98"/>
      <c r="AO646" s="98"/>
    </row>
    <row r="647" ht="14.25" customHeight="1">
      <c r="A647" s="98"/>
      <c r="B647" s="98"/>
      <c r="C647" s="98"/>
      <c r="D647" s="308"/>
      <c r="E647" s="98"/>
      <c r="F647" s="235"/>
      <c r="G647" s="235"/>
      <c r="H647" s="236"/>
      <c r="I647" s="236"/>
      <c r="J647" s="236"/>
      <c r="K647" s="236"/>
      <c r="L647" s="236"/>
      <c r="M647" s="236"/>
      <c r="N647" s="236"/>
      <c r="O647" s="236"/>
      <c r="P647" s="236"/>
      <c r="Q647" s="236"/>
      <c r="R647" s="236"/>
      <c r="S647" s="236"/>
      <c r="T647" s="236"/>
      <c r="U647" s="236"/>
      <c r="V647" s="236"/>
      <c r="W647" s="237"/>
      <c r="X647" s="237"/>
      <c r="Y647" s="237"/>
      <c r="Z647" s="237"/>
      <c r="AA647" s="237"/>
      <c r="AB647" s="237"/>
      <c r="AC647" s="237"/>
      <c r="AD647" s="237"/>
      <c r="AE647" s="237"/>
      <c r="AF647" s="237"/>
      <c r="AG647" s="237"/>
      <c r="AH647" s="237"/>
      <c r="AI647" s="308"/>
      <c r="AJ647" s="308"/>
      <c r="AK647" s="308"/>
      <c r="AL647" s="308"/>
      <c r="AM647" s="98"/>
      <c r="AN647" s="98"/>
      <c r="AO647" s="98"/>
    </row>
    <row r="648" ht="14.25" customHeight="1">
      <c r="A648" s="98"/>
      <c r="B648" s="98"/>
      <c r="C648" s="98"/>
      <c r="D648" s="308"/>
      <c r="E648" s="98"/>
      <c r="F648" s="235"/>
      <c r="G648" s="235"/>
      <c r="H648" s="236"/>
      <c r="I648" s="236"/>
      <c r="J648" s="236"/>
      <c r="K648" s="236"/>
      <c r="L648" s="236"/>
      <c r="M648" s="236"/>
      <c r="N648" s="236"/>
      <c r="O648" s="236"/>
      <c r="P648" s="236"/>
      <c r="Q648" s="236"/>
      <c r="R648" s="236"/>
      <c r="S648" s="236"/>
      <c r="T648" s="236"/>
      <c r="U648" s="236"/>
      <c r="V648" s="236"/>
      <c r="W648" s="237"/>
      <c r="X648" s="237"/>
      <c r="Y648" s="237"/>
      <c r="Z648" s="237"/>
      <c r="AA648" s="237"/>
      <c r="AB648" s="237"/>
      <c r="AC648" s="237"/>
      <c r="AD648" s="237"/>
      <c r="AE648" s="237"/>
      <c r="AF648" s="237"/>
      <c r="AG648" s="237"/>
      <c r="AH648" s="237"/>
      <c r="AI648" s="308"/>
      <c r="AJ648" s="308"/>
      <c r="AK648" s="308"/>
      <c r="AL648" s="308"/>
      <c r="AM648" s="98"/>
      <c r="AN648" s="98"/>
      <c r="AO648" s="98"/>
    </row>
    <row r="649" ht="14.25" customHeight="1">
      <c r="A649" s="98"/>
      <c r="B649" s="98"/>
      <c r="C649" s="98"/>
      <c r="D649" s="308"/>
      <c r="E649" s="98"/>
      <c r="F649" s="235"/>
      <c r="G649" s="235"/>
      <c r="H649" s="236"/>
      <c r="I649" s="236"/>
      <c r="J649" s="236"/>
      <c r="K649" s="236"/>
      <c r="L649" s="236"/>
      <c r="M649" s="236"/>
      <c r="N649" s="236"/>
      <c r="O649" s="236"/>
      <c r="P649" s="236"/>
      <c r="Q649" s="236"/>
      <c r="R649" s="236"/>
      <c r="S649" s="236"/>
      <c r="T649" s="236"/>
      <c r="U649" s="236"/>
      <c r="V649" s="236"/>
      <c r="W649" s="237"/>
      <c r="X649" s="237"/>
      <c r="Y649" s="237"/>
      <c r="Z649" s="237"/>
      <c r="AA649" s="237"/>
      <c r="AB649" s="237"/>
      <c r="AC649" s="237"/>
      <c r="AD649" s="237"/>
      <c r="AE649" s="237"/>
      <c r="AF649" s="237"/>
      <c r="AG649" s="237"/>
      <c r="AH649" s="237"/>
      <c r="AI649" s="308"/>
      <c r="AJ649" s="308"/>
      <c r="AK649" s="308"/>
      <c r="AL649" s="308"/>
      <c r="AM649" s="98"/>
      <c r="AN649" s="98"/>
      <c r="AO649" s="98"/>
    </row>
    <row r="650" ht="14.25" customHeight="1">
      <c r="A650" s="98"/>
      <c r="B650" s="98"/>
      <c r="C650" s="98"/>
      <c r="D650" s="308"/>
      <c r="E650" s="98"/>
      <c r="F650" s="235"/>
      <c r="G650" s="235"/>
      <c r="H650" s="236"/>
      <c r="I650" s="236"/>
      <c r="J650" s="236"/>
      <c r="K650" s="236"/>
      <c r="L650" s="236"/>
      <c r="M650" s="236"/>
      <c r="N650" s="236"/>
      <c r="O650" s="236"/>
      <c r="P650" s="236"/>
      <c r="Q650" s="236"/>
      <c r="R650" s="236"/>
      <c r="S650" s="236"/>
      <c r="T650" s="236"/>
      <c r="U650" s="236"/>
      <c r="V650" s="236"/>
      <c r="W650" s="237"/>
      <c r="X650" s="237"/>
      <c r="Y650" s="237"/>
      <c r="Z650" s="237"/>
      <c r="AA650" s="237"/>
      <c r="AB650" s="237"/>
      <c r="AC650" s="237"/>
      <c r="AD650" s="237"/>
      <c r="AE650" s="237"/>
      <c r="AF650" s="237"/>
      <c r="AG650" s="237"/>
      <c r="AH650" s="237"/>
      <c r="AI650" s="308"/>
      <c r="AJ650" s="308"/>
      <c r="AK650" s="308"/>
      <c r="AL650" s="308"/>
      <c r="AM650" s="98"/>
      <c r="AN650" s="98"/>
      <c r="AO650" s="98"/>
    </row>
    <row r="651" ht="14.25" customHeight="1">
      <c r="A651" s="98"/>
      <c r="B651" s="98"/>
      <c r="C651" s="98"/>
      <c r="D651" s="308"/>
      <c r="E651" s="98"/>
      <c r="F651" s="235"/>
      <c r="G651" s="235"/>
      <c r="H651" s="236"/>
      <c r="I651" s="236"/>
      <c r="J651" s="236"/>
      <c r="K651" s="236"/>
      <c r="L651" s="236"/>
      <c r="M651" s="236"/>
      <c r="N651" s="236"/>
      <c r="O651" s="236"/>
      <c r="P651" s="236"/>
      <c r="Q651" s="236"/>
      <c r="R651" s="236"/>
      <c r="S651" s="236"/>
      <c r="T651" s="236"/>
      <c r="U651" s="236"/>
      <c r="V651" s="236"/>
      <c r="W651" s="237"/>
      <c r="X651" s="237"/>
      <c r="Y651" s="237"/>
      <c r="Z651" s="237"/>
      <c r="AA651" s="237"/>
      <c r="AB651" s="237"/>
      <c r="AC651" s="237"/>
      <c r="AD651" s="237"/>
      <c r="AE651" s="237"/>
      <c r="AF651" s="237"/>
      <c r="AG651" s="237"/>
      <c r="AH651" s="237"/>
      <c r="AI651" s="308"/>
      <c r="AJ651" s="308"/>
      <c r="AK651" s="308"/>
      <c r="AL651" s="308"/>
      <c r="AM651" s="98"/>
      <c r="AN651" s="98"/>
      <c r="AO651" s="98"/>
    </row>
    <row r="652" ht="14.25" customHeight="1">
      <c r="A652" s="98"/>
      <c r="B652" s="98"/>
      <c r="C652" s="98"/>
      <c r="D652" s="308"/>
      <c r="E652" s="98"/>
      <c r="F652" s="235"/>
      <c r="G652" s="235"/>
      <c r="H652" s="236"/>
      <c r="I652" s="236"/>
      <c r="J652" s="236"/>
      <c r="K652" s="236"/>
      <c r="L652" s="236"/>
      <c r="M652" s="236"/>
      <c r="N652" s="236"/>
      <c r="O652" s="236"/>
      <c r="P652" s="236"/>
      <c r="Q652" s="236"/>
      <c r="R652" s="236"/>
      <c r="S652" s="236"/>
      <c r="T652" s="236"/>
      <c r="U652" s="236"/>
      <c r="V652" s="236"/>
      <c r="W652" s="237"/>
      <c r="X652" s="237"/>
      <c r="Y652" s="237"/>
      <c r="Z652" s="237"/>
      <c r="AA652" s="237"/>
      <c r="AB652" s="237"/>
      <c r="AC652" s="237"/>
      <c r="AD652" s="237"/>
      <c r="AE652" s="237"/>
      <c r="AF652" s="237"/>
      <c r="AG652" s="237"/>
      <c r="AH652" s="237"/>
      <c r="AI652" s="308"/>
      <c r="AJ652" s="308"/>
      <c r="AK652" s="308"/>
      <c r="AL652" s="308"/>
      <c r="AM652" s="98"/>
      <c r="AN652" s="98"/>
      <c r="AO652" s="98"/>
    </row>
    <row r="653" ht="14.25" customHeight="1">
      <c r="A653" s="98"/>
      <c r="B653" s="98"/>
      <c r="C653" s="98"/>
      <c r="D653" s="308"/>
      <c r="E653" s="98"/>
      <c r="F653" s="235"/>
      <c r="G653" s="235"/>
      <c r="H653" s="236"/>
      <c r="I653" s="236"/>
      <c r="J653" s="236"/>
      <c r="K653" s="236"/>
      <c r="L653" s="236"/>
      <c r="M653" s="236"/>
      <c r="N653" s="236"/>
      <c r="O653" s="236"/>
      <c r="P653" s="236"/>
      <c r="Q653" s="236"/>
      <c r="R653" s="236"/>
      <c r="S653" s="236"/>
      <c r="T653" s="236"/>
      <c r="U653" s="236"/>
      <c r="V653" s="236"/>
      <c r="W653" s="237"/>
      <c r="X653" s="237"/>
      <c r="Y653" s="237"/>
      <c r="Z653" s="237"/>
      <c r="AA653" s="237"/>
      <c r="AB653" s="237"/>
      <c r="AC653" s="237"/>
      <c r="AD653" s="237"/>
      <c r="AE653" s="237"/>
      <c r="AF653" s="237"/>
      <c r="AG653" s="237"/>
      <c r="AH653" s="237"/>
      <c r="AI653" s="308"/>
      <c r="AJ653" s="308"/>
      <c r="AK653" s="308"/>
      <c r="AL653" s="308"/>
      <c r="AM653" s="98"/>
      <c r="AN653" s="98"/>
      <c r="AO653" s="98"/>
    </row>
    <row r="654" ht="14.25" customHeight="1">
      <c r="A654" s="98"/>
      <c r="B654" s="98"/>
      <c r="C654" s="98"/>
      <c r="D654" s="308"/>
      <c r="E654" s="98"/>
      <c r="F654" s="235"/>
      <c r="G654" s="235"/>
      <c r="H654" s="236"/>
      <c r="I654" s="236"/>
      <c r="J654" s="236"/>
      <c r="K654" s="236"/>
      <c r="L654" s="236"/>
      <c r="M654" s="236"/>
      <c r="N654" s="236"/>
      <c r="O654" s="236"/>
      <c r="P654" s="236"/>
      <c r="Q654" s="236"/>
      <c r="R654" s="236"/>
      <c r="S654" s="236"/>
      <c r="T654" s="236"/>
      <c r="U654" s="236"/>
      <c r="V654" s="236"/>
      <c r="W654" s="237"/>
      <c r="X654" s="237"/>
      <c r="Y654" s="237"/>
      <c r="Z654" s="237"/>
      <c r="AA654" s="237"/>
      <c r="AB654" s="237"/>
      <c r="AC654" s="237"/>
      <c r="AD654" s="237"/>
      <c r="AE654" s="237"/>
      <c r="AF654" s="237"/>
      <c r="AG654" s="237"/>
      <c r="AH654" s="237"/>
      <c r="AI654" s="308"/>
      <c r="AJ654" s="308"/>
      <c r="AK654" s="308"/>
      <c r="AL654" s="308"/>
      <c r="AM654" s="98"/>
      <c r="AN654" s="98"/>
      <c r="AO654" s="98"/>
    </row>
    <row r="655" ht="14.25" customHeight="1">
      <c r="A655" s="98"/>
      <c r="B655" s="98"/>
      <c r="C655" s="98"/>
      <c r="D655" s="308"/>
      <c r="E655" s="98"/>
      <c r="F655" s="235"/>
      <c r="G655" s="235"/>
      <c r="H655" s="236"/>
      <c r="I655" s="236"/>
      <c r="J655" s="236"/>
      <c r="K655" s="236"/>
      <c r="L655" s="236"/>
      <c r="M655" s="236"/>
      <c r="N655" s="236"/>
      <c r="O655" s="236"/>
      <c r="P655" s="236"/>
      <c r="Q655" s="236"/>
      <c r="R655" s="236"/>
      <c r="S655" s="236"/>
      <c r="T655" s="236"/>
      <c r="U655" s="236"/>
      <c r="V655" s="236"/>
      <c r="W655" s="237"/>
      <c r="X655" s="237"/>
      <c r="Y655" s="237"/>
      <c r="Z655" s="237"/>
      <c r="AA655" s="237"/>
      <c r="AB655" s="237"/>
      <c r="AC655" s="237"/>
      <c r="AD655" s="237"/>
      <c r="AE655" s="237"/>
      <c r="AF655" s="237"/>
      <c r="AG655" s="237"/>
      <c r="AH655" s="237"/>
      <c r="AI655" s="308"/>
      <c r="AJ655" s="308"/>
      <c r="AK655" s="308"/>
      <c r="AL655" s="308"/>
      <c r="AM655" s="98"/>
      <c r="AN655" s="98"/>
      <c r="AO655" s="98"/>
    </row>
    <row r="656" ht="14.25" customHeight="1">
      <c r="A656" s="98"/>
      <c r="B656" s="98"/>
      <c r="C656" s="98"/>
      <c r="D656" s="308"/>
      <c r="E656" s="98"/>
      <c r="F656" s="235"/>
      <c r="G656" s="235"/>
      <c r="H656" s="236"/>
      <c r="I656" s="236"/>
      <c r="J656" s="236"/>
      <c r="K656" s="236"/>
      <c r="L656" s="236"/>
      <c r="M656" s="236"/>
      <c r="N656" s="236"/>
      <c r="O656" s="236"/>
      <c r="P656" s="236"/>
      <c r="Q656" s="236"/>
      <c r="R656" s="236"/>
      <c r="S656" s="236"/>
      <c r="T656" s="236"/>
      <c r="U656" s="236"/>
      <c r="V656" s="236"/>
      <c r="W656" s="237"/>
      <c r="X656" s="237"/>
      <c r="Y656" s="237"/>
      <c r="Z656" s="237"/>
      <c r="AA656" s="237"/>
      <c r="AB656" s="237"/>
      <c r="AC656" s="237"/>
      <c r="AD656" s="237"/>
      <c r="AE656" s="237"/>
      <c r="AF656" s="237"/>
      <c r="AG656" s="237"/>
      <c r="AH656" s="237"/>
      <c r="AI656" s="308"/>
      <c r="AJ656" s="308"/>
      <c r="AK656" s="308"/>
      <c r="AL656" s="308"/>
      <c r="AM656" s="98"/>
      <c r="AN656" s="98"/>
      <c r="AO656" s="98"/>
    </row>
    <row r="657" ht="14.25" customHeight="1">
      <c r="A657" s="98"/>
      <c r="B657" s="98"/>
      <c r="C657" s="98"/>
      <c r="D657" s="308"/>
      <c r="E657" s="98"/>
      <c r="F657" s="235"/>
      <c r="G657" s="235"/>
      <c r="H657" s="236"/>
      <c r="I657" s="236"/>
      <c r="J657" s="236"/>
      <c r="K657" s="236"/>
      <c r="L657" s="236"/>
      <c r="M657" s="236"/>
      <c r="N657" s="236"/>
      <c r="O657" s="236"/>
      <c r="P657" s="236"/>
      <c r="Q657" s="236"/>
      <c r="R657" s="236"/>
      <c r="S657" s="236"/>
      <c r="T657" s="236"/>
      <c r="U657" s="236"/>
      <c r="V657" s="236"/>
      <c r="W657" s="237"/>
      <c r="X657" s="237"/>
      <c r="Y657" s="237"/>
      <c r="Z657" s="237"/>
      <c r="AA657" s="237"/>
      <c r="AB657" s="237"/>
      <c r="AC657" s="237"/>
      <c r="AD657" s="237"/>
      <c r="AE657" s="237"/>
      <c r="AF657" s="237"/>
      <c r="AG657" s="237"/>
      <c r="AH657" s="237"/>
      <c r="AI657" s="308"/>
      <c r="AJ657" s="308"/>
      <c r="AK657" s="308"/>
      <c r="AL657" s="308"/>
      <c r="AM657" s="98"/>
      <c r="AN657" s="98"/>
      <c r="AO657" s="98"/>
    </row>
    <row r="658" ht="14.25" customHeight="1">
      <c r="A658" s="98"/>
      <c r="B658" s="98"/>
      <c r="C658" s="98"/>
      <c r="D658" s="308"/>
      <c r="E658" s="98"/>
      <c r="F658" s="235"/>
      <c r="G658" s="235"/>
      <c r="H658" s="236"/>
      <c r="I658" s="236"/>
      <c r="J658" s="236"/>
      <c r="K658" s="236"/>
      <c r="L658" s="236"/>
      <c r="M658" s="236"/>
      <c r="N658" s="236"/>
      <c r="O658" s="236"/>
      <c r="P658" s="236"/>
      <c r="Q658" s="236"/>
      <c r="R658" s="236"/>
      <c r="S658" s="236"/>
      <c r="T658" s="236"/>
      <c r="U658" s="236"/>
      <c r="V658" s="236"/>
      <c r="W658" s="237"/>
      <c r="X658" s="237"/>
      <c r="Y658" s="237"/>
      <c r="Z658" s="237"/>
      <c r="AA658" s="237"/>
      <c r="AB658" s="237"/>
      <c r="AC658" s="237"/>
      <c r="AD658" s="237"/>
      <c r="AE658" s="237"/>
      <c r="AF658" s="237"/>
      <c r="AG658" s="237"/>
      <c r="AH658" s="237"/>
      <c r="AI658" s="308"/>
      <c r="AJ658" s="308"/>
      <c r="AK658" s="308"/>
      <c r="AL658" s="308"/>
      <c r="AM658" s="98"/>
      <c r="AN658" s="98"/>
      <c r="AO658" s="98"/>
    </row>
    <row r="659" ht="14.25" customHeight="1">
      <c r="A659" s="98"/>
      <c r="B659" s="98"/>
      <c r="C659" s="98"/>
      <c r="D659" s="308"/>
      <c r="E659" s="98"/>
      <c r="F659" s="235"/>
      <c r="G659" s="235"/>
      <c r="H659" s="236"/>
      <c r="I659" s="236"/>
      <c r="J659" s="236"/>
      <c r="K659" s="236"/>
      <c r="L659" s="236"/>
      <c r="M659" s="236"/>
      <c r="N659" s="236"/>
      <c r="O659" s="236"/>
      <c r="P659" s="236"/>
      <c r="Q659" s="236"/>
      <c r="R659" s="236"/>
      <c r="S659" s="236"/>
      <c r="T659" s="236"/>
      <c r="U659" s="236"/>
      <c r="V659" s="236"/>
      <c r="W659" s="237"/>
      <c r="X659" s="237"/>
      <c r="Y659" s="237"/>
      <c r="Z659" s="237"/>
      <c r="AA659" s="237"/>
      <c r="AB659" s="237"/>
      <c r="AC659" s="237"/>
      <c r="AD659" s="237"/>
      <c r="AE659" s="237"/>
      <c r="AF659" s="237"/>
      <c r="AG659" s="237"/>
      <c r="AH659" s="237"/>
      <c r="AI659" s="308"/>
      <c r="AJ659" s="308"/>
      <c r="AK659" s="308"/>
      <c r="AL659" s="308"/>
      <c r="AM659" s="98"/>
      <c r="AN659" s="98"/>
      <c r="AO659" s="98"/>
    </row>
    <row r="660" ht="14.25" customHeight="1">
      <c r="A660" s="98"/>
      <c r="B660" s="98"/>
      <c r="C660" s="98"/>
      <c r="D660" s="308"/>
      <c r="E660" s="98"/>
      <c r="F660" s="235"/>
      <c r="G660" s="235"/>
      <c r="H660" s="236"/>
      <c r="I660" s="236"/>
      <c r="J660" s="236"/>
      <c r="K660" s="236"/>
      <c r="L660" s="236"/>
      <c r="M660" s="236"/>
      <c r="N660" s="236"/>
      <c r="O660" s="236"/>
      <c r="P660" s="236"/>
      <c r="Q660" s="236"/>
      <c r="R660" s="236"/>
      <c r="S660" s="236"/>
      <c r="T660" s="236"/>
      <c r="U660" s="236"/>
      <c r="V660" s="236"/>
      <c r="W660" s="237"/>
      <c r="X660" s="237"/>
      <c r="Y660" s="237"/>
      <c r="Z660" s="237"/>
      <c r="AA660" s="237"/>
      <c r="AB660" s="237"/>
      <c r="AC660" s="237"/>
      <c r="AD660" s="237"/>
      <c r="AE660" s="237"/>
      <c r="AF660" s="237"/>
      <c r="AG660" s="237"/>
      <c r="AH660" s="237"/>
      <c r="AI660" s="308"/>
      <c r="AJ660" s="308"/>
      <c r="AK660" s="308"/>
      <c r="AL660" s="308"/>
      <c r="AM660" s="98"/>
      <c r="AN660" s="98"/>
      <c r="AO660" s="98"/>
    </row>
    <row r="661" ht="14.25" customHeight="1">
      <c r="A661" s="98"/>
      <c r="B661" s="98"/>
      <c r="C661" s="98"/>
      <c r="D661" s="308"/>
      <c r="E661" s="98"/>
      <c r="F661" s="235"/>
      <c r="G661" s="235"/>
      <c r="H661" s="236"/>
      <c r="I661" s="236"/>
      <c r="J661" s="236"/>
      <c r="K661" s="236"/>
      <c r="L661" s="236"/>
      <c r="M661" s="236"/>
      <c r="N661" s="236"/>
      <c r="O661" s="236"/>
      <c r="P661" s="236"/>
      <c r="Q661" s="236"/>
      <c r="R661" s="236"/>
      <c r="S661" s="236"/>
      <c r="T661" s="236"/>
      <c r="U661" s="236"/>
      <c r="V661" s="236"/>
      <c r="W661" s="237"/>
      <c r="X661" s="237"/>
      <c r="Y661" s="237"/>
      <c r="Z661" s="237"/>
      <c r="AA661" s="237"/>
      <c r="AB661" s="237"/>
      <c r="AC661" s="237"/>
      <c r="AD661" s="237"/>
      <c r="AE661" s="237"/>
      <c r="AF661" s="237"/>
      <c r="AG661" s="237"/>
      <c r="AH661" s="237"/>
      <c r="AI661" s="308"/>
      <c r="AJ661" s="308"/>
      <c r="AK661" s="308"/>
      <c r="AL661" s="308"/>
      <c r="AM661" s="98"/>
      <c r="AN661" s="98"/>
      <c r="AO661" s="98"/>
    </row>
    <row r="662" ht="14.25" customHeight="1">
      <c r="A662" s="98"/>
      <c r="B662" s="98"/>
      <c r="C662" s="98"/>
      <c r="D662" s="308"/>
      <c r="E662" s="98"/>
      <c r="F662" s="235"/>
      <c r="G662" s="235"/>
      <c r="H662" s="236"/>
      <c r="I662" s="236"/>
      <c r="J662" s="236"/>
      <c r="K662" s="236"/>
      <c r="L662" s="236"/>
      <c r="M662" s="236"/>
      <c r="N662" s="236"/>
      <c r="O662" s="236"/>
      <c r="P662" s="236"/>
      <c r="Q662" s="236"/>
      <c r="R662" s="236"/>
      <c r="S662" s="236"/>
      <c r="T662" s="236"/>
      <c r="U662" s="236"/>
      <c r="V662" s="236"/>
      <c r="W662" s="237"/>
      <c r="X662" s="237"/>
      <c r="Y662" s="237"/>
      <c r="Z662" s="237"/>
      <c r="AA662" s="237"/>
      <c r="AB662" s="237"/>
      <c r="AC662" s="237"/>
      <c r="AD662" s="237"/>
      <c r="AE662" s="237"/>
      <c r="AF662" s="237"/>
      <c r="AG662" s="237"/>
      <c r="AH662" s="237"/>
      <c r="AI662" s="308"/>
      <c r="AJ662" s="308"/>
      <c r="AK662" s="308"/>
      <c r="AL662" s="308"/>
      <c r="AM662" s="98"/>
      <c r="AN662" s="98"/>
      <c r="AO662" s="98"/>
    </row>
    <row r="663" ht="14.25" customHeight="1">
      <c r="A663" s="98"/>
      <c r="B663" s="98"/>
      <c r="C663" s="98"/>
      <c r="D663" s="308"/>
      <c r="E663" s="98"/>
      <c r="F663" s="235"/>
      <c r="G663" s="235"/>
      <c r="H663" s="236"/>
      <c r="I663" s="236"/>
      <c r="J663" s="236"/>
      <c r="K663" s="236"/>
      <c r="L663" s="236"/>
      <c r="M663" s="236"/>
      <c r="N663" s="236"/>
      <c r="O663" s="236"/>
      <c r="P663" s="236"/>
      <c r="Q663" s="236"/>
      <c r="R663" s="236"/>
      <c r="S663" s="236"/>
      <c r="T663" s="236"/>
      <c r="U663" s="236"/>
      <c r="V663" s="236"/>
      <c r="W663" s="237"/>
      <c r="X663" s="237"/>
      <c r="Y663" s="237"/>
      <c r="Z663" s="237"/>
      <c r="AA663" s="237"/>
      <c r="AB663" s="237"/>
      <c r="AC663" s="237"/>
      <c r="AD663" s="237"/>
      <c r="AE663" s="237"/>
      <c r="AF663" s="237"/>
      <c r="AG663" s="237"/>
      <c r="AH663" s="237"/>
      <c r="AI663" s="308"/>
      <c r="AJ663" s="308"/>
      <c r="AK663" s="308"/>
      <c r="AL663" s="308"/>
      <c r="AM663" s="98"/>
      <c r="AN663" s="98"/>
      <c r="AO663" s="98"/>
    </row>
    <row r="664" ht="14.25" customHeight="1">
      <c r="A664" s="98"/>
      <c r="B664" s="98"/>
      <c r="C664" s="98"/>
      <c r="D664" s="308"/>
      <c r="E664" s="98"/>
      <c r="F664" s="235"/>
      <c r="G664" s="235"/>
      <c r="H664" s="236"/>
      <c r="I664" s="236"/>
      <c r="J664" s="236"/>
      <c r="K664" s="236"/>
      <c r="L664" s="236"/>
      <c r="M664" s="236"/>
      <c r="N664" s="236"/>
      <c r="O664" s="236"/>
      <c r="P664" s="236"/>
      <c r="Q664" s="236"/>
      <c r="R664" s="236"/>
      <c r="S664" s="236"/>
      <c r="T664" s="236"/>
      <c r="U664" s="236"/>
      <c r="V664" s="236"/>
      <c r="W664" s="237"/>
      <c r="X664" s="237"/>
      <c r="Y664" s="237"/>
      <c r="Z664" s="237"/>
      <c r="AA664" s="237"/>
      <c r="AB664" s="237"/>
      <c r="AC664" s="237"/>
      <c r="AD664" s="237"/>
      <c r="AE664" s="237"/>
      <c r="AF664" s="237"/>
      <c r="AG664" s="237"/>
      <c r="AH664" s="237"/>
      <c r="AI664" s="308"/>
      <c r="AJ664" s="308"/>
      <c r="AK664" s="308"/>
      <c r="AL664" s="308"/>
      <c r="AM664" s="98"/>
      <c r="AN664" s="98"/>
      <c r="AO664" s="98"/>
    </row>
    <row r="665" ht="14.25" customHeight="1">
      <c r="A665" s="98"/>
      <c r="B665" s="98"/>
      <c r="C665" s="98"/>
      <c r="D665" s="308"/>
      <c r="E665" s="98"/>
      <c r="F665" s="235"/>
      <c r="G665" s="235"/>
      <c r="H665" s="236"/>
      <c r="I665" s="236"/>
      <c r="J665" s="236"/>
      <c r="K665" s="236"/>
      <c r="L665" s="236"/>
      <c r="M665" s="236"/>
      <c r="N665" s="236"/>
      <c r="O665" s="236"/>
      <c r="P665" s="236"/>
      <c r="Q665" s="236"/>
      <c r="R665" s="236"/>
      <c r="S665" s="236"/>
      <c r="T665" s="236"/>
      <c r="U665" s="236"/>
      <c r="V665" s="236"/>
      <c r="W665" s="237"/>
      <c r="X665" s="237"/>
      <c r="Y665" s="237"/>
      <c r="Z665" s="237"/>
      <c r="AA665" s="237"/>
      <c r="AB665" s="237"/>
      <c r="AC665" s="237"/>
      <c r="AD665" s="237"/>
      <c r="AE665" s="237"/>
      <c r="AF665" s="237"/>
      <c r="AG665" s="237"/>
      <c r="AH665" s="237"/>
      <c r="AI665" s="308"/>
      <c r="AJ665" s="308"/>
      <c r="AK665" s="308"/>
      <c r="AL665" s="308"/>
      <c r="AM665" s="98"/>
      <c r="AN665" s="98"/>
      <c r="AO665" s="98"/>
    </row>
    <row r="666" ht="14.25" customHeight="1">
      <c r="A666" s="98"/>
      <c r="B666" s="98"/>
      <c r="C666" s="98"/>
      <c r="D666" s="308"/>
      <c r="E666" s="98"/>
      <c r="F666" s="235"/>
      <c r="G666" s="235"/>
      <c r="H666" s="236"/>
      <c r="I666" s="236"/>
      <c r="J666" s="236"/>
      <c r="K666" s="236"/>
      <c r="L666" s="236"/>
      <c r="M666" s="236"/>
      <c r="N666" s="236"/>
      <c r="O666" s="236"/>
      <c r="P666" s="236"/>
      <c r="Q666" s="236"/>
      <c r="R666" s="236"/>
      <c r="S666" s="236"/>
      <c r="T666" s="236"/>
      <c r="U666" s="236"/>
      <c r="V666" s="236"/>
      <c r="W666" s="237"/>
      <c r="X666" s="237"/>
      <c r="Y666" s="237"/>
      <c r="Z666" s="237"/>
      <c r="AA666" s="237"/>
      <c r="AB666" s="237"/>
      <c r="AC666" s="237"/>
      <c r="AD666" s="237"/>
      <c r="AE666" s="237"/>
      <c r="AF666" s="237"/>
      <c r="AG666" s="237"/>
      <c r="AH666" s="237"/>
      <c r="AI666" s="308"/>
      <c r="AJ666" s="308"/>
      <c r="AK666" s="308"/>
      <c r="AL666" s="308"/>
      <c r="AM666" s="98"/>
      <c r="AN666" s="98"/>
      <c r="AO666" s="98"/>
    </row>
    <row r="667" ht="14.25" customHeight="1">
      <c r="A667" s="98"/>
      <c r="B667" s="98"/>
      <c r="C667" s="98"/>
      <c r="D667" s="308"/>
      <c r="E667" s="98"/>
      <c r="F667" s="235"/>
      <c r="G667" s="235"/>
      <c r="H667" s="236"/>
      <c r="I667" s="236"/>
      <c r="J667" s="236"/>
      <c r="K667" s="236"/>
      <c r="L667" s="236"/>
      <c r="M667" s="236"/>
      <c r="N667" s="236"/>
      <c r="O667" s="236"/>
      <c r="P667" s="236"/>
      <c r="Q667" s="236"/>
      <c r="R667" s="236"/>
      <c r="S667" s="236"/>
      <c r="T667" s="236"/>
      <c r="U667" s="236"/>
      <c r="V667" s="236"/>
      <c r="W667" s="237"/>
      <c r="X667" s="237"/>
      <c r="Y667" s="237"/>
      <c r="Z667" s="237"/>
      <c r="AA667" s="237"/>
      <c r="AB667" s="237"/>
      <c r="AC667" s="237"/>
      <c r="AD667" s="237"/>
      <c r="AE667" s="237"/>
      <c r="AF667" s="237"/>
      <c r="AG667" s="237"/>
      <c r="AH667" s="237"/>
      <c r="AI667" s="308"/>
      <c r="AJ667" s="308"/>
      <c r="AK667" s="308"/>
      <c r="AL667" s="308"/>
      <c r="AM667" s="98"/>
      <c r="AN667" s="98"/>
      <c r="AO667" s="98"/>
    </row>
    <row r="668" ht="14.25" customHeight="1">
      <c r="A668" s="98"/>
      <c r="B668" s="98"/>
      <c r="C668" s="98"/>
      <c r="D668" s="308"/>
      <c r="E668" s="98"/>
      <c r="F668" s="235"/>
      <c r="G668" s="235"/>
      <c r="H668" s="236"/>
      <c r="I668" s="236"/>
      <c r="J668" s="236"/>
      <c r="K668" s="236"/>
      <c r="L668" s="236"/>
      <c r="M668" s="236"/>
      <c r="N668" s="236"/>
      <c r="O668" s="236"/>
      <c r="P668" s="236"/>
      <c r="Q668" s="236"/>
      <c r="R668" s="236"/>
      <c r="S668" s="236"/>
      <c r="T668" s="236"/>
      <c r="U668" s="236"/>
      <c r="V668" s="236"/>
      <c r="W668" s="237"/>
      <c r="X668" s="237"/>
      <c r="Y668" s="237"/>
      <c r="Z668" s="237"/>
      <c r="AA668" s="237"/>
      <c r="AB668" s="237"/>
      <c r="AC668" s="237"/>
      <c r="AD668" s="237"/>
      <c r="AE668" s="237"/>
      <c r="AF668" s="237"/>
      <c r="AG668" s="237"/>
      <c r="AH668" s="237"/>
      <c r="AI668" s="308"/>
      <c r="AJ668" s="308"/>
      <c r="AK668" s="308"/>
      <c r="AL668" s="308"/>
      <c r="AM668" s="98"/>
      <c r="AN668" s="98"/>
      <c r="AO668" s="98"/>
    </row>
    <row r="669" ht="14.25" customHeight="1">
      <c r="A669" s="98"/>
      <c r="B669" s="98"/>
      <c r="C669" s="98"/>
      <c r="D669" s="308"/>
      <c r="E669" s="98"/>
      <c r="F669" s="235"/>
      <c r="G669" s="235"/>
      <c r="H669" s="236"/>
      <c r="I669" s="236"/>
      <c r="J669" s="236"/>
      <c r="K669" s="236"/>
      <c r="L669" s="236"/>
      <c r="M669" s="236"/>
      <c r="N669" s="236"/>
      <c r="O669" s="236"/>
      <c r="P669" s="236"/>
      <c r="Q669" s="236"/>
      <c r="R669" s="236"/>
      <c r="S669" s="236"/>
      <c r="T669" s="236"/>
      <c r="U669" s="236"/>
      <c r="V669" s="236"/>
      <c r="W669" s="237"/>
      <c r="X669" s="237"/>
      <c r="Y669" s="237"/>
      <c r="Z669" s="237"/>
      <c r="AA669" s="237"/>
      <c r="AB669" s="237"/>
      <c r="AC669" s="237"/>
      <c r="AD669" s="237"/>
      <c r="AE669" s="237"/>
      <c r="AF669" s="237"/>
      <c r="AG669" s="237"/>
      <c r="AH669" s="237"/>
      <c r="AI669" s="308"/>
      <c r="AJ669" s="308"/>
      <c r="AK669" s="308"/>
      <c r="AL669" s="308"/>
      <c r="AM669" s="98"/>
      <c r="AN669" s="98"/>
      <c r="AO669" s="98"/>
    </row>
    <row r="670" ht="14.25" customHeight="1">
      <c r="A670" s="98"/>
      <c r="B670" s="98"/>
      <c r="C670" s="98"/>
      <c r="D670" s="308"/>
      <c r="E670" s="98"/>
      <c r="F670" s="235"/>
      <c r="G670" s="235"/>
      <c r="H670" s="236"/>
      <c r="I670" s="236"/>
      <c r="J670" s="236"/>
      <c r="K670" s="236"/>
      <c r="L670" s="236"/>
      <c r="M670" s="236"/>
      <c r="N670" s="236"/>
      <c r="O670" s="236"/>
      <c r="P670" s="236"/>
      <c r="Q670" s="236"/>
      <c r="R670" s="236"/>
      <c r="S670" s="236"/>
      <c r="T670" s="236"/>
      <c r="U670" s="236"/>
      <c r="V670" s="236"/>
      <c r="W670" s="237"/>
      <c r="X670" s="237"/>
      <c r="Y670" s="237"/>
      <c r="Z670" s="237"/>
      <c r="AA670" s="237"/>
      <c r="AB670" s="237"/>
      <c r="AC670" s="237"/>
      <c r="AD670" s="237"/>
      <c r="AE670" s="237"/>
      <c r="AF670" s="237"/>
      <c r="AG670" s="237"/>
      <c r="AH670" s="237"/>
      <c r="AI670" s="308"/>
      <c r="AJ670" s="308"/>
      <c r="AK670" s="308"/>
      <c r="AL670" s="308"/>
      <c r="AM670" s="98"/>
      <c r="AN670" s="98"/>
      <c r="AO670" s="98"/>
    </row>
    <row r="671" ht="14.25" customHeight="1">
      <c r="A671" s="98"/>
      <c r="B671" s="98"/>
      <c r="C671" s="98"/>
      <c r="D671" s="308"/>
      <c r="E671" s="98"/>
      <c r="F671" s="235"/>
      <c r="G671" s="235"/>
      <c r="H671" s="236"/>
      <c r="I671" s="236"/>
      <c r="J671" s="236"/>
      <c r="K671" s="236"/>
      <c r="L671" s="236"/>
      <c r="M671" s="236"/>
      <c r="N671" s="236"/>
      <c r="O671" s="236"/>
      <c r="P671" s="236"/>
      <c r="Q671" s="236"/>
      <c r="R671" s="236"/>
      <c r="S671" s="236"/>
      <c r="T671" s="236"/>
      <c r="U671" s="236"/>
      <c r="V671" s="236"/>
      <c r="W671" s="237"/>
      <c r="X671" s="237"/>
      <c r="Y671" s="237"/>
      <c r="Z671" s="237"/>
      <c r="AA671" s="237"/>
      <c r="AB671" s="237"/>
      <c r="AC671" s="237"/>
      <c r="AD671" s="237"/>
      <c r="AE671" s="237"/>
      <c r="AF671" s="237"/>
      <c r="AG671" s="237"/>
      <c r="AH671" s="237"/>
      <c r="AI671" s="308"/>
      <c r="AJ671" s="308"/>
      <c r="AK671" s="308"/>
      <c r="AL671" s="308"/>
      <c r="AM671" s="98"/>
      <c r="AN671" s="98"/>
      <c r="AO671" s="98"/>
    </row>
    <row r="672" ht="14.25" customHeight="1">
      <c r="A672" s="98"/>
      <c r="B672" s="98"/>
      <c r="C672" s="98"/>
      <c r="D672" s="308"/>
      <c r="E672" s="98"/>
      <c r="F672" s="235"/>
      <c r="G672" s="235"/>
      <c r="H672" s="236"/>
      <c r="I672" s="236"/>
      <c r="J672" s="236"/>
      <c r="K672" s="236"/>
      <c r="L672" s="236"/>
      <c r="M672" s="236"/>
      <c r="N672" s="236"/>
      <c r="O672" s="236"/>
      <c r="P672" s="236"/>
      <c r="Q672" s="236"/>
      <c r="R672" s="236"/>
      <c r="S672" s="236"/>
      <c r="T672" s="236"/>
      <c r="U672" s="236"/>
      <c r="V672" s="236"/>
      <c r="W672" s="237"/>
      <c r="X672" s="237"/>
      <c r="Y672" s="237"/>
      <c r="Z672" s="237"/>
      <c r="AA672" s="237"/>
      <c r="AB672" s="237"/>
      <c r="AC672" s="237"/>
      <c r="AD672" s="237"/>
      <c r="AE672" s="237"/>
      <c r="AF672" s="237"/>
      <c r="AG672" s="237"/>
      <c r="AH672" s="237"/>
      <c r="AI672" s="308"/>
      <c r="AJ672" s="308"/>
      <c r="AK672" s="308"/>
      <c r="AL672" s="308"/>
      <c r="AM672" s="98"/>
      <c r="AN672" s="98"/>
      <c r="AO672" s="98"/>
    </row>
    <row r="673" ht="14.25" customHeight="1">
      <c r="A673" s="98"/>
      <c r="B673" s="98"/>
      <c r="C673" s="98"/>
      <c r="D673" s="308"/>
      <c r="E673" s="98"/>
      <c r="F673" s="235"/>
      <c r="G673" s="235"/>
      <c r="H673" s="236"/>
      <c r="I673" s="236"/>
      <c r="J673" s="236"/>
      <c r="K673" s="236"/>
      <c r="L673" s="236"/>
      <c r="M673" s="236"/>
      <c r="N673" s="236"/>
      <c r="O673" s="236"/>
      <c r="P673" s="236"/>
      <c r="Q673" s="236"/>
      <c r="R673" s="236"/>
      <c r="S673" s="236"/>
      <c r="T673" s="236"/>
      <c r="U673" s="236"/>
      <c r="V673" s="236"/>
      <c r="W673" s="237"/>
      <c r="X673" s="237"/>
      <c r="Y673" s="237"/>
      <c r="Z673" s="237"/>
      <c r="AA673" s="237"/>
      <c r="AB673" s="237"/>
      <c r="AC673" s="237"/>
      <c r="AD673" s="237"/>
      <c r="AE673" s="237"/>
      <c r="AF673" s="237"/>
      <c r="AG673" s="237"/>
      <c r="AH673" s="237"/>
      <c r="AI673" s="308"/>
      <c r="AJ673" s="308"/>
      <c r="AK673" s="308"/>
      <c r="AL673" s="308"/>
      <c r="AM673" s="98"/>
      <c r="AN673" s="98"/>
      <c r="AO673" s="98"/>
    </row>
    <row r="674" ht="14.25" customHeight="1">
      <c r="A674" s="98"/>
      <c r="B674" s="98"/>
      <c r="C674" s="98"/>
      <c r="D674" s="308"/>
      <c r="E674" s="98"/>
      <c r="F674" s="235"/>
      <c r="G674" s="235"/>
      <c r="H674" s="236"/>
      <c r="I674" s="236"/>
      <c r="J674" s="236"/>
      <c r="K674" s="236"/>
      <c r="L674" s="236"/>
      <c r="M674" s="236"/>
      <c r="N674" s="236"/>
      <c r="O674" s="236"/>
      <c r="P674" s="236"/>
      <c r="Q674" s="236"/>
      <c r="R674" s="236"/>
      <c r="S674" s="236"/>
      <c r="T674" s="236"/>
      <c r="U674" s="236"/>
      <c r="V674" s="236"/>
      <c r="W674" s="237"/>
      <c r="X674" s="237"/>
      <c r="Y674" s="237"/>
      <c r="Z674" s="237"/>
      <c r="AA674" s="237"/>
      <c r="AB674" s="237"/>
      <c r="AC674" s="237"/>
      <c r="AD674" s="237"/>
      <c r="AE674" s="237"/>
      <c r="AF674" s="237"/>
      <c r="AG674" s="237"/>
      <c r="AH674" s="237"/>
      <c r="AI674" s="308"/>
      <c r="AJ674" s="308"/>
      <c r="AK674" s="308"/>
      <c r="AL674" s="308"/>
      <c r="AM674" s="98"/>
      <c r="AN674" s="98"/>
      <c r="AO674" s="98"/>
    </row>
    <row r="675" ht="14.25" customHeight="1">
      <c r="A675" s="98"/>
      <c r="B675" s="98"/>
      <c r="C675" s="98"/>
      <c r="D675" s="308"/>
      <c r="E675" s="98"/>
      <c r="F675" s="235"/>
      <c r="G675" s="235"/>
      <c r="H675" s="236"/>
      <c r="I675" s="236"/>
      <c r="J675" s="236"/>
      <c r="K675" s="236"/>
      <c r="L675" s="236"/>
      <c r="M675" s="236"/>
      <c r="N675" s="236"/>
      <c r="O675" s="236"/>
      <c r="P675" s="236"/>
      <c r="Q675" s="236"/>
      <c r="R675" s="236"/>
      <c r="S675" s="236"/>
      <c r="T675" s="236"/>
      <c r="U675" s="236"/>
      <c r="V675" s="236"/>
      <c r="W675" s="237"/>
      <c r="X675" s="237"/>
      <c r="Y675" s="237"/>
      <c r="Z675" s="237"/>
      <c r="AA675" s="237"/>
      <c r="AB675" s="237"/>
      <c r="AC675" s="237"/>
      <c r="AD675" s="237"/>
      <c r="AE675" s="237"/>
      <c r="AF675" s="237"/>
      <c r="AG675" s="237"/>
      <c r="AH675" s="237"/>
      <c r="AI675" s="308"/>
      <c r="AJ675" s="308"/>
      <c r="AK675" s="308"/>
      <c r="AL675" s="308"/>
      <c r="AM675" s="98"/>
      <c r="AN675" s="98"/>
      <c r="AO675" s="98"/>
    </row>
    <row r="676" ht="14.25" customHeight="1">
      <c r="A676" s="98"/>
      <c r="B676" s="98"/>
      <c r="C676" s="98"/>
      <c r="D676" s="308"/>
      <c r="E676" s="98"/>
      <c r="F676" s="235"/>
      <c r="G676" s="235"/>
      <c r="H676" s="236"/>
      <c r="I676" s="236"/>
      <c r="J676" s="236"/>
      <c r="K676" s="236"/>
      <c r="L676" s="236"/>
      <c r="M676" s="236"/>
      <c r="N676" s="236"/>
      <c r="O676" s="236"/>
      <c r="P676" s="236"/>
      <c r="Q676" s="236"/>
      <c r="R676" s="236"/>
      <c r="S676" s="236"/>
      <c r="T676" s="236"/>
      <c r="U676" s="236"/>
      <c r="V676" s="236"/>
      <c r="W676" s="237"/>
      <c r="X676" s="237"/>
      <c r="Y676" s="237"/>
      <c r="Z676" s="237"/>
      <c r="AA676" s="237"/>
      <c r="AB676" s="237"/>
      <c r="AC676" s="237"/>
      <c r="AD676" s="237"/>
      <c r="AE676" s="237"/>
      <c r="AF676" s="237"/>
      <c r="AG676" s="237"/>
      <c r="AH676" s="237"/>
      <c r="AI676" s="308"/>
      <c r="AJ676" s="308"/>
      <c r="AK676" s="308"/>
      <c r="AL676" s="308"/>
      <c r="AM676" s="98"/>
      <c r="AN676" s="98"/>
      <c r="AO676" s="98"/>
    </row>
    <row r="677" ht="14.25" customHeight="1">
      <c r="A677" s="98"/>
      <c r="B677" s="98"/>
      <c r="C677" s="98"/>
      <c r="D677" s="308"/>
      <c r="E677" s="98"/>
      <c r="F677" s="235"/>
      <c r="G677" s="235"/>
      <c r="H677" s="236"/>
      <c r="I677" s="236"/>
      <c r="J677" s="236"/>
      <c r="K677" s="236"/>
      <c r="L677" s="236"/>
      <c r="M677" s="236"/>
      <c r="N677" s="236"/>
      <c r="O677" s="236"/>
      <c r="P677" s="236"/>
      <c r="Q677" s="236"/>
      <c r="R677" s="236"/>
      <c r="S677" s="236"/>
      <c r="T677" s="236"/>
      <c r="U677" s="236"/>
      <c r="V677" s="236"/>
      <c r="W677" s="237"/>
      <c r="X677" s="237"/>
      <c r="Y677" s="237"/>
      <c r="Z677" s="237"/>
      <c r="AA677" s="237"/>
      <c r="AB677" s="237"/>
      <c r="AC677" s="237"/>
      <c r="AD677" s="237"/>
      <c r="AE677" s="237"/>
      <c r="AF677" s="237"/>
      <c r="AG677" s="237"/>
      <c r="AH677" s="237"/>
      <c r="AI677" s="308"/>
      <c r="AJ677" s="308"/>
      <c r="AK677" s="308"/>
      <c r="AL677" s="308"/>
      <c r="AM677" s="98"/>
      <c r="AN677" s="98"/>
      <c r="AO677" s="98"/>
    </row>
    <row r="678" ht="14.25" customHeight="1">
      <c r="A678" s="98"/>
      <c r="B678" s="98"/>
      <c r="C678" s="98"/>
      <c r="D678" s="308"/>
      <c r="E678" s="98"/>
      <c r="F678" s="235"/>
      <c r="G678" s="235"/>
      <c r="H678" s="236"/>
      <c r="I678" s="236"/>
      <c r="J678" s="236"/>
      <c r="K678" s="236"/>
      <c r="L678" s="236"/>
      <c r="M678" s="236"/>
      <c r="N678" s="236"/>
      <c r="O678" s="236"/>
      <c r="P678" s="236"/>
      <c r="Q678" s="236"/>
      <c r="R678" s="236"/>
      <c r="S678" s="236"/>
      <c r="T678" s="236"/>
      <c r="U678" s="236"/>
      <c r="V678" s="236"/>
      <c r="W678" s="237"/>
      <c r="X678" s="237"/>
      <c r="Y678" s="237"/>
      <c r="Z678" s="237"/>
      <c r="AA678" s="237"/>
      <c r="AB678" s="237"/>
      <c r="AC678" s="237"/>
      <c r="AD678" s="237"/>
      <c r="AE678" s="237"/>
      <c r="AF678" s="237"/>
      <c r="AG678" s="237"/>
      <c r="AH678" s="237"/>
      <c r="AI678" s="308"/>
      <c r="AJ678" s="308"/>
      <c r="AK678" s="308"/>
      <c r="AL678" s="308"/>
      <c r="AM678" s="98"/>
      <c r="AN678" s="98"/>
      <c r="AO678" s="98"/>
    </row>
    <row r="679" ht="14.25" customHeight="1">
      <c r="A679" s="98"/>
      <c r="B679" s="98"/>
      <c r="C679" s="98"/>
      <c r="D679" s="308"/>
      <c r="E679" s="98"/>
      <c r="F679" s="235"/>
      <c r="G679" s="235"/>
      <c r="H679" s="236"/>
      <c r="I679" s="236"/>
      <c r="J679" s="236"/>
      <c r="K679" s="236"/>
      <c r="L679" s="236"/>
      <c r="M679" s="236"/>
      <c r="N679" s="236"/>
      <c r="O679" s="236"/>
      <c r="P679" s="236"/>
      <c r="Q679" s="236"/>
      <c r="R679" s="236"/>
      <c r="S679" s="236"/>
      <c r="T679" s="236"/>
      <c r="U679" s="236"/>
      <c r="V679" s="236"/>
      <c r="W679" s="237"/>
      <c r="X679" s="237"/>
      <c r="Y679" s="237"/>
      <c r="Z679" s="237"/>
      <c r="AA679" s="237"/>
      <c r="AB679" s="237"/>
      <c r="AC679" s="237"/>
      <c r="AD679" s="237"/>
      <c r="AE679" s="237"/>
      <c r="AF679" s="237"/>
      <c r="AG679" s="237"/>
      <c r="AH679" s="237"/>
      <c r="AI679" s="308"/>
      <c r="AJ679" s="308"/>
      <c r="AK679" s="308"/>
      <c r="AL679" s="308"/>
      <c r="AM679" s="98"/>
      <c r="AN679" s="98"/>
      <c r="AO679" s="98"/>
    </row>
    <row r="680" ht="14.25" customHeight="1">
      <c r="A680" s="98"/>
      <c r="B680" s="98"/>
      <c r="C680" s="98"/>
      <c r="D680" s="308"/>
      <c r="E680" s="98"/>
      <c r="F680" s="235"/>
      <c r="G680" s="235"/>
      <c r="H680" s="236"/>
      <c r="I680" s="236"/>
      <c r="J680" s="236"/>
      <c r="K680" s="236"/>
      <c r="L680" s="236"/>
      <c r="M680" s="236"/>
      <c r="N680" s="236"/>
      <c r="O680" s="236"/>
      <c r="P680" s="236"/>
      <c r="Q680" s="236"/>
      <c r="R680" s="236"/>
      <c r="S680" s="236"/>
      <c r="T680" s="236"/>
      <c r="U680" s="236"/>
      <c r="V680" s="236"/>
      <c r="W680" s="237"/>
      <c r="X680" s="237"/>
      <c r="Y680" s="237"/>
      <c r="Z680" s="237"/>
      <c r="AA680" s="237"/>
      <c r="AB680" s="237"/>
      <c r="AC680" s="237"/>
      <c r="AD680" s="237"/>
      <c r="AE680" s="237"/>
      <c r="AF680" s="237"/>
      <c r="AG680" s="237"/>
      <c r="AH680" s="237"/>
      <c r="AI680" s="308"/>
      <c r="AJ680" s="308"/>
      <c r="AK680" s="308"/>
      <c r="AL680" s="308"/>
      <c r="AM680" s="98"/>
      <c r="AN680" s="98"/>
      <c r="AO680" s="98"/>
    </row>
    <row r="681" ht="14.25" customHeight="1">
      <c r="A681" s="98"/>
      <c r="B681" s="98"/>
      <c r="C681" s="98"/>
      <c r="D681" s="308"/>
      <c r="E681" s="98"/>
      <c r="F681" s="235"/>
      <c r="G681" s="235"/>
      <c r="H681" s="236"/>
      <c r="I681" s="236"/>
      <c r="J681" s="236"/>
      <c r="K681" s="236"/>
      <c r="L681" s="236"/>
      <c r="M681" s="236"/>
      <c r="N681" s="236"/>
      <c r="O681" s="236"/>
      <c r="P681" s="236"/>
      <c r="Q681" s="236"/>
      <c r="R681" s="236"/>
      <c r="S681" s="236"/>
      <c r="T681" s="236"/>
      <c r="U681" s="236"/>
      <c r="V681" s="236"/>
      <c r="W681" s="237"/>
      <c r="X681" s="237"/>
      <c r="Y681" s="237"/>
      <c r="Z681" s="237"/>
      <c r="AA681" s="237"/>
      <c r="AB681" s="237"/>
      <c r="AC681" s="237"/>
      <c r="AD681" s="237"/>
      <c r="AE681" s="237"/>
      <c r="AF681" s="237"/>
      <c r="AG681" s="237"/>
      <c r="AH681" s="237"/>
      <c r="AI681" s="308"/>
      <c r="AJ681" s="308"/>
      <c r="AK681" s="308"/>
      <c r="AL681" s="308"/>
      <c r="AM681" s="98"/>
      <c r="AN681" s="98"/>
      <c r="AO681" s="98"/>
    </row>
    <row r="682" ht="14.25" customHeight="1">
      <c r="A682" s="98"/>
      <c r="B682" s="98"/>
      <c r="C682" s="98"/>
      <c r="D682" s="308"/>
      <c r="E682" s="98"/>
      <c r="F682" s="235"/>
      <c r="G682" s="235"/>
      <c r="H682" s="236"/>
      <c r="I682" s="236"/>
      <c r="J682" s="236"/>
      <c r="K682" s="236"/>
      <c r="L682" s="236"/>
      <c r="M682" s="236"/>
      <c r="N682" s="236"/>
      <c r="O682" s="236"/>
      <c r="P682" s="236"/>
      <c r="Q682" s="236"/>
      <c r="R682" s="236"/>
      <c r="S682" s="236"/>
      <c r="T682" s="236"/>
      <c r="U682" s="236"/>
      <c r="V682" s="236"/>
      <c r="W682" s="237"/>
      <c r="X682" s="237"/>
      <c r="Y682" s="237"/>
      <c r="Z682" s="237"/>
      <c r="AA682" s="237"/>
      <c r="AB682" s="237"/>
      <c r="AC682" s="237"/>
      <c r="AD682" s="237"/>
      <c r="AE682" s="237"/>
      <c r="AF682" s="237"/>
      <c r="AG682" s="237"/>
      <c r="AH682" s="237"/>
      <c r="AI682" s="308"/>
      <c r="AJ682" s="308"/>
      <c r="AK682" s="308"/>
      <c r="AL682" s="308"/>
      <c r="AM682" s="98"/>
      <c r="AN682" s="98"/>
      <c r="AO682" s="98"/>
    </row>
    <row r="683" ht="14.25" customHeight="1">
      <c r="A683" s="98"/>
      <c r="B683" s="98"/>
      <c r="C683" s="98"/>
      <c r="D683" s="308"/>
      <c r="E683" s="98"/>
      <c r="F683" s="235"/>
      <c r="G683" s="235"/>
      <c r="H683" s="236"/>
      <c r="I683" s="236"/>
      <c r="J683" s="236"/>
      <c r="K683" s="236"/>
      <c r="L683" s="236"/>
      <c r="M683" s="236"/>
      <c r="N683" s="236"/>
      <c r="O683" s="236"/>
      <c r="P683" s="236"/>
      <c r="Q683" s="236"/>
      <c r="R683" s="236"/>
      <c r="S683" s="236"/>
      <c r="T683" s="236"/>
      <c r="U683" s="236"/>
      <c r="V683" s="236"/>
      <c r="W683" s="237"/>
      <c r="X683" s="237"/>
      <c r="Y683" s="237"/>
      <c r="Z683" s="237"/>
      <c r="AA683" s="237"/>
      <c r="AB683" s="237"/>
      <c r="AC683" s="237"/>
      <c r="AD683" s="237"/>
      <c r="AE683" s="237"/>
      <c r="AF683" s="237"/>
      <c r="AG683" s="237"/>
      <c r="AH683" s="237"/>
      <c r="AI683" s="308"/>
      <c r="AJ683" s="308"/>
      <c r="AK683" s="308"/>
      <c r="AL683" s="308"/>
      <c r="AM683" s="98"/>
      <c r="AN683" s="98"/>
      <c r="AO683" s="98"/>
    </row>
    <row r="684" ht="14.25" customHeight="1">
      <c r="A684" s="98"/>
      <c r="B684" s="98"/>
      <c r="C684" s="98"/>
      <c r="D684" s="308"/>
      <c r="E684" s="98"/>
      <c r="F684" s="235"/>
      <c r="G684" s="235"/>
      <c r="H684" s="236"/>
      <c r="I684" s="236"/>
      <c r="J684" s="236"/>
      <c r="K684" s="236"/>
      <c r="L684" s="236"/>
      <c r="M684" s="236"/>
      <c r="N684" s="236"/>
      <c r="O684" s="236"/>
      <c r="P684" s="236"/>
      <c r="Q684" s="236"/>
      <c r="R684" s="236"/>
      <c r="S684" s="236"/>
      <c r="T684" s="236"/>
      <c r="U684" s="236"/>
      <c r="V684" s="236"/>
      <c r="W684" s="237"/>
      <c r="X684" s="237"/>
      <c r="Y684" s="237"/>
      <c r="Z684" s="237"/>
      <c r="AA684" s="237"/>
      <c r="AB684" s="237"/>
      <c r="AC684" s="237"/>
      <c r="AD684" s="237"/>
      <c r="AE684" s="237"/>
      <c r="AF684" s="237"/>
      <c r="AG684" s="237"/>
      <c r="AH684" s="237"/>
      <c r="AI684" s="308"/>
      <c r="AJ684" s="308"/>
      <c r="AK684" s="308"/>
      <c r="AL684" s="308"/>
      <c r="AM684" s="98"/>
      <c r="AN684" s="98"/>
      <c r="AO684" s="98"/>
    </row>
    <row r="685" ht="14.25" customHeight="1">
      <c r="A685" s="98"/>
      <c r="B685" s="98"/>
      <c r="C685" s="98"/>
      <c r="D685" s="308"/>
      <c r="E685" s="98"/>
      <c r="F685" s="235"/>
      <c r="G685" s="235"/>
      <c r="H685" s="236"/>
      <c r="I685" s="236"/>
      <c r="J685" s="236"/>
      <c r="K685" s="236"/>
      <c r="L685" s="236"/>
      <c r="M685" s="236"/>
      <c r="N685" s="236"/>
      <c r="O685" s="236"/>
      <c r="P685" s="236"/>
      <c r="Q685" s="236"/>
      <c r="R685" s="236"/>
      <c r="S685" s="236"/>
      <c r="T685" s="236"/>
      <c r="U685" s="236"/>
      <c r="V685" s="236"/>
      <c r="W685" s="237"/>
      <c r="X685" s="237"/>
      <c r="Y685" s="237"/>
      <c r="Z685" s="237"/>
      <c r="AA685" s="237"/>
      <c r="AB685" s="237"/>
      <c r="AC685" s="237"/>
      <c r="AD685" s="237"/>
      <c r="AE685" s="237"/>
      <c r="AF685" s="237"/>
      <c r="AG685" s="237"/>
      <c r="AH685" s="237"/>
      <c r="AI685" s="308"/>
      <c r="AJ685" s="308"/>
      <c r="AK685" s="308"/>
      <c r="AL685" s="308"/>
      <c r="AM685" s="98"/>
      <c r="AN685" s="98"/>
      <c r="AO685" s="98"/>
    </row>
    <row r="686" ht="14.25" customHeight="1">
      <c r="A686" s="98"/>
      <c r="B686" s="98"/>
      <c r="C686" s="98"/>
      <c r="D686" s="308"/>
      <c r="E686" s="98"/>
      <c r="F686" s="235"/>
      <c r="G686" s="235"/>
      <c r="H686" s="236"/>
      <c r="I686" s="236"/>
      <c r="J686" s="236"/>
      <c r="K686" s="236"/>
      <c r="L686" s="236"/>
      <c r="M686" s="236"/>
      <c r="N686" s="236"/>
      <c r="O686" s="236"/>
      <c r="P686" s="236"/>
      <c r="Q686" s="236"/>
      <c r="R686" s="236"/>
      <c r="S686" s="236"/>
      <c r="T686" s="236"/>
      <c r="U686" s="236"/>
      <c r="V686" s="236"/>
      <c r="W686" s="237"/>
      <c r="X686" s="237"/>
      <c r="Y686" s="237"/>
      <c r="Z686" s="237"/>
      <c r="AA686" s="237"/>
      <c r="AB686" s="237"/>
      <c r="AC686" s="237"/>
      <c r="AD686" s="237"/>
      <c r="AE686" s="237"/>
      <c r="AF686" s="237"/>
      <c r="AG686" s="237"/>
      <c r="AH686" s="237"/>
      <c r="AI686" s="308"/>
      <c r="AJ686" s="308"/>
      <c r="AK686" s="308"/>
      <c r="AL686" s="308"/>
      <c r="AM686" s="98"/>
      <c r="AN686" s="98"/>
      <c r="AO686" s="98"/>
    </row>
    <row r="687" ht="14.25" customHeight="1">
      <c r="A687" s="98"/>
      <c r="B687" s="98"/>
      <c r="C687" s="98"/>
      <c r="D687" s="308"/>
      <c r="E687" s="98"/>
      <c r="F687" s="235"/>
      <c r="G687" s="235"/>
      <c r="H687" s="236"/>
      <c r="I687" s="236"/>
      <c r="J687" s="236"/>
      <c r="K687" s="236"/>
      <c r="L687" s="236"/>
      <c r="M687" s="236"/>
      <c r="N687" s="236"/>
      <c r="O687" s="236"/>
      <c r="P687" s="236"/>
      <c r="Q687" s="236"/>
      <c r="R687" s="236"/>
      <c r="S687" s="236"/>
      <c r="T687" s="236"/>
      <c r="U687" s="236"/>
      <c r="V687" s="236"/>
      <c r="W687" s="237"/>
      <c r="X687" s="237"/>
      <c r="Y687" s="237"/>
      <c r="Z687" s="237"/>
      <c r="AA687" s="237"/>
      <c r="AB687" s="237"/>
      <c r="AC687" s="237"/>
      <c r="AD687" s="237"/>
      <c r="AE687" s="237"/>
      <c r="AF687" s="237"/>
      <c r="AG687" s="237"/>
      <c r="AH687" s="237"/>
      <c r="AI687" s="308"/>
      <c r="AJ687" s="308"/>
      <c r="AK687" s="308"/>
      <c r="AL687" s="308"/>
      <c r="AM687" s="98"/>
      <c r="AN687" s="98"/>
      <c r="AO687" s="98"/>
    </row>
    <row r="688" ht="14.25" customHeight="1">
      <c r="A688" s="98"/>
      <c r="B688" s="98"/>
      <c r="C688" s="98"/>
      <c r="D688" s="308"/>
      <c r="E688" s="98"/>
      <c r="F688" s="235"/>
      <c r="G688" s="235"/>
      <c r="H688" s="236"/>
      <c r="I688" s="236"/>
      <c r="J688" s="236"/>
      <c r="K688" s="236"/>
      <c r="L688" s="236"/>
      <c r="M688" s="236"/>
      <c r="N688" s="236"/>
      <c r="O688" s="236"/>
      <c r="P688" s="236"/>
      <c r="Q688" s="236"/>
      <c r="R688" s="236"/>
      <c r="S688" s="236"/>
      <c r="T688" s="236"/>
      <c r="U688" s="236"/>
      <c r="V688" s="236"/>
      <c r="W688" s="237"/>
      <c r="X688" s="237"/>
      <c r="Y688" s="237"/>
      <c r="Z688" s="237"/>
      <c r="AA688" s="237"/>
      <c r="AB688" s="237"/>
      <c r="AC688" s="237"/>
      <c r="AD688" s="237"/>
      <c r="AE688" s="237"/>
      <c r="AF688" s="237"/>
      <c r="AG688" s="237"/>
      <c r="AH688" s="237"/>
      <c r="AI688" s="308"/>
      <c r="AJ688" s="308"/>
      <c r="AK688" s="308"/>
      <c r="AL688" s="308"/>
      <c r="AM688" s="98"/>
      <c r="AN688" s="98"/>
      <c r="AO688" s="98"/>
    </row>
    <row r="689" ht="14.25" customHeight="1">
      <c r="A689" s="98"/>
      <c r="B689" s="98"/>
      <c r="C689" s="98"/>
      <c r="D689" s="308"/>
      <c r="E689" s="98"/>
      <c r="F689" s="235"/>
      <c r="G689" s="235"/>
      <c r="H689" s="236"/>
      <c r="I689" s="236"/>
      <c r="J689" s="236"/>
      <c r="K689" s="236"/>
      <c r="L689" s="236"/>
      <c r="M689" s="236"/>
      <c r="N689" s="236"/>
      <c r="O689" s="236"/>
      <c r="P689" s="236"/>
      <c r="Q689" s="236"/>
      <c r="R689" s="236"/>
      <c r="S689" s="236"/>
      <c r="T689" s="236"/>
      <c r="U689" s="236"/>
      <c r="V689" s="236"/>
      <c r="W689" s="237"/>
      <c r="X689" s="237"/>
      <c r="Y689" s="237"/>
      <c r="Z689" s="237"/>
      <c r="AA689" s="237"/>
      <c r="AB689" s="237"/>
      <c r="AC689" s="237"/>
      <c r="AD689" s="237"/>
      <c r="AE689" s="237"/>
      <c r="AF689" s="237"/>
      <c r="AG689" s="237"/>
      <c r="AH689" s="237"/>
      <c r="AI689" s="308"/>
      <c r="AJ689" s="308"/>
      <c r="AK689" s="308"/>
      <c r="AL689" s="308"/>
      <c r="AM689" s="98"/>
      <c r="AN689" s="98"/>
      <c r="AO689" s="98"/>
    </row>
    <row r="690" ht="14.25" customHeight="1">
      <c r="A690" s="98"/>
      <c r="B690" s="98"/>
      <c r="C690" s="98"/>
      <c r="D690" s="308"/>
      <c r="E690" s="98"/>
      <c r="F690" s="235"/>
      <c r="G690" s="235"/>
      <c r="H690" s="236"/>
      <c r="I690" s="236"/>
      <c r="J690" s="236"/>
      <c r="K690" s="236"/>
      <c r="L690" s="236"/>
      <c r="M690" s="236"/>
      <c r="N690" s="236"/>
      <c r="O690" s="236"/>
      <c r="P690" s="236"/>
      <c r="Q690" s="236"/>
      <c r="R690" s="236"/>
      <c r="S690" s="236"/>
      <c r="T690" s="236"/>
      <c r="U690" s="236"/>
      <c r="V690" s="236"/>
      <c r="W690" s="237"/>
      <c r="X690" s="237"/>
      <c r="Y690" s="237"/>
      <c r="Z690" s="237"/>
      <c r="AA690" s="237"/>
      <c r="AB690" s="237"/>
      <c r="AC690" s="237"/>
      <c r="AD690" s="237"/>
      <c r="AE690" s="237"/>
      <c r="AF690" s="237"/>
      <c r="AG690" s="237"/>
      <c r="AH690" s="237"/>
      <c r="AI690" s="308"/>
      <c r="AJ690" s="308"/>
      <c r="AK690" s="308"/>
      <c r="AL690" s="308"/>
      <c r="AM690" s="98"/>
      <c r="AN690" s="98"/>
      <c r="AO690" s="98"/>
    </row>
    <row r="691" ht="14.25" customHeight="1">
      <c r="A691" s="98"/>
      <c r="B691" s="98"/>
      <c r="C691" s="98"/>
      <c r="D691" s="308"/>
      <c r="E691" s="98"/>
      <c r="F691" s="235"/>
      <c r="G691" s="235"/>
      <c r="H691" s="236"/>
      <c r="I691" s="236"/>
      <c r="J691" s="236"/>
      <c r="K691" s="236"/>
      <c r="L691" s="236"/>
      <c r="M691" s="236"/>
      <c r="N691" s="236"/>
      <c r="O691" s="236"/>
      <c r="P691" s="236"/>
      <c r="Q691" s="236"/>
      <c r="R691" s="236"/>
      <c r="S691" s="236"/>
      <c r="T691" s="236"/>
      <c r="U691" s="236"/>
      <c r="V691" s="236"/>
      <c r="W691" s="237"/>
      <c r="X691" s="237"/>
      <c r="Y691" s="237"/>
      <c r="Z691" s="237"/>
      <c r="AA691" s="237"/>
      <c r="AB691" s="237"/>
      <c r="AC691" s="237"/>
      <c r="AD691" s="237"/>
      <c r="AE691" s="237"/>
      <c r="AF691" s="237"/>
      <c r="AG691" s="237"/>
      <c r="AH691" s="237"/>
      <c r="AI691" s="308"/>
      <c r="AJ691" s="308"/>
      <c r="AK691" s="308"/>
      <c r="AL691" s="308"/>
      <c r="AM691" s="98"/>
      <c r="AN691" s="98"/>
      <c r="AO691" s="98"/>
    </row>
    <row r="692" ht="14.25" customHeight="1">
      <c r="A692" s="98"/>
      <c r="B692" s="98"/>
      <c r="C692" s="98"/>
      <c r="D692" s="308"/>
      <c r="E692" s="98"/>
      <c r="F692" s="235"/>
      <c r="G692" s="235"/>
      <c r="H692" s="236"/>
      <c r="I692" s="236"/>
      <c r="J692" s="236"/>
      <c r="K692" s="236"/>
      <c r="L692" s="236"/>
      <c r="M692" s="236"/>
      <c r="N692" s="236"/>
      <c r="O692" s="236"/>
      <c r="P692" s="236"/>
      <c r="Q692" s="236"/>
      <c r="R692" s="236"/>
      <c r="S692" s="236"/>
      <c r="T692" s="236"/>
      <c r="U692" s="236"/>
      <c r="V692" s="236"/>
      <c r="W692" s="237"/>
      <c r="X692" s="237"/>
      <c r="Y692" s="237"/>
      <c r="Z692" s="237"/>
      <c r="AA692" s="237"/>
      <c r="AB692" s="237"/>
      <c r="AC692" s="237"/>
      <c r="AD692" s="237"/>
      <c r="AE692" s="237"/>
      <c r="AF692" s="237"/>
      <c r="AG692" s="237"/>
      <c r="AH692" s="237"/>
      <c r="AI692" s="308"/>
      <c r="AJ692" s="308"/>
      <c r="AK692" s="308"/>
      <c r="AL692" s="308"/>
      <c r="AM692" s="98"/>
      <c r="AN692" s="98"/>
      <c r="AO692" s="98"/>
    </row>
    <row r="693" ht="14.25" customHeight="1">
      <c r="A693" s="98"/>
      <c r="B693" s="98"/>
      <c r="C693" s="98"/>
      <c r="D693" s="308"/>
      <c r="E693" s="98"/>
      <c r="F693" s="235"/>
      <c r="G693" s="235"/>
      <c r="H693" s="236"/>
      <c r="I693" s="236"/>
      <c r="J693" s="236"/>
      <c r="K693" s="236"/>
      <c r="L693" s="236"/>
      <c r="M693" s="236"/>
      <c r="N693" s="236"/>
      <c r="O693" s="236"/>
      <c r="P693" s="236"/>
      <c r="Q693" s="236"/>
      <c r="R693" s="236"/>
      <c r="S693" s="236"/>
      <c r="T693" s="236"/>
      <c r="U693" s="236"/>
      <c r="V693" s="236"/>
      <c r="W693" s="237"/>
      <c r="X693" s="237"/>
      <c r="Y693" s="237"/>
      <c r="Z693" s="237"/>
      <c r="AA693" s="237"/>
      <c r="AB693" s="237"/>
      <c r="AC693" s="237"/>
      <c r="AD693" s="237"/>
      <c r="AE693" s="237"/>
      <c r="AF693" s="237"/>
      <c r="AG693" s="237"/>
      <c r="AH693" s="237"/>
      <c r="AI693" s="308"/>
      <c r="AJ693" s="308"/>
      <c r="AK693" s="308"/>
      <c r="AL693" s="308"/>
      <c r="AM693" s="98"/>
      <c r="AN693" s="98"/>
      <c r="AO693" s="98"/>
    </row>
    <row r="694" ht="14.25" customHeight="1">
      <c r="A694" s="98"/>
      <c r="B694" s="98"/>
      <c r="C694" s="98"/>
      <c r="D694" s="308"/>
      <c r="E694" s="98"/>
      <c r="F694" s="235"/>
      <c r="G694" s="235"/>
      <c r="H694" s="236"/>
      <c r="I694" s="236"/>
      <c r="J694" s="236"/>
      <c r="K694" s="236"/>
      <c r="L694" s="236"/>
      <c r="M694" s="236"/>
      <c r="N694" s="236"/>
      <c r="O694" s="236"/>
      <c r="P694" s="236"/>
      <c r="Q694" s="236"/>
      <c r="R694" s="236"/>
      <c r="S694" s="236"/>
      <c r="T694" s="236"/>
      <c r="U694" s="236"/>
      <c r="V694" s="236"/>
      <c r="W694" s="237"/>
      <c r="X694" s="237"/>
      <c r="Y694" s="237"/>
      <c r="Z694" s="237"/>
      <c r="AA694" s="237"/>
      <c r="AB694" s="237"/>
      <c r="AC694" s="237"/>
      <c r="AD694" s="237"/>
      <c r="AE694" s="237"/>
      <c r="AF694" s="237"/>
      <c r="AG694" s="237"/>
      <c r="AH694" s="237"/>
      <c r="AI694" s="308"/>
      <c r="AJ694" s="308"/>
      <c r="AK694" s="308"/>
      <c r="AL694" s="308"/>
      <c r="AM694" s="98"/>
      <c r="AN694" s="98"/>
      <c r="AO694" s="98"/>
    </row>
    <row r="695" ht="14.25" customHeight="1">
      <c r="A695" s="98"/>
      <c r="B695" s="98"/>
      <c r="C695" s="98"/>
      <c r="D695" s="308"/>
      <c r="E695" s="98"/>
      <c r="F695" s="235"/>
      <c r="G695" s="235"/>
      <c r="H695" s="236"/>
      <c r="I695" s="236"/>
      <c r="J695" s="236"/>
      <c r="K695" s="236"/>
      <c r="L695" s="236"/>
      <c r="M695" s="236"/>
      <c r="N695" s="236"/>
      <c r="O695" s="236"/>
      <c r="P695" s="236"/>
      <c r="Q695" s="236"/>
      <c r="R695" s="236"/>
      <c r="S695" s="236"/>
      <c r="T695" s="236"/>
      <c r="U695" s="236"/>
      <c r="V695" s="236"/>
      <c r="W695" s="237"/>
      <c r="X695" s="237"/>
      <c r="Y695" s="237"/>
      <c r="Z695" s="237"/>
      <c r="AA695" s="237"/>
      <c r="AB695" s="237"/>
      <c r="AC695" s="237"/>
      <c r="AD695" s="237"/>
      <c r="AE695" s="237"/>
      <c r="AF695" s="237"/>
      <c r="AG695" s="237"/>
      <c r="AH695" s="237"/>
      <c r="AI695" s="308"/>
      <c r="AJ695" s="308"/>
      <c r="AK695" s="308"/>
      <c r="AL695" s="308"/>
      <c r="AM695" s="98"/>
      <c r="AN695" s="98"/>
      <c r="AO695" s="98"/>
    </row>
    <row r="696" ht="14.25" customHeight="1">
      <c r="A696" s="98"/>
      <c r="B696" s="98"/>
      <c r="C696" s="98"/>
      <c r="D696" s="308"/>
      <c r="E696" s="98"/>
      <c r="F696" s="235"/>
      <c r="G696" s="235"/>
      <c r="H696" s="236"/>
      <c r="I696" s="236"/>
      <c r="J696" s="236"/>
      <c r="K696" s="236"/>
      <c r="L696" s="236"/>
      <c r="M696" s="236"/>
      <c r="N696" s="236"/>
      <c r="O696" s="236"/>
      <c r="P696" s="236"/>
      <c r="Q696" s="236"/>
      <c r="R696" s="236"/>
      <c r="S696" s="236"/>
      <c r="T696" s="236"/>
      <c r="U696" s="236"/>
      <c r="V696" s="236"/>
      <c r="W696" s="237"/>
      <c r="X696" s="237"/>
      <c r="Y696" s="237"/>
      <c r="Z696" s="237"/>
      <c r="AA696" s="237"/>
      <c r="AB696" s="237"/>
      <c r="AC696" s="237"/>
      <c r="AD696" s="237"/>
      <c r="AE696" s="237"/>
      <c r="AF696" s="237"/>
      <c r="AG696" s="237"/>
      <c r="AH696" s="237"/>
      <c r="AI696" s="308"/>
      <c r="AJ696" s="308"/>
      <c r="AK696" s="308"/>
      <c r="AL696" s="308"/>
      <c r="AM696" s="98"/>
      <c r="AN696" s="98"/>
      <c r="AO696" s="98"/>
    </row>
    <row r="697" ht="14.25" customHeight="1">
      <c r="A697" s="98"/>
      <c r="B697" s="98"/>
      <c r="C697" s="98"/>
      <c r="D697" s="308"/>
      <c r="E697" s="98"/>
      <c r="F697" s="235"/>
      <c r="G697" s="235"/>
      <c r="H697" s="236"/>
      <c r="I697" s="236"/>
      <c r="J697" s="236"/>
      <c r="K697" s="236"/>
      <c r="L697" s="236"/>
      <c r="M697" s="236"/>
      <c r="N697" s="236"/>
      <c r="O697" s="236"/>
      <c r="P697" s="236"/>
      <c r="Q697" s="236"/>
      <c r="R697" s="236"/>
      <c r="S697" s="236"/>
      <c r="T697" s="236"/>
      <c r="U697" s="236"/>
      <c r="V697" s="236"/>
      <c r="W697" s="237"/>
      <c r="X697" s="237"/>
      <c r="Y697" s="237"/>
      <c r="Z697" s="237"/>
      <c r="AA697" s="237"/>
      <c r="AB697" s="237"/>
      <c r="AC697" s="237"/>
      <c r="AD697" s="237"/>
      <c r="AE697" s="237"/>
      <c r="AF697" s="237"/>
      <c r="AG697" s="237"/>
      <c r="AH697" s="237"/>
      <c r="AI697" s="308"/>
      <c r="AJ697" s="308"/>
      <c r="AK697" s="308"/>
      <c r="AL697" s="308"/>
      <c r="AM697" s="98"/>
      <c r="AN697" s="98"/>
      <c r="AO697" s="98"/>
    </row>
    <row r="698" ht="14.25" customHeight="1">
      <c r="A698" s="98"/>
      <c r="B698" s="98"/>
      <c r="C698" s="98"/>
      <c r="D698" s="308"/>
      <c r="E698" s="98"/>
      <c r="F698" s="235"/>
      <c r="G698" s="235"/>
      <c r="H698" s="236"/>
      <c r="I698" s="236"/>
      <c r="J698" s="236"/>
      <c r="K698" s="236"/>
      <c r="L698" s="236"/>
      <c r="M698" s="236"/>
      <c r="N698" s="236"/>
      <c r="O698" s="236"/>
      <c r="P698" s="236"/>
      <c r="Q698" s="236"/>
      <c r="R698" s="236"/>
      <c r="S698" s="236"/>
      <c r="T698" s="236"/>
      <c r="U698" s="236"/>
      <c r="V698" s="236"/>
      <c r="W698" s="237"/>
      <c r="X698" s="237"/>
      <c r="Y698" s="237"/>
      <c r="Z698" s="237"/>
      <c r="AA698" s="237"/>
      <c r="AB698" s="237"/>
      <c r="AC698" s="237"/>
      <c r="AD698" s="237"/>
      <c r="AE698" s="237"/>
      <c r="AF698" s="237"/>
      <c r="AG698" s="237"/>
      <c r="AH698" s="237"/>
      <c r="AI698" s="308"/>
      <c r="AJ698" s="308"/>
      <c r="AK698" s="308"/>
      <c r="AL698" s="308"/>
      <c r="AM698" s="98"/>
      <c r="AN698" s="98"/>
      <c r="AO698" s="98"/>
    </row>
    <row r="699" ht="14.25" customHeight="1">
      <c r="A699" s="98"/>
      <c r="B699" s="98"/>
      <c r="C699" s="98"/>
      <c r="D699" s="308"/>
      <c r="E699" s="98"/>
      <c r="F699" s="235"/>
      <c r="G699" s="235"/>
      <c r="H699" s="236"/>
      <c r="I699" s="236"/>
      <c r="J699" s="236"/>
      <c r="K699" s="236"/>
      <c r="L699" s="236"/>
      <c r="M699" s="236"/>
      <c r="N699" s="236"/>
      <c r="O699" s="236"/>
      <c r="P699" s="236"/>
      <c r="Q699" s="236"/>
      <c r="R699" s="236"/>
      <c r="S699" s="236"/>
      <c r="T699" s="236"/>
      <c r="U699" s="236"/>
      <c r="V699" s="236"/>
      <c r="W699" s="237"/>
      <c r="X699" s="237"/>
      <c r="Y699" s="237"/>
      <c r="Z699" s="237"/>
      <c r="AA699" s="237"/>
      <c r="AB699" s="237"/>
      <c r="AC699" s="237"/>
      <c r="AD699" s="237"/>
      <c r="AE699" s="237"/>
      <c r="AF699" s="237"/>
      <c r="AG699" s="237"/>
      <c r="AH699" s="237"/>
      <c r="AI699" s="308"/>
      <c r="AJ699" s="308"/>
      <c r="AK699" s="308"/>
      <c r="AL699" s="308"/>
      <c r="AM699" s="98"/>
      <c r="AN699" s="98"/>
      <c r="AO699" s="98"/>
    </row>
    <row r="700" ht="14.25" customHeight="1">
      <c r="A700" s="98"/>
      <c r="B700" s="98"/>
      <c r="C700" s="98"/>
      <c r="D700" s="308"/>
      <c r="E700" s="98"/>
      <c r="F700" s="235"/>
      <c r="G700" s="235"/>
      <c r="H700" s="236"/>
      <c r="I700" s="236"/>
      <c r="J700" s="236"/>
      <c r="K700" s="236"/>
      <c r="L700" s="236"/>
      <c r="M700" s="236"/>
      <c r="N700" s="236"/>
      <c r="O700" s="236"/>
      <c r="P700" s="236"/>
      <c r="Q700" s="236"/>
      <c r="R700" s="236"/>
      <c r="S700" s="236"/>
      <c r="T700" s="236"/>
      <c r="U700" s="236"/>
      <c r="V700" s="236"/>
      <c r="W700" s="237"/>
      <c r="X700" s="237"/>
      <c r="Y700" s="237"/>
      <c r="Z700" s="237"/>
      <c r="AA700" s="237"/>
      <c r="AB700" s="237"/>
      <c r="AC700" s="237"/>
      <c r="AD700" s="237"/>
      <c r="AE700" s="237"/>
      <c r="AF700" s="237"/>
      <c r="AG700" s="237"/>
      <c r="AH700" s="237"/>
      <c r="AI700" s="308"/>
      <c r="AJ700" s="308"/>
      <c r="AK700" s="308"/>
      <c r="AL700" s="308"/>
      <c r="AM700" s="98"/>
      <c r="AN700" s="98"/>
      <c r="AO700" s="98"/>
    </row>
    <row r="701" ht="14.25" customHeight="1">
      <c r="A701" s="98"/>
      <c r="B701" s="98"/>
      <c r="C701" s="98"/>
      <c r="D701" s="308"/>
      <c r="E701" s="98"/>
      <c r="F701" s="235"/>
      <c r="G701" s="235"/>
      <c r="H701" s="236"/>
      <c r="I701" s="236"/>
      <c r="J701" s="236"/>
      <c r="K701" s="236"/>
      <c r="L701" s="236"/>
      <c r="M701" s="236"/>
      <c r="N701" s="236"/>
      <c r="O701" s="236"/>
      <c r="P701" s="236"/>
      <c r="Q701" s="236"/>
      <c r="R701" s="236"/>
      <c r="S701" s="236"/>
      <c r="T701" s="236"/>
      <c r="U701" s="236"/>
      <c r="V701" s="236"/>
      <c r="W701" s="237"/>
      <c r="X701" s="237"/>
      <c r="Y701" s="237"/>
      <c r="Z701" s="237"/>
      <c r="AA701" s="237"/>
      <c r="AB701" s="237"/>
      <c r="AC701" s="237"/>
      <c r="AD701" s="237"/>
      <c r="AE701" s="237"/>
      <c r="AF701" s="237"/>
      <c r="AG701" s="237"/>
      <c r="AH701" s="237"/>
      <c r="AI701" s="308"/>
      <c r="AJ701" s="308"/>
      <c r="AK701" s="308"/>
      <c r="AL701" s="308"/>
      <c r="AM701" s="98"/>
      <c r="AN701" s="98"/>
      <c r="AO701" s="98"/>
    </row>
    <row r="702" ht="14.25" customHeight="1">
      <c r="A702" s="98"/>
      <c r="B702" s="98"/>
      <c r="C702" s="98"/>
      <c r="D702" s="308"/>
      <c r="E702" s="98"/>
      <c r="F702" s="235"/>
      <c r="G702" s="235"/>
      <c r="H702" s="236"/>
      <c r="I702" s="236"/>
      <c r="J702" s="236"/>
      <c r="K702" s="236"/>
      <c r="L702" s="236"/>
      <c r="M702" s="236"/>
      <c r="N702" s="236"/>
      <c r="O702" s="236"/>
      <c r="P702" s="236"/>
      <c r="Q702" s="236"/>
      <c r="R702" s="236"/>
      <c r="S702" s="236"/>
      <c r="T702" s="236"/>
      <c r="U702" s="236"/>
      <c r="V702" s="236"/>
      <c r="W702" s="237"/>
      <c r="X702" s="237"/>
      <c r="Y702" s="237"/>
      <c r="Z702" s="237"/>
      <c r="AA702" s="237"/>
      <c r="AB702" s="237"/>
      <c r="AC702" s="237"/>
      <c r="AD702" s="237"/>
      <c r="AE702" s="237"/>
      <c r="AF702" s="237"/>
      <c r="AG702" s="237"/>
      <c r="AH702" s="237"/>
      <c r="AI702" s="308"/>
      <c r="AJ702" s="308"/>
      <c r="AK702" s="308"/>
      <c r="AL702" s="308"/>
      <c r="AM702" s="98"/>
      <c r="AN702" s="98"/>
      <c r="AO702" s="98"/>
    </row>
    <row r="703" ht="14.25" customHeight="1">
      <c r="A703" s="98"/>
      <c r="B703" s="98"/>
      <c r="C703" s="98"/>
      <c r="D703" s="308"/>
      <c r="E703" s="98"/>
      <c r="F703" s="235"/>
      <c r="G703" s="235"/>
      <c r="H703" s="236"/>
      <c r="I703" s="236"/>
      <c r="J703" s="236"/>
      <c r="K703" s="236"/>
      <c r="L703" s="236"/>
      <c r="M703" s="236"/>
      <c r="N703" s="236"/>
      <c r="O703" s="236"/>
      <c r="P703" s="236"/>
      <c r="Q703" s="236"/>
      <c r="R703" s="236"/>
      <c r="S703" s="236"/>
      <c r="T703" s="236"/>
      <c r="U703" s="236"/>
      <c r="V703" s="236"/>
      <c r="W703" s="237"/>
      <c r="X703" s="237"/>
      <c r="Y703" s="237"/>
      <c r="Z703" s="237"/>
      <c r="AA703" s="237"/>
      <c r="AB703" s="237"/>
      <c r="AC703" s="237"/>
      <c r="AD703" s="237"/>
      <c r="AE703" s="237"/>
      <c r="AF703" s="237"/>
      <c r="AG703" s="237"/>
      <c r="AH703" s="237"/>
      <c r="AI703" s="308"/>
      <c r="AJ703" s="308"/>
      <c r="AK703" s="308"/>
      <c r="AL703" s="308"/>
      <c r="AM703" s="98"/>
      <c r="AN703" s="98"/>
      <c r="AO703" s="98"/>
    </row>
    <row r="704" ht="14.25" customHeight="1">
      <c r="A704" s="98"/>
      <c r="B704" s="98"/>
      <c r="C704" s="98"/>
      <c r="D704" s="308"/>
      <c r="E704" s="98"/>
      <c r="F704" s="235"/>
      <c r="G704" s="235"/>
      <c r="H704" s="236"/>
      <c r="I704" s="236"/>
      <c r="J704" s="236"/>
      <c r="K704" s="236"/>
      <c r="L704" s="236"/>
      <c r="M704" s="236"/>
      <c r="N704" s="236"/>
      <c r="O704" s="236"/>
      <c r="P704" s="236"/>
      <c r="Q704" s="236"/>
      <c r="R704" s="236"/>
      <c r="S704" s="236"/>
      <c r="T704" s="236"/>
      <c r="U704" s="236"/>
      <c r="V704" s="236"/>
      <c r="W704" s="237"/>
      <c r="X704" s="237"/>
      <c r="Y704" s="237"/>
      <c r="Z704" s="237"/>
      <c r="AA704" s="237"/>
      <c r="AB704" s="237"/>
      <c r="AC704" s="237"/>
      <c r="AD704" s="237"/>
      <c r="AE704" s="237"/>
      <c r="AF704" s="237"/>
      <c r="AG704" s="237"/>
      <c r="AH704" s="237"/>
      <c r="AI704" s="308"/>
      <c r="AJ704" s="308"/>
      <c r="AK704" s="308"/>
      <c r="AL704" s="308"/>
      <c r="AM704" s="98"/>
      <c r="AN704" s="98"/>
      <c r="AO704" s="98"/>
    </row>
    <row r="705" ht="14.25" customHeight="1">
      <c r="A705" s="98"/>
      <c r="B705" s="98"/>
      <c r="C705" s="98"/>
      <c r="D705" s="308"/>
      <c r="E705" s="98"/>
      <c r="F705" s="235"/>
      <c r="G705" s="235"/>
      <c r="H705" s="236"/>
      <c r="I705" s="236"/>
      <c r="J705" s="236"/>
      <c r="K705" s="236"/>
      <c r="L705" s="236"/>
      <c r="M705" s="236"/>
      <c r="N705" s="236"/>
      <c r="O705" s="236"/>
      <c r="P705" s="236"/>
      <c r="Q705" s="236"/>
      <c r="R705" s="236"/>
      <c r="S705" s="236"/>
      <c r="T705" s="236"/>
      <c r="U705" s="236"/>
      <c r="V705" s="236"/>
      <c r="W705" s="237"/>
      <c r="X705" s="237"/>
      <c r="Y705" s="237"/>
      <c r="Z705" s="237"/>
      <c r="AA705" s="237"/>
      <c r="AB705" s="237"/>
      <c r="AC705" s="237"/>
      <c r="AD705" s="237"/>
      <c r="AE705" s="237"/>
      <c r="AF705" s="237"/>
      <c r="AG705" s="237"/>
      <c r="AH705" s="237"/>
      <c r="AI705" s="308"/>
      <c r="AJ705" s="308"/>
      <c r="AK705" s="308"/>
      <c r="AL705" s="308"/>
      <c r="AM705" s="98"/>
      <c r="AN705" s="98"/>
      <c r="AO705" s="98"/>
    </row>
    <row r="706" ht="14.25" customHeight="1">
      <c r="A706" s="98"/>
      <c r="B706" s="98"/>
      <c r="C706" s="98"/>
      <c r="D706" s="308"/>
      <c r="E706" s="98"/>
      <c r="F706" s="235"/>
      <c r="G706" s="235"/>
      <c r="H706" s="236"/>
      <c r="I706" s="236"/>
      <c r="J706" s="236"/>
      <c r="K706" s="236"/>
      <c r="L706" s="236"/>
      <c r="M706" s="236"/>
      <c r="N706" s="236"/>
      <c r="O706" s="236"/>
      <c r="P706" s="236"/>
      <c r="Q706" s="236"/>
      <c r="R706" s="236"/>
      <c r="S706" s="236"/>
      <c r="T706" s="236"/>
      <c r="U706" s="236"/>
      <c r="V706" s="236"/>
      <c r="W706" s="237"/>
      <c r="X706" s="237"/>
      <c r="Y706" s="237"/>
      <c r="Z706" s="237"/>
      <c r="AA706" s="237"/>
      <c r="AB706" s="237"/>
      <c r="AC706" s="237"/>
      <c r="AD706" s="237"/>
      <c r="AE706" s="237"/>
      <c r="AF706" s="237"/>
      <c r="AG706" s="237"/>
      <c r="AH706" s="237"/>
      <c r="AI706" s="308"/>
      <c r="AJ706" s="308"/>
      <c r="AK706" s="308"/>
      <c r="AL706" s="308"/>
      <c r="AM706" s="98"/>
      <c r="AN706" s="98"/>
      <c r="AO706" s="98"/>
    </row>
    <row r="707" ht="14.25" customHeight="1">
      <c r="A707" s="98"/>
      <c r="B707" s="98"/>
      <c r="C707" s="98"/>
      <c r="D707" s="308"/>
      <c r="E707" s="98"/>
      <c r="F707" s="235"/>
      <c r="G707" s="235"/>
      <c r="H707" s="236"/>
      <c r="I707" s="236"/>
      <c r="J707" s="236"/>
      <c r="K707" s="236"/>
      <c r="L707" s="236"/>
      <c r="M707" s="236"/>
      <c r="N707" s="236"/>
      <c r="O707" s="236"/>
      <c r="P707" s="236"/>
      <c r="Q707" s="236"/>
      <c r="R707" s="236"/>
      <c r="S707" s="236"/>
      <c r="T707" s="236"/>
      <c r="U707" s="236"/>
      <c r="V707" s="236"/>
      <c r="W707" s="237"/>
      <c r="X707" s="237"/>
      <c r="Y707" s="237"/>
      <c r="Z707" s="237"/>
      <c r="AA707" s="237"/>
      <c r="AB707" s="237"/>
      <c r="AC707" s="237"/>
      <c r="AD707" s="237"/>
      <c r="AE707" s="237"/>
      <c r="AF707" s="237"/>
      <c r="AG707" s="237"/>
      <c r="AH707" s="237"/>
      <c r="AI707" s="308"/>
      <c r="AJ707" s="308"/>
      <c r="AK707" s="308"/>
      <c r="AL707" s="308"/>
      <c r="AM707" s="98"/>
      <c r="AN707" s="98"/>
      <c r="AO707" s="98"/>
    </row>
    <row r="708" ht="14.25" customHeight="1">
      <c r="A708" s="98"/>
      <c r="B708" s="98"/>
      <c r="C708" s="98"/>
      <c r="D708" s="308"/>
      <c r="E708" s="98"/>
      <c r="F708" s="235"/>
      <c r="G708" s="235"/>
      <c r="H708" s="236"/>
      <c r="I708" s="236"/>
      <c r="J708" s="236"/>
      <c r="K708" s="236"/>
      <c r="L708" s="236"/>
      <c r="M708" s="236"/>
      <c r="N708" s="236"/>
      <c r="O708" s="236"/>
      <c r="P708" s="236"/>
      <c r="Q708" s="236"/>
      <c r="R708" s="236"/>
      <c r="S708" s="236"/>
      <c r="T708" s="236"/>
      <c r="U708" s="236"/>
      <c r="V708" s="236"/>
      <c r="W708" s="237"/>
      <c r="X708" s="237"/>
      <c r="Y708" s="237"/>
      <c r="Z708" s="237"/>
      <c r="AA708" s="237"/>
      <c r="AB708" s="237"/>
      <c r="AC708" s="237"/>
      <c r="AD708" s="237"/>
      <c r="AE708" s="237"/>
      <c r="AF708" s="237"/>
      <c r="AG708" s="237"/>
      <c r="AH708" s="237"/>
      <c r="AI708" s="308"/>
      <c r="AJ708" s="308"/>
      <c r="AK708" s="308"/>
      <c r="AL708" s="308"/>
      <c r="AM708" s="98"/>
      <c r="AN708" s="98"/>
      <c r="AO708" s="98"/>
    </row>
    <row r="709" ht="14.25" customHeight="1">
      <c r="A709" s="98"/>
      <c r="B709" s="98"/>
      <c r="C709" s="98"/>
      <c r="D709" s="308"/>
      <c r="E709" s="98"/>
      <c r="F709" s="235"/>
      <c r="G709" s="235"/>
      <c r="H709" s="236"/>
      <c r="I709" s="236"/>
      <c r="J709" s="236"/>
      <c r="K709" s="236"/>
      <c r="L709" s="236"/>
      <c r="M709" s="236"/>
      <c r="N709" s="236"/>
      <c r="O709" s="236"/>
      <c r="P709" s="236"/>
      <c r="Q709" s="236"/>
      <c r="R709" s="236"/>
      <c r="S709" s="236"/>
      <c r="T709" s="236"/>
      <c r="U709" s="236"/>
      <c r="V709" s="236"/>
      <c r="W709" s="237"/>
      <c r="X709" s="237"/>
      <c r="Y709" s="237"/>
      <c r="Z709" s="237"/>
      <c r="AA709" s="237"/>
      <c r="AB709" s="237"/>
      <c r="AC709" s="237"/>
      <c r="AD709" s="237"/>
      <c r="AE709" s="237"/>
      <c r="AF709" s="237"/>
      <c r="AG709" s="237"/>
      <c r="AH709" s="237"/>
      <c r="AI709" s="308"/>
      <c r="AJ709" s="308"/>
      <c r="AK709" s="308"/>
      <c r="AL709" s="308"/>
      <c r="AM709" s="98"/>
      <c r="AN709" s="98"/>
      <c r="AO709" s="98"/>
    </row>
    <row r="710" ht="14.25" customHeight="1">
      <c r="A710" s="98"/>
      <c r="B710" s="98"/>
      <c r="C710" s="98"/>
      <c r="D710" s="308"/>
      <c r="E710" s="98"/>
      <c r="F710" s="235"/>
      <c r="G710" s="235"/>
      <c r="H710" s="236"/>
      <c r="I710" s="236"/>
      <c r="J710" s="236"/>
      <c r="K710" s="236"/>
      <c r="L710" s="236"/>
      <c r="M710" s="236"/>
      <c r="N710" s="236"/>
      <c r="O710" s="236"/>
      <c r="P710" s="236"/>
      <c r="Q710" s="236"/>
      <c r="R710" s="236"/>
      <c r="S710" s="236"/>
      <c r="T710" s="236"/>
      <c r="U710" s="236"/>
      <c r="V710" s="236"/>
      <c r="W710" s="237"/>
      <c r="X710" s="237"/>
      <c r="Y710" s="237"/>
      <c r="Z710" s="237"/>
      <c r="AA710" s="237"/>
      <c r="AB710" s="237"/>
      <c r="AC710" s="237"/>
      <c r="AD710" s="237"/>
      <c r="AE710" s="237"/>
      <c r="AF710" s="237"/>
      <c r="AG710" s="237"/>
      <c r="AH710" s="237"/>
      <c r="AI710" s="308"/>
      <c r="AJ710" s="308"/>
      <c r="AK710" s="308"/>
      <c r="AL710" s="308"/>
      <c r="AM710" s="98"/>
      <c r="AN710" s="98"/>
      <c r="AO710" s="98"/>
    </row>
    <row r="711" ht="14.25" customHeight="1">
      <c r="A711" s="98"/>
      <c r="B711" s="98"/>
      <c r="C711" s="98"/>
      <c r="D711" s="308"/>
      <c r="E711" s="98"/>
      <c r="F711" s="235"/>
      <c r="G711" s="235"/>
      <c r="H711" s="236"/>
      <c r="I711" s="236"/>
      <c r="J711" s="236"/>
      <c r="K711" s="236"/>
      <c r="L711" s="236"/>
      <c r="M711" s="236"/>
      <c r="N711" s="236"/>
      <c r="O711" s="236"/>
      <c r="P711" s="236"/>
      <c r="Q711" s="236"/>
      <c r="R711" s="236"/>
      <c r="S711" s="236"/>
      <c r="T711" s="236"/>
      <c r="U711" s="236"/>
      <c r="V711" s="236"/>
      <c r="W711" s="237"/>
      <c r="X711" s="237"/>
      <c r="Y711" s="237"/>
      <c r="Z711" s="237"/>
      <c r="AA711" s="237"/>
      <c r="AB711" s="237"/>
      <c r="AC711" s="237"/>
      <c r="AD711" s="237"/>
      <c r="AE711" s="237"/>
      <c r="AF711" s="237"/>
      <c r="AG711" s="237"/>
      <c r="AH711" s="237"/>
      <c r="AI711" s="308"/>
      <c r="AJ711" s="308"/>
      <c r="AK711" s="308"/>
      <c r="AL711" s="308"/>
      <c r="AM711" s="98"/>
      <c r="AN711" s="98"/>
      <c r="AO711" s="98"/>
    </row>
    <row r="712" ht="14.25" customHeight="1">
      <c r="A712" s="98"/>
      <c r="B712" s="98"/>
      <c r="C712" s="98"/>
      <c r="D712" s="308"/>
      <c r="E712" s="98"/>
      <c r="F712" s="235"/>
      <c r="G712" s="235"/>
      <c r="H712" s="236"/>
      <c r="I712" s="236"/>
      <c r="J712" s="236"/>
      <c r="K712" s="236"/>
      <c r="L712" s="236"/>
      <c r="M712" s="236"/>
      <c r="N712" s="236"/>
      <c r="O712" s="236"/>
      <c r="P712" s="236"/>
      <c r="Q712" s="236"/>
      <c r="R712" s="236"/>
      <c r="S712" s="236"/>
      <c r="T712" s="236"/>
      <c r="U712" s="236"/>
      <c r="V712" s="236"/>
      <c r="W712" s="237"/>
      <c r="X712" s="237"/>
      <c r="Y712" s="237"/>
      <c r="Z712" s="237"/>
      <c r="AA712" s="237"/>
      <c r="AB712" s="237"/>
      <c r="AC712" s="237"/>
      <c r="AD712" s="237"/>
      <c r="AE712" s="237"/>
      <c r="AF712" s="237"/>
      <c r="AG712" s="237"/>
      <c r="AH712" s="237"/>
      <c r="AI712" s="308"/>
      <c r="AJ712" s="308"/>
      <c r="AK712" s="308"/>
      <c r="AL712" s="308"/>
      <c r="AM712" s="98"/>
      <c r="AN712" s="98"/>
      <c r="AO712" s="98"/>
    </row>
    <row r="713" ht="14.25" customHeight="1">
      <c r="A713" s="98"/>
      <c r="B713" s="98"/>
      <c r="C713" s="98"/>
      <c r="D713" s="308"/>
      <c r="E713" s="98"/>
      <c r="F713" s="235"/>
      <c r="G713" s="235"/>
      <c r="H713" s="236"/>
      <c r="I713" s="236"/>
      <c r="J713" s="236"/>
      <c r="K713" s="236"/>
      <c r="L713" s="236"/>
      <c r="M713" s="236"/>
      <c r="N713" s="236"/>
      <c r="O713" s="236"/>
      <c r="P713" s="236"/>
      <c r="Q713" s="236"/>
      <c r="R713" s="236"/>
      <c r="S713" s="236"/>
      <c r="T713" s="236"/>
      <c r="U713" s="236"/>
      <c r="V713" s="236"/>
      <c r="W713" s="237"/>
      <c r="X713" s="237"/>
      <c r="Y713" s="237"/>
      <c r="Z713" s="237"/>
      <c r="AA713" s="237"/>
      <c r="AB713" s="237"/>
      <c r="AC713" s="237"/>
      <c r="AD713" s="237"/>
      <c r="AE713" s="237"/>
      <c r="AF713" s="237"/>
      <c r="AG713" s="237"/>
      <c r="AH713" s="237"/>
      <c r="AI713" s="308"/>
      <c r="AJ713" s="308"/>
      <c r="AK713" s="308"/>
      <c r="AL713" s="308"/>
      <c r="AM713" s="98"/>
      <c r="AN713" s="98"/>
      <c r="AO713" s="98"/>
    </row>
    <row r="714" ht="14.25" customHeight="1">
      <c r="A714" s="98"/>
      <c r="B714" s="98"/>
      <c r="C714" s="98"/>
      <c r="D714" s="308"/>
      <c r="E714" s="98"/>
      <c r="F714" s="235"/>
      <c r="G714" s="235"/>
      <c r="H714" s="236"/>
      <c r="I714" s="236"/>
      <c r="J714" s="236"/>
      <c r="K714" s="236"/>
      <c r="L714" s="236"/>
      <c r="M714" s="236"/>
      <c r="N714" s="236"/>
      <c r="O714" s="236"/>
      <c r="P714" s="236"/>
      <c r="Q714" s="236"/>
      <c r="R714" s="236"/>
      <c r="S714" s="236"/>
      <c r="T714" s="236"/>
      <c r="U714" s="236"/>
      <c r="V714" s="236"/>
      <c r="W714" s="237"/>
      <c r="X714" s="237"/>
      <c r="Y714" s="237"/>
      <c r="Z714" s="237"/>
      <c r="AA714" s="237"/>
      <c r="AB714" s="237"/>
      <c r="AC714" s="237"/>
      <c r="AD714" s="237"/>
      <c r="AE714" s="237"/>
      <c r="AF714" s="237"/>
      <c r="AG714" s="237"/>
      <c r="AH714" s="237"/>
      <c r="AI714" s="308"/>
      <c r="AJ714" s="308"/>
      <c r="AK714" s="308"/>
      <c r="AL714" s="308"/>
      <c r="AM714" s="98"/>
      <c r="AN714" s="98"/>
      <c r="AO714" s="98"/>
    </row>
    <row r="715" ht="14.25" customHeight="1">
      <c r="A715" s="98"/>
      <c r="B715" s="98"/>
      <c r="C715" s="98"/>
      <c r="D715" s="308"/>
      <c r="E715" s="98"/>
      <c r="F715" s="235"/>
      <c r="G715" s="235"/>
      <c r="H715" s="236"/>
      <c r="I715" s="236"/>
      <c r="J715" s="236"/>
      <c r="K715" s="236"/>
      <c r="L715" s="236"/>
      <c r="M715" s="236"/>
      <c r="N715" s="236"/>
      <c r="O715" s="236"/>
      <c r="P715" s="236"/>
      <c r="Q715" s="236"/>
      <c r="R715" s="236"/>
      <c r="S715" s="236"/>
      <c r="T715" s="236"/>
      <c r="U715" s="236"/>
      <c r="V715" s="236"/>
      <c r="W715" s="237"/>
      <c r="X715" s="237"/>
      <c r="Y715" s="237"/>
      <c r="Z715" s="237"/>
      <c r="AA715" s="237"/>
      <c r="AB715" s="237"/>
      <c r="AC715" s="237"/>
      <c r="AD715" s="237"/>
      <c r="AE715" s="237"/>
      <c r="AF715" s="237"/>
      <c r="AG715" s="237"/>
      <c r="AH715" s="237"/>
      <c r="AI715" s="308"/>
      <c r="AJ715" s="308"/>
      <c r="AK715" s="308"/>
      <c r="AL715" s="308"/>
      <c r="AM715" s="98"/>
      <c r="AN715" s="98"/>
      <c r="AO715" s="98"/>
    </row>
    <row r="716" ht="14.25" customHeight="1">
      <c r="A716" s="98"/>
      <c r="B716" s="98"/>
      <c r="C716" s="98"/>
      <c r="D716" s="308"/>
      <c r="E716" s="98"/>
      <c r="F716" s="235"/>
      <c r="G716" s="235"/>
      <c r="H716" s="236"/>
      <c r="I716" s="236"/>
      <c r="J716" s="236"/>
      <c r="K716" s="236"/>
      <c r="L716" s="236"/>
      <c r="M716" s="236"/>
      <c r="N716" s="236"/>
      <c r="O716" s="236"/>
      <c r="P716" s="236"/>
      <c r="Q716" s="236"/>
      <c r="R716" s="236"/>
      <c r="S716" s="236"/>
      <c r="T716" s="236"/>
      <c r="U716" s="236"/>
      <c r="V716" s="236"/>
      <c r="W716" s="237"/>
      <c r="X716" s="237"/>
      <c r="Y716" s="237"/>
      <c r="Z716" s="237"/>
      <c r="AA716" s="237"/>
      <c r="AB716" s="237"/>
      <c r="AC716" s="237"/>
      <c r="AD716" s="237"/>
      <c r="AE716" s="237"/>
      <c r="AF716" s="237"/>
      <c r="AG716" s="237"/>
      <c r="AH716" s="237"/>
      <c r="AI716" s="308"/>
      <c r="AJ716" s="308"/>
      <c r="AK716" s="308"/>
      <c r="AL716" s="308"/>
      <c r="AM716" s="98"/>
      <c r="AN716" s="98"/>
      <c r="AO716" s="98"/>
    </row>
    <row r="717" ht="14.25" customHeight="1">
      <c r="A717" s="98"/>
      <c r="B717" s="98"/>
      <c r="C717" s="98"/>
      <c r="D717" s="308"/>
      <c r="E717" s="98"/>
      <c r="F717" s="235"/>
      <c r="G717" s="235"/>
      <c r="H717" s="236"/>
      <c r="I717" s="236"/>
      <c r="J717" s="236"/>
      <c r="K717" s="236"/>
      <c r="L717" s="236"/>
      <c r="M717" s="236"/>
      <c r="N717" s="236"/>
      <c r="O717" s="236"/>
      <c r="P717" s="236"/>
      <c r="Q717" s="236"/>
      <c r="R717" s="236"/>
      <c r="S717" s="236"/>
      <c r="T717" s="236"/>
      <c r="U717" s="236"/>
      <c r="V717" s="236"/>
      <c r="W717" s="237"/>
      <c r="X717" s="237"/>
      <c r="Y717" s="237"/>
      <c r="Z717" s="237"/>
      <c r="AA717" s="237"/>
      <c r="AB717" s="237"/>
      <c r="AC717" s="237"/>
      <c r="AD717" s="237"/>
      <c r="AE717" s="237"/>
      <c r="AF717" s="237"/>
      <c r="AG717" s="237"/>
      <c r="AH717" s="237"/>
      <c r="AI717" s="308"/>
      <c r="AJ717" s="308"/>
      <c r="AK717" s="308"/>
      <c r="AL717" s="308"/>
      <c r="AM717" s="98"/>
      <c r="AN717" s="98"/>
      <c r="AO717" s="98"/>
    </row>
    <row r="718" ht="14.25" customHeight="1">
      <c r="A718" s="98"/>
      <c r="B718" s="98"/>
      <c r="C718" s="98"/>
      <c r="D718" s="308"/>
      <c r="E718" s="98"/>
      <c r="F718" s="235"/>
      <c r="G718" s="235"/>
      <c r="H718" s="236"/>
      <c r="I718" s="236"/>
      <c r="J718" s="236"/>
      <c r="K718" s="236"/>
      <c r="L718" s="236"/>
      <c r="M718" s="236"/>
      <c r="N718" s="236"/>
      <c r="O718" s="236"/>
      <c r="P718" s="236"/>
      <c r="Q718" s="236"/>
      <c r="R718" s="236"/>
      <c r="S718" s="236"/>
      <c r="T718" s="236"/>
      <c r="U718" s="236"/>
      <c r="V718" s="236"/>
      <c r="W718" s="237"/>
      <c r="X718" s="237"/>
      <c r="Y718" s="237"/>
      <c r="Z718" s="237"/>
      <c r="AA718" s="237"/>
      <c r="AB718" s="237"/>
      <c r="AC718" s="237"/>
      <c r="AD718" s="237"/>
      <c r="AE718" s="237"/>
      <c r="AF718" s="237"/>
      <c r="AG718" s="237"/>
      <c r="AH718" s="237"/>
      <c r="AI718" s="308"/>
      <c r="AJ718" s="308"/>
      <c r="AK718" s="308"/>
      <c r="AL718" s="308"/>
      <c r="AM718" s="98"/>
      <c r="AN718" s="98"/>
      <c r="AO718" s="98"/>
    </row>
    <row r="719" ht="14.25" customHeight="1">
      <c r="A719" s="98"/>
      <c r="B719" s="98"/>
      <c r="C719" s="98"/>
      <c r="D719" s="308"/>
      <c r="E719" s="98"/>
      <c r="F719" s="235"/>
      <c r="G719" s="235"/>
      <c r="H719" s="236"/>
      <c r="I719" s="236"/>
      <c r="J719" s="236"/>
      <c r="K719" s="236"/>
      <c r="L719" s="236"/>
      <c r="M719" s="236"/>
      <c r="N719" s="236"/>
      <c r="O719" s="236"/>
      <c r="P719" s="236"/>
      <c r="Q719" s="236"/>
      <c r="R719" s="236"/>
      <c r="S719" s="236"/>
      <c r="T719" s="236"/>
      <c r="U719" s="236"/>
      <c r="V719" s="236"/>
      <c r="W719" s="237"/>
      <c r="X719" s="237"/>
      <c r="Y719" s="237"/>
      <c r="Z719" s="237"/>
      <c r="AA719" s="237"/>
      <c r="AB719" s="237"/>
      <c r="AC719" s="237"/>
      <c r="AD719" s="237"/>
      <c r="AE719" s="237"/>
      <c r="AF719" s="237"/>
      <c r="AG719" s="237"/>
      <c r="AH719" s="237"/>
      <c r="AI719" s="308"/>
      <c r="AJ719" s="308"/>
      <c r="AK719" s="308"/>
      <c r="AL719" s="308"/>
      <c r="AM719" s="98"/>
      <c r="AN719" s="98"/>
      <c r="AO719" s="98"/>
    </row>
    <row r="720" ht="14.25" customHeight="1">
      <c r="A720" s="98"/>
      <c r="B720" s="98"/>
      <c r="C720" s="98"/>
      <c r="D720" s="308"/>
      <c r="E720" s="98"/>
      <c r="F720" s="235"/>
      <c r="G720" s="235"/>
      <c r="H720" s="236"/>
      <c r="I720" s="236"/>
      <c r="J720" s="236"/>
      <c r="K720" s="236"/>
      <c r="L720" s="236"/>
      <c r="M720" s="236"/>
      <c r="N720" s="236"/>
      <c r="O720" s="236"/>
      <c r="P720" s="236"/>
      <c r="Q720" s="236"/>
      <c r="R720" s="236"/>
      <c r="S720" s="236"/>
      <c r="T720" s="236"/>
      <c r="U720" s="236"/>
      <c r="V720" s="236"/>
      <c r="W720" s="237"/>
      <c r="X720" s="237"/>
      <c r="Y720" s="237"/>
      <c r="Z720" s="237"/>
      <c r="AA720" s="237"/>
      <c r="AB720" s="237"/>
      <c r="AC720" s="237"/>
      <c r="AD720" s="237"/>
      <c r="AE720" s="237"/>
      <c r="AF720" s="237"/>
      <c r="AG720" s="237"/>
      <c r="AH720" s="237"/>
      <c r="AI720" s="308"/>
      <c r="AJ720" s="308"/>
      <c r="AK720" s="308"/>
      <c r="AL720" s="308"/>
      <c r="AM720" s="98"/>
      <c r="AN720" s="98"/>
      <c r="AO720" s="98"/>
    </row>
    <row r="721" ht="14.25" customHeight="1">
      <c r="A721" s="98"/>
      <c r="B721" s="98"/>
      <c r="C721" s="98"/>
      <c r="D721" s="308"/>
      <c r="E721" s="98"/>
      <c r="F721" s="235"/>
      <c r="G721" s="235"/>
      <c r="H721" s="236"/>
      <c r="I721" s="236"/>
      <c r="J721" s="236"/>
      <c r="K721" s="236"/>
      <c r="L721" s="236"/>
      <c r="M721" s="236"/>
      <c r="N721" s="236"/>
      <c r="O721" s="236"/>
      <c r="P721" s="236"/>
      <c r="Q721" s="236"/>
      <c r="R721" s="236"/>
      <c r="S721" s="236"/>
      <c r="T721" s="236"/>
      <c r="U721" s="236"/>
      <c r="V721" s="236"/>
      <c r="W721" s="237"/>
      <c r="X721" s="237"/>
      <c r="Y721" s="237"/>
      <c r="Z721" s="237"/>
      <c r="AA721" s="237"/>
      <c r="AB721" s="237"/>
      <c r="AC721" s="237"/>
      <c r="AD721" s="237"/>
      <c r="AE721" s="237"/>
      <c r="AF721" s="237"/>
      <c r="AG721" s="237"/>
      <c r="AH721" s="237"/>
      <c r="AI721" s="308"/>
      <c r="AJ721" s="308"/>
      <c r="AK721" s="308"/>
      <c r="AL721" s="308"/>
      <c r="AM721" s="98"/>
      <c r="AN721" s="98"/>
      <c r="AO721" s="98"/>
    </row>
    <row r="722" ht="14.25" customHeight="1">
      <c r="A722" s="98"/>
      <c r="B722" s="98"/>
      <c r="C722" s="98"/>
      <c r="D722" s="308"/>
      <c r="E722" s="98"/>
      <c r="F722" s="235"/>
      <c r="G722" s="235"/>
      <c r="H722" s="236"/>
      <c r="I722" s="236"/>
      <c r="J722" s="236"/>
      <c r="K722" s="236"/>
      <c r="L722" s="236"/>
      <c r="M722" s="236"/>
      <c r="N722" s="236"/>
      <c r="O722" s="236"/>
      <c r="P722" s="236"/>
      <c r="Q722" s="236"/>
      <c r="R722" s="236"/>
      <c r="S722" s="236"/>
      <c r="T722" s="236"/>
      <c r="U722" s="236"/>
      <c r="V722" s="236"/>
      <c r="W722" s="237"/>
      <c r="X722" s="237"/>
      <c r="Y722" s="237"/>
      <c r="Z722" s="237"/>
      <c r="AA722" s="237"/>
      <c r="AB722" s="237"/>
      <c r="AC722" s="237"/>
      <c r="AD722" s="237"/>
      <c r="AE722" s="237"/>
      <c r="AF722" s="237"/>
      <c r="AG722" s="237"/>
      <c r="AH722" s="237"/>
      <c r="AI722" s="308"/>
      <c r="AJ722" s="308"/>
      <c r="AK722" s="308"/>
      <c r="AL722" s="308"/>
      <c r="AM722" s="98"/>
      <c r="AN722" s="98"/>
      <c r="AO722" s="98"/>
    </row>
    <row r="723" ht="14.25" customHeight="1">
      <c r="A723" s="98"/>
      <c r="B723" s="98"/>
      <c r="C723" s="98"/>
      <c r="D723" s="308"/>
      <c r="E723" s="98"/>
      <c r="F723" s="235"/>
      <c r="G723" s="235"/>
      <c r="H723" s="236"/>
      <c r="I723" s="236"/>
      <c r="J723" s="236"/>
      <c r="K723" s="236"/>
      <c r="L723" s="236"/>
      <c r="M723" s="236"/>
      <c r="N723" s="236"/>
      <c r="O723" s="236"/>
      <c r="P723" s="236"/>
      <c r="Q723" s="236"/>
      <c r="R723" s="236"/>
      <c r="S723" s="236"/>
      <c r="T723" s="236"/>
      <c r="U723" s="236"/>
      <c r="V723" s="236"/>
      <c r="W723" s="237"/>
      <c r="X723" s="237"/>
      <c r="Y723" s="237"/>
      <c r="Z723" s="237"/>
      <c r="AA723" s="237"/>
      <c r="AB723" s="237"/>
      <c r="AC723" s="237"/>
      <c r="AD723" s="237"/>
      <c r="AE723" s="237"/>
      <c r="AF723" s="237"/>
      <c r="AG723" s="237"/>
      <c r="AH723" s="237"/>
      <c r="AI723" s="308"/>
      <c r="AJ723" s="308"/>
      <c r="AK723" s="308"/>
      <c r="AL723" s="308"/>
      <c r="AM723" s="98"/>
      <c r="AN723" s="98"/>
      <c r="AO723" s="98"/>
    </row>
    <row r="724" ht="14.25" customHeight="1">
      <c r="A724" s="98"/>
      <c r="B724" s="98"/>
      <c r="C724" s="98"/>
      <c r="D724" s="308"/>
      <c r="E724" s="98"/>
      <c r="F724" s="235"/>
      <c r="G724" s="235"/>
      <c r="H724" s="236"/>
      <c r="I724" s="236"/>
      <c r="J724" s="236"/>
      <c r="K724" s="236"/>
      <c r="L724" s="236"/>
      <c r="M724" s="236"/>
      <c r="N724" s="236"/>
      <c r="O724" s="236"/>
      <c r="P724" s="236"/>
      <c r="Q724" s="236"/>
      <c r="R724" s="236"/>
      <c r="S724" s="236"/>
      <c r="T724" s="236"/>
      <c r="U724" s="236"/>
      <c r="V724" s="236"/>
      <c r="W724" s="237"/>
      <c r="X724" s="237"/>
      <c r="Y724" s="237"/>
      <c r="Z724" s="237"/>
      <c r="AA724" s="237"/>
      <c r="AB724" s="237"/>
      <c r="AC724" s="237"/>
      <c r="AD724" s="237"/>
      <c r="AE724" s="237"/>
      <c r="AF724" s="237"/>
      <c r="AG724" s="237"/>
      <c r="AH724" s="237"/>
      <c r="AI724" s="308"/>
      <c r="AJ724" s="308"/>
      <c r="AK724" s="308"/>
      <c r="AL724" s="308"/>
      <c r="AM724" s="98"/>
      <c r="AN724" s="98"/>
      <c r="AO724" s="98"/>
    </row>
    <row r="725" ht="14.25" customHeight="1">
      <c r="A725" s="98"/>
      <c r="B725" s="98"/>
      <c r="C725" s="98"/>
      <c r="D725" s="308"/>
      <c r="E725" s="98"/>
      <c r="F725" s="235"/>
      <c r="G725" s="235"/>
      <c r="H725" s="236"/>
      <c r="I725" s="236"/>
      <c r="J725" s="236"/>
      <c r="K725" s="236"/>
      <c r="L725" s="236"/>
      <c r="M725" s="236"/>
      <c r="N725" s="236"/>
      <c r="O725" s="236"/>
      <c r="P725" s="236"/>
      <c r="Q725" s="236"/>
      <c r="R725" s="236"/>
      <c r="S725" s="236"/>
      <c r="T725" s="236"/>
      <c r="U725" s="236"/>
      <c r="V725" s="236"/>
      <c r="W725" s="237"/>
      <c r="X725" s="237"/>
      <c r="Y725" s="237"/>
      <c r="Z725" s="237"/>
      <c r="AA725" s="237"/>
      <c r="AB725" s="237"/>
      <c r="AC725" s="237"/>
      <c r="AD725" s="237"/>
      <c r="AE725" s="237"/>
      <c r="AF725" s="237"/>
      <c r="AG725" s="237"/>
      <c r="AH725" s="237"/>
      <c r="AI725" s="308"/>
      <c r="AJ725" s="308"/>
      <c r="AK725" s="308"/>
      <c r="AL725" s="308"/>
      <c r="AM725" s="98"/>
      <c r="AN725" s="98"/>
      <c r="AO725" s="98"/>
    </row>
    <row r="726" ht="14.25" customHeight="1">
      <c r="A726" s="98"/>
      <c r="B726" s="98"/>
      <c r="C726" s="98"/>
      <c r="D726" s="308"/>
      <c r="E726" s="98"/>
      <c r="F726" s="235"/>
      <c r="G726" s="235"/>
      <c r="H726" s="236"/>
      <c r="I726" s="236"/>
      <c r="J726" s="236"/>
      <c r="K726" s="236"/>
      <c r="L726" s="236"/>
      <c r="M726" s="236"/>
      <c r="N726" s="236"/>
      <c r="O726" s="236"/>
      <c r="P726" s="236"/>
      <c r="Q726" s="236"/>
      <c r="R726" s="236"/>
      <c r="S726" s="236"/>
      <c r="T726" s="236"/>
      <c r="U726" s="236"/>
      <c r="V726" s="236"/>
      <c r="W726" s="237"/>
      <c r="X726" s="237"/>
      <c r="Y726" s="237"/>
      <c r="Z726" s="237"/>
      <c r="AA726" s="237"/>
      <c r="AB726" s="237"/>
      <c r="AC726" s="237"/>
      <c r="AD726" s="237"/>
      <c r="AE726" s="237"/>
      <c r="AF726" s="237"/>
      <c r="AG726" s="237"/>
      <c r="AH726" s="237"/>
      <c r="AI726" s="308"/>
      <c r="AJ726" s="308"/>
      <c r="AK726" s="308"/>
      <c r="AL726" s="308"/>
      <c r="AM726" s="98"/>
      <c r="AN726" s="98"/>
      <c r="AO726" s="98"/>
    </row>
    <row r="727" ht="14.25" customHeight="1">
      <c r="A727" s="98"/>
      <c r="B727" s="98"/>
      <c r="C727" s="98"/>
      <c r="D727" s="308"/>
      <c r="E727" s="98"/>
      <c r="F727" s="235"/>
      <c r="G727" s="235"/>
      <c r="H727" s="236"/>
      <c r="I727" s="236"/>
      <c r="J727" s="236"/>
      <c r="K727" s="236"/>
      <c r="L727" s="236"/>
      <c r="M727" s="236"/>
      <c r="N727" s="236"/>
      <c r="O727" s="236"/>
      <c r="P727" s="236"/>
      <c r="Q727" s="236"/>
      <c r="R727" s="236"/>
      <c r="S727" s="236"/>
      <c r="T727" s="236"/>
      <c r="U727" s="236"/>
      <c r="V727" s="236"/>
      <c r="W727" s="237"/>
      <c r="X727" s="237"/>
      <c r="Y727" s="237"/>
      <c r="Z727" s="237"/>
      <c r="AA727" s="237"/>
      <c r="AB727" s="237"/>
      <c r="AC727" s="237"/>
      <c r="AD727" s="237"/>
      <c r="AE727" s="237"/>
      <c r="AF727" s="237"/>
      <c r="AG727" s="237"/>
      <c r="AH727" s="237"/>
      <c r="AI727" s="308"/>
      <c r="AJ727" s="308"/>
      <c r="AK727" s="308"/>
      <c r="AL727" s="308"/>
      <c r="AM727" s="98"/>
      <c r="AN727" s="98"/>
      <c r="AO727" s="98"/>
    </row>
    <row r="728" ht="14.25" customHeight="1">
      <c r="A728" s="98"/>
      <c r="B728" s="98"/>
      <c r="C728" s="98"/>
      <c r="D728" s="308"/>
      <c r="E728" s="98"/>
      <c r="F728" s="235"/>
      <c r="G728" s="235"/>
      <c r="H728" s="236"/>
      <c r="I728" s="236"/>
      <c r="J728" s="236"/>
      <c r="K728" s="236"/>
      <c r="L728" s="236"/>
      <c r="M728" s="236"/>
      <c r="N728" s="236"/>
      <c r="O728" s="236"/>
      <c r="P728" s="236"/>
      <c r="Q728" s="236"/>
      <c r="R728" s="236"/>
      <c r="S728" s="236"/>
      <c r="T728" s="236"/>
      <c r="U728" s="236"/>
      <c r="V728" s="236"/>
      <c r="W728" s="237"/>
      <c r="X728" s="237"/>
      <c r="Y728" s="237"/>
      <c r="Z728" s="237"/>
      <c r="AA728" s="237"/>
      <c r="AB728" s="237"/>
      <c r="AC728" s="237"/>
      <c r="AD728" s="237"/>
      <c r="AE728" s="237"/>
      <c r="AF728" s="237"/>
      <c r="AG728" s="237"/>
      <c r="AH728" s="237"/>
      <c r="AI728" s="308"/>
      <c r="AJ728" s="308"/>
      <c r="AK728" s="308"/>
      <c r="AL728" s="308"/>
      <c r="AM728" s="98"/>
      <c r="AN728" s="98"/>
      <c r="AO728" s="98"/>
    </row>
    <row r="729" ht="14.25" customHeight="1">
      <c r="A729" s="98"/>
      <c r="B729" s="98"/>
      <c r="C729" s="98"/>
      <c r="D729" s="308"/>
      <c r="E729" s="98"/>
      <c r="F729" s="235"/>
      <c r="G729" s="235"/>
      <c r="H729" s="236"/>
      <c r="I729" s="236"/>
      <c r="J729" s="236"/>
      <c r="K729" s="236"/>
      <c r="L729" s="236"/>
      <c r="M729" s="236"/>
      <c r="N729" s="236"/>
      <c r="O729" s="236"/>
      <c r="P729" s="236"/>
      <c r="Q729" s="236"/>
      <c r="R729" s="236"/>
      <c r="S729" s="236"/>
      <c r="T729" s="236"/>
      <c r="U729" s="236"/>
      <c r="V729" s="236"/>
      <c r="W729" s="237"/>
      <c r="X729" s="237"/>
      <c r="Y729" s="237"/>
      <c r="Z729" s="237"/>
      <c r="AA729" s="237"/>
      <c r="AB729" s="237"/>
      <c r="AC729" s="237"/>
      <c r="AD729" s="237"/>
      <c r="AE729" s="237"/>
      <c r="AF729" s="237"/>
      <c r="AG729" s="237"/>
      <c r="AH729" s="237"/>
      <c r="AI729" s="308"/>
      <c r="AJ729" s="308"/>
      <c r="AK729" s="308"/>
      <c r="AL729" s="308"/>
      <c r="AM729" s="98"/>
      <c r="AN729" s="98"/>
      <c r="AO729" s="98"/>
    </row>
    <row r="730" ht="14.25" customHeight="1">
      <c r="A730" s="98"/>
      <c r="B730" s="98"/>
      <c r="C730" s="98"/>
      <c r="D730" s="308"/>
      <c r="E730" s="98"/>
      <c r="F730" s="235"/>
      <c r="G730" s="235"/>
      <c r="H730" s="236"/>
      <c r="I730" s="236"/>
      <c r="J730" s="236"/>
      <c r="K730" s="236"/>
      <c r="L730" s="236"/>
      <c r="M730" s="236"/>
      <c r="N730" s="236"/>
      <c r="O730" s="236"/>
      <c r="P730" s="236"/>
      <c r="Q730" s="236"/>
      <c r="R730" s="236"/>
      <c r="S730" s="236"/>
      <c r="T730" s="236"/>
      <c r="U730" s="236"/>
      <c r="V730" s="236"/>
      <c r="W730" s="237"/>
      <c r="X730" s="237"/>
      <c r="Y730" s="237"/>
      <c r="Z730" s="237"/>
      <c r="AA730" s="237"/>
      <c r="AB730" s="237"/>
      <c r="AC730" s="237"/>
      <c r="AD730" s="237"/>
      <c r="AE730" s="237"/>
      <c r="AF730" s="237"/>
      <c r="AG730" s="237"/>
      <c r="AH730" s="237"/>
      <c r="AI730" s="308"/>
      <c r="AJ730" s="308"/>
      <c r="AK730" s="308"/>
      <c r="AL730" s="308"/>
      <c r="AM730" s="98"/>
      <c r="AN730" s="98"/>
      <c r="AO730" s="98"/>
    </row>
    <row r="731" ht="14.25" customHeight="1">
      <c r="A731" s="98"/>
      <c r="B731" s="98"/>
      <c r="C731" s="98"/>
      <c r="D731" s="308"/>
      <c r="E731" s="98"/>
      <c r="F731" s="235"/>
      <c r="G731" s="235"/>
      <c r="H731" s="236"/>
      <c r="I731" s="236"/>
      <c r="J731" s="236"/>
      <c r="K731" s="236"/>
      <c r="L731" s="236"/>
      <c r="M731" s="236"/>
      <c r="N731" s="236"/>
      <c r="O731" s="236"/>
      <c r="P731" s="236"/>
      <c r="Q731" s="236"/>
      <c r="R731" s="236"/>
      <c r="S731" s="236"/>
      <c r="T731" s="236"/>
      <c r="U731" s="236"/>
      <c r="V731" s="236"/>
      <c r="W731" s="237"/>
      <c r="X731" s="237"/>
      <c r="Y731" s="237"/>
      <c r="Z731" s="237"/>
      <c r="AA731" s="237"/>
      <c r="AB731" s="237"/>
      <c r="AC731" s="237"/>
      <c r="AD731" s="237"/>
      <c r="AE731" s="237"/>
      <c r="AF731" s="237"/>
      <c r="AG731" s="237"/>
      <c r="AH731" s="237"/>
      <c r="AI731" s="308"/>
      <c r="AJ731" s="308"/>
      <c r="AK731" s="308"/>
      <c r="AL731" s="308"/>
      <c r="AM731" s="98"/>
      <c r="AN731" s="98"/>
      <c r="AO731" s="98"/>
    </row>
    <row r="732" ht="14.25" customHeight="1">
      <c r="A732" s="98"/>
      <c r="B732" s="98"/>
      <c r="C732" s="98"/>
      <c r="D732" s="308"/>
      <c r="E732" s="98"/>
      <c r="F732" s="235"/>
      <c r="G732" s="235"/>
      <c r="H732" s="236"/>
      <c r="I732" s="236"/>
      <c r="J732" s="236"/>
      <c r="K732" s="236"/>
      <c r="L732" s="236"/>
      <c r="M732" s="236"/>
      <c r="N732" s="236"/>
      <c r="O732" s="236"/>
      <c r="P732" s="236"/>
      <c r="Q732" s="236"/>
      <c r="R732" s="236"/>
      <c r="S732" s="236"/>
      <c r="T732" s="236"/>
      <c r="U732" s="236"/>
      <c r="V732" s="236"/>
      <c r="W732" s="237"/>
      <c r="X732" s="237"/>
      <c r="Y732" s="237"/>
      <c r="Z732" s="237"/>
      <c r="AA732" s="237"/>
      <c r="AB732" s="237"/>
      <c r="AC732" s="237"/>
      <c r="AD732" s="237"/>
      <c r="AE732" s="237"/>
      <c r="AF732" s="237"/>
      <c r="AG732" s="237"/>
      <c r="AH732" s="237"/>
      <c r="AI732" s="308"/>
      <c r="AJ732" s="308"/>
      <c r="AK732" s="308"/>
      <c r="AL732" s="308"/>
      <c r="AM732" s="98"/>
      <c r="AN732" s="98"/>
      <c r="AO732" s="98"/>
    </row>
    <row r="733" ht="14.25" customHeight="1">
      <c r="A733" s="98"/>
      <c r="B733" s="98"/>
      <c r="C733" s="98"/>
      <c r="D733" s="308"/>
      <c r="E733" s="98"/>
      <c r="F733" s="235"/>
      <c r="G733" s="235"/>
      <c r="H733" s="236"/>
      <c r="I733" s="236"/>
      <c r="J733" s="236"/>
      <c r="K733" s="236"/>
      <c r="L733" s="236"/>
      <c r="M733" s="236"/>
      <c r="N733" s="236"/>
      <c r="O733" s="236"/>
      <c r="P733" s="236"/>
      <c r="Q733" s="236"/>
      <c r="R733" s="236"/>
      <c r="S733" s="236"/>
      <c r="T733" s="236"/>
      <c r="U733" s="236"/>
      <c r="V733" s="236"/>
      <c r="W733" s="237"/>
      <c r="X733" s="237"/>
      <c r="Y733" s="237"/>
      <c r="Z733" s="237"/>
      <c r="AA733" s="237"/>
      <c r="AB733" s="237"/>
      <c r="AC733" s="237"/>
      <c r="AD733" s="237"/>
      <c r="AE733" s="237"/>
      <c r="AF733" s="237"/>
      <c r="AG733" s="237"/>
      <c r="AH733" s="237"/>
      <c r="AI733" s="308"/>
      <c r="AJ733" s="308"/>
      <c r="AK733" s="308"/>
      <c r="AL733" s="308"/>
      <c r="AM733" s="98"/>
      <c r="AN733" s="98"/>
      <c r="AO733" s="98"/>
    </row>
    <row r="734" ht="14.25" customHeight="1">
      <c r="A734" s="98"/>
      <c r="B734" s="98"/>
      <c r="C734" s="98"/>
      <c r="D734" s="308"/>
      <c r="E734" s="98"/>
      <c r="F734" s="235"/>
      <c r="G734" s="235"/>
      <c r="H734" s="236"/>
      <c r="I734" s="236"/>
      <c r="J734" s="236"/>
      <c r="K734" s="236"/>
      <c r="L734" s="236"/>
      <c r="M734" s="236"/>
      <c r="N734" s="236"/>
      <c r="O734" s="236"/>
      <c r="P734" s="236"/>
      <c r="Q734" s="236"/>
      <c r="R734" s="236"/>
      <c r="S734" s="236"/>
      <c r="T734" s="236"/>
      <c r="U734" s="236"/>
      <c r="V734" s="236"/>
      <c r="W734" s="237"/>
      <c r="X734" s="237"/>
      <c r="Y734" s="237"/>
      <c r="Z734" s="237"/>
      <c r="AA734" s="237"/>
      <c r="AB734" s="237"/>
      <c r="AC734" s="237"/>
      <c r="AD734" s="237"/>
      <c r="AE734" s="237"/>
      <c r="AF734" s="237"/>
      <c r="AG734" s="237"/>
      <c r="AH734" s="237"/>
      <c r="AI734" s="308"/>
      <c r="AJ734" s="308"/>
      <c r="AK734" s="308"/>
      <c r="AL734" s="308"/>
      <c r="AM734" s="98"/>
      <c r="AN734" s="98"/>
      <c r="AO734" s="98"/>
    </row>
    <row r="735" ht="14.25" customHeight="1">
      <c r="A735" s="98"/>
      <c r="B735" s="98"/>
      <c r="C735" s="98"/>
      <c r="D735" s="308"/>
      <c r="E735" s="98"/>
      <c r="F735" s="235"/>
      <c r="G735" s="235"/>
      <c r="H735" s="236"/>
      <c r="I735" s="236"/>
      <c r="J735" s="236"/>
      <c r="K735" s="236"/>
      <c r="L735" s="236"/>
      <c r="M735" s="236"/>
      <c r="N735" s="236"/>
      <c r="O735" s="236"/>
      <c r="P735" s="236"/>
      <c r="Q735" s="236"/>
      <c r="R735" s="236"/>
      <c r="S735" s="236"/>
      <c r="T735" s="236"/>
      <c r="U735" s="236"/>
      <c r="V735" s="236"/>
      <c r="W735" s="237"/>
      <c r="X735" s="237"/>
      <c r="Y735" s="237"/>
      <c r="Z735" s="237"/>
      <c r="AA735" s="237"/>
      <c r="AB735" s="237"/>
      <c r="AC735" s="237"/>
      <c r="AD735" s="237"/>
      <c r="AE735" s="237"/>
      <c r="AF735" s="237"/>
      <c r="AG735" s="237"/>
      <c r="AH735" s="237"/>
      <c r="AI735" s="308"/>
      <c r="AJ735" s="308"/>
      <c r="AK735" s="308"/>
      <c r="AL735" s="308"/>
      <c r="AM735" s="98"/>
      <c r="AN735" s="98"/>
      <c r="AO735" s="98"/>
    </row>
    <row r="736" ht="14.25" customHeight="1">
      <c r="A736" s="98"/>
      <c r="B736" s="98"/>
      <c r="C736" s="98"/>
      <c r="D736" s="308"/>
      <c r="E736" s="98"/>
      <c r="F736" s="235"/>
      <c r="G736" s="235"/>
      <c r="H736" s="236"/>
      <c r="I736" s="236"/>
      <c r="J736" s="236"/>
      <c r="K736" s="236"/>
      <c r="L736" s="236"/>
      <c r="M736" s="236"/>
      <c r="N736" s="236"/>
      <c r="O736" s="236"/>
      <c r="P736" s="236"/>
      <c r="Q736" s="236"/>
      <c r="R736" s="236"/>
      <c r="S736" s="236"/>
      <c r="T736" s="236"/>
      <c r="U736" s="236"/>
      <c r="V736" s="236"/>
      <c r="W736" s="237"/>
      <c r="X736" s="237"/>
      <c r="Y736" s="237"/>
      <c r="Z736" s="237"/>
      <c r="AA736" s="237"/>
      <c r="AB736" s="237"/>
      <c r="AC736" s="237"/>
      <c r="AD736" s="237"/>
      <c r="AE736" s="237"/>
      <c r="AF736" s="237"/>
      <c r="AG736" s="237"/>
      <c r="AH736" s="237"/>
      <c r="AI736" s="308"/>
      <c r="AJ736" s="308"/>
      <c r="AK736" s="308"/>
      <c r="AL736" s="308"/>
      <c r="AM736" s="98"/>
      <c r="AN736" s="98"/>
      <c r="AO736" s="98"/>
    </row>
    <row r="737" ht="14.25" customHeight="1">
      <c r="A737" s="98"/>
      <c r="B737" s="98"/>
      <c r="C737" s="98"/>
      <c r="D737" s="308"/>
      <c r="E737" s="98"/>
      <c r="F737" s="235"/>
      <c r="G737" s="235"/>
      <c r="H737" s="236"/>
      <c r="I737" s="236"/>
      <c r="J737" s="236"/>
      <c r="K737" s="236"/>
      <c r="L737" s="236"/>
      <c r="M737" s="236"/>
      <c r="N737" s="236"/>
      <c r="O737" s="236"/>
      <c r="P737" s="236"/>
      <c r="Q737" s="236"/>
      <c r="R737" s="236"/>
      <c r="S737" s="236"/>
      <c r="T737" s="236"/>
      <c r="U737" s="236"/>
      <c r="V737" s="236"/>
      <c r="W737" s="237"/>
      <c r="X737" s="237"/>
      <c r="Y737" s="237"/>
      <c r="Z737" s="237"/>
      <c r="AA737" s="237"/>
      <c r="AB737" s="237"/>
      <c r="AC737" s="237"/>
      <c r="AD737" s="237"/>
      <c r="AE737" s="237"/>
      <c r="AF737" s="237"/>
      <c r="AG737" s="237"/>
      <c r="AH737" s="237"/>
      <c r="AI737" s="308"/>
      <c r="AJ737" s="308"/>
      <c r="AK737" s="308"/>
      <c r="AL737" s="308"/>
      <c r="AM737" s="98"/>
      <c r="AN737" s="98"/>
      <c r="AO737" s="98"/>
    </row>
    <row r="738" ht="14.25" customHeight="1">
      <c r="A738" s="98"/>
      <c r="B738" s="98"/>
      <c r="C738" s="98"/>
      <c r="D738" s="308"/>
      <c r="E738" s="98"/>
      <c r="F738" s="235"/>
      <c r="G738" s="235"/>
      <c r="H738" s="236"/>
      <c r="I738" s="236"/>
      <c r="J738" s="236"/>
      <c r="K738" s="236"/>
      <c r="L738" s="236"/>
      <c r="M738" s="236"/>
      <c r="N738" s="236"/>
      <c r="O738" s="236"/>
      <c r="P738" s="236"/>
      <c r="Q738" s="236"/>
      <c r="R738" s="236"/>
      <c r="S738" s="236"/>
      <c r="T738" s="236"/>
      <c r="U738" s="236"/>
      <c r="V738" s="236"/>
      <c r="W738" s="237"/>
      <c r="X738" s="237"/>
      <c r="Y738" s="237"/>
      <c r="Z738" s="237"/>
      <c r="AA738" s="237"/>
      <c r="AB738" s="237"/>
      <c r="AC738" s="237"/>
      <c r="AD738" s="237"/>
      <c r="AE738" s="237"/>
      <c r="AF738" s="237"/>
      <c r="AG738" s="237"/>
      <c r="AH738" s="237"/>
      <c r="AI738" s="308"/>
      <c r="AJ738" s="308"/>
      <c r="AK738" s="308"/>
      <c r="AL738" s="308"/>
      <c r="AM738" s="98"/>
      <c r="AN738" s="98"/>
      <c r="AO738" s="98"/>
    </row>
    <row r="739" ht="14.25" customHeight="1">
      <c r="A739" s="98"/>
      <c r="B739" s="98"/>
      <c r="C739" s="98"/>
      <c r="D739" s="308"/>
      <c r="E739" s="98"/>
      <c r="F739" s="235"/>
      <c r="G739" s="235"/>
      <c r="H739" s="236"/>
      <c r="I739" s="236"/>
      <c r="J739" s="236"/>
      <c r="K739" s="236"/>
      <c r="L739" s="236"/>
      <c r="M739" s="236"/>
      <c r="N739" s="236"/>
      <c r="O739" s="236"/>
      <c r="P739" s="236"/>
      <c r="Q739" s="236"/>
      <c r="R739" s="236"/>
      <c r="S739" s="236"/>
      <c r="T739" s="236"/>
      <c r="U739" s="236"/>
      <c r="V739" s="236"/>
      <c r="W739" s="237"/>
      <c r="X739" s="237"/>
      <c r="Y739" s="237"/>
      <c r="Z739" s="237"/>
      <c r="AA739" s="237"/>
      <c r="AB739" s="237"/>
      <c r="AC739" s="237"/>
      <c r="AD739" s="237"/>
      <c r="AE739" s="237"/>
      <c r="AF739" s="237"/>
      <c r="AG739" s="237"/>
      <c r="AH739" s="237"/>
      <c r="AI739" s="308"/>
      <c r="AJ739" s="308"/>
      <c r="AK739" s="308"/>
      <c r="AL739" s="308"/>
      <c r="AM739" s="98"/>
      <c r="AN739" s="98"/>
      <c r="AO739" s="98"/>
    </row>
    <row r="740" ht="14.25" customHeight="1">
      <c r="A740" s="98"/>
      <c r="B740" s="98"/>
      <c r="C740" s="98"/>
      <c r="D740" s="308"/>
      <c r="E740" s="98"/>
      <c r="F740" s="235"/>
      <c r="G740" s="235"/>
      <c r="H740" s="236"/>
      <c r="I740" s="236"/>
      <c r="J740" s="236"/>
      <c r="K740" s="236"/>
      <c r="L740" s="236"/>
      <c r="M740" s="236"/>
      <c r="N740" s="236"/>
      <c r="O740" s="236"/>
      <c r="P740" s="236"/>
      <c r="Q740" s="236"/>
      <c r="R740" s="236"/>
      <c r="S740" s="236"/>
      <c r="T740" s="236"/>
      <c r="U740" s="236"/>
      <c r="V740" s="236"/>
      <c r="W740" s="237"/>
      <c r="X740" s="237"/>
      <c r="Y740" s="237"/>
      <c r="Z740" s="237"/>
      <c r="AA740" s="237"/>
      <c r="AB740" s="237"/>
      <c r="AC740" s="237"/>
      <c r="AD740" s="237"/>
      <c r="AE740" s="237"/>
      <c r="AF740" s="237"/>
      <c r="AG740" s="237"/>
      <c r="AH740" s="237"/>
      <c r="AI740" s="308"/>
      <c r="AJ740" s="308"/>
      <c r="AK740" s="308"/>
      <c r="AL740" s="308"/>
      <c r="AM740" s="98"/>
      <c r="AN740" s="98"/>
      <c r="AO740" s="98"/>
    </row>
    <row r="741" ht="14.25" customHeight="1">
      <c r="A741" s="98"/>
      <c r="B741" s="98"/>
      <c r="C741" s="98"/>
      <c r="D741" s="308"/>
      <c r="E741" s="98"/>
      <c r="F741" s="235"/>
      <c r="G741" s="235"/>
      <c r="H741" s="236"/>
      <c r="I741" s="236"/>
      <c r="J741" s="236"/>
      <c r="K741" s="236"/>
      <c r="L741" s="236"/>
      <c r="M741" s="236"/>
      <c r="N741" s="236"/>
      <c r="O741" s="236"/>
      <c r="P741" s="236"/>
      <c r="Q741" s="236"/>
      <c r="R741" s="236"/>
      <c r="S741" s="236"/>
      <c r="T741" s="236"/>
      <c r="U741" s="236"/>
      <c r="V741" s="236"/>
      <c r="W741" s="237"/>
      <c r="X741" s="237"/>
      <c r="Y741" s="237"/>
      <c r="Z741" s="237"/>
      <c r="AA741" s="237"/>
      <c r="AB741" s="237"/>
      <c r="AC741" s="237"/>
      <c r="AD741" s="237"/>
      <c r="AE741" s="237"/>
      <c r="AF741" s="237"/>
      <c r="AG741" s="237"/>
      <c r="AH741" s="237"/>
      <c r="AI741" s="308"/>
      <c r="AJ741" s="308"/>
      <c r="AK741" s="308"/>
      <c r="AL741" s="308"/>
      <c r="AM741" s="98"/>
      <c r="AN741" s="98"/>
      <c r="AO741" s="98"/>
    </row>
    <row r="742" ht="14.25" customHeight="1">
      <c r="A742" s="98"/>
      <c r="B742" s="98"/>
      <c r="C742" s="98"/>
      <c r="D742" s="308"/>
      <c r="E742" s="98"/>
      <c r="F742" s="235"/>
      <c r="G742" s="235"/>
      <c r="H742" s="236"/>
      <c r="I742" s="236"/>
      <c r="J742" s="236"/>
      <c r="K742" s="236"/>
      <c r="L742" s="236"/>
      <c r="M742" s="236"/>
      <c r="N742" s="236"/>
      <c r="O742" s="236"/>
      <c r="P742" s="236"/>
      <c r="Q742" s="236"/>
      <c r="R742" s="236"/>
      <c r="S742" s="236"/>
      <c r="T742" s="236"/>
      <c r="U742" s="236"/>
      <c r="V742" s="236"/>
      <c r="W742" s="237"/>
      <c r="X742" s="237"/>
      <c r="Y742" s="237"/>
      <c r="Z742" s="237"/>
      <c r="AA742" s="237"/>
      <c r="AB742" s="237"/>
      <c r="AC742" s="237"/>
      <c r="AD742" s="237"/>
      <c r="AE742" s="237"/>
      <c r="AF742" s="237"/>
      <c r="AG742" s="237"/>
      <c r="AH742" s="237"/>
      <c r="AI742" s="308"/>
      <c r="AJ742" s="308"/>
      <c r="AK742" s="308"/>
      <c r="AL742" s="308"/>
      <c r="AM742" s="98"/>
      <c r="AN742" s="98"/>
      <c r="AO742" s="98"/>
    </row>
    <row r="743" ht="14.25" customHeight="1">
      <c r="A743" s="98"/>
      <c r="B743" s="98"/>
      <c r="C743" s="98"/>
      <c r="D743" s="308"/>
      <c r="E743" s="98"/>
      <c r="F743" s="235"/>
      <c r="G743" s="235"/>
      <c r="H743" s="236"/>
      <c r="I743" s="236"/>
      <c r="J743" s="236"/>
      <c r="K743" s="236"/>
      <c r="L743" s="236"/>
      <c r="M743" s="236"/>
      <c r="N743" s="236"/>
      <c r="O743" s="236"/>
      <c r="P743" s="236"/>
      <c r="Q743" s="236"/>
      <c r="R743" s="236"/>
      <c r="S743" s="236"/>
      <c r="T743" s="236"/>
      <c r="U743" s="236"/>
      <c r="V743" s="236"/>
      <c r="W743" s="237"/>
      <c r="X743" s="237"/>
      <c r="Y743" s="237"/>
      <c r="Z743" s="237"/>
      <c r="AA743" s="237"/>
      <c r="AB743" s="237"/>
      <c r="AC743" s="237"/>
      <c r="AD743" s="237"/>
      <c r="AE743" s="237"/>
      <c r="AF743" s="237"/>
      <c r="AG743" s="237"/>
      <c r="AH743" s="237"/>
      <c r="AI743" s="308"/>
      <c r="AJ743" s="308"/>
      <c r="AK743" s="308"/>
      <c r="AL743" s="308"/>
      <c r="AM743" s="98"/>
      <c r="AN743" s="98"/>
      <c r="AO743" s="98"/>
    </row>
    <row r="744" ht="14.25" customHeight="1">
      <c r="A744" s="98"/>
      <c r="B744" s="98"/>
      <c r="C744" s="98"/>
      <c r="D744" s="308"/>
      <c r="E744" s="98"/>
      <c r="F744" s="235"/>
      <c r="G744" s="235"/>
      <c r="H744" s="236"/>
      <c r="I744" s="236"/>
      <c r="J744" s="236"/>
      <c r="K744" s="236"/>
      <c r="L744" s="236"/>
      <c r="M744" s="236"/>
      <c r="N744" s="236"/>
      <c r="O744" s="236"/>
      <c r="P744" s="236"/>
      <c r="Q744" s="236"/>
      <c r="R744" s="236"/>
      <c r="S744" s="236"/>
      <c r="T744" s="236"/>
      <c r="U744" s="236"/>
      <c r="V744" s="236"/>
      <c r="W744" s="237"/>
      <c r="X744" s="237"/>
      <c r="Y744" s="237"/>
      <c r="Z744" s="237"/>
      <c r="AA744" s="237"/>
      <c r="AB744" s="237"/>
      <c r="AC744" s="237"/>
      <c r="AD744" s="237"/>
      <c r="AE744" s="237"/>
      <c r="AF744" s="237"/>
      <c r="AG744" s="237"/>
      <c r="AH744" s="237"/>
      <c r="AI744" s="308"/>
      <c r="AJ744" s="308"/>
      <c r="AK744" s="308"/>
      <c r="AL744" s="308"/>
      <c r="AM744" s="98"/>
      <c r="AN744" s="98"/>
      <c r="AO744" s="98"/>
    </row>
    <row r="745" ht="14.25" customHeight="1">
      <c r="A745" s="98"/>
      <c r="B745" s="98"/>
      <c r="C745" s="98"/>
      <c r="D745" s="308"/>
      <c r="E745" s="98"/>
      <c r="F745" s="235"/>
      <c r="G745" s="235"/>
      <c r="H745" s="236"/>
      <c r="I745" s="236"/>
      <c r="J745" s="236"/>
      <c r="K745" s="236"/>
      <c r="L745" s="236"/>
      <c r="M745" s="236"/>
      <c r="N745" s="236"/>
      <c r="O745" s="236"/>
      <c r="P745" s="236"/>
      <c r="Q745" s="236"/>
      <c r="R745" s="236"/>
      <c r="S745" s="236"/>
      <c r="T745" s="236"/>
      <c r="U745" s="236"/>
      <c r="V745" s="236"/>
      <c r="W745" s="237"/>
      <c r="X745" s="237"/>
      <c r="Y745" s="237"/>
      <c r="Z745" s="237"/>
      <c r="AA745" s="237"/>
      <c r="AB745" s="237"/>
      <c r="AC745" s="237"/>
      <c r="AD745" s="237"/>
      <c r="AE745" s="237"/>
      <c r="AF745" s="237"/>
      <c r="AG745" s="237"/>
      <c r="AH745" s="237"/>
      <c r="AI745" s="308"/>
      <c r="AJ745" s="308"/>
      <c r="AK745" s="308"/>
      <c r="AL745" s="308"/>
      <c r="AM745" s="98"/>
      <c r="AN745" s="98"/>
      <c r="AO745" s="98"/>
    </row>
    <row r="746" ht="14.25" customHeight="1">
      <c r="A746" s="98"/>
      <c r="B746" s="98"/>
      <c r="C746" s="98"/>
      <c r="D746" s="308"/>
      <c r="E746" s="98"/>
      <c r="F746" s="235"/>
      <c r="G746" s="235"/>
      <c r="H746" s="236"/>
      <c r="I746" s="236"/>
      <c r="J746" s="236"/>
      <c r="K746" s="236"/>
      <c r="L746" s="236"/>
      <c r="M746" s="236"/>
      <c r="N746" s="236"/>
      <c r="O746" s="236"/>
      <c r="P746" s="236"/>
      <c r="Q746" s="236"/>
      <c r="R746" s="236"/>
      <c r="S746" s="236"/>
      <c r="T746" s="236"/>
      <c r="U746" s="236"/>
      <c r="V746" s="236"/>
      <c r="W746" s="237"/>
      <c r="X746" s="237"/>
      <c r="Y746" s="237"/>
      <c r="Z746" s="237"/>
      <c r="AA746" s="237"/>
      <c r="AB746" s="237"/>
      <c r="AC746" s="237"/>
      <c r="AD746" s="237"/>
      <c r="AE746" s="237"/>
      <c r="AF746" s="237"/>
      <c r="AG746" s="237"/>
      <c r="AH746" s="237"/>
      <c r="AI746" s="308"/>
      <c r="AJ746" s="308"/>
      <c r="AK746" s="308"/>
      <c r="AL746" s="308"/>
      <c r="AM746" s="98"/>
      <c r="AN746" s="98"/>
      <c r="AO746" s="98"/>
    </row>
    <row r="747" ht="14.25" customHeight="1">
      <c r="A747" s="98"/>
      <c r="B747" s="98"/>
      <c r="C747" s="98"/>
      <c r="D747" s="308"/>
      <c r="E747" s="98"/>
      <c r="F747" s="235"/>
      <c r="G747" s="235"/>
      <c r="H747" s="236"/>
      <c r="I747" s="236"/>
      <c r="J747" s="236"/>
      <c r="K747" s="236"/>
      <c r="L747" s="236"/>
      <c r="M747" s="236"/>
      <c r="N747" s="236"/>
      <c r="O747" s="236"/>
      <c r="P747" s="236"/>
      <c r="Q747" s="236"/>
      <c r="R747" s="236"/>
      <c r="S747" s="236"/>
      <c r="T747" s="236"/>
      <c r="U747" s="236"/>
      <c r="V747" s="236"/>
      <c r="W747" s="237"/>
      <c r="X747" s="237"/>
      <c r="Y747" s="237"/>
      <c r="Z747" s="237"/>
      <c r="AA747" s="237"/>
      <c r="AB747" s="237"/>
      <c r="AC747" s="237"/>
      <c r="AD747" s="237"/>
      <c r="AE747" s="237"/>
      <c r="AF747" s="237"/>
      <c r="AG747" s="237"/>
      <c r="AH747" s="237"/>
      <c r="AI747" s="308"/>
      <c r="AJ747" s="308"/>
      <c r="AK747" s="308"/>
      <c r="AL747" s="308"/>
      <c r="AM747" s="98"/>
      <c r="AN747" s="98"/>
      <c r="AO747" s="98"/>
    </row>
    <row r="748" ht="14.25" customHeight="1">
      <c r="A748" s="98"/>
      <c r="B748" s="98"/>
      <c r="C748" s="98"/>
      <c r="D748" s="308"/>
      <c r="E748" s="98"/>
      <c r="F748" s="235"/>
      <c r="G748" s="235"/>
      <c r="H748" s="236"/>
      <c r="I748" s="236"/>
      <c r="J748" s="236"/>
      <c r="K748" s="236"/>
      <c r="L748" s="236"/>
      <c r="M748" s="236"/>
      <c r="N748" s="236"/>
      <c r="O748" s="236"/>
      <c r="P748" s="236"/>
      <c r="Q748" s="236"/>
      <c r="R748" s="236"/>
      <c r="S748" s="236"/>
      <c r="T748" s="236"/>
      <c r="U748" s="236"/>
      <c r="V748" s="236"/>
      <c r="W748" s="237"/>
      <c r="X748" s="237"/>
      <c r="Y748" s="237"/>
      <c r="Z748" s="237"/>
      <c r="AA748" s="237"/>
      <c r="AB748" s="237"/>
      <c r="AC748" s="237"/>
      <c r="AD748" s="237"/>
      <c r="AE748" s="237"/>
      <c r="AF748" s="237"/>
      <c r="AG748" s="237"/>
      <c r="AH748" s="237"/>
      <c r="AI748" s="308"/>
      <c r="AJ748" s="308"/>
      <c r="AK748" s="308"/>
      <c r="AL748" s="308"/>
      <c r="AM748" s="98"/>
      <c r="AN748" s="98"/>
      <c r="AO748" s="98"/>
    </row>
    <row r="749" ht="14.25" customHeight="1">
      <c r="A749" s="98"/>
      <c r="B749" s="98"/>
      <c r="C749" s="98"/>
      <c r="D749" s="308"/>
      <c r="E749" s="98"/>
      <c r="F749" s="235"/>
      <c r="G749" s="235"/>
      <c r="H749" s="236"/>
      <c r="I749" s="236"/>
      <c r="J749" s="236"/>
      <c r="K749" s="236"/>
      <c r="L749" s="236"/>
      <c r="M749" s="236"/>
      <c r="N749" s="236"/>
      <c r="O749" s="236"/>
      <c r="P749" s="236"/>
      <c r="Q749" s="236"/>
      <c r="R749" s="236"/>
      <c r="S749" s="236"/>
      <c r="T749" s="236"/>
      <c r="U749" s="236"/>
      <c r="V749" s="236"/>
      <c r="W749" s="237"/>
      <c r="X749" s="237"/>
      <c r="Y749" s="237"/>
      <c r="Z749" s="237"/>
      <c r="AA749" s="237"/>
      <c r="AB749" s="237"/>
      <c r="AC749" s="237"/>
      <c r="AD749" s="237"/>
      <c r="AE749" s="237"/>
      <c r="AF749" s="237"/>
      <c r="AG749" s="237"/>
      <c r="AH749" s="237"/>
      <c r="AI749" s="308"/>
      <c r="AJ749" s="308"/>
      <c r="AK749" s="308"/>
      <c r="AL749" s="308"/>
      <c r="AM749" s="98"/>
      <c r="AN749" s="98"/>
      <c r="AO749" s="98"/>
    </row>
    <row r="750" ht="14.25" customHeight="1">
      <c r="A750" s="98"/>
      <c r="B750" s="98"/>
      <c r="C750" s="98"/>
      <c r="D750" s="308"/>
      <c r="E750" s="98"/>
      <c r="F750" s="235"/>
      <c r="G750" s="235"/>
      <c r="H750" s="236"/>
      <c r="I750" s="236"/>
      <c r="J750" s="236"/>
      <c r="K750" s="236"/>
      <c r="L750" s="236"/>
      <c r="M750" s="236"/>
      <c r="N750" s="236"/>
      <c r="O750" s="236"/>
      <c r="P750" s="236"/>
      <c r="Q750" s="236"/>
      <c r="R750" s="236"/>
      <c r="S750" s="236"/>
      <c r="T750" s="236"/>
      <c r="U750" s="236"/>
      <c r="V750" s="236"/>
      <c r="W750" s="237"/>
      <c r="X750" s="237"/>
      <c r="Y750" s="237"/>
      <c r="Z750" s="237"/>
      <c r="AA750" s="237"/>
      <c r="AB750" s="237"/>
      <c r="AC750" s="237"/>
      <c r="AD750" s="237"/>
      <c r="AE750" s="237"/>
      <c r="AF750" s="237"/>
      <c r="AG750" s="237"/>
      <c r="AH750" s="237"/>
      <c r="AI750" s="308"/>
      <c r="AJ750" s="308"/>
      <c r="AK750" s="308"/>
      <c r="AL750" s="308"/>
      <c r="AM750" s="98"/>
      <c r="AN750" s="98"/>
      <c r="AO750" s="98"/>
    </row>
    <row r="751" ht="14.25" customHeight="1">
      <c r="A751" s="98"/>
      <c r="B751" s="98"/>
      <c r="C751" s="98"/>
      <c r="D751" s="308"/>
      <c r="E751" s="98"/>
      <c r="F751" s="235"/>
      <c r="G751" s="235"/>
      <c r="H751" s="236"/>
      <c r="I751" s="236"/>
      <c r="J751" s="236"/>
      <c r="K751" s="236"/>
      <c r="L751" s="236"/>
      <c r="M751" s="236"/>
      <c r="N751" s="236"/>
      <c r="O751" s="236"/>
      <c r="P751" s="236"/>
      <c r="Q751" s="236"/>
      <c r="R751" s="236"/>
      <c r="S751" s="236"/>
      <c r="T751" s="236"/>
      <c r="U751" s="236"/>
      <c r="V751" s="236"/>
      <c r="W751" s="237"/>
      <c r="X751" s="237"/>
      <c r="Y751" s="237"/>
      <c r="Z751" s="237"/>
      <c r="AA751" s="237"/>
      <c r="AB751" s="237"/>
      <c r="AC751" s="237"/>
      <c r="AD751" s="237"/>
      <c r="AE751" s="237"/>
      <c r="AF751" s="237"/>
      <c r="AG751" s="237"/>
      <c r="AH751" s="237"/>
      <c r="AI751" s="308"/>
      <c r="AJ751" s="308"/>
      <c r="AK751" s="308"/>
      <c r="AL751" s="308"/>
      <c r="AM751" s="98"/>
      <c r="AN751" s="98"/>
      <c r="AO751" s="98"/>
    </row>
    <row r="752" ht="14.25" customHeight="1">
      <c r="A752" s="98"/>
      <c r="B752" s="98"/>
      <c r="C752" s="98"/>
      <c r="D752" s="308"/>
      <c r="E752" s="98"/>
      <c r="F752" s="235"/>
      <c r="G752" s="235"/>
      <c r="H752" s="236"/>
      <c r="I752" s="236"/>
      <c r="J752" s="236"/>
      <c r="K752" s="236"/>
      <c r="L752" s="236"/>
      <c r="M752" s="236"/>
      <c r="N752" s="236"/>
      <c r="O752" s="236"/>
      <c r="P752" s="236"/>
      <c r="Q752" s="236"/>
      <c r="R752" s="236"/>
      <c r="S752" s="236"/>
      <c r="T752" s="236"/>
      <c r="U752" s="236"/>
      <c r="V752" s="236"/>
      <c r="W752" s="237"/>
      <c r="X752" s="237"/>
      <c r="Y752" s="237"/>
      <c r="Z752" s="237"/>
      <c r="AA752" s="237"/>
      <c r="AB752" s="237"/>
      <c r="AC752" s="237"/>
      <c r="AD752" s="237"/>
      <c r="AE752" s="237"/>
      <c r="AF752" s="237"/>
      <c r="AG752" s="237"/>
      <c r="AH752" s="237"/>
      <c r="AI752" s="308"/>
      <c r="AJ752" s="308"/>
      <c r="AK752" s="308"/>
      <c r="AL752" s="308"/>
      <c r="AM752" s="98"/>
      <c r="AN752" s="98"/>
      <c r="AO752" s="98"/>
    </row>
    <row r="753" ht="14.25" customHeight="1">
      <c r="A753" s="98"/>
      <c r="B753" s="98"/>
      <c r="C753" s="98"/>
      <c r="D753" s="308"/>
      <c r="E753" s="98"/>
      <c r="F753" s="235"/>
      <c r="G753" s="235"/>
      <c r="H753" s="236"/>
      <c r="I753" s="236"/>
      <c r="J753" s="236"/>
      <c r="K753" s="236"/>
      <c r="L753" s="236"/>
      <c r="M753" s="236"/>
      <c r="N753" s="236"/>
      <c r="O753" s="236"/>
      <c r="P753" s="236"/>
      <c r="Q753" s="236"/>
      <c r="R753" s="236"/>
      <c r="S753" s="236"/>
      <c r="T753" s="236"/>
      <c r="U753" s="236"/>
      <c r="V753" s="236"/>
      <c r="W753" s="237"/>
      <c r="X753" s="237"/>
      <c r="Y753" s="237"/>
      <c r="Z753" s="237"/>
      <c r="AA753" s="237"/>
      <c r="AB753" s="237"/>
      <c r="AC753" s="237"/>
      <c r="AD753" s="237"/>
      <c r="AE753" s="237"/>
      <c r="AF753" s="237"/>
      <c r="AG753" s="237"/>
      <c r="AH753" s="237"/>
      <c r="AI753" s="308"/>
      <c r="AJ753" s="308"/>
      <c r="AK753" s="308"/>
      <c r="AL753" s="308"/>
      <c r="AM753" s="98"/>
      <c r="AN753" s="98"/>
      <c r="AO753" s="98"/>
    </row>
    <row r="754" ht="14.25" customHeight="1">
      <c r="A754" s="98"/>
      <c r="B754" s="98"/>
      <c r="C754" s="98"/>
      <c r="D754" s="308"/>
      <c r="E754" s="98"/>
      <c r="F754" s="235"/>
      <c r="G754" s="235"/>
      <c r="H754" s="236"/>
      <c r="I754" s="236"/>
      <c r="J754" s="236"/>
      <c r="K754" s="236"/>
      <c r="L754" s="236"/>
      <c r="M754" s="236"/>
      <c r="N754" s="236"/>
      <c r="O754" s="236"/>
      <c r="P754" s="236"/>
      <c r="Q754" s="236"/>
      <c r="R754" s="236"/>
      <c r="S754" s="236"/>
      <c r="T754" s="236"/>
      <c r="U754" s="236"/>
      <c r="V754" s="236"/>
      <c r="W754" s="237"/>
      <c r="X754" s="237"/>
      <c r="Y754" s="237"/>
      <c r="Z754" s="237"/>
      <c r="AA754" s="237"/>
      <c r="AB754" s="237"/>
      <c r="AC754" s="237"/>
      <c r="AD754" s="237"/>
      <c r="AE754" s="237"/>
      <c r="AF754" s="237"/>
      <c r="AG754" s="237"/>
      <c r="AH754" s="237"/>
      <c r="AI754" s="308"/>
      <c r="AJ754" s="308"/>
      <c r="AK754" s="308"/>
      <c r="AL754" s="308"/>
      <c r="AM754" s="98"/>
      <c r="AN754" s="98"/>
      <c r="AO754" s="98"/>
    </row>
    <row r="755" ht="14.25" customHeight="1">
      <c r="A755" s="98"/>
      <c r="B755" s="98"/>
      <c r="C755" s="98"/>
      <c r="D755" s="308"/>
      <c r="E755" s="98"/>
      <c r="F755" s="235"/>
      <c r="G755" s="235"/>
      <c r="H755" s="236"/>
      <c r="I755" s="236"/>
      <c r="J755" s="236"/>
      <c r="K755" s="236"/>
      <c r="L755" s="236"/>
      <c r="M755" s="236"/>
      <c r="N755" s="236"/>
      <c r="O755" s="236"/>
      <c r="P755" s="236"/>
      <c r="Q755" s="236"/>
      <c r="R755" s="236"/>
      <c r="S755" s="236"/>
      <c r="T755" s="236"/>
      <c r="U755" s="236"/>
      <c r="V755" s="236"/>
      <c r="W755" s="237"/>
      <c r="X755" s="237"/>
      <c r="Y755" s="237"/>
      <c r="Z755" s="237"/>
      <c r="AA755" s="237"/>
      <c r="AB755" s="237"/>
      <c r="AC755" s="237"/>
      <c r="AD755" s="237"/>
      <c r="AE755" s="237"/>
      <c r="AF755" s="237"/>
      <c r="AG755" s="237"/>
      <c r="AH755" s="237"/>
      <c r="AI755" s="308"/>
      <c r="AJ755" s="308"/>
      <c r="AK755" s="308"/>
      <c r="AL755" s="308"/>
      <c r="AM755" s="98"/>
      <c r="AN755" s="98"/>
      <c r="AO755" s="98"/>
    </row>
    <row r="756" ht="14.25" customHeight="1">
      <c r="A756" s="98"/>
      <c r="B756" s="98"/>
      <c r="C756" s="98"/>
      <c r="D756" s="308"/>
      <c r="E756" s="98"/>
      <c r="F756" s="235"/>
      <c r="G756" s="235"/>
      <c r="H756" s="236"/>
      <c r="I756" s="236"/>
      <c r="J756" s="236"/>
      <c r="K756" s="236"/>
      <c r="L756" s="236"/>
      <c r="M756" s="236"/>
      <c r="N756" s="236"/>
      <c r="O756" s="236"/>
      <c r="P756" s="236"/>
      <c r="Q756" s="236"/>
      <c r="R756" s="236"/>
      <c r="S756" s="236"/>
      <c r="T756" s="236"/>
      <c r="U756" s="236"/>
      <c r="V756" s="236"/>
      <c r="W756" s="237"/>
      <c r="X756" s="237"/>
      <c r="Y756" s="237"/>
      <c r="Z756" s="237"/>
      <c r="AA756" s="237"/>
      <c r="AB756" s="237"/>
      <c r="AC756" s="237"/>
      <c r="AD756" s="237"/>
      <c r="AE756" s="237"/>
      <c r="AF756" s="237"/>
      <c r="AG756" s="237"/>
      <c r="AH756" s="237"/>
      <c r="AI756" s="308"/>
      <c r="AJ756" s="308"/>
      <c r="AK756" s="308"/>
      <c r="AL756" s="308"/>
      <c r="AM756" s="98"/>
      <c r="AN756" s="98"/>
      <c r="AO756" s="98"/>
    </row>
    <row r="757" ht="14.25" customHeight="1">
      <c r="A757" s="98"/>
      <c r="B757" s="98"/>
      <c r="C757" s="98"/>
      <c r="D757" s="308"/>
      <c r="E757" s="98"/>
      <c r="F757" s="235"/>
      <c r="G757" s="235"/>
      <c r="H757" s="236"/>
      <c r="I757" s="236"/>
      <c r="J757" s="236"/>
      <c r="K757" s="236"/>
      <c r="L757" s="236"/>
      <c r="M757" s="236"/>
      <c r="N757" s="236"/>
      <c r="O757" s="236"/>
      <c r="P757" s="236"/>
      <c r="Q757" s="236"/>
      <c r="R757" s="236"/>
      <c r="S757" s="236"/>
      <c r="T757" s="236"/>
      <c r="U757" s="236"/>
      <c r="V757" s="236"/>
      <c r="W757" s="237"/>
      <c r="X757" s="237"/>
      <c r="Y757" s="237"/>
      <c r="Z757" s="237"/>
      <c r="AA757" s="237"/>
      <c r="AB757" s="237"/>
      <c r="AC757" s="237"/>
      <c r="AD757" s="237"/>
      <c r="AE757" s="237"/>
      <c r="AF757" s="237"/>
      <c r="AG757" s="237"/>
      <c r="AH757" s="237"/>
      <c r="AI757" s="308"/>
      <c r="AJ757" s="308"/>
      <c r="AK757" s="308"/>
      <c r="AL757" s="308"/>
      <c r="AM757" s="98"/>
      <c r="AN757" s="98"/>
      <c r="AO757" s="98"/>
    </row>
    <row r="758" ht="14.25" customHeight="1">
      <c r="A758" s="98"/>
      <c r="B758" s="98"/>
      <c r="C758" s="98"/>
      <c r="D758" s="308"/>
      <c r="E758" s="98"/>
      <c r="F758" s="235"/>
      <c r="G758" s="235"/>
      <c r="H758" s="236"/>
      <c r="I758" s="236"/>
      <c r="J758" s="236"/>
      <c r="K758" s="236"/>
      <c r="L758" s="236"/>
      <c r="M758" s="236"/>
      <c r="N758" s="236"/>
      <c r="O758" s="236"/>
      <c r="P758" s="236"/>
      <c r="Q758" s="236"/>
      <c r="R758" s="236"/>
      <c r="S758" s="236"/>
      <c r="T758" s="236"/>
      <c r="U758" s="236"/>
      <c r="V758" s="236"/>
      <c r="W758" s="237"/>
      <c r="X758" s="237"/>
      <c r="Y758" s="237"/>
      <c r="Z758" s="237"/>
      <c r="AA758" s="237"/>
      <c r="AB758" s="237"/>
      <c r="AC758" s="237"/>
      <c r="AD758" s="237"/>
      <c r="AE758" s="237"/>
      <c r="AF758" s="237"/>
      <c r="AG758" s="237"/>
      <c r="AH758" s="237"/>
      <c r="AI758" s="308"/>
      <c r="AJ758" s="308"/>
      <c r="AK758" s="308"/>
      <c r="AL758" s="308"/>
      <c r="AM758" s="98"/>
      <c r="AN758" s="98"/>
      <c r="AO758" s="98"/>
    </row>
    <row r="759" ht="14.25" customHeight="1">
      <c r="A759" s="98"/>
      <c r="B759" s="98"/>
      <c r="C759" s="98"/>
      <c r="D759" s="308"/>
      <c r="E759" s="98"/>
      <c r="F759" s="235"/>
      <c r="G759" s="235"/>
      <c r="H759" s="236"/>
      <c r="I759" s="236"/>
      <c r="J759" s="236"/>
      <c r="K759" s="236"/>
      <c r="L759" s="236"/>
      <c r="M759" s="236"/>
      <c r="N759" s="236"/>
      <c r="O759" s="236"/>
      <c r="P759" s="236"/>
      <c r="Q759" s="236"/>
      <c r="R759" s="236"/>
      <c r="S759" s="236"/>
      <c r="T759" s="236"/>
      <c r="U759" s="236"/>
      <c r="V759" s="236"/>
      <c r="W759" s="237"/>
      <c r="X759" s="237"/>
      <c r="Y759" s="237"/>
      <c r="Z759" s="237"/>
      <c r="AA759" s="237"/>
      <c r="AB759" s="237"/>
      <c r="AC759" s="237"/>
      <c r="AD759" s="237"/>
      <c r="AE759" s="237"/>
      <c r="AF759" s="237"/>
      <c r="AG759" s="237"/>
      <c r="AH759" s="237"/>
      <c r="AI759" s="308"/>
      <c r="AJ759" s="308"/>
      <c r="AK759" s="308"/>
      <c r="AL759" s="308"/>
      <c r="AM759" s="98"/>
      <c r="AN759" s="98"/>
      <c r="AO759" s="98"/>
    </row>
    <row r="760" ht="14.25" customHeight="1">
      <c r="A760" s="98"/>
      <c r="B760" s="98"/>
      <c r="C760" s="98"/>
      <c r="D760" s="308"/>
      <c r="E760" s="98"/>
      <c r="F760" s="235"/>
      <c r="G760" s="235"/>
      <c r="H760" s="236"/>
      <c r="I760" s="236"/>
      <c r="J760" s="236"/>
      <c r="K760" s="236"/>
      <c r="L760" s="236"/>
      <c r="M760" s="236"/>
      <c r="N760" s="236"/>
      <c r="O760" s="236"/>
      <c r="P760" s="236"/>
      <c r="Q760" s="236"/>
      <c r="R760" s="236"/>
      <c r="S760" s="236"/>
      <c r="T760" s="236"/>
      <c r="U760" s="236"/>
      <c r="V760" s="236"/>
      <c r="W760" s="237"/>
      <c r="X760" s="237"/>
      <c r="Y760" s="237"/>
      <c r="Z760" s="237"/>
      <c r="AA760" s="237"/>
      <c r="AB760" s="237"/>
      <c r="AC760" s="237"/>
      <c r="AD760" s="237"/>
      <c r="AE760" s="237"/>
      <c r="AF760" s="237"/>
      <c r="AG760" s="237"/>
      <c r="AH760" s="237"/>
      <c r="AI760" s="308"/>
      <c r="AJ760" s="308"/>
      <c r="AK760" s="308"/>
      <c r="AL760" s="308"/>
      <c r="AM760" s="98"/>
      <c r="AN760" s="98"/>
      <c r="AO760" s="98"/>
    </row>
    <row r="761" ht="14.25" customHeight="1">
      <c r="A761" s="98"/>
      <c r="B761" s="98"/>
      <c r="C761" s="98"/>
      <c r="D761" s="308"/>
      <c r="E761" s="98"/>
      <c r="F761" s="235"/>
      <c r="G761" s="235"/>
      <c r="H761" s="236"/>
      <c r="I761" s="236"/>
      <c r="J761" s="236"/>
      <c r="K761" s="236"/>
      <c r="L761" s="236"/>
      <c r="M761" s="236"/>
      <c r="N761" s="236"/>
      <c r="O761" s="236"/>
      <c r="P761" s="236"/>
      <c r="Q761" s="236"/>
      <c r="R761" s="236"/>
      <c r="S761" s="236"/>
      <c r="T761" s="236"/>
      <c r="U761" s="236"/>
      <c r="V761" s="236"/>
      <c r="W761" s="237"/>
      <c r="X761" s="237"/>
      <c r="Y761" s="237"/>
      <c r="Z761" s="237"/>
      <c r="AA761" s="237"/>
      <c r="AB761" s="237"/>
      <c r="AC761" s="237"/>
      <c r="AD761" s="237"/>
      <c r="AE761" s="237"/>
      <c r="AF761" s="237"/>
      <c r="AG761" s="237"/>
      <c r="AH761" s="237"/>
      <c r="AI761" s="308"/>
      <c r="AJ761" s="308"/>
      <c r="AK761" s="308"/>
      <c r="AL761" s="308"/>
      <c r="AM761" s="98"/>
      <c r="AN761" s="98"/>
      <c r="AO761" s="98"/>
    </row>
    <row r="762" ht="14.25" customHeight="1">
      <c r="A762" s="98"/>
      <c r="B762" s="98"/>
      <c r="C762" s="98"/>
      <c r="D762" s="308"/>
      <c r="E762" s="98"/>
      <c r="F762" s="235"/>
      <c r="G762" s="235"/>
      <c r="H762" s="236"/>
      <c r="I762" s="236"/>
      <c r="J762" s="236"/>
      <c r="K762" s="236"/>
      <c r="L762" s="236"/>
      <c r="M762" s="236"/>
      <c r="N762" s="236"/>
      <c r="O762" s="236"/>
      <c r="P762" s="236"/>
      <c r="Q762" s="236"/>
      <c r="R762" s="236"/>
      <c r="S762" s="236"/>
      <c r="T762" s="236"/>
      <c r="U762" s="236"/>
      <c r="V762" s="236"/>
      <c r="W762" s="237"/>
      <c r="X762" s="237"/>
      <c r="Y762" s="237"/>
      <c r="Z762" s="237"/>
      <c r="AA762" s="237"/>
      <c r="AB762" s="237"/>
      <c r="AC762" s="237"/>
      <c r="AD762" s="237"/>
      <c r="AE762" s="237"/>
      <c r="AF762" s="237"/>
      <c r="AG762" s="237"/>
      <c r="AH762" s="237"/>
      <c r="AI762" s="308"/>
      <c r="AJ762" s="308"/>
      <c r="AK762" s="308"/>
      <c r="AL762" s="308"/>
      <c r="AM762" s="98"/>
      <c r="AN762" s="98"/>
      <c r="AO762" s="98"/>
    </row>
    <row r="763" ht="14.25" customHeight="1">
      <c r="A763" s="98"/>
      <c r="B763" s="98"/>
      <c r="C763" s="98"/>
      <c r="D763" s="308"/>
      <c r="E763" s="98"/>
      <c r="F763" s="235"/>
      <c r="G763" s="235"/>
      <c r="H763" s="236"/>
      <c r="I763" s="236"/>
      <c r="J763" s="236"/>
      <c r="K763" s="236"/>
      <c r="L763" s="236"/>
      <c r="M763" s="236"/>
      <c r="N763" s="236"/>
      <c r="O763" s="236"/>
      <c r="P763" s="236"/>
      <c r="Q763" s="236"/>
      <c r="R763" s="236"/>
      <c r="S763" s="236"/>
      <c r="T763" s="236"/>
      <c r="U763" s="236"/>
      <c r="V763" s="236"/>
      <c r="W763" s="237"/>
      <c r="X763" s="237"/>
      <c r="Y763" s="237"/>
      <c r="Z763" s="237"/>
      <c r="AA763" s="237"/>
      <c r="AB763" s="237"/>
      <c r="AC763" s="237"/>
      <c r="AD763" s="237"/>
      <c r="AE763" s="237"/>
      <c r="AF763" s="237"/>
      <c r="AG763" s="237"/>
      <c r="AH763" s="237"/>
      <c r="AI763" s="308"/>
      <c r="AJ763" s="308"/>
      <c r="AK763" s="308"/>
      <c r="AL763" s="308"/>
      <c r="AM763" s="98"/>
      <c r="AN763" s="98"/>
      <c r="AO763" s="98"/>
    </row>
    <row r="764" ht="14.25" customHeight="1">
      <c r="A764" s="98"/>
      <c r="B764" s="98"/>
      <c r="C764" s="98"/>
      <c r="D764" s="308"/>
      <c r="E764" s="98"/>
      <c r="F764" s="235"/>
      <c r="G764" s="235"/>
      <c r="H764" s="236"/>
      <c r="I764" s="236"/>
      <c r="J764" s="236"/>
      <c r="K764" s="236"/>
      <c r="L764" s="236"/>
      <c r="M764" s="236"/>
      <c r="N764" s="236"/>
      <c r="O764" s="236"/>
      <c r="P764" s="236"/>
      <c r="Q764" s="236"/>
      <c r="R764" s="236"/>
      <c r="S764" s="236"/>
      <c r="T764" s="236"/>
      <c r="U764" s="236"/>
      <c r="V764" s="236"/>
      <c r="W764" s="237"/>
      <c r="X764" s="237"/>
      <c r="Y764" s="237"/>
      <c r="Z764" s="237"/>
      <c r="AA764" s="237"/>
      <c r="AB764" s="237"/>
      <c r="AC764" s="237"/>
      <c r="AD764" s="237"/>
      <c r="AE764" s="237"/>
      <c r="AF764" s="237"/>
      <c r="AG764" s="237"/>
      <c r="AH764" s="237"/>
      <c r="AI764" s="308"/>
      <c r="AJ764" s="308"/>
      <c r="AK764" s="308"/>
      <c r="AL764" s="308"/>
      <c r="AM764" s="98"/>
      <c r="AN764" s="98"/>
      <c r="AO764" s="98"/>
    </row>
    <row r="765" ht="14.25" customHeight="1">
      <c r="A765" s="98"/>
      <c r="B765" s="98"/>
      <c r="C765" s="98"/>
      <c r="D765" s="308"/>
      <c r="E765" s="98"/>
      <c r="F765" s="235"/>
      <c r="G765" s="235"/>
      <c r="H765" s="236"/>
      <c r="I765" s="236"/>
      <c r="J765" s="236"/>
      <c r="K765" s="236"/>
      <c r="L765" s="236"/>
      <c r="M765" s="236"/>
      <c r="N765" s="236"/>
      <c r="O765" s="236"/>
      <c r="P765" s="236"/>
      <c r="Q765" s="236"/>
      <c r="R765" s="236"/>
      <c r="S765" s="236"/>
      <c r="T765" s="236"/>
      <c r="U765" s="236"/>
      <c r="V765" s="236"/>
      <c r="W765" s="237"/>
      <c r="X765" s="237"/>
      <c r="Y765" s="237"/>
      <c r="Z765" s="237"/>
      <c r="AA765" s="237"/>
      <c r="AB765" s="237"/>
      <c r="AC765" s="237"/>
      <c r="AD765" s="237"/>
      <c r="AE765" s="237"/>
      <c r="AF765" s="237"/>
      <c r="AG765" s="237"/>
      <c r="AH765" s="237"/>
      <c r="AI765" s="308"/>
      <c r="AJ765" s="308"/>
      <c r="AK765" s="308"/>
      <c r="AL765" s="308"/>
      <c r="AM765" s="98"/>
      <c r="AN765" s="98"/>
      <c r="AO765" s="98"/>
    </row>
    <row r="766" ht="14.25" customHeight="1">
      <c r="A766" s="98"/>
      <c r="B766" s="98"/>
      <c r="C766" s="98"/>
      <c r="D766" s="308"/>
      <c r="E766" s="98"/>
      <c r="F766" s="235"/>
      <c r="G766" s="235"/>
      <c r="H766" s="236"/>
      <c r="I766" s="236"/>
      <c r="J766" s="236"/>
      <c r="K766" s="236"/>
      <c r="L766" s="236"/>
      <c r="M766" s="236"/>
      <c r="N766" s="236"/>
      <c r="O766" s="236"/>
      <c r="P766" s="236"/>
      <c r="Q766" s="236"/>
      <c r="R766" s="236"/>
      <c r="S766" s="236"/>
      <c r="T766" s="236"/>
      <c r="U766" s="236"/>
      <c r="V766" s="236"/>
      <c r="W766" s="237"/>
      <c r="X766" s="237"/>
      <c r="Y766" s="237"/>
      <c r="Z766" s="237"/>
      <c r="AA766" s="237"/>
      <c r="AB766" s="237"/>
      <c r="AC766" s="237"/>
      <c r="AD766" s="237"/>
      <c r="AE766" s="237"/>
      <c r="AF766" s="237"/>
      <c r="AG766" s="237"/>
      <c r="AH766" s="237"/>
      <c r="AI766" s="308"/>
      <c r="AJ766" s="308"/>
      <c r="AK766" s="308"/>
      <c r="AL766" s="308"/>
      <c r="AM766" s="98"/>
      <c r="AN766" s="98"/>
      <c r="AO766" s="98"/>
    </row>
    <row r="767" ht="14.25" customHeight="1">
      <c r="A767" s="98"/>
      <c r="B767" s="98"/>
      <c r="C767" s="98"/>
      <c r="D767" s="308"/>
      <c r="E767" s="98"/>
      <c r="F767" s="235"/>
      <c r="G767" s="235"/>
      <c r="H767" s="236"/>
      <c r="I767" s="236"/>
      <c r="J767" s="236"/>
      <c r="K767" s="236"/>
      <c r="L767" s="236"/>
      <c r="M767" s="236"/>
      <c r="N767" s="236"/>
      <c r="O767" s="236"/>
      <c r="P767" s="236"/>
      <c r="Q767" s="236"/>
      <c r="R767" s="236"/>
      <c r="S767" s="236"/>
      <c r="T767" s="236"/>
      <c r="U767" s="236"/>
      <c r="V767" s="236"/>
      <c r="W767" s="237"/>
      <c r="X767" s="237"/>
      <c r="Y767" s="237"/>
      <c r="Z767" s="237"/>
      <c r="AA767" s="237"/>
      <c r="AB767" s="237"/>
      <c r="AC767" s="237"/>
      <c r="AD767" s="237"/>
      <c r="AE767" s="237"/>
      <c r="AF767" s="237"/>
      <c r="AG767" s="237"/>
      <c r="AH767" s="237"/>
      <c r="AI767" s="308"/>
      <c r="AJ767" s="308"/>
      <c r="AK767" s="308"/>
      <c r="AL767" s="308"/>
      <c r="AM767" s="98"/>
      <c r="AN767" s="98"/>
      <c r="AO767" s="98"/>
    </row>
    <row r="768" ht="14.25" customHeight="1">
      <c r="A768" s="98"/>
      <c r="B768" s="98"/>
      <c r="C768" s="98"/>
      <c r="D768" s="308"/>
      <c r="E768" s="98"/>
      <c r="F768" s="235"/>
      <c r="G768" s="235"/>
      <c r="H768" s="236"/>
      <c r="I768" s="236"/>
      <c r="J768" s="236"/>
      <c r="K768" s="236"/>
      <c r="L768" s="236"/>
      <c r="M768" s="236"/>
      <c r="N768" s="236"/>
      <c r="O768" s="236"/>
      <c r="P768" s="236"/>
      <c r="Q768" s="236"/>
      <c r="R768" s="236"/>
      <c r="S768" s="236"/>
      <c r="T768" s="236"/>
      <c r="U768" s="236"/>
      <c r="V768" s="236"/>
      <c r="W768" s="237"/>
      <c r="X768" s="237"/>
      <c r="Y768" s="237"/>
      <c r="Z768" s="237"/>
      <c r="AA768" s="237"/>
      <c r="AB768" s="237"/>
      <c r="AC768" s="237"/>
      <c r="AD768" s="237"/>
      <c r="AE768" s="237"/>
      <c r="AF768" s="237"/>
      <c r="AG768" s="237"/>
      <c r="AH768" s="237"/>
      <c r="AI768" s="308"/>
      <c r="AJ768" s="308"/>
      <c r="AK768" s="308"/>
      <c r="AL768" s="308"/>
      <c r="AM768" s="98"/>
      <c r="AN768" s="98"/>
      <c r="AO768" s="98"/>
    </row>
    <row r="769" ht="14.25" customHeight="1">
      <c r="A769" s="98"/>
      <c r="B769" s="98"/>
      <c r="C769" s="98"/>
      <c r="D769" s="308"/>
      <c r="E769" s="98"/>
      <c r="F769" s="235"/>
      <c r="G769" s="235"/>
      <c r="H769" s="236"/>
      <c r="I769" s="236"/>
      <c r="J769" s="236"/>
      <c r="K769" s="236"/>
      <c r="L769" s="236"/>
      <c r="M769" s="236"/>
      <c r="N769" s="236"/>
      <c r="O769" s="236"/>
      <c r="P769" s="236"/>
      <c r="Q769" s="236"/>
      <c r="R769" s="236"/>
      <c r="S769" s="236"/>
      <c r="T769" s="236"/>
      <c r="U769" s="236"/>
      <c r="V769" s="236"/>
      <c r="W769" s="237"/>
      <c r="X769" s="237"/>
      <c r="Y769" s="237"/>
      <c r="Z769" s="237"/>
      <c r="AA769" s="237"/>
      <c r="AB769" s="237"/>
      <c r="AC769" s="237"/>
      <c r="AD769" s="237"/>
      <c r="AE769" s="237"/>
      <c r="AF769" s="237"/>
      <c r="AG769" s="237"/>
      <c r="AH769" s="237"/>
      <c r="AI769" s="308"/>
      <c r="AJ769" s="308"/>
      <c r="AK769" s="308"/>
      <c r="AL769" s="308"/>
      <c r="AM769" s="98"/>
      <c r="AN769" s="98"/>
      <c r="AO769" s="98"/>
    </row>
    <row r="770" ht="14.25" customHeight="1">
      <c r="A770" s="98"/>
      <c r="B770" s="98"/>
      <c r="C770" s="98"/>
      <c r="D770" s="308"/>
      <c r="E770" s="98"/>
      <c r="F770" s="235"/>
      <c r="G770" s="235"/>
      <c r="H770" s="236"/>
      <c r="I770" s="236"/>
      <c r="J770" s="236"/>
      <c r="K770" s="236"/>
      <c r="L770" s="236"/>
      <c r="M770" s="236"/>
      <c r="N770" s="236"/>
      <c r="O770" s="236"/>
      <c r="P770" s="236"/>
      <c r="Q770" s="236"/>
      <c r="R770" s="236"/>
      <c r="S770" s="236"/>
      <c r="T770" s="236"/>
      <c r="U770" s="236"/>
      <c r="V770" s="236"/>
      <c r="W770" s="237"/>
      <c r="X770" s="237"/>
      <c r="Y770" s="237"/>
      <c r="Z770" s="237"/>
      <c r="AA770" s="237"/>
      <c r="AB770" s="237"/>
      <c r="AC770" s="237"/>
      <c r="AD770" s="237"/>
      <c r="AE770" s="237"/>
      <c r="AF770" s="237"/>
      <c r="AG770" s="237"/>
      <c r="AH770" s="237"/>
      <c r="AI770" s="308"/>
      <c r="AJ770" s="308"/>
      <c r="AK770" s="308"/>
      <c r="AL770" s="308"/>
      <c r="AM770" s="98"/>
      <c r="AN770" s="98"/>
      <c r="AO770" s="98"/>
    </row>
    <row r="771" ht="14.25" customHeight="1">
      <c r="A771" s="98"/>
      <c r="B771" s="98"/>
      <c r="C771" s="98"/>
      <c r="D771" s="308"/>
      <c r="E771" s="98"/>
      <c r="F771" s="235"/>
      <c r="G771" s="235"/>
      <c r="H771" s="236"/>
      <c r="I771" s="236"/>
      <c r="J771" s="236"/>
      <c r="K771" s="236"/>
      <c r="L771" s="236"/>
      <c r="M771" s="236"/>
      <c r="N771" s="236"/>
      <c r="O771" s="236"/>
      <c r="P771" s="236"/>
      <c r="Q771" s="236"/>
      <c r="R771" s="236"/>
      <c r="S771" s="236"/>
      <c r="T771" s="236"/>
      <c r="U771" s="236"/>
      <c r="V771" s="236"/>
      <c r="W771" s="237"/>
      <c r="X771" s="237"/>
      <c r="Y771" s="237"/>
      <c r="Z771" s="237"/>
      <c r="AA771" s="237"/>
      <c r="AB771" s="237"/>
      <c r="AC771" s="237"/>
      <c r="AD771" s="237"/>
      <c r="AE771" s="237"/>
      <c r="AF771" s="237"/>
      <c r="AG771" s="237"/>
      <c r="AH771" s="237"/>
      <c r="AI771" s="308"/>
      <c r="AJ771" s="308"/>
      <c r="AK771" s="308"/>
      <c r="AL771" s="308"/>
      <c r="AM771" s="98"/>
      <c r="AN771" s="98"/>
      <c r="AO771" s="98"/>
    </row>
    <row r="772" ht="14.25" customHeight="1">
      <c r="A772" s="98"/>
      <c r="B772" s="98"/>
      <c r="C772" s="98"/>
      <c r="D772" s="308"/>
      <c r="E772" s="98"/>
      <c r="F772" s="235"/>
      <c r="G772" s="235"/>
      <c r="H772" s="236"/>
      <c r="I772" s="236"/>
      <c r="J772" s="236"/>
      <c r="K772" s="236"/>
      <c r="L772" s="236"/>
      <c r="M772" s="236"/>
      <c r="N772" s="236"/>
      <c r="O772" s="236"/>
      <c r="P772" s="236"/>
      <c r="Q772" s="236"/>
      <c r="R772" s="236"/>
      <c r="S772" s="236"/>
      <c r="T772" s="236"/>
      <c r="U772" s="236"/>
      <c r="V772" s="236"/>
      <c r="W772" s="237"/>
      <c r="X772" s="237"/>
      <c r="Y772" s="237"/>
      <c r="Z772" s="237"/>
      <c r="AA772" s="237"/>
      <c r="AB772" s="237"/>
      <c r="AC772" s="237"/>
      <c r="AD772" s="237"/>
      <c r="AE772" s="237"/>
      <c r="AF772" s="237"/>
      <c r="AG772" s="237"/>
      <c r="AH772" s="237"/>
      <c r="AI772" s="308"/>
      <c r="AJ772" s="308"/>
      <c r="AK772" s="308"/>
      <c r="AL772" s="308"/>
      <c r="AM772" s="98"/>
      <c r="AN772" s="98"/>
      <c r="AO772" s="98"/>
    </row>
    <row r="773" ht="14.25" customHeight="1">
      <c r="A773" s="98"/>
      <c r="B773" s="98"/>
      <c r="C773" s="98"/>
      <c r="D773" s="308"/>
      <c r="E773" s="98"/>
      <c r="F773" s="235"/>
      <c r="G773" s="235"/>
      <c r="H773" s="236"/>
      <c r="I773" s="236"/>
      <c r="J773" s="236"/>
      <c r="K773" s="236"/>
      <c r="L773" s="236"/>
      <c r="M773" s="236"/>
      <c r="N773" s="236"/>
      <c r="O773" s="236"/>
      <c r="P773" s="236"/>
      <c r="Q773" s="236"/>
      <c r="R773" s="236"/>
      <c r="S773" s="236"/>
      <c r="T773" s="236"/>
      <c r="U773" s="236"/>
      <c r="V773" s="236"/>
      <c r="W773" s="237"/>
      <c r="X773" s="237"/>
      <c r="Y773" s="237"/>
      <c r="Z773" s="237"/>
      <c r="AA773" s="237"/>
      <c r="AB773" s="237"/>
      <c r="AC773" s="237"/>
      <c r="AD773" s="237"/>
      <c r="AE773" s="237"/>
      <c r="AF773" s="237"/>
      <c r="AG773" s="237"/>
      <c r="AH773" s="237"/>
      <c r="AI773" s="308"/>
      <c r="AJ773" s="308"/>
      <c r="AK773" s="308"/>
      <c r="AL773" s="308"/>
      <c r="AM773" s="98"/>
      <c r="AN773" s="98"/>
      <c r="AO773" s="98"/>
    </row>
    <row r="774" ht="14.25" customHeight="1">
      <c r="A774" s="98"/>
      <c r="B774" s="98"/>
      <c r="C774" s="98"/>
      <c r="D774" s="308"/>
      <c r="E774" s="98"/>
      <c r="F774" s="235"/>
      <c r="G774" s="235"/>
      <c r="H774" s="236"/>
      <c r="I774" s="236"/>
      <c r="J774" s="236"/>
      <c r="K774" s="236"/>
      <c r="L774" s="236"/>
      <c r="M774" s="236"/>
      <c r="N774" s="236"/>
      <c r="O774" s="236"/>
      <c r="P774" s="236"/>
      <c r="Q774" s="236"/>
      <c r="R774" s="236"/>
      <c r="S774" s="236"/>
      <c r="T774" s="236"/>
      <c r="U774" s="236"/>
      <c r="V774" s="236"/>
      <c r="W774" s="237"/>
      <c r="X774" s="237"/>
      <c r="Y774" s="237"/>
      <c r="Z774" s="237"/>
      <c r="AA774" s="237"/>
      <c r="AB774" s="237"/>
      <c r="AC774" s="237"/>
      <c r="AD774" s="237"/>
      <c r="AE774" s="237"/>
      <c r="AF774" s="237"/>
      <c r="AG774" s="237"/>
      <c r="AH774" s="237"/>
      <c r="AI774" s="308"/>
      <c r="AJ774" s="308"/>
      <c r="AK774" s="308"/>
      <c r="AL774" s="308"/>
      <c r="AM774" s="98"/>
      <c r="AN774" s="98"/>
      <c r="AO774" s="98"/>
    </row>
    <row r="775" ht="14.25" customHeight="1">
      <c r="A775" s="98"/>
      <c r="B775" s="98"/>
      <c r="C775" s="98"/>
      <c r="D775" s="308"/>
      <c r="E775" s="98"/>
      <c r="F775" s="235"/>
      <c r="G775" s="235"/>
      <c r="H775" s="236"/>
      <c r="I775" s="236"/>
      <c r="J775" s="236"/>
      <c r="K775" s="236"/>
      <c r="L775" s="236"/>
      <c r="M775" s="236"/>
      <c r="N775" s="236"/>
      <c r="O775" s="236"/>
      <c r="P775" s="236"/>
      <c r="Q775" s="236"/>
      <c r="R775" s="236"/>
      <c r="S775" s="236"/>
      <c r="T775" s="236"/>
      <c r="U775" s="236"/>
      <c r="V775" s="236"/>
      <c r="W775" s="237"/>
      <c r="X775" s="237"/>
      <c r="Y775" s="237"/>
      <c r="Z775" s="237"/>
      <c r="AA775" s="237"/>
      <c r="AB775" s="237"/>
      <c r="AC775" s="237"/>
      <c r="AD775" s="237"/>
      <c r="AE775" s="237"/>
      <c r="AF775" s="237"/>
      <c r="AG775" s="237"/>
      <c r="AH775" s="237"/>
      <c r="AI775" s="308"/>
      <c r="AJ775" s="308"/>
      <c r="AK775" s="308"/>
      <c r="AL775" s="308"/>
      <c r="AM775" s="98"/>
      <c r="AN775" s="98"/>
      <c r="AO775" s="98"/>
    </row>
    <row r="776" ht="14.25" customHeight="1">
      <c r="A776" s="98"/>
      <c r="B776" s="98"/>
      <c r="C776" s="98"/>
      <c r="D776" s="308"/>
      <c r="E776" s="98"/>
      <c r="F776" s="235"/>
      <c r="G776" s="235"/>
      <c r="H776" s="236"/>
      <c r="I776" s="236"/>
      <c r="J776" s="236"/>
      <c r="K776" s="236"/>
      <c r="L776" s="236"/>
      <c r="M776" s="236"/>
      <c r="N776" s="236"/>
      <c r="O776" s="236"/>
      <c r="P776" s="236"/>
      <c r="Q776" s="236"/>
      <c r="R776" s="236"/>
      <c r="S776" s="236"/>
      <c r="T776" s="236"/>
      <c r="U776" s="236"/>
      <c r="V776" s="236"/>
      <c r="W776" s="237"/>
      <c r="X776" s="237"/>
      <c r="Y776" s="237"/>
      <c r="Z776" s="237"/>
      <c r="AA776" s="237"/>
      <c r="AB776" s="237"/>
      <c r="AC776" s="237"/>
      <c r="AD776" s="237"/>
      <c r="AE776" s="237"/>
      <c r="AF776" s="237"/>
      <c r="AG776" s="237"/>
      <c r="AH776" s="237"/>
      <c r="AI776" s="308"/>
      <c r="AJ776" s="308"/>
      <c r="AK776" s="308"/>
      <c r="AL776" s="308"/>
      <c r="AM776" s="98"/>
      <c r="AN776" s="98"/>
      <c r="AO776" s="98"/>
    </row>
    <row r="777" ht="14.25" customHeight="1">
      <c r="A777" s="98"/>
      <c r="B777" s="98"/>
      <c r="C777" s="98"/>
      <c r="D777" s="308"/>
      <c r="E777" s="98"/>
      <c r="F777" s="235"/>
      <c r="G777" s="235"/>
      <c r="H777" s="236"/>
      <c r="I777" s="236"/>
      <c r="J777" s="236"/>
      <c r="K777" s="236"/>
      <c r="L777" s="236"/>
      <c r="M777" s="236"/>
      <c r="N777" s="236"/>
      <c r="O777" s="236"/>
      <c r="P777" s="236"/>
      <c r="Q777" s="236"/>
      <c r="R777" s="236"/>
      <c r="S777" s="236"/>
      <c r="T777" s="236"/>
      <c r="U777" s="236"/>
      <c r="V777" s="236"/>
      <c r="W777" s="237"/>
      <c r="X777" s="237"/>
      <c r="Y777" s="237"/>
      <c r="Z777" s="237"/>
      <c r="AA777" s="237"/>
      <c r="AB777" s="237"/>
      <c r="AC777" s="237"/>
      <c r="AD777" s="237"/>
      <c r="AE777" s="237"/>
      <c r="AF777" s="237"/>
      <c r="AG777" s="237"/>
      <c r="AH777" s="237"/>
      <c r="AI777" s="308"/>
      <c r="AJ777" s="308"/>
      <c r="AK777" s="308"/>
      <c r="AL777" s="308"/>
      <c r="AM777" s="98"/>
      <c r="AN777" s="98"/>
      <c r="AO777" s="98"/>
    </row>
    <row r="778" ht="14.25" customHeight="1">
      <c r="A778" s="98"/>
      <c r="B778" s="98"/>
      <c r="C778" s="98"/>
      <c r="D778" s="308"/>
      <c r="E778" s="98"/>
      <c r="F778" s="235"/>
      <c r="G778" s="235"/>
      <c r="H778" s="236"/>
      <c r="I778" s="236"/>
      <c r="J778" s="236"/>
      <c r="K778" s="236"/>
      <c r="L778" s="236"/>
      <c r="M778" s="236"/>
      <c r="N778" s="236"/>
      <c r="O778" s="236"/>
      <c r="P778" s="236"/>
      <c r="Q778" s="236"/>
      <c r="R778" s="236"/>
      <c r="S778" s="236"/>
      <c r="T778" s="236"/>
      <c r="U778" s="236"/>
      <c r="V778" s="236"/>
      <c r="W778" s="237"/>
      <c r="X778" s="237"/>
      <c r="Y778" s="237"/>
      <c r="Z778" s="237"/>
      <c r="AA778" s="237"/>
      <c r="AB778" s="237"/>
      <c r="AC778" s="237"/>
      <c r="AD778" s="237"/>
      <c r="AE778" s="237"/>
      <c r="AF778" s="237"/>
      <c r="AG778" s="237"/>
      <c r="AH778" s="237"/>
      <c r="AI778" s="308"/>
      <c r="AJ778" s="308"/>
      <c r="AK778" s="308"/>
      <c r="AL778" s="308"/>
      <c r="AM778" s="98"/>
      <c r="AN778" s="98"/>
      <c r="AO778" s="98"/>
    </row>
    <row r="779" ht="14.25" customHeight="1">
      <c r="A779" s="98"/>
      <c r="B779" s="98"/>
      <c r="C779" s="98"/>
      <c r="D779" s="308"/>
      <c r="E779" s="98"/>
      <c r="F779" s="235"/>
      <c r="G779" s="235"/>
      <c r="H779" s="236"/>
      <c r="I779" s="236"/>
      <c r="J779" s="236"/>
      <c r="K779" s="236"/>
      <c r="L779" s="236"/>
      <c r="M779" s="236"/>
      <c r="N779" s="236"/>
      <c r="O779" s="236"/>
      <c r="P779" s="236"/>
      <c r="Q779" s="236"/>
      <c r="R779" s="236"/>
      <c r="S779" s="236"/>
      <c r="T779" s="236"/>
      <c r="U779" s="236"/>
      <c r="V779" s="236"/>
      <c r="W779" s="237"/>
      <c r="X779" s="237"/>
      <c r="Y779" s="237"/>
      <c r="Z779" s="237"/>
      <c r="AA779" s="237"/>
      <c r="AB779" s="237"/>
      <c r="AC779" s="237"/>
      <c r="AD779" s="237"/>
      <c r="AE779" s="237"/>
      <c r="AF779" s="237"/>
      <c r="AG779" s="237"/>
      <c r="AH779" s="237"/>
      <c r="AI779" s="308"/>
      <c r="AJ779" s="308"/>
      <c r="AK779" s="308"/>
      <c r="AL779" s="308"/>
      <c r="AM779" s="98"/>
      <c r="AN779" s="98"/>
      <c r="AO779" s="98"/>
    </row>
    <row r="780" ht="14.25" customHeight="1">
      <c r="A780" s="98"/>
      <c r="B780" s="98"/>
      <c r="C780" s="98"/>
      <c r="D780" s="308"/>
      <c r="E780" s="98"/>
      <c r="F780" s="235"/>
      <c r="G780" s="235"/>
      <c r="H780" s="236"/>
      <c r="I780" s="236"/>
      <c r="J780" s="236"/>
      <c r="K780" s="236"/>
      <c r="L780" s="236"/>
      <c r="M780" s="236"/>
      <c r="N780" s="236"/>
      <c r="O780" s="236"/>
      <c r="P780" s="236"/>
      <c r="Q780" s="236"/>
      <c r="R780" s="236"/>
      <c r="S780" s="236"/>
      <c r="T780" s="236"/>
      <c r="U780" s="236"/>
      <c r="V780" s="236"/>
      <c r="W780" s="237"/>
      <c r="X780" s="237"/>
      <c r="Y780" s="237"/>
      <c r="Z780" s="237"/>
      <c r="AA780" s="237"/>
      <c r="AB780" s="237"/>
      <c r="AC780" s="237"/>
      <c r="AD780" s="237"/>
      <c r="AE780" s="237"/>
      <c r="AF780" s="237"/>
      <c r="AG780" s="237"/>
      <c r="AH780" s="237"/>
      <c r="AI780" s="308"/>
      <c r="AJ780" s="308"/>
      <c r="AK780" s="308"/>
      <c r="AL780" s="308"/>
      <c r="AM780" s="98"/>
      <c r="AN780" s="98"/>
      <c r="AO780" s="98"/>
    </row>
    <row r="781" ht="14.25" customHeight="1">
      <c r="A781" s="98"/>
      <c r="B781" s="98"/>
      <c r="C781" s="98"/>
      <c r="D781" s="308"/>
      <c r="E781" s="98"/>
      <c r="F781" s="235"/>
      <c r="G781" s="235"/>
      <c r="H781" s="236"/>
      <c r="I781" s="236"/>
      <c r="J781" s="236"/>
      <c r="K781" s="236"/>
      <c r="L781" s="236"/>
      <c r="M781" s="236"/>
      <c r="N781" s="236"/>
      <c r="O781" s="236"/>
      <c r="P781" s="236"/>
      <c r="Q781" s="236"/>
      <c r="R781" s="236"/>
      <c r="S781" s="236"/>
      <c r="T781" s="236"/>
      <c r="U781" s="236"/>
      <c r="V781" s="236"/>
      <c r="W781" s="237"/>
      <c r="X781" s="237"/>
      <c r="Y781" s="237"/>
      <c r="Z781" s="237"/>
      <c r="AA781" s="237"/>
      <c r="AB781" s="237"/>
      <c r="AC781" s="237"/>
      <c r="AD781" s="237"/>
      <c r="AE781" s="237"/>
      <c r="AF781" s="237"/>
      <c r="AG781" s="237"/>
      <c r="AH781" s="237"/>
      <c r="AI781" s="308"/>
      <c r="AJ781" s="308"/>
      <c r="AK781" s="308"/>
      <c r="AL781" s="308"/>
      <c r="AM781" s="98"/>
      <c r="AN781" s="98"/>
      <c r="AO781" s="98"/>
    </row>
    <row r="782" ht="14.25" customHeight="1">
      <c r="A782" s="98"/>
      <c r="B782" s="98"/>
      <c r="C782" s="98"/>
      <c r="D782" s="308"/>
      <c r="E782" s="98"/>
      <c r="F782" s="235"/>
      <c r="G782" s="235"/>
      <c r="H782" s="236"/>
      <c r="I782" s="236"/>
      <c r="J782" s="236"/>
      <c r="K782" s="236"/>
      <c r="L782" s="236"/>
      <c r="M782" s="236"/>
      <c r="N782" s="236"/>
      <c r="O782" s="236"/>
      <c r="P782" s="236"/>
      <c r="Q782" s="236"/>
      <c r="R782" s="236"/>
      <c r="S782" s="236"/>
      <c r="T782" s="236"/>
      <c r="U782" s="236"/>
      <c r="V782" s="236"/>
      <c r="W782" s="237"/>
      <c r="X782" s="237"/>
      <c r="Y782" s="237"/>
      <c r="Z782" s="237"/>
      <c r="AA782" s="237"/>
      <c r="AB782" s="237"/>
      <c r="AC782" s="237"/>
      <c r="AD782" s="237"/>
      <c r="AE782" s="237"/>
      <c r="AF782" s="237"/>
      <c r="AG782" s="237"/>
      <c r="AH782" s="237"/>
      <c r="AI782" s="308"/>
      <c r="AJ782" s="308"/>
      <c r="AK782" s="308"/>
      <c r="AL782" s="308"/>
      <c r="AM782" s="98"/>
      <c r="AN782" s="98"/>
      <c r="AO782" s="98"/>
    </row>
    <row r="783" ht="14.25" customHeight="1">
      <c r="A783" s="98"/>
      <c r="B783" s="98"/>
      <c r="C783" s="98"/>
      <c r="D783" s="308"/>
      <c r="E783" s="98"/>
      <c r="F783" s="235"/>
      <c r="G783" s="235"/>
      <c r="H783" s="236"/>
      <c r="I783" s="236"/>
      <c r="J783" s="236"/>
      <c r="K783" s="236"/>
      <c r="L783" s="236"/>
      <c r="M783" s="236"/>
      <c r="N783" s="236"/>
      <c r="O783" s="236"/>
      <c r="P783" s="236"/>
      <c r="Q783" s="236"/>
      <c r="R783" s="236"/>
      <c r="S783" s="236"/>
      <c r="T783" s="236"/>
      <c r="U783" s="236"/>
      <c r="V783" s="236"/>
      <c r="W783" s="237"/>
      <c r="X783" s="237"/>
      <c r="Y783" s="237"/>
      <c r="Z783" s="237"/>
      <c r="AA783" s="237"/>
      <c r="AB783" s="237"/>
      <c r="AC783" s="237"/>
      <c r="AD783" s="237"/>
      <c r="AE783" s="237"/>
      <c r="AF783" s="237"/>
      <c r="AG783" s="237"/>
      <c r="AH783" s="237"/>
      <c r="AI783" s="308"/>
      <c r="AJ783" s="308"/>
      <c r="AK783" s="308"/>
      <c r="AL783" s="308"/>
      <c r="AM783" s="98"/>
      <c r="AN783" s="98"/>
      <c r="AO783" s="98"/>
    </row>
    <row r="784" ht="14.25" customHeight="1">
      <c r="A784" s="98"/>
      <c r="B784" s="98"/>
      <c r="C784" s="98"/>
      <c r="D784" s="308"/>
      <c r="E784" s="98"/>
      <c r="F784" s="235"/>
      <c r="G784" s="235"/>
      <c r="H784" s="236"/>
      <c r="I784" s="236"/>
      <c r="J784" s="236"/>
      <c r="K784" s="236"/>
      <c r="L784" s="236"/>
      <c r="M784" s="236"/>
      <c r="N784" s="236"/>
      <c r="O784" s="236"/>
      <c r="P784" s="236"/>
      <c r="Q784" s="236"/>
      <c r="R784" s="236"/>
      <c r="S784" s="236"/>
      <c r="T784" s="236"/>
      <c r="U784" s="236"/>
      <c r="V784" s="236"/>
      <c r="W784" s="237"/>
      <c r="X784" s="237"/>
      <c r="Y784" s="237"/>
      <c r="Z784" s="237"/>
      <c r="AA784" s="237"/>
      <c r="AB784" s="237"/>
      <c r="AC784" s="237"/>
      <c r="AD784" s="237"/>
      <c r="AE784" s="237"/>
      <c r="AF784" s="237"/>
      <c r="AG784" s="237"/>
      <c r="AH784" s="237"/>
      <c r="AI784" s="308"/>
      <c r="AJ784" s="308"/>
      <c r="AK784" s="308"/>
      <c r="AL784" s="308"/>
      <c r="AM784" s="98"/>
      <c r="AN784" s="98"/>
      <c r="AO784" s="98"/>
    </row>
    <row r="785" ht="14.25" customHeight="1">
      <c r="A785" s="98"/>
      <c r="B785" s="98"/>
      <c r="C785" s="98"/>
      <c r="D785" s="308"/>
      <c r="E785" s="98"/>
      <c r="F785" s="235"/>
      <c r="G785" s="235"/>
      <c r="H785" s="236"/>
      <c r="I785" s="236"/>
      <c r="J785" s="236"/>
      <c r="K785" s="236"/>
      <c r="L785" s="236"/>
      <c r="M785" s="236"/>
      <c r="N785" s="236"/>
      <c r="O785" s="236"/>
      <c r="P785" s="236"/>
      <c r="Q785" s="236"/>
      <c r="R785" s="236"/>
      <c r="S785" s="236"/>
      <c r="T785" s="236"/>
      <c r="U785" s="236"/>
      <c r="V785" s="236"/>
      <c r="W785" s="237"/>
      <c r="X785" s="237"/>
      <c r="Y785" s="237"/>
      <c r="Z785" s="237"/>
      <c r="AA785" s="237"/>
      <c r="AB785" s="237"/>
      <c r="AC785" s="237"/>
      <c r="AD785" s="237"/>
      <c r="AE785" s="237"/>
      <c r="AF785" s="237"/>
      <c r="AG785" s="237"/>
      <c r="AH785" s="237"/>
      <c r="AI785" s="308"/>
      <c r="AJ785" s="308"/>
      <c r="AK785" s="308"/>
      <c r="AL785" s="308"/>
      <c r="AM785" s="98"/>
      <c r="AN785" s="98"/>
      <c r="AO785" s="98"/>
    </row>
    <row r="786" ht="14.25" customHeight="1">
      <c r="A786" s="98"/>
      <c r="B786" s="98"/>
      <c r="C786" s="98"/>
      <c r="D786" s="308"/>
      <c r="E786" s="98"/>
      <c r="F786" s="235"/>
      <c r="G786" s="235"/>
      <c r="H786" s="236"/>
      <c r="I786" s="236"/>
      <c r="J786" s="236"/>
      <c r="K786" s="236"/>
      <c r="L786" s="236"/>
      <c r="M786" s="236"/>
      <c r="N786" s="236"/>
      <c r="O786" s="236"/>
      <c r="P786" s="236"/>
      <c r="Q786" s="236"/>
      <c r="R786" s="236"/>
      <c r="S786" s="236"/>
      <c r="T786" s="236"/>
      <c r="U786" s="236"/>
      <c r="V786" s="236"/>
      <c r="W786" s="237"/>
      <c r="X786" s="237"/>
      <c r="Y786" s="237"/>
      <c r="Z786" s="237"/>
      <c r="AA786" s="237"/>
      <c r="AB786" s="237"/>
      <c r="AC786" s="237"/>
      <c r="AD786" s="237"/>
      <c r="AE786" s="237"/>
      <c r="AF786" s="237"/>
      <c r="AG786" s="237"/>
      <c r="AH786" s="237"/>
      <c r="AI786" s="308"/>
      <c r="AJ786" s="308"/>
      <c r="AK786" s="308"/>
      <c r="AL786" s="308"/>
      <c r="AM786" s="98"/>
      <c r="AN786" s="98"/>
      <c r="AO786" s="98"/>
    </row>
    <row r="787" ht="14.25" customHeight="1">
      <c r="A787" s="98"/>
      <c r="B787" s="98"/>
      <c r="C787" s="98"/>
      <c r="D787" s="308"/>
      <c r="E787" s="98"/>
      <c r="F787" s="235"/>
      <c r="G787" s="235"/>
      <c r="H787" s="236"/>
      <c r="I787" s="236"/>
      <c r="J787" s="236"/>
      <c r="K787" s="236"/>
      <c r="L787" s="236"/>
      <c r="M787" s="236"/>
      <c r="N787" s="236"/>
      <c r="O787" s="236"/>
      <c r="P787" s="236"/>
      <c r="Q787" s="236"/>
      <c r="R787" s="236"/>
      <c r="S787" s="236"/>
      <c r="T787" s="236"/>
      <c r="U787" s="236"/>
      <c r="V787" s="236"/>
      <c r="W787" s="237"/>
      <c r="X787" s="237"/>
      <c r="Y787" s="237"/>
      <c r="Z787" s="237"/>
      <c r="AA787" s="237"/>
      <c r="AB787" s="237"/>
      <c r="AC787" s="237"/>
      <c r="AD787" s="237"/>
      <c r="AE787" s="237"/>
      <c r="AF787" s="237"/>
      <c r="AG787" s="237"/>
      <c r="AH787" s="237"/>
      <c r="AI787" s="308"/>
      <c r="AJ787" s="308"/>
      <c r="AK787" s="308"/>
      <c r="AL787" s="308"/>
      <c r="AM787" s="98"/>
      <c r="AN787" s="98"/>
      <c r="AO787" s="98"/>
    </row>
    <row r="788" ht="14.25" customHeight="1">
      <c r="A788" s="98"/>
      <c r="B788" s="98"/>
      <c r="C788" s="98"/>
      <c r="D788" s="308"/>
      <c r="E788" s="98"/>
      <c r="F788" s="235"/>
      <c r="G788" s="235"/>
      <c r="H788" s="236"/>
      <c r="I788" s="236"/>
      <c r="J788" s="236"/>
      <c r="K788" s="236"/>
      <c r="L788" s="236"/>
      <c r="M788" s="236"/>
      <c r="N788" s="236"/>
      <c r="O788" s="236"/>
      <c r="P788" s="236"/>
      <c r="Q788" s="236"/>
      <c r="R788" s="236"/>
      <c r="S788" s="236"/>
      <c r="T788" s="236"/>
      <c r="U788" s="236"/>
      <c r="V788" s="236"/>
      <c r="W788" s="237"/>
      <c r="X788" s="237"/>
      <c r="Y788" s="237"/>
      <c r="Z788" s="237"/>
      <c r="AA788" s="237"/>
      <c r="AB788" s="237"/>
      <c r="AC788" s="237"/>
      <c r="AD788" s="237"/>
      <c r="AE788" s="237"/>
      <c r="AF788" s="237"/>
      <c r="AG788" s="237"/>
      <c r="AH788" s="237"/>
      <c r="AI788" s="308"/>
      <c r="AJ788" s="308"/>
      <c r="AK788" s="308"/>
      <c r="AL788" s="308"/>
      <c r="AM788" s="98"/>
      <c r="AN788" s="98"/>
      <c r="AO788" s="98"/>
    </row>
    <row r="789" ht="14.25" customHeight="1">
      <c r="A789" s="98"/>
      <c r="B789" s="98"/>
      <c r="C789" s="98"/>
      <c r="D789" s="308"/>
      <c r="E789" s="98"/>
      <c r="F789" s="235"/>
      <c r="G789" s="235"/>
      <c r="H789" s="236"/>
      <c r="I789" s="236"/>
      <c r="J789" s="236"/>
      <c r="K789" s="236"/>
      <c r="L789" s="236"/>
      <c r="M789" s="236"/>
      <c r="N789" s="236"/>
      <c r="O789" s="236"/>
      <c r="P789" s="236"/>
      <c r="Q789" s="236"/>
      <c r="R789" s="236"/>
      <c r="S789" s="236"/>
      <c r="T789" s="236"/>
      <c r="U789" s="236"/>
      <c r="V789" s="236"/>
      <c r="W789" s="237"/>
      <c r="X789" s="237"/>
      <c r="Y789" s="237"/>
      <c r="Z789" s="237"/>
      <c r="AA789" s="237"/>
      <c r="AB789" s="237"/>
      <c r="AC789" s="237"/>
      <c r="AD789" s="237"/>
      <c r="AE789" s="237"/>
      <c r="AF789" s="237"/>
      <c r="AG789" s="237"/>
      <c r="AH789" s="237"/>
      <c r="AI789" s="308"/>
      <c r="AJ789" s="308"/>
      <c r="AK789" s="308"/>
      <c r="AL789" s="308"/>
      <c r="AM789" s="98"/>
      <c r="AN789" s="98"/>
      <c r="AO789" s="98"/>
    </row>
    <row r="790" ht="14.25" customHeight="1">
      <c r="A790" s="98"/>
      <c r="B790" s="98"/>
      <c r="C790" s="98"/>
      <c r="D790" s="308"/>
      <c r="E790" s="98"/>
      <c r="F790" s="235"/>
      <c r="G790" s="235"/>
      <c r="H790" s="236"/>
      <c r="I790" s="236"/>
      <c r="J790" s="236"/>
      <c r="K790" s="236"/>
      <c r="L790" s="236"/>
      <c r="M790" s="236"/>
      <c r="N790" s="236"/>
      <c r="O790" s="236"/>
      <c r="P790" s="236"/>
      <c r="Q790" s="236"/>
      <c r="R790" s="236"/>
      <c r="S790" s="236"/>
      <c r="T790" s="236"/>
      <c r="U790" s="236"/>
      <c r="V790" s="236"/>
      <c r="W790" s="237"/>
      <c r="X790" s="237"/>
      <c r="Y790" s="237"/>
      <c r="Z790" s="237"/>
      <c r="AA790" s="237"/>
      <c r="AB790" s="237"/>
      <c r="AC790" s="237"/>
      <c r="AD790" s="237"/>
      <c r="AE790" s="237"/>
      <c r="AF790" s="237"/>
      <c r="AG790" s="237"/>
      <c r="AH790" s="237"/>
      <c r="AI790" s="308"/>
      <c r="AJ790" s="308"/>
      <c r="AK790" s="308"/>
      <c r="AL790" s="308"/>
      <c r="AM790" s="98"/>
      <c r="AN790" s="98"/>
      <c r="AO790" s="98"/>
    </row>
    <row r="791" ht="14.25" customHeight="1">
      <c r="A791" s="98"/>
      <c r="B791" s="98"/>
      <c r="C791" s="98"/>
      <c r="D791" s="308"/>
      <c r="E791" s="98"/>
      <c r="F791" s="235"/>
      <c r="G791" s="235"/>
      <c r="H791" s="236"/>
      <c r="I791" s="236"/>
      <c r="J791" s="236"/>
      <c r="K791" s="236"/>
      <c r="L791" s="236"/>
      <c r="M791" s="236"/>
      <c r="N791" s="236"/>
      <c r="O791" s="236"/>
      <c r="P791" s="236"/>
      <c r="Q791" s="236"/>
      <c r="R791" s="236"/>
      <c r="S791" s="236"/>
      <c r="T791" s="236"/>
      <c r="U791" s="236"/>
      <c r="V791" s="236"/>
      <c r="W791" s="237"/>
      <c r="X791" s="237"/>
      <c r="Y791" s="237"/>
      <c r="Z791" s="237"/>
      <c r="AA791" s="237"/>
      <c r="AB791" s="237"/>
      <c r="AC791" s="237"/>
      <c r="AD791" s="237"/>
      <c r="AE791" s="237"/>
      <c r="AF791" s="237"/>
      <c r="AG791" s="237"/>
      <c r="AH791" s="237"/>
      <c r="AI791" s="308"/>
      <c r="AJ791" s="308"/>
      <c r="AK791" s="308"/>
      <c r="AL791" s="308"/>
      <c r="AM791" s="98"/>
      <c r="AN791" s="98"/>
      <c r="AO791" s="98"/>
    </row>
    <row r="792" ht="14.25" customHeight="1">
      <c r="A792" s="98"/>
      <c r="B792" s="98"/>
      <c r="C792" s="98"/>
      <c r="D792" s="308"/>
      <c r="E792" s="98"/>
      <c r="F792" s="235"/>
      <c r="G792" s="235"/>
      <c r="H792" s="236"/>
      <c r="I792" s="236"/>
      <c r="J792" s="236"/>
      <c r="K792" s="236"/>
      <c r="L792" s="236"/>
      <c r="M792" s="236"/>
      <c r="N792" s="236"/>
      <c r="O792" s="236"/>
      <c r="P792" s="236"/>
      <c r="Q792" s="236"/>
      <c r="R792" s="236"/>
      <c r="S792" s="236"/>
      <c r="T792" s="236"/>
      <c r="U792" s="236"/>
      <c r="V792" s="236"/>
      <c r="W792" s="237"/>
      <c r="X792" s="237"/>
      <c r="Y792" s="237"/>
      <c r="Z792" s="237"/>
      <c r="AA792" s="237"/>
      <c r="AB792" s="237"/>
      <c r="AC792" s="237"/>
      <c r="AD792" s="237"/>
      <c r="AE792" s="237"/>
      <c r="AF792" s="237"/>
      <c r="AG792" s="237"/>
      <c r="AH792" s="237"/>
      <c r="AI792" s="308"/>
      <c r="AJ792" s="308"/>
      <c r="AK792" s="308"/>
      <c r="AL792" s="308"/>
      <c r="AM792" s="98"/>
      <c r="AN792" s="98"/>
      <c r="AO792" s="98"/>
    </row>
    <row r="793" ht="14.25" customHeight="1">
      <c r="A793" s="98"/>
      <c r="B793" s="98"/>
      <c r="C793" s="98"/>
      <c r="D793" s="308"/>
      <c r="E793" s="98"/>
      <c r="F793" s="235"/>
      <c r="G793" s="235"/>
      <c r="H793" s="236"/>
      <c r="I793" s="236"/>
      <c r="J793" s="236"/>
      <c r="K793" s="236"/>
      <c r="L793" s="236"/>
      <c r="M793" s="236"/>
      <c r="N793" s="236"/>
      <c r="O793" s="236"/>
      <c r="P793" s="236"/>
      <c r="Q793" s="236"/>
      <c r="R793" s="236"/>
      <c r="S793" s="236"/>
      <c r="T793" s="236"/>
      <c r="U793" s="236"/>
      <c r="V793" s="236"/>
      <c r="W793" s="237"/>
      <c r="X793" s="237"/>
      <c r="Y793" s="237"/>
      <c r="Z793" s="237"/>
      <c r="AA793" s="237"/>
      <c r="AB793" s="237"/>
      <c r="AC793" s="237"/>
      <c r="AD793" s="237"/>
      <c r="AE793" s="237"/>
      <c r="AF793" s="237"/>
      <c r="AG793" s="237"/>
      <c r="AH793" s="237"/>
      <c r="AI793" s="308"/>
      <c r="AJ793" s="308"/>
      <c r="AK793" s="308"/>
      <c r="AL793" s="308"/>
      <c r="AM793" s="98"/>
      <c r="AN793" s="98"/>
      <c r="AO793" s="98"/>
    </row>
    <row r="794" ht="14.25" customHeight="1">
      <c r="A794" s="98"/>
      <c r="B794" s="98"/>
      <c r="C794" s="98"/>
      <c r="D794" s="308"/>
      <c r="E794" s="98"/>
      <c r="F794" s="235"/>
      <c r="G794" s="235"/>
      <c r="H794" s="236"/>
      <c r="I794" s="236"/>
      <c r="J794" s="236"/>
      <c r="K794" s="236"/>
      <c r="L794" s="236"/>
      <c r="M794" s="236"/>
      <c r="N794" s="236"/>
      <c r="O794" s="236"/>
      <c r="P794" s="236"/>
      <c r="Q794" s="236"/>
      <c r="R794" s="236"/>
      <c r="S794" s="236"/>
      <c r="T794" s="236"/>
      <c r="U794" s="236"/>
      <c r="V794" s="236"/>
      <c r="W794" s="237"/>
      <c r="X794" s="237"/>
      <c r="Y794" s="237"/>
      <c r="Z794" s="237"/>
      <c r="AA794" s="237"/>
      <c r="AB794" s="237"/>
      <c r="AC794" s="237"/>
      <c r="AD794" s="237"/>
      <c r="AE794" s="237"/>
      <c r="AF794" s="237"/>
      <c r="AG794" s="237"/>
      <c r="AH794" s="237"/>
      <c r="AI794" s="308"/>
      <c r="AJ794" s="308"/>
      <c r="AK794" s="308"/>
      <c r="AL794" s="308"/>
      <c r="AM794" s="98"/>
      <c r="AN794" s="98"/>
      <c r="AO794" s="98"/>
    </row>
    <row r="795" ht="14.25" customHeight="1">
      <c r="A795" s="98"/>
      <c r="B795" s="98"/>
      <c r="C795" s="98"/>
      <c r="D795" s="308"/>
      <c r="E795" s="98"/>
      <c r="F795" s="235"/>
      <c r="G795" s="235"/>
      <c r="H795" s="236"/>
      <c r="I795" s="236"/>
      <c r="J795" s="236"/>
      <c r="K795" s="236"/>
      <c r="L795" s="236"/>
      <c r="M795" s="236"/>
      <c r="N795" s="236"/>
      <c r="O795" s="236"/>
      <c r="P795" s="236"/>
      <c r="Q795" s="236"/>
      <c r="R795" s="236"/>
      <c r="S795" s="236"/>
      <c r="T795" s="236"/>
      <c r="U795" s="236"/>
      <c r="V795" s="236"/>
      <c r="W795" s="237"/>
      <c r="X795" s="237"/>
      <c r="Y795" s="237"/>
      <c r="Z795" s="237"/>
      <c r="AA795" s="237"/>
      <c r="AB795" s="237"/>
      <c r="AC795" s="237"/>
      <c r="AD795" s="237"/>
      <c r="AE795" s="237"/>
      <c r="AF795" s="237"/>
      <c r="AG795" s="237"/>
      <c r="AH795" s="237"/>
      <c r="AI795" s="308"/>
      <c r="AJ795" s="308"/>
      <c r="AK795" s="308"/>
      <c r="AL795" s="308"/>
      <c r="AM795" s="98"/>
      <c r="AN795" s="98"/>
      <c r="AO795" s="98"/>
    </row>
    <row r="796" ht="14.25" customHeight="1">
      <c r="A796" s="98"/>
      <c r="B796" s="98"/>
      <c r="C796" s="98"/>
      <c r="D796" s="308"/>
      <c r="E796" s="98"/>
      <c r="F796" s="235"/>
      <c r="G796" s="235"/>
      <c r="H796" s="236"/>
      <c r="I796" s="236"/>
      <c r="J796" s="236"/>
      <c r="K796" s="236"/>
      <c r="L796" s="236"/>
      <c r="M796" s="236"/>
      <c r="N796" s="236"/>
      <c r="O796" s="236"/>
      <c r="P796" s="236"/>
      <c r="Q796" s="236"/>
      <c r="R796" s="236"/>
      <c r="S796" s="236"/>
      <c r="T796" s="236"/>
      <c r="U796" s="236"/>
      <c r="V796" s="236"/>
      <c r="W796" s="237"/>
      <c r="X796" s="237"/>
      <c r="Y796" s="237"/>
      <c r="Z796" s="237"/>
      <c r="AA796" s="237"/>
      <c r="AB796" s="237"/>
      <c r="AC796" s="237"/>
      <c r="AD796" s="237"/>
      <c r="AE796" s="237"/>
      <c r="AF796" s="237"/>
      <c r="AG796" s="237"/>
      <c r="AH796" s="237"/>
      <c r="AI796" s="308"/>
      <c r="AJ796" s="308"/>
      <c r="AK796" s="308"/>
      <c r="AL796" s="308"/>
      <c r="AM796" s="98"/>
      <c r="AN796" s="98"/>
      <c r="AO796" s="98"/>
    </row>
    <row r="797" ht="14.25" customHeight="1">
      <c r="A797" s="98"/>
      <c r="B797" s="98"/>
      <c r="C797" s="98"/>
      <c r="D797" s="308"/>
      <c r="E797" s="98"/>
      <c r="F797" s="235"/>
      <c r="G797" s="235"/>
      <c r="H797" s="236"/>
      <c r="I797" s="236"/>
      <c r="J797" s="236"/>
      <c r="K797" s="236"/>
      <c r="L797" s="236"/>
      <c r="M797" s="236"/>
      <c r="N797" s="236"/>
      <c r="O797" s="236"/>
      <c r="P797" s="236"/>
      <c r="Q797" s="236"/>
      <c r="R797" s="236"/>
      <c r="S797" s="236"/>
      <c r="T797" s="236"/>
      <c r="U797" s="236"/>
      <c r="V797" s="236"/>
      <c r="W797" s="237"/>
      <c r="X797" s="237"/>
      <c r="Y797" s="237"/>
      <c r="Z797" s="237"/>
      <c r="AA797" s="237"/>
      <c r="AB797" s="237"/>
      <c r="AC797" s="237"/>
      <c r="AD797" s="237"/>
      <c r="AE797" s="237"/>
      <c r="AF797" s="237"/>
      <c r="AG797" s="237"/>
      <c r="AH797" s="237"/>
      <c r="AI797" s="308"/>
      <c r="AJ797" s="308"/>
      <c r="AK797" s="308"/>
      <c r="AL797" s="308"/>
      <c r="AM797" s="98"/>
      <c r="AN797" s="98"/>
      <c r="AO797" s="98"/>
    </row>
    <row r="798" ht="14.25" customHeight="1">
      <c r="A798" s="98"/>
      <c r="B798" s="98"/>
      <c r="C798" s="98"/>
      <c r="D798" s="308"/>
      <c r="E798" s="98"/>
      <c r="F798" s="235"/>
      <c r="G798" s="235"/>
      <c r="H798" s="236"/>
      <c r="I798" s="236"/>
      <c r="J798" s="236"/>
      <c r="K798" s="236"/>
      <c r="L798" s="236"/>
      <c r="M798" s="236"/>
      <c r="N798" s="236"/>
      <c r="O798" s="236"/>
      <c r="P798" s="236"/>
      <c r="Q798" s="236"/>
      <c r="R798" s="236"/>
      <c r="S798" s="236"/>
      <c r="T798" s="236"/>
      <c r="U798" s="236"/>
      <c r="V798" s="236"/>
      <c r="W798" s="237"/>
      <c r="X798" s="237"/>
      <c r="Y798" s="237"/>
      <c r="Z798" s="237"/>
      <c r="AA798" s="237"/>
      <c r="AB798" s="237"/>
      <c r="AC798" s="237"/>
      <c r="AD798" s="237"/>
      <c r="AE798" s="237"/>
      <c r="AF798" s="237"/>
      <c r="AG798" s="237"/>
      <c r="AH798" s="237"/>
      <c r="AI798" s="308"/>
      <c r="AJ798" s="308"/>
      <c r="AK798" s="308"/>
      <c r="AL798" s="308"/>
      <c r="AM798" s="98"/>
      <c r="AN798" s="98"/>
      <c r="AO798" s="98"/>
    </row>
    <row r="799" ht="14.25" customHeight="1">
      <c r="A799" s="98"/>
      <c r="B799" s="98"/>
      <c r="C799" s="98"/>
      <c r="D799" s="308"/>
      <c r="E799" s="98"/>
      <c r="F799" s="235"/>
      <c r="G799" s="235"/>
      <c r="H799" s="236"/>
      <c r="I799" s="236"/>
      <c r="J799" s="236"/>
      <c r="K799" s="236"/>
      <c r="L799" s="236"/>
      <c r="M799" s="236"/>
      <c r="N799" s="236"/>
      <c r="O799" s="236"/>
      <c r="P799" s="236"/>
      <c r="Q799" s="236"/>
      <c r="R799" s="236"/>
      <c r="S799" s="236"/>
      <c r="T799" s="236"/>
      <c r="U799" s="236"/>
      <c r="V799" s="236"/>
      <c r="W799" s="237"/>
      <c r="X799" s="237"/>
      <c r="Y799" s="237"/>
      <c r="Z799" s="237"/>
      <c r="AA799" s="237"/>
      <c r="AB799" s="237"/>
      <c r="AC799" s="237"/>
      <c r="AD799" s="237"/>
      <c r="AE799" s="237"/>
      <c r="AF799" s="237"/>
      <c r="AG799" s="237"/>
      <c r="AH799" s="237"/>
      <c r="AI799" s="308"/>
      <c r="AJ799" s="308"/>
      <c r="AK799" s="308"/>
      <c r="AL799" s="308"/>
      <c r="AM799" s="98"/>
      <c r="AN799" s="98"/>
      <c r="AO799" s="98"/>
    </row>
    <row r="800" ht="14.25" customHeight="1">
      <c r="A800" s="98"/>
      <c r="B800" s="98"/>
      <c r="C800" s="98"/>
      <c r="D800" s="308"/>
      <c r="E800" s="98"/>
      <c r="F800" s="235"/>
      <c r="G800" s="235"/>
      <c r="H800" s="236"/>
      <c r="I800" s="236"/>
      <c r="J800" s="236"/>
      <c r="K800" s="236"/>
      <c r="L800" s="236"/>
      <c r="M800" s="236"/>
      <c r="N800" s="236"/>
      <c r="O800" s="236"/>
      <c r="P800" s="236"/>
      <c r="Q800" s="236"/>
      <c r="R800" s="236"/>
      <c r="S800" s="236"/>
      <c r="T800" s="236"/>
      <c r="U800" s="236"/>
      <c r="V800" s="236"/>
      <c r="W800" s="237"/>
      <c r="X800" s="237"/>
      <c r="Y800" s="237"/>
      <c r="Z800" s="237"/>
      <c r="AA800" s="237"/>
      <c r="AB800" s="237"/>
      <c r="AC800" s="237"/>
      <c r="AD800" s="237"/>
      <c r="AE800" s="237"/>
      <c r="AF800" s="237"/>
      <c r="AG800" s="237"/>
      <c r="AH800" s="237"/>
      <c r="AI800" s="308"/>
      <c r="AJ800" s="308"/>
      <c r="AK800" s="308"/>
      <c r="AL800" s="308"/>
      <c r="AM800" s="98"/>
      <c r="AN800" s="98"/>
      <c r="AO800" s="98"/>
    </row>
    <row r="801" ht="14.25" customHeight="1">
      <c r="A801" s="98"/>
      <c r="B801" s="98"/>
      <c r="C801" s="98"/>
      <c r="D801" s="308"/>
      <c r="E801" s="98"/>
      <c r="F801" s="235"/>
      <c r="G801" s="235"/>
      <c r="H801" s="236"/>
      <c r="I801" s="236"/>
      <c r="J801" s="236"/>
      <c r="K801" s="236"/>
      <c r="L801" s="236"/>
      <c r="M801" s="236"/>
      <c r="N801" s="236"/>
      <c r="O801" s="236"/>
      <c r="P801" s="236"/>
      <c r="Q801" s="236"/>
      <c r="R801" s="236"/>
      <c r="S801" s="236"/>
      <c r="T801" s="236"/>
      <c r="U801" s="236"/>
      <c r="V801" s="236"/>
      <c r="W801" s="237"/>
      <c r="X801" s="237"/>
      <c r="Y801" s="237"/>
      <c r="Z801" s="237"/>
      <c r="AA801" s="237"/>
      <c r="AB801" s="237"/>
      <c r="AC801" s="237"/>
      <c r="AD801" s="237"/>
      <c r="AE801" s="237"/>
      <c r="AF801" s="237"/>
      <c r="AG801" s="237"/>
      <c r="AH801" s="237"/>
      <c r="AI801" s="308"/>
      <c r="AJ801" s="308"/>
      <c r="AK801" s="308"/>
      <c r="AL801" s="308"/>
      <c r="AM801" s="98"/>
      <c r="AN801" s="98"/>
      <c r="AO801" s="98"/>
    </row>
    <row r="802" ht="14.25" customHeight="1">
      <c r="A802" s="98"/>
      <c r="B802" s="98"/>
      <c r="C802" s="98"/>
      <c r="D802" s="308"/>
      <c r="E802" s="98"/>
      <c r="F802" s="235"/>
      <c r="G802" s="235"/>
      <c r="H802" s="236"/>
      <c r="I802" s="236"/>
      <c r="J802" s="236"/>
      <c r="K802" s="236"/>
      <c r="L802" s="236"/>
      <c r="M802" s="236"/>
      <c r="N802" s="236"/>
      <c r="O802" s="236"/>
      <c r="P802" s="236"/>
      <c r="Q802" s="236"/>
      <c r="R802" s="236"/>
      <c r="S802" s="236"/>
      <c r="T802" s="236"/>
      <c r="U802" s="236"/>
      <c r="V802" s="236"/>
      <c r="W802" s="237"/>
      <c r="X802" s="237"/>
      <c r="Y802" s="237"/>
      <c r="Z802" s="237"/>
      <c r="AA802" s="237"/>
      <c r="AB802" s="237"/>
      <c r="AC802" s="237"/>
      <c r="AD802" s="237"/>
      <c r="AE802" s="237"/>
      <c r="AF802" s="237"/>
      <c r="AG802" s="237"/>
      <c r="AH802" s="237"/>
      <c r="AI802" s="308"/>
      <c r="AJ802" s="308"/>
      <c r="AK802" s="308"/>
      <c r="AL802" s="308"/>
      <c r="AM802" s="98"/>
      <c r="AN802" s="98"/>
      <c r="AO802" s="98"/>
    </row>
    <row r="803" ht="14.25" customHeight="1">
      <c r="A803" s="98"/>
      <c r="B803" s="98"/>
      <c r="C803" s="98"/>
      <c r="D803" s="308"/>
      <c r="E803" s="98"/>
      <c r="F803" s="235"/>
      <c r="G803" s="235"/>
      <c r="H803" s="236"/>
      <c r="I803" s="236"/>
      <c r="J803" s="236"/>
      <c r="K803" s="236"/>
      <c r="L803" s="236"/>
      <c r="M803" s="236"/>
      <c r="N803" s="236"/>
      <c r="O803" s="236"/>
      <c r="P803" s="236"/>
      <c r="Q803" s="236"/>
      <c r="R803" s="236"/>
      <c r="S803" s="236"/>
      <c r="T803" s="236"/>
      <c r="U803" s="236"/>
      <c r="V803" s="236"/>
      <c r="W803" s="237"/>
      <c r="X803" s="237"/>
      <c r="Y803" s="237"/>
      <c r="Z803" s="237"/>
      <c r="AA803" s="237"/>
      <c r="AB803" s="237"/>
      <c r="AC803" s="237"/>
      <c r="AD803" s="237"/>
      <c r="AE803" s="237"/>
      <c r="AF803" s="237"/>
      <c r="AG803" s="237"/>
      <c r="AH803" s="237"/>
      <c r="AI803" s="308"/>
      <c r="AJ803" s="308"/>
      <c r="AK803" s="308"/>
      <c r="AL803" s="308"/>
      <c r="AM803" s="98"/>
      <c r="AN803" s="98"/>
      <c r="AO803" s="98"/>
    </row>
    <row r="804" ht="14.25" customHeight="1">
      <c r="A804" s="98"/>
      <c r="B804" s="98"/>
      <c r="C804" s="98"/>
      <c r="D804" s="308"/>
      <c r="E804" s="98"/>
      <c r="F804" s="235"/>
      <c r="G804" s="235"/>
      <c r="H804" s="236"/>
      <c r="I804" s="236"/>
      <c r="J804" s="236"/>
      <c r="K804" s="236"/>
      <c r="L804" s="236"/>
      <c r="M804" s="236"/>
      <c r="N804" s="236"/>
      <c r="O804" s="236"/>
      <c r="P804" s="236"/>
      <c r="Q804" s="236"/>
      <c r="R804" s="236"/>
      <c r="S804" s="236"/>
      <c r="T804" s="236"/>
      <c r="U804" s="236"/>
      <c r="V804" s="236"/>
      <c r="W804" s="237"/>
      <c r="X804" s="237"/>
      <c r="Y804" s="237"/>
      <c r="Z804" s="237"/>
      <c r="AA804" s="237"/>
      <c r="AB804" s="237"/>
      <c r="AC804" s="237"/>
      <c r="AD804" s="237"/>
      <c r="AE804" s="237"/>
      <c r="AF804" s="237"/>
      <c r="AG804" s="237"/>
      <c r="AH804" s="237"/>
      <c r="AI804" s="308"/>
      <c r="AJ804" s="308"/>
      <c r="AK804" s="308"/>
      <c r="AL804" s="308"/>
      <c r="AM804" s="98"/>
      <c r="AN804" s="98"/>
      <c r="AO804" s="98"/>
    </row>
    <row r="805" ht="14.25" customHeight="1">
      <c r="A805" s="98"/>
      <c r="B805" s="98"/>
      <c r="C805" s="98"/>
      <c r="D805" s="308"/>
      <c r="E805" s="98"/>
      <c r="F805" s="235"/>
      <c r="G805" s="235"/>
      <c r="H805" s="236"/>
      <c r="I805" s="236"/>
      <c r="J805" s="236"/>
      <c r="K805" s="236"/>
      <c r="L805" s="236"/>
      <c r="M805" s="236"/>
      <c r="N805" s="236"/>
      <c r="O805" s="236"/>
      <c r="P805" s="236"/>
      <c r="Q805" s="236"/>
      <c r="R805" s="236"/>
      <c r="S805" s="236"/>
      <c r="T805" s="236"/>
      <c r="U805" s="236"/>
      <c r="V805" s="236"/>
      <c r="W805" s="237"/>
      <c r="X805" s="237"/>
      <c r="Y805" s="237"/>
      <c r="Z805" s="237"/>
      <c r="AA805" s="237"/>
      <c r="AB805" s="237"/>
      <c r="AC805" s="237"/>
      <c r="AD805" s="237"/>
      <c r="AE805" s="237"/>
      <c r="AF805" s="237"/>
      <c r="AG805" s="237"/>
      <c r="AH805" s="237"/>
      <c r="AI805" s="308"/>
      <c r="AJ805" s="308"/>
      <c r="AK805" s="308"/>
      <c r="AL805" s="308"/>
      <c r="AM805" s="98"/>
      <c r="AN805" s="98"/>
      <c r="AO805" s="98"/>
    </row>
    <row r="806" ht="14.25" customHeight="1">
      <c r="A806" s="98"/>
      <c r="B806" s="98"/>
      <c r="C806" s="98"/>
      <c r="D806" s="308"/>
      <c r="E806" s="98"/>
      <c r="F806" s="235"/>
      <c r="G806" s="235"/>
      <c r="H806" s="236"/>
      <c r="I806" s="236"/>
      <c r="J806" s="236"/>
      <c r="K806" s="236"/>
      <c r="L806" s="236"/>
      <c r="M806" s="236"/>
      <c r="N806" s="236"/>
      <c r="O806" s="236"/>
      <c r="P806" s="236"/>
      <c r="Q806" s="236"/>
      <c r="R806" s="236"/>
      <c r="S806" s="236"/>
      <c r="T806" s="236"/>
      <c r="U806" s="236"/>
      <c r="V806" s="236"/>
      <c r="W806" s="237"/>
      <c r="X806" s="237"/>
      <c r="Y806" s="237"/>
      <c r="Z806" s="237"/>
      <c r="AA806" s="237"/>
      <c r="AB806" s="237"/>
      <c r="AC806" s="237"/>
      <c r="AD806" s="237"/>
      <c r="AE806" s="237"/>
      <c r="AF806" s="237"/>
      <c r="AG806" s="237"/>
      <c r="AH806" s="237"/>
      <c r="AI806" s="308"/>
      <c r="AJ806" s="308"/>
      <c r="AK806" s="308"/>
      <c r="AL806" s="308"/>
      <c r="AM806" s="98"/>
      <c r="AN806" s="98"/>
      <c r="AO806" s="98"/>
    </row>
    <row r="807" ht="14.25" customHeight="1">
      <c r="A807" s="98"/>
      <c r="B807" s="98"/>
      <c r="C807" s="98"/>
      <c r="D807" s="308"/>
      <c r="E807" s="98"/>
      <c r="F807" s="235"/>
      <c r="G807" s="235"/>
      <c r="H807" s="236"/>
      <c r="I807" s="236"/>
      <c r="J807" s="236"/>
      <c r="K807" s="236"/>
      <c r="L807" s="236"/>
      <c r="M807" s="236"/>
      <c r="N807" s="236"/>
      <c r="O807" s="236"/>
      <c r="P807" s="236"/>
      <c r="Q807" s="236"/>
      <c r="R807" s="236"/>
      <c r="S807" s="236"/>
      <c r="T807" s="236"/>
      <c r="U807" s="236"/>
      <c r="V807" s="236"/>
      <c r="W807" s="237"/>
      <c r="X807" s="237"/>
      <c r="Y807" s="237"/>
      <c r="Z807" s="237"/>
      <c r="AA807" s="237"/>
      <c r="AB807" s="237"/>
      <c r="AC807" s="237"/>
      <c r="AD807" s="237"/>
      <c r="AE807" s="237"/>
      <c r="AF807" s="237"/>
      <c r="AG807" s="237"/>
      <c r="AH807" s="237"/>
      <c r="AI807" s="308"/>
      <c r="AJ807" s="308"/>
      <c r="AK807" s="308"/>
      <c r="AL807" s="308"/>
      <c r="AM807" s="98"/>
      <c r="AN807" s="98"/>
      <c r="AO807" s="98"/>
    </row>
    <row r="808" ht="14.25" customHeight="1">
      <c r="A808" s="98"/>
      <c r="B808" s="98"/>
      <c r="C808" s="98"/>
      <c r="D808" s="308"/>
      <c r="E808" s="98"/>
      <c r="F808" s="235"/>
      <c r="G808" s="235"/>
      <c r="H808" s="236"/>
      <c r="I808" s="236"/>
      <c r="J808" s="236"/>
      <c r="K808" s="236"/>
      <c r="L808" s="236"/>
      <c r="M808" s="236"/>
      <c r="N808" s="236"/>
      <c r="O808" s="236"/>
      <c r="P808" s="236"/>
      <c r="Q808" s="236"/>
      <c r="R808" s="236"/>
      <c r="S808" s="236"/>
      <c r="T808" s="236"/>
      <c r="U808" s="236"/>
      <c r="V808" s="236"/>
      <c r="W808" s="237"/>
      <c r="X808" s="237"/>
      <c r="Y808" s="237"/>
      <c r="Z808" s="237"/>
      <c r="AA808" s="237"/>
      <c r="AB808" s="237"/>
      <c r="AC808" s="237"/>
      <c r="AD808" s="237"/>
      <c r="AE808" s="237"/>
      <c r="AF808" s="237"/>
      <c r="AG808" s="237"/>
      <c r="AH808" s="237"/>
      <c r="AI808" s="308"/>
      <c r="AJ808" s="308"/>
      <c r="AK808" s="308"/>
      <c r="AL808" s="308"/>
      <c r="AM808" s="98"/>
      <c r="AN808" s="98"/>
      <c r="AO808" s="98"/>
    </row>
    <row r="809" ht="14.25" customHeight="1">
      <c r="A809" s="98"/>
      <c r="B809" s="98"/>
      <c r="C809" s="98"/>
      <c r="D809" s="308"/>
      <c r="E809" s="98"/>
      <c r="F809" s="235"/>
      <c r="G809" s="235"/>
      <c r="H809" s="236"/>
      <c r="I809" s="236"/>
      <c r="J809" s="236"/>
      <c r="K809" s="236"/>
      <c r="L809" s="236"/>
      <c r="M809" s="236"/>
      <c r="N809" s="236"/>
      <c r="O809" s="236"/>
      <c r="P809" s="236"/>
      <c r="Q809" s="236"/>
      <c r="R809" s="236"/>
      <c r="S809" s="236"/>
      <c r="T809" s="236"/>
      <c r="U809" s="236"/>
      <c r="V809" s="236"/>
      <c r="W809" s="237"/>
      <c r="X809" s="237"/>
      <c r="Y809" s="237"/>
      <c r="Z809" s="237"/>
      <c r="AA809" s="237"/>
      <c r="AB809" s="237"/>
      <c r="AC809" s="237"/>
      <c r="AD809" s="237"/>
      <c r="AE809" s="237"/>
      <c r="AF809" s="237"/>
      <c r="AG809" s="237"/>
      <c r="AH809" s="237"/>
      <c r="AI809" s="308"/>
      <c r="AJ809" s="308"/>
      <c r="AK809" s="308"/>
      <c r="AL809" s="308"/>
      <c r="AM809" s="98"/>
      <c r="AN809" s="98"/>
      <c r="AO809" s="98"/>
    </row>
    <row r="810" ht="14.25" customHeight="1">
      <c r="A810" s="98"/>
      <c r="B810" s="98"/>
      <c r="C810" s="98"/>
      <c r="D810" s="308"/>
      <c r="E810" s="98"/>
      <c r="F810" s="235"/>
      <c r="G810" s="235"/>
      <c r="H810" s="236"/>
      <c r="I810" s="236"/>
      <c r="J810" s="236"/>
      <c r="K810" s="236"/>
      <c r="L810" s="236"/>
      <c r="M810" s="236"/>
      <c r="N810" s="236"/>
      <c r="O810" s="236"/>
      <c r="P810" s="236"/>
      <c r="Q810" s="236"/>
      <c r="R810" s="236"/>
      <c r="S810" s="236"/>
      <c r="T810" s="236"/>
      <c r="U810" s="236"/>
      <c r="V810" s="236"/>
      <c r="W810" s="237"/>
      <c r="X810" s="237"/>
      <c r="Y810" s="237"/>
      <c r="Z810" s="237"/>
      <c r="AA810" s="237"/>
      <c r="AB810" s="237"/>
      <c r="AC810" s="237"/>
      <c r="AD810" s="237"/>
      <c r="AE810" s="237"/>
      <c r="AF810" s="237"/>
      <c r="AG810" s="237"/>
      <c r="AH810" s="237"/>
      <c r="AI810" s="308"/>
      <c r="AJ810" s="308"/>
      <c r="AK810" s="308"/>
      <c r="AL810" s="308"/>
      <c r="AM810" s="98"/>
      <c r="AN810" s="98"/>
      <c r="AO810" s="98"/>
    </row>
    <row r="811" ht="14.25" customHeight="1">
      <c r="A811" s="98"/>
      <c r="B811" s="98"/>
      <c r="C811" s="98"/>
      <c r="D811" s="308"/>
      <c r="E811" s="98"/>
      <c r="F811" s="235"/>
      <c r="G811" s="235"/>
      <c r="H811" s="236"/>
      <c r="I811" s="236"/>
      <c r="J811" s="236"/>
      <c r="K811" s="236"/>
      <c r="L811" s="236"/>
      <c r="M811" s="236"/>
      <c r="N811" s="236"/>
      <c r="O811" s="236"/>
      <c r="P811" s="236"/>
      <c r="Q811" s="236"/>
      <c r="R811" s="236"/>
      <c r="S811" s="236"/>
      <c r="T811" s="236"/>
      <c r="U811" s="236"/>
      <c r="V811" s="236"/>
      <c r="W811" s="237"/>
      <c r="X811" s="237"/>
      <c r="Y811" s="237"/>
      <c r="Z811" s="237"/>
      <c r="AA811" s="237"/>
      <c r="AB811" s="237"/>
      <c r="AC811" s="237"/>
      <c r="AD811" s="237"/>
      <c r="AE811" s="237"/>
      <c r="AF811" s="237"/>
      <c r="AG811" s="237"/>
      <c r="AH811" s="237"/>
      <c r="AI811" s="308"/>
      <c r="AJ811" s="308"/>
      <c r="AK811" s="308"/>
      <c r="AL811" s="308"/>
      <c r="AM811" s="98"/>
      <c r="AN811" s="98"/>
      <c r="AO811" s="98"/>
    </row>
    <row r="812" ht="14.25" customHeight="1">
      <c r="A812" s="98"/>
      <c r="B812" s="98"/>
      <c r="C812" s="98"/>
      <c r="D812" s="308"/>
      <c r="E812" s="98"/>
      <c r="F812" s="235"/>
      <c r="G812" s="235"/>
      <c r="H812" s="236"/>
      <c r="I812" s="236"/>
      <c r="J812" s="236"/>
      <c r="K812" s="236"/>
      <c r="L812" s="236"/>
      <c r="M812" s="236"/>
      <c r="N812" s="236"/>
      <c r="O812" s="236"/>
      <c r="P812" s="236"/>
      <c r="Q812" s="236"/>
      <c r="R812" s="236"/>
      <c r="S812" s="236"/>
      <c r="T812" s="236"/>
      <c r="U812" s="236"/>
      <c r="V812" s="236"/>
      <c r="W812" s="237"/>
      <c r="X812" s="237"/>
      <c r="Y812" s="237"/>
      <c r="Z812" s="237"/>
      <c r="AA812" s="237"/>
      <c r="AB812" s="237"/>
      <c r="AC812" s="237"/>
      <c r="AD812" s="237"/>
      <c r="AE812" s="237"/>
      <c r="AF812" s="237"/>
      <c r="AG812" s="237"/>
      <c r="AH812" s="237"/>
      <c r="AI812" s="308"/>
      <c r="AJ812" s="308"/>
      <c r="AK812" s="308"/>
      <c r="AL812" s="308"/>
      <c r="AM812" s="98"/>
      <c r="AN812" s="98"/>
      <c r="AO812" s="98"/>
    </row>
    <row r="813" ht="14.25" customHeight="1">
      <c r="A813" s="98"/>
      <c r="B813" s="98"/>
      <c r="C813" s="98"/>
      <c r="D813" s="308"/>
      <c r="E813" s="98"/>
      <c r="F813" s="235"/>
      <c r="G813" s="235"/>
      <c r="H813" s="236"/>
      <c r="I813" s="236"/>
      <c r="J813" s="236"/>
      <c r="K813" s="236"/>
      <c r="L813" s="236"/>
      <c r="M813" s="236"/>
      <c r="N813" s="236"/>
      <c r="O813" s="236"/>
      <c r="P813" s="236"/>
      <c r="Q813" s="236"/>
      <c r="R813" s="236"/>
      <c r="S813" s="236"/>
      <c r="T813" s="236"/>
      <c r="U813" s="236"/>
      <c r="V813" s="236"/>
      <c r="W813" s="237"/>
      <c r="X813" s="237"/>
      <c r="Y813" s="237"/>
      <c r="Z813" s="237"/>
      <c r="AA813" s="237"/>
      <c r="AB813" s="237"/>
      <c r="AC813" s="237"/>
      <c r="AD813" s="237"/>
      <c r="AE813" s="237"/>
      <c r="AF813" s="237"/>
      <c r="AG813" s="237"/>
      <c r="AH813" s="237"/>
      <c r="AI813" s="308"/>
      <c r="AJ813" s="308"/>
      <c r="AK813" s="308"/>
      <c r="AL813" s="308"/>
      <c r="AM813" s="98"/>
      <c r="AN813" s="98"/>
      <c r="AO813" s="98"/>
    </row>
    <row r="814" ht="14.25" customHeight="1">
      <c r="A814" s="98"/>
      <c r="B814" s="98"/>
      <c r="C814" s="98"/>
      <c r="D814" s="308"/>
      <c r="E814" s="98"/>
      <c r="F814" s="235"/>
      <c r="G814" s="235"/>
      <c r="H814" s="236"/>
      <c r="I814" s="236"/>
      <c r="J814" s="236"/>
      <c r="K814" s="236"/>
      <c r="L814" s="236"/>
      <c r="M814" s="236"/>
      <c r="N814" s="236"/>
      <c r="O814" s="236"/>
      <c r="P814" s="236"/>
      <c r="Q814" s="236"/>
      <c r="R814" s="236"/>
      <c r="S814" s="236"/>
      <c r="T814" s="236"/>
      <c r="U814" s="236"/>
      <c r="V814" s="236"/>
      <c r="W814" s="237"/>
      <c r="X814" s="237"/>
      <c r="Y814" s="237"/>
      <c r="Z814" s="237"/>
      <c r="AA814" s="237"/>
      <c r="AB814" s="237"/>
      <c r="AC814" s="237"/>
      <c r="AD814" s="237"/>
      <c r="AE814" s="237"/>
      <c r="AF814" s="237"/>
      <c r="AG814" s="237"/>
      <c r="AH814" s="237"/>
      <c r="AI814" s="308"/>
      <c r="AJ814" s="308"/>
      <c r="AK814" s="308"/>
      <c r="AL814" s="308"/>
      <c r="AM814" s="98"/>
      <c r="AN814" s="98"/>
      <c r="AO814" s="98"/>
    </row>
    <row r="815" ht="14.25" customHeight="1">
      <c r="A815" s="98"/>
      <c r="B815" s="98"/>
      <c r="C815" s="98"/>
      <c r="D815" s="308"/>
      <c r="E815" s="98"/>
      <c r="F815" s="235"/>
      <c r="G815" s="235"/>
      <c r="H815" s="236"/>
      <c r="I815" s="236"/>
      <c r="J815" s="236"/>
      <c r="K815" s="236"/>
      <c r="L815" s="236"/>
      <c r="M815" s="236"/>
      <c r="N815" s="236"/>
      <c r="O815" s="236"/>
      <c r="P815" s="236"/>
      <c r="Q815" s="236"/>
      <c r="R815" s="236"/>
      <c r="S815" s="236"/>
      <c r="T815" s="236"/>
      <c r="U815" s="236"/>
      <c r="V815" s="236"/>
      <c r="W815" s="237"/>
      <c r="X815" s="237"/>
      <c r="Y815" s="237"/>
      <c r="Z815" s="237"/>
      <c r="AA815" s="237"/>
      <c r="AB815" s="237"/>
      <c r="AC815" s="237"/>
      <c r="AD815" s="237"/>
      <c r="AE815" s="237"/>
      <c r="AF815" s="237"/>
      <c r="AG815" s="237"/>
      <c r="AH815" s="237"/>
      <c r="AI815" s="308"/>
      <c r="AJ815" s="308"/>
      <c r="AK815" s="308"/>
      <c r="AL815" s="308"/>
      <c r="AM815" s="98"/>
      <c r="AN815" s="98"/>
      <c r="AO815" s="98"/>
    </row>
    <row r="816" ht="14.25" customHeight="1">
      <c r="A816" s="98"/>
      <c r="B816" s="98"/>
      <c r="C816" s="98"/>
      <c r="D816" s="308"/>
      <c r="E816" s="98"/>
      <c r="F816" s="235"/>
      <c r="G816" s="235"/>
      <c r="H816" s="236"/>
      <c r="I816" s="236"/>
      <c r="J816" s="236"/>
      <c r="K816" s="236"/>
      <c r="L816" s="236"/>
      <c r="M816" s="236"/>
      <c r="N816" s="236"/>
      <c r="O816" s="236"/>
      <c r="P816" s="236"/>
      <c r="Q816" s="236"/>
      <c r="R816" s="236"/>
      <c r="S816" s="236"/>
      <c r="T816" s="236"/>
      <c r="U816" s="236"/>
      <c r="V816" s="236"/>
      <c r="W816" s="237"/>
      <c r="X816" s="237"/>
      <c r="Y816" s="237"/>
      <c r="Z816" s="237"/>
      <c r="AA816" s="237"/>
      <c r="AB816" s="237"/>
      <c r="AC816" s="237"/>
      <c r="AD816" s="237"/>
      <c r="AE816" s="237"/>
      <c r="AF816" s="237"/>
      <c r="AG816" s="237"/>
      <c r="AH816" s="237"/>
      <c r="AI816" s="308"/>
      <c r="AJ816" s="308"/>
      <c r="AK816" s="308"/>
      <c r="AL816" s="308"/>
      <c r="AM816" s="98"/>
      <c r="AN816" s="98"/>
      <c r="AO816" s="98"/>
    </row>
    <row r="817" ht="14.25" customHeight="1">
      <c r="A817" s="98"/>
      <c r="B817" s="98"/>
      <c r="C817" s="98"/>
      <c r="D817" s="308"/>
      <c r="E817" s="98"/>
      <c r="F817" s="235"/>
      <c r="G817" s="235"/>
      <c r="H817" s="236"/>
      <c r="I817" s="236"/>
      <c r="J817" s="236"/>
      <c r="K817" s="236"/>
      <c r="L817" s="236"/>
      <c r="M817" s="236"/>
      <c r="N817" s="236"/>
      <c r="O817" s="236"/>
      <c r="P817" s="236"/>
      <c r="Q817" s="236"/>
      <c r="R817" s="236"/>
      <c r="S817" s="236"/>
      <c r="T817" s="236"/>
      <c r="U817" s="236"/>
      <c r="V817" s="236"/>
      <c r="W817" s="237"/>
      <c r="X817" s="237"/>
      <c r="Y817" s="237"/>
      <c r="Z817" s="237"/>
      <c r="AA817" s="237"/>
      <c r="AB817" s="237"/>
      <c r="AC817" s="237"/>
      <c r="AD817" s="237"/>
      <c r="AE817" s="237"/>
      <c r="AF817" s="237"/>
      <c r="AG817" s="237"/>
      <c r="AH817" s="237"/>
      <c r="AI817" s="308"/>
      <c r="AJ817" s="308"/>
      <c r="AK817" s="308"/>
      <c r="AL817" s="308"/>
      <c r="AM817" s="98"/>
      <c r="AN817" s="98"/>
      <c r="AO817" s="98"/>
    </row>
    <row r="818" ht="14.25" customHeight="1">
      <c r="A818" s="98"/>
      <c r="B818" s="98"/>
      <c r="C818" s="98"/>
      <c r="D818" s="308"/>
      <c r="E818" s="98"/>
      <c r="F818" s="235"/>
      <c r="G818" s="235"/>
      <c r="H818" s="236"/>
      <c r="I818" s="236"/>
      <c r="J818" s="236"/>
      <c r="K818" s="236"/>
      <c r="L818" s="236"/>
      <c r="M818" s="236"/>
      <c r="N818" s="236"/>
      <c r="O818" s="236"/>
      <c r="P818" s="236"/>
      <c r="Q818" s="236"/>
      <c r="R818" s="236"/>
      <c r="S818" s="236"/>
      <c r="T818" s="236"/>
      <c r="U818" s="236"/>
      <c r="V818" s="236"/>
      <c r="W818" s="237"/>
      <c r="X818" s="237"/>
      <c r="Y818" s="237"/>
      <c r="Z818" s="237"/>
      <c r="AA818" s="237"/>
      <c r="AB818" s="237"/>
      <c r="AC818" s="237"/>
      <c r="AD818" s="237"/>
      <c r="AE818" s="237"/>
      <c r="AF818" s="237"/>
      <c r="AG818" s="237"/>
      <c r="AH818" s="237"/>
      <c r="AI818" s="308"/>
      <c r="AJ818" s="308"/>
      <c r="AK818" s="308"/>
      <c r="AL818" s="308"/>
      <c r="AM818" s="98"/>
      <c r="AN818" s="98"/>
      <c r="AO818" s="98"/>
    </row>
    <row r="819" ht="14.25" customHeight="1">
      <c r="A819" s="98"/>
      <c r="B819" s="98"/>
      <c r="C819" s="98"/>
      <c r="D819" s="308"/>
      <c r="E819" s="98"/>
      <c r="F819" s="235"/>
      <c r="G819" s="235"/>
      <c r="H819" s="236"/>
      <c r="I819" s="236"/>
      <c r="J819" s="236"/>
      <c r="K819" s="236"/>
      <c r="L819" s="236"/>
      <c r="M819" s="236"/>
      <c r="N819" s="236"/>
      <c r="O819" s="236"/>
      <c r="P819" s="236"/>
      <c r="Q819" s="236"/>
      <c r="R819" s="236"/>
      <c r="S819" s="236"/>
      <c r="T819" s="236"/>
      <c r="U819" s="236"/>
      <c r="V819" s="236"/>
      <c r="W819" s="237"/>
      <c r="X819" s="237"/>
      <c r="Y819" s="237"/>
      <c r="Z819" s="237"/>
      <c r="AA819" s="237"/>
      <c r="AB819" s="237"/>
      <c r="AC819" s="237"/>
      <c r="AD819" s="237"/>
      <c r="AE819" s="237"/>
      <c r="AF819" s="237"/>
      <c r="AG819" s="237"/>
      <c r="AH819" s="237"/>
      <c r="AI819" s="308"/>
      <c r="AJ819" s="308"/>
      <c r="AK819" s="308"/>
      <c r="AL819" s="308"/>
      <c r="AM819" s="98"/>
      <c r="AN819" s="98"/>
      <c r="AO819" s="98"/>
    </row>
    <row r="820" ht="14.25" customHeight="1">
      <c r="A820" s="98"/>
      <c r="B820" s="98"/>
      <c r="C820" s="98"/>
      <c r="D820" s="308"/>
      <c r="E820" s="98"/>
      <c r="F820" s="235"/>
      <c r="G820" s="235"/>
      <c r="H820" s="236"/>
      <c r="I820" s="236"/>
      <c r="J820" s="236"/>
      <c r="K820" s="236"/>
      <c r="L820" s="236"/>
      <c r="M820" s="236"/>
      <c r="N820" s="236"/>
      <c r="O820" s="236"/>
      <c r="P820" s="236"/>
      <c r="Q820" s="236"/>
      <c r="R820" s="236"/>
      <c r="S820" s="236"/>
      <c r="T820" s="236"/>
      <c r="U820" s="236"/>
      <c r="V820" s="236"/>
      <c r="W820" s="237"/>
      <c r="X820" s="237"/>
      <c r="Y820" s="237"/>
      <c r="Z820" s="237"/>
      <c r="AA820" s="237"/>
      <c r="AB820" s="237"/>
      <c r="AC820" s="237"/>
      <c r="AD820" s="237"/>
      <c r="AE820" s="237"/>
      <c r="AF820" s="237"/>
      <c r="AG820" s="237"/>
      <c r="AH820" s="237"/>
      <c r="AI820" s="308"/>
      <c r="AJ820" s="308"/>
      <c r="AK820" s="308"/>
      <c r="AL820" s="308"/>
      <c r="AM820" s="98"/>
      <c r="AN820" s="98"/>
      <c r="AO820" s="98"/>
    </row>
    <row r="821" ht="14.25" customHeight="1">
      <c r="A821" s="98"/>
      <c r="B821" s="98"/>
      <c r="C821" s="98"/>
      <c r="D821" s="308"/>
      <c r="E821" s="98"/>
      <c r="F821" s="235"/>
      <c r="G821" s="235"/>
      <c r="H821" s="236"/>
      <c r="I821" s="236"/>
      <c r="J821" s="236"/>
      <c r="K821" s="236"/>
      <c r="L821" s="236"/>
      <c r="M821" s="236"/>
      <c r="N821" s="236"/>
      <c r="O821" s="236"/>
      <c r="P821" s="236"/>
      <c r="Q821" s="236"/>
      <c r="R821" s="236"/>
      <c r="S821" s="236"/>
      <c r="T821" s="236"/>
      <c r="U821" s="236"/>
      <c r="V821" s="236"/>
      <c r="W821" s="237"/>
      <c r="X821" s="237"/>
      <c r="Y821" s="237"/>
      <c r="Z821" s="237"/>
      <c r="AA821" s="237"/>
      <c r="AB821" s="237"/>
      <c r="AC821" s="237"/>
      <c r="AD821" s="237"/>
      <c r="AE821" s="237"/>
      <c r="AF821" s="237"/>
      <c r="AG821" s="237"/>
      <c r="AH821" s="237"/>
      <c r="AI821" s="308"/>
      <c r="AJ821" s="308"/>
      <c r="AK821" s="308"/>
      <c r="AL821" s="308"/>
      <c r="AM821" s="98"/>
      <c r="AN821" s="98"/>
      <c r="AO821" s="98"/>
    </row>
    <row r="822" ht="14.25" customHeight="1">
      <c r="A822" s="98"/>
      <c r="B822" s="98"/>
      <c r="C822" s="98"/>
      <c r="D822" s="308"/>
      <c r="E822" s="98"/>
      <c r="F822" s="235"/>
      <c r="G822" s="235"/>
      <c r="H822" s="236"/>
      <c r="I822" s="236"/>
      <c r="J822" s="236"/>
      <c r="K822" s="236"/>
      <c r="L822" s="236"/>
      <c r="M822" s="236"/>
      <c r="N822" s="236"/>
      <c r="O822" s="236"/>
      <c r="P822" s="236"/>
      <c r="Q822" s="236"/>
      <c r="R822" s="236"/>
      <c r="S822" s="236"/>
      <c r="T822" s="236"/>
      <c r="U822" s="236"/>
      <c r="V822" s="236"/>
      <c r="W822" s="237"/>
      <c r="X822" s="237"/>
      <c r="Y822" s="237"/>
      <c r="Z822" s="237"/>
      <c r="AA822" s="237"/>
      <c r="AB822" s="237"/>
      <c r="AC822" s="237"/>
      <c r="AD822" s="237"/>
      <c r="AE822" s="237"/>
      <c r="AF822" s="237"/>
      <c r="AG822" s="237"/>
      <c r="AH822" s="237"/>
      <c r="AI822" s="308"/>
      <c r="AJ822" s="308"/>
      <c r="AK822" s="308"/>
      <c r="AL822" s="308"/>
      <c r="AM822" s="98"/>
      <c r="AN822" s="98"/>
      <c r="AO822" s="98"/>
    </row>
    <row r="823" ht="14.25" customHeight="1">
      <c r="A823" s="98"/>
      <c r="B823" s="98"/>
      <c r="C823" s="98"/>
      <c r="D823" s="308"/>
      <c r="E823" s="98"/>
      <c r="F823" s="235"/>
      <c r="G823" s="235"/>
      <c r="H823" s="236"/>
      <c r="I823" s="236"/>
      <c r="J823" s="236"/>
      <c r="K823" s="236"/>
      <c r="L823" s="236"/>
      <c r="M823" s="236"/>
      <c r="N823" s="236"/>
      <c r="O823" s="236"/>
      <c r="P823" s="236"/>
      <c r="Q823" s="236"/>
      <c r="R823" s="236"/>
      <c r="S823" s="236"/>
      <c r="T823" s="236"/>
      <c r="U823" s="236"/>
      <c r="V823" s="236"/>
      <c r="W823" s="237"/>
      <c r="X823" s="237"/>
      <c r="Y823" s="237"/>
      <c r="Z823" s="237"/>
      <c r="AA823" s="237"/>
      <c r="AB823" s="237"/>
      <c r="AC823" s="237"/>
      <c r="AD823" s="237"/>
      <c r="AE823" s="237"/>
      <c r="AF823" s="237"/>
      <c r="AG823" s="237"/>
      <c r="AH823" s="237"/>
      <c r="AI823" s="308"/>
      <c r="AJ823" s="308"/>
      <c r="AK823" s="308"/>
      <c r="AL823" s="308"/>
      <c r="AM823" s="98"/>
      <c r="AN823" s="98"/>
      <c r="AO823" s="98"/>
    </row>
    <row r="824" ht="14.25" customHeight="1">
      <c r="A824" s="98"/>
      <c r="B824" s="98"/>
      <c r="C824" s="98"/>
      <c r="D824" s="308"/>
      <c r="E824" s="98"/>
      <c r="F824" s="235"/>
      <c r="G824" s="235"/>
      <c r="H824" s="236"/>
      <c r="I824" s="236"/>
      <c r="J824" s="236"/>
      <c r="K824" s="236"/>
      <c r="L824" s="236"/>
      <c r="M824" s="236"/>
      <c r="N824" s="236"/>
      <c r="O824" s="236"/>
      <c r="P824" s="236"/>
      <c r="Q824" s="236"/>
      <c r="R824" s="236"/>
      <c r="S824" s="236"/>
      <c r="T824" s="236"/>
      <c r="U824" s="236"/>
      <c r="V824" s="236"/>
      <c r="W824" s="237"/>
      <c r="X824" s="237"/>
      <c r="Y824" s="237"/>
      <c r="Z824" s="237"/>
      <c r="AA824" s="237"/>
      <c r="AB824" s="237"/>
      <c r="AC824" s="237"/>
      <c r="AD824" s="237"/>
      <c r="AE824" s="237"/>
      <c r="AF824" s="237"/>
      <c r="AG824" s="237"/>
      <c r="AH824" s="237"/>
      <c r="AI824" s="308"/>
      <c r="AJ824" s="308"/>
      <c r="AK824" s="308"/>
      <c r="AL824" s="308"/>
      <c r="AM824" s="98"/>
      <c r="AN824" s="98"/>
      <c r="AO824" s="98"/>
    </row>
    <row r="825" ht="14.25" customHeight="1">
      <c r="A825" s="98"/>
      <c r="B825" s="98"/>
      <c r="C825" s="98"/>
      <c r="D825" s="308"/>
      <c r="E825" s="98"/>
      <c r="F825" s="235"/>
      <c r="G825" s="235"/>
      <c r="H825" s="236"/>
      <c r="I825" s="236"/>
      <c r="J825" s="236"/>
      <c r="K825" s="236"/>
      <c r="L825" s="236"/>
      <c r="M825" s="236"/>
      <c r="N825" s="236"/>
      <c r="O825" s="236"/>
      <c r="P825" s="236"/>
      <c r="Q825" s="236"/>
      <c r="R825" s="236"/>
      <c r="S825" s="236"/>
      <c r="T825" s="236"/>
      <c r="U825" s="236"/>
      <c r="V825" s="236"/>
      <c r="W825" s="237"/>
      <c r="X825" s="237"/>
      <c r="Y825" s="237"/>
      <c r="Z825" s="237"/>
      <c r="AA825" s="237"/>
      <c r="AB825" s="237"/>
      <c r="AC825" s="237"/>
      <c r="AD825" s="237"/>
      <c r="AE825" s="237"/>
      <c r="AF825" s="237"/>
      <c r="AG825" s="237"/>
      <c r="AH825" s="237"/>
      <c r="AI825" s="308"/>
      <c r="AJ825" s="308"/>
      <c r="AK825" s="308"/>
      <c r="AL825" s="308"/>
      <c r="AM825" s="98"/>
      <c r="AN825" s="98"/>
      <c r="AO825" s="98"/>
    </row>
    <row r="826" ht="14.25" customHeight="1">
      <c r="A826" s="98"/>
      <c r="B826" s="98"/>
      <c r="C826" s="98"/>
      <c r="D826" s="308"/>
      <c r="E826" s="98"/>
      <c r="F826" s="235"/>
      <c r="G826" s="235"/>
      <c r="H826" s="236"/>
      <c r="I826" s="236"/>
      <c r="J826" s="236"/>
      <c r="K826" s="236"/>
      <c r="L826" s="236"/>
      <c r="M826" s="236"/>
      <c r="N826" s="236"/>
      <c r="O826" s="236"/>
      <c r="P826" s="236"/>
      <c r="Q826" s="236"/>
      <c r="R826" s="236"/>
      <c r="S826" s="236"/>
      <c r="T826" s="236"/>
      <c r="U826" s="236"/>
      <c r="V826" s="236"/>
      <c r="W826" s="237"/>
      <c r="X826" s="237"/>
      <c r="Y826" s="237"/>
      <c r="Z826" s="237"/>
      <c r="AA826" s="237"/>
      <c r="AB826" s="237"/>
      <c r="AC826" s="237"/>
      <c r="AD826" s="237"/>
      <c r="AE826" s="237"/>
      <c r="AF826" s="237"/>
      <c r="AG826" s="237"/>
      <c r="AH826" s="237"/>
      <c r="AI826" s="308"/>
      <c r="AJ826" s="308"/>
      <c r="AK826" s="308"/>
      <c r="AL826" s="308"/>
      <c r="AM826" s="98"/>
      <c r="AN826" s="98"/>
      <c r="AO826" s="98"/>
    </row>
    <row r="827" ht="14.25" customHeight="1">
      <c r="A827" s="98"/>
      <c r="B827" s="98"/>
      <c r="C827" s="98"/>
      <c r="D827" s="308"/>
      <c r="E827" s="98"/>
      <c r="F827" s="235"/>
      <c r="G827" s="235"/>
      <c r="H827" s="236"/>
      <c r="I827" s="236"/>
      <c r="J827" s="236"/>
      <c r="K827" s="236"/>
      <c r="L827" s="236"/>
      <c r="M827" s="236"/>
      <c r="N827" s="236"/>
      <c r="O827" s="236"/>
      <c r="P827" s="236"/>
      <c r="Q827" s="236"/>
      <c r="R827" s="236"/>
      <c r="S827" s="236"/>
      <c r="T827" s="236"/>
      <c r="U827" s="236"/>
      <c r="V827" s="236"/>
      <c r="W827" s="237"/>
      <c r="X827" s="237"/>
      <c r="Y827" s="237"/>
      <c r="Z827" s="237"/>
      <c r="AA827" s="237"/>
      <c r="AB827" s="237"/>
      <c r="AC827" s="237"/>
      <c r="AD827" s="237"/>
      <c r="AE827" s="237"/>
      <c r="AF827" s="237"/>
      <c r="AG827" s="237"/>
      <c r="AH827" s="237"/>
      <c r="AI827" s="308"/>
      <c r="AJ827" s="308"/>
      <c r="AK827" s="308"/>
      <c r="AL827" s="308"/>
      <c r="AM827" s="98"/>
      <c r="AN827" s="98"/>
      <c r="AO827" s="98"/>
    </row>
    <row r="828" ht="14.25" customHeight="1">
      <c r="A828" s="98"/>
      <c r="B828" s="98"/>
      <c r="C828" s="98"/>
      <c r="D828" s="308"/>
      <c r="E828" s="98"/>
      <c r="F828" s="235"/>
      <c r="G828" s="235"/>
      <c r="H828" s="236"/>
      <c r="I828" s="236"/>
      <c r="J828" s="236"/>
      <c r="K828" s="236"/>
      <c r="L828" s="236"/>
      <c r="M828" s="236"/>
      <c r="N828" s="236"/>
      <c r="O828" s="236"/>
      <c r="P828" s="236"/>
      <c r="Q828" s="236"/>
      <c r="R828" s="236"/>
      <c r="S828" s="236"/>
      <c r="T828" s="236"/>
      <c r="U828" s="236"/>
      <c r="V828" s="236"/>
      <c r="W828" s="237"/>
      <c r="X828" s="237"/>
      <c r="Y828" s="237"/>
      <c r="Z828" s="237"/>
      <c r="AA828" s="237"/>
      <c r="AB828" s="237"/>
      <c r="AC828" s="237"/>
      <c r="AD828" s="237"/>
      <c r="AE828" s="237"/>
      <c r="AF828" s="237"/>
      <c r="AG828" s="237"/>
      <c r="AH828" s="237"/>
      <c r="AI828" s="308"/>
      <c r="AJ828" s="308"/>
      <c r="AK828" s="308"/>
      <c r="AL828" s="308"/>
      <c r="AM828" s="98"/>
      <c r="AN828" s="98"/>
      <c r="AO828" s="98"/>
    </row>
    <row r="829" ht="14.25" customHeight="1">
      <c r="A829" s="98"/>
      <c r="B829" s="98"/>
      <c r="C829" s="98"/>
      <c r="D829" s="308"/>
      <c r="E829" s="98"/>
      <c r="F829" s="235"/>
      <c r="G829" s="235"/>
      <c r="H829" s="236"/>
      <c r="I829" s="236"/>
      <c r="J829" s="236"/>
      <c r="K829" s="236"/>
      <c r="L829" s="236"/>
      <c r="M829" s="236"/>
      <c r="N829" s="236"/>
      <c r="O829" s="236"/>
      <c r="P829" s="236"/>
      <c r="Q829" s="236"/>
      <c r="R829" s="236"/>
      <c r="S829" s="236"/>
      <c r="T829" s="236"/>
      <c r="U829" s="236"/>
      <c r="V829" s="236"/>
      <c r="W829" s="237"/>
      <c r="X829" s="237"/>
      <c r="Y829" s="237"/>
      <c r="Z829" s="237"/>
      <c r="AA829" s="237"/>
      <c r="AB829" s="237"/>
      <c r="AC829" s="237"/>
      <c r="AD829" s="237"/>
      <c r="AE829" s="237"/>
      <c r="AF829" s="237"/>
      <c r="AG829" s="237"/>
      <c r="AH829" s="237"/>
      <c r="AI829" s="308"/>
      <c r="AJ829" s="308"/>
      <c r="AK829" s="308"/>
      <c r="AL829" s="308"/>
      <c r="AM829" s="98"/>
      <c r="AN829" s="98"/>
      <c r="AO829" s="98"/>
    </row>
    <row r="830" ht="14.25" customHeight="1">
      <c r="A830" s="98"/>
      <c r="B830" s="98"/>
      <c r="C830" s="98"/>
      <c r="D830" s="308"/>
      <c r="E830" s="98"/>
      <c r="F830" s="235"/>
      <c r="G830" s="235"/>
      <c r="H830" s="236"/>
      <c r="I830" s="236"/>
      <c r="J830" s="236"/>
      <c r="K830" s="236"/>
      <c r="L830" s="236"/>
      <c r="M830" s="236"/>
      <c r="N830" s="236"/>
      <c r="O830" s="236"/>
      <c r="P830" s="236"/>
      <c r="Q830" s="236"/>
      <c r="R830" s="236"/>
      <c r="S830" s="236"/>
      <c r="T830" s="236"/>
      <c r="U830" s="236"/>
      <c r="V830" s="236"/>
      <c r="W830" s="237"/>
      <c r="X830" s="237"/>
      <c r="Y830" s="237"/>
      <c r="Z830" s="237"/>
      <c r="AA830" s="237"/>
      <c r="AB830" s="237"/>
      <c r="AC830" s="237"/>
      <c r="AD830" s="237"/>
      <c r="AE830" s="237"/>
      <c r="AF830" s="237"/>
      <c r="AG830" s="237"/>
      <c r="AH830" s="237"/>
      <c r="AI830" s="308"/>
      <c r="AJ830" s="308"/>
      <c r="AK830" s="308"/>
      <c r="AL830" s="308"/>
      <c r="AM830" s="98"/>
      <c r="AN830" s="98"/>
      <c r="AO830" s="98"/>
    </row>
    <row r="831" ht="14.25" customHeight="1">
      <c r="A831" s="98"/>
      <c r="B831" s="98"/>
      <c r="C831" s="98"/>
      <c r="D831" s="308"/>
      <c r="E831" s="98"/>
      <c r="F831" s="235"/>
      <c r="G831" s="235"/>
      <c r="H831" s="236"/>
      <c r="I831" s="236"/>
      <c r="J831" s="236"/>
      <c r="K831" s="236"/>
      <c r="L831" s="236"/>
      <c r="M831" s="236"/>
      <c r="N831" s="236"/>
      <c r="O831" s="236"/>
      <c r="P831" s="236"/>
      <c r="Q831" s="236"/>
      <c r="R831" s="236"/>
      <c r="S831" s="236"/>
      <c r="T831" s="236"/>
      <c r="U831" s="236"/>
      <c r="V831" s="236"/>
      <c r="W831" s="237"/>
      <c r="X831" s="237"/>
      <c r="Y831" s="237"/>
      <c r="Z831" s="237"/>
      <c r="AA831" s="237"/>
      <c r="AB831" s="237"/>
      <c r="AC831" s="237"/>
      <c r="AD831" s="237"/>
      <c r="AE831" s="237"/>
      <c r="AF831" s="237"/>
      <c r="AG831" s="237"/>
      <c r="AH831" s="237"/>
      <c r="AI831" s="308"/>
      <c r="AJ831" s="308"/>
      <c r="AK831" s="308"/>
      <c r="AL831" s="308"/>
      <c r="AM831" s="98"/>
      <c r="AN831" s="98"/>
      <c r="AO831" s="98"/>
    </row>
    <row r="832" ht="14.25" customHeight="1">
      <c r="A832" s="98"/>
      <c r="B832" s="98"/>
      <c r="C832" s="98"/>
      <c r="D832" s="308"/>
      <c r="E832" s="98"/>
      <c r="F832" s="235"/>
      <c r="G832" s="235"/>
      <c r="H832" s="236"/>
      <c r="I832" s="236"/>
      <c r="J832" s="236"/>
      <c r="K832" s="236"/>
      <c r="L832" s="236"/>
      <c r="M832" s="236"/>
      <c r="N832" s="236"/>
      <c r="O832" s="236"/>
      <c r="P832" s="236"/>
      <c r="Q832" s="236"/>
      <c r="R832" s="236"/>
      <c r="S832" s="236"/>
      <c r="T832" s="236"/>
      <c r="U832" s="236"/>
      <c r="V832" s="236"/>
      <c r="W832" s="237"/>
      <c r="X832" s="237"/>
      <c r="Y832" s="237"/>
      <c r="Z832" s="237"/>
      <c r="AA832" s="237"/>
      <c r="AB832" s="237"/>
      <c r="AC832" s="237"/>
      <c r="AD832" s="237"/>
      <c r="AE832" s="237"/>
      <c r="AF832" s="237"/>
      <c r="AG832" s="237"/>
      <c r="AH832" s="237"/>
      <c r="AI832" s="308"/>
      <c r="AJ832" s="308"/>
      <c r="AK832" s="308"/>
      <c r="AL832" s="308"/>
      <c r="AM832" s="98"/>
      <c r="AN832" s="98"/>
      <c r="AO832" s="98"/>
    </row>
    <row r="833" ht="14.25" customHeight="1">
      <c r="A833" s="98"/>
      <c r="B833" s="98"/>
      <c r="C833" s="98"/>
      <c r="D833" s="308"/>
      <c r="E833" s="98"/>
      <c r="F833" s="235"/>
      <c r="G833" s="235"/>
      <c r="H833" s="236"/>
      <c r="I833" s="236"/>
      <c r="J833" s="236"/>
      <c r="K833" s="236"/>
      <c r="L833" s="236"/>
      <c r="M833" s="236"/>
      <c r="N833" s="236"/>
      <c r="O833" s="236"/>
      <c r="P833" s="236"/>
      <c r="Q833" s="236"/>
      <c r="R833" s="236"/>
      <c r="S833" s="236"/>
      <c r="T833" s="236"/>
      <c r="U833" s="236"/>
      <c r="V833" s="236"/>
      <c r="W833" s="237"/>
      <c r="X833" s="237"/>
      <c r="Y833" s="237"/>
      <c r="Z833" s="237"/>
      <c r="AA833" s="237"/>
      <c r="AB833" s="237"/>
      <c r="AC833" s="237"/>
      <c r="AD833" s="237"/>
      <c r="AE833" s="237"/>
      <c r="AF833" s="237"/>
      <c r="AG833" s="237"/>
      <c r="AH833" s="237"/>
      <c r="AI833" s="308"/>
      <c r="AJ833" s="308"/>
      <c r="AK833" s="308"/>
      <c r="AL833" s="308"/>
      <c r="AM833" s="98"/>
      <c r="AN833" s="98"/>
      <c r="AO833" s="98"/>
    </row>
    <row r="834" ht="14.25" customHeight="1">
      <c r="A834" s="98"/>
      <c r="B834" s="98"/>
      <c r="C834" s="98"/>
      <c r="D834" s="308"/>
      <c r="E834" s="98"/>
      <c r="F834" s="235"/>
      <c r="G834" s="235"/>
      <c r="H834" s="236"/>
      <c r="I834" s="236"/>
      <c r="J834" s="236"/>
      <c r="K834" s="236"/>
      <c r="L834" s="236"/>
      <c r="M834" s="236"/>
      <c r="N834" s="236"/>
      <c r="O834" s="236"/>
      <c r="P834" s="236"/>
      <c r="Q834" s="236"/>
      <c r="R834" s="236"/>
      <c r="S834" s="236"/>
      <c r="T834" s="236"/>
      <c r="U834" s="236"/>
      <c r="V834" s="236"/>
      <c r="W834" s="237"/>
      <c r="X834" s="237"/>
      <c r="Y834" s="237"/>
      <c r="Z834" s="237"/>
      <c r="AA834" s="237"/>
      <c r="AB834" s="237"/>
      <c r="AC834" s="237"/>
      <c r="AD834" s="237"/>
      <c r="AE834" s="237"/>
      <c r="AF834" s="237"/>
      <c r="AG834" s="237"/>
      <c r="AH834" s="237"/>
      <c r="AI834" s="308"/>
      <c r="AJ834" s="308"/>
      <c r="AK834" s="308"/>
      <c r="AL834" s="308"/>
      <c r="AM834" s="98"/>
      <c r="AN834" s="98"/>
      <c r="AO834" s="98"/>
    </row>
    <row r="835" ht="14.25" customHeight="1">
      <c r="A835" s="98"/>
      <c r="B835" s="98"/>
      <c r="C835" s="98"/>
      <c r="D835" s="308"/>
      <c r="E835" s="98"/>
      <c r="F835" s="235"/>
      <c r="G835" s="235"/>
      <c r="H835" s="236"/>
      <c r="I835" s="236"/>
      <c r="J835" s="236"/>
      <c r="K835" s="236"/>
      <c r="L835" s="236"/>
      <c r="M835" s="236"/>
      <c r="N835" s="236"/>
      <c r="O835" s="236"/>
      <c r="P835" s="236"/>
      <c r="Q835" s="236"/>
      <c r="R835" s="236"/>
      <c r="S835" s="236"/>
      <c r="T835" s="236"/>
      <c r="U835" s="236"/>
      <c r="V835" s="236"/>
      <c r="W835" s="237"/>
      <c r="X835" s="237"/>
      <c r="Y835" s="237"/>
      <c r="Z835" s="237"/>
      <c r="AA835" s="237"/>
      <c r="AB835" s="237"/>
      <c r="AC835" s="237"/>
      <c r="AD835" s="237"/>
      <c r="AE835" s="237"/>
      <c r="AF835" s="237"/>
      <c r="AG835" s="237"/>
      <c r="AH835" s="237"/>
      <c r="AI835" s="308"/>
      <c r="AJ835" s="308"/>
      <c r="AK835" s="308"/>
      <c r="AL835" s="308"/>
      <c r="AM835" s="98"/>
      <c r="AN835" s="98"/>
      <c r="AO835" s="98"/>
    </row>
    <row r="836" ht="14.25" customHeight="1">
      <c r="A836" s="98"/>
      <c r="B836" s="98"/>
      <c r="C836" s="98"/>
      <c r="D836" s="308"/>
      <c r="E836" s="98"/>
      <c r="F836" s="235"/>
      <c r="G836" s="235"/>
      <c r="H836" s="236"/>
      <c r="I836" s="236"/>
      <c r="J836" s="236"/>
      <c r="K836" s="236"/>
      <c r="L836" s="236"/>
      <c r="M836" s="236"/>
      <c r="N836" s="236"/>
      <c r="O836" s="236"/>
      <c r="P836" s="236"/>
      <c r="Q836" s="236"/>
      <c r="R836" s="236"/>
      <c r="S836" s="236"/>
      <c r="T836" s="236"/>
      <c r="U836" s="236"/>
      <c r="V836" s="236"/>
      <c r="W836" s="237"/>
      <c r="X836" s="237"/>
      <c r="Y836" s="237"/>
      <c r="Z836" s="237"/>
      <c r="AA836" s="237"/>
      <c r="AB836" s="237"/>
      <c r="AC836" s="237"/>
      <c r="AD836" s="237"/>
      <c r="AE836" s="237"/>
      <c r="AF836" s="237"/>
      <c r="AG836" s="237"/>
      <c r="AH836" s="237"/>
      <c r="AI836" s="308"/>
      <c r="AJ836" s="308"/>
      <c r="AK836" s="308"/>
      <c r="AL836" s="308"/>
      <c r="AM836" s="98"/>
      <c r="AN836" s="98"/>
      <c r="AO836" s="98"/>
    </row>
    <row r="837" ht="14.25" customHeight="1">
      <c r="A837" s="98"/>
      <c r="B837" s="98"/>
      <c r="C837" s="98"/>
      <c r="D837" s="308"/>
      <c r="E837" s="98"/>
      <c r="F837" s="235"/>
      <c r="G837" s="235"/>
      <c r="H837" s="236"/>
      <c r="I837" s="236"/>
      <c r="J837" s="236"/>
      <c r="K837" s="236"/>
      <c r="L837" s="236"/>
      <c r="M837" s="236"/>
      <c r="N837" s="236"/>
      <c r="O837" s="236"/>
      <c r="P837" s="236"/>
      <c r="Q837" s="236"/>
      <c r="R837" s="236"/>
      <c r="S837" s="236"/>
      <c r="T837" s="236"/>
      <c r="U837" s="236"/>
      <c r="V837" s="236"/>
      <c r="W837" s="237"/>
      <c r="X837" s="237"/>
      <c r="Y837" s="237"/>
      <c r="Z837" s="237"/>
      <c r="AA837" s="237"/>
      <c r="AB837" s="237"/>
      <c r="AC837" s="237"/>
      <c r="AD837" s="237"/>
      <c r="AE837" s="237"/>
      <c r="AF837" s="237"/>
      <c r="AG837" s="237"/>
      <c r="AH837" s="237"/>
      <c r="AI837" s="308"/>
      <c r="AJ837" s="308"/>
      <c r="AK837" s="308"/>
      <c r="AL837" s="308"/>
      <c r="AM837" s="98"/>
      <c r="AN837" s="98"/>
      <c r="AO837" s="98"/>
    </row>
    <row r="838" ht="14.25" customHeight="1">
      <c r="A838" s="98"/>
      <c r="B838" s="98"/>
      <c r="C838" s="98"/>
      <c r="D838" s="308"/>
      <c r="E838" s="98"/>
      <c r="F838" s="235"/>
      <c r="G838" s="235"/>
      <c r="H838" s="236"/>
      <c r="I838" s="236"/>
      <c r="J838" s="236"/>
      <c r="K838" s="236"/>
      <c r="L838" s="236"/>
      <c r="M838" s="236"/>
      <c r="N838" s="236"/>
      <c r="O838" s="236"/>
      <c r="P838" s="236"/>
      <c r="Q838" s="236"/>
      <c r="R838" s="236"/>
      <c r="S838" s="236"/>
      <c r="T838" s="236"/>
      <c r="U838" s="236"/>
      <c r="V838" s="236"/>
      <c r="W838" s="237"/>
      <c r="X838" s="237"/>
      <c r="Y838" s="237"/>
      <c r="Z838" s="237"/>
      <c r="AA838" s="237"/>
      <c r="AB838" s="237"/>
      <c r="AC838" s="237"/>
      <c r="AD838" s="237"/>
      <c r="AE838" s="237"/>
      <c r="AF838" s="237"/>
      <c r="AG838" s="237"/>
      <c r="AH838" s="237"/>
      <c r="AI838" s="308"/>
      <c r="AJ838" s="308"/>
      <c r="AK838" s="308"/>
      <c r="AL838" s="308"/>
      <c r="AM838" s="98"/>
      <c r="AN838" s="98"/>
      <c r="AO838" s="98"/>
    </row>
    <row r="839" ht="14.25" customHeight="1">
      <c r="A839" s="98"/>
      <c r="B839" s="98"/>
      <c r="C839" s="98"/>
      <c r="D839" s="308"/>
      <c r="E839" s="98"/>
      <c r="F839" s="235"/>
      <c r="G839" s="235"/>
      <c r="H839" s="236"/>
      <c r="I839" s="236"/>
      <c r="J839" s="236"/>
      <c r="K839" s="236"/>
      <c r="L839" s="236"/>
      <c r="M839" s="236"/>
      <c r="N839" s="236"/>
      <c r="O839" s="236"/>
      <c r="P839" s="236"/>
      <c r="Q839" s="236"/>
      <c r="R839" s="236"/>
      <c r="S839" s="236"/>
      <c r="T839" s="236"/>
      <c r="U839" s="236"/>
      <c r="V839" s="236"/>
      <c r="W839" s="237"/>
      <c r="X839" s="237"/>
      <c r="Y839" s="237"/>
      <c r="Z839" s="237"/>
      <c r="AA839" s="237"/>
      <c r="AB839" s="237"/>
      <c r="AC839" s="237"/>
      <c r="AD839" s="237"/>
      <c r="AE839" s="237"/>
      <c r="AF839" s="237"/>
      <c r="AG839" s="237"/>
      <c r="AH839" s="237"/>
      <c r="AI839" s="308"/>
      <c r="AJ839" s="308"/>
      <c r="AK839" s="308"/>
      <c r="AL839" s="308"/>
      <c r="AM839" s="98"/>
      <c r="AN839" s="98"/>
      <c r="AO839" s="98"/>
    </row>
    <row r="840" ht="14.25" customHeight="1">
      <c r="A840" s="98"/>
      <c r="B840" s="98"/>
      <c r="C840" s="98"/>
      <c r="D840" s="308"/>
      <c r="E840" s="98"/>
      <c r="F840" s="235"/>
      <c r="G840" s="235"/>
      <c r="H840" s="236"/>
      <c r="I840" s="236"/>
      <c r="J840" s="236"/>
      <c r="K840" s="236"/>
      <c r="L840" s="236"/>
      <c r="M840" s="236"/>
      <c r="N840" s="236"/>
      <c r="O840" s="236"/>
      <c r="P840" s="236"/>
      <c r="Q840" s="236"/>
      <c r="R840" s="236"/>
      <c r="S840" s="236"/>
      <c r="T840" s="236"/>
      <c r="U840" s="236"/>
      <c r="V840" s="236"/>
      <c r="W840" s="237"/>
      <c r="X840" s="237"/>
      <c r="Y840" s="237"/>
      <c r="Z840" s="237"/>
      <c r="AA840" s="237"/>
      <c r="AB840" s="237"/>
      <c r="AC840" s="237"/>
      <c r="AD840" s="237"/>
      <c r="AE840" s="237"/>
      <c r="AF840" s="237"/>
      <c r="AG840" s="237"/>
      <c r="AH840" s="237"/>
      <c r="AI840" s="308"/>
      <c r="AJ840" s="308"/>
      <c r="AK840" s="308"/>
      <c r="AL840" s="308"/>
      <c r="AM840" s="98"/>
      <c r="AN840" s="98"/>
      <c r="AO840" s="98"/>
    </row>
    <row r="841" ht="14.25" customHeight="1">
      <c r="A841" s="98"/>
      <c r="B841" s="98"/>
      <c r="C841" s="98"/>
      <c r="D841" s="308"/>
      <c r="E841" s="98"/>
      <c r="F841" s="235"/>
      <c r="G841" s="235"/>
      <c r="H841" s="236"/>
      <c r="I841" s="236"/>
      <c r="J841" s="236"/>
      <c r="K841" s="236"/>
      <c r="L841" s="236"/>
      <c r="M841" s="236"/>
      <c r="N841" s="236"/>
      <c r="O841" s="236"/>
      <c r="P841" s="236"/>
      <c r="Q841" s="236"/>
      <c r="R841" s="236"/>
      <c r="S841" s="236"/>
      <c r="T841" s="236"/>
      <c r="U841" s="236"/>
      <c r="V841" s="236"/>
      <c r="W841" s="237"/>
      <c r="X841" s="237"/>
      <c r="Y841" s="237"/>
      <c r="Z841" s="237"/>
      <c r="AA841" s="237"/>
      <c r="AB841" s="237"/>
      <c r="AC841" s="237"/>
      <c r="AD841" s="237"/>
      <c r="AE841" s="237"/>
      <c r="AF841" s="237"/>
      <c r="AG841" s="237"/>
      <c r="AH841" s="237"/>
      <c r="AI841" s="308"/>
      <c r="AJ841" s="308"/>
      <c r="AK841" s="308"/>
      <c r="AL841" s="308"/>
      <c r="AM841" s="98"/>
      <c r="AN841" s="98"/>
      <c r="AO841" s="98"/>
    </row>
    <row r="842" ht="14.25" customHeight="1">
      <c r="A842" s="98"/>
      <c r="B842" s="98"/>
      <c r="C842" s="98"/>
      <c r="D842" s="308"/>
      <c r="E842" s="98"/>
      <c r="F842" s="235"/>
      <c r="G842" s="235"/>
      <c r="H842" s="236"/>
      <c r="I842" s="236"/>
      <c r="J842" s="236"/>
      <c r="K842" s="236"/>
      <c r="L842" s="236"/>
      <c r="M842" s="236"/>
      <c r="N842" s="236"/>
      <c r="O842" s="236"/>
      <c r="P842" s="236"/>
      <c r="Q842" s="236"/>
      <c r="R842" s="236"/>
      <c r="S842" s="236"/>
      <c r="T842" s="236"/>
      <c r="U842" s="236"/>
      <c r="V842" s="236"/>
      <c r="W842" s="237"/>
      <c r="X842" s="237"/>
      <c r="Y842" s="237"/>
      <c r="Z842" s="237"/>
      <c r="AA842" s="237"/>
      <c r="AB842" s="237"/>
      <c r="AC842" s="237"/>
      <c r="AD842" s="237"/>
      <c r="AE842" s="237"/>
      <c r="AF842" s="237"/>
      <c r="AG842" s="237"/>
      <c r="AH842" s="237"/>
      <c r="AI842" s="308"/>
      <c r="AJ842" s="308"/>
      <c r="AK842" s="308"/>
      <c r="AL842" s="308"/>
      <c r="AM842" s="98"/>
      <c r="AN842" s="98"/>
      <c r="AO842" s="98"/>
    </row>
    <row r="843" ht="14.25" customHeight="1">
      <c r="A843" s="98"/>
      <c r="B843" s="98"/>
      <c r="C843" s="98"/>
      <c r="D843" s="308"/>
      <c r="E843" s="98"/>
      <c r="F843" s="235"/>
      <c r="G843" s="235"/>
      <c r="H843" s="236"/>
      <c r="I843" s="236"/>
      <c r="J843" s="236"/>
      <c r="K843" s="236"/>
      <c r="L843" s="236"/>
      <c r="M843" s="236"/>
      <c r="N843" s="236"/>
      <c r="O843" s="236"/>
      <c r="P843" s="236"/>
      <c r="Q843" s="236"/>
      <c r="R843" s="236"/>
      <c r="S843" s="236"/>
      <c r="T843" s="236"/>
      <c r="U843" s="236"/>
      <c r="V843" s="236"/>
      <c r="W843" s="237"/>
      <c r="X843" s="237"/>
      <c r="Y843" s="237"/>
      <c r="Z843" s="237"/>
      <c r="AA843" s="237"/>
      <c r="AB843" s="237"/>
      <c r="AC843" s="237"/>
      <c r="AD843" s="237"/>
      <c r="AE843" s="237"/>
      <c r="AF843" s="237"/>
      <c r="AG843" s="237"/>
      <c r="AH843" s="237"/>
      <c r="AI843" s="308"/>
      <c r="AJ843" s="308"/>
      <c r="AK843" s="308"/>
      <c r="AL843" s="308"/>
      <c r="AM843" s="98"/>
      <c r="AN843" s="98"/>
      <c r="AO843" s="98"/>
    </row>
    <row r="844" ht="14.25" customHeight="1">
      <c r="A844" s="98"/>
      <c r="B844" s="98"/>
      <c r="C844" s="98"/>
      <c r="D844" s="308"/>
      <c r="E844" s="98"/>
      <c r="F844" s="235"/>
      <c r="G844" s="235"/>
      <c r="H844" s="236"/>
      <c r="I844" s="236"/>
      <c r="J844" s="236"/>
      <c r="K844" s="236"/>
      <c r="L844" s="236"/>
      <c r="M844" s="236"/>
      <c r="N844" s="236"/>
      <c r="O844" s="236"/>
      <c r="P844" s="236"/>
      <c r="Q844" s="236"/>
      <c r="R844" s="236"/>
      <c r="S844" s="236"/>
      <c r="T844" s="236"/>
      <c r="U844" s="236"/>
      <c r="V844" s="236"/>
      <c r="W844" s="237"/>
      <c r="X844" s="237"/>
      <c r="Y844" s="237"/>
      <c r="Z844" s="237"/>
      <c r="AA844" s="237"/>
      <c r="AB844" s="237"/>
      <c r="AC844" s="237"/>
      <c r="AD844" s="237"/>
      <c r="AE844" s="237"/>
      <c r="AF844" s="237"/>
      <c r="AG844" s="237"/>
      <c r="AH844" s="237"/>
      <c r="AI844" s="308"/>
      <c r="AJ844" s="308"/>
      <c r="AK844" s="308"/>
      <c r="AL844" s="308"/>
      <c r="AM844" s="98"/>
      <c r="AN844" s="98"/>
      <c r="AO844" s="98"/>
    </row>
    <row r="845" ht="14.25" customHeight="1">
      <c r="A845" s="98"/>
      <c r="B845" s="98"/>
      <c r="C845" s="98"/>
      <c r="D845" s="308"/>
      <c r="E845" s="98"/>
      <c r="F845" s="235"/>
      <c r="G845" s="235"/>
      <c r="H845" s="236"/>
      <c r="I845" s="236"/>
      <c r="J845" s="236"/>
      <c r="K845" s="236"/>
      <c r="L845" s="236"/>
      <c r="M845" s="236"/>
      <c r="N845" s="236"/>
      <c r="O845" s="236"/>
      <c r="P845" s="236"/>
      <c r="Q845" s="236"/>
      <c r="R845" s="236"/>
      <c r="S845" s="236"/>
      <c r="T845" s="236"/>
      <c r="U845" s="236"/>
      <c r="V845" s="236"/>
      <c r="W845" s="237"/>
      <c r="X845" s="237"/>
      <c r="Y845" s="237"/>
      <c r="Z845" s="237"/>
      <c r="AA845" s="237"/>
      <c r="AB845" s="237"/>
      <c r="AC845" s="237"/>
      <c r="AD845" s="237"/>
      <c r="AE845" s="237"/>
      <c r="AF845" s="237"/>
      <c r="AG845" s="237"/>
      <c r="AH845" s="237"/>
      <c r="AI845" s="308"/>
      <c r="AJ845" s="308"/>
      <c r="AK845" s="308"/>
      <c r="AL845" s="308"/>
      <c r="AM845" s="98"/>
      <c r="AN845" s="98"/>
      <c r="AO845" s="98"/>
    </row>
    <row r="846" ht="14.25" customHeight="1">
      <c r="A846" s="98"/>
      <c r="B846" s="98"/>
      <c r="C846" s="98"/>
      <c r="D846" s="308"/>
      <c r="E846" s="98"/>
      <c r="F846" s="235"/>
      <c r="G846" s="235"/>
      <c r="H846" s="236"/>
      <c r="I846" s="236"/>
      <c r="J846" s="236"/>
      <c r="K846" s="236"/>
      <c r="L846" s="236"/>
      <c r="M846" s="236"/>
      <c r="N846" s="236"/>
      <c r="O846" s="236"/>
      <c r="P846" s="236"/>
      <c r="Q846" s="236"/>
      <c r="R846" s="236"/>
      <c r="S846" s="236"/>
      <c r="T846" s="236"/>
      <c r="U846" s="236"/>
      <c r="V846" s="236"/>
      <c r="W846" s="237"/>
      <c r="X846" s="237"/>
      <c r="Y846" s="237"/>
      <c r="Z846" s="237"/>
      <c r="AA846" s="237"/>
      <c r="AB846" s="237"/>
      <c r="AC846" s="237"/>
      <c r="AD846" s="237"/>
      <c r="AE846" s="237"/>
      <c r="AF846" s="237"/>
      <c r="AG846" s="237"/>
      <c r="AH846" s="237"/>
      <c r="AI846" s="308"/>
      <c r="AJ846" s="308"/>
      <c r="AK846" s="308"/>
      <c r="AL846" s="308"/>
      <c r="AM846" s="98"/>
      <c r="AN846" s="98"/>
      <c r="AO846" s="98"/>
    </row>
    <row r="847" ht="14.25" customHeight="1">
      <c r="A847" s="98"/>
      <c r="B847" s="98"/>
      <c r="C847" s="98"/>
      <c r="D847" s="308"/>
      <c r="E847" s="98"/>
      <c r="F847" s="235"/>
      <c r="G847" s="235"/>
      <c r="H847" s="236"/>
      <c r="I847" s="236"/>
      <c r="J847" s="236"/>
      <c r="K847" s="236"/>
      <c r="L847" s="236"/>
      <c r="M847" s="236"/>
      <c r="N847" s="236"/>
      <c r="O847" s="236"/>
      <c r="P847" s="236"/>
      <c r="Q847" s="236"/>
      <c r="R847" s="236"/>
      <c r="S847" s="236"/>
      <c r="T847" s="236"/>
      <c r="U847" s="236"/>
      <c r="V847" s="236"/>
      <c r="W847" s="237"/>
      <c r="X847" s="237"/>
      <c r="Y847" s="237"/>
      <c r="Z847" s="237"/>
      <c r="AA847" s="237"/>
      <c r="AB847" s="237"/>
      <c r="AC847" s="237"/>
      <c r="AD847" s="237"/>
      <c r="AE847" s="237"/>
      <c r="AF847" s="237"/>
      <c r="AG847" s="237"/>
      <c r="AH847" s="237"/>
      <c r="AI847" s="308"/>
      <c r="AJ847" s="308"/>
      <c r="AK847" s="308"/>
      <c r="AL847" s="308"/>
      <c r="AM847" s="98"/>
      <c r="AN847" s="98"/>
      <c r="AO847" s="98"/>
    </row>
    <row r="848" ht="14.25" customHeight="1">
      <c r="A848" s="98"/>
      <c r="B848" s="98"/>
      <c r="C848" s="98"/>
      <c r="D848" s="308"/>
      <c r="E848" s="98"/>
      <c r="F848" s="235"/>
      <c r="G848" s="235"/>
      <c r="H848" s="236"/>
      <c r="I848" s="236"/>
      <c r="J848" s="236"/>
      <c r="K848" s="236"/>
      <c r="L848" s="236"/>
      <c r="M848" s="236"/>
      <c r="N848" s="236"/>
      <c r="O848" s="236"/>
      <c r="P848" s="236"/>
      <c r="Q848" s="236"/>
      <c r="R848" s="236"/>
      <c r="S848" s="236"/>
      <c r="T848" s="236"/>
      <c r="U848" s="236"/>
      <c r="V848" s="236"/>
      <c r="W848" s="237"/>
      <c r="X848" s="237"/>
      <c r="Y848" s="237"/>
      <c r="Z848" s="237"/>
      <c r="AA848" s="237"/>
      <c r="AB848" s="237"/>
      <c r="AC848" s="237"/>
      <c r="AD848" s="237"/>
      <c r="AE848" s="237"/>
      <c r="AF848" s="237"/>
      <c r="AG848" s="237"/>
      <c r="AH848" s="237"/>
      <c r="AI848" s="308"/>
      <c r="AJ848" s="308"/>
      <c r="AK848" s="308"/>
      <c r="AL848" s="308"/>
      <c r="AM848" s="98"/>
      <c r="AN848" s="98"/>
      <c r="AO848" s="98"/>
    </row>
    <row r="849" ht="14.25" customHeight="1">
      <c r="A849" s="98"/>
      <c r="B849" s="98"/>
      <c r="C849" s="98"/>
      <c r="D849" s="308"/>
      <c r="E849" s="98"/>
      <c r="F849" s="235"/>
      <c r="G849" s="235"/>
      <c r="H849" s="236"/>
      <c r="I849" s="236"/>
      <c r="J849" s="236"/>
      <c r="K849" s="236"/>
      <c r="L849" s="236"/>
      <c r="M849" s="236"/>
      <c r="N849" s="236"/>
      <c r="O849" s="236"/>
      <c r="P849" s="236"/>
      <c r="Q849" s="236"/>
      <c r="R849" s="236"/>
      <c r="S849" s="236"/>
      <c r="T849" s="236"/>
      <c r="U849" s="236"/>
      <c r="V849" s="236"/>
      <c r="W849" s="237"/>
      <c r="X849" s="237"/>
      <c r="Y849" s="237"/>
      <c r="Z849" s="237"/>
      <c r="AA849" s="237"/>
      <c r="AB849" s="237"/>
      <c r="AC849" s="237"/>
      <c r="AD849" s="237"/>
      <c r="AE849" s="237"/>
      <c r="AF849" s="237"/>
      <c r="AG849" s="237"/>
      <c r="AH849" s="237"/>
      <c r="AI849" s="308"/>
      <c r="AJ849" s="308"/>
      <c r="AK849" s="308"/>
      <c r="AL849" s="308"/>
      <c r="AM849" s="98"/>
      <c r="AN849" s="98"/>
      <c r="AO849" s="98"/>
    </row>
    <row r="850" ht="14.25" customHeight="1">
      <c r="A850" s="98"/>
      <c r="B850" s="98"/>
      <c r="C850" s="98"/>
      <c r="D850" s="308"/>
      <c r="E850" s="98"/>
      <c r="F850" s="235"/>
      <c r="G850" s="235"/>
      <c r="H850" s="236"/>
      <c r="I850" s="236"/>
      <c r="J850" s="236"/>
      <c r="K850" s="236"/>
      <c r="L850" s="236"/>
      <c r="M850" s="236"/>
      <c r="N850" s="236"/>
      <c r="O850" s="236"/>
      <c r="P850" s="236"/>
      <c r="Q850" s="236"/>
      <c r="R850" s="236"/>
      <c r="S850" s="236"/>
      <c r="T850" s="236"/>
      <c r="U850" s="236"/>
      <c r="V850" s="236"/>
      <c r="W850" s="237"/>
      <c r="X850" s="237"/>
      <c r="Y850" s="237"/>
      <c r="Z850" s="237"/>
      <c r="AA850" s="237"/>
      <c r="AB850" s="237"/>
      <c r="AC850" s="237"/>
      <c r="AD850" s="237"/>
      <c r="AE850" s="237"/>
      <c r="AF850" s="237"/>
      <c r="AG850" s="237"/>
      <c r="AH850" s="237"/>
      <c r="AI850" s="308"/>
      <c r="AJ850" s="308"/>
      <c r="AK850" s="308"/>
      <c r="AL850" s="308"/>
      <c r="AM850" s="98"/>
      <c r="AN850" s="98"/>
      <c r="AO850" s="98"/>
    </row>
    <row r="851" ht="14.25" customHeight="1">
      <c r="A851" s="98"/>
      <c r="B851" s="98"/>
      <c r="C851" s="98"/>
      <c r="D851" s="308"/>
      <c r="E851" s="98"/>
      <c r="F851" s="235"/>
      <c r="G851" s="235"/>
      <c r="H851" s="236"/>
      <c r="I851" s="236"/>
      <c r="J851" s="236"/>
      <c r="K851" s="236"/>
      <c r="L851" s="236"/>
      <c r="M851" s="236"/>
      <c r="N851" s="236"/>
      <c r="O851" s="236"/>
      <c r="P851" s="236"/>
      <c r="Q851" s="236"/>
      <c r="R851" s="236"/>
      <c r="S851" s="236"/>
      <c r="T851" s="236"/>
      <c r="U851" s="236"/>
      <c r="V851" s="236"/>
      <c r="W851" s="237"/>
      <c r="X851" s="237"/>
      <c r="Y851" s="237"/>
      <c r="Z851" s="237"/>
      <c r="AA851" s="237"/>
      <c r="AB851" s="237"/>
      <c r="AC851" s="237"/>
      <c r="AD851" s="237"/>
      <c r="AE851" s="237"/>
      <c r="AF851" s="237"/>
      <c r="AG851" s="237"/>
      <c r="AH851" s="237"/>
      <c r="AI851" s="308"/>
      <c r="AJ851" s="308"/>
      <c r="AK851" s="308"/>
      <c r="AL851" s="308"/>
      <c r="AM851" s="98"/>
      <c r="AN851" s="98"/>
      <c r="AO851" s="98"/>
    </row>
    <row r="852" ht="14.25" customHeight="1">
      <c r="A852" s="98"/>
      <c r="B852" s="98"/>
      <c r="C852" s="98"/>
      <c r="D852" s="308"/>
      <c r="E852" s="98"/>
      <c r="F852" s="235"/>
      <c r="G852" s="235"/>
      <c r="H852" s="236"/>
      <c r="I852" s="236"/>
      <c r="J852" s="236"/>
      <c r="K852" s="236"/>
      <c r="L852" s="236"/>
      <c r="M852" s="236"/>
      <c r="N852" s="236"/>
      <c r="O852" s="236"/>
      <c r="P852" s="236"/>
      <c r="Q852" s="236"/>
      <c r="R852" s="236"/>
      <c r="S852" s="236"/>
      <c r="T852" s="236"/>
      <c r="U852" s="236"/>
      <c r="V852" s="236"/>
      <c r="W852" s="237"/>
      <c r="X852" s="237"/>
      <c r="Y852" s="237"/>
      <c r="Z852" s="237"/>
      <c r="AA852" s="237"/>
      <c r="AB852" s="237"/>
      <c r="AC852" s="237"/>
      <c r="AD852" s="237"/>
      <c r="AE852" s="237"/>
      <c r="AF852" s="237"/>
      <c r="AG852" s="237"/>
      <c r="AH852" s="237"/>
      <c r="AI852" s="308"/>
      <c r="AJ852" s="308"/>
      <c r="AK852" s="308"/>
      <c r="AL852" s="308"/>
      <c r="AM852" s="98"/>
      <c r="AN852" s="98"/>
      <c r="AO852" s="98"/>
    </row>
    <row r="853" ht="14.25" customHeight="1">
      <c r="A853" s="98"/>
      <c r="B853" s="98"/>
      <c r="C853" s="98"/>
      <c r="D853" s="308"/>
      <c r="E853" s="98"/>
      <c r="F853" s="235"/>
      <c r="G853" s="235"/>
      <c r="H853" s="236"/>
      <c r="I853" s="236"/>
      <c r="J853" s="236"/>
      <c r="K853" s="236"/>
      <c r="L853" s="236"/>
      <c r="M853" s="236"/>
      <c r="N853" s="236"/>
      <c r="O853" s="236"/>
      <c r="P853" s="236"/>
      <c r="Q853" s="236"/>
      <c r="R853" s="236"/>
      <c r="S853" s="236"/>
      <c r="T853" s="236"/>
      <c r="U853" s="236"/>
      <c r="V853" s="236"/>
      <c r="W853" s="237"/>
      <c r="X853" s="237"/>
      <c r="Y853" s="237"/>
      <c r="Z853" s="237"/>
      <c r="AA853" s="237"/>
      <c r="AB853" s="237"/>
      <c r="AC853" s="237"/>
      <c r="AD853" s="237"/>
      <c r="AE853" s="237"/>
      <c r="AF853" s="237"/>
      <c r="AG853" s="237"/>
      <c r="AH853" s="237"/>
      <c r="AI853" s="308"/>
      <c r="AJ853" s="308"/>
      <c r="AK853" s="308"/>
      <c r="AL853" s="308"/>
      <c r="AM853" s="98"/>
      <c r="AN853" s="98"/>
      <c r="AO853" s="98"/>
    </row>
    <row r="854" ht="14.25" customHeight="1">
      <c r="A854" s="98"/>
      <c r="B854" s="98"/>
      <c r="C854" s="98"/>
      <c r="D854" s="308"/>
      <c r="E854" s="98"/>
      <c r="F854" s="235"/>
      <c r="G854" s="235"/>
      <c r="H854" s="236"/>
      <c r="I854" s="236"/>
      <c r="J854" s="236"/>
      <c r="K854" s="236"/>
      <c r="L854" s="236"/>
      <c r="M854" s="236"/>
      <c r="N854" s="236"/>
      <c r="O854" s="236"/>
      <c r="P854" s="236"/>
      <c r="Q854" s="236"/>
      <c r="R854" s="236"/>
      <c r="S854" s="236"/>
      <c r="T854" s="236"/>
      <c r="U854" s="236"/>
      <c r="V854" s="236"/>
      <c r="W854" s="237"/>
      <c r="X854" s="237"/>
      <c r="Y854" s="237"/>
      <c r="Z854" s="237"/>
      <c r="AA854" s="237"/>
      <c r="AB854" s="237"/>
      <c r="AC854" s="237"/>
      <c r="AD854" s="237"/>
      <c r="AE854" s="237"/>
      <c r="AF854" s="237"/>
      <c r="AG854" s="237"/>
      <c r="AH854" s="237"/>
      <c r="AI854" s="308"/>
      <c r="AJ854" s="308"/>
      <c r="AK854" s="308"/>
      <c r="AL854" s="308"/>
      <c r="AM854" s="98"/>
      <c r="AN854" s="98"/>
      <c r="AO854" s="98"/>
    </row>
    <row r="855" ht="14.25" customHeight="1">
      <c r="A855" s="98"/>
      <c r="B855" s="98"/>
      <c r="C855" s="98"/>
      <c r="D855" s="308"/>
      <c r="E855" s="98"/>
      <c r="F855" s="235"/>
      <c r="G855" s="235"/>
      <c r="H855" s="236"/>
      <c r="I855" s="236"/>
      <c r="J855" s="236"/>
      <c r="K855" s="236"/>
      <c r="L855" s="236"/>
      <c r="M855" s="236"/>
      <c r="N855" s="236"/>
      <c r="O855" s="236"/>
      <c r="P855" s="236"/>
      <c r="Q855" s="236"/>
      <c r="R855" s="236"/>
      <c r="S855" s="236"/>
      <c r="T855" s="236"/>
      <c r="U855" s="236"/>
      <c r="V855" s="236"/>
      <c r="W855" s="237"/>
      <c r="X855" s="237"/>
      <c r="Y855" s="237"/>
      <c r="Z855" s="237"/>
      <c r="AA855" s="237"/>
      <c r="AB855" s="237"/>
      <c r="AC855" s="237"/>
      <c r="AD855" s="237"/>
      <c r="AE855" s="237"/>
      <c r="AF855" s="237"/>
      <c r="AG855" s="237"/>
      <c r="AH855" s="237"/>
      <c r="AI855" s="308"/>
      <c r="AJ855" s="308"/>
      <c r="AK855" s="308"/>
      <c r="AL855" s="308"/>
      <c r="AM855" s="98"/>
      <c r="AN855" s="98"/>
      <c r="AO855" s="98"/>
    </row>
    <row r="856" ht="14.25" customHeight="1">
      <c r="A856" s="98"/>
      <c r="B856" s="98"/>
      <c r="C856" s="98"/>
      <c r="D856" s="308"/>
      <c r="E856" s="98"/>
      <c r="F856" s="235"/>
      <c r="G856" s="235"/>
      <c r="H856" s="236"/>
      <c r="I856" s="236"/>
      <c r="J856" s="236"/>
      <c r="K856" s="236"/>
      <c r="L856" s="236"/>
      <c r="M856" s="236"/>
      <c r="N856" s="236"/>
      <c r="O856" s="236"/>
      <c r="P856" s="236"/>
      <c r="Q856" s="236"/>
      <c r="R856" s="236"/>
      <c r="S856" s="236"/>
      <c r="T856" s="236"/>
      <c r="U856" s="236"/>
      <c r="V856" s="236"/>
      <c r="W856" s="237"/>
      <c r="X856" s="237"/>
      <c r="Y856" s="237"/>
      <c r="Z856" s="237"/>
      <c r="AA856" s="237"/>
      <c r="AB856" s="237"/>
      <c r="AC856" s="237"/>
      <c r="AD856" s="237"/>
      <c r="AE856" s="237"/>
      <c r="AF856" s="237"/>
      <c r="AG856" s="237"/>
      <c r="AH856" s="237"/>
      <c r="AI856" s="308"/>
      <c r="AJ856" s="308"/>
      <c r="AK856" s="308"/>
      <c r="AL856" s="308"/>
      <c r="AM856" s="98"/>
      <c r="AN856" s="98"/>
      <c r="AO856" s="98"/>
    </row>
    <row r="857" ht="14.25" customHeight="1">
      <c r="A857" s="98"/>
      <c r="B857" s="98"/>
      <c r="C857" s="98"/>
      <c r="D857" s="308"/>
      <c r="E857" s="98"/>
      <c r="F857" s="235"/>
      <c r="G857" s="235"/>
      <c r="H857" s="236"/>
      <c r="I857" s="236"/>
      <c r="J857" s="236"/>
      <c r="K857" s="236"/>
      <c r="L857" s="236"/>
      <c r="M857" s="236"/>
      <c r="N857" s="236"/>
      <c r="O857" s="236"/>
      <c r="P857" s="236"/>
      <c r="Q857" s="236"/>
      <c r="R857" s="236"/>
      <c r="S857" s="236"/>
      <c r="T857" s="236"/>
      <c r="U857" s="236"/>
      <c r="V857" s="236"/>
      <c r="W857" s="237"/>
      <c r="X857" s="237"/>
      <c r="Y857" s="237"/>
      <c r="Z857" s="237"/>
      <c r="AA857" s="237"/>
      <c r="AB857" s="237"/>
      <c r="AC857" s="237"/>
      <c r="AD857" s="237"/>
      <c r="AE857" s="237"/>
      <c r="AF857" s="237"/>
      <c r="AG857" s="237"/>
      <c r="AH857" s="237"/>
      <c r="AI857" s="308"/>
      <c r="AJ857" s="308"/>
      <c r="AK857" s="308"/>
      <c r="AL857" s="308"/>
      <c r="AM857" s="98"/>
      <c r="AN857" s="98"/>
      <c r="AO857" s="98"/>
    </row>
    <row r="858" ht="14.25" customHeight="1">
      <c r="A858" s="98"/>
      <c r="B858" s="98"/>
      <c r="C858" s="98"/>
      <c r="D858" s="308"/>
      <c r="E858" s="98"/>
      <c r="F858" s="235"/>
      <c r="G858" s="235"/>
      <c r="H858" s="236"/>
      <c r="I858" s="236"/>
      <c r="J858" s="236"/>
      <c r="K858" s="236"/>
      <c r="L858" s="236"/>
      <c r="M858" s="236"/>
      <c r="N858" s="236"/>
      <c r="O858" s="236"/>
      <c r="P858" s="236"/>
      <c r="Q858" s="236"/>
      <c r="R858" s="236"/>
      <c r="S858" s="236"/>
      <c r="T858" s="236"/>
      <c r="U858" s="236"/>
      <c r="V858" s="236"/>
      <c r="W858" s="237"/>
      <c r="X858" s="237"/>
      <c r="Y858" s="237"/>
      <c r="Z858" s="237"/>
      <c r="AA858" s="237"/>
      <c r="AB858" s="237"/>
      <c r="AC858" s="237"/>
      <c r="AD858" s="237"/>
      <c r="AE858" s="237"/>
      <c r="AF858" s="237"/>
      <c r="AG858" s="237"/>
      <c r="AH858" s="237"/>
      <c r="AI858" s="308"/>
      <c r="AJ858" s="308"/>
      <c r="AK858" s="308"/>
      <c r="AL858" s="308"/>
      <c r="AM858" s="98"/>
      <c r="AN858" s="98"/>
      <c r="AO858" s="98"/>
    </row>
    <row r="859" ht="14.25" customHeight="1">
      <c r="A859" s="98"/>
      <c r="B859" s="98"/>
      <c r="C859" s="98"/>
      <c r="D859" s="308"/>
      <c r="E859" s="98"/>
      <c r="F859" s="235"/>
      <c r="G859" s="235"/>
      <c r="H859" s="236"/>
      <c r="I859" s="236"/>
      <c r="J859" s="236"/>
      <c r="K859" s="236"/>
      <c r="L859" s="236"/>
      <c r="M859" s="236"/>
      <c r="N859" s="236"/>
      <c r="O859" s="236"/>
      <c r="P859" s="236"/>
      <c r="Q859" s="236"/>
      <c r="R859" s="236"/>
      <c r="S859" s="236"/>
      <c r="T859" s="236"/>
      <c r="U859" s="236"/>
      <c r="V859" s="236"/>
      <c r="W859" s="237"/>
      <c r="X859" s="237"/>
      <c r="Y859" s="237"/>
      <c r="Z859" s="237"/>
      <c r="AA859" s="237"/>
      <c r="AB859" s="237"/>
      <c r="AC859" s="237"/>
      <c r="AD859" s="237"/>
      <c r="AE859" s="237"/>
      <c r="AF859" s="237"/>
      <c r="AG859" s="237"/>
      <c r="AH859" s="237"/>
      <c r="AI859" s="308"/>
      <c r="AJ859" s="308"/>
      <c r="AK859" s="308"/>
      <c r="AL859" s="308"/>
      <c r="AM859" s="98"/>
      <c r="AN859" s="98"/>
      <c r="AO859" s="98"/>
    </row>
    <row r="860" ht="14.25" customHeight="1">
      <c r="A860" s="98"/>
      <c r="B860" s="98"/>
      <c r="C860" s="98"/>
      <c r="D860" s="308"/>
      <c r="E860" s="98"/>
      <c r="F860" s="235"/>
      <c r="G860" s="235"/>
      <c r="H860" s="236"/>
      <c r="I860" s="236"/>
      <c r="J860" s="236"/>
      <c r="K860" s="236"/>
      <c r="L860" s="236"/>
      <c r="M860" s="236"/>
      <c r="N860" s="236"/>
      <c r="O860" s="236"/>
      <c r="P860" s="236"/>
      <c r="Q860" s="236"/>
      <c r="R860" s="236"/>
      <c r="S860" s="236"/>
      <c r="T860" s="236"/>
      <c r="U860" s="236"/>
      <c r="V860" s="236"/>
      <c r="W860" s="237"/>
      <c r="X860" s="237"/>
      <c r="Y860" s="237"/>
      <c r="Z860" s="237"/>
      <c r="AA860" s="237"/>
      <c r="AB860" s="237"/>
      <c r="AC860" s="237"/>
      <c r="AD860" s="237"/>
      <c r="AE860" s="237"/>
      <c r="AF860" s="237"/>
      <c r="AG860" s="237"/>
      <c r="AH860" s="237"/>
      <c r="AI860" s="308"/>
      <c r="AJ860" s="308"/>
      <c r="AK860" s="308"/>
      <c r="AL860" s="308"/>
      <c r="AM860" s="98"/>
      <c r="AN860" s="98"/>
      <c r="AO860" s="98"/>
    </row>
    <row r="861" ht="14.25" customHeight="1">
      <c r="A861" s="98"/>
      <c r="B861" s="98"/>
      <c r="C861" s="98"/>
      <c r="D861" s="308"/>
      <c r="E861" s="98"/>
      <c r="F861" s="235"/>
      <c r="G861" s="235"/>
      <c r="H861" s="236"/>
      <c r="I861" s="236"/>
      <c r="J861" s="236"/>
      <c r="K861" s="236"/>
      <c r="L861" s="236"/>
      <c r="M861" s="236"/>
      <c r="N861" s="236"/>
      <c r="O861" s="236"/>
      <c r="P861" s="236"/>
      <c r="Q861" s="236"/>
      <c r="R861" s="236"/>
      <c r="S861" s="236"/>
      <c r="T861" s="236"/>
      <c r="U861" s="236"/>
      <c r="V861" s="236"/>
      <c r="W861" s="237"/>
      <c r="X861" s="237"/>
      <c r="Y861" s="237"/>
      <c r="Z861" s="237"/>
      <c r="AA861" s="237"/>
      <c r="AB861" s="237"/>
      <c r="AC861" s="237"/>
      <c r="AD861" s="237"/>
      <c r="AE861" s="237"/>
      <c r="AF861" s="237"/>
      <c r="AG861" s="237"/>
      <c r="AH861" s="237"/>
      <c r="AI861" s="308"/>
      <c r="AJ861" s="308"/>
      <c r="AK861" s="308"/>
      <c r="AL861" s="308"/>
      <c r="AM861" s="98"/>
      <c r="AN861" s="98"/>
      <c r="AO861" s="98"/>
    </row>
    <row r="862" ht="14.25" customHeight="1">
      <c r="A862" s="98"/>
      <c r="B862" s="98"/>
      <c r="C862" s="98"/>
      <c r="D862" s="308"/>
      <c r="E862" s="98"/>
      <c r="F862" s="235"/>
      <c r="G862" s="235"/>
      <c r="H862" s="236"/>
      <c r="I862" s="236"/>
      <c r="J862" s="236"/>
      <c r="K862" s="236"/>
      <c r="L862" s="236"/>
      <c r="M862" s="236"/>
      <c r="N862" s="236"/>
      <c r="O862" s="236"/>
      <c r="P862" s="236"/>
      <c r="Q862" s="236"/>
      <c r="R862" s="236"/>
      <c r="S862" s="236"/>
      <c r="T862" s="236"/>
      <c r="U862" s="236"/>
      <c r="V862" s="236"/>
      <c r="W862" s="237"/>
      <c r="X862" s="237"/>
      <c r="Y862" s="237"/>
      <c r="Z862" s="237"/>
      <c r="AA862" s="237"/>
      <c r="AB862" s="237"/>
      <c r="AC862" s="237"/>
      <c r="AD862" s="237"/>
      <c r="AE862" s="237"/>
      <c r="AF862" s="237"/>
      <c r="AG862" s="237"/>
      <c r="AH862" s="237"/>
      <c r="AI862" s="308"/>
      <c r="AJ862" s="308"/>
      <c r="AK862" s="308"/>
      <c r="AL862" s="308"/>
      <c r="AM862" s="98"/>
      <c r="AN862" s="98"/>
      <c r="AO862" s="98"/>
    </row>
    <row r="863" ht="14.25" customHeight="1">
      <c r="A863" s="98"/>
      <c r="B863" s="98"/>
      <c r="C863" s="98"/>
      <c r="D863" s="308"/>
      <c r="E863" s="98"/>
      <c r="F863" s="235"/>
      <c r="G863" s="235"/>
      <c r="H863" s="236"/>
      <c r="I863" s="236"/>
      <c r="J863" s="236"/>
      <c r="K863" s="236"/>
      <c r="L863" s="236"/>
      <c r="M863" s="236"/>
      <c r="N863" s="236"/>
      <c r="O863" s="236"/>
      <c r="P863" s="236"/>
      <c r="Q863" s="236"/>
      <c r="R863" s="236"/>
      <c r="S863" s="236"/>
      <c r="T863" s="236"/>
      <c r="U863" s="236"/>
      <c r="V863" s="236"/>
      <c r="W863" s="237"/>
      <c r="X863" s="237"/>
      <c r="Y863" s="237"/>
      <c r="Z863" s="237"/>
      <c r="AA863" s="237"/>
      <c r="AB863" s="237"/>
      <c r="AC863" s="237"/>
      <c r="AD863" s="237"/>
      <c r="AE863" s="237"/>
      <c r="AF863" s="237"/>
      <c r="AG863" s="237"/>
      <c r="AH863" s="237"/>
      <c r="AI863" s="308"/>
      <c r="AJ863" s="308"/>
      <c r="AK863" s="308"/>
      <c r="AL863" s="308"/>
      <c r="AM863" s="98"/>
      <c r="AN863" s="98"/>
      <c r="AO863" s="98"/>
    </row>
    <row r="864" ht="14.25" customHeight="1">
      <c r="A864" s="98"/>
      <c r="B864" s="98"/>
      <c r="C864" s="98"/>
      <c r="D864" s="308"/>
      <c r="E864" s="98"/>
      <c r="F864" s="235"/>
      <c r="G864" s="235"/>
      <c r="H864" s="236"/>
      <c r="I864" s="236"/>
      <c r="J864" s="236"/>
      <c r="K864" s="236"/>
      <c r="L864" s="236"/>
      <c r="M864" s="236"/>
      <c r="N864" s="236"/>
      <c r="O864" s="236"/>
      <c r="P864" s="236"/>
      <c r="Q864" s="236"/>
      <c r="R864" s="236"/>
      <c r="S864" s="236"/>
      <c r="T864" s="236"/>
      <c r="U864" s="236"/>
      <c r="V864" s="236"/>
      <c r="W864" s="237"/>
      <c r="X864" s="237"/>
      <c r="Y864" s="237"/>
      <c r="Z864" s="237"/>
      <c r="AA864" s="237"/>
      <c r="AB864" s="237"/>
      <c r="AC864" s="237"/>
      <c r="AD864" s="237"/>
      <c r="AE864" s="237"/>
      <c r="AF864" s="237"/>
      <c r="AG864" s="237"/>
      <c r="AH864" s="237"/>
      <c r="AI864" s="308"/>
      <c r="AJ864" s="308"/>
      <c r="AK864" s="308"/>
      <c r="AL864" s="308"/>
      <c r="AM864" s="98"/>
      <c r="AN864" s="98"/>
      <c r="AO864" s="98"/>
    </row>
    <row r="865" ht="14.25" customHeight="1">
      <c r="A865" s="98"/>
      <c r="B865" s="98"/>
      <c r="C865" s="98"/>
      <c r="D865" s="308"/>
      <c r="E865" s="98"/>
      <c r="F865" s="235"/>
      <c r="G865" s="235"/>
      <c r="H865" s="236"/>
      <c r="I865" s="236"/>
      <c r="J865" s="236"/>
      <c r="K865" s="236"/>
      <c r="L865" s="236"/>
      <c r="M865" s="236"/>
      <c r="N865" s="236"/>
      <c r="O865" s="236"/>
      <c r="P865" s="236"/>
      <c r="Q865" s="236"/>
      <c r="R865" s="236"/>
      <c r="S865" s="236"/>
      <c r="T865" s="236"/>
      <c r="U865" s="236"/>
      <c r="V865" s="236"/>
      <c r="W865" s="237"/>
      <c r="X865" s="237"/>
      <c r="Y865" s="237"/>
      <c r="Z865" s="237"/>
      <c r="AA865" s="237"/>
      <c r="AB865" s="237"/>
      <c r="AC865" s="237"/>
      <c r="AD865" s="237"/>
      <c r="AE865" s="237"/>
      <c r="AF865" s="237"/>
      <c r="AG865" s="237"/>
      <c r="AH865" s="237"/>
      <c r="AI865" s="308"/>
      <c r="AJ865" s="308"/>
      <c r="AK865" s="308"/>
      <c r="AL865" s="308"/>
      <c r="AM865" s="98"/>
      <c r="AN865" s="98"/>
      <c r="AO865" s="98"/>
    </row>
    <row r="866" ht="14.25" customHeight="1">
      <c r="A866" s="98"/>
      <c r="B866" s="98"/>
      <c r="C866" s="98"/>
      <c r="D866" s="308"/>
      <c r="E866" s="98"/>
      <c r="F866" s="235"/>
      <c r="G866" s="235"/>
      <c r="H866" s="236"/>
      <c r="I866" s="236"/>
      <c r="J866" s="236"/>
      <c r="K866" s="236"/>
      <c r="L866" s="236"/>
      <c r="M866" s="236"/>
      <c r="N866" s="236"/>
      <c r="O866" s="236"/>
      <c r="P866" s="236"/>
      <c r="Q866" s="236"/>
      <c r="R866" s="236"/>
      <c r="S866" s="236"/>
      <c r="T866" s="236"/>
      <c r="U866" s="236"/>
      <c r="V866" s="236"/>
      <c r="W866" s="237"/>
      <c r="X866" s="237"/>
      <c r="Y866" s="237"/>
      <c r="Z866" s="237"/>
      <c r="AA866" s="237"/>
      <c r="AB866" s="237"/>
      <c r="AC866" s="237"/>
      <c r="AD866" s="237"/>
      <c r="AE866" s="237"/>
      <c r="AF866" s="237"/>
      <c r="AG866" s="237"/>
      <c r="AH866" s="237"/>
      <c r="AI866" s="308"/>
      <c r="AJ866" s="308"/>
      <c r="AK866" s="308"/>
      <c r="AL866" s="308"/>
      <c r="AM866" s="98"/>
      <c r="AN866" s="98"/>
      <c r="AO866" s="98"/>
    </row>
    <row r="867" ht="14.25" customHeight="1">
      <c r="A867" s="98"/>
      <c r="B867" s="98"/>
      <c r="C867" s="98"/>
      <c r="D867" s="308"/>
      <c r="E867" s="98"/>
      <c r="F867" s="235"/>
      <c r="G867" s="235"/>
      <c r="H867" s="236"/>
      <c r="I867" s="236"/>
      <c r="J867" s="236"/>
      <c r="K867" s="236"/>
      <c r="L867" s="236"/>
      <c r="M867" s="236"/>
      <c r="N867" s="236"/>
      <c r="O867" s="236"/>
      <c r="P867" s="236"/>
      <c r="Q867" s="236"/>
      <c r="R867" s="236"/>
      <c r="S867" s="236"/>
      <c r="T867" s="236"/>
      <c r="U867" s="236"/>
      <c r="V867" s="236"/>
      <c r="W867" s="237"/>
      <c r="X867" s="237"/>
      <c r="Y867" s="237"/>
      <c r="Z867" s="237"/>
      <c r="AA867" s="237"/>
      <c r="AB867" s="237"/>
      <c r="AC867" s="237"/>
      <c r="AD867" s="237"/>
      <c r="AE867" s="237"/>
      <c r="AF867" s="237"/>
      <c r="AG867" s="237"/>
      <c r="AH867" s="237"/>
      <c r="AI867" s="308"/>
      <c r="AJ867" s="308"/>
      <c r="AK867" s="308"/>
      <c r="AL867" s="308"/>
      <c r="AM867" s="98"/>
      <c r="AN867" s="98"/>
      <c r="AO867" s="98"/>
    </row>
    <row r="868" ht="14.25" customHeight="1">
      <c r="A868" s="98"/>
      <c r="B868" s="98"/>
      <c r="C868" s="98"/>
      <c r="D868" s="308"/>
      <c r="E868" s="98"/>
      <c r="F868" s="235"/>
      <c r="G868" s="235"/>
      <c r="H868" s="236"/>
      <c r="I868" s="236"/>
      <c r="J868" s="236"/>
      <c r="K868" s="236"/>
      <c r="L868" s="236"/>
      <c r="M868" s="236"/>
      <c r="N868" s="236"/>
      <c r="O868" s="236"/>
      <c r="P868" s="236"/>
      <c r="Q868" s="236"/>
      <c r="R868" s="236"/>
      <c r="S868" s="236"/>
      <c r="T868" s="236"/>
      <c r="U868" s="236"/>
      <c r="V868" s="236"/>
      <c r="W868" s="237"/>
      <c r="X868" s="237"/>
      <c r="Y868" s="237"/>
      <c r="Z868" s="237"/>
      <c r="AA868" s="237"/>
      <c r="AB868" s="237"/>
      <c r="AC868" s="237"/>
      <c r="AD868" s="237"/>
      <c r="AE868" s="237"/>
      <c r="AF868" s="237"/>
      <c r="AG868" s="237"/>
      <c r="AH868" s="237"/>
      <c r="AI868" s="308"/>
      <c r="AJ868" s="308"/>
      <c r="AK868" s="308"/>
      <c r="AL868" s="308"/>
      <c r="AM868" s="98"/>
      <c r="AN868" s="98"/>
      <c r="AO868" s="98"/>
    </row>
    <row r="869" ht="14.25" customHeight="1">
      <c r="A869" s="98"/>
      <c r="B869" s="98"/>
      <c r="C869" s="98"/>
      <c r="D869" s="308"/>
      <c r="E869" s="98"/>
      <c r="F869" s="235"/>
      <c r="G869" s="235"/>
      <c r="H869" s="236"/>
      <c r="I869" s="236"/>
      <c r="J869" s="236"/>
      <c r="K869" s="236"/>
      <c r="L869" s="236"/>
      <c r="M869" s="236"/>
      <c r="N869" s="236"/>
      <c r="O869" s="236"/>
      <c r="P869" s="236"/>
      <c r="Q869" s="236"/>
      <c r="R869" s="236"/>
      <c r="S869" s="236"/>
      <c r="T869" s="236"/>
      <c r="U869" s="236"/>
      <c r="V869" s="236"/>
      <c r="W869" s="237"/>
      <c r="X869" s="237"/>
      <c r="Y869" s="237"/>
      <c r="Z869" s="237"/>
      <c r="AA869" s="237"/>
      <c r="AB869" s="237"/>
      <c r="AC869" s="237"/>
      <c r="AD869" s="237"/>
      <c r="AE869" s="237"/>
      <c r="AF869" s="237"/>
      <c r="AG869" s="237"/>
      <c r="AH869" s="237"/>
      <c r="AI869" s="308"/>
      <c r="AJ869" s="308"/>
      <c r="AK869" s="308"/>
      <c r="AL869" s="308"/>
      <c r="AM869" s="98"/>
      <c r="AN869" s="98"/>
      <c r="AO869" s="98"/>
    </row>
    <row r="870" ht="14.25" customHeight="1">
      <c r="A870" s="98"/>
      <c r="B870" s="98"/>
      <c r="C870" s="98"/>
      <c r="D870" s="308"/>
      <c r="E870" s="98"/>
      <c r="F870" s="235"/>
      <c r="G870" s="235"/>
      <c r="H870" s="236"/>
      <c r="I870" s="236"/>
      <c r="J870" s="236"/>
      <c r="K870" s="236"/>
      <c r="L870" s="236"/>
      <c r="M870" s="236"/>
      <c r="N870" s="236"/>
      <c r="O870" s="236"/>
      <c r="P870" s="236"/>
      <c r="Q870" s="236"/>
      <c r="R870" s="236"/>
      <c r="S870" s="236"/>
      <c r="T870" s="236"/>
      <c r="U870" s="236"/>
      <c r="V870" s="236"/>
      <c r="W870" s="237"/>
      <c r="X870" s="237"/>
      <c r="Y870" s="237"/>
      <c r="Z870" s="237"/>
      <c r="AA870" s="237"/>
      <c r="AB870" s="237"/>
      <c r="AC870" s="237"/>
      <c r="AD870" s="237"/>
      <c r="AE870" s="237"/>
      <c r="AF870" s="237"/>
      <c r="AG870" s="237"/>
      <c r="AH870" s="237"/>
      <c r="AI870" s="308"/>
      <c r="AJ870" s="308"/>
      <c r="AK870" s="308"/>
      <c r="AL870" s="308"/>
      <c r="AM870" s="98"/>
      <c r="AN870" s="98"/>
      <c r="AO870" s="98"/>
    </row>
    <row r="871" ht="14.25" customHeight="1">
      <c r="A871" s="98"/>
      <c r="B871" s="98"/>
      <c r="C871" s="98"/>
      <c r="D871" s="308"/>
      <c r="E871" s="98"/>
      <c r="F871" s="235"/>
      <c r="G871" s="235"/>
      <c r="H871" s="236"/>
      <c r="I871" s="236"/>
      <c r="J871" s="236"/>
      <c r="K871" s="236"/>
      <c r="L871" s="236"/>
      <c r="M871" s="236"/>
      <c r="N871" s="236"/>
      <c r="O871" s="236"/>
      <c r="P871" s="236"/>
      <c r="Q871" s="236"/>
      <c r="R871" s="236"/>
      <c r="S871" s="236"/>
      <c r="T871" s="236"/>
      <c r="U871" s="236"/>
      <c r="V871" s="236"/>
      <c r="W871" s="237"/>
      <c r="X871" s="237"/>
      <c r="Y871" s="237"/>
      <c r="Z871" s="237"/>
      <c r="AA871" s="237"/>
      <c r="AB871" s="237"/>
      <c r="AC871" s="237"/>
      <c r="AD871" s="237"/>
      <c r="AE871" s="237"/>
      <c r="AF871" s="237"/>
      <c r="AG871" s="237"/>
      <c r="AH871" s="237"/>
      <c r="AI871" s="308"/>
      <c r="AJ871" s="308"/>
      <c r="AK871" s="308"/>
      <c r="AL871" s="308"/>
      <c r="AM871" s="98"/>
      <c r="AN871" s="98"/>
      <c r="AO871" s="98"/>
    </row>
    <row r="872" ht="14.25" customHeight="1">
      <c r="A872" s="98"/>
      <c r="B872" s="98"/>
      <c r="C872" s="98"/>
      <c r="D872" s="308"/>
      <c r="E872" s="98"/>
      <c r="F872" s="235"/>
      <c r="G872" s="235"/>
      <c r="H872" s="236"/>
      <c r="I872" s="236"/>
      <c r="J872" s="236"/>
      <c r="K872" s="236"/>
      <c r="L872" s="236"/>
      <c r="M872" s="236"/>
      <c r="N872" s="236"/>
      <c r="O872" s="236"/>
      <c r="P872" s="236"/>
      <c r="Q872" s="236"/>
      <c r="R872" s="236"/>
      <c r="S872" s="236"/>
      <c r="T872" s="236"/>
      <c r="U872" s="236"/>
      <c r="V872" s="236"/>
      <c r="W872" s="237"/>
      <c r="X872" s="237"/>
      <c r="Y872" s="237"/>
      <c r="Z872" s="237"/>
      <c r="AA872" s="237"/>
      <c r="AB872" s="237"/>
      <c r="AC872" s="237"/>
      <c r="AD872" s="237"/>
      <c r="AE872" s="237"/>
      <c r="AF872" s="237"/>
      <c r="AG872" s="237"/>
      <c r="AH872" s="237"/>
      <c r="AI872" s="308"/>
      <c r="AJ872" s="308"/>
      <c r="AK872" s="308"/>
      <c r="AL872" s="308"/>
      <c r="AM872" s="98"/>
      <c r="AN872" s="98"/>
      <c r="AO872" s="98"/>
    </row>
    <row r="873" ht="14.25" customHeight="1">
      <c r="A873" s="98"/>
      <c r="B873" s="98"/>
      <c r="C873" s="98"/>
      <c r="D873" s="308"/>
      <c r="E873" s="98"/>
      <c r="F873" s="235"/>
      <c r="G873" s="235"/>
      <c r="H873" s="236"/>
      <c r="I873" s="236"/>
      <c r="J873" s="236"/>
      <c r="K873" s="236"/>
      <c r="L873" s="236"/>
      <c r="M873" s="236"/>
      <c r="N873" s="236"/>
      <c r="O873" s="236"/>
      <c r="P873" s="236"/>
      <c r="Q873" s="236"/>
      <c r="R873" s="236"/>
      <c r="S873" s="236"/>
      <c r="T873" s="236"/>
      <c r="U873" s="236"/>
      <c r="V873" s="236"/>
      <c r="W873" s="237"/>
      <c r="X873" s="237"/>
      <c r="Y873" s="237"/>
      <c r="Z873" s="237"/>
      <c r="AA873" s="237"/>
      <c r="AB873" s="237"/>
      <c r="AC873" s="237"/>
      <c r="AD873" s="237"/>
      <c r="AE873" s="237"/>
      <c r="AF873" s="237"/>
      <c r="AG873" s="237"/>
      <c r="AH873" s="237"/>
      <c r="AI873" s="308"/>
      <c r="AJ873" s="308"/>
      <c r="AK873" s="308"/>
      <c r="AL873" s="308"/>
      <c r="AM873" s="98"/>
      <c r="AN873" s="98"/>
      <c r="AO873" s="98"/>
    </row>
    <row r="874" ht="14.25" customHeight="1">
      <c r="A874" s="98"/>
      <c r="B874" s="98"/>
      <c r="C874" s="98"/>
      <c r="D874" s="308"/>
      <c r="E874" s="98"/>
      <c r="F874" s="235"/>
      <c r="G874" s="235"/>
      <c r="H874" s="236"/>
      <c r="I874" s="236"/>
      <c r="J874" s="236"/>
      <c r="K874" s="236"/>
      <c r="L874" s="236"/>
      <c r="M874" s="236"/>
      <c r="N874" s="236"/>
      <c r="O874" s="236"/>
      <c r="P874" s="236"/>
      <c r="Q874" s="236"/>
      <c r="R874" s="236"/>
      <c r="S874" s="236"/>
      <c r="T874" s="236"/>
      <c r="U874" s="236"/>
      <c r="V874" s="236"/>
      <c r="W874" s="237"/>
      <c r="X874" s="237"/>
      <c r="Y874" s="237"/>
      <c r="Z874" s="237"/>
      <c r="AA874" s="237"/>
      <c r="AB874" s="237"/>
      <c r="AC874" s="237"/>
      <c r="AD874" s="237"/>
      <c r="AE874" s="237"/>
      <c r="AF874" s="237"/>
      <c r="AG874" s="237"/>
      <c r="AH874" s="237"/>
      <c r="AI874" s="308"/>
      <c r="AJ874" s="308"/>
      <c r="AK874" s="308"/>
      <c r="AL874" s="308"/>
      <c r="AM874" s="98"/>
      <c r="AN874" s="98"/>
      <c r="AO874" s="98"/>
    </row>
    <row r="875" ht="14.25" customHeight="1">
      <c r="A875" s="98"/>
      <c r="B875" s="98"/>
      <c r="C875" s="98"/>
      <c r="D875" s="308"/>
      <c r="E875" s="98"/>
      <c r="F875" s="235"/>
      <c r="G875" s="235"/>
      <c r="H875" s="236"/>
      <c r="I875" s="236"/>
      <c r="J875" s="236"/>
      <c r="K875" s="236"/>
      <c r="L875" s="236"/>
      <c r="M875" s="236"/>
      <c r="N875" s="236"/>
      <c r="O875" s="236"/>
      <c r="P875" s="236"/>
      <c r="Q875" s="236"/>
      <c r="R875" s="236"/>
      <c r="S875" s="236"/>
      <c r="T875" s="236"/>
      <c r="U875" s="236"/>
      <c r="V875" s="236"/>
      <c r="W875" s="237"/>
      <c r="X875" s="237"/>
      <c r="Y875" s="237"/>
      <c r="Z875" s="237"/>
      <c r="AA875" s="237"/>
      <c r="AB875" s="237"/>
      <c r="AC875" s="237"/>
      <c r="AD875" s="237"/>
      <c r="AE875" s="237"/>
      <c r="AF875" s="237"/>
      <c r="AG875" s="237"/>
      <c r="AH875" s="237"/>
      <c r="AI875" s="308"/>
      <c r="AJ875" s="308"/>
      <c r="AK875" s="308"/>
      <c r="AL875" s="308"/>
      <c r="AM875" s="98"/>
      <c r="AN875" s="98"/>
      <c r="AO875" s="98"/>
    </row>
    <row r="876" ht="14.25" customHeight="1">
      <c r="A876" s="98"/>
      <c r="B876" s="98"/>
      <c r="C876" s="98"/>
      <c r="D876" s="308"/>
      <c r="E876" s="98"/>
      <c r="F876" s="235"/>
      <c r="G876" s="235"/>
      <c r="H876" s="236"/>
      <c r="I876" s="236"/>
      <c r="J876" s="236"/>
      <c r="K876" s="236"/>
      <c r="L876" s="236"/>
      <c r="M876" s="236"/>
      <c r="N876" s="236"/>
      <c r="O876" s="236"/>
      <c r="P876" s="236"/>
      <c r="Q876" s="236"/>
      <c r="R876" s="236"/>
      <c r="S876" s="236"/>
      <c r="T876" s="236"/>
      <c r="U876" s="236"/>
      <c r="V876" s="236"/>
      <c r="W876" s="237"/>
      <c r="X876" s="237"/>
      <c r="Y876" s="237"/>
      <c r="Z876" s="237"/>
      <c r="AA876" s="237"/>
      <c r="AB876" s="237"/>
      <c r="AC876" s="237"/>
      <c r="AD876" s="237"/>
      <c r="AE876" s="237"/>
      <c r="AF876" s="237"/>
      <c r="AG876" s="237"/>
      <c r="AH876" s="237"/>
      <c r="AI876" s="308"/>
      <c r="AJ876" s="308"/>
      <c r="AK876" s="308"/>
      <c r="AL876" s="308"/>
      <c r="AM876" s="98"/>
      <c r="AN876" s="98"/>
      <c r="AO876" s="98"/>
    </row>
    <row r="877" ht="14.25" customHeight="1">
      <c r="A877" s="98"/>
      <c r="B877" s="98"/>
      <c r="C877" s="98"/>
      <c r="D877" s="308"/>
      <c r="E877" s="98"/>
      <c r="F877" s="235"/>
      <c r="G877" s="235"/>
      <c r="H877" s="236"/>
      <c r="I877" s="236"/>
      <c r="J877" s="236"/>
      <c r="K877" s="236"/>
      <c r="L877" s="236"/>
      <c r="M877" s="236"/>
      <c r="N877" s="236"/>
      <c r="O877" s="236"/>
      <c r="P877" s="236"/>
      <c r="Q877" s="236"/>
      <c r="R877" s="236"/>
      <c r="S877" s="236"/>
      <c r="T877" s="236"/>
      <c r="U877" s="236"/>
      <c r="V877" s="236"/>
      <c r="W877" s="237"/>
      <c r="X877" s="237"/>
      <c r="Y877" s="237"/>
      <c r="Z877" s="237"/>
      <c r="AA877" s="237"/>
      <c r="AB877" s="237"/>
      <c r="AC877" s="237"/>
      <c r="AD877" s="237"/>
      <c r="AE877" s="237"/>
      <c r="AF877" s="237"/>
      <c r="AG877" s="237"/>
      <c r="AH877" s="237"/>
      <c r="AI877" s="308"/>
      <c r="AJ877" s="308"/>
      <c r="AK877" s="308"/>
      <c r="AL877" s="308"/>
      <c r="AM877" s="98"/>
      <c r="AN877" s="98"/>
      <c r="AO877" s="98"/>
    </row>
    <row r="878" ht="14.25" customHeight="1">
      <c r="A878" s="98"/>
      <c r="B878" s="98"/>
      <c r="C878" s="98"/>
      <c r="D878" s="308"/>
      <c r="E878" s="98"/>
      <c r="F878" s="235"/>
      <c r="G878" s="235"/>
      <c r="H878" s="236"/>
      <c r="I878" s="236"/>
      <c r="J878" s="236"/>
      <c r="K878" s="236"/>
      <c r="L878" s="236"/>
      <c r="M878" s="236"/>
      <c r="N878" s="236"/>
      <c r="O878" s="236"/>
      <c r="P878" s="236"/>
      <c r="Q878" s="236"/>
      <c r="R878" s="236"/>
      <c r="S878" s="236"/>
      <c r="T878" s="236"/>
      <c r="U878" s="236"/>
      <c r="V878" s="236"/>
      <c r="W878" s="237"/>
      <c r="X878" s="237"/>
      <c r="Y878" s="237"/>
      <c r="Z878" s="237"/>
      <c r="AA878" s="237"/>
      <c r="AB878" s="237"/>
      <c r="AC878" s="237"/>
      <c r="AD878" s="237"/>
      <c r="AE878" s="237"/>
      <c r="AF878" s="237"/>
      <c r="AG878" s="237"/>
      <c r="AH878" s="237"/>
      <c r="AI878" s="308"/>
      <c r="AJ878" s="308"/>
      <c r="AK878" s="308"/>
      <c r="AL878" s="308"/>
      <c r="AM878" s="98"/>
      <c r="AN878" s="98"/>
      <c r="AO878" s="98"/>
    </row>
    <row r="879" ht="14.25" customHeight="1">
      <c r="A879" s="98"/>
      <c r="B879" s="98"/>
      <c r="C879" s="98"/>
      <c r="D879" s="308"/>
      <c r="E879" s="98"/>
      <c r="F879" s="235"/>
      <c r="G879" s="235"/>
      <c r="H879" s="236"/>
      <c r="I879" s="236"/>
      <c r="J879" s="236"/>
      <c r="K879" s="236"/>
      <c r="L879" s="236"/>
      <c r="M879" s="236"/>
      <c r="N879" s="236"/>
      <c r="O879" s="236"/>
      <c r="P879" s="236"/>
      <c r="Q879" s="236"/>
      <c r="R879" s="236"/>
      <c r="S879" s="236"/>
      <c r="T879" s="236"/>
      <c r="U879" s="236"/>
      <c r="V879" s="236"/>
      <c r="W879" s="237"/>
      <c r="X879" s="237"/>
      <c r="Y879" s="237"/>
      <c r="Z879" s="237"/>
      <c r="AA879" s="237"/>
      <c r="AB879" s="237"/>
      <c r="AC879" s="237"/>
      <c r="AD879" s="237"/>
      <c r="AE879" s="237"/>
      <c r="AF879" s="237"/>
      <c r="AG879" s="237"/>
      <c r="AH879" s="237"/>
      <c r="AI879" s="308"/>
      <c r="AJ879" s="308"/>
      <c r="AK879" s="308"/>
      <c r="AL879" s="308"/>
      <c r="AM879" s="98"/>
      <c r="AN879" s="98"/>
      <c r="AO879" s="98"/>
    </row>
    <row r="880" ht="14.25" customHeight="1">
      <c r="A880" s="98"/>
      <c r="B880" s="98"/>
      <c r="C880" s="98"/>
      <c r="D880" s="308"/>
      <c r="E880" s="98"/>
      <c r="F880" s="235"/>
      <c r="G880" s="235"/>
      <c r="H880" s="236"/>
      <c r="I880" s="236"/>
      <c r="J880" s="236"/>
      <c r="K880" s="236"/>
      <c r="L880" s="236"/>
      <c r="M880" s="236"/>
      <c r="N880" s="236"/>
      <c r="O880" s="236"/>
      <c r="P880" s="236"/>
      <c r="Q880" s="236"/>
      <c r="R880" s="236"/>
      <c r="S880" s="236"/>
      <c r="T880" s="236"/>
      <c r="U880" s="236"/>
      <c r="V880" s="236"/>
      <c r="W880" s="237"/>
      <c r="X880" s="237"/>
      <c r="Y880" s="237"/>
      <c r="Z880" s="237"/>
      <c r="AA880" s="237"/>
      <c r="AB880" s="237"/>
      <c r="AC880" s="237"/>
      <c r="AD880" s="237"/>
      <c r="AE880" s="237"/>
      <c r="AF880" s="237"/>
      <c r="AG880" s="237"/>
      <c r="AH880" s="237"/>
      <c r="AI880" s="308"/>
      <c r="AJ880" s="308"/>
      <c r="AK880" s="308"/>
      <c r="AL880" s="308"/>
      <c r="AM880" s="98"/>
      <c r="AN880" s="98"/>
      <c r="AO880" s="98"/>
    </row>
    <row r="881" ht="14.25" customHeight="1">
      <c r="A881" s="98"/>
      <c r="B881" s="98"/>
      <c r="C881" s="98"/>
      <c r="D881" s="308"/>
      <c r="E881" s="98"/>
      <c r="F881" s="235"/>
      <c r="G881" s="235"/>
      <c r="H881" s="236"/>
      <c r="I881" s="236"/>
      <c r="J881" s="236"/>
      <c r="K881" s="236"/>
      <c r="L881" s="236"/>
      <c r="M881" s="236"/>
      <c r="N881" s="236"/>
      <c r="O881" s="236"/>
      <c r="P881" s="236"/>
      <c r="Q881" s="236"/>
      <c r="R881" s="236"/>
      <c r="S881" s="236"/>
      <c r="T881" s="236"/>
      <c r="U881" s="236"/>
      <c r="V881" s="236"/>
      <c r="W881" s="237"/>
      <c r="X881" s="237"/>
      <c r="Y881" s="237"/>
      <c r="Z881" s="237"/>
      <c r="AA881" s="237"/>
      <c r="AB881" s="237"/>
      <c r="AC881" s="237"/>
      <c r="AD881" s="237"/>
      <c r="AE881" s="237"/>
      <c r="AF881" s="237"/>
      <c r="AG881" s="237"/>
      <c r="AH881" s="237"/>
      <c r="AI881" s="308"/>
      <c r="AJ881" s="308"/>
      <c r="AK881" s="308"/>
      <c r="AL881" s="308"/>
      <c r="AM881" s="98"/>
      <c r="AN881" s="98"/>
      <c r="AO881" s="98"/>
    </row>
    <row r="882" ht="14.25" customHeight="1">
      <c r="A882" s="98"/>
      <c r="B882" s="98"/>
      <c r="C882" s="98"/>
      <c r="D882" s="308"/>
      <c r="E882" s="98"/>
      <c r="F882" s="235"/>
      <c r="G882" s="235"/>
      <c r="H882" s="236"/>
      <c r="I882" s="236"/>
      <c r="J882" s="236"/>
      <c r="K882" s="236"/>
      <c r="L882" s="236"/>
      <c r="M882" s="236"/>
      <c r="N882" s="236"/>
      <c r="O882" s="236"/>
      <c r="P882" s="236"/>
      <c r="Q882" s="236"/>
      <c r="R882" s="236"/>
      <c r="S882" s="236"/>
      <c r="T882" s="236"/>
      <c r="U882" s="236"/>
      <c r="V882" s="236"/>
      <c r="W882" s="237"/>
      <c r="X882" s="237"/>
      <c r="Y882" s="237"/>
      <c r="Z882" s="237"/>
      <c r="AA882" s="237"/>
      <c r="AB882" s="237"/>
      <c r="AC882" s="237"/>
      <c r="AD882" s="237"/>
      <c r="AE882" s="237"/>
      <c r="AF882" s="237"/>
      <c r="AG882" s="237"/>
      <c r="AH882" s="237"/>
      <c r="AI882" s="308"/>
      <c r="AJ882" s="308"/>
      <c r="AK882" s="308"/>
      <c r="AL882" s="308"/>
      <c r="AM882" s="98"/>
      <c r="AN882" s="98"/>
      <c r="AO882" s="98"/>
    </row>
    <row r="883" ht="14.25" customHeight="1">
      <c r="A883" s="98"/>
      <c r="B883" s="98"/>
      <c r="C883" s="98"/>
      <c r="D883" s="308"/>
      <c r="E883" s="98"/>
      <c r="F883" s="235"/>
      <c r="G883" s="235"/>
      <c r="H883" s="236"/>
      <c r="I883" s="236"/>
      <c r="J883" s="236"/>
      <c r="K883" s="236"/>
      <c r="L883" s="236"/>
      <c r="M883" s="236"/>
      <c r="N883" s="236"/>
      <c r="O883" s="236"/>
      <c r="P883" s="236"/>
      <c r="Q883" s="236"/>
      <c r="R883" s="236"/>
      <c r="S883" s="236"/>
      <c r="T883" s="236"/>
      <c r="U883" s="236"/>
      <c r="V883" s="236"/>
      <c r="W883" s="237"/>
      <c r="X883" s="237"/>
      <c r="Y883" s="237"/>
      <c r="Z883" s="237"/>
      <c r="AA883" s="237"/>
      <c r="AB883" s="237"/>
      <c r="AC883" s="237"/>
      <c r="AD883" s="237"/>
      <c r="AE883" s="237"/>
      <c r="AF883" s="237"/>
      <c r="AG883" s="237"/>
      <c r="AH883" s="237"/>
      <c r="AI883" s="308"/>
      <c r="AJ883" s="308"/>
      <c r="AK883" s="308"/>
      <c r="AL883" s="308"/>
      <c r="AM883" s="98"/>
      <c r="AN883" s="98"/>
      <c r="AO883" s="98"/>
    </row>
    <row r="884" ht="14.25" customHeight="1">
      <c r="A884" s="98"/>
      <c r="B884" s="98"/>
      <c r="C884" s="98"/>
      <c r="D884" s="308"/>
      <c r="E884" s="98"/>
      <c r="F884" s="235"/>
      <c r="G884" s="235"/>
      <c r="H884" s="236"/>
      <c r="I884" s="236"/>
      <c r="J884" s="236"/>
      <c r="K884" s="236"/>
      <c r="L884" s="236"/>
      <c r="M884" s="236"/>
      <c r="N884" s="236"/>
      <c r="O884" s="236"/>
      <c r="P884" s="236"/>
      <c r="Q884" s="236"/>
      <c r="R884" s="236"/>
      <c r="S884" s="236"/>
      <c r="T884" s="236"/>
      <c r="U884" s="236"/>
      <c r="V884" s="236"/>
      <c r="W884" s="237"/>
      <c r="X884" s="237"/>
      <c r="Y884" s="237"/>
      <c r="Z884" s="237"/>
      <c r="AA884" s="237"/>
      <c r="AB884" s="237"/>
      <c r="AC884" s="237"/>
      <c r="AD884" s="237"/>
      <c r="AE884" s="237"/>
      <c r="AF884" s="237"/>
      <c r="AG884" s="237"/>
      <c r="AH884" s="237"/>
      <c r="AI884" s="308"/>
      <c r="AJ884" s="308"/>
      <c r="AK884" s="308"/>
      <c r="AL884" s="308"/>
      <c r="AM884" s="98"/>
      <c r="AN884" s="98"/>
      <c r="AO884" s="98"/>
    </row>
    <row r="885" ht="14.25" customHeight="1">
      <c r="A885" s="98"/>
      <c r="B885" s="98"/>
      <c r="C885" s="98"/>
      <c r="D885" s="308"/>
      <c r="E885" s="98"/>
      <c r="F885" s="235"/>
      <c r="G885" s="235"/>
      <c r="H885" s="236"/>
      <c r="I885" s="236"/>
      <c r="J885" s="236"/>
      <c r="K885" s="236"/>
      <c r="L885" s="236"/>
      <c r="M885" s="236"/>
      <c r="N885" s="236"/>
      <c r="O885" s="236"/>
      <c r="P885" s="236"/>
      <c r="Q885" s="236"/>
      <c r="R885" s="236"/>
      <c r="S885" s="236"/>
      <c r="T885" s="236"/>
      <c r="U885" s="236"/>
      <c r="V885" s="236"/>
      <c r="W885" s="237"/>
      <c r="X885" s="237"/>
      <c r="Y885" s="237"/>
      <c r="Z885" s="237"/>
      <c r="AA885" s="237"/>
      <c r="AB885" s="237"/>
      <c r="AC885" s="237"/>
      <c r="AD885" s="237"/>
      <c r="AE885" s="237"/>
      <c r="AF885" s="237"/>
      <c r="AG885" s="237"/>
      <c r="AH885" s="237"/>
      <c r="AI885" s="308"/>
      <c r="AJ885" s="308"/>
      <c r="AK885" s="308"/>
      <c r="AL885" s="308"/>
      <c r="AM885" s="98"/>
      <c r="AN885" s="98"/>
      <c r="AO885" s="98"/>
    </row>
    <row r="886" ht="14.25" customHeight="1">
      <c r="A886" s="98"/>
      <c r="B886" s="98"/>
      <c r="C886" s="98"/>
      <c r="D886" s="308"/>
      <c r="E886" s="98"/>
      <c r="F886" s="235"/>
      <c r="G886" s="235"/>
      <c r="H886" s="236"/>
      <c r="I886" s="236"/>
      <c r="J886" s="236"/>
      <c r="K886" s="236"/>
      <c r="L886" s="236"/>
      <c r="M886" s="236"/>
      <c r="N886" s="236"/>
      <c r="O886" s="236"/>
      <c r="P886" s="236"/>
      <c r="Q886" s="236"/>
      <c r="R886" s="236"/>
      <c r="S886" s="236"/>
      <c r="T886" s="236"/>
      <c r="U886" s="236"/>
      <c r="V886" s="236"/>
      <c r="W886" s="237"/>
      <c r="X886" s="237"/>
      <c r="Y886" s="237"/>
      <c r="Z886" s="237"/>
      <c r="AA886" s="237"/>
      <c r="AB886" s="237"/>
      <c r="AC886" s="237"/>
      <c r="AD886" s="237"/>
      <c r="AE886" s="237"/>
      <c r="AF886" s="237"/>
      <c r="AG886" s="237"/>
      <c r="AH886" s="237"/>
      <c r="AI886" s="308"/>
      <c r="AJ886" s="308"/>
      <c r="AK886" s="308"/>
      <c r="AL886" s="308"/>
      <c r="AM886" s="98"/>
      <c r="AN886" s="98"/>
      <c r="AO886" s="98"/>
    </row>
    <row r="887" ht="14.25" customHeight="1">
      <c r="A887" s="98"/>
      <c r="B887" s="98"/>
      <c r="C887" s="98"/>
      <c r="D887" s="308"/>
      <c r="E887" s="98"/>
      <c r="F887" s="235"/>
      <c r="G887" s="235"/>
      <c r="H887" s="236"/>
      <c r="I887" s="236"/>
      <c r="J887" s="236"/>
      <c r="K887" s="236"/>
      <c r="L887" s="236"/>
      <c r="M887" s="236"/>
      <c r="N887" s="236"/>
      <c r="O887" s="236"/>
      <c r="P887" s="236"/>
      <c r="Q887" s="236"/>
      <c r="R887" s="236"/>
      <c r="S887" s="236"/>
      <c r="T887" s="236"/>
      <c r="U887" s="236"/>
      <c r="V887" s="236"/>
      <c r="W887" s="237"/>
      <c r="X887" s="237"/>
      <c r="Y887" s="237"/>
      <c r="Z887" s="237"/>
      <c r="AA887" s="237"/>
      <c r="AB887" s="237"/>
      <c r="AC887" s="237"/>
      <c r="AD887" s="237"/>
      <c r="AE887" s="237"/>
      <c r="AF887" s="237"/>
      <c r="AG887" s="237"/>
      <c r="AH887" s="237"/>
      <c r="AI887" s="308"/>
      <c r="AJ887" s="308"/>
      <c r="AK887" s="308"/>
      <c r="AL887" s="308"/>
      <c r="AM887" s="98"/>
      <c r="AN887" s="98"/>
      <c r="AO887" s="98"/>
    </row>
    <row r="888" ht="14.25" customHeight="1">
      <c r="A888" s="98"/>
      <c r="B888" s="98"/>
      <c r="C888" s="98"/>
      <c r="D888" s="308"/>
      <c r="E888" s="98"/>
      <c r="F888" s="235"/>
      <c r="G888" s="235"/>
      <c r="H888" s="236"/>
      <c r="I888" s="236"/>
      <c r="J888" s="236"/>
      <c r="K888" s="236"/>
      <c r="L888" s="236"/>
      <c r="M888" s="236"/>
      <c r="N888" s="236"/>
      <c r="O888" s="236"/>
      <c r="P888" s="236"/>
      <c r="Q888" s="236"/>
      <c r="R888" s="236"/>
      <c r="S888" s="236"/>
      <c r="T888" s="236"/>
      <c r="U888" s="236"/>
      <c r="V888" s="236"/>
      <c r="W888" s="237"/>
      <c r="X888" s="237"/>
      <c r="Y888" s="237"/>
      <c r="Z888" s="237"/>
      <c r="AA888" s="237"/>
      <c r="AB888" s="237"/>
      <c r="AC888" s="237"/>
      <c r="AD888" s="237"/>
      <c r="AE888" s="237"/>
      <c r="AF888" s="237"/>
      <c r="AG888" s="237"/>
      <c r="AH888" s="237"/>
      <c r="AI888" s="308"/>
      <c r="AJ888" s="308"/>
      <c r="AK888" s="308"/>
      <c r="AL888" s="308"/>
      <c r="AM888" s="98"/>
      <c r="AN888" s="98"/>
      <c r="AO888" s="98"/>
    </row>
    <row r="889" ht="14.25" customHeight="1">
      <c r="A889" s="98"/>
      <c r="B889" s="98"/>
      <c r="C889" s="98"/>
      <c r="D889" s="308"/>
      <c r="E889" s="98"/>
      <c r="F889" s="235"/>
      <c r="G889" s="235"/>
      <c r="H889" s="236"/>
      <c r="I889" s="236"/>
      <c r="J889" s="236"/>
      <c r="K889" s="236"/>
      <c r="L889" s="236"/>
      <c r="M889" s="236"/>
      <c r="N889" s="236"/>
      <c r="O889" s="236"/>
      <c r="P889" s="236"/>
      <c r="Q889" s="236"/>
      <c r="R889" s="236"/>
      <c r="S889" s="236"/>
      <c r="T889" s="236"/>
      <c r="U889" s="236"/>
      <c r="V889" s="236"/>
      <c r="W889" s="237"/>
      <c r="X889" s="237"/>
      <c r="Y889" s="237"/>
      <c r="Z889" s="237"/>
      <c r="AA889" s="237"/>
      <c r="AB889" s="237"/>
      <c r="AC889" s="237"/>
      <c r="AD889" s="237"/>
      <c r="AE889" s="237"/>
      <c r="AF889" s="237"/>
      <c r="AG889" s="237"/>
      <c r="AH889" s="237"/>
      <c r="AI889" s="308"/>
      <c r="AJ889" s="308"/>
      <c r="AK889" s="308"/>
      <c r="AL889" s="308"/>
      <c r="AM889" s="98"/>
      <c r="AN889" s="98"/>
      <c r="AO889" s="98"/>
    </row>
    <row r="890" ht="14.25" customHeight="1">
      <c r="A890" s="98"/>
      <c r="B890" s="98"/>
      <c r="C890" s="98"/>
      <c r="D890" s="308"/>
      <c r="E890" s="98"/>
      <c r="F890" s="235"/>
      <c r="G890" s="235"/>
      <c r="H890" s="236"/>
      <c r="I890" s="236"/>
      <c r="J890" s="236"/>
      <c r="K890" s="236"/>
      <c r="L890" s="236"/>
      <c r="M890" s="236"/>
      <c r="N890" s="236"/>
      <c r="O890" s="236"/>
      <c r="P890" s="236"/>
      <c r="Q890" s="236"/>
      <c r="R890" s="236"/>
      <c r="S890" s="236"/>
      <c r="T890" s="236"/>
      <c r="U890" s="236"/>
      <c r="V890" s="236"/>
      <c r="W890" s="237"/>
      <c r="X890" s="237"/>
      <c r="Y890" s="237"/>
      <c r="Z890" s="237"/>
      <c r="AA890" s="237"/>
      <c r="AB890" s="237"/>
      <c r="AC890" s="237"/>
      <c r="AD890" s="237"/>
      <c r="AE890" s="237"/>
      <c r="AF890" s="237"/>
      <c r="AG890" s="237"/>
      <c r="AH890" s="237"/>
      <c r="AI890" s="308"/>
      <c r="AJ890" s="308"/>
      <c r="AK890" s="308"/>
      <c r="AL890" s="308"/>
      <c r="AM890" s="98"/>
      <c r="AN890" s="98"/>
      <c r="AO890" s="98"/>
    </row>
    <row r="891" ht="14.25" customHeight="1">
      <c r="A891" s="98"/>
      <c r="B891" s="98"/>
      <c r="C891" s="98"/>
      <c r="D891" s="308"/>
      <c r="E891" s="98"/>
      <c r="F891" s="235"/>
      <c r="G891" s="235"/>
      <c r="H891" s="236"/>
      <c r="I891" s="236"/>
      <c r="J891" s="236"/>
      <c r="K891" s="236"/>
      <c r="L891" s="236"/>
      <c r="M891" s="236"/>
      <c r="N891" s="236"/>
      <c r="O891" s="236"/>
      <c r="P891" s="236"/>
      <c r="Q891" s="236"/>
      <c r="R891" s="236"/>
      <c r="S891" s="236"/>
      <c r="T891" s="236"/>
      <c r="U891" s="236"/>
      <c r="V891" s="236"/>
      <c r="W891" s="237"/>
      <c r="X891" s="237"/>
      <c r="Y891" s="237"/>
      <c r="Z891" s="237"/>
      <c r="AA891" s="237"/>
      <c r="AB891" s="237"/>
      <c r="AC891" s="237"/>
      <c r="AD891" s="237"/>
      <c r="AE891" s="237"/>
      <c r="AF891" s="237"/>
      <c r="AG891" s="237"/>
      <c r="AH891" s="237"/>
      <c r="AI891" s="308"/>
      <c r="AJ891" s="308"/>
      <c r="AK891" s="308"/>
      <c r="AL891" s="308"/>
      <c r="AM891" s="98"/>
      <c r="AN891" s="98"/>
      <c r="AO891" s="98"/>
    </row>
    <row r="892" ht="14.25" customHeight="1">
      <c r="A892" s="98"/>
      <c r="B892" s="98"/>
      <c r="C892" s="98"/>
      <c r="D892" s="308"/>
      <c r="E892" s="98"/>
      <c r="F892" s="235"/>
      <c r="G892" s="235"/>
      <c r="H892" s="236"/>
      <c r="I892" s="236"/>
      <c r="J892" s="236"/>
      <c r="K892" s="236"/>
      <c r="L892" s="236"/>
      <c r="M892" s="236"/>
      <c r="N892" s="236"/>
      <c r="O892" s="236"/>
      <c r="P892" s="236"/>
      <c r="Q892" s="236"/>
      <c r="R892" s="236"/>
      <c r="S892" s="236"/>
      <c r="T892" s="236"/>
      <c r="U892" s="236"/>
      <c r="V892" s="236"/>
      <c r="W892" s="237"/>
      <c r="X892" s="237"/>
      <c r="Y892" s="237"/>
      <c r="Z892" s="237"/>
      <c r="AA892" s="237"/>
      <c r="AB892" s="237"/>
      <c r="AC892" s="237"/>
      <c r="AD892" s="237"/>
      <c r="AE892" s="237"/>
      <c r="AF892" s="237"/>
      <c r="AG892" s="237"/>
      <c r="AH892" s="237"/>
      <c r="AI892" s="308"/>
      <c r="AJ892" s="308"/>
      <c r="AK892" s="308"/>
      <c r="AL892" s="308"/>
      <c r="AM892" s="98"/>
      <c r="AN892" s="98"/>
      <c r="AO892" s="98"/>
    </row>
    <row r="893" ht="14.25" customHeight="1">
      <c r="A893" s="98"/>
      <c r="B893" s="98"/>
      <c r="C893" s="98"/>
      <c r="D893" s="308"/>
      <c r="E893" s="98"/>
      <c r="F893" s="235"/>
      <c r="G893" s="235"/>
      <c r="H893" s="236"/>
      <c r="I893" s="236"/>
      <c r="J893" s="236"/>
      <c r="K893" s="236"/>
      <c r="L893" s="236"/>
      <c r="M893" s="236"/>
      <c r="N893" s="236"/>
      <c r="O893" s="236"/>
      <c r="P893" s="236"/>
      <c r="Q893" s="236"/>
      <c r="R893" s="236"/>
      <c r="S893" s="236"/>
      <c r="T893" s="236"/>
      <c r="U893" s="236"/>
      <c r="V893" s="236"/>
      <c r="W893" s="237"/>
      <c r="X893" s="237"/>
      <c r="Y893" s="237"/>
      <c r="Z893" s="237"/>
      <c r="AA893" s="237"/>
      <c r="AB893" s="237"/>
      <c r="AC893" s="237"/>
      <c r="AD893" s="237"/>
      <c r="AE893" s="237"/>
      <c r="AF893" s="237"/>
      <c r="AG893" s="237"/>
      <c r="AH893" s="237"/>
      <c r="AI893" s="308"/>
      <c r="AJ893" s="308"/>
      <c r="AK893" s="308"/>
      <c r="AL893" s="308"/>
      <c r="AM893" s="98"/>
      <c r="AN893" s="98"/>
      <c r="AO893" s="98"/>
    </row>
    <row r="894" ht="14.25" customHeight="1">
      <c r="A894" s="98"/>
      <c r="B894" s="98"/>
      <c r="C894" s="98"/>
      <c r="D894" s="308"/>
      <c r="E894" s="98"/>
      <c r="F894" s="235"/>
      <c r="G894" s="235"/>
      <c r="H894" s="236"/>
      <c r="I894" s="236"/>
      <c r="J894" s="236"/>
      <c r="K894" s="236"/>
      <c r="L894" s="236"/>
      <c r="M894" s="236"/>
      <c r="N894" s="236"/>
      <c r="O894" s="236"/>
      <c r="P894" s="236"/>
      <c r="Q894" s="236"/>
      <c r="R894" s="236"/>
      <c r="S894" s="236"/>
      <c r="T894" s="236"/>
      <c r="U894" s="236"/>
      <c r="V894" s="236"/>
      <c r="W894" s="237"/>
      <c r="X894" s="237"/>
      <c r="Y894" s="237"/>
      <c r="Z894" s="237"/>
      <c r="AA894" s="237"/>
      <c r="AB894" s="237"/>
      <c r="AC894" s="237"/>
      <c r="AD894" s="237"/>
      <c r="AE894" s="237"/>
      <c r="AF894" s="237"/>
      <c r="AG894" s="237"/>
      <c r="AH894" s="237"/>
      <c r="AI894" s="308"/>
      <c r="AJ894" s="308"/>
      <c r="AK894" s="308"/>
      <c r="AL894" s="308"/>
      <c r="AM894" s="98"/>
      <c r="AN894" s="98"/>
      <c r="AO894" s="98"/>
    </row>
    <row r="895" ht="14.25" customHeight="1">
      <c r="A895" s="98"/>
      <c r="B895" s="98"/>
      <c r="C895" s="98"/>
      <c r="D895" s="308"/>
      <c r="E895" s="98"/>
      <c r="F895" s="235"/>
      <c r="G895" s="235"/>
      <c r="H895" s="236"/>
      <c r="I895" s="236"/>
      <c r="J895" s="236"/>
      <c r="K895" s="236"/>
      <c r="L895" s="236"/>
      <c r="M895" s="236"/>
      <c r="N895" s="236"/>
      <c r="O895" s="236"/>
      <c r="P895" s="236"/>
      <c r="Q895" s="236"/>
      <c r="R895" s="236"/>
      <c r="S895" s="236"/>
      <c r="T895" s="236"/>
      <c r="U895" s="236"/>
      <c r="V895" s="236"/>
      <c r="W895" s="237"/>
      <c r="X895" s="237"/>
      <c r="Y895" s="237"/>
      <c r="Z895" s="237"/>
      <c r="AA895" s="237"/>
      <c r="AB895" s="237"/>
      <c r="AC895" s="237"/>
      <c r="AD895" s="237"/>
      <c r="AE895" s="237"/>
      <c r="AF895" s="237"/>
      <c r="AG895" s="237"/>
      <c r="AH895" s="237"/>
      <c r="AI895" s="308"/>
      <c r="AJ895" s="308"/>
      <c r="AK895" s="308"/>
      <c r="AL895" s="308"/>
      <c r="AM895" s="98"/>
      <c r="AN895" s="98"/>
      <c r="AO895" s="98"/>
    </row>
    <row r="896" ht="14.25" customHeight="1">
      <c r="A896" s="98"/>
      <c r="B896" s="98"/>
      <c r="C896" s="98"/>
      <c r="D896" s="308"/>
      <c r="E896" s="98"/>
      <c r="F896" s="235"/>
      <c r="G896" s="235"/>
      <c r="H896" s="236"/>
      <c r="I896" s="236"/>
      <c r="J896" s="236"/>
      <c r="K896" s="236"/>
      <c r="L896" s="236"/>
      <c r="M896" s="236"/>
      <c r="N896" s="236"/>
      <c r="O896" s="236"/>
      <c r="P896" s="236"/>
      <c r="Q896" s="236"/>
      <c r="R896" s="236"/>
      <c r="S896" s="236"/>
      <c r="T896" s="236"/>
      <c r="U896" s="236"/>
      <c r="V896" s="236"/>
      <c r="W896" s="237"/>
      <c r="X896" s="237"/>
      <c r="Y896" s="237"/>
      <c r="Z896" s="237"/>
      <c r="AA896" s="237"/>
      <c r="AB896" s="237"/>
      <c r="AC896" s="237"/>
      <c r="AD896" s="237"/>
      <c r="AE896" s="237"/>
      <c r="AF896" s="237"/>
      <c r="AG896" s="237"/>
      <c r="AH896" s="237"/>
      <c r="AI896" s="308"/>
      <c r="AJ896" s="308"/>
      <c r="AK896" s="308"/>
      <c r="AL896" s="308"/>
      <c r="AM896" s="98"/>
      <c r="AN896" s="98"/>
      <c r="AO896" s="98"/>
    </row>
    <row r="897" ht="14.25" customHeight="1">
      <c r="A897" s="98"/>
      <c r="B897" s="98"/>
      <c r="C897" s="98"/>
      <c r="D897" s="308"/>
      <c r="E897" s="98"/>
      <c r="F897" s="235"/>
      <c r="G897" s="235"/>
      <c r="H897" s="236"/>
      <c r="I897" s="236"/>
      <c r="J897" s="236"/>
      <c r="K897" s="236"/>
      <c r="L897" s="236"/>
      <c r="M897" s="236"/>
      <c r="N897" s="236"/>
      <c r="O897" s="236"/>
      <c r="P897" s="236"/>
      <c r="Q897" s="236"/>
      <c r="R897" s="236"/>
      <c r="S897" s="236"/>
      <c r="T897" s="236"/>
      <c r="U897" s="236"/>
      <c r="V897" s="236"/>
      <c r="W897" s="237"/>
      <c r="X897" s="237"/>
      <c r="Y897" s="237"/>
      <c r="Z897" s="237"/>
      <c r="AA897" s="237"/>
      <c r="AB897" s="237"/>
      <c r="AC897" s="237"/>
      <c r="AD897" s="237"/>
      <c r="AE897" s="237"/>
      <c r="AF897" s="237"/>
      <c r="AG897" s="237"/>
      <c r="AH897" s="237"/>
      <c r="AI897" s="308"/>
      <c r="AJ897" s="308"/>
      <c r="AK897" s="308"/>
      <c r="AL897" s="308"/>
      <c r="AM897" s="98"/>
      <c r="AN897" s="98"/>
      <c r="AO897" s="98"/>
    </row>
    <row r="898" ht="14.25" customHeight="1">
      <c r="A898" s="98"/>
      <c r="B898" s="98"/>
      <c r="C898" s="98"/>
      <c r="D898" s="308"/>
      <c r="E898" s="98"/>
      <c r="F898" s="235"/>
      <c r="G898" s="235"/>
      <c r="H898" s="236"/>
      <c r="I898" s="236"/>
      <c r="J898" s="236"/>
      <c r="K898" s="236"/>
      <c r="L898" s="236"/>
      <c r="M898" s="236"/>
      <c r="N898" s="236"/>
      <c r="O898" s="236"/>
      <c r="P898" s="236"/>
      <c r="Q898" s="236"/>
      <c r="R898" s="236"/>
      <c r="S898" s="236"/>
      <c r="T898" s="236"/>
      <c r="U898" s="236"/>
      <c r="V898" s="236"/>
      <c r="W898" s="237"/>
      <c r="X898" s="237"/>
      <c r="Y898" s="237"/>
      <c r="Z898" s="237"/>
      <c r="AA898" s="237"/>
      <c r="AB898" s="237"/>
      <c r="AC898" s="237"/>
      <c r="AD898" s="237"/>
      <c r="AE898" s="237"/>
      <c r="AF898" s="237"/>
      <c r="AG898" s="237"/>
      <c r="AH898" s="237"/>
      <c r="AI898" s="308"/>
      <c r="AJ898" s="308"/>
      <c r="AK898" s="308"/>
      <c r="AL898" s="308"/>
      <c r="AM898" s="98"/>
      <c r="AN898" s="98"/>
      <c r="AO898" s="98"/>
    </row>
    <row r="899" ht="14.25" customHeight="1">
      <c r="A899" s="98"/>
      <c r="B899" s="98"/>
      <c r="C899" s="98"/>
      <c r="D899" s="308"/>
      <c r="E899" s="98"/>
      <c r="F899" s="235"/>
      <c r="G899" s="235"/>
      <c r="H899" s="236"/>
      <c r="I899" s="236"/>
      <c r="J899" s="236"/>
      <c r="K899" s="236"/>
      <c r="L899" s="236"/>
      <c r="M899" s="236"/>
      <c r="N899" s="236"/>
      <c r="O899" s="236"/>
      <c r="P899" s="236"/>
      <c r="Q899" s="236"/>
      <c r="R899" s="236"/>
      <c r="S899" s="236"/>
      <c r="T899" s="236"/>
      <c r="U899" s="236"/>
      <c r="V899" s="236"/>
      <c r="W899" s="237"/>
      <c r="X899" s="237"/>
      <c r="Y899" s="237"/>
      <c r="Z899" s="237"/>
      <c r="AA899" s="237"/>
      <c r="AB899" s="237"/>
      <c r="AC899" s="237"/>
      <c r="AD899" s="237"/>
      <c r="AE899" s="237"/>
      <c r="AF899" s="237"/>
      <c r="AG899" s="237"/>
      <c r="AH899" s="237"/>
      <c r="AI899" s="308"/>
      <c r="AJ899" s="308"/>
      <c r="AK899" s="308"/>
      <c r="AL899" s="308"/>
      <c r="AM899" s="98"/>
      <c r="AN899" s="98"/>
      <c r="AO899" s="98"/>
    </row>
    <row r="900" ht="14.25" customHeight="1">
      <c r="A900" s="98"/>
      <c r="B900" s="98"/>
      <c r="C900" s="98"/>
      <c r="D900" s="308"/>
      <c r="E900" s="98"/>
      <c r="F900" s="235"/>
      <c r="G900" s="235"/>
      <c r="H900" s="236"/>
      <c r="I900" s="236"/>
      <c r="J900" s="236"/>
      <c r="K900" s="236"/>
      <c r="L900" s="236"/>
      <c r="M900" s="236"/>
      <c r="N900" s="236"/>
      <c r="O900" s="236"/>
      <c r="P900" s="236"/>
      <c r="Q900" s="236"/>
      <c r="R900" s="236"/>
      <c r="S900" s="236"/>
      <c r="T900" s="236"/>
      <c r="U900" s="236"/>
      <c r="V900" s="236"/>
      <c r="W900" s="237"/>
      <c r="X900" s="237"/>
      <c r="Y900" s="237"/>
      <c r="Z900" s="237"/>
      <c r="AA900" s="237"/>
      <c r="AB900" s="237"/>
      <c r="AC900" s="237"/>
      <c r="AD900" s="237"/>
      <c r="AE900" s="237"/>
      <c r="AF900" s="237"/>
      <c r="AG900" s="237"/>
      <c r="AH900" s="237"/>
      <c r="AI900" s="308"/>
      <c r="AJ900" s="308"/>
      <c r="AK900" s="308"/>
      <c r="AL900" s="308"/>
      <c r="AM900" s="98"/>
      <c r="AN900" s="98"/>
      <c r="AO900" s="98"/>
    </row>
    <row r="901" ht="14.25" customHeight="1">
      <c r="A901" s="98"/>
      <c r="B901" s="98"/>
      <c r="C901" s="98"/>
      <c r="D901" s="308"/>
      <c r="E901" s="98"/>
      <c r="F901" s="235"/>
      <c r="G901" s="235"/>
      <c r="H901" s="236"/>
      <c r="I901" s="236"/>
      <c r="J901" s="236"/>
      <c r="K901" s="236"/>
      <c r="L901" s="236"/>
      <c r="M901" s="236"/>
      <c r="N901" s="236"/>
      <c r="O901" s="236"/>
      <c r="P901" s="236"/>
      <c r="Q901" s="236"/>
      <c r="R901" s="236"/>
      <c r="S901" s="236"/>
      <c r="T901" s="236"/>
      <c r="U901" s="236"/>
      <c r="V901" s="236"/>
      <c r="W901" s="237"/>
      <c r="X901" s="237"/>
      <c r="Y901" s="237"/>
      <c r="Z901" s="237"/>
      <c r="AA901" s="237"/>
      <c r="AB901" s="237"/>
      <c r="AC901" s="237"/>
      <c r="AD901" s="237"/>
      <c r="AE901" s="237"/>
      <c r="AF901" s="237"/>
      <c r="AG901" s="237"/>
      <c r="AH901" s="237"/>
      <c r="AI901" s="308"/>
      <c r="AJ901" s="308"/>
      <c r="AK901" s="308"/>
      <c r="AL901" s="308"/>
      <c r="AM901" s="98"/>
      <c r="AN901" s="98"/>
      <c r="AO901" s="98"/>
    </row>
    <row r="902" ht="14.25" customHeight="1">
      <c r="A902" s="98"/>
      <c r="B902" s="98"/>
      <c r="C902" s="98"/>
      <c r="D902" s="308"/>
      <c r="E902" s="98"/>
      <c r="F902" s="235"/>
      <c r="G902" s="235"/>
      <c r="H902" s="236"/>
      <c r="I902" s="236"/>
      <c r="J902" s="236"/>
      <c r="K902" s="236"/>
      <c r="L902" s="236"/>
      <c r="M902" s="236"/>
      <c r="N902" s="236"/>
      <c r="O902" s="236"/>
      <c r="P902" s="236"/>
      <c r="Q902" s="236"/>
      <c r="R902" s="236"/>
      <c r="S902" s="236"/>
      <c r="T902" s="236"/>
      <c r="U902" s="236"/>
      <c r="V902" s="236"/>
      <c r="W902" s="237"/>
      <c r="X902" s="237"/>
      <c r="Y902" s="237"/>
      <c r="Z902" s="237"/>
      <c r="AA902" s="237"/>
      <c r="AB902" s="237"/>
      <c r="AC902" s="237"/>
      <c r="AD902" s="237"/>
      <c r="AE902" s="237"/>
      <c r="AF902" s="237"/>
      <c r="AG902" s="237"/>
      <c r="AH902" s="237"/>
      <c r="AI902" s="308"/>
      <c r="AJ902" s="308"/>
      <c r="AK902" s="308"/>
      <c r="AL902" s="308"/>
      <c r="AM902" s="98"/>
      <c r="AN902" s="98"/>
      <c r="AO902" s="98"/>
    </row>
    <row r="903" ht="14.25" customHeight="1">
      <c r="A903" s="98"/>
      <c r="B903" s="98"/>
      <c r="C903" s="98"/>
      <c r="D903" s="308"/>
      <c r="E903" s="98"/>
      <c r="F903" s="235"/>
      <c r="G903" s="235"/>
      <c r="H903" s="236"/>
      <c r="I903" s="236"/>
      <c r="J903" s="236"/>
      <c r="K903" s="236"/>
      <c r="L903" s="236"/>
      <c r="M903" s="236"/>
      <c r="N903" s="236"/>
      <c r="O903" s="236"/>
      <c r="P903" s="236"/>
      <c r="Q903" s="236"/>
      <c r="R903" s="236"/>
      <c r="S903" s="236"/>
      <c r="T903" s="236"/>
      <c r="U903" s="236"/>
      <c r="V903" s="236"/>
      <c r="W903" s="237"/>
      <c r="X903" s="237"/>
      <c r="Y903" s="237"/>
      <c r="Z903" s="237"/>
      <c r="AA903" s="237"/>
      <c r="AB903" s="237"/>
      <c r="AC903" s="237"/>
      <c r="AD903" s="237"/>
      <c r="AE903" s="237"/>
      <c r="AF903" s="237"/>
      <c r="AG903" s="237"/>
      <c r="AH903" s="237"/>
      <c r="AI903" s="308"/>
      <c r="AJ903" s="308"/>
      <c r="AK903" s="308"/>
      <c r="AL903" s="308"/>
      <c r="AM903" s="98"/>
      <c r="AN903" s="98"/>
      <c r="AO903" s="98"/>
    </row>
    <row r="904" ht="14.25" customHeight="1">
      <c r="A904" s="98"/>
      <c r="B904" s="98"/>
      <c r="C904" s="98"/>
      <c r="D904" s="308"/>
      <c r="E904" s="98"/>
      <c r="F904" s="235"/>
      <c r="G904" s="235"/>
      <c r="H904" s="236"/>
      <c r="I904" s="236"/>
      <c r="J904" s="236"/>
      <c r="K904" s="236"/>
      <c r="L904" s="236"/>
      <c r="M904" s="236"/>
      <c r="N904" s="236"/>
      <c r="O904" s="236"/>
      <c r="P904" s="236"/>
      <c r="Q904" s="236"/>
      <c r="R904" s="236"/>
      <c r="S904" s="236"/>
      <c r="T904" s="236"/>
      <c r="U904" s="236"/>
      <c r="V904" s="236"/>
      <c r="W904" s="237"/>
      <c r="X904" s="237"/>
      <c r="Y904" s="237"/>
      <c r="Z904" s="237"/>
      <c r="AA904" s="237"/>
      <c r="AB904" s="237"/>
      <c r="AC904" s="237"/>
      <c r="AD904" s="237"/>
      <c r="AE904" s="237"/>
      <c r="AF904" s="237"/>
      <c r="AG904" s="237"/>
      <c r="AH904" s="237"/>
      <c r="AI904" s="308"/>
      <c r="AJ904" s="308"/>
      <c r="AK904" s="308"/>
      <c r="AL904" s="308"/>
      <c r="AM904" s="98"/>
      <c r="AN904" s="98"/>
      <c r="AO904" s="98"/>
    </row>
    <row r="905" ht="14.25" customHeight="1">
      <c r="A905" s="98"/>
      <c r="B905" s="98"/>
      <c r="C905" s="98"/>
      <c r="D905" s="308"/>
      <c r="E905" s="98"/>
      <c r="F905" s="235"/>
      <c r="G905" s="235"/>
      <c r="H905" s="236"/>
      <c r="I905" s="236"/>
      <c r="J905" s="236"/>
      <c r="K905" s="236"/>
      <c r="L905" s="236"/>
      <c r="M905" s="236"/>
      <c r="N905" s="236"/>
      <c r="O905" s="236"/>
      <c r="P905" s="236"/>
      <c r="Q905" s="236"/>
      <c r="R905" s="236"/>
      <c r="S905" s="236"/>
      <c r="T905" s="236"/>
      <c r="U905" s="236"/>
      <c r="V905" s="236"/>
      <c r="W905" s="237"/>
      <c r="X905" s="237"/>
      <c r="Y905" s="237"/>
      <c r="Z905" s="237"/>
      <c r="AA905" s="237"/>
      <c r="AB905" s="237"/>
      <c r="AC905" s="237"/>
      <c r="AD905" s="237"/>
      <c r="AE905" s="237"/>
      <c r="AF905" s="237"/>
      <c r="AG905" s="237"/>
      <c r="AH905" s="237"/>
      <c r="AI905" s="308"/>
      <c r="AJ905" s="308"/>
      <c r="AK905" s="308"/>
      <c r="AL905" s="308"/>
      <c r="AM905" s="98"/>
      <c r="AN905" s="98"/>
      <c r="AO905" s="98"/>
    </row>
    <row r="906" ht="14.25" customHeight="1">
      <c r="A906" s="98"/>
      <c r="B906" s="98"/>
      <c r="C906" s="98"/>
      <c r="D906" s="308"/>
      <c r="E906" s="98"/>
      <c r="F906" s="235"/>
      <c r="G906" s="235"/>
      <c r="H906" s="236"/>
      <c r="I906" s="236"/>
      <c r="J906" s="236"/>
      <c r="K906" s="236"/>
      <c r="L906" s="236"/>
      <c r="M906" s="236"/>
      <c r="N906" s="236"/>
      <c r="O906" s="236"/>
      <c r="P906" s="236"/>
      <c r="Q906" s="236"/>
      <c r="R906" s="236"/>
      <c r="S906" s="236"/>
      <c r="T906" s="236"/>
      <c r="U906" s="236"/>
      <c r="V906" s="236"/>
      <c r="W906" s="237"/>
      <c r="X906" s="237"/>
      <c r="Y906" s="237"/>
      <c r="Z906" s="237"/>
      <c r="AA906" s="237"/>
      <c r="AB906" s="237"/>
      <c r="AC906" s="237"/>
      <c r="AD906" s="237"/>
      <c r="AE906" s="237"/>
      <c r="AF906" s="237"/>
      <c r="AG906" s="237"/>
      <c r="AH906" s="237"/>
      <c r="AI906" s="308"/>
      <c r="AJ906" s="308"/>
      <c r="AK906" s="308"/>
      <c r="AL906" s="308"/>
      <c r="AM906" s="98"/>
      <c r="AN906" s="98"/>
      <c r="AO906" s="98"/>
    </row>
    <row r="907" ht="14.25" customHeight="1">
      <c r="A907" s="98"/>
      <c r="B907" s="98"/>
      <c r="C907" s="98"/>
      <c r="D907" s="308"/>
      <c r="E907" s="98"/>
      <c r="F907" s="235"/>
      <c r="G907" s="235"/>
      <c r="H907" s="236"/>
      <c r="I907" s="236"/>
      <c r="J907" s="236"/>
      <c r="K907" s="236"/>
      <c r="L907" s="236"/>
      <c r="M907" s="236"/>
      <c r="N907" s="236"/>
      <c r="O907" s="236"/>
      <c r="P907" s="236"/>
      <c r="Q907" s="236"/>
      <c r="R907" s="236"/>
      <c r="S907" s="236"/>
      <c r="T907" s="236"/>
      <c r="U907" s="236"/>
      <c r="V907" s="236"/>
      <c r="W907" s="237"/>
      <c r="X907" s="237"/>
      <c r="Y907" s="237"/>
      <c r="Z907" s="237"/>
      <c r="AA907" s="237"/>
      <c r="AB907" s="237"/>
      <c r="AC907" s="237"/>
      <c r="AD907" s="237"/>
      <c r="AE907" s="237"/>
      <c r="AF907" s="237"/>
      <c r="AG907" s="237"/>
      <c r="AH907" s="237"/>
      <c r="AI907" s="308"/>
      <c r="AJ907" s="308"/>
      <c r="AK907" s="308"/>
      <c r="AL907" s="308"/>
      <c r="AM907" s="98"/>
      <c r="AN907" s="98"/>
      <c r="AO907" s="98"/>
    </row>
    <row r="908" ht="14.25" customHeight="1">
      <c r="A908" s="98"/>
      <c r="B908" s="98"/>
      <c r="C908" s="98"/>
      <c r="D908" s="308"/>
      <c r="E908" s="98"/>
      <c r="F908" s="235"/>
      <c r="G908" s="235"/>
      <c r="H908" s="236"/>
      <c r="I908" s="236"/>
      <c r="J908" s="236"/>
      <c r="K908" s="236"/>
      <c r="L908" s="236"/>
      <c r="M908" s="236"/>
      <c r="N908" s="236"/>
      <c r="O908" s="236"/>
      <c r="P908" s="236"/>
      <c r="Q908" s="236"/>
      <c r="R908" s="236"/>
      <c r="S908" s="236"/>
      <c r="T908" s="236"/>
      <c r="U908" s="236"/>
      <c r="V908" s="236"/>
      <c r="W908" s="237"/>
      <c r="X908" s="237"/>
      <c r="Y908" s="237"/>
      <c r="Z908" s="237"/>
      <c r="AA908" s="237"/>
      <c r="AB908" s="237"/>
      <c r="AC908" s="237"/>
      <c r="AD908" s="237"/>
      <c r="AE908" s="237"/>
      <c r="AF908" s="237"/>
      <c r="AG908" s="237"/>
      <c r="AH908" s="237"/>
      <c r="AI908" s="308"/>
      <c r="AJ908" s="308"/>
      <c r="AK908" s="308"/>
      <c r="AL908" s="308"/>
      <c r="AM908" s="98"/>
      <c r="AN908" s="98"/>
      <c r="AO908" s="98"/>
    </row>
    <row r="909" ht="14.25" customHeight="1">
      <c r="A909" s="98"/>
      <c r="B909" s="98"/>
      <c r="C909" s="98"/>
      <c r="D909" s="308"/>
      <c r="E909" s="98"/>
      <c r="F909" s="235"/>
      <c r="G909" s="235"/>
      <c r="H909" s="236"/>
      <c r="I909" s="236"/>
      <c r="J909" s="236"/>
      <c r="K909" s="236"/>
      <c r="L909" s="236"/>
      <c r="M909" s="236"/>
      <c r="N909" s="236"/>
      <c r="O909" s="236"/>
      <c r="P909" s="236"/>
      <c r="Q909" s="236"/>
      <c r="R909" s="236"/>
      <c r="S909" s="236"/>
      <c r="T909" s="236"/>
      <c r="U909" s="236"/>
      <c r="V909" s="236"/>
      <c r="W909" s="237"/>
      <c r="X909" s="237"/>
      <c r="Y909" s="237"/>
      <c r="Z909" s="237"/>
      <c r="AA909" s="237"/>
      <c r="AB909" s="237"/>
      <c r="AC909" s="237"/>
      <c r="AD909" s="237"/>
      <c r="AE909" s="237"/>
      <c r="AF909" s="237"/>
      <c r="AG909" s="237"/>
      <c r="AH909" s="237"/>
      <c r="AI909" s="308"/>
      <c r="AJ909" s="308"/>
      <c r="AK909" s="308"/>
      <c r="AL909" s="308"/>
      <c r="AM909" s="98"/>
      <c r="AN909" s="98"/>
      <c r="AO909" s="98"/>
    </row>
    <row r="910" ht="14.25" customHeight="1">
      <c r="A910" s="98"/>
      <c r="B910" s="98"/>
      <c r="C910" s="98"/>
      <c r="D910" s="308"/>
      <c r="E910" s="98"/>
      <c r="F910" s="235"/>
      <c r="G910" s="235"/>
      <c r="H910" s="236"/>
      <c r="I910" s="236"/>
      <c r="J910" s="236"/>
      <c r="K910" s="236"/>
      <c r="L910" s="236"/>
      <c r="M910" s="236"/>
      <c r="N910" s="236"/>
      <c r="O910" s="236"/>
      <c r="P910" s="236"/>
      <c r="Q910" s="236"/>
      <c r="R910" s="236"/>
      <c r="S910" s="236"/>
      <c r="T910" s="236"/>
      <c r="U910" s="236"/>
      <c r="V910" s="236"/>
      <c r="W910" s="237"/>
      <c r="X910" s="237"/>
      <c r="Y910" s="237"/>
      <c r="Z910" s="237"/>
      <c r="AA910" s="237"/>
      <c r="AB910" s="237"/>
      <c r="AC910" s="237"/>
      <c r="AD910" s="237"/>
      <c r="AE910" s="237"/>
      <c r="AF910" s="237"/>
      <c r="AG910" s="237"/>
      <c r="AH910" s="237"/>
      <c r="AI910" s="308"/>
      <c r="AJ910" s="308"/>
      <c r="AK910" s="308"/>
      <c r="AL910" s="308"/>
      <c r="AM910" s="98"/>
      <c r="AN910" s="98"/>
      <c r="AO910" s="98"/>
    </row>
    <row r="911" ht="14.25" customHeight="1">
      <c r="A911" s="98"/>
      <c r="B911" s="98"/>
      <c r="C911" s="98"/>
      <c r="D911" s="308"/>
      <c r="E911" s="98"/>
      <c r="F911" s="235"/>
      <c r="G911" s="235"/>
      <c r="H911" s="236"/>
      <c r="I911" s="236"/>
      <c r="J911" s="236"/>
      <c r="K911" s="236"/>
      <c r="L911" s="236"/>
      <c r="M911" s="236"/>
      <c r="N911" s="236"/>
      <c r="O911" s="236"/>
      <c r="P911" s="236"/>
      <c r="Q911" s="236"/>
      <c r="R911" s="236"/>
      <c r="S911" s="236"/>
      <c r="T911" s="236"/>
      <c r="U911" s="236"/>
      <c r="V911" s="236"/>
      <c r="W911" s="237"/>
      <c r="X911" s="237"/>
      <c r="Y911" s="237"/>
      <c r="Z911" s="237"/>
      <c r="AA911" s="237"/>
      <c r="AB911" s="237"/>
      <c r="AC911" s="237"/>
      <c r="AD911" s="237"/>
      <c r="AE911" s="237"/>
      <c r="AF911" s="237"/>
      <c r="AG911" s="237"/>
      <c r="AH911" s="237"/>
      <c r="AI911" s="308"/>
      <c r="AJ911" s="308"/>
      <c r="AK911" s="308"/>
      <c r="AL911" s="308"/>
      <c r="AM911" s="98"/>
      <c r="AN911" s="98"/>
      <c r="AO911" s="98"/>
    </row>
    <row r="912" ht="14.25" customHeight="1">
      <c r="A912" s="98"/>
      <c r="B912" s="98"/>
      <c r="C912" s="98"/>
      <c r="D912" s="308"/>
      <c r="E912" s="98"/>
      <c r="F912" s="235"/>
      <c r="G912" s="235"/>
      <c r="H912" s="236"/>
      <c r="I912" s="236"/>
      <c r="J912" s="236"/>
      <c r="K912" s="236"/>
      <c r="L912" s="236"/>
      <c r="M912" s="236"/>
      <c r="N912" s="236"/>
      <c r="O912" s="236"/>
      <c r="P912" s="236"/>
      <c r="Q912" s="236"/>
      <c r="R912" s="236"/>
      <c r="S912" s="236"/>
      <c r="T912" s="236"/>
      <c r="U912" s="236"/>
      <c r="V912" s="236"/>
      <c r="W912" s="237"/>
      <c r="X912" s="237"/>
      <c r="Y912" s="237"/>
      <c r="Z912" s="237"/>
      <c r="AA912" s="237"/>
      <c r="AB912" s="237"/>
      <c r="AC912" s="237"/>
      <c r="AD912" s="237"/>
      <c r="AE912" s="237"/>
      <c r="AF912" s="237"/>
      <c r="AG912" s="237"/>
      <c r="AH912" s="237"/>
      <c r="AI912" s="308"/>
      <c r="AJ912" s="308"/>
      <c r="AK912" s="308"/>
      <c r="AL912" s="308"/>
      <c r="AM912" s="98"/>
      <c r="AN912" s="98"/>
      <c r="AO912" s="98"/>
    </row>
    <row r="913" ht="14.25" customHeight="1">
      <c r="A913" s="98"/>
      <c r="B913" s="98"/>
      <c r="C913" s="98"/>
      <c r="D913" s="308"/>
      <c r="E913" s="98"/>
      <c r="F913" s="235"/>
      <c r="G913" s="235"/>
      <c r="H913" s="236"/>
      <c r="I913" s="236"/>
      <c r="J913" s="236"/>
      <c r="K913" s="236"/>
      <c r="L913" s="236"/>
      <c r="M913" s="236"/>
      <c r="N913" s="236"/>
      <c r="O913" s="236"/>
      <c r="P913" s="236"/>
      <c r="Q913" s="236"/>
      <c r="R913" s="236"/>
      <c r="S913" s="236"/>
      <c r="T913" s="236"/>
      <c r="U913" s="236"/>
      <c r="V913" s="236"/>
      <c r="W913" s="237"/>
      <c r="X913" s="237"/>
      <c r="Y913" s="237"/>
      <c r="Z913" s="237"/>
      <c r="AA913" s="237"/>
      <c r="AB913" s="237"/>
      <c r="AC913" s="237"/>
      <c r="AD913" s="237"/>
      <c r="AE913" s="237"/>
      <c r="AF913" s="237"/>
      <c r="AG913" s="237"/>
      <c r="AH913" s="237"/>
      <c r="AI913" s="308"/>
      <c r="AJ913" s="308"/>
      <c r="AK913" s="308"/>
      <c r="AL913" s="308"/>
      <c r="AM913" s="98"/>
      <c r="AN913" s="98"/>
      <c r="AO913" s="98"/>
    </row>
    <row r="914" ht="14.25" customHeight="1">
      <c r="A914" s="98"/>
      <c r="B914" s="98"/>
      <c r="C914" s="98"/>
      <c r="D914" s="308"/>
      <c r="E914" s="98"/>
      <c r="F914" s="235"/>
      <c r="G914" s="235"/>
      <c r="H914" s="236"/>
      <c r="I914" s="236"/>
      <c r="J914" s="236"/>
      <c r="K914" s="236"/>
      <c r="L914" s="236"/>
      <c r="M914" s="236"/>
      <c r="N914" s="236"/>
      <c r="O914" s="236"/>
      <c r="P914" s="236"/>
      <c r="Q914" s="236"/>
      <c r="R914" s="236"/>
      <c r="S914" s="236"/>
      <c r="T914" s="236"/>
      <c r="U914" s="236"/>
      <c r="V914" s="236"/>
      <c r="W914" s="237"/>
      <c r="X914" s="237"/>
      <c r="Y914" s="237"/>
      <c r="Z914" s="237"/>
      <c r="AA914" s="237"/>
      <c r="AB914" s="237"/>
      <c r="AC914" s="237"/>
      <c r="AD914" s="237"/>
      <c r="AE914" s="237"/>
      <c r="AF914" s="237"/>
      <c r="AG914" s="237"/>
      <c r="AH914" s="237"/>
      <c r="AI914" s="308"/>
      <c r="AJ914" s="308"/>
      <c r="AK914" s="308"/>
      <c r="AL914" s="308"/>
      <c r="AM914" s="98"/>
      <c r="AN914" s="98"/>
      <c r="AO914" s="98"/>
    </row>
    <row r="915" ht="14.25" customHeight="1">
      <c r="A915" s="98"/>
      <c r="B915" s="98"/>
      <c r="C915" s="98"/>
      <c r="D915" s="308"/>
      <c r="E915" s="98"/>
      <c r="F915" s="235"/>
      <c r="G915" s="235"/>
      <c r="H915" s="236"/>
      <c r="I915" s="236"/>
      <c r="J915" s="236"/>
      <c r="K915" s="236"/>
      <c r="L915" s="236"/>
      <c r="M915" s="236"/>
      <c r="N915" s="236"/>
      <c r="O915" s="236"/>
      <c r="P915" s="236"/>
      <c r="Q915" s="236"/>
      <c r="R915" s="236"/>
      <c r="S915" s="236"/>
      <c r="T915" s="236"/>
      <c r="U915" s="236"/>
      <c r="V915" s="236"/>
      <c r="W915" s="237"/>
      <c r="X915" s="237"/>
      <c r="Y915" s="237"/>
      <c r="Z915" s="237"/>
      <c r="AA915" s="237"/>
      <c r="AB915" s="237"/>
      <c r="AC915" s="237"/>
      <c r="AD915" s="237"/>
      <c r="AE915" s="237"/>
      <c r="AF915" s="237"/>
      <c r="AG915" s="237"/>
      <c r="AH915" s="237"/>
      <c r="AI915" s="308"/>
      <c r="AJ915" s="308"/>
      <c r="AK915" s="308"/>
      <c r="AL915" s="308"/>
      <c r="AM915" s="98"/>
      <c r="AN915" s="98"/>
      <c r="AO915" s="98"/>
    </row>
    <row r="916" ht="14.25" customHeight="1">
      <c r="A916" s="98"/>
      <c r="B916" s="98"/>
      <c r="C916" s="98"/>
      <c r="D916" s="308"/>
      <c r="E916" s="98"/>
      <c r="F916" s="235"/>
      <c r="G916" s="235"/>
      <c r="H916" s="236"/>
      <c r="I916" s="236"/>
      <c r="J916" s="236"/>
      <c r="K916" s="236"/>
      <c r="L916" s="236"/>
      <c r="M916" s="236"/>
      <c r="N916" s="236"/>
      <c r="O916" s="236"/>
      <c r="P916" s="236"/>
      <c r="Q916" s="236"/>
      <c r="R916" s="236"/>
      <c r="S916" s="236"/>
      <c r="T916" s="236"/>
      <c r="U916" s="236"/>
      <c r="V916" s="236"/>
      <c r="W916" s="237"/>
      <c r="X916" s="237"/>
      <c r="Y916" s="237"/>
      <c r="Z916" s="237"/>
      <c r="AA916" s="237"/>
      <c r="AB916" s="237"/>
      <c r="AC916" s="237"/>
      <c r="AD916" s="237"/>
      <c r="AE916" s="237"/>
      <c r="AF916" s="237"/>
      <c r="AG916" s="237"/>
      <c r="AH916" s="237"/>
      <c r="AI916" s="308"/>
      <c r="AJ916" s="308"/>
      <c r="AK916" s="308"/>
      <c r="AL916" s="308"/>
      <c r="AM916" s="98"/>
      <c r="AN916" s="98"/>
      <c r="AO916" s="98"/>
    </row>
    <row r="917" ht="14.25" customHeight="1">
      <c r="A917" s="98"/>
      <c r="B917" s="98"/>
      <c r="C917" s="98"/>
      <c r="D917" s="308"/>
      <c r="E917" s="98"/>
      <c r="F917" s="235"/>
      <c r="G917" s="235"/>
      <c r="H917" s="236"/>
      <c r="I917" s="236"/>
      <c r="J917" s="236"/>
      <c r="K917" s="236"/>
      <c r="L917" s="236"/>
      <c r="M917" s="236"/>
      <c r="N917" s="236"/>
      <c r="O917" s="236"/>
      <c r="P917" s="236"/>
      <c r="Q917" s="236"/>
      <c r="R917" s="236"/>
      <c r="S917" s="236"/>
      <c r="T917" s="236"/>
      <c r="U917" s="236"/>
      <c r="V917" s="236"/>
      <c r="W917" s="237"/>
      <c r="X917" s="237"/>
      <c r="Y917" s="237"/>
      <c r="Z917" s="237"/>
      <c r="AA917" s="237"/>
      <c r="AB917" s="237"/>
      <c r="AC917" s="237"/>
      <c r="AD917" s="237"/>
      <c r="AE917" s="237"/>
      <c r="AF917" s="237"/>
      <c r="AG917" s="237"/>
      <c r="AH917" s="237"/>
      <c r="AI917" s="308"/>
      <c r="AJ917" s="308"/>
      <c r="AK917" s="308"/>
      <c r="AL917" s="308"/>
      <c r="AM917" s="98"/>
      <c r="AN917" s="98"/>
      <c r="AO917" s="98"/>
    </row>
    <row r="918" ht="14.25" customHeight="1">
      <c r="A918" s="98"/>
      <c r="B918" s="98"/>
      <c r="C918" s="98"/>
      <c r="D918" s="308"/>
      <c r="E918" s="98"/>
      <c r="F918" s="235"/>
      <c r="G918" s="235"/>
      <c r="H918" s="236"/>
      <c r="I918" s="236"/>
      <c r="J918" s="236"/>
      <c r="K918" s="236"/>
      <c r="L918" s="236"/>
      <c r="M918" s="236"/>
      <c r="N918" s="236"/>
      <c r="O918" s="236"/>
      <c r="P918" s="236"/>
      <c r="Q918" s="236"/>
      <c r="R918" s="236"/>
      <c r="S918" s="236"/>
      <c r="T918" s="236"/>
      <c r="U918" s="236"/>
      <c r="V918" s="236"/>
      <c r="W918" s="237"/>
      <c r="X918" s="237"/>
      <c r="Y918" s="237"/>
      <c r="Z918" s="237"/>
      <c r="AA918" s="237"/>
      <c r="AB918" s="237"/>
      <c r="AC918" s="237"/>
      <c r="AD918" s="237"/>
      <c r="AE918" s="237"/>
      <c r="AF918" s="237"/>
      <c r="AG918" s="237"/>
      <c r="AH918" s="237"/>
      <c r="AI918" s="308"/>
      <c r="AJ918" s="308"/>
      <c r="AK918" s="308"/>
      <c r="AL918" s="308"/>
      <c r="AM918" s="98"/>
      <c r="AN918" s="98"/>
      <c r="AO918" s="98"/>
    </row>
    <row r="919" ht="14.25" customHeight="1">
      <c r="A919" s="98"/>
      <c r="B919" s="98"/>
      <c r="C919" s="98"/>
      <c r="D919" s="308"/>
      <c r="E919" s="98"/>
      <c r="F919" s="235"/>
      <c r="G919" s="235"/>
      <c r="H919" s="236"/>
      <c r="I919" s="236"/>
      <c r="J919" s="236"/>
      <c r="K919" s="236"/>
      <c r="L919" s="236"/>
      <c r="M919" s="236"/>
      <c r="N919" s="236"/>
      <c r="O919" s="236"/>
      <c r="P919" s="236"/>
      <c r="Q919" s="236"/>
      <c r="R919" s="236"/>
      <c r="S919" s="236"/>
      <c r="T919" s="236"/>
      <c r="U919" s="236"/>
      <c r="V919" s="236"/>
      <c r="W919" s="237"/>
      <c r="X919" s="237"/>
      <c r="Y919" s="237"/>
      <c r="Z919" s="237"/>
      <c r="AA919" s="237"/>
      <c r="AB919" s="237"/>
      <c r="AC919" s="237"/>
      <c r="AD919" s="237"/>
      <c r="AE919" s="237"/>
      <c r="AF919" s="237"/>
      <c r="AG919" s="237"/>
      <c r="AH919" s="237"/>
      <c r="AI919" s="308"/>
      <c r="AJ919" s="308"/>
      <c r="AK919" s="308"/>
      <c r="AL919" s="308"/>
      <c r="AM919" s="98"/>
      <c r="AN919" s="98"/>
      <c r="AO919" s="98"/>
    </row>
    <row r="920" ht="14.25" customHeight="1">
      <c r="A920" s="98"/>
      <c r="B920" s="98"/>
      <c r="C920" s="98"/>
      <c r="D920" s="308"/>
      <c r="E920" s="98"/>
      <c r="F920" s="235"/>
      <c r="G920" s="235"/>
      <c r="H920" s="236"/>
      <c r="I920" s="236"/>
      <c r="J920" s="236"/>
      <c r="K920" s="236"/>
      <c r="L920" s="236"/>
      <c r="M920" s="236"/>
      <c r="N920" s="236"/>
      <c r="O920" s="236"/>
      <c r="P920" s="236"/>
      <c r="Q920" s="236"/>
      <c r="R920" s="236"/>
      <c r="S920" s="236"/>
      <c r="T920" s="236"/>
      <c r="U920" s="236"/>
      <c r="V920" s="236"/>
      <c r="W920" s="237"/>
      <c r="X920" s="237"/>
      <c r="Y920" s="237"/>
      <c r="Z920" s="237"/>
      <c r="AA920" s="237"/>
      <c r="AB920" s="237"/>
      <c r="AC920" s="237"/>
      <c r="AD920" s="237"/>
      <c r="AE920" s="237"/>
      <c r="AF920" s="237"/>
      <c r="AG920" s="237"/>
      <c r="AH920" s="237"/>
      <c r="AI920" s="308"/>
      <c r="AJ920" s="308"/>
      <c r="AK920" s="308"/>
      <c r="AL920" s="308"/>
      <c r="AM920" s="98"/>
      <c r="AN920" s="98"/>
      <c r="AO920" s="98"/>
    </row>
    <row r="921" ht="14.25" customHeight="1">
      <c r="A921" s="98"/>
      <c r="B921" s="98"/>
      <c r="C921" s="98"/>
      <c r="D921" s="308"/>
      <c r="E921" s="98"/>
      <c r="F921" s="235"/>
      <c r="G921" s="235"/>
      <c r="H921" s="236"/>
      <c r="I921" s="236"/>
      <c r="J921" s="236"/>
      <c r="K921" s="236"/>
      <c r="L921" s="236"/>
      <c r="M921" s="236"/>
      <c r="N921" s="236"/>
      <c r="O921" s="236"/>
      <c r="P921" s="236"/>
      <c r="Q921" s="236"/>
      <c r="R921" s="236"/>
      <c r="S921" s="236"/>
      <c r="T921" s="236"/>
      <c r="U921" s="236"/>
      <c r="V921" s="236"/>
      <c r="W921" s="237"/>
      <c r="X921" s="237"/>
      <c r="Y921" s="237"/>
      <c r="Z921" s="237"/>
      <c r="AA921" s="237"/>
      <c r="AB921" s="237"/>
      <c r="AC921" s="237"/>
      <c r="AD921" s="237"/>
      <c r="AE921" s="237"/>
      <c r="AF921" s="237"/>
      <c r="AG921" s="237"/>
      <c r="AH921" s="237"/>
      <c r="AI921" s="308"/>
      <c r="AJ921" s="308"/>
      <c r="AK921" s="308"/>
      <c r="AL921" s="308"/>
      <c r="AM921" s="98"/>
      <c r="AN921" s="98"/>
      <c r="AO921" s="98"/>
    </row>
    <row r="922" ht="14.25" customHeight="1">
      <c r="A922" s="98"/>
      <c r="B922" s="98"/>
      <c r="C922" s="98"/>
      <c r="D922" s="308"/>
      <c r="E922" s="98"/>
      <c r="F922" s="235"/>
      <c r="G922" s="235"/>
      <c r="H922" s="236"/>
      <c r="I922" s="236"/>
      <c r="J922" s="236"/>
      <c r="K922" s="236"/>
      <c r="L922" s="236"/>
      <c r="M922" s="236"/>
      <c r="N922" s="236"/>
      <c r="O922" s="236"/>
      <c r="P922" s="236"/>
      <c r="Q922" s="236"/>
      <c r="R922" s="236"/>
      <c r="S922" s="236"/>
      <c r="T922" s="236"/>
      <c r="U922" s="236"/>
      <c r="V922" s="236"/>
      <c r="W922" s="237"/>
      <c r="X922" s="237"/>
      <c r="Y922" s="237"/>
      <c r="Z922" s="237"/>
      <c r="AA922" s="237"/>
      <c r="AB922" s="237"/>
      <c r="AC922" s="237"/>
      <c r="AD922" s="237"/>
      <c r="AE922" s="237"/>
      <c r="AF922" s="237"/>
      <c r="AG922" s="237"/>
      <c r="AH922" s="237"/>
      <c r="AI922" s="308"/>
      <c r="AJ922" s="308"/>
      <c r="AK922" s="308"/>
      <c r="AL922" s="308"/>
      <c r="AM922" s="98"/>
      <c r="AN922" s="98"/>
      <c r="AO922" s="98"/>
    </row>
    <row r="923" ht="14.25" customHeight="1">
      <c r="A923" s="98"/>
      <c r="B923" s="98"/>
      <c r="C923" s="98"/>
      <c r="D923" s="308"/>
      <c r="E923" s="98"/>
      <c r="F923" s="235"/>
      <c r="G923" s="235"/>
      <c r="H923" s="236"/>
      <c r="I923" s="236"/>
      <c r="J923" s="236"/>
      <c r="K923" s="236"/>
      <c r="L923" s="236"/>
      <c r="M923" s="236"/>
      <c r="N923" s="236"/>
      <c r="O923" s="236"/>
      <c r="P923" s="236"/>
      <c r="Q923" s="236"/>
      <c r="R923" s="236"/>
      <c r="S923" s="236"/>
      <c r="T923" s="236"/>
      <c r="U923" s="236"/>
      <c r="V923" s="236"/>
      <c r="W923" s="237"/>
      <c r="X923" s="237"/>
      <c r="Y923" s="237"/>
      <c r="Z923" s="237"/>
      <c r="AA923" s="237"/>
      <c r="AB923" s="237"/>
      <c r="AC923" s="237"/>
      <c r="AD923" s="237"/>
      <c r="AE923" s="237"/>
      <c r="AF923" s="237"/>
      <c r="AG923" s="237"/>
      <c r="AH923" s="237"/>
      <c r="AI923" s="308"/>
      <c r="AJ923" s="308"/>
      <c r="AK923" s="308"/>
      <c r="AL923" s="308"/>
      <c r="AM923" s="98"/>
      <c r="AN923" s="98"/>
      <c r="AO923" s="98"/>
    </row>
    <row r="924" ht="14.25" customHeight="1">
      <c r="A924" s="98"/>
      <c r="B924" s="98"/>
      <c r="C924" s="98"/>
      <c r="D924" s="308"/>
      <c r="E924" s="98"/>
      <c r="F924" s="235"/>
      <c r="G924" s="235"/>
      <c r="H924" s="236"/>
      <c r="I924" s="236"/>
      <c r="J924" s="236"/>
      <c r="K924" s="236"/>
      <c r="L924" s="236"/>
      <c r="M924" s="236"/>
      <c r="N924" s="236"/>
      <c r="O924" s="236"/>
      <c r="P924" s="236"/>
      <c r="Q924" s="236"/>
      <c r="R924" s="236"/>
      <c r="S924" s="236"/>
      <c r="T924" s="236"/>
      <c r="U924" s="236"/>
      <c r="V924" s="236"/>
      <c r="W924" s="237"/>
      <c r="X924" s="237"/>
      <c r="Y924" s="237"/>
      <c r="Z924" s="237"/>
      <c r="AA924" s="237"/>
      <c r="AB924" s="237"/>
      <c r="AC924" s="237"/>
      <c r="AD924" s="237"/>
      <c r="AE924" s="237"/>
      <c r="AF924" s="237"/>
      <c r="AG924" s="237"/>
      <c r="AH924" s="237"/>
      <c r="AI924" s="308"/>
      <c r="AJ924" s="308"/>
      <c r="AK924" s="308"/>
      <c r="AL924" s="308"/>
      <c r="AM924" s="98"/>
      <c r="AN924" s="98"/>
      <c r="AO924" s="98"/>
    </row>
    <row r="925" ht="14.25" customHeight="1">
      <c r="A925" s="98"/>
      <c r="B925" s="98"/>
      <c r="C925" s="98"/>
      <c r="D925" s="308"/>
      <c r="E925" s="98"/>
      <c r="F925" s="235"/>
      <c r="G925" s="235"/>
      <c r="H925" s="236"/>
      <c r="I925" s="236"/>
      <c r="J925" s="236"/>
      <c r="K925" s="236"/>
      <c r="L925" s="236"/>
      <c r="M925" s="236"/>
      <c r="N925" s="236"/>
      <c r="O925" s="236"/>
      <c r="P925" s="236"/>
      <c r="Q925" s="236"/>
      <c r="R925" s="236"/>
      <c r="S925" s="236"/>
      <c r="T925" s="236"/>
      <c r="U925" s="236"/>
      <c r="V925" s="236"/>
      <c r="W925" s="237"/>
      <c r="X925" s="237"/>
      <c r="Y925" s="237"/>
      <c r="Z925" s="237"/>
      <c r="AA925" s="237"/>
      <c r="AB925" s="237"/>
      <c r="AC925" s="237"/>
      <c r="AD925" s="237"/>
      <c r="AE925" s="237"/>
      <c r="AF925" s="237"/>
      <c r="AG925" s="237"/>
      <c r="AH925" s="237"/>
      <c r="AI925" s="308"/>
      <c r="AJ925" s="308"/>
      <c r="AK925" s="308"/>
      <c r="AL925" s="308"/>
      <c r="AM925" s="98"/>
      <c r="AN925" s="98"/>
      <c r="AO925" s="98"/>
    </row>
    <row r="926" ht="14.25" customHeight="1">
      <c r="A926" s="98"/>
      <c r="B926" s="98"/>
      <c r="C926" s="98"/>
      <c r="D926" s="308"/>
      <c r="E926" s="98"/>
      <c r="F926" s="235"/>
      <c r="G926" s="235"/>
      <c r="H926" s="236"/>
      <c r="I926" s="236"/>
      <c r="J926" s="236"/>
      <c r="K926" s="236"/>
      <c r="L926" s="236"/>
      <c r="M926" s="236"/>
      <c r="N926" s="236"/>
      <c r="O926" s="236"/>
      <c r="P926" s="236"/>
      <c r="Q926" s="236"/>
      <c r="R926" s="236"/>
      <c r="S926" s="236"/>
      <c r="T926" s="236"/>
      <c r="U926" s="236"/>
      <c r="V926" s="236"/>
      <c r="W926" s="237"/>
      <c r="X926" s="237"/>
      <c r="Y926" s="237"/>
      <c r="Z926" s="237"/>
      <c r="AA926" s="237"/>
      <c r="AB926" s="237"/>
      <c r="AC926" s="237"/>
      <c r="AD926" s="237"/>
      <c r="AE926" s="237"/>
      <c r="AF926" s="237"/>
      <c r="AG926" s="237"/>
      <c r="AH926" s="237"/>
      <c r="AI926" s="308"/>
      <c r="AJ926" s="308"/>
      <c r="AK926" s="308"/>
      <c r="AL926" s="308"/>
      <c r="AM926" s="98"/>
      <c r="AN926" s="98"/>
      <c r="AO926" s="98"/>
    </row>
    <row r="927" ht="14.25" customHeight="1">
      <c r="A927" s="98"/>
      <c r="B927" s="98"/>
      <c r="C927" s="98"/>
      <c r="D927" s="308"/>
      <c r="E927" s="98"/>
      <c r="F927" s="235"/>
      <c r="G927" s="235"/>
      <c r="H927" s="236"/>
      <c r="I927" s="236"/>
      <c r="J927" s="236"/>
      <c r="K927" s="236"/>
      <c r="L927" s="236"/>
      <c r="M927" s="236"/>
      <c r="N927" s="236"/>
      <c r="O927" s="236"/>
      <c r="P927" s="236"/>
      <c r="Q927" s="236"/>
      <c r="R927" s="236"/>
      <c r="S927" s="236"/>
      <c r="T927" s="236"/>
      <c r="U927" s="236"/>
      <c r="V927" s="236"/>
      <c r="W927" s="237"/>
      <c r="X927" s="237"/>
      <c r="Y927" s="237"/>
      <c r="Z927" s="237"/>
      <c r="AA927" s="237"/>
      <c r="AB927" s="237"/>
      <c r="AC927" s="237"/>
      <c r="AD927" s="237"/>
      <c r="AE927" s="237"/>
      <c r="AF927" s="237"/>
      <c r="AG927" s="237"/>
      <c r="AH927" s="237"/>
      <c r="AI927" s="308"/>
      <c r="AJ927" s="308"/>
      <c r="AK927" s="308"/>
      <c r="AL927" s="308"/>
      <c r="AM927" s="98"/>
      <c r="AN927" s="98"/>
      <c r="AO927" s="98"/>
    </row>
    <row r="928" ht="14.25" customHeight="1">
      <c r="A928" s="98"/>
      <c r="B928" s="98"/>
      <c r="C928" s="98"/>
      <c r="D928" s="308"/>
      <c r="E928" s="98"/>
      <c r="F928" s="235"/>
      <c r="G928" s="235"/>
      <c r="H928" s="236"/>
      <c r="I928" s="236"/>
      <c r="J928" s="236"/>
      <c r="K928" s="236"/>
      <c r="L928" s="236"/>
      <c r="M928" s="236"/>
      <c r="N928" s="236"/>
      <c r="O928" s="236"/>
      <c r="P928" s="236"/>
      <c r="Q928" s="236"/>
      <c r="R928" s="236"/>
      <c r="S928" s="236"/>
      <c r="T928" s="236"/>
      <c r="U928" s="236"/>
      <c r="V928" s="236"/>
      <c r="W928" s="237"/>
      <c r="X928" s="237"/>
      <c r="Y928" s="237"/>
      <c r="Z928" s="237"/>
      <c r="AA928" s="237"/>
      <c r="AB928" s="237"/>
      <c r="AC928" s="237"/>
      <c r="AD928" s="237"/>
      <c r="AE928" s="237"/>
      <c r="AF928" s="237"/>
      <c r="AG928" s="237"/>
      <c r="AH928" s="237"/>
      <c r="AI928" s="308"/>
      <c r="AJ928" s="308"/>
      <c r="AK928" s="308"/>
      <c r="AL928" s="308"/>
      <c r="AM928" s="98"/>
      <c r="AN928" s="98"/>
      <c r="AO928" s="98"/>
    </row>
    <row r="929" ht="14.25" customHeight="1">
      <c r="A929" s="98"/>
      <c r="B929" s="98"/>
      <c r="C929" s="98"/>
      <c r="D929" s="308"/>
      <c r="E929" s="98"/>
      <c r="F929" s="235"/>
      <c r="G929" s="235"/>
      <c r="H929" s="236"/>
      <c r="I929" s="236"/>
      <c r="J929" s="236"/>
      <c r="K929" s="236"/>
      <c r="L929" s="236"/>
      <c r="M929" s="236"/>
      <c r="N929" s="236"/>
      <c r="O929" s="236"/>
      <c r="P929" s="236"/>
      <c r="Q929" s="236"/>
      <c r="R929" s="236"/>
      <c r="S929" s="236"/>
      <c r="T929" s="236"/>
      <c r="U929" s="236"/>
      <c r="V929" s="236"/>
      <c r="W929" s="237"/>
      <c r="X929" s="237"/>
      <c r="Y929" s="237"/>
      <c r="Z929" s="237"/>
      <c r="AA929" s="237"/>
      <c r="AB929" s="237"/>
      <c r="AC929" s="237"/>
      <c r="AD929" s="237"/>
      <c r="AE929" s="237"/>
      <c r="AF929" s="237"/>
      <c r="AG929" s="237"/>
      <c r="AH929" s="237"/>
      <c r="AI929" s="308"/>
      <c r="AJ929" s="308"/>
      <c r="AK929" s="308"/>
      <c r="AL929" s="308"/>
      <c r="AM929" s="98"/>
      <c r="AN929" s="98"/>
      <c r="AO929" s="98"/>
    </row>
    <row r="930" ht="14.25" customHeight="1">
      <c r="A930" s="98"/>
      <c r="B930" s="98"/>
      <c r="C930" s="98"/>
      <c r="D930" s="308"/>
      <c r="E930" s="98"/>
      <c r="F930" s="235"/>
      <c r="G930" s="235"/>
      <c r="H930" s="236"/>
      <c r="I930" s="236"/>
      <c r="J930" s="236"/>
      <c r="K930" s="236"/>
      <c r="L930" s="236"/>
      <c r="M930" s="236"/>
      <c r="N930" s="236"/>
      <c r="O930" s="236"/>
      <c r="P930" s="236"/>
      <c r="Q930" s="236"/>
      <c r="R930" s="236"/>
      <c r="S930" s="236"/>
      <c r="T930" s="236"/>
      <c r="U930" s="236"/>
      <c r="V930" s="236"/>
      <c r="W930" s="237"/>
      <c r="X930" s="237"/>
      <c r="Y930" s="237"/>
      <c r="Z930" s="237"/>
      <c r="AA930" s="237"/>
      <c r="AB930" s="237"/>
      <c r="AC930" s="237"/>
      <c r="AD930" s="237"/>
      <c r="AE930" s="237"/>
      <c r="AF930" s="237"/>
      <c r="AG930" s="237"/>
      <c r="AH930" s="237"/>
      <c r="AI930" s="308"/>
      <c r="AJ930" s="308"/>
      <c r="AK930" s="308"/>
      <c r="AL930" s="308"/>
      <c r="AM930" s="98"/>
      <c r="AN930" s="98"/>
      <c r="AO930" s="98"/>
    </row>
    <row r="931" ht="14.25" customHeight="1">
      <c r="A931" s="98"/>
      <c r="B931" s="98"/>
      <c r="C931" s="98"/>
      <c r="D931" s="308"/>
      <c r="E931" s="98"/>
      <c r="F931" s="235"/>
      <c r="G931" s="235"/>
      <c r="H931" s="236"/>
      <c r="I931" s="236"/>
      <c r="J931" s="236"/>
      <c r="K931" s="236"/>
      <c r="L931" s="236"/>
      <c r="M931" s="236"/>
      <c r="N931" s="236"/>
      <c r="O931" s="236"/>
      <c r="P931" s="236"/>
      <c r="Q931" s="236"/>
      <c r="R931" s="236"/>
      <c r="S931" s="236"/>
      <c r="T931" s="236"/>
      <c r="U931" s="236"/>
      <c r="V931" s="236"/>
      <c r="W931" s="237"/>
      <c r="X931" s="237"/>
      <c r="Y931" s="237"/>
      <c r="Z931" s="237"/>
      <c r="AA931" s="237"/>
      <c r="AB931" s="237"/>
      <c r="AC931" s="237"/>
      <c r="AD931" s="237"/>
      <c r="AE931" s="237"/>
      <c r="AF931" s="237"/>
      <c r="AG931" s="237"/>
      <c r="AH931" s="237"/>
      <c r="AI931" s="308"/>
      <c r="AJ931" s="308"/>
      <c r="AK931" s="308"/>
      <c r="AL931" s="308"/>
      <c r="AM931" s="98"/>
      <c r="AN931" s="98"/>
      <c r="AO931" s="98"/>
    </row>
    <row r="932" ht="14.25" customHeight="1">
      <c r="A932" s="98"/>
      <c r="B932" s="98"/>
      <c r="C932" s="98"/>
      <c r="D932" s="308"/>
      <c r="E932" s="98"/>
      <c r="F932" s="235"/>
      <c r="G932" s="235"/>
      <c r="H932" s="236"/>
      <c r="I932" s="236"/>
      <c r="J932" s="236"/>
      <c r="K932" s="236"/>
      <c r="L932" s="236"/>
      <c r="M932" s="236"/>
      <c r="N932" s="236"/>
      <c r="O932" s="236"/>
      <c r="P932" s="236"/>
      <c r="Q932" s="236"/>
      <c r="R932" s="236"/>
      <c r="S932" s="236"/>
      <c r="T932" s="236"/>
      <c r="U932" s="236"/>
      <c r="V932" s="236"/>
      <c r="W932" s="237"/>
      <c r="X932" s="237"/>
      <c r="Y932" s="237"/>
      <c r="Z932" s="237"/>
      <c r="AA932" s="237"/>
      <c r="AB932" s="237"/>
      <c r="AC932" s="237"/>
      <c r="AD932" s="237"/>
      <c r="AE932" s="237"/>
      <c r="AF932" s="237"/>
      <c r="AG932" s="237"/>
      <c r="AH932" s="237"/>
      <c r="AI932" s="308"/>
      <c r="AJ932" s="308"/>
      <c r="AK932" s="308"/>
      <c r="AL932" s="308"/>
      <c r="AM932" s="98"/>
      <c r="AN932" s="98"/>
      <c r="AO932" s="98"/>
    </row>
    <row r="933" ht="14.25" customHeight="1">
      <c r="A933" s="98"/>
      <c r="B933" s="98"/>
      <c r="C933" s="98"/>
      <c r="D933" s="308"/>
      <c r="E933" s="98"/>
      <c r="F933" s="235"/>
      <c r="G933" s="235"/>
      <c r="H933" s="236"/>
      <c r="I933" s="236"/>
      <c r="J933" s="236"/>
      <c r="K933" s="236"/>
      <c r="L933" s="236"/>
      <c r="M933" s="236"/>
      <c r="N933" s="236"/>
      <c r="O933" s="236"/>
      <c r="P933" s="236"/>
      <c r="Q933" s="236"/>
      <c r="R933" s="236"/>
      <c r="S933" s="236"/>
      <c r="T933" s="236"/>
      <c r="U933" s="236"/>
      <c r="V933" s="236"/>
      <c r="W933" s="237"/>
      <c r="X933" s="237"/>
      <c r="Y933" s="237"/>
      <c r="Z933" s="237"/>
      <c r="AA933" s="237"/>
      <c r="AB933" s="237"/>
      <c r="AC933" s="237"/>
      <c r="AD933" s="237"/>
      <c r="AE933" s="237"/>
      <c r="AF933" s="237"/>
      <c r="AG933" s="237"/>
      <c r="AH933" s="237"/>
      <c r="AI933" s="308"/>
      <c r="AJ933" s="308"/>
      <c r="AK933" s="308"/>
      <c r="AL933" s="308"/>
      <c r="AM933" s="98"/>
      <c r="AN933" s="98"/>
      <c r="AO933" s="98"/>
    </row>
    <row r="934" ht="14.25" customHeight="1">
      <c r="A934" s="98"/>
      <c r="B934" s="98"/>
      <c r="C934" s="98"/>
      <c r="D934" s="308"/>
      <c r="E934" s="98"/>
      <c r="F934" s="235"/>
      <c r="G934" s="235"/>
      <c r="H934" s="236"/>
      <c r="I934" s="236"/>
      <c r="J934" s="236"/>
      <c r="K934" s="236"/>
      <c r="L934" s="236"/>
      <c r="M934" s="236"/>
      <c r="N934" s="236"/>
      <c r="O934" s="236"/>
      <c r="P934" s="236"/>
      <c r="Q934" s="236"/>
      <c r="R934" s="236"/>
      <c r="S934" s="236"/>
      <c r="T934" s="236"/>
      <c r="U934" s="236"/>
      <c r="V934" s="236"/>
      <c r="W934" s="237"/>
      <c r="X934" s="237"/>
      <c r="Y934" s="237"/>
      <c r="Z934" s="237"/>
      <c r="AA934" s="237"/>
      <c r="AB934" s="237"/>
      <c r="AC934" s="237"/>
      <c r="AD934" s="237"/>
      <c r="AE934" s="237"/>
      <c r="AF934" s="237"/>
      <c r="AG934" s="237"/>
      <c r="AH934" s="237"/>
      <c r="AI934" s="308"/>
      <c r="AJ934" s="308"/>
      <c r="AK934" s="308"/>
      <c r="AL934" s="308"/>
      <c r="AM934" s="98"/>
      <c r="AN934" s="98"/>
      <c r="AO934" s="98"/>
    </row>
    <row r="935" ht="14.25" customHeight="1">
      <c r="A935" s="98"/>
      <c r="B935" s="98"/>
      <c r="C935" s="98"/>
      <c r="D935" s="308"/>
      <c r="E935" s="98"/>
      <c r="F935" s="235"/>
      <c r="G935" s="235"/>
      <c r="H935" s="236"/>
      <c r="I935" s="236"/>
      <c r="J935" s="236"/>
      <c r="K935" s="236"/>
      <c r="L935" s="236"/>
      <c r="M935" s="236"/>
      <c r="N935" s="236"/>
      <c r="O935" s="236"/>
      <c r="P935" s="236"/>
      <c r="Q935" s="236"/>
      <c r="R935" s="236"/>
      <c r="S935" s="236"/>
      <c r="T935" s="236"/>
      <c r="U935" s="236"/>
      <c r="V935" s="236"/>
      <c r="W935" s="237"/>
      <c r="X935" s="237"/>
      <c r="Y935" s="237"/>
      <c r="Z935" s="237"/>
      <c r="AA935" s="237"/>
      <c r="AB935" s="237"/>
      <c r="AC935" s="237"/>
      <c r="AD935" s="237"/>
      <c r="AE935" s="237"/>
      <c r="AF935" s="237"/>
      <c r="AG935" s="237"/>
      <c r="AH935" s="237"/>
      <c r="AI935" s="308"/>
      <c r="AJ935" s="308"/>
      <c r="AK935" s="308"/>
      <c r="AL935" s="308"/>
      <c r="AM935" s="98"/>
      <c r="AN935" s="98"/>
      <c r="AO935" s="98"/>
    </row>
    <row r="936" ht="14.25" customHeight="1">
      <c r="A936" s="98"/>
      <c r="B936" s="98"/>
      <c r="C936" s="98"/>
      <c r="D936" s="308"/>
      <c r="E936" s="98"/>
      <c r="F936" s="235"/>
      <c r="G936" s="235"/>
      <c r="H936" s="236"/>
      <c r="I936" s="236"/>
      <c r="J936" s="236"/>
      <c r="K936" s="236"/>
      <c r="L936" s="236"/>
      <c r="M936" s="236"/>
      <c r="N936" s="236"/>
      <c r="O936" s="236"/>
      <c r="P936" s="236"/>
      <c r="Q936" s="236"/>
      <c r="R936" s="236"/>
      <c r="S936" s="236"/>
      <c r="T936" s="236"/>
      <c r="U936" s="236"/>
      <c r="V936" s="236"/>
      <c r="W936" s="237"/>
      <c r="X936" s="237"/>
      <c r="Y936" s="237"/>
      <c r="Z936" s="237"/>
      <c r="AA936" s="237"/>
      <c r="AB936" s="237"/>
      <c r="AC936" s="237"/>
      <c r="AD936" s="237"/>
      <c r="AE936" s="237"/>
      <c r="AF936" s="237"/>
      <c r="AG936" s="237"/>
      <c r="AH936" s="237"/>
      <c r="AI936" s="308"/>
      <c r="AJ936" s="308"/>
      <c r="AK936" s="308"/>
      <c r="AL936" s="308"/>
      <c r="AM936" s="98"/>
      <c r="AN936" s="98"/>
      <c r="AO936" s="98"/>
    </row>
    <row r="937" ht="14.25" customHeight="1">
      <c r="A937" s="98"/>
      <c r="B937" s="98"/>
      <c r="C937" s="98"/>
      <c r="D937" s="308"/>
      <c r="E937" s="98"/>
      <c r="F937" s="235"/>
      <c r="G937" s="235"/>
      <c r="H937" s="236"/>
      <c r="I937" s="236"/>
      <c r="J937" s="236"/>
      <c r="K937" s="236"/>
      <c r="L937" s="236"/>
      <c r="M937" s="236"/>
      <c r="N937" s="236"/>
      <c r="O937" s="236"/>
      <c r="P937" s="236"/>
      <c r="Q937" s="236"/>
      <c r="R937" s="236"/>
      <c r="S937" s="236"/>
      <c r="T937" s="236"/>
      <c r="U937" s="236"/>
      <c r="V937" s="236"/>
      <c r="W937" s="237"/>
      <c r="X937" s="237"/>
      <c r="Y937" s="237"/>
      <c r="Z937" s="237"/>
      <c r="AA937" s="237"/>
      <c r="AB937" s="237"/>
      <c r="AC937" s="237"/>
      <c r="AD937" s="237"/>
      <c r="AE937" s="237"/>
      <c r="AF937" s="237"/>
      <c r="AG937" s="237"/>
      <c r="AH937" s="237"/>
      <c r="AI937" s="308"/>
      <c r="AJ937" s="308"/>
      <c r="AK937" s="308"/>
      <c r="AL937" s="308"/>
      <c r="AM937" s="98"/>
      <c r="AN937" s="98"/>
      <c r="AO937" s="98"/>
    </row>
    <row r="938" ht="14.25" customHeight="1">
      <c r="A938" s="98"/>
      <c r="B938" s="98"/>
      <c r="C938" s="98"/>
      <c r="D938" s="308"/>
      <c r="E938" s="98"/>
      <c r="F938" s="235"/>
      <c r="G938" s="235"/>
      <c r="H938" s="236"/>
      <c r="I938" s="236"/>
      <c r="J938" s="236"/>
      <c r="K938" s="236"/>
      <c r="L938" s="236"/>
      <c r="M938" s="236"/>
      <c r="N938" s="236"/>
      <c r="O938" s="236"/>
      <c r="P938" s="236"/>
      <c r="Q938" s="236"/>
      <c r="R938" s="236"/>
      <c r="S938" s="236"/>
      <c r="T938" s="236"/>
      <c r="U938" s="236"/>
      <c r="V938" s="236"/>
      <c r="W938" s="237"/>
      <c r="X938" s="237"/>
      <c r="Y938" s="237"/>
      <c r="Z938" s="237"/>
      <c r="AA938" s="237"/>
      <c r="AB938" s="237"/>
      <c r="AC938" s="237"/>
      <c r="AD938" s="237"/>
      <c r="AE938" s="237"/>
      <c r="AF938" s="237"/>
      <c r="AG938" s="237"/>
      <c r="AH938" s="237"/>
      <c r="AI938" s="308"/>
      <c r="AJ938" s="308"/>
      <c r="AK938" s="308"/>
      <c r="AL938" s="308"/>
      <c r="AM938" s="98"/>
      <c r="AN938" s="98"/>
      <c r="AO938" s="98"/>
    </row>
    <row r="939" ht="14.25" customHeight="1">
      <c r="A939" s="98"/>
      <c r="B939" s="98"/>
      <c r="C939" s="98"/>
      <c r="D939" s="308"/>
      <c r="E939" s="98"/>
      <c r="F939" s="235"/>
      <c r="G939" s="235"/>
      <c r="H939" s="236"/>
      <c r="I939" s="236"/>
      <c r="J939" s="236"/>
      <c r="K939" s="236"/>
      <c r="L939" s="236"/>
      <c r="M939" s="236"/>
      <c r="N939" s="236"/>
      <c r="O939" s="236"/>
      <c r="P939" s="236"/>
      <c r="Q939" s="236"/>
      <c r="R939" s="236"/>
      <c r="S939" s="236"/>
      <c r="T939" s="236"/>
      <c r="U939" s="236"/>
      <c r="V939" s="236"/>
      <c r="W939" s="237"/>
      <c r="X939" s="237"/>
      <c r="Y939" s="237"/>
      <c r="Z939" s="237"/>
      <c r="AA939" s="237"/>
      <c r="AB939" s="237"/>
      <c r="AC939" s="237"/>
      <c r="AD939" s="237"/>
      <c r="AE939" s="237"/>
      <c r="AF939" s="237"/>
      <c r="AG939" s="237"/>
      <c r="AH939" s="237"/>
      <c r="AI939" s="308"/>
      <c r="AJ939" s="308"/>
      <c r="AK939" s="308"/>
      <c r="AL939" s="308"/>
      <c r="AM939" s="98"/>
      <c r="AN939" s="98"/>
      <c r="AO939" s="98"/>
    </row>
    <row r="940" ht="14.25" customHeight="1">
      <c r="A940" s="98"/>
      <c r="B940" s="98"/>
      <c r="C940" s="98"/>
      <c r="D940" s="308"/>
      <c r="E940" s="98"/>
      <c r="F940" s="235"/>
      <c r="G940" s="235"/>
      <c r="H940" s="236"/>
      <c r="I940" s="236"/>
      <c r="J940" s="236"/>
      <c r="K940" s="236"/>
      <c r="L940" s="236"/>
      <c r="M940" s="236"/>
      <c r="N940" s="236"/>
      <c r="O940" s="236"/>
      <c r="P940" s="236"/>
      <c r="Q940" s="236"/>
      <c r="R940" s="236"/>
      <c r="S940" s="236"/>
      <c r="T940" s="236"/>
      <c r="U940" s="236"/>
      <c r="V940" s="236"/>
      <c r="W940" s="237"/>
      <c r="X940" s="237"/>
      <c r="Y940" s="237"/>
      <c r="Z940" s="237"/>
      <c r="AA940" s="237"/>
      <c r="AB940" s="237"/>
      <c r="AC940" s="237"/>
      <c r="AD940" s="237"/>
      <c r="AE940" s="237"/>
      <c r="AF940" s="237"/>
      <c r="AG940" s="237"/>
      <c r="AH940" s="237"/>
      <c r="AI940" s="308"/>
      <c r="AJ940" s="308"/>
      <c r="AK940" s="308"/>
      <c r="AL940" s="308"/>
      <c r="AM940" s="98"/>
      <c r="AN940" s="98"/>
      <c r="AO940" s="98"/>
    </row>
    <row r="941" ht="14.25" customHeight="1">
      <c r="A941" s="98"/>
      <c r="B941" s="98"/>
      <c r="C941" s="98"/>
      <c r="D941" s="308"/>
      <c r="E941" s="98"/>
      <c r="F941" s="235"/>
      <c r="G941" s="235"/>
      <c r="H941" s="236"/>
      <c r="I941" s="236"/>
      <c r="J941" s="236"/>
      <c r="K941" s="236"/>
      <c r="L941" s="236"/>
      <c r="M941" s="236"/>
      <c r="N941" s="236"/>
      <c r="O941" s="236"/>
      <c r="P941" s="236"/>
      <c r="Q941" s="236"/>
      <c r="R941" s="236"/>
      <c r="S941" s="236"/>
      <c r="T941" s="236"/>
      <c r="U941" s="236"/>
      <c r="V941" s="236"/>
      <c r="W941" s="237"/>
      <c r="X941" s="237"/>
      <c r="Y941" s="237"/>
      <c r="Z941" s="237"/>
      <c r="AA941" s="237"/>
      <c r="AB941" s="237"/>
      <c r="AC941" s="237"/>
      <c r="AD941" s="237"/>
      <c r="AE941" s="237"/>
      <c r="AF941" s="237"/>
      <c r="AG941" s="237"/>
      <c r="AH941" s="237"/>
      <c r="AI941" s="308"/>
      <c r="AJ941" s="308"/>
      <c r="AK941" s="308"/>
      <c r="AL941" s="308"/>
      <c r="AM941" s="98"/>
      <c r="AN941" s="98"/>
      <c r="AO941" s="98"/>
    </row>
    <row r="942" ht="14.25" customHeight="1">
      <c r="A942" s="98"/>
      <c r="B942" s="98"/>
      <c r="C942" s="98"/>
      <c r="D942" s="308"/>
      <c r="E942" s="98"/>
      <c r="F942" s="235"/>
      <c r="G942" s="235"/>
      <c r="H942" s="236"/>
      <c r="I942" s="236"/>
      <c r="J942" s="236"/>
      <c r="K942" s="236"/>
      <c r="L942" s="236"/>
      <c r="M942" s="236"/>
      <c r="N942" s="236"/>
      <c r="O942" s="236"/>
      <c r="P942" s="236"/>
      <c r="Q942" s="236"/>
      <c r="R942" s="236"/>
      <c r="S942" s="236"/>
      <c r="T942" s="236"/>
      <c r="U942" s="236"/>
      <c r="V942" s="236"/>
      <c r="W942" s="237"/>
      <c r="X942" s="237"/>
      <c r="Y942" s="237"/>
      <c r="Z942" s="237"/>
      <c r="AA942" s="237"/>
      <c r="AB942" s="237"/>
      <c r="AC942" s="237"/>
      <c r="AD942" s="237"/>
      <c r="AE942" s="237"/>
      <c r="AF942" s="237"/>
      <c r="AG942" s="237"/>
      <c r="AH942" s="237"/>
      <c r="AI942" s="308"/>
      <c r="AJ942" s="308"/>
      <c r="AK942" s="308"/>
      <c r="AL942" s="308"/>
      <c r="AM942" s="98"/>
      <c r="AN942" s="98"/>
      <c r="AO942" s="98"/>
    </row>
    <row r="943" ht="14.25" customHeight="1">
      <c r="A943" s="98"/>
      <c r="B943" s="98"/>
      <c r="C943" s="98"/>
      <c r="D943" s="308"/>
      <c r="E943" s="98"/>
      <c r="F943" s="235"/>
      <c r="G943" s="235"/>
      <c r="H943" s="236"/>
      <c r="I943" s="236"/>
      <c r="J943" s="236"/>
      <c r="K943" s="236"/>
      <c r="L943" s="236"/>
      <c r="M943" s="236"/>
      <c r="N943" s="236"/>
      <c r="O943" s="236"/>
      <c r="P943" s="236"/>
      <c r="Q943" s="236"/>
      <c r="R943" s="236"/>
      <c r="S943" s="236"/>
      <c r="T943" s="236"/>
      <c r="U943" s="236"/>
      <c r="V943" s="236"/>
      <c r="W943" s="237"/>
      <c r="X943" s="237"/>
      <c r="Y943" s="237"/>
      <c r="Z943" s="237"/>
      <c r="AA943" s="237"/>
      <c r="AB943" s="237"/>
      <c r="AC943" s="237"/>
      <c r="AD943" s="237"/>
      <c r="AE943" s="237"/>
      <c r="AF943" s="237"/>
      <c r="AG943" s="237"/>
      <c r="AH943" s="237"/>
      <c r="AI943" s="308"/>
      <c r="AJ943" s="308"/>
      <c r="AK943" s="308"/>
      <c r="AL943" s="308"/>
      <c r="AM943" s="98"/>
      <c r="AN943" s="98"/>
      <c r="AO943" s="98"/>
    </row>
    <row r="944" ht="14.25" customHeight="1">
      <c r="A944" s="98"/>
      <c r="B944" s="98"/>
      <c r="C944" s="98"/>
      <c r="D944" s="308"/>
      <c r="E944" s="98"/>
      <c r="F944" s="235"/>
      <c r="G944" s="235"/>
      <c r="H944" s="236"/>
      <c r="I944" s="236"/>
      <c r="J944" s="236"/>
      <c r="K944" s="236"/>
      <c r="L944" s="236"/>
      <c r="M944" s="236"/>
      <c r="N944" s="236"/>
      <c r="O944" s="236"/>
      <c r="P944" s="236"/>
      <c r="Q944" s="236"/>
      <c r="R944" s="236"/>
      <c r="S944" s="236"/>
      <c r="T944" s="236"/>
      <c r="U944" s="236"/>
      <c r="V944" s="236"/>
      <c r="W944" s="237"/>
      <c r="X944" s="237"/>
      <c r="Y944" s="237"/>
      <c r="Z944" s="237"/>
      <c r="AA944" s="237"/>
      <c r="AB944" s="237"/>
      <c r="AC944" s="237"/>
      <c r="AD944" s="237"/>
      <c r="AE944" s="237"/>
      <c r="AF944" s="237"/>
      <c r="AG944" s="237"/>
      <c r="AH944" s="237"/>
      <c r="AI944" s="308"/>
      <c r="AJ944" s="308"/>
      <c r="AK944" s="308"/>
      <c r="AL944" s="308"/>
      <c r="AM944" s="98"/>
      <c r="AN944" s="98"/>
      <c r="AO944" s="98"/>
    </row>
    <row r="945" ht="14.25" customHeight="1">
      <c r="A945" s="98"/>
      <c r="B945" s="98"/>
      <c r="C945" s="98"/>
      <c r="D945" s="308"/>
      <c r="E945" s="98"/>
      <c r="F945" s="235"/>
      <c r="G945" s="235"/>
      <c r="H945" s="236"/>
      <c r="I945" s="236"/>
      <c r="J945" s="236"/>
      <c r="K945" s="236"/>
      <c r="L945" s="236"/>
      <c r="M945" s="236"/>
      <c r="N945" s="236"/>
      <c r="O945" s="236"/>
      <c r="P945" s="236"/>
      <c r="Q945" s="236"/>
      <c r="R945" s="236"/>
      <c r="S945" s="236"/>
      <c r="T945" s="236"/>
      <c r="U945" s="236"/>
      <c r="V945" s="236"/>
      <c r="W945" s="237"/>
      <c r="X945" s="237"/>
      <c r="Y945" s="237"/>
      <c r="Z945" s="237"/>
      <c r="AA945" s="237"/>
      <c r="AB945" s="237"/>
      <c r="AC945" s="237"/>
      <c r="AD945" s="237"/>
      <c r="AE945" s="237"/>
      <c r="AF945" s="237"/>
      <c r="AG945" s="237"/>
      <c r="AH945" s="237"/>
      <c r="AI945" s="308"/>
      <c r="AJ945" s="308"/>
      <c r="AK945" s="308"/>
      <c r="AL945" s="308"/>
      <c r="AM945" s="98"/>
      <c r="AN945" s="98"/>
      <c r="AO945" s="98"/>
    </row>
    <row r="946" ht="14.25" customHeight="1">
      <c r="A946" s="98"/>
      <c r="B946" s="98"/>
      <c r="C946" s="98"/>
      <c r="D946" s="308"/>
      <c r="E946" s="98"/>
      <c r="F946" s="235"/>
      <c r="G946" s="235"/>
      <c r="H946" s="236"/>
      <c r="I946" s="236"/>
      <c r="J946" s="236"/>
      <c r="K946" s="236"/>
      <c r="L946" s="236"/>
      <c r="M946" s="236"/>
      <c r="N946" s="236"/>
      <c r="O946" s="236"/>
      <c r="P946" s="236"/>
      <c r="Q946" s="236"/>
      <c r="R946" s="236"/>
      <c r="S946" s="236"/>
      <c r="T946" s="236"/>
      <c r="U946" s="236"/>
      <c r="V946" s="236"/>
      <c r="W946" s="237"/>
      <c r="X946" s="237"/>
      <c r="Y946" s="237"/>
      <c r="Z946" s="237"/>
      <c r="AA946" s="237"/>
      <c r="AB946" s="237"/>
      <c r="AC946" s="237"/>
      <c r="AD946" s="237"/>
      <c r="AE946" s="237"/>
      <c r="AF946" s="237"/>
      <c r="AG946" s="237"/>
      <c r="AH946" s="237"/>
      <c r="AI946" s="308"/>
      <c r="AJ946" s="308"/>
      <c r="AK946" s="308"/>
      <c r="AL946" s="308"/>
      <c r="AM946" s="98"/>
      <c r="AN946" s="98"/>
      <c r="AO946" s="98"/>
    </row>
    <row r="947" ht="14.25" customHeight="1">
      <c r="A947" s="98"/>
      <c r="B947" s="98"/>
      <c r="C947" s="98"/>
      <c r="D947" s="308"/>
      <c r="E947" s="98"/>
      <c r="F947" s="235"/>
      <c r="G947" s="235"/>
      <c r="H947" s="236"/>
      <c r="I947" s="236"/>
      <c r="J947" s="236"/>
      <c r="K947" s="236"/>
      <c r="L947" s="236"/>
      <c r="M947" s="236"/>
      <c r="N947" s="236"/>
      <c r="O947" s="236"/>
      <c r="P947" s="236"/>
      <c r="Q947" s="236"/>
      <c r="R947" s="236"/>
      <c r="S947" s="236"/>
      <c r="T947" s="236"/>
      <c r="U947" s="236"/>
      <c r="V947" s="236"/>
      <c r="W947" s="237"/>
      <c r="X947" s="237"/>
      <c r="Y947" s="237"/>
      <c r="Z947" s="237"/>
      <c r="AA947" s="237"/>
      <c r="AB947" s="237"/>
      <c r="AC947" s="237"/>
      <c r="AD947" s="237"/>
      <c r="AE947" s="237"/>
      <c r="AF947" s="237"/>
      <c r="AG947" s="237"/>
      <c r="AH947" s="237"/>
      <c r="AI947" s="308"/>
      <c r="AJ947" s="308"/>
      <c r="AK947" s="308"/>
      <c r="AL947" s="308"/>
      <c r="AM947" s="98"/>
      <c r="AN947" s="98"/>
      <c r="AO947" s="98"/>
    </row>
    <row r="948" ht="14.25" customHeight="1">
      <c r="A948" s="98"/>
      <c r="B948" s="98"/>
      <c r="C948" s="98"/>
      <c r="D948" s="308"/>
      <c r="E948" s="98"/>
      <c r="F948" s="235"/>
      <c r="G948" s="235"/>
      <c r="H948" s="236"/>
      <c r="I948" s="236"/>
      <c r="J948" s="236"/>
      <c r="K948" s="236"/>
      <c r="L948" s="236"/>
      <c r="M948" s="236"/>
      <c r="N948" s="236"/>
      <c r="O948" s="236"/>
      <c r="P948" s="236"/>
      <c r="Q948" s="236"/>
      <c r="R948" s="236"/>
      <c r="S948" s="236"/>
      <c r="T948" s="236"/>
      <c r="U948" s="236"/>
      <c r="V948" s="236"/>
      <c r="W948" s="237"/>
      <c r="X948" s="237"/>
      <c r="Y948" s="237"/>
      <c r="Z948" s="237"/>
      <c r="AA948" s="237"/>
      <c r="AB948" s="237"/>
      <c r="AC948" s="237"/>
      <c r="AD948" s="237"/>
      <c r="AE948" s="237"/>
      <c r="AF948" s="237"/>
      <c r="AG948" s="237"/>
      <c r="AH948" s="237"/>
      <c r="AI948" s="308"/>
      <c r="AJ948" s="308"/>
      <c r="AK948" s="308"/>
      <c r="AL948" s="308"/>
      <c r="AM948" s="98"/>
      <c r="AN948" s="98"/>
      <c r="AO948" s="98"/>
    </row>
    <row r="949" ht="14.25" customHeight="1">
      <c r="A949" s="98"/>
      <c r="B949" s="98"/>
      <c r="C949" s="98"/>
      <c r="D949" s="308"/>
      <c r="E949" s="98"/>
      <c r="F949" s="235"/>
      <c r="G949" s="235"/>
      <c r="H949" s="236"/>
      <c r="I949" s="236"/>
      <c r="J949" s="236"/>
      <c r="K949" s="236"/>
      <c r="L949" s="236"/>
      <c r="M949" s="236"/>
      <c r="N949" s="236"/>
      <c r="O949" s="236"/>
      <c r="P949" s="236"/>
      <c r="Q949" s="236"/>
      <c r="R949" s="236"/>
      <c r="S949" s="236"/>
      <c r="T949" s="236"/>
      <c r="U949" s="236"/>
      <c r="V949" s="236"/>
      <c r="W949" s="237"/>
      <c r="X949" s="237"/>
      <c r="Y949" s="237"/>
      <c r="Z949" s="237"/>
      <c r="AA949" s="237"/>
      <c r="AB949" s="237"/>
      <c r="AC949" s="237"/>
      <c r="AD949" s="237"/>
      <c r="AE949" s="237"/>
      <c r="AF949" s="237"/>
      <c r="AG949" s="237"/>
      <c r="AH949" s="237"/>
      <c r="AI949" s="308"/>
      <c r="AJ949" s="308"/>
      <c r="AK949" s="308"/>
      <c r="AL949" s="308"/>
      <c r="AM949" s="98"/>
      <c r="AN949" s="98"/>
      <c r="AO949" s="98"/>
    </row>
    <row r="950" ht="14.25" customHeight="1">
      <c r="A950" s="98"/>
      <c r="B950" s="98"/>
      <c r="C950" s="98"/>
      <c r="D950" s="308"/>
      <c r="E950" s="98"/>
      <c r="F950" s="235"/>
      <c r="G950" s="235"/>
      <c r="H950" s="236"/>
      <c r="I950" s="236"/>
      <c r="J950" s="236"/>
      <c r="K950" s="236"/>
      <c r="L950" s="236"/>
      <c r="M950" s="236"/>
      <c r="N950" s="236"/>
      <c r="O950" s="236"/>
      <c r="P950" s="236"/>
      <c r="Q950" s="236"/>
      <c r="R950" s="236"/>
      <c r="S950" s="236"/>
      <c r="T950" s="236"/>
      <c r="U950" s="236"/>
      <c r="V950" s="236"/>
      <c r="W950" s="237"/>
      <c r="X950" s="237"/>
      <c r="Y950" s="237"/>
      <c r="Z950" s="237"/>
      <c r="AA950" s="237"/>
      <c r="AB950" s="237"/>
      <c r="AC950" s="237"/>
      <c r="AD950" s="237"/>
      <c r="AE950" s="237"/>
      <c r="AF950" s="237"/>
      <c r="AG950" s="237"/>
      <c r="AH950" s="237"/>
      <c r="AI950" s="308"/>
      <c r="AJ950" s="308"/>
      <c r="AK950" s="308"/>
      <c r="AL950" s="308"/>
      <c r="AM950" s="98"/>
      <c r="AN950" s="98"/>
      <c r="AO950" s="98"/>
    </row>
    <row r="951" ht="14.25" customHeight="1">
      <c r="A951" s="98"/>
      <c r="B951" s="98"/>
      <c r="C951" s="98"/>
      <c r="D951" s="308"/>
      <c r="E951" s="98"/>
      <c r="F951" s="235"/>
      <c r="G951" s="235"/>
      <c r="H951" s="236"/>
      <c r="I951" s="236"/>
      <c r="J951" s="236"/>
      <c r="K951" s="236"/>
      <c r="L951" s="236"/>
      <c r="M951" s="236"/>
      <c r="N951" s="236"/>
      <c r="O951" s="236"/>
      <c r="P951" s="236"/>
      <c r="Q951" s="236"/>
      <c r="R951" s="236"/>
      <c r="S951" s="236"/>
      <c r="T951" s="236"/>
      <c r="U951" s="236"/>
      <c r="V951" s="236"/>
      <c r="W951" s="237"/>
      <c r="X951" s="237"/>
      <c r="Y951" s="237"/>
      <c r="Z951" s="237"/>
      <c r="AA951" s="237"/>
      <c r="AB951" s="237"/>
      <c r="AC951" s="237"/>
      <c r="AD951" s="237"/>
      <c r="AE951" s="237"/>
      <c r="AF951" s="237"/>
      <c r="AG951" s="237"/>
      <c r="AH951" s="237"/>
      <c r="AI951" s="308"/>
      <c r="AJ951" s="308"/>
      <c r="AK951" s="308"/>
      <c r="AL951" s="308"/>
      <c r="AM951" s="98"/>
      <c r="AN951" s="98"/>
      <c r="AO951" s="98"/>
    </row>
    <row r="952" ht="14.25" customHeight="1">
      <c r="A952" s="98"/>
      <c r="B952" s="98"/>
      <c r="C952" s="98"/>
      <c r="D952" s="308"/>
      <c r="E952" s="98"/>
      <c r="F952" s="235"/>
      <c r="G952" s="235"/>
      <c r="H952" s="236"/>
      <c r="I952" s="236"/>
      <c r="J952" s="236"/>
      <c r="K952" s="236"/>
      <c r="L952" s="236"/>
      <c r="M952" s="236"/>
      <c r="N952" s="236"/>
      <c r="O952" s="236"/>
      <c r="P952" s="236"/>
      <c r="Q952" s="236"/>
      <c r="R952" s="236"/>
      <c r="S952" s="236"/>
      <c r="T952" s="236"/>
      <c r="U952" s="236"/>
      <c r="V952" s="236"/>
      <c r="W952" s="237"/>
      <c r="X952" s="237"/>
      <c r="Y952" s="237"/>
      <c r="Z952" s="237"/>
      <c r="AA952" s="237"/>
      <c r="AB952" s="237"/>
      <c r="AC952" s="237"/>
      <c r="AD952" s="237"/>
      <c r="AE952" s="237"/>
      <c r="AF952" s="237"/>
      <c r="AG952" s="237"/>
      <c r="AH952" s="237"/>
      <c r="AI952" s="308"/>
      <c r="AJ952" s="308"/>
      <c r="AK952" s="308"/>
      <c r="AL952" s="308"/>
      <c r="AM952" s="98"/>
      <c r="AN952" s="98"/>
      <c r="AO952" s="98"/>
    </row>
    <row r="953" ht="14.25" customHeight="1">
      <c r="A953" s="98"/>
      <c r="B953" s="98"/>
      <c r="C953" s="98"/>
      <c r="D953" s="308"/>
      <c r="E953" s="98"/>
      <c r="F953" s="235"/>
      <c r="G953" s="235"/>
      <c r="H953" s="236"/>
      <c r="I953" s="236"/>
      <c r="J953" s="236"/>
      <c r="K953" s="236"/>
      <c r="L953" s="236"/>
      <c r="M953" s="236"/>
      <c r="N953" s="236"/>
      <c r="O953" s="236"/>
      <c r="P953" s="236"/>
      <c r="Q953" s="236"/>
      <c r="R953" s="236"/>
      <c r="S953" s="236"/>
      <c r="T953" s="236"/>
      <c r="U953" s="236"/>
      <c r="V953" s="236"/>
      <c r="W953" s="237"/>
      <c r="X953" s="237"/>
      <c r="Y953" s="237"/>
      <c r="Z953" s="237"/>
      <c r="AA953" s="237"/>
      <c r="AB953" s="237"/>
      <c r="AC953" s="237"/>
      <c r="AD953" s="237"/>
      <c r="AE953" s="237"/>
      <c r="AF953" s="237"/>
      <c r="AG953" s="237"/>
      <c r="AH953" s="237"/>
      <c r="AI953" s="308"/>
      <c r="AJ953" s="308"/>
      <c r="AK953" s="308"/>
      <c r="AL953" s="308"/>
      <c r="AM953" s="98"/>
      <c r="AN953" s="98"/>
      <c r="AO953" s="98"/>
    </row>
    <row r="954" ht="14.25" customHeight="1">
      <c r="A954" s="98"/>
      <c r="B954" s="98"/>
      <c r="C954" s="98"/>
      <c r="D954" s="308"/>
      <c r="E954" s="98"/>
      <c r="F954" s="235"/>
      <c r="G954" s="235"/>
      <c r="H954" s="236"/>
      <c r="I954" s="236"/>
      <c r="J954" s="236"/>
      <c r="K954" s="236"/>
      <c r="L954" s="236"/>
      <c r="M954" s="236"/>
      <c r="N954" s="236"/>
      <c r="O954" s="236"/>
      <c r="P954" s="236"/>
      <c r="Q954" s="236"/>
      <c r="R954" s="236"/>
      <c r="S954" s="236"/>
      <c r="T954" s="236"/>
      <c r="U954" s="236"/>
      <c r="V954" s="236"/>
      <c r="W954" s="237"/>
      <c r="X954" s="237"/>
      <c r="Y954" s="237"/>
      <c r="Z954" s="237"/>
      <c r="AA954" s="237"/>
      <c r="AB954" s="237"/>
      <c r="AC954" s="237"/>
      <c r="AD954" s="237"/>
      <c r="AE954" s="237"/>
      <c r="AF954" s="237"/>
      <c r="AG954" s="237"/>
      <c r="AH954" s="237"/>
      <c r="AI954" s="308"/>
      <c r="AJ954" s="308"/>
      <c r="AK954" s="308"/>
      <c r="AL954" s="308"/>
      <c r="AM954" s="98"/>
      <c r="AN954" s="98"/>
      <c r="AO954" s="98"/>
    </row>
    <row r="955" ht="14.25" customHeight="1">
      <c r="A955" s="98"/>
      <c r="B955" s="98"/>
      <c r="C955" s="98"/>
      <c r="D955" s="308"/>
      <c r="E955" s="98"/>
      <c r="F955" s="235"/>
      <c r="G955" s="235"/>
      <c r="H955" s="236"/>
      <c r="I955" s="236"/>
      <c r="J955" s="236"/>
      <c r="K955" s="236"/>
      <c r="L955" s="236"/>
      <c r="M955" s="236"/>
      <c r="N955" s="236"/>
      <c r="O955" s="236"/>
      <c r="P955" s="236"/>
      <c r="Q955" s="236"/>
      <c r="R955" s="236"/>
      <c r="S955" s="236"/>
      <c r="T955" s="236"/>
      <c r="U955" s="236"/>
      <c r="V955" s="236"/>
      <c r="W955" s="237"/>
      <c r="X955" s="237"/>
      <c r="Y955" s="237"/>
      <c r="Z955" s="237"/>
      <c r="AA955" s="237"/>
      <c r="AB955" s="237"/>
      <c r="AC955" s="237"/>
      <c r="AD955" s="237"/>
      <c r="AE955" s="237"/>
      <c r="AF955" s="237"/>
      <c r="AG955" s="237"/>
      <c r="AH955" s="237"/>
      <c r="AI955" s="308"/>
      <c r="AJ955" s="308"/>
      <c r="AK955" s="308"/>
      <c r="AL955" s="308"/>
      <c r="AM955" s="98"/>
      <c r="AN955" s="98"/>
      <c r="AO955" s="98"/>
    </row>
    <row r="956" ht="14.25" customHeight="1">
      <c r="A956" s="98"/>
      <c r="B956" s="98"/>
      <c r="C956" s="98"/>
      <c r="D956" s="308"/>
      <c r="E956" s="98"/>
      <c r="F956" s="235"/>
      <c r="G956" s="235"/>
      <c r="H956" s="236"/>
      <c r="I956" s="236"/>
      <c r="J956" s="236"/>
      <c r="K956" s="236"/>
      <c r="L956" s="236"/>
      <c r="M956" s="236"/>
      <c r="N956" s="236"/>
      <c r="O956" s="236"/>
      <c r="P956" s="236"/>
      <c r="Q956" s="236"/>
      <c r="R956" s="236"/>
      <c r="S956" s="236"/>
      <c r="T956" s="236"/>
      <c r="U956" s="236"/>
      <c r="V956" s="236"/>
      <c r="W956" s="237"/>
      <c r="X956" s="237"/>
      <c r="Y956" s="237"/>
      <c r="Z956" s="237"/>
      <c r="AA956" s="237"/>
      <c r="AB956" s="237"/>
      <c r="AC956" s="237"/>
      <c r="AD956" s="237"/>
      <c r="AE956" s="237"/>
      <c r="AF956" s="237"/>
      <c r="AG956" s="237"/>
      <c r="AH956" s="237"/>
      <c r="AI956" s="308"/>
      <c r="AJ956" s="308"/>
      <c r="AK956" s="308"/>
      <c r="AL956" s="308"/>
      <c r="AM956" s="98"/>
      <c r="AN956" s="98"/>
      <c r="AO956" s="98"/>
    </row>
    <row r="957" ht="14.25" customHeight="1">
      <c r="A957" s="98"/>
      <c r="B957" s="98"/>
      <c r="C957" s="98"/>
      <c r="D957" s="308"/>
      <c r="E957" s="98"/>
      <c r="F957" s="235"/>
      <c r="G957" s="235"/>
      <c r="H957" s="236"/>
      <c r="I957" s="236"/>
      <c r="J957" s="236"/>
      <c r="K957" s="236"/>
      <c r="L957" s="236"/>
      <c r="M957" s="236"/>
      <c r="N957" s="236"/>
      <c r="O957" s="236"/>
      <c r="P957" s="236"/>
      <c r="Q957" s="236"/>
      <c r="R957" s="236"/>
      <c r="S957" s="236"/>
      <c r="T957" s="236"/>
      <c r="U957" s="236"/>
      <c r="V957" s="236"/>
      <c r="W957" s="237"/>
      <c r="X957" s="237"/>
      <c r="Y957" s="237"/>
      <c r="Z957" s="237"/>
      <c r="AA957" s="237"/>
      <c r="AB957" s="237"/>
      <c r="AC957" s="237"/>
      <c r="AD957" s="237"/>
      <c r="AE957" s="237"/>
      <c r="AF957" s="237"/>
      <c r="AG957" s="237"/>
      <c r="AH957" s="237"/>
      <c r="AI957" s="308"/>
      <c r="AJ957" s="308"/>
      <c r="AK957" s="308"/>
      <c r="AL957" s="308"/>
      <c r="AM957" s="98"/>
      <c r="AN957" s="98"/>
      <c r="AO957" s="98"/>
    </row>
    <row r="958" ht="14.25" customHeight="1">
      <c r="A958" s="98"/>
      <c r="B958" s="98"/>
      <c r="C958" s="98"/>
      <c r="D958" s="308"/>
      <c r="E958" s="98"/>
      <c r="F958" s="235"/>
      <c r="G958" s="235"/>
      <c r="H958" s="236"/>
      <c r="I958" s="236"/>
      <c r="J958" s="236"/>
      <c r="K958" s="236"/>
      <c r="L958" s="236"/>
      <c r="M958" s="236"/>
      <c r="N958" s="236"/>
      <c r="O958" s="236"/>
      <c r="P958" s="236"/>
      <c r="Q958" s="236"/>
      <c r="R958" s="236"/>
      <c r="S958" s="236"/>
      <c r="T958" s="236"/>
      <c r="U958" s="236"/>
      <c r="V958" s="236"/>
      <c r="W958" s="237"/>
      <c r="X958" s="237"/>
      <c r="Y958" s="237"/>
      <c r="Z958" s="237"/>
      <c r="AA958" s="237"/>
      <c r="AB958" s="237"/>
      <c r="AC958" s="237"/>
      <c r="AD958" s="237"/>
      <c r="AE958" s="237"/>
      <c r="AF958" s="237"/>
      <c r="AG958" s="237"/>
      <c r="AH958" s="237"/>
      <c r="AI958" s="308"/>
      <c r="AJ958" s="308"/>
      <c r="AK958" s="308"/>
      <c r="AL958" s="308"/>
      <c r="AM958" s="98"/>
      <c r="AN958" s="98"/>
      <c r="AO958" s="98"/>
    </row>
    <row r="959" ht="14.25" customHeight="1">
      <c r="A959" s="98"/>
      <c r="B959" s="98"/>
      <c r="C959" s="98"/>
      <c r="D959" s="308"/>
      <c r="E959" s="98"/>
      <c r="F959" s="235"/>
      <c r="G959" s="235"/>
      <c r="H959" s="236"/>
      <c r="I959" s="236"/>
      <c r="J959" s="236"/>
      <c r="K959" s="236"/>
      <c r="L959" s="236"/>
      <c r="M959" s="236"/>
      <c r="N959" s="236"/>
      <c r="O959" s="236"/>
      <c r="P959" s="236"/>
      <c r="Q959" s="236"/>
      <c r="R959" s="236"/>
      <c r="S959" s="236"/>
      <c r="T959" s="236"/>
      <c r="U959" s="236"/>
      <c r="V959" s="236"/>
      <c r="W959" s="237"/>
      <c r="X959" s="237"/>
      <c r="Y959" s="237"/>
      <c r="Z959" s="237"/>
      <c r="AA959" s="237"/>
      <c r="AB959" s="237"/>
      <c r="AC959" s="237"/>
      <c r="AD959" s="237"/>
      <c r="AE959" s="237"/>
      <c r="AF959" s="237"/>
      <c r="AG959" s="237"/>
      <c r="AH959" s="237"/>
      <c r="AI959" s="308"/>
      <c r="AJ959" s="308"/>
      <c r="AK959" s="308"/>
      <c r="AL959" s="308"/>
      <c r="AM959" s="98"/>
      <c r="AN959" s="98"/>
      <c r="AO959" s="98"/>
    </row>
    <row r="960" ht="14.25" customHeight="1">
      <c r="A960" s="98"/>
      <c r="B960" s="98"/>
      <c r="C960" s="98"/>
      <c r="D960" s="308"/>
      <c r="E960" s="98"/>
      <c r="F960" s="235"/>
      <c r="G960" s="235"/>
      <c r="H960" s="236"/>
      <c r="I960" s="236"/>
      <c r="J960" s="236"/>
      <c r="K960" s="236"/>
      <c r="L960" s="236"/>
      <c r="M960" s="236"/>
      <c r="N960" s="236"/>
      <c r="O960" s="236"/>
      <c r="P960" s="236"/>
      <c r="Q960" s="236"/>
      <c r="R960" s="236"/>
      <c r="S960" s="236"/>
      <c r="T960" s="236"/>
      <c r="U960" s="236"/>
      <c r="V960" s="236"/>
      <c r="W960" s="237"/>
      <c r="X960" s="237"/>
      <c r="Y960" s="237"/>
      <c r="Z960" s="237"/>
      <c r="AA960" s="237"/>
      <c r="AB960" s="237"/>
      <c r="AC960" s="237"/>
      <c r="AD960" s="237"/>
      <c r="AE960" s="237"/>
      <c r="AF960" s="237"/>
      <c r="AG960" s="237"/>
      <c r="AH960" s="237"/>
      <c r="AI960" s="308"/>
      <c r="AJ960" s="308"/>
      <c r="AK960" s="308"/>
      <c r="AL960" s="308"/>
      <c r="AM960" s="98"/>
      <c r="AN960" s="98"/>
      <c r="AO960" s="98"/>
    </row>
    <row r="961" ht="14.25" customHeight="1">
      <c r="A961" s="98"/>
      <c r="B961" s="98"/>
      <c r="C961" s="98"/>
      <c r="D961" s="308"/>
      <c r="E961" s="98"/>
      <c r="F961" s="235"/>
      <c r="G961" s="235"/>
      <c r="H961" s="236"/>
      <c r="I961" s="236"/>
      <c r="J961" s="236"/>
      <c r="K961" s="236"/>
      <c r="L961" s="236"/>
      <c r="M961" s="236"/>
      <c r="N961" s="236"/>
      <c r="O961" s="236"/>
      <c r="P961" s="236"/>
      <c r="Q961" s="236"/>
      <c r="R961" s="236"/>
      <c r="S961" s="236"/>
      <c r="T961" s="236"/>
      <c r="U961" s="236"/>
      <c r="V961" s="236"/>
      <c r="W961" s="237"/>
      <c r="X961" s="237"/>
      <c r="Y961" s="237"/>
      <c r="Z961" s="237"/>
      <c r="AA961" s="237"/>
      <c r="AB961" s="237"/>
      <c r="AC961" s="237"/>
      <c r="AD961" s="237"/>
      <c r="AE961" s="237"/>
      <c r="AF961" s="237"/>
      <c r="AG961" s="237"/>
      <c r="AH961" s="237"/>
      <c r="AI961" s="308"/>
      <c r="AJ961" s="308"/>
      <c r="AK961" s="308"/>
      <c r="AL961" s="308"/>
      <c r="AM961" s="98"/>
      <c r="AN961" s="98"/>
      <c r="AO961" s="98"/>
    </row>
    <row r="962" ht="14.25" customHeight="1">
      <c r="A962" s="98"/>
      <c r="B962" s="98"/>
      <c r="C962" s="98"/>
      <c r="D962" s="308"/>
      <c r="E962" s="98"/>
      <c r="F962" s="235"/>
      <c r="G962" s="235"/>
      <c r="H962" s="236"/>
      <c r="I962" s="236"/>
      <c r="J962" s="236"/>
      <c r="K962" s="236"/>
      <c r="L962" s="236"/>
      <c r="M962" s="236"/>
      <c r="N962" s="236"/>
      <c r="O962" s="236"/>
      <c r="P962" s="236"/>
      <c r="Q962" s="236"/>
      <c r="R962" s="236"/>
      <c r="S962" s="236"/>
      <c r="T962" s="236"/>
      <c r="U962" s="236"/>
      <c r="V962" s="236"/>
      <c r="W962" s="237"/>
      <c r="X962" s="237"/>
      <c r="Y962" s="237"/>
      <c r="Z962" s="237"/>
      <c r="AA962" s="237"/>
      <c r="AB962" s="237"/>
      <c r="AC962" s="237"/>
      <c r="AD962" s="237"/>
      <c r="AE962" s="237"/>
      <c r="AF962" s="237"/>
      <c r="AG962" s="237"/>
      <c r="AH962" s="237"/>
      <c r="AI962" s="308"/>
      <c r="AJ962" s="308"/>
      <c r="AK962" s="308"/>
      <c r="AL962" s="308"/>
      <c r="AM962" s="98"/>
      <c r="AN962" s="98"/>
      <c r="AO962" s="98"/>
    </row>
    <row r="963" ht="14.25" customHeight="1">
      <c r="A963" s="98"/>
      <c r="B963" s="98"/>
      <c r="C963" s="98"/>
      <c r="D963" s="308"/>
      <c r="E963" s="98"/>
      <c r="F963" s="235"/>
      <c r="G963" s="235"/>
      <c r="H963" s="236"/>
      <c r="I963" s="236"/>
      <c r="J963" s="236"/>
      <c r="K963" s="236"/>
      <c r="L963" s="236"/>
      <c r="M963" s="236"/>
      <c r="N963" s="236"/>
      <c r="O963" s="236"/>
      <c r="P963" s="236"/>
      <c r="Q963" s="236"/>
      <c r="R963" s="236"/>
      <c r="S963" s="236"/>
      <c r="T963" s="236"/>
      <c r="U963" s="236"/>
      <c r="V963" s="236"/>
      <c r="W963" s="237"/>
      <c r="X963" s="237"/>
      <c r="Y963" s="237"/>
      <c r="Z963" s="237"/>
      <c r="AA963" s="237"/>
      <c r="AB963" s="237"/>
      <c r="AC963" s="237"/>
      <c r="AD963" s="237"/>
      <c r="AE963" s="237"/>
      <c r="AF963" s="237"/>
      <c r="AG963" s="237"/>
      <c r="AH963" s="237"/>
      <c r="AI963" s="308"/>
      <c r="AJ963" s="308"/>
      <c r="AK963" s="308"/>
      <c r="AL963" s="308"/>
      <c r="AM963" s="98"/>
      <c r="AN963" s="98"/>
      <c r="AO963" s="98"/>
    </row>
    <row r="964" ht="14.25" customHeight="1">
      <c r="A964" s="98"/>
      <c r="B964" s="98"/>
      <c r="C964" s="98"/>
      <c r="D964" s="308"/>
      <c r="E964" s="98"/>
      <c r="F964" s="235"/>
      <c r="G964" s="235"/>
      <c r="H964" s="236"/>
      <c r="I964" s="236"/>
      <c r="J964" s="236"/>
      <c r="K964" s="236"/>
      <c r="L964" s="236"/>
      <c r="M964" s="236"/>
      <c r="N964" s="236"/>
      <c r="O964" s="236"/>
      <c r="P964" s="236"/>
      <c r="Q964" s="236"/>
      <c r="R964" s="236"/>
      <c r="S964" s="236"/>
      <c r="T964" s="236"/>
      <c r="U964" s="236"/>
      <c r="V964" s="236"/>
      <c r="W964" s="237"/>
      <c r="X964" s="237"/>
      <c r="Y964" s="237"/>
      <c r="Z964" s="237"/>
      <c r="AA964" s="237"/>
      <c r="AB964" s="237"/>
      <c r="AC964" s="237"/>
      <c r="AD964" s="237"/>
      <c r="AE964" s="237"/>
      <c r="AF964" s="237"/>
      <c r="AG964" s="237"/>
      <c r="AH964" s="237"/>
      <c r="AI964" s="308"/>
      <c r="AJ964" s="308"/>
      <c r="AK964" s="308"/>
      <c r="AL964" s="308"/>
      <c r="AM964" s="98"/>
      <c r="AN964" s="98"/>
      <c r="AO964" s="98"/>
    </row>
    <row r="965" ht="14.25" customHeight="1">
      <c r="A965" s="98"/>
      <c r="B965" s="98"/>
      <c r="C965" s="98"/>
      <c r="D965" s="308"/>
      <c r="E965" s="98"/>
      <c r="F965" s="235"/>
      <c r="G965" s="235"/>
      <c r="H965" s="236"/>
      <c r="I965" s="236"/>
      <c r="J965" s="236"/>
      <c r="K965" s="236"/>
      <c r="L965" s="236"/>
      <c r="M965" s="236"/>
      <c r="N965" s="236"/>
      <c r="O965" s="236"/>
      <c r="P965" s="236"/>
      <c r="Q965" s="236"/>
      <c r="R965" s="236"/>
      <c r="S965" s="236"/>
      <c r="T965" s="236"/>
      <c r="U965" s="236"/>
      <c r="V965" s="236"/>
      <c r="W965" s="237"/>
      <c r="X965" s="237"/>
      <c r="Y965" s="237"/>
      <c r="Z965" s="237"/>
      <c r="AA965" s="237"/>
      <c r="AB965" s="237"/>
      <c r="AC965" s="237"/>
      <c r="AD965" s="237"/>
      <c r="AE965" s="237"/>
      <c r="AF965" s="237"/>
      <c r="AG965" s="237"/>
      <c r="AH965" s="237"/>
      <c r="AI965" s="308"/>
      <c r="AJ965" s="308"/>
      <c r="AK965" s="308"/>
      <c r="AL965" s="308"/>
      <c r="AM965" s="98"/>
      <c r="AN965" s="98"/>
      <c r="AO965" s="98"/>
    </row>
    <row r="966" ht="14.25" customHeight="1">
      <c r="A966" s="98"/>
      <c r="B966" s="98"/>
      <c r="C966" s="98"/>
      <c r="D966" s="308"/>
      <c r="E966" s="98"/>
      <c r="F966" s="235"/>
      <c r="G966" s="235"/>
      <c r="H966" s="236"/>
      <c r="I966" s="236"/>
      <c r="J966" s="236"/>
      <c r="K966" s="236"/>
      <c r="L966" s="236"/>
      <c r="M966" s="236"/>
      <c r="N966" s="236"/>
      <c r="O966" s="236"/>
      <c r="P966" s="236"/>
      <c r="Q966" s="236"/>
      <c r="R966" s="236"/>
      <c r="S966" s="236"/>
      <c r="T966" s="236"/>
      <c r="U966" s="236"/>
      <c r="V966" s="236"/>
      <c r="W966" s="237"/>
      <c r="X966" s="237"/>
      <c r="Y966" s="237"/>
      <c r="Z966" s="237"/>
      <c r="AA966" s="237"/>
      <c r="AB966" s="237"/>
      <c r="AC966" s="237"/>
      <c r="AD966" s="237"/>
      <c r="AE966" s="237"/>
      <c r="AF966" s="237"/>
      <c r="AG966" s="237"/>
      <c r="AH966" s="237"/>
      <c r="AI966" s="308"/>
      <c r="AJ966" s="308"/>
      <c r="AK966" s="308"/>
      <c r="AL966" s="308"/>
      <c r="AM966" s="98"/>
      <c r="AN966" s="98"/>
      <c r="AO966" s="98"/>
    </row>
    <row r="967" ht="14.25" customHeight="1">
      <c r="A967" s="98"/>
      <c r="B967" s="98"/>
      <c r="C967" s="98"/>
      <c r="D967" s="308"/>
      <c r="E967" s="98"/>
      <c r="F967" s="235"/>
      <c r="G967" s="235"/>
      <c r="H967" s="236"/>
      <c r="I967" s="236"/>
      <c r="J967" s="236"/>
      <c r="K967" s="236"/>
      <c r="L967" s="236"/>
      <c r="M967" s="236"/>
      <c r="N967" s="236"/>
      <c r="O967" s="236"/>
      <c r="P967" s="236"/>
      <c r="Q967" s="236"/>
      <c r="R967" s="236"/>
      <c r="S967" s="236"/>
      <c r="T967" s="236"/>
      <c r="U967" s="236"/>
      <c r="V967" s="236"/>
      <c r="W967" s="237"/>
      <c r="X967" s="237"/>
      <c r="Y967" s="237"/>
      <c r="Z967" s="237"/>
      <c r="AA967" s="237"/>
      <c r="AB967" s="237"/>
      <c r="AC967" s="237"/>
      <c r="AD967" s="237"/>
      <c r="AE967" s="237"/>
      <c r="AF967" s="237"/>
      <c r="AG967" s="237"/>
      <c r="AH967" s="237"/>
      <c r="AI967" s="308"/>
      <c r="AJ967" s="308"/>
      <c r="AK967" s="308"/>
      <c r="AL967" s="308"/>
      <c r="AM967" s="98"/>
      <c r="AN967" s="98"/>
      <c r="AO967" s="98"/>
    </row>
    <row r="968" ht="14.25" customHeight="1">
      <c r="A968" s="98"/>
      <c r="B968" s="98"/>
      <c r="C968" s="98"/>
      <c r="D968" s="308"/>
      <c r="E968" s="98"/>
      <c r="F968" s="235"/>
      <c r="G968" s="235"/>
      <c r="H968" s="236"/>
      <c r="I968" s="236"/>
      <c r="J968" s="236"/>
      <c r="K968" s="236"/>
      <c r="L968" s="236"/>
      <c r="M968" s="236"/>
      <c r="N968" s="236"/>
      <c r="O968" s="236"/>
      <c r="P968" s="236"/>
      <c r="Q968" s="236"/>
      <c r="R968" s="236"/>
      <c r="S968" s="236"/>
      <c r="T968" s="236"/>
      <c r="U968" s="236"/>
      <c r="V968" s="236"/>
      <c r="W968" s="237"/>
      <c r="X968" s="237"/>
      <c r="Y968" s="237"/>
      <c r="Z968" s="237"/>
      <c r="AA968" s="237"/>
      <c r="AB968" s="237"/>
      <c r="AC968" s="237"/>
      <c r="AD968" s="237"/>
      <c r="AE968" s="237"/>
      <c r="AF968" s="237"/>
      <c r="AG968" s="237"/>
      <c r="AH968" s="237"/>
      <c r="AI968" s="308"/>
      <c r="AJ968" s="308"/>
      <c r="AK968" s="308"/>
      <c r="AL968" s="308"/>
      <c r="AM968" s="98"/>
      <c r="AN968" s="98"/>
      <c r="AO968" s="98"/>
    </row>
    <row r="969" ht="14.25" customHeight="1">
      <c r="A969" s="98"/>
      <c r="B969" s="98"/>
      <c r="C969" s="98"/>
      <c r="D969" s="308"/>
      <c r="E969" s="98"/>
      <c r="F969" s="235"/>
      <c r="G969" s="235"/>
      <c r="H969" s="236"/>
      <c r="I969" s="236"/>
      <c r="J969" s="236"/>
      <c r="K969" s="236"/>
      <c r="L969" s="236"/>
      <c r="M969" s="236"/>
      <c r="N969" s="236"/>
      <c r="O969" s="236"/>
      <c r="P969" s="236"/>
      <c r="Q969" s="236"/>
      <c r="R969" s="236"/>
      <c r="S969" s="236"/>
      <c r="T969" s="236"/>
      <c r="U969" s="236"/>
      <c r="V969" s="236"/>
      <c r="W969" s="237"/>
      <c r="X969" s="237"/>
      <c r="Y969" s="237"/>
      <c r="Z969" s="237"/>
      <c r="AA969" s="237"/>
      <c r="AB969" s="237"/>
      <c r="AC969" s="237"/>
      <c r="AD969" s="237"/>
      <c r="AE969" s="237"/>
      <c r="AF969" s="237"/>
      <c r="AG969" s="237"/>
      <c r="AH969" s="237"/>
      <c r="AI969" s="308"/>
      <c r="AJ969" s="308"/>
      <c r="AK969" s="308"/>
      <c r="AL969" s="308"/>
      <c r="AM969" s="98"/>
      <c r="AN969" s="98"/>
      <c r="AO969" s="98"/>
    </row>
    <row r="970" ht="14.25" customHeight="1">
      <c r="A970" s="98"/>
      <c r="B970" s="98"/>
      <c r="C970" s="98"/>
      <c r="D970" s="308"/>
      <c r="E970" s="98"/>
      <c r="F970" s="235"/>
      <c r="G970" s="235"/>
      <c r="H970" s="236"/>
      <c r="I970" s="236"/>
      <c r="J970" s="236"/>
      <c r="K970" s="236"/>
      <c r="L970" s="236"/>
      <c r="M970" s="236"/>
      <c r="N970" s="236"/>
      <c r="O970" s="236"/>
      <c r="P970" s="236"/>
      <c r="Q970" s="236"/>
      <c r="R970" s="236"/>
      <c r="S970" s="236"/>
      <c r="T970" s="236"/>
      <c r="U970" s="236"/>
      <c r="V970" s="236"/>
      <c r="W970" s="237"/>
      <c r="X970" s="237"/>
      <c r="Y970" s="237"/>
      <c r="Z970" s="237"/>
      <c r="AA970" s="237"/>
      <c r="AB970" s="237"/>
      <c r="AC970" s="237"/>
      <c r="AD970" s="237"/>
      <c r="AE970" s="237"/>
      <c r="AF970" s="237"/>
      <c r="AG970" s="237"/>
      <c r="AH970" s="237"/>
      <c r="AI970" s="308"/>
      <c r="AJ970" s="308"/>
      <c r="AK970" s="308"/>
      <c r="AL970" s="308"/>
      <c r="AM970" s="98"/>
      <c r="AN970" s="98"/>
      <c r="AO970" s="98"/>
    </row>
    <row r="971" ht="14.25" customHeight="1">
      <c r="A971" s="98"/>
      <c r="B971" s="98"/>
      <c r="C971" s="98"/>
      <c r="D971" s="308"/>
      <c r="E971" s="98"/>
      <c r="F971" s="235"/>
      <c r="G971" s="235"/>
      <c r="H971" s="236"/>
      <c r="I971" s="236"/>
      <c r="J971" s="236"/>
      <c r="K971" s="236"/>
      <c r="L971" s="236"/>
      <c r="M971" s="236"/>
      <c r="N971" s="236"/>
      <c r="O971" s="236"/>
      <c r="P971" s="236"/>
      <c r="Q971" s="236"/>
      <c r="R971" s="236"/>
      <c r="S971" s="236"/>
      <c r="T971" s="236"/>
      <c r="U971" s="236"/>
      <c r="V971" s="236"/>
      <c r="W971" s="237"/>
      <c r="X971" s="237"/>
      <c r="Y971" s="237"/>
      <c r="Z971" s="237"/>
      <c r="AA971" s="237"/>
      <c r="AB971" s="237"/>
      <c r="AC971" s="237"/>
      <c r="AD971" s="237"/>
      <c r="AE971" s="237"/>
      <c r="AF971" s="237"/>
      <c r="AG971" s="237"/>
      <c r="AH971" s="237"/>
      <c r="AI971" s="308"/>
      <c r="AJ971" s="308"/>
      <c r="AK971" s="308"/>
      <c r="AL971" s="308"/>
      <c r="AM971" s="98"/>
      <c r="AN971" s="98"/>
      <c r="AO971" s="98"/>
    </row>
    <row r="972" ht="14.25" customHeight="1">
      <c r="A972" s="98"/>
      <c r="B972" s="98"/>
      <c r="C972" s="98"/>
      <c r="D972" s="308"/>
      <c r="E972" s="98"/>
      <c r="F972" s="235"/>
      <c r="G972" s="235"/>
      <c r="H972" s="236"/>
      <c r="I972" s="236"/>
      <c r="J972" s="236"/>
      <c r="K972" s="236"/>
      <c r="L972" s="236"/>
      <c r="M972" s="236"/>
      <c r="N972" s="236"/>
      <c r="O972" s="236"/>
      <c r="P972" s="236"/>
      <c r="Q972" s="236"/>
      <c r="R972" s="236"/>
      <c r="S972" s="236"/>
      <c r="T972" s="236"/>
      <c r="U972" s="236"/>
      <c r="V972" s="236"/>
      <c r="W972" s="237"/>
      <c r="X972" s="237"/>
      <c r="Y972" s="237"/>
      <c r="Z972" s="237"/>
      <c r="AA972" s="237"/>
      <c r="AB972" s="237"/>
      <c r="AC972" s="237"/>
      <c r="AD972" s="237"/>
      <c r="AE972" s="237"/>
      <c r="AF972" s="237"/>
      <c r="AG972" s="237"/>
      <c r="AH972" s="237"/>
      <c r="AI972" s="308"/>
      <c r="AJ972" s="308"/>
      <c r="AK972" s="308"/>
      <c r="AL972" s="308"/>
      <c r="AM972" s="98"/>
      <c r="AN972" s="98"/>
      <c r="AO972" s="98"/>
    </row>
    <row r="973" ht="14.25" customHeight="1">
      <c r="A973" s="98"/>
      <c r="B973" s="98"/>
      <c r="C973" s="98"/>
      <c r="D973" s="308"/>
      <c r="E973" s="98"/>
      <c r="F973" s="235"/>
      <c r="G973" s="235"/>
      <c r="H973" s="236"/>
      <c r="I973" s="236"/>
      <c r="J973" s="236"/>
      <c r="K973" s="236"/>
      <c r="L973" s="236"/>
      <c r="M973" s="236"/>
      <c r="N973" s="236"/>
      <c r="O973" s="236"/>
      <c r="P973" s="236"/>
      <c r="Q973" s="236"/>
      <c r="R973" s="236"/>
      <c r="S973" s="236"/>
      <c r="T973" s="236"/>
      <c r="U973" s="236"/>
      <c r="V973" s="236"/>
      <c r="W973" s="237"/>
      <c r="X973" s="237"/>
      <c r="Y973" s="237"/>
      <c r="Z973" s="237"/>
      <c r="AA973" s="237"/>
      <c r="AB973" s="237"/>
      <c r="AC973" s="237"/>
      <c r="AD973" s="237"/>
      <c r="AE973" s="237"/>
      <c r="AF973" s="237"/>
      <c r="AG973" s="237"/>
      <c r="AH973" s="237"/>
      <c r="AI973" s="308"/>
      <c r="AJ973" s="308"/>
      <c r="AK973" s="308"/>
      <c r="AL973" s="308"/>
      <c r="AM973" s="98"/>
      <c r="AN973" s="98"/>
      <c r="AO973" s="98"/>
    </row>
    <row r="974" ht="14.25" customHeight="1">
      <c r="A974" s="98"/>
      <c r="B974" s="98"/>
      <c r="C974" s="98"/>
      <c r="D974" s="308"/>
      <c r="E974" s="98"/>
      <c r="F974" s="235"/>
      <c r="G974" s="235"/>
      <c r="H974" s="236"/>
      <c r="I974" s="236"/>
      <c r="J974" s="236"/>
      <c r="K974" s="236"/>
      <c r="L974" s="236"/>
      <c r="M974" s="236"/>
      <c r="N974" s="236"/>
      <c r="O974" s="236"/>
      <c r="P974" s="236"/>
      <c r="Q974" s="236"/>
      <c r="R974" s="236"/>
      <c r="S974" s="236"/>
      <c r="T974" s="236"/>
      <c r="U974" s="236"/>
      <c r="V974" s="236"/>
      <c r="W974" s="237"/>
      <c r="X974" s="237"/>
      <c r="Y974" s="237"/>
      <c r="Z974" s="237"/>
      <c r="AA974" s="237"/>
      <c r="AB974" s="237"/>
      <c r="AC974" s="237"/>
      <c r="AD974" s="237"/>
      <c r="AE974" s="237"/>
      <c r="AF974" s="237"/>
      <c r="AG974" s="237"/>
      <c r="AH974" s="237"/>
      <c r="AI974" s="308"/>
      <c r="AJ974" s="308"/>
      <c r="AK974" s="308"/>
      <c r="AL974" s="308"/>
      <c r="AM974" s="98"/>
      <c r="AN974" s="98"/>
      <c r="AO974" s="98"/>
    </row>
    <row r="975" ht="14.25" customHeight="1">
      <c r="A975" s="98"/>
      <c r="B975" s="98"/>
      <c r="C975" s="98"/>
      <c r="D975" s="308"/>
      <c r="E975" s="98"/>
      <c r="F975" s="235"/>
      <c r="G975" s="235"/>
      <c r="H975" s="236"/>
      <c r="I975" s="236"/>
      <c r="J975" s="236"/>
      <c r="K975" s="236"/>
      <c r="L975" s="236"/>
      <c r="M975" s="236"/>
      <c r="N975" s="236"/>
      <c r="O975" s="236"/>
      <c r="P975" s="236"/>
      <c r="Q975" s="236"/>
      <c r="R975" s="236"/>
      <c r="S975" s="236"/>
      <c r="T975" s="236"/>
      <c r="U975" s="236"/>
      <c r="V975" s="236"/>
      <c r="W975" s="237"/>
      <c r="X975" s="237"/>
      <c r="Y975" s="237"/>
      <c r="Z975" s="237"/>
      <c r="AA975" s="237"/>
      <c r="AB975" s="237"/>
      <c r="AC975" s="237"/>
      <c r="AD975" s="237"/>
      <c r="AE975" s="237"/>
      <c r="AF975" s="237"/>
      <c r="AG975" s="237"/>
      <c r="AH975" s="237"/>
      <c r="AI975" s="308"/>
      <c r="AJ975" s="308"/>
      <c r="AK975" s="308"/>
      <c r="AL975" s="308"/>
      <c r="AM975" s="98"/>
      <c r="AN975" s="98"/>
      <c r="AO975" s="98"/>
    </row>
    <row r="976" ht="14.25" customHeight="1">
      <c r="A976" s="98"/>
      <c r="B976" s="98"/>
      <c r="C976" s="98"/>
      <c r="D976" s="308"/>
      <c r="E976" s="98"/>
      <c r="F976" s="235"/>
      <c r="G976" s="235"/>
      <c r="H976" s="236"/>
      <c r="I976" s="236"/>
      <c r="J976" s="236"/>
      <c r="K976" s="236"/>
      <c r="L976" s="236"/>
      <c r="M976" s="236"/>
      <c r="N976" s="236"/>
      <c r="O976" s="236"/>
      <c r="P976" s="236"/>
      <c r="Q976" s="236"/>
      <c r="R976" s="236"/>
      <c r="S976" s="236"/>
      <c r="T976" s="236"/>
      <c r="U976" s="236"/>
      <c r="V976" s="236"/>
      <c r="W976" s="237"/>
      <c r="X976" s="237"/>
      <c r="Y976" s="237"/>
      <c r="Z976" s="237"/>
      <c r="AA976" s="237"/>
      <c r="AB976" s="237"/>
      <c r="AC976" s="237"/>
      <c r="AD976" s="237"/>
      <c r="AE976" s="237"/>
      <c r="AF976" s="237"/>
      <c r="AG976" s="237"/>
      <c r="AH976" s="237"/>
      <c r="AI976" s="308"/>
      <c r="AJ976" s="308"/>
      <c r="AK976" s="308"/>
      <c r="AL976" s="308"/>
      <c r="AM976" s="98"/>
      <c r="AN976" s="98"/>
      <c r="AO976" s="98"/>
    </row>
    <row r="977" ht="14.25" customHeight="1">
      <c r="A977" s="98"/>
      <c r="B977" s="98"/>
      <c r="C977" s="98"/>
      <c r="D977" s="308"/>
      <c r="E977" s="98"/>
      <c r="F977" s="235"/>
      <c r="G977" s="235"/>
      <c r="H977" s="236"/>
      <c r="I977" s="236"/>
      <c r="J977" s="236"/>
      <c r="K977" s="236"/>
      <c r="L977" s="236"/>
      <c r="M977" s="236"/>
      <c r="N977" s="236"/>
      <c r="O977" s="236"/>
      <c r="P977" s="236"/>
      <c r="Q977" s="236"/>
      <c r="R977" s="236"/>
      <c r="S977" s="236"/>
      <c r="T977" s="236"/>
      <c r="U977" s="236"/>
      <c r="V977" s="236"/>
      <c r="W977" s="237"/>
      <c r="X977" s="237"/>
      <c r="Y977" s="237"/>
      <c r="Z977" s="237"/>
      <c r="AA977" s="237"/>
      <c r="AB977" s="237"/>
      <c r="AC977" s="237"/>
      <c r="AD977" s="237"/>
      <c r="AE977" s="237"/>
      <c r="AF977" s="237"/>
      <c r="AG977" s="237"/>
      <c r="AH977" s="237"/>
      <c r="AI977" s="308"/>
      <c r="AJ977" s="308"/>
      <c r="AK977" s="308"/>
      <c r="AL977" s="308"/>
      <c r="AM977" s="98"/>
      <c r="AN977" s="98"/>
      <c r="AO977" s="98"/>
    </row>
    <row r="978" ht="14.25" customHeight="1">
      <c r="A978" s="98"/>
      <c r="B978" s="98"/>
      <c r="C978" s="98"/>
      <c r="D978" s="308"/>
      <c r="E978" s="98"/>
      <c r="F978" s="235"/>
      <c r="G978" s="235"/>
      <c r="H978" s="236"/>
      <c r="I978" s="236"/>
      <c r="J978" s="236"/>
      <c r="K978" s="236"/>
      <c r="L978" s="236"/>
      <c r="M978" s="236"/>
      <c r="N978" s="236"/>
      <c r="O978" s="236"/>
      <c r="P978" s="236"/>
      <c r="Q978" s="236"/>
      <c r="R978" s="236"/>
      <c r="S978" s="236"/>
      <c r="T978" s="236"/>
      <c r="U978" s="236"/>
      <c r="V978" s="236"/>
      <c r="W978" s="237"/>
      <c r="X978" s="237"/>
      <c r="Y978" s="237"/>
      <c r="Z978" s="237"/>
      <c r="AA978" s="237"/>
      <c r="AB978" s="237"/>
      <c r="AC978" s="237"/>
      <c r="AD978" s="237"/>
      <c r="AE978" s="237"/>
      <c r="AF978" s="237"/>
      <c r="AG978" s="237"/>
      <c r="AH978" s="237"/>
      <c r="AI978" s="308"/>
      <c r="AJ978" s="308"/>
      <c r="AK978" s="308"/>
      <c r="AL978" s="308"/>
      <c r="AM978" s="98"/>
      <c r="AN978" s="98"/>
      <c r="AO978" s="98"/>
    </row>
    <row r="979" ht="14.25" customHeight="1">
      <c r="A979" s="98"/>
      <c r="B979" s="98"/>
      <c r="C979" s="98"/>
      <c r="D979" s="308"/>
      <c r="E979" s="98"/>
      <c r="F979" s="235"/>
      <c r="G979" s="235"/>
      <c r="H979" s="236"/>
      <c r="I979" s="236"/>
      <c r="J979" s="236"/>
      <c r="K979" s="236"/>
      <c r="L979" s="236"/>
      <c r="M979" s="236"/>
      <c r="N979" s="236"/>
      <c r="O979" s="236"/>
      <c r="P979" s="236"/>
      <c r="Q979" s="236"/>
      <c r="R979" s="236"/>
      <c r="S979" s="236"/>
      <c r="T979" s="236"/>
      <c r="U979" s="236"/>
      <c r="V979" s="236"/>
      <c r="W979" s="237"/>
      <c r="X979" s="237"/>
      <c r="Y979" s="237"/>
      <c r="Z979" s="237"/>
      <c r="AA979" s="237"/>
      <c r="AB979" s="237"/>
      <c r="AC979" s="237"/>
      <c r="AD979" s="237"/>
      <c r="AE979" s="237"/>
      <c r="AF979" s="237"/>
      <c r="AG979" s="237"/>
      <c r="AH979" s="237"/>
      <c r="AI979" s="308"/>
      <c r="AJ979" s="308"/>
      <c r="AK979" s="308"/>
      <c r="AL979" s="308"/>
      <c r="AM979" s="98"/>
      <c r="AN979" s="98"/>
      <c r="AO979" s="98"/>
    </row>
    <row r="980" ht="14.25" customHeight="1">
      <c r="A980" s="98"/>
      <c r="B980" s="98"/>
      <c r="C980" s="98"/>
      <c r="D980" s="308"/>
      <c r="E980" s="98"/>
      <c r="F980" s="235"/>
      <c r="G980" s="235"/>
      <c r="H980" s="236"/>
      <c r="I980" s="236"/>
      <c r="J980" s="236"/>
      <c r="K980" s="236"/>
      <c r="L980" s="236"/>
      <c r="M980" s="236"/>
      <c r="N980" s="236"/>
      <c r="O980" s="236"/>
      <c r="P980" s="236"/>
      <c r="Q980" s="236"/>
      <c r="R980" s="236"/>
      <c r="S980" s="236"/>
      <c r="T980" s="236"/>
      <c r="U980" s="236"/>
      <c r="V980" s="236"/>
      <c r="W980" s="237"/>
      <c r="X980" s="237"/>
      <c r="Y980" s="237"/>
      <c r="Z980" s="237"/>
      <c r="AA980" s="237"/>
      <c r="AB980" s="237"/>
      <c r="AC980" s="237"/>
      <c r="AD980" s="237"/>
      <c r="AE980" s="237"/>
      <c r="AF980" s="237"/>
      <c r="AG980" s="237"/>
      <c r="AH980" s="237"/>
      <c r="AI980" s="308"/>
      <c r="AJ980" s="308"/>
      <c r="AK980" s="308"/>
      <c r="AL980" s="308"/>
      <c r="AM980" s="98"/>
      <c r="AN980" s="98"/>
      <c r="AO980" s="98"/>
    </row>
    <row r="981" ht="14.25" customHeight="1">
      <c r="A981" s="98"/>
      <c r="B981" s="98"/>
      <c r="C981" s="98"/>
      <c r="D981" s="308"/>
      <c r="E981" s="98"/>
      <c r="F981" s="235"/>
      <c r="G981" s="235"/>
      <c r="H981" s="236"/>
      <c r="I981" s="236"/>
      <c r="J981" s="236"/>
      <c r="K981" s="236"/>
      <c r="L981" s="236"/>
      <c r="M981" s="236"/>
      <c r="N981" s="236"/>
      <c r="O981" s="236"/>
      <c r="P981" s="236"/>
      <c r="Q981" s="236"/>
      <c r="R981" s="236"/>
      <c r="S981" s="236"/>
      <c r="T981" s="236"/>
      <c r="U981" s="236"/>
      <c r="V981" s="236"/>
      <c r="W981" s="237"/>
      <c r="X981" s="237"/>
      <c r="Y981" s="237"/>
      <c r="Z981" s="237"/>
      <c r="AA981" s="237"/>
      <c r="AB981" s="237"/>
      <c r="AC981" s="237"/>
      <c r="AD981" s="237"/>
      <c r="AE981" s="237"/>
      <c r="AF981" s="237"/>
      <c r="AG981" s="237"/>
      <c r="AH981" s="237"/>
      <c r="AI981" s="308"/>
      <c r="AJ981" s="308"/>
      <c r="AK981" s="308"/>
      <c r="AL981" s="308"/>
      <c r="AM981" s="98"/>
      <c r="AN981" s="98"/>
      <c r="AO981" s="98"/>
    </row>
    <row r="982" ht="14.25" customHeight="1">
      <c r="A982" s="98"/>
      <c r="B982" s="98"/>
      <c r="C982" s="98"/>
      <c r="D982" s="308"/>
      <c r="E982" s="98"/>
      <c r="F982" s="235"/>
      <c r="G982" s="235"/>
      <c r="H982" s="236"/>
      <c r="I982" s="236"/>
      <c r="J982" s="236"/>
      <c r="K982" s="236"/>
      <c r="L982" s="236"/>
      <c r="M982" s="236"/>
      <c r="N982" s="236"/>
      <c r="O982" s="236"/>
      <c r="P982" s="236"/>
      <c r="Q982" s="236"/>
      <c r="R982" s="236"/>
      <c r="S982" s="236"/>
      <c r="T982" s="236"/>
      <c r="U982" s="236"/>
      <c r="V982" s="236"/>
      <c r="W982" s="237"/>
      <c r="X982" s="237"/>
      <c r="Y982" s="237"/>
      <c r="Z982" s="237"/>
      <c r="AA982" s="237"/>
      <c r="AB982" s="237"/>
      <c r="AC982" s="237"/>
      <c r="AD982" s="237"/>
      <c r="AE982" s="237"/>
      <c r="AF982" s="237"/>
      <c r="AG982" s="237"/>
      <c r="AH982" s="237"/>
      <c r="AI982" s="308"/>
      <c r="AJ982" s="308"/>
      <c r="AK982" s="308"/>
      <c r="AL982" s="308"/>
      <c r="AM982" s="98"/>
      <c r="AN982" s="98"/>
      <c r="AO982" s="98"/>
    </row>
    <row r="983" ht="14.25" customHeight="1">
      <c r="A983" s="98"/>
      <c r="B983" s="98"/>
      <c r="C983" s="98"/>
      <c r="D983" s="308"/>
      <c r="E983" s="98"/>
      <c r="F983" s="235"/>
      <c r="G983" s="235"/>
      <c r="H983" s="236"/>
      <c r="I983" s="236"/>
      <c r="J983" s="236"/>
      <c r="K983" s="236"/>
      <c r="L983" s="236"/>
      <c r="M983" s="236"/>
      <c r="N983" s="236"/>
      <c r="O983" s="236"/>
      <c r="P983" s="236"/>
      <c r="Q983" s="236"/>
      <c r="R983" s="236"/>
      <c r="S983" s="236"/>
      <c r="T983" s="236"/>
      <c r="U983" s="236"/>
      <c r="V983" s="236"/>
      <c r="W983" s="237"/>
      <c r="X983" s="237"/>
      <c r="Y983" s="237"/>
      <c r="Z983" s="237"/>
      <c r="AA983" s="237"/>
      <c r="AB983" s="237"/>
      <c r="AC983" s="237"/>
      <c r="AD983" s="237"/>
      <c r="AE983" s="237"/>
      <c r="AF983" s="237"/>
      <c r="AG983" s="237"/>
      <c r="AH983" s="237"/>
      <c r="AI983" s="308"/>
      <c r="AJ983" s="308"/>
      <c r="AK983" s="308"/>
      <c r="AL983" s="308"/>
      <c r="AM983" s="98"/>
      <c r="AN983" s="98"/>
      <c r="AO983" s="98"/>
    </row>
    <row r="984" ht="14.25" customHeight="1">
      <c r="A984" s="98"/>
      <c r="B984" s="98"/>
      <c r="C984" s="98"/>
      <c r="D984" s="308"/>
      <c r="E984" s="98"/>
      <c r="F984" s="235"/>
      <c r="G984" s="235"/>
      <c r="H984" s="236"/>
      <c r="I984" s="236"/>
      <c r="J984" s="236"/>
      <c r="K984" s="236"/>
      <c r="L984" s="236"/>
      <c r="M984" s="236"/>
      <c r="N984" s="236"/>
      <c r="O984" s="236"/>
      <c r="P984" s="236"/>
      <c r="Q984" s="236"/>
      <c r="R984" s="236"/>
      <c r="S984" s="236"/>
      <c r="T984" s="236"/>
      <c r="U984" s="236"/>
      <c r="V984" s="236"/>
      <c r="W984" s="237"/>
      <c r="X984" s="237"/>
      <c r="Y984" s="237"/>
      <c r="Z984" s="237"/>
      <c r="AA984" s="237"/>
      <c r="AB984" s="237"/>
      <c r="AC984" s="237"/>
      <c r="AD984" s="237"/>
      <c r="AE984" s="237"/>
      <c r="AF984" s="237"/>
      <c r="AG984" s="237"/>
      <c r="AH984" s="237"/>
      <c r="AI984" s="308"/>
      <c r="AJ984" s="308"/>
      <c r="AK984" s="308"/>
      <c r="AL984" s="308"/>
      <c r="AM984" s="98"/>
      <c r="AN984" s="98"/>
      <c r="AO984" s="98"/>
    </row>
    <row r="985" ht="14.25" customHeight="1">
      <c r="A985" s="98"/>
      <c r="B985" s="98"/>
      <c r="C985" s="98"/>
      <c r="D985" s="308"/>
      <c r="E985" s="98"/>
      <c r="F985" s="235"/>
      <c r="G985" s="235"/>
      <c r="H985" s="236"/>
      <c r="I985" s="236"/>
      <c r="J985" s="236"/>
      <c r="K985" s="236"/>
      <c r="L985" s="236"/>
      <c r="M985" s="236"/>
      <c r="N985" s="236"/>
      <c r="O985" s="236"/>
      <c r="P985" s="236"/>
      <c r="Q985" s="236"/>
      <c r="R985" s="236"/>
      <c r="S985" s="236"/>
      <c r="T985" s="236"/>
      <c r="U985" s="236"/>
      <c r="V985" s="236"/>
      <c r="W985" s="237"/>
      <c r="X985" s="237"/>
      <c r="Y985" s="237"/>
      <c r="Z985" s="237"/>
      <c r="AA985" s="237"/>
      <c r="AB985" s="237"/>
      <c r="AC985" s="237"/>
      <c r="AD985" s="237"/>
      <c r="AE985" s="237"/>
      <c r="AF985" s="237"/>
      <c r="AG985" s="237"/>
      <c r="AH985" s="237"/>
      <c r="AI985" s="308"/>
      <c r="AJ985" s="308"/>
      <c r="AK985" s="308"/>
      <c r="AL985" s="308"/>
      <c r="AM985" s="98"/>
      <c r="AN985" s="98"/>
      <c r="AO985" s="98"/>
    </row>
    <row r="986" ht="14.25" customHeight="1">
      <c r="A986" s="98"/>
      <c r="B986" s="98"/>
      <c r="C986" s="98"/>
      <c r="D986" s="308"/>
      <c r="E986" s="98"/>
      <c r="F986" s="235"/>
      <c r="G986" s="235"/>
      <c r="H986" s="236"/>
      <c r="I986" s="236"/>
      <c r="J986" s="236"/>
      <c r="K986" s="236"/>
      <c r="L986" s="236"/>
      <c r="M986" s="236"/>
      <c r="N986" s="236"/>
      <c r="O986" s="236"/>
      <c r="P986" s="236"/>
      <c r="Q986" s="236"/>
      <c r="R986" s="236"/>
      <c r="S986" s="236"/>
      <c r="T986" s="236"/>
      <c r="U986" s="236"/>
      <c r="V986" s="236"/>
      <c r="W986" s="237"/>
      <c r="X986" s="237"/>
      <c r="Y986" s="237"/>
      <c r="Z986" s="237"/>
      <c r="AA986" s="237"/>
      <c r="AB986" s="237"/>
      <c r="AC986" s="237"/>
      <c r="AD986" s="237"/>
      <c r="AE986" s="237"/>
      <c r="AF986" s="237"/>
      <c r="AG986" s="237"/>
      <c r="AH986" s="237"/>
      <c r="AI986" s="308"/>
      <c r="AJ986" s="308"/>
      <c r="AK986" s="308"/>
      <c r="AL986" s="308"/>
      <c r="AM986" s="98"/>
      <c r="AN986" s="98"/>
      <c r="AO986" s="98"/>
    </row>
    <row r="987" ht="14.25" customHeight="1">
      <c r="A987" s="98"/>
      <c r="B987" s="98"/>
      <c r="C987" s="98"/>
      <c r="D987" s="308"/>
      <c r="E987" s="98"/>
      <c r="F987" s="235"/>
      <c r="G987" s="235"/>
      <c r="H987" s="236"/>
      <c r="I987" s="236"/>
      <c r="J987" s="236"/>
      <c r="K987" s="236"/>
      <c r="L987" s="236"/>
      <c r="M987" s="236"/>
      <c r="N987" s="236"/>
      <c r="O987" s="236"/>
      <c r="P987" s="236"/>
      <c r="Q987" s="236"/>
      <c r="R987" s="236"/>
      <c r="S987" s="236"/>
      <c r="T987" s="236"/>
      <c r="U987" s="236"/>
      <c r="V987" s="236"/>
      <c r="W987" s="237"/>
      <c r="X987" s="237"/>
      <c r="Y987" s="237"/>
      <c r="Z987" s="237"/>
      <c r="AA987" s="237"/>
      <c r="AB987" s="237"/>
      <c r="AC987" s="237"/>
      <c r="AD987" s="237"/>
      <c r="AE987" s="237"/>
      <c r="AF987" s="237"/>
      <c r="AG987" s="237"/>
      <c r="AH987" s="237"/>
      <c r="AI987" s="308"/>
      <c r="AJ987" s="308"/>
      <c r="AK987" s="308"/>
      <c r="AL987" s="308"/>
      <c r="AM987" s="98"/>
      <c r="AN987" s="98"/>
      <c r="AO987" s="98"/>
    </row>
    <row r="988" ht="14.25" customHeight="1">
      <c r="A988" s="98"/>
      <c r="B988" s="98"/>
      <c r="C988" s="98"/>
      <c r="D988" s="308"/>
      <c r="E988" s="98"/>
      <c r="F988" s="235"/>
      <c r="G988" s="235"/>
      <c r="H988" s="236"/>
      <c r="I988" s="236"/>
      <c r="J988" s="236"/>
      <c r="K988" s="236"/>
      <c r="L988" s="236"/>
      <c r="M988" s="236"/>
      <c r="N988" s="236"/>
      <c r="O988" s="236"/>
      <c r="P988" s="236"/>
      <c r="Q988" s="236"/>
      <c r="R988" s="236"/>
      <c r="S988" s="236"/>
      <c r="T988" s="236"/>
      <c r="U988" s="236"/>
      <c r="V988" s="236"/>
      <c r="W988" s="237"/>
      <c r="X988" s="237"/>
      <c r="Y988" s="237"/>
      <c r="Z988" s="237"/>
      <c r="AA988" s="237"/>
      <c r="AB988" s="237"/>
      <c r="AC988" s="237"/>
      <c r="AD988" s="237"/>
      <c r="AE988" s="237"/>
      <c r="AF988" s="237"/>
      <c r="AG988" s="237"/>
      <c r="AH988" s="237"/>
      <c r="AI988" s="308"/>
      <c r="AJ988" s="308"/>
      <c r="AK988" s="308"/>
      <c r="AL988" s="308"/>
      <c r="AM988" s="98"/>
      <c r="AN988" s="98"/>
      <c r="AO988" s="98"/>
    </row>
    <row r="989" ht="14.25" customHeight="1">
      <c r="A989" s="98"/>
      <c r="B989" s="98"/>
      <c r="C989" s="98"/>
      <c r="D989" s="308"/>
      <c r="E989" s="98"/>
      <c r="F989" s="235"/>
      <c r="G989" s="235"/>
      <c r="H989" s="236"/>
      <c r="I989" s="236"/>
      <c r="J989" s="236"/>
      <c r="K989" s="236"/>
      <c r="L989" s="236"/>
      <c r="M989" s="236"/>
      <c r="N989" s="236"/>
      <c r="O989" s="236"/>
      <c r="P989" s="236"/>
      <c r="Q989" s="236"/>
      <c r="R989" s="236"/>
      <c r="S989" s="236"/>
      <c r="T989" s="236"/>
      <c r="U989" s="236"/>
      <c r="V989" s="236"/>
      <c r="W989" s="237"/>
      <c r="X989" s="237"/>
      <c r="Y989" s="237"/>
      <c r="Z989" s="237"/>
      <c r="AA989" s="237"/>
      <c r="AB989" s="237"/>
      <c r="AC989" s="237"/>
      <c r="AD989" s="237"/>
      <c r="AE989" s="237"/>
      <c r="AF989" s="237"/>
      <c r="AG989" s="237"/>
      <c r="AH989" s="237"/>
      <c r="AI989" s="308"/>
      <c r="AJ989" s="308"/>
      <c r="AK989" s="308"/>
      <c r="AL989" s="308"/>
      <c r="AM989" s="98"/>
      <c r="AN989" s="98"/>
      <c r="AO989" s="98"/>
    </row>
    <row r="990" ht="14.25" customHeight="1">
      <c r="A990" s="98"/>
      <c r="B990" s="98"/>
      <c r="C990" s="98"/>
      <c r="D990" s="308"/>
      <c r="E990" s="98"/>
      <c r="F990" s="235"/>
      <c r="G990" s="235"/>
      <c r="H990" s="236"/>
      <c r="I990" s="236"/>
      <c r="J990" s="236"/>
      <c r="K990" s="236"/>
      <c r="L990" s="236"/>
      <c r="M990" s="236"/>
      <c r="N990" s="236"/>
      <c r="O990" s="236"/>
      <c r="P990" s="236"/>
      <c r="Q990" s="236"/>
      <c r="R990" s="236"/>
      <c r="S990" s="236"/>
      <c r="T990" s="236"/>
      <c r="U990" s="236"/>
      <c r="V990" s="236"/>
      <c r="W990" s="237"/>
      <c r="X990" s="237"/>
      <c r="Y990" s="237"/>
      <c r="Z990" s="237"/>
      <c r="AA990" s="237"/>
      <c r="AB990" s="237"/>
      <c r="AC990" s="237"/>
      <c r="AD990" s="237"/>
      <c r="AE990" s="237"/>
      <c r="AF990" s="237"/>
      <c r="AG990" s="237"/>
      <c r="AH990" s="237"/>
      <c r="AI990" s="308"/>
      <c r="AJ990" s="308"/>
      <c r="AK990" s="308"/>
      <c r="AL990" s="308"/>
      <c r="AM990" s="98"/>
      <c r="AN990" s="98"/>
      <c r="AO990" s="98"/>
    </row>
    <row r="991" ht="14.25" customHeight="1">
      <c r="A991" s="98"/>
      <c r="B991" s="98"/>
      <c r="C991" s="98"/>
      <c r="D991" s="308"/>
      <c r="E991" s="98"/>
      <c r="F991" s="235"/>
      <c r="G991" s="235"/>
      <c r="H991" s="236"/>
      <c r="I991" s="236"/>
      <c r="J991" s="236"/>
      <c r="K991" s="236"/>
      <c r="L991" s="236"/>
      <c r="M991" s="236"/>
      <c r="N991" s="236"/>
      <c r="O991" s="236"/>
      <c r="P991" s="236"/>
      <c r="Q991" s="236"/>
      <c r="R991" s="236"/>
      <c r="S991" s="236"/>
      <c r="T991" s="236"/>
      <c r="U991" s="236"/>
      <c r="V991" s="236"/>
      <c r="W991" s="237"/>
      <c r="X991" s="237"/>
      <c r="Y991" s="237"/>
      <c r="Z991" s="237"/>
      <c r="AA991" s="237"/>
      <c r="AB991" s="237"/>
      <c r="AC991" s="237"/>
      <c r="AD991" s="237"/>
      <c r="AE991" s="237"/>
      <c r="AF991" s="237"/>
      <c r="AG991" s="237"/>
      <c r="AH991" s="237"/>
      <c r="AI991" s="308"/>
      <c r="AJ991" s="308"/>
      <c r="AK991" s="308"/>
      <c r="AL991" s="308"/>
      <c r="AM991" s="98"/>
      <c r="AN991" s="98"/>
      <c r="AO991" s="98"/>
    </row>
    <row r="992" ht="14.25" customHeight="1">
      <c r="A992" s="98"/>
      <c r="B992" s="98"/>
      <c r="C992" s="98"/>
      <c r="D992" s="308"/>
      <c r="E992" s="98"/>
      <c r="F992" s="235"/>
      <c r="G992" s="235"/>
      <c r="H992" s="236"/>
      <c r="I992" s="236"/>
      <c r="J992" s="236"/>
      <c r="K992" s="236"/>
      <c r="L992" s="236"/>
      <c r="M992" s="236"/>
      <c r="N992" s="236"/>
      <c r="O992" s="236"/>
      <c r="P992" s="236"/>
      <c r="Q992" s="236"/>
      <c r="R992" s="236"/>
      <c r="S992" s="236"/>
      <c r="T992" s="236"/>
      <c r="U992" s="236"/>
      <c r="V992" s="236"/>
      <c r="W992" s="237"/>
      <c r="X992" s="237"/>
      <c r="Y992" s="237"/>
      <c r="Z992" s="237"/>
      <c r="AA992" s="237"/>
      <c r="AB992" s="237"/>
      <c r="AC992" s="237"/>
      <c r="AD992" s="237"/>
      <c r="AE992" s="237"/>
      <c r="AF992" s="237"/>
      <c r="AG992" s="237"/>
      <c r="AH992" s="237"/>
      <c r="AI992" s="308"/>
      <c r="AJ992" s="308"/>
      <c r="AK992" s="308"/>
      <c r="AL992" s="308"/>
      <c r="AM992" s="98"/>
      <c r="AN992" s="98"/>
      <c r="AO992" s="98"/>
    </row>
    <row r="993" ht="14.25" customHeight="1">
      <c r="A993" s="98"/>
      <c r="B993" s="98"/>
      <c r="C993" s="98"/>
      <c r="D993" s="308"/>
      <c r="E993" s="98"/>
      <c r="F993" s="235"/>
      <c r="G993" s="235"/>
      <c r="H993" s="236"/>
      <c r="I993" s="236"/>
      <c r="J993" s="236"/>
      <c r="K993" s="236"/>
      <c r="L993" s="236"/>
      <c r="M993" s="236"/>
      <c r="N993" s="236"/>
      <c r="O993" s="236"/>
      <c r="P993" s="236"/>
      <c r="Q993" s="236"/>
      <c r="R993" s="236"/>
      <c r="S993" s="236"/>
      <c r="T993" s="236"/>
      <c r="U993" s="236"/>
      <c r="V993" s="236"/>
      <c r="W993" s="237"/>
      <c r="X993" s="237"/>
      <c r="Y993" s="237"/>
      <c r="Z993" s="237"/>
      <c r="AA993" s="237"/>
      <c r="AB993" s="237"/>
      <c r="AC993" s="237"/>
      <c r="AD993" s="237"/>
      <c r="AE993" s="237"/>
      <c r="AF993" s="237"/>
      <c r="AG993" s="237"/>
      <c r="AH993" s="237"/>
      <c r="AI993" s="308"/>
      <c r="AJ993" s="308"/>
      <c r="AK993" s="308"/>
      <c r="AL993" s="308"/>
      <c r="AM993" s="98"/>
      <c r="AN993" s="98"/>
      <c r="AO993" s="98"/>
    </row>
    <row r="994" ht="14.25" customHeight="1">
      <c r="A994" s="98"/>
      <c r="B994" s="98"/>
      <c r="C994" s="98"/>
      <c r="D994" s="308"/>
      <c r="E994" s="98"/>
      <c r="F994" s="235"/>
      <c r="G994" s="235"/>
      <c r="H994" s="236"/>
      <c r="I994" s="236"/>
      <c r="J994" s="236"/>
      <c r="K994" s="236"/>
      <c r="L994" s="236"/>
      <c r="M994" s="236"/>
      <c r="N994" s="236"/>
      <c r="O994" s="236"/>
      <c r="P994" s="236"/>
      <c r="Q994" s="236"/>
      <c r="R994" s="236"/>
      <c r="S994" s="236"/>
      <c r="T994" s="236"/>
      <c r="U994" s="236"/>
      <c r="V994" s="236"/>
      <c r="W994" s="237"/>
      <c r="X994" s="237"/>
      <c r="Y994" s="237"/>
      <c r="Z994" s="237"/>
      <c r="AA994" s="237"/>
      <c r="AB994" s="237"/>
      <c r="AC994" s="237"/>
      <c r="AD994" s="237"/>
      <c r="AE994" s="237"/>
      <c r="AF994" s="237"/>
      <c r="AG994" s="237"/>
      <c r="AH994" s="237"/>
      <c r="AI994" s="308"/>
      <c r="AJ994" s="308"/>
      <c r="AK994" s="308"/>
      <c r="AL994" s="308"/>
      <c r="AM994" s="98"/>
      <c r="AN994" s="98"/>
      <c r="AO994" s="98"/>
    </row>
    <row r="995" ht="14.25" customHeight="1">
      <c r="A995" s="98"/>
      <c r="B995" s="98"/>
      <c r="C995" s="98"/>
      <c r="D995" s="308"/>
      <c r="E995" s="98"/>
      <c r="F995" s="235"/>
      <c r="G995" s="235"/>
      <c r="H995" s="236"/>
      <c r="I995" s="236"/>
      <c r="J995" s="236"/>
      <c r="K995" s="236"/>
      <c r="L995" s="236"/>
      <c r="M995" s="236"/>
      <c r="N995" s="236"/>
      <c r="O995" s="236"/>
      <c r="P995" s="236"/>
      <c r="Q995" s="236"/>
      <c r="R995" s="236"/>
      <c r="S995" s="236"/>
      <c r="T995" s="236"/>
      <c r="U995" s="236"/>
      <c r="V995" s="236"/>
      <c r="W995" s="237"/>
      <c r="X995" s="237"/>
      <c r="Y995" s="237"/>
      <c r="Z995" s="237"/>
      <c r="AA995" s="237"/>
      <c r="AB995" s="237"/>
      <c r="AC995" s="237"/>
      <c r="AD995" s="237"/>
      <c r="AE995" s="237"/>
      <c r="AF995" s="237"/>
      <c r="AG995" s="237"/>
      <c r="AH995" s="237"/>
      <c r="AI995" s="308"/>
      <c r="AJ995" s="308"/>
      <c r="AK995" s="308"/>
      <c r="AL995" s="308"/>
      <c r="AM995" s="98"/>
      <c r="AN995" s="98"/>
      <c r="AO995" s="98"/>
    </row>
    <row r="996" ht="14.25" customHeight="1">
      <c r="A996" s="98"/>
      <c r="B996" s="98"/>
      <c r="C996" s="98"/>
      <c r="D996" s="308"/>
      <c r="E996" s="98"/>
      <c r="F996" s="235"/>
      <c r="G996" s="235"/>
      <c r="H996" s="236"/>
      <c r="I996" s="236"/>
      <c r="J996" s="236"/>
      <c r="K996" s="236"/>
      <c r="L996" s="236"/>
      <c r="M996" s="236"/>
      <c r="N996" s="236"/>
      <c r="O996" s="236"/>
      <c r="P996" s="236"/>
      <c r="Q996" s="236"/>
      <c r="R996" s="236"/>
      <c r="S996" s="236"/>
      <c r="T996" s="236"/>
      <c r="U996" s="236"/>
      <c r="V996" s="236"/>
      <c r="W996" s="237"/>
      <c r="X996" s="237"/>
      <c r="Y996" s="237"/>
      <c r="Z996" s="237"/>
      <c r="AA996" s="237"/>
      <c r="AB996" s="237"/>
      <c r="AC996" s="237"/>
      <c r="AD996" s="237"/>
      <c r="AE996" s="237"/>
      <c r="AF996" s="237"/>
      <c r="AG996" s="237"/>
      <c r="AH996" s="237"/>
      <c r="AI996" s="308"/>
      <c r="AJ996" s="308"/>
      <c r="AK996" s="308"/>
      <c r="AL996" s="308"/>
      <c r="AM996" s="98"/>
      <c r="AN996" s="98"/>
      <c r="AO996" s="98"/>
    </row>
    <row r="997" ht="14.25" customHeight="1">
      <c r="A997" s="98"/>
      <c r="B997" s="98"/>
      <c r="C997" s="98"/>
      <c r="D997" s="308"/>
      <c r="E997" s="98"/>
      <c r="F997" s="235"/>
      <c r="G997" s="235"/>
      <c r="H997" s="236"/>
      <c r="I997" s="236"/>
      <c r="J997" s="236"/>
      <c r="K997" s="236"/>
      <c r="L997" s="236"/>
      <c r="M997" s="236"/>
      <c r="N997" s="236"/>
      <c r="O997" s="236"/>
      <c r="P997" s="236"/>
      <c r="Q997" s="236"/>
      <c r="R997" s="236"/>
      <c r="S997" s="236"/>
      <c r="T997" s="236"/>
      <c r="U997" s="236"/>
      <c r="V997" s="236"/>
      <c r="W997" s="237"/>
      <c r="X997" s="237"/>
      <c r="Y997" s="237"/>
      <c r="Z997" s="237"/>
      <c r="AA997" s="237"/>
      <c r="AB997" s="237"/>
      <c r="AC997" s="237"/>
      <c r="AD997" s="237"/>
      <c r="AE997" s="237"/>
      <c r="AF997" s="237"/>
      <c r="AG997" s="237"/>
      <c r="AH997" s="237"/>
      <c r="AI997" s="308"/>
      <c r="AJ997" s="308"/>
      <c r="AK997" s="308"/>
      <c r="AL997" s="308"/>
      <c r="AM997" s="98"/>
      <c r="AN997" s="98"/>
      <c r="AO997" s="98"/>
    </row>
    <row r="998" ht="14.25" customHeight="1">
      <c r="A998" s="98"/>
      <c r="B998" s="98"/>
      <c r="C998" s="98"/>
      <c r="D998" s="308"/>
      <c r="E998" s="98"/>
      <c r="F998" s="235"/>
      <c r="G998" s="235"/>
      <c r="H998" s="236"/>
      <c r="I998" s="236"/>
      <c r="J998" s="236"/>
      <c r="K998" s="236"/>
      <c r="L998" s="236"/>
      <c r="M998" s="236"/>
      <c r="N998" s="236"/>
      <c r="O998" s="236"/>
      <c r="P998" s="236"/>
      <c r="Q998" s="236"/>
      <c r="R998" s="236"/>
      <c r="S998" s="236"/>
      <c r="T998" s="236"/>
      <c r="U998" s="236"/>
      <c r="V998" s="236"/>
      <c r="W998" s="237"/>
      <c r="X998" s="237"/>
      <c r="Y998" s="237"/>
      <c r="Z998" s="237"/>
      <c r="AA998" s="237"/>
      <c r="AB998" s="237"/>
      <c r="AC998" s="237"/>
      <c r="AD998" s="237"/>
      <c r="AE998" s="237"/>
      <c r="AF998" s="237"/>
      <c r="AG998" s="237"/>
      <c r="AH998" s="237"/>
      <c r="AI998" s="308"/>
      <c r="AJ998" s="308"/>
      <c r="AK998" s="308"/>
      <c r="AL998" s="308"/>
      <c r="AM998" s="98"/>
      <c r="AN998" s="98"/>
      <c r="AO998" s="98"/>
    </row>
    <row r="999" ht="14.25" customHeight="1">
      <c r="A999" s="98"/>
      <c r="B999" s="98"/>
      <c r="C999" s="98"/>
      <c r="D999" s="308"/>
      <c r="E999" s="98"/>
      <c r="F999" s="235"/>
      <c r="G999" s="235"/>
      <c r="H999" s="236"/>
      <c r="I999" s="236"/>
      <c r="J999" s="236"/>
      <c r="K999" s="236"/>
      <c r="L999" s="236"/>
      <c r="M999" s="236"/>
      <c r="N999" s="236"/>
      <c r="O999" s="236"/>
      <c r="P999" s="236"/>
      <c r="Q999" s="236"/>
      <c r="R999" s="236"/>
      <c r="S999" s="236"/>
      <c r="T999" s="236"/>
      <c r="U999" s="236"/>
      <c r="V999" s="236"/>
      <c r="W999" s="237"/>
      <c r="X999" s="237"/>
      <c r="Y999" s="237"/>
      <c r="Z999" s="237"/>
      <c r="AA999" s="237"/>
      <c r="AB999" s="237"/>
      <c r="AC999" s="237"/>
      <c r="AD999" s="237"/>
      <c r="AE999" s="237"/>
      <c r="AF999" s="237"/>
      <c r="AG999" s="237"/>
      <c r="AH999" s="237"/>
      <c r="AI999" s="308"/>
      <c r="AJ999" s="308"/>
      <c r="AK999" s="308"/>
      <c r="AL999" s="308"/>
      <c r="AM999" s="98"/>
      <c r="AN999" s="98"/>
      <c r="AO999" s="98"/>
    </row>
    <row r="1000" ht="14.25" customHeight="1">
      <c r="A1000" s="98"/>
      <c r="B1000" s="98"/>
      <c r="C1000" s="98"/>
      <c r="D1000" s="308"/>
      <c r="E1000" s="98"/>
      <c r="F1000" s="235"/>
      <c r="G1000" s="235"/>
      <c r="H1000" s="236"/>
      <c r="I1000" s="236"/>
      <c r="J1000" s="236"/>
      <c r="K1000" s="236"/>
      <c r="L1000" s="236"/>
      <c r="M1000" s="236"/>
      <c r="N1000" s="236"/>
      <c r="O1000" s="236"/>
      <c r="P1000" s="236"/>
      <c r="Q1000" s="236"/>
      <c r="R1000" s="236"/>
      <c r="S1000" s="236"/>
      <c r="T1000" s="236"/>
      <c r="U1000" s="236"/>
      <c r="V1000" s="236"/>
      <c r="W1000" s="237"/>
      <c r="X1000" s="237"/>
      <c r="Y1000" s="237"/>
      <c r="Z1000" s="237"/>
      <c r="AA1000" s="237"/>
      <c r="AB1000" s="237"/>
      <c r="AC1000" s="237"/>
      <c r="AD1000" s="237"/>
      <c r="AE1000" s="237"/>
      <c r="AF1000" s="237"/>
      <c r="AG1000" s="237"/>
      <c r="AH1000" s="237"/>
      <c r="AI1000" s="308"/>
      <c r="AJ1000" s="308"/>
      <c r="AK1000" s="308"/>
      <c r="AL1000" s="308"/>
      <c r="AM1000" s="98"/>
      <c r="AN1000" s="98"/>
      <c r="AO1000" s="98"/>
    </row>
  </sheetData>
  <mergeCells count="1">
    <mergeCell ref="A1:E1"/>
  </mergeCells>
  <conditionalFormatting sqref="A1:AM51 A53:AM62 A64:AM81 A83:AM91 A94:AM117 A119:AM172 A176:AM177 A183:AM1000 E52:AM52 E63:AM63 E82:AM82 E93:AM93 E118:AM118 E173:AM175 E178:AM180">
    <cfRule type="expression" dxfId="0" priority="1">
      <formula>NOT(ISERROR(SEARCH("warning",A1)))</formula>
    </cfRule>
  </conditionalFormatting>
  <conditionalFormatting sqref="B181">
    <cfRule type="expression" dxfId="0" priority="2">
      <formula>NOT(ISERROR(SEARCH("warning",B181)))</formula>
    </cfRule>
  </conditionalFormatting>
  <conditionalFormatting sqref="C194:G194">
    <cfRule type="expression" dxfId="0" priority="3">
      <formula>ISNUMBER(SEARCH("warning",$B$194))</formula>
    </cfRule>
  </conditionalFormatting>
  <conditionalFormatting sqref="D119:G119">
    <cfRule type="expression" dxfId="0" priority="4">
      <formula>ISNUMBER(SEARCH("warning",$C$119))</formula>
    </cfRule>
  </conditionalFormatting>
  <conditionalFormatting sqref="D135:G135">
    <cfRule type="expression" dxfId="0" priority="5">
      <formula>ISNUMBER(SEARCH("warning",$C$135))</formula>
    </cfRule>
  </conditionalFormatting>
  <conditionalFormatting sqref="D181:G181">
    <cfRule type="expression" dxfId="0" priority="6">
      <formula>ISNUMBER(SEARCH("warning",$C$186))</formula>
    </cfRule>
  </conditionalFormatting>
  <conditionalFormatting sqref="H120:AH126">
    <cfRule type="expression" dxfId="0" priority="7">
      <formula>AND(ISBLANK(H$120)=FALSE(),COUNTA(H$121:H$126)&gt;0,ABS(H$120-SUM(H$121:H$126))/H$120&gt;10^-3)</formula>
    </cfRule>
  </conditionalFormatting>
  <conditionalFormatting sqref="H136:AH141">
    <cfRule type="expression" dxfId="0" priority="8">
      <formula>AND(ISBLANK(H$136)=FALSE(),COUNTA(H$137:H$141)&gt;0,ABS(H$136-SUM(H$137:H$141))/H$136&gt;10^-3)</formula>
    </cfRule>
  </conditionalFormatting>
  <conditionalFormatting sqref="H195:AH201">
    <cfRule type="expression" dxfId="0" priority="9">
      <formula>AND(ISBLANK(H$195)=FALSE(),COUNTA(H$196:H$201)&gt;0,ABS(H$195-SUM(H$196:H$201))/H$195&gt;10^-3)</formula>
    </cfRule>
  </conditionalFormatting>
  <conditionalFormatting sqref="H213:AM247">
    <cfRule type="colorScale" priority="10">
      <colorScale>
        <cfvo type="formula" val="0"/>
        <cfvo type="formula" val="0.5"/>
        <cfvo type="formula" val="1"/>
        <color rgb="FFFF9999"/>
        <color rgb="FFFFF2CC"/>
        <color rgb="FF91EF98"/>
      </colorScale>
    </cfRule>
  </conditionalFormatting>
  <printOptions/>
  <pageMargins bottom="0.75" footer="0.0" header="0.0" left="0.7" right="0.7" top="0.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BE5D6"/>
    <pageSetUpPr/>
  </sheetPr>
  <sheetViews>
    <sheetView showGridLines="0" workbookViewId="0">
      <pane ySplit="1.0" topLeftCell="A2" activePane="bottomLeft" state="frozen"/>
      <selection activeCell="B3" sqref="B3" pane="bottomLeft"/>
    </sheetView>
  </sheetViews>
  <sheetFormatPr customHeight="1" defaultColWidth="14.43" defaultRowHeight="15.0" outlineLevelCol="1" outlineLevelRow="3"/>
  <cols>
    <col customWidth="1" min="1" max="4" width="2.43"/>
    <col customWidth="1" min="5" max="5" width="92.43"/>
    <col customWidth="1" min="6" max="6" width="17.43"/>
    <col customWidth="1" min="7" max="7" width="14.57"/>
    <col customWidth="1" hidden="1" min="8" max="22" width="10.57" outlineLevel="1"/>
    <col customWidth="1" min="23" max="23" width="10.57"/>
    <col customWidth="1" hidden="1" min="24" max="27" width="10.57" outlineLevel="1"/>
    <col customWidth="1" min="28" max="34" width="10.57"/>
    <col customWidth="1" min="35" max="35" width="121.43"/>
    <col customWidth="1" min="36" max="37" width="10.57"/>
    <col customWidth="1" min="38" max="38" width="55.43"/>
    <col customWidth="1" min="39" max="39" width="134.43"/>
  </cols>
  <sheetData>
    <row r="1" ht="14.25" customHeight="1">
      <c r="A1" s="309" t="s">
        <v>49</v>
      </c>
      <c r="B1" s="22"/>
      <c r="C1" s="22"/>
      <c r="D1" s="22"/>
      <c r="E1" s="23"/>
      <c r="F1" s="62" t="s">
        <v>50</v>
      </c>
      <c r="G1" s="62" t="s">
        <v>51</v>
      </c>
      <c r="H1" s="62">
        <v>2000.0</v>
      </c>
      <c r="I1" s="62">
        <v>2001.0</v>
      </c>
      <c r="J1" s="62">
        <v>2002.0</v>
      </c>
      <c r="K1" s="62">
        <v>2003.0</v>
      </c>
      <c r="L1" s="62">
        <v>2004.0</v>
      </c>
      <c r="M1" s="62">
        <v>2005.0</v>
      </c>
      <c r="N1" s="62">
        <v>2006.0</v>
      </c>
      <c r="O1" s="62">
        <v>2007.0</v>
      </c>
      <c r="P1" s="62">
        <v>2008.0</v>
      </c>
      <c r="Q1" s="62">
        <v>2009.0</v>
      </c>
      <c r="R1" s="62">
        <v>2010.0</v>
      </c>
      <c r="S1" s="62">
        <v>2011.0</v>
      </c>
      <c r="T1" s="62">
        <v>2012.0</v>
      </c>
      <c r="U1" s="62">
        <v>2013.0</v>
      </c>
      <c r="V1" s="62">
        <v>2014.0</v>
      </c>
      <c r="W1" s="62">
        <f>ReferenceYear</f>
        <v>2015</v>
      </c>
      <c r="X1" s="62">
        <v>2016.0</v>
      </c>
      <c r="Y1" s="62">
        <v>2017.0</v>
      </c>
      <c r="Z1" s="62">
        <v>2018.0</v>
      </c>
      <c r="AA1" s="62">
        <v>2019.0</v>
      </c>
      <c r="AB1" s="62">
        <f>IFERROR(IF(W1+5&lt;=TargetYear,W1+5,""),"")</f>
        <v>2020</v>
      </c>
      <c r="AC1" s="62">
        <f>IFERROR(IF(AB1+5&lt;=TargetYear,AB1+5,""),"")</f>
        <v>2025</v>
      </c>
      <c r="AD1" s="62">
        <f>IFERROR(IF(AC1+5&lt;=TargetYear,AC1+5,""),"")</f>
        <v>2030</v>
      </c>
      <c r="AE1" s="62">
        <f>IFERROR(IF(AD1+5&lt;=TargetYear,AD1+5,""),"")</f>
        <v>2035</v>
      </c>
      <c r="AF1" s="62">
        <f>IFERROR(IF(AE1+5&lt;=TargetYear,AE1+5,""),"")</f>
        <v>2040</v>
      </c>
      <c r="AG1" s="62">
        <f>IFERROR(IF(AF1+5&lt;=TargetYear,AF1+5,""),"")</f>
        <v>2045</v>
      </c>
      <c r="AH1" s="62">
        <f>IFERROR(IF(AG1+5&lt;=TargetYear,AG1+5,""),"")</f>
        <v>2050</v>
      </c>
      <c r="AI1" s="62" t="s">
        <v>640</v>
      </c>
      <c r="AJ1" s="162"/>
      <c r="AK1" s="162"/>
      <c r="AL1" s="162"/>
      <c r="AM1" s="162"/>
    </row>
    <row r="2" ht="14.25" customHeight="1">
      <c r="A2" s="380" t="s">
        <v>251</v>
      </c>
      <c r="B2" s="219"/>
      <c r="C2" s="219"/>
      <c r="D2" s="219"/>
      <c r="E2" s="219"/>
      <c r="F2" s="219"/>
      <c r="G2" s="219"/>
      <c r="H2" s="351"/>
      <c r="I2" s="351"/>
      <c r="J2" s="351"/>
      <c r="K2" s="351"/>
      <c r="L2" s="351"/>
      <c r="M2" s="351"/>
      <c r="N2" s="351"/>
      <c r="O2" s="351"/>
      <c r="P2" s="351"/>
      <c r="Q2" s="351"/>
      <c r="R2" s="351"/>
      <c r="S2" s="351"/>
      <c r="T2" s="351"/>
      <c r="U2" s="351"/>
      <c r="V2" s="351"/>
      <c r="W2" s="352"/>
      <c r="X2" s="352"/>
      <c r="Y2" s="352"/>
      <c r="Z2" s="352"/>
      <c r="AA2" s="352"/>
      <c r="AB2" s="352"/>
      <c r="AC2" s="352"/>
      <c r="AD2" s="352"/>
      <c r="AE2" s="352"/>
      <c r="AF2" s="352"/>
      <c r="AG2" s="352"/>
      <c r="AH2" s="352"/>
      <c r="AI2" s="381"/>
      <c r="AJ2" s="162"/>
      <c r="AK2" s="162"/>
      <c r="AL2" s="162"/>
      <c r="AM2" s="162"/>
    </row>
    <row r="3" ht="14.25" customHeight="1">
      <c r="A3" s="382" t="s">
        <v>1143</v>
      </c>
      <c r="B3" s="162"/>
      <c r="C3" s="246"/>
      <c r="D3" s="246"/>
      <c r="E3" s="162"/>
      <c r="F3" s="162"/>
      <c r="G3" s="162"/>
      <c r="H3" s="178"/>
      <c r="I3" s="178"/>
      <c r="J3" s="178"/>
      <c r="K3" s="178"/>
      <c r="L3" s="178"/>
      <c r="M3" s="178"/>
      <c r="N3" s="178"/>
      <c r="O3" s="178"/>
      <c r="P3" s="178"/>
      <c r="Q3" s="178"/>
      <c r="R3" s="178"/>
      <c r="S3" s="178"/>
      <c r="T3" s="178"/>
      <c r="U3" s="178"/>
      <c r="V3" s="178"/>
      <c r="W3" s="178"/>
      <c r="X3" s="178"/>
      <c r="Y3" s="178"/>
      <c r="Z3" s="178"/>
      <c r="AA3" s="178"/>
      <c r="AB3" s="178"/>
      <c r="AC3" s="178"/>
      <c r="AD3" s="178"/>
      <c r="AE3" s="178"/>
      <c r="AF3" s="178"/>
      <c r="AG3" s="178"/>
      <c r="AH3" s="178"/>
      <c r="AI3" s="162"/>
      <c r="AJ3" s="162"/>
      <c r="AK3" s="162"/>
      <c r="AL3" s="162"/>
      <c r="AM3" s="162"/>
    </row>
    <row r="4" ht="14.25" customHeight="1" outlineLevel="3">
      <c r="A4" s="195"/>
      <c r="B4" s="201"/>
      <c r="C4" s="201"/>
      <c r="D4" s="201"/>
      <c r="E4" s="273" t="s">
        <v>643</v>
      </c>
      <c r="F4" s="123" t="s">
        <v>264</v>
      </c>
      <c r="G4" s="123" t="s">
        <v>1144</v>
      </c>
      <c r="H4" s="274">
        <f>surterex*(1-trvcumter)</f>
        <v>0</v>
      </c>
      <c r="I4" s="274">
        <f>surterex*(1-trvcumter)</f>
        <v>146.2907624</v>
      </c>
      <c r="J4" s="274">
        <f>surterex*(1-trvcumter)</f>
        <v>148.0297285</v>
      </c>
      <c r="K4" s="274">
        <f>surterex*(1-trvcumter)</f>
        <v>155.0810977</v>
      </c>
      <c r="L4" s="274">
        <f>surterex*(1-trvcumter)</f>
        <v>156.8211234</v>
      </c>
      <c r="M4" s="274">
        <f>surterex*(1-trvcumter)</f>
        <v>160.7183179</v>
      </c>
      <c r="N4" s="274">
        <f>surterex*(1-trvcumter)</f>
        <v>163.5596767</v>
      </c>
      <c r="O4" s="274">
        <f>surterex*(1-trvcumter)</f>
        <v>167.1369169</v>
      </c>
      <c r="P4" s="274">
        <f>surterex*(1-trvcumter)</f>
        <v>171.1730892</v>
      </c>
      <c r="Q4" s="274">
        <f>surterex*(1-trvcumter)</f>
        <v>172.6594255</v>
      </c>
      <c r="R4" s="274">
        <f>surterex*(1-trvcumter)</f>
        <v>172.6864687</v>
      </c>
      <c r="S4" s="274">
        <f>surterex*(1-trvcumter)</f>
        <v>176.2633241</v>
      </c>
      <c r="T4" s="274">
        <f>surterex*(1-trvcumter)</f>
        <v>179.0664107</v>
      </c>
      <c r="U4" s="274">
        <f>surterex*(1-trvcumter)</f>
        <v>180.4357233</v>
      </c>
      <c r="V4" s="274">
        <f>surterex*(1-trvcumter)</f>
        <v>181.4383517</v>
      </c>
      <c r="W4" s="274">
        <f>surterex*(1-trvcumter)</f>
        <v>182.6842926</v>
      </c>
      <c r="X4" s="274">
        <f>surterex*(1-trvcumter)</f>
        <v>0</v>
      </c>
      <c r="Y4" s="274">
        <f>surterex*(1-trvcumter)</f>
        <v>0</v>
      </c>
      <c r="Z4" s="274">
        <f>surterex*(1-trvcumter)</f>
        <v>0</v>
      </c>
      <c r="AA4" s="274">
        <f>surterex*(1-trvcumter)</f>
        <v>0</v>
      </c>
      <c r="AB4" s="274">
        <f>surterex*(1-trvcumter)</f>
        <v>0</v>
      </c>
      <c r="AC4" s="274">
        <f>surterex*(1-trvcumter)</f>
        <v>0</v>
      </c>
      <c r="AD4" s="274">
        <f>surterex*(1-trvcumter)</f>
        <v>0</v>
      </c>
      <c r="AE4" s="274">
        <f>surterex*(1-trvcumter)</f>
        <v>0</v>
      </c>
      <c r="AF4" s="274">
        <f>surterex*(1-trvcumter)</f>
        <v>0</v>
      </c>
      <c r="AG4" s="274">
        <f>surterex*(1-trvcumter)</f>
        <v>0</v>
      </c>
      <c r="AH4" s="274">
        <f>surterex*(1-trvcumter)</f>
        <v>0</v>
      </c>
      <c r="AI4" s="318"/>
      <c r="AJ4" s="100"/>
      <c r="AK4" s="100"/>
      <c r="AL4" s="100"/>
      <c r="AM4" s="100"/>
    </row>
    <row r="5" ht="14.25" customHeight="1" outlineLevel="3">
      <c r="A5" s="195"/>
      <c r="B5" s="201"/>
      <c r="C5" s="201"/>
      <c r="D5" s="201"/>
      <c r="E5" s="273" t="s">
        <v>645</v>
      </c>
      <c r="F5" s="123" t="s">
        <v>264</v>
      </c>
      <c r="G5" s="123" t="s">
        <v>1145</v>
      </c>
      <c r="H5" s="274">
        <f>surterex*trvcumter</f>
        <v>0</v>
      </c>
      <c r="I5" s="274">
        <f>surterex*trvcumter</f>
        <v>0</v>
      </c>
      <c r="J5" s="274">
        <f>surterex*trvcumter</f>
        <v>0</v>
      </c>
      <c r="K5" s="274">
        <f>surterex*trvcumter</f>
        <v>0</v>
      </c>
      <c r="L5" s="274">
        <f>surterex*trvcumter</f>
        <v>0</v>
      </c>
      <c r="M5" s="274">
        <f>surterex*trvcumter</f>
        <v>0</v>
      </c>
      <c r="N5" s="274">
        <f>surterex*trvcumter</f>
        <v>0</v>
      </c>
      <c r="O5" s="274">
        <f>surterex*trvcumter</f>
        <v>0</v>
      </c>
      <c r="P5" s="274">
        <f>surterex*trvcumter</f>
        <v>0</v>
      </c>
      <c r="Q5" s="274">
        <f>surterex*trvcumter</f>
        <v>0</v>
      </c>
      <c r="R5" s="274">
        <f>surterex*trvcumter</f>
        <v>0</v>
      </c>
      <c r="S5" s="274">
        <f>surterex*trvcumter</f>
        <v>0</v>
      </c>
      <c r="T5" s="274">
        <f>surterex*trvcumter</f>
        <v>0</v>
      </c>
      <c r="U5" s="274">
        <f>surterex*trvcumter</f>
        <v>0</v>
      </c>
      <c r="V5" s="274">
        <f>surterex*trvcumter</f>
        <v>0</v>
      </c>
      <c r="W5" s="274">
        <f>surterex*trvcumter</f>
        <v>0</v>
      </c>
      <c r="X5" s="274">
        <f>surterex*trvcumter</f>
        <v>0</v>
      </c>
      <c r="Y5" s="274">
        <f>surterex*trvcumter</f>
        <v>0</v>
      </c>
      <c r="Z5" s="274">
        <f>surterex*trvcumter</f>
        <v>0</v>
      </c>
      <c r="AA5" s="274">
        <f>surterex*trvcumter</f>
        <v>0</v>
      </c>
      <c r="AB5" s="274">
        <f>surterex*trvcumter</f>
        <v>0</v>
      </c>
      <c r="AC5" s="274">
        <f>surterex*trvcumter</f>
        <v>0</v>
      </c>
      <c r="AD5" s="274">
        <f>surterex*trvcumter</f>
        <v>0</v>
      </c>
      <c r="AE5" s="274">
        <f>surterex*trvcumter</f>
        <v>0</v>
      </c>
      <c r="AF5" s="274">
        <f>surterex*trvcumter</f>
        <v>0</v>
      </c>
      <c r="AG5" s="274">
        <f>surterex*trvcumter</f>
        <v>0</v>
      </c>
      <c r="AH5" s="274">
        <f>surterex*trvcumter</f>
        <v>0</v>
      </c>
      <c r="AI5" s="318"/>
      <c r="AJ5" s="100"/>
      <c r="AK5" s="100"/>
      <c r="AL5" s="100"/>
      <c r="AM5" s="100"/>
    </row>
    <row r="6" ht="14.25" customHeight="1">
      <c r="A6" s="382" t="s">
        <v>647</v>
      </c>
      <c r="B6" s="357"/>
      <c r="C6" s="357"/>
      <c r="D6" s="357"/>
      <c r="E6" s="162"/>
      <c r="F6" s="162"/>
      <c r="G6" s="162"/>
      <c r="H6" s="178"/>
      <c r="I6" s="178"/>
      <c r="J6" s="178"/>
      <c r="K6" s="178"/>
      <c r="L6" s="178"/>
      <c r="M6" s="178"/>
      <c r="N6" s="178"/>
      <c r="O6" s="178"/>
      <c r="P6" s="178"/>
      <c r="Q6" s="178"/>
      <c r="R6" s="178"/>
      <c r="S6" s="178"/>
      <c r="T6" s="178"/>
      <c r="U6" s="178"/>
      <c r="V6" s="178"/>
      <c r="W6" s="178"/>
      <c r="X6" s="178"/>
      <c r="Y6" s="178"/>
      <c r="Z6" s="178"/>
      <c r="AA6" s="178"/>
      <c r="AB6" s="178"/>
      <c r="AC6" s="178"/>
      <c r="AD6" s="178"/>
      <c r="AE6" s="178"/>
      <c r="AF6" s="178"/>
      <c r="AG6" s="178"/>
      <c r="AH6" s="178"/>
      <c r="AI6" s="162"/>
      <c r="AJ6" s="162"/>
      <c r="AK6" s="162"/>
      <c r="AL6" s="162"/>
      <c r="AM6" s="162"/>
    </row>
    <row r="7" ht="14.25" customHeight="1" outlineLevel="2">
      <c r="A7" s="195"/>
      <c r="B7" s="331" t="s">
        <v>1146</v>
      </c>
      <c r="C7" s="323"/>
      <c r="D7" s="323"/>
      <c r="E7" s="323"/>
      <c r="F7" s="162"/>
      <c r="G7" s="162"/>
      <c r="H7" s="178"/>
      <c r="I7" s="178"/>
      <c r="J7" s="178"/>
      <c r="K7" s="178"/>
      <c r="L7" s="178"/>
      <c r="M7" s="178"/>
      <c r="N7" s="178"/>
      <c r="O7" s="178"/>
      <c r="P7" s="178"/>
      <c r="Q7" s="178"/>
      <c r="R7" s="178"/>
      <c r="S7" s="178"/>
      <c r="T7" s="178"/>
      <c r="U7" s="178"/>
      <c r="V7" s="178"/>
      <c r="W7" s="178"/>
      <c r="X7" s="178"/>
      <c r="Y7" s="178"/>
      <c r="Z7" s="178"/>
      <c r="AA7" s="178"/>
      <c r="AB7" s="178"/>
      <c r="AC7" s="178"/>
      <c r="AD7" s="178"/>
      <c r="AE7" s="178"/>
      <c r="AF7" s="178"/>
      <c r="AG7" s="178"/>
      <c r="AH7" s="178"/>
      <c r="AI7" s="162"/>
      <c r="AJ7" s="100"/>
      <c r="AK7" s="100"/>
      <c r="AL7" s="100"/>
      <c r="AM7" s="100"/>
    </row>
    <row r="8" ht="14.25" customHeight="1" outlineLevel="3">
      <c r="A8" s="195"/>
      <c r="B8" s="201"/>
      <c r="C8" s="201"/>
      <c r="D8" s="201"/>
      <c r="E8" s="273" t="s">
        <v>1147</v>
      </c>
      <c r="F8" s="123" t="s">
        <v>135</v>
      </c>
      <c r="G8" s="123" t="s">
        <v>1148</v>
      </c>
      <c r="H8" s="274">
        <f>M*calsurterexnr*k*eeterexnr/T</f>
        <v>0</v>
      </c>
      <c r="I8" s="274">
        <f>M*calsurterexnr*k*eeterexnr/T</f>
        <v>17.45314233</v>
      </c>
      <c r="J8" s="274">
        <f>M*calsurterexnr*k*eeterexnr/T</f>
        <v>17.3502351</v>
      </c>
      <c r="K8" s="274">
        <f>M*calsurterexnr*k*eeterexnr/T</f>
        <v>19.44605542</v>
      </c>
      <c r="L8" s="274">
        <f>M*calsurterexnr*k*eeterexnr/T</f>
        <v>20.25973974</v>
      </c>
      <c r="M8" s="274">
        <f>M*calsurterexnr*k*eeterexnr/T</f>
        <v>20.16406084</v>
      </c>
      <c r="N8" s="274">
        <f>M*calsurterexnr*k*eeterexnr/T</f>
        <v>21.48537565</v>
      </c>
      <c r="O8" s="274">
        <f>M*calsurterexnr*k*eeterexnr/T</f>
        <v>18.00445459</v>
      </c>
      <c r="P8" s="274">
        <f>M*calsurterexnr*k*eeterexnr/T</f>
        <v>24.75759121</v>
      </c>
      <c r="Q8" s="274">
        <f>M*calsurterexnr*k*eeterexnr/T</f>
        <v>24.61587788</v>
      </c>
      <c r="R8" s="274">
        <f>M*calsurterexnr*k*eeterexnr/T</f>
        <v>27.52914457</v>
      </c>
      <c r="S8" s="274">
        <f>M*calsurterexnr*k*eeterexnr/T</f>
        <v>22.82520168</v>
      </c>
      <c r="T8" s="274">
        <f>M*calsurterexnr*k*eeterexnr/T</f>
        <v>23.99224259</v>
      </c>
      <c r="U8" s="274">
        <f>M*calsurterexnr*k*eeterexnr/T</f>
        <v>27.6351132</v>
      </c>
      <c r="V8" s="274">
        <f>M*calsurterexnr*k*eeterexnr/T</f>
        <v>22.11742035</v>
      </c>
      <c r="W8" s="274">
        <f>M*calsurterexnr*k*eeterexnr/T</f>
        <v>25.95847662</v>
      </c>
      <c r="X8" s="274">
        <f>M*calsurterexnr*k*eeterexnr/T</f>
        <v>0</v>
      </c>
      <c r="Y8" s="274">
        <f>M*calsurterexnr*k*eeterexnr/T</f>
        <v>0</v>
      </c>
      <c r="Z8" s="274">
        <f>M*calsurterexnr*k*eeterexnr/T</f>
        <v>0</v>
      </c>
      <c r="AA8" s="274">
        <f>M*calsurterexnr*k*eeterexnr/T</f>
        <v>0</v>
      </c>
      <c r="AB8" s="274">
        <f>M*calsurterexnr*k*eeterexnr/T</f>
        <v>0</v>
      </c>
      <c r="AC8" s="274">
        <f>M*calsurterexnr*k*eeterexnr/T</f>
        <v>0</v>
      </c>
      <c r="AD8" s="274">
        <f>M*calsurterexnr*k*eeterexnr/T</f>
        <v>0</v>
      </c>
      <c r="AE8" s="274">
        <f>M*calsurterexnr*k*eeterexnr/T</f>
        <v>0</v>
      </c>
      <c r="AF8" s="274">
        <f>M*calsurterexnr*k*eeterexnr/T</f>
        <v>0</v>
      </c>
      <c r="AG8" s="274">
        <f>M*calsurterexnr*k*eeterexnr/T</f>
        <v>0</v>
      </c>
      <c r="AH8" s="274">
        <f>M*calsurterexnr*k*eeterexnr/T</f>
        <v>0</v>
      </c>
      <c r="AI8" s="318"/>
      <c r="AJ8" s="100"/>
      <c r="AK8" s="100"/>
      <c r="AL8" s="100"/>
      <c r="AM8" s="100"/>
    </row>
    <row r="9" ht="14.25" customHeight="1" outlineLevel="3">
      <c r="A9" s="195"/>
      <c r="B9" s="201"/>
      <c r="C9" s="201"/>
      <c r="D9" s="201"/>
      <c r="E9" s="273" t="s">
        <v>1149</v>
      </c>
      <c r="F9" s="123" t="s">
        <v>135</v>
      </c>
      <c r="G9" s="123" t="s">
        <v>1150</v>
      </c>
      <c r="H9" s="274">
        <f>M*calsurterexrv*k*eeterexrv/T</f>
        <v>0</v>
      </c>
      <c r="I9" s="274">
        <f>M*calsurterexrv*k*eeterexrv/T</f>
        <v>0</v>
      </c>
      <c r="J9" s="274">
        <f>M*calsurterexrv*k*eeterexrv/T</f>
        <v>0</v>
      </c>
      <c r="K9" s="274">
        <f>M*calsurterexrv*k*eeterexrv/T</f>
        <v>0</v>
      </c>
      <c r="L9" s="274">
        <f>M*calsurterexrv*k*eeterexrv/T</f>
        <v>0</v>
      </c>
      <c r="M9" s="274">
        <f>M*calsurterexrv*k*eeterexrv/T</f>
        <v>0</v>
      </c>
      <c r="N9" s="274">
        <f>M*calsurterexrv*k*eeterexrv/T</f>
        <v>0</v>
      </c>
      <c r="O9" s="274">
        <f>M*calsurterexrv*k*eeterexrv/T</f>
        <v>0</v>
      </c>
      <c r="P9" s="274">
        <f>M*calsurterexrv*k*eeterexrv/T</f>
        <v>0</v>
      </c>
      <c r="Q9" s="274">
        <f>M*calsurterexrv*k*eeterexrv/T</f>
        <v>0</v>
      </c>
      <c r="R9" s="274">
        <f>M*calsurterexrv*k*eeterexrv/T</f>
        <v>0</v>
      </c>
      <c r="S9" s="274">
        <f>M*calsurterexrv*k*eeterexrv/T</f>
        <v>0</v>
      </c>
      <c r="T9" s="274">
        <f>M*calsurterexrv*k*eeterexrv/T</f>
        <v>0</v>
      </c>
      <c r="U9" s="274">
        <f>M*calsurterexrv*k*eeterexrv/T</f>
        <v>0</v>
      </c>
      <c r="V9" s="274">
        <f>M*calsurterexrv*k*eeterexrv/T</f>
        <v>0</v>
      </c>
      <c r="W9" s="274">
        <f>M*calsurterexrv*k*eeterexrv/T</f>
        <v>0</v>
      </c>
      <c r="X9" s="274">
        <f>M*calsurterexrv*k*eeterexrv/T</f>
        <v>0</v>
      </c>
      <c r="Y9" s="274">
        <f>M*calsurterexrv*k*eeterexrv/T</f>
        <v>0</v>
      </c>
      <c r="Z9" s="274">
        <f>M*calsurterexrv*k*eeterexrv/T</f>
        <v>0</v>
      </c>
      <c r="AA9" s="274">
        <f>M*calsurterexrv*k*eeterexrv/T</f>
        <v>0</v>
      </c>
      <c r="AB9" s="274">
        <f>M*calsurterexrv*k*eeterexrv/T</f>
        <v>0</v>
      </c>
      <c r="AC9" s="274">
        <f>M*calsurterexrv*k*eeterexrv/T</f>
        <v>0</v>
      </c>
      <c r="AD9" s="274">
        <f>M*calsurterexrv*k*eeterexrv/T</f>
        <v>0</v>
      </c>
      <c r="AE9" s="274">
        <f>M*calsurterexrv*k*eeterexrv/T</f>
        <v>0</v>
      </c>
      <c r="AF9" s="274">
        <f>M*calsurterexrv*k*eeterexrv/T</f>
        <v>0</v>
      </c>
      <c r="AG9" s="274">
        <f>M*calsurterexrv*k*eeterexrv/T</f>
        <v>0</v>
      </c>
      <c r="AH9" s="274">
        <f>M*calsurterexrv*k*eeterexrv/T</f>
        <v>0</v>
      </c>
      <c r="AI9" s="318"/>
      <c r="AJ9" s="100"/>
      <c r="AK9" s="100"/>
      <c r="AL9" s="100"/>
      <c r="AM9" s="100"/>
    </row>
    <row r="10" ht="14.25" customHeight="1" outlineLevel="3">
      <c r="A10" s="195"/>
      <c r="B10" s="201"/>
      <c r="C10" s="201"/>
      <c r="D10" s="201"/>
      <c r="E10" s="273" t="s">
        <v>1151</v>
      </c>
      <c r="F10" s="249" t="s">
        <v>135</v>
      </c>
      <c r="G10" s="123" t="s">
        <v>1152</v>
      </c>
      <c r="H10" s="274">
        <f>M*surternf*k*eeternf/T</f>
        <v>0</v>
      </c>
      <c r="I10" s="274">
        <f>M*surternf*k*eeternf/T</f>
        <v>0</v>
      </c>
      <c r="J10" s="274">
        <f>M*surternf*k*eeternf/T</f>
        <v>0</v>
      </c>
      <c r="K10" s="274">
        <f>M*surternf*k*eeternf/T</f>
        <v>0</v>
      </c>
      <c r="L10" s="274">
        <f>M*surternf*k*eeternf/T</f>
        <v>0</v>
      </c>
      <c r="M10" s="274">
        <f>M*surternf*k*eeternf/T</f>
        <v>0</v>
      </c>
      <c r="N10" s="274">
        <f>M*surternf*k*eeternf/T</f>
        <v>0</v>
      </c>
      <c r="O10" s="274">
        <f>M*surternf*k*eeternf/T</f>
        <v>0</v>
      </c>
      <c r="P10" s="274">
        <f>M*surternf*k*eeternf/T</f>
        <v>0</v>
      </c>
      <c r="Q10" s="274">
        <f>M*surternf*k*eeternf/T</f>
        <v>0</v>
      </c>
      <c r="R10" s="274">
        <f>M*surternf*k*eeternf/T</f>
        <v>0</v>
      </c>
      <c r="S10" s="274">
        <f>M*surternf*k*eeternf/T</f>
        <v>0</v>
      </c>
      <c r="T10" s="274">
        <f>M*surternf*k*eeternf/T</f>
        <v>0</v>
      </c>
      <c r="U10" s="274">
        <f>M*surternf*k*eeternf/T</f>
        <v>0</v>
      </c>
      <c r="V10" s="274">
        <f>M*surternf*k*eeternf/T</f>
        <v>0</v>
      </c>
      <c r="W10" s="274">
        <f>M*surternf*k*eeternf/T</f>
        <v>0</v>
      </c>
      <c r="X10" s="274">
        <f>M*surternf*k*eeternf/T</f>
        <v>0</v>
      </c>
      <c r="Y10" s="274">
        <f>M*surternf*k*eeternf/T</f>
        <v>0</v>
      </c>
      <c r="Z10" s="274">
        <f>M*surternf*k*eeternf/T</f>
        <v>0</v>
      </c>
      <c r="AA10" s="274">
        <f>M*surternf*k*eeternf/T</f>
        <v>0</v>
      </c>
      <c r="AB10" s="274">
        <f>M*surternf*k*eeternf/T</f>
        <v>0</v>
      </c>
      <c r="AC10" s="274">
        <f>M*surternf*k*eeternf/T</f>
        <v>0</v>
      </c>
      <c r="AD10" s="274">
        <f>M*surternf*k*eeternf/T</f>
        <v>0</v>
      </c>
      <c r="AE10" s="274">
        <f>M*surternf*k*eeternf/T</f>
        <v>0</v>
      </c>
      <c r="AF10" s="274">
        <f>M*surternf*k*eeternf/T</f>
        <v>0</v>
      </c>
      <c r="AG10" s="274">
        <f>M*surternf*k*eeternf/T</f>
        <v>0</v>
      </c>
      <c r="AH10" s="274">
        <f>M*surternf*k*eeternf/T</f>
        <v>0</v>
      </c>
      <c r="AI10" s="318"/>
      <c r="AJ10" s="100"/>
      <c r="AK10" s="100"/>
      <c r="AL10" s="100"/>
      <c r="AM10" s="100"/>
    </row>
    <row r="11" ht="14.25" customHeight="1" outlineLevel="3">
      <c r="A11" s="195"/>
      <c r="B11" s="201"/>
      <c r="C11" s="201"/>
      <c r="D11" s="201"/>
      <c r="E11" s="299" t="s">
        <v>1153</v>
      </c>
      <c r="F11" s="123" t="s">
        <v>135</v>
      </c>
      <c r="G11" s="123" t="s">
        <v>1154</v>
      </c>
      <c r="H11" s="274">
        <f>calcuterexchf+calcuterrvchf+calcuternfchf</f>
        <v>0</v>
      </c>
      <c r="I11" s="274">
        <f>calcuterexchf+calcuterrvchf+calcuternfchf</f>
        <v>17.45314233</v>
      </c>
      <c r="J11" s="274">
        <f>calcuterexchf+calcuterrvchf+calcuternfchf</f>
        <v>17.3502351</v>
      </c>
      <c r="K11" s="274">
        <f>calcuterexchf+calcuterrvchf+calcuternfchf</f>
        <v>19.44605542</v>
      </c>
      <c r="L11" s="274">
        <f>calcuterexchf+calcuterrvchf+calcuternfchf</f>
        <v>20.25973974</v>
      </c>
      <c r="M11" s="274">
        <f>calcuterexchf+calcuterrvchf+calcuternfchf</f>
        <v>20.16406084</v>
      </c>
      <c r="N11" s="274">
        <f>calcuterexchf+calcuterrvchf+calcuternfchf</f>
        <v>21.48537565</v>
      </c>
      <c r="O11" s="274">
        <f>calcuterexchf+calcuterrvchf+calcuternfchf</f>
        <v>18.00445459</v>
      </c>
      <c r="P11" s="274">
        <f>calcuterexchf+calcuterrvchf+calcuternfchf</f>
        <v>24.75759121</v>
      </c>
      <c r="Q11" s="274">
        <f>calcuterexchf+calcuterrvchf+calcuternfchf</f>
        <v>24.61587788</v>
      </c>
      <c r="R11" s="274">
        <f>calcuterexchf+calcuterrvchf+calcuternfchf</f>
        <v>27.52914457</v>
      </c>
      <c r="S11" s="274">
        <f>calcuterexchf+calcuterrvchf+calcuternfchf</f>
        <v>22.82520168</v>
      </c>
      <c r="T11" s="274">
        <f>calcuterexchf+calcuterrvchf+calcuternfchf</f>
        <v>23.99224259</v>
      </c>
      <c r="U11" s="274">
        <f>calcuterexchf+calcuterrvchf+calcuternfchf</f>
        <v>27.6351132</v>
      </c>
      <c r="V11" s="274">
        <f>calcuterexchf+calcuterrvchf+calcuternfchf</f>
        <v>22.11742035</v>
      </c>
      <c r="W11" s="274">
        <f>calcuterexchf+calcuterrvchf+calcuternfchf</f>
        <v>25.95847662</v>
      </c>
      <c r="X11" s="274">
        <f>calcuterexchf+calcuterrvchf+calcuternfchf</f>
        <v>0</v>
      </c>
      <c r="Y11" s="274">
        <f>calcuterexchf+calcuterrvchf+calcuternfchf</f>
        <v>0</v>
      </c>
      <c r="Z11" s="274">
        <f>calcuterexchf+calcuterrvchf+calcuternfchf</f>
        <v>0</v>
      </c>
      <c r="AA11" s="274">
        <f>calcuterexchf+calcuterrvchf+calcuternfchf</f>
        <v>0</v>
      </c>
      <c r="AB11" s="274">
        <f>calcuterexchf+calcuterrvchf+calcuternfchf</f>
        <v>0</v>
      </c>
      <c r="AC11" s="274">
        <f>calcuterexchf+calcuterrvchf+calcuternfchf</f>
        <v>0</v>
      </c>
      <c r="AD11" s="274">
        <f>calcuterexchf+calcuterrvchf+calcuternfchf</f>
        <v>0</v>
      </c>
      <c r="AE11" s="274">
        <f>calcuterexchf+calcuterrvchf+calcuternfchf</f>
        <v>0</v>
      </c>
      <c r="AF11" s="274">
        <f>calcuterexchf+calcuterrvchf+calcuternfchf</f>
        <v>0</v>
      </c>
      <c r="AG11" s="274">
        <f>calcuterexchf+calcuterrvchf+calcuternfchf</f>
        <v>0</v>
      </c>
      <c r="AH11" s="274">
        <f>calcuterexchf+calcuterrvchf+calcuternfchf</f>
        <v>0</v>
      </c>
      <c r="AI11" s="318"/>
      <c r="AJ11" s="100"/>
      <c r="AK11" s="100"/>
      <c r="AL11" s="100"/>
      <c r="AM11" s="100"/>
    </row>
    <row r="12" ht="14.25" customHeight="1" outlineLevel="2">
      <c r="A12" s="195"/>
      <c r="B12" s="331" t="s">
        <v>659</v>
      </c>
      <c r="C12" s="323"/>
      <c r="D12" s="323"/>
      <c r="E12" s="323"/>
      <c r="F12" s="162"/>
      <c r="G12" s="162"/>
      <c r="H12" s="178"/>
      <c r="I12" s="178"/>
      <c r="J12" s="178"/>
      <c r="K12" s="178"/>
      <c r="L12" s="178"/>
      <c r="M12" s="178"/>
      <c r="N12" s="178"/>
      <c r="O12" s="178"/>
      <c r="P12" s="178"/>
      <c r="Q12" s="178"/>
      <c r="R12" s="178"/>
      <c r="S12" s="178"/>
      <c r="T12" s="178"/>
      <c r="U12" s="178"/>
      <c r="V12" s="178"/>
      <c r="W12" s="178"/>
      <c r="X12" s="178"/>
      <c r="Y12" s="178"/>
      <c r="Z12" s="178"/>
      <c r="AA12" s="178"/>
      <c r="AB12" s="178"/>
      <c r="AC12" s="178"/>
      <c r="AD12" s="178"/>
      <c r="AE12" s="178"/>
      <c r="AF12" s="178"/>
      <c r="AG12" s="178"/>
      <c r="AH12" s="178"/>
      <c r="AI12" s="162"/>
      <c r="AJ12" s="100"/>
      <c r="AK12" s="100"/>
      <c r="AL12" s="100"/>
      <c r="AM12" s="100"/>
    </row>
    <row r="13" ht="14.25" customHeight="1" outlineLevel="3">
      <c r="A13" s="195"/>
      <c r="B13" s="201"/>
      <c r="C13" s="201"/>
      <c r="D13" s="201"/>
      <c r="E13" s="299" t="s">
        <v>907</v>
      </c>
      <c r="F13" s="249" t="s">
        <v>135</v>
      </c>
      <c r="G13" s="123" t="s">
        <v>908</v>
      </c>
      <c r="H13" s="274">
        <f t="shared" ref="H13:AH13" si="1">SUM(H14:H21)</f>
        <v>0</v>
      </c>
      <c r="I13" s="274">
        <f t="shared" si="1"/>
        <v>25.34344574</v>
      </c>
      <c r="J13" s="274">
        <f t="shared" si="1"/>
        <v>25.31487937</v>
      </c>
      <c r="K13" s="274">
        <f t="shared" si="1"/>
        <v>28.32323169</v>
      </c>
      <c r="L13" s="274">
        <f t="shared" si="1"/>
        <v>29.13193591</v>
      </c>
      <c r="M13" s="274">
        <f t="shared" si="1"/>
        <v>28.85686584</v>
      </c>
      <c r="N13" s="274">
        <f t="shared" si="1"/>
        <v>29.79320179</v>
      </c>
      <c r="O13" s="274">
        <f t="shared" si="1"/>
        <v>24.69108346</v>
      </c>
      <c r="P13" s="274">
        <f t="shared" si="1"/>
        <v>33.48997152</v>
      </c>
      <c r="Q13" s="274">
        <f t="shared" si="1"/>
        <v>32.60877873</v>
      </c>
      <c r="R13" s="274">
        <f t="shared" si="1"/>
        <v>36.16331278</v>
      </c>
      <c r="S13" s="274">
        <f t="shared" si="1"/>
        <v>29.72088396</v>
      </c>
      <c r="T13" s="274">
        <f t="shared" si="1"/>
        <v>31.00019905</v>
      </c>
      <c r="U13" s="274">
        <f t="shared" si="1"/>
        <v>35.32515141</v>
      </c>
      <c r="V13" s="274">
        <f t="shared" si="1"/>
        <v>27.84048195</v>
      </c>
      <c r="W13" s="274">
        <f t="shared" si="1"/>
        <v>32.33759085</v>
      </c>
      <c r="X13" s="274">
        <f t="shared" si="1"/>
        <v>0</v>
      </c>
      <c r="Y13" s="274">
        <f t="shared" si="1"/>
        <v>0</v>
      </c>
      <c r="Z13" s="274">
        <f t="shared" si="1"/>
        <v>0</v>
      </c>
      <c r="AA13" s="274">
        <f t="shared" si="1"/>
        <v>0</v>
      </c>
      <c r="AB13" s="274">
        <f t="shared" si="1"/>
        <v>0</v>
      </c>
      <c r="AC13" s="274">
        <f t="shared" si="1"/>
        <v>0</v>
      </c>
      <c r="AD13" s="274">
        <f t="shared" si="1"/>
        <v>0</v>
      </c>
      <c r="AE13" s="274">
        <f t="shared" si="1"/>
        <v>0</v>
      </c>
      <c r="AF13" s="274">
        <f t="shared" si="1"/>
        <v>0</v>
      </c>
      <c r="AG13" s="274">
        <f t="shared" si="1"/>
        <v>0</v>
      </c>
      <c r="AH13" s="274">
        <f t="shared" si="1"/>
        <v>0</v>
      </c>
      <c r="AI13" s="318"/>
      <c r="AJ13" s="100"/>
      <c r="AK13" s="100"/>
      <c r="AL13" s="100"/>
      <c r="AM13" s="100"/>
    </row>
    <row r="14" ht="14.25" customHeight="1" outlineLevel="3">
      <c r="A14" s="195"/>
      <c r="B14" s="201"/>
      <c r="C14" s="201"/>
      <c r="D14" s="201"/>
      <c r="E14" s="273" t="s">
        <v>909</v>
      </c>
      <c r="F14" s="249" t="s">
        <v>135</v>
      </c>
      <c r="G14" s="123" t="s">
        <v>910</v>
      </c>
      <c r="H14" s="274" t="str">
        <f>IFERROR(caltoccuterchf*surterchfcms*(1/ceeterchfcms),)</f>
        <v/>
      </c>
      <c r="I14" s="274" t="str">
        <f>IFERROR(caltoccuterchf*surterchfcms*(1/ceeterchfcms),)</f>
        <v/>
      </c>
      <c r="J14" s="274" t="str">
        <f>IFERROR(caltoccuterchf*surterchfcms*(1/ceeterchfcms),)</f>
        <v/>
      </c>
      <c r="K14" s="274" t="str">
        <f>IFERROR(caltoccuterchf*surterchfcms*(1/ceeterchfcms),)</f>
        <v/>
      </c>
      <c r="L14" s="274" t="str">
        <f>IFERROR(caltoccuterchf*surterchfcms*(1/ceeterchfcms),)</f>
        <v/>
      </c>
      <c r="M14" s="274" t="str">
        <f>IFERROR(caltoccuterchf*surterchfcms*(1/ceeterchfcms),)</f>
        <v/>
      </c>
      <c r="N14" s="274" t="str">
        <f>IFERROR(caltoccuterchf*surterchfcms*(1/ceeterchfcms),)</f>
        <v/>
      </c>
      <c r="O14" s="274" t="str">
        <f>IFERROR(caltoccuterchf*surterchfcms*(1/ceeterchfcms),)</f>
        <v/>
      </c>
      <c r="P14" s="274" t="str">
        <f>IFERROR(caltoccuterchf*surterchfcms*(1/ceeterchfcms),)</f>
        <v/>
      </c>
      <c r="Q14" s="274" t="str">
        <f>IFERROR(caltoccuterchf*surterchfcms*(1/ceeterchfcms),)</f>
        <v/>
      </c>
      <c r="R14" s="274" t="str">
        <f>IFERROR(caltoccuterchf*surterchfcms*(1/ceeterchfcms),)</f>
        <v/>
      </c>
      <c r="S14" s="274" t="str">
        <f>IFERROR(caltoccuterchf*surterchfcms*(1/ceeterchfcms),)</f>
        <v/>
      </c>
      <c r="T14" s="274" t="str">
        <f>IFERROR(caltoccuterchf*surterchfcms*(1/ceeterchfcms),)</f>
        <v/>
      </c>
      <c r="U14" s="274" t="str">
        <f>IFERROR(caltoccuterchf*surterchfcms*(1/ceeterchfcms),)</f>
        <v/>
      </c>
      <c r="V14" s="274" t="str">
        <f>IFERROR(caltoccuterchf*surterchfcms*(1/ceeterchfcms),)</f>
        <v/>
      </c>
      <c r="W14" s="274" t="str">
        <f>IFERROR(caltoccuterchf*surterchfcms*(1/ceeterchfcms),)</f>
        <v/>
      </c>
      <c r="X14" s="274" t="str">
        <f>IFERROR(caltoccuterchf*surterchfcms*(1/ceeterchfcms),)</f>
        <v/>
      </c>
      <c r="Y14" s="274" t="str">
        <f>IFERROR(caltoccuterchf*surterchfcms*(1/ceeterchfcms),)</f>
        <v/>
      </c>
      <c r="Z14" s="274" t="str">
        <f>IFERROR(caltoccuterchf*surterchfcms*(1/ceeterchfcms),)</f>
        <v/>
      </c>
      <c r="AA14" s="274" t="str">
        <f>IFERROR(caltoccuterchf*surterchfcms*(1/ceeterchfcms),)</f>
        <v/>
      </c>
      <c r="AB14" s="274" t="str">
        <f>IFERROR(caltoccuterchf*surterchfcms*(1/ceeterchfcms),)</f>
        <v/>
      </c>
      <c r="AC14" s="274" t="str">
        <f>IFERROR(caltoccuterchf*surterchfcms*(1/ceeterchfcms),)</f>
        <v/>
      </c>
      <c r="AD14" s="274" t="str">
        <f>IFERROR(caltoccuterchf*surterchfcms*(1/ceeterchfcms),)</f>
        <v/>
      </c>
      <c r="AE14" s="274" t="str">
        <f>IFERROR(caltoccuterchf*surterchfcms*(1/ceeterchfcms),)</f>
        <v/>
      </c>
      <c r="AF14" s="274" t="str">
        <f>IFERROR(caltoccuterchf*surterchfcms*(1/ceeterchfcms),)</f>
        <v/>
      </c>
      <c r="AG14" s="274" t="str">
        <f>IFERROR(caltoccuterchf*surterchfcms*(1/ceeterchfcms),)</f>
        <v/>
      </c>
      <c r="AH14" s="274" t="str">
        <f>IFERROR(caltoccuterchf*surterchfcms*(1/ceeterchfcms),)</f>
        <v/>
      </c>
      <c r="AI14" s="318"/>
      <c r="AJ14" s="100"/>
      <c r="AK14" s="100"/>
      <c r="AL14" s="100"/>
      <c r="AM14" s="100"/>
    </row>
    <row r="15" ht="14.25" customHeight="1" outlineLevel="3">
      <c r="A15" s="195"/>
      <c r="B15" s="201"/>
      <c r="C15" s="201"/>
      <c r="D15" s="201"/>
      <c r="E15" s="273" t="s">
        <v>911</v>
      </c>
      <c r="F15" s="123" t="s">
        <v>135</v>
      </c>
      <c r="G15" s="123" t="s">
        <v>912</v>
      </c>
      <c r="H15" s="274" t="str">
        <f>IFERROR(caltoccuterchf*surterchfboi*(1/ceeterchfboi),)</f>
        <v/>
      </c>
      <c r="I15" s="274" t="str">
        <f>IFERROR(caltoccuterchf*surterchfboi*(1/ceeterchfboi),)</f>
        <v/>
      </c>
      <c r="J15" s="274" t="str">
        <f>IFERROR(caltoccuterchf*surterchfboi*(1/ceeterchfboi),)</f>
        <v/>
      </c>
      <c r="K15" s="274" t="str">
        <f>IFERROR(caltoccuterchf*surterchfboi*(1/ceeterchfboi),)</f>
        <v/>
      </c>
      <c r="L15" s="274">
        <f>IFERROR(caltoccuterchf*surterchfboi*(1/ceeterchfboi),)</f>
        <v>0.04535885214</v>
      </c>
      <c r="M15" s="274">
        <f>IFERROR(caltoccuterchf*surterchfboi*(1/ceeterchfboi),)</f>
        <v>0.0577860696</v>
      </c>
      <c r="N15" s="274">
        <f>IFERROR(caltoccuterchf*surterchfboi*(1/ceeterchfboi),)</f>
        <v>0.05667190603</v>
      </c>
      <c r="O15" s="274">
        <f>IFERROR(caltoccuterchf*surterchfboi*(1/ceeterchfboi),)</f>
        <v>0.0587193052</v>
      </c>
      <c r="P15" s="274">
        <f>IFERROR(caltoccuterchf*surterchfboi*(1/ceeterchfboi),)</f>
        <v>0.02497118818</v>
      </c>
      <c r="Q15" s="274">
        <f>IFERROR(caltoccuterchf*surterchfboi*(1/ceeterchfboi),)</f>
        <v>0.01588522658</v>
      </c>
      <c r="R15" s="274">
        <f>IFERROR(caltoccuterchf*surterchfboi*(1/ceeterchfboi),)</f>
        <v>0.04062199103</v>
      </c>
      <c r="S15" s="274">
        <f>IFERROR(caltoccuterchf*surterchfboi*(1/ceeterchfboi),)</f>
        <v>0.04748323567</v>
      </c>
      <c r="T15" s="274">
        <f>IFERROR(caltoccuterchf*surterchfboi*(1/ceeterchfboi),)</f>
        <v>0.2117737151</v>
      </c>
      <c r="U15" s="274">
        <f>IFERROR(caltoccuterchf*surterchfboi*(1/ceeterchfboi),)</f>
        <v>0.2182876212</v>
      </c>
      <c r="V15" s="274">
        <f>IFERROR(caltoccuterchf*surterchfboi*(1/ceeterchfboi),)</f>
        <v>0.1986315788</v>
      </c>
      <c r="W15" s="274">
        <f>IFERROR(caltoccuterchf*surterchfboi*(1/ceeterchfboi),)</f>
        <v>0.1931120136</v>
      </c>
      <c r="X15" s="274" t="str">
        <f>IFERROR(caltoccuterchf*surterchfboi*(1/ceeterchfboi),)</f>
        <v/>
      </c>
      <c r="Y15" s="274" t="str">
        <f>IFERROR(caltoccuterchf*surterchfboi*(1/ceeterchfboi),)</f>
        <v/>
      </c>
      <c r="Z15" s="274" t="str">
        <f>IFERROR(caltoccuterchf*surterchfboi*(1/ceeterchfboi),)</f>
        <v/>
      </c>
      <c r="AA15" s="274" t="str">
        <f>IFERROR(caltoccuterchf*surterchfboi*(1/ceeterchfboi),)</f>
        <v/>
      </c>
      <c r="AB15" s="274" t="str">
        <f>IFERROR(caltoccuterchf*surterchfboi*(1/ceeterchfboi),)</f>
        <v/>
      </c>
      <c r="AC15" s="274" t="str">
        <f>IFERROR(caltoccuterchf*surterchfboi*(1/ceeterchfboi),)</f>
        <v/>
      </c>
      <c r="AD15" s="274" t="str">
        <f>IFERROR(caltoccuterchf*surterchfboi*(1/ceeterchfboi),)</f>
        <v/>
      </c>
      <c r="AE15" s="274" t="str">
        <f>IFERROR(caltoccuterchf*surterchfboi*(1/ceeterchfboi),)</f>
        <v/>
      </c>
      <c r="AF15" s="274" t="str">
        <f>IFERROR(caltoccuterchf*surterchfboi*(1/ceeterchfboi),)</f>
        <v/>
      </c>
      <c r="AG15" s="274" t="str">
        <f>IFERROR(caltoccuterchf*surterchfboi*(1/ceeterchfboi),)</f>
        <v/>
      </c>
      <c r="AH15" s="274" t="str">
        <f>IFERROR(caltoccuterchf*surterchfboi*(1/ceeterchfboi),)</f>
        <v/>
      </c>
      <c r="AI15" s="318"/>
      <c r="AJ15" s="100"/>
      <c r="AK15" s="100"/>
      <c r="AL15" s="100"/>
      <c r="AM15" s="100"/>
    </row>
    <row r="16" ht="14.25" customHeight="1" outlineLevel="3">
      <c r="A16" s="195"/>
      <c r="B16" s="201"/>
      <c r="C16" s="201"/>
      <c r="D16" s="201"/>
      <c r="E16" s="273" t="s">
        <v>913</v>
      </c>
      <c r="F16" s="123" t="s">
        <v>135</v>
      </c>
      <c r="G16" s="123" t="s">
        <v>914</v>
      </c>
      <c r="H16" s="274">
        <f>IFERROR(caltoccuterchf*surterchfpet*(1/ceeterchfpet),)</f>
        <v>0</v>
      </c>
      <c r="I16" s="274">
        <f>IFERROR(caltoccuterchf*surterchfpet*(1/ceeterchfpet),)</f>
        <v>7.866070792</v>
      </c>
      <c r="J16" s="274">
        <f>IFERROR(caltoccuterchf*surterchfpet*(1/ceeterchfpet),)</f>
        <v>10.51988461</v>
      </c>
      <c r="K16" s="274">
        <f>IFERROR(caltoccuterchf*surterchfpet*(1/ceeterchfpet),)</f>
        <v>12.72801353</v>
      </c>
      <c r="L16" s="274">
        <f>IFERROR(caltoccuterchf*surterchfpet*(1/ceeterchfpet),)</f>
        <v>12.44440754</v>
      </c>
      <c r="M16" s="274">
        <f>IFERROR(caltoccuterchf*surterchfpet*(1/ceeterchfpet),)</f>
        <v>12.51145045</v>
      </c>
      <c r="N16" s="274">
        <f>IFERROR(caltoccuterchf*surterchfpet*(1/ceeterchfpet),)</f>
        <v>10.63838436</v>
      </c>
      <c r="O16" s="274">
        <f>IFERROR(caltoccuterchf*surterchfpet*(1/ceeterchfpet),)</f>
        <v>8.797250237</v>
      </c>
      <c r="P16" s="274">
        <f>IFERROR(caltoccuterchf*surterchfpet*(1/ceeterchfpet),)</f>
        <v>11.161006</v>
      </c>
      <c r="Q16" s="274">
        <f>IFERROR(caltoccuterchf*surterchfpet*(1/ceeterchfpet),)</f>
        <v>8.975847175</v>
      </c>
      <c r="R16" s="274">
        <f>IFERROR(caltoccuterchf*surterchfpet*(1/ceeterchfpet),)</f>
        <v>9.982911326</v>
      </c>
      <c r="S16" s="274">
        <f>IFERROR(caltoccuterchf*surterchfpet*(1/ceeterchfpet),)</f>
        <v>8.293900479</v>
      </c>
      <c r="T16" s="274">
        <f>IFERROR(caltoccuterchf*surterchfpet*(1/ceeterchfpet),)</f>
        <v>8.252569596</v>
      </c>
      <c r="U16" s="274">
        <f>IFERROR(caltoccuterchf*surterchfpet*(1/ceeterchfpet),)</f>
        <v>9.164007398</v>
      </c>
      <c r="V16" s="274">
        <f>IFERROR(caltoccuterchf*surterchfpet*(1/ceeterchfpet),)</f>
        <v>6.964955264</v>
      </c>
      <c r="W16" s="274">
        <f>IFERROR(caltoccuterchf*surterchfpet*(1/ceeterchfpet),)</f>
        <v>8.481493177</v>
      </c>
      <c r="X16" s="274" t="str">
        <f>IFERROR(caltoccuterchf*surterchfpet*(1/ceeterchfpet),)</f>
        <v/>
      </c>
      <c r="Y16" s="274" t="str">
        <f>IFERROR(caltoccuterchf*surterchfpet*(1/ceeterchfpet),)</f>
        <v/>
      </c>
      <c r="Z16" s="274" t="str">
        <f>IFERROR(caltoccuterchf*surterchfpet*(1/ceeterchfpet),)</f>
        <v/>
      </c>
      <c r="AA16" s="274" t="str">
        <f>IFERROR(caltoccuterchf*surterchfpet*(1/ceeterchfpet),)</f>
        <v/>
      </c>
      <c r="AB16" s="274" t="str">
        <f>IFERROR(caltoccuterchf*surterchfpet*(1/ceeterchfpet),)</f>
        <v/>
      </c>
      <c r="AC16" s="274" t="str">
        <f>IFERROR(caltoccuterchf*surterchfpet*(1/ceeterchfpet),)</f>
        <v/>
      </c>
      <c r="AD16" s="274" t="str">
        <f>IFERROR(caltoccuterchf*surterchfpet*(1/ceeterchfpet),)</f>
        <v/>
      </c>
      <c r="AE16" s="274" t="str">
        <f>IFERROR(caltoccuterchf*surterchfpet*(1/ceeterchfpet),)</f>
        <v/>
      </c>
      <c r="AF16" s="274" t="str">
        <f>IFERROR(caltoccuterchf*surterchfpet*(1/ceeterchfpet),)</f>
        <v/>
      </c>
      <c r="AG16" s="274" t="str">
        <f>IFERROR(caltoccuterchf*surterchfpet*(1/ceeterchfpet),)</f>
        <v/>
      </c>
      <c r="AH16" s="274" t="str">
        <f>IFERROR(caltoccuterchf*surterchfpet*(1/ceeterchfpet),)</f>
        <v/>
      </c>
      <c r="AI16" s="318"/>
      <c r="AJ16" s="100"/>
      <c r="AK16" s="100"/>
      <c r="AL16" s="100"/>
      <c r="AM16" s="100"/>
    </row>
    <row r="17" ht="14.25" customHeight="1" outlineLevel="3">
      <c r="A17" s="195"/>
      <c r="B17" s="201"/>
      <c r="C17" s="201"/>
      <c r="D17" s="201"/>
      <c r="E17" s="273" t="s">
        <v>915</v>
      </c>
      <c r="F17" s="123" t="s">
        <v>135</v>
      </c>
      <c r="G17" s="123" t="s">
        <v>916</v>
      </c>
      <c r="H17" s="274">
        <f>IFERROR(caltoccuterchf*surterchfgaz*(1/ceeterchfgaz),)</f>
        <v>0</v>
      </c>
      <c r="I17" s="274">
        <f>IFERROR(caltoccuterchf*surterchfgaz*(1/ceeterchfgaz),)</f>
        <v>14.62390289</v>
      </c>
      <c r="J17" s="274">
        <f>IFERROR(caltoccuterchf*surterchfgaz*(1/ceeterchfgaz),)</f>
        <v>13.68780626</v>
      </c>
      <c r="K17" s="274">
        <f>IFERROR(caltoccuterchf*surterchfgaz*(1/ceeterchfgaz),)</f>
        <v>14.70623638</v>
      </c>
      <c r="L17" s="274">
        <f>IFERROR(caltoccuterchf*surterchfgaz*(1/ceeterchfgaz),)</f>
        <v>15.14300934</v>
      </c>
      <c r="M17" s="274">
        <f>IFERROR(caltoccuterchf*surterchfgaz*(1/ceeterchfgaz),)</f>
        <v>15.25446658</v>
      </c>
      <c r="N17" s="274">
        <f>IFERROR(caltoccuterchf*surterchfgaz*(1/ceeterchfgaz),)</f>
        <v>14.61006653</v>
      </c>
      <c r="O17" s="274">
        <f>IFERROR(caltoccuterchf*surterchfgaz*(1/ceeterchfgaz),)</f>
        <v>11.29396569</v>
      </c>
      <c r="P17" s="274">
        <f>IFERROR(caltoccuterchf*surterchfgaz*(1/ceeterchfgaz),)</f>
        <v>15.19708872</v>
      </c>
      <c r="Q17" s="274">
        <f>IFERROR(caltoccuterchf*surterchfgaz*(1/ceeterchfgaz),)</f>
        <v>15.80891903</v>
      </c>
      <c r="R17" s="274">
        <f>IFERROR(caltoccuterchf*surterchfgaz*(1/ceeterchfgaz),)</f>
        <v>17.89998025</v>
      </c>
      <c r="S17" s="274">
        <f>IFERROR(caltoccuterchf*surterchfgaz*(1/ceeterchfgaz),)</f>
        <v>13.99380864</v>
      </c>
      <c r="T17" s="274">
        <f>IFERROR(caltoccuterchf*surterchfgaz*(1/ceeterchfgaz),)</f>
        <v>15.38224663</v>
      </c>
      <c r="U17" s="274">
        <f>IFERROR(caltoccuterchf*surterchfgaz*(1/ceeterchfgaz),)</f>
        <v>18.03305063</v>
      </c>
      <c r="V17" s="274">
        <f>IFERROR(caltoccuterchf*surterchfgaz*(1/ceeterchfgaz),)</f>
        <v>13.29185243</v>
      </c>
      <c r="W17" s="274">
        <f>IFERROR(caltoccuterchf*surterchfgaz*(1/ceeterchfgaz),)</f>
        <v>15.31858591</v>
      </c>
      <c r="X17" s="274" t="str">
        <f>IFERROR(caltoccuterchf*surterchfgaz*(1/ceeterchfgaz),)</f>
        <v/>
      </c>
      <c r="Y17" s="274" t="str">
        <f>IFERROR(caltoccuterchf*surterchfgaz*(1/ceeterchfgaz),)</f>
        <v/>
      </c>
      <c r="Z17" s="274" t="str">
        <f>IFERROR(caltoccuterchf*surterchfgaz*(1/ceeterchfgaz),)</f>
        <v/>
      </c>
      <c r="AA17" s="274" t="str">
        <f>IFERROR(caltoccuterchf*surterchfgaz*(1/ceeterchfgaz),)</f>
        <v/>
      </c>
      <c r="AB17" s="274" t="str">
        <f>IFERROR(caltoccuterchf*surterchfgaz*(1/ceeterchfgaz),)</f>
        <v/>
      </c>
      <c r="AC17" s="274" t="str">
        <f>IFERROR(caltoccuterchf*surterchfgaz*(1/ceeterchfgaz),)</f>
        <v/>
      </c>
      <c r="AD17" s="274" t="str">
        <f>IFERROR(caltoccuterchf*surterchfgaz*(1/ceeterchfgaz),)</f>
        <v/>
      </c>
      <c r="AE17" s="274" t="str">
        <f>IFERROR(caltoccuterchf*surterchfgaz*(1/ceeterchfgaz),)</f>
        <v/>
      </c>
      <c r="AF17" s="274" t="str">
        <f>IFERROR(caltoccuterchf*surterchfgaz*(1/ceeterchfgaz),)</f>
        <v/>
      </c>
      <c r="AG17" s="274" t="str">
        <f>IFERROR(caltoccuterchf*surterchfgaz*(1/ceeterchfgaz),)</f>
        <v/>
      </c>
      <c r="AH17" s="274" t="str">
        <f>IFERROR(caltoccuterchf*surterchfgaz*(1/ceeterchfgaz),)</f>
        <v/>
      </c>
      <c r="AI17" s="318"/>
      <c r="AJ17" s="100"/>
      <c r="AK17" s="100"/>
      <c r="AL17" s="100"/>
      <c r="AM17" s="100"/>
    </row>
    <row r="18" ht="14.25" customHeight="1" outlineLevel="3">
      <c r="A18" s="195"/>
      <c r="B18" s="201"/>
      <c r="C18" s="201"/>
      <c r="D18" s="201"/>
      <c r="E18" s="273" t="s">
        <v>917</v>
      </c>
      <c r="F18" s="123" t="s">
        <v>135</v>
      </c>
      <c r="G18" s="123" t="s">
        <v>918</v>
      </c>
      <c r="H18" s="274">
        <f>IFERROR(caltoccuterchf*(surterchfele*(1/ceeterchfele)+surterchfpac*(1/ceeterchfpac)),)</f>
        <v>0</v>
      </c>
      <c r="I18" s="274">
        <f>IFERROR(caltoccuterchf*(surterchfele*(1/ceeterchfele)+surterchfpac*(1/ceeterchfpac)),)</f>
        <v>2.374090386</v>
      </c>
      <c r="J18" s="274">
        <f>IFERROR(caltoccuterchf*(surterchfele*(1/ceeterchfele)+surterchfpac*(1/ceeterchfpac)),)</f>
        <v>0.6500132667</v>
      </c>
      <c r="K18" s="274">
        <f>IFERROR(caltoccuterchf*(surterchfele*(1/ceeterchfele)+surterchfpac*(1/ceeterchfpac)),)</f>
        <v>0.41921638</v>
      </c>
      <c r="L18" s="274">
        <f>IFERROR(caltoccuterchf*(surterchfele*(1/ceeterchfele)+surterchfpac*(1/ceeterchfpac)),)</f>
        <v>0.4131265754</v>
      </c>
      <c r="M18" s="274">
        <f>IFERROR(caltoccuterchf*(surterchfele*(1/ceeterchfele)+surterchfpac*(1/ceeterchfpac)),)</f>
        <v>0.5947041986</v>
      </c>
      <c r="N18" s="274">
        <f>IFERROR(caltoccuterchf*(surterchfele*(1/ceeterchfele)+surterchfpac*(1/ceeterchfpac)),)</f>
        <v>3.844547105</v>
      </c>
      <c r="O18" s="274">
        <f>IFERROR(caltoccuterchf*(surterchfele*(1/ceeterchfele)+surterchfpac*(1/ceeterchfpac)),)</f>
        <v>3.902518994</v>
      </c>
      <c r="P18" s="274">
        <f>IFERROR(caltoccuterchf*(surterchfele*(1/ceeterchfele)+surterchfpac*(1/ceeterchfpac)),)</f>
        <v>6.132174204</v>
      </c>
      <c r="Q18" s="274">
        <f>IFERROR(caltoccuterchf*(surterchfele*(1/ceeterchfele)+surterchfpac*(1/ceeterchfpac)),)</f>
        <v>6.794953861</v>
      </c>
      <c r="R18" s="274">
        <f>IFERROR(caltoccuterchf*(surterchfele*(1/ceeterchfele)+surterchfpac*(1/ceeterchfpac)),)</f>
        <v>7.09772189</v>
      </c>
      <c r="S18" s="274">
        <f>IFERROR(caltoccuterchf*(surterchfele*(1/ceeterchfele)+surterchfpac*(1/ceeterchfpac)),)</f>
        <v>6.094565999</v>
      </c>
      <c r="T18" s="274">
        <f>IFERROR(caltoccuterchf*(surterchfele*(1/ceeterchfele)+surterchfpac*(1/ceeterchfpac)),)</f>
        <v>6.14585578</v>
      </c>
      <c r="U18" s="274">
        <f>IFERROR(caltoccuterchf*(surterchfele*(1/ceeterchfele)+surterchfpac*(1/ceeterchfpac)),)</f>
        <v>6.405451004</v>
      </c>
      <c r="V18" s="274">
        <f>IFERROR(caltoccuterchf*(surterchfele*(1/ceeterchfele)+surterchfpac*(1/ceeterchfpac)),)</f>
        <v>5.496299339</v>
      </c>
      <c r="W18" s="274">
        <f>IFERROR(caltoccuterchf*(surterchfele*(1/ceeterchfele)+surterchfpac*(1/ceeterchfpac)),)</f>
        <v>5.751947541</v>
      </c>
      <c r="X18" s="274" t="str">
        <f>IFERROR(caltoccuterchf*(surterchfele*(1/ceeterchfele)+surterchfpac*(1/ceeterchfpac)),)</f>
        <v/>
      </c>
      <c r="Y18" s="274" t="str">
        <f>IFERROR(caltoccuterchf*(surterchfele*(1/ceeterchfele)+surterchfpac*(1/ceeterchfpac)),)</f>
        <v/>
      </c>
      <c r="Z18" s="274" t="str">
        <f>IFERROR(caltoccuterchf*(surterchfele*(1/ceeterchfele)+surterchfpac*(1/ceeterchfpac)),)</f>
        <v/>
      </c>
      <c r="AA18" s="274" t="str">
        <f>IFERROR(caltoccuterchf*(surterchfele*(1/ceeterchfele)+surterchfpac*(1/ceeterchfpac)),)</f>
        <v/>
      </c>
      <c r="AB18" s="274" t="str">
        <f>IFERROR(caltoccuterchf*(surterchfele*(1/ceeterchfele)+surterchfpac*(1/ceeterchfpac)),)</f>
        <v/>
      </c>
      <c r="AC18" s="274" t="str">
        <f>IFERROR(caltoccuterchf*(surterchfele*(1/ceeterchfele)+surterchfpac*(1/ceeterchfpac)),)</f>
        <v/>
      </c>
      <c r="AD18" s="274" t="str">
        <f>IFERROR(caltoccuterchf*(surterchfele*(1/ceeterchfele)+surterchfpac*(1/ceeterchfpac)),)</f>
        <v/>
      </c>
      <c r="AE18" s="274" t="str">
        <f>IFERROR(caltoccuterchf*(surterchfele*(1/ceeterchfele)+surterchfpac*(1/ceeterchfpac)),)</f>
        <v/>
      </c>
      <c r="AF18" s="274" t="str">
        <f>IFERROR(caltoccuterchf*(surterchfele*(1/ceeterchfele)+surterchfpac*(1/ceeterchfpac)),)</f>
        <v/>
      </c>
      <c r="AG18" s="274" t="str">
        <f>IFERROR(caltoccuterchf*(surterchfele*(1/ceeterchfele)+surterchfpac*(1/ceeterchfpac)),)</f>
        <v/>
      </c>
      <c r="AH18" s="274" t="str">
        <f>IFERROR(caltoccuterchf*(surterchfele*(1/ceeterchfele)+surterchfpac*(1/ceeterchfpac)),)</f>
        <v/>
      </c>
      <c r="AI18" s="318" t="s">
        <v>1155</v>
      </c>
      <c r="AJ18" s="100"/>
      <c r="AK18" s="100"/>
      <c r="AL18" s="100"/>
      <c r="AM18" s="100"/>
    </row>
    <row r="19" ht="14.25" customHeight="1" outlineLevel="3">
      <c r="A19" s="195"/>
      <c r="B19" s="201"/>
      <c r="C19" s="201"/>
      <c r="D19" s="201"/>
      <c r="E19" s="273" t="s">
        <v>919</v>
      </c>
      <c r="F19" s="123" t="s">
        <v>135</v>
      </c>
      <c r="G19" s="123" t="s">
        <v>920</v>
      </c>
      <c r="H19" s="274">
        <f>IFERROR(caltoccuterchf*surterchfvap*(1/ceeterchfvap),)</f>
        <v>0</v>
      </c>
      <c r="I19" s="274">
        <f>IFERROR(caltoccuterchf*surterchfvap*(1/ceeterchfvap),)</f>
        <v>0.4705249371</v>
      </c>
      <c r="J19" s="274">
        <f>IFERROR(caltoccuterchf*surterchfvap*(1/ceeterchfvap),)</f>
        <v>0.4482207539</v>
      </c>
      <c r="K19" s="274">
        <f>IFERROR(caltoccuterchf*surterchfvap*(1/ceeterchfvap),)</f>
        <v>0.4593450249</v>
      </c>
      <c r="L19" s="274">
        <f>IFERROR(caltoccuterchf*surterchfvap*(1/ceeterchfvap),)</f>
        <v>1.07340163</v>
      </c>
      <c r="M19" s="274">
        <f>IFERROR(caltoccuterchf*surterchfvap*(1/ceeterchfvap),)</f>
        <v>0.4182693849</v>
      </c>
      <c r="N19" s="274">
        <f>IFERROR(caltoccuterchf*surterchfvap*(1/ceeterchfvap),)</f>
        <v>0.5109820575</v>
      </c>
      <c r="O19" s="274">
        <f>IFERROR(caltoccuterchf*surterchfvap*(1/ceeterchfvap),)</f>
        <v>0.4869360728</v>
      </c>
      <c r="P19" s="274">
        <f>IFERROR(caltoccuterchf*surterchfvap*(1/ceeterchfvap),)</f>
        <v>0.7139026991</v>
      </c>
      <c r="Q19" s="274">
        <f>IFERROR(caltoccuterchf*surterchfvap*(1/ceeterchfvap),)</f>
        <v>0.7061691045</v>
      </c>
      <c r="R19" s="274">
        <f>IFERROR(caltoccuterchf*surterchfvap*(1/ceeterchfvap),)</f>
        <v>0.7742078054</v>
      </c>
      <c r="S19" s="274">
        <f>IFERROR(caltoccuterchf*surterchfvap*(1/ceeterchfvap),)</f>
        <v>0.8834686494</v>
      </c>
      <c r="T19" s="274">
        <f>IFERROR(caltoccuterchf*surterchfvap*(1/ceeterchfvap),)</f>
        <v>0.4473061794</v>
      </c>
      <c r="U19" s="274">
        <f>IFERROR(caltoccuterchf*surterchfvap*(1/ceeterchfvap),)</f>
        <v>0.6707213357</v>
      </c>
      <c r="V19" s="274">
        <f>IFERROR(caltoccuterchf*surterchfvap*(1/ceeterchfvap),)</f>
        <v>0.6856023765</v>
      </c>
      <c r="W19" s="274">
        <f>IFERROR(caltoccuterchf*surterchfvap*(1/ceeterchfvap),)</f>
        <v>0.6647056309</v>
      </c>
      <c r="X19" s="274" t="str">
        <f>IFERROR(caltoccuterchf*surterchfvap*(1/ceeterchfvap),)</f>
        <v/>
      </c>
      <c r="Y19" s="274" t="str">
        <f>IFERROR(caltoccuterchf*surterchfvap*(1/ceeterchfvap),)</f>
        <v/>
      </c>
      <c r="Z19" s="274" t="str">
        <f>IFERROR(caltoccuterchf*surterchfvap*(1/ceeterchfvap),)</f>
        <v/>
      </c>
      <c r="AA19" s="274" t="str">
        <f>IFERROR(caltoccuterchf*surterchfvap*(1/ceeterchfvap),)</f>
        <v/>
      </c>
      <c r="AB19" s="274" t="str">
        <f>IFERROR(caltoccuterchf*surterchfvap*(1/ceeterchfvap),)</f>
        <v/>
      </c>
      <c r="AC19" s="274" t="str">
        <f>IFERROR(caltoccuterchf*surterchfvap*(1/ceeterchfvap),)</f>
        <v/>
      </c>
      <c r="AD19" s="274" t="str">
        <f>IFERROR(caltoccuterchf*surterchfvap*(1/ceeterchfvap),)</f>
        <v/>
      </c>
      <c r="AE19" s="274" t="str">
        <f>IFERROR(caltoccuterchf*surterchfvap*(1/ceeterchfvap),)</f>
        <v/>
      </c>
      <c r="AF19" s="274" t="str">
        <f>IFERROR(caltoccuterchf*surterchfvap*(1/ceeterchfvap),)</f>
        <v/>
      </c>
      <c r="AG19" s="274" t="str">
        <f>IFERROR(caltoccuterchf*surterchfvap*(1/ceeterchfvap),)</f>
        <v/>
      </c>
      <c r="AH19" s="274" t="str">
        <f>IFERROR(caltoccuterchf*surterchfvap*(1/ceeterchfvap),)</f>
        <v/>
      </c>
      <c r="AI19" s="318"/>
      <c r="AJ19" s="100"/>
      <c r="AK19" s="100"/>
      <c r="AL19" s="100"/>
      <c r="AM19" s="100"/>
    </row>
    <row r="20" ht="14.25" customHeight="1" outlineLevel="3">
      <c r="A20" s="195"/>
      <c r="B20" s="201"/>
      <c r="C20" s="201"/>
      <c r="D20" s="201"/>
      <c r="E20" s="273" t="s">
        <v>921</v>
      </c>
      <c r="F20" s="123" t="s">
        <v>135</v>
      </c>
      <c r="G20" s="123" t="s">
        <v>922</v>
      </c>
      <c r="H20" s="274">
        <f>IFERROR(caltoccuterchf*surterchfpac*(1-1/ceeterchfpac),)</f>
        <v>0</v>
      </c>
      <c r="I20" s="274">
        <f>IFERROR(caltoccuterchf*surterchfpac*(1-1/ceeterchfpac),)</f>
        <v>0.008856742622</v>
      </c>
      <c r="J20" s="274">
        <f>IFERROR(caltoccuterchf*surterchfpac*(1-1/ceeterchfpac),)</f>
        <v>0.008954485816</v>
      </c>
      <c r="K20" s="274">
        <f>IFERROR(caltoccuterchf*surterchfpac*(1-1/ceeterchfpac),)</f>
        <v>0.01042037416</v>
      </c>
      <c r="L20" s="274">
        <f>IFERROR(caltoccuterchf*surterchfpac*(1-1/ceeterchfpac),)</f>
        <v>0.01263197092</v>
      </c>
      <c r="M20" s="274">
        <f>IFERROR(caltoccuterchf*surterchfpac*(1-1/ceeterchfpac),)</f>
        <v>0.02018915929</v>
      </c>
      <c r="N20" s="274">
        <f>IFERROR(caltoccuterchf*surterchfpac*(1-1/ceeterchfpac),)</f>
        <v>0.1325498415</v>
      </c>
      <c r="O20" s="274">
        <f>IFERROR(caltoccuterchf*surterchfpac*(1-1/ceeterchfpac),)</f>
        <v>0.1516931572</v>
      </c>
      <c r="P20" s="274">
        <f>IFERROR(caltoccuterchf*surterchfpac*(1-1/ceeterchfpac),)</f>
        <v>0.2608287116</v>
      </c>
      <c r="Q20" s="274">
        <f>IFERROR(caltoccuterchf*surterchfpac*(1-1/ceeterchfpac),)</f>
        <v>0.3070043386</v>
      </c>
      <c r="R20" s="274">
        <f>IFERROR(caltoccuterchf*surterchfpac*(1-1/ceeterchfpac),)</f>
        <v>0.3678695214</v>
      </c>
      <c r="S20" s="274">
        <f>IFERROR(caltoccuterchf*surterchfpac*(1-1/ceeterchfpac),)</f>
        <v>0.4076569579</v>
      </c>
      <c r="T20" s="274">
        <f>IFERROR(caltoccuterchf*surterchfpac*(1-1/ceeterchfpac),)</f>
        <v>0.5604471416</v>
      </c>
      <c r="U20" s="274">
        <f>IFERROR(caltoccuterchf*surterchfpac*(1-1/ceeterchfpac),)</f>
        <v>0.8336334222</v>
      </c>
      <c r="V20" s="274">
        <f>IFERROR(caltoccuterchf*surterchfpac*(1-1/ceeterchfpac),)</f>
        <v>1.203140969</v>
      </c>
      <c r="W20" s="274">
        <f>IFERROR(caltoccuterchf*surterchfpac*(1-1/ceeterchfpac),)</f>
        <v>1.927746585</v>
      </c>
      <c r="X20" s="274" t="str">
        <f>IFERROR(caltoccuterchf*surterchfpac*(1-1/ceeterchfpac),)</f>
        <v/>
      </c>
      <c r="Y20" s="274" t="str">
        <f>IFERROR(caltoccuterchf*surterchfpac*(1-1/ceeterchfpac),)</f>
        <v/>
      </c>
      <c r="Z20" s="274" t="str">
        <f>IFERROR(caltoccuterchf*surterchfpac*(1-1/ceeterchfpac),)</f>
        <v/>
      </c>
      <c r="AA20" s="274" t="str">
        <f>IFERROR(caltoccuterchf*surterchfpac*(1-1/ceeterchfpac),)</f>
        <v/>
      </c>
      <c r="AB20" s="274" t="str">
        <f>IFERROR(caltoccuterchf*surterchfpac*(1-1/ceeterchfpac),)</f>
        <v/>
      </c>
      <c r="AC20" s="274" t="str">
        <f>IFERROR(caltoccuterchf*surterchfpac*(1-1/ceeterchfpac),)</f>
        <v/>
      </c>
      <c r="AD20" s="274" t="str">
        <f>IFERROR(caltoccuterchf*surterchfpac*(1-1/ceeterchfpac),)</f>
        <v/>
      </c>
      <c r="AE20" s="274" t="str">
        <f>IFERROR(caltoccuterchf*surterchfpac*(1-1/ceeterchfpac),)</f>
        <v/>
      </c>
      <c r="AF20" s="274" t="str">
        <f>IFERROR(caltoccuterchf*surterchfpac*(1-1/ceeterchfpac),)</f>
        <v/>
      </c>
      <c r="AG20" s="274" t="str">
        <f>IFERROR(caltoccuterchf*surterchfpac*(1-1/ceeterchfpac),)</f>
        <v/>
      </c>
      <c r="AH20" s="274" t="str">
        <f>IFERROR(caltoccuterchf*surterchfpac*(1-1/ceeterchfpac),)</f>
        <v/>
      </c>
      <c r="AI20" s="318" t="s">
        <v>661</v>
      </c>
      <c r="AJ20" s="100"/>
      <c r="AK20" s="100"/>
      <c r="AL20" s="100"/>
      <c r="AM20" s="100"/>
    </row>
    <row r="21" ht="14.25" customHeight="1" outlineLevel="3">
      <c r="A21" s="195"/>
      <c r="B21" s="201"/>
      <c r="C21" s="201"/>
      <c r="D21" s="201"/>
      <c r="E21" s="273" t="s">
        <v>923</v>
      </c>
      <c r="F21" s="123" t="s">
        <v>135</v>
      </c>
      <c r="G21" s="123" t="s">
        <v>924</v>
      </c>
      <c r="H21" s="274">
        <f>k*cseterchfsth*M*surter*surterchfsth/T</f>
        <v>0</v>
      </c>
      <c r="I21" s="274">
        <f>k*cseterchfsth*M*surter*surterchfsth/T</f>
        <v>0</v>
      </c>
      <c r="J21" s="274">
        <f>k*cseterchfsth*M*surter*surterchfsth/T</f>
        <v>0</v>
      </c>
      <c r="K21" s="274">
        <f>k*cseterchfsth*M*surter*surterchfsth/T</f>
        <v>0</v>
      </c>
      <c r="L21" s="274">
        <f>k*cseterchfsth*M*surter*surterchfsth/T</f>
        <v>0</v>
      </c>
      <c r="M21" s="274">
        <f>k*cseterchfsth*M*surter*surterchfsth/T</f>
        <v>0</v>
      </c>
      <c r="N21" s="274">
        <f>k*cseterchfsth*M*surter*surterchfsth/T</f>
        <v>0</v>
      </c>
      <c r="O21" s="274">
        <f>k*cseterchfsth*M*surter*surterchfsth/T</f>
        <v>0</v>
      </c>
      <c r="P21" s="274">
        <f>k*cseterchfsth*M*surter*surterchfsth/T</f>
        <v>0</v>
      </c>
      <c r="Q21" s="274">
        <f>k*cseterchfsth*M*surter*surterchfsth/T</f>
        <v>0</v>
      </c>
      <c r="R21" s="274">
        <f>k*cseterchfsth*M*surter*surterchfsth/T</f>
        <v>0</v>
      </c>
      <c r="S21" s="274">
        <f>k*cseterchfsth*M*surter*surterchfsth/T</f>
        <v>0</v>
      </c>
      <c r="T21" s="274">
        <f>k*cseterchfsth*M*surter*surterchfsth/T</f>
        <v>0</v>
      </c>
      <c r="U21" s="274">
        <f>k*cseterchfsth*M*surter*surterchfsth/T</f>
        <v>0</v>
      </c>
      <c r="V21" s="274">
        <f>k*cseterchfsth*M*surter*surterchfsth/T</f>
        <v>0</v>
      </c>
      <c r="W21" s="274">
        <f>k*cseterchfsth*M*surter*surterchfsth/T</f>
        <v>0</v>
      </c>
      <c r="X21" s="274">
        <f>k*cseterchfsth*M*surter*surterchfsth/T</f>
        <v>0</v>
      </c>
      <c r="Y21" s="274">
        <f>k*cseterchfsth*M*surter*surterchfsth/T</f>
        <v>0</v>
      </c>
      <c r="Z21" s="274">
        <f>k*cseterchfsth*M*surter*surterchfsth/T</f>
        <v>0</v>
      </c>
      <c r="AA21" s="274">
        <f>k*cseterchfsth*M*surter*surterchfsth/T</f>
        <v>0</v>
      </c>
      <c r="AB21" s="274">
        <f>k*cseterchfsth*M*surter*surterchfsth/T</f>
        <v>0</v>
      </c>
      <c r="AC21" s="274">
        <f>k*cseterchfsth*M*surter*surterchfsth/T</f>
        <v>0</v>
      </c>
      <c r="AD21" s="274">
        <f>k*cseterchfsth*M*surter*surterchfsth/T</f>
        <v>0</v>
      </c>
      <c r="AE21" s="274">
        <f>k*cseterchfsth*M*surter*surterchfsth/T</f>
        <v>0</v>
      </c>
      <c r="AF21" s="274">
        <f>k*cseterchfsth*M*surter*surterchfsth/T</f>
        <v>0</v>
      </c>
      <c r="AG21" s="274">
        <f>k*cseterchfsth*M*surter*surterchfsth/T</f>
        <v>0</v>
      </c>
      <c r="AH21" s="274">
        <f>k*cseterchfsth*M*surter*surterchfsth/T</f>
        <v>0</v>
      </c>
      <c r="AI21" s="318"/>
      <c r="AJ21" s="100"/>
      <c r="AK21" s="100"/>
      <c r="AL21" s="100"/>
      <c r="AM21" s="100"/>
    </row>
    <row r="22" ht="14.25" customHeight="1" outlineLevel="3">
      <c r="A22" s="100"/>
      <c r="B22" s="100"/>
      <c r="C22" s="100"/>
      <c r="D22" s="100"/>
      <c r="E22" s="273" t="s">
        <v>1156</v>
      </c>
      <c r="F22" s="123" t="s">
        <v>365</v>
      </c>
      <c r="G22" s="123" t="s">
        <v>926</v>
      </c>
      <c r="H22" s="274">
        <f>IFERROR(T*caltoccfterchf/(k*pop)/k,)</f>
        <v>0</v>
      </c>
      <c r="I22" s="274">
        <f>IFERROR(T*caltoccfterchf/(k*pop)/k,)</f>
        <v>2469.299762</v>
      </c>
      <c r="J22" s="274">
        <f>IFERROR(T*caltoccfterchf/(k*pop)/k,)</f>
        <v>2455.436917</v>
      </c>
      <c r="K22" s="274">
        <f>IFERROR(T*caltoccfterchf/(k*pop)/k,)</f>
        <v>2734.99984</v>
      </c>
      <c r="L22" s="274">
        <f>IFERROR(T*caltoccfterchf/(k*pop)/k,)</f>
        <v>2802.111987</v>
      </c>
      <c r="M22" s="274">
        <f>IFERROR(T*caltoccfterchf/(k*pop)/k,)</f>
        <v>2762.519117</v>
      </c>
      <c r="N22" s="274">
        <f>IFERROR(T*caltoccfterchf/(k*pop)/k,)</f>
        <v>2834.375327</v>
      </c>
      <c r="O22" s="274">
        <f>IFERROR(T*caltoccfterchf/(k*pop)/k,)</f>
        <v>2332.751112</v>
      </c>
      <c r="P22" s="274">
        <f>IFERROR(T*caltoccfterchf/(k*pop)/k,)</f>
        <v>3139.626159</v>
      </c>
      <c r="Q22" s="274">
        <f>IFERROR(T*caltoccfterchf/(k*pop)/k,)</f>
        <v>3032.505918</v>
      </c>
      <c r="R22" s="274">
        <f>IFERROR(T*caltoccfterchf/(k*pop)/k,)</f>
        <v>3336.128202</v>
      </c>
      <c r="S22" s="274">
        <f>IFERROR(T*caltoccfterchf/(k*pop)/k,)</f>
        <v>2713.922204</v>
      </c>
      <c r="T22" s="274">
        <f>IFERROR(T*caltoccfterchf/(k*pop)/k,)</f>
        <v>2809.020036</v>
      </c>
      <c r="U22" s="274">
        <f>IFERROR(T*caltoccfterchf/(k*pop)/k,)</f>
        <v>3182.57395</v>
      </c>
      <c r="V22" s="274">
        <f>IFERROR(T*caltoccfterchf/(k*pop)/k,)</f>
        <v>2496.788665</v>
      </c>
      <c r="W22" s="274">
        <f>IFERROR(T*caltoccfterchf/(k*pop)/k,)</f>
        <v>2884.955296</v>
      </c>
      <c r="X22" s="274">
        <f>IFERROR(T*caltoccfterchf/(k*pop)/k,)</f>
        <v>0</v>
      </c>
      <c r="Y22" s="274">
        <f>IFERROR(T*caltoccfterchf/(k*pop)/k,)</f>
        <v>0</v>
      </c>
      <c r="Z22" s="274">
        <f>IFERROR(T*caltoccfterchf/(k*pop)/k,)</f>
        <v>0</v>
      </c>
      <c r="AA22" s="274">
        <f>IFERROR(T*caltoccfterchf/(k*pop)/k,)</f>
        <v>0</v>
      </c>
      <c r="AB22" s="274">
        <f>IFERROR(T*caltoccfterchf/(k*pop)/k,)</f>
        <v>0</v>
      </c>
      <c r="AC22" s="274">
        <f>IFERROR(T*caltoccfterchf/(k*pop)/k,)</f>
        <v>0</v>
      </c>
      <c r="AD22" s="274">
        <f>IFERROR(T*caltoccfterchf/(k*pop)/k,)</f>
        <v>0</v>
      </c>
      <c r="AE22" s="274">
        <f>IFERROR(T*caltoccfterchf/(k*pop)/k,)</f>
        <v>0</v>
      </c>
      <c r="AF22" s="274">
        <f>IFERROR(T*caltoccfterchf/(k*pop)/k,)</f>
        <v>0</v>
      </c>
      <c r="AG22" s="274">
        <f>IFERROR(T*caltoccfterchf/(k*pop)/k,)</f>
        <v>0</v>
      </c>
      <c r="AH22" s="274">
        <f>IFERROR(T*caltoccfterchf/(k*pop)/k,)</f>
        <v>0</v>
      </c>
      <c r="AI22" s="204"/>
      <c r="AJ22" s="100"/>
      <c r="AK22" s="100"/>
      <c r="AL22" s="100"/>
      <c r="AM22" s="100"/>
    </row>
    <row r="23" ht="13.5" customHeight="1" outlineLevel="2">
      <c r="A23" s="195"/>
      <c r="B23" s="331" t="s">
        <v>663</v>
      </c>
      <c r="C23" s="246"/>
      <c r="D23" s="201"/>
      <c r="E23" s="162"/>
      <c r="F23" s="162"/>
      <c r="G23" s="162"/>
      <c r="H23" s="178"/>
      <c r="I23" s="178"/>
      <c r="J23" s="178"/>
      <c r="K23" s="178"/>
      <c r="L23" s="178"/>
      <c r="M23" s="178"/>
      <c r="N23" s="178"/>
      <c r="O23" s="178"/>
      <c r="P23" s="178"/>
      <c r="Q23" s="178"/>
      <c r="R23" s="178"/>
      <c r="S23" s="178"/>
      <c r="T23" s="178"/>
      <c r="U23" s="178"/>
      <c r="V23" s="178"/>
      <c r="W23" s="178"/>
      <c r="X23" s="178"/>
      <c r="Y23" s="178"/>
      <c r="Z23" s="178"/>
      <c r="AA23" s="178"/>
      <c r="AB23" s="178"/>
      <c r="AC23" s="178"/>
      <c r="AD23" s="178"/>
      <c r="AE23" s="178"/>
      <c r="AF23" s="178"/>
      <c r="AG23" s="178"/>
      <c r="AH23" s="178"/>
      <c r="AI23" s="162"/>
      <c r="AJ23" s="100"/>
      <c r="AK23" s="100"/>
      <c r="AL23" s="100"/>
      <c r="AM23" s="100"/>
    </row>
    <row r="24" ht="14.25" customHeight="1" outlineLevel="3">
      <c r="A24" s="195"/>
      <c r="B24" s="201"/>
      <c r="C24" s="201"/>
      <c r="D24" s="201"/>
      <c r="E24" s="324" t="s">
        <v>1157</v>
      </c>
      <c r="F24" s="123" t="s">
        <v>264</v>
      </c>
      <c r="G24" s="206"/>
      <c r="H24" s="206"/>
      <c r="I24" s="206"/>
      <c r="J24" s="206"/>
      <c r="K24" s="206"/>
      <c r="L24" s="206"/>
      <c r="M24" s="206"/>
      <c r="N24" s="206"/>
      <c r="O24" s="206"/>
      <c r="P24" s="206"/>
      <c r="Q24" s="206"/>
      <c r="R24" s="206"/>
      <c r="S24" s="206"/>
      <c r="T24" s="206"/>
      <c r="U24" s="206"/>
      <c r="V24" s="206"/>
      <c r="W24" s="8"/>
      <c r="X24" s="8"/>
      <c r="Y24" s="8"/>
      <c r="Z24" s="8"/>
      <c r="AA24" s="8"/>
      <c r="AB24" s="274">
        <f>Tertiary!W9+Tertiary!W12*5</f>
        <v>208.6537881</v>
      </c>
      <c r="AC24" s="274">
        <f>Tertiary!AB9+Tertiary!AB12*5</f>
        <v>0</v>
      </c>
      <c r="AD24" s="274">
        <f>Tertiary!AC9+Tertiary!AC12*5</f>
        <v>0</v>
      </c>
      <c r="AE24" s="274">
        <f>Tertiary!AD9+Tertiary!AD12*5</f>
        <v>0</v>
      </c>
      <c r="AF24" s="274">
        <f>Tertiary!AE9+Tertiary!AE12*5</f>
        <v>0</v>
      </c>
      <c r="AG24" s="274">
        <f>Tertiary!AF9+Tertiary!AF12*5</f>
        <v>0</v>
      </c>
      <c r="AH24" s="274">
        <f>Tertiary!AG9+Tertiary!AG12*5</f>
        <v>0</v>
      </c>
      <c r="AI24" s="318"/>
      <c r="AJ24" s="100"/>
      <c r="AK24" s="100"/>
      <c r="AL24" s="100"/>
      <c r="AM24" s="100"/>
    </row>
    <row r="25" ht="14.25" customHeight="1" outlineLevel="3">
      <c r="A25" s="195"/>
      <c r="B25" s="201"/>
      <c r="C25" s="201"/>
      <c r="D25" s="201"/>
      <c r="E25" s="324" t="s">
        <v>665</v>
      </c>
      <c r="F25" s="123" t="s">
        <v>294</v>
      </c>
      <c r="G25" s="206"/>
      <c r="H25" s="206"/>
      <c r="I25" s="206"/>
      <c r="J25" s="206"/>
      <c r="K25" s="206"/>
      <c r="L25" s="206"/>
      <c r="M25" s="206"/>
      <c r="N25" s="206"/>
      <c r="O25" s="206"/>
      <c r="P25" s="206"/>
      <c r="Q25" s="206"/>
      <c r="R25" s="206"/>
      <c r="S25" s="206"/>
      <c r="T25" s="206"/>
      <c r="U25" s="206"/>
      <c r="V25" s="206"/>
      <c r="W25" s="8"/>
      <c r="X25" s="8"/>
      <c r="Y25" s="8"/>
      <c r="Z25" s="8"/>
      <c r="AA25" s="8"/>
      <c r="AB25" s="274">
        <f t="shared" ref="AB25:AH25" si="2">(AB24-AB4-AB5)/5</f>
        <v>41.73075763</v>
      </c>
      <c r="AC25" s="274">
        <f t="shared" si="2"/>
        <v>0</v>
      </c>
      <c r="AD25" s="274">
        <f t="shared" si="2"/>
        <v>0</v>
      </c>
      <c r="AE25" s="274">
        <f t="shared" si="2"/>
        <v>0</v>
      </c>
      <c r="AF25" s="274">
        <f t="shared" si="2"/>
        <v>0</v>
      </c>
      <c r="AG25" s="274">
        <f t="shared" si="2"/>
        <v>0</v>
      </c>
      <c r="AH25" s="274">
        <f t="shared" si="2"/>
        <v>0</v>
      </c>
      <c r="AI25" s="318"/>
      <c r="AJ25" s="100"/>
      <c r="AK25" s="100"/>
      <c r="AL25" s="100"/>
      <c r="AM25" s="100"/>
    </row>
    <row r="26" ht="13.5" customHeight="1" outlineLevel="2">
      <c r="A26" s="195"/>
      <c r="B26" s="331" t="s">
        <v>666</v>
      </c>
      <c r="C26" s="246"/>
      <c r="D26" s="201"/>
      <c r="E26" s="162"/>
      <c r="F26" s="162"/>
      <c r="G26" s="162"/>
      <c r="H26" s="178"/>
      <c r="I26" s="178"/>
      <c r="J26" s="178"/>
      <c r="K26" s="178"/>
      <c r="L26" s="178"/>
      <c r="M26" s="178"/>
      <c r="N26" s="178"/>
      <c r="O26" s="178"/>
      <c r="P26" s="178"/>
      <c r="Q26" s="178"/>
      <c r="R26" s="178"/>
      <c r="S26" s="178"/>
      <c r="T26" s="178"/>
      <c r="U26" s="178"/>
      <c r="V26" s="178"/>
      <c r="W26" s="178"/>
      <c r="X26" s="8"/>
      <c r="Y26" s="8"/>
      <c r="Z26" s="8"/>
      <c r="AA26" s="8"/>
      <c r="AB26" s="178"/>
      <c r="AC26" s="178"/>
      <c r="AD26" s="178"/>
      <c r="AE26" s="178"/>
      <c r="AF26" s="178"/>
      <c r="AG26" s="178"/>
      <c r="AH26" s="178"/>
      <c r="AI26" s="162"/>
      <c r="AJ26" s="100"/>
      <c r="AK26" s="100"/>
      <c r="AL26" s="100"/>
      <c r="AM26" s="100"/>
    </row>
    <row r="27" ht="14.25" customHeight="1" outlineLevel="3">
      <c r="A27" s="100"/>
      <c r="B27" s="100"/>
      <c r="C27" s="100"/>
      <c r="D27" s="100"/>
      <c r="E27" s="324" t="s">
        <v>667</v>
      </c>
      <c r="F27" s="123" t="s">
        <v>135</v>
      </c>
      <c r="G27" s="206"/>
      <c r="H27" s="207"/>
      <c r="I27" s="207"/>
      <c r="J27" s="207"/>
      <c r="K27" s="207"/>
      <c r="L27" s="207"/>
      <c r="M27" s="207"/>
      <c r="N27" s="207"/>
      <c r="O27" s="207"/>
      <c r="P27" s="207"/>
      <c r="Q27" s="207"/>
      <c r="R27" s="207"/>
      <c r="S27" s="207"/>
      <c r="T27" s="207"/>
      <c r="U27" s="207"/>
      <c r="V27" s="207"/>
      <c r="W27" s="8"/>
      <c r="X27" s="8"/>
      <c r="Y27" s="8"/>
      <c r="Z27" s="8"/>
      <c r="AA27" s="8"/>
      <c r="AB27" s="274">
        <f>($W$10)*5*(1-trvcumter)</f>
        <v>0</v>
      </c>
      <c r="AC27" s="274">
        <f>($W$10+SUM($AB10:AB10))*5*(1-trvcumter)</f>
        <v>0</v>
      </c>
      <c r="AD27" s="274">
        <f>($W$10+SUM($AB10:AC10))*5*(1-trvcumter)</f>
        <v>0</v>
      </c>
      <c r="AE27" s="274">
        <f>($W$10+SUM($AB10:AD10))*5*(1-trvcumter)</f>
        <v>0</v>
      </c>
      <c r="AF27" s="274">
        <f>($W$10+SUM($AB10:AE10))*5*(1-trvcumter)</f>
        <v>0</v>
      </c>
      <c r="AG27" s="274">
        <f>($W$10+SUM($AB10:AF10))*5*(1-trvcumter)</f>
        <v>0</v>
      </c>
      <c r="AH27" s="274">
        <f>($W$10+SUM($AB10:AG10))*5*(1-trvcumter)</f>
        <v>0</v>
      </c>
      <c r="AI27" s="318"/>
      <c r="AJ27" s="100"/>
      <c r="AK27" s="100"/>
      <c r="AL27" s="100"/>
      <c r="AM27" s="100"/>
    </row>
    <row r="28" ht="14.25" customHeight="1" outlineLevel="3">
      <c r="A28" s="100"/>
      <c r="B28" s="100"/>
      <c r="C28" s="100"/>
      <c r="D28" s="100"/>
      <c r="E28" s="324" t="s">
        <v>1158</v>
      </c>
      <c r="F28" s="123" t="s">
        <v>135</v>
      </c>
      <c r="G28" s="206"/>
      <c r="H28" s="207"/>
      <c r="I28" s="207"/>
      <c r="J28" s="207"/>
      <c r="K28" s="207"/>
      <c r="L28" s="207"/>
      <c r="M28" s="207"/>
      <c r="N28" s="207"/>
      <c r="O28" s="207"/>
      <c r="P28" s="207"/>
      <c r="Q28" s="207"/>
      <c r="R28" s="207"/>
      <c r="S28" s="207"/>
      <c r="T28" s="207"/>
      <c r="U28" s="207"/>
      <c r="V28" s="207"/>
      <c r="W28" s="274">
        <f>calcuterexchf-W27</f>
        <v>25.95847662</v>
      </c>
      <c r="X28" s="8"/>
      <c r="Y28" s="8"/>
      <c r="Z28" s="8"/>
      <c r="AA28" s="8"/>
      <c r="AB28" s="274">
        <f>calcuterexchf-AB27</f>
        <v>0</v>
      </c>
      <c r="AC28" s="274">
        <f>calcuterexchf-AC27</f>
        <v>0</v>
      </c>
      <c r="AD28" s="274">
        <f>calcuterexchf-AD27</f>
        <v>0</v>
      </c>
      <c r="AE28" s="274">
        <f>calcuterexchf-AE27</f>
        <v>0</v>
      </c>
      <c r="AF28" s="274">
        <f>calcuterexchf-AF27</f>
        <v>0</v>
      </c>
      <c r="AG28" s="274">
        <f>calcuterexchf-AG27</f>
        <v>0</v>
      </c>
      <c r="AH28" s="274">
        <f>calcuterexchf-AH27</f>
        <v>0</v>
      </c>
      <c r="AI28" s="318"/>
      <c r="AJ28" s="100"/>
      <c r="AK28" s="100"/>
      <c r="AL28" s="100"/>
      <c r="AM28" s="100"/>
    </row>
    <row r="29" ht="14.25" customHeight="1" outlineLevel="3">
      <c r="A29" s="195"/>
      <c r="B29" s="201"/>
      <c r="C29" s="201"/>
      <c r="D29" s="201"/>
      <c r="E29" s="324" t="s">
        <v>669</v>
      </c>
      <c r="F29" s="123" t="s">
        <v>264</v>
      </c>
      <c r="G29" s="206"/>
      <c r="H29" s="207"/>
      <c r="I29" s="207"/>
      <c r="J29" s="207"/>
      <c r="K29" s="207"/>
      <c r="L29" s="207"/>
      <c r="M29" s="207"/>
      <c r="N29" s="207"/>
      <c r="O29" s="207"/>
      <c r="P29" s="207"/>
      <c r="Q29" s="207"/>
      <c r="R29" s="207"/>
      <c r="S29" s="207"/>
      <c r="T29" s="207"/>
      <c r="U29" s="207"/>
      <c r="V29" s="207"/>
      <c r="W29" s="8"/>
      <c r="X29" s="8"/>
      <c r="Y29" s="8"/>
      <c r="Z29" s="8"/>
      <c r="AA29" s="8"/>
      <c r="AB29" s="274">
        <f>IFERROR(__xludf.DUMMYFUNCTION("MIN(Tertiary!$W$12*5*(1-SINGLE(trvcumter)),SINGLE(calsurterexnr))"),0.0)</f>
        <v>0</v>
      </c>
      <c r="AC29" s="274">
        <f>IFERROR(__xludf.DUMMYFUNCTION("MIN((Tertiary!$W$12+SUM(Tertiary!$AB12:AB12))*5*(1-SINGLE(trvcumter)),SINGLE(calsurterexnr))"),0.0)</f>
        <v>0</v>
      </c>
      <c r="AD29" s="274">
        <f>IFERROR(__xludf.DUMMYFUNCTION("MIN((Tertiary!$W$12+SUM(Tertiary!$AB12:AC12))*5*(1-SINGLE(trvcumter)),SINGLE(calsurterexnr))"),0.0)</f>
        <v>0</v>
      </c>
      <c r="AE29" s="274">
        <f>IFERROR(__xludf.DUMMYFUNCTION("MIN((Tertiary!$W$12+SUM(Tertiary!$AB12:AD12))*5*(1-SINGLE(trvcumter)),SINGLE(calsurterexnr))"),0.0)</f>
        <v>0</v>
      </c>
      <c r="AF29" s="274">
        <f>IFERROR(__xludf.DUMMYFUNCTION("MIN((Tertiary!$W$12+SUM(Tertiary!$AB12:AE12))*5*(1-SINGLE(trvcumter)),SINGLE(calsurterexnr))"),0.0)</f>
        <v>0</v>
      </c>
      <c r="AG29" s="274">
        <f>IFERROR(__xludf.DUMMYFUNCTION("MIN((Tertiary!$W$12+SUM(Tertiary!$AB12:AF12))*5*(1-SINGLE(trvcumter)),SINGLE(calsurterexnr))"),0.0)</f>
        <v>0</v>
      </c>
      <c r="AH29" s="274">
        <f>IFERROR(__xludf.DUMMYFUNCTION("MIN((Tertiary!$W$12+SUM(Tertiary!$AB12:AG12))*5*(1-SINGLE(trvcumter)),SINGLE(calsurterexnr))"),0.0)</f>
        <v>0</v>
      </c>
      <c r="AI29" s="318"/>
      <c r="AJ29" s="100"/>
      <c r="AK29" s="100"/>
      <c r="AL29" s="100"/>
      <c r="AM29" s="100"/>
    </row>
    <row r="30" ht="14.25" customHeight="1" outlineLevel="3">
      <c r="A30" s="195"/>
      <c r="B30" s="201"/>
      <c r="C30" s="201"/>
      <c r="D30" s="201"/>
      <c r="E30" s="324" t="s">
        <v>670</v>
      </c>
      <c r="F30" s="123" t="s">
        <v>264</v>
      </c>
      <c r="G30" s="206"/>
      <c r="H30" s="207"/>
      <c r="I30" s="207"/>
      <c r="J30" s="207"/>
      <c r="K30" s="207"/>
      <c r="L30" s="207"/>
      <c r="M30" s="207"/>
      <c r="N30" s="207"/>
      <c r="O30" s="207"/>
      <c r="P30" s="207"/>
      <c r="Q30" s="207"/>
      <c r="R30" s="207"/>
      <c r="S30" s="207"/>
      <c r="T30" s="207"/>
      <c r="U30" s="207"/>
      <c r="V30" s="207"/>
      <c r="W30" s="274">
        <f>calsurterexnr-W29</f>
        <v>182.6842926</v>
      </c>
      <c r="X30" s="8"/>
      <c r="Y30" s="8"/>
      <c r="Z30" s="8"/>
      <c r="AA30" s="8"/>
      <c r="AB30" s="274">
        <f>calsurterexnr-AB29</f>
        <v>0</v>
      </c>
      <c r="AC30" s="274">
        <f>calsurterexnr-AC29</f>
        <v>0</v>
      </c>
      <c r="AD30" s="274">
        <f>calsurterexnr-AD29</f>
        <v>0</v>
      </c>
      <c r="AE30" s="274">
        <f>calsurterexnr-AE29</f>
        <v>0</v>
      </c>
      <c r="AF30" s="274">
        <f>calsurterexnr-AF29</f>
        <v>0</v>
      </c>
      <c r="AG30" s="274">
        <f>calsurterexnr-AG29</f>
        <v>0</v>
      </c>
      <c r="AH30" s="274">
        <f>calsurterexnr-AH29</f>
        <v>0</v>
      </c>
      <c r="AI30" s="318"/>
      <c r="AJ30" s="100"/>
      <c r="AK30" s="100"/>
      <c r="AL30" s="100"/>
      <c r="AM30" s="100"/>
    </row>
    <row r="31" ht="14.25" customHeight="1" outlineLevel="3">
      <c r="A31" s="100"/>
      <c r="B31" s="100"/>
      <c r="C31" s="100"/>
      <c r="D31" s="100"/>
      <c r="E31" s="324" t="s">
        <v>671</v>
      </c>
      <c r="F31" s="123" t="s">
        <v>303</v>
      </c>
      <c r="G31" s="206"/>
      <c r="H31" s="207"/>
      <c r="I31" s="207"/>
      <c r="J31" s="207"/>
      <c r="K31" s="207"/>
      <c r="L31" s="207"/>
      <c r="M31" s="207"/>
      <c r="N31" s="207"/>
      <c r="O31" s="207"/>
      <c r="P31" s="207"/>
      <c r="Q31" s="207"/>
      <c r="R31" s="207"/>
      <c r="S31" s="207"/>
      <c r="T31" s="207"/>
      <c r="U31" s="207"/>
      <c r="V31" s="207"/>
      <c r="W31" s="8"/>
      <c r="X31" s="8"/>
      <c r="Y31" s="8"/>
      <c r="Z31" s="8"/>
      <c r="AA31" s="8"/>
      <c r="AB31" s="274" t="str">
        <f t="shared" ref="AB31:AH31" si="3">IF(AB29&lt;&gt;0,k*AB27/AB29,"")</f>
        <v/>
      </c>
      <c r="AC31" s="274" t="str">
        <f t="shared" si="3"/>
        <v/>
      </c>
      <c r="AD31" s="274" t="str">
        <f t="shared" si="3"/>
        <v/>
      </c>
      <c r="AE31" s="274" t="str">
        <f t="shared" si="3"/>
        <v/>
      </c>
      <c r="AF31" s="274" t="str">
        <f t="shared" si="3"/>
        <v/>
      </c>
      <c r="AG31" s="274" t="str">
        <f t="shared" si="3"/>
        <v/>
      </c>
      <c r="AH31" s="274" t="str">
        <f t="shared" si="3"/>
        <v/>
      </c>
      <c r="AI31" s="318"/>
      <c r="AJ31" s="100"/>
      <c r="AK31" s="100"/>
      <c r="AL31" s="100"/>
      <c r="AM31" s="100"/>
    </row>
    <row r="32" ht="14.25" customHeight="1" outlineLevel="3">
      <c r="A32" s="100"/>
      <c r="B32" s="100"/>
      <c r="C32" s="100"/>
      <c r="D32" s="100"/>
      <c r="E32" s="324" t="s">
        <v>1159</v>
      </c>
      <c r="F32" s="123" t="s">
        <v>303</v>
      </c>
      <c r="G32" s="206"/>
      <c r="H32" s="207"/>
      <c r="I32" s="207"/>
      <c r="J32" s="207"/>
      <c r="K32" s="207"/>
      <c r="L32" s="207"/>
      <c r="M32" s="207"/>
      <c r="N32" s="207"/>
      <c r="O32" s="207"/>
      <c r="P32" s="207"/>
      <c r="Q32" s="207"/>
      <c r="R32" s="207"/>
      <c r="S32" s="207"/>
      <c r="T32" s="207"/>
      <c r="U32" s="207"/>
      <c r="V32" s="207"/>
      <c r="W32" s="274">
        <f>IF(W30&lt;&gt;0,k*W28/W30,"")</f>
        <v>142.0947375</v>
      </c>
      <c r="X32" s="8"/>
      <c r="Y32" s="8"/>
      <c r="Z32" s="8"/>
      <c r="AA32" s="8"/>
      <c r="AB32" s="274" t="str">
        <f t="shared" ref="AB32:AH32" si="4">IF(AB30&lt;&gt;0,k*AB28/AB30,"")</f>
        <v/>
      </c>
      <c r="AC32" s="274" t="str">
        <f t="shared" si="4"/>
        <v/>
      </c>
      <c r="AD32" s="274" t="str">
        <f t="shared" si="4"/>
        <v/>
      </c>
      <c r="AE32" s="274" t="str">
        <f t="shared" si="4"/>
        <v/>
      </c>
      <c r="AF32" s="274" t="str">
        <f t="shared" si="4"/>
        <v/>
      </c>
      <c r="AG32" s="274" t="str">
        <f t="shared" si="4"/>
        <v/>
      </c>
      <c r="AH32" s="274" t="str">
        <f t="shared" si="4"/>
        <v/>
      </c>
      <c r="AI32" s="318"/>
      <c r="AJ32" s="100"/>
      <c r="AK32" s="100"/>
      <c r="AL32" s="100"/>
      <c r="AM32" s="100"/>
    </row>
    <row r="33" ht="13.5" customHeight="1" outlineLevel="2">
      <c r="A33" s="195"/>
      <c r="B33" s="331" t="s">
        <v>673</v>
      </c>
      <c r="C33" s="246"/>
      <c r="D33" s="201"/>
      <c r="E33" s="162"/>
      <c r="F33" s="162"/>
      <c r="G33" s="162"/>
      <c r="H33" s="178"/>
      <c r="I33" s="178"/>
      <c r="J33" s="178"/>
      <c r="K33" s="178"/>
      <c r="L33" s="178"/>
      <c r="M33" s="178"/>
      <c r="N33" s="178"/>
      <c r="O33" s="178"/>
      <c r="P33" s="178"/>
      <c r="Q33" s="178"/>
      <c r="R33" s="178"/>
      <c r="S33" s="178"/>
      <c r="T33" s="178"/>
      <c r="U33" s="178"/>
      <c r="V33" s="178"/>
      <c r="W33" s="178"/>
      <c r="X33" s="178"/>
      <c r="Y33" s="178"/>
      <c r="Z33" s="178"/>
      <c r="AA33" s="178"/>
      <c r="AB33" s="178"/>
      <c r="AC33" s="178"/>
      <c r="AD33" s="178"/>
      <c r="AE33" s="178"/>
      <c r="AF33" s="178"/>
      <c r="AG33" s="178"/>
      <c r="AH33" s="178"/>
      <c r="AI33" s="162"/>
      <c r="AJ33" s="100"/>
      <c r="AK33" s="100"/>
      <c r="AL33" s="100"/>
      <c r="AM33" s="100"/>
    </row>
    <row r="34" ht="13.5" customHeight="1" outlineLevel="2">
      <c r="A34" s="195"/>
      <c r="B34" s="201"/>
      <c r="C34" s="246"/>
      <c r="D34" s="201"/>
      <c r="E34" s="316" t="s">
        <v>674</v>
      </c>
      <c r="F34" s="325" t="s">
        <v>930</v>
      </c>
      <c r="G34" s="162"/>
      <c r="H34" s="178"/>
      <c r="I34" s="178"/>
      <c r="J34" s="178"/>
      <c r="K34" s="178"/>
      <c r="L34" s="178"/>
      <c r="M34" s="178"/>
      <c r="N34" s="178"/>
      <c r="O34" s="178"/>
      <c r="P34" s="178"/>
      <c r="Q34" s="178"/>
      <c r="R34" s="178"/>
      <c r="S34" s="178"/>
      <c r="T34" s="178"/>
      <c r="U34" s="178"/>
      <c r="V34" s="178"/>
      <c r="W34" s="178"/>
      <c r="X34" s="178"/>
      <c r="Y34" s="178"/>
      <c r="Z34" s="178"/>
      <c r="AA34" s="178"/>
      <c r="AB34" s="178"/>
      <c r="AC34" s="178"/>
      <c r="AD34" s="178"/>
      <c r="AE34" s="178"/>
      <c r="AF34" s="178"/>
      <c r="AG34" s="178"/>
      <c r="AH34" s="178"/>
      <c r="AI34" s="162"/>
      <c r="AJ34" s="100"/>
      <c r="AK34" s="100"/>
      <c r="AL34" s="100"/>
      <c r="AM34" s="100"/>
    </row>
    <row r="35" ht="14.25" customHeight="1" outlineLevel="3">
      <c r="A35" s="326"/>
      <c r="B35" s="100"/>
      <c r="C35" s="201"/>
      <c r="D35" s="201"/>
      <c r="E35" s="316" t="s">
        <v>1160</v>
      </c>
      <c r="F35" s="123" t="s">
        <v>261</v>
      </c>
      <c r="G35" s="123" t="s">
        <v>1161</v>
      </c>
      <c r="H35" s="276" t="str">
        <f>(caltoccfterchf-IF($F34="toccfterchf",toccfterchf,toccfterchc))/IF($F34="toccfterchf",toccfterchf,toccfterchc)</f>
        <v>#DIV/0!</v>
      </c>
      <c r="I35" s="276" t="str">
        <f>(caltoccfterchf-IF($F34="toccfterchf",toccfterchf,toccfterchc))/IF($F34="toccfterchf",toccfterchf,toccfterchc)</f>
        <v>#DIV/0!</v>
      </c>
      <c r="J35" s="276" t="str">
        <f>(caltoccfterchf-IF($F34="toccfterchf",toccfterchf,toccfterchc))/IF($F34="toccfterchf",toccfterchf,toccfterchc)</f>
        <v>#DIV/0!</v>
      </c>
      <c r="K35" s="276" t="str">
        <f>(caltoccfterchf-IF($F34="toccfterchf",toccfterchf,toccfterchc))/IF($F34="toccfterchf",toccfterchf,toccfterchc)</f>
        <v>#DIV/0!</v>
      </c>
      <c r="L35" s="276" t="str">
        <f>(caltoccfterchf-IF($F34="toccfterchf",toccfterchf,toccfterchc))/IF($F34="toccfterchf",toccfterchf,toccfterchc)</f>
        <v>#DIV/0!</v>
      </c>
      <c r="M35" s="276" t="str">
        <f>(caltoccfterchf-IF($F34="toccfterchf",toccfterchf,toccfterchc))/IF($F34="toccfterchf",toccfterchf,toccfterchc)</f>
        <v>#DIV/0!</v>
      </c>
      <c r="N35" s="276" t="str">
        <f>(caltoccfterchf-IF($F34="toccfterchf",toccfterchf,toccfterchc))/IF($F34="toccfterchf",toccfterchf,toccfterchc)</f>
        <v>#DIV/0!</v>
      </c>
      <c r="O35" s="276" t="str">
        <f>(caltoccfterchf-IF($F34="toccfterchf",toccfterchf,toccfterchc))/IF($F34="toccfterchf",toccfterchf,toccfterchc)</f>
        <v>#DIV/0!</v>
      </c>
      <c r="P35" s="276" t="str">
        <f>(caltoccfterchf-IF($F34="toccfterchf",toccfterchf,toccfterchc))/IF($F34="toccfterchf",toccfterchf,toccfterchc)</f>
        <v>#DIV/0!</v>
      </c>
      <c r="Q35" s="276" t="str">
        <f>(caltoccfterchf-IF($F34="toccfterchf",toccfterchf,toccfterchc))/IF($F34="toccfterchf",toccfterchf,toccfterchc)</f>
        <v>#DIV/0!</v>
      </c>
      <c r="R35" s="276" t="str">
        <f>(caltoccfterchf-IF($F34="toccfterchf",toccfterchf,toccfterchc))/IF($F34="toccfterchf",toccfterchf,toccfterchc)</f>
        <v>#DIV/0!</v>
      </c>
      <c r="S35" s="276" t="str">
        <f>(caltoccfterchf-IF($F34="toccfterchf",toccfterchf,toccfterchc))/IF($F34="toccfterchf",toccfterchf,toccfterchc)</f>
        <v>#DIV/0!</v>
      </c>
      <c r="T35" s="276" t="str">
        <f>(caltoccfterchf-IF($F34="toccfterchf",toccfterchf,toccfterchc))/IF($F34="toccfterchf",toccfterchf,toccfterchc)</f>
        <v>#DIV/0!</v>
      </c>
      <c r="U35" s="276" t="str">
        <f>(caltoccfterchf-IF($F34="toccfterchf",toccfterchf,toccfterchc))/IF($F34="toccfterchf",toccfterchf,toccfterchc)</f>
        <v>#DIV/0!</v>
      </c>
      <c r="V35" s="276" t="str">
        <f>(caltoccfterchf-IF($F34="toccfterchf",toccfterchf,toccfterchc))/IF($F34="toccfterchf",toccfterchf,toccfterchc)</f>
        <v>#DIV/0!</v>
      </c>
      <c r="W35" s="276" t="str">
        <f>(caltoccfterchf-IF($F34="toccfterchf",toccfterchf,toccfterchc))/IF($F34="toccfterchf",toccfterchf,toccfterchc)</f>
        <v>#DIV/0!</v>
      </c>
      <c r="X35" s="276" t="str">
        <f>(caltoccfterchf-IF($F34="toccfterchf",toccfterchf,toccfterchc))/IF($F34="toccfterchf",toccfterchf,toccfterchc)</f>
        <v>#DIV/0!</v>
      </c>
      <c r="Y35" s="276" t="str">
        <f>(caltoccfterchf-IF($F34="toccfterchf",toccfterchf,toccfterchc))/IF($F34="toccfterchf",toccfterchf,toccfterchc)</f>
        <v>#DIV/0!</v>
      </c>
      <c r="Z35" s="276" t="str">
        <f>(caltoccfterchf-IF($F34="toccfterchf",toccfterchf,toccfterchc))/IF($F34="toccfterchf",toccfterchf,toccfterchc)</f>
        <v>#DIV/0!</v>
      </c>
      <c r="AA35" s="276" t="str">
        <f>(caltoccfterchf-IF($F34="toccfterchf",toccfterchf,toccfterchc))/IF($F34="toccfterchf",toccfterchf,toccfterchc)</f>
        <v>#DIV/0!</v>
      </c>
      <c r="AB35" s="276" t="str">
        <f>(caltoccfterchf-IF($F34="toccfterchf",toccfterchf,toccfterchc))/IF($F34="toccfterchf",toccfterchf,toccfterchc)</f>
        <v>#DIV/0!</v>
      </c>
      <c r="AC35" s="276" t="str">
        <f>(caltoccfterchf-IF($F34="toccfterchf",toccfterchf,toccfterchc))/IF($F34="toccfterchf",toccfterchf,toccfterchc)</f>
        <v>#DIV/0!</v>
      </c>
      <c r="AD35" s="276" t="str">
        <f>(caltoccfterchf-IF($F34="toccfterchf",toccfterchf,toccfterchc))/IF($F34="toccfterchf",toccfterchf,toccfterchc)</f>
        <v>#DIV/0!</v>
      </c>
      <c r="AE35" s="276" t="str">
        <f>(caltoccfterchf-IF($F34="toccfterchf",toccfterchf,toccfterchc))/IF($F34="toccfterchf",toccfterchf,toccfterchc)</f>
        <v>#DIV/0!</v>
      </c>
      <c r="AF35" s="276" t="str">
        <f>(caltoccfterchf-IF($F34="toccfterchf",toccfterchf,toccfterchc))/IF($F34="toccfterchf",toccfterchf,toccfterchc)</f>
        <v>#DIV/0!</v>
      </c>
      <c r="AG35" s="276" t="str">
        <f>(caltoccfterchf-IF($F34="toccfterchf",toccfterchf,toccfterchc))/IF($F34="toccfterchf",toccfterchf,toccfterchc)</f>
        <v>#DIV/0!</v>
      </c>
      <c r="AH35" s="276" t="str">
        <f>(caltoccfterchf-IF($F34="toccfterchf",toccfterchf,toccfterchc))/IF($F34="toccfterchf",toccfterchf,toccfterchc)</f>
        <v>#DIV/0!</v>
      </c>
      <c r="AI35" s="125"/>
      <c r="AJ35" s="100"/>
      <c r="AK35" s="100"/>
      <c r="AL35" s="100"/>
      <c r="AM35" s="100"/>
    </row>
    <row r="36" ht="14.25" customHeight="1" outlineLevel="3">
      <c r="A36" s="326"/>
      <c r="B36" s="201"/>
      <c r="C36" s="201"/>
      <c r="D36" s="201"/>
      <c r="E36" s="316" t="s">
        <v>1162</v>
      </c>
      <c r="F36" s="123" t="s">
        <v>261</v>
      </c>
      <c r="G36" s="123" t="s">
        <v>1163</v>
      </c>
      <c r="H36" s="276" t="str">
        <f>(calcmscfterchf-cmscfterchf)/cmscfterchf</f>
        <v>#DIV/0!</v>
      </c>
      <c r="I36" s="276" t="str">
        <f>(calcmscfterchf-cmscfterchf)/cmscfterchf</f>
        <v>#DIV/0!</v>
      </c>
      <c r="J36" s="276" t="str">
        <f>(calcmscfterchf-cmscfterchf)/cmscfterchf</f>
        <v>#DIV/0!</v>
      </c>
      <c r="K36" s="276" t="str">
        <f>(calcmscfterchf-cmscfterchf)/cmscfterchf</f>
        <v>#DIV/0!</v>
      </c>
      <c r="L36" s="276" t="str">
        <f>(calcmscfterchf-cmscfterchf)/cmscfterchf</f>
        <v>#DIV/0!</v>
      </c>
      <c r="M36" s="276" t="str">
        <f>(calcmscfterchf-cmscfterchf)/cmscfterchf</f>
        <v>#DIV/0!</v>
      </c>
      <c r="N36" s="276" t="str">
        <f>(calcmscfterchf-cmscfterchf)/cmscfterchf</f>
        <v>#DIV/0!</v>
      </c>
      <c r="O36" s="276" t="str">
        <f>(calcmscfterchf-cmscfterchf)/cmscfterchf</f>
        <v>#DIV/0!</v>
      </c>
      <c r="P36" s="276" t="str">
        <f>(calcmscfterchf-cmscfterchf)/cmscfterchf</f>
        <v>#DIV/0!</v>
      </c>
      <c r="Q36" s="276" t="str">
        <f>(calcmscfterchf-cmscfterchf)/cmscfterchf</f>
        <v>#DIV/0!</v>
      </c>
      <c r="R36" s="276" t="str">
        <f>(calcmscfterchf-cmscfterchf)/cmscfterchf</f>
        <v>#DIV/0!</v>
      </c>
      <c r="S36" s="276" t="str">
        <f>(calcmscfterchf-cmscfterchf)/cmscfterchf</f>
        <v>#DIV/0!</v>
      </c>
      <c r="T36" s="276" t="str">
        <f>(calcmscfterchf-cmscfterchf)/cmscfterchf</f>
        <v>#DIV/0!</v>
      </c>
      <c r="U36" s="276" t="str">
        <f>(calcmscfterchf-cmscfterchf)/cmscfterchf</f>
        <v>#DIV/0!</v>
      </c>
      <c r="V36" s="276" t="str">
        <f>(calcmscfterchf-cmscfterchf)/cmscfterchf</f>
        <v>#DIV/0!</v>
      </c>
      <c r="W36" s="276" t="str">
        <f>(calcmscfterchf-cmscfterchf)/cmscfterchf</f>
        <v>#DIV/0!</v>
      </c>
      <c r="X36" s="276" t="str">
        <f>(calcmscfterchf-cmscfterchf)/cmscfterchf</f>
        <v>#DIV/0!</v>
      </c>
      <c r="Y36" s="276" t="str">
        <f>(calcmscfterchf-cmscfterchf)/cmscfterchf</f>
        <v>#DIV/0!</v>
      </c>
      <c r="Z36" s="276" t="str">
        <f>(calcmscfterchf-cmscfterchf)/cmscfterchf</f>
        <v>#DIV/0!</v>
      </c>
      <c r="AA36" s="276" t="str">
        <f>(calcmscfterchf-cmscfterchf)/cmscfterchf</f>
        <v>#DIV/0!</v>
      </c>
      <c r="AB36" s="276" t="str">
        <f>(calcmscfterchf-cmscfterchf)/cmscfterchf</f>
        <v>#DIV/0!</v>
      </c>
      <c r="AC36" s="276" t="str">
        <f>(calcmscfterchf-cmscfterchf)/cmscfterchf</f>
        <v>#DIV/0!</v>
      </c>
      <c r="AD36" s="276" t="str">
        <f>(calcmscfterchf-cmscfterchf)/cmscfterchf</f>
        <v>#DIV/0!</v>
      </c>
      <c r="AE36" s="276" t="str">
        <f>(calcmscfterchf-cmscfterchf)/cmscfterchf</f>
        <v>#DIV/0!</v>
      </c>
      <c r="AF36" s="276" t="str">
        <f>(calcmscfterchf-cmscfterchf)/cmscfterchf</f>
        <v>#DIV/0!</v>
      </c>
      <c r="AG36" s="276" t="str">
        <f>(calcmscfterchf-cmscfterchf)/cmscfterchf</f>
        <v>#DIV/0!</v>
      </c>
      <c r="AH36" s="276" t="str">
        <f>(calcmscfterchf-cmscfterchf)/cmscfterchf</f>
        <v>#DIV/0!</v>
      </c>
      <c r="AI36" s="125"/>
      <c r="AJ36" s="100"/>
      <c r="AK36" s="100"/>
      <c r="AL36" s="100"/>
      <c r="AM36" s="100"/>
    </row>
    <row r="37" ht="14.25" customHeight="1" outlineLevel="3">
      <c r="A37" s="326"/>
      <c r="B37" s="201"/>
      <c r="C37" s="201"/>
      <c r="D37" s="201"/>
      <c r="E37" s="316" t="s">
        <v>1164</v>
      </c>
      <c r="F37" s="123" t="s">
        <v>261</v>
      </c>
      <c r="G37" s="123" t="s">
        <v>1165</v>
      </c>
      <c r="H37" s="276" t="str">
        <f>(calenccfterchf-boicfterchf)/boicfterchf</f>
        <v>#DIV/0!</v>
      </c>
      <c r="I37" s="276" t="str">
        <f>(calenccfterchf-boicfterchf)/boicfterchf</f>
        <v>#DIV/0!</v>
      </c>
      <c r="J37" s="276" t="str">
        <f>(calenccfterchf-boicfterchf)/boicfterchf</f>
        <v>#DIV/0!</v>
      </c>
      <c r="K37" s="276" t="str">
        <f>(calenccfterchf-boicfterchf)/boicfterchf</f>
        <v>#DIV/0!</v>
      </c>
      <c r="L37" s="276">
        <f>(calenccfterchf-boicfterchf)/boicfterchf</f>
        <v>-0.04804741629</v>
      </c>
      <c r="M37" s="276">
        <f>(calenccfterchf-boicfterchf)/boicfterchf</f>
        <v>-0.04133853727</v>
      </c>
      <c r="N37" s="276">
        <f>(calenccfterchf-boicfterchf)/boicfterchf</f>
        <v>-0.0452712702</v>
      </c>
      <c r="O37" s="276">
        <f>(calenccfterchf-boicfterchf)/boicfterchf</f>
        <v>-0.0473946141</v>
      </c>
      <c r="P37" s="276">
        <f>(calenccfterchf-boicfterchf)/boicfterchf</f>
        <v>-0.03896029029</v>
      </c>
      <c r="Q37" s="276">
        <f>(calenccfterchf-boicfterchf)/boicfterchf</f>
        <v>-0.02454302699</v>
      </c>
      <c r="R37" s="276">
        <f>(calenccfterchf-boicfterchf)/boicfterchf</f>
        <v>-0.0441879814</v>
      </c>
      <c r="S37" s="276">
        <f>(calenccfterchf-boicfterchf)/boicfterchf</f>
        <v>-0.03966233586</v>
      </c>
      <c r="T37" s="276">
        <f>(calenccfterchf-boicfterchf)/boicfterchf</f>
        <v>-0.03179407</v>
      </c>
      <c r="U37" s="276">
        <f>(calenccfterchf-boicfterchf)/boicfterchf</f>
        <v>-0.02978146361</v>
      </c>
      <c r="V37" s="276">
        <f>(calenccfterchf-boicfterchf)/boicfterchf</f>
        <v>-0.03104408443</v>
      </c>
      <c r="W37" s="276">
        <f>(calenccfterchf-boicfterchf)/boicfterchf</f>
        <v>-0.02764503452</v>
      </c>
      <c r="X37" s="276" t="str">
        <f>(calenccfterchf-boicfterchf)/boicfterchf</f>
        <v>#DIV/0!</v>
      </c>
      <c r="Y37" s="276" t="str">
        <f>(calenccfterchf-boicfterchf)/boicfterchf</f>
        <v>#DIV/0!</v>
      </c>
      <c r="Z37" s="276" t="str">
        <f>(calenccfterchf-boicfterchf)/boicfterchf</f>
        <v>#DIV/0!</v>
      </c>
      <c r="AA37" s="276" t="str">
        <f>(calenccfterchf-boicfterchf)/boicfterchf</f>
        <v>#DIV/0!</v>
      </c>
      <c r="AB37" s="276" t="str">
        <f>(calenccfterchf-boicfterchf)/boicfterchf</f>
        <v>#DIV/0!</v>
      </c>
      <c r="AC37" s="276" t="str">
        <f>(calenccfterchf-boicfterchf)/boicfterchf</f>
        <v>#DIV/0!</v>
      </c>
      <c r="AD37" s="276" t="str">
        <f>(calenccfterchf-boicfterchf)/boicfterchf</f>
        <v>#DIV/0!</v>
      </c>
      <c r="AE37" s="276" t="str">
        <f>(calenccfterchf-boicfterchf)/boicfterchf</f>
        <v>#DIV/0!</v>
      </c>
      <c r="AF37" s="276" t="str">
        <f>(calenccfterchf-boicfterchf)/boicfterchf</f>
        <v>#DIV/0!</v>
      </c>
      <c r="AG37" s="276" t="str">
        <f>(calenccfterchf-boicfterchf)/boicfterchf</f>
        <v>#DIV/0!</v>
      </c>
      <c r="AH37" s="276" t="str">
        <f>(calenccfterchf-boicfterchf)/boicfterchf</f>
        <v>#DIV/0!</v>
      </c>
      <c r="AI37" s="125"/>
      <c r="AJ37" s="100"/>
      <c r="AK37" s="100"/>
      <c r="AL37" s="100"/>
      <c r="AM37" s="100"/>
    </row>
    <row r="38" ht="14.25" customHeight="1" outlineLevel="3">
      <c r="A38" s="326"/>
      <c r="B38" s="201"/>
      <c r="C38" s="201"/>
      <c r="D38" s="201"/>
      <c r="E38" s="316" t="s">
        <v>1166</v>
      </c>
      <c r="F38" s="123" t="s">
        <v>261</v>
      </c>
      <c r="G38" s="123" t="s">
        <v>1167</v>
      </c>
      <c r="H38" s="276">
        <f>(calpetcfterchf-petcfterchf)/petcfterchf</f>
        <v>-1</v>
      </c>
      <c r="I38" s="276">
        <f>(calpetcfterchf-petcfterchf)/petcfterchf</f>
        <v>-0.03585113257</v>
      </c>
      <c r="J38" s="276">
        <f>(calpetcfterchf-petcfterchf)/petcfterchf</f>
        <v>-0.06875016102</v>
      </c>
      <c r="K38" s="276">
        <f>(calpetcfterchf-petcfterchf)/petcfterchf</f>
        <v>-0.03521522741</v>
      </c>
      <c r="L38" s="276">
        <f>(calpetcfterchf-petcfterchf)/petcfterchf</f>
        <v>-0.04804741629</v>
      </c>
      <c r="M38" s="276">
        <f>(calpetcfterchf-petcfterchf)/petcfterchf</f>
        <v>-0.04133853727</v>
      </c>
      <c r="N38" s="276">
        <f>(calpetcfterchf-petcfterchf)/petcfterchf</f>
        <v>-0.0452712702</v>
      </c>
      <c r="O38" s="276">
        <f>(calpetcfterchf-petcfterchf)/petcfterchf</f>
        <v>-0.0473946141</v>
      </c>
      <c r="P38" s="276">
        <f>(calpetcfterchf-petcfterchf)/petcfterchf</f>
        <v>-0.03896029029</v>
      </c>
      <c r="Q38" s="276">
        <f>(calpetcfterchf-petcfterchf)/petcfterchf</f>
        <v>-0.02454302699</v>
      </c>
      <c r="R38" s="276">
        <f>(calpetcfterchf-petcfterchf)/petcfterchf</f>
        <v>-0.0441879814</v>
      </c>
      <c r="S38" s="276">
        <f>(calpetcfterchf-petcfterchf)/petcfterchf</f>
        <v>-0.03966233586</v>
      </c>
      <c r="T38" s="276">
        <f>(calpetcfterchf-petcfterchf)/petcfterchf</f>
        <v>-0.03179407</v>
      </c>
      <c r="U38" s="276">
        <f>(calpetcfterchf-petcfterchf)/petcfterchf</f>
        <v>-0.02978146361</v>
      </c>
      <c r="V38" s="276">
        <f>(calpetcfterchf-petcfterchf)/petcfterchf</f>
        <v>-0.03104408443</v>
      </c>
      <c r="W38" s="276">
        <f>(calpetcfterchf-petcfterchf)/petcfterchf</f>
        <v>-0.02764503452</v>
      </c>
      <c r="X38" s="276" t="str">
        <f>(calpetcfterchf-petcfterchf)/petcfterchf</f>
        <v>#DIV/0!</v>
      </c>
      <c r="Y38" s="276" t="str">
        <f>(calpetcfterchf-petcfterchf)/petcfterchf</f>
        <v>#DIV/0!</v>
      </c>
      <c r="Z38" s="276" t="str">
        <f>(calpetcfterchf-petcfterchf)/petcfterchf</f>
        <v>#DIV/0!</v>
      </c>
      <c r="AA38" s="276" t="str">
        <f>(calpetcfterchf-petcfterchf)/petcfterchf</f>
        <v>#DIV/0!</v>
      </c>
      <c r="AB38" s="276" t="str">
        <f>(calpetcfterchf-petcfterchf)/petcfterchf</f>
        <v>#DIV/0!</v>
      </c>
      <c r="AC38" s="276" t="str">
        <f>(calpetcfterchf-petcfterchf)/petcfterchf</f>
        <v>#DIV/0!</v>
      </c>
      <c r="AD38" s="276" t="str">
        <f>(calpetcfterchf-petcfterchf)/petcfterchf</f>
        <v>#DIV/0!</v>
      </c>
      <c r="AE38" s="276" t="str">
        <f>(calpetcfterchf-petcfterchf)/petcfterchf</f>
        <v>#DIV/0!</v>
      </c>
      <c r="AF38" s="276" t="str">
        <f>(calpetcfterchf-petcfterchf)/petcfterchf</f>
        <v>#DIV/0!</v>
      </c>
      <c r="AG38" s="276" t="str">
        <f>(calpetcfterchf-petcfterchf)/petcfterchf</f>
        <v>#DIV/0!</v>
      </c>
      <c r="AH38" s="276" t="str">
        <f>(calpetcfterchf-petcfterchf)/petcfterchf</f>
        <v>#DIV/0!</v>
      </c>
      <c r="AI38" s="125"/>
      <c r="AJ38" s="100"/>
      <c r="AK38" s="100"/>
      <c r="AL38" s="100"/>
      <c r="AM38" s="100"/>
    </row>
    <row r="39" ht="14.25" customHeight="1" outlineLevel="3">
      <c r="A39" s="326"/>
      <c r="B39" s="201"/>
      <c r="C39" s="201"/>
      <c r="D39" s="201"/>
      <c r="E39" s="316" t="s">
        <v>1168</v>
      </c>
      <c r="F39" s="123" t="s">
        <v>261</v>
      </c>
      <c r="G39" s="123" t="s">
        <v>1169</v>
      </c>
      <c r="H39" s="276">
        <f>(calgazcfterchf-gazcfterchf)/gazcfterchf</f>
        <v>-1</v>
      </c>
      <c r="I39" s="276">
        <f>(calgazcfterchf-gazcfterchf)/gazcfterchf</f>
        <v>-0.03585113257</v>
      </c>
      <c r="J39" s="276">
        <f>(calgazcfterchf-gazcfterchf)/gazcfterchf</f>
        <v>-0.06875016102</v>
      </c>
      <c r="K39" s="276">
        <f>(calgazcfterchf-gazcfterchf)/gazcfterchf</f>
        <v>-0.03521522741</v>
      </c>
      <c r="L39" s="276">
        <f>(calgazcfterchf-gazcfterchf)/gazcfterchf</f>
        <v>-0.04804741629</v>
      </c>
      <c r="M39" s="276">
        <f>(calgazcfterchf-gazcfterchf)/gazcfterchf</f>
        <v>-0.04133853727</v>
      </c>
      <c r="N39" s="276">
        <f>(calgazcfterchf-gazcfterchf)/gazcfterchf</f>
        <v>-0.0452712702</v>
      </c>
      <c r="O39" s="276">
        <f>(calgazcfterchf-gazcfterchf)/gazcfterchf</f>
        <v>-0.0473946141</v>
      </c>
      <c r="P39" s="276">
        <f>(calgazcfterchf-gazcfterchf)/gazcfterchf</f>
        <v>-0.03896029029</v>
      </c>
      <c r="Q39" s="276">
        <f>(calgazcfterchf-gazcfterchf)/gazcfterchf</f>
        <v>-0.02454302699</v>
      </c>
      <c r="R39" s="276">
        <f>(calgazcfterchf-gazcfterchf)/gazcfterchf</f>
        <v>-0.0441879814</v>
      </c>
      <c r="S39" s="276">
        <f>(calgazcfterchf-gazcfterchf)/gazcfterchf</f>
        <v>-0.03966233586</v>
      </c>
      <c r="T39" s="276">
        <f>(calgazcfterchf-gazcfterchf)/gazcfterchf</f>
        <v>-0.03179407</v>
      </c>
      <c r="U39" s="276">
        <f>(calgazcfterchf-gazcfterchf)/gazcfterchf</f>
        <v>-0.02978146361</v>
      </c>
      <c r="V39" s="276">
        <f>(calgazcfterchf-gazcfterchf)/gazcfterchf</f>
        <v>-0.03104408443</v>
      </c>
      <c r="W39" s="276">
        <f>(calgazcfterchf-gazcfterchf)/gazcfterchf</f>
        <v>-0.02764503452</v>
      </c>
      <c r="X39" s="276" t="str">
        <f>(calgazcfterchf-gazcfterchf)/gazcfterchf</f>
        <v>#DIV/0!</v>
      </c>
      <c r="Y39" s="276" t="str">
        <f>(calgazcfterchf-gazcfterchf)/gazcfterchf</f>
        <v>#DIV/0!</v>
      </c>
      <c r="Z39" s="276" t="str">
        <f>(calgazcfterchf-gazcfterchf)/gazcfterchf</f>
        <v>#DIV/0!</v>
      </c>
      <c r="AA39" s="276" t="str">
        <f>(calgazcfterchf-gazcfterchf)/gazcfterchf</f>
        <v>#DIV/0!</v>
      </c>
      <c r="AB39" s="276" t="str">
        <f>(calgazcfterchf-gazcfterchf)/gazcfterchf</f>
        <v>#DIV/0!</v>
      </c>
      <c r="AC39" s="276" t="str">
        <f>(calgazcfterchf-gazcfterchf)/gazcfterchf</f>
        <v>#DIV/0!</v>
      </c>
      <c r="AD39" s="276" t="str">
        <f>(calgazcfterchf-gazcfterchf)/gazcfterchf</f>
        <v>#DIV/0!</v>
      </c>
      <c r="AE39" s="276" t="str">
        <f>(calgazcfterchf-gazcfterchf)/gazcfterchf</f>
        <v>#DIV/0!</v>
      </c>
      <c r="AF39" s="276" t="str">
        <f>(calgazcfterchf-gazcfterchf)/gazcfterchf</f>
        <v>#DIV/0!</v>
      </c>
      <c r="AG39" s="276" t="str">
        <f>(calgazcfterchf-gazcfterchf)/gazcfterchf</f>
        <v>#DIV/0!</v>
      </c>
      <c r="AH39" s="276" t="str">
        <f>(calgazcfterchf-gazcfterchf)/gazcfterchf</f>
        <v>#DIV/0!</v>
      </c>
      <c r="AI39" s="125"/>
      <c r="AJ39" s="100"/>
      <c r="AK39" s="100"/>
      <c r="AL39" s="100"/>
      <c r="AM39" s="100"/>
    </row>
    <row r="40" ht="14.25" customHeight="1" outlineLevel="3">
      <c r="A40" s="326"/>
      <c r="B40" s="201"/>
      <c r="C40" s="201"/>
      <c r="D40" s="201"/>
      <c r="E40" s="316" t="s">
        <v>1170</v>
      </c>
      <c r="F40" s="123" t="s">
        <v>261</v>
      </c>
      <c r="G40" s="123" t="s">
        <v>1171</v>
      </c>
      <c r="H40" s="276">
        <f>(calelccfterchf-elccfterchf)/elccfterchf</f>
        <v>-1</v>
      </c>
      <c r="I40" s="276">
        <f>(calelccfterchf-elccfterchf)/elccfterchf</f>
        <v>-0.0239566689</v>
      </c>
      <c r="J40" s="276">
        <f>(calelccfterchf-elccfterchf)/elccfterchf</f>
        <v>-0.0256023087</v>
      </c>
      <c r="K40" s="276">
        <f>(calelccfterchf-elccfterchf)/elccfterchf</f>
        <v>0.0473713017</v>
      </c>
      <c r="L40" s="276">
        <f>(calelccfterchf-elccfterchf)/elccfterchf</f>
        <v>0.0515552015</v>
      </c>
      <c r="M40" s="276">
        <f>(calelccfterchf-elccfterchf)/elccfterchf</f>
        <v>0.06713518797</v>
      </c>
      <c r="N40" s="276">
        <f>(calelccfterchf-elccfterchf)/elccfterchf</f>
        <v>0.06112688179</v>
      </c>
      <c r="O40" s="276">
        <f>(calelccfterchf-elccfterchf)/elccfterchf</f>
        <v>0.07382103047</v>
      </c>
      <c r="P40" s="276">
        <f>(calelccfterchf-elccfterchf)/elccfterchf</f>
        <v>0.09636081486</v>
      </c>
      <c r="Q40" s="276">
        <f>(calelccfterchf-elccfterchf)/elccfterchf</f>
        <v>0.1225664265</v>
      </c>
      <c r="R40" s="276">
        <f>(calelccfterchf-elccfterchf)/elccfterchf</f>
        <v>0.1157672975</v>
      </c>
      <c r="S40" s="276">
        <f>(calelccfterchf-elccfterchf)/elccfterchf</f>
        <v>0.1350354461</v>
      </c>
      <c r="T40" s="276">
        <f>(calelccfterchf-elccfterchf)/elccfterchf</f>
        <v>0.1762410736</v>
      </c>
      <c r="U40" s="276">
        <f>(calelccfterchf-elccfterchf)/elccfterchf</f>
        <v>0.2381349621</v>
      </c>
      <c r="V40" s="276">
        <f>(calelccfterchf-elccfterchf)/elccfterchf</f>
        <v>0.3375363974</v>
      </c>
      <c r="W40" s="276">
        <f>(calelccfterchf-elccfterchf)/elccfterchf</f>
        <v>0.5546904673</v>
      </c>
      <c r="X40" s="276" t="str">
        <f>(calelccfterchf-elccfterchf)/elccfterchf</f>
        <v>#DIV/0!</v>
      </c>
      <c r="Y40" s="276" t="str">
        <f>(calelccfterchf-elccfterchf)/elccfterchf</f>
        <v>#DIV/0!</v>
      </c>
      <c r="Z40" s="276" t="str">
        <f>(calelccfterchf-elccfterchf)/elccfterchf</f>
        <v>#DIV/0!</v>
      </c>
      <c r="AA40" s="276" t="str">
        <f>(calelccfterchf-elccfterchf)/elccfterchf</f>
        <v>#DIV/0!</v>
      </c>
      <c r="AB40" s="276" t="str">
        <f>(calelccfterchf-elccfterchf)/elccfterchf</f>
        <v>#DIV/0!</v>
      </c>
      <c r="AC40" s="276" t="str">
        <f>(calelccfterchf-elccfterchf)/elccfterchf</f>
        <v>#DIV/0!</v>
      </c>
      <c r="AD40" s="276" t="str">
        <f>(calelccfterchf-elccfterchf)/elccfterchf</f>
        <v>#DIV/0!</v>
      </c>
      <c r="AE40" s="276" t="str">
        <f>(calelccfterchf-elccfterchf)/elccfterchf</f>
        <v>#DIV/0!</v>
      </c>
      <c r="AF40" s="276" t="str">
        <f>(calelccfterchf-elccfterchf)/elccfterchf</f>
        <v>#DIV/0!</v>
      </c>
      <c r="AG40" s="276" t="str">
        <f>(calelccfterchf-elccfterchf)/elccfterchf</f>
        <v>#DIV/0!</v>
      </c>
      <c r="AH40" s="276" t="str">
        <f>(calelccfterchf-elccfterchf)/elccfterchf</f>
        <v>#DIV/0!</v>
      </c>
      <c r="AI40" s="125"/>
      <c r="AJ40" s="100"/>
      <c r="AK40" s="100"/>
      <c r="AL40" s="100"/>
      <c r="AM40" s="100"/>
    </row>
    <row r="41" ht="14.25" customHeight="1" outlineLevel="3">
      <c r="A41" s="326"/>
      <c r="B41" s="201"/>
      <c r="C41" s="201"/>
      <c r="D41" s="201"/>
      <c r="E41" s="316" t="s">
        <v>1172</v>
      </c>
      <c r="F41" s="123" t="s">
        <v>261</v>
      </c>
      <c r="G41" s="123" t="s">
        <v>1173</v>
      </c>
      <c r="H41" s="276">
        <f>(calvapcfterchf-vapcfterchf)/vapcfterchf</f>
        <v>-1</v>
      </c>
      <c r="I41" s="276">
        <f>(calvapcfterchf-vapcfterchf)/vapcfterchf</f>
        <v>-0.03585113257</v>
      </c>
      <c r="J41" s="276">
        <f>(calvapcfterchf-vapcfterchf)/vapcfterchf</f>
        <v>-0.06875016102</v>
      </c>
      <c r="K41" s="276">
        <f>(calvapcfterchf-vapcfterchf)/vapcfterchf</f>
        <v>-0.03521522741</v>
      </c>
      <c r="L41" s="276">
        <f>(calvapcfterchf-vapcfterchf)/vapcfterchf</f>
        <v>-0.04804741629</v>
      </c>
      <c r="M41" s="276">
        <f>(calvapcfterchf-vapcfterchf)/vapcfterchf</f>
        <v>-0.04133853727</v>
      </c>
      <c r="N41" s="276">
        <f>(calvapcfterchf-vapcfterchf)/vapcfterchf</f>
        <v>-0.0452712702</v>
      </c>
      <c r="O41" s="276">
        <f>(calvapcfterchf-vapcfterchf)/vapcfterchf</f>
        <v>-0.0473946141</v>
      </c>
      <c r="P41" s="276">
        <f>(calvapcfterchf-vapcfterchf)/vapcfterchf</f>
        <v>-0.03896029029</v>
      </c>
      <c r="Q41" s="276">
        <f>(calvapcfterchf-vapcfterchf)/vapcfterchf</f>
        <v>-0.02454302699</v>
      </c>
      <c r="R41" s="276">
        <f>(calvapcfterchf-vapcfterchf)/vapcfterchf</f>
        <v>-0.0441879814</v>
      </c>
      <c r="S41" s="276">
        <f>(calvapcfterchf-vapcfterchf)/vapcfterchf</f>
        <v>-0.03966233586</v>
      </c>
      <c r="T41" s="276">
        <f>(calvapcfterchf-vapcfterchf)/vapcfterchf</f>
        <v>-0.03179407</v>
      </c>
      <c r="U41" s="276">
        <f>(calvapcfterchf-vapcfterchf)/vapcfterchf</f>
        <v>-0.02978146361</v>
      </c>
      <c r="V41" s="276">
        <f>(calvapcfterchf-vapcfterchf)/vapcfterchf</f>
        <v>-0.03104408443</v>
      </c>
      <c r="W41" s="276">
        <f>(calvapcfterchf-vapcfterchf)/vapcfterchf</f>
        <v>-0.02764503452</v>
      </c>
      <c r="X41" s="276" t="str">
        <f>(calvapcfterchf-vapcfterchf)/vapcfterchf</f>
        <v>#DIV/0!</v>
      </c>
      <c r="Y41" s="276" t="str">
        <f>(calvapcfterchf-vapcfterchf)/vapcfterchf</f>
        <v>#DIV/0!</v>
      </c>
      <c r="Z41" s="276" t="str">
        <f>(calvapcfterchf-vapcfterchf)/vapcfterchf</f>
        <v>#DIV/0!</v>
      </c>
      <c r="AA41" s="276" t="str">
        <f>(calvapcfterchf-vapcfterchf)/vapcfterchf</f>
        <v>#DIV/0!</v>
      </c>
      <c r="AB41" s="276" t="str">
        <f>(calvapcfterchf-vapcfterchf)/vapcfterchf</f>
        <v>#DIV/0!</v>
      </c>
      <c r="AC41" s="276" t="str">
        <f>(calvapcfterchf-vapcfterchf)/vapcfterchf</f>
        <v>#DIV/0!</v>
      </c>
      <c r="AD41" s="276" t="str">
        <f>(calvapcfterchf-vapcfterchf)/vapcfterchf</f>
        <v>#DIV/0!</v>
      </c>
      <c r="AE41" s="276" t="str">
        <f>(calvapcfterchf-vapcfterchf)/vapcfterchf</f>
        <v>#DIV/0!</v>
      </c>
      <c r="AF41" s="276" t="str">
        <f>(calvapcfterchf-vapcfterchf)/vapcfterchf</f>
        <v>#DIV/0!</v>
      </c>
      <c r="AG41" s="276" t="str">
        <f>(calvapcfterchf-vapcfterchf)/vapcfterchf</f>
        <v>#DIV/0!</v>
      </c>
      <c r="AH41" s="276" t="str">
        <f>(calvapcfterchf-vapcfterchf)/vapcfterchf</f>
        <v>#DIV/0!</v>
      </c>
      <c r="AI41" s="125"/>
      <c r="AJ41" s="100"/>
      <c r="AK41" s="100"/>
      <c r="AL41" s="100"/>
      <c r="AM41" s="100"/>
    </row>
    <row r="42" ht="14.25" customHeight="1" outlineLevel="3">
      <c r="A42" s="326"/>
      <c r="B42" s="201"/>
      <c r="C42" s="201"/>
      <c r="D42" s="201"/>
      <c r="E42" s="316" t="s">
        <v>1174</v>
      </c>
      <c r="F42" s="123" t="s">
        <v>261</v>
      </c>
      <c r="G42" s="123" t="s">
        <v>1175</v>
      </c>
      <c r="H42" s="276">
        <f>(calpaccfterchf-paccfterchf)/paccfterchf</f>
        <v>-1</v>
      </c>
      <c r="I42" s="276">
        <f>(calpaccfterchf-paccfterchf)/paccfterchf</f>
        <v>-0.7048484254</v>
      </c>
      <c r="J42" s="276">
        <f>(calpaccfterchf-paccfterchf)/paccfterchf</f>
        <v>-0.7102911878</v>
      </c>
      <c r="K42" s="276">
        <f>(calpaccfterchf-paccfterchf)/paccfterchf</f>
        <v>-0.6958646051</v>
      </c>
      <c r="L42" s="276">
        <f>(calpaccfterchf-paccfterchf)/paccfterchf</f>
        <v>-0.6926985396</v>
      </c>
      <c r="M42" s="276">
        <f>(calpaccfterchf-paccfterchf)/paccfterchf</f>
        <v>-0.6798323967</v>
      </c>
      <c r="N42" s="276">
        <f>(calpaccfterchf-paccfterchf)/paccfterchf</f>
        <v>-0.6717178646</v>
      </c>
      <c r="O42" s="276">
        <f>(calpaccfterchf-paccfterchf)/paccfterchf</f>
        <v>-0.6719747858</v>
      </c>
      <c r="P42" s="276">
        <f>(calpaccfterchf-paccfterchf)/paccfterchf</f>
        <v>-0.6688153388</v>
      </c>
      <c r="Q42" s="276">
        <f>(calpaccfterchf-paccfterchf)/paccfterchf</f>
        <v>-0.6636917001</v>
      </c>
      <c r="R42" s="276">
        <f>(calpaccfterchf-paccfterchf)/paccfterchf</f>
        <v>-0.654440874</v>
      </c>
      <c r="S42" s="276">
        <f>(calpaccfterchf-paccfterchf)/paccfterchf</f>
        <v>-0.582652256</v>
      </c>
      <c r="T42" s="276">
        <f>(calpaccfterchf-paccfterchf)/paccfterchf</f>
        <v>-0.5007941506</v>
      </c>
      <c r="U42" s="276">
        <f>(calpaccfterchf-paccfterchf)/paccfterchf</f>
        <v>-0.4164694219</v>
      </c>
      <c r="V42" s="276">
        <f>(calpaccfterchf-paccfterchf)/paccfterchf</f>
        <v>-0.2302965517</v>
      </c>
      <c r="W42" s="276">
        <f>(calpaccfterchf-paccfterchf)/paccfterchf</f>
        <v>-0.1299774076</v>
      </c>
      <c r="X42" s="276" t="str">
        <f>(calpaccfterchf-paccfterchf)/paccfterchf</f>
        <v>#DIV/0!</v>
      </c>
      <c r="Y42" s="276" t="str">
        <f>(calpaccfterchf-paccfterchf)/paccfterchf</f>
        <v>#DIV/0!</v>
      </c>
      <c r="Z42" s="276" t="str">
        <f>(calpaccfterchf-paccfterchf)/paccfterchf</f>
        <v>#DIV/0!</v>
      </c>
      <c r="AA42" s="276" t="str">
        <f>(calpaccfterchf-paccfterchf)/paccfterchf</f>
        <v>#DIV/0!</v>
      </c>
      <c r="AB42" s="276" t="str">
        <f>(calpaccfterchf-paccfterchf)/paccfterchf</f>
        <v>#DIV/0!</v>
      </c>
      <c r="AC42" s="276" t="str">
        <f>(calpaccfterchf-paccfterchf)/paccfterchf</f>
        <v>#DIV/0!</v>
      </c>
      <c r="AD42" s="276" t="str">
        <f>(calpaccfterchf-paccfterchf)/paccfterchf</f>
        <v>#DIV/0!</v>
      </c>
      <c r="AE42" s="276" t="str">
        <f>(calpaccfterchf-paccfterchf)/paccfterchf</f>
        <v>#DIV/0!</v>
      </c>
      <c r="AF42" s="276" t="str">
        <f>(calpaccfterchf-paccfterchf)/paccfterchf</f>
        <v>#DIV/0!</v>
      </c>
      <c r="AG42" s="276" t="str">
        <f>(calpaccfterchf-paccfterchf)/paccfterchf</f>
        <v>#DIV/0!</v>
      </c>
      <c r="AH42" s="276" t="str">
        <f>(calpaccfterchf-paccfterchf)/paccfterchf</f>
        <v>#DIV/0!</v>
      </c>
      <c r="AI42" s="125"/>
      <c r="AJ42" s="100"/>
      <c r="AK42" s="100"/>
      <c r="AL42" s="100"/>
      <c r="AM42" s="100"/>
    </row>
    <row r="43" ht="14.25" customHeight="1" outlineLevel="3">
      <c r="A43" s="326"/>
      <c r="B43" s="201"/>
      <c r="C43" s="201"/>
      <c r="D43" s="201"/>
      <c r="E43" s="316" t="s">
        <v>1176</v>
      </c>
      <c r="F43" s="123" t="s">
        <v>261</v>
      </c>
      <c r="G43" s="123" t="s">
        <v>1177</v>
      </c>
      <c r="H43" s="276" t="str">
        <f>(calcmscfterchf-cmscfterchf)/cmscfterchf</f>
        <v>#DIV/0!</v>
      </c>
      <c r="I43" s="276" t="str">
        <f>(calcmscfterchf-cmscfterchf)/cmscfterchf</f>
        <v>#DIV/0!</v>
      </c>
      <c r="J43" s="276" t="str">
        <f>(calcmscfterchf-cmscfterchf)/cmscfterchf</f>
        <v>#DIV/0!</v>
      </c>
      <c r="K43" s="276" t="str">
        <f>(calcmscfterchf-cmscfterchf)/cmscfterchf</f>
        <v>#DIV/0!</v>
      </c>
      <c r="L43" s="276" t="str">
        <f>(calcmscfterchf-cmscfterchf)/cmscfterchf</f>
        <v>#DIV/0!</v>
      </c>
      <c r="M43" s="276" t="str">
        <f>(calcmscfterchf-cmscfterchf)/cmscfterchf</f>
        <v>#DIV/0!</v>
      </c>
      <c r="N43" s="276" t="str">
        <f>(calcmscfterchf-cmscfterchf)/cmscfterchf</f>
        <v>#DIV/0!</v>
      </c>
      <c r="O43" s="276" t="str">
        <f>(calcmscfterchf-cmscfterchf)/cmscfterchf</f>
        <v>#DIV/0!</v>
      </c>
      <c r="P43" s="276" t="str">
        <f>(calcmscfterchf-cmscfterchf)/cmscfterchf</f>
        <v>#DIV/0!</v>
      </c>
      <c r="Q43" s="276" t="str">
        <f>(calcmscfterchf-cmscfterchf)/cmscfterchf</f>
        <v>#DIV/0!</v>
      </c>
      <c r="R43" s="276" t="str">
        <f>(calcmscfterchf-cmscfterchf)/cmscfterchf</f>
        <v>#DIV/0!</v>
      </c>
      <c r="S43" s="276" t="str">
        <f>(calcmscfterchf-cmscfterchf)/cmscfterchf</f>
        <v>#DIV/0!</v>
      </c>
      <c r="T43" s="276" t="str">
        <f>(calcmscfterchf-cmscfterchf)/cmscfterchf</f>
        <v>#DIV/0!</v>
      </c>
      <c r="U43" s="276" t="str">
        <f>(calcmscfterchf-cmscfterchf)/cmscfterchf</f>
        <v>#DIV/0!</v>
      </c>
      <c r="V43" s="276" t="str">
        <f>(calcmscfterchf-cmscfterchf)/cmscfterchf</f>
        <v>#DIV/0!</v>
      </c>
      <c r="W43" s="276" t="str">
        <f>(calcmscfterchf-cmscfterchf)/cmscfterchf</f>
        <v>#DIV/0!</v>
      </c>
      <c r="X43" s="276" t="str">
        <f>(calcmscfterchf-cmscfterchf)/cmscfterchf</f>
        <v>#DIV/0!</v>
      </c>
      <c r="Y43" s="276" t="str">
        <f>(calcmscfterchf-cmscfterchf)/cmscfterchf</f>
        <v>#DIV/0!</v>
      </c>
      <c r="Z43" s="276" t="str">
        <f>(calcmscfterchf-cmscfterchf)/cmscfterchf</f>
        <v>#DIV/0!</v>
      </c>
      <c r="AA43" s="276" t="str">
        <f>(calcmscfterchf-cmscfterchf)/cmscfterchf</f>
        <v>#DIV/0!</v>
      </c>
      <c r="AB43" s="276" t="str">
        <f>(calcmscfterchf-cmscfterchf)/cmscfterchf</f>
        <v>#DIV/0!</v>
      </c>
      <c r="AC43" s="276" t="str">
        <f>(calcmscfterchf-cmscfterchf)/cmscfterchf</f>
        <v>#DIV/0!</v>
      </c>
      <c r="AD43" s="276" t="str">
        <f>(calcmscfterchf-cmscfterchf)/cmscfterchf</f>
        <v>#DIV/0!</v>
      </c>
      <c r="AE43" s="276" t="str">
        <f>(calcmscfterchf-cmscfterchf)/cmscfterchf</f>
        <v>#DIV/0!</v>
      </c>
      <c r="AF43" s="276" t="str">
        <f>(calcmscfterchf-cmscfterchf)/cmscfterchf</f>
        <v>#DIV/0!</v>
      </c>
      <c r="AG43" s="276" t="str">
        <f>(calcmscfterchf-cmscfterchf)/cmscfterchf</f>
        <v>#DIV/0!</v>
      </c>
      <c r="AH43" s="276" t="str">
        <f>(calcmscfterchf-cmscfterchf)/cmscfterchf</f>
        <v>#DIV/0!</v>
      </c>
      <c r="AI43" s="125"/>
      <c r="AJ43" s="100"/>
      <c r="AK43" s="100"/>
      <c r="AL43" s="100"/>
      <c r="AM43" s="100"/>
    </row>
    <row r="44" ht="13.5" customHeight="1" outlineLevel="2">
      <c r="A44" s="195"/>
      <c r="B44" s="331" t="s">
        <v>693</v>
      </c>
      <c r="C44" s="246"/>
      <c r="D44" s="201"/>
      <c r="E44" s="162"/>
      <c r="F44" s="178"/>
      <c r="G44" s="178"/>
      <c r="H44" s="178"/>
      <c r="I44" s="178"/>
      <c r="J44" s="178"/>
      <c r="K44" s="178"/>
      <c r="L44" s="178"/>
      <c r="M44" s="178"/>
      <c r="N44" s="178"/>
      <c r="O44" s="178"/>
      <c r="P44" s="178"/>
      <c r="Q44" s="178"/>
      <c r="R44" s="178"/>
      <c r="S44" s="178"/>
      <c r="T44" s="178"/>
      <c r="U44" s="178"/>
      <c r="V44" s="178"/>
      <c r="W44" s="178"/>
      <c r="X44" s="178"/>
      <c r="Y44" s="178"/>
      <c r="Z44" s="178"/>
      <c r="AA44" s="178"/>
      <c r="AB44" s="178"/>
      <c r="AC44" s="178"/>
      <c r="AD44" s="178"/>
      <c r="AE44" s="178"/>
      <c r="AF44" s="178"/>
      <c r="AG44" s="178"/>
      <c r="AH44" s="178"/>
      <c r="AI44" s="162"/>
      <c r="AJ44" s="100"/>
      <c r="AK44" s="100"/>
      <c r="AL44" s="100"/>
      <c r="AM44" s="100"/>
    </row>
    <row r="45" ht="13.5" customHeight="1" outlineLevel="2">
      <c r="A45" s="195"/>
      <c r="B45" s="201"/>
      <c r="C45" s="246"/>
      <c r="D45" s="201"/>
      <c r="E45" s="327" t="s">
        <v>694</v>
      </c>
      <c r="F45" s="328" t="str">
        <f t="array" ref="F45">IF(SUMPRODUCT(caltoccfterchf*(Years=ProspectiveYears))=0,"Use of partner's results","")</f>
        <v>Use of partner's results</v>
      </c>
      <c r="G45" s="329" t="s">
        <v>1178</v>
      </c>
      <c r="H45" s="317">
        <f>IF(F45="Use of partner's results",1,0)</f>
        <v>1</v>
      </c>
      <c r="I45" s="178"/>
      <c r="J45" s="178"/>
      <c r="K45" s="178"/>
      <c r="L45" s="178"/>
      <c r="M45" s="178"/>
      <c r="N45" s="178"/>
      <c r="O45" s="178"/>
      <c r="P45" s="178"/>
      <c r="Q45" s="178"/>
      <c r="R45" s="178"/>
      <c r="S45" s="178"/>
      <c r="T45" s="178"/>
      <c r="U45" s="178"/>
      <c r="V45" s="178"/>
      <c r="W45" s="178"/>
      <c r="X45" s="178"/>
      <c r="Y45" s="178"/>
      <c r="Z45" s="178"/>
      <c r="AA45" s="178"/>
      <c r="AB45" s="178"/>
      <c r="AC45" s="178"/>
      <c r="AD45" s="178"/>
      <c r="AE45" s="178"/>
      <c r="AF45" s="178"/>
      <c r="AG45" s="178"/>
      <c r="AH45" s="178"/>
      <c r="AI45" s="162"/>
      <c r="AJ45" s="100"/>
      <c r="AK45" s="100"/>
      <c r="AL45" s="100"/>
      <c r="AM45" s="100"/>
    </row>
    <row r="46" ht="14.25" customHeight="1" outlineLevel="1">
      <c r="A46" s="382" t="s">
        <v>696</v>
      </c>
      <c r="B46" s="331"/>
      <c r="C46" s="331"/>
      <c r="D46" s="357"/>
      <c r="E46" s="162"/>
      <c r="F46" s="162"/>
      <c r="G46" s="162"/>
      <c r="H46" s="178"/>
      <c r="I46" s="178"/>
      <c r="J46" s="178"/>
      <c r="K46" s="178"/>
      <c r="L46" s="178"/>
      <c r="M46" s="178"/>
      <c r="N46" s="178"/>
      <c r="O46" s="178"/>
      <c r="P46" s="178"/>
      <c r="Q46" s="178"/>
      <c r="R46" s="178"/>
      <c r="S46" s="178"/>
      <c r="T46" s="178"/>
      <c r="U46" s="178"/>
      <c r="V46" s="178"/>
      <c r="W46" s="178"/>
      <c r="X46" s="178"/>
      <c r="Y46" s="178"/>
      <c r="Z46" s="178"/>
      <c r="AA46" s="178"/>
      <c r="AB46" s="178"/>
      <c r="AC46" s="178"/>
      <c r="AD46" s="178"/>
      <c r="AE46" s="178"/>
      <c r="AF46" s="178"/>
      <c r="AG46" s="178"/>
      <c r="AH46" s="178"/>
      <c r="AI46" s="162"/>
      <c r="AJ46" s="162"/>
      <c r="AK46" s="162"/>
      <c r="AL46" s="162"/>
      <c r="AM46" s="162"/>
    </row>
    <row r="47" ht="13.5" customHeight="1" outlineLevel="2">
      <c r="A47" s="195"/>
      <c r="B47" s="201"/>
      <c r="C47" s="246"/>
      <c r="D47" s="201"/>
      <c r="E47" s="316" t="s">
        <v>1179</v>
      </c>
      <c r="F47" s="316"/>
      <c r="G47" s="316" t="s">
        <v>1180</v>
      </c>
      <c r="H47" s="317" t="str">
        <f>IF(AND(ISBLANK(teqtercliex),ISBLANK(teqterclirv),ISBLANK(teqterclinf)),"NoDis","Dis")</f>
        <v>NoDis</v>
      </c>
      <c r="I47" s="317" t="str">
        <f>IF(AND(ISBLANK(teqtercliex),ISBLANK(teqterclirv),ISBLANK(teqterclinf)),"NoDis","Dis")</f>
        <v>Dis</v>
      </c>
      <c r="J47" s="317" t="str">
        <f>IF(AND(ISBLANK(teqtercliex),ISBLANK(teqterclirv),ISBLANK(teqterclinf)),"NoDis","Dis")</f>
        <v>Dis</v>
      </c>
      <c r="K47" s="317" t="str">
        <f>IF(AND(ISBLANK(teqtercliex),ISBLANK(teqterclirv),ISBLANK(teqterclinf)),"NoDis","Dis")</f>
        <v>Dis</v>
      </c>
      <c r="L47" s="317" t="str">
        <f>IF(AND(ISBLANK(teqtercliex),ISBLANK(teqterclirv),ISBLANK(teqterclinf)),"NoDis","Dis")</f>
        <v>Dis</v>
      </c>
      <c r="M47" s="317" t="str">
        <f>IF(AND(ISBLANK(teqtercliex),ISBLANK(teqterclirv),ISBLANK(teqterclinf)),"NoDis","Dis")</f>
        <v>Dis</v>
      </c>
      <c r="N47" s="317" t="str">
        <f>IF(AND(ISBLANK(teqtercliex),ISBLANK(teqterclirv),ISBLANK(teqterclinf)),"NoDis","Dis")</f>
        <v>Dis</v>
      </c>
      <c r="O47" s="317" t="str">
        <f>IF(AND(ISBLANK(teqtercliex),ISBLANK(teqterclirv),ISBLANK(teqterclinf)),"NoDis","Dis")</f>
        <v>Dis</v>
      </c>
      <c r="P47" s="317" t="str">
        <f>IF(AND(ISBLANK(teqtercliex),ISBLANK(teqterclirv),ISBLANK(teqterclinf)),"NoDis","Dis")</f>
        <v>Dis</v>
      </c>
      <c r="Q47" s="317" t="str">
        <f>IF(AND(ISBLANK(teqtercliex),ISBLANK(teqterclirv),ISBLANK(teqterclinf)),"NoDis","Dis")</f>
        <v>Dis</v>
      </c>
      <c r="R47" s="317" t="str">
        <f>IF(AND(ISBLANK(teqtercliex),ISBLANK(teqterclirv),ISBLANK(teqterclinf)),"NoDis","Dis")</f>
        <v>Dis</v>
      </c>
      <c r="S47" s="317" t="str">
        <f>IF(AND(ISBLANK(teqtercliex),ISBLANK(teqterclirv),ISBLANK(teqterclinf)),"NoDis","Dis")</f>
        <v>Dis</v>
      </c>
      <c r="T47" s="317" t="str">
        <f>IF(AND(ISBLANK(teqtercliex),ISBLANK(teqterclirv),ISBLANK(teqterclinf)),"NoDis","Dis")</f>
        <v>Dis</v>
      </c>
      <c r="U47" s="317" t="str">
        <f>IF(AND(ISBLANK(teqtercliex),ISBLANK(teqterclirv),ISBLANK(teqterclinf)),"NoDis","Dis")</f>
        <v>Dis</v>
      </c>
      <c r="V47" s="317" t="str">
        <f>IF(AND(ISBLANK(teqtercliex),ISBLANK(teqterclirv),ISBLANK(teqterclinf)),"NoDis","Dis")</f>
        <v>Dis</v>
      </c>
      <c r="W47" s="317" t="str">
        <f>IF(AND(ISBLANK(teqtercliex),ISBLANK(teqterclirv),ISBLANK(teqterclinf)),"NoDis","Dis")</f>
        <v>Dis</v>
      </c>
      <c r="X47" s="317" t="str">
        <f>IF(AND(ISBLANK(teqtercliex),ISBLANK(teqterclirv),ISBLANK(teqterclinf)),"NoDis","Dis")</f>
        <v>NoDis</v>
      </c>
      <c r="Y47" s="317" t="str">
        <f>IF(AND(ISBLANK(teqtercliex),ISBLANK(teqterclirv),ISBLANK(teqterclinf)),"NoDis","Dis")</f>
        <v>NoDis</v>
      </c>
      <c r="Z47" s="317" t="str">
        <f>IF(AND(ISBLANK(teqtercliex),ISBLANK(teqterclirv),ISBLANK(teqterclinf)),"NoDis","Dis")</f>
        <v>NoDis</v>
      </c>
      <c r="AA47" s="317" t="str">
        <f>IF(AND(ISBLANK(teqtercliex),ISBLANK(teqterclirv),ISBLANK(teqterclinf)),"NoDis","Dis")</f>
        <v>NoDis</v>
      </c>
      <c r="AB47" s="317" t="str">
        <f>IF(AND(ISBLANK(teqtercliex),ISBLANK(teqterclirv),ISBLANK(teqterclinf)),"NoDis","Dis")</f>
        <v>NoDis</v>
      </c>
      <c r="AC47" s="317" t="str">
        <f>IF(AND(ISBLANK(teqtercliex),ISBLANK(teqterclirv),ISBLANK(teqterclinf)),"NoDis","Dis")</f>
        <v>NoDis</v>
      </c>
      <c r="AD47" s="317" t="str">
        <f>IF(AND(ISBLANK(teqtercliex),ISBLANK(teqterclirv),ISBLANK(teqterclinf)),"NoDis","Dis")</f>
        <v>NoDis</v>
      </c>
      <c r="AE47" s="317" t="str">
        <f>IF(AND(ISBLANK(teqtercliex),ISBLANK(teqterclirv),ISBLANK(teqterclinf)),"NoDis","Dis")</f>
        <v>NoDis</v>
      </c>
      <c r="AF47" s="317" t="str">
        <f>IF(AND(ISBLANK(teqtercliex),ISBLANK(teqterclirv),ISBLANK(teqterclinf)),"NoDis","Dis")</f>
        <v>NoDis</v>
      </c>
      <c r="AG47" s="317" t="str">
        <f>IF(AND(ISBLANK(teqtercliex),ISBLANK(teqterclirv),ISBLANK(teqterclinf)),"NoDis","Dis")</f>
        <v>NoDis</v>
      </c>
      <c r="AH47" s="317" t="str">
        <f>IF(AND(ISBLANK(teqtercliex),ISBLANK(teqterclirv),ISBLANK(teqterclinf)),"NoDis","Dis")</f>
        <v>NoDis</v>
      </c>
      <c r="AI47" s="125"/>
      <c r="AJ47" s="100"/>
      <c r="AK47" s="100"/>
      <c r="AL47" s="100"/>
      <c r="AM47" s="100"/>
    </row>
    <row r="48" ht="13.5" customHeight="1" outlineLevel="2">
      <c r="A48" s="195"/>
      <c r="B48" s="201"/>
      <c r="C48" s="246"/>
      <c r="D48" s="201"/>
      <c r="E48" s="316" t="s">
        <v>1181</v>
      </c>
      <c r="F48" s="316"/>
      <c r="G48" s="316" t="s">
        <v>1182</v>
      </c>
      <c r="H48" s="317" t="str">
        <f>IF(AND(ISBLANK(cfmterexcli),ISBLANK(cfmterrvcli),ISBLANK(cfmternfcli)),"NoDis","Dis")</f>
        <v>NoDis</v>
      </c>
      <c r="I48" s="317" t="str">
        <f>IF(AND(ISBLANK(cfmterexcli),ISBLANK(cfmterrvcli),ISBLANK(cfmternfcli)),"NoDis","Dis")</f>
        <v>NoDis</v>
      </c>
      <c r="J48" s="317" t="str">
        <f>IF(AND(ISBLANK(cfmterexcli),ISBLANK(cfmterrvcli),ISBLANK(cfmternfcli)),"NoDis","Dis")</f>
        <v>NoDis</v>
      </c>
      <c r="K48" s="317" t="str">
        <f>IF(AND(ISBLANK(cfmterexcli),ISBLANK(cfmterrvcli),ISBLANK(cfmternfcli)),"NoDis","Dis")</f>
        <v>NoDis</v>
      </c>
      <c r="L48" s="317" t="str">
        <f>IF(AND(ISBLANK(cfmterexcli),ISBLANK(cfmterrvcli),ISBLANK(cfmternfcli)),"NoDis","Dis")</f>
        <v>NoDis</v>
      </c>
      <c r="M48" s="317" t="str">
        <f>IF(AND(ISBLANK(cfmterexcli),ISBLANK(cfmterrvcli),ISBLANK(cfmternfcli)),"NoDis","Dis")</f>
        <v>NoDis</v>
      </c>
      <c r="N48" s="317" t="str">
        <f>IF(AND(ISBLANK(cfmterexcli),ISBLANK(cfmterrvcli),ISBLANK(cfmternfcli)),"NoDis","Dis")</f>
        <v>NoDis</v>
      </c>
      <c r="O48" s="317" t="str">
        <f>IF(AND(ISBLANK(cfmterexcli),ISBLANK(cfmterrvcli),ISBLANK(cfmternfcli)),"NoDis","Dis")</f>
        <v>NoDis</v>
      </c>
      <c r="P48" s="317" t="str">
        <f>IF(AND(ISBLANK(cfmterexcli),ISBLANK(cfmterrvcli),ISBLANK(cfmternfcli)),"NoDis","Dis")</f>
        <v>NoDis</v>
      </c>
      <c r="Q48" s="317" t="str">
        <f>IF(AND(ISBLANK(cfmterexcli),ISBLANK(cfmterrvcli),ISBLANK(cfmternfcli)),"NoDis","Dis")</f>
        <v>NoDis</v>
      </c>
      <c r="R48" s="317" t="str">
        <f>IF(AND(ISBLANK(cfmterexcli),ISBLANK(cfmterrvcli),ISBLANK(cfmternfcli)),"NoDis","Dis")</f>
        <v>NoDis</v>
      </c>
      <c r="S48" s="317" t="str">
        <f>IF(AND(ISBLANK(cfmterexcli),ISBLANK(cfmterrvcli),ISBLANK(cfmternfcli)),"NoDis","Dis")</f>
        <v>NoDis</v>
      </c>
      <c r="T48" s="317" t="str">
        <f>IF(AND(ISBLANK(cfmterexcli),ISBLANK(cfmterrvcli),ISBLANK(cfmternfcli)),"NoDis","Dis")</f>
        <v>NoDis</v>
      </c>
      <c r="U48" s="317" t="str">
        <f>IF(AND(ISBLANK(cfmterexcli),ISBLANK(cfmterrvcli),ISBLANK(cfmternfcli)),"NoDis","Dis")</f>
        <v>NoDis</v>
      </c>
      <c r="V48" s="317" t="str">
        <f>IF(AND(ISBLANK(cfmterexcli),ISBLANK(cfmterrvcli),ISBLANK(cfmternfcli)),"NoDis","Dis")</f>
        <v>NoDis</v>
      </c>
      <c r="W48" s="317" t="str">
        <f>IF(AND(ISBLANK(cfmterexcli),ISBLANK(cfmterrvcli),ISBLANK(cfmternfcli)),"NoDis","Dis")</f>
        <v>NoDis</v>
      </c>
      <c r="X48" s="317" t="str">
        <f>IF(AND(ISBLANK(cfmterexcli),ISBLANK(cfmterrvcli),ISBLANK(cfmternfcli)),"NoDis","Dis")</f>
        <v>NoDis</v>
      </c>
      <c r="Y48" s="317" t="str">
        <f>IF(AND(ISBLANK(cfmterexcli),ISBLANK(cfmterrvcli),ISBLANK(cfmternfcli)),"NoDis","Dis")</f>
        <v>NoDis</v>
      </c>
      <c r="Z48" s="317" t="str">
        <f>IF(AND(ISBLANK(cfmterexcli),ISBLANK(cfmterrvcli),ISBLANK(cfmternfcli)),"NoDis","Dis")</f>
        <v>NoDis</v>
      </c>
      <c r="AA48" s="317" t="str">
        <f>IF(AND(ISBLANK(cfmterexcli),ISBLANK(cfmterrvcli),ISBLANK(cfmternfcli)),"NoDis","Dis")</f>
        <v>NoDis</v>
      </c>
      <c r="AB48" s="317" t="str">
        <f>IF(AND(ISBLANK(cfmterexcli),ISBLANK(cfmterrvcli),ISBLANK(cfmternfcli)),"NoDis","Dis")</f>
        <v>NoDis</v>
      </c>
      <c r="AC48" s="317" t="str">
        <f>IF(AND(ISBLANK(cfmterexcli),ISBLANK(cfmterrvcli),ISBLANK(cfmternfcli)),"NoDis","Dis")</f>
        <v>NoDis</v>
      </c>
      <c r="AD48" s="317" t="str">
        <f>IF(AND(ISBLANK(cfmterexcli),ISBLANK(cfmterrvcli),ISBLANK(cfmternfcli)),"NoDis","Dis")</f>
        <v>NoDis</v>
      </c>
      <c r="AE48" s="317" t="str">
        <f>IF(AND(ISBLANK(cfmterexcli),ISBLANK(cfmterrvcli),ISBLANK(cfmternfcli)),"NoDis","Dis")</f>
        <v>NoDis</v>
      </c>
      <c r="AF48" s="317" t="str">
        <f>IF(AND(ISBLANK(cfmterexcli),ISBLANK(cfmterrvcli),ISBLANK(cfmternfcli)),"NoDis","Dis")</f>
        <v>NoDis</v>
      </c>
      <c r="AG48" s="317" t="str">
        <f>IF(AND(ISBLANK(cfmterexcli),ISBLANK(cfmterrvcli),ISBLANK(cfmternfcli)),"NoDis","Dis")</f>
        <v>NoDis</v>
      </c>
      <c r="AH48" s="317" t="str">
        <f>IF(AND(ISBLANK(cfmterexcli),ISBLANK(cfmterrvcli),ISBLANK(cfmternfcli)),"NoDis","Dis")</f>
        <v>NoDis</v>
      </c>
      <c r="AI48" s="125"/>
      <c r="AJ48" s="100"/>
      <c r="AK48" s="100"/>
      <c r="AL48" s="100"/>
      <c r="AM48" s="100"/>
    </row>
    <row r="49" ht="14.25" customHeight="1" outlineLevel="2">
      <c r="A49" s="195"/>
      <c r="B49" s="331" t="s">
        <v>1183</v>
      </c>
      <c r="C49" s="323"/>
      <c r="D49" s="323"/>
      <c r="E49" s="323"/>
      <c r="F49" s="162"/>
      <c r="G49" s="162"/>
      <c r="H49" s="178"/>
      <c r="I49" s="178"/>
      <c r="J49" s="178"/>
      <c r="K49" s="178"/>
      <c r="L49" s="178"/>
      <c r="M49" s="178"/>
      <c r="N49" s="178"/>
      <c r="O49" s="178"/>
      <c r="P49" s="178"/>
      <c r="Q49" s="178"/>
      <c r="R49" s="178"/>
      <c r="S49" s="178"/>
      <c r="T49" s="178"/>
      <c r="U49" s="178"/>
      <c r="V49" s="178"/>
      <c r="W49" s="178"/>
      <c r="X49" s="178"/>
      <c r="Y49" s="178"/>
      <c r="Z49" s="178"/>
      <c r="AA49" s="178"/>
      <c r="AB49" s="178"/>
      <c r="AC49" s="178"/>
      <c r="AD49" s="178"/>
      <c r="AE49" s="178"/>
      <c r="AF49" s="178"/>
      <c r="AG49" s="178"/>
      <c r="AH49" s="178"/>
      <c r="AI49" s="162"/>
      <c r="AJ49" s="100"/>
      <c r="AK49" s="100"/>
      <c r="AL49" s="100"/>
      <c r="AM49" s="100"/>
    </row>
    <row r="50" ht="14.25" customHeight="1" outlineLevel="3">
      <c r="A50" s="195"/>
      <c r="B50" s="201"/>
      <c r="C50" s="201"/>
      <c r="D50" s="201"/>
      <c r="E50" s="273" t="s">
        <v>1184</v>
      </c>
      <c r="F50" s="123" t="s">
        <v>135</v>
      </c>
      <c r="G50" s="123" t="s">
        <v>1185</v>
      </c>
      <c r="H50" s="274">
        <f>M*calsurterexnr*teqtercliex*k*cfmterexcli/T</f>
        <v>0</v>
      </c>
      <c r="I50" s="274">
        <f>M*calsurterexnr*teqtercliex*k*cfmterexcli/T</f>
        <v>0</v>
      </c>
      <c r="J50" s="274">
        <f>M*calsurterexnr*teqtercliex*k*cfmterexcli/T</f>
        <v>0</v>
      </c>
      <c r="K50" s="274">
        <f>M*calsurterexnr*teqtercliex*k*cfmterexcli/T</f>
        <v>0</v>
      </c>
      <c r="L50" s="274">
        <f>M*calsurterexnr*teqtercliex*k*cfmterexcli/T</f>
        <v>0</v>
      </c>
      <c r="M50" s="274">
        <f>M*calsurterexnr*teqtercliex*k*cfmterexcli/T</f>
        <v>0</v>
      </c>
      <c r="N50" s="274">
        <f>M*calsurterexnr*teqtercliex*k*cfmterexcli/T</f>
        <v>0</v>
      </c>
      <c r="O50" s="274">
        <f>M*calsurterexnr*teqtercliex*k*cfmterexcli/T</f>
        <v>0</v>
      </c>
      <c r="P50" s="274">
        <f>M*calsurterexnr*teqtercliex*k*cfmterexcli/T</f>
        <v>0</v>
      </c>
      <c r="Q50" s="274">
        <f>M*calsurterexnr*teqtercliex*k*cfmterexcli/T</f>
        <v>0</v>
      </c>
      <c r="R50" s="274">
        <f>M*calsurterexnr*teqtercliex*k*cfmterexcli/T</f>
        <v>0</v>
      </c>
      <c r="S50" s="274">
        <f>M*calsurterexnr*teqtercliex*k*cfmterexcli/T</f>
        <v>0</v>
      </c>
      <c r="T50" s="274">
        <f>M*calsurterexnr*teqtercliex*k*cfmterexcli/T</f>
        <v>0</v>
      </c>
      <c r="U50" s="274">
        <f>M*calsurterexnr*teqtercliex*k*cfmterexcli/T</f>
        <v>0</v>
      </c>
      <c r="V50" s="274">
        <f>M*calsurterexnr*teqtercliex*k*cfmterexcli/T</f>
        <v>0</v>
      </c>
      <c r="W50" s="274">
        <f>M*calsurterexnr*teqtercliex*k*cfmterexcli/T</f>
        <v>0</v>
      </c>
      <c r="X50" s="274">
        <f>M*calsurterexnr*teqtercliex*k*cfmterexcli/T</f>
        <v>0</v>
      </c>
      <c r="Y50" s="274">
        <f>M*calsurterexnr*teqtercliex*k*cfmterexcli/T</f>
        <v>0</v>
      </c>
      <c r="Z50" s="274">
        <f>M*calsurterexnr*teqtercliex*k*cfmterexcli/T</f>
        <v>0</v>
      </c>
      <c r="AA50" s="274">
        <f>M*calsurterexnr*teqtercliex*k*cfmterexcli/T</f>
        <v>0</v>
      </c>
      <c r="AB50" s="274">
        <f>M*calsurterexnr*teqtercliex*k*cfmterexcli/T</f>
        <v>0</v>
      </c>
      <c r="AC50" s="274">
        <f>M*calsurterexnr*teqtercliex*k*cfmterexcli/T</f>
        <v>0</v>
      </c>
      <c r="AD50" s="274">
        <f>M*calsurterexnr*teqtercliex*k*cfmterexcli/T</f>
        <v>0</v>
      </c>
      <c r="AE50" s="274">
        <f>M*calsurterexnr*teqtercliex*k*cfmterexcli/T</f>
        <v>0</v>
      </c>
      <c r="AF50" s="274">
        <f>M*calsurterexnr*teqtercliex*k*cfmterexcli/T</f>
        <v>0</v>
      </c>
      <c r="AG50" s="274">
        <f>M*calsurterexnr*teqtercliex*k*cfmterexcli/T</f>
        <v>0</v>
      </c>
      <c r="AH50" s="274">
        <f>M*calsurterexnr*teqtercliex*k*cfmterexcli/T</f>
        <v>0</v>
      </c>
      <c r="AI50" s="318"/>
      <c r="AJ50" s="100"/>
      <c r="AK50" s="100"/>
      <c r="AL50" s="100"/>
      <c r="AM50" s="100"/>
    </row>
    <row r="51" ht="14.25" customHeight="1" outlineLevel="3">
      <c r="A51" s="195"/>
      <c r="B51" s="201"/>
      <c r="C51" s="201"/>
      <c r="D51" s="201"/>
      <c r="E51" s="273" t="s">
        <v>1186</v>
      </c>
      <c r="F51" s="123" t="s">
        <v>135</v>
      </c>
      <c r="G51" s="123" t="s">
        <v>1187</v>
      </c>
      <c r="H51" s="274">
        <f>M*calsurterexrv*teqterclirv*k*cfmterrvcli/T</f>
        <v>0</v>
      </c>
      <c r="I51" s="274">
        <f>M*calsurterexrv*teqterclirv*k*cfmterrvcli/T</f>
        <v>0</v>
      </c>
      <c r="J51" s="274">
        <f>M*calsurterexrv*teqterclirv*k*cfmterrvcli/T</f>
        <v>0</v>
      </c>
      <c r="K51" s="274">
        <f>M*calsurterexrv*teqterclirv*k*cfmterrvcli/T</f>
        <v>0</v>
      </c>
      <c r="L51" s="274">
        <f>M*calsurterexrv*teqterclirv*k*cfmterrvcli/T</f>
        <v>0</v>
      </c>
      <c r="M51" s="274">
        <f>M*calsurterexrv*teqterclirv*k*cfmterrvcli/T</f>
        <v>0</v>
      </c>
      <c r="N51" s="274">
        <f>M*calsurterexrv*teqterclirv*k*cfmterrvcli/T</f>
        <v>0</v>
      </c>
      <c r="O51" s="274">
        <f>M*calsurterexrv*teqterclirv*k*cfmterrvcli/T</f>
        <v>0</v>
      </c>
      <c r="P51" s="274">
        <f>M*calsurterexrv*teqterclirv*k*cfmterrvcli/T</f>
        <v>0</v>
      </c>
      <c r="Q51" s="274">
        <f>M*calsurterexrv*teqterclirv*k*cfmterrvcli/T</f>
        <v>0</v>
      </c>
      <c r="R51" s="274">
        <f>M*calsurterexrv*teqterclirv*k*cfmterrvcli/T</f>
        <v>0</v>
      </c>
      <c r="S51" s="274">
        <f>M*calsurterexrv*teqterclirv*k*cfmterrvcli/T</f>
        <v>0</v>
      </c>
      <c r="T51" s="274">
        <f>M*calsurterexrv*teqterclirv*k*cfmterrvcli/T</f>
        <v>0</v>
      </c>
      <c r="U51" s="274">
        <f>M*calsurterexrv*teqterclirv*k*cfmterrvcli/T</f>
        <v>0</v>
      </c>
      <c r="V51" s="274">
        <f>M*calsurterexrv*teqterclirv*k*cfmterrvcli/T</f>
        <v>0</v>
      </c>
      <c r="W51" s="274">
        <f>M*calsurterexrv*teqterclirv*k*cfmterrvcli/T</f>
        <v>0</v>
      </c>
      <c r="X51" s="274">
        <f>M*calsurterexrv*teqterclirv*k*cfmterrvcli/T</f>
        <v>0</v>
      </c>
      <c r="Y51" s="274">
        <f>M*calsurterexrv*teqterclirv*k*cfmterrvcli/T</f>
        <v>0</v>
      </c>
      <c r="Z51" s="274">
        <f>M*calsurterexrv*teqterclirv*k*cfmterrvcli/T</f>
        <v>0</v>
      </c>
      <c r="AA51" s="274">
        <f>M*calsurterexrv*teqterclirv*k*cfmterrvcli/T</f>
        <v>0</v>
      </c>
      <c r="AB51" s="274">
        <f>M*calsurterexrv*teqterclirv*k*cfmterrvcli/T</f>
        <v>0</v>
      </c>
      <c r="AC51" s="274">
        <f>M*calsurterexrv*teqterclirv*k*cfmterrvcli/T</f>
        <v>0</v>
      </c>
      <c r="AD51" s="274">
        <f>M*calsurterexrv*teqterclirv*k*cfmterrvcli/T</f>
        <v>0</v>
      </c>
      <c r="AE51" s="274">
        <f>M*calsurterexrv*teqterclirv*k*cfmterrvcli/T</f>
        <v>0</v>
      </c>
      <c r="AF51" s="274">
        <f>M*calsurterexrv*teqterclirv*k*cfmterrvcli/T</f>
        <v>0</v>
      </c>
      <c r="AG51" s="274">
        <f>M*calsurterexrv*teqterclirv*k*cfmterrvcli/T</f>
        <v>0</v>
      </c>
      <c r="AH51" s="274">
        <f>M*calsurterexrv*teqterclirv*k*cfmterrvcli/T</f>
        <v>0</v>
      </c>
      <c r="AI51" s="318"/>
      <c r="AJ51" s="100"/>
      <c r="AK51" s="100"/>
      <c r="AL51" s="100"/>
      <c r="AM51" s="100"/>
    </row>
    <row r="52" ht="14.25" customHeight="1" outlineLevel="3">
      <c r="A52" s="195"/>
      <c r="B52" s="201"/>
      <c r="C52" s="201"/>
      <c r="D52" s="201"/>
      <c r="E52" s="273" t="s">
        <v>1188</v>
      </c>
      <c r="F52" s="249" t="s">
        <v>135</v>
      </c>
      <c r="G52" s="123" t="s">
        <v>1189</v>
      </c>
      <c r="H52" s="274">
        <f>M*surternf*teqterclinf*k*cfmternfcli/T</f>
        <v>0</v>
      </c>
      <c r="I52" s="274">
        <f>M*surternf*teqterclinf*k*cfmternfcli/T</f>
        <v>0</v>
      </c>
      <c r="J52" s="274">
        <f>M*surternf*teqterclinf*k*cfmternfcli/T</f>
        <v>0</v>
      </c>
      <c r="K52" s="274">
        <f>M*surternf*teqterclinf*k*cfmternfcli/T</f>
        <v>0</v>
      </c>
      <c r="L52" s="274">
        <f>M*surternf*teqterclinf*k*cfmternfcli/T</f>
        <v>0</v>
      </c>
      <c r="M52" s="274">
        <f>M*surternf*teqterclinf*k*cfmternfcli/T</f>
        <v>0</v>
      </c>
      <c r="N52" s="274">
        <f>M*surternf*teqterclinf*k*cfmternfcli/T</f>
        <v>0</v>
      </c>
      <c r="O52" s="274">
        <f>M*surternf*teqterclinf*k*cfmternfcli/T</f>
        <v>0</v>
      </c>
      <c r="P52" s="274">
        <f>M*surternf*teqterclinf*k*cfmternfcli/T</f>
        <v>0</v>
      </c>
      <c r="Q52" s="274">
        <f>M*surternf*teqterclinf*k*cfmternfcli/T</f>
        <v>0</v>
      </c>
      <c r="R52" s="274">
        <f>M*surternf*teqterclinf*k*cfmternfcli/T</f>
        <v>0</v>
      </c>
      <c r="S52" s="274">
        <f>M*surternf*teqterclinf*k*cfmternfcli/T</f>
        <v>0</v>
      </c>
      <c r="T52" s="274">
        <f>M*surternf*teqterclinf*k*cfmternfcli/T</f>
        <v>0</v>
      </c>
      <c r="U52" s="274">
        <f>M*surternf*teqterclinf*k*cfmternfcli/T</f>
        <v>0</v>
      </c>
      <c r="V52" s="274">
        <f>M*surternf*teqterclinf*k*cfmternfcli/T</f>
        <v>0</v>
      </c>
      <c r="W52" s="274">
        <f>M*surternf*teqterclinf*k*cfmternfcli/T</f>
        <v>0</v>
      </c>
      <c r="X52" s="274">
        <f>M*surternf*teqterclinf*k*cfmternfcli/T</f>
        <v>0</v>
      </c>
      <c r="Y52" s="274">
        <f>M*surternf*teqterclinf*k*cfmternfcli/T</f>
        <v>0</v>
      </c>
      <c r="Z52" s="274">
        <f>M*surternf*teqterclinf*k*cfmternfcli/T</f>
        <v>0</v>
      </c>
      <c r="AA52" s="274">
        <f>M*surternf*teqterclinf*k*cfmternfcli/T</f>
        <v>0</v>
      </c>
      <c r="AB52" s="274">
        <f>M*surternf*teqterclinf*k*cfmternfcli/T</f>
        <v>0</v>
      </c>
      <c r="AC52" s="274">
        <f>M*surternf*teqterclinf*k*cfmternfcli/T</f>
        <v>0</v>
      </c>
      <c r="AD52" s="274">
        <f>M*surternf*teqterclinf*k*cfmternfcli/T</f>
        <v>0</v>
      </c>
      <c r="AE52" s="274">
        <f>M*surternf*teqterclinf*k*cfmternfcli/T</f>
        <v>0</v>
      </c>
      <c r="AF52" s="274">
        <f>M*surternf*teqterclinf*k*cfmternfcli/T</f>
        <v>0</v>
      </c>
      <c r="AG52" s="274">
        <f>M*surternf*teqterclinf*k*cfmternfcli/T</f>
        <v>0</v>
      </c>
      <c r="AH52" s="274">
        <f>M*surternf*teqterclinf*k*cfmternfcli/T</f>
        <v>0</v>
      </c>
      <c r="AI52" s="318"/>
      <c r="AJ52" s="100"/>
      <c r="AK52" s="100"/>
      <c r="AL52" s="100"/>
      <c r="AM52" s="100"/>
    </row>
    <row r="53" ht="14.25" customHeight="1" outlineLevel="3">
      <c r="A53" s="195"/>
      <c r="B53" s="201"/>
      <c r="C53" s="201"/>
      <c r="D53" s="201"/>
      <c r="E53" s="299" t="s">
        <v>1190</v>
      </c>
      <c r="F53" s="123" t="s">
        <v>135</v>
      </c>
      <c r="G53" s="123" t="s">
        <v>1191</v>
      </c>
      <c r="H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I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J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K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L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M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N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O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P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Q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R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S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T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U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V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W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X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Y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Z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AA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AB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AC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AD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AE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AF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AG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AH53" s="330">
        <f>IF(AND(crdeqrtercli="NoDis",crdclntercli="NoDis"),teqtercli*M*surter*k*cfmtercli/T,IF(crdeqrtercli="NoDis",teqtercli*M*k*(calsurterexnr*cfmterexcli+calsurterexrv*cfmterrvcli+surternf*cfmternfcli)/T,IF(crdclntercli="NoDis",(teqtercliex*calsurterexnr+teqterclirv*calsurterexrv+teqterclinf*surternf)*M*k*cfmtercli/T,calcuterexcli+calcuterrvcli+calcuternfcli)))</f>
        <v>0</v>
      </c>
      <c r="AI53" s="318"/>
      <c r="AJ53" s="100"/>
      <c r="AK53" s="100"/>
      <c r="AL53" s="100"/>
      <c r="AM53" s="100"/>
    </row>
    <row r="54" ht="14.25" customHeight="1" outlineLevel="2">
      <c r="A54" s="195"/>
      <c r="B54" s="331" t="s">
        <v>714</v>
      </c>
      <c r="C54" s="323"/>
      <c r="D54" s="323"/>
      <c r="E54" s="323"/>
      <c r="F54" s="162"/>
      <c r="G54" s="162"/>
      <c r="H54" s="178"/>
      <c r="I54" s="178"/>
      <c r="J54" s="178"/>
      <c r="K54" s="178"/>
      <c r="L54" s="178"/>
      <c r="M54" s="178"/>
      <c r="N54" s="178"/>
      <c r="O54" s="178"/>
      <c r="P54" s="178"/>
      <c r="Q54" s="178"/>
      <c r="R54" s="178"/>
      <c r="S54" s="178"/>
      <c r="T54" s="178"/>
      <c r="U54" s="178"/>
      <c r="V54" s="178"/>
      <c r="W54" s="178"/>
      <c r="X54" s="178"/>
      <c r="Y54" s="178"/>
      <c r="Z54" s="178"/>
      <c r="AA54" s="178"/>
      <c r="AB54" s="178"/>
      <c r="AC54" s="178"/>
      <c r="AD54" s="178"/>
      <c r="AE54" s="178"/>
      <c r="AF54" s="178"/>
      <c r="AG54" s="178"/>
      <c r="AH54" s="178"/>
      <c r="AI54" s="162"/>
      <c r="AJ54" s="100"/>
      <c r="AK54" s="100"/>
      <c r="AL54" s="100"/>
      <c r="AM54" s="100"/>
    </row>
    <row r="55" ht="14.25" customHeight="1" outlineLevel="3">
      <c r="A55" s="195"/>
      <c r="B55" s="201"/>
      <c r="C55" s="201"/>
      <c r="D55" s="201"/>
      <c r="E55" s="299" t="s">
        <v>959</v>
      </c>
      <c r="F55" s="123" t="s">
        <v>135</v>
      </c>
      <c r="G55" s="123" t="s">
        <v>960</v>
      </c>
      <c r="H55" s="274">
        <f>IF(crdalitercli=1,elccftercli,calelccftercli)+vapcftercli+sthcftercli</f>
        <v>0.1456412746</v>
      </c>
      <c r="I55" s="274">
        <f>IF(crdalitercli=1,elccftercli,calelccftercli)+vapcftercli+sthcftercli</f>
        <v>0.1881985256</v>
      </c>
      <c r="J55" s="274">
        <f>IF(crdalitercli=1,elccftercli,calelccftercli)+vapcftercli+sthcftercli</f>
        <v>0.2576670141</v>
      </c>
      <c r="K55" s="274">
        <f>IF(crdalitercli=1,elccftercli,calelccftercli)+vapcftercli+sthcftercli</f>
        <v>0.3073400037</v>
      </c>
      <c r="L55" s="274">
        <f>IF(crdalitercli=1,elccftercli,calelccftercli)+vapcftercli+sthcftercli</f>
        <v>0.3761380301</v>
      </c>
      <c r="M55" s="274">
        <f>IF(crdalitercli=1,elccftercli,calelccftercli)+vapcftercli+sthcftercli</f>
        <v>0.4552441831</v>
      </c>
      <c r="N55" s="274">
        <f>IF(crdalitercli=1,elccftercli,calelccftercli)+vapcftercli+sthcftercli</f>
        <v>0.5423298414</v>
      </c>
      <c r="O55" s="274">
        <f>IF(crdalitercli=1,elccftercli,calelccftercli)+vapcftercli+sthcftercli</f>
        <v>0.6519372997</v>
      </c>
      <c r="P55" s="274">
        <f>IF(crdalitercli=1,elccftercli,calelccftercli)+vapcftercli+sthcftercli</f>
        <v>0.7345674679</v>
      </c>
      <c r="Q55" s="274">
        <f>IF(crdalitercli=1,elccftercli,calelccftercli)+vapcftercli+sthcftercli</f>
        <v>0.8177501226</v>
      </c>
      <c r="R55" s="274">
        <f>IF(crdalitercli=1,elccftercli,calelccftercli)+vapcftercli+sthcftercli</f>
        <v>0.9138826805</v>
      </c>
      <c r="S55" s="274">
        <f>IF(crdalitercli=1,elccftercli,calelccftercli)+vapcftercli+sthcftercli</f>
        <v>0.9277682359</v>
      </c>
      <c r="T55" s="274">
        <f>IF(crdalitercli=1,elccftercli,calelccftercli)+vapcftercli+sthcftercli</f>
        <v>0.9205123514</v>
      </c>
      <c r="U55" s="274">
        <f>IF(crdalitercli=1,elccftercli,calelccftercli)+vapcftercli+sthcftercli</f>
        <v>0.9155357255</v>
      </c>
      <c r="V55" s="274">
        <f>IF(crdalitercli=1,elccftercli,calelccftercli)+vapcftercli+sthcftercli</f>
        <v>0.9286942695</v>
      </c>
      <c r="W55" s="274">
        <f>IF(crdalitercli=1,elccftercli,calelccftercli)+vapcftercli+sthcftercli</f>
        <v>0.92284156</v>
      </c>
      <c r="X55" s="274">
        <f>IF(crdalitercli=1,elccftercli,calelccftercli)+vapcftercli+sthcftercli</f>
        <v>0</v>
      </c>
      <c r="Y55" s="274">
        <f>IF(crdalitercli=1,elccftercli,calelccftercli)+vapcftercli+sthcftercli</f>
        <v>0</v>
      </c>
      <c r="Z55" s="274">
        <f>IF(crdalitercli=1,elccftercli,calelccftercli)+vapcftercli+sthcftercli</f>
        <v>0</v>
      </c>
      <c r="AA55" s="274">
        <f>IF(crdalitercli=1,elccftercli,calelccftercli)+vapcftercli+sthcftercli</f>
        <v>0</v>
      </c>
      <c r="AB55" s="274">
        <f>IF(crdalitercli=1,elccftercli,calelccftercli)+vapcftercli+sthcftercli</f>
        <v>0</v>
      </c>
      <c r="AC55" s="274">
        <f>IF(crdalitercli=1,elccftercli,calelccftercli)+vapcftercli+sthcftercli</f>
        <v>0</v>
      </c>
      <c r="AD55" s="274">
        <f>IF(crdalitercli=1,elccftercli,calelccftercli)+vapcftercli+sthcftercli</f>
        <v>0</v>
      </c>
      <c r="AE55" s="274">
        <f>IF(crdalitercli=1,elccftercli,calelccftercli)+vapcftercli+sthcftercli</f>
        <v>0</v>
      </c>
      <c r="AF55" s="274">
        <f>IF(crdalitercli=1,elccftercli,calelccftercli)+vapcftercli+sthcftercli</f>
        <v>0</v>
      </c>
      <c r="AG55" s="274">
        <f>IF(crdalitercli=1,elccftercli,calelccftercli)+vapcftercli+sthcftercli</f>
        <v>0</v>
      </c>
      <c r="AH55" s="274">
        <f>IF(crdalitercli=1,elccftercli,calelccftercli)+vapcftercli+sthcftercli</f>
        <v>0</v>
      </c>
      <c r="AI55" s="318"/>
      <c r="AJ55" s="100"/>
      <c r="AK55" s="100"/>
      <c r="AL55" s="100"/>
      <c r="AM55" s="100"/>
    </row>
    <row r="56" ht="13.5" customHeight="1" outlineLevel="3">
      <c r="A56" s="195"/>
      <c r="B56" s="331"/>
      <c r="C56" s="331" t="s">
        <v>716</v>
      </c>
      <c r="D56" s="201"/>
      <c r="E56" s="162"/>
      <c r="F56" s="178"/>
      <c r="G56" s="178"/>
      <c r="H56" s="178"/>
      <c r="I56" s="178"/>
      <c r="J56" s="178"/>
      <c r="K56" s="178"/>
      <c r="L56" s="178"/>
      <c r="M56" s="178"/>
      <c r="N56" s="178"/>
      <c r="O56" s="178"/>
      <c r="P56" s="178"/>
      <c r="Q56" s="178"/>
      <c r="R56" s="178"/>
      <c r="S56" s="178"/>
      <c r="T56" s="178"/>
      <c r="U56" s="178"/>
      <c r="V56" s="178"/>
      <c r="W56" s="178"/>
      <c r="X56" s="178"/>
      <c r="Y56" s="178"/>
      <c r="Z56" s="178"/>
      <c r="AA56" s="178"/>
      <c r="AB56" s="178"/>
      <c r="AC56" s="178"/>
      <c r="AD56" s="178"/>
      <c r="AE56" s="178"/>
      <c r="AF56" s="178"/>
      <c r="AG56" s="178"/>
      <c r="AH56" s="178"/>
      <c r="AI56" s="162"/>
      <c r="AJ56" s="100"/>
      <c r="AK56" s="100"/>
      <c r="AL56" s="100"/>
      <c r="AM56" s="100"/>
    </row>
    <row r="57" ht="13.5" customHeight="1" outlineLevel="3">
      <c r="A57" s="195"/>
      <c r="B57" s="201"/>
      <c r="C57" s="246"/>
      <c r="D57" s="201"/>
      <c r="E57" s="327" t="s">
        <v>717</v>
      </c>
      <c r="F57" s="328" t="str">
        <f t="array" ref="F57">IF(SUMPRODUCT(calelccftercli*(Years=ProspectiveYears))=0,"Use of partner's results","")</f>
        <v>Use of partner's results</v>
      </c>
      <c r="G57" s="329" t="s">
        <v>1192</v>
      </c>
      <c r="H57" s="317">
        <f>IF(F57="Use of partner's results",1,0)</f>
        <v>1</v>
      </c>
      <c r="I57" s="178"/>
      <c r="J57" s="178"/>
      <c r="K57" s="178"/>
      <c r="L57" s="178"/>
      <c r="M57" s="178"/>
      <c r="N57" s="178"/>
      <c r="O57" s="178"/>
      <c r="P57" s="178"/>
      <c r="Q57" s="178"/>
      <c r="R57" s="178"/>
      <c r="S57" s="178"/>
      <c r="T57" s="178"/>
      <c r="U57" s="178"/>
      <c r="V57" s="178"/>
      <c r="W57" s="178"/>
      <c r="X57" s="178"/>
      <c r="Y57" s="178"/>
      <c r="Z57" s="178"/>
      <c r="AA57" s="178"/>
      <c r="AB57" s="178"/>
      <c r="AC57" s="178"/>
      <c r="AD57" s="178"/>
      <c r="AE57" s="178"/>
      <c r="AF57" s="178"/>
      <c r="AG57" s="178"/>
      <c r="AH57" s="178"/>
      <c r="AI57" s="162"/>
      <c r="AJ57" s="100"/>
      <c r="AK57" s="100"/>
      <c r="AL57" s="100"/>
      <c r="AM57" s="100"/>
    </row>
    <row r="58" ht="14.25" customHeight="1" outlineLevel="3">
      <c r="A58" s="195"/>
      <c r="B58" s="201"/>
      <c r="C58" s="201"/>
      <c r="D58" s="201"/>
      <c r="E58" s="273" t="s">
        <v>965</v>
      </c>
      <c r="F58" s="123" t="s">
        <v>135</v>
      </c>
      <c r="G58" s="123" t="s">
        <v>1193</v>
      </c>
      <c r="H58" s="274">
        <f>IFERROR(caltoccutercli/ceetercli,)</f>
        <v>0</v>
      </c>
      <c r="I58" s="274">
        <f>IFERROR(caltoccutercli/ceetercli,)</f>
        <v>0</v>
      </c>
      <c r="J58" s="274">
        <f>IFERROR(caltoccutercli/ceetercli,)</f>
        <v>0</v>
      </c>
      <c r="K58" s="274">
        <f>IFERROR(caltoccutercli/ceetercli,)</f>
        <v>0</v>
      </c>
      <c r="L58" s="274">
        <f>IFERROR(caltoccutercli/ceetercli,)</f>
        <v>0</v>
      </c>
      <c r="M58" s="274">
        <f>IFERROR(caltoccutercli/ceetercli,)</f>
        <v>0</v>
      </c>
      <c r="N58" s="274">
        <f>IFERROR(caltoccutercli/ceetercli,)</f>
        <v>0</v>
      </c>
      <c r="O58" s="274">
        <f>IFERROR(caltoccutercli/ceetercli,)</f>
        <v>0</v>
      </c>
      <c r="P58" s="274">
        <f>IFERROR(caltoccutercli/ceetercli,)</f>
        <v>0</v>
      </c>
      <c r="Q58" s="274">
        <f>IFERROR(caltoccutercli/ceetercli,)</f>
        <v>0</v>
      </c>
      <c r="R58" s="274">
        <f>IFERROR(caltoccutercli/ceetercli,)</f>
        <v>0</v>
      </c>
      <c r="S58" s="274">
        <f>IFERROR(caltoccutercli/ceetercli,)</f>
        <v>0</v>
      </c>
      <c r="T58" s="274">
        <f>IFERROR(caltoccutercli/ceetercli,)</f>
        <v>0</v>
      </c>
      <c r="U58" s="274">
        <f>IFERROR(caltoccutercli/ceetercli,)</f>
        <v>0</v>
      </c>
      <c r="V58" s="274">
        <f>IFERROR(caltoccutercli/ceetercli,)</f>
        <v>0</v>
      </c>
      <c r="W58" s="274">
        <f>IFERROR(caltoccutercli/ceetercli,)</f>
        <v>0</v>
      </c>
      <c r="X58" s="274" t="str">
        <f>IFERROR(caltoccutercli/ceetercli,)</f>
        <v/>
      </c>
      <c r="Y58" s="274" t="str">
        <f>IFERROR(caltoccutercli/ceetercli,)</f>
        <v/>
      </c>
      <c r="Z58" s="274" t="str">
        <f>IFERROR(caltoccutercli/ceetercli,)</f>
        <v/>
      </c>
      <c r="AA58" s="274" t="str">
        <f>IFERROR(caltoccutercli/ceetercli,)</f>
        <v/>
      </c>
      <c r="AB58" s="274" t="str">
        <f>IFERROR(caltoccutercli/ceetercli,)</f>
        <v/>
      </c>
      <c r="AC58" s="274" t="str">
        <f>IFERROR(caltoccutercli/ceetercli,)</f>
        <v/>
      </c>
      <c r="AD58" s="274" t="str">
        <f>IFERROR(caltoccutercli/ceetercli,)</f>
        <v/>
      </c>
      <c r="AE58" s="274" t="str">
        <f>IFERROR(caltoccutercli/ceetercli,)</f>
        <v/>
      </c>
      <c r="AF58" s="274" t="str">
        <f>IFERROR(caltoccutercli/ceetercli,)</f>
        <v/>
      </c>
      <c r="AG58" s="274" t="str">
        <f>IFERROR(caltoccutercli/ceetercli,)</f>
        <v/>
      </c>
      <c r="AH58" s="274" t="str">
        <f>IFERROR(caltoccutercli/ceetercli,)</f>
        <v/>
      </c>
      <c r="AI58" s="318"/>
      <c r="AJ58" s="100"/>
      <c r="AK58" s="100"/>
      <c r="AL58" s="100"/>
      <c r="AM58" s="100"/>
    </row>
    <row r="59" ht="14.25" hidden="1" customHeight="1" outlineLevel="3">
      <c r="A59" s="195"/>
      <c r="B59" s="201"/>
      <c r="C59" s="201"/>
      <c r="D59" s="201"/>
      <c r="E59" s="273" t="s">
        <v>1194</v>
      </c>
      <c r="F59" s="123" t="s">
        <v>135</v>
      </c>
      <c r="G59" s="123" t="s">
        <v>1195</v>
      </c>
      <c r="H59" s="274">
        <f>calelccftercli*(1+ceetercli)</f>
        <v>0</v>
      </c>
      <c r="I59" s="274">
        <f>calelccftercli*(1+ceetercli)</f>
        <v>0</v>
      </c>
      <c r="J59" s="274">
        <f>calelccftercli*(1+ceetercli)</f>
        <v>0</v>
      </c>
      <c r="K59" s="274">
        <f>calelccftercli*(1+ceetercli)</f>
        <v>0</v>
      </c>
      <c r="L59" s="274">
        <f>calelccftercli*(1+ceetercli)</f>
        <v>0</v>
      </c>
      <c r="M59" s="274">
        <f>calelccftercli*(1+ceetercli)</f>
        <v>0</v>
      </c>
      <c r="N59" s="274">
        <f>calelccftercli*(1+ceetercli)</f>
        <v>0</v>
      </c>
      <c r="O59" s="274">
        <f>calelccftercli*(1+ceetercli)</f>
        <v>0</v>
      </c>
      <c r="P59" s="274">
        <f>calelccftercli*(1+ceetercli)</f>
        <v>0</v>
      </c>
      <c r="Q59" s="274">
        <f>calelccftercli*(1+ceetercli)</f>
        <v>0</v>
      </c>
      <c r="R59" s="274">
        <f>calelccftercli*(1+ceetercli)</f>
        <v>0</v>
      </c>
      <c r="S59" s="274">
        <f>calelccftercli*(1+ceetercli)</f>
        <v>0</v>
      </c>
      <c r="T59" s="274">
        <f>calelccftercli*(1+ceetercli)</f>
        <v>0</v>
      </c>
      <c r="U59" s="274">
        <f>calelccftercli*(1+ceetercli)</f>
        <v>0</v>
      </c>
      <c r="V59" s="274">
        <f>calelccftercli*(1+ceetercli)</f>
        <v>0</v>
      </c>
      <c r="W59" s="274">
        <f>calelccftercli*(1+ceetercli)</f>
        <v>0</v>
      </c>
      <c r="X59" s="274">
        <f>calelccftercli*(1+ceetercli)</f>
        <v>0</v>
      </c>
      <c r="Y59" s="274">
        <f>calelccftercli*(1+ceetercli)</f>
        <v>0</v>
      </c>
      <c r="Z59" s="274">
        <f>calelccftercli*(1+ceetercli)</f>
        <v>0</v>
      </c>
      <c r="AA59" s="274">
        <f>calelccftercli*(1+ceetercli)</f>
        <v>0</v>
      </c>
      <c r="AB59" s="274">
        <f>calelccftercli*(1+ceetercli)</f>
        <v>0</v>
      </c>
      <c r="AC59" s="274">
        <f>calelccftercli*(1+ceetercli)</f>
        <v>0</v>
      </c>
      <c r="AD59" s="274">
        <f>calelccftercli*(1+ceetercli)</f>
        <v>0</v>
      </c>
      <c r="AE59" s="274">
        <f>calelccftercli*(1+ceetercli)</f>
        <v>0</v>
      </c>
      <c r="AF59" s="274">
        <f>calelccftercli*(1+ceetercli)</f>
        <v>0</v>
      </c>
      <c r="AG59" s="274">
        <f>calelccftercli*(1+ceetercli)</f>
        <v>0</v>
      </c>
      <c r="AH59" s="274">
        <f>calelccftercli*(1+ceetercli)</f>
        <v>0</v>
      </c>
      <c r="AI59" s="318" t="s">
        <v>722</v>
      </c>
      <c r="AJ59" s="100"/>
      <c r="AK59" s="100"/>
      <c r="AL59" s="100"/>
      <c r="AM59" s="100"/>
    </row>
    <row r="60" ht="13.5" customHeight="1" outlineLevel="2">
      <c r="A60" s="195"/>
      <c r="B60" s="331" t="s">
        <v>673</v>
      </c>
      <c r="C60" s="246"/>
      <c r="D60" s="201"/>
      <c r="E60" s="162"/>
      <c r="F60" s="162"/>
      <c r="G60" s="162"/>
      <c r="H60" s="178"/>
      <c r="I60" s="178"/>
      <c r="J60" s="178"/>
      <c r="K60" s="178"/>
      <c r="L60" s="178"/>
      <c r="M60" s="178"/>
      <c r="N60" s="178"/>
      <c r="O60" s="178"/>
      <c r="P60" s="178"/>
      <c r="Q60" s="178"/>
      <c r="R60" s="178"/>
      <c r="S60" s="178"/>
      <c r="T60" s="178"/>
      <c r="U60" s="178"/>
      <c r="V60" s="178"/>
      <c r="W60" s="178"/>
      <c r="X60" s="178"/>
      <c r="Y60" s="178"/>
      <c r="Z60" s="178"/>
      <c r="AA60" s="178"/>
      <c r="AB60" s="178"/>
      <c r="AC60" s="178"/>
      <c r="AD60" s="178"/>
      <c r="AE60" s="178"/>
      <c r="AF60" s="178"/>
      <c r="AG60" s="178"/>
      <c r="AH60" s="178"/>
      <c r="AI60" s="162"/>
      <c r="AJ60" s="100"/>
      <c r="AK60" s="100"/>
      <c r="AL60" s="100"/>
      <c r="AM60" s="100"/>
    </row>
    <row r="61" ht="14.25" customHeight="1" outlineLevel="3">
      <c r="A61" s="326"/>
      <c r="B61" s="100"/>
      <c r="C61" s="201"/>
      <c r="D61" s="201"/>
      <c r="E61" s="316" t="s">
        <v>1196</v>
      </c>
      <c r="F61" s="123" t="s">
        <v>261</v>
      </c>
      <c r="G61" s="123" t="s">
        <v>1197</v>
      </c>
      <c r="H61" s="276">
        <f>(calelccftercli-elccftercli)/elccftercli</f>
        <v>-1</v>
      </c>
      <c r="I61" s="276">
        <f>(calelccftercli-elccftercli)/elccftercli</f>
        <v>-1</v>
      </c>
      <c r="J61" s="276">
        <f>(calelccftercli-elccftercli)/elccftercli</f>
        <v>-1</v>
      </c>
      <c r="K61" s="276">
        <f>(calelccftercli-elccftercli)/elccftercli</f>
        <v>-1</v>
      </c>
      <c r="L61" s="276">
        <f>(calelccftercli-elccftercli)/elccftercli</f>
        <v>-1</v>
      </c>
      <c r="M61" s="276">
        <f>(calelccftercli-elccftercli)/elccftercli</f>
        <v>-1</v>
      </c>
      <c r="N61" s="276">
        <f>(calelccftercli-elccftercli)/elccftercli</f>
        <v>-1</v>
      </c>
      <c r="O61" s="276">
        <f>(calelccftercli-elccftercli)/elccftercli</f>
        <v>-1</v>
      </c>
      <c r="P61" s="276">
        <f>(calelccftercli-elccftercli)/elccftercli</f>
        <v>-1</v>
      </c>
      <c r="Q61" s="276">
        <f>(calelccftercli-elccftercli)/elccftercli</f>
        <v>-1</v>
      </c>
      <c r="R61" s="276">
        <f>(calelccftercli-elccftercli)/elccftercli</f>
        <v>-1</v>
      </c>
      <c r="S61" s="276">
        <f>(calelccftercli-elccftercli)/elccftercli</f>
        <v>-1</v>
      </c>
      <c r="T61" s="276">
        <f>(calelccftercli-elccftercli)/elccftercli</f>
        <v>-1</v>
      </c>
      <c r="U61" s="276">
        <f>(calelccftercli-elccftercli)/elccftercli</f>
        <v>-1</v>
      </c>
      <c r="V61" s="276">
        <f>(calelccftercli-elccftercli)/elccftercli</f>
        <v>-1</v>
      </c>
      <c r="W61" s="276">
        <f>(calelccftercli-elccftercli)/elccftercli</f>
        <v>-1</v>
      </c>
      <c r="X61" s="276" t="str">
        <f>(calelccftercli-elccftercli)/elccftercli</f>
        <v>#DIV/0!</v>
      </c>
      <c r="Y61" s="276" t="str">
        <f>(calelccftercli-elccftercli)/elccftercli</f>
        <v>#DIV/0!</v>
      </c>
      <c r="Z61" s="276" t="str">
        <f>(calelccftercli-elccftercli)/elccftercli</f>
        <v>#DIV/0!</v>
      </c>
      <c r="AA61" s="276" t="str">
        <f>(calelccftercli-elccftercli)/elccftercli</f>
        <v>#DIV/0!</v>
      </c>
      <c r="AB61" s="276" t="str">
        <f>(calelccftercli-elccftercli)/elccftercli</f>
        <v>#DIV/0!</v>
      </c>
      <c r="AC61" s="276" t="str">
        <f>(calelccftercli-elccftercli)/elccftercli</f>
        <v>#DIV/0!</v>
      </c>
      <c r="AD61" s="276" t="str">
        <f>(calelccftercli-elccftercli)/elccftercli</f>
        <v>#DIV/0!</v>
      </c>
      <c r="AE61" s="276" t="str">
        <f>(calelccftercli-elccftercli)/elccftercli</f>
        <v>#DIV/0!</v>
      </c>
      <c r="AF61" s="276" t="str">
        <f>(calelccftercli-elccftercli)/elccftercli</f>
        <v>#DIV/0!</v>
      </c>
      <c r="AG61" s="276" t="str">
        <f>(calelccftercli-elccftercli)/elccftercli</f>
        <v>#DIV/0!</v>
      </c>
      <c r="AH61" s="276" t="str">
        <f>(calelccftercli-elccftercli)/elccftercli</f>
        <v>#DIV/0!</v>
      </c>
      <c r="AI61" s="125"/>
      <c r="AJ61" s="100"/>
      <c r="AK61" s="100"/>
      <c r="AL61" s="100"/>
      <c r="AM61" s="100"/>
    </row>
    <row r="62" ht="14.25" customHeight="1" outlineLevel="1">
      <c r="A62" s="382" t="s">
        <v>727</v>
      </c>
      <c r="B62" s="331"/>
      <c r="C62" s="331"/>
      <c r="D62" s="357"/>
      <c r="E62" s="162"/>
      <c r="F62" s="162"/>
      <c r="G62" s="162"/>
      <c r="H62" s="178"/>
      <c r="I62" s="178"/>
      <c r="J62" s="178"/>
      <c r="K62" s="178"/>
      <c r="L62" s="178"/>
      <c r="M62" s="178"/>
      <c r="N62" s="178"/>
      <c r="O62" s="178"/>
      <c r="P62" s="178"/>
      <c r="Q62" s="178"/>
      <c r="R62" s="178"/>
      <c r="S62" s="178"/>
      <c r="T62" s="178"/>
      <c r="U62" s="178"/>
      <c r="V62" s="178"/>
      <c r="W62" s="178"/>
      <c r="X62" s="178"/>
      <c r="Y62" s="178"/>
      <c r="Z62" s="178"/>
      <c r="AA62" s="178"/>
      <c r="AB62" s="178"/>
      <c r="AC62" s="178"/>
      <c r="AD62" s="178"/>
      <c r="AE62" s="178"/>
      <c r="AF62" s="178"/>
      <c r="AG62" s="178"/>
      <c r="AH62" s="178"/>
      <c r="AI62" s="162"/>
      <c r="AJ62" s="100"/>
      <c r="AK62" s="100"/>
      <c r="AL62" s="100"/>
      <c r="AM62" s="100"/>
    </row>
    <row r="63" ht="14.25" customHeight="1" outlineLevel="2">
      <c r="A63" s="195"/>
      <c r="B63" s="331" t="s">
        <v>728</v>
      </c>
      <c r="C63" s="246"/>
      <c r="D63" s="201"/>
      <c r="E63" s="162"/>
      <c r="F63" s="162"/>
      <c r="G63" s="162"/>
      <c r="H63" s="178"/>
      <c r="I63" s="178"/>
      <c r="J63" s="178"/>
      <c r="K63" s="178"/>
      <c r="L63" s="178"/>
      <c r="M63" s="178"/>
      <c r="N63" s="178"/>
      <c r="O63" s="178"/>
      <c r="P63" s="178"/>
      <c r="Q63" s="178"/>
      <c r="R63" s="178"/>
      <c r="S63" s="178"/>
      <c r="T63" s="178"/>
      <c r="U63" s="178"/>
      <c r="V63" s="178"/>
      <c r="W63" s="178"/>
      <c r="X63" s="178"/>
      <c r="Y63" s="178"/>
      <c r="Z63" s="178"/>
      <c r="AA63" s="178"/>
      <c r="AB63" s="178"/>
      <c r="AC63" s="178"/>
      <c r="AD63" s="178"/>
      <c r="AE63" s="178"/>
      <c r="AF63" s="178"/>
      <c r="AG63" s="178"/>
      <c r="AH63" s="178"/>
      <c r="AI63" s="162"/>
      <c r="AJ63" s="100"/>
      <c r="AK63" s="100"/>
      <c r="AL63" s="100"/>
      <c r="AM63" s="100"/>
    </row>
    <row r="64" ht="14.25" customHeight="1" outlineLevel="3">
      <c r="A64" s="383"/>
      <c r="B64" s="357"/>
      <c r="C64" s="369"/>
      <c r="D64" s="271"/>
      <c r="E64" s="287" t="s">
        <v>1198</v>
      </c>
      <c r="F64" s="249" t="s">
        <v>135</v>
      </c>
      <c r="G64" s="249" t="s">
        <v>1010</v>
      </c>
      <c r="H64" s="181">
        <f>toccfterecs</f>
        <v>3.91757674</v>
      </c>
      <c r="I64" s="181">
        <f>toccfterecs</f>
        <v>3.949078696</v>
      </c>
      <c r="J64" s="181">
        <f>toccfterecs</f>
        <v>4.115877149</v>
      </c>
      <c r="K64" s="181">
        <f>toccfterecs</f>
        <v>4.158551269</v>
      </c>
      <c r="L64" s="181">
        <f>toccfterecs</f>
        <v>4.190356554</v>
      </c>
      <c r="M64" s="181">
        <f>toccfterecs</f>
        <v>4.263025822</v>
      </c>
      <c r="N64" s="181">
        <f>toccfterecs</f>
        <v>4.264923553</v>
      </c>
      <c r="O64" s="181">
        <f>toccfterecs</f>
        <v>4.294510049</v>
      </c>
      <c r="P64" s="181">
        <f>toccfterecs</f>
        <v>4.340284435</v>
      </c>
      <c r="Q64" s="181">
        <f>toccfterecs</f>
        <v>4.228368744</v>
      </c>
      <c r="R64" s="181">
        <f>toccfterecs</f>
        <v>4.321028923</v>
      </c>
      <c r="S64" s="181">
        <f>toccfterecs</f>
        <v>4.406024722</v>
      </c>
      <c r="T64" s="181">
        <f>toccfterecs</f>
        <v>4.490769678</v>
      </c>
      <c r="U64" s="181">
        <f>toccfterecs</f>
        <v>4.553234776</v>
      </c>
      <c r="V64" s="181">
        <f>toccfterecs</f>
        <v>4.605364079</v>
      </c>
      <c r="W64" s="182">
        <f>toccfterecs</f>
        <v>4.67541944</v>
      </c>
      <c r="X64" s="181" t="str">
        <f>toccfterecs</f>
        <v/>
      </c>
      <c r="Y64" s="181" t="str">
        <f>toccfterecs</f>
        <v/>
      </c>
      <c r="Z64" s="181" t="str">
        <f>toccfterecs</f>
        <v/>
      </c>
      <c r="AA64" s="181" t="str">
        <f>toccfterecs</f>
        <v/>
      </c>
      <c r="AB64" s="182" t="str">
        <f>toccfterecs</f>
        <v/>
      </c>
      <c r="AC64" s="182" t="str">
        <f>toccfterecs</f>
        <v/>
      </c>
      <c r="AD64" s="182" t="str">
        <f>toccfterecs</f>
        <v/>
      </c>
      <c r="AE64" s="182" t="str">
        <f>toccfterecs</f>
        <v/>
      </c>
      <c r="AF64" s="182" t="str">
        <f>toccfterecs</f>
        <v/>
      </c>
      <c r="AG64" s="182" t="str">
        <f>toccfterecs</f>
        <v/>
      </c>
      <c r="AH64" s="182" t="str">
        <f>toccfterecs</f>
        <v/>
      </c>
      <c r="AI64" s="125"/>
      <c r="AJ64" s="100"/>
      <c r="AK64" s="100"/>
      <c r="AL64" s="100"/>
      <c r="AM64" s="100"/>
    </row>
    <row r="65" ht="14.25" customHeight="1" outlineLevel="3">
      <c r="A65" s="383"/>
      <c r="B65" s="357"/>
      <c r="C65" s="369"/>
      <c r="D65" s="271"/>
      <c r="E65" s="270" t="s">
        <v>1011</v>
      </c>
      <c r="F65" s="249" t="s">
        <v>135</v>
      </c>
      <c r="G65" s="249" t="s">
        <v>1012</v>
      </c>
      <c r="H65" s="181" t="str">
        <f>cmscfterecs</f>
        <v/>
      </c>
      <c r="I65" s="181" t="str">
        <f>cmscfterecs</f>
        <v/>
      </c>
      <c r="J65" s="181" t="str">
        <f>cmscfterecs</f>
        <v/>
      </c>
      <c r="K65" s="181" t="str">
        <f>cmscfterecs</f>
        <v/>
      </c>
      <c r="L65" s="181" t="str">
        <f>cmscfterecs</f>
        <v/>
      </c>
      <c r="M65" s="181" t="str">
        <f>cmscfterecs</f>
        <v/>
      </c>
      <c r="N65" s="181" t="str">
        <f>cmscfterecs</f>
        <v/>
      </c>
      <c r="O65" s="181" t="str">
        <f>cmscfterecs</f>
        <v/>
      </c>
      <c r="P65" s="181" t="str">
        <f>cmscfterecs</f>
        <v/>
      </c>
      <c r="Q65" s="181" t="str">
        <f>cmscfterecs</f>
        <v/>
      </c>
      <c r="R65" s="181" t="str">
        <f>cmscfterecs</f>
        <v/>
      </c>
      <c r="S65" s="181" t="str">
        <f>cmscfterecs</f>
        <v/>
      </c>
      <c r="T65" s="181" t="str">
        <f>cmscfterecs</f>
        <v/>
      </c>
      <c r="U65" s="181" t="str">
        <f>cmscfterecs</f>
        <v/>
      </c>
      <c r="V65" s="181" t="str">
        <f>cmscfterecs</f>
        <v/>
      </c>
      <c r="W65" s="182" t="str">
        <f>cmscfterecs</f>
        <v/>
      </c>
      <c r="X65" s="181" t="str">
        <f>cmscfterecs</f>
        <v/>
      </c>
      <c r="Y65" s="181" t="str">
        <f>cmscfterecs</f>
        <v/>
      </c>
      <c r="Z65" s="181" t="str">
        <f>cmscfterecs</f>
        <v/>
      </c>
      <c r="AA65" s="181" t="str">
        <f>cmscfterecs</f>
        <v/>
      </c>
      <c r="AB65" s="182" t="str">
        <f>cmscfterecs</f>
        <v/>
      </c>
      <c r="AC65" s="182" t="str">
        <f>cmscfterecs</f>
        <v/>
      </c>
      <c r="AD65" s="182" t="str">
        <f>cmscfterecs</f>
        <v/>
      </c>
      <c r="AE65" s="182" t="str">
        <f>cmscfterecs</f>
        <v/>
      </c>
      <c r="AF65" s="182" t="str">
        <f>cmscfterecs</f>
        <v/>
      </c>
      <c r="AG65" s="182" t="str">
        <f>cmscfterecs</f>
        <v/>
      </c>
      <c r="AH65" s="182" t="str">
        <f>cmscfterecs</f>
        <v/>
      </c>
      <c r="AI65" s="125"/>
      <c r="AJ65" s="100"/>
      <c r="AK65" s="100"/>
      <c r="AL65" s="100"/>
      <c r="AM65" s="100"/>
    </row>
    <row r="66" ht="14.25" customHeight="1" outlineLevel="3">
      <c r="A66" s="383"/>
      <c r="B66" s="357"/>
      <c r="C66" s="369"/>
      <c r="D66" s="271"/>
      <c r="E66" s="270" t="s">
        <v>1013</v>
      </c>
      <c r="F66" s="249" t="s">
        <v>135</v>
      </c>
      <c r="G66" s="249" t="s">
        <v>1014</v>
      </c>
      <c r="H66" s="181" t="str">
        <f>boicfterecs</f>
        <v/>
      </c>
      <c r="I66" s="181" t="str">
        <f>boicfterecs</f>
        <v/>
      </c>
      <c r="J66" s="181" t="str">
        <f>boicfterecs</f>
        <v/>
      </c>
      <c r="K66" s="181" t="str">
        <f>boicfterecs</f>
        <v/>
      </c>
      <c r="L66" s="181" t="str">
        <f>boicfterecs</f>
        <v/>
      </c>
      <c r="M66" s="181" t="str">
        <f>boicfterecs</f>
        <v/>
      </c>
      <c r="N66" s="181" t="str">
        <f>boicfterecs</f>
        <v/>
      </c>
      <c r="O66" s="181" t="str">
        <f>boicfterecs</f>
        <v/>
      </c>
      <c r="P66" s="181" t="str">
        <f>boicfterecs</f>
        <v/>
      </c>
      <c r="Q66" s="181" t="str">
        <f>boicfterecs</f>
        <v/>
      </c>
      <c r="R66" s="181" t="str">
        <f>boicfterecs</f>
        <v/>
      </c>
      <c r="S66" s="181" t="str">
        <f>boicfterecs</f>
        <v/>
      </c>
      <c r="T66" s="181" t="str">
        <f>boicfterecs</f>
        <v/>
      </c>
      <c r="U66" s="181" t="str">
        <f>boicfterecs</f>
        <v/>
      </c>
      <c r="V66" s="181" t="str">
        <f>boicfterecs</f>
        <v/>
      </c>
      <c r="W66" s="182" t="str">
        <f>boicfterecs</f>
        <v/>
      </c>
      <c r="X66" s="181" t="str">
        <f>boicfterecs</f>
        <v/>
      </c>
      <c r="Y66" s="181" t="str">
        <f>boicfterecs</f>
        <v/>
      </c>
      <c r="Z66" s="181" t="str">
        <f>boicfterecs</f>
        <v/>
      </c>
      <c r="AA66" s="181" t="str">
        <f>boicfterecs</f>
        <v/>
      </c>
      <c r="AB66" s="182" t="str">
        <f>boicfterecs</f>
        <v/>
      </c>
      <c r="AC66" s="182" t="str">
        <f>boicfterecs</f>
        <v/>
      </c>
      <c r="AD66" s="182" t="str">
        <f>boicfterecs</f>
        <v/>
      </c>
      <c r="AE66" s="182" t="str">
        <f>boicfterecs</f>
        <v/>
      </c>
      <c r="AF66" s="182" t="str">
        <f>boicfterecs</f>
        <v/>
      </c>
      <c r="AG66" s="182" t="str">
        <f>boicfterecs</f>
        <v/>
      </c>
      <c r="AH66" s="182" t="str">
        <f>boicfterecs</f>
        <v/>
      </c>
      <c r="AI66" s="125"/>
      <c r="AJ66" s="100"/>
      <c r="AK66" s="100"/>
      <c r="AL66" s="100"/>
      <c r="AM66" s="100"/>
    </row>
    <row r="67" ht="14.25" customHeight="1" outlineLevel="3">
      <c r="A67" s="383"/>
      <c r="B67" s="357"/>
      <c r="C67" s="369"/>
      <c r="D67" s="271"/>
      <c r="E67" s="270" t="s">
        <v>1015</v>
      </c>
      <c r="F67" s="249" t="s">
        <v>135</v>
      </c>
      <c r="G67" s="249" t="s">
        <v>1016</v>
      </c>
      <c r="H67" s="181">
        <f>petcfterecs</f>
        <v>1.418392513</v>
      </c>
      <c r="I67" s="181">
        <f>petcfterecs</f>
        <v>1.40263544</v>
      </c>
      <c r="J67" s="181">
        <f>petcfterecs</f>
        <v>1.403446989</v>
      </c>
      <c r="K67" s="181">
        <f>petcfterecs</f>
        <v>1.402822916</v>
      </c>
      <c r="L67" s="181">
        <f>petcfterecs</f>
        <v>1.37912288</v>
      </c>
      <c r="M67" s="181">
        <f>petcfterecs</f>
        <v>1.377461576</v>
      </c>
      <c r="N67" s="181">
        <f>petcfterecs</f>
        <v>1.333822211</v>
      </c>
      <c r="O67" s="181">
        <f>petcfterecs</f>
        <v>1.313197475</v>
      </c>
      <c r="P67" s="181">
        <f>petcfterecs</f>
        <v>1.31686235</v>
      </c>
      <c r="Q67" s="181">
        <f>petcfterecs</f>
        <v>1.256001826</v>
      </c>
      <c r="R67" s="181">
        <f>petcfterecs</f>
        <v>1.242730532</v>
      </c>
      <c r="S67" s="181">
        <f>petcfterecs</f>
        <v>1.240457778</v>
      </c>
      <c r="T67" s="181">
        <f>petcfterecs</f>
        <v>1.228097336</v>
      </c>
      <c r="U67" s="181">
        <f>petcfterecs</f>
        <v>1.210903706</v>
      </c>
      <c r="V67" s="181">
        <f>petcfterecs</f>
        <v>1.19626149</v>
      </c>
      <c r="W67" s="182">
        <f>petcfterecs</f>
        <v>1.184420765</v>
      </c>
      <c r="X67" s="181" t="str">
        <f>petcfterecs</f>
        <v/>
      </c>
      <c r="Y67" s="181" t="str">
        <f>petcfterecs</f>
        <v/>
      </c>
      <c r="Z67" s="181" t="str">
        <f>petcfterecs</f>
        <v/>
      </c>
      <c r="AA67" s="181" t="str">
        <f>petcfterecs</f>
        <v/>
      </c>
      <c r="AB67" s="182" t="str">
        <f>petcfterecs</f>
        <v/>
      </c>
      <c r="AC67" s="182" t="str">
        <f>petcfterecs</f>
        <v/>
      </c>
      <c r="AD67" s="182" t="str">
        <f>petcfterecs</f>
        <v/>
      </c>
      <c r="AE67" s="182" t="str">
        <f>petcfterecs</f>
        <v/>
      </c>
      <c r="AF67" s="182" t="str">
        <f>petcfterecs</f>
        <v/>
      </c>
      <c r="AG67" s="182" t="str">
        <f>petcfterecs</f>
        <v/>
      </c>
      <c r="AH67" s="182" t="str">
        <f>petcfterecs</f>
        <v/>
      </c>
      <c r="AI67" s="125"/>
      <c r="AJ67" s="100"/>
      <c r="AK67" s="100"/>
      <c r="AL67" s="100"/>
      <c r="AM67" s="100"/>
    </row>
    <row r="68" ht="14.25" customHeight="1" outlineLevel="3">
      <c r="A68" s="383"/>
      <c r="B68" s="357"/>
      <c r="C68" s="369"/>
      <c r="D68" s="271"/>
      <c r="E68" s="270" t="s">
        <v>1017</v>
      </c>
      <c r="F68" s="249" t="s">
        <v>135</v>
      </c>
      <c r="G68" s="249" t="s">
        <v>1018</v>
      </c>
      <c r="H68" s="181">
        <f>gazcfterecs</f>
        <v>1.772109327</v>
      </c>
      <c r="I68" s="181">
        <f>gazcfterecs</f>
        <v>1.797329653</v>
      </c>
      <c r="J68" s="181">
        <f>gazcfterecs</f>
        <v>1.82378963</v>
      </c>
      <c r="K68" s="181">
        <f>gazcfterecs</f>
        <v>1.850271335</v>
      </c>
      <c r="L68" s="181">
        <f>gazcfterecs</f>
        <v>2.269631971</v>
      </c>
      <c r="M68" s="181">
        <f>gazcfterecs</f>
        <v>2.299070032</v>
      </c>
      <c r="N68" s="181">
        <f>gazcfterecs</f>
        <v>2.013113036</v>
      </c>
      <c r="O68" s="181">
        <f>gazcfterecs</f>
        <v>1.961615193</v>
      </c>
      <c r="P68" s="181">
        <f>gazcfterecs</f>
        <v>1.920575736</v>
      </c>
      <c r="Q68" s="181">
        <f>gazcfterecs</f>
        <v>1.873580103</v>
      </c>
      <c r="R68" s="181">
        <f>gazcfterecs</f>
        <v>1.853714305</v>
      </c>
      <c r="S68" s="181">
        <f>gazcfterecs</f>
        <v>1.889287593</v>
      </c>
      <c r="T68" s="181">
        <f>gazcfterecs</f>
        <v>1.927054624</v>
      </c>
      <c r="U68" s="181">
        <f>gazcfterecs</f>
        <v>1.954176008</v>
      </c>
      <c r="V68" s="181">
        <f>gazcfterecs</f>
        <v>1.969513834</v>
      </c>
      <c r="W68" s="182">
        <f>gazcfterecs</f>
        <v>1.988687104</v>
      </c>
      <c r="X68" s="181" t="str">
        <f>gazcfterecs</f>
        <v/>
      </c>
      <c r="Y68" s="181" t="str">
        <f>gazcfterecs</f>
        <v/>
      </c>
      <c r="Z68" s="181" t="str">
        <f>gazcfterecs</f>
        <v/>
      </c>
      <c r="AA68" s="181" t="str">
        <f>gazcfterecs</f>
        <v/>
      </c>
      <c r="AB68" s="182" t="str">
        <f>gazcfterecs</f>
        <v/>
      </c>
      <c r="AC68" s="182" t="str">
        <f>gazcfterecs</f>
        <v/>
      </c>
      <c r="AD68" s="182" t="str">
        <f>gazcfterecs</f>
        <v/>
      </c>
      <c r="AE68" s="182" t="str">
        <f>gazcfterecs</f>
        <v/>
      </c>
      <c r="AF68" s="182" t="str">
        <f>gazcfterecs</f>
        <v/>
      </c>
      <c r="AG68" s="182" t="str">
        <f>gazcfterecs</f>
        <v/>
      </c>
      <c r="AH68" s="182" t="str">
        <f>gazcfterecs</f>
        <v/>
      </c>
      <c r="AI68" s="125"/>
      <c r="AJ68" s="100"/>
      <c r="AK68" s="100"/>
      <c r="AL68" s="100"/>
      <c r="AM68" s="100"/>
    </row>
    <row r="69" ht="14.25" customHeight="1" outlineLevel="3">
      <c r="A69" s="383"/>
      <c r="B69" s="357"/>
      <c r="C69" s="369"/>
      <c r="D69" s="271"/>
      <c r="E69" s="270" t="s">
        <v>1019</v>
      </c>
      <c r="F69" s="249" t="s">
        <v>135</v>
      </c>
      <c r="G69" s="249" t="s">
        <v>1020</v>
      </c>
      <c r="H69" s="181">
        <f>elccfterecs</f>
        <v>0.6516603366</v>
      </c>
      <c r="I69" s="181">
        <f>elccfterecs</f>
        <v>0.6790142037</v>
      </c>
      <c r="J69" s="181">
        <f>elccfterecs</f>
        <v>0.8196869955</v>
      </c>
      <c r="K69" s="181">
        <f>elccfterecs</f>
        <v>0.840766901</v>
      </c>
      <c r="L69" s="181">
        <f>elccfterecs</f>
        <v>0.4790772182</v>
      </c>
      <c r="M69" s="181">
        <f>elccfterecs</f>
        <v>0.5266882753</v>
      </c>
      <c r="N69" s="181">
        <f>elccfterecs</f>
        <v>0.8565787539</v>
      </c>
      <c r="O69" s="181">
        <f>elccfterecs</f>
        <v>0.9411064536</v>
      </c>
      <c r="P69" s="181">
        <f>elccfterecs</f>
        <v>1.01156175</v>
      </c>
      <c r="Q69" s="181">
        <f>elccfterecs</f>
        <v>0.9991861216</v>
      </c>
      <c r="R69" s="181">
        <f>elccfterecs</f>
        <v>1.129863449</v>
      </c>
      <c r="S69" s="181">
        <f>elccfterecs</f>
        <v>1.145956621</v>
      </c>
      <c r="T69" s="181">
        <f>elccfterecs</f>
        <v>1.267607259</v>
      </c>
      <c r="U69" s="181">
        <f>elccfterecs</f>
        <v>1.300578293</v>
      </c>
      <c r="V69" s="181">
        <f>elccfterecs</f>
        <v>1.344656279</v>
      </c>
      <c r="W69" s="182">
        <f>elccfterecs</f>
        <v>1.40535875</v>
      </c>
      <c r="X69" s="181" t="str">
        <f>elccfterecs</f>
        <v/>
      </c>
      <c r="Y69" s="181" t="str">
        <f>elccfterecs</f>
        <v/>
      </c>
      <c r="Z69" s="181" t="str">
        <f>elccfterecs</f>
        <v/>
      </c>
      <c r="AA69" s="181" t="str">
        <f>elccfterecs</f>
        <v/>
      </c>
      <c r="AB69" s="182" t="str">
        <f>elccfterecs</f>
        <v/>
      </c>
      <c r="AC69" s="182" t="str">
        <f>elccfterecs</f>
        <v/>
      </c>
      <c r="AD69" s="182" t="str">
        <f>elccfterecs</f>
        <v/>
      </c>
      <c r="AE69" s="182" t="str">
        <f>elccfterecs</f>
        <v/>
      </c>
      <c r="AF69" s="182" t="str">
        <f>elccfterecs</f>
        <v/>
      </c>
      <c r="AG69" s="182" t="str">
        <f>elccfterecs</f>
        <v/>
      </c>
      <c r="AH69" s="182" t="str">
        <f>elccfterecs</f>
        <v/>
      </c>
      <c r="AI69" s="125" t="s">
        <v>1199</v>
      </c>
      <c r="AJ69" s="100"/>
      <c r="AK69" s="100"/>
      <c r="AL69" s="100"/>
      <c r="AM69" s="100"/>
    </row>
    <row r="70" ht="14.25" customHeight="1" outlineLevel="3">
      <c r="A70" s="383"/>
      <c r="B70" s="357"/>
      <c r="C70" s="369"/>
      <c r="D70" s="271"/>
      <c r="E70" s="270" t="s">
        <v>1021</v>
      </c>
      <c r="F70" s="249" t="s">
        <v>135</v>
      </c>
      <c r="G70" s="249" t="s">
        <v>1022</v>
      </c>
      <c r="H70" s="181">
        <f>vapcfterecs</f>
        <v>0.06902566767</v>
      </c>
      <c r="I70" s="181">
        <f>vapcfterecs</f>
        <v>0.06793970834</v>
      </c>
      <c r="J70" s="181">
        <f>vapcfterecs</f>
        <v>0.06662753501</v>
      </c>
      <c r="K70" s="181">
        <f>vapcfterecs</f>
        <v>0.06120111681</v>
      </c>
      <c r="L70" s="181">
        <f>vapcfterecs</f>
        <v>0.05890115767</v>
      </c>
      <c r="M70" s="181">
        <f>vapcfterecs</f>
        <v>0.05619484537</v>
      </c>
      <c r="N70" s="181">
        <f>vapcfterecs</f>
        <v>0.0567574353</v>
      </c>
      <c r="O70" s="181">
        <f>vapcfterecs</f>
        <v>0.07277453187</v>
      </c>
      <c r="P70" s="181">
        <f>vapcfterecs</f>
        <v>0.08288971623</v>
      </c>
      <c r="Q70" s="181">
        <f>vapcfterecs</f>
        <v>0.08215255345</v>
      </c>
      <c r="R70" s="181">
        <f>vapcfterecs</f>
        <v>0.08444285777</v>
      </c>
      <c r="S70" s="181">
        <f>vapcfterecs</f>
        <v>0.1178227651</v>
      </c>
      <c r="T70" s="181">
        <f>vapcfterecs</f>
        <v>0.05856089675</v>
      </c>
      <c r="U70" s="181">
        <f>vapcfterecs</f>
        <v>0.0786882259</v>
      </c>
      <c r="V70" s="181">
        <f>vapcfterecs</f>
        <v>0.08548806094</v>
      </c>
      <c r="W70" s="182">
        <f>vapcfterecs</f>
        <v>0.08695300059</v>
      </c>
      <c r="X70" s="181" t="str">
        <f>vapcfterecs</f>
        <v/>
      </c>
      <c r="Y70" s="181" t="str">
        <f>vapcfterecs</f>
        <v/>
      </c>
      <c r="Z70" s="181" t="str">
        <f>vapcfterecs</f>
        <v/>
      </c>
      <c r="AA70" s="181" t="str">
        <f>vapcfterecs</f>
        <v/>
      </c>
      <c r="AB70" s="182" t="str">
        <f>vapcfterecs</f>
        <v/>
      </c>
      <c r="AC70" s="182" t="str">
        <f>vapcfterecs</f>
        <v/>
      </c>
      <c r="AD70" s="182" t="str">
        <f>vapcfterecs</f>
        <v/>
      </c>
      <c r="AE70" s="182" t="str">
        <f>vapcfterecs</f>
        <v/>
      </c>
      <c r="AF70" s="182" t="str">
        <f>vapcfterecs</f>
        <v/>
      </c>
      <c r="AG70" s="182" t="str">
        <f>vapcfterecs</f>
        <v/>
      </c>
      <c r="AH70" s="182" t="str">
        <f>vapcfterecs</f>
        <v/>
      </c>
      <c r="AI70" s="125"/>
      <c r="AJ70" s="100"/>
      <c r="AK70" s="100"/>
      <c r="AL70" s="100"/>
      <c r="AM70" s="100"/>
    </row>
    <row r="71" ht="14.25" customHeight="1" outlineLevel="3">
      <c r="A71" s="383"/>
      <c r="B71" s="357"/>
      <c r="C71" s="369"/>
      <c r="D71" s="271"/>
      <c r="E71" s="270" t="s">
        <v>1023</v>
      </c>
      <c r="F71" s="249" t="s">
        <v>135</v>
      </c>
      <c r="G71" s="249" t="s">
        <v>1024</v>
      </c>
      <c r="H71" s="181" t="str">
        <f>paccfterecs</f>
        <v/>
      </c>
      <c r="I71" s="181" t="str">
        <f>paccfterecs</f>
        <v/>
      </c>
      <c r="J71" s="181" t="str">
        <f>paccfterecs</f>
        <v/>
      </c>
      <c r="K71" s="181" t="str">
        <f>paccfterecs</f>
        <v/>
      </c>
      <c r="L71" s="181" t="str">
        <f>paccfterecs</f>
        <v/>
      </c>
      <c r="M71" s="181" t="str">
        <f>paccfterecs</f>
        <v/>
      </c>
      <c r="N71" s="181" t="str">
        <f>paccfterecs</f>
        <v/>
      </c>
      <c r="O71" s="181" t="str">
        <f>paccfterecs</f>
        <v/>
      </c>
      <c r="P71" s="181" t="str">
        <f>paccfterecs</f>
        <v/>
      </c>
      <c r="Q71" s="181" t="str">
        <f>paccfterecs</f>
        <v/>
      </c>
      <c r="R71" s="181" t="str">
        <f>paccfterecs</f>
        <v/>
      </c>
      <c r="S71" s="181" t="str">
        <f>paccfterecs</f>
        <v/>
      </c>
      <c r="T71" s="181" t="str">
        <f>paccfterecs</f>
        <v/>
      </c>
      <c r="U71" s="181" t="str">
        <f>paccfterecs</f>
        <v/>
      </c>
      <c r="V71" s="181" t="str">
        <f>paccfterecs</f>
        <v/>
      </c>
      <c r="W71" s="182" t="str">
        <f>paccfterecs</f>
        <v/>
      </c>
      <c r="X71" s="181" t="str">
        <f>paccfterecs</f>
        <v/>
      </c>
      <c r="Y71" s="181" t="str">
        <f>paccfterecs</f>
        <v/>
      </c>
      <c r="Z71" s="181" t="str">
        <f>paccfterecs</f>
        <v/>
      </c>
      <c r="AA71" s="181" t="str">
        <f>paccfterecs</f>
        <v/>
      </c>
      <c r="AB71" s="182" t="str">
        <f>paccfterecs</f>
        <v/>
      </c>
      <c r="AC71" s="182" t="str">
        <f>paccfterecs</f>
        <v/>
      </c>
      <c r="AD71" s="182" t="str">
        <f>paccfterecs</f>
        <v/>
      </c>
      <c r="AE71" s="182" t="str">
        <f>paccfterecs</f>
        <v/>
      </c>
      <c r="AF71" s="182" t="str">
        <f>paccfterecs</f>
        <v/>
      </c>
      <c r="AG71" s="182" t="str">
        <f>paccfterecs</f>
        <v/>
      </c>
      <c r="AH71" s="182" t="str">
        <f>paccfterecs</f>
        <v/>
      </c>
      <c r="AI71" s="125" t="s">
        <v>661</v>
      </c>
      <c r="AJ71" s="100"/>
      <c r="AK71" s="100"/>
      <c r="AL71" s="100"/>
      <c r="AM71" s="100"/>
    </row>
    <row r="72" ht="14.25" customHeight="1" outlineLevel="3">
      <c r="A72" s="383"/>
      <c r="B72" s="357"/>
      <c r="C72" s="369"/>
      <c r="D72" s="271"/>
      <c r="E72" s="122" t="s">
        <v>1025</v>
      </c>
      <c r="F72" s="123" t="s">
        <v>135</v>
      </c>
      <c r="G72" s="292" t="s">
        <v>1026</v>
      </c>
      <c r="H72" s="181">
        <f>sthcfterecs</f>
        <v>0.00638889638</v>
      </c>
      <c r="I72" s="181">
        <f>sthcfterecs</f>
        <v>0.002159691</v>
      </c>
      <c r="J72" s="181">
        <f>sthcfterecs</f>
        <v>0.002326</v>
      </c>
      <c r="K72" s="181">
        <f>sthcfterecs</f>
        <v>0.003489</v>
      </c>
      <c r="L72" s="181">
        <f>sthcfterecs</f>
        <v>0.0036233265</v>
      </c>
      <c r="M72" s="181">
        <f>sthcfterecs</f>
        <v>0.003611092726</v>
      </c>
      <c r="N72" s="181">
        <f>sthcfterecs</f>
        <v>0.0046521163</v>
      </c>
      <c r="O72" s="181">
        <f>sthcfterecs</f>
        <v>0.0058163956</v>
      </c>
      <c r="P72" s="181">
        <f>sthcfterecs</f>
        <v>0.0083948829</v>
      </c>
      <c r="Q72" s="181">
        <f>sthcfterecs</f>
        <v>0.0174481401</v>
      </c>
      <c r="R72" s="181">
        <f>sthcfterecs</f>
        <v>0.01027777778</v>
      </c>
      <c r="S72" s="181">
        <f>sthcfterecs</f>
        <v>0.01249996522</v>
      </c>
      <c r="T72" s="181">
        <f>sthcfterecs</f>
        <v>0.009449562435</v>
      </c>
      <c r="U72" s="181">
        <f>sthcfterecs</f>
        <v>0.00888854259</v>
      </c>
      <c r="V72" s="181">
        <f>sthcfterecs</f>
        <v>0.009444415186</v>
      </c>
      <c r="W72" s="182">
        <f>sthcfterecs</f>
        <v>0.009999820025</v>
      </c>
      <c r="X72" s="181" t="str">
        <f>sthcfterecs</f>
        <v/>
      </c>
      <c r="Y72" s="181" t="str">
        <f>sthcfterecs</f>
        <v/>
      </c>
      <c r="Z72" s="181" t="str">
        <f>sthcfterecs</f>
        <v/>
      </c>
      <c r="AA72" s="181" t="str">
        <f>sthcfterecs</f>
        <v/>
      </c>
      <c r="AB72" s="182" t="str">
        <f>sthcfterecs</f>
        <v/>
      </c>
      <c r="AC72" s="182" t="str">
        <f>sthcfterecs</f>
        <v/>
      </c>
      <c r="AD72" s="182" t="str">
        <f>sthcfterecs</f>
        <v/>
      </c>
      <c r="AE72" s="182" t="str">
        <f>sthcfterecs</f>
        <v/>
      </c>
      <c r="AF72" s="182" t="str">
        <f>sthcfterecs</f>
        <v/>
      </c>
      <c r="AG72" s="182" t="str">
        <f>sthcfterecs</f>
        <v/>
      </c>
      <c r="AH72" s="182" t="str">
        <f>sthcfterecs</f>
        <v/>
      </c>
      <c r="AI72" s="125"/>
      <c r="AJ72" s="100"/>
      <c r="AK72" s="100"/>
      <c r="AL72" s="100"/>
      <c r="AM72" s="100"/>
    </row>
    <row r="73" ht="14.25" customHeight="1" outlineLevel="1">
      <c r="A73" s="382" t="s">
        <v>731</v>
      </c>
      <c r="B73" s="331"/>
      <c r="C73" s="331"/>
      <c r="D73" s="357"/>
      <c r="E73" s="162"/>
      <c r="F73" s="162"/>
      <c r="G73" s="162"/>
      <c r="H73" s="178"/>
      <c r="I73" s="178"/>
      <c r="J73" s="178"/>
      <c r="K73" s="178"/>
      <c r="L73" s="178"/>
      <c r="M73" s="178"/>
      <c r="N73" s="178"/>
      <c r="O73" s="178"/>
      <c r="P73" s="178"/>
      <c r="Q73" s="178"/>
      <c r="R73" s="178"/>
      <c r="S73" s="178"/>
      <c r="T73" s="178"/>
      <c r="U73" s="178"/>
      <c r="V73" s="178"/>
      <c r="W73" s="178"/>
      <c r="X73" s="178"/>
      <c r="Y73" s="178"/>
      <c r="Z73" s="178"/>
      <c r="AA73" s="178"/>
      <c r="AB73" s="178"/>
      <c r="AC73" s="178"/>
      <c r="AD73" s="178"/>
      <c r="AE73" s="178"/>
      <c r="AF73" s="178"/>
      <c r="AG73" s="178"/>
      <c r="AH73" s="178"/>
      <c r="AI73" s="162"/>
      <c r="AJ73" s="100"/>
      <c r="AK73" s="100"/>
      <c r="AL73" s="100"/>
      <c r="AM73" s="100"/>
    </row>
    <row r="74" ht="14.25" customHeight="1" outlineLevel="2">
      <c r="A74" s="195"/>
      <c r="B74" s="331" t="s">
        <v>728</v>
      </c>
      <c r="C74" s="246"/>
      <c r="D74" s="201"/>
      <c r="E74" s="162"/>
      <c r="F74" s="162"/>
      <c r="G74" s="162"/>
      <c r="H74" s="178"/>
      <c r="I74" s="178"/>
      <c r="J74" s="178"/>
      <c r="K74" s="178"/>
      <c r="L74" s="178"/>
      <c r="M74" s="178"/>
      <c r="N74" s="178"/>
      <c r="O74" s="178"/>
      <c r="P74" s="178"/>
      <c r="Q74" s="178"/>
      <c r="R74" s="178"/>
      <c r="S74" s="178"/>
      <c r="T74" s="178"/>
      <c r="U74" s="178"/>
      <c r="V74" s="178"/>
      <c r="W74" s="178"/>
      <c r="X74" s="178"/>
      <c r="Y74" s="178"/>
      <c r="Z74" s="178"/>
      <c r="AA74" s="178"/>
      <c r="AB74" s="178"/>
      <c r="AC74" s="178"/>
      <c r="AD74" s="178"/>
      <c r="AE74" s="178"/>
      <c r="AF74" s="178"/>
      <c r="AG74" s="178"/>
      <c r="AH74" s="178"/>
      <c r="AI74" s="162"/>
      <c r="AJ74" s="100"/>
      <c r="AK74" s="100"/>
      <c r="AL74" s="100"/>
      <c r="AM74" s="100"/>
    </row>
    <row r="75" ht="14.25" customHeight="1" outlineLevel="3">
      <c r="A75" s="271"/>
      <c r="B75" s="357"/>
      <c r="C75" s="369"/>
      <c r="D75" s="271"/>
      <c r="E75" s="287" t="s">
        <v>1200</v>
      </c>
      <c r="F75" s="249" t="s">
        <v>135</v>
      </c>
      <c r="G75" s="249" t="s">
        <v>1033</v>
      </c>
      <c r="H75" s="260">
        <f>toccftercui</f>
        <v>3.711747938</v>
      </c>
      <c r="I75" s="260">
        <f>toccftercui</f>
        <v>3.752377264</v>
      </c>
      <c r="J75" s="260">
        <f>toccftercui</f>
        <v>3.85443202</v>
      </c>
      <c r="K75" s="260">
        <f>toccftercui</f>
        <v>3.8540767</v>
      </c>
      <c r="L75" s="260">
        <f>toccftercui</f>
        <v>3.947226795</v>
      </c>
      <c r="M75" s="260">
        <f>toccftercui</f>
        <v>3.974229217</v>
      </c>
      <c r="N75" s="260">
        <f>toccftercui</f>
        <v>3.975083927</v>
      </c>
      <c r="O75" s="260">
        <f>toccftercui</f>
        <v>4.02882589</v>
      </c>
      <c r="P75" s="260">
        <f>toccftercui</f>
        <v>4.122373784</v>
      </c>
      <c r="Q75" s="260">
        <f>toccftercui</f>
        <v>4.119702442</v>
      </c>
      <c r="R75" s="260">
        <f>toccftercui</f>
        <v>4.30813546</v>
      </c>
      <c r="S75" s="260">
        <f>toccftercui</f>
        <v>4.257282426</v>
      </c>
      <c r="T75" s="260">
        <f>toccftercui</f>
        <v>4.256591359</v>
      </c>
      <c r="U75" s="260">
        <f>toccftercui</f>
        <v>4.296286602</v>
      </c>
      <c r="V75" s="260">
        <f>toccftercui</f>
        <v>4.380027746</v>
      </c>
      <c r="W75" s="182">
        <f>toccftercui</f>
        <v>4.434409645</v>
      </c>
      <c r="X75" s="260" t="str">
        <f>toccftercui</f>
        <v/>
      </c>
      <c r="Y75" s="260" t="str">
        <f>toccftercui</f>
        <v/>
      </c>
      <c r="Z75" s="260" t="str">
        <f>toccftercui</f>
        <v/>
      </c>
      <c r="AA75" s="260" t="str">
        <f>toccftercui</f>
        <v/>
      </c>
      <c r="AB75" s="182" t="str">
        <f>toccftercui</f>
        <v/>
      </c>
      <c r="AC75" s="182" t="str">
        <f>toccftercui</f>
        <v/>
      </c>
      <c r="AD75" s="182" t="str">
        <f>toccftercui</f>
        <v/>
      </c>
      <c r="AE75" s="182" t="str">
        <f>toccftercui</f>
        <v/>
      </c>
      <c r="AF75" s="182" t="str">
        <f>toccftercui</f>
        <v/>
      </c>
      <c r="AG75" s="182" t="str">
        <f>toccftercui</f>
        <v/>
      </c>
      <c r="AH75" s="182" t="str">
        <f>toccftercui</f>
        <v/>
      </c>
      <c r="AI75" s="125"/>
      <c r="AJ75" s="100"/>
      <c r="AK75" s="100"/>
      <c r="AL75" s="100"/>
      <c r="AM75" s="100"/>
    </row>
    <row r="76" ht="14.25" customHeight="1" outlineLevel="3">
      <c r="A76" s="271"/>
      <c r="B76" s="357"/>
      <c r="C76" s="369"/>
      <c r="D76" s="271"/>
      <c r="E76" s="270" t="s">
        <v>1034</v>
      </c>
      <c r="F76" s="249" t="s">
        <v>135</v>
      </c>
      <c r="G76" s="249" t="s">
        <v>1035</v>
      </c>
      <c r="H76" s="260" t="str">
        <f>cmscftercui</f>
        <v/>
      </c>
      <c r="I76" s="260" t="str">
        <f>cmscftercui</f>
        <v/>
      </c>
      <c r="J76" s="260" t="str">
        <f>cmscftercui</f>
        <v/>
      </c>
      <c r="K76" s="260" t="str">
        <f>cmscftercui</f>
        <v/>
      </c>
      <c r="L76" s="260" t="str">
        <f>cmscftercui</f>
        <v/>
      </c>
      <c r="M76" s="260" t="str">
        <f>cmscftercui</f>
        <v/>
      </c>
      <c r="N76" s="260" t="str">
        <f>cmscftercui</f>
        <v/>
      </c>
      <c r="O76" s="260" t="str">
        <f>cmscftercui</f>
        <v/>
      </c>
      <c r="P76" s="260" t="str">
        <f>cmscftercui</f>
        <v/>
      </c>
      <c r="Q76" s="260" t="str">
        <f>cmscftercui</f>
        <v/>
      </c>
      <c r="R76" s="260" t="str">
        <f>cmscftercui</f>
        <v/>
      </c>
      <c r="S76" s="260" t="str">
        <f>cmscftercui</f>
        <v/>
      </c>
      <c r="T76" s="260" t="str">
        <f>cmscftercui</f>
        <v/>
      </c>
      <c r="U76" s="260" t="str">
        <f>cmscftercui</f>
        <v/>
      </c>
      <c r="V76" s="260" t="str">
        <f>cmscftercui</f>
        <v/>
      </c>
      <c r="W76" s="182" t="str">
        <f>cmscftercui</f>
        <v/>
      </c>
      <c r="X76" s="260" t="str">
        <f>cmscftercui</f>
        <v/>
      </c>
      <c r="Y76" s="260" t="str">
        <f>cmscftercui</f>
        <v/>
      </c>
      <c r="Z76" s="260" t="str">
        <f>cmscftercui</f>
        <v/>
      </c>
      <c r="AA76" s="260" t="str">
        <f>cmscftercui</f>
        <v/>
      </c>
      <c r="AB76" s="182" t="str">
        <f>cmscftercui</f>
        <v/>
      </c>
      <c r="AC76" s="182" t="str">
        <f>cmscftercui</f>
        <v/>
      </c>
      <c r="AD76" s="182" t="str">
        <f>cmscftercui</f>
        <v/>
      </c>
      <c r="AE76" s="182" t="str">
        <f>cmscftercui</f>
        <v/>
      </c>
      <c r="AF76" s="182" t="str">
        <f>cmscftercui</f>
        <v/>
      </c>
      <c r="AG76" s="182" t="str">
        <f>cmscftercui</f>
        <v/>
      </c>
      <c r="AH76" s="182" t="str">
        <f>cmscftercui</f>
        <v/>
      </c>
      <c r="AI76" s="125"/>
      <c r="AJ76" s="100"/>
      <c r="AK76" s="100"/>
      <c r="AL76" s="100"/>
      <c r="AM76" s="100"/>
    </row>
    <row r="77" ht="14.25" customHeight="1" outlineLevel="3">
      <c r="A77" s="271"/>
      <c r="B77" s="357"/>
      <c r="C77" s="369"/>
      <c r="D77" s="271"/>
      <c r="E77" s="270" t="s">
        <v>1036</v>
      </c>
      <c r="F77" s="249" t="s">
        <v>135</v>
      </c>
      <c r="G77" s="249" t="s">
        <v>1037</v>
      </c>
      <c r="H77" s="260">
        <f>boicftercui</f>
        <v>0</v>
      </c>
      <c r="I77" s="260">
        <f>boicftercui</f>
        <v>0</v>
      </c>
      <c r="J77" s="260">
        <f>boicftercui</f>
        <v>0</v>
      </c>
      <c r="K77" s="260">
        <f>boicftercui</f>
        <v>0</v>
      </c>
      <c r="L77" s="260">
        <f>boicftercui</f>
        <v>0</v>
      </c>
      <c r="M77" s="260">
        <f>boicftercui</f>
        <v>0</v>
      </c>
      <c r="N77" s="260">
        <f>boicftercui</f>
        <v>0</v>
      </c>
      <c r="O77" s="260">
        <f>boicftercui</f>
        <v>0</v>
      </c>
      <c r="P77" s="260">
        <f>boicftercui</f>
        <v>0.0082528806</v>
      </c>
      <c r="Q77" s="260">
        <f>boicftercui</f>
        <v>0.0081425119</v>
      </c>
      <c r="R77" s="260">
        <f>boicftercui</f>
        <v>0.008086189366</v>
      </c>
      <c r="S77" s="260">
        <f>boicftercui</f>
        <v>0.00808615873</v>
      </c>
      <c r="T77" s="260">
        <f>boicftercui</f>
        <v>0.008090297317</v>
      </c>
      <c r="U77" s="260">
        <f>boicftercui</f>
        <v>0.008085780255</v>
      </c>
      <c r="V77" s="260">
        <f>boicftercui</f>
        <v>0.008086166469</v>
      </c>
      <c r="W77" s="182">
        <f>boicftercui</f>
        <v>0.008086180587</v>
      </c>
      <c r="X77" s="260" t="str">
        <f>boicftercui</f>
        <v/>
      </c>
      <c r="Y77" s="260" t="str">
        <f>boicftercui</f>
        <v/>
      </c>
      <c r="Z77" s="260" t="str">
        <f>boicftercui</f>
        <v/>
      </c>
      <c r="AA77" s="260" t="str">
        <f>boicftercui</f>
        <v/>
      </c>
      <c r="AB77" s="182" t="str">
        <f>boicftercui</f>
        <v/>
      </c>
      <c r="AC77" s="182" t="str">
        <f>boicftercui</f>
        <v/>
      </c>
      <c r="AD77" s="182" t="str">
        <f>boicftercui</f>
        <v/>
      </c>
      <c r="AE77" s="182" t="str">
        <f>boicftercui</f>
        <v/>
      </c>
      <c r="AF77" s="182" t="str">
        <f>boicftercui</f>
        <v/>
      </c>
      <c r="AG77" s="182" t="str">
        <f>boicftercui</f>
        <v/>
      </c>
      <c r="AH77" s="182" t="str">
        <f>boicftercui</f>
        <v/>
      </c>
      <c r="AI77" s="125"/>
      <c r="AJ77" s="100"/>
      <c r="AK77" s="100"/>
      <c r="AL77" s="100"/>
      <c r="AM77" s="100"/>
    </row>
    <row r="78" ht="14.25" customHeight="1" outlineLevel="3">
      <c r="A78" s="271"/>
      <c r="B78" s="357"/>
      <c r="C78" s="369"/>
      <c r="D78" s="271"/>
      <c r="E78" s="270" t="s">
        <v>1038</v>
      </c>
      <c r="F78" s="249" t="s">
        <v>135</v>
      </c>
      <c r="G78" s="249" t="s">
        <v>1039</v>
      </c>
      <c r="H78" s="260">
        <f>petcftercui</f>
        <v>0.7424910251</v>
      </c>
      <c r="I78" s="260">
        <f>petcftercui</f>
        <v>0.7273538028</v>
      </c>
      <c r="J78" s="260">
        <f>petcftercui</f>
        <v>0.5338315137</v>
      </c>
      <c r="K78" s="260">
        <f>petcftercui</f>
        <v>0.3819314812</v>
      </c>
      <c r="L78" s="260">
        <f>petcftercui</f>
        <v>0.3958370036</v>
      </c>
      <c r="M78" s="260">
        <f>petcftercui</f>
        <v>0.3317534069</v>
      </c>
      <c r="N78" s="260">
        <f>petcftercui</f>
        <v>0.2422851731</v>
      </c>
      <c r="O78" s="260">
        <f>petcftercui</f>
        <v>0.2879594388</v>
      </c>
      <c r="P78" s="260">
        <f>petcftercui</f>
        <v>0.5337876752</v>
      </c>
      <c r="Q78" s="260">
        <f>petcftercui</f>
        <v>0.6501749589</v>
      </c>
      <c r="R78" s="260">
        <f>petcftercui</f>
        <v>0.967044452</v>
      </c>
      <c r="S78" s="260">
        <f>petcftercui</f>
        <v>0.5444804293</v>
      </c>
      <c r="T78" s="260">
        <f>petcftercui</f>
        <v>0.3511544141</v>
      </c>
      <c r="U78" s="260">
        <f>petcftercui</f>
        <v>0.3340239865</v>
      </c>
      <c r="V78" s="260">
        <f>petcftercui</f>
        <v>0.4217172411</v>
      </c>
      <c r="W78" s="182">
        <f>petcftercui</f>
        <v>0.3934993262</v>
      </c>
      <c r="X78" s="260" t="str">
        <f>petcftercui</f>
        <v/>
      </c>
      <c r="Y78" s="260" t="str">
        <f>petcftercui</f>
        <v/>
      </c>
      <c r="Z78" s="260" t="str">
        <f>petcftercui</f>
        <v/>
      </c>
      <c r="AA78" s="260" t="str">
        <f>petcftercui</f>
        <v/>
      </c>
      <c r="AB78" s="182" t="str">
        <f>petcftercui</f>
        <v/>
      </c>
      <c r="AC78" s="182" t="str">
        <f>petcftercui</f>
        <v/>
      </c>
      <c r="AD78" s="182" t="str">
        <f>petcftercui</f>
        <v/>
      </c>
      <c r="AE78" s="182" t="str">
        <f>petcftercui</f>
        <v/>
      </c>
      <c r="AF78" s="182" t="str">
        <f>petcftercui</f>
        <v/>
      </c>
      <c r="AG78" s="182" t="str">
        <f>petcftercui</f>
        <v/>
      </c>
      <c r="AH78" s="182" t="str">
        <f>petcftercui</f>
        <v/>
      </c>
      <c r="AI78" s="125"/>
      <c r="AJ78" s="100"/>
      <c r="AK78" s="100"/>
      <c r="AL78" s="100"/>
      <c r="AM78" s="100"/>
    </row>
    <row r="79" ht="14.25" customHeight="1" outlineLevel="3">
      <c r="A79" s="271"/>
      <c r="B79" s="357"/>
      <c r="C79" s="369"/>
      <c r="D79" s="271"/>
      <c r="E79" s="270" t="s">
        <v>1040</v>
      </c>
      <c r="F79" s="249" t="s">
        <v>135</v>
      </c>
      <c r="G79" s="249" t="s">
        <v>1041</v>
      </c>
      <c r="H79" s="260">
        <f>gazcftercui</f>
        <v>2.154536245</v>
      </c>
      <c r="I79" s="260">
        <f>gazcftercui</f>
        <v>2.23157684</v>
      </c>
      <c r="J79" s="260">
        <f>gazcftercui</f>
        <v>2.272358549</v>
      </c>
      <c r="K79" s="260">
        <f>gazcftercui</f>
        <v>2.3312527</v>
      </c>
      <c r="L79" s="260">
        <f>gazcftercui</f>
        <v>2.378076374</v>
      </c>
      <c r="M79" s="260">
        <f>gazcftercui</f>
        <v>2.378123747</v>
      </c>
      <c r="N79" s="260">
        <f>gazcftercui</f>
        <v>2.33526607</v>
      </c>
      <c r="O79" s="260">
        <f>gazcftercui</f>
        <v>2.068683842</v>
      </c>
      <c r="P79" s="260">
        <f>gazcftercui</f>
        <v>1.989849035</v>
      </c>
      <c r="Q79" s="260">
        <f>gazcftercui</f>
        <v>1.982818209</v>
      </c>
      <c r="R79" s="260">
        <f>gazcftercui</f>
        <v>2.069426087</v>
      </c>
      <c r="S79" s="260">
        <f>gazcftercui</f>
        <v>2.079598157</v>
      </c>
      <c r="T79" s="260">
        <f>gazcftercui</f>
        <v>2.151080448</v>
      </c>
      <c r="U79" s="260">
        <f>gazcftercui</f>
        <v>2.203056232</v>
      </c>
      <c r="V79" s="260">
        <f>gazcftercui</f>
        <v>2.179763124</v>
      </c>
      <c r="W79" s="182">
        <f>gazcftercui</f>
        <v>2.185531265</v>
      </c>
      <c r="X79" s="260" t="str">
        <f>gazcftercui</f>
        <v/>
      </c>
      <c r="Y79" s="260" t="str">
        <f>gazcftercui</f>
        <v/>
      </c>
      <c r="Z79" s="260" t="str">
        <f>gazcftercui</f>
        <v/>
      </c>
      <c r="AA79" s="260" t="str">
        <f>gazcftercui</f>
        <v/>
      </c>
      <c r="AB79" s="182" t="str">
        <f>gazcftercui</f>
        <v/>
      </c>
      <c r="AC79" s="182" t="str">
        <f>gazcftercui</f>
        <v/>
      </c>
      <c r="AD79" s="182" t="str">
        <f>gazcftercui</f>
        <v/>
      </c>
      <c r="AE79" s="182" t="str">
        <f>gazcftercui</f>
        <v/>
      </c>
      <c r="AF79" s="182" t="str">
        <f>gazcftercui</f>
        <v/>
      </c>
      <c r="AG79" s="182" t="str">
        <f>gazcftercui</f>
        <v/>
      </c>
      <c r="AH79" s="182" t="str">
        <f>gazcftercui</f>
        <v/>
      </c>
      <c r="AI79" s="125"/>
      <c r="AJ79" s="100"/>
      <c r="AK79" s="100"/>
      <c r="AL79" s="100"/>
      <c r="AM79" s="100"/>
    </row>
    <row r="80" ht="14.25" customHeight="1" outlineLevel="3">
      <c r="A80" s="271"/>
      <c r="B80" s="357"/>
      <c r="C80" s="369"/>
      <c r="D80" s="271"/>
      <c r="E80" s="122" t="s">
        <v>1042</v>
      </c>
      <c r="F80" s="123" t="s">
        <v>135</v>
      </c>
      <c r="G80" s="123" t="s">
        <v>1043</v>
      </c>
      <c r="H80" s="260">
        <f>elccftercui</f>
        <v>0.8147206679</v>
      </c>
      <c r="I80" s="260">
        <f>elccftercui</f>
        <v>0.7934466209</v>
      </c>
      <c r="J80" s="260">
        <f>elccftercui</f>
        <v>1.048241958</v>
      </c>
      <c r="K80" s="260">
        <f>elccftercui</f>
        <v>1.140892519</v>
      </c>
      <c r="L80" s="260">
        <f>elccftercui</f>
        <v>1.173313417</v>
      </c>
      <c r="M80" s="260">
        <f>elccftercui</f>
        <v>1.264352062</v>
      </c>
      <c r="N80" s="260">
        <f>elccftercui</f>
        <v>1.397532683</v>
      </c>
      <c r="O80" s="260">
        <f>elccftercui</f>
        <v>1.672182609</v>
      </c>
      <c r="P80" s="260">
        <f>elccftercui</f>
        <v>1.590484193</v>
      </c>
      <c r="Q80" s="260">
        <f>elccftercui</f>
        <v>1.478566762</v>
      </c>
      <c r="R80" s="260">
        <f>elccftercui</f>
        <v>1.263578731</v>
      </c>
      <c r="S80" s="260">
        <f>elccftercui</f>
        <v>1.625117681</v>
      </c>
      <c r="T80" s="260">
        <f>elccftercui</f>
        <v>1.746266199</v>
      </c>
      <c r="U80" s="260">
        <f>elccftercui</f>
        <v>1.751120604</v>
      </c>
      <c r="V80" s="260">
        <f>elccftercui</f>
        <v>1.770461215</v>
      </c>
      <c r="W80" s="182">
        <f>elccftercui</f>
        <v>1.847292873</v>
      </c>
      <c r="X80" s="260" t="str">
        <f>elccftercui</f>
        <v/>
      </c>
      <c r="Y80" s="260" t="str">
        <f>elccftercui</f>
        <v/>
      </c>
      <c r="Z80" s="260" t="str">
        <f>elccftercui</f>
        <v/>
      </c>
      <c r="AA80" s="260" t="str">
        <f>elccftercui</f>
        <v/>
      </c>
      <c r="AB80" s="182" t="str">
        <f>elccftercui</f>
        <v/>
      </c>
      <c r="AC80" s="182" t="str">
        <f>elccftercui</f>
        <v/>
      </c>
      <c r="AD80" s="182" t="str">
        <f>elccftercui</f>
        <v/>
      </c>
      <c r="AE80" s="182" t="str">
        <f>elccftercui</f>
        <v/>
      </c>
      <c r="AF80" s="182" t="str">
        <f>elccftercui</f>
        <v/>
      </c>
      <c r="AG80" s="182" t="str">
        <f>elccftercui</f>
        <v/>
      </c>
      <c r="AH80" s="182" t="str">
        <f>elccftercui</f>
        <v/>
      </c>
      <c r="AI80" s="125"/>
      <c r="AJ80" s="100"/>
      <c r="AK80" s="100"/>
      <c r="AL80" s="100"/>
      <c r="AM80" s="100"/>
    </row>
    <row r="81" ht="14.25" customHeight="1">
      <c r="A81" s="382" t="s">
        <v>635</v>
      </c>
      <c r="B81" s="162"/>
      <c r="C81" s="162"/>
      <c r="D81" s="100"/>
      <c r="E81" s="162"/>
      <c r="F81" s="162"/>
      <c r="G81" s="162"/>
      <c r="H81" s="178"/>
      <c r="I81" s="178"/>
      <c r="J81" s="178"/>
      <c r="K81" s="178"/>
      <c r="L81" s="178"/>
      <c r="M81" s="178"/>
      <c r="N81" s="178"/>
      <c r="O81" s="178"/>
      <c r="P81" s="178"/>
      <c r="Q81" s="178"/>
      <c r="R81" s="178"/>
      <c r="S81" s="178"/>
      <c r="T81" s="178"/>
      <c r="U81" s="178"/>
      <c r="V81" s="178"/>
      <c r="W81" s="178"/>
      <c r="X81" s="178"/>
      <c r="Y81" s="178"/>
      <c r="Z81" s="178"/>
      <c r="AA81" s="178"/>
      <c r="AB81" s="178"/>
      <c r="AC81" s="178"/>
      <c r="AD81" s="178"/>
      <c r="AE81" s="178"/>
      <c r="AF81" s="178"/>
      <c r="AG81" s="178"/>
      <c r="AH81" s="178"/>
      <c r="AI81" s="162"/>
      <c r="AJ81" s="100"/>
      <c r="AK81" s="100"/>
      <c r="AL81" s="100"/>
      <c r="AM81" s="100"/>
    </row>
    <row r="82" ht="14.25" customHeight="1" outlineLevel="1">
      <c r="A82" s="384"/>
      <c r="B82" s="331" t="s">
        <v>1201</v>
      </c>
      <c r="C82" s="331"/>
      <c r="D82" s="357"/>
      <c r="E82" s="162"/>
      <c r="F82" s="162"/>
      <c r="G82" s="162"/>
      <c r="H82" s="178"/>
      <c r="I82" s="178"/>
      <c r="J82" s="178"/>
      <c r="K82" s="178"/>
      <c r="L82" s="178"/>
      <c r="M82" s="178"/>
      <c r="N82" s="178"/>
      <c r="O82" s="178"/>
      <c r="P82" s="178"/>
      <c r="Q82" s="178"/>
      <c r="R82" s="178"/>
      <c r="S82" s="178"/>
      <c r="T82" s="178"/>
      <c r="U82" s="178"/>
      <c r="V82" s="178"/>
      <c r="W82" s="178"/>
      <c r="X82" s="178"/>
      <c r="Y82" s="178"/>
      <c r="Z82" s="178"/>
      <c r="AA82" s="178"/>
      <c r="AB82" s="178"/>
      <c r="AC82" s="178"/>
      <c r="AD82" s="178"/>
      <c r="AE82" s="178"/>
      <c r="AF82" s="178"/>
      <c r="AG82" s="178"/>
      <c r="AH82" s="178"/>
      <c r="AI82" s="162"/>
      <c r="AJ82" s="100"/>
      <c r="AK82" s="100"/>
      <c r="AL82" s="100"/>
      <c r="AM82" s="100"/>
    </row>
    <row r="83" ht="13.5" customHeight="1" outlineLevel="2">
      <c r="A83" s="195"/>
      <c r="B83" s="201"/>
      <c r="C83" s="246"/>
      <c r="D83" s="201"/>
      <c r="E83" s="316" t="s">
        <v>1202</v>
      </c>
      <c r="F83" s="316"/>
      <c r="G83" s="316" t="s">
        <v>1203</v>
      </c>
      <c r="H83" s="317" t="str">
        <f>IF(AND(ISBLANK(elccftersve),ISBLANK(elccftertni)),"NoDis","Dis")</f>
        <v>NoDis</v>
      </c>
      <c r="I83" s="317" t="str">
        <f>IF(AND(ISBLANK(elccftersve),ISBLANK(elccftertni)),"NoDis","Dis")</f>
        <v>NoDis</v>
      </c>
      <c r="J83" s="317" t="str">
        <f>IF(AND(ISBLANK(elccftersve),ISBLANK(elccftertni)),"NoDis","Dis")</f>
        <v>NoDis</v>
      </c>
      <c r="K83" s="317" t="str">
        <f>IF(AND(ISBLANK(elccftersve),ISBLANK(elccftertni)),"NoDis","Dis")</f>
        <v>NoDis</v>
      </c>
      <c r="L83" s="317" t="str">
        <f>IF(AND(ISBLANK(elccftersve),ISBLANK(elccftertni)),"NoDis","Dis")</f>
        <v>NoDis</v>
      </c>
      <c r="M83" s="317" t="str">
        <f>IF(AND(ISBLANK(elccftersve),ISBLANK(elccftertni)),"NoDis","Dis")</f>
        <v>NoDis</v>
      </c>
      <c r="N83" s="317" t="str">
        <f>IF(AND(ISBLANK(elccftersve),ISBLANK(elccftertni)),"NoDis","Dis")</f>
        <v>NoDis</v>
      </c>
      <c r="O83" s="317" t="str">
        <f>IF(AND(ISBLANK(elccftersve),ISBLANK(elccftertni)),"NoDis","Dis")</f>
        <v>NoDis</v>
      </c>
      <c r="P83" s="317" t="str">
        <f>IF(AND(ISBLANK(elccftersve),ISBLANK(elccftertni)),"NoDis","Dis")</f>
        <v>NoDis</v>
      </c>
      <c r="Q83" s="317" t="str">
        <f>IF(AND(ISBLANK(elccftersve),ISBLANK(elccftertni)),"NoDis","Dis")</f>
        <v>NoDis</v>
      </c>
      <c r="R83" s="317" t="str">
        <f>IF(AND(ISBLANK(elccftersve),ISBLANK(elccftertni)),"NoDis","Dis")</f>
        <v>NoDis</v>
      </c>
      <c r="S83" s="317" t="str">
        <f>IF(AND(ISBLANK(elccftersve),ISBLANK(elccftertni)),"NoDis","Dis")</f>
        <v>NoDis</v>
      </c>
      <c r="T83" s="317" t="str">
        <f>IF(AND(ISBLANK(elccftersve),ISBLANK(elccftertni)),"NoDis","Dis")</f>
        <v>NoDis</v>
      </c>
      <c r="U83" s="317" t="str">
        <f>IF(AND(ISBLANK(elccftersve),ISBLANK(elccftertni)),"NoDis","Dis")</f>
        <v>NoDis</v>
      </c>
      <c r="V83" s="317" t="str">
        <f>IF(AND(ISBLANK(elccftersve),ISBLANK(elccftertni)),"NoDis","Dis")</f>
        <v>NoDis</v>
      </c>
      <c r="W83" s="317" t="str">
        <f>IF(AND(ISBLANK(elccftersve),ISBLANK(elccftertni)),"NoDis","Dis")</f>
        <v>NoDis</v>
      </c>
      <c r="X83" s="317" t="str">
        <f>IF(AND(ISBLANK(elccftersve),ISBLANK(elccftertni)),"NoDis","Dis")</f>
        <v>NoDis</v>
      </c>
      <c r="Y83" s="317" t="str">
        <f>IF(AND(ISBLANK(elccftersve),ISBLANK(elccftertni)),"NoDis","Dis")</f>
        <v>NoDis</v>
      </c>
      <c r="Z83" s="317" t="str">
        <f>IF(AND(ISBLANK(elccftersve),ISBLANK(elccftertni)),"NoDis","Dis")</f>
        <v>NoDis</v>
      </c>
      <c r="AA83" s="317" t="str">
        <f>IF(AND(ISBLANK(elccftersve),ISBLANK(elccftertni)),"NoDis","Dis")</f>
        <v>NoDis</v>
      </c>
      <c r="AB83" s="317" t="str">
        <f>IF(AND(ISBLANK(elccftersve),ISBLANK(elccftertni)),"NoDis","Dis")</f>
        <v>NoDis</v>
      </c>
      <c r="AC83" s="317" t="str">
        <f>IF(AND(ISBLANK(elccftersve),ISBLANK(elccftertni)),"NoDis","Dis")</f>
        <v>NoDis</v>
      </c>
      <c r="AD83" s="317" t="str">
        <f>IF(AND(ISBLANK(elccftersve),ISBLANK(elccftertni)),"NoDis","Dis")</f>
        <v>NoDis</v>
      </c>
      <c r="AE83" s="317" t="str">
        <f>IF(AND(ISBLANK(elccftersve),ISBLANK(elccftertni)),"NoDis","Dis")</f>
        <v>NoDis</v>
      </c>
      <c r="AF83" s="317" t="str">
        <f>IF(AND(ISBLANK(elccftersve),ISBLANK(elccftertni)),"NoDis","Dis")</f>
        <v>NoDis</v>
      </c>
      <c r="AG83" s="317" t="str">
        <f>IF(AND(ISBLANK(elccftersve),ISBLANK(elccftertni)),"NoDis","Dis")</f>
        <v>NoDis</v>
      </c>
      <c r="AH83" s="317" t="str">
        <f>IF(AND(ISBLANK(elccftersve),ISBLANK(elccftertni)),"NoDis","Dis")</f>
        <v>NoDis</v>
      </c>
      <c r="AI83" s="125"/>
      <c r="AJ83" s="100"/>
      <c r="AK83" s="100"/>
      <c r="AL83" s="100"/>
      <c r="AM83" s="100"/>
    </row>
    <row r="84" ht="14.25" customHeight="1" outlineLevel="3">
      <c r="A84" s="382"/>
      <c r="B84" s="357"/>
      <c r="C84" s="331"/>
      <c r="D84" s="357"/>
      <c r="E84" s="273" t="s">
        <v>1204</v>
      </c>
      <c r="F84" s="123" t="s">
        <v>135</v>
      </c>
      <c r="G84" s="123" t="s">
        <v>1205</v>
      </c>
      <c r="H84" s="274">
        <f>IF(crdtcs="NoDis",elccftertcs,IF(elccftersve+elccftertni&lt;elccftertcs,elccftertcs,elccftersve+elccftertni))</f>
        <v>8.4692192</v>
      </c>
      <c r="I84" s="274">
        <f>IF(crdtcs="NoDis",elccftertcs,IF(elccftersve+elccftertni&lt;elccftertcs,elccftertcs,elccftersve+elccftertni))</f>
        <v>8.677846986</v>
      </c>
      <c r="J84" s="274">
        <f>IF(crdtcs="NoDis",elccftertcs,IF(elccftersve+elccftertni&lt;elccftertcs,elccftertcs,elccftersve+elccftertni))</f>
        <v>9.045080969</v>
      </c>
      <c r="K84" s="274">
        <f>IF(crdtcs="NoDis",elccftertcs,IF(elccftersve+elccftertni&lt;elccftertcs,elccftertcs,elccftersve+elccftertni))</f>
        <v>9.193706385</v>
      </c>
      <c r="L84" s="274">
        <f>IF(crdtcs="NoDis",elccftertcs,IF(elccftersve+elccftertni&lt;elccftertcs,elccftertcs,elccftersve+elccftertni))</f>
        <v>9.477789977</v>
      </c>
      <c r="M84" s="274">
        <f>IF(crdtcs="NoDis",elccftertcs,IF(elccftersve+elccftertni&lt;elccftertcs,elccftertcs,elccftersve+elccftertni))</f>
        <v>9.846970021</v>
      </c>
      <c r="N84" s="274">
        <f>IF(crdtcs="NoDis",elccftertcs,IF(elccftersve+elccftertni&lt;elccftertcs,elccftertcs,elccftersve+elccftertni))</f>
        <v>10.33728632</v>
      </c>
      <c r="O84" s="274">
        <f>IF(crdtcs="NoDis",elccftertcs,IF(elccftersve+elccftertni&lt;elccftertcs,elccftertcs,elccftersve+elccftertni))</f>
        <v>10.79430578</v>
      </c>
      <c r="P84" s="274">
        <f>IF(crdtcs="NoDis",elccftertcs,IF(elccftersve+elccftertni&lt;elccftertcs,elccftertcs,elccftersve+elccftertni))</f>
        <v>11.12633126</v>
      </c>
      <c r="Q84" s="274">
        <f>IF(crdtcs="NoDis",elccftertcs,IF(elccftersve+elccftertni&lt;elccftertcs,elccftertcs,elccftersve+elccftertni))</f>
        <v>11.22812715</v>
      </c>
      <c r="R84" s="274">
        <f>IF(crdtcs="NoDis",elccftertcs,IF(elccftersve+elccftertni&lt;elccftertcs,elccftertcs,elccftersve+elccftertni))</f>
        <v>11.4649539</v>
      </c>
      <c r="S84" s="274">
        <f>IF(crdtcs="NoDis",elccftertcs,IF(elccftersve+elccftertni&lt;elccftertcs,elccftertcs,elccftersve+elccftertni))</f>
        <v>11.62012159</v>
      </c>
      <c r="T84" s="274">
        <f>IF(crdtcs="NoDis",elccftertcs,IF(elccftersve+elccftertni&lt;elccftertcs,elccftertcs,elccftersve+elccftertni))</f>
        <v>11.68134333</v>
      </c>
      <c r="U84" s="274">
        <f>IF(crdtcs="NoDis",elccftertcs,IF(elccftersve+elccftertni&lt;elccftertcs,elccftertcs,elccftersve+elccftertni))</f>
        <v>11.70665449</v>
      </c>
      <c r="V84" s="274">
        <f>IF(crdtcs="NoDis",elccftertcs,IF(elccftersve+elccftertni&lt;elccftertcs,elccftertcs,elccftersve+elccftertni))</f>
        <v>11.71294719</v>
      </c>
      <c r="W84" s="274">
        <f>IF(crdtcs="NoDis",elccftertcs,IF(elccftersve+elccftertni&lt;elccftertcs,elccftertcs,elccftersve+elccftertni))</f>
        <v>11.66902444</v>
      </c>
      <c r="X84" s="274" t="str">
        <f>IF(crdtcs="NoDis",elccftertcs,IF(elccftersve+elccftertni&lt;elccftertcs,elccftertcs,elccftersve+elccftertni))</f>
        <v/>
      </c>
      <c r="Y84" s="274" t="str">
        <f>IF(crdtcs="NoDis",elccftertcs,IF(elccftersve+elccftertni&lt;elccftertcs,elccftertcs,elccftersve+elccftertni))</f>
        <v/>
      </c>
      <c r="Z84" s="274" t="str">
        <f>IF(crdtcs="NoDis",elccftertcs,IF(elccftersve+elccftertni&lt;elccftertcs,elccftertcs,elccftersve+elccftertni))</f>
        <v/>
      </c>
      <c r="AA84" s="274" t="str">
        <f>IF(crdtcs="NoDis",elccftertcs,IF(elccftersve+elccftertni&lt;elccftertcs,elccftertcs,elccftersve+elccftertni))</f>
        <v/>
      </c>
      <c r="AB84" s="274" t="str">
        <f>IF(crdtcs="NoDis",elccftertcs,IF(elccftersve+elccftertni&lt;elccftertcs,elccftertcs,elccftersve+elccftertni))</f>
        <v/>
      </c>
      <c r="AC84" s="274" t="str">
        <f>IF(crdtcs="NoDis",elccftertcs,IF(elccftersve+elccftertni&lt;elccftertcs,elccftertcs,elccftersve+elccftertni))</f>
        <v/>
      </c>
      <c r="AD84" s="274" t="str">
        <f>IF(crdtcs="NoDis",elccftertcs,IF(elccftersve+elccftertni&lt;elccftertcs,elccftertcs,elccftersve+elccftertni))</f>
        <v/>
      </c>
      <c r="AE84" s="274" t="str">
        <f>IF(crdtcs="NoDis",elccftertcs,IF(elccftersve+elccftertni&lt;elccftertcs,elccftertcs,elccftersve+elccftertni))</f>
        <v/>
      </c>
      <c r="AF84" s="274" t="str">
        <f>IF(crdtcs="NoDis",elccftertcs,IF(elccftersve+elccftertni&lt;elccftertcs,elccftertcs,elccftersve+elccftertni))</f>
        <v/>
      </c>
      <c r="AG84" s="274" t="str">
        <f>IF(crdtcs="NoDis",elccftertcs,IF(elccftersve+elccftertni&lt;elccftertcs,elccftertcs,elccftersve+elccftertni))</f>
        <v/>
      </c>
      <c r="AH84" s="274" t="str">
        <f>IF(crdtcs="NoDis",elccftertcs,IF(elccftersve+elccftertni&lt;elccftertcs,elccftertcs,elccftersve+elccftertni))</f>
        <v/>
      </c>
      <c r="AI84" s="125"/>
      <c r="AJ84" s="100"/>
      <c r="AK84" s="100"/>
      <c r="AL84" s="100"/>
      <c r="AM84" s="100"/>
    </row>
    <row r="85" ht="14.25" customHeight="1" outlineLevel="1">
      <c r="A85" s="384"/>
      <c r="B85" s="331" t="s">
        <v>1206</v>
      </c>
      <c r="C85" s="331"/>
      <c r="D85" s="357"/>
      <c r="E85" s="162"/>
      <c r="F85" s="162"/>
      <c r="G85" s="162"/>
      <c r="H85" s="178"/>
      <c r="I85" s="178"/>
      <c r="J85" s="178"/>
      <c r="K85" s="178"/>
      <c r="L85" s="178"/>
      <c r="M85" s="178"/>
      <c r="N85" s="178"/>
      <c r="O85" s="178"/>
      <c r="P85" s="178"/>
      <c r="Q85" s="178"/>
      <c r="R85" s="178"/>
      <c r="S85" s="178"/>
      <c r="T85" s="178"/>
      <c r="U85" s="178"/>
      <c r="V85" s="178"/>
      <c r="W85" s="178"/>
      <c r="X85" s="178"/>
      <c r="Y85" s="178"/>
      <c r="Z85" s="178"/>
      <c r="AA85" s="178"/>
      <c r="AB85" s="178"/>
      <c r="AC85" s="178"/>
      <c r="AD85" s="178"/>
      <c r="AE85" s="178"/>
      <c r="AF85" s="178"/>
      <c r="AG85" s="178"/>
      <c r="AH85" s="178"/>
      <c r="AI85" s="162"/>
      <c r="AJ85" s="100"/>
      <c r="AK85" s="100"/>
      <c r="AL85" s="100"/>
      <c r="AM85" s="100"/>
    </row>
    <row r="86" ht="14.25" customHeight="1" outlineLevel="3">
      <c r="A86" s="382"/>
      <c r="B86" s="357"/>
      <c r="C86" s="331"/>
      <c r="D86" s="357"/>
      <c r="E86" s="299" t="s">
        <v>1207</v>
      </c>
      <c r="F86" s="123" t="s">
        <v>135</v>
      </c>
      <c r="G86" s="123" t="s">
        <v>1208</v>
      </c>
      <c r="H86" s="274">
        <f>elccfterbmg+elccfterite+elccfterooe+elccfterlgt+elccfterplg+calelccftertcs+elccftercol+elccfteroth</f>
        <v>16.9384384</v>
      </c>
      <c r="I86" s="274">
        <f>elccfterbmg+elccfterite+elccfterooe+elccfterlgt+elccfterplg+calelccftertcs+elccftercol+elccfteroth</f>
        <v>17.35569397</v>
      </c>
      <c r="J86" s="274">
        <f>elccfterbmg+elccfterite+elccfterooe+elccfterlgt+elccfterplg+calelccftertcs+elccftercol+elccfteroth</f>
        <v>18.09016194</v>
      </c>
      <c r="K86" s="274">
        <f>elccfterbmg+elccfterite+elccfterooe+elccfterlgt+elccfterplg+calelccftertcs+elccftercol+elccfteroth</f>
        <v>18.38741277</v>
      </c>
      <c r="L86" s="274">
        <f>elccfterbmg+elccfterite+elccfterooe+elccfterlgt+elccfterplg+calelccftertcs+elccftercol+elccfteroth</f>
        <v>18.95557995</v>
      </c>
      <c r="M86" s="274">
        <f>elccfterbmg+elccfterite+elccfterooe+elccfterlgt+elccfterplg+calelccftertcs+elccftercol+elccfteroth</f>
        <v>19.69394004</v>
      </c>
      <c r="N86" s="274">
        <f>elccfterbmg+elccfterite+elccfterooe+elccfterlgt+elccfterplg+calelccftertcs+elccftercol+elccfteroth</f>
        <v>20.67457264</v>
      </c>
      <c r="O86" s="274">
        <f>elccfterbmg+elccfterite+elccfterooe+elccfterlgt+elccfterplg+calelccftertcs+elccftercol+elccfteroth</f>
        <v>21.58861155</v>
      </c>
      <c r="P86" s="274">
        <f>elccfterbmg+elccfterite+elccfterooe+elccfterlgt+elccfterplg+calelccftertcs+elccftercol+elccfteroth</f>
        <v>22.25266252</v>
      </c>
      <c r="Q86" s="274">
        <f>elccfterbmg+elccfterite+elccfterooe+elccfterlgt+elccfterplg+calelccftertcs+elccftercol+elccfteroth</f>
        <v>22.4562543</v>
      </c>
      <c r="R86" s="274">
        <f>elccfterbmg+elccfterite+elccfterooe+elccfterlgt+elccfterplg+calelccftertcs+elccftercol+elccfteroth</f>
        <v>22.92990781</v>
      </c>
      <c r="S86" s="274">
        <f>elccfterbmg+elccfterite+elccfterooe+elccfterlgt+elccfterplg+calelccftertcs+elccftercol+elccfteroth</f>
        <v>23.24024319</v>
      </c>
      <c r="T86" s="274">
        <f>elccfterbmg+elccfterite+elccfterooe+elccfterlgt+elccfterplg+calelccftertcs+elccftercol+elccfteroth</f>
        <v>23.36268666</v>
      </c>
      <c r="U86" s="274">
        <f>elccfterbmg+elccfterite+elccfterooe+elccfterlgt+elccfterplg+calelccftertcs+elccftercol+elccfteroth</f>
        <v>23.41330898</v>
      </c>
      <c r="V86" s="274">
        <f>elccfterbmg+elccfterite+elccfterooe+elccfterlgt+elccfterplg+calelccftertcs+elccftercol+elccfteroth</f>
        <v>23.42589438</v>
      </c>
      <c r="W86" s="274">
        <f>elccfterbmg+elccfterite+elccfterooe+elccfterlgt+elccfterplg+calelccftertcs+elccftercol+elccfteroth</f>
        <v>23.33804889</v>
      </c>
      <c r="X86" s="274">
        <f>elccfterbmg+elccfterite+elccfterooe+elccfterlgt+elccfterplg+calelccftertcs+elccftercol+elccfteroth</f>
        <v>0</v>
      </c>
      <c r="Y86" s="274">
        <f>elccfterbmg+elccfterite+elccfterooe+elccfterlgt+elccfterplg+calelccftertcs+elccftercol+elccfteroth</f>
        <v>0</v>
      </c>
      <c r="Z86" s="274">
        <f>elccfterbmg+elccfterite+elccfterooe+elccfterlgt+elccfterplg+calelccftertcs+elccftercol+elccfteroth</f>
        <v>0</v>
      </c>
      <c r="AA86" s="274">
        <f>elccfterbmg+elccfterite+elccfterooe+elccfterlgt+elccfterplg+calelccftertcs+elccftercol+elccfteroth</f>
        <v>0</v>
      </c>
      <c r="AB86" s="274">
        <f>elccfterbmg+elccfterite+elccfterooe+elccfterlgt+elccfterplg+calelccftertcs+elccftercol+elccfteroth</f>
        <v>0</v>
      </c>
      <c r="AC86" s="274">
        <f>elccfterbmg+elccfterite+elccfterooe+elccfterlgt+elccfterplg+calelccftertcs+elccftercol+elccfteroth</f>
        <v>0</v>
      </c>
      <c r="AD86" s="274">
        <f>elccfterbmg+elccfterite+elccfterooe+elccfterlgt+elccfterplg+calelccftertcs+elccftercol+elccfteroth</f>
        <v>0</v>
      </c>
      <c r="AE86" s="274">
        <f>elccfterbmg+elccfterite+elccfterooe+elccfterlgt+elccfterplg+calelccftertcs+elccftercol+elccfteroth</f>
        <v>0</v>
      </c>
      <c r="AF86" s="274">
        <f>elccfterbmg+elccfterite+elccfterooe+elccfterlgt+elccfterplg+calelccftertcs+elccftercol+elccfteroth</f>
        <v>0</v>
      </c>
      <c r="AG86" s="274">
        <f>elccfterbmg+elccfterite+elccfterooe+elccfterlgt+elccfterplg+calelccftertcs+elccftercol+elccfteroth</f>
        <v>0</v>
      </c>
      <c r="AH86" s="274">
        <f>elccfterbmg+elccfterite+elccfterooe+elccfterlgt+elccfterplg+calelccftertcs+elccftercol+elccfteroth</f>
        <v>0</v>
      </c>
      <c r="AI86" s="125"/>
      <c r="AJ86" s="100"/>
      <c r="AK86" s="100"/>
      <c r="AL86" s="100"/>
      <c r="AM86" s="100"/>
    </row>
    <row r="87" ht="14.25" customHeight="1">
      <c r="A87" s="382" t="s">
        <v>1111</v>
      </c>
      <c r="B87" s="246"/>
      <c r="C87" s="246"/>
      <c r="D87" s="201"/>
      <c r="E87" s="162"/>
      <c r="F87" s="162"/>
      <c r="G87" s="162"/>
      <c r="H87" s="178"/>
      <c r="I87" s="178"/>
      <c r="J87" s="178"/>
      <c r="K87" s="178"/>
      <c r="L87" s="178"/>
      <c r="M87" s="178"/>
      <c r="N87" s="178"/>
      <c r="O87" s="178"/>
      <c r="P87" s="178"/>
      <c r="Q87" s="178"/>
      <c r="R87" s="178"/>
      <c r="S87" s="178"/>
      <c r="T87" s="178"/>
      <c r="U87" s="178"/>
      <c r="V87" s="178"/>
      <c r="W87" s="178"/>
      <c r="X87" s="178"/>
      <c r="Y87" s="178"/>
      <c r="Z87" s="178"/>
      <c r="AA87" s="178"/>
      <c r="AB87" s="178"/>
      <c r="AC87" s="178"/>
      <c r="AD87" s="178"/>
      <c r="AE87" s="178"/>
      <c r="AF87" s="178"/>
      <c r="AG87" s="178"/>
      <c r="AH87" s="178"/>
      <c r="AI87" s="162"/>
      <c r="AJ87" s="162"/>
      <c r="AK87" s="162"/>
      <c r="AL87" s="162"/>
      <c r="AM87" s="162"/>
    </row>
    <row r="88" ht="14.25" customHeight="1">
      <c r="A88" s="382"/>
      <c r="B88" s="331" t="s">
        <v>781</v>
      </c>
      <c r="C88" s="246"/>
      <c r="D88" s="201"/>
      <c r="E88" s="162"/>
      <c r="F88" s="162"/>
      <c r="G88" s="162"/>
      <c r="H88" s="178"/>
      <c r="I88" s="178"/>
      <c r="J88" s="178"/>
      <c r="K88" s="178"/>
      <c r="L88" s="178"/>
      <c r="M88" s="178"/>
      <c r="N88" s="178"/>
      <c r="O88" s="178"/>
      <c r="P88" s="178"/>
      <c r="Q88" s="178"/>
      <c r="R88" s="178"/>
      <c r="S88" s="178"/>
      <c r="T88" s="178"/>
      <c r="U88" s="178"/>
      <c r="V88" s="178"/>
      <c r="W88" s="178"/>
      <c r="X88" s="178"/>
      <c r="Y88" s="178"/>
      <c r="Z88" s="178"/>
      <c r="AA88" s="178"/>
      <c r="AB88" s="178"/>
      <c r="AC88" s="178"/>
      <c r="AD88" s="178"/>
      <c r="AE88" s="178"/>
      <c r="AF88" s="178"/>
      <c r="AG88" s="178"/>
      <c r="AH88" s="178"/>
      <c r="AI88" s="162"/>
      <c r="AJ88" s="162"/>
      <c r="AK88" s="162"/>
      <c r="AL88" s="162"/>
      <c r="AM88" s="162"/>
    </row>
    <row r="89" ht="14.25" customHeight="1" outlineLevel="3">
      <c r="A89" s="326"/>
      <c r="B89" s="100"/>
      <c r="C89" s="201"/>
      <c r="D89" s="201"/>
      <c r="E89" s="299" t="s">
        <v>1112</v>
      </c>
      <c r="F89" s="123" t="s">
        <v>135</v>
      </c>
      <c r="G89" s="123" t="s">
        <v>1113</v>
      </c>
      <c r="H89" s="274">
        <f t="shared" ref="H89:AH89" si="5">SUM(H90:H97)</f>
        <v>49.29010895</v>
      </c>
      <c r="I89" s="274">
        <f t="shared" si="5"/>
        <v>51.52198463</v>
      </c>
      <c r="J89" s="274">
        <f t="shared" si="5"/>
        <v>53.49229035</v>
      </c>
      <c r="K89" s="274">
        <f t="shared" si="5"/>
        <v>56.05362678</v>
      </c>
      <c r="L89" s="274">
        <f t="shared" si="5"/>
        <v>58.05832902</v>
      </c>
      <c r="M89" s="274">
        <f t="shared" si="5"/>
        <v>58.46658518</v>
      </c>
      <c r="N89" s="274">
        <f t="shared" si="5"/>
        <v>60.52400895</v>
      </c>
      <c r="O89" s="274">
        <f t="shared" si="5"/>
        <v>56.32417406</v>
      </c>
      <c r="P89" s="274">
        <f t="shared" si="5"/>
        <v>66.0261315</v>
      </c>
      <c r="Q89" s="274">
        <f t="shared" si="5"/>
        <v>64.73658019</v>
      </c>
      <c r="R89" s="274">
        <f t="shared" si="5"/>
        <v>69.92325112</v>
      </c>
      <c r="S89" s="274">
        <f t="shared" si="5"/>
        <v>63.35519376</v>
      </c>
      <c r="T89" s="274">
        <f t="shared" si="5"/>
        <v>64.46989642</v>
      </c>
      <c r="U89" s="274">
        <f t="shared" si="5"/>
        <v>68.72862275</v>
      </c>
      <c r="V89" s="274">
        <f t="shared" si="5"/>
        <v>60.83074714</v>
      </c>
      <c r="W89" s="274">
        <f t="shared" si="5"/>
        <v>64.64514641</v>
      </c>
      <c r="X89" s="274">
        <f t="shared" si="5"/>
        <v>0</v>
      </c>
      <c r="Y89" s="274">
        <f t="shared" si="5"/>
        <v>0</v>
      </c>
      <c r="Z89" s="274">
        <f t="shared" si="5"/>
        <v>0</v>
      </c>
      <c r="AA89" s="274">
        <f t="shared" si="5"/>
        <v>0</v>
      </c>
      <c r="AB89" s="274">
        <f t="shared" si="5"/>
        <v>0</v>
      </c>
      <c r="AC89" s="274">
        <f t="shared" si="5"/>
        <v>0</v>
      </c>
      <c r="AD89" s="274">
        <f t="shared" si="5"/>
        <v>0</v>
      </c>
      <c r="AE89" s="274">
        <f t="shared" si="5"/>
        <v>0</v>
      </c>
      <c r="AF89" s="274">
        <f t="shared" si="5"/>
        <v>0</v>
      </c>
      <c r="AG89" s="274">
        <f t="shared" si="5"/>
        <v>0</v>
      </c>
      <c r="AH89" s="274">
        <f t="shared" si="5"/>
        <v>0</v>
      </c>
      <c r="AI89" s="125"/>
      <c r="AJ89" s="100"/>
      <c r="AK89" s="100"/>
      <c r="AL89" s="100"/>
      <c r="AM89" s="100"/>
    </row>
    <row r="90" ht="14.25" customHeight="1" outlineLevel="3">
      <c r="A90" s="326"/>
      <c r="B90" s="201"/>
      <c r="C90" s="201"/>
      <c r="D90" s="201"/>
      <c r="E90" s="273" t="s">
        <v>1114</v>
      </c>
      <c r="F90" s="123" t="s">
        <v>135</v>
      </c>
      <c r="G90" s="123" t="s">
        <v>1115</v>
      </c>
      <c r="H90" s="274">
        <f>IF(crdaliterchf=1,cmscfterchf,calcmscfterchf)+cmscfterecs+cmscftercui</f>
        <v>0</v>
      </c>
      <c r="I90" s="274">
        <f>IF(crdaliterchf=1,cmscfterchf,calcmscfterchf)+cmscfterecs+cmscftercui</f>
        <v>0</v>
      </c>
      <c r="J90" s="274">
        <f>IF(crdaliterchf=1,cmscfterchf,calcmscfterchf)+cmscfterecs+cmscftercui</f>
        <v>0</v>
      </c>
      <c r="K90" s="274">
        <f>IF(crdaliterchf=1,cmscfterchf,calcmscfterchf)+cmscfterecs+cmscftercui</f>
        <v>0</v>
      </c>
      <c r="L90" s="274">
        <f>IF(crdaliterchf=1,cmscfterchf,calcmscfterchf)+cmscfterecs+cmscftercui</f>
        <v>0</v>
      </c>
      <c r="M90" s="274">
        <f>IF(crdaliterchf=1,cmscfterchf,calcmscfterchf)+cmscfterecs+cmscftercui</f>
        <v>0</v>
      </c>
      <c r="N90" s="274">
        <f>IF(crdaliterchf=1,cmscfterchf,calcmscfterchf)+cmscfterecs+cmscftercui</f>
        <v>0</v>
      </c>
      <c r="O90" s="274">
        <f>IF(crdaliterchf=1,cmscfterchf,calcmscfterchf)+cmscfterecs+cmscftercui</f>
        <v>0</v>
      </c>
      <c r="P90" s="274">
        <f>IF(crdaliterchf=1,cmscfterchf,calcmscfterchf)+cmscfterecs+cmscftercui</f>
        <v>0</v>
      </c>
      <c r="Q90" s="274">
        <f>IF(crdaliterchf=1,cmscfterchf,calcmscfterchf)+cmscfterecs+cmscftercui</f>
        <v>0</v>
      </c>
      <c r="R90" s="274">
        <f>IF(crdaliterchf=1,cmscfterchf,calcmscfterchf)+cmscfterecs+cmscftercui</f>
        <v>0</v>
      </c>
      <c r="S90" s="274">
        <f>IF(crdaliterchf=1,cmscfterchf,calcmscfterchf)+cmscfterecs+cmscftercui</f>
        <v>0</v>
      </c>
      <c r="T90" s="274">
        <f>IF(crdaliterchf=1,cmscfterchf,calcmscfterchf)+cmscfterecs+cmscftercui</f>
        <v>0</v>
      </c>
      <c r="U90" s="274">
        <f>IF(crdaliterchf=1,cmscfterchf,calcmscfterchf)+cmscfterecs+cmscftercui</f>
        <v>0</v>
      </c>
      <c r="V90" s="274">
        <f>IF(crdaliterchf=1,cmscfterchf,calcmscfterchf)+cmscfterecs+cmscftercui</f>
        <v>0</v>
      </c>
      <c r="W90" s="274">
        <f>IF(crdaliterchf=1,cmscfterchf,calcmscfterchf)+cmscfterecs+cmscftercui</f>
        <v>0</v>
      </c>
      <c r="X90" s="274">
        <f>IF(crdaliterchf=1,cmscfterchf,calcmscfterchf)+cmscfterecs+cmscftercui</f>
        <v>0</v>
      </c>
      <c r="Y90" s="274">
        <f>IF(crdaliterchf=1,cmscfterchf,calcmscfterchf)+cmscfterecs+cmscftercui</f>
        <v>0</v>
      </c>
      <c r="Z90" s="274">
        <f>IF(crdaliterchf=1,cmscfterchf,calcmscfterchf)+cmscfterecs+cmscftercui</f>
        <v>0</v>
      </c>
      <c r="AA90" s="274">
        <f>IF(crdaliterchf=1,cmscfterchf,calcmscfterchf)+cmscfterecs+cmscftercui</f>
        <v>0</v>
      </c>
      <c r="AB90" s="274">
        <f>IF(crdaliterchf=1,cmscfterchf,calcmscfterchf)+cmscfterecs+cmscftercui</f>
        <v>0</v>
      </c>
      <c r="AC90" s="274">
        <f>IF(crdaliterchf=1,cmscfterchf,calcmscfterchf)+cmscfterecs+cmscftercui</f>
        <v>0</v>
      </c>
      <c r="AD90" s="274">
        <f>IF(crdaliterchf=1,cmscfterchf,calcmscfterchf)+cmscfterecs+cmscftercui</f>
        <v>0</v>
      </c>
      <c r="AE90" s="274">
        <f>IF(crdaliterchf=1,cmscfterchf,calcmscfterchf)+cmscfterecs+cmscftercui</f>
        <v>0</v>
      </c>
      <c r="AF90" s="274">
        <f>IF(crdaliterchf=1,cmscfterchf,calcmscfterchf)+cmscfterecs+cmscftercui</f>
        <v>0</v>
      </c>
      <c r="AG90" s="274">
        <f>IF(crdaliterchf=1,cmscfterchf,calcmscfterchf)+cmscfterecs+cmscftercui</f>
        <v>0</v>
      </c>
      <c r="AH90" s="274">
        <f>IF(crdaliterchf=1,cmscfterchf,calcmscfterchf)+cmscfterecs+cmscftercui</f>
        <v>0</v>
      </c>
      <c r="AI90" s="125"/>
      <c r="AJ90" s="100"/>
      <c r="AK90" s="100"/>
      <c r="AL90" s="100"/>
      <c r="AM90" s="100"/>
    </row>
    <row r="91" ht="14.25" customHeight="1" outlineLevel="3">
      <c r="A91" s="326"/>
      <c r="B91" s="201"/>
      <c r="C91" s="201"/>
      <c r="D91" s="201"/>
      <c r="E91" s="273" t="s">
        <v>1116</v>
      </c>
      <c r="F91" s="123" t="s">
        <v>135</v>
      </c>
      <c r="G91" s="123" t="s">
        <v>1117</v>
      </c>
      <c r="H91" s="274">
        <f>IF(crdaliterchf=1,boicfterchf,calenccfterchf)+boicfterecs+boicftercui</f>
        <v>0</v>
      </c>
      <c r="I91" s="274">
        <f>IF(crdaliterchf=1,boicfterchf,calenccfterchf)+boicfterecs+boicftercui</f>
        <v>0</v>
      </c>
      <c r="J91" s="274">
        <f>IF(crdaliterchf=1,boicfterchf,calenccfterchf)+boicfterecs+boicftercui</f>
        <v>0</v>
      </c>
      <c r="K91" s="274">
        <f>IF(crdaliterchf=1,boicfterchf,calenccfterchf)+boicfterecs+boicftercui</f>
        <v>0</v>
      </c>
      <c r="L91" s="274">
        <f>IF(crdaliterchf=1,boicfterchf,calenccfterchf)+boicfterecs+boicftercui</f>
        <v>0.0476482263</v>
      </c>
      <c r="M91" s="274">
        <f>IF(crdaliterchf=1,boicfterchf,calenccfterchf)+boicfterecs+boicftercui</f>
        <v>0.06027786851</v>
      </c>
      <c r="N91" s="274">
        <f>IF(crdaliterchf=1,boicfterchf,calenccfterchf)+boicfterecs+boicftercui</f>
        <v>0.0593591711</v>
      </c>
      <c r="O91" s="274">
        <f>IF(crdaliterchf=1,boicfterchf,calenccfterchf)+boicfterecs+boicftercui</f>
        <v>0.0616407445</v>
      </c>
      <c r="P91" s="274">
        <f>IF(crdaliterchf=1,boicfterchf,calenccfterchf)+boicfterecs+boicftercui</f>
        <v>0.034236394</v>
      </c>
      <c r="Q91" s="274">
        <f>IF(crdaliterchf=1,boicfterchf,calenccfterchf)+boicfterecs+boicftercui</f>
        <v>0.0244274194</v>
      </c>
      <c r="R91" s="274">
        <f>IF(crdaliterchf=1,boicfterchf,calenccfterchf)+boicfterecs+boicftercui</f>
        <v>0.05058616869</v>
      </c>
      <c r="S91" s="274">
        <f>IF(crdaliterchf=1,boicfterchf,calenccfterchf)+boicfterecs+boicftercui</f>
        <v>0.05753047133</v>
      </c>
      <c r="T91" s="274">
        <f>IF(crdaliterchf=1,boicfterchf,calenccfterchf)+boicfterecs+boicftercui</f>
        <v>0.2268182647</v>
      </c>
      <c r="U91" s="274">
        <f>IF(crdaliterchf=1,boicfterchf,calenccfterchf)+boicfterecs+boicftercui</f>
        <v>0.2330738762</v>
      </c>
      <c r="V91" s="274">
        <f>IF(crdaliterchf=1,boicfterchf,calenccfterchf)+boicfterecs+boicftercui</f>
        <v>0.2130816421</v>
      </c>
      <c r="W91" s="274">
        <f>IF(crdaliterchf=1,boicfterchf,calenccfterchf)+boicfterecs+boicftercui</f>
        <v>0.2066885639</v>
      </c>
      <c r="X91" s="274">
        <f>IF(crdaliterchf=1,boicfterchf,calenccfterchf)+boicfterecs+boicftercui</f>
        <v>0</v>
      </c>
      <c r="Y91" s="274">
        <f>IF(crdaliterchf=1,boicfterchf,calenccfterchf)+boicfterecs+boicftercui</f>
        <v>0</v>
      </c>
      <c r="Z91" s="274">
        <f>IF(crdaliterchf=1,boicfterchf,calenccfterchf)+boicfterecs+boicftercui</f>
        <v>0</v>
      </c>
      <c r="AA91" s="274">
        <f>IF(crdaliterchf=1,boicfterchf,calenccfterchf)+boicfterecs+boicftercui</f>
        <v>0</v>
      </c>
      <c r="AB91" s="274">
        <f>IF(crdaliterchf=1,boicfterchf,calenccfterchf)+boicfterecs+boicftercui</f>
        <v>0</v>
      </c>
      <c r="AC91" s="274">
        <f>IF(crdaliterchf=1,boicfterchf,calenccfterchf)+boicfterecs+boicftercui</f>
        <v>0</v>
      </c>
      <c r="AD91" s="274">
        <f>IF(crdaliterchf=1,boicfterchf,calenccfterchf)+boicfterecs+boicftercui</f>
        <v>0</v>
      </c>
      <c r="AE91" s="274">
        <f>IF(crdaliterchf=1,boicfterchf,calenccfterchf)+boicfterecs+boicftercui</f>
        <v>0</v>
      </c>
      <c r="AF91" s="274">
        <f>IF(crdaliterchf=1,boicfterchf,calenccfterchf)+boicfterecs+boicftercui</f>
        <v>0</v>
      </c>
      <c r="AG91" s="274">
        <f>IF(crdaliterchf=1,boicfterchf,calenccfterchf)+boicfterecs+boicftercui</f>
        <v>0</v>
      </c>
      <c r="AH91" s="274">
        <f>IF(crdaliterchf=1,boicfterchf,calenccfterchf)+boicfterecs+boicftercui</f>
        <v>0</v>
      </c>
      <c r="AI91" s="125"/>
      <c r="AJ91" s="100"/>
      <c r="AK91" s="100"/>
      <c r="AL91" s="100"/>
      <c r="AM91" s="100"/>
    </row>
    <row r="92" ht="14.25" customHeight="1" outlineLevel="3">
      <c r="A92" s="326"/>
      <c r="B92" s="201"/>
      <c r="C92" s="201"/>
      <c r="D92" s="201"/>
      <c r="E92" s="273" t="s">
        <v>1118</v>
      </c>
      <c r="F92" s="123" t="s">
        <v>135</v>
      </c>
      <c r="G92" s="123" t="s">
        <v>1119</v>
      </c>
      <c r="H92" s="274">
        <f>IF(crdaliterchf=1,petcfterchf,calpetcfterchf)+petcfterecs+petcftercui</f>
        <v>10.04137344</v>
      </c>
      <c r="I92" s="274">
        <f>IF(crdaliterchf=1,petcfterchf,calpetcfterchf)+petcfterecs+petcftercui</f>
        <v>10.28855382</v>
      </c>
      <c r="J92" s="274">
        <f>IF(crdaliterchf=1,petcfterchf,calpetcfterchf)+petcfterecs+petcftercui</f>
        <v>13.23380084</v>
      </c>
      <c r="K92" s="274">
        <f>IF(crdaliterchf=1,petcfterchf,calpetcfterchf)+petcfterecs+petcftercui</f>
        <v>14.97734811</v>
      </c>
      <c r="L92" s="274">
        <f>IF(crdaliterchf=1,petcfterchf,calpetcfterchf)+petcfterecs+petcftercui</f>
        <v>14.84746764</v>
      </c>
      <c r="M92" s="274">
        <f>IF(crdaliterchf=1,petcfterchf,calpetcfterchf)+petcfterecs+petcftercui</f>
        <v>14.76017295</v>
      </c>
      <c r="N92" s="274">
        <f>IF(crdaliterchf=1,petcfterchf,calpetcfterchf)+petcfterecs+petcftercui</f>
        <v>12.71894202</v>
      </c>
      <c r="O92" s="274">
        <f>IF(crdaliterchf=1,petcfterchf,calpetcfterchf)+petcfterecs+petcftercui</f>
        <v>10.8360934</v>
      </c>
      <c r="P92" s="274">
        <f>IF(crdaliterchf=1,petcfterchf,calpetcfterchf)+petcfterecs+petcftercui</f>
        <v>13.4641202</v>
      </c>
      <c r="Q92" s="274">
        <f>IF(crdaliterchf=1,petcfterchf,calpetcfterchf)+petcfterecs+petcftercui</f>
        <v>11.10786115</v>
      </c>
      <c r="R92" s="274">
        <f>IF(crdaliterchf=1,petcfterchf,calpetcfterchf)+petcfterecs+petcftercui</f>
        <v>12.65420457</v>
      </c>
      <c r="S92" s="274">
        <f>IF(crdaliterchf=1,petcfterchf,calpetcfterchf)+petcfterecs+petcftercui</f>
        <v>10.42138015</v>
      </c>
      <c r="T92" s="274">
        <f>IF(crdaliterchf=1,petcfterchf,calpetcfterchf)+petcfterecs+petcftercui</f>
        <v>10.10282028</v>
      </c>
      <c r="U92" s="274">
        <f>IF(crdaliterchf=1,petcfterchf,calpetcfterchf)+petcfterecs+petcftercui</f>
        <v>10.99023002</v>
      </c>
      <c r="V92" s="274">
        <f>IF(crdaliterchf=1,petcfterchf,calpetcfterchf)+petcfterecs+petcftercui</f>
        <v>8.806082082</v>
      </c>
      <c r="W92" s="274">
        <f>IF(crdaliterchf=1,petcfterchf,calpetcfterchf)+petcfterecs+petcftercui</f>
        <v>10.30055069</v>
      </c>
      <c r="X92" s="274">
        <f>IF(crdaliterchf=1,petcfterchf,calpetcfterchf)+petcfterecs+petcftercui</f>
        <v>0</v>
      </c>
      <c r="Y92" s="274">
        <f>IF(crdaliterchf=1,petcfterchf,calpetcfterchf)+petcfterecs+petcftercui</f>
        <v>0</v>
      </c>
      <c r="Z92" s="274">
        <f>IF(crdaliterchf=1,petcfterchf,calpetcfterchf)+petcfterecs+petcftercui</f>
        <v>0</v>
      </c>
      <c r="AA92" s="274">
        <f>IF(crdaliterchf=1,petcfterchf,calpetcfterchf)+petcfterecs+petcftercui</f>
        <v>0</v>
      </c>
      <c r="AB92" s="274">
        <f>IF(crdaliterchf=1,petcfterchf,calpetcfterchf)+petcfterecs+petcftercui</f>
        <v>0</v>
      </c>
      <c r="AC92" s="274">
        <f>IF(crdaliterchf=1,petcfterchf,calpetcfterchf)+petcfterecs+petcftercui</f>
        <v>0</v>
      </c>
      <c r="AD92" s="274">
        <f>IF(crdaliterchf=1,petcfterchf,calpetcfterchf)+petcfterecs+petcftercui</f>
        <v>0</v>
      </c>
      <c r="AE92" s="274">
        <f>IF(crdaliterchf=1,petcfterchf,calpetcfterchf)+petcfterecs+petcftercui</f>
        <v>0</v>
      </c>
      <c r="AF92" s="274">
        <f>IF(crdaliterchf=1,petcfterchf,calpetcfterchf)+petcfterecs+petcftercui</f>
        <v>0</v>
      </c>
      <c r="AG92" s="274">
        <f>IF(crdaliterchf=1,petcfterchf,calpetcfterchf)+petcfterecs+petcftercui</f>
        <v>0</v>
      </c>
      <c r="AH92" s="274">
        <f>IF(crdaliterchf=1,petcfterchf,calpetcfterchf)+petcfterecs+petcftercui</f>
        <v>0</v>
      </c>
      <c r="AI92" s="125"/>
      <c r="AJ92" s="100"/>
      <c r="AK92" s="100"/>
      <c r="AL92" s="100"/>
      <c r="AM92" s="100"/>
    </row>
    <row r="93" ht="14.25" customHeight="1" outlineLevel="3">
      <c r="A93" s="326"/>
      <c r="B93" s="201"/>
      <c r="C93" s="201"/>
      <c r="D93" s="201"/>
      <c r="E93" s="273" t="s">
        <v>1120</v>
      </c>
      <c r="F93" s="123" t="s">
        <v>135</v>
      </c>
      <c r="G93" s="123" t="s">
        <v>1121</v>
      </c>
      <c r="H93" s="274">
        <f>IF(crdaliterchf=1,gazcfterchf,calgazcfterchf)+gazcfterecs+gazcftercui</f>
        <v>17.97004106</v>
      </c>
      <c r="I93" s="274">
        <f>IF(crdaliterchf=1,gazcfterchf,calgazcfterchf)+gazcfterecs+gazcftercui</f>
        <v>19.19658794</v>
      </c>
      <c r="J93" s="274">
        <f>IF(crdaliterchf=1,gazcfterchf,calgazcfterchf)+gazcfterecs+gazcftercui</f>
        <v>18.79446616</v>
      </c>
      <c r="K93" s="274">
        <f>IF(crdaliterchf=1,gazcfterchf,calgazcfterchf)+gazcfterecs+gazcftercui</f>
        <v>19.42454693</v>
      </c>
      <c r="L93" s="274">
        <f>IF(crdaliterchf=1,gazcfterchf,calgazcfterchf)+gazcfterecs+gazcftercui</f>
        <v>20.55502306</v>
      </c>
      <c r="M93" s="274">
        <f>IF(crdaliterchf=1,gazcfterchf,calgazcfterchf)+gazcfterecs+gazcftercui</f>
        <v>20.58944975</v>
      </c>
      <c r="N93" s="274">
        <f>IF(crdaliterchf=1,gazcfterchf,calgazcfterchf)+gazcfterecs+gazcftercui</f>
        <v>19.6512249</v>
      </c>
      <c r="O93" s="274">
        <f>IF(crdaliterchf=1,gazcfterchf,calgazcfterchf)+gazcfterecs+gazcftercui</f>
        <v>15.88616912</v>
      </c>
      <c r="P93" s="274">
        <f>IF(crdaliterchf=1,gazcfterchf,calgazcfterchf)+gazcfterecs+gazcftercui</f>
        <v>19.72359936</v>
      </c>
      <c r="Q93" s="274">
        <f>IF(crdaliterchf=1,gazcfterchf,calgazcfterchf)+gazcfterecs+gazcftercui</f>
        <v>20.06307833</v>
      </c>
      <c r="R93" s="274">
        <f>IF(crdaliterchf=1,gazcfterchf,calgazcfterchf)+gazcfterecs+gazcftercui</f>
        <v>22.65065155</v>
      </c>
      <c r="S93" s="274">
        <f>IF(crdaliterchf=1,gazcfterchf,calgazcfterchf)+gazcfterecs+gazcftercui</f>
        <v>18.54064437</v>
      </c>
      <c r="T93" s="274">
        <f>IF(crdaliterchf=1,gazcfterchf,calgazcfterchf)+gazcfterecs+gazcftercui</f>
        <v>19.96550589</v>
      </c>
      <c r="U93" s="274">
        <f>IF(crdaliterchf=1,gazcfterchf,calgazcfterchf)+gazcfterecs+gazcftercui</f>
        <v>22.74381862</v>
      </c>
      <c r="V93" s="274">
        <f>IF(crdaliterchf=1,gazcfterchf,calgazcfterchf)+gazcfterecs+gazcftercui</f>
        <v>17.86698301</v>
      </c>
      <c r="W93" s="274">
        <f>IF(crdaliterchf=1,gazcfterchf,calgazcfterchf)+gazcfterecs+gazcftercui</f>
        <v>19.92832716</v>
      </c>
      <c r="X93" s="274">
        <f>IF(crdaliterchf=1,gazcfterchf,calgazcfterchf)+gazcfterecs+gazcftercui</f>
        <v>0</v>
      </c>
      <c r="Y93" s="274">
        <f>IF(crdaliterchf=1,gazcfterchf,calgazcfterchf)+gazcfterecs+gazcftercui</f>
        <v>0</v>
      </c>
      <c r="Z93" s="274">
        <f>IF(crdaliterchf=1,gazcfterchf,calgazcfterchf)+gazcfterecs+gazcftercui</f>
        <v>0</v>
      </c>
      <c r="AA93" s="274">
        <f>IF(crdaliterchf=1,gazcfterchf,calgazcfterchf)+gazcfterecs+gazcftercui</f>
        <v>0</v>
      </c>
      <c r="AB93" s="274">
        <f>IF(crdaliterchf=1,gazcfterchf,calgazcfterchf)+gazcfterecs+gazcftercui</f>
        <v>0</v>
      </c>
      <c r="AC93" s="274">
        <f>IF(crdaliterchf=1,gazcfterchf,calgazcfterchf)+gazcfterecs+gazcftercui</f>
        <v>0</v>
      </c>
      <c r="AD93" s="274">
        <f>IF(crdaliterchf=1,gazcfterchf,calgazcfterchf)+gazcfterecs+gazcftercui</f>
        <v>0</v>
      </c>
      <c r="AE93" s="274">
        <f>IF(crdaliterchf=1,gazcfterchf,calgazcfterchf)+gazcfterecs+gazcftercui</f>
        <v>0</v>
      </c>
      <c r="AF93" s="274">
        <f>IF(crdaliterchf=1,gazcfterchf,calgazcfterchf)+gazcfterecs+gazcftercui</f>
        <v>0</v>
      </c>
      <c r="AG93" s="274">
        <f>IF(crdaliterchf=1,gazcfterchf,calgazcfterchf)+gazcfterecs+gazcftercui</f>
        <v>0</v>
      </c>
      <c r="AH93" s="274">
        <f>IF(crdaliterchf=1,gazcfterchf,calgazcfterchf)+gazcfterecs+gazcftercui</f>
        <v>0</v>
      </c>
      <c r="AI93" s="125"/>
      <c r="AJ93" s="100"/>
      <c r="AK93" s="100"/>
      <c r="AL93" s="100"/>
      <c r="AM93" s="100"/>
    </row>
    <row r="94" ht="14.25" customHeight="1" outlineLevel="3">
      <c r="A94" s="326"/>
      <c r="B94" s="201"/>
      <c r="C94" s="201"/>
      <c r="D94" s="201"/>
      <c r="E94" s="273" t="s">
        <v>1122</v>
      </c>
      <c r="F94" s="123" t="s">
        <v>135</v>
      </c>
      <c r="G94" s="123" t="s">
        <v>1123</v>
      </c>
      <c r="H94" s="274">
        <f>IF(crdaliterchf=1,elccfterchf,calelccfterchf)+IF(crdalitercli=1,elccftercli,calelccftercli)+elccfterecs+elccftercui+caltocelscfter</f>
        <v>20.69322105</v>
      </c>
      <c r="I94" s="274">
        <f>IF(crdaliterchf=1,elccfterchf,calelccfterchf)+IF(crdalitercli=1,elccftercli,calelccftercli)+elccfterecs+elccftercui+caltocelscfter</f>
        <v>21.44871499</v>
      </c>
      <c r="J94" s="274">
        <f>IF(crdaliterchf=1,elccfterchf,calelccfterchf)+IF(crdalitercli=1,elccftercli,calelccftercli)+elccfterecs+elccftercui+caltocelscfter</f>
        <v>20.88285028</v>
      </c>
      <c r="K94" s="274">
        <f>IF(crdaliterchf=1,elccfterchf,calelccfterchf)+IF(crdalitercli=1,elccftercli,calelccftercli)+elccfterecs+elccftercui+caltocelscfter</f>
        <v>21.07666794</v>
      </c>
      <c r="L94" s="274">
        <f>IF(crdaliterchf=1,elccfterchf,calelccfterchf)+IF(crdalitercli=1,elccftercli,calelccftercli)+elccfterecs+elccftercui+caltocelscfter</f>
        <v>21.3769806</v>
      </c>
      <c r="M94" s="274">
        <f>IF(crdaliterchf=1,elccfterchf,calelccfterchf)+IF(crdalitercli=1,elccftercli,calelccftercli)+elccfterecs+elccftercui+caltocelscfter</f>
        <v>22.49751497</v>
      </c>
      <c r="N94" s="274">
        <f>IF(crdaliterchf=1,elccfterchf,calelccfterchf)+IF(crdalitercli=1,elccftercli,calelccftercli)+elccfterecs+elccftercui+caltocelscfter</f>
        <v>27.09409347</v>
      </c>
      <c r="O94" s="274">
        <f>IF(crdaliterchf=1,elccfterchf,calelccfterchf)+IF(crdalitercli=1,elccftercli,calelccftercli)+elccfterecs+elccftercui+caltocelscfter</f>
        <v>28.48807387</v>
      </c>
      <c r="P94" s="274">
        <f>IF(crdaliterchf=1,elccfterchf,calelccfterchf)+IF(crdalitercli=1,elccftercli,calelccftercli)+elccfterecs+elccftercui+caltocelscfter</f>
        <v>31.18248405</v>
      </c>
      <c r="Q94" s="274">
        <f>IF(crdaliterchf=1,elccfterchf,calelccfterchf)+IF(crdalitercli=1,elccftercli,calelccftercli)+elccfterecs+elccftercui+caltocelscfter</f>
        <v>31.80481012</v>
      </c>
      <c r="R94" s="274">
        <f>IF(crdaliterchf=1,elccfterchf,calelccfterchf)+IF(crdalitercli=1,elccftercli,calelccftercli)+elccfterecs+elccftercui+caltocelscfter</f>
        <v>32.59852494</v>
      </c>
      <c r="S94" s="274">
        <f>IF(crdaliterchf=1,elccfterchf,calelccfterchf)+IF(crdalitercli=1,elccftercli,calelccftercli)+elccfterecs+elccftercui+caltocelscfter</f>
        <v>32.30857971</v>
      </c>
      <c r="T94" s="274">
        <f>IF(crdaliterchf=1,elccfterchf,calelccfterchf)+IF(crdalitercli=1,elccftercli,calelccftercli)+elccfterecs+elccftercui+caltocelscfter</f>
        <v>32.52206922</v>
      </c>
      <c r="U94" s="274">
        <f>IF(crdaliterchf=1,elccfterchf,calelccfterchf)+IF(crdalitercli=1,elccftercli,calelccftercli)+elccfterecs+elccftercui+caltocelscfter</f>
        <v>32.55401111</v>
      </c>
      <c r="V94" s="274">
        <f>IF(crdaliterchf=1,elccfterchf,calelccfterchf)+IF(crdalitercli=1,elccftercli,calelccftercli)+elccfterecs+elccftercui+caltocelscfter</f>
        <v>31.578977</v>
      </c>
      <c r="W94" s="274">
        <f>IF(crdaliterchf=1,elccfterchf,calelccfterchf)+IF(crdalitercli=1,elccftercli,calelccftercli)+elccfterecs+elccftercui+caltocelscfter</f>
        <v>31.21328016</v>
      </c>
      <c r="X94" s="274">
        <f>IF(crdaliterchf=1,elccfterchf,calelccfterchf)+IF(crdalitercli=1,elccftercli,calelccftercli)+elccfterecs+elccftercui+caltocelscfter</f>
        <v>0</v>
      </c>
      <c r="Y94" s="274">
        <f>IF(crdaliterchf=1,elccfterchf,calelccfterchf)+IF(crdalitercli=1,elccftercli,calelccftercli)+elccfterecs+elccftercui+caltocelscfter</f>
        <v>0</v>
      </c>
      <c r="Z94" s="274">
        <f>IF(crdaliterchf=1,elccfterchf,calelccfterchf)+IF(crdalitercli=1,elccftercli,calelccftercli)+elccfterecs+elccftercui+caltocelscfter</f>
        <v>0</v>
      </c>
      <c r="AA94" s="274">
        <f>IF(crdaliterchf=1,elccfterchf,calelccfterchf)+IF(crdalitercli=1,elccftercli,calelccftercli)+elccfterecs+elccftercui+caltocelscfter</f>
        <v>0</v>
      </c>
      <c r="AB94" s="274">
        <f>IF(crdaliterchf=1,elccfterchf,calelccfterchf)+IF(crdalitercli=1,elccftercli,calelccftercli)+elccfterecs+elccftercui+caltocelscfter</f>
        <v>0</v>
      </c>
      <c r="AC94" s="274">
        <f>IF(crdaliterchf=1,elccfterchf,calelccfterchf)+IF(crdalitercli=1,elccftercli,calelccftercli)+elccfterecs+elccftercui+caltocelscfter</f>
        <v>0</v>
      </c>
      <c r="AD94" s="274">
        <f>IF(crdaliterchf=1,elccfterchf,calelccfterchf)+IF(crdalitercli=1,elccftercli,calelccftercli)+elccfterecs+elccftercui+caltocelscfter</f>
        <v>0</v>
      </c>
      <c r="AE94" s="274">
        <f>IF(crdaliterchf=1,elccfterchf,calelccfterchf)+IF(crdalitercli=1,elccftercli,calelccftercli)+elccfterecs+elccftercui+caltocelscfter</f>
        <v>0</v>
      </c>
      <c r="AF94" s="274">
        <f>IF(crdaliterchf=1,elccfterchf,calelccfterchf)+IF(crdalitercli=1,elccftercli,calelccftercli)+elccfterecs+elccftercui+caltocelscfter</f>
        <v>0</v>
      </c>
      <c r="AG94" s="274">
        <f>IF(crdaliterchf=1,elccfterchf,calelccfterchf)+IF(crdalitercli=1,elccftercli,calelccftercli)+elccfterecs+elccftercui+caltocelscfter</f>
        <v>0</v>
      </c>
      <c r="AH94" s="274">
        <f>IF(crdaliterchf=1,elccfterchf,calelccfterchf)+IF(crdalitercli=1,elccftercli,calelccftercli)+elccfterecs+elccftercui+caltocelscfter</f>
        <v>0</v>
      </c>
      <c r="AI94" s="318" t="s">
        <v>1209</v>
      </c>
      <c r="AJ94" s="100"/>
      <c r="AK94" s="100"/>
      <c r="AL94" s="100"/>
      <c r="AM94" s="100"/>
    </row>
    <row r="95" ht="14.25" customHeight="1" outlineLevel="3">
      <c r="A95" s="326"/>
      <c r="B95" s="201"/>
      <c r="C95" s="201"/>
      <c r="D95" s="201"/>
      <c r="E95" s="273" t="s">
        <v>1124</v>
      </c>
      <c r="F95" s="123" t="s">
        <v>135</v>
      </c>
      <c r="G95" s="123" t="s">
        <v>1125</v>
      </c>
      <c r="H95" s="274">
        <f>IF(crdaliterchf=1,vapcfterchf,calvapcfterchf)+vapcftercli+vapcfterecs</f>
        <v>0.5577789717</v>
      </c>
      <c r="I95" s="274">
        <f>IF(crdaliterchf=1,vapcfterchf,calvapcfterchf)+vapcftercli+vapcfterecs</f>
        <v>0.5559607526</v>
      </c>
      <c r="J95" s="274">
        <f>IF(crdaliterchf=1,vapcfterchf,calvapcfterchf)+vapcftercli+vapcfterecs</f>
        <v>0.5479384949</v>
      </c>
      <c r="K95" s="274">
        <f>IF(crdaliterchf=1,vapcfterchf,calvapcfterchf)+vapcftercli+vapcfterecs</f>
        <v>0.5373125128</v>
      </c>
      <c r="L95" s="274">
        <f>IF(crdaliterchf=1,vapcfterchf,calvapcfterchf)+vapcftercli+vapcfterecs</f>
        <v>1.18648004</v>
      </c>
      <c r="M95" s="274">
        <f>IF(crdaliterchf=1,vapcfterchf,calvapcfterchf)+vapcftercli+vapcfterecs</f>
        <v>0.4925004665</v>
      </c>
      <c r="N95" s="274">
        <f>IF(crdaliterchf=1,vapcfterchf,calvapcfterchf)+vapcftercli+vapcfterecs</f>
        <v>0.5919692097</v>
      </c>
      <c r="O95" s="274">
        <f>IF(crdaliterchf=1,vapcfterchf,calvapcfterchf)+vapcftercli+vapcfterecs</f>
        <v>0.5839369502</v>
      </c>
      <c r="P95" s="274">
        <f>IF(crdaliterchf=1,vapcfterchf,calvapcfterchf)+vapcftercli+vapcfterecs</f>
        <v>0.8257338379</v>
      </c>
      <c r="Q95" s="274">
        <f>IF(crdaliterchf=1,vapcfterchf,calvapcfterchf)+vapcftercli+vapcfterecs</f>
        <v>0.806089256</v>
      </c>
      <c r="R95" s="274">
        <f>IF(crdaliterchf=1,vapcfterchf,calvapcfterchf)+vapcftercli+vapcfterecs</f>
        <v>0.8944429314</v>
      </c>
      <c r="S95" s="274">
        <f>IF(crdaliterchf=1,vapcfterchf,calvapcfterchf)+vapcftercli+vapcfterecs</f>
        <v>1.037779029</v>
      </c>
      <c r="T95" s="274">
        <f>IF(crdaliterchf=1,vapcfterchf,calvapcfterchf)+vapcftercli+vapcfterecs</f>
        <v>0.5205557736</v>
      </c>
      <c r="U95" s="274">
        <f>IF(crdaliterchf=1,vapcfterchf,calvapcfterchf)+vapcftercli+vapcfterecs</f>
        <v>0.7699977717</v>
      </c>
      <c r="V95" s="274">
        <f>IF(crdaliterchf=1,vapcfterchf,calvapcfterchf)+vapcftercli+vapcfterecs</f>
        <v>0.7930562438</v>
      </c>
      <c r="W95" s="274">
        <f>IF(crdaliterchf=1,vapcfterchf,calvapcfterchf)+vapcftercli+vapcfterecs</f>
        <v>0.7705568844</v>
      </c>
      <c r="X95" s="274">
        <f>IF(crdaliterchf=1,vapcfterchf,calvapcfterchf)+vapcftercli+vapcfterecs</f>
        <v>0</v>
      </c>
      <c r="Y95" s="274">
        <f>IF(crdaliterchf=1,vapcfterchf,calvapcfterchf)+vapcftercli+vapcfterecs</f>
        <v>0</v>
      </c>
      <c r="Z95" s="274">
        <f>IF(crdaliterchf=1,vapcfterchf,calvapcfterchf)+vapcftercli+vapcfterecs</f>
        <v>0</v>
      </c>
      <c r="AA95" s="274">
        <f>IF(crdaliterchf=1,vapcfterchf,calvapcfterchf)+vapcftercli+vapcfterecs</f>
        <v>0</v>
      </c>
      <c r="AB95" s="274">
        <f>IF(crdaliterchf=1,vapcfterchf,calvapcfterchf)+vapcftercli+vapcfterecs</f>
        <v>0</v>
      </c>
      <c r="AC95" s="274">
        <f>IF(crdaliterchf=1,vapcfterchf,calvapcfterchf)+vapcftercli+vapcfterecs</f>
        <v>0</v>
      </c>
      <c r="AD95" s="274">
        <f>IF(crdaliterchf=1,vapcfterchf,calvapcfterchf)+vapcftercli+vapcfterecs</f>
        <v>0</v>
      </c>
      <c r="AE95" s="274">
        <f>IF(crdaliterchf=1,vapcfterchf,calvapcfterchf)+vapcftercli+vapcfterecs</f>
        <v>0</v>
      </c>
      <c r="AF95" s="274">
        <f>IF(crdaliterchf=1,vapcfterchf,calvapcfterchf)+vapcftercli+vapcfterecs</f>
        <v>0</v>
      </c>
      <c r="AG95" s="274">
        <f>IF(crdaliterchf=1,vapcfterchf,calvapcfterchf)+vapcftercli+vapcfterecs</f>
        <v>0</v>
      </c>
      <c r="AH95" s="274">
        <f>IF(crdaliterchf=1,vapcfterchf,calvapcfterchf)+vapcftercli+vapcfterecs</f>
        <v>0</v>
      </c>
      <c r="AI95" s="125"/>
      <c r="AJ95" s="100"/>
      <c r="AK95" s="100"/>
      <c r="AL95" s="100"/>
      <c r="AM95" s="100"/>
    </row>
    <row r="96" ht="14.25" customHeight="1" outlineLevel="3">
      <c r="A96" s="326"/>
      <c r="B96" s="201"/>
      <c r="C96" s="201"/>
      <c r="D96" s="201"/>
      <c r="E96" s="273" t="s">
        <v>1126</v>
      </c>
      <c r="F96" s="123" t="s">
        <v>135</v>
      </c>
      <c r="G96" s="123" t="s">
        <v>1127</v>
      </c>
      <c r="H96" s="274">
        <f>IF(crdaliterchf=1,paccfterchf,calpaccfterchf)+paccfterecs</f>
        <v>0.02130553232</v>
      </c>
      <c r="I96" s="274">
        <f>IF(crdaliterchf=1,paccfterchf,calpaccfterchf)+paccfterecs</f>
        <v>0.03000743816</v>
      </c>
      <c r="J96" s="274">
        <f>IF(crdaliterchf=1,paccfterchf,calpaccfterchf)+paccfterecs</f>
        <v>0.03090857247</v>
      </c>
      <c r="K96" s="274">
        <f>IF(crdaliterchf=1,paccfterchf,calpaccfterchf)+paccfterecs</f>
        <v>0.03426228691</v>
      </c>
      <c r="L96" s="274">
        <f>IF(crdaliterchf=1,paccfterchf,calpaccfterchf)+paccfterecs</f>
        <v>0.04110612068</v>
      </c>
      <c r="M96" s="274">
        <f>IF(crdaliterchf=1,paccfterchf,calpaccfterchf)+paccfterecs</f>
        <v>0.06305809545</v>
      </c>
      <c r="N96" s="274">
        <f>IF(crdaliterchf=1,paccfterchf,calpaccfterchf)+paccfterecs</f>
        <v>0.4037680616</v>
      </c>
      <c r="O96" s="274">
        <f>IF(crdaliterchf=1,paccfterchf,calpaccfterchf)+paccfterecs</f>
        <v>0.4624435888</v>
      </c>
      <c r="P96" s="274">
        <f>IF(crdaliterchf=1,paccfterchf,calpaccfterchf)+paccfterecs</f>
        <v>0.7875627776</v>
      </c>
      <c r="Q96" s="274">
        <f>IF(crdaliterchf=1,paccfterchf,calpaccfterchf)+paccfterecs</f>
        <v>0.9128657804</v>
      </c>
      <c r="R96" s="274">
        <f>IF(crdaliterchf=1,paccfterchf,calpaccfterchf)+paccfterecs</f>
        <v>1.064563178</v>
      </c>
      <c r="S96" s="274">
        <f>IF(crdaliterchf=1,paccfterchf,calpaccfterchf)+paccfterecs</f>
        <v>0.9767800681</v>
      </c>
      <c r="T96" s="274">
        <f>IF(crdaliterchf=1,paccfterchf,calpaccfterchf)+paccfterecs</f>
        <v>1.122677433</v>
      </c>
      <c r="U96" s="274">
        <f>IF(crdaliterchf=1,paccfterchf,calpaccfterchf)+paccfterecs</f>
        <v>1.428602807</v>
      </c>
      <c r="V96" s="274">
        <f>IF(crdaliterchf=1,paccfterchf,calpaccfterchf)+paccfterecs</f>
        <v>1.563122747</v>
      </c>
      <c r="W96" s="274">
        <f>IF(crdaliterchf=1,paccfterchf,calpaccfterchf)+paccfterecs</f>
        <v>2.215743133</v>
      </c>
      <c r="X96" s="274">
        <f>IF(crdaliterchf=1,paccfterchf,calpaccfterchf)+paccfterecs</f>
        <v>0</v>
      </c>
      <c r="Y96" s="274">
        <f>IF(crdaliterchf=1,paccfterchf,calpaccfterchf)+paccfterecs</f>
        <v>0</v>
      </c>
      <c r="Z96" s="274">
        <f>IF(crdaliterchf=1,paccfterchf,calpaccfterchf)+paccfterecs</f>
        <v>0</v>
      </c>
      <c r="AA96" s="274">
        <f>IF(crdaliterchf=1,paccfterchf,calpaccfterchf)+paccfterecs</f>
        <v>0</v>
      </c>
      <c r="AB96" s="274">
        <f>IF(crdaliterchf=1,paccfterchf,calpaccfterchf)+paccfterecs</f>
        <v>0</v>
      </c>
      <c r="AC96" s="274">
        <f>IF(crdaliterchf=1,paccfterchf,calpaccfterchf)+paccfterecs</f>
        <v>0</v>
      </c>
      <c r="AD96" s="274">
        <f>IF(crdaliterchf=1,paccfterchf,calpaccfterchf)+paccfterecs</f>
        <v>0</v>
      </c>
      <c r="AE96" s="274">
        <f>IF(crdaliterchf=1,paccfterchf,calpaccfterchf)+paccfterecs</f>
        <v>0</v>
      </c>
      <c r="AF96" s="274">
        <f>IF(crdaliterchf=1,paccfterchf,calpaccfterchf)+paccfterecs</f>
        <v>0</v>
      </c>
      <c r="AG96" s="274">
        <f>IF(crdaliterchf=1,paccfterchf,calpaccfterchf)+paccfterecs</f>
        <v>0</v>
      </c>
      <c r="AH96" s="274">
        <f>IF(crdaliterchf=1,paccfterchf,calpaccfterchf)+paccfterecs</f>
        <v>0</v>
      </c>
      <c r="AI96" s="125"/>
      <c r="AJ96" s="100"/>
      <c r="AK96" s="100"/>
      <c r="AL96" s="100"/>
      <c r="AM96" s="100"/>
    </row>
    <row r="97" ht="14.25" customHeight="1" outlineLevel="3">
      <c r="A97" s="326"/>
      <c r="B97" s="201"/>
      <c r="C97" s="201"/>
      <c r="D97" s="201"/>
      <c r="E97" s="273" t="s">
        <v>1128</v>
      </c>
      <c r="F97" s="123" t="s">
        <v>135</v>
      </c>
      <c r="G97" s="123" t="s">
        <v>1129</v>
      </c>
      <c r="H97" s="274">
        <f>IF(crdaliterchf=1,sthcfterchf,calsthcfterchf)+sthcftercli+sthcfterecs</f>
        <v>0.00638889638</v>
      </c>
      <c r="I97" s="274">
        <f>IF(crdaliterchf=1,sthcfterchf,calsthcfterchf)+sthcftercli+sthcfterecs</f>
        <v>0.002159691</v>
      </c>
      <c r="J97" s="274">
        <f>IF(crdaliterchf=1,sthcfterchf,calsthcfterchf)+sthcftercli+sthcfterecs</f>
        <v>0.002326</v>
      </c>
      <c r="K97" s="274">
        <f>IF(crdaliterchf=1,sthcfterchf,calsthcfterchf)+sthcftercli+sthcfterecs</f>
        <v>0.003489</v>
      </c>
      <c r="L97" s="274">
        <f>IF(crdaliterchf=1,sthcfterchf,calsthcfterchf)+sthcftercli+sthcfterecs</f>
        <v>0.0036233265</v>
      </c>
      <c r="M97" s="274">
        <f>IF(crdaliterchf=1,sthcfterchf,calsthcfterchf)+sthcftercli+sthcfterecs</f>
        <v>0.003611092726</v>
      </c>
      <c r="N97" s="274">
        <f>IF(crdaliterchf=1,sthcfterchf,calsthcfterchf)+sthcftercli+sthcfterecs</f>
        <v>0.0046521163</v>
      </c>
      <c r="O97" s="274">
        <f>IF(crdaliterchf=1,sthcfterchf,calsthcfterchf)+sthcftercli+sthcfterecs</f>
        <v>0.0058163956</v>
      </c>
      <c r="P97" s="274">
        <f>IF(crdaliterchf=1,sthcfterchf,calsthcfterchf)+sthcftercli+sthcfterecs</f>
        <v>0.0083948829</v>
      </c>
      <c r="Q97" s="274">
        <f>IF(crdaliterchf=1,sthcfterchf,calsthcfterchf)+sthcftercli+sthcfterecs</f>
        <v>0.0174481401</v>
      </c>
      <c r="R97" s="274">
        <f>IF(crdaliterchf=1,sthcfterchf,calsthcfterchf)+sthcftercli+sthcfterecs</f>
        <v>0.01027777778</v>
      </c>
      <c r="S97" s="274">
        <f>IF(crdaliterchf=1,sthcfterchf,calsthcfterchf)+sthcftercli+sthcfterecs</f>
        <v>0.01249996522</v>
      </c>
      <c r="T97" s="274">
        <f>IF(crdaliterchf=1,sthcfterchf,calsthcfterchf)+sthcftercli+sthcfterecs</f>
        <v>0.009449562435</v>
      </c>
      <c r="U97" s="274">
        <f>IF(crdaliterchf=1,sthcfterchf,calsthcfterchf)+sthcftercli+sthcfterecs</f>
        <v>0.00888854259</v>
      </c>
      <c r="V97" s="274">
        <f>IF(crdaliterchf=1,sthcfterchf,calsthcfterchf)+sthcftercli+sthcfterecs</f>
        <v>0.009444415186</v>
      </c>
      <c r="W97" s="274">
        <f>IF(crdaliterchf=1,sthcfterchf,calsthcfterchf)+sthcftercli+sthcfterecs</f>
        <v>0.009999820025</v>
      </c>
      <c r="X97" s="274">
        <f>IF(crdaliterchf=1,sthcfterchf,calsthcfterchf)+sthcftercli+sthcfterecs</f>
        <v>0</v>
      </c>
      <c r="Y97" s="274">
        <f>IF(crdaliterchf=1,sthcfterchf,calsthcfterchf)+sthcftercli+sthcfterecs</f>
        <v>0</v>
      </c>
      <c r="Z97" s="274">
        <f>IF(crdaliterchf=1,sthcfterchf,calsthcfterchf)+sthcftercli+sthcfterecs</f>
        <v>0</v>
      </c>
      <c r="AA97" s="274">
        <f>IF(crdaliterchf=1,sthcfterchf,calsthcfterchf)+sthcftercli+sthcfterecs</f>
        <v>0</v>
      </c>
      <c r="AB97" s="274">
        <f>IF(crdaliterchf=1,sthcfterchf,calsthcfterchf)+sthcftercli+sthcfterecs</f>
        <v>0</v>
      </c>
      <c r="AC97" s="274">
        <f>IF(crdaliterchf=1,sthcfterchf,calsthcfterchf)+sthcftercli+sthcfterecs</f>
        <v>0</v>
      </c>
      <c r="AD97" s="274">
        <f>IF(crdaliterchf=1,sthcfterchf,calsthcfterchf)+sthcftercli+sthcfterecs</f>
        <v>0</v>
      </c>
      <c r="AE97" s="274">
        <f>IF(crdaliterchf=1,sthcfterchf,calsthcfterchf)+sthcftercli+sthcfterecs</f>
        <v>0</v>
      </c>
      <c r="AF97" s="274">
        <f>IF(crdaliterchf=1,sthcfterchf,calsthcfterchf)+sthcftercli+sthcfterecs</f>
        <v>0</v>
      </c>
      <c r="AG97" s="274">
        <f>IF(crdaliterchf=1,sthcfterchf,calsthcfterchf)+sthcftercli+sthcfterecs</f>
        <v>0</v>
      </c>
      <c r="AH97" s="274">
        <f>IF(crdaliterchf=1,sthcfterchf,calsthcfterchf)+sthcftercli+sthcfterecs</f>
        <v>0</v>
      </c>
      <c r="AI97" s="125"/>
      <c r="AJ97" s="100"/>
      <c r="AK97" s="100"/>
      <c r="AL97" s="100"/>
      <c r="AM97" s="100"/>
    </row>
    <row r="98" ht="14.25" customHeight="1">
      <c r="A98" s="382"/>
      <c r="B98" s="331" t="s">
        <v>673</v>
      </c>
      <c r="C98" s="246"/>
      <c r="D98" s="201"/>
      <c r="E98" s="162"/>
      <c r="F98" s="162"/>
      <c r="G98" s="162"/>
      <c r="H98" s="178"/>
      <c r="I98" s="178"/>
      <c r="J98" s="178"/>
      <c r="K98" s="178"/>
      <c r="L98" s="178"/>
      <c r="M98" s="178"/>
      <c r="N98" s="178"/>
      <c r="O98" s="178"/>
      <c r="P98" s="178"/>
      <c r="Q98" s="178"/>
      <c r="R98" s="178"/>
      <c r="S98" s="178"/>
      <c r="T98" s="178"/>
      <c r="U98" s="178"/>
      <c r="V98" s="178"/>
      <c r="W98" s="178"/>
      <c r="X98" s="178"/>
      <c r="Y98" s="178"/>
      <c r="Z98" s="178"/>
      <c r="AA98" s="178"/>
      <c r="AB98" s="178"/>
      <c r="AC98" s="178"/>
      <c r="AD98" s="178"/>
      <c r="AE98" s="178"/>
      <c r="AF98" s="178"/>
      <c r="AG98" s="178"/>
      <c r="AH98" s="178"/>
      <c r="AI98" s="162"/>
      <c r="AJ98" s="100"/>
      <c r="AK98" s="100"/>
      <c r="AL98" s="100"/>
      <c r="AM98" s="100"/>
    </row>
    <row r="99" ht="14.25" customHeight="1" outlineLevel="3">
      <c r="A99" s="326"/>
      <c r="B99" s="100"/>
      <c r="C99" s="201"/>
      <c r="D99" s="201"/>
      <c r="E99" s="316" t="s">
        <v>1210</v>
      </c>
      <c r="F99" s="123" t="s">
        <v>261</v>
      </c>
      <c r="G99" s="123" t="s">
        <v>1211</v>
      </c>
      <c r="H99" s="276">
        <f>(caltoccfter-toccfter)/toccfter</f>
        <v>0.2035716123</v>
      </c>
      <c r="I99" s="276">
        <f>(caltoccfter-toccfter)/toccfter</f>
        <v>0.1877089909</v>
      </c>
      <c r="J99" s="276">
        <f>(caltoccfter-toccfter)/toccfter</f>
        <v>0.1060444291</v>
      </c>
      <c r="K99" s="276">
        <f>(caltoccfter-toccfter)/toccfter</f>
        <v>0.07066968931</v>
      </c>
      <c r="L99" s="276">
        <f>(caltoccfter-toccfter)/toccfter</f>
        <v>0.08981426107</v>
      </c>
      <c r="M99" s="276">
        <f>(caltoccfter-toccfter)/toccfter</f>
        <v>0.07904578473</v>
      </c>
      <c r="N99" s="276">
        <f>(caltoccfter-toccfter)/toccfter</f>
        <v>0.1420055275</v>
      </c>
      <c r="O99" s="276">
        <f>(caltoccfter-toccfter)/toccfter</f>
        <v>0.1054403193</v>
      </c>
      <c r="P99" s="276">
        <f>(caltoccfter-toccfter)/toccfter</f>
        <v>0.1625158065</v>
      </c>
      <c r="Q99" s="276">
        <f>(caltoccfter-toccfter)/toccfter</f>
        <v>0.1799442657</v>
      </c>
      <c r="R99" s="276">
        <f>(caltoccfter-toccfter)/toccfter</f>
        <v>0.1877629939</v>
      </c>
      <c r="S99" s="276">
        <f>(caltoccfter-toccfter)/toccfter</f>
        <v>0.2249840245</v>
      </c>
      <c r="T99" s="276">
        <f>(caltoccfter-toccfter)/toccfter</f>
        <v>0.2215528813</v>
      </c>
      <c r="U99" s="276">
        <f>(caltoccfter-toccfter)/toccfter</f>
        <v>0.2055897606</v>
      </c>
      <c r="V99" s="276">
        <f>(caltoccfter-toccfter)/toccfter</f>
        <v>0.2370510257</v>
      </c>
      <c r="W99" s="276">
        <f>(caltoccfter-toccfter)/toccfter</f>
        <v>0.1740108496</v>
      </c>
      <c r="X99" s="276" t="str">
        <f>(caltoccfter-toccfter)/toccfter</f>
        <v>#DIV/0!</v>
      </c>
      <c r="Y99" s="276" t="str">
        <f>(caltoccfter-toccfter)/toccfter</f>
        <v>#DIV/0!</v>
      </c>
      <c r="Z99" s="276" t="str">
        <f>(caltoccfter-toccfter)/toccfter</f>
        <v>#DIV/0!</v>
      </c>
      <c r="AA99" s="276" t="str">
        <f>(caltoccfter-toccfter)/toccfter</f>
        <v>#DIV/0!</v>
      </c>
      <c r="AB99" s="276">
        <f>(caltoccfter-toccfter)/toccfter</f>
        <v>-1</v>
      </c>
      <c r="AC99" s="276">
        <f>(caltoccfter-toccfter)/toccfter</f>
        <v>-1</v>
      </c>
      <c r="AD99" s="276">
        <f>(caltoccfter-toccfter)/toccfter</f>
        <v>-1</v>
      </c>
      <c r="AE99" s="276">
        <f>(caltoccfter-toccfter)/toccfter</f>
        <v>-1</v>
      </c>
      <c r="AF99" s="276">
        <f>(caltoccfter-toccfter)/toccfter</f>
        <v>-1</v>
      </c>
      <c r="AG99" s="276">
        <f>(caltoccfter-toccfter)/toccfter</f>
        <v>-1</v>
      </c>
      <c r="AH99" s="276">
        <f>(caltoccfter-toccfter)/toccfter</f>
        <v>-1</v>
      </c>
      <c r="AI99" s="125"/>
      <c r="AJ99" s="100"/>
      <c r="AK99" s="100"/>
      <c r="AL99" s="100"/>
      <c r="AM99" s="100"/>
    </row>
    <row r="100" ht="14.25" customHeight="1" outlineLevel="3">
      <c r="A100" s="326"/>
      <c r="B100" s="201"/>
      <c r="C100" s="201"/>
      <c r="D100" s="201"/>
      <c r="E100" s="316" t="s">
        <v>1212</v>
      </c>
      <c r="F100" s="123" t="s">
        <v>261</v>
      </c>
      <c r="G100" s="123" t="s">
        <v>1213</v>
      </c>
      <c r="H100" s="276" t="str">
        <f>(calcmscfter-cmscfter)/cmscfter</f>
        <v>#DIV/0!</v>
      </c>
      <c r="I100" s="276" t="str">
        <f>(calcmscfter-cmscfter)/cmscfter</f>
        <v>#DIV/0!</v>
      </c>
      <c r="J100" s="276" t="str">
        <f>(calcmscfter-cmscfter)/cmscfter</f>
        <v>#DIV/0!</v>
      </c>
      <c r="K100" s="276" t="str">
        <f>(calcmscfter-cmscfter)/cmscfter</f>
        <v>#DIV/0!</v>
      </c>
      <c r="L100" s="276" t="str">
        <f>(calcmscfter-cmscfter)/cmscfter</f>
        <v>#DIV/0!</v>
      </c>
      <c r="M100" s="276" t="str">
        <f>(calcmscfter-cmscfter)/cmscfter</f>
        <v>#DIV/0!</v>
      </c>
      <c r="N100" s="276" t="str">
        <f>(calcmscfter-cmscfter)/cmscfter</f>
        <v>#DIV/0!</v>
      </c>
      <c r="O100" s="276" t="str">
        <f>(calcmscfter-cmscfter)/cmscfter</f>
        <v>#DIV/0!</v>
      </c>
      <c r="P100" s="276" t="str">
        <f>(calcmscfter-cmscfter)/cmscfter</f>
        <v>#DIV/0!</v>
      </c>
      <c r="Q100" s="276" t="str">
        <f>(calcmscfter-cmscfter)/cmscfter</f>
        <v>#DIV/0!</v>
      </c>
      <c r="R100" s="276" t="str">
        <f>(calcmscfter-cmscfter)/cmscfter</f>
        <v>#DIV/0!</v>
      </c>
      <c r="S100" s="276" t="str">
        <f>(calcmscfter-cmscfter)/cmscfter</f>
        <v>#DIV/0!</v>
      </c>
      <c r="T100" s="276" t="str">
        <f>(calcmscfter-cmscfter)/cmscfter</f>
        <v>#DIV/0!</v>
      </c>
      <c r="U100" s="276" t="str">
        <f>(calcmscfter-cmscfter)/cmscfter</f>
        <v>#DIV/0!</v>
      </c>
      <c r="V100" s="276" t="str">
        <f>(calcmscfter-cmscfter)/cmscfter</f>
        <v>#DIV/0!</v>
      </c>
      <c r="W100" s="276" t="str">
        <f>(calcmscfter-cmscfter)/cmscfter</f>
        <v>#DIV/0!</v>
      </c>
      <c r="X100" s="276" t="str">
        <f>(calcmscfter-cmscfter)/cmscfter</f>
        <v>#DIV/0!</v>
      </c>
      <c r="Y100" s="276" t="str">
        <f>(calcmscfter-cmscfter)/cmscfter</f>
        <v>#DIV/0!</v>
      </c>
      <c r="Z100" s="276" t="str">
        <f>(calcmscfter-cmscfter)/cmscfter</f>
        <v>#DIV/0!</v>
      </c>
      <c r="AA100" s="276" t="str">
        <f>(calcmscfter-cmscfter)/cmscfter</f>
        <v>#DIV/0!</v>
      </c>
      <c r="AB100" s="276" t="str">
        <f>(calcmscfter-cmscfter)/cmscfter</f>
        <v>#DIV/0!</v>
      </c>
      <c r="AC100" s="276" t="str">
        <f>(calcmscfter-cmscfter)/cmscfter</f>
        <v>#DIV/0!</v>
      </c>
      <c r="AD100" s="276" t="str">
        <f>(calcmscfter-cmscfter)/cmscfter</f>
        <v>#DIV/0!</v>
      </c>
      <c r="AE100" s="276" t="str">
        <f>(calcmscfter-cmscfter)/cmscfter</f>
        <v>#DIV/0!</v>
      </c>
      <c r="AF100" s="276" t="str">
        <f>(calcmscfter-cmscfter)/cmscfter</f>
        <v>#DIV/0!</v>
      </c>
      <c r="AG100" s="276" t="str">
        <f>(calcmscfter-cmscfter)/cmscfter</f>
        <v>#DIV/0!</v>
      </c>
      <c r="AH100" s="276" t="str">
        <f>(calcmscfter-cmscfter)/cmscfter</f>
        <v>#DIV/0!</v>
      </c>
      <c r="AI100" s="125"/>
      <c r="AJ100" s="100"/>
      <c r="AK100" s="100"/>
      <c r="AL100" s="100"/>
      <c r="AM100" s="100"/>
    </row>
    <row r="101" ht="14.25" customHeight="1" outlineLevel="3">
      <c r="A101" s="326"/>
      <c r="B101" s="201"/>
      <c r="C101" s="201"/>
      <c r="D101" s="201"/>
      <c r="E101" s="316" t="s">
        <v>1214</v>
      </c>
      <c r="F101" s="123" t="s">
        <v>261</v>
      </c>
      <c r="G101" s="123" t="s">
        <v>1215</v>
      </c>
      <c r="H101" s="276">
        <f>(calenccfter-enccfter)/enccfter</f>
        <v>-1</v>
      </c>
      <c r="I101" s="276">
        <f>(calenccfter-enccfter)/enccfter</f>
        <v>-1</v>
      </c>
      <c r="J101" s="276">
        <f>(calenccfter-enccfter)/enccfter</f>
        <v>-1</v>
      </c>
      <c r="K101" s="276">
        <f>(calenccfter-enccfter)/enccfter</f>
        <v>-1</v>
      </c>
      <c r="L101" s="276">
        <f>(calenccfter-enccfter)/enccfter</f>
        <v>-0.1937694365</v>
      </c>
      <c r="M101" s="276">
        <f>(calenccfter-enccfter)/enccfter</f>
        <v>-0.1651264749</v>
      </c>
      <c r="N101" s="276">
        <f>(calenccfter-enccfter)/enccfter</f>
        <v>-0.2021616788</v>
      </c>
      <c r="O101" s="276">
        <f>(calenccfter-enccfter)/enccfter</f>
        <v>-0.2455233231</v>
      </c>
      <c r="P101" s="276">
        <f>(calenccfter-enccfter)/enccfter</f>
        <v>-0.5757571995</v>
      </c>
      <c r="Q101" s="276">
        <f>(calenccfter-enccfter)/enccfter</f>
        <v>-0.7721322817</v>
      </c>
      <c r="R101" s="276">
        <f>(calenccfter-enccfter)/enccfter</f>
        <v>-0.5397072912</v>
      </c>
      <c r="S101" s="276">
        <f>(calenccfter-enccfter)/enccfter</f>
        <v>-0.6215100571</v>
      </c>
      <c r="T101" s="276">
        <f>(calenccfter-enccfter)/enccfter</f>
        <v>-0.501607856</v>
      </c>
      <c r="U101" s="276">
        <f>(calenccfter-enccfter)/enccfter</f>
        <v>-0.5230737135</v>
      </c>
      <c r="V101" s="276">
        <f>(calenccfter-enccfter)/enccfter</f>
        <v>-0.7190008676</v>
      </c>
      <c r="W101" s="276">
        <f>(calenccfter-enccfter)/enccfter</f>
        <v>-0.09846990211</v>
      </c>
      <c r="X101" s="276" t="str">
        <f>(calenccfter-enccfter)/enccfter</f>
        <v>#DIV/0!</v>
      </c>
      <c r="Y101" s="276" t="str">
        <f>(calenccfter-enccfter)/enccfter</f>
        <v>#DIV/0!</v>
      </c>
      <c r="Z101" s="276" t="str">
        <f>(calenccfter-enccfter)/enccfter</f>
        <v>#DIV/0!</v>
      </c>
      <c r="AA101" s="276" t="str">
        <f>(calenccfter-enccfter)/enccfter</f>
        <v>#DIV/0!</v>
      </c>
      <c r="AB101" s="276">
        <f>(calenccfter-enccfter)/enccfter</f>
        <v>-1</v>
      </c>
      <c r="AC101" s="276">
        <f>(calenccfter-enccfter)/enccfter</f>
        <v>-1</v>
      </c>
      <c r="AD101" s="276">
        <f>(calenccfter-enccfter)/enccfter</f>
        <v>-1</v>
      </c>
      <c r="AE101" s="276">
        <f>(calenccfter-enccfter)/enccfter</f>
        <v>-1</v>
      </c>
      <c r="AF101" s="276">
        <f>(calenccfter-enccfter)/enccfter</f>
        <v>-1</v>
      </c>
      <c r="AG101" s="276">
        <f>(calenccfter-enccfter)/enccfter</f>
        <v>-1</v>
      </c>
      <c r="AH101" s="276">
        <f>(calenccfter-enccfter)/enccfter</f>
        <v>-1</v>
      </c>
      <c r="AI101" s="125"/>
      <c r="AJ101" s="100"/>
      <c r="AK101" s="100"/>
      <c r="AL101" s="100"/>
      <c r="AM101" s="100"/>
    </row>
    <row r="102" ht="14.25" customHeight="1" outlineLevel="3">
      <c r="A102" s="326"/>
      <c r="B102" s="201"/>
      <c r="C102" s="201"/>
      <c r="D102" s="201"/>
      <c r="E102" s="316" t="s">
        <v>1216</v>
      </c>
      <c r="F102" s="123" t="s">
        <v>261</v>
      </c>
      <c r="G102" s="123" t="s">
        <v>1217</v>
      </c>
      <c r="H102" s="276">
        <f>(calpetcfter-petcfter)/petcfter</f>
        <v>0.0407617498</v>
      </c>
      <c r="I102" s="276">
        <f>(calpetcfter-petcfter)/petcfter</f>
        <v>0.01805383043</v>
      </c>
      <c r="J102" s="276">
        <f>(calpetcfter-petcfter)/petcfter</f>
        <v>0.0004687805422</v>
      </c>
      <c r="K102" s="276">
        <f>(calpetcfter-petcfter)/petcfter</f>
        <v>-0.05223453363</v>
      </c>
      <c r="L102" s="276">
        <f>(calpetcfter-petcfter)/petcfter</f>
        <v>0.02583100573</v>
      </c>
      <c r="M102" s="276">
        <f>(calpetcfter-petcfter)/petcfter</f>
        <v>0.000465858309</v>
      </c>
      <c r="N102" s="276">
        <f>(calpetcfter-petcfter)/petcfter</f>
        <v>0.0004595276369</v>
      </c>
      <c r="O102" s="276">
        <f>(calpetcfter-petcfter)/petcfter</f>
        <v>0.001006300262</v>
      </c>
      <c r="P102" s="276">
        <f>(calpetcfter-petcfter)/petcfter</f>
        <v>0.001191261108</v>
      </c>
      <c r="Q102" s="276">
        <f>(calpetcfter-petcfter)/petcfter</f>
        <v>0.005882616722</v>
      </c>
      <c r="R102" s="276">
        <f>(calpetcfter-petcfter)/petcfter</f>
        <v>0.001448616334</v>
      </c>
      <c r="S102" s="276">
        <f>(calpetcfter-petcfter)/petcfter</f>
        <v>0.0005549509204</v>
      </c>
      <c r="T102" s="276">
        <f>(calpetcfter-petcfter)/petcfter</f>
        <v>0.0007647551905</v>
      </c>
      <c r="U102" s="276">
        <f>(calpetcfter-petcfter)/petcfter</f>
        <v>0.0008496587116</v>
      </c>
      <c r="V102" s="276">
        <f>(calpetcfter-petcfter)/petcfter</f>
        <v>0.05760978122</v>
      </c>
      <c r="W102" s="276">
        <f>(calpetcfter-petcfter)/petcfter</f>
        <v>0.1314778487</v>
      </c>
      <c r="X102" s="276" t="str">
        <f>(calpetcfter-petcfter)/petcfter</f>
        <v>#DIV/0!</v>
      </c>
      <c r="Y102" s="276" t="str">
        <f>(calpetcfter-petcfter)/petcfter</f>
        <v>#DIV/0!</v>
      </c>
      <c r="Z102" s="276" t="str">
        <f>(calpetcfter-petcfter)/petcfter</f>
        <v>#DIV/0!</v>
      </c>
      <c r="AA102" s="276" t="str">
        <f>(calpetcfter-petcfter)/petcfter</f>
        <v>#DIV/0!</v>
      </c>
      <c r="AB102" s="276">
        <f>(calpetcfter-petcfter)/petcfter</f>
        <v>-1</v>
      </c>
      <c r="AC102" s="276">
        <f>(calpetcfter-petcfter)/petcfter</f>
        <v>-1</v>
      </c>
      <c r="AD102" s="276">
        <f>(calpetcfter-petcfter)/petcfter</f>
        <v>-1</v>
      </c>
      <c r="AE102" s="276">
        <f>(calpetcfter-petcfter)/petcfter</f>
        <v>-1</v>
      </c>
      <c r="AF102" s="276">
        <f>(calpetcfter-petcfter)/petcfter</f>
        <v>-1</v>
      </c>
      <c r="AG102" s="276" t="str">
        <f>(calpetcfter-petcfter)/petcfter</f>
        <v>#DIV/0!</v>
      </c>
      <c r="AH102" s="276" t="str">
        <f>(calpetcfter-petcfter)/petcfter</f>
        <v>#DIV/0!</v>
      </c>
      <c r="AI102" s="125"/>
      <c r="AJ102" s="100"/>
      <c r="AK102" s="100"/>
      <c r="AL102" s="100"/>
      <c r="AM102" s="100"/>
    </row>
    <row r="103" ht="14.25" customHeight="1" outlineLevel="3">
      <c r="A103" s="326"/>
      <c r="B103" s="201"/>
      <c r="C103" s="201"/>
      <c r="D103" s="201"/>
      <c r="E103" s="316" t="s">
        <v>1218</v>
      </c>
      <c r="F103" s="123" t="s">
        <v>261</v>
      </c>
      <c r="G103" s="123" t="s">
        <v>1219</v>
      </c>
      <c r="H103" s="276">
        <f>(calgazcfter-gazcfter)/gazcfter</f>
        <v>0.1976753728</v>
      </c>
      <c r="I103" s="276">
        <f>(calgazcfter-gazcfter)/gazcfter</f>
        <v>0.1777264574</v>
      </c>
      <c r="J103" s="276">
        <f>(calgazcfter-gazcfter)/gazcfter</f>
        <v>0.1985884483</v>
      </c>
      <c r="K103" s="276">
        <f>(calgazcfter-gazcfter)/gazcfter</f>
        <v>0.1292684688</v>
      </c>
      <c r="L103" s="276">
        <f>(calgazcfter-gazcfter)/gazcfter</f>
        <v>0.0947615047</v>
      </c>
      <c r="M103" s="276">
        <f>(calgazcfter-gazcfter)/gazcfter</f>
        <v>0.116346578</v>
      </c>
      <c r="N103" s="276">
        <f>(calgazcfter-gazcfter)/gazcfter</f>
        <v>0.05619947216</v>
      </c>
      <c r="O103" s="276">
        <f>(calgazcfter-gazcfter)/gazcfter</f>
        <v>-0.1153659885</v>
      </c>
      <c r="P103" s="276">
        <f>(calgazcfter-gazcfter)/gazcfter</f>
        <v>-0.03816409869</v>
      </c>
      <c r="Q103" s="276">
        <f>(calgazcfter-gazcfter)/gazcfter</f>
        <v>-0.02329049361</v>
      </c>
      <c r="R103" s="276">
        <f>(calgazcfter-gazcfter)/gazcfter</f>
        <v>0.001576456009</v>
      </c>
      <c r="S103" s="276">
        <f>(calgazcfter-gazcfter)/gazcfter</f>
        <v>0.00374873424</v>
      </c>
      <c r="T103" s="276">
        <f>(calgazcfter-gazcfter)/gazcfter</f>
        <v>0.0102467179</v>
      </c>
      <c r="U103" s="276">
        <f>(calgazcfter-gazcfter)/gazcfter</f>
        <v>0.01005078798</v>
      </c>
      <c r="V103" s="276">
        <f>(calgazcfter-gazcfter)/gazcfter</f>
        <v>-0.001035307494</v>
      </c>
      <c r="W103" s="276">
        <f>(calgazcfter-gazcfter)/gazcfter</f>
        <v>-0.1100631887</v>
      </c>
      <c r="X103" s="276" t="str">
        <f>(calgazcfter-gazcfter)/gazcfter</f>
        <v>#DIV/0!</v>
      </c>
      <c r="Y103" s="276" t="str">
        <f>(calgazcfter-gazcfter)/gazcfter</f>
        <v>#DIV/0!</v>
      </c>
      <c r="Z103" s="276" t="str">
        <f>(calgazcfter-gazcfter)/gazcfter</f>
        <v>#DIV/0!</v>
      </c>
      <c r="AA103" s="276" t="str">
        <f>(calgazcfter-gazcfter)/gazcfter</f>
        <v>#DIV/0!</v>
      </c>
      <c r="AB103" s="276">
        <f>(calgazcfter-gazcfter)/gazcfter</f>
        <v>-1</v>
      </c>
      <c r="AC103" s="276">
        <f>(calgazcfter-gazcfter)/gazcfter</f>
        <v>-1</v>
      </c>
      <c r="AD103" s="276">
        <f>(calgazcfter-gazcfter)/gazcfter</f>
        <v>-1</v>
      </c>
      <c r="AE103" s="276">
        <f>(calgazcfter-gazcfter)/gazcfter</f>
        <v>-1</v>
      </c>
      <c r="AF103" s="276">
        <f>(calgazcfter-gazcfter)/gazcfter</f>
        <v>-1</v>
      </c>
      <c r="AG103" s="276" t="str">
        <f>(calgazcfter-gazcfter)/gazcfter</f>
        <v>#DIV/0!</v>
      </c>
      <c r="AH103" s="276" t="str">
        <f>(calgazcfter-gazcfter)/gazcfter</f>
        <v>#DIV/0!</v>
      </c>
      <c r="AI103" s="125"/>
      <c r="AJ103" s="100"/>
      <c r="AK103" s="100"/>
      <c r="AL103" s="100"/>
      <c r="AM103" s="100"/>
    </row>
    <row r="104" ht="14.25" customHeight="1" outlineLevel="3">
      <c r="A104" s="326"/>
      <c r="B104" s="201"/>
      <c r="C104" s="201"/>
      <c r="D104" s="201"/>
      <c r="E104" s="316" t="s">
        <v>1220</v>
      </c>
      <c r="F104" s="123" t="s">
        <v>261</v>
      </c>
      <c r="G104" s="123" t="s">
        <v>1221</v>
      </c>
      <c r="H104" s="276">
        <f>(calelccfter-elccfter)/elccfter</f>
        <v>0.2834278784</v>
      </c>
      <c r="I104" s="276">
        <f>(calelccfter-elccfter)/elccfter</f>
        <v>0.2798249902</v>
      </c>
      <c r="J104" s="276">
        <f>(calelccfter-elccfter)/elccfter</f>
        <v>0.08497556942</v>
      </c>
      <c r="K104" s="276">
        <f>(calelccfter-elccfter)/elccfter</f>
        <v>0.1007185014</v>
      </c>
      <c r="L104" s="276">
        <f>(calelccfter-elccfter)/elccfter</f>
        <v>0.07954734422</v>
      </c>
      <c r="M104" s="276">
        <f>(calelccfter-elccfter)/elccfter</f>
        <v>0.0835909337</v>
      </c>
      <c r="N104" s="276">
        <f>(calelccfter-elccfter)/elccfter</f>
        <v>0.2881216646</v>
      </c>
      <c r="O104" s="276">
        <f>(calelccfter-elccfter)/elccfter</f>
        <v>0.3243060226</v>
      </c>
      <c r="P104" s="276">
        <f>(calelccfter-elccfter)/elccfter</f>
        <v>0.4215533745</v>
      </c>
      <c r="Q104" s="276">
        <f>(calelccfter-elccfter)/elccfter</f>
        <v>0.4219587926</v>
      </c>
      <c r="R104" s="276">
        <f>(calelccfter-elccfter)/elccfter</f>
        <v>0.4414558896</v>
      </c>
      <c r="S104" s="276">
        <f>(calelccfter-elccfter)/elccfter</f>
        <v>0.4928027071</v>
      </c>
      <c r="T104" s="276">
        <f>(calelccfter-elccfter)/elccfter</f>
        <v>0.4820753758</v>
      </c>
      <c r="U104" s="276">
        <f>(calelccfter-elccfter)/elccfter</f>
        <v>0.4630029937</v>
      </c>
      <c r="V104" s="276">
        <f>(calelccfter-elccfter)/elccfter</f>
        <v>0.4748881187</v>
      </c>
      <c r="W104" s="276">
        <f>(calelccfter-elccfter)/elccfter</f>
        <v>0.3791947558</v>
      </c>
      <c r="X104" s="276" t="str">
        <f>(calelccfter-elccfter)/elccfter</f>
        <v>#DIV/0!</v>
      </c>
      <c r="Y104" s="276" t="str">
        <f>(calelccfter-elccfter)/elccfter</f>
        <v>#DIV/0!</v>
      </c>
      <c r="Z104" s="276" t="str">
        <f>(calelccfter-elccfter)/elccfter</f>
        <v>#DIV/0!</v>
      </c>
      <c r="AA104" s="276" t="str">
        <f>(calelccfter-elccfter)/elccfter</f>
        <v>#DIV/0!</v>
      </c>
      <c r="AB104" s="276">
        <f>(calelccfter-elccfter)/elccfter</f>
        <v>-1</v>
      </c>
      <c r="AC104" s="276">
        <f>(calelccfter-elccfter)/elccfter</f>
        <v>-1</v>
      </c>
      <c r="AD104" s="276">
        <f>(calelccfter-elccfter)/elccfter</f>
        <v>-1</v>
      </c>
      <c r="AE104" s="276">
        <f>(calelccfter-elccfter)/elccfter</f>
        <v>-1</v>
      </c>
      <c r="AF104" s="276">
        <f>(calelccfter-elccfter)/elccfter</f>
        <v>-1</v>
      </c>
      <c r="AG104" s="276">
        <f>(calelccfter-elccfter)/elccfter</f>
        <v>-1</v>
      </c>
      <c r="AH104" s="276">
        <f>(calelccfter-elccfter)/elccfter</f>
        <v>-1</v>
      </c>
      <c r="AI104" s="125"/>
      <c r="AJ104" s="100"/>
      <c r="AK104" s="100"/>
      <c r="AL104" s="100"/>
      <c r="AM104" s="100"/>
    </row>
    <row r="105" ht="14.25" customHeight="1" outlineLevel="3">
      <c r="A105" s="326"/>
      <c r="B105" s="201"/>
      <c r="C105" s="201"/>
      <c r="D105" s="201"/>
      <c r="E105" s="316" t="s">
        <v>1222</v>
      </c>
      <c r="F105" s="123" t="s">
        <v>261</v>
      </c>
      <c r="G105" s="123" t="s">
        <v>1223</v>
      </c>
      <c r="H105" s="276">
        <f>(calvapcfter-vapcfter)/vapcfter</f>
        <v>2.415670372</v>
      </c>
      <c r="I105" s="276">
        <f>(calvapcfter-vapcfter)/vapcfter</f>
        <v>2.331100974</v>
      </c>
      <c r="J105" s="276">
        <f>(calvapcfter-vapcfter)/vapcfter</f>
        <v>2.251860504</v>
      </c>
      <c r="K105" s="276">
        <f>(calvapcfter-vapcfter)/vapcfter</f>
        <v>2.258414268</v>
      </c>
      <c r="L105" s="276">
        <f>(calvapcfter-vapcfter)/vapcfter</f>
        <v>6.265646293</v>
      </c>
      <c r="M105" s="276">
        <f>(calvapcfter-vapcfter)/vapcfter</f>
        <v>2.231630357</v>
      </c>
      <c r="N105" s="276">
        <f>(calvapcfter-vapcfter)/vapcfter</f>
        <v>0.0365421287</v>
      </c>
      <c r="O105" s="276">
        <f>(calvapcfter-vapcfter)/vapcfter</f>
        <v>0.01501295011</v>
      </c>
      <c r="P105" s="276">
        <f>(calvapcfter-vapcfter)/vapcfter</f>
        <v>0.0005256729674</v>
      </c>
      <c r="Q105" s="276">
        <f>(calvapcfter-vapcfter)/vapcfter</f>
        <v>0.0006073187686</v>
      </c>
      <c r="R105" s="276">
        <f>(calvapcfter-vapcfter)/vapcfter</f>
        <v>0.0006073737414</v>
      </c>
      <c r="S105" s="276">
        <f>(calvapcfter-vapcfter)/vapcfter</f>
        <v>0.0004618034958</v>
      </c>
      <c r="T105" s="276">
        <f>(calvapcfter-vapcfter)/vapcfter</f>
        <v>0.0006839170255</v>
      </c>
      <c r="U105" s="276">
        <f>(calvapcfter-vapcfter)/vapcfter</f>
        <v>0.0005168550697</v>
      </c>
      <c r="V105" s="276">
        <f>(calvapcfter-vapcfter)/vapcfter</f>
        <v>0.0004494055801</v>
      </c>
      <c r="W105" s="276">
        <f>(calvapcfter-vapcfter)/vapcfter</f>
        <v>0.3340403898</v>
      </c>
      <c r="X105" s="276" t="str">
        <f>(calvapcfter-vapcfter)/vapcfter</f>
        <v>#DIV/0!</v>
      </c>
      <c r="Y105" s="276" t="str">
        <f>(calvapcfter-vapcfter)/vapcfter</f>
        <v>#DIV/0!</v>
      </c>
      <c r="Z105" s="276" t="str">
        <f>(calvapcfter-vapcfter)/vapcfter</f>
        <v>#DIV/0!</v>
      </c>
      <c r="AA105" s="276" t="str">
        <f>(calvapcfter-vapcfter)/vapcfter</f>
        <v>#DIV/0!</v>
      </c>
      <c r="AB105" s="276">
        <f>(calvapcfter-vapcfter)/vapcfter</f>
        <v>-1</v>
      </c>
      <c r="AC105" s="276">
        <f>(calvapcfter-vapcfter)/vapcfter</f>
        <v>-1</v>
      </c>
      <c r="AD105" s="276">
        <f>(calvapcfter-vapcfter)/vapcfter</f>
        <v>-1</v>
      </c>
      <c r="AE105" s="276">
        <f>(calvapcfter-vapcfter)/vapcfter</f>
        <v>-1</v>
      </c>
      <c r="AF105" s="276">
        <f>(calvapcfter-vapcfter)/vapcfter</f>
        <v>-1</v>
      </c>
      <c r="AG105" s="276">
        <f>(calvapcfter-vapcfter)/vapcfter</f>
        <v>-1</v>
      </c>
      <c r="AH105" s="276">
        <f>(calvapcfter-vapcfter)/vapcfter</f>
        <v>-1</v>
      </c>
      <c r="AI105" s="125"/>
      <c r="AJ105" s="100"/>
      <c r="AK105" s="100"/>
      <c r="AL105" s="100"/>
      <c r="AM105" s="100"/>
    </row>
    <row r="106" ht="14.25" customHeight="1" outlineLevel="3">
      <c r="A106" s="326"/>
      <c r="B106" s="201"/>
      <c r="C106" s="201"/>
      <c r="D106" s="201"/>
      <c r="E106" s="316" t="s">
        <v>1224</v>
      </c>
      <c r="F106" s="123" t="s">
        <v>261</v>
      </c>
      <c r="G106" s="123" t="s">
        <v>1225</v>
      </c>
      <c r="H106" s="276" t="str">
        <f>(calpaccfter-paccfter)/paccfter</f>
        <v>#DIV/0!</v>
      </c>
      <c r="I106" s="276" t="str">
        <f>(calpaccfter-paccfter)/paccfter</f>
        <v>#DIV/0!</v>
      </c>
      <c r="J106" s="276" t="str">
        <f>(calpaccfter-paccfter)/paccfter</f>
        <v>#DIV/0!</v>
      </c>
      <c r="K106" s="276" t="str">
        <f>(calpaccfter-paccfter)/paccfter</f>
        <v>#DIV/0!</v>
      </c>
      <c r="L106" s="276" t="str">
        <f>(calpaccfter-paccfter)/paccfter</f>
        <v>#DIV/0!</v>
      </c>
      <c r="M106" s="276" t="str">
        <f>(calpaccfter-paccfter)/paccfter</f>
        <v>#DIV/0!</v>
      </c>
      <c r="N106" s="276" t="str">
        <f>(calpaccfter-paccfter)/paccfter</f>
        <v>#DIV/0!</v>
      </c>
      <c r="O106" s="276" t="str">
        <f>(calpaccfter-paccfter)/paccfter</f>
        <v>#DIV/0!</v>
      </c>
      <c r="P106" s="276" t="str">
        <f>(calpaccfter-paccfter)/paccfter</f>
        <v>#DIV/0!</v>
      </c>
      <c r="Q106" s="276" t="str">
        <f>(calpaccfter-paccfter)/paccfter</f>
        <v>#DIV/0!</v>
      </c>
      <c r="R106" s="276" t="str">
        <f>(calpaccfter-paccfter)/paccfter</f>
        <v>#DIV/0!</v>
      </c>
      <c r="S106" s="276" t="str">
        <f>(calpaccfter-paccfter)/paccfter</f>
        <v>#DIV/0!</v>
      </c>
      <c r="T106" s="276" t="str">
        <f>(calpaccfter-paccfter)/paccfter</f>
        <v>#DIV/0!</v>
      </c>
      <c r="U106" s="276" t="str">
        <f>(calpaccfter-paccfter)/paccfter</f>
        <v>#DIV/0!</v>
      </c>
      <c r="V106" s="276" t="str">
        <f>(calpaccfter-paccfter)/paccfter</f>
        <v>#DIV/0!</v>
      </c>
      <c r="W106" s="276">
        <f>(calpaccfter-paccfter)/paccfter</f>
        <v>18.53295798</v>
      </c>
      <c r="X106" s="276" t="str">
        <f>(calpaccfter-paccfter)/paccfter</f>
        <v>#DIV/0!</v>
      </c>
      <c r="Y106" s="276" t="str">
        <f>(calpaccfter-paccfter)/paccfter</f>
        <v>#DIV/0!</v>
      </c>
      <c r="Z106" s="276" t="str">
        <f>(calpaccfter-paccfter)/paccfter</f>
        <v>#DIV/0!</v>
      </c>
      <c r="AA106" s="276" t="str">
        <f>(calpaccfter-paccfter)/paccfter</f>
        <v>#DIV/0!</v>
      </c>
      <c r="AB106" s="276">
        <f>(calpaccfter-paccfter)/paccfter</f>
        <v>-1</v>
      </c>
      <c r="AC106" s="276">
        <f>(calpaccfter-paccfter)/paccfter</f>
        <v>-1</v>
      </c>
      <c r="AD106" s="276">
        <f>(calpaccfter-paccfter)/paccfter</f>
        <v>-1</v>
      </c>
      <c r="AE106" s="276">
        <f>(calpaccfter-paccfter)/paccfter</f>
        <v>-1</v>
      </c>
      <c r="AF106" s="276">
        <f>(calpaccfter-paccfter)/paccfter</f>
        <v>-1</v>
      </c>
      <c r="AG106" s="276">
        <f>(calpaccfter-paccfter)/paccfter</f>
        <v>-1</v>
      </c>
      <c r="AH106" s="276">
        <f>(calpaccfter-paccfter)/paccfter</f>
        <v>-1</v>
      </c>
      <c r="AI106" s="125"/>
      <c r="AJ106" s="100"/>
      <c r="AK106" s="100"/>
      <c r="AL106" s="100"/>
      <c r="AM106" s="100"/>
    </row>
    <row r="107" ht="14.25" customHeight="1" outlineLevel="3">
      <c r="A107" s="326"/>
      <c r="B107" s="201"/>
      <c r="C107" s="201"/>
      <c r="D107" s="201"/>
      <c r="E107" s="316" t="s">
        <v>1226</v>
      </c>
      <c r="F107" s="123" t="s">
        <v>261</v>
      </c>
      <c r="G107" s="123" t="s">
        <v>1227</v>
      </c>
      <c r="H107" s="276" t="str">
        <f>(calsthcfter-sthcfter)/sthcfter</f>
        <v>#DIV/0!</v>
      </c>
      <c r="I107" s="276" t="str">
        <f>(calsthcfter-sthcfter)/sthcfter</f>
        <v>#DIV/0!</v>
      </c>
      <c r="J107" s="276" t="str">
        <f>(calsthcfter-sthcfter)/sthcfter</f>
        <v>#DIV/0!</v>
      </c>
      <c r="K107" s="276" t="str">
        <f>(calsthcfter-sthcfter)/sthcfter</f>
        <v>#DIV/0!</v>
      </c>
      <c r="L107" s="276" t="str">
        <f>(calsthcfter-sthcfter)/sthcfter</f>
        <v>#DIV/0!</v>
      </c>
      <c r="M107" s="276" t="str">
        <f>(calsthcfter-sthcfter)/sthcfter</f>
        <v>#DIV/0!</v>
      </c>
      <c r="N107" s="276" t="str">
        <f>(calsthcfter-sthcfter)/sthcfter</f>
        <v>#DIV/0!</v>
      </c>
      <c r="O107" s="276" t="str">
        <f>(calsthcfter-sthcfter)/sthcfter</f>
        <v>#DIV/0!</v>
      </c>
      <c r="P107" s="276" t="str">
        <f>(calsthcfter-sthcfter)/sthcfter</f>
        <v>#DIV/0!</v>
      </c>
      <c r="Q107" s="276" t="str">
        <f>(calsthcfter-sthcfter)/sthcfter</f>
        <v>#DIV/0!</v>
      </c>
      <c r="R107" s="276" t="str">
        <f>(calsthcfter-sthcfter)/sthcfter</f>
        <v>#DIV/0!</v>
      </c>
      <c r="S107" s="276" t="str">
        <f>(calsthcfter-sthcfter)/sthcfter</f>
        <v>#DIV/0!</v>
      </c>
      <c r="T107" s="276" t="str">
        <f>(calsthcfter-sthcfter)/sthcfter</f>
        <v>#DIV/0!</v>
      </c>
      <c r="U107" s="276" t="str">
        <f>(calsthcfter-sthcfter)/sthcfter</f>
        <v>#DIV/0!</v>
      </c>
      <c r="V107" s="276" t="str">
        <f>(calsthcfter-sthcfter)/sthcfter</f>
        <v>#DIV/0!</v>
      </c>
      <c r="W107" s="276">
        <f>(calsthcfter-sthcfter)/sthcfter</f>
        <v>-0.3364136727</v>
      </c>
      <c r="X107" s="276" t="str">
        <f>(calsthcfter-sthcfter)/sthcfter</f>
        <v>#DIV/0!</v>
      </c>
      <c r="Y107" s="276" t="str">
        <f>(calsthcfter-sthcfter)/sthcfter</f>
        <v>#DIV/0!</v>
      </c>
      <c r="Z107" s="276" t="str">
        <f>(calsthcfter-sthcfter)/sthcfter</f>
        <v>#DIV/0!</v>
      </c>
      <c r="AA107" s="276" t="str">
        <f>(calsthcfter-sthcfter)/sthcfter</f>
        <v>#DIV/0!</v>
      </c>
      <c r="AB107" s="276">
        <f>(calsthcfter-sthcfter)/sthcfter</f>
        <v>-1</v>
      </c>
      <c r="AC107" s="276">
        <f>(calsthcfter-sthcfter)/sthcfter</f>
        <v>-1</v>
      </c>
      <c r="AD107" s="276">
        <f>(calsthcfter-sthcfter)/sthcfter</f>
        <v>-1</v>
      </c>
      <c r="AE107" s="276">
        <f>(calsthcfter-sthcfter)/sthcfter</f>
        <v>-1</v>
      </c>
      <c r="AF107" s="276">
        <f>(calsthcfter-sthcfter)/sthcfter</f>
        <v>-1</v>
      </c>
      <c r="AG107" s="276">
        <f>(calsthcfter-sthcfter)/sthcfter</f>
        <v>-1</v>
      </c>
      <c r="AH107" s="276">
        <f>(calsthcfter-sthcfter)/sthcfter</f>
        <v>-1</v>
      </c>
      <c r="AI107" s="125"/>
      <c r="AJ107" s="100"/>
      <c r="AK107" s="100"/>
      <c r="AL107" s="100"/>
      <c r="AM107" s="100"/>
    </row>
    <row r="108" ht="14.25" customHeight="1">
      <c r="A108" s="100"/>
      <c r="B108" s="100"/>
      <c r="C108" s="100"/>
      <c r="D108" s="100"/>
      <c r="E108" s="100"/>
      <c r="F108" s="206"/>
      <c r="G108" s="206"/>
      <c r="H108" s="207"/>
      <c r="I108" s="207"/>
      <c r="J108" s="207"/>
      <c r="K108" s="207"/>
      <c r="L108" s="207"/>
      <c r="M108" s="207"/>
      <c r="N108" s="207"/>
      <c r="O108" s="207"/>
      <c r="P108" s="207"/>
      <c r="Q108" s="207"/>
      <c r="R108" s="207"/>
      <c r="S108" s="207"/>
      <c r="T108" s="207"/>
      <c r="U108" s="207"/>
      <c r="V108" s="207"/>
      <c r="W108" s="208"/>
      <c r="X108" s="208"/>
      <c r="Y108" s="208"/>
      <c r="Z108" s="208"/>
      <c r="AA108" s="208"/>
      <c r="AB108" s="208"/>
      <c r="AC108" s="208"/>
      <c r="AD108" s="208"/>
      <c r="AE108" s="208"/>
      <c r="AF108" s="208"/>
      <c r="AG108" s="208"/>
      <c r="AH108" s="208"/>
      <c r="AI108" s="100"/>
      <c r="AJ108" s="100"/>
      <c r="AK108" s="100"/>
      <c r="AL108" s="100"/>
      <c r="AM108" s="100"/>
    </row>
    <row r="109" ht="14.25" customHeight="1">
      <c r="A109" s="314" t="s">
        <v>801</v>
      </c>
      <c r="B109" s="100"/>
      <c r="C109" s="100"/>
      <c r="D109" s="100"/>
      <c r="E109" s="100"/>
      <c r="F109" s="206"/>
      <c r="G109" s="206"/>
      <c r="H109" s="207"/>
      <c r="I109" s="207"/>
      <c r="J109" s="207"/>
      <c r="K109" s="207"/>
      <c r="L109" s="207"/>
      <c r="M109" s="207"/>
      <c r="N109" s="207"/>
      <c r="O109" s="207"/>
      <c r="P109" s="207"/>
      <c r="Q109" s="207"/>
      <c r="R109" s="207"/>
      <c r="S109" s="207"/>
      <c r="T109" s="207"/>
      <c r="U109" s="207"/>
      <c r="V109" s="207"/>
      <c r="W109" s="208"/>
      <c r="X109" s="208"/>
      <c r="Y109" s="208"/>
      <c r="Z109" s="208"/>
      <c r="AA109" s="208"/>
      <c r="AB109" s="208"/>
      <c r="AC109" s="208"/>
      <c r="AD109" s="208"/>
      <c r="AE109" s="208"/>
      <c r="AF109" s="208"/>
      <c r="AG109" s="208"/>
      <c r="AH109" s="208"/>
      <c r="AI109" s="100"/>
      <c r="AJ109" s="100"/>
      <c r="AK109" s="100"/>
      <c r="AL109" s="100"/>
      <c r="AM109" s="100"/>
    </row>
    <row r="110" ht="14.25" customHeight="1">
      <c r="A110" s="195"/>
      <c r="B110" s="100"/>
      <c r="C110" s="100"/>
      <c r="D110" s="100"/>
      <c r="E110" s="287" t="s">
        <v>1228</v>
      </c>
      <c r="F110" s="249" t="s">
        <v>135</v>
      </c>
      <c r="G110" s="123" t="str">
        <f>F34</f>
        <v>toccfterchc</v>
      </c>
      <c r="H110" s="337" t="str">
        <f t="array" ref="H110:AH110">INDIRECT($G110)</f>
        <v/>
      </c>
      <c r="I110" s="337"/>
      <c r="J110" s="337"/>
      <c r="K110" s="337"/>
      <c r="L110" s="337"/>
      <c r="M110" s="337"/>
      <c r="N110" s="337"/>
      <c r="O110" s="337"/>
      <c r="P110" s="337"/>
      <c r="Q110" s="337"/>
      <c r="R110" s="337"/>
      <c r="S110" s="337"/>
      <c r="T110" s="337"/>
      <c r="U110" s="337"/>
      <c r="V110" s="337"/>
      <c r="W110" s="337"/>
      <c r="X110" s="337"/>
      <c r="Y110" s="337"/>
      <c r="Z110" s="337"/>
      <c r="AA110" s="337"/>
      <c r="AB110" s="337"/>
      <c r="AC110" s="337"/>
      <c r="AD110" s="337"/>
      <c r="AE110" s="337"/>
      <c r="AF110" s="337"/>
      <c r="AG110" s="337"/>
      <c r="AH110" s="337"/>
      <c r="AI110" s="100"/>
      <c r="AJ110" s="100"/>
      <c r="AK110" s="100"/>
      <c r="AL110" s="100"/>
      <c r="AM110" s="100"/>
    </row>
    <row r="111" ht="14.25" customHeight="1">
      <c r="A111" s="195"/>
      <c r="B111" s="100"/>
      <c r="C111" s="100"/>
      <c r="D111" s="100"/>
      <c r="E111" s="287" t="s">
        <v>1229</v>
      </c>
      <c r="F111" s="249" t="s">
        <v>135</v>
      </c>
      <c r="G111" s="249" t="s">
        <v>964</v>
      </c>
      <c r="H111" s="337">
        <f t="array" ref="H111:AH111">INDIRECT($G111)</f>
        <v>0.1456412746</v>
      </c>
      <c r="I111" s="337">
        <v>0.188198525598749</v>
      </c>
      <c r="J111" s="337">
        <v>0.257667014123923</v>
      </c>
      <c r="K111" s="337">
        <v>0.307340003709886</v>
      </c>
      <c r="L111" s="337">
        <v>0.376138030076043</v>
      </c>
      <c r="M111" s="337">
        <v>0.45524418314469</v>
      </c>
      <c r="N111" s="337">
        <v>0.542329841412689</v>
      </c>
      <c r="O111" s="337">
        <v>0.651937299669489</v>
      </c>
      <c r="P111" s="337">
        <v>0.734567467935829</v>
      </c>
      <c r="Q111" s="337">
        <v>0.817750122581603</v>
      </c>
      <c r="R111" s="337">
        <v>0.913882680502229</v>
      </c>
      <c r="S111" s="337">
        <v>0.927768235880233</v>
      </c>
      <c r="T111" s="337">
        <v>0.920512351382175</v>
      </c>
      <c r="U111" s="337">
        <v>0.915535725508007</v>
      </c>
      <c r="V111" s="337">
        <v>0.928694269546896</v>
      </c>
      <c r="W111" s="337">
        <v>0.922841559995368</v>
      </c>
      <c r="X111" s="337">
        <v>0.0</v>
      </c>
      <c r="Y111" s="337">
        <v>0.0</v>
      </c>
      <c r="Z111" s="337">
        <v>0.0</v>
      </c>
      <c r="AA111" s="337">
        <v>0.0</v>
      </c>
      <c r="AB111" s="337">
        <v>0.0</v>
      </c>
      <c r="AC111" s="337">
        <v>0.0</v>
      </c>
      <c r="AD111" s="337">
        <v>0.0</v>
      </c>
      <c r="AE111" s="337">
        <v>0.0</v>
      </c>
      <c r="AF111" s="337">
        <v>0.0</v>
      </c>
      <c r="AG111" s="337">
        <v>0.0</v>
      </c>
      <c r="AH111" s="337">
        <v>0.0</v>
      </c>
      <c r="AI111" s="100"/>
      <c r="AJ111" s="100"/>
      <c r="AK111" s="100"/>
      <c r="AL111" s="100"/>
      <c r="AM111" s="100"/>
    </row>
    <row r="112" ht="14.25" customHeight="1">
      <c r="A112" s="195"/>
      <c r="B112" s="100"/>
      <c r="C112" s="100"/>
      <c r="D112" s="100"/>
      <c r="E112" s="287" t="s">
        <v>1230</v>
      </c>
      <c r="F112" s="249" t="s">
        <v>135</v>
      </c>
      <c r="G112" s="123" t="s">
        <v>1010</v>
      </c>
      <c r="H112" s="337">
        <f t="array" ref="H112:AH112">INDIRECT($G112)</f>
        <v>3.91757674</v>
      </c>
      <c r="I112" s="337">
        <v>3.94907869617822</v>
      </c>
      <c r="J112" s="337">
        <v>4.11587714935855</v>
      </c>
      <c r="K112" s="337">
        <v>4.15855126860513</v>
      </c>
      <c r="L112" s="337">
        <v>4.19035655357902</v>
      </c>
      <c r="M112" s="337">
        <v>4.26302582207041</v>
      </c>
      <c r="N112" s="337">
        <v>4.26492355274767</v>
      </c>
      <c r="O112" s="337">
        <v>4.29451004879392</v>
      </c>
      <c r="P112" s="337">
        <v>4.34028443542513</v>
      </c>
      <c r="Q112" s="337">
        <v>4.2283687439485</v>
      </c>
      <c r="R112" s="337">
        <v>4.32102892259193</v>
      </c>
      <c r="S112" s="337">
        <v>4.40602472197734</v>
      </c>
      <c r="T112" s="337">
        <v>4.49076967771949</v>
      </c>
      <c r="U112" s="337">
        <v>4.55323477611874</v>
      </c>
      <c r="V112" s="337">
        <v>4.60536407938642</v>
      </c>
      <c r="W112" s="337">
        <v>4.6754194397711</v>
      </c>
      <c r="X112" s="337"/>
      <c r="Y112" s="337"/>
      <c r="Z112" s="337"/>
      <c r="AA112" s="337"/>
      <c r="AB112" s="337"/>
      <c r="AC112" s="337"/>
      <c r="AD112" s="337"/>
      <c r="AE112" s="337"/>
      <c r="AF112" s="337"/>
      <c r="AG112" s="337"/>
      <c r="AH112" s="337"/>
      <c r="AI112" s="100"/>
      <c r="AJ112" s="100"/>
      <c r="AK112" s="100"/>
      <c r="AL112" s="100"/>
      <c r="AM112" s="100"/>
    </row>
    <row r="113" ht="14.25" customHeight="1">
      <c r="A113" s="195"/>
      <c r="B113" s="100"/>
      <c r="C113" s="100"/>
      <c r="D113" s="100"/>
      <c r="E113" s="180" t="s">
        <v>1231</v>
      </c>
      <c r="F113" s="123" t="s">
        <v>135</v>
      </c>
      <c r="G113" s="123" t="s">
        <v>1033</v>
      </c>
      <c r="H113" s="337">
        <f t="array" ref="H113:AH113">INDIRECT($G113)</f>
        <v>3.711747938</v>
      </c>
      <c r="I113" s="337">
        <v>3.75237726405189</v>
      </c>
      <c r="J113" s="337">
        <v>3.85443202041592</v>
      </c>
      <c r="K113" s="337">
        <v>3.85407669953861</v>
      </c>
      <c r="L113" s="337">
        <v>3.94722679493011</v>
      </c>
      <c r="M113" s="337">
        <v>3.9742292166706</v>
      </c>
      <c r="N113" s="337">
        <v>3.97508392701058</v>
      </c>
      <c r="O113" s="337">
        <v>4.02882588997996</v>
      </c>
      <c r="P113" s="337">
        <v>4.12237378371218</v>
      </c>
      <c r="Q113" s="337">
        <v>4.11970244183296</v>
      </c>
      <c r="R113" s="337">
        <v>4.30813545997332</v>
      </c>
      <c r="S113" s="337">
        <v>4.25728242566019</v>
      </c>
      <c r="T113" s="337">
        <v>4.25659135865057</v>
      </c>
      <c r="U113" s="337">
        <v>4.29628660205613</v>
      </c>
      <c r="V113" s="337">
        <v>4.38002774595282</v>
      </c>
      <c r="W113" s="337">
        <v>4.43440964482509</v>
      </c>
      <c r="X113" s="337"/>
      <c r="Y113" s="337"/>
      <c r="Z113" s="337"/>
      <c r="AA113" s="337"/>
      <c r="AB113" s="337"/>
      <c r="AC113" s="337"/>
      <c r="AD113" s="337"/>
      <c r="AE113" s="337"/>
      <c r="AF113" s="337"/>
      <c r="AG113" s="337"/>
      <c r="AH113" s="337"/>
      <c r="AI113" s="100"/>
      <c r="AJ113" s="100"/>
      <c r="AK113" s="100"/>
      <c r="AL113" s="100"/>
      <c r="AM113" s="100"/>
    </row>
    <row r="114" ht="14.25" customHeight="1">
      <c r="A114" s="100"/>
      <c r="B114" s="100"/>
      <c r="C114" s="100"/>
      <c r="D114" s="100"/>
      <c r="E114" s="180" t="s">
        <v>1232</v>
      </c>
      <c r="F114" s="123" t="s">
        <v>135</v>
      </c>
      <c r="G114" s="123" t="s">
        <v>1110</v>
      </c>
      <c r="H114" s="337">
        <f t="array" ref="H114:AH114">INDIRECT($G114)</f>
        <v>16.9384384</v>
      </c>
      <c r="I114" s="337">
        <v>17.3556939729219</v>
      </c>
      <c r="J114" s="337">
        <v>18.0901619383162</v>
      </c>
      <c r="K114" s="337">
        <v>18.3874127693215</v>
      </c>
      <c r="L114" s="337">
        <v>18.9555799542973</v>
      </c>
      <c r="M114" s="337">
        <v>19.6939400417756</v>
      </c>
      <c r="N114" s="337">
        <v>20.6745726415562</v>
      </c>
      <c r="O114" s="337">
        <v>21.5886115528242</v>
      </c>
      <c r="P114" s="337">
        <v>22.2526625214994</v>
      </c>
      <c r="Q114" s="337">
        <v>22.4562543035479</v>
      </c>
      <c r="R114" s="337">
        <v>22.9299078088734</v>
      </c>
      <c r="S114" s="337">
        <v>23.2402431887046</v>
      </c>
      <c r="T114" s="337">
        <v>23.3626866620932</v>
      </c>
      <c r="U114" s="337">
        <v>23.4133089773729</v>
      </c>
      <c r="V114" s="337">
        <v>23.4258943763414</v>
      </c>
      <c r="W114" s="337">
        <v>23.3380488890806</v>
      </c>
      <c r="X114" s="337">
        <v>0.0</v>
      </c>
      <c r="Y114" s="337">
        <v>0.0</v>
      </c>
      <c r="Z114" s="337">
        <v>0.0</v>
      </c>
      <c r="AA114" s="337">
        <v>0.0</v>
      </c>
      <c r="AB114" s="337">
        <v>0.0</v>
      </c>
      <c r="AC114" s="337">
        <v>0.0</v>
      </c>
      <c r="AD114" s="337">
        <v>0.0</v>
      </c>
      <c r="AE114" s="337">
        <v>0.0</v>
      </c>
      <c r="AF114" s="337">
        <v>0.0</v>
      </c>
      <c r="AG114" s="337">
        <v>0.0</v>
      </c>
      <c r="AH114" s="337">
        <v>0.0</v>
      </c>
      <c r="AI114" s="100"/>
      <c r="AJ114" s="100"/>
      <c r="AK114" s="100"/>
      <c r="AL114" s="100"/>
      <c r="AM114" s="100"/>
    </row>
    <row r="115" ht="14.25" customHeight="1">
      <c r="A115" s="195"/>
      <c r="B115" s="100"/>
      <c r="C115" s="100"/>
      <c r="D115" s="100"/>
      <c r="E115" s="180" t="s">
        <v>808</v>
      </c>
      <c r="F115" s="123" t="s">
        <v>135</v>
      </c>
      <c r="G115" s="206"/>
      <c r="H115" s="338">
        <f t="shared" ref="H115:AH115" si="6">SUM(H110:H114)</f>
        <v>24.71340435</v>
      </c>
      <c r="I115" s="338">
        <f t="shared" si="6"/>
        <v>25.24534846</v>
      </c>
      <c r="J115" s="338">
        <f t="shared" si="6"/>
        <v>26.31813812</v>
      </c>
      <c r="K115" s="338">
        <f t="shared" si="6"/>
        <v>26.70738074</v>
      </c>
      <c r="L115" s="338">
        <f t="shared" si="6"/>
        <v>27.46930133</v>
      </c>
      <c r="M115" s="338">
        <f t="shared" si="6"/>
        <v>28.38643926</v>
      </c>
      <c r="N115" s="338">
        <f t="shared" si="6"/>
        <v>29.45690996</v>
      </c>
      <c r="O115" s="338">
        <f t="shared" si="6"/>
        <v>30.56388479</v>
      </c>
      <c r="P115" s="338">
        <f t="shared" si="6"/>
        <v>31.44988821</v>
      </c>
      <c r="Q115" s="338">
        <f t="shared" si="6"/>
        <v>31.62207561</v>
      </c>
      <c r="R115" s="338">
        <f t="shared" si="6"/>
        <v>32.47295487</v>
      </c>
      <c r="S115" s="338">
        <f t="shared" si="6"/>
        <v>32.83131857</v>
      </c>
      <c r="T115" s="338">
        <f t="shared" si="6"/>
        <v>33.03056005</v>
      </c>
      <c r="U115" s="338">
        <f t="shared" si="6"/>
        <v>33.17836608</v>
      </c>
      <c r="V115" s="338">
        <f t="shared" si="6"/>
        <v>33.33998047</v>
      </c>
      <c r="W115" s="338">
        <f t="shared" si="6"/>
        <v>33.37071953</v>
      </c>
      <c r="X115" s="338">
        <f t="shared" si="6"/>
        <v>0</v>
      </c>
      <c r="Y115" s="338">
        <f t="shared" si="6"/>
        <v>0</v>
      </c>
      <c r="Z115" s="338">
        <f t="shared" si="6"/>
        <v>0</v>
      </c>
      <c r="AA115" s="338">
        <f t="shared" si="6"/>
        <v>0</v>
      </c>
      <c r="AB115" s="338">
        <f t="shared" si="6"/>
        <v>0</v>
      </c>
      <c r="AC115" s="338">
        <f t="shared" si="6"/>
        <v>0</v>
      </c>
      <c r="AD115" s="338">
        <f t="shared" si="6"/>
        <v>0</v>
      </c>
      <c r="AE115" s="338">
        <f t="shared" si="6"/>
        <v>0</v>
      </c>
      <c r="AF115" s="338">
        <f t="shared" si="6"/>
        <v>0</v>
      </c>
      <c r="AG115" s="338">
        <f t="shared" si="6"/>
        <v>0</v>
      </c>
      <c r="AH115" s="338">
        <f t="shared" si="6"/>
        <v>0</v>
      </c>
      <c r="AI115" s="100"/>
      <c r="AJ115" s="100"/>
      <c r="AK115" s="100"/>
      <c r="AL115" s="100"/>
      <c r="AM115" s="100"/>
    </row>
    <row r="116" ht="14.25" customHeight="1">
      <c r="A116" s="100"/>
      <c r="B116" s="100"/>
      <c r="C116" s="100"/>
      <c r="D116" s="100"/>
      <c r="E116" s="100"/>
      <c r="F116" s="206"/>
      <c r="G116" s="206"/>
      <c r="H116" s="207"/>
      <c r="I116" s="207"/>
      <c r="J116" s="207"/>
      <c r="K116" s="207"/>
      <c r="L116" s="207"/>
      <c r="M116" s="207"/>
      <c r="N116" s="207"/>
      <c r="O116" s="207"/>
      <c r="P116" s="207"/>
      <c r="Q116" s="207"/>
      <c r="R116" s="207"/>
      <c r="S116" s="207"/>
      <c r="T116" s="207"/>
      <c r="U116" s="207"/>
      <c r="V116" s="207"/>
      <c r="W116" s="208"/>
      <c r="X116" s="208"/>
      <c r="Y116" s="208"/>
      <c r="Z116" s="208"/>
      <c r="AA116" s="208"/>
      <c r="AB116" s="208"/>
      <c r="AC116" s="208"/>
      <c r="AD116" s="208"/>
      <c r="AE116" s="208"/>
      <c r="AF116" s="208"/>
      <c r="AG116" s="208"/>
      <c r="AH116" s="208"/>
      <c r="AI116" s="100"/>
      <c r="AJ116" s="100"/>
      <c r="AK116" s="100"/>
      <c r="AL116" s="100"/>
      <c r="AM116" s="100"/>
    </row>
    <row r="117" ht="14.25" customHeight="1">
      <c r="A117" s="195"/>
      <c r="B117" s="100"/>
      <c r="C117" s="100"/>
      <c r="D117" s="100"/>
      <c r="E117" s="180" t="s">
        <v>1233</v>
      </c>
      <c r="F117" s="123" t="s">
        <v>135</v>
      </c>
      <c r="G117" s="123" t="s">
        <v>1131</v>
      </c>
      <c r="H117" s="337">
        <f t="array" ref="H117:AH117">INDIRECT($G117)</f>
        <v>40.9532</v>
      </c>
      <c r="I117" s="337">
        <v>43.3793</v>
      </c>
      <c r="J117" s="337">
        <v>48.3636</v>
      </c>
      <c r="K117" s="337">
        <v>52.3538</v>
      </c>
      <c r="L117" s="337">
        <v>53.2736</v>
      </c>
      <c r="M117" s="337">
        <v>54.1836</v>
      </c>
      <c r="N117" s="337">
        <v>52.998</v>
      </c>
      <c r="O117" s="337">
        <v>50.9518</v>
      </c>
      <c r="P117" s="337">
        <v>56.7959</v>
      </c>
      <c r="Q117" s="337">
        <v>54.8641</v>
      </c>
      <c r="R117" s="337">
        <v>58.8697</v>
      </c>
      <c r="S117" s="337">
        <v>51.7192</v>
      </c>
      <c r="T117" s="337">
        <v>52.777</v>
      </c>
      <c r="U117" s="337">
        <v>57.0083</v>
      </c>
      <c r="V117" s="337">
        <v>49.174</v>
      </c>
      <c r="W117" s="337">
        <v>55.0635</v>
      </c>
      <c r="X117" s="337"/>
      <c r="Y117" s="337"/>
      <c r="Z117" s="337"/>
      <c r="AA117" s="337"/>
      <c r="AB117" s="337">
        <v>55.5948214870964</v>
      </c>
      <c r="AC117" s="337">
        <v>48.5147113918073</v>
      </c>
      <c r="AD117" s="337">
        <v>40.0947927975083</v>
      </c>
      <c r="AE117" s="337">
        <v>32.5103351395661</v>
      </c>
      <c r="AF117" s="337">
        <v>24.6430597383629</v>
      </c>
      <c r="AG117" s="337">
        <v>23.4867781352619</v>
      </c>
      <c r="AH117" s="337">
        <v>22.2329764649579</v>
      </c>
      <c r="AI117" s="100"/>
      <c r="AJ117" s="100"/>
      <c r="AK117" s="100"/>
      <c r="AL117" s="100"/>
      <c r="AM117" s="100"/>
    </row>
    <row r="118" ht="14.25" customHeight="1">
      <c r="A118" s="195"/>
      <c r="B118" s="100"/>
      <c r="C118" s="100"/>
      <c r="D118" s="100"/>
      <c r="E118" s="180" t="s">
        <v>810</v>
      </c>
      <c r="F118" s="123" t="s">
        <v>135</v>
      </c>
      <c r="G118" s="206"/>
      <c r="H118" s="339">
        <f t="shared" ref="H118:AH118" si="7">IF(H115&gt;0,(H117-H115)/H115,"")</f>
        <v>0.6571249924</v>
      </c>
      <c r="I118" s="339">
        <f t="shared" si="7"/>
        <v>0.7183086251</v>
      </c>
      <c r="J118" s="339">
        <f t="shared" si="7"/>
        <v>0.837652792</v>
      </c>
      <c r="K118" s="339">
        <f t="shared" si="7"/>
        <v>0.9602745963</v>
      </c>
      <c r="L118" s="339">
        <f t="shared" si="7"/>
        <v>0.9393867851</v>
      </c>
      <c r="M118" s="339">
        <f t="shared" si="7"/>
        <v>0.9087846664</v>
      </c>
      <c r="N118" s="339">
        <f t="shared" si="7"/>
        <v>0.7991703837</v>
      </c>
      <c r="O118" s="339">
        <f t="shared" si="7"/>
        <v>0.6670590256</v>
      </c>
      <c r="P118" s="339">
        <f t="shared" si="7"/>
        <v>0.8059173891</v>
      </c>
      <c r="Q118" s="339">
        <f t="shared" si="7"/>
        <v>0.7349936378</v>
      </c>
      <c r="R118" s="339">
        <f t="shared" si="7"/>
        <v>0.8128839901</v>
      </c>
      <c r="S118" s="339">
        <f t="shared" si="7"/>
        <v>0.5753007265</v>
      </c>
      <c r="T118" s="339">
        <f t="shared" si="7"/>
        <v>0.5978233466</v>
      </c>
      <c r="U118" s="339">
        <f t="shared" si="7"/>
        <v>0.7182371145</v>
      </c>
      <c r="V118" s="339">
        <f t="shared" si="7"/>
        <v>0.4749258789</v>
      </c>
      <c r="W118" s="339">
        <f t="shared" si="7"/>
        <v>0.6500543222</v>
      </c>
      <c r="X118" s="339" t="str">
        <f t="shared" si="7"/>
        <v/>
      </c>
      <c r="Y118" s="339" t="str">
        <f t="shared" si="7"/>
        <v/>
      </c>
      <c r="Z118" s="339" t="str">
        <f t="shared" si="7"/>
        <v/>
      </c>
      <c r="AA118" s="339" t="str">
        <f t="shared" si="7"/>
        <v/>
      </c>
      <c r="AB118" s="339" t="str">
        <f t="shared" si="7"/>
        <v/>
      </c>
      <c r="AC118" s="339" t="str">
        <f t="shared" si="7"/>
        <v/>
      </c>
      <c r="AD118" s="339" t="str">
        <f t="shared" si="7"/>
        <v/>
      </c>
      <c r="AE118" s="339" t="str">
        <f t="shared" si="7"/>
        <v/>
      </c>
      <c r="AF118" s="339" t="str">
        <f t="shared" si="7"/>
        <v/>
      </c>
      <c r="AG118" s="339" t="str">
        <f t="shared" si="7"/>
        <v/>
      </c>
      <c r="AH118" s="339" t="str">
        <f t="shared" si="7"/>
        <v/>
      </c>
      <c r="AI118" s="100"/>
      <c r="AJ118" s="100"/>
      <c r="AK118" s="100"/>
      <c r="AL118" s="100"/>
      <c r="AM118" s="100"/>
    </row>
    <row r="119" ht="14.25" customHeight="1">
      <c r="A119" s="195"/>
      <c r="B119" s="100"/>
      <c r="C119" s="100"/>
      <c r="D119" s="100"/>
      <c r="E119" s="180" t="s">
        <v>811</v>
      </c>
      <c r="F119" s="123" t="s">
        <v>135</v>
      </c>
      <c r="G119" s="123" t="s">
        <v>1113</v>
      </c>
      <c r="H119" s="337">
        <f t="array" ref="H119:AH119">INDIRECT($G119)</f>
        <v>49.29010895</v>
      </c>
      <c r="I119" s="337">
        <v>51.521984627225955</v>
      </c>
      <c r="J119" s="337">
        <v>53.49229034967005</v>
      </c>
      <c r="K119" s="337">
        <v>56.053626779976796</v>
      </c>
      <c r="L119" s="337">
        <v>58.05832901850714</v>
      </c>
      <c r="M119" s="337">
        <v>58.46658518140259</v>
      </c>
      <c r="N119" s="337">
        <v>60.52400894845527</v>
      </c>
      <c r="O119" s="337">
        <v>56.32417406302742</v>
      </c>
      <c r="P119" s="337">
        <v>66.0261314959372</v>
      </c>
      <c r="Q119" s="337">
        <v>64.73658018770283</v>
      </c>
      <c r="R119" s="337">
        <v>69.92325112366288</v>
      </c>
      <c r="S119" s="337">
        <v>63.35519375926687</v>
      </c>
      <c r="T119" s="337">
        <v>64.46989641571587</v>
      </c>
      <c r="U119" s="337">
        <v>68.72862274729246</v>
      </c>
      <c r="V119" s="337">
        <v>60.830747136339795</v>
      </c>
      <c r="W119" s="337">
        <v>64.64514641468605</v>
      </c>
      <c r="X119" s="337">
        <v>0.0</v>
      </c>
      <c r="Y119" s="337">
        <v>0.0</v>
      </c>
      <c r="Z119" s="337">
        <v>0.0</v>
      </c>
      <c r="AA119" s="337">
        <v>0.0</v>
      </c>
      <c r="AB119" s="337">
        <v>0.0</v>
      </c>
      <c r="AC119" s="337">
        <v>0.0</v>
      </c>
      <c r="AD119" s="337">
        <v>0.0</v>
      </c>
      <c r="AE119" s="337">
        <v>0.0</v>
      </c>
      <c r="AF119" s="337">
        <v>0.0</v>
      </c>
      <c r="AG119" s="337">
        <v>0.0</v>
      </c>
      <c r="AH119" s="337">
        <v>0.0</v>
      </c>
      <c r="AI119" s="100"/>
      <c r="AJ119" s="100"/>
      <c r="AK119" s="100"/>
      <c r="AL119" s="100"/>
      <c r="AM119" s="100"/>
    </row>
    <row r="120" ht="14.25" customHeight="1">
      <c r="A120" s="100"/>
      <c r="B120" s="100"/>
      <c r="C120" s="100"/>
      <c r="D120" s="100"/>
      <c r="E120" s="100"/>
      <c r="F120" s="206"/>
      <c r="G120" s="206"/>
      <c r="H120" s="207"/>
      <c r="I120" s="207"/>
      <c r="J120" s="207"/>
      <c r="K120" s="207"/>
      <c r="L120" s="207"/>
      <c r="M120" s="207"/>
      <c r="N120" s="207"/>
      <c r="O120" s="207"/>
      <c r="P120" s="207"/>
      <c r="Q120" s="207"/>
      <c r="R120" s="207"/>
      <c r="S120" s="207"/>
      <c r="T120" s="207"/>
      <c r="U120" s="207"/>
      <c r="V120" s="207"/>
      <c r="W120" s="208"/>
      <c r="X120" s="208"/>
      <c r="Y120" s="208"/>
      <c r="Z120" s="208"/>
      <c r="AA120" s="208"/>
      <c r="AB120" s="208"/>
      <c r="AC120" s="208"/>
      <c r="AD120" s="208"/>
      <c r="AE120" s="208"/>
      <c r="AF120" s="208"/>
      <c r="AG120" s="208"/>
      <c r="AH120" s="208"/>
      <c r="AI120" s="100"/>
      <c r="AJ120" s="100"/>
      <c r="AK120" s="100"/>
      <c r="AL120" s="100"/>
      <c r="AM120" s="100"/>
    </row>
    <row r="121" ht="14.25" customHeight="1">
      <c r="A121" s="100"/>
      <c r="B121" s="100"/>
      <c r="C121" s="100"/>
      <c r="D121" s="100"/>
      <c r="E121" s="100"/>
      <c r="F121" s="206"/>
      <c r="G121" s="206"/>
      <c r="H121" s="207"/>
      <c r="I121" s="207"/>
      <c r="J121" s="207"/>
      <c r="K121" s="207"/>
      <c r="L121" s="207"/>
      <c r="M121" s="207"/>
      <c r="N121" s="207"/>
      <c r="O121" s="207"/>
      <c r="P121" s="207"/>
      <c r="Q121" s="207"/>
      <c r="R121" s="207"/>
      <c r="S121" s="207"/>
      <c r="T121" s="207"/>
      <c r="U121" s="207"/>
      <c r="V121" s="207"/>
      <c r="W121" s="208"/>
      <c r="X121" s="208"/>
      <c r="Y121" s="208"/>
      <c r="Z121" s="208"/>
      <c r="AA121" s="208"/>
      <c r="AB121" s="208"/>
      <c r="AC121" s="208"/>
      <c r="AD121" s="208"/>
      <c r="AE121" s="208"/>
      <c r="AF121" s="208"/>
      <c r="AG121" s="208"/>
      <c r="AH121" s="208"/>
      <c r="AI121" s="100"/>
      <c r="AJ121" s="100"/>
      <c r="AK121" s="100"/>
      <c r="AL121" s="100"/>
      <c r="AM121" s="100"/>
    </row>
    <row r="122" ht="14.25" customHeight="1">
      <c r="A122" s="100"/>
      <c r="B122" s="100"/>
      <c r="C122" s="100"/>
      <c r="D122" s="100"/>
      <c r="E122" s="100"/>
      <c r="F122" s="206"/>
      <c r="G122" s="206"/>
      <c r="H122" s="207"/>
      <c r="I122" s="207"/>
      <c r="J122" s="207"/>
      <c r="K122" s="207"/>
      <c r="L122" s="207"/>
      <c r="M122" s="207"/>
      <c r="N122" s="207"/>
      <c r="O122" s="207"/>
      <c r="P122" s="207"/>
      <c r="Q122" s="207"/>
      <c r="R122" s="207"/>
      <c r="S122" s="207"/>
      <c r="T122" s="207"/>
      <c r="U122" s="207"/>
      <c r="V122" s="207"/>
      <c r="W122" s="208"/>
      <c r="X122" s="208"/>
      <c r="Y122" s="208"/>
      <c r="Z122" s="208"/>
      <c r="AA122" s="208"/>
      <c r="AB122" s="208"/>
      <c r="AC122" s="208"/>
      <c r="AD122" s="208"/>
      <c r="AE122" s="208"/>
      <c r="AF122" s="208"/>
      <c r="AG122" s="208"/>
      <c r="AH122" s="208"/>
      <c r="AI122" s="100"/>
      <c r="AJ122" s="100"/>
      <c r="AK122" s="100"/>
      <c r="AL122" s="100"/>
      <c r="AM122" s="100"/>
    </row>
    <row r="123" ht="14.25" customHeight="1">
      <c r="A123" s="100"/>
      <c r="B123" s="100"/>
      <c r="C123" s="100"/>
      <c r="D123" s="100"/>
      <c r="E123" s="100"/>
      <c r="F123" s="206"/>
      <c r="G123" s="206"/>
      <c r="H123" s="207"/>
      <c r="I123" s="207"/>
      <c r="J123" s="207"/>
      <c r="K123" s="207"/>
      <c r="L123" s="207"/>
      <c r="M123" s="207"/>
      <c r="N123" s="207"/>
      <c r="O123" s="207"/>
      <c r="P123" s="207"/>
      <c r="Q123" s="207"/>
      <c r="R123" s="207"/>
      <c r="S123" s="207"/>
      <c r="T123" s="207"/>
      <c r="U123" s="207"/>
      <c r="V123" s="207"/>
      <c r="W123" s="208"/>
      <c r="X123" s="208"/>
      <c r="Y123" s="208"/>
      <c r="Z123" s="208"/>
      <c r="AA123" s="208"/>
      <c r="AB123" s="208"/>
      <c r="AC123" s="208"/>
      <c r="AD123" s="208"/>
      <c r="AE123" s="208"/>
      <c r="AF123" s="208"/>
      <c r="AG123" s="208"/>
      <c r="AH123" s="208"/>
      <c r="AI123" s="100"/>
      <c r="AJ123" s="100"/>
      <c r="AK123" s="100"/>
      <c r="AL123" s="100"/>
      <c r="AM123" s="100"/>
    </row>
    <row r="124" ht="14.25" customHeight="1">
      <c r="A124" s="100"/>
      <c r="B124" s="100"/>
      <c r="C124" s="100"/>
      <c r="D124" s="100"/>
      <c r="E124" s="100"/>
      <c r="F124" s="206"/>
      <c r="G124" s="206"/>
      <c r="H124" s="207"/>
      <c r="I124" s="207"/>
      <c r="J124" s="207"/>
      <c r="K124" s="207"/>
      <c r="L124" s="207"/>
      <c r="M124" s="207"/>
      <c r="N124" s="207"/>
      <c r="O124" s="207"/>
      <c r="P124" s="207"/>
      <c r="Q124" s="207"/>
      <c r="R124" s="207"/>
      <c r="S124" s="207"/>
      <c r="T124" s="207"/>
      <c r="U124" s="207"/>
      <c r="V124" s="207"/>
      <c r="W124" s="208"/>
      <c r="X124" s="208"/>
      <c r="Y124" s="208"/>
      <c r="Z124" s="208"/>
      <c r="AA124" s="208"/>
      <c r="AB124" s="208"/>
      <c r="AC124" s="208"/>
      <c r="AD124" s="208"/>
      <c r="AE124" s="208"/>
      <c r="AF124" s="208"/>
      <c r="AG124" s="208"/>
      <c r="AH124" s="208"/>
      <c r="AI124" s="100"/>
      <c r="AJ124" s="100"/>
      <c r="AK124" s="100"/>
      <c r="AL124" s="100"/>
      <c r="AM124" s="100"/>
    </row>
    <row r="125" ht="14.25" customHeight="1">
      <c r="A125" s="100"/>
      <c r="B125" s="100"/>
      <c r="C125" s="100"/>
      <c r="D125" s="100"/>
      <c r="E125" s="100"/>
      <c r="F125" s="206"/>
      <c r="G125" s="206"/>
      <c r="H125" s="207"/>
      <c r="I125" s="207"/>
      <c r="J125" s="207"/>
      <c r="K125" s="207"/>
      <c r="L125" s="207"/>
      <c r="M125" s="207"/>
      <c r="N125" s="207"/>
      <c r="O125" s="207"/>
      <c r="P125" s="207"/>
      <c r="Q125" s="207"/>
      <c r="R125" s="207"/>
      <c r="S125" s="207"/>
      <c r="T125" s="207"/>
      <c r="U125" s="207"/>
      <c r="V125" s="207"/>
      <c r="W125" s="208"/>
      <c r="X125" s="208"/>
      <c r="Y125" s="208"/>
      <c r="Z125" s="208"/>
      <c r="AA125" s="208"/>
      <c r="AB125" s="208"/>
      <c r="AC125" s="208"/>
      <c r="AD125" s="208"/>
      <c r="AE125" s="208"/>
      <c r="AF125" s="208"/>
      <c r="AG125" s="208"/>
      <c r="AH125" s="208"/>
      <c r="AI125" s="100"/>
      <c r="AJ125" s="100"/>
      <c r="AK125" s="100"/>
      <c r="AL125" s="100"/>
      <c r="AM125" s="100"/>
    </row>
    <row r="126" ht="14.25" customHeight="1">
      <c r="A126" s="100"/>
      <c r="B126" s="100"/>
      <c r="C126" s="100"/>
      <c r="D126" s="100"/>
      <c r="E126" s="100"/>
      <c r="F126" s="206"/>
      <c r="G126" s="206"/>
      <c r="H126" s="207"/>
      <c r="I126" s="207"/>
      <c r="J126" s="207"/>
      <c r="K126" s="207"/>
      <c r="L126" s="207"/>
      <c r="M126" s="207"/>
      <c r="N126" s="207"/>
      <c r="O126" s="207"/>
      <c r="P126" s="207"/>
      <c r="Q126" s="207"/>
      <c r="R126" s="207"/>
      <c r="S126" s="207"/>
      <c r="T126" s="207"/>
      <c r="U126" s="207"/>
      <c r="V126" s="207"/>
      <c r="W126" s="208"/>
      <c r="X126" s="208"/>
      <c r="Y126" s="208"/>
      <c r="Z126" s="208"/>
      <c r="AA126" s="208"/>
      <c r="AB126" s="208"/>
      <c r="AC126" s="208"/>
      <c r="AD126" s="208"/>
      <c r="AE126" s="208"/>
      <c r="AF126" s="208"/>
      <c r="AG126" s="208"/>
      <c r="AH126" s="208"/>
      <c r="AI126" s="100"/>
      <c r="AJ126" s="100"/>
      <c r="AK126" s="100"/>
      <c r="AL126" s="100"/>
      <c r="AM126" s="100"/>
    </row>
    <row r="127" ht="14.25" customHeight="1">
      <c r="A127" s="100"/>
      <c r="B127" s="100"/>
      <c r="C127" s="100"/>
      <c r="D127" s="100"/>
      <c r="E127" s="100"/>
      <c r="F127" s="206"/>
      <c r="G127" s="206"/>
      <c r="H127" s="207"/>
      <c r="I127" s="207"/>
      <c r="J127" s="207"/>
      <c r="K127" s="207"/>
      <c r="L127" s="207"/>
      <c r="M127" s="207"/>
      <c r="N127" s="207"/>
      <c r="O127" s="207"/>
      <c r="P127" s="207"/>
      <c r="Q127" s="207"/>
      <c r="R127" s="207"/>
      <c r="S127" s="207"/>
      <c r="T127" s="207"/>
      <c r="U127" s="207"/>
      <c r="V127" s="207"/>
      <c r="W127" s="208"/>
      <c r="X127" s="208"/>
      <c r="Y127" s="208"/>
      <c r="Z127" s="208"/>
      <c r="AA127" s="208"/>
      <c r="AB127" s="208"/>
      <c r="AC127" s="208"/>
      <c r="AD127" s="208"/>
      <c r="AE127" s="208"/>
      <c r="AF127" s="208"/>
      <c r="AG127" s="208"/>
      <c r="AH127" s="208"/>
      <c r="AI127" s="100"/>
      <c r="AJ127" s="100"/>
      <c r="AK127" s="100"/>
      <c r="AL127" s="100"/>
      <c r="AM127" s="100"/>
    </row>
    <row r="128" ht="14.25" customHeight="1">
      <c r="A128" s="100"/>
      <c r="B128" s="100"/>
      <c r="C128" s="100"/>
      <c r="D128" s="100"/>
      <c r="E128" s="100"/>
      <c r="F128" s="206"/>
      <c r="G128" s="206"/>
      <c r="H128" s="207"/>
      <c r="I128" s="207"/>
      <c r="J128" s="207"/>
      <c r="K128" s="207"/>
      <c r="L128" s="207"/>
      <c r="M128" s="207"/>
      <c r="N128" s="207"/>
      <c r="O128" s="207"/>
      <c r="P128" s="207"/>
      <c r="Q128" s="207"/>
      <c r="R128" s="207"/>
      <c r="S128" s="207"/>
      <c r="T128" s="207"/>
      <c r="U128" s="207"/>
      <c r="V128" s="207"/>
      <c r="W128" s="208"/>
      <c r="X128" s="208"/>
      <c r="Y128" s="208"/>
      <c r="Z128" s="208"/>
      <c r="AA128" s="208"/>
      <c r="AB128" s="208"/>
      <c r="AC128" s="208"/>
      <c r="AD128" s="208"/>
      <c r="AE128" s="208"/>
      <c r="AF128" s="208"/>
      <c r="AG128" s="208"/>
      <c r="AH128" s="208"/>
      <c r="AI128" s="100"/>
      <c r="AJ128" s="100"/>
      <c r="AK128" s="100"/>
      <c r="AL128" s="100"/>
      <c r="AM128" s="100"/>
    </row>
    <row r="129" ht="14.25" customHeight="1">
      <c r="A129" s="100"/>
      <c r="B129" s="100"/>
      <c r="C129" s="100"/>
      <c r="D129" s="100"/>
      <c r="E129" s="100"/>
      <c r="F129" s="206"/>
      <c r="G129" s="206"/>
      <c r="H129" s="207"/>
      <c r="I129" s="207"/>
      <c r="J129" s="207"/>
      <c r="K129" s="207"/>
      <c r="L129" s="207"/>
      <c r="M129" s="207"/>
      <c r="N129" s="207"/>
      <c r="O129" s="207"/>
      <c r="P129" s="207"/>
      <c r="Q129" s="207"/>
      <c r="R129" s="207"/>
      <c r="S129" s="207"/>
      <c r="T129" s="207"/>
      <c r="U129" s="207"/>
      <c r="V129" s="207"/>
      <c r="W129" s="208"/>
      <c r="X129" s="208"/>
      <c r="Y129" s="208"/>
      <c r="Z129" s="208"/>
      <c r="AA129" s="208"/>
      <c r="AB129" s="208"/>
      <c r="AC129" s="208"/>
      <c r="AD129" s="208"/>
      <c r="AE129" s="208"/>
      <c r="AF129" s="208"/>
      <c r="AG129" s="208"/>
      <c r="AH129" s="208"/>
      <c r="AI129" s="100"/>
      <c r="AJ129" s="100"/>
      <c r="AK129" s="100"/>
      <c r="AL129" s="100"/>
      <c r="AM129" s="100"/>
    </row>
    <row r="130" ht="14.25" customHeight="1">
      <c r="A130" s="100"/>
      <c r="B130" s="100"/>
      <c r="C130" s="100"/>
      <c r="D130" s="100"/>
      <c r="E130" s="100"/>
      <c r="F130" s="206"/>
      <c r="G130" s="206"/>
      <c r="H130" s="207"/>
      <c r="I130" s="207"/>
      <c r="J130" s="207"/>
      <c r="K130" s="207"/>
      <c r="L130" s="207"/>
      <c r="M130" s="207"/>
      <c r="N130" s="207"/>
      <c r="O130" s="207"/>
      <c r="P130" s="207"/>
      <c r="Q130" s="207"/>
      <c r="R130" s="207"/>
      <c r="S130" s="207"/>
      <c r="T130" s="207"/>
      <c r="U130" s="207"/>
      <c r="V130" s="207"/>
      <c r="W130" s="208"/>
      <c r="X130" s="208"/>
      <c r="Y130" s="208"/>
      <c r="Z130" s="208"/>
      <c r="AA130" s="208"/>
      <c r="AB130" s="208"/>
      <c r="AC130" s="208"/>
      <c r="AD130" s="208"/>
      <c r="AE130" s="208"/>
      <c r="AF130" s="208"/>
      <c r="AG130" s="208"/>
      <c r="AH130" s="208"/>
      <c r="AI130" s="100"/>
      <c r="AJ130" s="100"/>
      <c r="AK130" s="100"/>
      <c r="AL130" s="100"/>
      <c r="AM130" s="100"/>
    </row>
    <row r="131" ht="14.25" customHeight="1">
      <c r="A131" s="100"/>
      <c r="B131" s="100"/>
      <c r="C131" s="100"/>
      <c r="D131" s="100"/>
      <c r="E131" s="100"/>
      <c r="F131" s="206"/>
      <c r="G131" s="206"/>
      <c r="H131" s="207"/>
      <c r="I131" s="207"/>
      <c r="J131" s="207"/>
      <c r="K131" s="207"/>
      <c r="L131" s="207"/>
      <c r="M131" s="207"/>
      <c r="N131" s="207"/>
      <c r="O131" s="207"/>
      <c r="P131" s="207"/>
      <c r="Q131" s="207"/>
      <c r="R131" s="207"/>
      <c r="S131" s="207"/>
      <c r="T131" s="207"/>
      <c r="U131" s="207"/>
      <c r="V131" s="207"/>
      <c r="W131" s="208"/>
      <c r="X131" s="208"/>
      <c r="Y131" s="208"/>
      <c r="Z131" s="208"/>
      <c r="AA131" s="208"/>
      <c r="AB131" s="208"/>
      <c r="AC131" s="208"/>
      <c r="AD131" s="208"/>
      <c r="AE131" s="208"/>
      <c r="AF131" s="208"/>
      <c r="AG131" s="208"/>
      <c r="AH131" s="208"/>
      <c r="AI131" s="100"/>
      <c r="AJ131" s="100"/>
      <c r="AK131" s="100"/>
      <c r="AL131" s="100"/>
      <c r="AM131" s="100"/>
    </row>
    <row r="132" ht="14.25" customHeight="1">
      <c r="A132" s="100"/>
      <c r="B132" s="100"/>
      <c r="C132" s="100"/>
      <c r="D132" s="100"/>
      <c r="E132" s="100"/>
      <c r="F132" s="206"/>
      <c r="G132" s="206"/>
      <c r="H132" s="207"/>
      <c r="I132" s="207"/>
      <c r="J132" s="207"/>
      <c r="K132" s="207"/>
      <c r="L132" s="207"/>
      <c r="M132" s="207"/>
      <c r="N132" s="207"/>
      <c r="O132" s="207"/>
      <c r="P132" s="207"/>
      <c r="Q132" s="207"/>
      <c r="R132" s="207"/>
      <c r="S132" s="207"/>
      <c r="T132" s="207"/>
      <c r="U132" s="207"/>
      <c r="V132" s="207"/>
      <c r="W132" s="208"/>
      <c r="X132" s="208"/>
      <c r="Y132" s="208"/>
      <c r="Z132" s="208"/>
      <c r="AA132" s="208"/>
      <c r="AB132" s="208"/>
      <c r="AC132" s="208"/>
      <c r="AD132" s="208"/>
      <c r="AE132" s="208"/>
      <c r="AF132" s="208"/>
      <c r="AG132" s="208"/>
      <c r="AH132" s="208"/>
      <c r="AI132" s="100"/>
      <c r="AJ132" s="100"/>
      <c r="AK132" s="100"/>
      <c r="AL132" s="100"/>
      <c r="AM132" s="100"/>
    </row>
    <row r="133" ht="14.25" customHeight="1">
      <c r="A133" s="100"/>
      <c r="B133" s="100"/>
      <c r="C133" s="100"/>
      <c r="D133" s="100"/>
      <c r="E133" s="100"/>
      <c r="F133" s="206"/>
      <c r="G133" s="206"/>
      <c r="H133" s="207"/>
      <c r="I133" s="207"/>
      <c r="J133" s="207"/>
      <c r="K133" s="207"/>
      <c r="L133" s="207"/>
      <c r="M133" s="207"/>
      <c r="N133" s="207"/>
      <c r="O133" s="207"/>
      <c r="P133" s="207"/>
      <c r="Q133" s="207"/>
      <c r="R133" s="207"/>
      <c r="S133" s="207"/>
      <c r="T133" s="207"/>
      <c r="U133" s="207"/>
      <c r="V133" s="207"/>
      <c r="W133" s="208"/>
      <c r="X133" s="208"/>
      <c r="Y133" s="208"/>
      <c r="Z133" s="208"/>
      <c r="AA133" s="208"/>
      <c r="AB133" s="208"/>
      <c r="AC133" s="208"/>
      <c r="AD133" s="208"/>
      <c r="AE133" s="208"/>
      <c r="AF133" s="208"/>
      <c r="AG133" s="208"/>
      <c r="AH133" s="208"/>
      <c r="AI133" s="100"/>
      <c r="AJ133" s="100"/>
      <c r="AK133" s="100"/>
      <c r="AL133" s="100"/>
      <c r="AM133" s="100"/>
    </row>
    <row r="134" ht="14.25" customHeight="1">
      <c r="A134" s="100"/>
      <c r="B134" s="100"/>
      <c r="C134" s="100"/>
      <c r="D134" s="100"/>
      <c r="E134" s="100"/>
      <c r="F134" s="206"/>
      <c r="G134" s="206"/>
      <c r="H134" s="207"/>
      <c r="I134" s="207"/>
      <c r="J134" s="207"/>
      <c r="K134" s="207"/>
      <c r="L134" s="207"/>
      <c r="M134" s="207"/>
      <c r="N134" s="207"/>
      <c r="O134" s="207"/>
      <c r="P134" s="207"/>
      <c r="Q134" s="207"/>
      <c r="R134" s="207"/>
      <c r="S134" s="207"/>
      <c r="T134" s="207"/>
      <c r="U134" s="207"/>
      <c r="V134" s="207"/>
      <c r="W134" s="208"/>
      <c r="X134" s="208"/>
      <c r="Y134" s="208"/>
      <c r="Z134" s="208"/>
      <c r="AA134" s="208"/>
      <c r="AB134" s="208"/>
      <c r="AC134" s="208"/>
      <c r="AD134" s="208"/>
      <c r="AE134" s="208"/>
      <c r="AF134" s="208"/>
      <c r="AG134" s="208"/>
      <c r="AH134" s="208"/>
      <c r="AI134" s="100"/>
      <c r="AJ134" s="100"/>
      <c r="AK134" s="100"/>
      <c r="AL134" s="100"/>
      <c r="AM134" s="100"/>
    </row>
    <row r="135" ht="14.25" customHeight="1">
      <c r="A135" s="100"/>
      <c r="B135" s="100"/>
      <c r="C135" s="100"/>
      <c r="D135" s="100"/>
      <c r="E135" s="100"/>
      <c r="F135" s="206"/>
      <c r="G135" s="206"/>
      <c r="H135" s="207"/>
      <c r="I135" s="207"/>
      <c r="J135" s="207"/>
      <c r="K135" s="207"/>
      <c r="L135" s="207"/>
      <c r="M135" s="207"/>
      <c r="N135" s="207"/>
      <c r="O135" s="207"/>
      <c r="P135" s="207"/>
      <c r="Q135" s="207"/>
      <c r="R135" s="207"/>
      <c r="S135" s="207"/>
      <c r="T135" s="207"/>
      <c r="U135" s="207"/>
      <c r="V135" s="207"/>
      <c r="W135" s="208"/>
      <c r="X135" s="208"/>
      <c r="Y135" s="208"/>
      <c r="Z135" s="208"/>
      <c r="AA135" s="208"/>
      <c r="AB135" s="208"/>
      <c r="AC135" s="208"/>
      <c r="AD135" s="208"/>
      <c r="AE135" s="208"/>
      <c r="AF135" s="208"/>
      <c r="AG135" s="208"/>
      <c r="AH135" s="208"/>
      <c r="AI135" s="100"/>
      <c r="AJ135" s="100"/>
      <c r="AK135" s="100"/>
      <c r="AL135" s="100"/>
      <c r="AM135" s="100"/>
    </row>
    <row r="136" ht="14.25" customHeight="1">
      <c r="A136" s="100"/>
      <c r="B136" s="100"/>
      <c r="C136" s="100"/>
      <c r="D136" s="100"/>
      <c r="E136" s="100"/>
      <c r="F136" s="206"/>
      <c r="G136" s="206"/>
      <c r="H136" s="207"/>
      <c r="I136" s="207"/>
      <c r="J136" s="207"/>
      <c r="K136" s="207"/>
      <c r="L136" s="207"/>
      <c r="M136" s="207"/>
      <c r="N136" s="207"/>
      <c r="O136" s="207"/>
      <c r="P136" s="207"/>
      <c r="Q136" s="207"/>
      <c r="R136" s="207"/>
      <c r="S136" s="207"/>
      <c r="T136" s="207"/>
      <c r="U136" s="207"/>
      <c r="V136" s="207"/>
      <c r="W136" s="208"/>
      <c r="X136" s="208"/>
      <c r="Y136" s="208"/>
      <c r="Z136" s="208"/>
      <c r="AA136" s="208"/>
      <c r="AB136" s="208"/>
      <c r="AC136" s="208"/>
      <c r="AD136" s="208"/>
      <c r="AE136" s="208"/>
      <c r="AF136" s="208"/>
      <c r="AG136" s="208"/>
      <c r="AH136" s="208"/>
      <c r="AI136" s="100"/>
      <c r="AJ136" s="100"/>
      <c r="AK136" s="100"/>
      <c r="AL136" s="100"/>
      <c r="AM136" s="100"/>
    </row>
    <row r="137" ht="14.25" customHeight="1">
      <c r="A137" s="100"/>
      <c r="B137" s="100"/>
      <c r="C137" s="100"/>
      <c r="D137" s="100"/>
      <c r="E137" s="100"/>
      <c r="F137" s="206"/>
      <c r="G137" s="206"/>
      <c r="H137" s="207"/>
      <c r="I137" s="207"/>
      <c r="J137" s="207"/>
      <c r="K137" s="207"/>
      <c r="L137" s="207"/>
      <c r="M137" s="207"/>
      <c r="N137" s="207"/>
      <c r="O137" s="207"/>
      <c r="P137" s="207"/>
      <c r="Q137" s="207"/>
      <c r="R137" s="207"/>
      <c r="S137" s="207"/>
      <c r="T137" s="207"/>
      <c r="U137" s="207"/>
      <c r="V137" s="207"/>
      <c r="W137" s="208"/>
      <c r="X137" s="208"/>
      <c r="Y137" s="208"/>
      <c r="Z137" s="208"/>
      <c r="AA137" s="208"/>
      <c r="AB137" s="208"/>
      <c r="AC137" s="208"/>
      <c r="AD137" s="208"/>
      <c r="AE137" s="208"/>
      <c r="AF137" s="208"/>
      <c r="AG137" s="208"/>
      <c r="AH137" s="208"/>
      <c r="AI137" s="100"/>
      <c r="AJ137" s="100"/>
      <c r="AK137" s="100"/>
      <c r="AL137" s="100"/>
      <c r="AM137" s="100"/>
    </row>
    <row r="138" ht="14.25" customHeight="1">
      <c r="A138" s="100"/>
      <c r="B138" s="100"/>
      <c r="C138" s="100"/>
      <c r="D138" s="100"/>
      <c r="E138" s="100"/>
      <c r="F138" s="206"/>
      <c r="G138" s="206"/>
      <c r="H138" s="207"/>
      <c r="I138" s="207"/>
      <c r="J138" s="207"/>
      <c r="K138" s="207"/>
      <c r="L138" s="207"/>
      <c r="M138" s="207"/>
      <c r="N138" s="207"/>
      <c r="O138" s="207"/>
      <c r="P138" s="207"/>
      <c r="Q138" s="207"/>
      <c r="R138" s="207"/>
      <c r="S138" s="207"/>
      <c r="T138" s="207"/>
      <c r="U138" s="207"/>
      <c r="V138" s="207"/>
      <c r="W138" s="208"/>
      <c r="X138" s="208"/>
      <c r="Y138" s="208"/>
      <c r="Z138" s="208"/>
      <c r="AA138" s="208"/>
      <c r="AB138" s="208"/>
      <c r="AC138" s="208"/>
      <c r="AD138" s="208"/>
      <c r="AE138" s="208"/>
      <c r="AF138" s="208"/>
      <c r="AG138" s="208"/>
      <c r="AH138" s="208"/>
      <c r="AI138" s="100"/>
      <c r="AJ138" s="100"/>
      <c r="AK138" s="100"/>
      <c r="AL138" s="100"/>
      <c r="AM138" s="100"/>
    </row>
    <row r="139" ht="14.25" customHeight="1">
      <c r="A139" s="100"/>
      <c r="B139" s="100"/>
      <c r="C139" s="100"/>
      <c r="D139" s="100"/>
      <c r="E139" s="100"/>
      <c r="F139" s="206"/>
      <c r="G139" s="206"/>
      <c r="H139" s="207"/>
      <c r="I139" s="207"/>
      <c r="J139" s="207"/>
      <c r="K139" s="207"/>
      <c r="L139" s="207"/>
      <c r="M139" s="207"/>
      <c r="N139" s="207"/>
      <c r="O139" s="207"/>
      <c r="P139" s="207"/>
      <c r="Q139" s="207"/>
      <c r="R139" s="207"/>
      <c r="S139" s="207"/>
      <c r="T139" s="207"/>
      <c r="U139" s="207"/>
      <c r="V139" s="207"/>
      <c r="W139" s="208"/>
      <c r="X139" s="208"/>
      <c r="Y139" s="208"/>
      <c r="Z139" s="208"/>
      <c r="AA139" s="208"/>
      <c r="AB139" s="208"/>
      <c r="AC139" s="208"/>
      <c r="AD139" s="208"/>
      <c r="AE139" s="208"/>
      <c r="AF139" s="208"/>
      <c r="AG139" s="208"/>
      <c r="AH139" s="208"/>
      <c r="AI139" s="100"/>
      <c r="AJ139" s="100"/>
      <c r="AK139" s="100"/>
      <c r="AL139" s="100"/>
      <c r="AM139" s="100"/>
    </row>
    <row r="140" ht="14.25" customHeight="1">
      <c r="A140" s="100"/>
      <c r="B140" s="100"/>
      <c r="C140" s="100"/>
      <c r="D140" s="100"/>
      <c r="E140" s="100"/>
      <c r="F140" s="206"/>
      <c r="G140" s="206"/>
      <c r="H140" s="207"/>
      <c r="I140" s="207"/>
      <c r="J140" s="207"/>
      <c r="K140" s="207"/>
      <c r="L140" s="207"/>
      <c r="M140" s="207"/>
      <c r="N140" s="207"/>
      <c r="O140" s="207"/>
      <c r="P140" s="207"/>
      <c r="Q140" s="207"/>
      <c r="R140" s="207"/>
      <c r="S140" s="207"/>
      <c r="T140" s="207"/>
      <c r="U140" s="207"/>
      <c r="V140" s="207"/>
      <c r="W140" s="208"/>
      <c r="X140" s="208"/>
      <c r="Y140" s="208"/>
      <c r="Z140" s="208"/>
      <c r="AA140" s="208"/>
      <c r="AB140" s="208"/>
      <c r="AC140" s="208"/>
      <c r="AD140" s="208"/>
      <c r="AE140" s="208"/>
      <c r="AF140" s="208"/>
      <c r="AG140" s="208"/>
      <c r="AH140" s="208"/>
      <c r="AI140" s="100"/>
      <c r="AJ140" s="100"/>
      <c r="AK140" s="100"/>
      <c r="AL140" s="100"/>
      <c r="AM140" s="100"/>
    </row>
    <row r="141" ht="14.25" customHeight="1">
      <c r="A141" s="100"/>
      <c r="B141" s="100"/>
      <c r="C141" s="100"/>
      <c r="D141" s="100"/>
      <c r="E141" s="100"/>
      <c r="F141" s="206"/>
      <c r="G141" s="206"/>
      <c r="H141" s="207"/>
      <c r="I141" s="207"/>
      <c r="J141" s="207"/>
      <c r="K141" s="207"/>
      <c r="L141" s="207"/>
      <c r="M141" s="207"/>
      <c r="N141" s="207"/>
      <c r="O141" s="207"/>
      <c r="P141" s="207"/>
      <c r="Q141" s="207"/>
      <c r="R141" s="207"/>
      <c r="S141" s="207"/>
      <c r="T141" s="207"/>
      <c r="U141" s="207"/>
      <c r="V141" s="207"/>
      <c r="W141" s="208"/>
      <c r="X141" s="208"/>
      <c r="Y141" s="208"/>
      <c r="Z141" s="208"/>
      <c r="AA141" s="208"/>
      <c r="AB141" s="208"/>
      <c r="AC141" s="208"/>
      <c r="AD141" s="208"/>
      <c r="AE141" s="208"/>
      <c r="AF141" s="208"/>
      <c r="AG141" s="208"/>
      <c r="AH141" s="208"/>
      <c r="AI141" s="100"/>
      <c r="AJ141" s="100"/>
      <c r="AK141" s="100"/>
      <c r="AL141" s="100"/>
      <c r="AM141" s="100"/>
    </row>
    <row r="142" ht="14.25" customHeight="1">
      <c r="A142" s="100"/>
      <c r="B142" s="100"/>
      <c r="C142" s="100"/>
      <c r="D142" s="100"/>
      <c r="E142" s="100"/>
      <c r="F142" s="206"/>
      <c r="G142" s="206"/>
      <c r="H142" s="207"/>
      <c r="I142" s="207"/>
      <c r="J142" s="207"/>
      <c r="K142" s="207"/>
      <c r="L142" s="207"/>
      <c r="M142" s="207"/>
      <c r="N142" s="207"/>
      <c r="O142" s="207"/>
      <c r="P142" s="207"/>
      <c r="Q142" s="207"/>
      <c r="R142" s="207"/>
      <c r="S142" s="207"/>
      <c r="T142" s="207"/>
      <c r="U142" s="207"/>
      <c r="V142" s="207"/>
      <c r="W142" s="208"/>
      <c r="X142" s="208"/>
      <c r="Y142" s="208"/>
      <c r="Z142" s="208"/>
      <c r="AA142" s="208"/>
      <c r="AB142" s="208"/>
      <c r="AC142" s="208"/>
      <c r="AD142" s="208"/>
      <c r="AE142" s="208"/>
      <c r="AF142" s="208"/>
      <c r="AG142" s="208"/>
      <c r="AH142" s="208"/>
      <c r="AI142" s="100"/>
      <c r="AJ142" s="100"/>
      <c r="AK142" s="100"/>
      <c r="AL142" s="100"/>
      <c r="AM142" s="100"/>
    </row>
    <row r="143" ht="14.25" customHeight="1">
      <c r="A143" s="100"/>
      <c r="B143" s="100"/>
      <c r="C143" s="100"/>
      <c r="D143" s="100"/>
      <c r="E143" s="100"/>
      <c r="F143" s="206"/>
      <c r="G143" s="206"/>
      <c r="H143" s="207"/>
      <c r="I143" s="207"/>
      <c r="J143" s="207"/>
      <c r="K143" s="207"/>
      <c r="L143" s="207"/>
      <c r="M143" s="207"/>
      <c r="N143" s="207"/>
      <c r="O143" s="207"/>
      <c r="P143" s="207"/>
      <c r="Q143" s="207"/>
      <c r="R143" s="207"/>
      <c r="S143" s="207"/>
      <c r="T143" s="207"/>
      <c r="U143" s="207"/>
      <c r="V143" s="207"/>
      <c r="W143" s="208"/>
      <c r="X143" s="208"/>
      <c r="Y143" s="208"/>
      <c r="Z143" s="208"/>
      <c r="AA143" s="208"/>
      <c r="AB143" s="208"/>
      <c r="AC143" s="208"/>
      <c r="AD143" s="208"/>
      <c r="AE143" s="208"/>
      <c r="AF143" s="208"/>
      <c r="AG143" s="208"/>
      <c r="AH143" s="208"/>
      <c r="AI143" s="100"/>
      <c r="AJ143" s="100"/>
      <c r="AK143" s="100"/>
      <c r="AL143" s="100"/>
      <c r="AM143" s="100"/>
    </row>
    <row r="144" ht="14.25" customHeight="1">
      <c r="A144" s="100"/>
      <c r="B144" s="100"/>
      <c r="C144" s="100"/>
      <c r="D144" s="100"/>
      <c r="E144" s="100"/>
      <c r="F144" s="206"/>
      <c r="G144" s="206"/>
      <c r="H144" s="207"/>
      <c r="I144" s="207"/>
      <c r="J144" s="207"/>
      <c r="K144" s="207"/>
      <c r="L144" s="207"/>
      <c r="M144" s="207"/>
      <c r="N144" s="207"/>
      <c r="O144" s="207"/>
      <c r="P144" s="207"/>
      <c r="Q144" s="207"/>
      <c r="R144" s="207"/>
      <c r="S144" s="207"/>
      <c r="T144" s="207"/>
      <c r="U144" s="207"/>
      <c r="V144" s="207"/>
      <c r="W144" s="208"/>
      <c r="X144" s="208"/>
      <c r="Y144" s="208"/>
      <c r="Z144" s="208"/>
      <c r="AA144" s="208"/>
      <c r="AB144" s="208"/>
      <c r="AC144" s="208"/>
      <c r="AD144" s="208"/>
      <c r="AE144" s="208"/>
      <c r="AF144" s="208"/>
      <c r="AG144" s="208"/>
      <c r="AH144" s="208"/>
      <c r="AI144" s="100"/>
      <c r="AJ144" s="100"/>
      <c r="AK144" s="100"/>
      <c r="AL144" s="100"/>
      <c r="AM144" s="100"/>
    </row>
    <row r="145" ht="14.25" customHeight="1">
      <c r="A145" s="100"/>
      <c r="B145" s="100"/>
      <c r="C145" s="100"/>
      <c r="D145" s="100"/>
      <c r="E145" s="100"/>
      <c r="F145" s="206"/>
      <c r="G145" s="206"/>
      <c r="H145" s="207"/>
      <c r="I145" s="207"/>
      <c r="J145" s="207"/>
      <c r="K145" s="207"/>
      <c r="L145" s="207"/>
      <c r="M145" s="207"/>
      <c r="N145" s="207"/>
      <c r="O145" s="207"/>
      <c r="P145" s="207"/>
      <c r="Q145" s="207"/>
      <c r="R145" s="207"/>
      <c r="S145" s="207"/>
      <c r="T145" s="207"/>
      <c r="U145" s="207"/>
      <c r="V145" s="207"/>
      <c r="W145" s="208"/>
      <c r="X145" s="208"/>
      <c r="Y145" s="208"/>
      <c r="Z145" s="208"/>
      <c r="AA145" s="208"/>
      <c r="AB145" s="208"/>
      <c r="AC145" s="208"/>
      <c r="AD145" s="208"/>
      <c r="AE145" s="208"/>
      <c r="AF145" s="208"/>
      <c r="AG145" s="208"/>
      <c r="AH145" s="208"/>
      <c r="AI145" s="100"/>
      <c r="AJ145" s="100"/>
      <c r="AK145" s="100"/>
      <c r="AL145" s="100"/>
      <c r="AM145" s="100"/>
    </row>
    <row r="146" ht="14.25" customHeight="1">
      <c r="A146" s="100"/>
      <c r="B146" s="100"/>
      <c r="C146" s="100"/>
      <c r="D146" s="100"/>
      <c r="E146" s="100"/>
      <c r="F146" s="206"/>
      <c r="G146" s="206"/>
      <c r="H146" s="207"/>
      <c r="I146" s="207"/>
      <c r="J146" s="207"/>
      <c r="K146" s="207"/>
      <c r="L146" s="207"/>
      <c r="M146" s="207"/>
      <c r="N146" s="207"/>
      <c r="O146" s="207"/>
      <c r="P146" s="207"/>
      <c r="Q146" s="207"/>
      <c r="R146" s="207"/>
      <c r="S146" s="207"/>
      <c r="T146" s="207"/>
      <c r="U146" s="207"/>
      <c r="V146" s="207"/>
      <c r="W146" s="208"/>
      <c r="X146" s="208"/>
      <c r="Y146" s="208"/>
      <c r="Z146" s="208"/>
      <c r="AA146" s="208"/>
      <c r="AB146" s="208"/>
      <c r="AC146" s="208"/>
      <c r="AD146" s="208"/>
      <c r="AE146" s="208"/>
      <c r="AF146" s="208"/>
      <c r="AG146" s="208"/>
      <c r="AH146" s="208"/>
      <c r="AI146" s="100"/>
      <c r="AJ146" s="100"/>
      <c r="AK146" s="100"/>
      <c r="AL146" s="100"/>
      <c r="AM146" s="100"/>
    </row>
    <row r="147" ht="14.25" customHeight="1">
      <c r="A147" s="100"/>
      <c r="B147" s="100"/>
      <c r="C147" s="100"/>
      <c r="D147" s="100"/>
      <c r="E147" s="100"/>
      <c r="F147" s="206"/>
      <c r="G147" s="206"/>
      <c r="H147" s="207"/>
      <c r="I147" s="207"/>
      <c r="J147" s="207"/>
      <c r="K147" s="207"/>
      <c r="L147" s="207"/>
      <c r="M147" s="207"/>
      <c r="N147" s="207"/>
      <c r="O147" s="207"/>
      <c r="P147" s="207"/>
      <c r="Q147" s="207"/>
      <c r="R147" s="207"/>
      <c r="S147" s="207"/>
      <c r="T147" s="207"/>
      <c r="U147" s="207"/>
      <c r="V147" s="207"/>
      <c r="W147" s="208"/>
      <c r="X147" s="208"/>
      <c r="Y147" s="208"/>
      <c r="Z147" s="208"/>
      <c r="AA147" s="208"/>
      <c r="AB147" s="208"/>
      <c r="AC147" s="208"/>
      <c r="AD147" s="208"/>
      <c r="AE147" s="208"/>
      <c r="AF147" s="208"/>
      <c r="AG147" s="208"/>
      <c r="AH147" s="208"/>
      <c r="AI147" s="100"/>
      <c r="AJ147" s="100"/>
      <c r="AK147" s="100"/>
      <c r="AL147" s="100"/>
      <c r="AM147" s="100"/>
    </row>
    <row r="148" ht="14.25" customHeight="1">
      <c r="A148" s="100"/>
      <c r="B148" s="100"/>
      <c r="C148" s="100"/>
      <c r="D148" s="100"/>
      <c r="E148" s="100"/>
      <c r="F148" s="206"/>
      <c r="G148" s="206"/>
      <c r="H148" s="207"/>
      <c r="I148" s="207"/>
      <c r="J148" s="207"/>
      <c r="K148" s="207"/>
      <c r="L148" s="207"/>
      <c r="M148" s="207"/>
      <c r="N148" s="207"/>
      <c r="O148" s="207"/>
      <c r="P148" s="207"/>
      <c r="Q148" s="207"/>
      <c r="R148" s="207"/>
      <c r="S148" s="207"/>
      <c r="T148" s="207"/>
      <c r="U148" s="207"/>
      <c r="V148" s="207"/>
      <c r="W148" s="208"/>
      <c r="X148" s="208"/>
      <c r="Y148" s="208"/>
      <c r="Z148" s="208"/>
      <c r="AA148" s="208"/>
      <c r="AB148" s="208"/>
      <c r="AC148" s="208"/>
      <c r="AD148" s="208"/>
      <c r="AE148" s="208"/>
      <c r="AF148" s="208"/>
      <c r="AG148" s="208"/>
      <c r="AH148" s="208"/>
      <c r="AI148" s="100"/>
      <c r="AJ148" s="100"/>
      <c r="AK148" s="100"/>
      <c r="AL148" s="100"/>
      <c r="AM148" s="100"/>
    </row>
    <row r="149" ht="14.25" customHeight="1">
      <c r="A149" s="100"/>
      <c r="B149" s="100"/>
      <c r="C149" s="100"/>
      <c r="D149" s="100"/>
      <c r="E149" s="100"/>
      <c r="F149" s="206"/>
      <c r="G149" s="206"/>
      <c r="H149" s="207"/>
      <c r="I149" s="207"/>
      <c r="J149" s="207"/>
      <c r="K149" s="207"/>
      <c r="L149" s="207"/>
      <c r="M149" s="207"/>
      <c r="N149" s="207"/>
      <c r="O149" s="207"/>
      <c r="P149" s="207"/>
      <c r="Q149" s="207"/>
      <c r="R149" s="207"/>
      <c r="S149" s="207"/>
      <c r="T149" s="207"/>
      <c r="U149" s="207"/>
      <c r="V149" s="207"/>
      <c r="W149" s="208"/>
      <c r="X149" s="208"/>
      <c r="Y149" s="208"/>
      <c r="Z149" s="208"/>
      <c r="AA149" s="208"/>
      <c r="AB149" s="208"/>
      <c r="AC149" s="208"/>
      <c r="AD149" s="208"/>
      <c r="AE149" s="208"/>
      <c r="AF149" s="208"/>
      <c r="AG149" s="208"/>
      <c r="AH149" s="208"/>
      <c r="AI149" s="100"/>
      <c r="AJ149" s="100"/>
      <c r="AK149" s="100"/>
      <c r="AL149" s="100"/>
      <c r="AM149" s="100"/>
    </row>
    <row r="150" ht="14.25" customHeight="1">
      <c r="A150" s="100"/>
      <c r="B150" s="100"/>
      <c r="C150" s="100"/>
      <c r="D150" s="100"/>
      <c r="E150" s="100"/>
      <c r="F150" s="206"/>
      <c r="G150" s="206"/>
      <c r="H150" s="207"/>
      <c r="I150" s="207"/>
      <c r="J150" s="207"/>
      <c r="K150" s="207"/>
      <c r="L150" s="207"/>
      <c r="M150" s="207"/>
      <c r="N150" s="207"/>
      <c r="O150" s="207"/>
      <c r="P150" s="207"/>
      <c r="Q150" s="207"/>
      <c r="R150" s="207"/>
      <c r="S150" s="207"/>
      <c r="T150" s="207"/>
      <c r="U150" s="207"/>
      <c r="V150" s="207"/>
      <c r="W150" s="208"/>
      <c r="X150" s="208"/>
      <c r="Y150" s="208"/>
      <c r="Z150" s="208"/>
      <c r="AA150" s="208"/>
      <c r="AB150" s="208"/>
      <c r="AC150" s="208"/>
      <c r="AD150" s="208"/>
      <c r="AE150" s="208"/>
      <c r="AF150" s="208"/>
      <c r="AG150" s="208"/>
      <c r="AH150" s="208"/>
      <c r="AI150" s="100"/>
      <c r="AJ150" s="100"/>
      <c r="AK150" s="100"/>
      <c r="AL150" s="100"/>
      <c r="AM150" s="100"/>
    </row>
    <row r="151" ht="14.25" customHeight="1">
      <c r="A151" s="100"/>
      <c r="B151" s="100"/>
      <c r="C151" s="100"/>
      <c r="D151" s="100"/>
      <c r="E151" s="100"/>
      <c r="F151" s="206"/>
      <c r="G151" s="206"/>
      <c r="H151" s="207"/>
      <c r="I151" s="207"/>
      <c r="J151" s="207"/>
      <c r="K151" s="207"/>
      <c r="L151" s="207"/>
      <c r="M151" s="207"/>
      <c r="N151" s="207"/>
      <c r="O151" s="207"/>
      <c r="P151" s="207"/>
      <c r="Q151" s="207"/>
      <c r="R151" s="207"/>
      <c r="S151" s="207"/>
      <c r="T151" s="207"/>
      <c r="U151" s="207"/>
      <c r="V151" s="207"/>
      <c r="W151" s="208"/>
      <c r="X151" s="208"/>
      <c r="Y151" s="208"/>
      <c r="Z151" s="208"/>
      <c r="AA151" s="208"/>
      <c r="AB151" s="208"/>
      <c r="AC151" s="208"/>
      <c r="AD151" s="208"/>
      <c r="AE151" s="208"/>
      <c r="AF151" s="208"/>
      <c r="AG151" s="208"/>
      <c r="AH151" s="208"/>
      <c r="AI151" s="100"/>
      <c r="AJ151" s="100"/>
      <c r="AK151" s="100"/>
      <c r="AL151" s="100"/>
      <c r="AM151" s="100"/>
    </row>
    <row r="152" ht="14.25" customHeight="1">
      <c r="A152" s="100"/>
      <c r="B152" s="100"/>
      <c r="C152" s="100"/>
      <c r="D152" s="100"/>
      <c r="E152" s="100"/>
      <c r="F152" s="206"/>
      <c r="G152" s="206"/>
      <c r="H152" s="207"/>
      <c r="I152" s="207"/>
      <c r="J152" s="207"/>
      <c r="K152" s="207"/>
      <c r="L152" s="207"/>
      <c r="M152" s="207"/>
      <c r="N152" s="207"/>
      <c r="O152" s="207"/>
      <c r="P152" s="207"/>
      <c r="Q152" s="207"/>
      <c r="R152" s="207"/>
      <c r="S152" s="207"/>
      <c r="T152" s="207"/>
      <c r="U152" s="207"/>
      <c r="V152" s="207"/>
      <c r="W152" s="208"/>
      <c r="X152" s="208"/>
      <c r="Y152" s="208"/>
      <c r="Z152" s="208"/>
      <c r="AA152" s="208"/>
      <c r="AB152" s="208"/>
      <c r="AC152" s="208"/>
      <c r="AD152" s="208"/>
      <c r="AE152" s="208"/>
      <c r="AF152" s="208"/>
      <c r="AG152" s="208"/>
      <c r="AH152" s="208"/>
      <c r="AI152" s="100"/>
      <c r="AJ152" s="100"/>
      <c r="AK152" s="100"/>
      <c r="AL152" s="100"/>
      <c r="AM152" s="100"/>
    </row>
    <row r="153" ht="14.25" customHeight="1">
      <c r="A153" s="100"/>
      <c r="B153" s="100"/>
      <c r="C153" s="100"/>
      <c r="D153" s="100"/>
      <c r="E153" s="100"/>
      <c r="F153" s="206"/>
      <c r="G153" s="206"/>
      <c r="H153" s="207"/>
      <c r="I153" s="207"/>
      <c r="J153" s="207"/>
      <c r="K153" s="207"/>
      <c r="L153" s="207"/>
      <c r="M153" s="207"/>
      <c r="N153" s="207"/>
      <c r="O153" s="207"/>
      <c r="P153" s="207"/>
      <c r="Q153" s="207"/>
      <c r="R153" s="207"/>
      <c r="S153" s="207"/>
      <c r="T153" s="207"/>
      <c r="U153" s="207"/>
      <c r="V153" s="207"/>
      <c r="W153" s="208"/>
      <c r="X153" s="208"/>
      <c r="Y153" s="208"/>
      <c r="Z153" s="208"/>
      <c r="AA153" s="208"/>
      <c r="AB153" s="208"/>
      <c r="AC153" s="208"/>
      <c r="AD153" s="208"/>
      <c r="AE153" s="208"/>
      <c r="AF153" s="208"/>
      <c r="AG153" s="208"/>
      <c r="AH153" s="208"/>
      <c r="AI153" s="100"/>
      <c r="AJ153" s="100"/>
      <c r="AK153" s="100"/>
      <c r="AL153" s="100"/>
      <c r="AM153" s="100"/>
    </row>
    <row r="154" ht="14.25" customHeight="1">
      <c r="A154" s="100"/>
      <c r="B154" s="100"/>
      <c r="C154" s="100"/>
      <c r="D154" s="100"/>
      <c r="E154" s="100"/>
      <c r="F154" s="206"/>
      <c r="G154" s="206"/>
      <c r="H154" s="207"/>
      <c r="I154" s="207"/>
      <c r="J154" s="207"/>
      <c r="K154" s="207"/>
      <c r="L154" s="207"/>
      <c r="M154" s="207"/>
      <c r="N154" s="207"/>
      <c r="O154" s="207"/>
      <c r="P154" s="207"/>
      <c r="Q154" s="207"/>
      <c r="R154" s="207"/>
      <c r="S154" s="207"/>
      <c r="T154" s="207"/>
      <c r="U154" s="207"/>
      <c r="V154" s="207"/>
      <c r="W154" s="208"/>
      <c r="X154" s="208"/>
      <c r="Y154" s="208"/>
      <c r="Z154" s="208"/>
      <c r="AA154" s="208"/>
      <c r="AB154" s="208"/>
      <c r="AC154" s="208"/>
      <c r="AD154" s="208"/>
      <c r="AE154" s="208"/>
      <c r="AF154" s="208"/>
      <c r="AG154" s="208"/>
      <c r="AH154" s="208"/>
      <c r="AI154" s="100"/>
      <c r="AJ154" s="100"/>
      <c r="AK154" s="100"/>
      <c r="AL154" s="100"/>
      <c r="AM154" s="100"/>
    </row>
    <row r="155" ht="14.25" customHeight="1">
      <c r="A155" s="100"/>
      <c r="B155" s="100"/>
      <c r="C155" s="100"/>
      <c r="D155" s="100"/>
      <c r="E155" s="100"/>
      <c r="F155" s="206"/>
      <c r="G155" s="206"/>
      <c r="H155" s="207"/>
      <c r="I155" s="207"/>
      <c r="J155" s="207"/>
      <c r="K155" s="207"/>
      <c r="L155" s="207"/>
      <c r="M155" s="207"/>
      <c r="N155" s="207"/>
      <c r="O155" s="207"/>
      <c r="P155" s="207"/>
      <c r="Q155" s="207"/>
      <c r="R155" s="207"/>
      <c r="S155" s="207"/>
      <c r="T155" s="207"/>
      <c r="U155" s="207"/>
      <c r="V155" s="207"/>
      <c r="W155" s="208"/>
      <c r="X155" s="208"/>
      <c r="Y155" s="208"/>
      <c r="Z155" s="208"/>
      <c r="AA155" s="208"/>
      <c r="AB155" s="208"/>
      <c r="AC155" s="208"/>
      <c r="AD155" s="208"/>
      <c r="AE155" s="208"/>
      <c r="AF155" s="208"/>
      <c r="AG155" s="208"/>
      <c r="AH155" s="208"/>
      <c r="AI155" s="100"/>
      <c r="AJ155" s="100"/>
      <c r="AK155" s="100"/>
      <c r="AL155" s="100"/>
      <c r="AM155" s="100"/>
    </row>
    <row r="156" ht="14.25" customHeight="1">
      <c r="A156" s="100"/>
      <c r="B156" s="100"/>
      <c r="C156" s="100"/>
      <c r="D156" s="100"/>
      <c r="E156" s="100"/>
      <c r="F156" s="206"/>
      <c r="G156" s="206"/>
      <c r="H156" s="207"/>
      <c r="I156" s="207"/>
      <c r="J156" s="207"/>
      <c r="K156" s="207"/>
      <c r="L156" s="207"/>
      <c r="M156" s="207"/>
      <c r="N156" s="207"/>
      <c r="O156" s="207"/>
      <c r="P156" s="207"/>
      <c r="Q156" s="207"/>
      <c r="R156" s="207"/>
      <c r="S156" s="207"/>
      <c r="T156" s="207"/>
      <c r="U156" s="207"/>
      <c r="V156" s="207"/>
      <c r="W156" s="208"/>
      <c r="X156" s="208"/>
      <c r="Y156" s="208"/>
      <c r="Z156" s="208"/>
      <c r="AA156" s="208"/>
      <c r="AB156" s="208"/>
      <c r="AC156" s="208"/>
      <c r="AD156" s="208"/>
      <c r="AE156" s="208"/>
      <c r="AF156" s="208"/>
      <c r="AG156" s="208"/>
      <c r="AH156" s="208"/>
      <c r="AI156" s="100"/>
      <c r="AJ156" s="100"/>
      <c r="AK156" s="100"/>
      <c r="AL156" s="100"/>
      <c r="AM156" s="100"/>
    </row>
    <row r="157" ht="14.25" customHeight="1">
      <c r="A157" s="100"/>
      <c r="B157" s="100"/>
      <c r="C157" s="100"/>
      <c r="D157" s="100"/>
      <c r="E157" s="100"/>
      <c r="F157" s="206"/>
      <c r="G157" s="206"/>
      <c r="H157" s="207"/>
      <c r="I157" s="207"/>
      <c r="J157" s="207"/>
      <c r="K157" s="207"/>
      <c r="L157" s="207"/>
      <c r="M157" s="207"/>
      <c r="N157" s="207"/>
      <c r="O157" s="207"/>
      <c r="P157" s="207"/>
      <c r="Q157" s="207"/>
      <c r="R157" s="207"/>
      <c r="S157" s="207"/>
      <c r="T157" s="207"/>
      <c r="U157" s="207"/>
      <c r="V157" s="207"/>
      <c r="W157" s="208"/>
      <c r="X157" s="208"/>
      <c r="Y157" s="208"/>
      <c r="Z157" s="208"/>
      <c r="AA157" s="208"/>
      <c r="AB157" s="208"/>
      <c r="AC157" s="208"/>
      <c r="AD157" s="208"/>
      <c r="AE157" s="208"/>
      <c r="AF157" s="208"/>
      <c r="AG157" s="208"/>
      <c r="AH157" s="208"/>
      <c r="AI157" s="100"/>
      <c r="AJ157" s="100"/>
      <c r="AK157" s="100"/>
      <c r="AL157" s="100"/>
      <c r="AM157" s="100"/>
    </row>
    <row r="158" ht="14.25" customHeight="1">
      <c r="A158" s="100"/>
      <c r="B158" s="100"/>
      <c r="C158" s="100"/>
      <c r="D158" s="100"/>
      <c r="E158" s="100"/>
      <c r="F158" s="206"/>
      <c r="G158" s="206"/>
      <c r="H158" s="207"/>
      <c r="I158" s="207"/>
      <c r="J158" s="207"/>
      <c r="K158" s="207"/>
      <c r="L158" s="207"/>
      <c r="M158" s="207"/>
      <c r="N158" s="207"/>
      <c r="O158" s="207"/>
      <c r="P158" s="207"/>
      <c r="Q158" s="207"/>
      <c r="R158" s="207"/>
      <c r="S158" s="207"/>
      <c r="T158" s="207"/>
      <c r="U158" s="207"/>
      <c r="V158" s="207"/>
      <c r="W158" s="208"/>
      <c r="X158" s="208"/>
      <c r="Y158" s="208"/>
      <c r="Z158" s="208"/>
      <c r="AA158" s="208"/>
      <c r="AB158" s="208"/>
      <c r="AC158" s="208"/>
      <c r="AD158" s="208"/>
      <c r="AE158" s="208"/>
      <c r="AF158" s="208"/>
      <c r="AG158" s="208"/>
      <c r="AH158" s="208"/>
      <c r="AI158" s="100"/>
      <c r="AJ158" s="100"/>
      <c r="AK158" s="100"/>
      <c r="AL158" s="100"/>
      <c r="AM158" s="100"/>
    </row>
    <row r="159" ht="14.25" customHeight="1">
      <c r="A159" s="100"/>
      <c r="B159" s="100"/>
      <c r="C159" s="100"/>
      <c r="D159" s="100"/>
      <c r="E159" s="100"/>
      <c r="F159" s="206"/>
      <c r="G159" s="206"/>
      <c r="H159" s="207"/>
      <c r="I159" s="207"/>
      <c r="J159" s="207"/>
      <c r="K159" s="207"/>
      <c r="L159" s="207"/>
      <c r="M159" s="207"/>
      <c r="N159" s="207"/>
      <c r="O159" s="207"/>
      <c r="P159" s="207"/>
      <c r="Q159" s="207"/>
      <c r="R159" s="207"/>
      <c r="S159" s="207"/>
      <c r="T159" s="207"/>
      <c r="U159" s="207"/>
      <c r="V159" s="207"/>
      <c r="W159" s="208"/>
      <c r="X159" s="208"/>
      <c r="Y159" s="208"/>
      <c r="Z159" s="208"/>
      <c r="AA159" s="208"/>
      <c r="AB159" s="208"/>
      <c r="AC159" s="208"/>
      <c r="AD159" s="208"/>
      <c r="AE159" s="208"/>
      <c r="AF159" s="208"/>
      <c r="AG159" s="208"/>
      <c r="AH159" s="208"/>
      <c r="AI159" s="100"/>
      <c r="AJ159" s="100"/>
      <c r="AK159" s="100"/>
      <c r="AL159" s="100"/>
      <c r="AM159" s="100"/>
    </row>
    <row r="160" ht="14.25" customHeight="1">
      <c r="A160" s="100"/>
      <c r="B160" s="100"/>
      <c r="C160" s="100"/>
      <c r="D160" s="100"/>
      <c r="E160" s="100"/>
      <c r="F160" s="206"/>
      <c r="G160" s="206"/>
      <c r="H160" s="207"/>
      <c r="I160" s="207"/>
      <c r="J160" s="207"/>
      <c r="K160" s="207"/>
      <c r="L160" s="207"/>
      <c r="M160" s="207"/>
      <c r="N160" s="207"/>
      <c r="O160" s="207"/>
      <c r="P160" s="207"/>
      <c r="Q160" s="207"/>
      <c r="R160" s="207"/>
      <c r="S160" s="207"/>
      <c r="T160" s="207"/>
      <c r="U160" s="207"/>
      <c r="V160" s="207"/>
      <c r="W160" s="208"/>
      <c r="X160" s="208"/>
      <c r="Y160" s="208"/>
      <c r="Z160" s="208"/>
      <c r="AA160" s="208"/>
      <c r="AB160" s="208"/>
      <c r="AC160" s="208"/>
      <c r="AD160" s="208"/>
      <c r="AE160" s="208"/>
      <c r="AF160" s="208"/>
      <c r="AG160" s="208"/>
      <c r="AH160" s="208"/>
      <c r="AI160" s="100"/>
      <c r="AJ160" s="100"/>
      <c r="AK160" s="100"/>
      <c r="AL160" s="100"/>
      <c r="AM160" s="100"/>
    </row>
    <row r="161" ht="14.25" customHeight="1">
      <c r="A161" s="100"/>
      <c r="B161" s="100"/>
      <c r="C161" s="100"/>
      <c r="D161" s="100"/>
      <c r="E161" s="100"/>
      <c r="F161" s="206"/>
      <c r="G161" s="206"/>
      <c r="H161" s="207"/>
      <c r="I161" s="207"/>
      <c r="J161" s="207"/>
      <c r="K161" s="207"/>
      <c r="L161" s="207"/>
      <c r="M161" s="207"/>
      <c r="N161" s="207"/>
      <c r="O161" s="207"/>
      <c r="P161" s="207"/>
      <c r="Q161" s="207"/>
      <c r="R161" s="207"/>
      <c r="S161" s="207"/>
      <c r="T161" s="207"/>
      <c r="U161" s="207"/>
      <c r="V161" s="207"/>
      <c r="W161" s="208"/>
      <c r="X161" s="208"/>
      <c r="Y161" s="208"/>
      <c r="Z161" s="208"/>
      <c r="AA161" s="208"/>
      <c r="AB161" s="208"/>
      <c r="AC161" s="208"/>
      <c r="AD161" s="208"/>
      <c r="AE161" s="208"/>
      <c r="AF161" s="208"/>
      <c r="AG161" s="208"/>
      <c r="AH161" s="208"/>
      <c r="AI161" s="100"/>
      <c r="AJ161" s="100"/>
      <c r="AK161" s="100"/>
      <c r="AL161" s="100"/>
      <c r="AM161" s="100"/>
    </row>
    <row r="162" ht="14.25" customHeight="1">
      <c r="A162" s="100"/>
      <c r="B162" s="100"/>
      <c r="C162" s="100"/>
      <c r="D162" s="100"/>
      <c r="E162" s="100"/>
      <c r="F162" s="206"/>
      <c r="G162" s="206"/>
      <c r="H162" s="207"/>
      <c r="I162" s="207"/>
      <c r="J162" s="207"/>
      <c r="K162" s="207"/>
      <c r="L162" s="207"/>
      <c r="M162" s="207"/>
      <c r="N162" s="207"/>
      <c r="O162" s="207"/>
      <c r="P162" s="207"/>
      <c r="Q162" s="207"/>
      <c r="R162" s="207"/>
      <c r="S162" s="207"/>
      <c r="T162" s="207"/>
      <c r="U162" s="207"/>
      <c r="V162" s="207"/>
      <c r="W162" s="208"/>
      <c r="X162" s="208"/>
      <c r="Y162" s="208"/>
      <c r="Z162" s="208"/>
      <c r="AA162" s="208"/>
      <c r="AB162" s="208"/>
      <c r="AC162" s="208"/>
      <c r="AD162" s="208"/>
      <c r="AE162" s="208"/>
      <c r="AF162" s="208"/>
      <c r="AG162" s="208"/>
      <c r="AH162" s="208"/>
      <c r="AI162" s="100"/>
      <c r="AJ162" s="100"/>
      <c r="AK162" s="100"/>
      <c r="AL162" s="100"/>
      <c r="AM162" s="100"/>
    </row>
    <row r="163" ht="14.25" customHeight="1">
      <c r="A163" s="100"/>
      <c r="B163" s="100"/>
      <c r="C163" s="100"/>
      <c r="D163" s="100"/>
      <c r="E163" s="100"/>
      <c r="F163" s="206"/>
      <c r="G163" s="206"/>
      <c r="H163" s="207"/>
      <c r="I163" s="207"/>
      <c r="J163" s="207"/>
      <c r="K163" s="207"/>
      <c r="L163" s="207"/>
      <c r="M163" s="207"/>
      <c r="N163" s="207"/>
      <c r="O163" s="207"/>
      <c r="P163" s="207"/>
      <c r="Q163" s="207"/>
      <c r="R163" s="207"/>
      <c r="S163" s="207"/>
      <c r="T163" s="207"/>
      <c r="U163" s="207"/>
      <c r="V163" s="207"/>
      <c r="W163" s="208"/>
      <c r="X163" s="208"/>
      <c r="Y163" s="208"/>
      <c r="Z163" s="208"/>
      <c r="AA163" s="208"/>
      <c r="AB163" s="208"/>
      <c r="AC163" s="208"/>
      <c r="AD163" s="208"/>
      <c r="AE163" s="208"/>
      <c r="AF163" s="208"/>
      <c r="AG163" s="208"/>
      <c r="AH163" s="208"/>
      <c r="AI163" s="100"/>
      <c r="AJ163" s="100"/>
      <c r="AK163" s="100"/>
      <c r="AL163" s="100"/>
      <c r="AM163" s="100"/>
    </row>
    <row r="164" ht="14.25" customHeight="1">
      <c r="A164" s="100"/>
      <c r="B164" s="100"/>
      <c r="C164" s="100"/>
      <c r="D164" s="100"/>
      <c r="E164" s="100"/>
      <c r="F164" s="206"/>
      <c r="G164" s="206"/>
      <c r="H164" s="207"/>
      <c r="I164" s="207"/>
      <c r="J164" s="207"/>
      <c r="K164" s="207"/>
      <c r="L164" s="207"/>
      <c r="M164" s="207"/>
      <c r="N164" s="207"/>
      <c r="O164" s="207"/>
      <c r="P164" s="207"/>
      <c r="Q164" s="207"/>
      <c r="R164" s="207"/>
      <c r="S164" s="207"/>
      <c r="T164" s="207"/>
      <c r="U164" s="207"/>
      <c r="V164" s="207"/>
      <c r="W164" s="208"/>
      <c r="X164" s="208"/>
      <c r="Y164" s="208"/>
      <c r="Z164" s="208"/>
      <c r="AA164" s="208"/>
      <c r="AB164" s="208"/>
      <c r="AC164" s="208"/>
      <c r="AD164" s="208"/>
      <c r="AE164" s="208"/>
      <c r="AF164" s="208"/>
      <c r="AG164" s="208"/>
      <c r="AH164" s="208"/>
      <c r="AI164" s="100"/>
      <c r="AJ164" s="100"/>
      <c r="AK164" s="100"/>
      <c r="AL164" s="100"/>
      <c r="AM164" s="100"/>
    </row>
    <row r="165" ht="14.25" customHeight="1">
      <c r="A165" s="100"/>
      <c r="B165" s="100"/>
      <c r="C165" s="100"/>
      <c r="D165" s="100"/>
      <c r="E165" s="100"/>
      <c r="F165" s="206"/>
      <c r="G165" s="206"/>
      <c r="H165" s="207"/>
      <c r="I165" s="207"/>
      <c r="J165" s="207"/>
      <c r="K165" s="207"/>
      <c r="L165" s="207"/>
      <c r="M165" s="207"/>
      <c r="N165" s="207"/>
      <c r="O165" s="207"/>
      <c r="P165" s="207"/>
      <c r="Q165" s="207"/>
      <c r="R165" s="207"/>
      <c r="S165" s="207"/>
      <c r="T165" s="207"/>
      <c r="U165" s="207"/>
      <c r="V165" s="207"/>
      <c r="W165" s="208"/>
      <c r="X165" s="208"/>
      <c r="Y165" s="208"/>
      <c r="Z165" s="208"/>
      <c r="AA165" s="208"/>
      <c r="AB165" s="208"/>
      <c r="AC165" s="208"/>
      <c r="AD165" s="208"/>
      <c r="AE165" s="208"/>
      <c r="AF165" s="208"/>
      <c r="AG165" s="208"/>
      <c r="AH165" s="208"/>
      <c r="AI165" s="100"/>
      <c r="AJ165" s="100"/>
      <c r="AK165" s="100"/>
      <c r="AL165" s="100"/>
      <c r="AM165" s="100"/>
    </row>
    <row r="166" ht="14.25" customHeight="1">
      <c r="A166" s="100"/>
      <c r="B166" s="100"/>
      <c r="C166" s="100"/>
      <c r="D166" s="100"/>
      <c r="E166" s="100"/>
      <c r="F166" s="206"/>
      <c r="G166" s="206"/>
      <c r="H166" s="207"/>
      <c r="I166" s="207"/>
      <c r="J166" s="207"/>
      <c r="K166" s="207"/>
      <c r="L166" s="207"/>
      <c r="M166" s="207"/>
      <c r="N166" s="207"/>
      <c r="O166" s="207"/>
      <c r="P166" s="207"/>
      <c r="Q166" s="207"/>
      <c r="R166" s="207"/>
      <c r="S166" s="207"/>
      <c r="T166" s="207"/>
      <c r="U166" s="207"/>
      <c r="V166" s="207"/>
      <c r="W166" s="208"/>
      <c r="X166" s="208"/>
      <c r="Y166" s="208"/>
      <c r="Z166" s="208"/>
      <c r="AA166" s="208"/>
      <c r="AB166" s="208"/>
      <c r="AC166" s="208"/>
      <c r="AD166" s="208"/>
      <c r="AE166" s="208"/>
      <c r="AF166" s="208"/>
      <c r="AG166" s="208"/>
      <c r="AH166" s="208"/>
      <c r="AI166" s="100"/>
      <c r="AJ166" s="100"/>
      <c r="AK166" s="100"/>
      <c r="AL166" s="100"/>
      <c r="AM166" s="100"/>
    </row>
    <row r="167" ht="14.25" customHeight="1">
      <c r="A167" s="100"/>
      <c r="B167" s="100"/>
      <c r="C167" s="100"/>
      <c r="D167" s="100"/>
      <c r="E167" s="100"/>
      <c r="F167" s="206"/>
      <c r="G167" s="206"/>
      <c r="H167" s="207"/>
      <c r="I167" s="207"/>
      <c r="J167" s="207"/>
      <c r="K167" s="207"/>
      <c r="L167" s="207"/>
      <c r="M167" s="207"/>
      <c r="N167" s="207"/>
      <c r="O167" s="207"/>
      <c r="P167" s="207"/>
      <c r="Q167" s="207"/>
      <c r="R167" s="207"/>
      <c r="S167" s="207"/>
      <c r="T167" s="207"/>
      <c r="U167" s="207"/>
      <c r="V167" s="207"/>
      <c r="W167" s="208"/>
      <c r="X167" s="208"/>
      <c r="Y167" s="208"/>
      <c r="Z167" s="208"/>
      <c r="AA167" s="208"/>
      <c r="AB167" s="208"/>
      <c r="AC167" s="208"/>
      <c r="AD167" s="208"/>
      <c r="AE167" s="208"/>
      <c r="AF167" s="208"/>
      <c r="AG167" s="208"/>
      <c r="AH167" s="208"/>
      <c r="AI167" s="100"/>
      <c r="AJ167" s="100"/>
      <c r="AK167" s="100"/>
      <c r="AL167" s="100"/>
      <c r="AM167" s="100"/>
    </row>
    <row r="168" ht="14.25" customHeight="1">
      <c r="A168" s="100"/>
      <c r="B168" s="100"/>
      <c r="C168" s="100"/>
      <c r="D168" s="100"/>
      <c r="E168" s="100"/>
      <c r="F168" s="206"/>
      <c r="G168" s="206"/>
      <c r="H168" s="207"/>
      <c r="I168" s="207"/>
      <c r="J168" s="207"/>
      <c r="K168" s="207"/>
      <c r="L168" s="207"/>
      <c r="M168" s="207"/>
      <c r="N168" s="207"/>
      <c r="O168" s="207"/>
      <c r="P168" s="207"/>
      <c r="Q168" s="207"/>
      <c r="R168" s="207"/>
      <c r="S168" s="207"/>
      <c r="T168" s="207"/>
      <c r="U168" s="207"/>
      <c r="V168" s="207"/>
      <c r="W168" s="208"/>
      <c r="X168" s="208"/>
      <c r="Y168" s="208"/>
      <c r="Z168" s="208"/>
      <c r="AA168" s="208"/>
      <c r="AB168" s="208"/>
      <c r="AC168" s="208"/>
      <c r="AD168" s="208"/>
      <c r="AE168" s="208"/>
      <c r="AF168" s="208"/>
      <c r="AG168" s="208"/>
      <c r="AH168" s="208"/>
      <c r="AI168" s="100"/>
      <c r="AJ168" s="100"/>
      <c r="AK168" s="100"/>
      <c r="AL168" s="100"/>
      <c r="AM168" s="100"/>
    </row>
    <row r="169" ht="14.25" customHeight="1">
      <c r="A169" s="100"/>
      <c r="B169" s="100"/>
      <c r="C169" s="100"/>
      <c r="D169" s="100"/>
      <c r="E169" s="100"/>
      <c r="F169" s="206"/>
      <c r="G169" s="206"/>
      <c r="H169" s="207"/>
      <c r="I169" s="207"/>
      <c r="J169" s="207"/>
      <c r="K169" s="207"/>
      <c r="L169" s="207"/>
      <c r="M169" s="207"/>
      <c r="N169" s="207"/>
      <c r="O169" s="207"/>
      <c r="P169" s="207"/>
      <c r="Q169" s="207"/>
      <c r="R169" s="207"/>
      <c r="S169" s="207"/>
      <c r="T169" s="207"/>
      <c r="U169" s="207"/>
      <c r="V169" s="207"/>
      <c r="W169" s="208"/>
      <c r="X169" s="208"/>
      <c r="Y169" s="208"/>
      <c r="Z169" s="208"/>
      <c r="AA169" s="208"/>
      <c r="AB169" s="208"/>
      <c r="AC169" s="208"/>
      <c r="AD169" s="208"/>
      <c r="AE169" s="208"/>
      <c r="AF169" s="208"/>
      <c r="AG169" s="208"/>
      <c r="AH169" s="208"/>
      <c r="AI169" s="100"/>
      <c r="AJ169" s="100"/>
      <c r="AK169" s="100"/>
      <c r="AL169" s="100"/>
      <c r="AM169" s="100"/>
    </row>
    <row r="170" ht="14.25" customHeight="1">
      <c r="A170" s="100"/>
      <c r="B170" s="100"/>
      <c r="C170" s="100"/>
      <c r="D170" s="100"/>
      <c r="E170" s="100"/>
      <c r="F170" s="206"/>
      <c r="G170" s="206"/>
      <c r="H170" s="207"/>
      <c r="I170" s="207"/>
      <c r="J170" s="207"/>
      <c r="K170" s="207"/>
      <c r="L170" s="207"/>
      <c r="M170" s="207"/>
      <c r="N170" s="207"/>
      <c r="O170" s="207"/>
      <c r="P170" s="207"/>
      <c r="Q170" s="207"/>
      <c r="R170" s="207"/>
      <c r="S170" s="207"/>
      <c r="T170" s="207"/>
      <c r="U170" s="207"/>
      <c r="V170" s="207"/>
      <c r="W170" s="208"/>
      <c r="X170" s="208"/>
      <c r="Y170" s="208"/>
      <c r="Z170" s="208"/>
      <c r="AA170" s="208"/>
      <c r="AB170" s="208"/>
      <c r="AC170" s="208"/>
      <c r="AD170" s="208"/>
      <c r="AE170" s="208"/>
      <c r="AF170" s="208"/>
      <c r="AG170" s="208"/>
      <c r="AH170" s="208"/>
      <c r="AI170" s="100"/>
      <c r="AJ170" s="100"/>
      <c r="AK170" s="100"/>
      <c r="AL170" s="100"/>
      <c r="AM170" s="100"/>
    </row>
    <row r="171" ht="14.25" customHeight="1">
      <c r="A171" s="100"/>
      <c r="B171" s="100"/>
      <c r="C171" s="100"/>
      <c r="D171" s="100"/>
      <c r="E171" s="100"/>
      <c r="F171" s="206"/>
      <c r="G171" s="206"/>
      <c r="H171" s="207"/>
      <c r="I171" s="207"/>
      <c r="J171" s="207"/>
      <c r="K171" s="207"/>
      <c r="L171" s="207"/>
      <c r="M171" s="207"/>
      <c r="N171" s="207"/>
      <c r="O171" s="207"/>
      <c r="P171" s="207"/>
      <c r="Q171" s="207"/>
      <c r="R171" s="207"/>
      <c r="S171" s="207"/>
      <c r="T171" s="207"/>
      <c r="U171" s="207"/>
      <c r="V171" s="207"/>
      <c r="W171" s="208"/>
      <c r="X171" s="208"/>
      <c r="Y171" s="208"/>
      <c r="Z171" s="208"/>
      <c r="AA171" s="208"/>
      <c r="AB171" s="208"/>
      <c r="AC171" s="208"/>
      <c r="AD171" s="208"/>
      <c r="AE171" s="208"/>
      <c r="AF171" s="208"/>
      <c r="AG171" s="208"/>
      <c r="AH171" s="208"/>
      <c r="AI171" s="100"/>
      <c r="AJ171" s="100"/>
      <c r="AK171" s="100"/>
      <c r="AL171" s="100"/>
      <c r="AM171" s="100"/>
    </row>
    <row r="172" ht="14.25" customHeight="1">
      <c r="A172" s="100"/>
      <c r="B172" s="100"/>
      <c r="C172" s="100"/>
      <c r="D172" s="100"/>
      <c r="E172" s="100"/>
      <c r="F172" s="206"/>
      <c r="G172" s="206"/>
      <c r="H172" s="207"/>
      <c r="I172" s="207"/>
      <c r="J172" s="207"/>
      <c r="K172" s="207"/>
      <c r="L172" s="207"/>
      <c r="M172" s="207"/>
      <c r="N172" s="207"/>
      <c r="O172" s="207"/>
      <c r="P172" s="207"/>
      <c r="Q172" s="207"/>
      <c r="R172" s="207"/>
      <c r="S172" s="207"/>
      <c r="T172" s="207"/>
      <c r="U172" s="207"/>
      <c r="V172" s="207"/>
      <c r="W172" s="208"/>
      <c r="X172" s="208"/>
      <c r="Y172" s="208"/>
      <c r="Z172" s="208"/>
      <c r="AA172" s="208"/>
      <c r="AB172" s="208"/>
      <c r="AC172" s="208"/>
      <c r="AD172" s="208"/>
      <c r="AE172" s="208"/>
      <c r="AF172" s="208"/>
      <c r="AG172" s="208"/>
      <c r="AH172" s="208"/>
      <c r="AI172" s="100"/>
      <c r="AJ172" s="100"/>
      <c r="AK172" s="100"/>
      <c r="AL172" s="100"/>
      <c r="AM172" s="100"/>
    </row>
    <row r="173" ht="14.25" customHeight="1">
      <c r="A173" s="100"/>
      <c r="B173" s="100"/>
      <c r="C173" s="100"/>
      <c r="D173" s="100"/>
      <c r="E173" s="100"/>
      <c r="F173" s="206"/>
      <c r="G173" s="206"/>
      <c r="H173" s="207"/>
      <c r="I173" s="207"/>
      <c r="J173" s="207"/>
      <c r="K173" s="207"/>
      <c r="L173" s="207"/>
      <c r="M173" s="207"/>
      <c r="N173" s="207"/>
      <c r="O173" s="207"/>
      <c r="P173" s="207"/>
      <c r="Q173" s="207"/>
      <c r="R173" s="207"/>
      <c r="S173" s="207"/>
      <c r="T173" s="207"/>
      <c r="U173" s="207"/>
      <c r="V173" s="207"/>
      <c r="W173" s="208"/>
      <c r="X173" s="208"/>
      <c r="Y173" s="208"/>
      <c r="Z173" s="208"/>
      <c r="AA173" s="208"/>
      <c r="AB173" s="208"/>
      <c r="AC173" s="208"/>
      <c r="AD173" s="208"/>
      <c r="AE173" s="208"/>
      <c r="AF173" s="208"/>
      <c r="AG173" s="208"/>
      <c r="AH173" s="208"/>
      <c r="AI173" s="100"/>
      <c r="AJ173" s="100"/>
      <c r="AK173" s="100"/>
      <c r="AL173" s="100"/>
      <c r="AM173" s="100"/>
    </row>
    <row r="174" ht="14.25" customHeight="1">
      <c r="A174" s="100"/>
      <c r="B174" s="100"/>
      <c r="C174" s="100"/>
      <c r="D174" s="100"/>
      <c r="E174" s="100"/>
      <c r="F174" s="206"/>
      <c r="G174" s="206"/>
      <c r="H174" s="207"/>
      <c r="I174" s="207"/>
      <c r="J174" s="207"/>
      <c r="K174" s="207"/>
      <c r="L174" s="207"/>
      <c r="M174" s="207"/>
      <c r="N174" s="207"/>
      <c r="O174" s="207"/>
      <c r="P174" s="207"/>
      <c r="Q174" s="207"/>
      <c r="R174" s="207"/>
      <c r="S174" s="207"/>
      <c r="T174" s="207"/>
      <c r="U174" s="207"/>
      <c r="V174" s="207"/>
      <c r="W174" s="208"/>
      <c r="X174" s="208"/>
      <c r="Y174" s="208"/>
      <c r="Z174" s="208"/>
      <c r="AA174" s="208"/>
      <c r="AB174" s="208"/>
      <c r="AC174" s="208"/>
      <c r="AD174" s="208"/>
      <c r="AE174" s="208"/>
      <c r="AF174" s="208"/>
      <c r="AG174" s="208"/>
      <c r="AH174" s="208"/>
      <c r="AI174" s="100"/>
      <c r="AJ174" s="100"/>
      <c r="AK174" s="100"/>
      <c r="AL174" s="100"/>
      <c r="AM174" s="100"/>
    </row>
    <row r="175" ht="14.25" customHeight="1">
      <c r="A175" s="100"/>
      <c r="B175" s="100"/>
      <c r="C175" s="100"/>
      <c r="D175" s="100"/>
      <c r="E175" s="100"/>
      <c r="F175" s="206"/>
      <c r="G175" s="206"/>
      <c r="H175" s="207"/>
      <c r="I175" s="207"/>
      <c r="J175" s="207"/>
      <c r="K175" s="207"/>
      <c r="L175" s="207"/>
      <c r="M175" s="207"/>
      <c r="N175" s="207"/>
      <c r="O175" s="207"/>
      <c r="P175" s="207"/>
      <c r="Q175" s="207"/>
      <c r="R175" s="207"/>
      <c r="S175" s="207"/>
      <c r="T175" s="207"/>
      <c r="U175" s="207"/>
      <c r="V175" s="207"/>
      <c r="W175" s="208"/>
      <c r="X175" s="208"/>
      <c r="Y175" s="208"/>
      <c r="Z175" s="208"/>
      <c r="AA175" s="208"/>
      <c r="AB175" s="208"/>
      <c r="AC175" s="208"/>
      <c r="AD175" s="208"/>
      <c r="AE175" s="208"/>
      <c r="AF175" s="208"/>
      <c r="AG175" s="208"/>
      <c r="AH175" s="208"/>
      <c r="AI175" s="100"/>
      <c r="AJ175" s="100"/>
      <c r="AK175" s="100"/>
      <c r="AL175" s="100"/>
      <c r="AM175" s="100"/>
    </row>
    <row r="176" ht="14.25" customHeight="1">
      <c r="A176" s="100"/>
      <c r="B176" s="100"/>
      <c r="C176" s="100"/>
      <c r="D176" s="100"/>
      <c r="E176" s="100"/>
      <c r="F176" s="206"/>
      <c r="G176" s="206"/>
      <c r="H176" s="207"/>
      <c r="I176" s="207"/>
      <c r="J176" s="207"/>
      <c r="K176" s="207"/>
      <c r="L176" s="207"/>
      <c r="M176" s="207"/>
      <c r="N176" s="207"/>
      <c r="O176" s="207"/>
      <c r="P176" s="207"/>
      <c r="Q176" s="207"/>
      <c r="R176" s="207"/>
      <c r="S176" s="207"/>
      <c r="T176" s="207"/>
      <c r="U176" s="207"/>
      <c r="V176" s="207"/>
      <c r="W176" s="208"/>
      <c r="X176" s="208"/>
      <c r="Y176" s="208"/>
      <c r="Z176" s="208"/>
      <c r="AA176" s="208"/>
      <c r="AB176" s="208"/>
      <c r="AC176" s="208"/>
      <c r="AD176" s="208"/>
      <c r="AE176" s="208"/>
      <c r="AF176" s="208"/>
      <c r="AG176" s="208"/>
      <c r="AH176" s="208"/>
      <c r="AI176" s="100"/>
      <c r="AJ176" s="100"/>
      <c r="AK176" s="100"/>
      <c r="AL176" s="100"/>
      <c r="AM176" s="100"/>
    </row>
    <row r="177" ht="14.25" customHeight="1">
      <c r="A177" s="100"/>
      <c r="B177" s="100"/>
      <c r="C177" s="100"/>
      <c r="D177" s="100"/>
      <c r="E177" s="100"/>
      <c r="F177" s="206"/>
      <c r="G177" s="206"/>
      <c r="H177" s="207"/>
      <c r="I177" s="207"/>
      <c r="J177" s="207"/>
      <c r="K177" s="207"/>
      <c r="L177" s="207"/>
      <c r="M177" s="207"/>
      <c r="N177" s="207"/>
      <c r="O177" s="207"/>
      <c r="P177" s="207"/>
      <c r="Q177" s="207"/>
      <c r="R177" s="207"/>
      <c r="S177" s="207"/>
      <c r="T177" s="207"/>
      <c r="U177" s="207"/>
      <c r="V177" s="207"/>
      <c r="W177" s="208"/>
      <c r="X177" s="208"/>
      <c r="Y177" s="208"/>
      <c r="Z177" s="208"/>
      <c r="AA177" s="208"/>
      <c r="AB177" s="208"/>
      <c r="AC177" s="208"/>
      <c r="AD177" s="208"/>
      <c r="AE177" s="208"/>
      <c r="AF177" s="208"/>
      <c r="AG177" s="208"/>
      <c r="AH177" s="208"/>
      <c r="AI177" s="100"/>
      <c r="AJ177" s="100"/>
      <c r="AK177" s="100"/>
      <c r="AL177" s="100"/>
      <c r="AM177" s="100"/>
    </row>
    <row r="178" ht="14.25" customHeight="1">
      <c r="A178" s="100"/>
      <c r="B178" s="100"/>
      <c r="C178" s="100"/>
      <c r="D178" s="100"/>
      <c r="E178" s="100"/>
      <c r="F178" s="206"/>
      <c r="G178" s="206"/>
      <c r="H178" s="207"/>
      <c r="I178" s="207"/>
      <c r="J178" s="207"/>
      <c r="K178" s="207"/>
      <c r="L178" s="207"/>
      <c r="M178" s="207"/>
      <c r="N178" s="207"/>
      <c r="O178" s="207"/>
      <c r="P178" s="207"/>
      <c r="Q178" s="207"/>
      <c r="R178" s="207"/>
      <c r="S178" s="207"/>
      <c r="T178" s="207"/>
      <c r="U178" s="207"/>
      <c r="V178" s="207"/>
      <c r="W178" s="208"/>
      <c r="X178" s="208"/>
      <c r="Y178" s="208"/>
      <c r="Z178" s="208"/>
      <c r="AA178" s="208"/>
      <c r="AB178" s="208"/>
      <c r="AC178" s="208"/>
      <c r="AD178" s="208"/>
      <c r="AE178" s="208"/>
      <c r="AF178" s="208"/>
      <c r="AG178" s="208"/>
      <c r="AH178" s="208"/>
      <c r="AI178" s="100"/>
      <c r="AJ178" s="100"/>
      <c r="AK178" s="100"/>
      <c r="AL178" s="100"/>
      <c r="AM178" s="100"/>
    </row>
    <row r="179" ht="14.25" customHeight="1">
      <c r="A179" s="100"/>
      <c r="B179" s="100"/>
      <c r="C179" s="100"/>
      <c r="D179" s="100"/>
      <c r="E179" s="100"/>
      <c r="F179" s="206"/>
      <c r="G179" s="206"/>
      <c r="H179" s="207"/>
      <c r="I179" s="207"/>
      <c r="J179" s="207"/>
      <c r="K179" s="207"/>
      <c r="L179" s="207"/>
      <c r="M179" s="207"/>
      <c r="N179" s="207"/>
      <c r="O179" s="207"/>
      <c r="P179" s="207"/>
      <c r="Q179" s="207"/>
      <c r="R179" s="207"/>
      <c r="S179" s="207"/>
      <c r="T179" s="207"/>
      <c r="U179" s="207"/>
      <c r="V179" s="207"/>
      <c r="W179" s="208"/>
      <c r="X179" s="208"/>
      <c r="Y179" s="208"/>
      <c r="Z179" s="208"/>
      <c r="AA179" s="208"/>
      <c r="AB179" s="208"/>
      <c r="AC179" s="208"/>
      <c r="AD179" s="208"/>
      <c r="AE179" s="208"/>
      <c r="AF179" s="208"/>
      <c r="AG179" s="208"/>
      <c r="AH179" s="208"/>
      <c r="AI179" s="100"/>
      <c r="AJ179" s="100"/>
      <c r="AK179" s="100"/>
      <c r="AL179" s="100"/>
      <c r="AM179" s="100"/>
    </row>
    <row r="180" ht="14.25" customHeight="1">
      <c r="A180" s="100"/>
      <c r="B180" s="100"/>
      <c r="C180" s="100"/>
      <c r="D180" s="100"/>
      <c r="E180" s="100"/>
      <c r="F180" s="206"/>
      <c r="G180" s="206"/>
      <c r="H180" s="207"/>
      <c r="I180" s="207"/>
      <c r="J180" s="207"/>
      <c r="K180" s="207"/>
      <c r="L180" s="207"/>
      <c r="M180" s="207"/>
      <c r="N180" s="207"/>
      <c r="O180" s="207"/>
      <c r="P180" s="207"/>
      <c r="Q180" s="207"/>
      <c r="R180" s="207"/>
      <c r="S180" s="207"/>
      <c r="T180" s="207"/>
      <c r="U180" s="207"/>
      <c r="V180" s="207"/>
      <c r="W180" s="208"/>
      <c r="X180" s="208"/>
      <c r="Y180" s="208"/>
      <c r="Z180" s="208"/>
      <c r="AA180" s="208"/>
      <c r="AB180" s="208"/>
      <c r="AC180" s="208"/>
      <c r="AD180" s="208"/>
      <c r="AE180" s="208"/>
      <c r="AF180" s="208"/>
      <c r="AG180" s="208"/>
      <c r="AH180" s="208"/>
      <c r="AI180" s="100"/>
      <c r="AJ180" s="100"/>
      <c r="AK180" s="100"/>
      <c r="AL180" s="100"/>
      <c r="AM180" s="100"/>
    </row>
    <row r="181" ht="14.25" customHeight="1">
      <c r="A181" s="100"/>
      <c r="B181" s="100"/>
      <c r="C181" s="100"/>
      <c r="D181" s="100"/>
      <c r="E181" s="100"/>
      <c r="F181" s="206"/>
      <c r="G181" s="206"/>
      <c r="H181" s="207"/>
      <c r="I181" s="207"/>
      <c r="J181" s="207"/>
      <c r="K181" s="207"/>
      <c r="L181" s="207"/>
      <c r="M181" s="207"/>
      <c r="N181" s="207"/>
      <c r="O181" s="207"/>
      <c r="P181" s="207"/>
      <c r="Q181" s="207"/>
      <c r="R181" s="207"/>
      <c r="S181" s="207"/>
      <c r="T181" s="207"/>
      <c r="U181" s="207"/>
      <c r="V181" s="207"/>
      <c r="W181" s="208"/>
      <c r="X181" s="208"/>
      <c r="Y181" s="208"/>
      <c r="Z181" s="208"/>
      <c r="AA181" s="208"/>
      <c r="AB181" s="208"/>
      <c r="AC181" s="208"/>
      <c r="AD181" s="208"/>
      <c r="AE181" s="208"/>
      <c r="AF181" s="208"/>
      <c r="AG181" s="208"/>
      <c r="AH181" s="208"/>
      <c r="AI181" s="100"/>
      <c r="AJ181" s="100"/>
      <c r="AK181" s="100"/>
      <c r="AL181" s="100"/>
      <c r="AM181" s="100"/>
    </row>
    <row r="182" ht="14.25" customHeight="1">
      <c r="A182" s="100"/>
      <c r="B182" s="100"/>
      <c r="C182" s="100"/>
      <c r="D182" s="100"/>
      <c r="E182" s="100"/>
      <c r="F182" s="206"/>
      <c r="G182" s="206"/>
      <c r="H182" s="207"/>
      <c r="I182" s="207"/>
      <c r="J182" s="207"/>
      <c r="K182" s="207"/>
      <c r="L182" s="207"/>
      <c r="M182" s="207"/>
      <c r="N182" s="207"/>
      <c r="O182" s="207"/>
      <c r="P182" s="207"/>
      <c r="Q182" s="207"/>
      <c r="R182" s="207"/>
      <c r="S182" s="207"/>
      <c r="T182" s="207"/>
      <c r="U182" s="207"/>
      <c r="V182" s="207"/>
      <c r="W182" s="208"/>
      <c r="X182" s="208"/>
      <c r="Y182" s="208"/>
      <c r="Z182" s="208"/>
      <c r="AA182" s="208"/>
      <c r="AB182" s="208"/>
      <c r="AC182" s="208"/>
      <c r="AD182" s="208"/>
      <c r="AE182" s="208"/>
      <c r="AF182" s="208"/>
      <c r="AG182" s="208"/>
      <c r="AH182" s="208"/>
      <c r="AI182" s="100"/>
      <c r="AJ182" s="100"/>
      <c r="AK182" s="100"/>
      <c r="AL182" s="100"/>
      <c r="AM182" s="100"/>
    </row>
    <row r="183" ht="14.25" customHeight="1">
      <c r="A183" s="100"/>
      <c r="B183" s="100"/>
      <c r="C183" s="100"/>
      <c r="D183" s="100"/>
      <c r="E183" s="100"/>
      <c r="F183" s="206"/>
      <c r="G183" s="206"/>
      <c r="H183" s="207"/>
      <c r="I183" s="207"/>
      <c r="J183" s="207"/>
      <c r="K183" s="207"/>
      <c r="L183" s="207"/>
      <c r="M183" s="207"/>
      <c r="N183" s="207"/>
      <c r="O183" s="207"/>
      <c r="P183" s="207"/>
      <c r="Q183" s="207"/>
      <c r="R183" s="207"/>
      <c r="S183" s="207"/>
      <c r="T183" s="207"/>
      <c r="U183" s="207"/>
      <c r="V183" s="207"/>
      <c r="W183" s="208"/>
      <c r="X183" s="208"/>
      <c r="Y183" s="208"/>
      <c r="Z183" s="208"/>
      <c r="AA183" s="208"/>
      <c r="AB183" s="208"/>
      <c r="AC183" s="208"/>
      <c r="AD183" s="208"/>
      <c r="AE183" s="208"/>
      <c r="AF183" s="208"/>
      <c r="AG183" s="208"/>
      <c r="AH183" s="208"/>
      <c r="AI183" s="100"/>
      <c r="AJ183" s="100"/>
      <c r="AK183" s="100"/>
      <c r="AL183" s="100"/>
      <c r="AM183" s="100"/>
    </row>
    <row r="184" ht="14.25" customHeight="1">
      <c r="A184" s="100"/>
      <c r="B184" s="100"/>
      <c r="C184" s="100"/>
      <c r="D184" s="100"/>
      <c r="E184" s="100"/>
      <c r="F184" s="206"/>
      <c r="G184" s="206"/>
      <c r="H184" s="207"/>
      <c r="I184" s="207"/>
      <c r="J184" s="207"/>
      <c r="K184" s="207"/>
      <c r="L184" s="207"/>
      <c r="M184" s="207"/>
      <c r="N184" s="207"/>
      <c r="O184" s="207"/>
      <c r="P184" s="207"/>
      <c r="Q184" s="207"/>
      <c r="R184" s="207"/>
      <c r="S184" s="207"/>
      <c r="T184" s="207"/>
      <c r="U184" s="207"/>
      <c r="V184" s="207"/>
      <c r="W184" s="208"/>
      <c r="X184" s="208"/>
      <c r="Y184" s="208"/>
      <c r="Z184" s="208"/>
      <c r="AA184" s="208"/>
      <c r="AB184" s="208"/>
      <c r="AC184" s="208"/>
      <c r="AD184" s="208"/>
      <c r="AE184" s="208"/>
      <c r="AF184" s="208"/>
      <c r="AG184" s="208"/>
      <c r="AH184" s="208"/>
      <c r="AI184" s="100"/>
      <c r="AJ184" s="100"/>
      <c r="AK184" s="100"/>
      <c r="AL184" s="100"/>
      <c r="AM184" s="100"/>
    </row>
    <row r="185" ht="14.25" customHeight="1">
      <c r="A185" s="100"/>
      <c r="B185" s="100"/>
      <c r="C185" s="100"/>
      <c r="D185" s="100"/>
      <c r="E185" s="100"/>
      <c r="F185" s="206"/>
      <c r="G185" s="206"/>
      <c r="H185" s="207"/>
      <c r="I185" s="207"/>
      <c r="J185" s="207"/>
      <c r="K185" s="207"/>
      <c r="L185" s="207"/>
      <c r="M185" s="207"/>
      <c r="N185" s="207"/>
      <c r="O185" s="207"/>
      <c r="P185" s="207"/>
      <c r="Q185" s="207"/>
      <c r="R185" s="207"/>
      <c r="S185" s="207"/>
      <c r="T185" s="207"/>
      <c r="U185" s="207"/>
      <c r="V185" s="207"/>
      <c r="W185" s="208"/>
      <c r="X185" s="208"/>
      <c r="Y185" s="208"/>
      <c r="Z185" s="208"/>
      <c r="AA185" s="208"/>
      <c r="AB185" s="208"/>
      <c r="AC185" s="208"/>
      <c r="AD185" s="208"/>
      <c r="AE185" s="208"/>
      <c r="AF185" s="208"/>
      <c r="AG185" s="208"/>
      <c r="AH185" s="208"/>
      <c r="AI185" s="100"/>
      <c r="AJ185" s="100"/>
      <c r="AK185" s="100"/>
      <c r="AL185" s="100"/>
      <c r="AM185" s="100"/>
    </row>
    <row r="186" ht="14.25" customHeight="1">
      <c r="A186" s="100"/>
      <c r="B186" s="100"/>
      <c r="C186" s="100"/>
      <c r="D186" s="100"/>
      <c r="E186" s="100"/>
      <c r="F186" s="206"/>
      <c r="G186" s="206"/>
      <c r="H186" s="207"/>
      <c r="I186" s="207"/>
      <c r="J186" s="207"/>
      <c r="K186" s="207"/>
      <c r="L186" s="207"/>
      <c r="M186" s="207"/>
      <c r="N186" s="207"/>
      <c r="O186" s="207"/>
      <c r="P186" s="207"/>
      <c r="Q186" s="207"/>
      <c r="R186" s="207"/>
      <c r="S186" s="207"/>
      <c r="T186" s="207"/>
      <c r="U186" s="207"/>
      <c r="V186" s="207"/>
      <c r="W186" s="208"/>
      <c r="X186" s="208"/>
      <c r="Y186" s="208"/>
      <c r="Z186" s="208"/>
      <c r="AA186" s="208"/>
      <c r="AB186" s="208"/>
      <c r="AC186" s="208"/>
      <c r="AD186" s="208"/>
      <c r="AE186" s="208"/>
      <c r="AF186" s="208"/>
      <c r="AG186" s="208"/>
      <c r="AH186" s="208"/>
      <c r="AI186" s="100"/>
      <c r="AJ186" s="100"/>
      <c r="AK186" s="100"/>
      <c r="AL186" s="100"/>
      <c r="AM186" s="100"/>
    </row>
    <row r="187" ht="14.25" customHeight="1">
      <c r="A187" s="100"/>
      <c r="B187" s="100"/>
      <c r="C187" s="100"/>
      <c r="D187" s="100"/>
      <c r="E187" s="100"/>
      <c r="F187" s="206"/>
      <c r="G187" s="206"/>
      <c r="H187" s="207"/>
      <c r="I187" s="207"/>
      <c r="J187" s="207"/>
      <c r="K187" s="207"/>
      <c r="L187" s="207"/>
      <c r="M187" s="207"/>
      <c r="N187" s="207"/>
      <c r="O187" s="207"/>
      <c r="P187" s="207"/>
      <c r="Q187" s="207"/>
      <c r="R187" s="207"/>
      <c r="S187" s="207"/>
      <c r="T187" s="207"/>
      <c r="U187" s="207"/>
      <c r="V187" s="207"/>
      <c r="W187" s="208"/>
      <c r="X187" s="208"/>
      <c r="Y187" s="208"/>
      <c r="Z187" s="208"/>
      <c r="AA187" s="208"/>
      <c r="AB187" s="208"/>
      <c r="AC187" s="208"/>
      <c r="AD187" s="208"/>
      <c r="AE187" s="208"/>
      <c r="AF187" s="208"/>
      <c r="AG187" s="208"/>
      <c r="AH187" s="208"/>
      <c r="AI187" s="100"/>
      <c r="AJ187" s="100"/>
      <c r="AK187" s="100"/>
      <c r="AL187" s="100"/>
      <c r="AM187" s="100"/>
    </row>
    <row r="188" ht="14.25" customHeight="1">
      <c r="A188" s="100"/>
      <c r="B188" s="100"/>
      <c r="C188" s="100"/>
      <c r="D188" s="100"/>
      <c r="E188" s="100"/>
      <c r="F188" s="206"/>
      <c r="G188" s="206"/>
      <c r="H188" s="207"/>
      <c r="I188" s="207"/>
      <c r="J188" s="207"/>
      <c r="K188" s="207"/>
      <c r="L188" s="207"/>
      <c r="M188" s="207"/>
      <c r="N188" s="207"/>
      <c r="O188" s="207"/>
      <c r="P188" s="207"/>
      <c r="Q188" s="207"/>
      <c r="R188" s="207"/>
      <c r="S188" s="207"/>
      <c r="T188" s="207"/>
      <c r="U188" s="207"/>
      <c r="V188" s="207"/>
      <c r="W188" s="208"/>
      <c r="X188" s="208"/>
      <c r="Y188" s="208"/>
      <c r="Z188" s="208"/>
      <c r="AA188" s="208"/>
      <c r="AB188" s="208"/>
      <c r="AC188" s="208"/>
      <c r="AD188" s="208"/>
      <c r="AE188" s="208"/>
      <c r="AF188" s="208"/>
      <c r="AG188" s="208"/>
      <c r="AH188" s="208"/>
      <c r="AI188" s="100"/>
      <c r="AJ188" s="100"/>
      <c r="AK188" s="100"/>
      <c r="AL188" s="100"/>
      <c r="AM188" s="100"/>
    </row>
    <row r="189" ht="14.25" customHeight="1">
      <c r="A189" s="100"/>
      <c r="B189" s="100"/>
      <c r="C189" s="100"/>
      <c r="D189" s="100"/>
      <c r="E189" s="100"/>
      <c r="F189" s="206"/>
      <c r="G189" s="206"/>
      <c r="H189" s="207"/>
      <c r="I189" s="207"/>
      <c r="J189" s="207"/>
      <c r="K189" s="207"/>
      <c r="L189" s="207"/>
      <c r="M189" s="207"/>
      <c r="N189" s="207"/>
      <c r="O189" s="207"/>
      <c r="P189" s="207"/>
      <c r="Q189" s="207"/>
      <c r="R189" s="207"/>
      <c r="S189" s="207"/>
      <c r="T189" s="207"/>
      <c r="U189" s="207"/>
      <c r="V189" s="207"/>
      <c r="W189" s="208"/>
      <c r="X189" s="208"/>
      <c r="Y189" s="208"/>
      <c r="Z189" s="208"/>
      <c r="AA189" s="208"/>
      <c r="AB189" s="208"/>
      <c r="AC189" s="208"/>
      <c r="AD189" s="208"/>
      <c r="AE189" s="208"/>
      <c r="AF189" s="208"/>
      <c r="AG189" s="208"/>
      <c r="AH189" s="208"/>
      <c r="AI189" s="100"/>
      <c r="AJ189" s="100"/>
      <c r="AK189" s="100"/>
      <c r="AL189" s="100"/>
      <c r="AM189" s="100"/>
    </row>
    <row r="190" ht="14.25" customHeight="1">
      <c r="A190" s="100"/>
      <c r="B190" s="100"/>
      <c r="C190" s="100"/>
      <c r="D190" s="100"/>
      <c r="E190" s="100"/>
      <c r="F190" s="206"/>
      <c r="G190" s="206"/>
      <c r="H190" s="207"/>
      <c r="I190" s="207"/>
      <c r="J190" s="207"/>
      <c r="K190" s="207"/>
      <c r="L190" s="207"/>
      <c r="M190" s="207"/>
      <c r="N190" s="207"/>
      <c r="O190" s="207"/>
      <c r="P190" s="207"/>
      <c r="Q190" s="207"/>
      <c r="R190" s="207"/>
      <c r="S190" s="207"/>
      <c r="T190" s="207"/>
      <c r="U190" s="207"/>
      <c r="V190" s="207"/>
      <c r="W190" s="208"/>
      <c r="X190" s="208"/>
      <c r="Y190" s="208"/>
      <c r="Z190" s="208"/>
      <c r="AA190" s="208"/>
      <c r="AB190" s="208"/>
      <c r="AC190" s="208"/>
      <c r="AD190" s="208"/>
      <c r="AE190" s="208"/>
      <c r="AF190" s="208"/>
      <c r="AG190" s="208"/>
      <c r="AH190" s="208"/>
      <c r="AI190" s="100"/>
      <c r="AJ190" s="100"/>
      <c r="AK190" s="100"/>
      <c r="AL190" s="100"/>
      <c r="AM190" s="100"/>
    </row>
    <row r="191" ht="14.25" customHeight="1">
      <c r="A191" s="100"/>
      <c r="B191" s="100"/>
      <c r="C191" s="100"/>
      <c r="D191" s="100"/>
      <c r="E191" s="100"/>
      <c r="F191" s="206"/>
      <c r="G191" s="206"/>
      <c r="H191" s="207"/>
      <c r="I191" s="207"/>
      <c r="J191" s="207"/>
      <c r="K191" s="207"/>
      <c r="L191" s="207"/>
      <c r="M191" s="207"/>
      <c r="N191" s="207"/>
      <c r="O191" s="207"/>
      <c r="P191" s="207"/>
      <c r="Q191" s="207"/>
      <c r="R191" s="207"/>
      <c r="S191" s="207"/>
      <c r="T191" s="207"/>
      <c r="U191" s="207"/>
      <c r="V191" s="207"/>
      <c r="W191" s="208"/>
      <c r="X191" s="208"/>
      <c r="Y191" s="208"/>
      <c r="Z191" s="208"/>
      <c r="AA191" s="208"/>
      <c r="AB191" s="208"/>
      <c r="AC191" s="208"/>
      <c r="AD191" s="208"/>
      <c r="AE191" s="208"/>
      <c r="AF191" s="208"/>
      <c r="AG191" s="208"/>
      <c r="AH191" s="208"/>
      <c r="AI191" s="100"/>
      <c r="AJ191" s="100"/>
      <c r="AK191" s="100"/>
      <c r="AL191" s="100"/>
      <c r="AM191" s="100"/>
    </row>
    <row r="192" ht="14.25" customHeight="1">
      <c r="A192" s="100"/>
      <c r="B192" s="100"/>
      <c r="C192" s="100"/>
      <c r="D192" s="100"/>
      <c r="E192" s="100"/>
      <c r="F192" s="206"/>
      <c r="G192" s="206"/>
      <c r="H192" s="207"/>
      <c r="I192" s="207"/>
      <c r="J192" s="207"/>
      <c r="K192" s="207"/>
      <c r="L192" s="207"/>
      <c r="M192" s="207"/>
      <c r="N192" s="207"/>
      <c r="O192" s="207"/>
      <c r="P192" s="207"/>
      <c r="Q192" s="207"/>
      <c r="R192" s="207"/>
      <c r="S192" s="207"/>
      <c r="T192" s="207"/>
      <c r="U192" s="207"/>
      <c r="V192" s="207"/>
      <c r="W192" s="208"/>
      <c r="X192" s="208"/>
      <c r="Y192" s="208"/>
      <c r="Z192" s="208"/>
      <c r="AA192" s="208"/>
      <c r="AB192" s="208"/>
      <c r="AC192" s="208"/>
      <c r="AD192" s="208"/>
      <c r="AE192" s="208"/>
      <c r="AF192" s="208"/>
      <c r="AG192" s="208"/>
      <c r="AH192" s="208"/>
      <c r="AI192" s="100"/>
      <c r="AJ192" s="100"/>
      <c r="AK192" s="100"/>
      <c r="AL192" s="100"/>
      <c r="AM192" s="100"/>
    </row>
    <row r="193" ht="14.25" customHeight="1">
      <c r="A193" s="100"/>
      <c r="B193" s="100"/>
      <c r="C193" s="100"/>
      <c r="D193" s="100"/>
      <c r="E193" s="100"/>
      <c r="F193" s="206"/>
      <c r="G193" s="206"/>
      <c r="H193" s="207"/>
      <c r="I193" s="207"/>
      <c r="J193" s="207"/>
      <c r="K193" s="207"/>
      <c r="L193" s="207"/>
      <c r="M193" s="207"/>
      <c r="N193" s="207"/>
      <c r="O193" s="207"/>
      <c r="P193" s="207"/>
      <c r="Q193" s="207"/>
      <c r="R193" s="207"/>
      <c r="S193" s="207"/>
      <c r="T193" s="207"/>
      <c r="U193" s="207"/>
      <c r="V193" s="207"/>
      <c r="W193" s="208"/>
      <c r="X193" s="208"/>
      <c r="Y193" s="208"/>
      <c r="Z193" s="208"/>
      <c r="AA193" s="208"/>
      <c r="AB193" s="208"/>
      <c r="AC193" s="208"/>
      <c r="AD193" s="208"/>
      <c r="AE193" s="208"/>
      <c r="AF193" s="208"/>
      <c r="AG193" s="208"/>
      <c r="AH193" s="208"/>
      <c r="AI193" s="100"/>
      <c r="AJ193" s="100"/>
      <c r="AK193" s="100"/>
      <c r="AL193" s="100"/>
      <c r="AM193" s="100"/>
    </row>
    <row r="194" ht="14.25" customHeight="1">
      <c r="A194" s="100"/>
      <c r="B194" s="100"/>
      <c r="C194" s="100"/>
      <c r="D194" s="100"/>
      <c r="E194" s="100"/>
      <c r="F194" s="206"/>
      <c r="G194" s="206"/>
      <c r="H194" s="207"/>
      <c r="I194" s="207"/>
      <c r="J194" s="207"/>
      <c r="K194" s="207"/>
      <c r="L194" s="207"/>
      <c r="M194" s="207"/>
      <c r="N194" s="207"/>
      <c r="O194" s="207"/>
      <c r="P194" s="207"/>
      <c r="Q194" s="207"/>
      <c r="R194" s="207"/>
      <c r="S194" s="207"/>
      <c r="T194" s="207"/>
      <c r="U194" s="207"/>
      <c r="V194" s="207"/>
      <c r="W194" s="208"/>
      <c r="X194" s="208"/>
      <c r="Y194" s="208"/>
      <c r="Z194" s="208"/>
      <c r="AA194" s="208"/>
      <c r="AB194" s="208"/>
      <c r="AC194" s="208"/>
      <c r="AD194" s="208"/>
      <c r="AE194" s="208"/>
      <c r="AF194" s="208"/>
      <c r="AG194" s="208"/>
      <c r="AH194" s="208"/>
      <c r="AI194" s="100"/>
      <c r="AJ194" s="100"/>
      <c r="AK194" s="100"/>
      <c r="AL194" s="100"/>
      <c r="AM194" s="100"/>
    </row>
    <row r="195" ht="14.25" customHeight="1">
      <c r="A195" s="100"/>
      <c r="B195" s="100"/>
      <c r="C195" s="100"/>
      <c r="D195" s="100"/>
      <c r="E195" s="100"/>
      <c r="F195" s="206"/>
      <c r="G195" s="206"/>
      <c r="H195" s="207"/>
      <c r="I195" s="207"/>
      <c r="J195" s="207"/>
      <c r="K195" s="207"/>
      <c r="L195" s="207"/>
      <c r="M195" s="207"/>
      <c r="N195" s="207"/>
      <c r="O195" s="207"/>
      <c r="P195" s="207"/>
      <c r="Q195" s="207"/>
      <c r="R195" s="207"/>
      <c r="S195" s="207"/>
      <c r="T195" s="207"/>
      <c r="U195" s="207"/>
      <c r="V195" s="207"/>
      <c r="W195" s="208"/>
      <c r="X195" s="208"/>
      <c r="Y195" s="208"/>
      <c r="Z195" s="208"/>
      <c r="AA195" s="208"/>
      <c r="AB195" s="208"/>
      <c r="AC195" s="208"/>
      <c r="AD195" s="208"/>
      <c r="AE195" s="208"/>
      <c r="AF195" s="208"/>
      <c r="AG195" s="208"/>
      <c r="AH195" s="208"/>
      <c r="AI195" s="100"/>
      <c r="AJ195" s="100"/>
      <c r="AK195" s="100"/>
      <c r="AL195" s="100"/>
      <c r="AM195" s="100"/>
    </row>
    <row r="196" ht="14.25" customHeight="1">
      <c r="A196" s="100"/>
      <c r="B196" s="100"/>
      <c r="C196" s="100"/>
      <c r="D196" s="100"/>
      <c r="E196" s="100"/>
      <c r="F196" s="206"/>
      <c r="G196" s="206"/>
      <c r="H196" s="207"/>
      <c r="I196" s="207"/>
      <c r="J196" s="207"/>
      <c r="K196" s="207"/>
      <c r="L196" s="207"/>
      <c r="M196" s="207"/>
      <c r="N196" s="207"/>
      <c r="O196" s="207"/>
      <c r="P196" s="207"/>
      <c r="Q196" s="207"/>
      <c r="R196" s="207"/>
      <c r="S196" s="207"/>
      <c r="T196" s="207"/>
      <c r="U196" s="207"/>
      <c r="V196" s="207"/>
      <c r="W196" s="208"/>
      <c r="X196" s="208"/>
      <c r="Y196" s="208"/>
      <c r="Z196" s="208"/>
      <c r="AA196" s="208"/>
      <c r="AB196" s="208"/>
      <c r="AC196" s="208"/>
      <c r="AD196" s="208"/>
      <c r="AE196" s="208"/>
      <c r="AF196" s="208"/>
      <c r="AG196" s="208"/>
      <c r="AH196" s="208"/>
      <c r="AI196" s="100"/>
      <c r="AJ196" s="100"/>
      <c r="AK196" s="100"/>
      <c r="AL196" s="100"/>
      <c r="AM196" s="100"/>
    </row>
    <row r="197" ht="14.25" customHeight="1">
      <c r="A197" s="100"/>
      <c r="B197" s="100"/>
      <c r="C197" s="100"/>
      <c r="D197" s="100"/>
      <c r="E197" s="100"/>
      <c r="F197" s="206"/>
      <c r="G197" s="206"/>
      <c r="H197" s="207"/>
      <c r="I197" s="207"/>
      <c r="J197" s="207"/>
      <c r="K197" s="207"/>
      <c r="L197" s="207"/>
      <c r="M197" s="207"/>
      <c r="N197" s="207"/>
      <c r="O197" s="207"/>
      <c r="P197" s="207"/>
      <c r="Q197" s="207"/>
      <c r="R197" s="207"/>
      <c r="S197" s="207"/>
      <c r="T197" s="207"/>
      <c r="U197" s="207"/>
      <c r="V197" s="207"/>
      <c r="W197" s="208"/>
      <c r="X197" s="208"/>
      <c r="Y197" s="208"/>
      <c r="Z197" s="208"/>
      <c r="AA197" s="208"/>
      <c r="AB197" s="208"/>
      <c r="AC197" s="208"/>
      <c r="AD197" s="208"/>
      <c r="AE197" s="208"/>
      <c r="AF197" s="208"/>
      <c r="AG197" s="208"/>
      <c r="AH197" s="208"/>
      <c r="AI197" s="100"/>
      <c r="AJ197" s="100"/>
      <c r="AK197" s="100"/>
      <c r="AL197" s="100"/>
      <c r="AM197" s="100"/>
    </row>
    <row r="198" ht="14.25" customHeight="1">
      <c r="A198" s="100"/>
      <c r="B198" s="100"/>
      <c r="C198" s="100"/>
      <c r="D198" s="100"/>
      <c r="E198" s="100"/>
      <c r="F198" s="206"/>
      <c r="G198" s="206"/>
      <c r="H198" s="207"/>
      <c r="I198" s="207"/>
      <c r="J198" s="207"/>
      <c r="K198" s="207"/>
      <c r="L198" s="207"/>
      <c r="M198" s="207"/>
      <c r="N198" s="207"/>
      <c r="O198" s="207"/>
      <c r="P198" s="207"/>
      <c r="Q198" s="207"/>
      <c r="R198" s="207"/>
      <c r="S198" s="207"/>
      <c r="T198" s="207"/>
      <c r="U198" s="207"/>
      <c r="V198" s="207"/>
      <c r="W198" s="208"/>
      <c r="X198" s="208"/>
      <c r="Y198" s="208"/>
      <c r="Z198" s="208"/>
      <c r="AA198" s="208"/>
      <c r="AB198" s="208"/>
      <c r="AC198" s="208"/>
      <c r="AD198" s="208"/>
      <c r="AE198" s="208"/>
      <c r="AF198" s="208"/>
      <c r="AG198" s="208"/>
      <c r="AH198" s="208"/>
      <c r="AI198" s="100"/>
      <c r="AJ198" s="100"/>
      <c r="AK198" s="100"/>
      <c r="AL198" s="100"/>
      <c r="AM198" s="100"/>
    </row>
    <row r="199" ht="14.25" customHeight="1">
      <c r="A199" s="100"/>
      <c r="B199" s="100"/>
      <c r="C199" s="100"/>
      <c r="D199" s="100"/>
      <c r="E199" s="100"/>
      <c r="F199" s="206"/>
      <c r="G199" s="206"/>
      <c r="H199" s="207"/>
      <c r="I199" s="207"/>
      <c r="J199" s="207"/>
      <c r="K199" s="207"/>
      <c r="L199" s="207"/>
      <c r="M199" s="207"/>
      <c r="N199" s="207"/>
      <c r="O199" s="207"/>
      <c r="P199" s="207"/>
      <c r="Q199" s="207"/>
      <c r="R199" s="207"/>
      <c r="S199" s="207"/>
      <c r="T199" s="207"/>
      <c r="U199" s="207"/>
      <c r="V199" s="207"/>
      <c r="W199" s="208"/>
      <c r="X199" s="208"/>
      <c r="Y199" s="208"/>
      <c r="Z199" s="208"/>
      <c r="AA199" s="208"/>
      <c r="AB199" s="208"/>
      <c r="AC199" s="208"/>
      <c r="AD199" s="208"/>
      <c r="AE199" s="208"/>
      <c r="AF199" s="208"/>
      <c r="AG199" s="208"/>
      <c r="AH199" s="208"/>
      <c r="AI199" s="100"/>
      <c r="AJ199" s="100"/>
      <c r="AK199" s="100"/>
      <c r="AL199" s="100"/>
      <c r="AM199" s="100"/>
    </row>
    <row r="200" ht="14.25" customHeight="1">
      <c r="A200" s="100"/>
      <c r="B200" s="100"/>
      <c r="C200" s="100"/>
      <c r="D200" s="100"/>
      <c r="E200" s="100"/>
      <c r="F200" s="206"/>
      <c r="G200" s="206"/>
      <c r="H200" s="207"/>
      <c r="I200" s="207"/>
      <c r="J200" s="207"/>
      <c r="K200" s="207"/>
      <c r="L200" s="207"/>
      <c r="M200" s="207"/>
      <c r="N200" s="207"/>
      <c r="O200" s="207"/>
      <c r="P200" s="207"/>
      <c r="Q200" s="207"/>
      <c r="R200" s="207"/>
      <c r="S200" s="207"/>
      <c r="T200" s="207"/>
      <c r="U200" s="207"/>
      <c r="V200" s="207"/>
      <c r="W200" s="208"/>
      <c r="X200" s="208"/>
      <c r="Y200" s="208"/>
      <c r="Z200" s="208"/>
      <c r="AA200" s="208"/>
      <c r="AB200" s="208"/>
      <c r="AC200" s="208"/>
      <c r="AD200" s="208"/>
      <c r="AE200" s="208"/>
      <c r="AF200" s="208"/>
      <c r="AG200" s="208"/>
      <c r="AH200" s="208"/>
      <c r="AI200" s="100"/>
      <c r="AJ200" s="100"/>
      <c r="AK200" s="100"/>
      <c r="AL200" s="100"/>
      <c r="AM200" s="100"/>
    </row>
    <row r="201" ht="14.25" customHeight="1">
      <c r="A201" s="100"/>
      <c r="B201" s="100"/>
      <c r="C201" s="100"/>
      <c r="D201" s="100"/>
      <c r="E201" s="100"/>
      <c r="F201" s="206"/>
      <c r="G201" s="206"/>
      <c r="H201" s="207"/>
      <c r="I201" s="207"/>
      <c r="J201" s="207"/>
      <c r="K201" s="207"/>
      <c r="L201" s="207"/>
      <c r="M201" s="207"/>
      <c r="N201" s="207"/>
      <c r="O201" s="207"/>
      <c r="P201" s="207"/>
      <c r="Q201" s="207"/>
      <c r="R201" s="207"/>
      <c r="S201" s="207"/>
      <c r="T201" s="207"/>
      <c r="U201" s="207"/>
      <c r="V201" s="207"/>
      <c r="W201" s="208"/>
      <c r="X201" s="208"/>
      <c r="Y201" s="208"/>
      <c r="Z201" s="208"/>
      <c r="AA201" s="208"/>
      <c r="AB201" s="208"/>
      <c r="AC201" s="208"/>
      <c r="AD201" s="208"/>
      <c r="AE201" s="208"/>
      <c r="AF201" s="208"/>
      <c r="AG201" s="208"/>
      <c r="AH201" s="208"/>
      <c r="AI201" s="100"/>
      <c r="AJ201" s="100"/>
      <c r="AK201" s="100"/>
      <c r="AL201" s="100"/>
      <c r="AM201" s="100"/>
    </row>
    <row r="202" ht="14.25" customHeight="1">
      <c r="A202" s="100"/>
      <c r="B202" s="100"/>
      <c r="C202" s="100"/>
      <c r="D202" s="100"/>
      <c r="E202" s="100"/>
      <c r="F202" s="206"/>
      <c r="G202" s="206"/>
      <c r="H202" s="207"/>
      <c r="I202" s="207"/>
      <c r="J202" s="207"/>
      <c r="K202" s="207"/>
      <c r="L202" s="207"/>
      <c r="M202" s="207"/>
      <c r="N202" s="207"/>
      <c r="O202" s="207"/>
      <c r="P202" s="207"/>
      <c r="Q202" s="207"/>
      <c r="R202" s="207"/>
      <c r="S202" s="207"/>
      <c r="T202" s="207"/>
      <c r="U202" s="207"/>
      <c r="V202" s="207"/>
      <c r="W202" s="208"/>
      <c r="X202" s="208"/>
      <c r="Y202" s="208"/>
      <c r="Z202" s="208"/>
      <c r="AA202" s="208"/>
      <c r="AB202" s="208"/>
      <c r="AC202" s="208"/>
      <c r="AD202" s="208"/>
      <c r="AE202" s="208"/>
      <c r="AF202" s="208"/>
      <c r="AG202" s="208"/>
      <c r="AH202" s="208"/>
      <c r="AI202" s="100"/>
      <c r="AJ202" s="100"/>
      <c r="AK202" s="100"/>
      <c r="AL202" s="100"/>
      <c r="AM202" s="100"/>
    </row>
    <row r="203" ht="14.25" customHeight="1">
      <c r="A203" s="100"/>
      <c r="B203" s="100"/>
      <c r="C203" s="100"/>
      <c r="D203" s="100"/>
      <c r="E203" s="100"/>
      <c r="F203" s="206"/>
      <c r="G203" s="206"/>
      <c r="H203" s="207"/>
      <c r="I203" s="207"/>
      <c r="J203" s="207"/>
      <c r="K203" s="207"/>
      <c r="L203" s="207"/>
      <c r="M203" s="207"/>
      <c r="N203" s="207"/>
      <c r="O203" s="207"/>
      <c r="P203" s="207"/>
      <c r="Q203" s="207"/>
      <c r="R203" s="207"/>
      <c r="S203" s="207"/>
      <c r="T203" s="207"/>
      <c r="U203" s="207"/>
      <c r="V203" s="207"/>
      <c r="W203" s="208"/>
      <c r="X203" s="208"/>
      <c r="Y203" s="208"/>
      <c r="Z203" s="208"/>
      <c r="AA203" s="208"/>
      <c r="AB203" s="208"/>
      <c r="AC203" s="208"/>
      <c r="AD203" s="208"/>
      <c r="AE203" s="208"/>
      <c r="AF203" s="208"/>
      <c r="AG203" s="208"/>
      <c r="AH203" s="208"/>
      <c r="AI203" s="100"/>
      <c r="AJ203" s="100"/>
      <c r="AK203" s="100"/>
      <c r="AL203" s="100"/>
      <c r="AM203" s="100"/>
    </row>
    <row r="204" ht="14.25" customHeight="1">
      <c r="A204" s="100"/>
      <c r="B204" s="100"/>
      <c r="C204" s="100"/>
      <c r="D204" s="100"/>
      <c r="E204" s="100"/>
      <c r="F204" s="206"/>
      <c r="G204" s="206"/>
      <c r="H204" s="207"/>
      <c r="I204" s="207"/>
      <c r="J204" s="207"/>
      <c r="K204" s="207"/>
      <c r="L204" s="207"/>
      <c r="M204" s="207"/>
      <c r="N204" s="207"/>
      <c r="O204" s="207"/>
      <c r="P204" s="207"/>
      <c r="Q204" s="207"/>
      <c r="R204" s="207"/>
      <c r="S204" s="207"/>
      <c r="T204" s="207"/>
      <c r="U204" s="207"/>
      <c r="V204" s="207"/>
      <c r="W204" s="208"/>
      <c r="X204" s="208"/>
      <c r="Y204" s="208"/>
      <c r="Z204" s="208"/>
      <c r="AA204" s="208"/>
      <c r="AB204" s="208"/>
      <c r="AC204" s="208"/>
      <c r="AD204" s="208"/>
      <c r="AE204" s="208"/>
      <c r="AF204" s="208"/>
      <c r="AG204" s="208"/>
      <c r="AH204" s="208"/>
      <c r="AI204" s="100"/>
      <c r="AJ204" s="100"/>
      <c r="AK204" s="100"/>
      <c r="AL204" s="100"/>
      <c r="AM204" s="100"/>
    </row>
    <row r="205" ht="14.25" customHeight="1">
      <c r="A205" s="100"/>
      <c r="B205" s="100"/>
      <c r="C205" s="100"/>
      <c r="D205" s="100"/>
      <c r="E205" s="100"/>
      <c r="F205" s="206"/>
      <c r="G205" s="206"/>
      <c r="H205" s="207"/>
      <c r="I205" s="207"/>
      <c r="J205" s="207"/>
      <c r="K205" s="207"/>
      <c r="L205" s="207"/>
      <c r="M205" s="207"/>
      <c r="N205" s="207"/>
      <c r="O205" s="207"/>
      <c r="P205" s="207"/>
      <c r="Q205" s="207"/>
      <c r="R205" s="207"/>
      <c r="S205" s="207"/>
      <c r="T205" s="207"/>
      <c r="U205" s="207"/>
      <c r="V205" s="207"/>
      <c r="W205" s="208"/>
      <c r="X205" s="208"/>
      <c r="Y205" s="208"/>
      <c r="Z205" s="208"/>
      <c r="AA205" s="208"/>
      <c r="AB205" s="208"/>
      <c r="AC205" s="208"/>
      <c r="AD205" s="208"/>
      <c r="AE205" s="208"/>
      <c r="AF205" s="208"/>
      <c r="AG205" s="208"/>
      <c r="AH205" s="208"/>
      <c r="AI205" s="100"/>
      <c r="AJ205" s="100"/>
      <c r="AK205" s="100"/>
      <c r="AL205" s="100"/>
      <c r="AM205" s="100"/>
    </row>
    <row r="206" ht="14.25" customHeight="1">
      <c r="A206" s="100"/>
      <c r="B206" s="100"/>
      <c r="C206" s="100"/>
      <c r="D206" s="100"/>
      <c r="E206" s="100"/>
      <c r="F206" s="206"/>
      <c r="G206" s="206"/>
      <c r="H206" s="207"/>
      <c r="I206" s="207"/>
      <c r="J206" s="207"/>
      <c r="K206" s="207"/>
      <c r="L206" s="207"/>
      <c r="M206" s="207"/>
      <c r="N206" s="207"/>
      <c r="O206" s="207"/>
      <c r="P206" s="207"/>
      <c r="Q206" s="207"/>
      <c r="R206" s="207"/>
      <c r="S206" s="207"/>
      <c r="T206" s="207"/>
      <c r="U206" s="207"/>
      <c r="V206" s="207"/>
      <c r="W206" s="208"/>
      <c r="X206" s="208"/>
      <c r="Y206" s="208"/>
      <c r="Z206" s="208"/>
      <c r="AA206" s="208"/>
      <c r="AB206" s="208"/>
      <c r="AC206" s="208"/>
      <c r="AD206" s="208"/>
      <c r="AE206" s="208"/>
      <c r="AF206" s="208"/>
      <c r="AG206" s="208"/>
      <c r="AH206" s="208"/>
      <c r="AI206" s="100"/>
      <c r="AJ206" s="100"/>
      <c r="AK206" s="100"/>
      <c r="AL206" s="100"/>
      <c r="AM206" s="100"/>
    </row>
    <row r="207" ht="14.25" customHeight="1">
      <c r="A207" s="100"/>
      <c r="B207" s="100"/>
      <c r="C207" s="100"/>
      <c r="D207" s="100"/>
      <c r="E207" s="100"/>
      <c r="F207" s="206"/>
      <c r="G207" s="206"/>
      <c r="H207" s="207"/>
      <c r="I207" s="207"/>
      <c r="J207" s="207"/>
      <c r="K207" s="207"/>
      <c r="L207" s="207"/>
      <c r="M207" s="207"/>
      <c r="N207" s="207"/>
      <c r="O207" s="207"/>
      <c r="P207" s="207"/>
      <c r="Q207" s="207"/>
      <c r="R207" s="207"/>
      <c r="S207" s="207"/>
      <c r="T207" s="207"/>
      <c r="U207" s="207"/>
      <c r="V207" s="207"/>
      <c r="W207" s="208"/>
      <c r="X207" s="208"/>
      <c r="Y207" s="208"/>
      <c r="Z207" s="208"/>
      <c r="AA207" s="208"/>
      <c r="AB207" s="208"/>
      <c r="AC207" s="208"/>
      <c r="AD207" s="208"/>
      <c r="AE207" s="208"/>
      <c r="AF207" s="208"/>
      <c r="AG207" s="208"/>
      <c r="AH207" s="208"/>
      <c r="AI207" s="100"/>
      <c r="AJ207" s="100"/>
      <c r="AK207" s="100"/>
      <c r="AL207" s="100"/>
      <c r="AM207" s="100"/>
    </row>
    <row r="208" ht="14.25" customHeight="1">
      <c r="A208" s="100"/>
      <c r="B208" s="100"/>
      <c r="C208" s="100"/>
      <c r="D208" s="100"/>
      <c r="E208" s="100"/>
      <c r="F208" s="206"/>
      <c r="G208" s="206"/>
      <c r="H208" s="207"/>
      <c r="I208" s="207"/>
      <c r="J208" s="207"/>
      <c r="K208" s="207"/>
      <c r="L208" s="207"/>
      <c r="M208" s="207"/>
      <c r="N208" s="207"/>
      <c r="O208" s="207"/>
      <c r="P208" s="207"/>
      <c r="Q208" s="207"/>
      <c r="R208" s="207"/>
      <c r="S208" s="207"/>
      <c r="T208" s="207"/>
      <c r="U208" s="207"/>
      <c r="V208" s="207"/>
      <c r="W208" s="208"/>
      <c r="X208" s="208"/>
      <c r="Y208" s="208"/>
      <c r="Z208" s="208"/>
      <c r="AA208" s="208"/>
      <c r="AB208" s="208"/>
      <c r="AC208" s="208"/>
      <c r="AD208" s="208"/>
      <c r="AE208" s="208"/>
      <c r="AF208" s="208"/>
      <c r="AG208" s="208"/>
      <c r="AH208" s="208"/>
      <c r="AI208" s="100"/>
      <c r="AJ208" s="100"/>
      <c r="AK208" s="100"/>
      <c r="AL208" s="100"/>
      <c r="AM208" s="100"/>
    </row>
    <row r="209" ht="14.25" customHeight="1">
      <c r="A209" s="100"/>
      <c r="B209" s="100"/>
      <c r="C209" s="100"/>
      <c r="D209" s="100"/>
      <c r="E209" s="100"/>
      <c r="F209" s="206"/>
      <c r="G209" s="206"/>
      <c r="H209" s="207"/>
      <c r="I209" s="207"/>
      <c r="J209" s="207"/>
      <c r="K209" s="207"/>
      <c r="L209" s="207"/>
      <c r="M209" s="207"/>
      <c r="N209" s="207"/>
      <c r="O209" s="207"/>
      <c r="P209" s="207"/>
      <c r="Q209" s="207"/>
      <c r="R209" s="207"/>
      <c r="S209" s="207"/>
      <c r="T209" s="207"/>
      <c r="U209" s="207"/>
      <c r="V209" s="207"/>
      <c r="W209" s="208"/>
      <c r="X209" s="208"/>
      <c r="Y209" s="208"/>
      <c r="Z209" s="208"/>
      <c r="AA209" s="208"/>
      <c r="AB209" s="208"/>
      <c r="AC209" s="208"/>
      <c r="AD209" s="208"/>
      <c r="AE209" s="208"/>
      <c r="AF209" s="208"/>
      <c r="AG209" s="208"/>
      <c r="AH209" s="208"/>
      <c r="AI209" s="100"/>
      <c r="AJ209" s="100"/>
      <c r="AK209" s="100"/>
      <c r="AL209" s="100"/>
      <c r="AM209" s="100"/>
    </row>
    <row r="210" ht="14.25" customHeight="1">
      <c r="A210" s="100"/>
      <c r="B210" s="100"/>
      <c r="C210" s="100"/>
      <c r="D210" s="100"/>
      <c r="E210" s="100"/>
      <c r="F210" s="206"/>
      <c r="G210" s="206"/>
      <c r="H210" s="207"/>
      <c r="I210" s="207"/>
      <c r="J210" s="207"/>
      <c r="K210" s="207"/>
      <c r="L210" s="207"/>
      <c r="M210" s="207"/>
      <c r="N210" s="207"/>
      <c r="O210" s="207"/>
      <c r="P210" s="207"/>
      <c r="Q210" s="207"/>
      <c r="R210" s="207"/>
      <c r="S210" s="207"/>
      <c r="T210" s="207"/>
      <c r="U210" s="207"/>
      <c r="V210" s="207"/>
      <c r="W210" s="208"/>
      <c r="X210" s="208"/>
      <c r="Y210" s="208"/>
      <c r="Z210" s="208"/>
      <c r="AA210" s="208"/>
      <c r="AB210" s="208"/>
      <c r="AC210" s="208"/>
      <c r="AD210" s="208"/>
      <c r="AE210" s="208"/>
      <c r="AF210" s="208"/>
      <c r="AG210" s="208"/>
      <c r="AH210" s="208"/>
      <c r="AI210" s="100"/>
      <c r="AJ210" s="100"/>
      <c r="AK210" s="100"/>
      <c r="AL210" s="100"/>
      <c r="AM210" s="100"/>
    </row>
    <row r="211" ht="14.25" customHeight="1">
      <c r="A211" s="100"/>
      <c r="B211" s="100"/>
      <c r="C211" s="100"/>
      <c r="D211" s="100"/>
      <c r="E211" s="100"/>
      <c r="F211" s="206"/>
      <c r="G211" s="206"/>
      <c r="H211" s="207"/>
      <c r="I211" s="207"/>
      <c r="J211" s="207"/>
      <c r="K211" s="207"/>
      <c r="L211" s="207"/>
      <c r="M211" s="207"/>
      <c r="N211" s="207"/>
      <c r="O211" s="207"/>
      <c r="P211" s="207"/>
      <c r="Q211" s="207"/>
      <c r="R211" s="207"/>
      <c r="S211" s="207"/>
      <c r="T211" s="207"/>
      <c r="U211" s="207"/>
      <c r="V211" s="207"/>
      <c r="W211" s="208"/>
      <c r="X211" s="208"/>
      <c r="Y211" s="208"/>
      <c r="Z211" s="208"/>
      <c r="AA211" s="208"/>
      <c r="AB211" s="208"/>
      <c r="AC211" s="208"/>
      <c r="AD211" s="208"/>
      <c r="AE211" s="208"/>
      <c r="AF211" s="208"/>
      <c r="AG211" s="208"/>
      <c r="AH211" s="208"/>
      <c r="AI211" s="100"/>
      <c r="AJ211" s="100"/>
      <c r="AK211" s="100"/>
      <c r="AL211" s="100"/>
      <c r="AM211" s="100"/>
    </row>
    <row r="212" ht="14.25" customHeight="1">
      <c r="A212" s="100"/>
      <c r="B212" s="100"/>
      <c r="C212" s="100"/>
      <c r="D212" s="100"/>
      <c r="E212" s="100"/>
      <c r="F212" s="206"/>
      <c r="G212" s="206"/>
      <c r="H212" s="207"/>
      <c r="I212" s="207"/>
      <c r="J212" s="207"/>
      <c r="K212" s="207"/>
      <c r="L212" s="207"/>
      <c r="M212" s="207"/>
      <c r="N212" s="207"/>
      <c r="O212" s="207"/>
      <c r="P212" s="207"/>
      <c r="Q212" s="207"/>
      <c r="R212" s="207"/>
      <c r="S212" s="207"/>
      <c r="T212" s="207"/>
      <c r="U212" s="207"/>
      <c r="V212" s="207"/>
      <c r="W212" s="208"/>
      <c r="X212" s="208"/>
      <c r="Y212" s="208"/>
      <c r="Z212" s="208"/>
      <c r="AA212" s="208"/>
      <c r="AB212" s="208"/>
      <c r="AC212" s="208"/>
      <c r="AD212" s="208"/>
      <c r="AE212" s="208"/>
      <c r="AF212" s="208"/>
      <c r="AG212" s="208"/>
      <c r="AH212" s="208"/>
      <c r="AI212" s="100"/>
      <c r="AJ212" s="100"/>
      <c r="AK212" s="100"/>
      <c r="AL212" s="100"/>
      <c r="AM212" s="100"/>
    </row>
    <row r="213" ht="14.25" customHeight="1">
      <c r="A213" s="100"/>
      <c r="B213" s="100"/>
      <c r="C213" s="100"/>
      <c r="D213" s="100"/>
      <c r="E213" s="100"/>
      <c r="F213" s="206"/>
      <c r="G213" s="206"/>
      <c r="H213" s="207"/>
      <c r="I213" s="207"/>
      <c r="J213" s="207"/>
      <c r="K213" s="207"/>
      <c r="L213" s="207"/>
      <c r="M213" s="207"/>
      <c r="N213" s="207"/>
      <c r="O213" s="207"/>
      <c r="P213" s="207"/>
      <c r="Q213" s="207"/>
      <c r="R213" s="207"/>
      <c r="S213" s="207"/>
      <c r="T213" s="207"/>
      <c r="U213" s="207"/>
      <c r="V213" s="207"/>
      <c r="W213" s="208"/>
      <c r="X213" s="208"/>
      <c r="Y213" s="208"/>
      <c r="Z213" s="208"/>
      <c r="AA213" s="208"/>
      <c r="AB213" s="208"/>
      <c r="AC213" s="208"/>
      <c r="AD213" s="208"/>
      <c r="AE213" s="208"/>
      <c r="AF213" s="208"/>
      <c r="AG213" s="208"/>
      <c r="AH213" s="208"/>
      <c r="AI213" s="100"/>
      <c r="AJ213" s="100"/>
      <c r="AK213" s="100"/>
      <c r="AL213" s="100"/>
      <c r="AM213" s="100"/>
    </row>
    <row r="214" ht="14.25" customHeight="1">
      <c r="A214" s="100"/>
      <c r="B214" s="100"/>
      <c r="C214" s="100"/>
      <c r="D214" s="100"/>
      <c r="E214" s="100"/>
      <c r="F214" s="206"/>
      <c r="G214" s="206"/>
      <c r="H214" s="207"/>
      <c r="I214" s="207"/>
      <c r="J214" s="207"/>
      <c r="K214" s="207"/>
      <c r="L214" s="207"/>
      <c r="M214" s="207"/>
      <c r="N214" s="207"/>
      <c r="O214" s="207"/>
      <c r="P214" s="207"/>
      <c r="Q214" s="207"/>
      <c r="R214" s="207"/>
      <c r="S214" s="207"/>
      <c r="T214" s="207"/>
      <c r="U214" s="207"/>
      <c r="V214" s="207"/>
      <c r="W214" s="208"/>
      <c r="X214" s="208"/>
      <c r="Y214" s="208"/>
      <c r="Z214" s="208"/>
      <c r="AA214" s="208"/>
      <c r="AB214" s="208"/>
      <c r="AC214" s="208"/>
      <c r="AD214" s="208"/>
      <c r="AE214" s="208"/>
      <c r="AF214" s="208"/>
      <c r="AG214" s="208"/>
      <c r="AH214" s="208"/>
      <c r="AI214" s="100"/>
      <c r="AJ214" s="100"/>
      <c r="AK214" s="100"/>
      <c r="AL214" s="100"/>
      <c r="AM214" s="100"/>
    </row>
    <row r="215" ht="14.25" customHeight="1">
      <c r="A215" s="100"/>
      <c r="B215" s="100"/>
      <c r="C215" s="100"/>
      <c r="D215" s="100"/>
      <c r="E215" s="100"/>
      <c r="F215" s="206"/>
      <c r="G215" s="206"/>
      <c r="H215" s="207"/>
      <c r="I215" s="207"/>
      <c r="J215" s="207"/>
      <c r="K215" s="207"/>
      <c r="L215" s="207"/>
      <c r="M215" s="207"/>
      <c r="N215" s="207"/>
      <c r="O215" s="207"/>
      <c r="P215" s="207"/>
      <c r="Q215" s="207"/>
      <c r="R215" s="207"/>
      <c r="S215" s="207"/>
      <c r="T215" s="207"/>
      <c r="U215" s="207"/>
      <c r="V215" s="207"/>
      <c r="W215" s="208"/>
      <c r="X215" s="208"/>
      <c r="Y215" s="208"/>
      <c r="Z215" s="208"/>
      <c r="AA215" s="208"/>
      <c r="AB215" s="208"/>
      <c r="AC215" s="208"/>
      <c r="AD215" s="208"/>
      <c r="AE215" s="208"/>
      <c r="AF215" s="208"/>
      <c r="AG215" s="208"/>
      <c r="AH215" s="208"/>
      <c r="AI215" s="100"/>
      <c r="AJ215" s="100"/>
      <c r="AK215" s="100"/>
      <c r="AL215" s="100"/>
      <c r="AM215" s="100"/>
    </row>
    <row r="216" ht="14.25" customHeight="1">
      <c r="A216" s="100"/>
      <c r="B216" s="100"/>
      <c r="C216" s="100"/>
      <c r="D216" s="100"/>
      <c r="E216" s="100"/>
      <c r="F216" s="206"/>
      <c r="G216" s="206"/>
      <c r="H216" s="207"/>
      <c r="I216" s="207"/>
      <c r="J216" s="207"/>
      <c r="K216" s="207"/>
      <c r="L216" s="207"/>
      <c r="M216" s="207"/>
      <c r="N216" s="207"/>
      <c r="O216" s="207"/>
      <c r="P216" s="207"/>
      <c r="Q216" s="207"/>
      <c r="R216" s="207"/>
      <c r="S216" s="207"/>
      <c r="T216" s="207"/>
      <c r="U216" s="207"/>
      <c r="V216" s="207"/>
      <c r="W216" s="208"/>
      <c r="X216" s="208"/>
      <c r="Y216" s="208"/>
      <c r="Z216" s="208"/>
      <c r="AA216" s="208"/>
      <c r="AB216" s="208"/>
      <c r="AC216" s="208"/>
      <c r="AD216" s="208"/>
      <c r="AE216" s="208"/>
      <c r="AF216" s="208"/>
      <c r="AG216" s="208"/>
      <c r="AH216" s="208"/>
      <c r="AI216" s="100"/>
      <c r="AJ216" s="100"/>
      <c r="AK216" s="100"/>
      <c r="AL216" s="100"/>
      <c r="AM216" s="100"/>
    </row>
    <row r="217" ht="14.25" customHeight="1">
      <c r="A217" s="100"/>
      <c r="B217" s="100"/>
      <c r="C217" s="100"/>
      <c r="D217" s="100"/>
      <c r="E217" s="100"/>
      <c r="F217" s="206"/>
      <c r="G217" s="206"/>
      <c r="H217" s="207"/>
      <c r="I217" s="207"/>
      <c r="J217" s="207"/>
      <c r="K217" s="207"/>
      <c r="L217" s="207"/>
      <c r="M217" s="207"/>
      <c r="N217" s="207"/>
      <c r="O217" s="207"/>
      <c r="P217" s="207"/>
      <c r="Q217" s="207"/>
      <c r="R217" s="207"/>
      <c r="S217" s="207"/>
      <c r="T217" s="207"/>
      <c r="U217" s="207"/>
      <c r="V217" s="207"/>
      <c r="W217" s="208"/>
      <c r="X217" s="208"/>
      <c r="Y217" s="208"/>
      <c r="Z217" s="208"/>
      <c r="AA217" s="208"/>
      <c r="AB217" s="208"/>
      <c r="AC217" s="208"/>
      <c r="AD217" s="208"/>
      <c r="AE217" s="208"/>
      <c r="AF217" s="208"/>
      <c r="AG217" s="208"/>
      <c r="AH217" s="208"/>
      <c r="AI217" s="100"/>
      <c r="AJ217" s="100"/>
      <c r="AK217" s="100"/>
      <c r="AL217" s="100"/>
      <c r="AM217" s="100"/>
    </row>
    <row r="218" ht="14.25" customHeight="1">
      <c r="A218" s="100"/>
      <c r="B218" s="100"/>
      <c r="C218" s="100"/>
      <c r="D218" s="100"/>
      <c r="E218" s="100"/>
      <c r="F218" s="206"/>
      <c r="G218" s="206"/>
      <c r="H218" s="207"/>
      <c r="I218" s="207"/>
      <c r="J218" s="207"/>
      <c r="K218" s="207"/>
      <c r="L218" s="207"/>
      <c r="M218" s="207"/>
      <c r="N218" s="207"/>
      <c r="O218" s="207"/>
      <c r="P218" s="207"/>
      <c r="Q218" s="207"/>
      <c r="R218" s="207"/>
      <c r="S218" s="207"/>
      <c r="T218" s="207"/>
      <c r="U218" s="207"/>
      <c r="V218" s="207"/>
      <c r="W218" s="208"/>
      <c r="X218" s="208"/>
      <c r="Y218" s="208"/>
      <c r="Z218" s="208"/>
      <c r="AA218" s="208"/>
      <c r="AB218" s="208"/>
      <c r="AC218" s="208"/>
      <c r="AD218" s="208"/>
      <c r="AE218" s="208"/>
      <c r="AF218" s="208"/>
      <c r="AG218" s="208"/>
      <c r="AH218" s="208"/>
      <c r="AI218" s="100"/>
      <c r="AJ218" s="100"/>
      <c r="AK218" s="100"/>
      <c r="AL218" s="100"/>
      <c r="AM218" s="100"/>
    </row>
    <row r="219" ht="14.25" customHeight="1">
      <c r="A219" s="100"/>
      <c r="B219" s="100"/>
      <c r="C219" s="100"/>
      <c r="D219" s="100"/>
      <c r="E219" s="100"/>
      <c r="F219" s="206"/>
      <c r="G219" s="206"/>
      <c r="H219" s="207"/>
      <c r="I219" s="207"/>
      <c r="J219" s="207"/>
      <c r="K219" s="207"/>
      <c r="L219" s="207"/>
      <c r="M219" s="207"/>
      <c r="N219" s="207"/>
      <c r="O219" s="207"/>
      <c r="P219" s="207"/>
      <c r="Q219" s="207"/>
      <c r="R219" s="207"/>
      <c r="S219" s="207"/>
      <c r="T219" s="207"/>
      <c r="U219" s="207"/>
      <c r="V219" s="207"/>
      <c r="W219" s="208"/>
      <c r="X219" s="208"/>
      <c r="Y219" s="208"/>
      <c r="Z219" s="208"/>
      <c r="AA219" s="208"/>
      <c r="AB219" s="208"/>
      <c r="AC219" s="208"/>
      <c r="AD219" s="208"/>
      <c r="AE219" s="208"/>
      <c r="AF219" s="208"/>
      <c r="AG219" s="208"/>
      <c r="AH219" s="208"/>
      <c r="AI219" s="100"/>
      <c r="AJ219" s="100"/>
      <c r="AK219" s="100"/>
      <c r="AL219" s="100"/>
      <c r="AM219" s="100"/>
    </row>
    <row r="220" ht="14.25" customHeight="1">
      <c r="A220" s="100"/>
      <c r="B220" s="100"/>
      <c r="C220" s="100"/>
      <c r="D220" s="100"/>
      <c r="E220" s="100"/>
      <c r="F220" s="206"/>
      <c r="G220" s="206"/>
      <c r="H220" s="207"/>
      <c r="I220" s="207"/>
      <c r="J220" s="207"/>
      <c r="K220" s="207"/>
      <c r="L220" s="207"/>
      <c r="M220" s="207"/>
      <c r="N220" s="207"/>
      <c r="O220" s="207"/>
      <c r="P220" s="207"/>
      <c r="Q220" s="207"/>
      <c r="R220" s="207"/>
      <c r="S220" s="207"/>
      <c r="T220" s="207"/>
      <c r="U220" s="207"/>
      <c r="V220" s="207"/>
      <c r="W220" s="208"/>
      <c r="X220" s="208"/>
      <c r="Y220" s="208"/>
      <c r="Z220" s="208"/>
      <c r="AA220" s="208"/>
      <c r="AB220" s="208"/>
      <c r="AC220" s="208"/>
      <c r="AD220" s="208"/>
      <c r="AE220" s="208"/>
      <c r="AF220" s="208"/>
      <c r="AG220" s="208"/>
      <c r="AH220" s="208"/>
      <c r="AI220" s="100"/>
      <c r="AJ220" s="100"/>
      <c r="AK220" s="100"/>
      <c r="AL220" s="100"/>
      <c r="AM220" s="100"/>
    </row>
    <row r="221" ht="14.25" customHeight="1">
      <c r="A221" s="100"/>
      <c r="B221" s="100"/>
      <c r="C221" s="100"/>
      <c r="D221" s="100"/>
      <c r="E221" s="100"/>
      <c r="F221" s="206"/>
      <c r="G221" s="206"/>
      <c r="H221" s="207"/>
      <c r="I221" s="207"/>
      <c r="J221" s="207"/>
      <c r="K221" s="207"/>
      <c r="L221" s="207"/>
      <c r="M221" s="207"/>
      <c r="N221" s="207"/>
      <c r="O221" s="207"/>
      <c r="P221" s="207"/>
      <c r="Q221" s="207"/>
      <c r="R221" s="207"/>
      <c r="S221" s="207"/>
      <c r="T221" s="207"/>
      <c r="U221" s="207"/>
      <c r="V221" s="207"/>
      <c r="W221" s="208"/>
      <c r="X221" s="208"/>
      <c r="Y221" s="208"/>
      <c r="Z221" s="208"/>
      <c r="AA221" s="208"/>
      <c r="AB221" s="208"/>
      <c r="AC221" s="208"/>
      <c r="AD221" s="208"/>
      <c r="AE221" s="208"/>
      <c r="AF221" s="208"/>
      <c r="AG221" s="208"/>
      <c r="AH221" s="208"/>
      <c r="AI221" s="100"/>
      <c r="AJ221" s="100"/>
      <c r="AK221" s="100"/>
      <c r="AL221" s="100"/>
      <c r="AM221" s="100"/>
    </row>
    <row r="222" ht="14.25" customHeight="1">
      <c r="A222" s="100"/>
      <c r="B222" s="100"/>
      <c r="C222" s="100"/>
      <c r="D222" s="100"/>
      <c r="E222" s="100"/>
      <c r="F222" s="206"/>
      <c r="G222" s="206"/>
      <c r="H222" s="207"/>
      <c r="I222" s="207"/>
      <c r="J222" s="207"/>
      <c r="K222" s="207"/>
      <c r="L222" s="207"/>
      <c r="M222" s="207"/>
      <c r="N222" s="207"/>
      <c r="O222" s="207"/>
      <c r="P222" s="207"/>
      <c r="Q222" s="207"/>
      <c r="R222" s="207"/>
      <c r="S222" s="207"/>
      <c r="T222" s="207"/>
      <c r="U222" s="207"/>
      <c r="V222" s="207"/>
      <c r="W222" s="208"/>
      <c r="X222" s="208"/>
      <c r="Y222" s="208"/>
      <c r="Z222" s="208"/>
      <c r="AA222" s="208"/>
      <c r="AB222" s="208"/>
      <c r="AC222" s="208"/>
      <c r="AD222" s="208"/>
      <c r="AE222" s="208"/>
      <c r="AF222" s="208"/>
      <c r="AG222" s="208"/>
      <c r="AH222" s="208"/>
      <c r="AI222" s="100"/>
      <c r="AJ222" s="100"/>
      <c r="AK222" s="100"/>
      <c r="AL222" s="100"/>
      <c r="AM222" s="100"/>
    </row>
    <row r="223" ht="14.25" customHeight="1">
      <c r="A223" s="100"/>
      <c r="B223" s="100"/>
      <c r="C223" s="100"/>
      <c r="D223" s="100"/>
      <c r="E223" s="100"/>
      <c r="F223" s="206"/>
      <c r="G223" s="206"/>
      <c r="H223" s="207"/>
      <c r="I223" s="207"/>
      <c r="J223" s="207"/>
      <c r="K223" s="207"/>
      <c r="L223" s="207"/>
      <c r="M223" s="207"/>
      <c r="N223" s="207"/>
      <c r="O223" s="207"/>
      <c r="P223" s="207"/>
      <c r="Q223" s="207"/>
      <c r="R223" s="207"/>
      <c r="S223" s="207"/>
      <c r="T223" s="207"/>
      <c r="U223" s="207"/>
      <c r="V223" s="207"/>
      <c r="W223" s="208"/>
      <c r="X223" s="208"/>
      <c r="Y223" s="208"/>
      <c r="Z223" s="208"/>
      <c r="AA223" s="208"/>
      <c r="AB223" s="208"/>
      <c r="AC223" s="208"/>
      <c r="AD223" s="208"/>
      <c r="AE223" s="208"/>
      <c r="AF223" s="208"/>
      <c r="AG223" s="208"/>
      <c r="AH223" s="208"/>
      <c r="AI223" s="100"/>
      <c r="AJ223" s="100"/>
      <c r="AK223" s="100"/>
      <c r="AL223" s="100"/>
      <c r="AM223" s="100"/>
    </row>
    <row r="224" ht="14.25" customHeight="1">
      <c r="A224" s="100"/>
      <c r="B224" s="100"/>
      <c r="C224" s="100"/>
      <c r="D224" s="100"/>
      <c r="E224" s="100"/>
      <c r="F224" s="206"/>
      <c r="G224" s="206"/>
      <c r="H224" s="207"/>
      <c r="I224" s="207"/>
      <c r="J224" s="207"/>
      <c r="K224" s="207"/>
      <c r="L224" s="207"/>
      <c r="M224" s="207"/>
      <c r="N224" s="207"/>
      <c r="O224" s="207"/>
      <c r="P224" s="207"/>
      <c r="Q224" s="207"/>
      <c r="R224" s="207"/>
      <c r="S224" s="207"/>
      <c r="T224" s="207"/>
      <c r="U224" s="207"/>
      <c r="V224" s="207"/>
      <c r="W224" s="208"/>
      <c r="X224" s="208"/>
      <c r="Y224" s="208"/>
      <c r="Z224" s="208"/>
      <c r="AA224" s="208"/>
      <c r="AB224" s="208"/>
      <c r="AC224" s="208"/>
      <c r="AD224" s="208"/>
      <c r="AE224" s="208"/>
      <c r="AF224" s="208"/>
      <c r="AG224" s="208"/>
      <c r="AH224" s="208"/>
      <c r="AI224" s="100"/>
      <c r="AJ224" s="100"/>
      <c r="AK224" s="100"/>
      <c r="AL224" s="100"/>
      <c r="AM224" s="100"/>
    </row>
    <row r="225" ht="14.25" customHeight="1">
      <c r="A225" s="100"/>
      <c r="B225" s="100"/>
      <c r="C225" s="100"/>
      <c r="D225" s="100"/>
      <c r="E225" s="100"/>
      <c r="F225" s="206"/>
      <c r="G225" s="206"/>
      <c r="H225" s="207"/>
      <c r="I225" s="207"/>
      <c r="J225" s="207"/>
      <c r="K225" s="207"/>
      <c r="L225" s="207"/>
      <c r="M225" s="207"/>
      <c r="N225" s="207"/>
      <c r="O225" s="207"/>
      <c r="P225" s="207"/>
      <c r="Q225" s="207"/>
      <c r="R225" s="207"/>
      <c r="S225" s="207"/>
      <c r="T225" s="207"/>
      <c r="U225" s="207"/>
      <c r="V225" s="207"/>
      <c r="W225" s="208"/>
      <c r="X225" s="208"/>
      <c r="Y225" s="208"/>
      <c r="Z225" s="208"/>
      <c r="AA225" s="208"/>
      <c r="AB225" s="208"/>
      <c r="AC225" s="208"/>
      <c r="AD225" s="208"/>
      <c r="AE225" s="208"/>
      <c r="AF225" s="208"/>
      <c r="AG225" s="208"/>
      <c r="AH225" s="208"/>
      <c r="AI225" s="100"/>
      <c r="AJ225" s="100"/>
      <c r="AK225" s="100"/>
      <c r="AL225" s="100"/>
      <c r="AM225" s="100"/>
    </row>
    <row r="226" ht="14.25" customHeight="1">
      <c r="A226" s="100"/>
      <c r="B226" s="100"/>
      <c r="C226" s="100"/>
      <c r="D226" s="100"/>
      <c r="E226" s="100"/>
      <c r="F226" s="206"/>
      <c r="G226" s="206"/>
      <c r="H226" s="207"/>
      <c r="I226" s="207"/>
      <c r="J226" s="207"/>
      <c r="K226" s="207"/>
      <c r="L226" s="207"/>
      <c r="M226" s="207"/>
      <c r="N226" s="207"/>
      <c r="O226" s="207"/>
      <c r="P226" s="207"/>
      <c r="Q226" s="207"/>
      <c r="R226" s="207"/>
      <c r="S226" s="207"/>
      <c r="T226" s="207"/>
      <c r="U226" s="207"/>
      <c r="V226" s="207"/>
      <c r="W226" s="208"/>
      <c r="X226" s="208"/>
      <c r="Y226" s="208"/>
      <c r="Z226" s="208"/>
      <c r="AA226" s="208"/>
      <c r="AB226" s="208"/>
      <c r="AC226" s="208"/>
      <c r="AD226" s="208"/>
      <c r="AE226" s="208"/>
      <c r="AF226" s="208"/>
      <c r="AG226" s="208"/>
      <c r="AH226" s="208"/>
      <c r="AI226" s="100"/>
      <c r="AJ226" s="100"/>
      <c r="AK226" s="100"/>
      <c r="AL226" s="100"/>
      <c r="AM226" s="100"/>
    </row>
    <row r="227" ht="14.25" customHeight="1">
      <c r="A227" s="100"/>
      <c r="B227" s="100"/>
      <c r="C227" s="100"/>
      <c r="D227" s="100"/>
      <c r="E227" s="100"/>
      <c r="F227" s="206"/>
      <c r="G227" s="206"/>
      <c r="H227" s="207"/>
      <c r="I227" s="207"/>
      <c r="J227" s="207"/>
      <c r="K227" s="207"/>
      <c r="L227" s="207"/>
      <c r="M227" s="207"/>
      <c r="N227" s="207"/>
      <c r="O227" s="207"/>
      <c r="P227" s="207"/>
      <c r="Q227" s="207"/>
      <c r="R227" s="207"/>
      <c r="S227" s="207"/>
      <c r="T227" s="207"/>
      <c r="U227" s="207"/>
      <c r="V227" s="207"/>
      <c r="W227" s="208"/>
      <c r="X227" s="208"/>
      <c r="Y227" s="208"/>
      <c r="Z227" s="208"/>
      <c r="AA227" s="208"/>
      <c r="AB227" s="208"/>
      <c r="AC227" s="208"/>
      <c r="AD227" s="208"/>
      <c r="AE227" s="208"/>
      <c r="AF227" s="208"/>
      <c r="AG227" s="208"/>
      <c r="AH227" s="208"/>
      <c r="AI227" s="100"/>
      <c r="AJ227" s="100"/>
      <c r="AK227" s="100"/>
      <c r="AL227" s="100"/>
      <c r="AM227" s="100"/>
    </row>
    <row r="228" ht="14.25" customHeight="1">
      <c r="A228" s="100"/>
      <c r="B228" s="100"/>
      <c r="C228" s="100"/>
      <c r="D228" s="100"/>
      <c r="E228" s="100"/>
      <c r="F228" s="206"/>
      <c r="G228" s="206"/>
      <c r="H228" s="207"/>
      <c r="I228" s="207"/>
      <c r="J228" s="207"/>
      <c r="K228" s="207"/>
      <c r="L228" s="207"/>
      <c r="M228" s="207"/>
      <c r="N228" s="207"/>
      <c r="O228" s="207"/>
      <c r="P228" s="207"/>
      <c r="Q228" s="207"/>
      <c r="R228" s="207"/>
      <c r="S228" s="207"/>
      <c r="T228" s="207"/>
      <c r="U228" s="207"/>
      <c r="V228" s="207"/>
      <c r="W228" s="208"/>
      <c r="X228" s="208"/>
      <c r="Y228" s="208"/>
      <c r="Z228" s="208"/>
      <c r="AA228" s="208"/>
      <c r="AB228" s="208"/>
      <c r="AC228" s="208"/>
      <c r="AD228" s="208"/>
      <c r="AE228" s="208"/>
      <c r="AF228" s="208"/>
      <c r="AG228" s="208"/>
      <c r="AH228" s="208"/>
      <c r="AI228" s="100"/>
      <c r="AJ228" s="100"/>
      <c r="AK228" s="100"/>
      <c r="AL228" s="100"/>
      <c r="AM228" s="100"/>
    </row>
    <row r="229" ht="14.25" customHeight="1">
      <c r="A229" s="100"/>
      <c r="B229" s="100"/>
      <c r="C229" s="100"/>
      <c r="D229" s="100"/>
      <c r="E229" s="100"/>
      <c r="F229" s="206"/>
      <c r="G229" s="206"/>
      <c r="H229" s="207"/>
      <c r="I229" s="207"/>
      <c r="J229" s="207"/>
      <c r="K229" s="207"/>
      <c r="L229" s="207"/>
      <c r="M229" s="207"/>
      <c r="N229" s="207"/>
      <c r="O229" s="207"/>
      <c r="P229" s="207"/>
      <c r="Q229" s="207"/>
      <c r="R229" s="207"/>
      <c r="S229" s="207"/>
      <c r="T229" s="207"/>
      <c r="U229" s="207"/>
      <c r="V229" s="207"/>
      <c r="W229" s="208"/>
      <c r="X229" s="208"/>
      <c r="Y229" s="208"/>
      <c r="Z229" s="208"/>
      <c r="AA229" s="208"/>
      <c r="AB229" s="208"/>
      <c r="AC229" s="208"/>
      <c r="AD229" s="208"/>
      <c r="AE229" s="208"/>
      <c r="AF229" s="208"/>
      <c r="AG229" s="208"/>
      <c r="AH229" s="208"/>
      <c r="AI229" s="100"/>
      <c r="AJ229" s="100"/>
      <c r="AK229" s="100"/>
      <c r="AL229" s="100"/>
      <c r="AM229" s="100"/>
    </row>
    <row r="230" ht="14.25" customHeight="1">
      <c r="A230" s="100"/>
      <c r="B230" s="100"/>
      <c r="C230" s="100"/>
      <c r="D230" s="100"/>
      <c r="E230" s="100"/>
      <c r="F230" s="206"/>
      <c r="G230" s="206"/>
      <c r="H230" s="207"/>
      <c r="I230" s="207"/>
      <c r="J230" s="207"/>
      <c r="K230" s="207"/>
      <c r="L230" s="207"/>
      <c r="M230" s="207"/>
      <c r="N230" s="207"/>
      <c r="O230" s="207"/>
      <c r="P230" s="207"/>
      <c r="Q230" s="207"/>
      <c r="R230" s="207"/>
      <c r="S230" s="207"/>
      <c r="T230" s="207"/>
      <c r="U230" s="207"/>
      <c r="V230" s="207"/>
      <c r="W230" s="208"/>
      <c r="X230" s="208"/>
      <c r="Y230" s="208"/>
      <c r="Z230" s="208"/>
      <c r="AA230" s="208"/>
      <c r="AB230" s="208"/>
      <c r="AC230" s="208"/>
      <c r="AD230" s="208"/>
      <c r="AE230" s="208"/>
      <c r="AF230" s="208"/>
      <c r="AG230" s="208"/>
      <c r="AH230" s="208"/>
      <c r="AI230" s="100"/>
      <c r="AJ230" s="100"/>
      <c r="AK230" s="100"/>
      <c r="AL230" s="100"/>
      <c r="AM230" s="100"/>
    </row>
    <row r="231" ht="14.25" customHeight="1">
      <c r="A231" s="100"/>
      <c r="B231" s="100"/>
      <c r="C231" s="100"/>
      <c r="D231" s="100"/>
      <c r="E231" s="100"/>
      <c r="F231" s="206"/>
      <c r="G231" s="206"/>
      <c r="H231" s="207"/>
      <c r="I231" s="207"/>
      <c r="J231" s="207"/>
      <c r="K231" s="207"/>
      <c r="L231" s="207"/>
      <c r="M231" s="207"/>
      <c r="N231" s="207"/>
      <c r="O231" s="207"/>
      <c r="P231" s="207"/>
      <c r="Q231" s="207"/>
      <c r="R231" s="207"/>
      <c r="S231" s="207"/>
      <c r="T231" s="207"/>
      <c r="U231" s="207"/>
      <c r="V231" s="207"/>
      <c r="W231" s="208"/>
      <c r="X231" s="208"/>
      <c r="Y231" s="208"/>
      <c r="Z231" s="208"/>
      <c r="AA231" s="208"/>
      <c r="AB231" s="208"/>
      <c r="AC231" s="208"/>
      <c r="AD231" s="208"/>
      <c r="AE231" s="208"/>
      <c r="AF231" s="208"/>
      <c r="AG231" s="208"/>
      <c r="AH231" s="208"/>
      <c r="AI231" s="100"/>
      <c r="AJ231" s="100"/>
      <c r="AK231" s="100"/>
      <c r="AL231" s="100"/>
      <c r="AM231" s="100"/>
    </row>
    <row r="232" ht="14.25" customHeight="1">
      <c r="A232" s="100"/>
      <c r="B232" s="100"/>
      <c r="C232" s="100"/>
      <c r="D232" s="100"/>
      <c r="E232" s="100"/>
      <c r="F232" s="206"/>
      <c r="G232" s="206"/>
      <c r="H232" s="207"/>
      <c r="I232" s="207"/>
      <c r="J232" s="207"/>
      <c r="K232" s="207"/>
      <c r="L232" s="207"/>
      <c r="M232" s="207"/>
      <c r="N232" s="207"/>
      <c r="O232" s="207"/>
      <c r="P232" s="207"/>
      <c r="Q232" s="207"/>
      <c r="R232" s="207"/>
      <c r="S232" s="207"/>
      <c r="T232" s="207"/>
      <c r="U232" s="207"/>
      <c r="V232" s="207"/>
      <c r="W232" s="208"/>
      <c r="X232" s="208"/>
      <c r="Y232" s="208"/>
      <c r="Z232" s="208"/>
      <c r="AA232" s="208"/>
      <c r="AB232" s="208"/>
      <c r="AC232" s="208"/>
      <c r="AD232" s="208"/>
      <c r="AE232" s="208"/>
      <c r="AF232" s="208"/>
      <c r="AG232" s="208"/>
      <c r="AH232" s="208"/>
      <c r="AI232" s="100"/>
      <c r="AJ232" s="100"/>
      <c r="AK232" s="100"/>
      <c r="AL232" s="100"/>
      <c r="AM232" s="100"/>
    </row>
    <row r="233" ht="14.25" customHeight="1">
      <c r="A233" s="100"/>
      <c r="B233" s="100"/>
      <c r="C233" s="100"/>
      <c r="D233" s="100"/>
      <c r="E233" s="100"/>
      <c r="F233" s="206"/>
      <c r="G233" s="206"/>
      <c r="H233" s="207"/>
      <c r="I233" s="207"/>
      <c r="J233" s="207"/>
      <c r="K233" s="207"/>
      <c r="L233" s="207"/>
      <c r="M233" s="207"/>
      <c r="N233" s="207"/>
      <c r="O233" s="207"/>
      <c r="P233" s="207"/>
      <c r="Q233" s="207"/>
      <c r="R233" s="207"/>
      <c r="S233" s="207"/>
      <c r="T233" s="207"/>
      <c r="U233" s="207"/>
      <c r="V233" s="207"/>
      <c r="W233" s="208"/>
      <c r="X233" s="208"/>
      <c r="Y233" s="208"/>
      <c r="Z233" s="208"/>
      <c r="AA233" s="208"/>
      <c r="AB233" s="208"/>
      <c r="AC233" s="208"/>
      <c r="AD233" s="208"/>
      <c r="AE233" s="208"/>
      <c r="AF233" s="208"/>
      <c r="AG233" s="208"/>
      <c r="AH233" s="208"/>
      <c r="AI233" s="100"/>
      <c r="AJ233" s="100"/>
      <c r="AK233" s="100"/>
      <c r="AL233" s="100"/>
      <c r="AM233" s="100"/>
    </row>
    <row r="234" ht="14.25" customHeight="1">
      <c r="A234" s="100"/>
      <c r="B234" s="100"/>
      <c r="C234" s="100"/>
      <c r="D234" s="100"/>
      <c r="E234" s="100"/>
      <c r="F234" s="206"/>
      <c r="G234" s="206"/>
      <c r="H234" s="207"/>
      <c r="I234" s="207"/>
      <c r="J234" s="207"/>
      <c r="K234" s="207"/>
      <c r="L234" s="207"/>
      <c r="M234" s="207"/>
      <c r="N234" s="207"/>
      <c r="O234" s="207"/>
      <c r="P234" s="207"/>
      <c r="Q234" s="207"/>
      <c r="R234" s="207"/>
      <c r="S234" s="207"/>
      <c r="T234" s="207"/>
      <c r="U234" s="207"/>
      <c r="V234" s="207"/>
      <c r="W234" s="208"/>
      <c r="X234" s="208"/>
      <c r="Y234" s="208"/>
      <c r="Z234" s="208"/>
      <c r="AA234" s="208"/>
      <c r="AB234" s="208"/>
      <c r="AC234" s="208"/>
      <c r="AD234" s="208"/>
      <c r="AE234" s="208"/>
      <c r="AF234" s="208"/>
      <c r="AG234" s="208"/>
      <c r="AH234" s="208"/>
      <c r="AI234" s="100"/>
      <c r="AJ234" s="100"/>
      <c r="AK234" s="100"/>
      <c r="AL234" s="100"/>
      <c r="AM234" s="100"/>
    </row>
    <row r="235" ht="14.25" customHeight="1">
      <c r="A235" s="100"/>
      <c r="B235" s="100"/>
      <c r="C235" s="100"/>
      <c r="D235" s="100"/>
      <c r="E235" s="100"/>
      <c r="F235" s="206"/>
      <c r="G235" s="206"/>
      <c r="H235" s="207"/>
      <c r="I235" s="207"/>
      <c r="J235" s="207"/>
      <c r="K235" s="207"/>
      <c r="L235" s="207"/>
      <c r="M235" s="207"/>
      <c r="N235" s="207"/>
      <c r="O235" s="207"/>
      <c r="P235" s="207"/>
      <c r="Q235" s="207"/>
      <c r="R235" s="207"/>
      <c r="S235" s="207"/>
      <c r="T235" s="207"/>
      <c r="U235" s="207"/>
      <c r="V235" s="207"/>
      <c r="W235" s="208"/>
      <c r="X235" s="208"/>
      <c r="Y235" s="208"/>
      <c r="Z235" s="208"/>
      <c r="AA235" s="208"/>
      <c r="AB235" s="208"/>
      <c r="AC235" s="208"/>
      <c r="AD235" s="208"/>
      <c r="AE235" s="208"/>
      <c r="AF235" s="208"/>
      <c r="AG235" s="208"/>
      <c r="AH235" s="208"/>
      <c r="AI235" s="100"/>
      <c r="AJ235" s="100"/>
      <c r="AK235" s="100"/>
      <c r="AL235" s="100"/>
      <c r="AM235" s="100"/>
    </row>
    <row r="236" ht="14.25" customHeight="1">
      <c r="A236" s="100"/>
      <c r="B236" s="100"/>
      <c r="C236" s="100"/>
      <c r="D236" s="100"/>
      <c r="E236" s="100"/>
      <c r="F236" s="206"/>
      <c r="G236" s="206"/>
      <c r="H236" s="207"/>
      <c r="I236" s="207"/>
      <c r="J236" s="207"/>
      <c r="K236" s="207"/>
      <c r="L236" s="207"/>
      <c r="M236" s="207"/>
      <c r="N236" s="207"/>
      <c r="O236" s="207"/>
      <c r="P236" s="207"/>
      <c r="Q236" s="207"/>
      <c r="R236" s="207"/>
      <c r="S236" s="207"/>
      <c r="T236" s="207"/>
      <c r="U236" s="207"/>
      <c r="V236" s="207"/>
      <c r="W236" s="208"/>
      <c r="X236" s="208"/>
      <c r="Y236" s="208"/>
      <c r="Z236" s="208"/>
      <c r="AA236" s="208"/>
      <c r="AB236" s="208"/>
      <c r="AC236" s="208"/>
      <c r="AD236" s="208"/>
      <c r="AE236" s="208"/>
      <c r="AF236" s="208"/>
      <c r="AG236" s="208"/>
      <c r="AH236" s="208"/>
      <c r="AI236" s="100"/>
      <c r="AJ236" s="100"/>
      <c r="AK236" s="100"/>
      <c r="AL236" s="100"/>
      <c r="AM236" s="100"/>
    </row>
    <row r="237" ht="14.25" customHeight="1">
      <c r="A237" s="100"/>
      <c r="B237" s="100"/>
      <c r="C237" s="100"/>
      <c r="D237" s="100"/>
      <c r="E237" s="100"/>
      <c r="F237" s="206"/>
      <c r="G237" s="206"/>
      <c r="H237" s="207"/>
      <c r="I237" s="207"/>
      <c r="J237" s="207"/>
      <c r="K237" s="207"/>
      <c r="L237" s="207"/>
      <c r="M237" s="207"/>
      <c r="N237" s="207"/>
      <c r="O237" s="207"/>
      <c r="P237" s="207"/>
      <c r="Q237" s="207"/>
      <c r="R237" s="207"/>
      <c r="S237" s="207"/>
      <c r="T237" s="207"/>
      <c r="U237" s="207"/>
      <c r="V237" s="207"/>
      <c r="W237" s="208"/>
      <c r="X237" s="208"/>
      <c r="Y237" s="208"/>
      <c r="Z237" s="208"/>
      <c r="AA237" s="208"/>
      <c r="AB237" s="208"/>
      <c r="AC237" s="208"/>
      <c r="AD237" s="208"/>
      <c r="AE237" s="208"/>
      <c r="AF237" s="208"/>
      <c r="AG237" s="208"/>
      <c r="AH237" s="208"/>
      <c r="AI237" s="100"/>
      <c r="AJ237" s="100"/>
      <c r="AK237" s="100"/>
      <c r="AL237" s="100"/>
      <c r="AM237" s="100"/>
    </row>
    <row r="238" ht="14.25" customHeight="1">
      <c r="A238" s="100"/>
      <c r="B238" s="100"/>
      <c r="C238" s="100"/>
      <c r="D238" s="100"/>
      <c r="E238" s="100"/>
      <c r="F238" s="206"/>
      <c r="G238" s="206"/>
      <c r="H238" s="207"/>
      <c r="I238" s="207"/>
      <c r="J238" s="207"/>
      <c r="K238" s="207"/>
      <c r="L238" s="207"/>
      <c r="M238" s="207"/>
      <c r="N238" s="207"/>
      <c r="O238" s="207"/>
      <c r="P238" s="207"/>
      <c r="Q238" s="207"/>
      <c r="R238" s="207"/>
      <c r="S238" s="207"/>
      <c r="T238" s="207"/>
      <c r="U238" s="207"/>
      <c r="V238" s="207"/>
      <c r="W238" s="208"/>
      <c r="X238" s="208"/>
      <c r="Y238" s="208"/>
      <c r="Z238" s="208"/>
      <c r="AA238" s="208"/>
      <c r="AB238" s="208"/>
      <c r="AC238" s="208"/>
      <c r="AD238" s="208"/>
      <c r="AE238" s="208"/>
      <c r="AF238" s="208"/>
      <c r="AG238" s="208"/>
      <c r="AH238" s="208"/>
      <c r="AI238" s="100"/>
      <c r="AJ238" s="100"/>
      <c r="AK238" s="100"/>
      <c r="AL238" s="100"/>
      <c r="AM238" s="100"/>
    </row>
    <row r="239" ht="14.25" customHeight="1">
      <c r="A239" s="100"/>
      <c r="B239" s="100"/>
      <c r="C239" s="100"/>
      <c r="D239" s="100"/>
      <c r="E239" s="100"/>
      <c r="F239" s="206"/>
      <c r="G239" s="206"/>
      <c r="H239" s="207"/>
      <c r="I239" s="207"/>
      <c r="J239" s="207"/>
      <c r="K239" s="207"/>
      <c r="L239" s="207"/>
      <c r="M239" s="207"/>
      <c r="N239" s="207"/>
      <c r="O239" s="207"/>
      <c r="P239" s="207"/>
      <c r="Q239" s="207"/>
      <c r="R239" s="207"/>
      <c r="S239" s="207"/>
      <c r="T239" s="207"/>
      <c r="U239" s="207"/>
      <c r="V239" s="207"/>
      <c r="W239" s="208"/>
      <c r="X239" s="208"/>
      <c r="Y239" s="208"/>
      <c r="Z239" s="208"/>
      <c r="AA239" s="208"/>
      <c r="AB239" s="208"/>
      <c r="AC239" s="208"/>
      <c r="AD239" s="208"/>
      <c r="AE239" s="208"/>
      <c r="AF239" s="208"/>
      <c r="AG239" s="208"/>
      <c r="AH239" s="208"/>
      <c r="AI239" s="100"/>
      <c r="AJ239" s="100"/>
      <c r="AK239" s="100"/>
      <c r="AL239" s="100"/>
      <c r="AM239" s="100"/>
    </row>
    <row r="240" ht="14.25" customHeight="1">
      <c r="A240" s="100"/>
      <c r="B240" s="100"/>
      <c r="C240" s="100"/>
      <c r="D240" s="100"/>
      <c r="E240" s="100"/>
      <c r="F240" s="206"/>
      <c r="G240" s="206"/>
      <c r="H240" s="207"/>
      <c r="I240" s="207"/>
      <c r="J240" s="207"/>
      <c r="K240" s="207"/>
      <c r="L240" s="207"/>
      <c r="M240" s="207"/>
      <c r="N240" s="207"/>
      <c r="O240" s="207"/>
      <c r="P240" s="207"/>
      <c r="Q240" s="207"/>
      <c r="R240" s="207"/>
      <c r="S240" s="207"/>
      <c r="T240" s="207"/>
      <c r="U240" s="207"/>
      <c r="V240" s="207"/>
      <c r="W240" s="208"/>
      <c r="X240" s="208"/>
      <c r="Y240" s="208"/>
      <c r="Z240" s="208"/>
      <c r="AA240" s="208"/>
      <c r="AB240" s="208"/>
      <c r="AC240" s="208"/>
      <c r="AD240" s="208"/>
      <c r="AE240" s="208"/>
      <c r="AF240" s="208"/>
      <c r="AG240" s="208"/>
      <c r="AH240" s="208"/>
      <c r="AI240" s="100"/>
      <c r="AJ240" s="100"/>
      <c r="AK240" s="100"/>
      <c r="AL240" s="100"/>
      <c r="AM240" s="100"/>
    </row>
    <row r="241" ht="14.25" customHeight="1">
      <c r="A241" s="100"/>
      <c r="B241" s="100"/>
      <c r="C241" s="100"/>
      <c r="D241" s="100"/>
      <c r="E241" s="100"/>
      <c r="F241" s="206"/>
      <c r="G241" s="206"/>
      <c r="H241" s="207"/>
      <c r="I241" s="207"/>
      <c r="J241" s="207"/>
      <c r="K241" s="207"/>
      <c r="L241" s="207"/>
      <c r="M241" s="207"/>
      <c r="N241" s="207"/>
      <c r="O241" s="207"/>
      <c r="P241" s="207"/>
      <c r="Q241" s="207"/>
      <c r="R241" s="207"/>
      <c r="S241" s="207"/>
      <c r="T241" s="207"/>
      <c r="U241" s="207"/>
      <c r="V241" s="207"/>
      <c r="W241" s="208"/>
      <c r="X241" s="208"/>
      <c r="Y241" s="208"/>
      <c r="Z241" s="208"/>
      <c r="AA241" s="208"/>
      <c r="AB241" s="208"/>
      <c r="AC241" s="208"/>
      <c r="AD241" s="208"/>
      <c r="AE241" s="208"/>
      <c r="AF241" s="208"/>
      <c r="AG241" s="208"/>
      <c r="AH241" s="208"/>
      <c r="AI241" s="100"/>
      <c r="AJ241" s="100"/>
      <c r="AK241" s="100"/>
      <c r="AL241" s="100"/>
      <c r="AM241" s="100"/>
    </row>
    <row r="242" ht="14.25" customHeight="1">
      <c r="A242" s="100"/>
      <c r="B242" s="100"/>
      <c r="C242" s="100"/>
      <c r="D242" s="100"/>
      <c r="E242" s="100"/>
      <c r="F242" s="206"/>
      <c r="G242" s="206"/>
      <c r="H242" s="207"/>
      <c r="I242" s="207"/>
      <c r="J242" s="207"/>
      <c r="K242" s="207"/>
      <c r="L242" s="207"/>
      <c r="M242" s="207"/>
      <c r="N242" s="207"/>
      <c r="O242" s="207"/>
      <c r="P242" s="207"/>
      <c r="Q242" s="207"/>
      <c r="R242" s="207"/>
      <c r="S242" s="207"/>
      <c r="T242" s="207"/>
      <c r="U242" s="207"/>
      <c r="V242" s="207"/>
      <c r="W242" s="208"/>
      <c r="X242" s="208"/>
      <c r="Y242" s="208"/>
      <c r="Z242" s="208"/>
      <c r="AA242" s="208"/>
      <c r="AB242" s="208"/>
      <c r="AC242" s="208"/>
      <c r="AD242" s="208"/>
      <c r="AE242" s="208"/>
      <c r="AF242" s="208"/>
      <c r="AG242" s="208"/>
      <c r="AH242" s="208"/>
      <c r="AI242" s="100"/>
      <c r="AJ242" s="100"/>
      <c r="AK242" s="100"/>
      <c r="AL242" s="100"/>
      <c r="AM242" s="100"/>
    </row>
    <row r="243" ht="14.25" customHeight="1">
      <c r="A243" s="100"/>
      <c r="B243" s="100"/>
      <c r="C243" s="100"/>
      <c r="D243" s="100"/>
      <c r="E243" s="100"/>
      <c r="F243" s="206"/>
      <c r="G243" s="206"/>
      <c r="H243" s="207"/>
      <c r="I243" s="207"/>
      <c r="J243" s="207"/>
      <c r="K243" s="207"/>
      <c r="L243" s="207"/>
      <c r="M243" s="207"/>
      <c r="N243" s="207"/>
      <c r="O243" s="207"/>
      <c r="P243" s="207"/>
      <c r="Q243" s="207"/>
      <c r="R243" s="207"/>
      <c r="S243" s="207"/>
      <c r="T243" s="207"/>
      <c r="U243" s="207"/>
      <c r="V243" s="207"/>
      <c r="W243" s="208"/>
      <c r="X243" s="208"/>
      <c r="Y243" s="208"/>
      <c r="Z243" s="208"/>
      <c r="AA243" s="208"/>
      <c r="AB243" s="208"/>
      <c r="AC243" s="208"/>
      <c r="AD243" s="208"/>
      <c r="AE243" s="208"/>
      <c r="AF243" s="208"/>
      <c r="AG243" s="208"/>
      <c r="AH243" s="208"/>
      <c r="AI243" s="100"/>
      <c r="AJ243" s="100"/>
      <c r="AK243" s="100"/>
      <c r="AL243" s="100"/>
      <c r="AM243" s="100"/>
    </row>
    <row r="244" ht="14.25" customHeight="1">
      <c r="A244" s="100"/>
      <c r="B244" s="100"/>
      <c r="C244" s="100"/>
      <c r="D244" s="100"/>
      <c r="E244" s="100"/>
      <c r="F244" s="206"/>
      <c r="G244" s="206"/>
      <c r="H244" s="207"/>
      <c r="I244" s="207"/>
      <c r="J244" s="207"/>
      <c r="K244" s="207"/>
      <c r="L244" s="207"/>
      <c r="M244" s="207"/>
      <c r="N244" s="207"/>
      <c r="O244" s="207"/>
      <c r="P244" s="207"/>
      <c r="Q244" s="207"/>
      <c r="R244" s="207"/>
      <c r="S244" s="207"/>
      <c r="T244" s="207"/>
      <c r="U244" s="207"/>
      <c r="V244" s="207"/>
      <c r="W244" s="208"/>
      <c r="X244" s="208"/>
      <c r="Y244" s="208"/>
      <c r="Z244" s="208"/>
      <c r="AA244" s="208"/>
      <c r="AB244" s="208"/>
      <c r="AC244" s="208"/>
      <c r="AD244" s="208"/>
      <c r="AE244" s="208"/>
      <c r="AF244" s="208"/>
      <c r="AG244" s="208"/>
      <c r="AH244" s="208"/>
      <c r="AI244" s="100"/>
      <c r="AJ244" s="100"/>
      <c r="AK244" s="100"/>
      <c r="AL244" s="100"/>
      <c r="AM244" s="100"/>
    </row>
    <row r="245" ht="14.25" customHeight="1">
      <c r="A245" s="100"/>
      <c r="B245" s="100"/>
      <c r="C245" s="100"/>
      <c r="D245" s="100"/>
      <c r="E245" s="100"/>
      <c r="F245" s="206"/>
      <c r="G245" s="206"/>
      <c r="H245" s="207"/>
      <c r="I245" s="207"/>
      <c r="J245" s="207"/>
      <c r="K245" s="207"/>
      <c r="L245" s="207"/>
      <c r="M245" s="207"/>
      <c r="N245" s="207"/>
      <c r="O245" s="207"/>
      <c r="P245" s="207"/>
      <c r="Q245" s="207"/>
      <c r="R245" s="207"/>
      <c r="S245" s="207"/>
      <c r="T245" s="207"/>
      <c r="U245" s="207"/>
      <c r="V245" s="207"/>
      <c r="W245" s="208"/>
      <c r="X245" s="208"/>
      <c r="Y245" s="208"/>
      <c r="Z245" s="208"/>
      <c r="AA245" s="208"/>
      <c r="AB245" s="208"/>
      <c r="AC245" s="208"/>
      <c r="AD245" s="208"/>
      <c r="AE245" s="208"/>
      <c r="AF245" s="208"/>
      <c r="AG245" s="208"/>
      <c r="AH245" s="208"/>
      <c r="AI245" s="100"/>
      <c r="AJ245" s="100"/>
      <c r="AK245" s="100"/>
      <c r="AL245" s="100"/>
      <c r="AM245" s="100"/>
    </row>
    <row r="246" ht="14.25" customHeight="1">
      <c r="A246" s="100"/>
      <c r="B246" s="100"/>
      <c r="C246" s="100"/>
      <c r="D246" s="100"/>
      <c r="E246" s="100"/>
      <c r="F246" s="206"/>
      <c r="G246" s="206"/>
      <c r="H246" s="207"/>
      <c r="I246" s="207"/>
      <c r="J246" s="207"/>
      <c r="K246" s="207"/>
      <c r="L246" s="207"/>
      <c r="M246" s="207"/>
      <c r="N246" s="207"/>
      <c r="O246" s="207"/>
      <c r="P246" s="207"/>
      <c r="Q246" s="207"/>
      <c r="R246" s="207"/>
      <c r="S246" s="207"/>
      <c r="T246" s="207"/>
      <c r="U246" s="207"/>
      <c r="V246" s="207"/>
      <c r="W246" s="208"/>
      <c r="X246" s="208"/>
      <c r="Y246" s="208"/>
      <c r="Z246" s="208"/>
      <c r="AA246" s="208"/>
      <c r="AB246" s="208"/>
      <c r="AC246" s="208"/>
      <c r="AD246" s="208"/>
      <c r="AE246" s="208"/>
      <c r="AF246" s="208"/>
      <c r="AG246" s="208"/>
      <c r="AH246" s="208"/>
      <c r="AI246" s="100"/>
      <c r="AJ246" s="100"/>
      <c r="AK246" s="100"/>
      <c r="AL246" s="100"/>
      <c r="AM246" s="100"/>
    </row>
    <row r="247" ht="14.25" customHeight="1">
      <c r="A247" s="100"/>
      <c r="B247" s="100"/>
      <c r="C247" s="100"/>
      <c r="D247" s="100"/>
      <c r="E247" s="100"/>
      <c r="F247" s="206"/>
      <c r="G247" s="206"/>
      <c r="H247" s="207"/>
      <c r="I247" s="207"/>
      <c r="J247" s="207"/>
      <c r="K247" s="207"/>
      <c r="L247" s="207"/>
      <c r="M247" s="207"/>
      <c r="N247" s="207"/>
      <c r="O247" s="207"/>
      <c r="P247" s="207"/>
      <c r="Q247" s="207"/>
      <c r="R247" s="207"/>
      <c r="S247" s="207"/>
      <c r="T247" s="207"/>
      <c r="U247" s="207"/>
      <c r="V247" s="207"/>
      <c r="W247" s="208"/>
      <c r="X247" s="208"/>
      <c r="Y247" s="208"/>
      <c r="Z247" s="208"/>
      <c r="AA247" s="208"/>
      <c r="AB247" s="208"/>
      <c r="AC247" s="208"/>
      <c r="AD247" s="208"/>
      <c r="AE247" s="208"/>
      <c r="AF247" s="208"/>
      <c r="AG247" s="208"/>
      <c r="AH247" s="208"/>
      <c r="AI247" s="100"/>
      <c r="AJ247" s="100"/>
      <c r="AK247" s="100"/>
      <c r="AL247" s="100"/>
      <c r="AM247" s="100"/>
    </row>
    <row r="248" ht="14.25" customHeight="1">
      <c r="A248" s="100"/>
      <c r="B248" s="100"/>
      <c r="C248" s="100"/>
      <c r="D248" s="100"/>
      <c r="E248" s="100"/>
      <c r="F248" s="206"/>
      <c r="G248" s="206"/>
      <c r="H248" s="207"/>
      <c r="I248" s="207"/>
      <c r="J248" s="207"/>
      <c r="K248" s="207"/>
      <c r="L248" s="207"/>
      <c r="M248" s="207"/>
      <c r="N248" s="207"/>
      <c r="O248" s="207"/>
      <c r="P248" s="207"/>
      <c r="Q248" s="207"/>
      <c r="R248" s="207"/>
      <c r="S248" s="207"/>
      <c r="T248" s="207"/>
      <c r="U248" s="207"/>
      <c r="V248" s="207"/>
      <c r="W248" s="208"/>
      <c r="X248" s="208"/>
      <c r="Y248" s="208"/>
      <c r="Z248" s="208"/>
      <c r="AA248" s="208"/>
      <c r="AB248" s="208"/>
      <c r="AC248" s="208"/>
      <c r="AD248" s="208"/>
      <c r="AE248" s="208"/>
      <c r="AF248" s="208"/>
      <c r="AG248" s="208"/>
      <c r="AH248" s="208"/>
      <c r="AI248" s="100"/>
      <c r="AJ248" s="100"/>
      <c r="AK248" s="100"/>
      <c r="AL248" s="100"/>
      <c r="AM248" s="100"/>
    </row>
    <row r="249" ht="14.25" customHeight="1">
      <c r="A249" s="100"/>
      <c r="B249" s="100"/>
      <c r="C249" s="100"/>
      <c r="D249" s="100"/>
      <c r="E249" s="100"/>
      <c r="F249" s="206"/>
      <c r="G249" s="206"/>
      <c r="H249" s="207"/>
      <c r="I249" s="207"/>
      <c r="J249" s="207"/>
      <c r="K249" s="207"/>
      <c r="L249" s="207"/>
      <c r="M249" s="207"/>
      <c r="N249" s="207"/>
      <c r="O249" s="207"/>
      <c r="P249" s="207"/>
      <c r="Q249" s="207"/>
      <c r="R249" s="207"/>
      <c r="S249" s="207"/>
      <c r="T249" s="207"/>
      <c r="U249" s="207"/>
      <c r="V249" s="207"/>
      <c r="W249" s="208"/>
      <c r="X249" s="208"/>
      <c r="Y249" s="208"/>
      <c r="Z249" s="208"/>
      <c r="AA249" s="208"/>
      <c r="AB249" s="208"/>
      <c r="AC249" s="208"/>
      <c r="AD249" s="208"/>
      <c r="AE249" s="208"/>
      <c r="AF249" s="208"/>
      <c r="AG249" s="208"/>
      <c r="AH249" s="208"/>
      <c r="AI249" s="100"/>
      <c r="AJ249" s="100"/>
      <c r="AK249" s="100"/>
      <c r="AL249" s="100"/>
      <c r="AM249" s="100"/>
    </row>
    <row r="250" ht="14.25" customHeight="1">
      <c r="A250" s="100"/>
      <c r="B250" s="100"/>
      <c r="C250" s="100"/>
      <c r="D250" s="100"/>
      <c r="E250" s="100"/>
      <c r="F250" s="206"/>
      <c r="G250" s="206"/>
      <c r="H250" s="207"/>
      <c r="I250" s="207"/>
      <c r="J250" s="207"/>
      <c r="K250" s="207"/>
      <c r="L250" s="207"/>
      <c r="M250" s="207"/>
      <c r="N250" s="207"/>
      <c r="O250" s="207"/>
      <c r="P250" s="207"/>
      <c r="Q250" s="207"/>
      <c r="R250" s="207"/>
      <c r="S250" s="207"/>
      <c r="T250" s="207"/>
      <c r="U250" s="207"/>
      <c r="V250" s="207"/>
      <c r="W250" s="208"/>
      <c r="X250" s="208"/>
      <c r="Y250" s="208"/>
      <c r="Z250" s="208"/>
      <c r="AA250" s="208"/>
      <c r="AB250" s="208"/>
      <c r="AC250" s="208"/>
      <c r="AD250" s="208"/>
      <c r="AE250" s="208"/>
      <c r="AF250" s="208"/>
      <c r="AG250" s="208"/>
      <c r="AH250" s="208"/>
      <c r="AI250" s="100"/>
      <c r="AJ250" s="100"/>
      <c r="AK250" s="100"/>
      <c r="AL250" s="100"/>
      <c r="AM250" s="100"/>
    </row>
    <row r="251" ht="14.25" customHeight="1">
      <c r="A251" s="100"/>
      <c r="B251" s="100"/>
      <c r="C251" s="100"/>
      <c r="D251" s="100"/>
      <c r="E251" s="100"/>
      <c r="F251" s="206"/>
      <c r="G251" s="206"/>
      <c r="H251" s="207"/>
      <c r="I251" s="207"/>
      <c r="J251" s="207"/>
      <c r="K251" s="207"/>
      <c r="L251" s="207"/>
      <c r="M251" s="207"/>
      <c r="N251" s="207"/>
      <c r="O251" s="207"/>
      <c r="P251" s="207"/>
      <c r="Q251" s="207"/>
      <c r="R251" s="207"/>
      <c r="S251" s="207"/>
      <c r="T251" s="207"/>
      <c r="U251" s="207"/>
      <c r="V251" s="207"/>
      <c r="W251" s="208"/>
      <c r="X251" s="208"/>
      <c r="Y251" s="208"/>
      <c r="Z251" s="208"/>
      <c r="AA251" s="208"/>
      <c r="AB251" s="208"/>
      <c r="AC251" s="208"/>
      <c r="AD251" s="208"/>
      <c r="AE251" s="208"/>
      <c r="AF251" s="208"/>
      <c r="AG251" s="208"/>
      <c r="AH251" s="208"/>
      <c r="AI251" s="100"/>
      <c r="AJ251" s="100"/>
      <c r="AK251" s="100"/>
      <c r="AL251" s="100"/>
      <c r="AM251" s="100"/>
    </row>
    <row r="252" ht="14.25" customHeight="1">
      <c r="A252" s="100"/>
      <c r="B252" s="100"/>
      <c r="C252" s="100"/>
      <c r="D252" s="100"/>
      <c r="E252" s="100"/>
      <c r="F252" s="206"/>
      <c r="G252" s="206"/>
      <c r="H252" s="207"/>
      <c r="I252" s="207"/>
      <c r="J252" s="207"/>
      <c r="K252" s="207"/>
      <c r="L252" s="207"/>
      <c r="M252" s="207"/>
      <c r="N252" s="207"/>
      <c r="O252" s="207"/>
      <c r="P252" s="207"/>
      <c r="Q252" s="207"/>
      <c r="R252" s="207"/>
      <c r="S252" s="207"/>
      <c r="T252" s="207"/>
      <c r="U252" s="207"/>
      <c r="V252" s="207"/>
      <c r="W252" s="208"/>
      <c r="X252" s="208"/>
      <c r="Y252" s="208"/>
      <c r="Z252" s="208"/>
      <c r="AA252" s="208"/>
      <c r="AB252" s="208"/>
      <c r="AC252" s="208"/>
      <c r="AD252" s="208"/>
      <c r="AE252" s="208"/>
      <c r="AF252" s="208"/>
      <c r="AG252" s="208"/>
      <c r="AH252" s="208"/>
      <c r="AI252" s="100"/>
      <c r="AJ252" s="100"/>
      <c r="AK252" s="100"/>
      <c r="AL252" s="100"/>
      <c r="AM252" s="100"/>
    </row>
    <row r="253" ht="14.25" customHeight="1">
      <c r="A253" s="100"/>
      <c r="B253" s="100"/>
      <c r="C253" s="100"/>
      <c r="D253" s="100"/>
      <c r="E253" s="100"/>
      <c r="F253" s="206"/>
      <c r="G253" s="206"/>
      <c r="H253" s="207"/>
      <c r="I253" s="207"/>
      <c r="J253" s="207"/>
      <c r="K253" s="207"/>
      <c r="L253" s="207"/>
      <c r="M253" s="207"/>
      <c r="N253" s="207"/>
      <c r="O253" s="207"/>
      <c r="P253" s="207"/>
      <c r="Q253" s="207"/>
      <c r="R253" s="207"/>
      <c r="S253" s="207"/>
      <c r="T253" s="207"/>
      <c r="U253" s="207"/>
      <c r="V253" s="207"/>
      <c r="W253" s="208"/>
      <c r="X253" s="208"/>
      <c r="Y253" s="208"/>
      <c r="Z253" s="208"/>
      <c r="AA253" s="208"/>
      <c r="AB253" s="208"/>
      <c r="AC253" s="208"/>
      <c r="AD253" s="208"/>
      <c r="AE253" s="208"/>
      <c r="AF253" s="208"/>
      <c r="AG253" s="208"/>
      <c r="AH253" s="208"/>
      <c r="AI253" s="100"/>
      <c r="AJ253" s="100"/>
      <c r="AK253" s="100"/>
      <c r="AL253" s="100"/>
      <c r="AM253" s="100"/>
    </row>
    <row r="254" ht="14.25" customHeight="1">
      <c r="A254" s="100"/>
      <c r="B254" s="100"/>
      <c r="C254" s="100"/>
      <c r="D254" s="100"/>
      <c r="E254" s="100"/>
      <c r="F254" s="206"/>
      <c r="G254" s="206"/>
      <c r="H254" s="207"/>
      <c r="I254" s="207"/>
      <c r="J254" s="207"/>
      <c r="K254" s="207"/>
      <c r="L254" s="207"/>
      <c r="M254" s="207"/>
      <c r="N254" s="207"/>
      <c r="O254" s="207"/>
      <c r="P254" s="207"/>
      <c r="Q254" s="207"/>
      <c r="R254" s="207"/>
      <c r="S254" s="207"/>
      <c r="T254" s="207"/>
      <c r="U254" s="207"/>
      <c r="V254" s="207"/>
      <c r="W254" s="208"/>
      <c r="X254" s="208"/>
      <c r="Y254" s="208"/>
      <c r="Z254" s="208"/>
      <c r="AA254" s="208"/>
      <c r="AB254" s="208"/>
      <c r="AC254" s="208"/>
      <c r="AD254" s="208"/>
      <c r="AE254" s="208"/>
      <c r="AF254" s="208"/>
      <c r="AG254" s="208"/>
      <c r="AH254" s="208"/>
      <c r="AI254" s="100"/>
      <c r="AJ254" s="100"/>
      <c r="AK254" s="100"/>
      <c r="AL254" s="100"/>
      <c r="AM254" s="100"/>
    </row>
    <row r="255" ht="14.25" customHeight="1">
      <c r="A255" s="100"/>
      <c r="B255" s="100"/>
      <c r="C255" s="100"/>
      <c r="D255" s="100"/>
      <c r="E255" s="100"/>
      <c r="F255" s="206"/>
      <c r="G255" s="206"/>
      <c r="H255" s="207"/>
      <c r="I255" s="207"/>
      <c r="J255" s="207"/>
      <c r="K255" s="207"/>
      <c r="L255" s="207"/>
      <c r="M255" s="207"/>
      <c r="N255" s="207"/>
      <c r="O255" s="207"/>
      <c r="P255" s="207"/>
      <c r="Q255" s="207"/>
      <c r="R255" s="207"/>
      <c r="S255" s="207"/>
      <c r="T255" s="207"/>
      <c r="U255" s="207"/>
      <c r="V255" s="207"/>
      <c r="W255" s="208"/>
      <c r="X255" s="208"/>
      <c r="Y255" s="208"/>
      <c r="Z255" s="208"/>
      <c r="AA255" s="208"/>
      <c r="AB255" s="208"/>
      <c r="AC255" s="208"/>
      <c r="AD255" s="208"/>
      <c r="AE255" s="208"/>
      <c r="AF255" s="208"/>
      <c r="AG255" s="208"/>
      <c r="AH255" s="208"/>
      <c r="AI255" s="100"/>
      <c r="AJ255" s="100"/>
      <c r="AK255" s="100"/>
      <c r="AL255" s="100"/>
      <c r="AM255" s="100"/>
    </row>
    <row r="256" ht="14.25" customHeight="1">
      <c r="A256" s="100"/>
      <c r="B256" s="100"/>
      <c r="C256" s="100"/>
      <c r="D256" s="100"/>
      <c r="E256" s="100"/>
      <c r="F256" s="206"/>
      <c r="G256" s="206"/>
      <c r="H256" s="207"/>
      <c r="I256" s="207"/>
      <c r="J256" s="207"/>
      <c r="K256" s="207"/>
      <c r="L256" s="207"/>
      <c r="M256" s="207"/>
      <c r="N256" s="207"/>
      <c r="O256" s="207"/>
      <c r="P256" s="207"/>
      <c r="Q256" s="207"/>
      <c r="R256" s="207"/>
      <c r="S256" s="207"/>
      <c r="T256" s="207"/>
      <c r="U256" s="207"/>
      <c r="V256" s="207"/>
      <c r="W256" s="208"/>
      <c r="X256" s="208"/>
      <c r="Y256" s="208"/>
      <c r="Z256" s="208"/>
      <c r="AA256" s="208"/>
      <c r="AB256" s="208"/>
      <c r="AC256" s="208"/>
      <c r="AD256" s="208"/>
      <c r="AE256" s="208"/>
      <c r="AF256" s="208"/>
      <c r="AG256" s="208"/>
      <c r="AH256" s="208"/>
      <c r="AI256" s="100"/>
      <c r="AJ256" s="100"/>
      <c r="AK256" s="100"/>
      <c r="AL256" s="100"/>
      <c r="AM256" s="100"/>
    </row>
    <row r="257" ht="14.25" customHeight="1">
      <c r="A257" s="100"/>
      <c r="B257" s="100"/>
      <c r="C257" s="100"/>
      <c r="D257" s="100"/>
      <c r="E257" s="100"/>
      <c r="F257" s="206"/>
      <c r="G257" s="206"/>
      <c r="H257" s="207"/>
      <c r="I257" s="207"/>
      <c r="J257" s="207"/>
      <c r="K257" s="207"/>
      <c r="L257" s="207"/>
      <c r="M257" s="207"/>
      <c r="N257" s="207"/>
      <c r="O257" s="207"/>
      <c r="P257" s="207"/>
      <c r="Q257" s="207"/>
      <c r="R257" s="207"/>
      <c r="S257" s="207"/>
      <c r="T257" s="207"/>
      <c r="U257" s="207"/>
      <c r="V257" s="207"/>
      <c r="W257" s="208"/>
      <c r="X257" s="208"/>
      <c r="Y257" s="208"/>
      <c r="Z257" s="208"/>
      <c r="AA257" s="208"/>
      <c r="AB257" s="208"/>
      <c r="AC257" s="208"/>
      <c r="AD257" s="208"/>
      <c r="AE257" s="208"/>
      <c r="AF257" s="208"/>
      <c r="AG257" s="208"/>
      <c r="AH257" s="208"/>
      <c r="AI257" s="100"/>
      <c r="AJ257" s="100"/>
      <c r="AK257" s="100"/>
      <c r="AL257" s="100"/>
      <c r="AM257" s="100"/>
    </row>
    <row r="258" ht="14.25" customHeight="1">
      <c r="A258" s="100"/>
      <c r="B258" s="100"/>
      <c r="C258" s="100"/>
      <c r="D258" s="100"/>
      <c r="E258" s="100"/>
      <c r="F258" s="206"/>
      <c r="G258" s="206"/>
      <c r="H258" s="207"/>
      <c r="I258" s="207"/>
      <c r="J258" s="207"/>
      <c r="K258" s="207"/>
      <c r="L258" s="207"/>
      <c r="M258" s="207"/>
      <c r="N258" s="207"/>
      <c r="O258" s="207"/>
      <c r="P258" s="207"/>
      <c r="Q258" s="207"/>
      <c r="R258" s="207"/>
      <c r="S258" s="207"/>
      <c r="T258" s="207"/>
      <c r="U258" s="207"/>
      <c r="V258" s="207"/>
      <c r="W258" s="208"/>
      <c r="X258" s="208"/>
      <c r="Y258" s="208"/>
      <c r="Z258" s="208"/>
      <c r="AA258" s="208"/>
      <c r="AB258" s="208"/>
      <c r="AC258" s="208"/>
      <c r="AD258" s="208"/>
      <c r="AE258" s="208"/>
      <c r="AF258" s="208"/>
      <c r="AG258" s="208"/>
      <c r="AH258" s="208"/>
      <c r="AI258" s="100"/>
      <c r="AJ258" s="100"/>
      <c r="AK258" s="100"/>
      <c r="AL258" s="100"/>
      <c r="AM258" s="100"/>
    </row>
    <row r="259" ht="14.25" customHeight="1">
      <c r="A259" s="100"/>
      <c r="B259" s="100"/>
      <c r="C259" s="100"/>
      <c r="D259" s="100"/>
      <c r="E259" s="100"/>
      <c r="F259" s="206"/>
      <c r="G259" s="206"/>
      <c r="H259" s="207"/>
      <c r="I259" s="207"/>
      <c r="J259" s="207"/>
      <c r="K259" s="207"/>
      <c r="L259" s="207"/>
      <c r="M259" s="207"/>
      <c r="N259" s="207"/>
      <c r="O259" s="207"/>
      <c r="P259" s="207"/>
      <c r="Q259" s="207"/>
      <c r="R259" s="207"/>
      <c r="S259" s="207"/>
      <c r="T259" s="207"/>
      <c r="U259" s="207"/>
      <c r="V259" s="207"/>
      <c r="W259" s="208"/>
      <c r="X259" s="208"/>
      <c r="Y259" s="208"/>
      <c r="Z259" s="208"/>
      <c r="AA259" s="208"/>
      <c r="AB259" s="208"/>
      <c r="AC259" s="208"/>
      <c r="AD259" s="208"/>
      <c r="AE259" s="208"/>
      <c r="AF259" s="208"/>
      <c r="AG259" s="208"/>
      <c r="AH259" s="208"/>
      <c r="AI259" s="100"/>
      <c r="AJ259" s="100"/>
      <c r="AK259" s="100"/>
      <c r="AL259" s="100"/>
      <c r="AM259" s="100"/>
    </row>
    <row r="260" ht="14.25" customHeight="1">
      <c r="A260" s="100"/>
      <c r="B260" s="100"/>
      <c r="C260" s="100"/>
      <c r="D260" s="100"/>
      <c r="E260" s="100"/>
      <c r="F260" s="206"/>
      <c r="G260" s="206"/>
      <c r="H260" s="207"/>
      <c r="I260" s="207"/>
      <c r="J260" s="207"/>
      <c r="K260" s="207"/>
      <c r="L260" s="207"/>
      <c r="M260" s="207"/>
      <c r="N260" s="207"/>
      <c r="O260" s="207"/>
      <c r="P260" s="207"/>
      <c r="Q260" s="207"/>
      <c r="R260" s="207"/>
      <c r="S260" s="207"/>
      <c r="T260" s="207"/>
      <c r="U260" s="207"/>
      <c r="V260" s="207"/>
      <c r="W260" s="208"/>
      <c r="X260" s="208"/>
      <c r="Y260" s="208"/>
      <c r="Z260" s="208"/>
      <c r="AA260" s="208"/>
      <c r="AB260" s="208"/>
      <c r="AC260" s="208"/>
      <c r="AD260" s="208"/>
      <c r="AE260" s="208"/>
      <c r="AF260" s="208"/>
      <c r="AG260" s="208"/>
      <c r="AH260" s="208"/>
      <c r="AI260" s="100"/>
      <c r="AJ260" s="100"/>
      <c r="AK260" s="100"/>
      <c r="AL260" s="100"/>
      <c r="AM260" s="100"/>
    </row>
    <row r="261" ht="14.25" customHeight="1">
      <c r="A261" s="100"/>
      <c r="B261" s="100"/>
      <c r="C261" s="100"/>
      <c r="D261" s="100"/>
      <c r="E261" s="100"/>
      <c r="F261" s="206"/>
      <c r="G261" s="206"/>
      <c r="H261" s="207"/>
      <c r="I261" s="207"/>
      <c r="J261" s="207"/>
      <c r="K261" s="207"/>
      <c r="L261" s="207"/>
      <c r="M261" s="207"/>
      <c r="N261" s="207"/>
      <c r="O261" s="207"/>
      <c r="P261" s="207"/>
      <c r="Q261" s="207"/>
      <c r="R261" s="207"/>
      <c r="S261" s="207"/>
      <c r="T261" s="207"/>
      <c r="U261" s="207"/>
      <c r="V261" s="207"/>
      <c r="W261" s="208"/>
      <c r="X261" s="208"/>
      <c r="Y261" s="208"/>
      <c r="Z261" s="208"/>
      <c r="AA261" s="208"/>
      <c r="AB261" s="208"/>
      <c r="AC261" s="208"/>
      <c r="AD261" s="208"/>
      <c r="AE261" s="208"/>
      <c r="AF261" s="208"/>
      <c r="AG261" s="208"/>
      <c r="AH261" s="208"/>
      <c r="AI261" s="100"/>
      <c r="AJ261" s="100"/>
      <c r="AK261" s="100"/>
      <c r="AL261" s="100"/>
      <c r="AM261" s="100"/>
    </row>
    <row r="262" ht="14.25" customHeight="1">
      <c r="A262" s="100"/>
      <c r="B262" s="100"/>
      <c r="C262" s="100"/>
      <c r="D262" s="100"/>
      <c r="E262" s="100"/>
      <c r="F262" s="206"/>
      <c r="G262" s="206"/>
      <c r="H262" s="207"/>
      <c r="I262" s="207"/>
      <c r="J262" s="207"/>
      <c r="K262" s="207"/>
      <c r="L262" s="207"/>
      <c r="M262" s="207"/>
      <c r="N262" s="207"/>
      <c r="O262" s="207"/>
      <c r="P262" s="207"/>
      <c r="Q262" s="207"/>
      <c r="R262" s="207"/>
      <c r="S262" s="207"/>
      <c r="T262" s="207"/>
      <c r="U262" s="207"/>
      <c r="V262" s="207"/>
      <c r="W262" s="208"/>
      <c r="X262" s="208"/>
      <c r="Y262" s="208"/>
      <c r="Z262" s="208"/>
      <c r="AA262" s="208"/>
      <c r="AB262" s="208"/>
      <c r="AC262" s="208"/>
      <c r="AD262" s="208"/>
      <c r="AE262" s="208"/>
      <c r="AF262" s="208"/>
      <c r="AG262" s="208"/>
      <c r="AH262" s="208"/>
      <c r="AI262" s="100"/>
      <c r="AJ262" s="100"/>
      <c r="AK262" s="100"/>
      <c r="AL262" s="100"/>
      <c r="AM262" s="100"/>
    </row>
    <row r="263" ht="14.25" customHeight="1">
      <c r="A263" s="100"/>
      <c r="B263" s="100"/>
      <c r="C263" s="100"/>
      <c r="D263" s="100"/>
      <c r="E263" s="100"/>
      <c r="F263" s="206"/>
      <c r="G263" s="206"/>
      <c r="H263" s="207"/>
      <c r="I263" s="207"/>
      <c r="J263" s="207"/>
      <c r="K263" s="207"/>
      <c r="L263" s="207"/>
      <c r="M263" s="207"/>
      <c r="N263" s="207"/>
      <c r="O263" s="207"/>
      <c r="P263" s="207"/>
      <c r="Q263" s="207"/>
      <c r="R263" s="207"/>
      <c r="S263" s="207"/>
      <c r="T263" s="207"/>
      <c r="U263" s="207"/>
      <c r="V263" s="207"/>
      <c r="W263" s="208"/>
      <c r="X263" s="208"/>
      <c r="Y263" s="208"/>
      <c r="Z263" s="208"/>
      <c r="AA263" s="208"/>
      <c r="AB263" s="208"/>
      <c r="AC263" s="208"/>
      <c r="AD263" s="208"/>
      <c r="AE263" s="208"/>
      <c r="AF263" s="208"/>
      <c r="AG263" s="208"/>
      <c r="AH263" s="208"/>
      <c r="AI263" s="100"/>
      <c r="AJ263" s="100"/>
      <c r="AK263" s="100"/>
      <c r="AL263" s="100"/>
      <c r="AM263" s="100"/>
    </row>
    <row r="264" ht="14.25" customHeight="1">
      <c r="A264" s="100"/>
      <c r="B264" s="100"/>
      <c r="C264" s="100"/>
      <c r="D264" s="100"/>
      <c r="E264" s="100"/>
      <c r="F264" s="206"/>
      <c r="G264" s="206"/>
      <c r="H264" s="207"/>
      <c r="I264" s="207"/>
      <c r="J264" s="207"/>
      <c r="K264" s="207"/>
      <c r="L264" s="207"/>
      <c r="M264" s="207"/>
      <c r="N264" s="207"/>
      <c r="O264" s="207"/>
      <c r="P264" s="207"/>
      <c r="Q264" s="207"/>
      <c r="R264" s="207"/>
      <c r="S264" s="207"/>
      <c r="T264" s="207"/>
      <c r="U264" s="207"/>
      <c r="V264" s="207"/>
      <c r="W264" s="208"/>
      <c r="X264" s="208"/>
      <c r="Y264" s="208"/>
      <c r="Z264" s="208"/>
      <c r="AA264" s="208"/>
      <c r="AB264" s="208"/>
      <c r="AC264" s="208"/>
      <c r="AD264" s="208"/>
      <c r="AE264" s="208"/>
      <c r="AF264" s="208"/>
      <c r="AG264" s="208"/>
      <c r="AH264" s="208"/>
      <c r="AI264" s="100"/>
      <c r="AJ264" s="100"/>
      <c r="AK264" s="100"/>
      <c r="AL264" s="100"/>
      <c r="AM264" s="100"/>
    </row>
    <row r="265" ht="14.25" customHeight="1">
      <c r="A265" s="100"/>
      <c r="B265" s="100"/>
      <c r="C265" s="100"/>
      <c r="D265" s="100"/>
      <c r="E265" s="100"/>
      <c r="F265" s="206"/>
      <c r="G265" s="206"/>
      <c r="H265" s="207"/>
      <c r="I265" s="207"/>
      <c r="J265" s="207"/>
      <c r="K265" s="207"/>
      <c r="L265" s="207"/>
      <c r="M265" s="207"/>
      <c r="N265" s="207"/>
      <c r="O265" s="207"/>
      <c r="P265" s="207"/>
      <c r="Q265" s="207"/>
      <c r="R265" s="207"/>
      <c r="S265" s="207"/>
      <c r="T265" s="207"/>
      <c r="U265" s="207"/>
      <c r="V265" s="207"/>
      <c r="W265" s="208"/>
      <c r="X265" s="208"/>
      <c r="Y265" s="208"/>
      <c r="Z265" s="208"/>
      <c r="AA265" s="208"/>
      <c r="AB265" s="208"/>
      <c r="AC265" s="208"/>
      <c r="AD265" s="208"/>
      <c r="AE265" s="208"/>
      <c r="AF265" s="208"/>
      <c r="AG265" s="208"/>
      <c r="AH265" s="208"/>
      <c r="AI265" s="100"/>
      <c r="AJ265" s="100"/>
      <c r="AK265" s="100"/>
      <c r="AL265" s="100"/>
      <c r="AM265" s="100"/>
    </row>
    <row r="266" ht="14.25" customHeight="1">
      <c r="A266" s="100"/>
      <c r="B266" s="100"/>
      <c r="C266" s="100"/>
      <c r="D266" s="100"/>
      <c r="E266" s="100"/>
      <c r="F266" s="206"/>
      <c r="G266" s="206"/>
      <c r="H266" s="207"/>
      <c r="I266" s="207"/>
      <c r="J266" s="207"/>
      <c r="K266" s="207"/>
      <c r="L266" s="207"/>
      <c r="M266" s="207"/>
      <c r="N266" s="207"/>
      <c r="O266" s="207"/>
      <c r="P266" s="207"/>
      <c r="Q266" s="207"/>
      <c r="R266" s="207"/>
      <c r="S266" s="207"/>
      <c r="T266" s="207"/>
      <c r="U266" s="207"/>
      <c r="V266" s="207"/>
      <c r="W266" s="208"/>
      <c r="X266" s="208"/>
      <c r="Y266" s="208"/>
      <c r="Z266" s="208"/>
      <c r="AA266" s="208"/>
      <c r="AB266" s="208"/>
      <c r="AC266" s="208"/>
      <c r="AD266" s="208"/>
      <c r="AE266" s="208"/>
      <c r="AF266" s="208"/>
      <c r="AG266" s="208"/>
      <c r="AH266" s="208"/>
      <c r="AI266" s="100"/>
      <c r="AJ266" s="100"/>
      <c r="AK266" s="100"/>
      <c r="AL266" s="100"/>
      <c r="AM266" s="100"/>
    </row>
    <row r="267" ht="14.25" customHeight="1">
      <c r="A267" s="100"/>
      <c r="B267" s="100"/>
      <c r="C267" s="100"/>
      <c r="D267" s="100"/>
      <c r="E267" s="100"/>
      <c r="F267" s="206"/>
      <c r="G267" s="206"/>
      <c r="H267" s="207"/>
      <c r="I267" s="207"/>
      <c r="J267" s="207"/>
      <c r="K267" s="207"/>
      <c r="L267" s="207"/>
      <c r="M267" s="207"/>
      <c r="N267" s="207"/>
      <c r="O267" s="207"/>
      <c r="P267" s="207"/>
      <c r="Q267" s="207"/>
      <c r="R267" s="207"/>
      <c r="S267" s="207"/>
      <c r="T267" s="207"/>
      <c r="U267" s="207"/>
      <c r="V267" s="207"/>
      <c r="W267" s="208"/>
      <c r="X267" s="208"/>
      <c r="Y267" s="208"/>
      <c r="Z267" s="208"/>
      <c r="AA267" s="208"/>
      <c r="AB267" s="208"/>
      <c r="AC267" s="208"/>
      <c r="AD267" s="208"/>
      <c r="AE267" s="208"/>
      <c r="AF267" s="208"/>
      <c r="AG267" s="208"/>
      <c r="AH267" s="208"/>
      <c r="AI267" s="100"/>
      <c r="AJ267" s="100"/>
      <c r="AK267" s="100"/>
      <c r="AL267" s="100"/>
      <c r="AM267" s="100"/>
    </row>
    <row r="268" ht="14.25" customHeight="1">
      <c r="A268" s="100"/>
      <c r="B268" s="100"/>
      <c r="C268" s="100"/>
      <c r="D268" s="100"/>
      <c r="E268" s="100"/>
      <c r="F268" s="206"/>
      <c r="G268" s="206"/>
      <c r="H268" s="207"/>
      <c r="I268" s="207"/>
      <c r="J268" s="207"/>
      <c r="K268" s="207"/>
      <c r="L268" s="207"/>
      <c r="M268" s="207"/>
      <c r="N268" s="207"/>
      <c r="O268" s="207"/>
      <c r="P268" s="207"/>
      <c r="Q268" s="207"/>
      <c r="R268" s="207"/>
      <c r="S268" s="207"/>
      <c r="T268" s="207"/>
      <c r="U268" s="207"/>
      <c r="V268" s="207"/>
      <c r="W268" s="208"/>
      <c r="X268" s="208"/>
      <c r="Y268" s="208"/>
      <c r="Z268" s="208"/>
      <c r="AA268" s="208"/>
      <c r="AB268" s="208"/>
      <c r="AC268" s="208"/>
      <c r="AD268" s="208"/>
      <c r="AE268" s="208"/>
      <c r="AF268" s="208"/>
      <c r="AG268" s="208"/>
      <c r="AH268" s="208"/>
      <c r="AI268" s="100"/>
      <c r="AJ268" s="100"/>
      <c r="AK268" s="100"/>
      <c r="AL268" s="100"/>
      <c r="AM268" s="100"/>
    </row>
    <row r="269" ht="14.25" customHeight="1">
      <c r="A269" s="100"/>
      <c r="B269" s="100"/>
      <c r="C269" s="100"/>
      <c r="D269" s="100"/>
      <c r="E269" s="100"/>
      <c r="F269" s="206"/>
      <c r="G269" s="206"/>
      <c r="H269" s="207"/>
      <c r="I269" s="207"/>
      <c r="J269" s="207"/>
      <c r="K269" s="207"/>
      <c r="L269" s="207"/>
      <c r="M269" s="207"/>
      <c r="N269" s="207"/>
      <c r="O269" s="207"/>
      <c r="P269" s="207"/>
      <c r="Q269" s="207"/>
      <c r="R269" s="207"/>
      <c r="S269" s="207"/>
      <c r="T269" s="207"/>
      <c r="U269" s="207"/>
      <c r="V269" s="207"/>
      <c r="W269" s="208"/>
      <c r="X269" s="208"/>
      <c r="Y269" s="208"/>
      <c r="Z269" s="208"/>
      <c r="AA269" s="208"/>
      <c r="AB269" s="208"/>
      <c r="AC269" s="208"/>
      <c r="AD269" s="208"/>
      <c r="AE269" s="208"/>
      <c r="AF269" s="208"/>
      <c r="AG269" s="208"/>
      <c r="AH269" s="208"/>
      <c r="AI269" s="100"/>
      <c r="AJ269" s="100"/>
      <c r="AK269" s="100"/>
      <c r="AL269" s="100"/>
      <c r="AM269" s="100"/>
    </row>
    <row r="270" ht="14.25" customHeight="1">
      <c r="A270" s="100"/>
      <c r="B270" s="100"/>
      <c r="C270" s="100"/>
      <c r="D270" s="100"/>
      <c r="E270" s="100"/>
      <c r="F270" s="206"/>
      <c r="G270" s="206"/>
      <c r="H270" s="207"/>
      <c r="I270" s="207"/>
      <c r="J270" s="207"/>
      <c r="K270" s="207"/>
      <c r="L270" s="207"/>
      <c r="M270" s="207"/>
      <c r="N270" s="207"/>
      <c r="O270" s="207"/>
      <c r="P270" s="207"/>
      <c r="Q270" s="207"/>
      <c r="R270" s="207"/>
      <c r="S270" s="207"/>
      <c r="T270" s="207"/>
      <c r="U270" s="207"/>
      <c r="V270" s="207"/>
      <c r="W270" s="208"/>
      <c r="X270" s="208"/>
      <c r="Y270" s="208"/>
      <c r="Z270" s="208"/>
      <c r="AA270" s="208"/>
      <c r="AB270" s="208"/>
      <c r="AC270" s="208"/>
      <c r="AD270" s="208"/>
      <c r="AE270" s="208"/>
      <c r="AF270" s="208"/>
      <c r="AG270" s="208"/>
      <c r="AH270" s="208"/>
      <c r="AI270" s="100"/>
      <c r="AJ270" s="100"/>
      <c r="AK270" s="100"/>
      <c r="AL270" s="100"/>
      <c r="AM270" s="100"/>
    </row>
    <row r="271" ht="14.25" customHeight="1">
      <c r="A271" s="100"/>
      <c r="B271" s="100"/>
      <c r="C271" s="100"/>
      <c r="D271" s="100"/>
      <c r="E271" s="100"/>
      <c r="F271" s="206"/>
      <c r="G271" s="206"/>
      <c r="H271" s="207"/>
      <c r="I271" s="207"/>
      <c r="J271" s="207"/>
      <c r="K271" s="207"/>
      <c r="L271" s="207"/>
      <c r="M271" s="207"/>
      <c r="N271" s="207"/>
      <c r="O271" s="207"/>
      <c r="P271" s="207"/>
      <c r="Q271" s="207"/>
      <c r="R271" s="207"/>
      <c r="S271" s="207"/>
      <c r="T271" s="207"/>
      <c r="U271" s="207"/>
      <c r="V271" s="207"/>
      <c r="W271" s="208"/>
      <c r="X271" s="208"/>
      <c r="Y271" s="208"/>
      <c r="Z271" s="208"/>
      <c r="AA271" s="208"/>
      <c r="AB271" s="208"/>
      <c r="AC271" s="208"/>
      <c r="AD271" s="208"/>
      <c r="AE271" s="208"/>
      <c r="AF271" s="208"/>
      <c r="AG271" s="208"/>
      <c r="AH271" s="208"/>
      <c r="AI271" s="100"/>
      <c r="AJ271" s="100"/>
      <c r="AK271" s="100"/>
      <c r="AL271" s="100"/>
      <c r="AM271" s="100"/>
    </row>
    <row r="272" ht="14.25" customHeight="1">
      <c r="A272" s="100"/>
      <c r="B272" s="100"/>
      <c r="C272" s="100"/>
      <c r="D272" s="100"/>
      <c r="E272" s="100"/>
      <c r="F272" s="206"/>
      <c r="G272" s="206"/>
      <c r="H272" s="207"/>
      <c r="I272" s="207"/>
      <c r="J272" s="207"/>
      <c r="K272" s="207"/>
      <c r="L272" s="207"/>
      <c r="M272" s="207"/>
      <c r="N272" s="207"/>
      <c r="O272" s="207"/>
      <c r="P272" s="207"/>
      <c r="Q272" s="207"/>
      <c r="R272" s="207"/>
      <c r="S272" s="207"/>
      <c r="T272" s="207"/>
      <c r="U272" s="207"/>
      <c r="V272" s="207"/>
      <c r="W272" s="208"/>
      <c r="X272" s="208"/>
      <c r="Y272" s="208"/>
      <c r="Z272" s="208"/>
      <c r="AA272" s="208"/>
      <c r="AB272" s="208"/>
      <c r="AC272" s="208"/>
      <c r="AD272" s="208"/>
      <c r="AE272" s="208"/>
      <c r="AF272" s="208"/>
      <c r="AG272" s="208"/>
      <c r="AH272" s="208"/>
      <c r="AI272" s="100"/>
      <c r="AJ272" s="100"/>
      <c r="AK272" s="100"/>
      <c r="AL272" s="100"/>
      <c r="AM272" s="100"/>
    </row>
    <row r="273" ht="14.25" customHeight="1">
      <c r="A273" s="100"/>
      <c r="B273" s="100"/>
      <c r="C273" s="100"/>
      <c r="D273" s="100"/>
      <c r="E273" s="100"/>
      <c r="F273" s="206"/>
      <c r="G273" s="206"/>
      <c r="H273" s="207"/>
      <c r="I273" s="207"/>
      <c r="J273" s="207"/>
      <c r="K273" s="207"/>
      <c r="L273" s="207"/>
      <c r="M273" s="207"/>
      <c r="N273" s="207"/>
      <c r="O273" s="207"/>
      <c r="P273" s="207"/>
      <c r="Q273" s="207"/>
      <c r="R273" s="207"/>
      <c r="S273" s="207"/>
      <c r="T273" s="207"/>
      <c r="U273" s="207"/>
      <c r="V273" s="207"/>
      <c r="W273" s="208"/>
      <c r="X273" s="208"/>
      <c r="Y273" s="208"/>
      <c r="Z273" s="208"/>
      <c r="AA273" s="208"/>
      <c r="AB273" s="208"/>
      <c r="AC273" s="208"/>
      <c r="AD273" s="208"/>
      <c r="AE273" s="208"/>
      <c r="AF273" s="208"/>
      <c r="AG273" s="208"/>
      <c r="AH273" s="208"/>
      <c r="AI273" s="100"/>
      <c r="AJ273" s="100"/>
      <c r="AK273" s="100"/>
      <c r="AL273" s="100"/>
      <c r="AM273" s="100"/>
    </row>
    <row r="274" ht="14.25" customHeight="1">
      <c r="A274" s="100"/>
      <c r="B274" s="100"/>
      <c r="C274" s="100"/>
      <c r="D274" s="100"/>
      <c r="E274" s="100"/>
      <c r="F274" s="206"/>
      <c r="G274" s="206"/>
      <c r="H274" s="207"/>
      <c r="I274" s="207"/>
      <c r="J274" s="207"/>
      <c r="K274" s="207"/>
      <c r="L274" s="207"/>
      <c r="M274" s="207"/>
      <c r="N274" s="207"/>
      <c r="O274" s="207"/>
      <c r="P274" s="207"/>
      <c r="Q274" s="207"/>
      <c r="R274" s="207"/>
      <c r="S274" s="207"/>
      <c r="T274" s="207"/>
      <c r="U274" s="207"/>
      <c r="V274" s="207"/>
      <c r="W274" s="208"/>
      <c r="X274" s="208"/>
      <c r="Y274" s="208"/>
      <c r="Z274" s="208"/>
      <c r="AA274" s="208"/>
      <c r="AB274" s="208"/>
      <c r="AC274" s="208"/>
      <c r="AD274" s="208"/>
      <c r="AE274" s="208"/>
      <c r="AF274" s="208"/>
      <c r="AG274" s="208"/>
      <c r="AH274" s="208"/>
      <c r="AI274" s="100"/>
      <c r="AJ274" s="100"/>
      <c r="AK274" s="100"/>
      <c r="AL274" s="100"/>
      <c r="AM274" s="100"/>
    </row>
    <row r="275" ht="14.25" customHeight="1">
      <c r="A275" s="100"/>
      <c r="B275" s="100"/>
      <c r="C275" s="100"/>
      <c r="D275" s="100"/>
      <c r="E275" s="100"/>
      <c r="F275" s="206"/>
      <c r="G275" s="206"/>
      <c r="H275" s="207"/>
      <c r="I275" s="207"/>
      <c r="J275" s="207"/>
      <c r="K275" s="207"/>
      <c r="L275" s="207"/>
      <c r="M275" s="207"/>
      <c r="N275" s="207"/>
      <c r="O275" s="207"/>
      <c r="P275" s="207"/>
      <c r="Q275" s="207"/>
      <c r="R275" s="207"/>
      <c r="S275" s="207"/>
      <c r="T275" s="207"/>
      <c r="U275" s="207"/>
      <c r="V275" s="207"/>
      <c r="W275" s="208"/>
      <c r="X275" s="208"/>
      <c r="Y275" s="208"/>
      <c r="Z275" s="208"/>
      <c r="AA275" s="208"/>
      <c r="AB275" s="208"/>
      <c r="AC275" s="208"/>
      <c r="AD275" s="208"/>
      <c r="AE275" s="208"/>
      <c r="AF275" s="208"/>
      <c r="AG275" s="208"/>
      <c r="AH275" s="208"/>
      <c r="AI275" s="100"/>
      <c r="AJ275" s="100"/>
      <c r="AK275" s="100"/>
      <c r="AL275" s="100"/>
      <c r="AM275" s="100"/>
    </row>
    <row r="276" ht="14.25" customHeight="1">
      <c r="A276" s="100"/>
      <c r="B276" s="100"/>
      <c r="C276" s="100"/>
      <c r="D276" s="100"/>
      <c r="E276" s="100"/>
      <c r="F276" s="206"/>
      <c r="G276" s="206"/>
      <c r="H276" s="207"/>
      <c r="I276" s="207"/>
      <c r="J276" s="207"/>
      <c r="K276" s="207"/>
      <c r="L276" s="207"/>
      <c r="M276" s="207"/>
      <c r="N276" s="207"/>
      <c r="O276" s="207"/>
      <c r="P276" s="207"/>
      <c r="Q276" s="207"/>
      <c r="R276" s="207"/>
      <c r="S276" s="207"/>
      <c r="T276" s="207"/>
      <c r="U276" s="207"/>
      <c r="V276" s="207"/>
      <c r="W276" s="208"/>
      <c r="X276" s="208"/>
      <c r="Y276" s="208"/>
      <c r="Z276" s="208"/>
      <c r="AA276" s="208"/>
      <c r="AB276" s="208"/>
      <c r="AC276" s="208"/>
      <c r="AD276" s="208"/>
      <c r="AE276" s="208"/>
      <c r="AF276" s="208"/>
      <c r="AG276" s="208"/>
      <c r="AH276" s="208"/>
      <c r="AI276" s="100"/>
      <c r="AJ276" s="100"/>
      <c r="AK276" s="100"/>
      <c r="AL276" s="100"/>
      <c r="AM276" s="100"/>
    </row>
    <row r="277" ht="14.25" customHeight="1">
      <c r="A277" s="100"/>
      <c r="B277" s="100"/>
      <c r="C277" s="100"/>
      <c r="D277" s="100"/>
      <c r="E277" s="100"/>
      <c r="F277" s="206"/>
      <c r="G277" s="206"/>
      <c r="H277" s="207"/>
      <c r="I277" s="207"/>
      <c r="J277" s="207"/>
      <c r="K277" s="207"/>
      <c r="L277" s="207"/>
      <c r="M277" s="207"/>
      <c r="N277" s="207"/>
      <c r="O277" s="207"/>
      <c r="P277" s="207"/>
      <c r="Q277" s="207"/>
      <c r="R277" s="207"/>
      <c r="S277" s="207"/>
      <c r="T277" s="207"/>
      <c r="U277" s="207"/>
      <c r="V277" s="207"/>
      <c r="W277" s="208"/>
      <c r="X277" s="208"/>
      <c r="Y277" s="208"/>
      <c r="Z277" s="208"/>
      <c r="AA277" s="208"/>
      <c r="AB277" s="208"/>
      <c r="AC277" s="208"/>
      <c r="AD277" s="208"/>
      <c r="AE277" s="208"/>
      <c r="AF277" s="208"/>
      <c r="AG277" s="208"/>
      <c r="AH277" s="208"/>
      <c r="AI277" s="100"/>
      <c r="AJ277" s="100"/>
      <c r="AK277" s="100"/>
      <c r="AL277" s="100"/>
      <c r="AM277" s="100"/>
    </row>
    <row r="278" ht="14.25" customHeight="1">
      <c r="A278" s="100"/>
      <c r="B278" s="100"/>
      <c r="C278" s="100"/>
      <c r="D278" s="100"/>
      <c r="E278" s="100"/>
      <c r="F278" s="206"/>
      <c r="G278" s="206"/>
      <c r="H278" s="207"/>
      <c r="I278" s="207"/>
      <c r="J278" s="207"/>
      <c r="K278" s="207"/>
      <c r="L278" s="207"/>
      <c r="M278" s="207"/>
      <c r="N278" s="207"/>
      <c r="O278" s="207"/>
      <c r="P278" s="207"/>
      <c r="Q278" s="207"/>
      <c r="R278" s="207"/>
      <c r="S278" s="207"/>
      <c r="T278" s="207"/>
      <c r="U278" s="207"/>
      <c r="V278" s="207"/>
      <c r="W278" s="208"/>
      <c r="X278" s="208"/>
      <c r="Y278" s="208"/>
      <c r="Z278" s="208"/>
      <c r="AA278" s="208"/>
      <c r="AB278" s="208"/>
      <c r="AC278" s="208"/>
      <c r="AD278" s="208"/>
      <c r="AE278" s="208"/>
      <c r="AF278" s="208"/>
      <c r="AG278" s="208"/>
      <c r="AH278" s="208"/>
      <c r="AI278" s="100"/>
      <c r="AJ278" s="100"/>
      <c r="AK278" s="100"/>
      <c r="AL278" s="100"/>
      <c r="AM278" s="100"/>
    </row>
    <row r="279" ht="14.25" customHeight="1">
      <c r="A279" s="100"/>
      <c r="B279" s="100"/>
      <c r="C279" s="100"/>
      <c r="D279" s="100"/>
      <c r="E279" s="100"/>
      <c r="F279" s="206"/>
      <c r="G279" s="206"/>
      <c r="H279" s="207"/>
      <c r="I279" s="207"/>
      <c r="J279" s="207"/>
      <c r="K279" s="207"/>
      <c r="L279" s="207"/>
      <c r="M279" s="207"/>
      <c r="N279" s="207"/>
      <c r="O279" s="207"/>
      <c r="P279" s="207"/>
      <c r="Q279" s="207"/>
      <c r="R279" s="207"/>
      <c r="S279" s="207"/>
      <c r="T279" s="207"/>
      <c r="U279" s="207"/>
      <c r="V279" s="207"/>
      <c r="W279" s="208"/>
      <c r="X279" s="208"/>
      <c r="Y279" s="208"/>
      <c r="Z279" s="208"/>
      <c r="AA279" s="208"/>
      <c r="AB279" s="208"/>
      <c r="AC279" s="208"/>
      <c r="AD279" s="208"/>
      <c r="AE279" s="208"/>
      <c r="AF279" s="208"/>
      <c r="AG279" s="208"/>
      <c r="AH279" s="208"/>
      <c r="AI279" s="100"/>
      <c r="AJ279" s="100"/>
      <c r="AK279" s="100"/>
      <c r="AL279" s="100"/>
      <c r="AM279" s="100"/>
    </row>
    <row r="280" ht="14.25" customHeight="1">
      <c r="A280" s="100"/>
      <c r="B280" s="100"/>
      <c r="C280" s="100"/>
      <c r="D280" s="100"/>
      <c r="E280" s="100"/>
      <c r="F280" s="206"/>
      <c r="G280" s="206"/>
      <c r="H280" s="207"/>
      <c r="I280" s="207"/>
      <c r="J280" s="207"/>
      <c r="K280" s="207"/>
      <c r="L280" s="207"/>
      <c r="M280" s="207"/>
      <c r="N280" s="207"/>
      <c r="O280" s="207"/>
      <c r="P280" s="207"/>
      <c r="Q280" s="207"/>
      <c r="R280" s="207"/>
      <c r="S280" s="207"/>
      <c r="T280" s="207"/>
      <c r="U280" s="207"/>
      <c r="V280" s="207"/>
      <c r="W280" s="208"/>
      <c r="X280" s="208"/>
      <c r="Y280" s="208"/>
      <c r="Z280" s="208"/>
      <c r="AA280" s="208"/>
      <c r="AB280" s="208"/>
      <c r="AC280" s="208"/>
      <c r="AD280" s="208"/>
      <c r="AE280" s="208"/>
      <c r="AF280" s="208"/>
      <c r="AG280" s="208"/>
      <c r="AH280" s="208"/>
      <c r="AI280" s="100"/>
      <c r="AJ280" s="100"/>
      <c r="AK280" s="100"/>
      <c r="AL280" s="100"/>
      <c r="AM280" s="100"/>
    </row>
    <row r="281" ht="14.25" customHeight="1">
      <c r="A281" s="100"/>
      <c r="B281" s="100"/>
      <c r="C281" s="100"/>
      <c r="D281" s="100"/>
      <c r="E281" s="100"/>
      <c r="F281" s="206"/>
      <c r="G281" s="206"/>
      <c r="H281" s="207"/>
      <c r="I281" s="207"/>
      <c r="J281" s="207"/>
      <c r="K281" s="207"/>
      <c r="L281" s="207"/>
      <c r="M281" s="207"/>
      <c r="N281" s="207"/>
      <c r="O281" s="207"/>
      <c r="P281" s="207"/>
      <c r="Q281" s="207"/>
      <c r="R281" s="207"/>
      <c r="S281" s="207"/>
      <c r="T281" s="207"/>
      <c r="U281" s="207"/>
      <c r="V281" s="207"/>
      <c r="W281" s="208"/>
      <c r="X281" s="208"/>
      <c r="Y281" s="208"/>
      <c r="Z281" s="208"/>
      <c r="AA281" s="208"/>
      <c r="AB281" s="208"/>
      <c r="AC281" s="208"/>
      <c r="AD281" s="208"/>
      <c r="AE281" s="208"/>
      <c r="AF281" s="208"/>
      <c r="AG281" s="208"/>
      <c r="AH281" s="208"/>
      <c r="AI281" s="100"/>
      <c r="AJ281" s="100"/>
      <c r="AK281" s="100"/>
      <c r="AL281" s="100"/>
      <c r="AM281" s="100"/>
    </row>
    <row r="282" ht="14.25" customHeight="1">
      <c r="A282" s="100"/>
      <c r="B282" s="100"/>
      <c r="C282" s="100"/>
      <c r="D282" s="100"/>
      <c r="E282" s="100"/>
      <c r="F282" s="206"/>
      <c r="G282" s="206"/>
      <c r="H282" s="207"/>
      <c r="I282" s="207"/>
      <c r="J282" s="207"/>
      <c r="K282" s="207"/>
      <c r="L282" s="207"/>
      <c r="M282" s="207"/>
      <c r="N282" s="207"/>
      <c r="O282" s="207"/>
      <c r="P282" s="207"/>
      <c r="Q282" s="207"/>
      <c r="R282" s="207"/>
      <c r="S282" s="207"/>
      <c r="T282" s="207"/>
      <c r="U282" s="207"/>
      <c r="V282" s="207"/>
      <c r="W282" s="208"/>
      <c r="X282" s="208"/>
      <c r="Y282" s="208"/>
      <c r="Z282" s="208"/>
      <c r="AA282" s="208"/>
      <c r="AB282" s="208"/>
      <c r="AC282" s="208"/>
      <c r="AD282" s="208"/>
      <c r="AE282" s="208"/>
      <c r="AF282" s="208"/>
      <c r="AG282" s="208"/>
      <c r="AH282" s="208"/>
      <c r="AI282" s="100"/>
      <c r="AJ282" s="100"/>
      <c r="AK282" s="100"/>
      <c r="AL282" s="100"/>
      <c r="AM282" s="100"/>
    </row>
    <row r="283" ht="14.25" customHeight="1">
      <c r="A283" s="100"/>
      <c r="B283" s="100"/>
      <c r="C283" s="100"/>
      <c r="D283" s="100"/>
      <c r="E283" s="100"/>
      <c r="F283" s="206"/>
      <c r="G283" s="206"/>
      <c r="H283" s="207"/>
      <c r="I283" s="207"/>
      <c r="J283" s="207"/>
      <c r="K283" s="207"/>
      <c r="L283" s="207"/>
      <c r="M283" s="207"/>
      <c r="N283" s="207"/>
      <c r="O283" s="207"/>
      <c r="P283" s="207"/>
      <c r="Q283" s="207"/>
      <c r="R283" s="207"/>
      <c r="S283" s="207"/>
      <c r="T283" s="207"/>
      <c r="U283" s="207"/>
      <c r="V283" s="207"/>
      <c r="W283" s="208"/>
      <c r="X283" s="208"/>
      <c r="Y283" s="208"/>
      <c r="Z283" s="208"/>
      <c r="AA283" s="208"/>
      <c r="AB283" s="208"/>
      <c r="AC283" s="208"/>
      <c r="AD283" s="208"/>
      <c r="AE283" s="208"/>
      <c r="AF283" s="208"/>
      <c r="AG283" s="208"/>
      <c r="AH283" s="208"/>
      <c r="AI283" s="100"/>
      <c r="AJ283" s="100"/>
      <c r="AK283" s="100"/>
      <c r="AL283" s="100"/>
      <c r="AM283" s="100"/>
    </row>
    <row r="284" ht="14.25" customHeight="1">
      <c r="A284" s="100"/>
      <c r="B284" s="100"/>
      <c r="C284" s="100"/>
      <c r="D284" s="100"/>
      <c r="E284" s="100"/>
      <c r="F284" s="206"/>
      <c r="G284" s="206"/>
      <c r="H284" s="207"/>
      <c r="I284" s="207"/>
      <c r="J284" s="207"/>
      <c r="K284" s="207"/>
      <c r="L284" s="207"/>
      <c r="M284" s="207"/>
      <c r="N284" s="207"/>
      <c r="O284" s="207"/>
      <c r="P284" s="207"/>
      <c r="Q284" s="207"/>
      <c r="R284" s="207"/>
      <c r="S284" s="207"/>
      <c r="T284" s="207"/>
      <c r="U284" s="207"/>
      <c r="V284" s="207"/>
      <c r="W284" s="208"/>
      <c r="X284" s="208"/>
      <c r="Y284" s="208"/>
      <c r="Z284" s="208"/>
      <c r="AA284" s="208"/>
      <c r="AB284" s="208"/>
      <c r="AC284" s="208"/>
      <c r="AD284" s="208"/>
      <c r="AE284" s="208"/>
      <c r="AF284" s="208"/>
      <c r="AG284" s="208"/>
      <c r="AH284" s="208"/>
      <c r="AI284" s="100"/>
      <c r="AJ284" s="100"/>
      <c r="AK284" s="100"/>
      <c r="AL284" s="100"/>
      <c r="AM284" s="100"/>
    </row>
    <row r="285" ht="14.25" customHeight="1">
      <c r="A285" s="100"/>
      <c r="B285" s="100"/>
      <c r="C285" s="100"/>
      <c r="D285" s="100"/>
      <c r="E285" s="100"/>
      <c r="F285" s="206"/>
      <c r="G285" s="206"/>
      <c r="H285" s="207"/>
      <c r="I285" s="207"/>
      <c r="J285" s="207"/>
      <c r="K285" s="207"/>
      <c r="L285" s="207"/>
      <c r="M285" s="207"/>
      <c r="N285" s="207"/>
      <c r="O285" s="207"/>
      <c r="P285" s="207"/>
      <c r="Q285" s="207"/>
      <c r="R285" s="207"/>
      <c r="S285" s="207"/>
      <c r="T285" s="207"/>
      <c r="U285" s="207"/>
      <c r="V285" s="207"/>
      <c r="W285" s="208"/>
      <c r="X285" s="208"/>
      <c r="Y285" s="208"/>
      <c r="Z285" s="208"/>
      <c r="AA285" s="208"/>
      <c r="AB285" s="208"/>
      <c r="AC285" s="208"/>
      <c r="AD285" s="208"/>
      <c r="AE285" s="208"/>
      <c r="AF285" s="208"/>
      <c r="AG285" s="208"/>
      <c r="AH285" s="208"/>
      <c r="AI285" s="100"/>
      <c r="AJ285" s="100"/>
      <c r="AK285" s="100"/>
      <c r="AL285" s="100"/>
      <c r="AM285" s="100"/>
    </row>
    <row r="286" ht="14.25" customHeight="1">
      <c r="A286" s="100"/>
      <c r="B286" s="100"/>
      <c r="C286" s="100"/>
      <c r="D286" s="100"/>
      <c r="E286" s="100"/>
      <c r="F286" s="206"/>
      <c r="G286" s="206"/>
      <c r="H286" s="207"/>
      <c r="I286" s="207"/>
      <c r="J286" s="207"/>
      <c r="K286" s="207"/>
      <c r="L286" s="207"/>
      <c r="M286" s="207"/>
      <c r="N286" s="207"/>
      <c r="O286" s="207"/>
      <c r="P286" s="207"/>
      <c r="Q286" s="207"/>
      <c r="R286" s="207"/>
      <c r="S286" s="207"/>
      <c r="T286" s="207"/>
      <c r="U286" s="207"/>
      <c r="V286" s="207"/>
      <c r="W286" s="208"/>
      <c r="X286" s="208"/>
      <c r="Y286" s="208"/>
      <c r="Z286" s="208"/>
      <c r="AA286" s="208"/>
      <c r="AB286" s="208"/>
      <c r="AC286" s="208"/>
      <c r="AD286" s="208"/>
      <c r="AE286" s="208"/>
      <c r="AF286" s="208"/>
      <c r="AG286" s="208"/>
      <c r="AH286" s="208"/>
      <c r="AI286" s="100"/>
      <c r="AJ286" s="100"/>
      <c r="AK286" s="100"/>
      <c r="AL286" s="100"/>
      <c r="AM286" s="100"/>
    </row>
    <row r="287" ht="14.25" customHeight="1">
      <c r="A287" s="100"/>
      <c r="B287" s="100"/>
      <c r="C287" s="100"/>
      <c r="D287" s="100"/>
      <c r="E287" s="100"/>
      <c r="F287" s="206"/>
      <c r="G287" s="206"/>
      <c r="H287" s="207"/>
      <c r="I287" s="207"/>
      <c r="J287" s="207"/>
      <c r="K287" s="207"/>
      <c r="L287" s="207"/>
      <c r="M287" s="207"/>
      <c r="N287" s="207"/>
      <c r="O287" s="207"/>
      <c r="P287" s="207"/>
      <c r="Q287" s="207"/>
      <c r="R287" s="207"/>
      <c r="S287" s="207"/>
      <c r="T287" s="207"/>
      <c r="U287" s="207"/>
      <c r="V287" s="207"/>
      <c r="W287" s="208"/>
      <c r="X287" s="208"/>
      <c r="Y287" s="208"/>
      <c r="Z287" s="208"/>
      <c r="AA287" s="208"/>
      <c r="AB287" s="208"/>
      <c r="AC287" s="208"/>
      <c r="AD287" s="208"/>
      <c r="AE287" s="208"/>
      <c r="AF287" s="208"/>
      <c r="AG287" s="208"/>
      <c r="AH287" s="208"/>
      <c r="AI287" s="100"/>
      <c r="AJ287" s="100"/>
      <c r="AK287" s="100"/>
      <c r="AL287" s="100"/>
      <c r="AM287" s="100"/>
    </row>
    <row r="288" ht="14.25" customHeight="1">
      <c r="A288" s="100"/>
      <c r="B288" s="100"/>
      <c r="C288" s="100"/>
      <c r="D288" s="100"/>
      <c r="E288" s="100"/>
      <c r="F288" s="206"/>
      <c r="G288" s="206"/>
      <c r="H288" s="207"/>
      <c r="I288" s="207"/>
      <c r="J288" s="207"/>
      <c r="K288" s="207"/>
      <c r="L288" s="207"/>
      <c r="M288" s="207"/>
      <c r="N288" s="207"/>
      <c r="O288" s="207"/>
      <c r="P288" s="207"/>
      <c r="Q288" s="207"/>
      <c r="R288" s="207"/>
      <c r="S288" s="207"/>
      <c r="T288" s="207"/>
      <c r="U288" s="207"/>
      <c r="V288" s="207"/>
      <c r="W288" s="208"/>
      <c r="X288" s="208"/>
      <c r="Y288" s="208"/>
      <c r="Z288" s="208"/>
      <c r="AA288" s="208"/>
      <c r="AB288" s="208"/>
      <c r="AC288" s="208"/>
      <c r="AD288" s="208"/>
      <c r="AE288" s="208"/>
      <c r="AF288" s="208"/>
      <c r="AG288" s="208"/>
      <c r="AH288" s="208"/>
      <c r="AI288" s="100"/>
      <c r="AJ288" s="100"/>
      <c r="AK288" s="100"/>
      <c r="AL288" s="100"/>
      <c r="AM288" s="100"/>
    </row>
    <row r="289" ht="14.25" customHeight="1">
      <c r="A289" s="100"/>
      <c r="B289" s="100"/>
      <c r="C289" s="100"/>
      <c r="D289" s="100"/>
      <c r="E289" s="100"/>
      <c r="F289" s="206"/>
      <c r="G289" s="206"/>
      <c r="H289" s="207"/>
      <c r="I289" s="207"/>
      <c r="J289" s="207"/>
      <c r="K289" s="207"/>
      <c r="L289" s="207"/>
      <c r="M289" s="207"/>
      <c r="N289" s="207"/>
      <c r="O289" s="207"/>
      <c r="P289" s="207"/>
      <c r="Q289" s="207"/>
      <c r="R289" s="207"/>
      <c r="S289" s="207"/>
      <c r="T289" s="207"/>
      <c r="U289" s="207"/>
      <c r="V289" s="207"/>
      <c r="W289" s="208"/>
      <c r="X289" s="208"/>
      <c r="Y289" s="208"/>
      <c r="Z289" s="208"/>
      <c r="AA289" s="208"/>
      <c r="AB289" s="208"/>
      <c r="AC289" s="208"/>
      <c r="AD289" s="208"/>
      <c r="AE289" s="208"/>
      <c r="AF289" s="208"/>
      <c r="AG289" s="208"/>
      <c r="AH289" s="208"/>
      <c r="AI289" s="100"/>
      <c r="AJ289" s="100"/>
      <c r="AK289" s="100"/>
      <c r="AL289" s="100"/>
      <c r="AM289" s="100"/>
    </row>
    <row r="290" ht="14.25" customHeight="1">
      <c r="A290" s="100"/>
      <c r="B290" s="100"/>
      <c r="C290" s="100"/>
      <c r="D290" s="100"/>
      <c r="E290" s="100"/>
      <c r="F290" s="206"/>
      <c r="G290" s="206"/>
      <c r="H290" s="207"/>
      <c r="I290" s="207"/>
      <c r="J290" s="207"/>
      <c r="K290" s="207"/>
      <c r="L290" s="207"/>
      <c r="M290" s="207"/>
      <c r="N290" s="207"/>
      <c r="O290" s="207"/>
      <c r="P290" s="207"/>
      <c r="Q290" s="207"/>
      <c r="R290" s="207"/>
      <c r="S290" s="207"/>
      <c r="T290" s="207"/>
      <c r="U290" s="207"/>
      <c r="V290" s="207"/>
      <c r="W290" s="208"/>
      <c r="X290" s="208"/>
      <c r="Y290" s="208"/>
      <c r="Z290" s="208"/>
      <c r="AA290" s="208"/>
      <c r="AB290" s="208"/>
      <c r="AC290" s="208"/>
      <c r="AD290" s="208"/>
      <c r="AE290" s="208"/>
      <c r="AF290" s="208"/>
      <c r="AG290" s="208"/>
      <c r="AH290" s="208"/>
      <c r="AI290" s="100"/>
      <c r="AJ290" s="100"/>
      <c r="AK290" s="100"/>
      <c r="AL290" s="100"/>
      <c r="AM290" s="100"/>
    </row>
    <row r="291" ht="14.25" customHeight="1">
      <c r="A291" s="100"/>
      <c r="B291" s="100"/>
      <c r="C291" s="100"/>
      <c r="D291" s="100"/>
      <c r="E291" s="100"/>
      <c r="F291" s="206"/>
      <c r="G291" s="206"/>
      <c r="H291" s="207"/>
      <c r="I291" s="207"/>
      <c r="J291" s="207"/>
      <c r="K291" s="207"/>
      <c r="L291" s="207"/>
      <c r="M291" s="207"/>
      <c r="N291" s="207"/>
      <c r="O291" s="207"/>
      <c r="P291" s="207"/>
      <c r="Q291" s="207"/>
      <c r="R291" s="207"/>
      <c r="S291" s="207"/>
      <c r="T291" s="207"/>
      <c r="U291" s="207"/>
      <c r="V291" s="207"/>
      <c r="W291" s="208"/>
      <c r="X291" s="208"/>
      <c r="Y291" s="208"/>
      <c r="Z291" s="208"/>
      <c r="AA291" s="208"/>
      <c r="AB291" s="208"/>
      <c r="AC291" s="208"/>
      <c r="AD291" s="208"/>
      <c r="AE291" s="208"/>
      <c r="AF291" s="208"/>
      <c r="AG291" s="208"/>
      <c r="AH291" s="208"/>
      <c r="AI291" s="100"/>
      <c r="AJ291" s="100"/>
      <c r="AK291" s="100"/>
      <c r="AL291" s="100"/>
      <c r="AM291" s="100"/>
    </row>
    <row r="292" ht="14.25" customHeight="1">
      <c r="A292" s="100"/>
      <c r="B292" s="100"/>
      <c r="C292" s="100"/>
      <c r="D292" s="100"/>
      <c r="E292" s="100"/>
      <c r="F292" s="206"/>
      <c r="G292" s="206"/>
      <c r="H292" s="207"/>
      <c r="I292" s="207"/>
      <c r="J292" s="207"/>
      <c r="K292" s="207"/>
      <c r="L292" s="207"/>
      <c r="M292" s="207"/>
      <c r="N292" s="207"/>
      <c r="O292" s="207"/>
      <c r="P292" s="207"/>
      <c r="Q292" s="207"/>
      <c r="R292" s="207"/>
      <c r="S292" s="207"/>
      <c r="T292" s="207"/>
      <c r="U292" s="207"/>
      <c r="V292" s="207"/>
      <c r="W292" s="208"/>
      <c r="X292" s="208"/>
      <c r="Y292" s="208"/>
      <c r="Z292" s="208"/>
      <c r="AA292" s="208"/>
      <c r="AB292" s="208"/>
      <c r="AC292" s="208"/>
      <c r="AD292" s="208"/>
      <c r="AE292" s="208"/>
      <c r="AF292" s="208"/>
      <c r="AG292" s="208"/>
      <c r="AH292" s="208"/>
      <c r="AI292" s="100"/>
      <c r="AJ292" s="100"/>
      <c r="AK292" s="100"/>
      <c r="AL292" s="100"/>
      <c r="AM292" s="100"/>
    </row>
    <row r="293" ht="14.25" customHeight="1">
      <c r="A293" s="100"/>
      <c r="B293" s="100"/>
      <c r="C293" s="100"/>
      <c r="D293" s="100"/>
      <c r="E293" s="100"/>
      <c r="F293" s="206"/>
      <c r="G293" s="206"/>
      <c r="H293" s="207"/>
      <c r="I293" s="207"/>
      <c r="J293" s="207"/>
      <c r="K293" s="207"/>
      <c r="L293" s="207"/>
      <c r="M293" s="207"/>
      <c r="N293" s="207"/>
      <c r="O293" s="207"/>
      <c r="P293" s="207"/>
      <c r="Q293" s="207"/>
      <c r="R293" s="207"/>
      <c r="S293" s="207"/>
      <c r="T293" s="207"/>
      <c r="U293" s="207"/>
      <c r="V293" s="207"/>
      <c r="W293" s="208"/>
      <c r="X293" s="208"/>
      <c r="Y293" s="208"/>
      <c r="Z293" s="208"/>
      <c r="AA293" s="208"/>
      <c r="AB293" s="208"/>
      <c r="AC293" s="208"/>
      <c r="AD293" s="208"/>
      <c r="AE293" s="208"/>
      <c r="AF293" s="208"/>
      <c r="AG293" s="208"/>
      <c r="AH293" s="208"/>
      <c r="AI293" s="100"/>
      <c r="AJ293" s="100"/>
      <c r="AK293" s="100"/>
      <c r="AL293" s="100"/>
      <c r="AM293" s="100"/>
    </row>
    <row r="294" ht="14.25" customHeight="1">
      <c r="A294" s="100"/>
      <c r="B294" s="100"/>
      <c r="C294" s="100"/>
      <c r="D294" s="100"/>
      <c r="E294" s="100"/>
      <c r="F294" s="206"/>
      <c r="G294" s="206"/>
      <c r="H294" s="207"/>
      <c r="I294" s="207"/>
      <c r="J294" s="207"/>
      <c r="K294" s="207"/>
      <c r="L294" s="207"/>
      <c r="M294" s="207"/>
      <c r="N294" s="207"/>
      <c r="O294" s="207"/>
      <c r="P294" s="207"/>
      <c r="Q294" s="207"/>
      <c r="R294" s="207"/>
      <c r="S294" s="207"/>
      <c r="T294" s="207"/>
      <c r="U294" s="207"/>
      <c r="V294" s="207"/>
      <c r="W294" s="208"/>
      <c r="X294" s="208"/>
      <c r="Y294" s="208"/>
      <c r="Z294" s="208"/>
      <c r="AA294" s="208"/>
      <c r="AB294" s="208"/>
      <c r="AC294" s="208"/>
      <c r="AD294" s="208"/>
      <c r="AE294" s="208"/>
      <c r="AF294" s="208"/>
      <c r="AG294" s="208"/>
      <c r="AH294" s="208"/>
      <c r="AI294" s="100"/>
      <c r="AJ294" s="100"/>
      <c r="AK294" s="100"/>
      <c r="AL294" s="100"/>
      <c r="AM294" s="100"/>
    </row>
    <row r="295" ht="14.25" customHeight="1">
      <c r="A295" s="100"/>
      <c r="B295" s="100"/>
      <c r="C295" s="100"/>
      <c r="D295" s="100"/>
      <c r="E295" s="100"/>
      <c r="F295" s="206"/>
      <c r="G295" s="206"/>
      <c r="H295" s="207"/>
      <c r="I295" s="207"/>
      <c r="J295" s="207"/>
      <c r="K295" s="207"/>
      <c r="L295" s="207"/>
      <c r="M295" s="207"/>
      <c r="N295" s="207"/>
      <c r="O295" s="207"/>
      <c r="P295" s="207"/>
      <c r="Q295" s="207"/>
      <c r="R295" s="207"/>
      <c r="S295" s="207"/>
      <c r="T295" s="207"/>
      <c r="U295" s="207"/>
      <c r="V295" s="207"/>
      <c r="W295" s="208"/>
      <c r="X295" s="208"/>
      <c r="Y295" s="208"/>
      <c r="Z295" s="208"/>
      <c r="AA295" s="208"/>
      <c r="AB295" s="208"/>
      <c r="AC295" s="208"/>
      <c r="AD295" s="208"/>
      <c r="AE295" s="208"/>
      <c r="AF295" s="208"/>
      <c r="AG295" s="208"/>
      <c r="AH295" s="208"/>
      <c r="AI295" s="100"/>
      <c r="AJ295" s="100"/>
      <c r="AK295" s="100"/>
      <c r="AL295" s="100"/>
      <c r="AM295" s="100"/>
    </row>
    <row r="296" ht="14.25" customHeight="1">
      <c r="A296" s="100"/>
      <c r="B296" s="100"/>
      <c r="C296" s="100"/>
      <c r="D296" s="100"/>
      <c r="E296" s="100"/>
      <c r="F296" s="206"/>
      <c r="G296" s="206"/>
      <c r="H296" s="207"/>
      <c r="I296" s="207"/>
      <c r="J296" s="207"/>
      <c r="K296" s="207"/>
      <c r="L296" s="207"/>
      <c r="M296" s="207"/>
      <c r="N296" s="207"/>
      <c r="O296" s="207"/>
      <c r="P296" s="207"/>
      <c r="Q296" s="207"/>
      <c r="R296" s="207"/>
      <c r="S296" s="207"/>
      <c r="T296" s="207"/>
      <c r="U296" s="207"/>
      <c r="V296" s="207"/>
      <c r="W296" s="208"/>
      <c r="X296" s="208"/>
      <c r="Y296" s="208"/>
      <c r="Z296" s="208"/>
      <c r="AA296" s="208"/>
      <c r="AB296" s="208"/>
      <c r="AC296" s="208"/>
      <c r="AD296" s="208"/>
      <c r="AE296" s="208"/>
      <c r="AF296" s="208"/>
      <c r="AG296" s="208"/>
      <c r="AH296" s="208"/>
      <c r="AI296" s="100"/>
      <c r="AJ296" s="100"/>
      <c r="AK296" s="100"/>
      <c r="AL296" s="100"/>
      <c r="AM296" s="100"/>
    </row>
    <row r="297" ht="14.25" customHeight="1">
      <c r="A297" s="100"/>
      <c r="B297" s="100"/>
      <c r="C297" s="100"/>
      <c r="D297" s="100"/>
      <c r="E297" s="100"/>
      <c r="F297" s="206"/>
      <c r="G297" s="206"/>
      <c r="H297" s="207"/>
      <c r="I297" s="207"/>
      <c r="J297" s="207"/>
      <c r="K297" s="207"/>
      <c r="L297" s="207"/>
      <c r="M297" s="207"/>
      <c r="N297" s="207"/>
      <c r="O297" s="207"/>
      <c r="P297" s="207"/>
      <c r="Q297" s="207"/>
      <c r="R297" s="207"/>
      <c r="S297" s="207"/>
      <c r="T297" s="207"/>
      <c r="U297" s="207"/>
      <c r="V297" s="207"/>
      <c r="W297" s="208"/>
      <c r="X297" s="208"/>
      <c r="Y297" s="208"/>
      <c r="Z297" s="208"/>
      <c r="AA297" s="208"/>
      <c r="AB297" s="208"/>
      <c r="AC297" s="208"/>
      <c r="AD297" s="208"/>
      <c r="AE297" s="208"/>
      <c r="AF297" s="208"/>
      <c r="AG297" s="208"/>
      <c r="AH297" s="208"/>
      <c r="AI297" s="100"/>
      <c r="AJ297" s="100"/>
      <c r="AK297" s="100"/>
      <c r="AL297" s="100"/>
      <c r="AM297" s="100"/>
    </row>
    <row r="298" ht="14.25" customHeight="1">
      <c r="A298" s="100"/>
      <c r="B298" s="100"/>
      <c r="C298" s="100"/>
      <c r="D298" s="100"/>
      <c r="E298" s="100"/>
      <c r="F298" s="206"/>
      <c r="G298" s="206"/>
      <c r="H298" s="207"/>
      <c r="I298" s="207"/>
      <c r="J298" s="207"/>
      <c r="K298" s="207"/>
      <c r="L298" s="207"/>
      <c r="M298" s="207"/>
      <c r="N298" s="207"/>
      <c r="O298" s="207"/>
      <c r="P298" s="207"/>
      <c r="Q298" s="207"/>
      <c r="R298" s="207"/>
      <c r="S298" s="207"/>
      <c r="T298" s="207"/>
      <c r="U298" s="207"/>
      <c r="V298" s="207"/>
      <c r="W298" s="208"/>
      <c r="X298" s="208"/>
      <c r="Y298" s="208"/>
      <c r="Z298" s="208"/>
      <c r="AA298" s="208"/>
      <c r="AB298" s="208"/>
      <c r="AC298" s="208"/>
      <c r="AD298" s="208"/>
      <c r="AE298" s="208"/>
      <c r="AF298" s="208"/>
      <c r="AG298" s="208"/>
      <c r="AH298" s="208"/>
      <c r="AI298" s="100"/>
      <c r="AJ298" s="100"/>
      <c r="AK298" s="100"/>
      <c r="AL298" s="100"/>
      <c r="AM298" s="100"/>
    </row>
    <row r="299" ht="14.25" customHeight="1">
      <c r="A299" s="100"/>
      <c r="B299" s="100"/>
      <c r="C299" s="100"/>
      <c r="D299" s="100"/>
      <c r="E299" s="100"/>
      <c r="F299" s="206"/>
      <c r="G299" s="206"/>
      <c r="H299" s="207"/>
      <c r="I299" s="207"/>
      <c r="J299" s="207"/>
      <c r="K299" s="207"/>
      <c r="L299" s="207"/>
      <c r="M299" s="207"/>
      <c r="N299" s="207"/>
      <c r="O299" s="207"/>
      <c r="P299" s="207"/>
      <c r="Q299" s="207"/>
      <c r="R299" s="207"/>
      <c r="S299" s="207"/>
      <c r="T299" s="207"/>
      <c r="U299" s="207"/>
      <c r="V299" s="207"/>
      <c r="W299" s="208"/>
      <c r="X299" s="208"/>
      <c r="Y299" s="208"/>
      <c r="Z299" s="208"/>
      <c r="AA299" s="208"/>
      <c r="AB299" s="208"/>
      <c r="AC299" s="208"/>
      <c r="AD299" s="208"/>
      <c r="AE299" s="208"/>
      <c r="AF299" s="208"/>
      <c r="AG299" s="208"/>
      <c r="AH299" s="208"/>
      <c r="AI299" s="100"/>
      <c r="AJ299" s="100"/>
      <c r="AK299" s="100"/>
      <c r="AL299" s="100"/>
      <c r="AM299" s="100"/>
    </row>
    <row r="300" ht="14.25" customHeight="1">
      <c r="A300" s="100"/>
      <c r="B300" s="100"/>
      <c r="C300" s="100"/>
      <c r="D300" s="100"/>
      <c r="E300" s="100"/>
      <c r="F300" s="206"/>
      <c r="G300" s="206"/>
      <c r="H300" s="207"/>
      <c r="I300" s="207"/>
      <c r="J300" s="207"/>
      <c r="K300" s="207"/>
      <c r="L300" s="207"/>
      <c r="M300" s="207"/>
      <c r="N300" s="207"/>
      <c r="O300" s="207"/>
      <c r="P300" s="207"/>
      <c r="Q300" s="207"/>
      <c r="R300" s="207"/>
      <c r="S300" s="207"/>
      <c r="T300" s="207"/>
      <c r="U300" s="207"/>
      <c r="V300" s="207"/>
      <c r="W300" s="208"/>
      <c r="X300" s="208"/>
      <c r="Y300" s="208"/>
      <c r="Z300" s="208"/>
      <c r="AA300" s="208"/>
      <c r="AB300" s="208"/>
      <c r="AC300" s="208"/>
      <c r="AD300" s="208"/>
      <c r="AE300" s="208"/>
      <c r="AF300" s="208"/>
      <c r="AG300" s="208"/>
      <c r="AH300" s="208"/>
      <c r="AI300" s="100"/>
      <c r="AJ300" s="100"/>
      <c r="AK300" s="100"/>
      <c r="AL300" s="100"/>
      <c r="AM300" s="100"/>
    </row>
    <row r="301" ht="14.25" customHeight="1">
      <c r="A301" s="100"/>
      <c r="B301" s="100"/>
      <c r="C301" s="100"/>
      <c r="D301" s="100"/>
      <c r="E301" s="100"/>
      <c r="F301" s="206"/>
      <c r="G301" s="206"/>
      <c r="H301" s="207"/>
      <c r="I301" s="207"/>
      <c r="J301" s="207"/>
      <c r="K301" s="207"/>
      <c r="L301" s="207"/>
      <c r="M301" s="207"/>
      <c r="N301" s="207"/>
      <c r="O301" s="207"/>
      <c r="P301" s="207"/>
      <c r="Q301" s="207"/>
      <c r="R301" s="207"/>
      <c r="S301" s="207"/>
      <c r="T301" s="207"/>
      <c r="U301" s="207"/>
      <c r="V301" s="207"/>
      <c r="W301" s="208"/>
      <c r="X301" s="208"/>
      <c r="Y301" s="208"/>
      <c r="Z301" s="208"/>
      <c r="AA301" s="208"/>
      <c r="AB301" s="208"/>
      <c r="AC301" s="208"/>
      <c r="AD301" s="208"/>
      <c r="AE301" s="208"/>
      <c r="AF301" s="208"/>
      <c r="AG301" s="208"/>
      <c r="AH301" s="208"/>
      <c r="AI301" s="100"/>
      <c r="AJ301" s="100"/>
      <c r="AK301" s="100"/>
      <c r="AL301" s="100"/>
      <c r="AM301" s="100"/>
    </row>
    <row r="302" ht="14.25" customHeight="1">
      <c r="A302" s="100"/>
      <c r="B302" s="100"/>
      <c r="C302" s="100"/>
      <c r="D302" s="100"/>
      <c r="E302" s="100"/>
      <c r="F302" s="206"/>
      <c r="G302" s="206"/>
      <c r="H302" s="207"/>
      <c r="I302" s="207"/>
      <c r="J302" s="207"/>
      <c r="K302" s="207"/>
      <c r="L302" s="207"/>
      <c r="M302" s="207"/>
      <c r="N302" s="207"/>
      <c r="O302" s="207"/>
      <c r="P302" s="207"/>
      <c r="Q302" s="207"/>
      <c r="R302" s="207"/>
      <c r="S302" s="207"/>
      <c r="T302" s="207"/>
      <c r="U302" s="207"/>
      <c r="V302" s="207"/>
      <c r="W302" s="208"/>
      <c r="X302" s="208"/>
      <c r="Y302" s="208"/>
      <c r="Z302" s="208"/>
      <c r="AA302" s="208"/>
      <c r="AB302" s="208"/>
      <c r="AC302" s="208"/>
      <c r="AD302" s="208"/>
      <c r="AE302" s="208"/>
      <c r="AF302" s="208"/>
      <c r="AG302" s="208"/>
      <c r="AH302" s="208"/>
      <c r="AI302" s="100"/>
      <c r="AJ302" s="100"/>
      <c r="AK302" s="100"/>
      <c r="AL302" s="100"/>
      <c r="AM302" s="100"/>
    </row>
    <row r="303" ht="14.25" customHeight="1">
      <c r="A303" s="100"/>
      <c r="B303" s="100"/>
      <c r="C303" s="100"/>
      <c r="D303" s="100"/>
      <c r="E303" s="100"/>
      <c r="F303" s="206"/>
      <c r="G303" s="206"/>
      <c r="H303" s="207"/>
      <c r="I303" s="207"/>
      <c r="J303" s="207"/>
      <c r="K303" s="207"/>
      <c r="L303" s="207"/>
      <c r="M303" s="207"/>
      <c r="N303" s="207"/>
      <c r="O303" s="207"/>
      <c r="P303" s="207"/>
      <c r="Q303" s="207"/>
      <c r="R303" s="207"/>
      <c r="S303" s="207"/>
      <c r="T303" s="207"/>
      <c r="U303" s="207"/>
      <c r="V303" s="207"/>
      <c r="W303" s="208"/>
      <c r="X303" s="208"/>
      <c r="Y303" s="208"/>
      <c r="Z303" s="208"/>
      <c r="AA303" s="208"/>
      <c r="AB303" s="208"/>
      <c r="AC303" s="208"/>
      <c r="AD303" s="208"/>
      <c r="AE303" s="208"/>
      <c r="AF303" s="208"/>
      <c r="AG303" s="208"/>
      <c r="AH303" s="208"/>
      <c r="AI303" s="100"/>
      <c r="AJ303" s="100"/>
      <c r="AK303" s="100"/>
      <c r="AL303" s="100"/>
      <c r="AM303" s="100"/>
    </row>
    <row r="304" ht="14.25" customHeight="1">
      <c r="A304" s="100"/>
      <c r="B304" s="100"/>
      <c r="C304" s="100"/>
      <c r="D304" s="100"/>
      <c r="E304" s="100"/>
      <c r="F304" s="206"/>
      <c r="G304" s="206"/>
      <c r="H304" s="207"/>
      <c r="I304" s="207"/>
      <c r="J304" s="207"/>
      <c r="K304" s="207"/>
      <c r="L304" s="207"/>
      <c r="M304" s="207"/>
      <c r="N304" s="207"/>
      <c r="O304" s="207"/>
      <c r="P304" s="207"/>
      <c r="Q304" s="207"/>
      <c r="R304" s="207"/>
      <c r="S304" s="207"/>
      <c r="T304" s="207"/>
      <c r="U304" s="207"/>
      <c r="V304" s="207"/>
      <c r="W304" s="208"/>
      <c r="X304" s="208"/>
      <c r="Y304" s="208"/>
      <c r="Z304" s="208"/>
      <c r="AA304" s="208"/>
      <c r="AB304" s="208"/>
      <c r="AC304" s="208"/>
      <c r="AD304" s="208"/>
      <c r="AE304" s="208"/>
      <c r="AF304" s="208"/>
      <c r="AG304" s="208"/>
      <c r="AH304" s="208"/>
      <c r="AI304" s="100"/>
      <c r="AJ304" s="100"/>
      <c r="AK304" s="100"/>
      <c r="AL304" s="100"/>
      <c r="AM304" s="100"/>
    </row>
    <row r="305" ht="14.25" customHeight="1">
      <c r="A305" s="100"/>
      <c r="B305" s="100"/>
      <c r="C305" s="100"/>
      <c r="D305" s="100"/>
      <c r="E305" s="100"/>
      <c r="F305" s="206"/>
      <c r="G305" s="206"/>
      <c r="H305" s="207"/>
      <c r="I305" s="207"/>
      <c r="J305" s="207"/>
      <c r="K305" s="207"/>
      <c r="L305" s="207"/>
      <c r="M305" s="207"/>
      <c r="N305" s="207"/>
      <c r="O305" s="207"/>
      <c r="P305" s="207"/>
      <c r="Q305" s="207"/>
      <c r="R305" s="207"/>
      <c r="S305" s="207"/>
      <c r="T305" s="207"/>
      <c r="U305" s="207"/>
      <c r="V305" s="207"/>
      <c r="W305" s="208"/>
      <c r="X305" s="208"/>
      <c r="Y305" s="208"/>
      <c r="Z305" s="208"/>
      <c r="AA305" s="208"/>
      <c r="AB305" s="208"/>
      <c r="AC305" s="208"/>
      <c r="AD305" s="208"/>
      <c r="AE305" s="208"/>
      <c r="AF305" s="208"/>
      <c r="AG305" s="208"/>
      <c r="AH305" s="208"/>
      <c r="AI305" s="100"/>
      <c r="AJ305" s="100"/>
      <c r="AK305" s="100"/>
      <c r="AL305" s="100"/>
      <c r="AM305" s="100"/>
    </row>
    <row r="306" ht="14.25" customHeight="1">
      <c r="A306" s="100"/>
      <c r="B306" s="100"/>
      <c r="C306" s="100"/>
      <c r="D306" s="100"/>
      <c r="E306" s="100"/>
      <c r="F306" s="206"/>
      <c r="G306" s="206"/>
      <c r="H306" s="207"/>
      <c r="I306" s="207"/>
      <c r="J306" s="207"/>
      <c r="K306" s="207"/>
      <c r="L306" s="207"/>
      <c r="M306" s="207"/>
      <c r="N306" s="207"/>
      <c r="O306" s="207"/>
      <c r="P306" s="207"/>
      <c r="Q306" s="207"/>
      <c r="R306" s="207"/>
      <c r="S306" s="207"/>
      <c r="T306" s="207"/>
      <c r="U306" s="207"/>
      <c r="V306" s="207"/>
      <c r="W306" s="208"/>
      <c r="X306" s="208"/>
      <c r="Y306" s="208"/>
      <c r="Z306" s="208"/>
      <c r="AA306" s="208"/>
      <c r="AB306" s="208"/>
      <c r="AC306" s="208"/>
      <c r="AD306" s="208"/>
      <c r="AE306" s="208"/>
      <c r="AF306" s="208"/>
      <c r="AG306" s="208"/>
      <c r="AH306" s="208"/>
      <c r="AI306" s="100"/>
      <c r="AJ306" s="100"/>
      <c r="AK306" s="100"/>
      <c r="AL306" s="100"/>
      <c r="AM306" s="100"/>
    </row>
    <row r="307" ht="14.25" customHeight="1">
      <c r="A307" s="100"/>
      <c r="B307" s="100"/>
      <c r="C307" s="100"/>
      <c r="D307" s="100"/>
      <c r="E307" s="100"/>
      <c r="F307" s="206"/>
      <c r="G307" s="206"/>
      <c r="H307" s="207"/>
      <c r="I307" s="207"/>
      <c r="J307" s="207"/>
      <c r="K307" s="207"/>
      <c r="L307" s="207"/>
      <c r="M307" s="207"/>
      <c r="N307" s="207"/>
      <c r="O307" s="207"/>
      <c r="P307" s="207"/>
      <c r="Q307" s="207"/>
      <c r="R307" s="207"/>
      <c r="S307" s="207"/>
      <c r="T307" s="207"/>
      <c r="U307" s="207"/>
      <c r="V307" s="207"/>
      <c r="W307" s="208"/>
      <c r="X307" s="208"/>
      <c r="Y307" s="208"/>
      <c r="Z307" s="208"/>
      <c r="AA307" s="208"/>
      <c r="AB307" s="208"/>
      <c r="AC307" s="208"/>
      <c r="AD307" s="208"/>
      <c r="AE307" s="208"/>
      <c r="AF307" s="208"/>
      <c r="AG307" s="208"/>
      <c r="AH307" s="208"/>
      <c r="AI307" s="100"/>
      <c r="AJ307" s="100"/>
      <c r="AK307" s="100"/>
      <c r="AL307" s="100"/>
      <c r="AM307" s="100"/>
    </row>
    <row r="308" ht="14.25" customHeight="1">
      <c r="A308" s="100"/>
      <c r="B308" s="100"/>
      <c r="C308" s="100"/>
      <c r="D308" s="100"/>
      <c r="E308" s="100"/>
      <c r="F308" s="206"/>
      <c r="G308" s="206"/>
      <c r="H308" s="207"/>
      <c r="I308" s="207"/>
      <c r="J308" s="207"/>
      <c r="K308" s="207"/>
      <c r="L308" s="207"/>
      <c r="M308" s="207"/>
      <c r="N308" s="207"/>
      <c r="O308" s="207"/>
      <c r="P308" s="207"/>
      <c r="Q308" s="207"/>
      <c r="R308" s="207"/>
      <c r="S308" s="207"/>
      <c r="T308" s="207"/>
      <c r="U308" s="207"/>
      <c r="V308" s="207"/>
      <c r="W308" s="208"/>
      <c r="X308" s="208"/>
      <c r="Y308" s="208"/>
      <c r="Z308" s="208"/>
      <c r="AA308" s="208"/>
      <c r="AB308" s="208"/>
      <c r="AC308" s="208"/>
      <c r="AD308" s="208"/>
      <c r="AE308" s="208"/>
      <c r="AF308" s="208"/>
      <c r="AG308" s="208"/>
      <c r="AH308" s="208"/>
      <c r="AI308" s="100"/>
      <c r="AJ308" s="100"/>
      <c r="AK308" s="100"/>
      <c r="AL308" s="100"/>
      <c r="AM308" s="100"/>
    </row>
    <row r="309" ht="14.25" customHeight="1">
      <c r="A309" s="100"/>
      <c r="B309" s="100"/>
      <c r="C309" s="100"/>
      <c r="D309" s="100"/>
      <c r="E309" s="100"/>
      <c r="F309" s="206"/>
      <c r="G309" s="206"/>
      <c r="H309" s="207"/>
      <c r="I309" s="207"/>
      <c r="J309" s="207"/>
      <c r="K309" s="207"/>
      <c r="L309" s="207"/>
      <c r="M309" s="207"/>
      <c r="N309" s="207"/>
      <c r="O309" s="207"/>
      <c r="P309" s="207"/>
      <c r="Q309" s="207"/>
      <c r="R309" s="207"/>
      <c r="S309" s="207"/>
      <c r="T309" s="207"/>
      <c r="U309" s="207"/>
      <c r="V309" s="207"/>
      <c r="W309" s="208"/>
      <c r="X309" s="208"/>
      <c r="Y309" s="208"/>
      <c r="Z309" s="208"/>
      <c r="AA309" s="208"/>
      <c r="AB309" s="208"/>
      <c r="AC309" s="208"/>
      <c r="AD309" s="208"/>
      <c r="AE309" s="208"/>
      <c r="AF309" s="208"/>
      <c r="AG309" s="208"/>
      <c r="AH309" s="208"/>
      <c r="AI309" s="100"/>
      <c r="AJ309" s="100"/>
      <c r="AK309" s="100"/>
      <c r="AL309" s="100"/>
      <c r="AM309" s="100"/>
    </row>
    <row r="310" ht="14.25" customHeight="1">
      <c r="A310" s="100"/>
      <c r="B310" s="100"/>
      <c r="C310" s="100"/>
      <c r="D310" s="100"/>
      <c r="E310" s="100"/>
      <c r="F310" s="206"/>
      <c r="G310" s="206"/>
      <c r="H310" s="207"/>
      <c r="I310" s="207"/>
      <c r="J310" s="207"/>
      <c r="K310" s="207"/>
      <c r="L310" s="207"/>
      <c r="M310" s="207"/>
      <c r="N310" s="207"/>
      <c r="O310" s="207"/>
      <c r="P310" s="207"/>
      <c r="Q310" s="207"/>
      <c r="R310" s="207"/>
      <c r="S310" s="207"/>
      <c r="T310" s="207"/>
      <c r="U310" s="207"/>
      <c r="V310" s="207"/>
      <c r="W310" s="208"/>
      <c r="X310" s="208"/>
      <c r="Y310" s="208"/>
      <c r="Z310" s="208"/>
      <c r="AA310" s="208"/>
      <c r="AB310" s="208"/>
      <c r="AC310" s="208"/>
      <c r="AD310" s="208"/>
      <c r="AE310" s="208"/>
      <c r="AF310" s="208"/>
      <c r="AG310" s="208"/>
      <c r="AH310" s="208"/>
      <c r="AI310" s="100"/>
      <c r="AJ310" s="100"/>
      <c r="AK310" s="100"/>
      <c r="AL310" s="100"/>
      <c r="AM310" s="100"/>
    </row>
    <row r="311" ht="14.25" customHeight="1">
      <c r="A311" s="100"/>
      <c r="B311" s="100"/>
      <c r="C311" s="100"/>
      <c r="D311" s="100"/>
      <c r="E311" s="100"/>
      <c r="F311" s="206"/>
      <c r="G311" s="206"/>
      <c r="H311" s="207"/>
      <c r="I311" s="207"/>
      <c r="J311" s="207"/>
      <c r="K311" s="207"/>
      <c r="L311" s="207"/>
      <c r="M311" s="207"/>
      <c r="N311" s="207"/>
      <c r="O311" s="207"/>
      <c r="P311" s="207"/>
      <c r="Q311" s="207"/>
      <c r="R311" s="207"/>
      <c r="S311" s="207"/>
      <c r="T311" s="207"/>
      <c r="U311" s="207"/>
      <c r="V311" s="207"/>
      <c r="W311" s="208"/>
      <c r="X311" s="208"/>
      <c r="Y311" s="208"/>
      <c r="Z311" s="208"/>
      <c r="AA311" s="208"/>
      <c r="AB311" s="208"/>
      <c r="AC311" s="208"/>
      <c r="AD311" s="208"/>
      <c r="AE311" s="208"/>
      <c r="AF311" s="208"/>
      <c r="AG311" s="208"/>
      <c r="AH311" s="208"/>
      <c r="AI311" s="100"/>
      <c r="AJ311" s="100"/>
      <c r="AK311" s="100"/>
      <c r="AL311" s="100"/>
      <c r="AM311" s="100"/>
    </row>
    <row r="312" ht="14.25" customHeight="1">
      <c r="A312" s="100"/>
      <c r="B312" s="100"/>
      <c r="C312" s="100"/>
      <c r="D312" s="100"/>
      <c r="E312" s="100"/>
      <c r="F312" s="206"/>
      <c r="G312" s="206"/>
      <c r="H312" s="207"/>
      <c r="I312" s="207"/>
      <c r="J312" s="207"/>
      <c r="K312" s="207"/>
      <c r="L312" s="207"/>
      <c r="M312" s="207"/>
      <c r="N312" s="207"/>
      <c r="O312" s="207"/>
      <c r="P312" s="207"/>
      <c r="Q312" s="207"/>
      <c r="R312" s="207"/>
      <c r="S312" s="207"/>
      <c r="T312" s="207"/>
      <c r="U312" s="207"/>
      <c r="V312" s="207"/>
      <c r="W312" s="208"/>
      <c r="X312" s="208"/>
      <c r="Y312" s="208"/>
      <c r="Z312" s="208"/>
      <c r="AA312" s="208"/>
      <c r="AB312" s="208"/>
      <c r="AC312" s="208"/>
      <c r="AD312" s="208"/>
      <c r="AE312" s="208"/>
      <c r="AF312" s="208"/>
      <c r="AG312" s="208"/>
      <c r="AH312" s="208"/>
      <c r="AI312" s="100"/>
      <c r="AJ312" s="100"/>
      <c r="AK312" s="100"/>
      <c r="AL312" s="100"/>
      <c r="AM312" s="100"/>
    </row>
    <row r="313" ht="14.25" customHeight="1">
      <c r="A313" s="100"/>
      <c r="B313" s="100"/>
      <c r="C313" s="100"/>
      <c r="D313" s="100"/>
      <c r="E313" s="100"/>
      <c r="F313" s="206"/>
      <c r="G313" s="206"/>
      <c r="H313" s="207"/>
      <c r="I313" s="207"/>
      <c r="J313" s="207"/>
      <c r="K313" s="207"/>
      <c r="L313" s="207"/>
      <c r="M313" s="207"/>
      <c r="N313" s="207"/>
      <c r="O313" s="207"/>
      <c r="P313" s="207"/>
      <c r="Q313" s="207"/>
      <c r="R313" s="207"/>
      <c r="S313" s="207"/>
      <c r="T313" s="207"/>
      <c r="U313" s="207"/>
      <c r="V313" s="207"/>
      <c r="W313" s="208"/>
      <c r="X313" s="208"/>
      <c r="Y313" s="208"/>
      <c r="Z313" s="208"/>
      <c r="AA313" s="208"/>
      <c r="AB313" s="208"/>
      <c r="AC313" s="208"/>
      <c r="AD313" s="208"/>
      <c r="AE313" s="208"/>
      <c r="AF313" s="208"/>
      <c r="AG313" s="208"/>
      <c r="AH313" s="208"/>
      <c r="AI313" s="100"/>
      <c r="AJ313" s="100"/>
      <c r="AK313" s="100"/>
      <c r="AL313" s="100"/>
      <c r="AM313" s="100"/>
    </row>
    <row r="314" ht="14.25" customHeight="1">
      <c r="A314" s="100"/>
      <c r="B314" s="100"/>
      <c r="C314" s="100"/>
      <c r="D314" s="100"/>
      <c r="E314" s="100"/>
      <c r="F314" s="206"/>
      <c r="G314" s="206"/>
      <c r="H314" s="207"/>
      <c r="I314" s="207"/>
      <c r="J314" s="207"/>
      <c r="K314" s="207"/>
      <c r="L314" s="207"/>
      <c r="M314" s="207"/>
      <c r="N314" s="207"/>
      <c r="O314" s="207"/>
      <c r="P314" s="207"/>
      <c r="Q314" s="207"/>
      <c r="R314" s="207"/>
      <c r="S314" s="207"/>
      <c r="T314" s="207"/>
      <c r="U314" s="207"/>
      <c r="V314" s="207"/>
      <c r="W314" s="208"/>
      <c r="X314" s="208"/>
      <c r="Y314" s="208"/>
      <c r="Z314" s="208"/>
      <c r="AA314" s="208"/>
      <c r="AB314" s="208"/>
      <c r="AC314" s="208"/>
      <c r="AD314" s="208"/>
      <c r="AE314" s="208"/>
      <c r="AF314" s="208"/>
      <c r="AG314" s="208"/>
      <c r="AH314" s="208"/>
      <c r="AI314" s="100"/>
      <c r="AJ314" s="100"/>
      <c r="AK314" s="100"/>
      <c r="AL314" s="100"/>
      <c r="AM314" s="100"/>
    </row>
    <row r="315" ht="14.25" customHeight="1">
      <c r="A315" s="100"/>
      <c r="B315" s="100"/>
      <c r="C315" s="100"/>
      <c r="D315" s="100"/>
      <c r="E315" s="100"/>
      <c r="F315" s="206"/>
      <c r="G315" s="206"/>
      <c r="H315" s="207"/>
      <c r="I315" s="207"/>
      <c r="J315" s="207"/>
      <c r="K315" s="207"/>
      <c r="L315" s="207"/>
      <c r="M315" s="207"/>
      <c r="N315" s="207"/>
      <c r="O315" s="207"/>
      <c r="P315" s="207"/>
      <c r="Q315" s="207"/>
      <c r="R315" s="207"/>
      <c r="S315" s="207"/>
      <c r="T315" s="207"/>
      <c r="U315" s="207"/>
      <c r="V315" s="207"/>
      <c r="W315" s="208"/>
      <c r="X315" s="208"/>
      <c r="Y315" s="208"/>
      <c r="Z315" s="208"/>
      <c r="AA315" s="208"/>
      <c r="AB315" s="208"/>
      <c r="AC315" s="208"/>
      <c r="AD315" s="208"/>
      <c r="AE315" s="208"/>
      <c r="AF315" s="208"/>
      <c r="AG315" s="208"/>
      <c r="AH315" s="208"/>
      <c r="AI315" s="100"/>
      <c r="AJ315" s="100"/>
      <c r="AK315" s="100"/>
      <c r="AL315" s="100"/>
      <c r="AM315" s="100"/>
    </row>
    <row r="316" ht="14.25" customHeight="1">
      <c r="A316" s="100"/>
      <c r="B316" s="100"/>
      <c r="C316" s="100"/>
      <c r="D316" s="100"/>
      <c r="E316" s="100"/>
      <c r="F316" s="206"/>
      <c r="G316" s="206"/>
      <c r="H316" s="207"/>
      <c r="I316" s="207"/>
      <c r="J316" s="207"/>
      <c r="K316" s="207"/>
      <c r="L316" s="207"/>
      <c r="M316" s="207"/>
      <c r="N316" s="207"/>
      <c r="O316" s="207"/>
      <c r="P316" s="207"/>
      <c r="Q316" s="207"/>
      <c r="R316" s="207"/>
      <c r="S316" s="207"/>
      <c r="T316" s="207"/>
      <c r="U316" s="207"/>
      <c r="V316" s="207"/>
      <c r="W316" s="208"/>
      <c r="X316" s="208"/>
      <c r="Y316" s="208"/>
      <c r="Z316" s="208"/>
      <c r="AA316" s="208"/>
      <c r="AB316" s="208"/>
      <c r="AC316" s="208"/>
      <c r="AD316" s="208"/>
      <c r="AE316" s="208"/>
      <c r="AF316" s="208"/>
      <c r="AG316" s="208"/>
      <c r="AH316" s="208"/>
      <c r="AI316" s="100"/>
      <c r="AJ316" s="100"/>
      <c r="AK316" s="100"/>
      <c r="AL316" s="100"/>
      <c r="AM316" s="100"/>
    </row>
    <row r="317" ht="14.25" customHeight="1">
      <c r="A317" s="100"/>
      <c r="B317" s="100"/>
      <c r="C317" s="100"/>
      <c r="D317" s="100"/>
      <c r="E317" s="100"/>
      <c r="F317" s="206"/>
      <c r="G317" s="206"/>
      <c r="H317" s="207"/>
      <c r="I317" s="207"/>
      <c r="J317" s="207"/>
      <c r="K317" s="207"/>
      <c r="L317" s="207"/>
      <c r="M317" s="207"/>
      <c r="N317" s="207"/>
      <c r="O317" s="207"/>
      <c r="P317" s="207"/>
      <c r="Q317" s="207"/>
      <c r="R317" s="207"/>
      <c r="S317" s="207"/>
      <c r="T317" s="207"/>
      <c r="U317" s="207"/>
      <c r="V317" s="207"/>
      <c r="W317" s="208"/>
      <c r="X317" s="208"/>
      <c r="Y317" s="208"/>
      <c r="Z317" s="208"/>
      <c r="AA317" s="208"/>
      <c r="AB317" s="208"/>
      <c r="AC317" s="208"/>
      <c r="AD317" s="208"/>
      <c r="AE317" s="208"/>
      <c r="AF317" s="208"/>
      <c r="AG317" s="208"/>
      <c r="AH317" s="208"/>
      <c r="AI317" s="100"/>
      <c r="AJ317" s="100"/>
      <c r="AK317" s="100"/>
      <c r="AL317" s="100"/>
      <c r="AM317" s="100"/>
    </row>
    <row r="318" ht="14.25" customHeight="1">
      <c r="A318" s="100"/>
      <c r="B318" s="100"/>
      <c r="C318" s="100"/>
      <c r="D318" s="100"/>
      <c r="E318" s="100"/>
      <c r="F318" s="206"/>
      <c r="G318" s="206"/>
      <c r="H318" s="207"/>
      <c r="I318" s="207"/>
      <c r="J318" s="207"/>
      <c r="K318" s="207"/>
      <c r="L318" s="207"/>
      <c r="M318" s="207"/>
      <c r="N318" s="207"/>
      <c r="O318" s="207"/>
      <c r="P318" s="207"/>
      <c r="Q318" s="207"/>
      <c r="R318" s="207"/>
      <c r="S318" s="207"/>
      <c r="T318" s="207"/>
      <c r="U318" s="207"/>
      <c r="V318" s="207"/>
      <c r="W318" s="208"/>
      <c r="X318" s="208"/>
      <c r="Y318" s="208"/>
      <c r="Z318" s="208"/>
      <c r="AA318" s="208"/>
      <c r="AB318" s="208"/>
      <c r="AC318" s="208"/>
      <c r="AD318" s="208"/>
      <c r="AE318" s="208"/>
      <c r="AF318" s="208"/>
      <c r="AG318" s="208"/>
      <c r="AH318" s="208"/>
      <c r="AI318" s="100"/>
      <c r="AJ318" s="100"/>
      <c r="AK318" s="100"/>
      <c r="AL318" s="100"/>
      <c r="AM318" s="100"/>
    </row>
    <row r="319" ht="14.25" customHeight="1">
      <c r="A319" s="100"/>
      <c r="B319" s="100"/>
      <c r="C319" s="100"/>
      <c r="D319" s="100"/>
      <c r="E319" s="100"/>
      <c r="F319" s="206"/>
      <c r="G319" s="206"/>
      <c r="H319" s="207"/>
      <c r="I319" s="207"/>
      <c r="J319" s="207"/>
      <c r="K319" s="207"/>
      <c r="L319" s="207"/>
      <c r="M319" s="207"/>
      <c r="N319" s="207"/>
      <c r="O319" s="207"/>
      <c r="P319" s="207"/>
      <c r="Q319" s="207"/>
      <c r="R319" s="207"/>
      <c r="S319" s="207"/>
      <c r="T319" s="207"/>
      <c r="U319" s="207"/>
      <c r="V319" s="207"/>
      <c r="W319" s="208"/>
      <c r="X319" s="208"/>
      <c r="Y319" s="208"/>
      <c r="Z319" s="208"/>
      <c r="AA319" s="208"/>
      <c r="AB319" s="208"/>
      <c r="AC319" s="208"/>
      <c r="AD319" s="208"/>
      <c r="AE319" s="208"/>
      <c r="AF319" s="208"/>
      <c r="AG319" s="208"/>
      <c r="AH319" s="208"/>
      <c r="AI319" s="100"/>
      <c r="AJ319" s="100"/>
      <c r="AK319" s="100"/>
      <c r="AL319" s="100"/>
      <c r="AM319" s="100"/>
    </row>
    <row r="320" ht="14.25" customHeight="1">
      <c r="A320" s="100"/>
      <c r="B320" s="100"/>
      <c r="C320" s="100"/>
      <c r="D320" s="100"/>
      <c r="E320" s="100"/>
      <c r="F320" s="206"/>
      <c r="G320" s="206"/>
      <c r="H320" s="207"/>
      <c r="I320" s="207"/>
      <c r="J320" s="207"/>
      <c r="K320" s="207"/>
      <c r="L320" s="207"/>
      <c r="M320" s="207"/>
      <c r="N320" s="207"/>
      <c r="O320" s="207"/>
      <c r="P320" s="207"/>
      <c r="Q320" s="207"/>
      <c r="R320" s="207"/>
      <c r="S320" s="207"/>
      <c r="T320" s="207"/>
      <c r="U320" s="207"/>
      <c r="V320" s="207"/>
      <c r="W320" s="208"/>
      <c r="X320" s="208"/>
      <c r="Y320" s="208"/>
      <c r="Z320" s="208"/>
      <c r="AA320" s="208"/>
      <c r="AB320" s="208"/>
      <c r="AC320" s="208"/>
      <c r="AD320" s="208"/>
      <c r="AE320" s="208"/>
      <c r="AF320" s="208"/>
      <c r="AG320" s="208"/>
      <c r="AH320" s="208"/>
      <c r="AI320" s="100"/>
      <c r="AJ320" s="100"/>
      <c r="AK320" s="100"/>
      <c r="AL320" s="100"/>
      <c r="AM320" s="100"/>
    </row>
    <row r="321" ht="14.25" customHeight="1">
      <c r="A321" s="100"/>
      <c r="B321" s="100"/>
      <c r="C321" s="100"/>
      <c r="D321" s="100"/>
      <c r="E321" s="100"/>
      <c r="F321" s="206"/>
      <c r="G321" s="206"/>
      <c r="H321" s="207"/>
      <c r="I321" s="207"/>
      <c r="J321" s="207"/>
      <c r="K321" s="207"/>
      <c r="L321" s="207"/>
      <c r="M321" s="207"/>
      <c r="N321" s="207"/>
      <c r="O321" s="207"/>
      <c r="P321" s="207"/>
      <c r="Q321" s="207"/>
      <c r="R321" s="207"/>
      <c r="S321" s="207"/>
      <c r="T321" s="207"/>
      <c r="U321" s="207"/>
      <c r="V321" s="207"/>
      <c r="W321" s="208"/>
      <c r="X321" s="208"/>
      <c r="Y321" s="208"/>
      <c r="Z321" s="208"/>
      <c r="AA321" s="208"/>
      <c r="AB321" s="208"/>
      <c r="AC321" s="208"/>
      <c r="AD321" s="208"/>
      <c r="AE321" s="208"/>
      <c r="AF321" s="208"/>
      <c r="AG321" s="208"/>
      <c r="AH321" s="208"/>
      <c r="AI321" s="100"/>
      <c r="AJ321" s="100"/>
      <c r="AK321" s="100"/>
      <c r="AL321" s="100"/>
      <c r="AM321" s="100"/>
    </row>
    <row r="322" ht="14.25" customHeight="1">
      <c r="A322" s="100"/>
      <c r="B322" s="100"/>
      <c r="C322" s="100"/>
      <c r="D322" s="100"/>
      <c r="E322" s="100"/>
      <c r="F322" s="206"/>
      <c r="G322" s="206"/>
      <c r="H322" s="207"/>
      <c r="I322" s="207"/>
      <c r="J322" s="207"/>
      <c r="K322" s="207"/>
      <c r="L322" s="207"/>
      <c r="M322" s="207"/>
      <c r="N322" s="207"/>
      <c r="O322" s="207"/>
      <c r="P322" s="207"/>
      <c r="Q322" s="207"/>
      <c r="R322" s="207"/>
      <c r="S322" s="207"/>
      <c r="T322" s="207"/>
      <c r="U322" s="207"/>
      <c r="V322" s="207"/>
      <c r="W322" s="208"/>
      <c r="X322" s="208"/>
      <c r="Y322" s="208"/>
      <c r="Z322" s="208"/>
      <c r="AA322" s="208"/>
      <c r="AB322" s="208"/>
      <c r="AC322" s="208"/>
      <c r="AD322" s="208"/>
      <c r="AE322" s="208"/>
      <c r="AF322" s="208"/>
      <c r="AG322" s="208"/>
      <c r="AH322" s="208"/>
      <c r="AI322" s="100"/>
      <c r="AJ322" s="100"/>
      <c r="AK322" s="100"/>
      <c r="AL322" s="100"/>
      <c r="AM322" s="100"/>
    </row>
    <row r="323" ht="14.25" customHeight="1">
      <c r="A323" s="100"/>
      <c r="B323" s="100"/>
      <c r="C323" s="100"/>
      <c r="D323" s="100"/>
      <c r="E323" s="100"/>
      <c r="F323" s="206"/>
      <c r="G323" s="206"/>
      <c r="H323" s="207"/>
      <c r="I323" s="207"/>
      <c r="J323" s="207"/>
      <c r="K323" s="207"/>
      <c r="L323" s="207"/>
      <c r="M323" s="207"/>
      <c r="N323" s="207"/>
      <c r="O323" s="207"/>
      <c r="P323" s="207"/>
      <c r="Q323" s="207"/>
      <c r="R323" s="207"/>
      <c r="S323" s="207"/>
      <c r="T323" s="207"/>
      <c r="U323" s="207"/>
      <c r="V323" s="207"/>
      <c r="W323" s="208"/>
      <c r="X323" s="208"/>
      <c r="Y323" s="208"/>
      <c r="Z323" s="208"/>
      <c r="AA323" s="208"/>
      <c r="AB323" s="208"/>
      <c r="AC323" s="208"/>
      <c r="AD323" s="208"/>
      <c r="AE323" s="208"/>
      <c r="AF323" s="208"/>
      <c r="AG323" s="208"/>
      <c r="AH323" s="208"/>
      <c r="AI323" s="100"/>
      <c r="AJ323" s="100"/>
      <c r="AK323" s="100"/>
      <c r="AL323" s="100"/>
      <c r="AM323" s="100"/>
    </row>
    <row r="324" ht="14.25" customHeight="1">
      <c r="A324" s="100"/>
      <c r="B324" s="100"/>
      <c r="C324" s="100"/>
      <c r="D324" s="100"/>
      <c r="E324" s="100"/>
      <c r="F324" s="206"/>
      <c r="G324" s="206"/>
      <c r="H324" s="207"/>
      <c r="I324" s="207"/>
      <c r="J324" s="207"/>
      <c r="K324" s="207"/>
      <c r="L324" s="207"/>
      <c r="M324" s="207"/>
      <c r="N324" s="207"/>
      <c r="O324" s="207"/>
      <c r="P324" s="207"/>
      <c r="Q324" s="207"/>
      <c r="R324" s="207"/>
      <c r="S324" s="207"/>
      <c r="T324" s="207"/>
      <c r="U324" s="207"/>
      <c r="V324" s="207"/>
      <c r="W324" s="208"/>
      <c r="X324" s="208"/>
      <c r="Y324" s="208"/>
      <c r="Z324" s="208"/>
      <c r="AA324" s="208"/>
      <c r="AB324" s="208"/>
      <c r="AC324" s="208"/>
      <c r="AD324" s="208"/>
      <c r="AE324" s="208"/>
      <c r="AF324" s="208"/>
      <c r="AG324" s="208"/>
      <c r="AH324" s="208"/>
      <c r="AI324" s="100"/>
      <c r="AJ324" s="100"/>
      <c r="AK324" s="100"/>
      <c r="AL324" s="100"/>
      <c r="AM324" s="100"/>
    </row>
    <row r="325" ht="14.25" customHeight="1">
      <c r="A325" s="100"/>
      <c r="B325" s="100"/>
      <c r="C325" s="100"/>
      <c r="D325" s="100"/>
      <c r="E325" s="100"/>
      <c r="F325" s="206"/>
      <c r="G325" s="206"/>
      <c r="H325" s="207"/>
      <c r="I325" s="207"/>
      <c r="J325" s="207"/>
      <c r="K325" s="207"/>
      <c r="L325" s="207"/>
      <c r="M325" s="207"/>
      <c r="N325" s="207"/>
      <c r="O325" s="207"/>
      <c r="P325" s="207"/>
      <c r="Q325" s="207"/>
      <c r="R325" s="207"/>
      <c r="S325" s="207"/>
      <c r="T325" s="207"/>
      <c r="U325" s="207"/>
      <c r="V325" s="207"/>
      <c r="W325" s="208"/>
      <c r="X325" s="208"/>
      <c r="Y325" s="208"/>
      <c r="Z325" s="208"/>
      <c r="AA325" s="208"/>
      <c r="AB325" s="208"/>
      <c r="AC325" s="208"/>
      <c r="AD325" s="208"/>
      <c r="AE325" s="208"/>
      <c r="AF325" s="208"/>
      <c r="AG325" s="208"/>
      <c r="AH325" s="208"/>
      <c r="AI325" s="100"/>
      <c r="AJ325" s="100"/>
      <c r="AK325" s="100"/>
      <c r="AL325" s="100"/>
      <c r="AM325" s="100"/>
    </row>
    <row r="326" ht="14.25" customHeight="1">
      <c r="A326" s="100"/>
      <c r="B326" s="100"/>
      <c r="C326" s="100"/>
      <c r="D326" s="100"/>
      <c r="E326" s="100"/>
      <c r="F326" s="206"/>
      <c r="G326" s="206"/>
      <c r="H326" s="207"/>
      <c r="I326" s="207"/>
      <c r="J326" s="207"/>
      <c r="K326" s="207"/>
      <c r="L326" s="207"/>
      <c r="M326" s="207"/>
      <c r="N326" s="207"/>
      <c r="O326" s="207"/>
      <c r="P326" s="207"/>
      <c r="Q326" s="207"/>
      <c r="R326" s="207"/>
      <c r="S326" s="207"/>
      <c r="T326" s="207"/>
      <c r="U326" s="207"/>
      <c r="V326" s="207"/>
      <c r="W326" s="208"/>
      <c r="X326" s="208"/>
      <c r="Y326" s="208"/>
      <c r="Z326" s="208"/>
      <c r="AA326" s="208"/>
      <c r="AB326" s="208"/>
      <c r="AC326" s="208"/>
      <c r="AD326" s="208"/>
      <c r="AE326" s="208"/>
      <c r="AF326" s="208"/>
      <c r="AG326" s="208"/>
      <c r="AH326" s="208"/>
      <c r="AI326" s="100"/>
      <c r="AJ326" s="100"/>
      <c r="AK326" s="100"/>
      <c r="AL326" s="100"/>
      <c r="AM326" s="100"/>
    </row>
    <row r="327" ht="14.25" customHeight="1">
      <c r="A327" s="100"/>
      <c r="B327" s="100"/>
      <c r="C327" s="100"/>
      <c r="D327" s="100"/>
      <c r="E327" s="100"/>
      <c r="F327" s="206"/>
      <c r="G327" s="206"/>
      <c r="H327" s="207"/>
      <c r="I327" s="207"/>
      <c r="J327" s="207"/>
      <c r="K327" s="207"/>
      <c r="L327" s="207"/>
      <c r="M327" s="207"/>
      <c r="N327" s="207"/>
      <c r="O327" s="207"/>
      <c r="P327" s="207"/>
      <c r="Q327" s="207"/>
      <c r="R327" s="207"/>
      <c r="S327" s="207"/>
      <c r="T327" s="207"/>
      <c r="U327" s="207"/>
      <c r="V327" s="207"/>
      <c r="W327" s="208"/>
      <c r="X327" s="208"/>
      <c r="Y327" s="208"/>
      <c r="Z327" s="208"/>
      <c r="AA327" s="208"/>
      <c r="AB327" s="208"/>
      <c r="AC327" s="208"/>
      <c r="AD327" s="208"/>
      <c r="AE327" s="208"/>
      <c r="AF327" s="208"/>
      <c r="AG327" s="208"/>
      <c r="AH327" s="208"/>
      <c r="AI327" s="100"/>
      <c r="AJ327" s="100"/>
      <c r="AK327" s="100"/>
      <c r="AL327" s="100"/>
      <c r="AM327" s="100"/>
    </row>
    <row r="328" ht="14.25" customHeight="1">
      <c r="A328" s="100"/>
      <c r="B328" s="100"/>
      <c r="C328" s="100"/>
      <c r="D328" s="100"/>
      <c r="E328" s="100"/>
      <c r="F328" s="206"/>
      <c r="G328" s="206"/>
      <c r="H328" s="207"/>
      <c r="I328" s="207"/>
      <c r="J328" s="207"/>
      <c r="K328" s="207"/>
      <c r="L328" s="207"/>
      <c r="M328" s="207"/>
      <c r="N328" s="207"/>
      <c r="O328" s="207"/>
      <c r="P328" s="207"/>
      <c r="Q328" s="207"/>
      <c r="R328" s="207"/>
      <c r="S328" s="207"/>
      <c r="T328" s="207"/>
      <c r="U328" s="207"/>
      <c r="V328" s="207"/>
      <c r="W328" s="208"/>
      <c r="X328" s="208"/>
      <c r="Y328" s="208"/>
      <c r="Z328" s="208"/>
      <c r="AA328" s="208"/>
      <c r="AB328" s="208"/>
      <c r="AC328" s="208"/>
      <c r="AD328" s="208"/>
      <c r="AE328" s="208"/>
      <c r="AF328" s="208"/>
      <c r="AG328" s="208"/>
      <c r="AH328" s="208"/>
      <c r="AI328" s="100"/>
      <c r="AJ328" s="100"/>
      <c r="AK328" s="100"/>
      <c r="AL328" s="100"/>
      <c r="AM328" s="100"/>
    </row>
    <row r="329" ht="14.25" customHeight="1">
      <c r="A329" s="100"/>
      <c r="B329" s="100"/>
      <c r="C329" s="100"/>
      <c r="D329" s="100"/>
      <c r="E329" s="100"/>
      <c r="F329" s="206"/>
      <c r="G329" s="206"/>
      <c r="H329" s="207"/>
      <c r="I329" s="207"/>
      <c r="J329" s="207"/>
      <c r="K329" s="207"/>
      <c r="L329" s="207"/>
      <c r="M329" s="207"/>
      <c r="N329" s="207"/>
      <c r="O329" s="207"/>
      <c r="P329" s="207"/>
      <c r="Q329" s="207"/>
      <c r="R329" s="207"/>
      <c r="S329" s="207"/>
      <c r="T329" s="207"/>
      <c r="U329" s="207"/>
      <c r="V329" s="207"/>
      <c r="W329" s="208"/>
      <c r="X329" s="208"/>
      <c r="Y329" s="208"/>
      <c r="Z329" s="208"/>
      <c r="AA329" s="208"/>
      <c r="AB329" s="208"/>
      <c r="AC329" s="208"/>
      <c r="AD329" s="208"/>
      <c r="AE329" s="208"/>
      <c r="AF329" s="208"/>
      <c r="AG329" s="208"/>
      <c r="AH329" s="208"/>
      <c r="AI329" s="100"/>
      <c r="AJ329" s="100"/>
      <c r="AK329" s="100"/>
      <c r="AL329" s="100"/>
      <c r="AM329" s="100"/>
    </row>
    <row r="330" ht="14.25" customHeight="1">
      <c r="A330" s="100"/>
      <c r="B330" s="100"/>
      <c r="C330" s="100"/>
      <c r="D330" s="100"/>
      <c r="E330" s="100"/>
      <c r="F330" s="206"/>
      <c r="G330" s="206"/>
      <c r="H330" s="207"/>
      <c r="I330" s="207"/>
      <c r="J330" s="207"/>
      <c r="K330" s="207"/>
      <c r="L330" s="207"/>
      <c r="M330" s="207"/>
      <c r="N330" s="207"/>
      <c r="O330" s="207"/>
      <c r="P330" s="207"/>
      <c r="Q330" s="207"/>
      <c r="R330" s="207"/>
      <c r="S330" s="207"/>
      <c r="T330" s="207"/>
      <c r="U330" s="207"/>
      <c r="V330" s="207"/>
      <c r="W330" s="208"/>
      <c r="X330" s="208"/>
      <c r="Y330" s="208"/>
      <c r="Z330" s="208"/>
      <c r="AA330" s="208"/>
      <c r="AB330" s="208"/>
      <c r="AC330" s="208"/>
      <c r="AD330" s="208"/>
      <c r="AE330" s="208"/>
      <c r="AF330" s="208"/>
      <c r="AG330" s="208"/>
      <c r="AH330" s="208"/>
      <c r="AI330" s="100"/>
      <c r="AJ330" s="100"/>
      <c r="AK330" s="100"/>
      <c r="AL330" s="100"/>
      <c r="AM330" s="100"/>
    </row>
    <row r="331" ht="14.25" customHeight="1">
      <c r="A331" s="100"/>
      <c r="B331" s="100"/>
      <c r="C331" s="100"/>
      <c r="D331" s="100"/>
      <c r="E331" s="100"/>
      <c r="F331" s="206"/>
      <c r="G331" s="206"/>
      <c r="H331" s="207"/>
      <c r="I331" s="207"/>
      <c r="J331" s="207"/>
      <c r="K331" s="207"/>
      <c r="L331" s="207"/>
      <c r="M331" s="207"/>
      <c r="N331" s="207"/>
      <c r="O331" s="207"/>
      <c r="P331" s="207"/>
      <c r="Q331" s="207"/>
      <c r="R331" s="207"/>
      <c r="S331" s="207"/>
      <c r="T331" s="207"/>
      <c r="U331" s="207"/>
      <c r="V331" s="207"/>
      <c r="W331" s="208"/>
      <c r="X331" s="208"/>
      <c r="Y331" s="208"/>
      <c r="Z331" s="208"/>
      <c r="AA331" s="208"/>
      <c r="AB331" s="208"/>
      <c r="AC331" s="208"/>
      <c r="AD331" s="208"/>
      <c r="AE331" s="208"/>
      <c r="AF331" s="208"/>
      <c r="AG331" s="208"/>
      <c r="AH331" s="208"/>
      <c r="AI331" s="100"/>
      <c r="AJ331" s="100"/>
      <c r="AK331" s="100"/>
      <c r="AL331" s="100"/>
      <c r="AM331" s="100"/>
    </row>
    <row r="332" ht="14.25" customHeight="1">
      <c r="A332" s="100"/>
      <c r="B332" s="100"/>
      <c r="C332" s="100"/>
      <c r="D332" s="100"/>
      <c r="E332" s="100"/>
      <c r="F332" s="206"/>
      <c r="G332" s="206"/>
      <c r="H332" s="207"/>
      <c r="I332" s="207"/>
      <c r="J332" s="207"/>
      <c r="K332" s="207"/>
      <c r="L332" s="207"/>
      <c r="M332" s="207"/>
      <c r="N332" s="207"/>
      <c r="O332" s="207"/>
      <c r="P332" s="207"/>
      <c r="Q332" s="207"/>
      <c r="R332" s="207"/>
      <c r="S332" s="207"/>
      <c r="T332" s="207"/>
      <c r="U332" s="207"/>
      <c r="V332" s="207"/>
      <c r="W332" s="208"/>
      <c r="X332" s="208"/>
      <c r="Y332" s="208"/>
      <c r="Z332" s="208"/>
      <c r="AA332" s="208"/>
      <c r="AB332" s="208"/>
      <c r="AC332" s="208"/>
      <c r="AD332" s="208"/>
      <c r="AE332" s="208"/>
      <c r="AF332" s="208"/>
      <c r="AG332" s="208"/>
      <c r="AH332" s="208"/>
      <c r="AI332" s="100"/>
      <c r="AJ332" s="100"/>
      <c r="AK332" s="100"/>
      <c r="AL332" s="100"/>
      <c r="AM332" s="100"/>
    </row>
    <row r="333" ht="14.25" customHeight="1">
      <c r="A333" s="100"/>
      <c r="B333" s="100"/>
      <c r="C333" s="100"/>
      <c r="D333" s="100"/>
      <c r="E333" s="100"/>
      <c r="F333" s="206"/>
      <c r="G333" s="206"/>
      <c r="H333" s="207"/>
      <c r="I333" s="207"/>
      <c r="J333" s="207"/>
      <c r="K333" s="207"/>
      <c r="L333" s="207"/>
      <c r="M333" s="207"/>
      <c r="N333" s="207"/>
      <c r="O333" s="207"/>
      <c r="P333" s="207"/>
      <c r="Q333" s="207"/>
      <c r="R333" s="207"/>
      <c r="S333" s="207"/>
      <c r="T333" s="207"/>
      <c r="U333" s="207"/>
      <c r="V333" s="207"/>
      <c r="W333" s="208"/>
      <c r="X333" s="208"/>
      <c r="Y333" s="208"/>
      <c r="Z333" s="208"/>
      <c r="AA333" s="208"/>
      <c r="AB333" s="208"/>
      <c r="AC333" s="208"/>
      <c r="AD333" s="208"/>
      <c r="AE333" s="208"/>
      <c r="AF333" s="208"/>
      <c r="AG333" s="208"/>
      <c r="AH333" s="208"/>
      <c r="AI333" s="100"/>
      <c r="AJ333" s="100"/>
      <c r="AK333" s="100"/>
      <c r="AL333" s="100"/>
      <c r="AM333" s="100"/>
    </row>
    <row r="334" ht="14.25" customHeight="1">
      <c r="A334" s="100"/>
      <c r="B334" s="100"/>
      <c r="C334" s="100"/>
      <c r="D334" s="100"/>
      <c r="E334" s="100"/>
      <c r="F334" s="206"/>
      <c r="G334" s="206"/>
      <c r="H334" s="207"/>
      <c r="I334" s="207"/>
      <c r="J334" s="207"/>
      <c r="K334" s="207"/>
      <c r="L334" s="207"/>
      <c r="M334" s="207"/>
      <c r="N334" s="207"/>
      <c r="O334" s="207"/>
      <c r="P334" s="207"/>
      <c r="Q334" s="207"/>
      <c r="R334" s="207"/>
      <c r="S334" s="207"/>
      <c r="T334" s="207"/>
      <c r="U334" s="207"/>
      <c r="V334" s="207"/>
      <c r="W334" s="208"/>
      <c r="X334" s="208"/>
      <c r="Y334" s="208"/>
      <c r="Z334" s="208"/>
      <c r="AA334" s="208"/>
      <c r="AB334" s="208"/>
      <c r="AC334" s="208"/>
      <c r="AD334" s="208"/>
      <c r="AE334" s="208"/>
      <c r="AF334" s="208"/>
      <c r="AG334" s="208"/>
      <c r="AH334" s="208"/>
      <c r="AI334" s="100"/>
      <c r="AJ334" s="100"/>
      <c r="AK334" s="100"/>
      <c r="AL334" s="100"/>
      <c r="AM334" s="100"/>
    </row>
    <row r="335" ht="14.25" customHeight="1">
      <c r="A335" s="100"/>
      <c r="B335" s="100"/>
      <c r="C335" s="100"/>
      <c r="D335" s="100"/>
      <c r="E335" s="100"/>
      <c r="F335" s="206"/>
      <c r="G335" s="206"/>
      <c r="H335" s="207"/>
      <c r="I335" s="207"/>
      <c r="J335" s="207"/>
      <c r="K335" s="207"/>
      <c r="L335" s="207"/>
      <c r="M335" s="207"/>
      <c r="N335" s="207"/>
      <c r="O335" s="207"/>
      <c r="P335" s="207"/>
      <c r="Q335" s="207"/>
      <c r="R335" s="207"/>
      <c r="S335" s="207"/>
      <c r="T335" s="207"/>
      <c r="U335" s="207"/>
      <c r="V335" s="207"/>
      <c r="W335" s="208"/>
      <c r="X335" s="208"/>
      <c r="Y335" s="208"/>
      <c r="Z335" s="208"/>
      <c r="AA335" s="208"/>
      <c r="AB335" s="208"/>
      <c r="AC335" s="208"/>
      <c r="AD335" s="208"/>
      <c r="AE335" s="208"/>
      <c r="AF335" s="208"/>
      <c r="AG335" s="208"/>
      <c r="AH335" s="208"/>
      <c r="AI335" s="100"/>
      <c r="AJ335" s="100"/>
      <c r="AK335" s="100"/>
      <c r="AL335" s="100"/>
      <c r="AM335" s="100"/>
    </row>
    <row r="336" ht="14.25" customHeight="1">
      <c r="A336" s="100"/>
      <c r="B336" s="100"/>
      <c r="C336" s="100"/>
      <c r="D336" s="100"/>
      <c r="E336" s="100"/>
      <c r="F336" s="206"/>
      <c r="G336" s="206"/>
      <c r="H336" s="207"/>
      <c r="I336" s="207"/>
      <c r="J336" s="207"/>
      <c r="K336" s="207"/>
      <c r="L336" s="207"/>
      <c r="M336" s="207"/>
      <c r="N336" s="207"/>
      <c r="O336" s="207"/>
      <c r="P336" s="207"/>
      <c r="Q336" s="207"/>
      <c r="R336" s="207"/>
      <c r="S336" s="207"/>
      <c r="T336" s="207"/>
      <c r="U336" s="207"/>
      <c r="V336" s="207"/>
      <c r="W336" s="208"/>
      <c r="X336" s="208"/>
      <c r="Y336" s="208"/>
      <c r="Z336" s="208"/>
      <c r="AA336" s="208"/>
      <c r="AB336" s="208"/>
      <c r="AC336" s="208"/>
      <c r="AD336" s="208"/>
      <c r="AE336" s="208"/>
      <c r="AF336" s="208"/>
      <c r="AG336" s="208"/>
      <c r="AH336" s="208"/>
      <c r="AI336" s="100"/>
      <c r="AJ336" s="100"/>
      <c r="AK336" s="100"/>
      <c r="AL336" s="100"/>
      <c r="AM336" s="100"/>
    </row>
    <row r="337" ht="14.25" customHeight="1">
      <c r="A337" s="100"/>
      <c r="B337" s="100"/>
      <c r="C337" s="100"/>
      <c r="D337" s="100"/>
      <c r="E337" s="100"/>
      <c r="F337" s="206"/>
      <c r="G337" s="206"/>
      <c r="H337" s="207"/>
      <c r="I337" s="207"/>
      <c r="J337" s="207"/>
      <c r="K337" s="207"/>
      <c r="L337" s="207"/>
      <c r="M337" s="207"/>
      <c r="N337" s="207"/>
      <c r="O337" s="207"/>
      <c r="P337" s="207"/>
      <c r="Q337" s="207"/>
      <c r="R337" s="207"/>
      <c r="S337" s="207"/>
      <c r="T337" s="207"/>
      <c r="U337" s="207"/>
      <c r="V337" s="207"/>
      <c r="W337" s="208"/>
      <c r="X337" s="208"/>
      <c r="Y337" s="208"/>
      <c r="Z337" s="208"/>
      <c r="AA337" s="208"/>
      <c r="AB337" s="208"/>
      <c r="AC337" s="208"/>
      <c r="AD337" s="208"/>
      <c r="AE337" s="208"/>
      <c r="AF337" s="208"/>
      <c r="AG337" s="208"/>
      <c r="AH337" s="208"/>
      <c r="AI337" s="100"/>
      <c r="AJ337" s="100"/>
      <c r="AK337" s="100"/>
      <c r="AL337" s="100"/>
      <c r="AM337" s="100"/>
    </row>
    <row r="338" ht="14.25" customHeight="1">
      <c r="A338" s="100"/>
      <c r="B338" s="100"/>
      <c r="C338" s="100"/>
      <c r="D338" s="100"/>
      <c r="E338" s="100"/>
      <c r="F338" s="206"/>
      <c r="G338" s="206"/>
      <c r="H338" s="207"/>
      <c r="I338" s="207"/>
      <c r="J338" s="207"/>
      <c r="K338" s="207"/>
      <c r="L338" s="207"/>
      <c r="M338" s="207"/>
      <c r="N338" s="207"/>
      <c r="O338" s="207"/>
      <c r="P338" s="207"/>
      <c r="Q338" s="207"/>
      <c r="R338" s="207"/>
      <c r="S338" s="207"/>
      <c r="T338" s="207"/>
      <c r="U338" s="207"/>
      <c r="V338" s="207"/>
      <c r="W338" s="208"/>
      <c r="X338" s="208"/>
      <c r="Y338" s="208"/>
      <c r="Z338" s="208"/>
      <c r="AA338" s="208"/>
      <c r="AB338" s="208"/>
      <c r="AC338" s="208"/>
      <c r="AD338" s="208"/>
      <c r="AE338" s="208"/>
      <c r="AF338" s="208"/>
      <c r="AG338" s="208"/>
      <c r="AH338" s="208"/>
      <c r="AI338" s="100"/>
      <c r="AJ338" s="100"/>
      <c r="AK338" s="100"/>
      <c r="AL338" s="100"/>
      <c r="AM338" s="100"/>
    </row>
    <row r="339" ht="14.25" customHeight="1">
      <c r="A339" s="100"/>
      <c r="B339" s="100"/>
      <c r="C339" s="100"/>
      <c r="D339" s="100"/>
      <c r="E339" s="100"/>
      <c r="F339" s="206"/>
      <c r="G339" s="206"/>
      <c r="H339" s="207"/>
      <c r="I339" s="207"/>
      <c r="J339" s="207"/>
      <c r="K339" s="207"/>
      <c r="L339" s="207"/>
      <c r="M339" s="207"/>
      <c r="N339" s="207"/>
      <c r="O339" s="207"/>
      <c r="P339" s="207"/>
      <c r="Q339" s="207"/>
      <c r="R339" s="207"/>
      <c r="S339" s="207"/>
      <c r="T339" s="207"/>
      <c r="U339" s="207"/>
      <c r="V339" s="207"/>
      <c r="W339" s="208"/>
      <c r="X339" s="208"/>
      <c r="Y339" s="208"/>
      <c r="Z339" s="208"/>
      <c r="AA339" s="208"/>
      <c r="AB339" s="208"/>
      <c r="AC339" s="208"/>
      <c r="AD339" s="208"/>
      <c r="AE339" s="208"/>
      <c r="AF339" s="208"/>
      <c r="AG339" s="208"/>
      <c r="AH339" s="208"/>
      <c r="AI339" s="100"/>
      <c r="AJ339" s="100"/>
      <c r="AK339" s="100"/>
      <c r="AL339" s="100"/>
      <c r="AM339" s="100"/>
    </row>
    <row r="340" ht="14.25" customHeight="1">
      <c r="A340" s="100"/>
      <c r="B340" s="100"/>
      <c r="C340" s="100"/>
      <c r="D340" s="100"/>
      <c r="E340" s="100"/>
      <c r="F340" s="206"/>
      <c r="G340" s="206"/>
      <c r="H340" s="207"/>
      <c r="I340" s="207"/>
      <c r="J340" s="207"/>
      <c r="K340" s="207"/>
      <c r="L340" s="207"/>
      <c r="M340" s="207"/>
      <c r="N340" s="207"/>
      <c r="O340" s="207"/>
      <c r="P340" s="207"/>
      <c r="Q340" s="207"/>
      <c r="R340" s="207"/>
      <c r="S340" s="207"/>
      <c r="T340" s="207"/>
      <c r="U340" s="207"/>
      <c r="V340" s="207"/>
      <c r="W340" s="208"/>
      <c r="X340" s="208"/>
      <c r="Y340" s="208"/>
      <c r="Z340" s="208"/>
      <c r="AA340" s="208"/>
      <c r="AB340" s="208"/>
      <c r="AC340" s="208"/>
      <c r="AD340" s="208"/>
      <c r="AE340" s="208"/>
      <c r="AF340" s="208"/>
      <c r="AG340" s="208"/>
      <c r="AH340" s="208"/>
      <c r="AI340" s="100"/>
      <c r="AJ340" s="100"/>
      <c r="AK340" s="100"/>
      <c r="AL340" s="100"/>
      <c r="AM340" s="100"/>
    </row>
    <row r="341" ht="14.25" customHeight="1">
      <c r="A341" s="100"/>
      <c r="B341" s="100"/>
      <c r="C341" s="100"/>
      <c r="D341" s="100"/>
      <c r="E341" s="100"/>
      <c r="F341" s="206"/>
      <c r="G341" s="206"/>
      <c r="H341" s="207"/>
      <c r="I341" s="207"/>
      <c r="J341" s="207"/>
      <c r="K341" s="207"/>
      <c r="L341" s="207"/>
      <c r="M341" s="207"/>
      <c r="N341" s="207"/>
      <c r="O341" s="207"/>
      <c r="P341" s="207"/>
      <c r="Q341" s="207"/>
      <c r="R341" s="207"/>
      <c r="S341" s="207"/>
      <c r="T341" s="207"/>
      <c r="U341" s="207"/>
      <c r="V341" s="207"/>
      <c r="W341" s="208"/>
      <c r="X341" s="208"/>
      <c r="Y341" s="208"/>
      <c r="Z341" s="208"/>
      <c r="AA341" s="208"/>
      <c r="AB341" s="208"/>
      <c r="AC341" s="208"/>
      <c r="AD341" s="208"/>
      <c r="AE341" s="208"/>
      <c r="AF341" s="208"/>
      <c r="AG341" s="208"/>
      <c r="AH341" s="208"/>
      <c r="AI341" s="100"/>
      <c r="AJ341" s="100"/>
      <c r="AK341" s="100"/>
      <c r="AL341" s="100"/>
      <c r="AM341" s="100"/>
    </row>
    <row r="342" ht="14.25" customHeight="1">
      <c r="A342" s="100"/>
      <c r="B342" s="100"/>
      <c r="C342" s="100"/>
      <c r="D342" s="100"/>
      <c r="E342" s="100"/>
      <c r="F342" s="206"/>
      <c r="G342" s="206"/>
      <c r="H342" s="207"/>
      <c r="I342" s="207"/>
      <c r="J342" s="207"/>
      <c r="K342" s="207"/>
      <c r="L342" s="207"/>
      <c r="M342" s="207"/>
      <c r="N342" s="207"/>
      <c r="O342" s="207"/>
      <c r="P342" s="207"/>
      <c r="Q342" s="207"/>
      <c r="R342" s="207"/>
      <c r="S342" s="207"/>
      <c r="T342" s="207"/>
      <c r="U342" s="207"/>
      <c r="V342" s="207"/>
      <c r="W342" s="208"/>
      <c r="X342" s="208"/>
      <c r="Y342" s="208"/>
      <c r="Z342" s="208"/>
      <c r="AA342" s="208"/>
      <c r="AB342" s="208"/>
      <c r="AC342" s="208"/>
      <c r="AD342" s="208"/>
      <c r="AE342" s="208"/>
      <c r="AF342" s="208"/>
      <c r="AG342" s="208"/>
      <c r="AH342" s="208"/>
      <c r="AI342" s="100"/>
      <c r="AJ342" s="100"/>
      <c r="AK342" s="100"/>
      <c r="AL342" s="100"/>
      <c r="AM342" s="100"/>
    </row>
    <row r="343" ht="14.25" customHeight="1">
      <c r="A343" s="100"/>
      <c r="B343" s="100"/>
      <c r="C343" s="100"/>
      <c r="D343" s="100"/>
      <c r="E343" s="100"/>
      <c r="F343" s="206"/>
      <c r="G343" s="206"/>
      <c r="H343" s="207"/>
      <c r="I343" s="207"/>
      <c r="J343" s="207"/>
      <c r="K343" s="207"/>
      <c r="L343" s="207"/>
      <c r="M343" s="207"/>
      <c r="N343" s="207"/>
      <c r="O343" s="207"/>
      <c r="P343" s="207"/>
      <c r="Q343" s="207"/>
      <c r="R343" s="207"/>
      <c r="S343" s="207"/>
      <c r="T343" s="207"/>
      <c r="U343" s="207"/>
      <c r="V343" s="207"/>
      <c r="W343" s="208"/>
      <c r="X343" s="208"/>
      <c r="Y343" s="208"/>
      <c r="Z343" s="208"/>
      <c r="AA343" s="208"/>
      <c r="AB343" s="208"/>
      <c r="AC343" s="208"/>
      <c r="AD343" s="208"/>
      <c r="AE343" s="208"/>
      <c r="AF343" s="208"/>
      <c r="AG343" s="208"/>
      <c r="AH343" s="208"/>
      <c r="AI343" s="100"/>
      <c r="AJ343" s="100"/>
      <c r="AK343" s="100"/>
      <c r="AL343" s="100"/>
      <c r="AM343" s="100"/>
    </row>
    <row r="344" ht="14.25" customHeight="1">
      <c r="A344" s="100"/>
      <c r="B344" s="100"/>
      <c r="C344" s="100"/>
      <c r="D344" s="100"/>
      <c r="E344" s="100"/>
      <c r="F344" s="206"/>
      <c r="G344" s="206"/>
      <c r="H344" s="207"/>
      <c r="I344" s="207"/>
      <c r="J344" s="207"/>
      <c r="K344" s="207"/>
      <c r="L344" s="207"/>
      <c r="M344" s="207"/>
      <c r="N344" s="207"/>
      <c r="O344" s="207"/>
      <c r="P344" s="207"/>
      <c r="Q344" s="207"/>
      <c r="R344" s="207"/>
      <c r="S344" s="207"/>
      <c r="T344" s="207"/>
      <c r="U344" s="207"/>
      <c r="V344" s="207"/>
      <c r="W344" s="208"/>
      <c r="X344" s="208"/>
      <c r="Y344" s="208"/>
      <c r="Z344" s="208"/>
      <c r="AA344" s="208"/>
      <c r="AB344" s="208"/>
      <c r="AC344" s="208"/>
      <c r="AD344" s="208"/>
      <c r="AE344" s="208"/>
      <c r="AF344" s="208"/>
      <c r="AG344" s="208"/>
      <c r="AH344" s="208"/>
      <c r="AI344" s="100"/>
      <c r="AJ344" s="100"/>
      <c r="AK344" s="100"/>
      <c r="AL344" s="100"/>
      <c r="AM344" s="100"/>
    </row>
    <row r="345" ht="14.25" customHeight="1">
      <c r="A345" s="100"/>
      <c r="B345" s="100"/>
      <c r="C345" s="100"/>
      <c r="D345" s="100"/>
      <c r="E345" s="100"/>
      <c r="F345" s="206"/>
      <c r="G345" s="206"/>
      <c r="H345" s="207"/>
      <c r="I345" s="207"/>
      <c r="J345" s="207"/>
      <c r="K345" s="207"/>
      <c r="L345" s="207"/>
      <c r="M345" s="207"/>
      <c r="N345" s="207"/>
      <c r="O345" s="207"/>
      <c r="P345" s="207"/>
      <c r="Q345" s="207"/>
      <c r="R345" s="207"/>
      <c r="S345" s="207"/>
      <c r="T345" s="207"/>
      <c r="U345" s="207"/>
      <c r="V345" s="207"/>
      <c r="W345" s="208"/>
      <c r="X345" s="208"/>
      <c r="Y345" s="208"/>
      <c r="Z345" s="208"/>
      <c r="AA345" s="208"/>
      <c r="AB345" s="208"/>
      <c r="AC345" s="208"/>
      <c r="AD345" s="208"/>
      <c r="AE345" s="208"/>
      <c r="AF345" s="208"/>
      <c r="AG345" s="208"/>
      <c r="AH345" s="208"/>
      <c r="AI345" s="100"/>
      <c r="AJ345" s="100"/>
      <c r="AK345" s="100"/>
      <c r="AL345" s="100"/>
      <c r="AM345" s="100"/>
    </row>
    <row r="346" ht="14.25" customHeight="1">
      <c r="A346" s="100"/>
      <c r="B346" s="100"/>
      <c r="C346" s="100"/>
      <c r="D346" s="100"/>
      <c r="E346" s="100"/>
      <c r="F346" s="206"/>
      <c r="G346" s="206"/>
      <c r="H346" s="207"/>
      <c r="I346" s="207"/>
      <c r="J346" s="207"/>
      <c r="K346" s="207"/>
      <c r="L346" s="207"/>
      <c r="M346" s="207"/>
      <c r="N346" s="207"/>
      <c r="O346" s="207"/>
      <c r="P346" s="207"/>
      <c r="Q346" s="207"/>
      <c r="R346" s="207"/>
      <c r="S346" s="207"/>
      <c r="T346" s="207"/>
      <c r="U346" s="207"/>
      <c r="V346" s="207"/>
      <c r="W346" s="208"/>
      <c r="X346" s="208"/>
      <c r="Y346" s="208"/>
      <c r="Z346" s="208"/>
      <c r="AA346" s="208"/>
      <c r="AB346" s="208"/>
      <c r="AC346" s="208"/>
      <c r="AD346" s="208"/>
      <c r="AE346" s="208"/>
      <c r="AF346" s="208"/>
      <c r="AG346" s="208"/>
      <c r="AH346" s="208"/>
      <c r="AI346" s="100"/>
      <c r="AJ346" s="100"/>
      <c r="AK346" s="100"/>
      <c r="AL346" s="100"/>
      <c r="AM346" s="100"/>
    </row>
    <row r="347" ht="14.25" customHeight="1">
      <c r="A347" s="100"/>
      <c r="B347" s="100"/>
      <c r="C347" s="100"/>
      <c r="D347" s="100"/>
      <c r="E347" s="100"/>
      <c r="F347" s="206"/>
      <c r="G347" s="206"/>
      <c r="H347" s="207"/>
      <c r="I347" s="207"/>
      <c r="J347" s="207"/>
      <c r="K347" s="207"/>
      <c r="L347" s="207"/>
      <c r="M347" s="207"/>
      <c r="N347" s="207"/>
      <c r="O347" s="207"/>
      <c r="P347" s="207"/>
      <c r="Q347" s="207"/>
      <c r="R347" s="207"/>
      <c r="S347" s="207"/>
      <c r="T347" s="207"/>
      <c r="U347" s="207"/>
      <c r="V347" s="207"/>
      <c r="W347" s="208"/>
      <c r="X347" s="208"/>
      <c r="Y347" s="208"/>
      <c r="Z347" s="208"/>
      <c r="AA347" s="208"/>
      <c r="AB347" s="208"/>
      <c r="AC347" s="208"/>
      <c r="AD347" s="208"/>
      <c r="AE347" s="208"/>
      <c r="AF347" s="208"/>
      <c r="AG347" s="208"/>
      <c r="AH347" s="208"/>
      <c r="AI347" s="100"/>
      <c r="AJ347" s="100"/>
      <c r="AK347" s="100"/>
      <c r="AL347" s="100"/>
      <c r="AM347" s="100"/>
    </row>
    <row r="348" ht="14.25" customHeight="1">
      <c r="A348" s="100"/>
      <c r="B348" s="100"/>
      <c r="C348" s="100"/>
      <c r="D348" s="100"/>
      <c r="E348" s="100"/>
      <c r="F348" s="206"/>
      <c r="G348" s="206"/>
      <c r="H348" s="207"/>
      <c r="I348" s="207"/>
      <c r="J348" s="207"/>
      <c r="K348" s="207"/>
      <c r="L348" s="207"/>
      <c r="M348" s="207"/>
      <c r="N348" s="207"/>
      <c r="O348" s="207"/>
      <c r="P348" s="207"/>
      <c r="Q348" s="207"/>
      <c r="R348" s="207"/>
      <c r="S348" s="207"/>
      <c r="T348" s="207"/>
      <c r="U348" s="207"/>
      <c r="V348" s="207"/>
      <c r="W348" s="208"/>
      <c r="X348" s="208"/>
      <c r="Y348" s="208"/>
      <c r="Z348" s="208"/>
      <c r="AA348" s="208"/>
      <c r="AB348" s="208"/>
      <c r="AC348" s="208"/>
      <c r="AD348" s="208"/>
      <c r="AE348" s="208"/>
      <c r="AF348" s="208"/>
      <c r="AG348" s="208"/>
      <c r="AH348" s="208"/>
      <c r="AI348" s="100"/>
      <c r="AJ348" s="100"/>
      <c r="AK348" s="100"/>
      <c r="AL348" s="100"/>
      <c r="AM348" s="100"/>
    </row>
    <row r="349" ht="14.25" customHeight="1">
      <c r="A349" s="100"/>
      <c r="B349" s="100"/>
      <c r="C349" s="100"/>
      <c r="D349" s="100"/>
      <c r="E349" s="100"/>
      <c r="F349" s="206"/>
      <c r="G349" s="206"/>
      <c r="H349" s="207"/>
      <c r="I349" s="207"/>
      <c r="J349" s="207"/>
      <c r="K349" s="207"/>
      <c r="L349" s="207"/>
      <c r="M349" s="207"/>
      <c r="N349" s="207"/>
      <c r="O349" s="207"/>
      <c r="P349" s="207"/>
      <c r="Q349" s="207"/>
      <c r="R349" s="207"/>
      <c r="S349" s="207"/>
      <c r="T349" s="207"/>
      <c r="U349" s="207"/>
      <c r="V349" s="207"/>
      <c r="W349" s="208"/>
      <c r="X349" s="208"/>
      <c r="Y349" s="208"/>
      <c r="Z349" s="208"/>
      <c r="AA349" s="208"/>
      <c r="AB349" s="208"/>
      <c r="AC349" s="208"/>
      <c r="AD349" s="208"/>
      <c r="AE349" s="208"/>
      <c r="AF349" s="208"/>
      <c r="AG349" s="208"/>
      <c r="AH349" s="208"/>
      <c r="AI349" s="100"/>
      <c r="AJ349" s="100"/>
      <c r="AK349" s="100"/>
      <c r="AL349" s="100"/>
      <c r="AM349" s="100"/>
    </row>
    <row r="350" ht="14.25" customHeight="1">
      <c r="A350" s="100"/>
      <c r="B350" s="100"/>
      <c r="C350" s="100"/>
      <c r="D350" s="100"/>
      <c r="E350" s="100"/>
      <c r="F350" s="206"/>
      <c r="G350" s="206"/>
      <c r="H350" s="207"/>
      <c r="I350" s="207"/>
      <c r="J350" s="207"/>
      <c r="K350" s="207"/>
      <c r="L350" s="207"/>
      <c r="M350" s="207"/>
      <c r="N350" s="207"/>
      <c r="O350" s="207"/>
      <c r="P350" s="207"/>
      <c r="Q350" s="207"/>
      <c r="R350" s="207"/>
      <c r="S350" s="207"/>
      <c r="T350" s="207"/>
      <c r="U350" s="207"/>
      <c r="V350" s="207"/>
      <c r="W350" s="208"/>
      <c r="X350" s="208"/>
      <c r="Y350" s="208"/>
      <c r="Z350" s="208"/>
      <c r="AA350" s="208"/>
      <c r="AB350" s="208"/>
      <c r="AC350" s="208"/>
      <c r="AD350" s="208"/>
      <c r="AE350" s="208"/>
      <c r="AF350" s="208"/>
      <c r="AG350" s="208"/>
      <c r="AH350" s="208"/>
      <c r="AI350" s="100"/>
      <c r="AJ350" s="100"/>
      <c r="AK350" s="100"/>
      <c r="AL350" s="100"/>
      <c r="AM350" s="100"/>
    </row>
    <row r="351" ht="14.25" customHeight="1">
      <c r="A351" s="100"/>
      <c r="B351" s="100"/>
      <c r="C351" s="100"/>
      <c r="D351" s="100"/>
      <c r="E351" s="100"/>
      <c r="F351" s="206"/>
      <c r="G351" s="206"/>
      <c r="H351" s="207"/>
      <c r="I351" s="207"/>
      <c r="J351" s="207"/>
      <c r="K351" s="207"/>
      <c r="L351" s="207"/>
      <c r="M351" s="207"/>
      <c r="N351" s="207"/>
      <c r="O351" s="207"/>
      <c r="P351" s="207"/>
      <c r="Q351" s="207"/>
      <c r="R351" s="207"/>
      <c r="S351" s="207"/>
      <c r="T351" s="207"/>
      <c r="U351" s="207"/>
      <c r="V351" s="207"/>
      <c r="W351" s="208"/>
      <c r="X351" s="208"/>
      <c r="Y351" s="208"/>
      <c r="Z351" s="208"/>
      <c r="AA351" s="208"/>
      <c r="AB351" s="208"/>
      <c r="AC351" s="208"/>
      <c r="AD351" s="208"/>
      <c r="AE351" s="208"/>
      <c r="AF351" s="208"/>
      <c r="AG351" s="208"/>
      <c r="AH351" s="208"/>
      <c r="AI351" s="100"/>
      <c r="AJ351" s="100"/>
      <c r="AK351" s="100"/>
      <c r="AL351" s="100"/>
      <c r="AM351" s="100"/>
    </row>
    <row r="352" ht="14.25" customHeight="1">
      <c r="A352" s="100"/>
      <c r="B352" s="100"/>
      <c r="C352" s="100"/>
      <c r="D352" s="100"/>
      <c r="E352" s="100"/>
      <c r="F352" s="206"/>
      <c r="G352" s="206"/>
      <c r="H352" s="207"/>
      <c r="I352" s="207"/>
      <c r="J352" s="207"/>
      <c r="K352" s="207"/>
      <c r="L352" s="207"/>
      <c r="M352" s="207"/>
      <c r="N352" s="207"/>
      <c r="O352" s="207"/>
      <c r="P352" s="207"/>
      <c r="Q352" s="207"/>
      <c r="R352" s="207"/>
      <c r="S352" s="207"/>
      <c r="T352" s="207"/>
      <c r="U352" s="207"/>
      <c r="V352" s="207"/>
      <c r="W352" s="208"/>
      <c r="X352" s="208"/>
      <c r="Y352" s="208"/>
      <c r="Z352" s="208"/>
      <c r="AA352" s="208"/>
      <c r="AB352" s="208"/>
      <c r="AC352" s="208"/>
      <c r="AD352" s="208"/>
      <c r="AE352" s="208"/>
      <c r="AF352" s="208"/>
      <c r="AG352" s="208"/>
      <c r="AH352" s="208"/>
      <c r="AI352" s="100"/>
      <c r="AJ352" s="100"/>
      <c r="AK352" s="100"/>
      <c r="AL352" s="100"/>
      <c r="AM352" s="100"/>
    </row>
    <row r="353" ht="14.25" customHeight="1">
      <c r="A353" s="100"/>
      <c r="B353" s="100"/>
      <c r="C353" s="100"/>
      <c r="D353" s="100"/>
      <c r="E353" s="100"/>
      <c r="F353" s="206"/>
      <c r="G353" s="206"/>
      <c r="H353" s="207"/>
      <c r="I353" s="207"/>
      <c r="J353" s="207"/>
      <c r="K353" s="207"/>
      <c r="L353" s="207"/>
      <c r="M353" s="207"/>
      <c r="N353" s="207"/>
      <c r="O353" s="207"/>
      <c r="P353" s="207"/>
      <c r="Q353" s="207"/>
      <c r="R353" s="207"/>
      <c r="S353" s="207"/>
      <c r="T353" s="207"/>
      <c r="U353" s="207"/>
      <c r="V353" s="207"/>
      <c r="W353" s="208"/>
      <c r="X353" s="208"/>
      <c r="Y353" s="208"/>
      <c r="Z353" s="208"/>
      <c r="AA353" s="208"/>
      <c r="AB353" s="208"/>
      <c r="AC353" s="208"/>
      <c r="AD353" s="208"/>
      <c r="AE353" s="208"/>
      <c r="AF353" s="208"/>
      <c r="AG353" s="208"/>
      <c r="AH353" s="208"/>
      <c r="AI353" s="100"/>
      <c r="AJ353" s="100"/>
      <c r="AK353" s="100"/>
      <c r="AL353" s="100"/>
      <c r="AM353" s="100"/>
    </row>
    <row r="354" ht="14.25" customHeight="1">
      <c r="A354" s="100"/>
      <c r="B354" s="100"/>
      <c r="C354" s="100"/>
      <c r="D354" s="100"/>
      <c r="E354" s="100"/>
      <c r="F354" s="206"/>
      <c r="G354" s="206"/>
      <c r="H354" s="207"/>
      <c r="I354" s="207"/>
      <c r="J354" s="207"/>
      <c r="K354" s="207"/>
      <c r="L354" s="207"/>
      <c r="M354" s="207"/>
      <c r="N354" s="207"/>
      <c r="O354" s="207"/>
      <c r="P354" s="207"/>
      <c r="Q354" s="207"/>
      <c r="R354" s="207"/>
      <c r="S354" s="207"/>
      <c r="T354" s="207"/>
      <c r="U354" s="207"/>
      <c r="V354" s="207"/>
      <c r="W354" s="208"/>
      <c r="X354" s="208"/>
      <c r="Y354" s="208"/>
      <c r="Z354" s="208"/>
      <c r="AA354" s="208"/>
      <c r="AB354" s="208"/>
      <c r="AC354" s="208"/>
      <c r="AD354" s="208"/>
      <c r="AE354" s="208"/>
      <c r="AF354" s="208"/>
      <c r="AG354" s="208"/>
      <c r="AH354" s="208"/>
      <c r="AI354" s="100"/>
      <c r="AJ354" s="100"/>
      <c r="AK354" s="100"/>
      <c r="AL354" s="100"/>
      <c r="AM354" s="100"/>
    </row>
    <row r="355" ht="14.25" customHeight="1">
      <c r="A355" s="100"/>
      <c r="B355" s="100"/>
      <c r="C355" s="100"/>
      <c r="D355" s="100"/>
      <c r="E355" s="100"/>
      <c r="F355" s="206"/>
      <c r="G355" s="206"/>
      <c r="H355" s="207"/>
      <c r="I355" s="207"/>
      <c r="J355" s="207"/>
      <c r="K355" s="207"/>
      <c r="L355" s="207"/>
      <c r="M355" s="207"/>
      <c r="N355" s="207"/>
      <c r="O355" s="207"/>
      <c r="P355" s="207"/>
      <c r="Q355" s="207"/>
      <c r="R355" s="207"/>
      <c r="S355" s="207"/>
      <c r="T355" s="207"/>
      <c r="U355" s="207"/>
      <c r="V355" s="207"/>
      <c r="W355" s="208"/>
      <c r="X355" s="208"/>
      <c r="Y355" s="208"/>
      <c r="Z355" s="208"/>
      <c r="AA355" s="208"/>
      <c r="AB355" s="208"/>
      <c r="AC355" s="208"/>
      <c r="AD355" s="208"/>
      <c r="AE355" s="208"/>
      <c r="AF355" s="208"/>
      <c r="AG355" s="208"/>
      <c r="AH355" s="208"/>
      <c r="AI355" s="100"/>
      <c r="AJ355" s="100"/>
      <c r="AK355" s="100"/>
      <c r="AL355" s="100"/>
      <c r="AM355" s="100"/>
    </row>
    <row r="356" ht="14.25" customHeight="1">
      <c r="A356" s="100"/>
      <c r="B356" s="100"/>
      <c r="C356" s="100"/>
      <c r="D356" s="100"/>
      <c r="E356" s="100"/>
      <c r="F356" s="206"/>
      <c r="G356" s="206"/>
      <c r="H356" s="207"/>
      <c r="I356" s="207"/>
      <c r="J356" s="207"/>
      <c r="K356" s="207"/>
      <c r="L356" s="207"/>
      <c r="M356" s="207"/>
      <c r="N356" s="207"/>
      <c r="O356" s="207"/>
      <c r="P356" s="207"/>
      <c r="Q356" s="207"/>
      <c r="R356" s="207"/>
      <c r="S356" s="207"/>
      <c r="T356" s="207"/>
      <c r="U356" s="207"/>
      <c r="V356" s="207"/>
      <c r="W356" s="208"/>
      <c r="X356" s="208"/>
      <c r="Y356" s="208"/>
      <c r="Z356" s="208"/>
      <c r="AA356" s="208"/>
      <c r="AB356" s="208"/>
      <c r="AC356" s="208"/>
      <c r="AD356" s="208"/>
      <c r="AE356" s="208"/>
      <c r="AF356" s="208"/>
      <c r="AG356" s="208"/>
      <c r="AH356" s="208"/>
      <c r="AI356" s="100"/>
      <c r="AJ356" s="100"/>
      <c r="AK356" s="100"/>
      <c r="AL356" s="100"/>
      <c r="AM356" s="100"/>
    </row>
    <row r="357" ht="14.25" customHeight="1">
      <c r="A357" s="100"/>
      <c r="B357" s="100"/>
      <c r="C357" s="100"/>
      <c r="D357" s="100"/>
      <c r="E357" s="100"/>
      <c r="F357" s="206"/>
      <c r="G357" s="206"/>
      <c r="H357" s="207"/>
      <c r="I357" s="207"/>
      <c r="J357" s="207"/>
      <c r="K357" s="207"/>
      <c r="L357" s="207"/>
      <c r="M357" s="207"/>
      <c r="N357" s="207"/>
      <c r="O357" s="207"/>
      <c r="P357" s="207"/>
      <c r="Q357" s="207"/>
      <c r="R357" s="207"/>
      <c r="S357" s="207"/>
      <c r="T357" s="207"/>
      <c r="U357" s="207"/>
      <c r="V357" s="207"/>
      <c r="W357" s="208"/>
      <c r="X357" s="208"/>
      <c r="Y357" s="208"/>
      <c r="Z357" s="208"/>
      <c r="AA357" s="208"/>
      <c r="AB357" s="208"/>
      <c r="AC357" s="208"/>
      <c r="AD357" s="208"/>
      <c r="AE357" s="208"/>
      <c r="AF357" s="208"/>
      <c r="AG357" s="208"/>
      <c r="AH357" s="208"/>
      <c r="AI357" s="100"/>
      <c r="AJ357" s="100"/>
      <c r="AK357" s="100"/>
      <c r="AL357" s="100"/>
      <c r="AM357" s="100"/>
    </row>
    <row r="358" ht="14.25" customHeight="1">
      <c r="A358" s="100"/>
      <c r="B358" s="100"/>
      <c r="C358" s="100"/>
      <c r="D358" s="100"/>
      <c r="E358" s="100"/>
      <c r="F358" s="206"/>
      <c r="G358" s="206"/>
      <c r="H358" s="207"/>
      <c r="I358" s="207"/>
      <c r="J358" s="207"/>
      <c r="K358" s="207"/>
      <c r="L358" s="207"/>
      <c r="M358" s="207"/>
      <c r="N358" s="207"/>
      <c r="O358" s="207"/>
      <c r="P358" s="207"/>
      <c r="Q358" s="207"/>
      <c r="R358" s="207"/>
      <c r="S358" s="207"/>
      <c r="T358" s="207"/>
      <c r="U358" s="207"/>
      <c r="V358" s="207"/>
      <c r="W358" s="208"/>
      <c r="X358" s="208"/>
      <c r="Y358" s="208"/>
      <c r="Z358" s="208"/>
      <c r="AA358" s="208"/>
      <c r="AB358" s="208"/>
      <c r="AC358" s="208"/>
      <c r="AD358" s="208"/>
      <c r="AE358" s="208"/>
      <c r="AF358" s="208"/>
      <c r="AG358" s="208"/>
      <c r="AH358" s="208"/>
      <c r="AI358" s="100"/>
      <c r="AJ358" s="100"/>
      <c r="AK358" s="100"/>
      <c r="AL358" s="100"/>
      <c r="AM358" s="100"/>
    </row>
    <row r="359" ht="14.25" customHeight="1">
      <c r="A359" s="100"/>
      <c r="B359" s="100"/>
      <c r="C359" s="100"/>
      <c r="D359" s="100"/>
      <c r="E359" s="100"/>
      <c r="F359" s="206"/>
      <c r="G359" s="206"/>
      <c r="H359" s="207"/>
      <c r="I359" s="207"/>
      <c r="J359" s="207"/>
      <c r="K359" s="207"/>
      <c r="L359" s="207"/>
      <c r="M359" s="207"/>
      <c r="N359" s="207"/>
      <c r="O359" s="207"/>
      <c r="P359" s="207"/>
      <c r="Q359" s="207"/>
      <c r="R359" s="207"/>
      <c r="S359" s="207"/>
      <c r="T359" s="207"/>
      <c r="U359" s="207"/>
      <c r="V359" s="207"/>
      <c r="W359" s="208"/>
      <c r="X359" s="208"/>
      <c r="Y359" s="208"/>
      <c r="Z359" s="208"/>
      <c r="AA359" s="208"/>
      <c r="AB359" s="208"/>
      <c r="AC359" s="208"/>
      <c r="AD359" s="208"/>
      <c r="AE359" s="208"/>
      <c r="AF359" s="208"/>
      <c r="AG359" s="208"/>
      <c r="AH359" s="208"/>
      <c r="AI359" s="100"/>
      <c r="AJ359" s="100"/>
      <c r="AK359" s="100"/>
      <c r="AL359" s="100"/>
      <c r="AM359" s="100"/>
    </row>
    <row r="360" ht="14.25" customHeight="1">
      <c r="A360" s="100"/>
      <c r="B360" s="100"/>
      <c r="C360" s="100"/>
      <c r="D360" s="100"/>
      <c r="E360" s="100"/>
      <c r="F360" s="206"/>
      <c r="G360" s="206"/>
      <c r="H360" s="207"/>
      <c r="I360" s="207"/>
      <c r="J360" s="207"/>
      <c r="K360" s="207"/>
      <c r="L360" s="207"/>
      <c r="M360" s="207"/>
      <c r="N360" s="207"/>
      <c r="O360" s="207"/>
      <c r="P360" s="207"/>
      <c r="Q360" s="207"/>
      <c r="R360" s="207"/>
      <c r="S360" s="207"/>
      <c r="T360" s="207"/>
      <c r="U360" s="207"/>
      <c r="V360" s="207"/>
      <c r="W360" s="208"/>
      <c r="X360" s="208"/>
      <c r="Y360" s="208"/>
      <c r="Z360" s="208"/>
      <c r="AA360" s="208"/>
      <c r="AB360" s="208"/>
      <c r="AC360" s="208"/>
      <c r="AD360" s="208"/>
      <c r="AE360" s="208"/>
      <c r="AF360" s="208"/>
      <c r="AG360" s="208"/>
      <c r="AH360" s="208"/>
      <c r="AI360" s="100"/>
      <c r="AJ360" s="100"/>
      <c r="AK360" s="100"/>
      <c r="AL360" s="100"/>
      <c r="AM360" s="100"/>
    </row>
    <row r="361" ht="14.25" customHeight="1">
      <c r="A361" s="100"/>
      <c r="B361" s="100"/>
      <c r="C361" s="100"/>
      <c r="D361" s="100"/>
      <c r="E361" s="100"/>
      <c r="F361" s="206"/>
      <c r="G361" s="206"/>
      <c r="H361" s="207"/>
      <c r="I361" s="207"/>
      <c r="J361" s="207"/>
      <c r="K361" s="207"/>
      <c r="L361" s="207"/>
      <c r="M361" s="207"/>
      <c r="N361" s="207"/>
      <c r="O361" s="207"/>
      <c r="P361" s="207"/>
      <c r="Q361" s="207"/>
      <c r="R361" s="207"/>
      <c r="S361" s="207"/>
      <c r="T361" s="207"/>
      <c r="U361" s="207"/>
      <c r="V361" s="207"/>
      <c r="W361" s="208"/>
      <c r="X361" s="208"/>
      <c r="Y361" s="208"/>
      <c r="Z361" s="208"/>
      <c r="AA361" s="208"/>
      <c r="AB361" s="208"/>
      <c r="AC361" s="208"/>
      <c r="AD361" s="208"/>
      <c r="AE361" s="208"/>
      <c r="AF361" s="208"/>
      <c r="AG361" s="208"/>
      <c r="AH361" s="208"/>
      <c r="AI361" s="100"/>
      <c r="AJ361" s="100"/>
      <c r="AK361" s="100"/>
      <c r="AL361" s="100"/>
      <c r="AM361" s="100"/>
    </row>
    <row r="362" ht="14.25" customHeight="1">
      <c r="A362" s="100"/>
      <c r="B362" s="100"/>
      <c r="C362" s="100"/>
      <c r="D362" s="100"/>
      <c r="E362" s="100"/>
      <c r="F362" s="206"/>
      <c r="G362" s="206"/>
      <c r="H362" s="207"/>
      <c r="I362" s="207"/>
      <c r="J362" s="207"/>
      <c r="K362" s="207"/>
      <c r="L362" s="207"/>
      <c r="M362" s="207"/>
      <c r="N362" s="207"/>
      <c r="O362" s="207"/>
      <c r="P362" s="207"/>
      <c r="Q362" s="207"/>
      <c r="R362" s="207"/>
      <c r="S362" s="207"/>
      <c r="T362" s="207"/>
      <c r="U362" s="207"/>
      <c r="V362" s="207"/>
      <c r="W362" s="208"/>
      <c r="X362" s="208"/>
      <c r="Y362" s="208"/>
      <c r="Z362" s="208"/>
      <c r="AA362" s="208"/>
      <c r="AB362" s="208"/>
      <c r="AC362" s="208"/>
      <c r="AD362" s="208"/>
      <c r="AE362" s="208"/>
      <c r="AF362" s="208"/>
      <c r="AG362" s="208"/>
      <c r="AH362" s="208"/>
      <c r="AI362" s="100"/>
      <c r="AJ362" s="100"/>
      <c r="AK362" s="100"/>
      <c r="AL362" s="100"/>
      <c r="AM362" s="100"/>
    </row>
    <row r="363" ht="14.25" customHeight="1">
      <c r="A363" s="100"/>
      <c r="B363" s="100"/>
      <c r="C363" s="100"/>
      <c r="D363" s="100"/>
      <c r="E363" s="100"/>
      <c r="F363" s="206"/>
      <c r="G363" s="206"/>
      <c r="H363" s="207"/>
      <c r="I363" s="207"/>
      <c r="J363" s="207"/>
      <c r="K363" s="207"/>
      <c r="L363" s="207"/>
      <c r="M363" s="207"/>
      <c r="N363" s="207"/>
      <c r="O363" s="207"/>
      <c r="P363" s="207"/>
      <c r="Q363" s="207"/>
      <c r="R363" s="207"/>
      <c r="S363" s="207"/>
      <c r="T363" s="207"/>
      <c r="U363" s="207"/>
      <c r="V363" s="207"/>
      <c r="W363" s="208"/>
      <c r="X363" s="208"/>
      <c r="Y363" s="208"/>
      <c r="Z363" s="208"/>
      <c r="AA363" s="208"/>
      <c r="AB363" s="208"/>
      <c r="AC363" s="208"/>
      <c r="AD363" s="208"/>
      <c r="AE363" s="208"/>
      <c r="AF363" s="208"/>
      <c r="AG363" s="208"/>
      <c r="AH363" s="208"/>
      <c r="AI363" s="100"/>
      <c r="AJ363" s="100"/>
      <c r="AK363" s="100"/>
      <c r="AL363" s="100"/>
      <c r="AM363" s="100"/>
    </row>
    <row r="364" ht="14.25" customHeight="1">
      <c r="A364" s="100"/>
      <c r="B364" s="100"/>
      <c r="C364" s="100"/>
      <c r="D364" s="100"/>
      <c r="E364" s="100"/>
      <c r="F364" s="206"/>
      <c r="G364" s="206"/>
      <c r="H364" s="207"/>
      <c r="I364" s="207"/>
      <c r="J364" s="207"/>
      <c r="K364" s="207"/>
      <c r="L364" s="207"/>
      <c r="M364" s="207"/>
      <c r="N364" s="207"/>
      <c r="O364" s="207"/>
      <c r="P364" s="207"/>
      <c r="Q364" s="207"/>
      <c r="R364" s="207"/>
      <c r="S364" s="207"/>
      <c r="T364" s="207"/>
      <c r="U364" s="207"/>
      <c r="V364" s="207"/>
      <c r="W364" s="208"/>
      <c r="X364" s="208"/>
      <c r="Y364" s="208"/>
      <c r="Z364" s="208"/>
      <c r="AA364" s="208"/>
      <c r="AB364" s="208"/>
      <c r="AC364" s="208"/>
      <c r="AD364" s="208"/>
      <c r="AE364" s="208"/>
      <c r="AF364" s="208"/>
      <c r="AG364" s="208"/>
      <c r="AH364" s="208"/>
      <c r="AI364" s="100"/>
      <c r="AJ364" s="100"/>
      <c r="AK364" s="100"/>
      <c r="AL364" s="100"/>
      <c r="AM364" s="100"/>
    </row>
    <row r="365" ht="14.25" customHeight="1">
      <c r="A365" s="100"/>
      <c r="B365" s="100"/>
      <c r="C365" s="100"/>
      <c r="D365" s="100"/>
      <c r="E365" s="100"/>
      <c r="F365" s="206"/>
      <c r="G365" s="206"/>
      <c r="H365" s="207"/>
      <c r="I365" s="207"/>
      <c r="J365" s="207"/>
      <c r="K365" s="207"/>
      <c r="L365" s="207"/>
      <c r="M365" s="207"/>
      <c r="N365" s="207"/>
      <c r="O365" s="207"/>
      <c r="P365" s="207"/>
      <c r="Q365" s="207"/>
      <c r="R365" s="207"/>
      <c r="S365" s="207"/>
      <c r="T365" s="207"/>
      <c r="U365" s="207"/>
      <c r="V365" s="207"/>
      <c r="W365" s="208"/>
      <c r="X365" s="208"/>
      <c r="Y365" s="208"/>
      <c r="Z365" s="208"/>
      <c r="AA365" s="208"/>
      <c r="AB365" s="208"/>
      <c r="AC365" s="208"/>
      <c r="AD365" s="208"/>
      <c r="AE365" s="208"/>
      <c r="AF365" s="208"/>
      <c r="AG365" s="208"/>
      <c r="AH365" s="208"/>
      <c r="AI365" s="100"/>
      <c r="AJ365" s="100"/>
      <c r="AK365" s="100"/>
      <c r="AL365" s="100"/>
      <c r="AM365" s="100"/>
    </row>
    <row r="366" ht="14.25" customHeight="1">
      <c r="A366" s="100"/>
      <c r="B366" s="100"/>
      <c r="C366" s="100"/>
      <c r="D366" s="100"/>
      <c r="E366" s="100"/>
      <c r="F366" s="206"/>
      <c r="G366" s="206"/>
      <c r="H366" s="207"/>
      <c r="I366" s="207"/>
      <c r="J366" s="207"/>
      <c r="K366" s="207"/>
      <c r="L366" s="207"/>
      <c r="M366" s="207"/>
      <c r="N366" s="207"/>
      <c r="O366" s="207"/>
      <c r="P366" s="207"/>
      <c r="Q366" s="207"/>
      <c r="R366" s="207"/>
      <c r="S366" s="207"/>
      <c r="T366" s="207"/>
      <c r="U366" s="207"/>
      <c r="V366" s="207"/>
      <c r="W366" s="208"/>
      <c r="X366" s="208"/>
      <c r="Y366" s="208"/>
      <c r="Z366" s="208"/>
      <c r="AA366" s="208"/>
      <c r="AB366" s="208"/>
      <c r="AC366" s="208"/>
      <c r="AD366" s="208"/>
      <c r="AE366" s="208"/>
      <c r="AF366" s="208"/>
      <c r="AG366" s="208"/>
      <c r="AH366" s="208"/>
      <c r="AI366" s="100"/>
      <c r="AJ366" s="100"/>
      <c r="AK366" s="100"/>
      <c r="AL366" s="100"/>
      <c r="AM366" s="100"/>
    </row>
    <row r="367" ht="14.25" customHeight="1">
      <c r="A367" s="100"/>
      <c r="B367" s="100"/>
      <c r="C367" s="100"/>
      <c r="D367" s="100"/>
      <c r="E367" s="100"/>
      <c r="F367" s="206"/>
      <c r="G367" s="206"/>
      <c r="H367" s="207"/>
      <c r="I367" s="207"/>
      <c r="J367" s="207"/>
      <c r="K367" s="207"/>
      <c r="L367" s="207"/>
      <c r="M367" s="207"/>
      <c r="N367" s="207"/>
      <c r="O367" s="207"/>
      <c r="P367" s="207"/>
      <c r="Q367" s="207"/>
      <c r="R367" s="207"/>
      <c r="S367" s="207"/>
      <c r="T367" s="207"/>
      <c r="U367" s="207"/>
      <c r="V367" s="207"/>
      <c r="W367" s="208"/>
      <c r="X367" s="208"/>
      <c r="Y367" s="208"/>
      <c r="Z367" s="208"/>
      <c r="AA367" s="208"/>
      <c r="AB367" s="208"/>
      <c r="AC367" s="208"/>
      <c r="AD367" s="208"/>
      <c r="AE367" s="208"/>
      <c r="AF367" s="208"/>
      <c r="AG367" s="208"/>
      <c r="AH367" s="208"/>
      <c r="AI367" s="100"/>
      <c r="AJ367" s="100"/>
      <c r="AK367" s="100"/>
      <c r="AL367" s="100"/>
      <c r="AM367" s="100"/>
    </row>
    <row r="368" ht="14.25" customHeight="1">
      <c r="A368" s="100"/>
      <c r="B368" s="100"/>
      <c r="C368" s="100"/>
      <c r="D368" s="100"/>
      <c r="E368" s="100"/>
      <c r="F368" s="206"/>
      <c r="G368" s="206"/>
      <c r="H368" s="207"/>
      <c r="I368" s="207"/>
      <c r="J368" s="207"/>
      <c r="K368" s="207"/>
      <c r="L368" s="207"/>
      <c r="M368" s="207"/>
      <c r="N368" s="207"/>
      <c r="O368" s="207"/>
      <c r="P368" s="207"/>
      <c r="Q368" s="207"/>
      <c r="R368" s="207"/>
      <c r="S368" s="207"/>
      <c r="T368" s="207"/>
      <c r="U368" s="207"/>
      <c r="V368" s="207"/>
      <c r="W368" s="208"/>
      <c r="X368" s="208"/>
      <c r="Y368" s="208"/>
      <c r="Z368" s="208"/>
      <c r="AA368" s="208"/>
      <c r="AB368" s="208"/>
      <c r="AC368" s="208"/>
      <c r="AD368" s="208"/>
      <c r="AE368" s="208"/>
      <c r="AF368" s="208"/>
      <c r="AG368" s="208"/>
      <c r="AH368" s="208"/>
      <c r="AI368" s="100"/>
      <c r="AJ368" s="100"/>
      <c r="AK368" s="100"/>
      <c r="AL368" s="100"/>
      <c r="AM368" s="100"/>
    </row>
    <row r="369" ht="14.25" customHeight="1">
      <c r="A369" s="100"/>
      <c r="B369" s="100"/>
      <c r="C369" s="100"/>
      <c r="D369" s="100"/>
      <c r="E369" s="100"/>
      <c r="F369" s="206"/>
      <c r="G369" s="206"/>
      <c r="H369" s="207"/>
      <c r="I369" s="207"/>
      <c r="J369" s="207"/>
      <c r="K369" s="207"/>
      <c r="L369" s="207"/>
      <c r="M369" s="207"/>
      <c r="N369" s="207"/>
      <c r="O369" s="207"/>
      <c r="P369" s="207"/>
      <c r="Q369" s="207"/>
      <c r="R369" s="207"/>
      <c r="S369" s="207"/>
      <c r="T369" s="207"/>
      <c r="U369" s="207"/>
      <c r="V369" s="207"/>
      <c r="W369" s="208"/>
      <c r="X369" s="208"/>
      <c r="Y369" s="208"/>
      <c r="Z369" s="208"/>
      <c r="AA369" s="208"/>
      <c r="AB369" s="208"/>
      <c r="AC369" s="208"/>
      <c r="AD369" s="208"/>
      <c r="AE369" s="208"/>
      <c r="AF369" s="208"/>
      <c r="AG369" s="208"/>
      <c r="AH369" s="208"/>
      <c r="AI369" s="100"/>
      <c r="AJ369" s="100"/>
      <c r="AK369" s="100"/>
      <c r="AL369" s="100"/>
      <c r="AM369" s="100"/>
    </row>
    <row r="370" ht="14.25" customHeight="1">
      <c r="A370" s="100"/>
      <c r="B370" s="100"/>
      <c r="C370" s="100"/>
      <c r="D370" s="100"/>
      <c r="E370" s="100"/>
      <c r="F370" s="206"/>
      <c r="G370" s="206"/>
      <c r="H370" s="207"/>
      <c r="I370" s="207"/>
      <c r="J370" s="207"/>
      <c r="K370" s="207"/>
      <c r="L370" s="207"/>
      <c r="M370" s="207"/>
      <c r="N370" s="207"/>
      <c r="O370" s="207"/>
      <c r="P370" s="207"/>
      <c r="Q370" s="207"/>
      <c r="R370" s="207"/>
      <c r="S370" s="207"/>
      <c r="T370" s="207"/>
      <c r="U370" s="207"/>
      <c r="V370" s="207"/>
      <c r="W370" s="208"/>
      <c r="X370" s="208"/>
      <c r="Y370" s="208"/>
      <c r="Z370" s="208"/>
      <c r="AA370" s="208"/>
      <c r="AB370" s="208"/>
      <c r="AC370" s="208"/>
      <c r="AD370" s="208"/>
      <c r="AE370" s="208"/>
      <c r="AF370" s="208"/>
      <c r="AG370" s="208"/>
      <c r="AH370" s="208"/>
      <c r="AI370" s="100"/>
      <c r="AJ370" s="100"/>
      <c r="AK370" s="100"/>
      <c r="AL370" s="100"/>
      <c r="AM370" s="100"/>
    </row>
    <row r="371" ht="14.25" customHeight="1">
      <c r="A371" s="100"/>
      <c r="B371" s="100"/>
      <c r="C371" s="100"/>
      <c r="D371" s="100"/>
      <c r="E371" s="100"/>
      <c r="F371" s="206"/>
      <c r="G371" s="206"/>
      <c r="H371" s="207"/>
      <c r="I371" s="207"/>
      <c r="J371" s="207"/>
      <c r="K371" s="207"/>
      <c r="L371" s="207"/>
      <c r="M371" s="207"/>
      <c r="N371" s="207"/>
      <c r="O371" s="207"/>
      <c r="P371" s="207"/>
      <c r="Q371" s="207"/>
      <c r="R371" s="207"/>
      <c r="S371" s="207"/>
      <c r="T371" s="207"/>
      <c r="U371" s="207"/>
      <c r="V371" s="207"/>
      <c r="W371" s="208"/>
      <c r="X371" s="208"/>
      <c r="Y371" s="208"/>
      <c r="Z371" s="208"/>
      <c r="AA371" s="208"/>
      <c r="AB371" s="208"/>
      <c r="AC371" s="208"/>
      <c r="AD371" s="208"/>
      <c r="AE371" s="208"/>
      <c r="AF371" s="208"/>
      <c r="AG371" s="208"/>
      <c r="AH371" s="208"/>
      <c r="AI371" s="100"/>
      <c r="AJ371" s="100"/>
      <c r="AK371" s="100"/>
      <c r="AL371" s="100"/>
      <c r="AM371" s="100"/>
    </row>
    <row r="372" ht="14.25" customHeight="1">
      <c r="A372" s="100"/>
      <c r="B372" s="100"/>
      <c r="C372" s="100"/>
      <c r="D372" s="100"/>
      <c r="E372" s="100"/>
      <c r="F372" s="206"/>
      <c r="G372" s="206"/>
      <c r="H372" s="207"/>
      <c r="I372" s="207"/>
      <c r="J372" s="207"/>
      <c r="K372" s="207"/>
      <c r="L372" s="207"/>
      <c r="M372" s="207"/>
      <c r="N372" s="207"/>
      <c r="O372" s="207"/>
      <c r="P372" s="207"/>
      <c r="Q372" s="207"/>
      <c r="R372" s="207"/>
      <c r="S372" s="207"/>
      <c r="T372" s="207"/>
      <c r="U372" s="207"/>
      <c r="V372" s="207"/>
      <c r="W372" s="208"/>
      <c r="X372" s="208"/>
      <c r="Y372" s="208"/>
      <c r="Z372" s="208"/>
      <c r="AA372" s="208"/>
      <c r="AB372" s="208"/>
      <c r="AC372" s="208"/>
      <c r="AD372" s="208"/>
      <c r="AE372" s="208"/>
      <c r="AF372" s="208"/>
      <c r="AG372" s="208"/>
      <c r="AH372" s="208"/>
      <c r="AI372" s="100"/>
      <c r="AJ372" s="100"/>
      <c r="AK372" s="100"/>
      <c r="AL372" s="100"/>
      <c r="AM372" s="100"/>
    </row>
    <row r="373" ht="14.25" customHeight="1">
      <c r="A373" s="100"/>
      <c r="B373" s="100"/>
      <c r="C373" s="100"/>
      <c r="D373" s="100"/>
      <c r="E373" s="100"/>
      <c r="F373" s="206"/>
      <c r="G373" s="206"/>
      <c r="H373" s="207"/>
      <c r="I373" s="207"/>
      <c r="J373" s="207"/>
      <c r="K373" s="207"/>
      <c r="L373" s="207"/>
      <c r="M373" s="207"/>
      <c r="N373" s="207"/>
      <c r="O373" s="207"/>
      <c r="P373" s="207"/>
      <c r="Q373" s="207"/>
      <c r="R373" s="207"/>
      <c r="S373" s="207"/>
      <c r="T373" s="207"/>
      <c r="U373" s="207"/>
      <c r="V373" s="207"/>
      <c r="W373" s="208"/>
      <c r="X373" s="208"/>
      <c r="Y373" s="208"/>
      <c r="Z373" s="208"/>
      <c r="AA373" s="208"/>
      <c r="AB373" s="208"/>
      <c r="AC373" s="208"/>
      <c r="AD373" s="208"/>
      <c r="AE373" s="208"/>
      <c r="AF373" s="208"/>
      <c r="AG373" s="208"/>
      <c r="AH373" s="208"/>
      <c r="AI373" s="100"/>
      <c r="AJ373" s="100"/>
      <c r="AK373" s="100"/>
      <c r="AL373" s="100"/>
      <c r="AM373" s="100"/>
    </row>
    <row r="374" ht="14.25" customHeight="1">
      <c r="A374" s="100"/>
      <c r="B374" s="100"/>
      <c r="C374" s="100"/>
      <c r="D374" s="100"/>
      <c r="E374" s="100"/>
      <c r="F374" s="206"/>
      <c r="G374" s="206"/>
      <c r="H374" s="207"/>
      <c r="I374" s="207"/>
      <c r="J374" s="207"/>
      <c r="K374" s="207"/>
      <c r="L374" s="207"/>
      <c r="M374" s="207"/>
      <c r="N374" s="207"/>
      <c r="O374" s="207"/>
      <c r="P374" s="207"/>
      <c r="Q374" s="207"/>
      <c r="R374" s="207"/>
      <c r="S374" s="207"/>
      <c r="T374" s="207"/>
      <c r="U374" s="207"/>
      <c r="V374" s="207"/>
      <c r="W374" s="208"/>
      <c r="X374" s="208"/>
      <c r="Y374" s="208"/>
      <c r="Z374" s="208"/>
      <c r="AA374" s="208"/>
      <c r="AB374" s="208"/>
      <c r="AC374" s="208"/>
      <c r="AD374" s="208"/>
      <c r="AE374" s="208"/>
      <c r="AF374" s="208"/>
      <c r="AG374" s="208"/>
      <c r="AH374" s="208"/>
      <c r="AI374" s="100"/>
      <c r="AJ374" s="100"/>
      <c r="AK374" s="100"/>
      <c r="AL374" s="100"/>
      <c r="AM374" s="100"/>
    </row>
    <row r="375" ht="14.25" customHeight="1">
      <c r="A375" s="100"/>
      <c r="B375" s="100"/>
      <c r="C375" s="100"/>
      <c r="D375" s="100"/>
      <c r="E375" s="100"/>
      <c r="F375" s="206"/>
      <c r="G375" s="206"/>
      <c r="H375" s="207"/>
      <c r="I375" s="207"/>
      <c r="J375" s="207"/>
      <c r="K375" s="207"/>
      <c r="L375" s="207"/>
      <c r="M375" s="207"/>
      <c r="N375" s="207"/>
      <c r="O375" s="207"/>
      <c r="P375" s="207"/>
      <c r="Q375" s="207"/>
      <c r="R375" s="207"/>
      <c r="S375" s="207"/>
      <c r="T375" s="207"/>
      <c r="U375" s="207"/>
      <c r="V375" s="207"/>
      <c r="W375" s="208"/>
      <c r="X375" s="208"/>
      <c r="Y375" s="208"/>
      <c r="Z375" s="208"/>
      <c r="AA375" s="208"/>
      <c r="AB375" s="208"/>
      <c r="AC375" s="208"/>
      <c r="AD375" s="208"/>
      <c r="AE375" s="208"/>
      <c r="AF375" s="208"/>
      <c r="AG375" s="208"/>
      <c r="AH375" s="208"/>
      <c r="AI375" s="100"/>
      <c r="AJ375" s="100"/>
      <c r="AK375" s="100"/>
      <c r="AL375" s="100"/>
      <c r="AM375" s="100"/>
    </row>
    <row r="376" ht="14.25" customHeight="1">
      <c r="A376" s="100"/>
      <c r="B376" s="100"/>
      <c r="C376" s="100"/>
      <c r="D376" s="100"/>
      <c r="E376" s="100"/>
      <c r="F376" s="206"/>
      <c r="G376" s="206"/>
      <c r="H376" s="207"/>
      <c r="I376" s="207"/>
      <c r="J376" s="207"/>
      <c r="K376" s="207"/>
      <c r="L376" s="207"/>
      <c r="M376" s="207"/>
      <c r="N376" s="207"/>
      <c r="O376" s="207"/>
      <c r="P376" s="207"/>
      <c r="Q376" s="207"/>
      <c r="R376" s="207"/>
      <c r="S376" s="207"/>
      <c r="T376" s="207"/>
      <c r="U376" s="207"/>
      <c r="V376" s="207"/>
      <c r="W376" s="208"/>
      <c r="X376" s="208"/>
      <c r="Y376" s="208"/>
      <c r="Z376" s="208"/>
      <c r="AA376" s="208"/>
      <c r="AB376" s="208"/>
      <c r="AC376" s="208"/>
      <c r="AD376" s="208"/>
      <c r="AE376" s="208"/>
      <c r="AF376" s="208"/>
      <c r="AG376" s="208"/>
      <c r="AH376" s="208"/>
      <c r="AI376" s="100"/>
      <c r="AJ376" s="100"/>
      <c r="AK376" s="100"/>
      <c r="AL376" s="100"/>
      <c r="AM376" s="100"/>
    </row>
    <row r="377" ht="14.25" customHeight="1">
      <c r="A377" s="100"/>
      <c r="B377" s="100"/>
      <c r="C377" s="100"/>
      <c r="D377" s="100"/>
      <c r="E377" s="100"/>
      <c r="F377" s="206"/>
      <c r="G377" s="206"/>
      <c r="H377" s="207"/>
      <c r="I377" s="207"/>
      <c r="J377" s="207"/>
      <c r="K377" s="207"/>
      <c r="L377" s="207"/>
      <c r="M377" s="207"/>
      <c r="N377" s="207"/>
      <c r="O377" s="207"/>
      <c r="P377" s="207"/>
      <c r="Q377" s="207"/>
      <c r="R377" s="207"/>
      <c r="S377" s="207"/>
      <c r="T377" s="207"/>
      <c r="U377" s="207"/>
      <c r="V377" s="207"/>
      <c r="W377" s="208"/>
      <c r="X377" s="208"/>
      <c r="Y377" s="208"/>
      <c r="Z377" s="208"/>
      <c r="AA377" s="208"/>
      <c r="AB377" s="208"/>
      <c r="AC377" s="208"/>
      <c r="AD377" s="208"/>
      <c r="AE377" s="208"/>
      <c r="AF377" s="208"/>
      <c r="AG377" s="208"/>
      <c r="AH377" s="208"/>
      <c r="AI377" s="100"/>
      <c r="AJ377" s="100"/>
      <c r="AK377" s="100"/>
      <c r="AL377" s="100"/>
      <c r="AM377" s="100"/>
    </row>
    <row r="378" ht="14.25" customHeight="1">
      <c r="A378" s="100"/>
      <c r="B378" s="100"/>
      <c r="C378" s="100"/>
      <c r="D378" s="100"/>
      <c r="E378" s="100"/>
      <c r="F378" s="206"/>
      <c r="G378" s="206"/>
      <c r="H378" s="207"/>
      <c r="I378" s="207"/>
      <c r="J378" s="207"/>
      <c r="K378" s="207"/>
      <c r="L378" s="207"/>
      <c r="M378" s="207"/>
      <c r="N378" s="207"/>
      <c r="O378" s="207"/>
      <c r="P378" s="207"/>
      <c r="Q378" s="207"/>
      <c r="R378" s="207"/>
      <c r="S378" s="207"/>
      <c r="T378" s="207"/>
      <c r="U378" s="207"/>
      <c r="V378" s="207"/>
      <c r="W378" s="208"/>
      <c r="X378" s="208"/>
      <c r="Y378" s="208"/>
      <c r="Z378" s="208"/>
      <c r="AA378" s="208"/>
      <c r="AB378" s="208"/>
      <c r="AC378" s="208"/>
      <c r="AD378" s="208"/>
      <c r="AE378" s="208"/>
      <c r="AF378" s="208"/>
      <c r="AG378" s="208"/>
      <c r="AH378" s="208"/>
      <c r="AI378" s="100"/>
      <c r="AJ378" s="100"/>
      <c r="AK378" s="100"/>
      <c r="AL378" s="100"/>
      <c r="AM378" s="100"/>
    </row>
    <row r="379" ht="14.25" customHeight="1">
      <c r="A379" s="100"/>
      <c r="B379" s="100"/>
      <c r="C379" s="100"/>
      <c r="D379" s="100"/>
      <c r="E379" s="100"/>
      <c r="F379" s="206"/>
      <c r="G379" s="206"/>
      <c r="H379" s="207"/>
      <c r="I379" s="207"/>
      <c r="J379" s="207"/>
      <c r="K379" s="207"/>
      <c r="L379" s="207"/>
      <c r="M379" s="207"/>
      <c r="N379" s="207"/>
      <c r="O379" s="207"/>
      <c r="P379" s="207"/>
      <c r="Q379" s="207"/>
      <c r="R379" s="207"/>
      <c r="S379" s="207"/>
      <c r="T379" s="207"/>
      <c r="U379" s="207"/>
      <c r="V379" s="207"/>
      <c r="W379" s="208"/>
      <c r="X379" s="208"/>
      <c r="Y379" s="208"/>
      <c r="Z379" s="208"/>
      <c r="AA379" s="208"/>
      <c r="AB379" s="208"/>
      <c r="AC379" s="208"/>
      <c r="AD379" s="208"/>
      <c r="AE379" s="208"/>
      <c r="AF379" s="208"/>
      <c r="AG379" s="208"/>
      <c r="AH379" s="208"/>
      <c r="AI379" s="100"/>
      <c r="AJ379" s="100"/>
      <c r="AK379" s="100"/>
      <c r="AL379" s="100"/>
      <c r="AM379" s="100"/>
    </row>
    <row r="380" ht="14.25" customHeight="1">
      <c r="A380" s="100"/>
      <c r="B380" s="100"/>
      <c r="C380" s="100"/>
      <c r="D380" s="100"/>
      <c r="E380" s="100"/>
      <c r="F380" s="206"/>
      <c r="G380" s="206"/>
      <c r="H380" s="207"/>
      <c r="I380" s="207"/>
      <c r="J380" s="207"/>
      <c r="K380" s="207"/>
      <c r="L380" s="207"/>
      <c r="M380" s="207"/>
      <c r="N380" s="207"/>
      <c r="O380" s="207"/>
      <c r="P380" s="207"/>
      <c r="Q380" s="207"/>
      <c r="R380" s="207"/>
      <c r="S380" s="207"/>
      <c r="T380" s="207"/>
      <c r="U380" s="207"/>
      <c r="V380" s="207"/>
      <c r="W380" s="208"/>
      <c r="X380" s="208"/>
      <c r="Y380" s="208"/>
      <c r="Z380" s="208"/>
      <c r="AA380" s="208"/>
      <c r="AB380" s="208"/>
      <c r="AC380" s="208"/>
      <c r="AD380" s="208"/>
      <c r="AE380" s="208"/>
      <c r="AF380" s="208"/>
      <c r="AG380" s="208"/>
      <c r="AH380" s="208"/>
      <c r="AI380" s="100"/>
      <c r="AJ380" s="100"/>
      <c r="AK380" s="100"/>
      <c r="AL380" s="100"/>
      <c r="AM380" s="100"/>
    </row>
    <row r="381" ht="14.25" customHeight="1">
      <c r="A381" s="100"/>
      <c r="B381" s="100"/>
      <c r="C381" s="100"/>
      <c r="D381" s="100"/>
      <c r="E381" s="100"/>
      <c r="F381" s="206"/>
      <c r="G381" s="206"/>
      <c r="H381" s="207"/>
      <c r="I381" s="207"/>
      <c r="J381" s="207"/>
      <c r="K381" s="207"/>
      <c r="L381" s="207"/>
      <c r="M381" s="207"/>
      <c r="N381" s="207"/>
      <c r="O381" s="207"/>
      <c r="P381" s="207"/>
      <c r="Q381" s="207"/>
      <c r="R381" s="207"/>
      <c r="S381" s="207"/>
      <c r="T381" s="207"/>
      <c r="U381" s="207"/>
      <c r="V381" s="207"/>
      <c r="W381" s="208"/>
      <c r="X381" s="208"/>
      <c r="Y381" s="208"/>
      <c r="Z381" s="208"/>
      <c r="AA381" s="208"/>
      <c r="AB381" s="208"/>
      <c r="AC381" s="208"/>
      <c r="AD381" s="208"/>
      <c r="AE381" s="208"/>
      <c r="AF381" s="208"/>
      <c r="AG381" s="208"/>
      <c r="AH381" s="208"/>
      <c r="AI381" s="100"/>
      <c r="AJ381" s="100"/>
      <c r="AK381" s="100"/>
      <c r="AL381" s="100"/>
      <c r="AM381" s="100"/>
    </row>
    <row r="382" ht="14.25" customHeight="1">
      <c r="A382" s="100"/>
      <c r="B382" s="100"/>
      <c r="C382" s="100"/>
      <c r="D382" s="100"/>
      <c r="E382" s="100"/>
      <c r="F382" s="206"/>
      <c r="G382" s="206"/>
      <c r="H382" s="207"/>
      <c r="I382" s="207"/>
      <c r="J382" s="207"/>
      <c r="K382" s="207"/>
      <c r="L382" s="207"/>
      <c r="M382" s="207"/>
      <c r="N382" s="207"/>
      <c r="O382" s="207"/>
      <c r="P382" s="207"/>
      <c r="Q382" s="207"/>
      <c r="R382" s="207"/>
      <c r="S382" s="207"/>
      <c r="T382" s="207"/>
      <c r="U382" s="207"/>
      <c r="V382" s="207"/>
      <c r="W382" s="208"/>
      <c r="X382" s="208"/>
      <c r="Y382" s="208"/>
      <c r="Z382" s="208"/>
      <c r="AA382" s="208"/>
      <c r="AB382" s="208"/>
      <c r="AC382" s="208"/>
      <c r="AD382" s="208"/>
      <c r="AE382" s="208"/>
      <c r="AF382" s="208"/>
      <c r="AG382" s="208"/>
      <c r="AH382" s="208"/>
      <c r="AI382" s="100"/>
      <c r="AJ382" s="100"/>
      <c r="AK382" s="100"/>
      <c r="AL382" s="100"/>
      <c r="AM382" s="100"/>
    </row>
    <row r="383" ht="14.25" customHeight="1">
      <c r="A383" s="100"/>
      <c r="B383" s="100"/>
      <c r="C383" s="100"/>
      <c r="D383" s="100"/>
      <c r="E383" s="100"/>
      <c r="F383" s="206"/>
      <c r="G383" s="206"/>
      <c r="H383" s="207"/>
      <c r="I383" s="207"/>
      <c r="J383" s="207"/>
      <c r="K383" s="207"/>
      <c r="L383" s="207"/>
      <c r="M383" s="207"/>
      <c r="N383" s="207"/>
      <c r="O383" s="207"/>
      <c r="P383" s="207"/>
      <c r="Q383" s="207"/>
      <c r="R383" s="207"/>
      <c r="S383" s="207"/>
      <c r="T383" s="207"/>
      <c r="U383" s="207"/>
      <c r="V383" s="207"/>
      <c r="W383" s="208"/>
      <c r="X383" s="208"/>
      <c r="Y383" s="208"/>
      <c r="Z383" s="208"/>
      <c r="AA383" s="208"/>
      <c r="AB383" s="208"/>
      <c r="AC383" s="208"/>
      <c r="AD383" s="208"/>
      <c r="AE383" s="208"/>
      <c r="AF383" s="208"/>
      <c r="AG383" s="208"/>
      <c r="AH383" s="208"/>
      <c r="AI383" s="100"/>
      <c r="AJ383" s="100"/>
      <c r="AK383" s="100"/>
      <c r="AL383" s="100"/>
      <c r="AM383" s="100"/>
    </row>
    <row r="384" ht="14.25" customHeight="1">
      <c r="A384" s="100"/>
      <c r="B384" s="100"/>
      <c r="C384" s="100"/>
      <c r="D384" s="100"/>
      <c r="E384" s="100"/>
      <c r="F384" s="206"/>
      <c r="G384" s="206"/>
      <c r="H384" s="207"/>
      <c r="I384" s="207"/>
      <c r="J384" s="207"/>
      <c r="K384" s="207"/>
      <c r="L384" s="207"/>
      <c r="M384" s="207"/>
      <c r="N384" s="207"/>
      <c r="O384" s="207"/>
      <c r="P384" s="207"/>
      <c r="Q384" s="207"/>
      <c r="R384" s="207"/>
      <c r="S384" s="207"/>
      <c r="T384" s="207"/>
      <c r="U384" s="207"/>
      <c r="V384" s="207"/>
      <c r="W384" s="208"/>
      <c r="X384" s="208"/>
      <c r="Y384" s="208"/>
      <c r="Z384" s="208"/>
      <c r="AA384" s="208"/>
      <c r="AB384" s="208"/>
      <c r="AC384" s="208"/>
      <c r="AD384" s="208"/>
      <c r="AE384" s="208"/>
      <c r="AF384" s="208"/>
      <c r="AG384" s="208"/>
      <c r="AH384" s="208"/>
      <c r="AI384" s="100"/>
      <c r="AJ384" s="100"/>
      <c r="AK384" s="100"/>
      <c r="AL384" s="100"/>
      <c r="AM384" s="100"/>
    </row>
    <row r="385" ht="14.25" customHeight="1">
      <c r="A385" s="100"/>
      <c r="B385" s="100"/>
      <c r="C385" s="100"/>
      <c r="D385" s="100"/>
      <c r="E385" s="100"/>
      <c r="F385" s="206"/>
      <c r="G385" s="206"/>
      <c r="H385" s="207"/>
      <c r="I385" s="207"/>
      <c r="J385" s="207"/>
      <c r="K385" s="207"/>
      <c r="L385" s="207"/>
      <c r="M385" s="207"/>
      <c r="N385" s="207"/>
      <c r="O385" s="207"/>
      <c r="P385" s="207"/>
      <c r="Q385" s="207"/>
      <c r="R385" s="207"/>
      <c r="S385" s="207"/>
      <c r="T385" s="207"/>
      <c r="U385" s="207"/>
      <c r="V385" s="207"/>
      <c r="W385" s="208"/>
      <c r="X385" s="208"/>
      <c r="Y385" s="208"/>
      <c r="Z385" s="208"/>
      <c r="AA385" s="208"/>
      <c r="AB385" s="208"/>
      <c r="AC385" s="208"/>
      <c r="AD385" s="208"/>
      <c r="AE385" s="208"/>
      <c r="AF385" s="208"/>
      <c r="AG385" s="208"/>
      <c r="AH385" s="208"/>
      <c r="AI385" s="100"/>
      <c r="AJ385" s="100"/>
      <c r="AK385" s="100"/>
      <c r="AL385" s="100"/>
      <c r="AM385" s="100"/>
    </row>
    <row r="386" ht="14.25" customHeight="1">
      <c r="A386" s="100"/>
      <c r="B386" s="100"/>
      <c r="C386" s="100"/>
      <c r="D386" s="100"/>
      <c r="E386" s="100"/>
      <c r="F386" s="206"/>
      <c r="G386" s="206"/>
      <c r="H386" s="207"/>
      <c r="I386" s="207"/>
      <c r="J386" s="207"/>
      <c r="K386" s="207"/>
      <c r="L386" s="207"/>
      <c r="M386" s="207"/>
      <c r="N386" s="207"/>
      <c r="O386" s="207"/>
      <c r="P386" s="207"/>
      <c r="Q386" s="207"/>
      <c r="R386" s="207"/>
      <c r="S386" s="207"/>
      <c r="T386" s="207"/>
      <c r="U386" s="207"/>
      <c r="V386" s="207"/>
      <c r="W386" s="208"/>
      <c r="X386" s="208"/>
      <c r="Y386" s="208"/>
      <c r="Z386" s="208"/>
      <c r="AA386" s="208"/>
      <c r="AB386" s="208"/>
      <c r="AC386" s="208"/>
      <c r="AD386" s="208"/>
      <c r="AE386" s="208"/>
      <c r="AF386" s="208"/>
      <c r="AG386" s="208"/>
      <c r="AH386" s="208"/>
      <c r="AI386" s="100"/>
      <c r="AJ386" s="100"/>
      <c r="AK386" s="100"/>
      <c r="AL386" s="100"/>
      <c r="AM386" s="100"/>
    </row>
    <row r="387" ht="14.25" customHeight="1">
      <c r="A387" s="100"/>
      <c r="B387" s="100"/>
      <c r="C387" s="100"/>
      <c r="D387" s="100"/>
      <c r="E387" s="100"/>
      <c r="F387" s="206"/>
      <c r="G387" s="206"/>
      <c r="H387" s="207"/>
      <c r="I387" s="207"/>
      <c r="J387" s="207"/>
      <c r="K387" s="207"/>
      <c r="L387" s="207"/>
      <c r="M387" s="207"/>
      <c r="N387" s="207"/>
      <c r="O387" s="207"/>
      <c r="P387" s="207"/>
      <c r="Q387" s="207"/>
      <c r="R387" s="207"/>
      <c r="S387" s="207"/>
      <c r="T387" s="207"/>
      <c r="U387" s="207"/>
      <c r="V387" s="207"/>
      <c r="W387" s="208"/>
      <c r="X387" s="208"/>
      <c r="Y387" s="208"/>
      <c r="Z387" s="208"/>
      <c r="AA387" s="208"/>
      <c r="AB387" s="208"/>
      <c r="AC387" s="208"/>
      <c r="AD387" s="208"/>
      <c r="AE387" s="208"/>
      <c r="AF387" s="208"/>
      <c r="AG387" s="208"/>
      <c r="AH387" s="208"/>
      <c r="AI387" s="100"/>
      <c r="AJ387" s="100"/>
      <c r="AK387" s="100"/>
      <c r="AL387" s="100"/>
      <c r="AM387" s="100"/>
    </row>
    <row r="388" ht="14.25" customHeight="1">
      <c r="A388" s="100"/>
      <c r="B388" s="100"/>
      <c r="C388" s="100"/>
      <c r="D388" s="100"/>
      <c r="E388" s="100"/>
      <c r="F388" s="206"/>
      <c r="G388" s="206"/>
      <c r="H388" s="207"/>
      <c r="I388" s="207"/>
      <c r="J388" s="207"/>
      <c r="K388" s="207"/>
      <c r="L388" s="207"/>
      <c r="M388" s="207"/>
      <c r="N388" s="207"/>
      <c r="O388" s="207"/>
      <c r="P388" s="207"/>
      <c r="Q388" s="207"/>
      <c r="R388" s="207"/>
      <c r="S388" s="207"/>
      <c r="T388" s="207"/>
      <c r="U388" s="207"/>
      <c r="V388" s="207"/>
      <c r="W388" s="208"/>
      <c r="X388" s="208"/>
      <c r="Y388" s="208"/>
      <c r="Z388" s="208"/>
      <c r="AA388" s="208"/>
      <c r="AB388" s="208"/>
      <c r="AC388" s="208"/>
      <c r="AD388" s="208"/>
      <c r="AE388" s="208"/>
      <c r="AF388" s="208"/>
      <c r="AG388" s="208"/>
      <c r="AH388" s="208"/>
      <c r="AI388" s="100"/>
      <c r="AJ388" s="100"/>
      <c r="AK388" s="100"/>
      <c r="AL388" s="100"/>
      <c r="AM388" s="100"/>
    </row>
    <row r="389" ht="14.25" customHeight="1">
      <c r="A389" s="100"/>
      <c r="B389" s="100"/>
      <c r="C389" s="100"/>
      <c r="D389" s="100"/>
      <c r="E389" s="100"/>
      <c r="F389" s="206"/>
      <c r="G389" s="206"/>
      <c r="H389" s="207"/>
      <c r="I389" s="207"/>
      <c r="J389" s="207"/>
      <c r="K389" s="207"/>
      <c r="L389" s="207"/>
      <c r="M389" s="207"/>
      <c r="N389" s="207"/>
      <c r="O389" s="207"/>
      <c r="P389" s="207"/>
      <c r="Q389" s="207"/>
      <c r="R389" s="207"/>
      <c r="S389" s="207"/>
      <c r="T389" s="207"/>
      <c r="U389" s="207"/>
      <c r="V389" s="207"/>
      <c r="W389" s="208"/>
      <c r="X389" s="208"/>
      <c r="Y389" s="208"/>
      <c r="Z389" s="208"/>
      <c r="AA389" s="208"/>
      <c r="AB389" s="208"/>
      <c r="AC389" s="208"/>
      <c r="AD389" s="208"/>
      <c r="AE389" s="208"/>
      <c r="AF389" s="208"/>
      <c r="AG389" s="208"/>
      <c r="AH389" s="208"/>
      <c r="AI389" s="100"/>
      <c r="AJ389" s="100"/>
      <c r="AK389" s="100"/>
      <c r="AL389" s="100"/>
      <c r="AM389" s="100"/>
    </row>
    <row r="390" ht="14.25" customHeight="1">
      <c r="A390" s="100"/>
      <c r="B390" s="100"/>
      <c r="C390" s="100"/>
      <c r="D390" s="100"/>
      <c r="E390" s="100"/>
      <c r="F390" s="206"/>
      <c r="G390" s="206"/>
      <c r="H390" s="207"/>
      <c r="I390" s="207"/>
      <c r="J390" s="207"/>
      <c r="K390" s="207"/>
      <c r="L390" s="207"/>
      <c r="M390" s="207"/>
      <c r="N390" s="207"/>
      <c r="O390" s="207"/>
      <c r="P390" s="207"/>
      <c r="Q390" s="207"/>
      <c r="R390" s="207"/>
      <c r="S390" s="207"/>
      <c r="T390" s="207"/>
      <c r="U390" s="207"/>
      <c r="V390" s="207"/>
      <c r="W390" s="208"/>
      <c r="X390" s="208"/>
      <c r="Y390" s="208"/>
      <c r="Z390" s="208"/>
      <c r="AA390" s="208"/>
      <c r="AB390" s="208"/>
      <c r="AC390" s="208"/>
      <c r="AD390" s="208"/>
      <c r="AE390" s="208"/>
      <c r="AF390" s="208"/>
      <c r="AG390" s="208"/>
      <c r="AH390" s="208"/>
      <c r="AI390" s="100"/>
      <c r="AJ390" s="100"/>
      <c r="AK390" s="100"/>
      <c r="AL390" s="100"/>
      <c r="AM390" s="100"/>
    </row>
    <row r="391" ht="14.25" customHeight="1">
      <c r="A391" s="100"/>
      <c r="B391" s="100"/>
      <c r="C391" s="100"/>
      <c r="D391" s="100"/>
      <c r="E391" s="100"/>
      <c r="F391" s="206"/>
      <c r="G391" s="206"/>
      <c r="H391" s="207"/>
      <c r="I391" s="207"/>
      <c r="J391" s="207"/>
      <c r="K391" s="207"/>
      <c r="L391" s="207"/>
      <c r="M391" s="207"/>
      <c r="N391" s="207"/>
      <c r="O391" s="207"/>
      <c r="P391" s="207"/>
      <c r="Q391" s="207"/>
      <c r="R391" s="207"/>
      <c r="S391" s="207"/>
      <c r="T391" s="207"/>
      <c r="U391" s="207"/>
      <c r="V391" s="207"/>
      <c r="W391" s="208"/>
      <c r="X391" s="208"/>
      <c r="Y391" s="208"/>
      <c r="Z391" s="208"/>
      <c r="AA391" s="208"/>
      <c r="AB391" s="208"/>
      <c r="AC391" s="208"/>
      <c r="AD391" s="208"/>
      <c r="AE391" s="208"/>
      <c r="AF391" s="208"/>
      <c r="AG391" s="208"/>
      <c r="AH391" s="208"/>
      <c r="AI391" s="100"/>
      <c r="AJ391" s="100"/>
      <c r="AK391" s="100"/>
      <c r="AL391" s="100"/>
      <c r="AM391" s="100"/>
    </row>
    <row r="392" ht="14.25" customHeight="1">
      <c r="A392" s="100"/>
      <c r="B392" s="100"/>
      <c r="C392" s="100"/>
      <c r="D392" s="100"/>
      <c r="E392" s="100"/>
      <c r="F392" s="206"/>
      <c r="G392" s="206"/>
      <c r="H392" s="207"/>
      <c r="I392" s="207"/>
      <c r="J392" s="207"/>
      <c r="K392" s="207"/>
      <c r="L392" s="207"/>
      <c r="M392" s="207"/>
      <c r="N392" s="207"/>
      <c r="O392" s="207"/>
      <c r="P392" s="207"/>
      <c r="Q392" s="207"/>
      <c r="R392" s="207"/>
      <c r="S392" s="207"/>
      <c r="T392" s="207"/>
      <c r="U392" s="207"/>
      <c r="V392" s="207"/>
      <c r="W392" s="208"/>
      <c r="X392" s="208"/>
      <c r="Y392" s="208"/>
      <c r="Z392" s="208"/>
      <c r="AA392" s="208"/>
      <c r="AB392" s="208"/>
      <c r="AC392" s="208"/>
      <c r="AD392" s="208"/>
      <c r="AE392" s="208"/>
      <c r="AF392" s="208"/>
      <c r="AG392" s="208"/>
      <c r="AH392" s="208"/>
      <c r="AI392" s="100"/>
      <c r="AJ392" s="100"/>
      <c r="AK392" s="100"/>
      <c r="AL392" s="100"/>
      <c r="AM392" s="100"/>
    </row>
    <row r="393" ht="14.25" customHeight="1">
      <c r="A393" s="100"/>
      <c r="B393" s="100"/>
      <c r="C393" s="100"/>
      <c r="D393" s="100"/>
      <c r="E393" s="100"/>
      <c r="F393" s="206"/>
      <c r="G393" s="206"/>
      <c r="H393" s="207"/>
      <c r="I393" s="207"/>
      <c r="J393" s="207"/>
      <c r="K393" s="207"/>
      <c r="L393" s="207"/>
      <c r="M393" s="207"/>
      <c r="N393" s="207"/>
      <c r="O393" s="207"/>
      <c r="P393" s="207"/>
      <c r="Q393" s="207"/>
      <c r="R393" s="207"/>
      <c r="S393" s="207"/>
      <c r="T393" s="207"/>
      <c r="U393" s="207"/>
      <c r="V393" s="207"/>
      <c r="W393" s="208"/>
      <c r="X393" s="208"/>
      <c r="Y393" s="208"/>
      <c r="Z393" s="208"/>
      <c r="AA393" s="208"/>
      <c r="AB393" s="208"/>
      <c r="AC393" s="208"/>
      <c r="AD393" s="208"/>
      <c r="AE393" s="208"/>
      <c r="AF393" s="208"/>
      <c r="AG393" s="208"/>
      <c r="AH393" s="208"/>
      <c r="AI393" s="100"/>
      <c r="AJ393" s="100"/>
      <c r="AK393" s="100"/>
      <c r="AL393" s="100"/>
      <c r="AM393" s="100"/>
    </row>
    <row r="394" ht="14.25" customHeight="1">
      <c r="A394" s="100"/>
      <c r="B394" s="100"/>
      <c r="C394" s="100"/>
      <c r="D394" s="100"/>
      <c r="E394" s="100"/>
      <c r="F394" s="206"/>
      <c r="G394" s="206"/>
      <c r="H394" s="207"/>
      <c r="I394" s="207"/>
      <c r="J394" s="207"/>
      <c r="K394" s="207"/>
      <c r="L394" s="207"/>
      <c r="M394" s="207"/>
      <c r="N394" s="207"/>
      <c r="O394" s="207"/>
      <c r="P394" s="207"/>
      <c r="Q394" s="207"/>
      <c r="R394" s="207"/>
      <c r="S394" s="207"/>
      <c r="T394" s="207"/>
      <c r="U394" s="207"/>
      <c r="V394" s="207"/>
      <c r="W394" s="208"/>
      <c r="X394" s="208"/>
      <c r="Y394" s="208"/>
      <c r="Z394" s="208"/>
      <c r="AA394" s="208"/>
      <c r="AB394" s="208"/>
      <c r="AC394" s="208"/>
      <c r="AD394" s="208"/>
      <c r="AE394" s="208"/>
      <c r="AF394" s="208"/>
      <c r="AG394" s="208"/>
      <c r="AH394" s="208"/>
      <c r="AI394" s="100"/>
      <c r="AJ394" s="100"/>
      <c r="AK394" s="100"/>
      <c r="AL394" s="100"/>
      <c r="AM394" s="100"/>
    </row>
    <row r="395" ht="14.25" customHeight="1">
      <c r="A395" s="100"/>
      <c r="B395" s="100"/>
      <c r="C395" s="100"/>
      <c r="D395" s="100"/>
      <c r="E395" s="100"/>
      <c r="F395" s="206"/>
      <c r="G395" s="206"/>
      <c r="H395" s="207"/>
      <c r="I395" s="207"/>
      <c r="J395" s="207"/>
      <c r="K395" s="207"/>
      <c r="L395" s="207"/>
      <c r="M395" s="207"/>
      <c r="N395" s="207"/>
      <c r="O395" s="207"/>
      <c r="P395" s="207"/>
      <c r="Q395" s="207"/>
      <c r="R395" s="207"/>
      <c r="S395" s="207"/>
      <c r="T395" s="207"/>
      <c r="U395" s="207"/>
      <c r="V395" s="207"/>
      <c r="W395" s="208"/>
      <c r="X395" s="208"/>
      <c r="Y395" s="208"/>
      <c r="Z395" s="208"/>
      <c r="AA395" s="208"/>
      <c r="AB395" s="208"/>
      <c r="AC395" s="208"/>
      <c r="AD395" s="208"/>
      <c r="AE395" s="208"/>
      <c r="AF395" s="208"/>
      <c r="AG395" s="208"/>
      <c r="AH395" s="208"/>
      <c r="AI395" s="100"/>
      <c r="AJ395" s="100"/>
      <c r="AK395" s="100"/>
      <c r="AL395" s="100"/>
      <c r="AM395" s="100"/>
    </row>
    <row r="396" ht="14.25" customHeight="1">
      <c r="A396" s="100"/>
      <c r="B396" s="100"/>
      <c r="C396" s="100"/>
      <c r="D396" s="100"/>
      <c r="E396" s="100"/>
      <c r="F396" s="206"/>
      <c r="G396" s="206"/>
      <c r="H396" s="207"/>
      <c r="I396" s="207"/>
      <c r="J396" s="207"/>
      <c r="K396" s="207"/>
      <c r="L396" s="207"/>
      <c r="M396" s="207"/>
      <c r="N396" s="207"/>
      <c r="O396" s="207"/>
      <c r="P396" s="207"/>
      <c r="Q396" s="207"/>
      <c r="R396" s="207"/>
      <c r="S396" s="207"/>
      <c r="T396" s="207"/>
      <c r="U396" s="207"/>
      <c r="V396" s="207"/>
      <c r="W396" s="208"/>
      <c r="X396" s="208"/>
      <c r="Y396" s="208"/>
      <c r="Z396" s="208"/>
      <c r="AA396" s="208"/>
      <c r="AB396" s="208"/>
      <c r="AC396" s="208"/>
      <c r="AD396" s="208"/>
      <c r="AE396" s="208"/>
      <c r="AF396" s="208"/>
      <c r="AG396" s="208"/>
      <c r="AH396" s="208"/>
      <c r="AI396" s="100"/>
      <c r="AJ396" s="100"/>
      <c r="AK396" s="100"/>
      <c r="AL396" s="100"/>
      <c r="AM396" s="100"/>
    </row>
    <row r="397" ht="14.25" customHeight="1">
      <c r="A397" s="100"/>
      <c r="B397" s="100"/>
      <c r="C397" s="100"/>
      <c r="D397" s="100"/>
      <c r="E397" s="100"/>
      <c r="F397" s="206"/>
      <c r="G397" s="206"/>
      <c r="H397" s="207"/>
      <c r="I397" s="207"/>
      <c r="J397" s="207"/>
      <c r="K397" s="207"/>
      <c r="L397" s="207"/>
      <c r="M397" s="207"/>
      <c r="N397" s="207"/>
      <c r="O397" s="207"/>
      <c r="P397" s="207"/>
      <c r="Q397" s="207"/>
      <c r="R397" s="207"/>
      <c r="S397" s="207"/>
      <c r="T397" s="207"/>
      <c r="U397" s="207"/>
      <c r="V397" s="207"/>
      <c r="W397" s="208"/>
      <c r="X397" s="208"/>
      <c r="Y397" s="208"/>
      <c r="Z397" s="208"/>
      <c r="AA397" s="208"/>
      <c r="AB397" s="208"/>
      <c r="AC397" s="208"/>
      <c r="AD397" s="208"/>
      <c r="AE397" s="208"/>
      <c r="AF397" s="208"/>
      <c r="AG397" s="208"/>
      <c r="AH397" s="208"/>
      <c r="AI397" s="100"/>
      <c r="AJ397" s="100"/>
      <c r="AK397" s="100"/>
      <c r="AL397" s="100"/>
      <c r="AM397" s="100"/>
    </row>
    <row r="398" ht="14.25" customHeight="1">
      <c r="A398" s="100"/>
      <c r="B398" s="100"/>
      <c r="C398" s="100"/>
      <c r="D398" s="100"/>
      <c r="E398" s="100"/>
      <c r="F398" s="206"/>
      <c r="G398" s="206"/>
      <c r="H398" s="207"/>
      <c r="I398" s="207"/>
      <c r="J398" s="207"/>
      <c r="K398" s="207"/>
      <c r="L398" s="207"/>
      <c r="M398" s="207"/>
      <c r="N398" s="207"/>
      <c r="O398" s="207"/>
      <c r="P398" s="207"/>
      <c r="Q398" s="207"/>
      <c r="R398" s="207"/>
      <c r="S398" s="207"/>
      <c r="T398" s="207"/>
      <c r="U398" s="207"/>
      <c r="V398" s="207"/>
      <c r="W398" s="208"/>
      <c r="X398" s="208"/>
      <c r="Y398" s="208"/>
      <c r="Z398" s="208"/>
      <c r="AA398" s="208"/>
      <c r="AB398" s="208"/>
      <c r="AC398" s="208"/>
      <c r="AD398" s="208"/>
      <c r="AE398" s="208"/>
      <c r="AF398" s="208"/>
      <c r="AG398" s="208"/>
      <c r="AH398" s="208"/>
      <c r="AI398" s="100"/>
      <c r="AJ398" s="100"/>
      <c r="AK398" s="100"/>
      <c r="AL398" s="100"/>
      <c r="AM398" s="100"/>
    </row>
    <row r="399" ht="14.25" customHeight="1">
      <c r="A399" s="100"/>
      <c r="B399" s="100"/>
      <c r="C399" s="100"/>
      <c r="D399" s="100"/>
      <c r="E399" s="100"/>
      <c r="F399" s="206"/>
      <c r="G399" s="206"/>
      <c r="H399" s="207"/>
      <c r="I399" s="207"/>
      <c r="J399" s="207"/>
      <c r="K399" s="207"/>
      <c r="L399" s="207"/>
      <c r="M399" s="207"/>
      <c r="N399" s="207"/>
      <c r="O399" s="207"/>
      <c r="P399" s="207"/>
      <c r="Q399" s="207"/>
      <c r="R399" s="207"/>
      <c r="S399" s="207"/>
      <c r="T399" s="207"/>
      <c r="U399" s="207"/>
      <c r="V399" s="207"/>
      <c r="W399" s="208"/>
      <c r="X399" s="208"/>
      <c r="Y399" s="208"/>
      <c r="Z399" s="208"/>
      <c r="AA399" s="208"/>
      <c r="AB399" s="208"/>
      <c r="AC399" s="208"/>
      <c r="AD399" s="208"/>
      <c r="AE399" s="208"/>
      <c r="AF399" s="208"/>
      <c r="AG399" s="208"/>
      <c r="AH399" s="208"/>
      <c r="AI399" s="100"/>
      <c r="AJ399" s="100"/>
      <c r="AK399" s="100"/>
      <c r="AL399" s="100"/>
      <c r="AM399" s="100"/>
    </row>
    <row r="400" ht="14.25" customHeight="1">
      <c r="A400" s="100"/>
      <c r="B400" s="100"/>
      <c r="C400" s="100"/>
      <c r="D400" s="100"/>
      <c r="E400" s="100"/>
      <c r="F400" s="206"/>
      <c r="G400" s="206"/>
      <c r="H400" s="207"/>
      <c r="I400" s="207"/>
      <c r="J400" s="207"/>
      <c r="K400" s="207"/>
      <c r="L400" s="207"/>
      <c r="M400" s="207"/>
      <c r="N400" s="207"/>
      <c r="O400" s="207"/>
      <c r="P400" s="207"/>
      <c r="Q400" s="207"/>
      <c r="R400" s="207"/>
      <c r="S400" s="207"/>
      <c r="T400" s="207"/>
      <c r="U400" s="207"/>
      <c r="V400" s="207"/>
      <c r="W400" s="208"/>
      <c r="X400" s="208"/>
      <c r="Y400" s="208"/>
      <c r="Z400" s="208"/>
      <c r="AA400" s="208"/>
      <c r="AB400" s="208"/>
      <c r="AC400" s="208"/>
      <c r="AD400" s="208"/>
      <c r="AE400" s="208"/>
      <c r="AF400" s="208"/>
      <c r="AG400" s="208"/>
      <c r="AH400" s="208"/>
      <c r="AI400" s="100"/>
      <c r="AJ400" s="100"/>
      <c r="AK400" s="100"/>
      <c r="AL400" s="100"/>
      <c r="AM400" s="100"/>
    </row>
    <row r="401" ht="14.25" customHeight="1">
      <c r="A401" s="100"/>
      <c r="B401" s="100"/>
      <c r="C401" s="100"/>
      <c r="D401" s="100"/>
      <c r="E401" s="100"/>
      <c r="F401" s="206"/>
      <c r="G401" s="206"/>
      <c r="H401" s="207"/>
      <c r="I401" s="207"/>
      <c r="J401" s="207"/>
      <c r="K401" s="207"/>
      <c r="L401" s="207"/>
      <c r="M401" s="207"/>
      <c r="N401" s="207"/>
      <c r="O401" s="207"/>
      <c r="P401" s="207"/>
      <c r="Q401" s="207"/>
      <c r="R401" s="207"/>
      <c r="S401" s="207"/>
      <c r="T401" s="207"/>
      <c r="U401" s="207"/>
      <c r="V401" s="207"/>
      <c r="W401" s="208"/>
      <c r="X401" s="208"/>
      <c r="Y401" s="208"/>
      <c r="Z401" s="208"/>
      <c r="AA401" s="208"/>
      <c r="AB401" s="208"/>
      <c r="AC401" s="208"/>
      <c r="AD401" s="208"/>
      <c r="AE401" s="208"/>
      <c r="AF401" s="208"/>
      <c r="AG401" s="208"/>
      <c r="AH401" s="208"/>
      <c r="AI401" s="100"/>
      <c r="AJ401" s="100"/>
      <c r="AK401" s="100"/>
      <c r="AL401" s="100"/>
      <c r="AM401" s="100"/>
    </row>
    <row r="402" ht="14.25" customHeight="1">
      <c r="A402" s="100"/>
      <c r="B402" s="100"/>
      <c r="C402" s="100"/>
      <c r="D402" s="100"/>
      <c r="E402" s="100"/>
      <c r="F402" s="206"/>
      <c r="G402" s="206"/>
      <c r="H402" s="207"/>
      <c r="I402" s="207"/>
      <c r="J402" s="207"/>
      <c r="K402" s="207"/>
      <c r="L402" s="207"/>
      <c r="M402" s="207"/>
      <c r="N402" s="207"/>
      <c r="O402" s="207"/>
      <c r="P402" s="207"/>
      <c r="Q402" s="207"/>
      <c r="R402" s="207"/>
      <c r="S402" s="207"/>
      <c r="T402" s="207"/>
      <c r="U402" s="207"/>
      <c r="V402" s="207"/>
      <c r="W402" s="208"/>
      <c r="X402" s="208"/>
      <c r="Y402" s="208"/>
      <c r="Z402" s="208"/>
      <c r="AA402" s="208"/>
      <c r="AB402" s="208"/>
      <c r="AC402" s="208"/>
      <c r="AD402" s="208"/>
      <c r="AE402" s="208"/>
      <c r="AF402" s="208"/>
      <c r="AG402" s="208"/>
      <c r="AH402" s="208"/>
      <c r="AI402" s="100"/>
      <c r="AJ402" s="100"/>
      <c r="AK402" s="100"/>
      <c r="AL402" s="100"/>
      <c r="AM402" s="100"/>
    </row>
    <row r="403" ht="14.25" customHeight="1">
      <c r="A403" s="100"/>
      <c r="B403" s="100"/>
      <c r="C403" s="100"/>
      <c r="D403" s="100"/>
      <c r="E403" s="100"/>
      <c r="F403" s="206"/>
      <c r="G403" s="206"/>
      <c r="H403" s="207"/>
      <c r="I403" s="207"/>
      <c r="J403" s="207"/>
      <c r="K403" s="207"/>
      <c r="L403" s="207"/>
      <c r="M403" s="207"/>
      <c r="N403" s="207"/>
      <c r="O403" s="207"/>
      <c r="P403" s="207"/>
      <c r="Q403" s="207"/>
      <c r="R403" s="207"/>
      <c r="S403" s="207"/>
      <c r="T403" s="207"/>
      <c r="U403" s="207"/>
      <c r="V403" s="207"/>
      <c r="W403" s="208"/>
      <c r="X403" s="208"/>
      <c r="Y403" s="208"/>
      <c r="Z403" s="208"/>
      <c r="AA403" s="208"/>
      <c r="AB403" s="208"/>
      <c r="AC403" s="208"/>
      <c r="AD403" s="208"/>
      <c r="AE403" s="208"/>
      <c r="AF403" s="208"/>
      <c r="AG403" s="208"/>
      <c r="AH403" s="208"/>
      <c r="AI403" s="100"/>
      <c r="AJ403" s="100"/>
      <c r="AK403" s="100"/>
      <c r="AL403" s="100"/>
      <c r="AM403" s="100"/>
    </row>
    <row r="404" ht="14.25" customHeight="1">
      <c r="A404" s="100"/>
      <c r="B404" s="100"/>
      <c r="C404" s="100"/>
      <c r="D404" s="100"/>
      <c r="E404" s="100"/>
      <c r="F404" s="206"/>
      <c r="G404" s="206"/>
      <c r="H404" s="207"/>
      <c r="I404" s="207"/>
      <c r="J404" s="207"/>
      <c r="K404" s="207"/>
      <c r="L404" s="207"/>
      <c r="M404" s="207"/>
      <c r="N404" s="207"/>
      <c r="O404" s="207"/>
      <c r="P404" s="207"/>
      <c r="Q404" s="207"/>
      <c r="R404" s="207"/>
      <c r="S404" s="207"/>
      <c r="T404" s="207"/>
      <c r="U404" s="207"/>
      <c r="V404" s="207"/>
      <c r="W404" s="208"/>
      <c r="X404" s="208"/>
      <c r="Y404" s="208"/>
      <c r="Z404" s="208"/>
      <c r="AA404" s="208"/>
      <c r="AB404" s="208"/>
      <c r="AC404" s="208"/>
      <c r="AD404" s="208"/>
      <c r="AE404" s="208"/>
      <c r="AF404" s="208"/>
      <c r="AG404" s="208"/>
      <c r="AH404" s="208"/>
      <c r="AI404" s="100"/>
      <c r="AJ404" s="100"/>
      <c r="AK404" s="100"/>
      <c r="AL404" s="100"/>
      <c r="AM404" s="100"/>
    </row>
    <row r="405" ht="14.25" customHeight="1">
      <c r="A405" s="100"/>
      <c r="B405" s="100"/>
      <c r="C405" s="100"/>
      <c r="D405" s="100"/>
      <c r="E405" s="100"/>
      <c r="F405" s="206"/>
      <c r="G405" s="206"/>
      <c r="H405" s="207"/>
      <c r="I405" s="207"/>
      <c r="J405" s="207"/>
      <c r="K405" s="207"/>
      <c r="L405" s="207"/>
      <c r="M405" s="207"/>
      <c r="N405" s="207"/>
      <c r="O405" s="207"/>
      <c r="P405" s="207"/>
      <c r="Q405" s="207"/>
      <c r="R405" s="207"/>
      <c r="S405" s="207"/>
      <c r="T405" s="207"/>
      <c r="U405" s="207"/>
      <c r="V405" s="207"/>
      <c r="W405" s="208"/>
      <c r="X405" s="208"/>
      <c r="Y405" s="208"/>
      <c r="Z405" s="208"/>
      <c r="AA405" s="208"/>
      <c r="AB405" s="208"/>
      <c r="AC405" s="208"/>
      <c r="AD405" s="208"/>
      <c r="AE405" s="208"/>
      <c r="AF405" s="208"/>
      <c r="AG405" s="208"/>
      <c r="AH405" s="208"/>
      <c r="AI405" s="100"/>
      <c r="AJ405" s="100"/>
      <c r="AK405" s="100"/>
      <c r="AL405" s="100"/>
      <c r="AM405" s="100"/>
    </row>
    <row r="406" ht="14.25" customHeight="1">
      <c r="A406" s="100"/>
      <c r="B406" s="100"/>
      <c r="C406" s="100"/>
      <c r="D406" s="100"/>
      <c r="E406" s="100"/>
      <c r="F406" s="206"/>
      <c r="G406" s="206"/>
      <c r="H406" s="207"/>
      <c r="I406" s="207"/>
      <c r="J406" s="207"/>
      <c r="K406" s="207"/>
      <c r="L406" s="207"/>
      <c r="M406" s="207"/>
      <c r="N406" s="207"/>
      <c r="O406" s="207"/>
      <c r="P406" s="207"/>
      <c r="Q406" s="207"/>
      <c r="R406" s="207"/>
      <c r="S406" s="207"/>
      <c r="T406" s="207"/>
      <c r="U406" s="207"/>
      <c r="V406" s="207"/>
      <c r="W406" s="208"/>
      <c r="X406" s="208"/>
      <c r="Y406" s="208"/>
      <c r="Z406" s="208"/>
      <c r="AA406" s="208"/>
      <c r="AB406" s="208"/>
      <c r="AC406" s="208"/>
      <c r="AD406" s="208"/>
      <c r="AE406" s="208"/>
      <c r="AF406" s="208"/>
      <c r="AG406" s="208"/>
      <c r="AH406" s="208"/>
      <c r="AI406" s="100"/>
      <c r="AJ406" s="100"/>
      <c r="AK406" s="100"/>
      <c r="AL406" s="100"/>
      <c r="AM406" s="100"/>
    </row>
    <row r="407" ht="14.25" customHeight="1">
      <c r="A407" s="100"/>
      <c r="B407" s="100"/>
      <c r="C407" s="100"/>
      <c r="D407" s="100"/>
      <c r="E407" s="100"/>
      <c r="F407" s="206"/>
      <c r="G407" s="206"/>
      <c r="H407" s="207"/>
      <c r="I407" s="207"/>
      <c r="J407" s="207"/>
      <c r="K407" s="207"/>
      <c r="L407" s="207"/>
      <c r="M407" s="207"/>
      <c r="N407" s="207"/>
      <c r="O407" s="207"/>
      <c r="P407" s="207"/>
      <c r="Q407" s="207"/>
      <c r="R407" s="207"/>
      <c r="S407" s="207"/>
      <c r="T407" s="207"/>
      <c r="U407" s="207"/>
      <c r="V407" s="207"/>
      <c r="W407" s="208"/>
      <c r="X407" s="208"/>
      <c r="Y407" s="208"/>
      <c r="Z407" s="208"/>
      <c r="AA407" s="208"/>
      <c r="AB407" s="208"/>
      <c r="AC407" s="208"/>
      <c r="AD407" s="208"/>
      <c r="AE407" s="208"/>
      <c r="AF407" s="208"/>
      <c r="AG407" s="208"/>
      <c r="AH407" s="208"/>
      <c r="AI407" s="100"/>
      <c r="AJ407" s="100"/>
      <c r="AK407" s="100"/>
      <c r="AL407" s="100"/>
      <c r="AM407" s="100"/>
    </row>
    <row r="408" ht="14.25" customHeight="1">
      <c r="A408" s="100"/>
      <c r="B408" s="100"/>
      <c r="C408" s="100"/>
      <c r="D408" s="100"/>
      <c r="E408" s="100"/>
      <c r="F408" s="206"/>
      <c r="G408" s="206"/>
      <c r="H408" s="207"/>
      <c r="I408" s="207"/>
      <c r="J408" s="207"/>
      <c r="K408" s="207"/>
      <c r="L408" s="207"/>
      <c r="M408" s="207"/>
      <c r="N408" s="207"/>
      <c r="O408" s="207"/>
      <c r="P408" s="207"/>
      <c r="Q408" s="207"/>
      <c r="R408" s="207"/>
      <c r="S408" s="207"/>
      <c r="T408" s="207"/>
      <c r="U408" s="207"/>
      <c r="V408" s="207"/>
      <c r="W408" s="208"/>
      <c r="X408" s="208"/>
      <c r="Y408" s="208"/>
      <c r="Z408" s="208"/>
      <c r="AA408" s="208"/>
      <c r="AB408" s="208"/>
      <c r="AC408" s="208"/>
      <c r="AD408" s="208"/>
      <c r="AE408" s="208"/>
      <c r="AF408" s="208"/>
      <c r="AG408" s="208"/>
      <c r="AH408" s="208"/>
      <c r="AI408" s="100"/>
      <c r="AJ408" s="100"/>
      <c r="AK408" s="100"/>
      <c r="AL408" s="100"/>
      <c r="AM408" s="100"/>
    </row>
    <row r="409" ht="14.25" customHeight="1">
      <c r="A409" s="100"/>
      <c r="B409" s="100"/>
      <c r="C409" s="100"/>
      <c r="D409" s="100"/>
      <c r="E409" s="100"/>
      <c r="F409" s="206"/>
      <c r="G409" s="206"/>
      <c r="H409" s="207"/>
      <c r="I409" s="207"/>
      <c r="J409" s="207"/>
      <c r="K409" s="207"/>
      <c r="L409" s="207"/>
      <c r="M409" s="207"/>
      <c r="N409" s="207"/>
      <c r="O409" s="207"/>
      <c r="P409" s="207"/>
      <c r="Q409" s="207"/>
      <c r="R409" s="207"/>
      <c r="S409" s="207"/>
      <c r="T409" s="207"/>
      <c r="U409" s="207"/>
      <c r="V409" s="207"/>
      <c r="W409" s="208"/>
      <c r="X409" s="208"/>
      <c r="Y409" s="208"/>
      <c r="Z409" s="208"/>
      <c r="AA409" s="208"/>
      <c r="AB409" s="208"/>
      <c r="AC409" s="208"/>
      <c r="AD409" s="208"/>
      <c r="AE409" s="208"/>
      <c r="AF409" s="208"/>
      <c r="AG409" s="208"/>
      <c r="AH409" s="208"/>
      <c r="AI409" s="100"/>
      <c r="AJ409" s="100"/>
      <c r="AK409" s="100"/>
      <c r="AL409" s="100"/>
      <c r="AM409" s="100"/>
    </row>
    <row r="410" ht="14.25" customHeight="1">
      <c r="A410" s="100"/>
      <c r="B410" s="100"/>
      <c r="C410" s="100"/>
      <c r="D410" s="100"/>
      <c r="E410" s="100"/>
      <c r="F410" s="206"/>
      <c r="G410" s="206"/>
      <c r="H410" s="207"/>
      <c r="I410" s="207"/>
      <c r="J410" s="207"/>
      <c r="K410" s="207"/>
      <c r="L410" s="207"/>
      <c r="M410" s="207"/>
      <c r="N410" s="207"/>
      <c r="O410" s="207"/>
      <c r="P410" s="207"/>
      <c r="Q410" s="207"/>
      <c r="R410" s="207"/>
      <c r="S410" s="207"/>
      <c r="T410" s="207"/>
      <c r="U410" s="207"/>
      <c r="V410" s="207"/>
      <c r="W410" s="208"/>
      <c r="X410" s="208"/>
      <c r="Y410" s="208"/>
      <c r="Z410" s="208"/>
      <c r="AA410" s="208"/>
      <c r="AB410" s="208"/>
      <c r="AC410" s="208"/>
      <c r="AD410" s="208"/>
      <c r="AE410" s="208"/>
      <c r="AF410" s="208"/>
      <c r="AG410" s="208"/>
      <c r="AH410" s="208"/>
      <c r="AI410" s="100"/>
      <c r="AJ410" s="100"/>
      <c r="AK410" s="100"/>
      <c r="AL410" s="100"/>
      <c r="AM410" s="100"/>
    </row>
    <row r="411" ht="14.25" customHeight="1">
      <c r="A411" s="100"/>
      <c r="B411" s="100"/>
      <c r="C411" s="100"/>
      <c r="D411" s="100"/>
      <c r="E411" s="100"/>
      <c r="F411" s="206"/>
      <c r="G411" s="206"/>
      <c r="H411" s="207"/>
      <c r="I411" s="207"/>
      <c r="J411" s="207"/>
      <c r="K411" s="207"/>
      <c r="L411" s="207"/>
      <c r="M411" s="207"/>
      <c r="N411" s="207"/>
      <c r="O411" s="207"/>
      <c r="P411" s="207"/>
      <c r="Q411" s="207"/>
      <c r="R411" s="207"/>
      <c r="S411" s="207"/>
      <c r="T411" s="207"/>
      <c r="U411" s="207"/>
      <c r="V411" s="207"/>
      <c r="W411" s="208"/>
      <c r="X411" s="208"/>
      <c r="Y411" s="208"/>
      <c r="Z411" s="208"/>
      <c r="AA411" s="208"/>
      <c r="AB411" s="208"/>
      <c r="AC411" s="208"/>
      <c r="AD411" s="208"/>
      <c r="AE411" s="208"/>
      <c r="AF411" s="208"/>
      <c r="AG411" s="208"/>
      <c r="AH411" s="208"/>
      <c r="AI411" s="100"/>
      <c r="AJ411" s="100"/>
      <c r="AK411" s="100"/>
      <c r="AL411" s="100"/>
      <c r="AM411" s="100"/>
    </row>
    <row r="412" ht="14.25" customHeight="1">
      <c r="A412" s="100"/>
      <c r="B412" s="100"/>
      <c r="C412" s="100"/>
      <c r="D412" s="100"/>
      <c r="E412" s="100"/>
      <c r="F412" s="206"/>
      <c r="G412" s="206"/>
      <c r="H412" s="207"/>
      <c r="I412" s="207"/>
      <c r="J412" s="207"/>
      <c r="K412" s="207"/>
      <c r="L412" s="207"/>
      <c r="M412" s="207"/>
      <c r="N412" s="207"/>
      <c r="O412" s="207"/>
      <c r="P412" s="207"/>
      <c r="Q412" s="207"/>
      <c r="R412" s="207"/>
      <c r="S412" s="207"/>
      <c r="T412" s="207"/>
      <c r="U412" s="207"/>
      <c r="V412" s="207"/>
      <c r="W412" s="208"/>
      <c r="X412" s="208"/>
      <c r="Y412" s="208"/>
      <c r="Z412" s="208"/>
      <c r="AA412" s="208"/>
      <c r="AB412" s="208"/>
      <c r="AC412" s="208"/>
      <c r="AD412" s="208"/>
      <c r="AE412" s="208"/>
      <c r="AF412" s="208"/>
      <c r="AG412" s="208"/>
      <c r="AH412" s="208"/>
      <c r="AI412" s="100"/>
      <c r="AJ412" s="100"/>
      <c r="AK412" s="100"/>
      <c r="AL412" s="100"/>
      <c r="AM412" s="100"/>
    </row>
    <row r="413" ht="14.25" customHeight="1">
      <c r="A413" s="100"/>
      <c r="B413" s="100"/>
      <c r="C413" s="100"/>
      <c r="D413" s="100"/>
      <c r="E413" s="100"/>
      <c r="F413" s="206"/>
      <c r="G413" s="206"/>
      <c r="H413" s="207"/>
      <c r="I413" s="207"/>
      <c r="J413" s="207"/>
      <c r="K413" s="207"/>
      <c r="L413" s="207"/>
      <c r="M413" s="207"/>
      <c r="N413" s="207"/>
      <c r="O413" s="207"/>
      <c r="P413" s="207"/>
      <c r="Q413" s="207"/>
      <c r="R413" s="207"/>
      <c r="S413" s="207"/>
      <c r="T413" s="207"/>
      <c r="U413" s="207"/>
      <c r="V413" s="207"/>
      <c r="W413" s="208"/>
      <c r="X413" s="208"/>
      <c r="Y413" s="208"/>
      <c r="Z413" s="208"/>
      <c r="AA413" s="208"/>
      <c r="AB413" s="208"/>
      <c r="AC413" s="208"/>
      <c r="AD413" s="208"/>
      <c r="AE413" s="208"/>
      <c r="AF413" s="208"/>
      <c r="AG413" s="208"/>
      <c r="AH413" s="208"/>
      <c r="AI413" s="100"/>
      <c r="AJ413" s="100"/>
      <c r="AK413" s="100"/>
      <c r="AL413" s="100"/>
      <c r="AM413" s="100"/>
    </row>
    <row r="414" ht="14.25" customHeight="1">
      <c r="A414" s="100"/>
      <c r="B414" s="100"/>
      <c r="C414" s="100"/>
      <c r="D414" s="100"/>
      <c r="E414" s="100"/>
      <c r="F414" s="206"/>
      <c r="G414" s="206"/>
      <c r="H414" s="207"/>
      <c r="I414" s="207"/>
      <c r="J414" s="207"/>
      <c r="K414" s="207"/>
      <c r="L414" s="207"/>
      <c r="M414" s="207"/>
      <c r="N414" s="207"/>
      <c r="O414" s="207"/>
      <c r="P414" s="207"/>
      <c r="Q414" s="207"/>
      <c r="R414" s="207"/>
      <c r="S414" s="207"/>
      <c r="T414" s="207"/>
      <c r="U414" s="207"/>
      <c r="V414" s="207"/>
      <c r="W414" s="208"/>
      <c r="X414" s="208"/>
      <c r="Y414" s="208"/>
      <c r="Z414" s="208"/>
      <c r="AA414" s="208"/>
      <c r="AB414" s="208"/>
      <c r="AC414" s="208"/>
      <c r="AD414" s="208"/>
      <c r="AE414" s="208"/>
      <c r="AF414" s="208"/>
      <c r="AG414" s="208"/>
      <c r="AH414" s="208"/>
      <c r="AI414" s="100"/>
      <c r="AJ414" s="100"/>
      <c r="AK414" s="100"/>
      <c r="AL414" s="100"/>
      <c r="AM414" s="100"/>
    </row>
    <row r="415" ht="14.25" customHeight="1">
      <c r="A415" s="100"/>
      <c r="B415" s="100"/>
      <c r="C415" s="100"/>
      <c r="D415" s="100"/>
      <c r="E415" s="100"/>
      <c r="F415" s="206"/>
      <c r="G415" s="206"/>
      <c r="H415" s="207"/>
      <c r="I415" s="207"/>
      <c r="J415" s="207"/>
      <c r="K415" s="207"/>
      <c r="L415" s="207"/>
      <c r="M415" s="207"/>
      <c r="N415" s="207"/>
      <c r="O415" s="207"/>
      <c r="P415" s="207"/>
      <c r="Q415" s="207"/>
      <c r="R415" s="207"/>
      <c r="S415" s="207"/>
      <c r="T415" s="207"/>
      <c r="U415" s="207"/>
      <c r="V415" s="207"/>
      <c r="W415" s="208"/>
      <c r="X415" s="208"/>
      <c r="Y415" s="208"/>
      <c r="Z415" s="208"/>
      <c r="AA415" s="208"/>
      <c r="AB415" s="208"/>
      <c r="AC415" s="208"/>
      <c r="AD415" s="208"/>
      <c r="AE415" s="208"/>
      <c r="AF415" s="208"/>
      <c r="AG415" s="208"/>
      <c r="AH415" s="208"/>
      <c r="AI415" s="100"/>
      <c r="AJ415" s="100"/>
      <c r="AK415" s="100"/>
      <c r="AL415" s="100"/>
      <c r="AM415" s="100"/>
    </row>
    <row r="416" ht="14.25" customHeight="1">
      <c r="A416" s="100"/>
      <c r="B416" s="100"/>
      <c r="C416" s="100"/>
      <c r="D416" s="100"/>
      <c r="E416" s="100"/>
      <c r="F416" s="206"/>
      <c r="G416" s="206"/>
      <c r="H416" s="207"/>
      <c r="I416" s="207"/>
      <c r="J416" s="207"/>
      <c r="K416" s="207"/>
      <c r="L416" s="207"/>
      <c r="M416" s="207"/>
      <c r="N416" s="207"/>
      <c r="O416" s="207"/>
      <c r="P416" s="207"/>
      <c r="Q416" s="207"/>
      <c r="R416" s="207"/>
      <c r="S416" s="207"/>
      <c r="T416" s="207"/>
      <c r="U416" s="207"/>
      <c r="V416" s="207"/>
      <c r="W416" s="208"/>
      <c r="X416" s="208"/>
      <c r="Y416" s="208"/>
      <c r="Z416" s="208"/>
      <c r="AA416" s="208"/>
      <c r="AB416" s="208"/>
      <c r="AC416" s="208"/>
      <c r="AD416" s="208"/>
      <c r="AE416" s="208"/>
      <c r="AF416" s="208"/>
      <c r="AG416" s="208"/>
      <c r="AH416" s="208"/>
      <c r="AI416" s="100"/>
      <c r="AJ416" s="100"/>
      <c r="AK416" s="100"/>
      <c r="AL416" s="100"/>
      <c r="AM416" s="100"/>
    </row>
    <row r="417" ht="14.25" customHeight="1">
      <c r="A417" s="100"/>
      <c r="B417" s="100"/>
      <c r="C417" s="100"/>
      <c r="D417" s="100"/>
      <c r="E417" s="100"/>
      <c r="F417" s="206"/>
      <c r="G417" s="206"/>
      <c r="H417" s="207"/>
      <c r="I417" s="207"/>
      <c r="J417" s="207"/>
      <c r="K417" s="207"/>
      <c r="L417" s="207"/>
      <c r="M417" s="207"/>
      <c r="N417" s="207"/>
      <c r="O417" s="207"/>
      <c r="P417" s="207"/>
      <c r="Q417" s="207"/>
      <c r="R417" s="207"/>
      <c r="S417" s="207"/>
      <c r="T417" s="207"/>
      <c r="U417" s="207"/>
      <c r="V417" s="207"/>
      <c r="W417" s="208"/>
      <c r="X417" s="208"/>
      <c r="Y417" s="208"/>
      <c r="Z417" s="208"/>
      <c r="AA417" s="208"/>
      <c r="AB417" s="208"/>
      <c r="AC417" s="208"/>
      <c r="AD417" s="208"/>
      <c r="AE417" s="208"/>
      <c r="AF417" s="208"/>
      <c r="AG417" s="208"/>
      <c r="AH417" s="208"/>
      <c r="AI417" s="100"/>
      <c r="AJ417" s="100"/>
      <c r="AK417" s="100"/>
      <c r="AL417" s="100"/>
      <c r="AM417" s="100"/>
    </row>
    <row r="418" ht="14.25" customHeight="1">
      <c r="A418" s="100"/>
      <c r="B418" s="100"/>
      <c r="C418" s="100"/>
      <c r="D418" s="100"/>
      <c r="E418" s="100"/>
      <c r="F418" s="206"/>
      <c r="G418" s="206"/>
      <c r="H418" s="207"/>
      <c r="I418" s="207"/>
      <c r="J418" s="207"/>
      <c r="K418" s="207"/>
      <c r="L418" s="207"/>
      <c r="M418" s="207"/>
      <c r="N418" s="207"/>
      <c r="O418" s="207"/>
      <c r="P418" s="207"/>
      <c r="Q418" s="207"/>
      <c r="R418" s="207"/>
      <c r="S418" s="207"/>
      <c r="T418" s="207"/>
      <c r="U418" s="207"/>
      <c r="V418" s="207"/>
      <c r="W418" s="208"/>
      <c r="X418" s="208"/>
      <c r="Y418" s="208"/>
      <c r="Z418" s="208"/>
      <c r="AA418" s="208"/>
      <c r="AB418" s="208"/>
      <c r="AC418" s="208"/>
      <c r="AD418" s="208"/>
      <c r="AE418" s="208"/>
      <c r="AF418" s="208"/>
      <c r="AG418" s="208"/>
      <c r="AH418" s="208"/>
      <c r="AI418" s="100"/>
      <c r="AJ418" s="100"/>
      <c r="AK418" s="100"/>
      <c r="AL418" s="100"/>
      <c r="AM418" s="100"/>
    </row>
    <row r="419" ht="14.25" customHeight="1">
      <c r="A419" s="100"/>
      <c r="B419" s="100"/>
      <c r="C419" s="100"/>
      <c r="D419" s="100"/>
      <c r="E419" s="100"/>
      <c r="F419" s="206"/>
      <c r="G419" s="206"/>
      <c r="H419" s="207"/>
      <c r="I419" s="207"/>
      <c r="J419" s="207"/>
      <c r="K419" s="207"/>
      <c r="L419" s="207"/>
      <c r="M419" s="207"/>
      <c r="N419" s="207"/>
      <c r="O419" s="207"/>
      <c r="P419" s="207"/>
      <c r="Q419" s="207"/>
      <c r="R419" s="207"/>
      <c r="S419" s="207"/>
      <c r="T419" s="207"/>
      <c r="U419" s="207"/>
      <c r="V419" s="207"/>
      <c r="W419" s="208"/>
      <c r="X419" s="208"/>
      <c r="Y419" s="208"/>
      <c r="Z419" s="208"/>
      <c r="AA419" s="208"/>
      <c r="AB419" s="208"/>
      <c r="AC419" s="208"/>
      <c r="AD419" s="208"/>
      <c r="AE419" s="208"/>
      <c r="AF419" s="208"/>
      <c r="AG419" s="208"/>
      <c r="AH419" s="208"/>
      <c r="AI419" s="100"/>
      <c r="AJ419" s="100"/>
      <c r="AK419" s="100"/>
      <c r="AL419" s="100"/>
      <c r="AM419" s="100"/>
    </row>
    <row r="420" ht="14.25" customHeight="1">
      <c r="A420" s="100"/>
      <c r="B420" s="100"/>
      <c r="C420" s="100"/>
      <c r="D420" s="100"/>
      <c r="E420" s="100"/>
      <c r="F420" s="206"/>
      <c r="G420" s="206"/>
      <c r="H420" s="207"/>
      <c r="I420" s="207"/>
      <c r="J420" s="207"/>
      <c r="K420" s="207"/>
      <c r="L420" s="207"/>
      <c r="M420" s="207"/>
      <c r="N420" s="207"/>
      <c r="O420" s="207"/>
      <c r="P420" s="207"/>
      <c r="Q420" s="207"/>
      <c r="R420" s="207"/>
      <c r="S420" s="207"/>
      <c r="T420" s="207"/>
      <c r="U420" s="207"/>
      <c r="V420" s="207"/>
      <c r="W420" s="208"/>
      <c r="X420" s="208"/>
      <c r="Y420" s="208"/>
      <c r="Z420" s="208"/>
      <c r="AA420" s="208"/>
      <c r="AB420" s="208"/>
      <c r="AC420" s="208"/>
      <c r="AD420" s="208"/>
      <c r="AE420" s="208"/>
      <c r="AF420" s="208"/>
      <c r="AG420" s="208"/>
      <c r="AH420" s="208"/>
      <c r="AI420" s="100"/>
      <c r="AJ420" s="100"/>
      <c r="AK420" s="100"/>
      <c r="AL420" s="100"/>
      <c r="AM420" s="100"/>
    </row>
    <row r="421" ht="14.25" customHeight="1">
      <c r="A421" s="100"/>
      <c r="B421" s="100"/>
      <c r="C421" s="100"/>
      <c r="D421" s="100"/>
      <c r="E421" s="100"/>
      <c r="F421" s="206"/>
      <c r="G421" s="206"/>
      <c r="H421" s="207"/>
      <c r="I421" s="207"/>
      <c r="J421" s="207"/>
      <c r="K421" s="207"/>
      <c r="L421" s="207"/>
      <c r="M421" s="207"/>
      <c r="N421" s="207"/>
      <c r="O421" s="207"/>
      <c r="P421" s="207"/>
      <c r="Q421" s="207"/>
      <c r="R421" s="207"/>
      <c r="S421" s="207"/>
      <c r="T421" s="207"/>
      <c r="U421" s="207"/>
      <c r="V421" s="207"/>
      <c r="W421" s="208"/>
      <c r="X421" s="208"/>
      <c r="Y421" s="208"/>
      <c r="Z421" s="208"/>
      <c r="AA421" s="208"/>
      <c r="AB421" s="208"/>
      <c r="AC421" s="208"/>
      <c r="AD421" s="208"/>
      <c r="AE421" s="208"/>
      <c r="AF421" s="208"/>
      <c r="AG421" s="208"/>
      <c r="AH421" s="208"/>
      <c r="AI421" s="100"/>
      <c r="AJ421" s="100"/>
      <c r="AK421" s="100"/>
      <c r="AL421" s="100"/>
      <c r="AM421" s="100"/>
    </row>
    <row r="422" ht="14.25" customHeight="1">
      <c r="A422" s="100"/>
      <c r="B422" s="100"/>
      <c r="C422" s="100"/>
      <c r="D422" s="100"/>
      <c r="E422" s="100"/>
      <c r="F422" s="206"/>
      <c r="G422" s="206"/>
      <c r="H422" s="207"/>
      <c r="I422" s="207"/>
      <c r="J422" s="207"/>
      <c r="K422" s="207"/>
      <c r="L422" s="207"/>
      <c r="M422" s="207"/>
      <c r="N422" s="207"/>
      <c r="O422" s="207"/>
      <c r="P422" s="207"/>
      <c r="Q422" s="207"/>
      <c r="R422" s="207"/>
      <c r="S422" s="207"/>
      <c r="T422" s="207"/>
      <c r="U422" s="207"/>
      <c r="V422" s="207"/>
      <c r="W422" s="208"/>
      <c r="X422" s="208"/>
      <c r="Y422" s="208"/>
      <c r="Z422" s="208"/>
      <c r="AA422" s="208"/>
      <c r="AB422" s="208"/>
      <c r="AC422" s="208"/>
      <c r="AD422" s="208"/>
      <c r="AE422" s="208"/>
      <c r="AF422" s="208"/>
      <c r="AG422" s="208"/>
      <c r="AH422" s="208"/>
      <c r="AI422" s="100"/>
      <c r="AJ422" s="100"/>
      <c r="AK422" s="100"/>
      <c r="AL422" s="100"/>
      <c r="AM422" s="100"/>
    </row>
    <row r="423" ht="14.25" customHeight="1">
      <c r="A423" s="100"/>
      <c r="B423" s="100"/>
      <c r="C423" s="100"/>
      <c r="D423" s="100"/>
      <c r="E423" s="100"/>
      <c r="F423" s="206"/>
      <c r="G423" s="206"/>
      <c r="H423" s="207"/>
      <c r="I423" s="207"/>
      <c r="J423" s="207"/>
      <c r="K423" s="207"/>
      <c r="L423" s="207"/>
      <c r="M423" s="207"/>
      <c r="N423" s="207"/>
      <c r="O423" s="207"/>
      <c r="P423" s="207"/>
      <c r="Q423" s="207"/>
      <c r="R423" s="207"/>
      <c r="S423" s="207"/>
      <c r="T423" s="207"/>
      <c r="U423" s="207"/>
      <c r="V423" s="207"/>
      <c r="W423" s="208"/>
      <c r="X423" s="208"/>
      <c r="Y423" s="208"/>
      <c r="Z423" s="208"/>
      <c r="AA423" s="208"/>
      <c r="AB423" s="208"/>
      <c r="AC423" s="208"/>
      <c r="AD423" s="208"/>
      <c r="AE423" s="208"/>
      <c r="AF423" s="208"/>
      <c r="AG423" s="208"/>
      <c r="AH423" s="208"/>
      <c r="AI423" s="100"/>
      <c r="AJ423" s="100"/>
      <c r="AK423" s="100"/>
      <c r="AL423" s="100"/>
      <c r="AM423" s="100"/>
    </row>
    <row r="424" ht="14.25" customHeight="1">
      <c r="A424" s="100"/>
      <c r="B424" s="100"/>
      <c r="C424" s="100"/>
      <c r="D424" s="100"/>
      <c r="E424" s="100"/>
      <c r="F424" s="206"/>
      <c r="G424" s="206"/>
      <c r="H424" s="207"/>
      <c r="I424" s="207"/>
      <c r="J424" s="207"/>
      <c r="K424" s="207"/>
      <c r="L424" s="207"/>
      <c r="M424" s="207"/>
      <c r="N424" s="207"/>
      <c r="O424" s="207"/>
      <c r="P424" s="207"/>
      <c r="Q424" s="207"/>
      <c r="R424" s="207"/>
      <c r="S424" s="207"/>
      <c r="T424" s="207"/>
      <c r="U424" s="207"/>
      <c r="V424" s="207"/>
      <c r="W424" s="208"/>
      <c r="X424" s="208"/>
      <c r="Y424" s="208"/>
      <c r="Z424" s="208"/>
      <c r="AA424" s="208"/>
      <c r="AB424" s="208"/>
      <c r="AC424" s="208"/>
      <c r="AD424" s="208"/>
      <c r="AE424" s="208"/>
      <c r="AF424" s="208"/>
      <c r="AG424" s="208"/>
      <c r="AH424" s="208"/>
      <c r="AI424" s="100"/>
      <c r="AJ424" s="100"/>
      <c r="AK424" s="100"/>
      <c r="AL424" s="100"/>
      <c r="AM424" s="100"/>
    </row>
    <row r="425" ht="14.25" customHeight="1">
      <c r="A425" s="100"/>
      <c r="B425" s="100"/>
      <c r="C425" s="100"/>
      <c r="D425" s="100"/>
      <c r="E425" s="100"/>
      <c r="F425" s="206"/>
      <c r="G425" s="206"/>
      <c r="H425" s="207"/>
      <c r="I425" s="207"/>
      <c r="J425" s="207"/>
      <c r="K425" s="207"/>
      <c r="L425" s="207"/>
      <c r="M425" s="207"/>
      <c r="N425" s="207"/>
      <c r="O425" s="207"/>
      <c r="P425" s="207"/>
      <c r="Q425" s="207"/>
      <c r="R425" s="207"/>
      <c r="S425" s="207"/>
      <c r="T425" s="207"/>
      <c r="U425" s="207"/>
      <c r="V425" s="207"/>
      <c r="W425" s="208"/>
      <c r="X425" s="208"/>
      <c r="Y425" s="208"/>
      <c r="Z425" s="208"/>
      <c r="AA425" s="208"/>
      <c r="AB425" s="208"/>
      <c r="AC425" s="208"/>
      <c r="AD425" s="208"/>
      <c r="AE425" s="208"/>
      <c r="AF425" s="208"/>
      <c r="AG425" s="208"/>
      <c r="AH425" s="208"/>
      <c r="AI425" s="100"/>
      <c r="AJ425" s="100"/>
      <c r="AK425" s="100"/>
      <c r="AL425" s="100"/>
      <c r="AM425" s="100"/>
    </row>
    <row r="426" ht="14.25" customHeight="1">
      <c r="A426" s="100"/>
      <c r="B426" s="100"/>
      <c r="C426" s="100"/>
      <c r="D426" s="100"/>
      <c r="E426" s="100"/>
      <c r="F426" s="206"/>
      <c r="G426" s="206"/>
      <c r="H426" s="207"/>
      <c r="I426" s="207"/>
      <c r="J426" s="207"/>
      <c r="K426" s="207"/>
      <c r="L426" s="207"/>
      <c r="M426" s="207"/>
      <c r="N426" s="207"/>
      <c r="O426" s="207"/>
      <c r="P426" s="207"/>
      <c r="Q426" s="207"/>
      <c r="R426" s="207"/>
      <c r="S426" s="207"/>
      <c r="T426" s="207"/>
      <c r="U426" s="207"/>
      <c r="V426" s="207"/>
      <c r="W426" s="208"/>
      <c r="X426" s="208"/>
      <c r="Y426" s="208"/>
      <c r="Z426" s="208"/>
      <c r="AA426" s="208"/>
      <c r="AB426" s="208"/>
      <c r="AC426" s="208"/>
      <c r="AD426" s="208"/>
      <c r="AE426" s="208"/>
      <c r="AF426" s="208"/>
      <c r="AG426" s="208"/>
      <c r="AH426" s="208"/>
      <c r="AI426" s="100"/>
      <c r="AJ426" s="100"/>
      <c r="AK426" s="100"/>
      <c r="AL426" s="100"/>
      <c r="AM426" s="100"/>
    </row>
    <row r="427" ht="14.25" customHeight="1">
      <c r="A427" s="100"/>
      <c r="B427" s="100"/>
      <c r="C427" s="100"/>
      <c r="D427" s="100"/>
      <c r="E427" s="100"/>
      <c r="F427" s="206"/>
      <c r="G427" s="206"/>
      <c r="H427" s="207"/>
      <c r="I427" s="207"/>
      <c r="J427" s="207"/>
      <c r="K427" s="207"/>
      <c r="L427" s="207"/>
      <c r="M427" s="207"/>
      <c r="N427" s="207"/>
      <c r="O427" s="207"/>
      <c r="P427" s="207"/>
      <c r="Q427" s="207"/>
      <c r="R427" s="207"/>
      <c r="S427" s="207"/>
      <c r="T427" s="207"/>
      <c r="U427" s="207"/>
      <c r="V427" s="207"/>
      <c r="W427" s="208"/>
      <c r="X427" s="208"/>
      <c r="Y427" s="208"/>
      <c r="Z427" s="208"/>
      <c r="AA427" s="208"/>
      <c r="AB427" s="208"/>
      <c r="AC427" s="208"/>
      <c r="AD427" s="208"/>
      <c r="AE427" s="208"/>
      <c r="AF427" s="208"/>
      <c r="AG427" s="208"/>
      <c r="AH427" s="208"/>
      <c r="AI427" s="100"/>
      <c r="AJ427" s="100"/>
      <c r="AK427" s="100"/>
      <c r="AL427" s="100"/>
      <c r="AM427" s="100"/>
    </row>
    <row r="428" ht="14.25" customHeight="1">
      <c r="A428" s="100"/>
      <c r="B428" s="100"/>
      <c r="C428" s="100"/>
      <c r="D428" s="100"/>
      <c r="E428" s="100"/>
      <c r="F428" s="206"/>
      <c r="G428" s="206"/>
      <c r="H428" s="207"/>
      <c r="I428" s="207"/>
      <c r="J428" s="207"/>
      <c r="K428" s="207"/>
      <c r="L428" s="207"/>
      <c r="M428" s="207"/>
      <c r="N428" s="207"/>
      <c r="O428" s="207"/>
      <c r="P428" s="207"/>
      <c r="Q428" s="207"/>
      <c r="R428" s="207"/>
      <c r="S428" s="207"/>
      <c r="T428" s="207"/>
      <c r="U428" s="207"/>
      <c r="V428" s="207"/>
      <c r="W428" s="208"/>
      <c r="X428" s="208"/>
      <c r="Y428" s="208"/>
      <c r="Z428" s="208"/>
      <c r="AA428" s="208"/>
      <c r="AB428" s="208"/>
      <c r="AC428" s="208"/>
      <c r="AD428" s="208"/>
      <c r="AE428" s="208"/>
      <c r="AF428" s="208"/>
      <c r="AG428" s="208"/>
      <c r="AH428" s="208"/>
      <c r="AI428" s="100"/>
      <c r="AJ428" s="100"/>
      <c r="AK428" s="100"/>
      <c r="AL428" s="100"/>
      <c r="AM428" s="100"/>
    </row>
    <row r="429" ht="14.25" customHeight="1">
      <c r="A429" s="100"/>
      <c r="B429" s="100"/>
      <c r="C429" s="100"/>
      <c r="D429" s="100"/>
      <c r="E429" s="100"/>
      <c r="F429" s="206"/>
      <c r="G429" s="206"/>
      <c r="H429" s="207"/>
      <c r="I429" s="207"/>
      <c r="J429" s="207"/>
      <c r="K429" s="207"/>
      <c r="L429" s="207"/>
      <c r="M429" s="207"/>
      <c r="N429" s="207"/>
      <c r="O429" s="207"/>
      <c r="P429" s="207"/>
      <c r="Q429" s="207"/>
      <c r="R429" s="207"/>
      <c r="S429" s="207"/>
      <c r="T429" s="207"/>
      <c r="U429" s="207"/>
      <c r="V429" s="207"/>
      <c r="W429" s="208"/>
      <c r="X429" s="208"/>
      <c r="Y429" s="208"/>
      <c r="Z429" s="208"/>
      <c r="AA429" s="208"/>
      <c r="AB429" s="208"/>
      <c r="AC429" s="208"/>
      <c r="AD429" s="208"/>
      <c r="AE429" s="208"/>
      <c r="AF429" s="208"/>
      <c r="AG429" s="208"/>
      <c r="AH429" s="208"/>
      <c r="AI429" s="100"/>
      <c r="AJ429" s="100"/>
      <c r="AK429" s="100"/>
      <c r="AL429" s="100"/>
      <c r="AM429" s="100"/>
    </row>
    <row r="430" ht="14.25" customHeight="1">
      <c r="A430" s="100"/>
      <c r="B430" s="100"/>
      <c r="C430" s="100"/>
      <c r="D430" s="100"/>
      <c r="E430" s="100"/>
      <c r="F430" s="206"/>
      <c r="G430" s="206"/>
      <c r="H430" s="207"/>
      <c r="I430" s="207"/>
      <c r="J430" s="207"/>
      <c r="K430" s="207"/>
      <c r="L430" s="207"/>
      <c r="M430" s="207"/>
      <c r="N430" s="207"/>
      <c r="O430" s="207"/>
      <c r="P430" s="207"/>
      <c r="Q430" s="207"/>
      <c r="R430" s="207"/>
      <c r="S430" s="207"/>
      <c r="T430" s="207"/>
      <c r="U430" s="207"/>
      <c r="V430" s="207"/>
      <c r="W430" s="208"/>
      <c r="X430" s="208"/>
      <c r="Y430" s="208"/>
      <c r="Z430" s="208"/>
      <c r="AA430" s="208"/>
      <c r="AB430" s="208"/>
      <c r="AC430" s="208"/>
      <c r="AD430" s="208"/>
      <c r="AE430" s="208"/>
      <c r="AF430" s="208"/>
      <c r="AG430" s="208"/>
      <c r="AH430" s="208"/>
      <c r="AI430" s="100"/>
      <c r="AJ430" s="100"/>
      <c r="AK430" s="100"/>
      <c r="AL430" s="100"/>
      <c r="AM430" s="100"/>
    </row>
    <row r="431" ht="14.25" customHeight="1">
      <c r="A431" s="100"/>
      <c r="B431" s="100"/>
      <c r="C431" s="100"/>
      <c r="D431" s="100"/>
      <c r="E431" s="100"/>
      <c r="F431" s="206"/>
      <c r="G431" s="206"/>
      <c r="H431" s="207"/>
      <c r="I431" s="207"/>
      <c r="J431" s="207"/>
      <c r="K431" s="207"/>
      <c r="L431" s="207"/>
      <c r="M431" s="207"/>
      <c r="N431" s="207"/>
      <c r="O431" s="207"/>
      <c r="P431" s="207"/>
      <c r="Q431" s="207"/>
      <c r="R431" s="207"/>
      <c r="S431" s="207"/>
      <c r="T431" s="207"/>
      <c r="U431" s="207"/>
      <c r="V431" s="207"/>
      <c r="W431" s="208"/>
      <c r="X431" s="208"/>
      <c r="Y431" s="208"/>
      <c r="Z431" s="208"/>
      <c r="AA431" s="208"/>
      <c r="AB431" s="208"/>
      <c r="AC431" s="208"/>
      <c r="AD431" s="208"/>
      <c r="AE431" s="208"/>
      <c r="AF431" s="208"/>
      <c r="AG431" s="208"/>
      <c r="AH431" s="208"/>
      <c r="AI431" s="100"/>
      <c r="AJ431" s="100"/>
      <c r="AK431" s="100"/>
      <c r="AL431" s="100"/>
      <c r="AM431" s="100"/>
    </row>
    <row r="432" ht="14.25" customHeight="1">
      <c r="A432" s="100"/>
      <c r="B432" s="100"/>
      <c r="C432" s="100"/>
      <c r="D432" s="100"/>
      <c r="E432" s="100"/>
      <c r="F432" s="206"/>
      <c r="G432" s="206"/>
      <c r="H432" s="207"/>
      <c r="I432" s="207"/>
      <c r="J432" s="207"/>
      <c r="K432" s="207"/>
      <c r="L432" s="207"/>
      <c r="M432" s="207"/>
      <c r="N432" s="207"/>
      <c r="O432" s="207"/>
      <c r="P432" s="207"/>
      <c r="Q432" s="207"/>
      <c r="R432" s="207"/>
      <c r="S432" s="207"/>
      <c r="T432" s="207"/>
      <c r="U432" s="207"/>
      <c r="V432" s="207"/>
      <c r="W432" s="208"/>
      <c r="X432" s="208"/>
      <c r="Y432" s="208"/>
      <c r="Z432" s="208"/>
      <c r="AA432" s="208"/>
      <c r="AB432" s="208"/>
      <c r="AC432" s="208"/>
      <c r="AD432" s="208"/>
      <c r="AE432" s="208"/>
      <c r="AF432" s="208"/>
      <c r="AG432" s="208"/>
      <c r="AH432" s="208"/>
      <c r="AI432" s="100"/>
      <c r="AJ432" s="100"/>
      <c r="AK432" s="100"/>
      <c r="AL432" s="100"/>
      <c r="AM432" s="100"/>
    </row>
    <row r="433" ht="14.25" customHeight="1">
      <c r="A433" s="100"/>
      <c r="B433" s="100"/>
      <c r="C433" s="100"/>
      <c r="D433" s="100"/>
      <c r="E433" s="100"/>
      <c r="F433" s="206"/>
      <c r="G433" s="206"/>
      <c r="H433" s="207"/>
      <c r="I433" s="207"/>
      <c r="J433" s="207"/>
      <c r="K433" s="207"/>
      <c r="L433" s="207"/>
      <c r="M433" s="207"/>
      <c r="N433" s="207"/>
      <c r="O433" s="207"/>
      <c r="P433" s="207"/>
      <c r="Q433" s="207"/>
      <c r="R433" s="207"/>
      <c r="S433" s="207"/>
      <c r="T433" s="207"/>
      <c r="U433" s="207"/>
      <c r="V433" s="207"/>
      <c r="W433" s="208"/>
      <c r="X433" s="208"/>
      <c r="Y433" s="208"/>
      <c r="Z433" s="208"/>
      <c r="AA433" s="208"/>
      <c r="AB433" s="208"/>
      <c r="AC433" s="208"/>
      <c r="AD433" s="208"/>
      <c r="AE433" s="208"/>
      <c r="AF433" s="208"/>
      <c r="AG433" s="208"/>
      <c r="AH433" s="208"/>
      <c r="AI433" s="100"/>
      <c r="AJ433" s="100"/>
      <c r="AK433" s="100"/>
      <c r="AL433" s="100"/>
      <c r="AM433" s="100"/>
    </row>
    <row r="434" ht="14.25" customHeight="1">
      <c r="A434" s="100"/>
      <c r="B434" s="100"/>
      <c r="C434" s="100"/>
      <c r="D434" s="100"/>
      <c r="E434" s="100"/>
      <c r="F434" s="206"/>
      <c r="G434" s="206"/>
      <c r="H434" s="207"/>
      <c r="I434" s="207"/>
      <c r="J434" s="207"/>
      <c r="K434" s="207"/>
      <c r="L434" s="207"/>
      <c r="M434" s="207"/>
      <c r="N434" s="207"/>
      <c r="O434" s="207"/>
      <c r="P434" s="207"/>
      <c r="Q434" s="207"/>
      <c r="R434" s="207"/>
      <c r="S434" s="207"/>
      <c r="T434" s="207"/>
      <c r="U434" s="207"/>
      <c r="V434" s="207"/>
      <c r="W434" s="208"/>
      <c r="X434" s="208"/>
      <c r="Y434" s="208"/>
      <c r="Z434" s="208"/>
      <c r="AA434" s="208"/>
      <c r="AB434" s="208"/>
      <c r="AC434" s="208"/>
      <c r="AD434" s="208"/>
      <c r="AE434" s="208"/>
      <c r="AF434" s="208"/>
      <c r="AG434" s="208"/>
      <c r="AH434" s="208"/>
      <c r="AI434" s="100"/>
      <c r="AJ434" s="100"/>
      <c r="AK434" s="100"/>
      <c r="AL434" s="100"/>
      <c r="AM434" s="100"/>
    </row>
    <row r="435" ht="14.25" customHeight="1">
      <c r="A435" s="100"/>
      <c r="B435" s="100"/>
      <c r="C435" s="100"/>
      <c r="D435" s="100"/>
      <c r="E435" s="100"/>
      <c r="F435" s="206"/>
      <c r="G435" s="206"/>
      <c r="H435" s="207"/>
      <c r="I435" s="207"/>
      <c r="J435" s="207"/>
      <c r="K435" s="207"/>
      <c r="L435" s="207"/>
      <c r="M435" s="207"/>
      <c r="N435" s="207"/>
      <c r="O435" s="207"/>
      <c r="P435" s="207"/>
      <c r="Q435" s="207"/>
      <c r="R435" s="207"/>
      <c r="S435" s="207"/>
      <c r="T435" s="207"/>
      <c r="U435" s="207"/>
      <c r="V435" s="207"/>
      <c r="W435" s="208"/>
      <c r="X435" s="208"/>
      <c r="Y435" s="208"/>
      <c r="Z435" s="208"/>
      <c r="AA435" s="208"/>
      <c r="AB435" s="208"/>
      <c r="AC435" s="208"/>
      <c r="AD435" s="208"/>
      <c r="AE435" s="208"/>
      <c r="AF435" s="208"/>
      <c r="AG435" s="208"/>
      <c r="AH435" s="208"/>
      <c r="AI435" s="100"/>
      <c r="AJ435" s="100"/>
      <c r="AK435" s="100"/>
      <c r="AL435" s="100"/>
      <c r="AM435" s="100"/>
    </row>
    <row r="436" ht="14.25" customHeight="1">
      <c r="A436" s="100"/>
      <c r="B436" s="100"/>
      <c r="C436" s="100"/>
      <c r="D436" s="100"/>
      <c r="E436" s="100"/>
      <c r="F436" s="206"/>
      <c r="G436" s="206"/>
      <c r="H436" s="207"/>
      <c r="I436" s="207"/>
      <c r="J436" s="207"/>
      <c r="K436" s="207"/>
      <c r="L436" s="207"/>
      <c r="M436" s="207"/>
      <c r="N436" s="207"/>
      <c r="O436" s="207"/>
      <c r="P436" s="207"/>
      <c r="Q436" s="207"/>
      <c r="R436" s="207"/>
      <c r="S436" s="207"/>
      <c r="T436" s="207"/>
      <c r="U436" s="207"/>
      <c r="V436" s="207"/>
      <c r="W436" s="208"/>
      <c r="X436" s="208"/>
      <c r="Y436" s="208"/>
      <c r="Z436" s="208"/>
      <c r="AA436" s="208"/>
      <c r="AB436" s="208"/>
      <c r="AC436" s="208"/>
      <c r="AD436" s="208"/>
      <c r="AE436" s="208"/>
      <c r="AF436" s="208"/>
      <c r="AG436" s="208"/>
      <c r="AH436" s="208"/>
      <c r="AI436" s="100"/>
      <c r="AJ436" s="100"/>
      <c r="AK436" s="100"/>
      <c r="AL436" s="100"/>
      <c r="AM436" s="100"/>
    </row>
    <row r="437" ht="14.25" customHeight="1">
      <c r="A437" s="100"/>
      <c r="B437" s="100"/>
      <c r="C437" s="100"/>
      <c r="D437" s="100"/>
      <c r="E437" s="100"/>
      <c r="F437" s="206"/>
      <c r="G437" s="206"/>
      <c r="H437" s="207"/>
      <c r="I437" s="207"/>
      <c r="J437" s="207"/>
      <c r="K437" s="207"/>
      <c r="L437" s="207"/>
      <c r="M437" s="207"/>
      <c r="N437" s="207"/>
      <c r="O437" s="207"/>
      <c r="P437" s="207"/>
      <c r="Q437" s="207"/>
      <c r="R437" s="207"/>
      <c r="S437" s="207"/>
      <c r="T437" s="207"/>
      <c r="U437" s="207"/>
      <c r="V437" s="207"/>
      <c r="W437" s="208"/>
      <c r="X437" s="208"/>
      <c r="Y437" s="208"/>
      <c r="Z437" s="208"/>
      <c r="AA437" s="208"/>
      <c r="AB437" s="208"/>
      <c r="AC437" s="208"/>
      <c r="AD437" s="208"/>
      <c r="AE437" s="208"/>
      <c r="AF437" s="208"/>
      <c r="AG437" s="208"/>
      <c r="AH437" s="208"/>
      <c r="AI437" s="100"/>
      <c r="AJ437" s="100"/>
      <c r="AK437" s="100"/>
      <c r="AL437" s="100"/>
      <c r="AM437" s="100"/>
    </row>
    <row r="438" ht="14.25" customHeight="1">
      <c r="A438" s="100"/>
      <c r="B438" s="100"/>
      <c r="C438" s="100"/>
      <c r="D438" s="100"/>
      <c r="E438" s="100"/>
      <c r="F438" s="206"/>
      <c r="G438" s="206"/>
      <c r="H438" s="207"/>
      <c r="I438" s="207"/>
      <c r="J438" s="207"/>
      <c r="K438" s="207"/>
      <c r="L438" s="207"/>
      <c r="M438" s="207"/>
      <c r="N438" s="207"/>
      <c r="O438" s="207"/>
      <c r="P438" s="207"/>
      <c r="Q438" s="207"/>
      <c r="R438" s="207"/>
      <c r="S438" s="207"/>
      <c r="T438" s="207"/>
      <c r="U438" s="207"/>
      <c r="V438" s="207"/>
      <c r="W438" s="208"/>
      <c r="X438" s="208"/>
      <c r="Y438" s="208"/>
      <c r="Z438" s="208"/>
      <c r="AA438" s="208"/>
      <c r="AB438" s="208"/>
      <c r="AC438" s="208"/>
      <c r="AD438" s="208"/>
      <c r="AE438" s="208"/>
      <c r="AF438" s="208"/>
      <c r="AG438" s="208"/>
      <c r="AH438" s="208"/>
      <c r="AI438" s="100"/>
      <c r="AJ438" s="100"/>
      <c r="AK438" s="100"/>
      <c r="AL438" s="100"/>
      <c r="AM438" s="100"/>
    </row>
    <row r="439" ht="14.25" customHeight="1">
      <c r="A439" s="100"/>
      <c r="B439" s="100"/>
      <c r="C439" s="100"/>
      <c r="D439" s="100"/>
      <c r="E439" s="100"/>
      <c r="F439" s="206"/>
      <c r="G439" s="206"/>
      <c r="H439" s="207"/>
      <c r="I439" s="207"/>
      <c r="J439" s="207"/>
      <c r="K439" s="207"/>
      <c r="L439" s="207"/>
      <c r="M439" s="207"/>
      <c r="N439" s="207"/>
      <c r="O439" s="207"/>
      <c r="P439" s="207"/>
      <c r="Q439" s="207"/>
      <c r="R439" s="207"/>
      <c r="S439" s="207"/>
      <c r="T439" s="207"/>
      <c r="U439" s="207"/>
      <c r="V439" s="207"/>
      <c r="W439" s="208"/>
      <c r="X439" s="208"/>
      <c r="Y439" s="208"/>
      <c r="Z439" s="208"/>
      <c r="AA439" s="208"/>
      <c r="AB439" s="208"/>
      <c r="AC439" s="208"/>
      <c r="AD439" s="208"/>
      <c r="AE439" s="208"/>
      <c r="AF439" s="208"/>
      <c r="AG439" s="208"/>
      <c r="AH439" s="208"/>
      <c r="AI439" s="100"/>
      <c r="AJ439" s="100"/>
      <c r="AK439" s="100"/>
      <c r="AL439" s="100"/>
      <c r="AM439" s="100"/>
    </row>
    <row r="440" ht="14.25" customHeight="1">
      <c r="A440" s="100"/>
      <c r="B440" s="100"/>
      <c r="C440" s="100"/>
      <c r="D440" s="100"/>
      <c r="E440" s="100"/>
      <c r="F440" s="206"/>
      <c r="G440" s="206"/>
      <c r="H440" s="207"/>
      <c r="I440" s="207"/>
      <c r="J440" s="207"/>
      <c r="K440" s="207"/>
      <c r="L440" s="207"/>
      <c r="M440" s="207"/>
      <c r="N440" s="207"/>
      <c r="O440" s="207"/>
      <c r="P440" s="207"/>
      <c r="Q440" s="207"/>
      <c r="R440" s="207"/>
      <c r="S440" s="207"/>
      <c r="T440" s="207"/>
      <c r="U440" s="207"/>
      <c r="V440" s="207"/>
      <c r="W440" s="208"/>
      <c r="X440" s="208"/>
      <c r="Y440" s="208"/>
      <c r="Z440" s="208"/>
      <c r="AA440" s="208"/>
      <c r="AB440" s="208"/>
      <c r="AC440" s="208"/>
      <c r="AD440" s="208"/>
      <c r="AE440" s="208"/>
      <c r="AF440" s="208"/>
      <c r="AG440" s="208"/>
      <c r="AH440" s="208"/>
      <c r="AI440" s="100"/>
      <c r="AJ440" s="100"/>
      <c r="AK440" s="100"/>
      <c r="AL440" s="100"/>
      <c r="AM440" s="100"/>
    </row>
    <row r="441" ht="14.25" customHeight="1">
      <c r="A441" s="100"/>
      <c r="B441" s="100"/>
      <c r="C441" s="100"/>
      <c r="D441" s="100"/>
      <c r="E441" s="100"/>
      <c r="F441" s="206"/>
      <c r="G441" s="206"/>
      <c r="H441" s="207"/>
      <c r="I441" s="207"/>
      <c r="J441" s="207"/>
      <c r="K441" s="207"/>
      <c r="L441" s="207"/>
      <c r="M441" s="207"/>
      <c r="N441" s="207"/>
      <c r="O441" s="207"/>
      <c r="P441" s="207"/>
      <c r="Q441" s="207"/>
      <c r="R441" s="207"/>
      <c r="S441" s="207"/>
      <c r="T441" s="207"/>
      <c r="U441" s="207"/>
      <c r="V441" s="207"/>
      <c r="W441" s="208"/>
      <c r="X441" s="208"/>
      <c r="Y441" s="208"/>
      <c r="Z441" s="208"/>
      <c r="AA441" s="208"/>
      <c r="AB441" s="208"/>
      <c r="AC441" s="208"/>
      <c r="AD441" s="208"/>
      <c r="AE441" s="208"/>
      <c r="AF441" s="208"/>
      <c r="AG441" s="208"/>
      <c r="AH441" s="208"/>
      <c r="AI441" s="100"/>
      <c r="AJ441" s="100"/>
      <c r="AK441" s="100"/>
      <c r="AL441" s="100"/>
      <c r="AM441" s="100"/>
    </row>
    <row r="442" ht="14.25" customHeight="1">
      <c r="A442" s="100"/>
      <c r="B442" s="100"/>
      <c r="C442" s="100"/>
      <c r="D442" s="100"/>
      <c r="E442" s="100"/>
      <c r="F442" s="206"/>
      <c r="G442" s="206"/>
      <c r="H442" s="207"/>
      <c r="I442" s="207"/>
      <c r="J442" s="207"/>
      <c r="K442" s="207"/>
      <c r="L442" s="207"/>
      <c r="M442" s="207"/>
      <c r="N442" s="207"/>
      <c r="O442" s="207"/>
      <c r="P442" s="207"/>
      <c r="Q442" s="207"/>
      <c r="R442" s="207"/>
      <c r="S442" s="207"/>
      <c r="T442" s="207"/>
      <c r="U442" s="207"/>
      <c r="V442" s="207"/>
      <c r="W442" s="208"/>
      <c r="X442" s="208"/>
      <c r="Y442" s="208"/>
      <c r="Z442" s="208"/>
      <c r="AA442" s="208"/>
      <c r="AB442" s="208"/>
      <c r="AC442" s="208"/>
      <c r="AD442" s="208"/>
      <c r="AE442" s="208"/>
      <c r="AF442" s="208"/>
      <c r="AG442" s="208"/>
      <c r="AH442" s="208"/>
      <c r="AI442" s="100"/>
      <c r="AJ442" s="100"/>
      <c r="AK442" s="100"/>
      <c r="AL442" s="100"/>
      <c r="AM442" s="100"/>
    </row>
    <row r="443" ht="14.25" customHeight="1">
      <c r="A443" s="100"/>
      <c r="B443" s="100"/>
      <c r="C443" s="100"/>
      <c r="D443" s="100"/>
      <c r="E443" s="100"/>
      <c r="F443" s="206"/>
      <c r="G443" s="206"/>
      <c r="H443" s="207"/>
      <c r="I443" s="207"/>
      <c r="J443" s="207"/>
      <c r="K443" s="207"/>
      <c r="L443" s="207"/>
      <c r="M443" s="207"/>
      <c r="N443" s="207"/>
      <c r="O443" s="207"/>
      <c r="P443" s="207"/>
      <c r="Q443" s="207"/>
      <c r="R443" s="207"/>
      <c r="S443" s="207"/>
      <c r="T443" s="207"/>
      <c r="U443" s="207"/>
      <c r="V443" s="207"/>
      <c r="W443" s="208"/>
      <c r="X443" s="208"/>
      <c r="Y443" s="208"/>
      <c r="Z443" s="208"/>
      <c r="AA443" s="208"/>
      <c r="AB443" s="208"/>
      <c r="AC443" s="208"/>
      <c r="AD443" s="208"/>
      <c r="AE443" s="208"/>
      <c r="AF443" s="208"/>
      <c r="AG443" s="208"/>
      <c r="AH443" s="208"/>
      <c r="AI443" s="100"/>
      <c r="AJ443" s="100"/>
      <c r="AK443" s="100"/>
      <c r="AL443" s="100"/>
      <c r="AM443" s="100"/>
    </row>
    <row r="444" ht="14.25" customHeight="1">
      <c r="A444" s="100"/>
      <c r="B444" s="100"/>
      <c r="C444" s="100"/>
      <c r="D444" s="100"/>
      <c r="E444" s="100"/>
      <c r="F444" s="206"/>
      <c r="G444" s="206"/>
      <c r="H444" s="207"/>
      <c r="I444" s="207"/>
      <c r="J444" s="207"/>
      <c r="K444" s="207"/>
      <c r="L444" s="207"/>
      <c r="M444" s="207"/>
      <c r="N444" s="207"/>
      <c r="O444" s="207"/>
      <c r="P444" s="207"/>
      <c r="Q444" s="207"/>
      <c r="R444" s="207"/>
      <c r="S444" s="207"/>
      <c r="T444" s="207"/>
      <c r="U444" s="207"/>
      <c r="V444" s="207"/>
      <c r="W444" s="208"/>
      <c r="X444" s="208"/>
      <c r="Y444" s="208"/>
      <c r="Z444" s="208"/>
      <c r="AA444" s="208"/>
      <c r="AB444" s="208"/>
      <c r="AC444" s="208"/>
      <c r="AD444" s="208"/>
      <c r="AE444" s="208"/>
      <c r="AF444" s="208"/>
      <c r="AG444" s="208"/>
      <c r="AH444" s="208"/>
      <c r="AI444" s="100"/>
      <c r="AJ444" s="100"/>
      <c r="AK444" s="100"/>
      <c r="AL444" s="100"/>
      <c r="AM444" s="100"/>
    </row>
    <row r="445" ht="14.25" customHeight="1">
      <c r="A445" s="100"/>
      <c r="B445" s="100"/>
      <c r="C445" s="100"/>
      <c r="D445" s="100"/>
      <c r="E445" s="100"/>
      <c r="F445" s="206"/>
      <c r="G445" s="206"/>
      <c r="H445" s="207"/>
      <c r="I445" s="207"/>
      <c r="J445" s="207"/>
      <c r="K445" s="207"/>
      <c r="L445" s="207"/>
      <c r="M445" s="207"/>
      <c r="N445" s="207"/>
      <c r="O445" s="207"/>
      <c r="P445" s="207"/>
      <c r="Q445" s="207"/>
      <c r="R445" s="207"/>
      <c r="S445" s="207"/>
      <c r="T445" s="207"/>
      <c r="U445" s="207"/>
      <c r="V445" s="207"/>
      <c r="W445" s="208"/>
      <c r="X445" s="208"/>
      <c r="Y445" s="208"/>
      <c r="Z445" s="208"/>
      <c r="AA445" s="208"/>
      <c r="AB445" s="208"/>
      <c r="AC445" s="208"/>
      <c r="AD445" s="208"/>
      <c r="AE445" s="208"/>
      <c r="AF445" s="208"/>
      <c r="AG445" s="208"/>
      <c r="AH445" s="208"/>
      <c r="AI445" s="100"/>
      <c r="AJ445" s="100"/>
      <c r="AK445" s="100"/>
      <c r="AL445" s="100"/>
      <c r="AM445" s="100"/>
    </row>
    <row r="446" ht="14.25" customHeight="1">
      <c r="A446" s="100"/>
      <c r="B446" s="100"/>
      <c r="C446" s="100"/>
      <c r="D446" s="100"/>
      <c r="E446" s="100"/>
      <c r="F446" s="206"/>
      <c r="G446" s="206"/>
      <c r="H446" s="207"/>
      <c r="I446" s="207"/>
      <c r="J446" s="207"/>
      <c r="K446" s="207"/>
      <c r="L446" s="207"/>
      <c r="M446" s="207"/>
      <c r="N446" s="207"/>
      <c r="O446" s="207"/>
      <c r="P446" s="207"/>
      <c r="Q446" s="207"/>
      <c r="R446" s="207"/>
      <c r="S446" s="207"/>
      <c r="T446" s="207"/>
      <c r="U446" s="207"/>
      <c r="V446" s="207"/>
      <c r="W446" s="208"/>
      <c r="X446" s="208"/>
      <c r="Y446" s="208"/>
      <c r="Z446" s="208"/>
      <c r="AA446" s="208"/>
      <c r="AB446" s="208"/>
      <c r="AC446" s="208"/>
      <c r="AD446" s="208"/>
      <c r="AE446" s="208"/>
      <c r="AF446" s="208"/>
      <c r="AG446" s="208"/>
      <c r="AH446" s="208"/>
      <c r="AI446" s="100"/>
      <c r="AJ446" s="100"/>
      <c r="AK446" s="100"/>
      <c r="AL446" s="100"/>
      <c r="AM446" s="100"/>
    </row>
    <row r="447" ht="14.25" customHeight="1">
      <c r="A447" s="100"/>
      <c r="B447" s="100"/>
      <c r="C447" s="100"/>
      <c r="D447" s="100"/>
      <c r="E447" s="100"/>
      <c r="F447" s="206"/>
      <c r="G447" s="206"/>
      <c r="H447" s="207"/>
      <c r="I447" s="207"/>
      <c r="J447" s="207"/>
      <c r="K447" s="207"/>
      <c r="L447" s="207"/>
      <c r="M447" s="207"/>
      <c r="N447" s="207"/>
      <c r="O447" s="207"/>
      <c r="P447" s="207"/>
      <c r="Q447" s="207"/>
      <c r="R447" s="207"/>
      <c r="S447" s="207"/>
      <c r="T447" s="207"/>
      <c r="U447" s="207"/>
      <c r="V447" s="207"/>
      <c r="W447" s="208"/>
      <c r="X447" s="208"/>
      <c r="Y447" s="208"/>
      <c r="Z447" s="208"/>
      <c r="AA447" s="208"/>
      <c r="AB447" s="208"/>
      <c r="AC447" s="208"/>
      <c r="AD447" s="208"/>
      <c r="AE447" s="208"/>
      <c r="AF447" s="208"/>
      <c r="AG447" s="208"/>
      <c r="AH447" s="208"/>
      <c r="AI447" s="100"/>
      <c r="AJ447" s="100"/>
      <c r="AK447" s="100"/>
      <c r="AL447" s="100"/>
      <c r="AM447" s="100"/>
    </row>
    <row r="448" ht="14.25" customHeight="1">
      <c r="A448" s="100"/>
      <c r="B448" s="100"/>
      <c r="C448" s="100"/>
      <c r="D448" s="100"/>
      <c r="E448" s="100"/>
      <c r="F448" s="206"/>
      <c r="G448" s="206"/>
      <c r="H448" s="207"/>
      <c r="I448" s="207"/>
      <c r="J448" s="207"/>
      <c r="K448" s="207"/>
      <c r="L448" s="207"/>
      <c r="M448" s="207"/>
      <c r="N448" s="207"/>
      <c r="O448" s="207"/>
      <c r="P448" s="207"/>
      <c r="Q448" s="207"/>
      <c r="R448" s="207"/>
      <c r="S448" s="207"/>
      <c r="T448" s="207"/>
      <c r="U448" s="207"/>
      <c r="V448" s="207"/>
      <c r="W448" s="208"/>
      <c r="X448" s="208"/>
      <c r="Y448" s="208"/>
      <c r="Z448" s="208"/>
      <c r="AA448" s="208"/>
      <c r="AB448" s="208"/>
      <c r="AC448" s="208"/>
      <c r="AD448" s="208"/>
      <c r="AE448" s="208"/>
      <c r="AF448" s="208"/>
      <c r="AG448" s="208"/>
      <c r="AH448" s="208"/>
      <c r="AI448" s="100"/>
      <c r="AJ448" s="100"/>
      <c r="AK448" s="100"/>
      <c r="AL448" s="100"/>
      <c r="AM448" s="100"/>
    </row>
    <row r="449" ht="14.25" customHeight="1">
      <c r="A449" s="100"/>
      <c r="B449" s="100"/>
      <c r="C449" s="100"/>
      <c r="D449" s="100"/>
      <c r="E449" s="100"/>
      <c r="F449" s="206"/>
      <c r="G449" s="206"/>
      <c r="H449" s="207"/>
      <c r="I449" s="207"/>
      <c r="J449" s="207"/>
      <c r="K449" s="207"/>
      <c r="L449" s="207"/>
      <c r="M449" s="207"/>
      <c r="N449" s="207"/>
      <c r="O449" s="207"/>
      <c r="P449" s="207"/>
      <c r="Q449" s="207"/>
      <c r="R449" s="207"/>
      <c r="S449" s="207"/>
      <c r="T449" s="207"/>
      <c r="U449" s="207"/>
      <c r="V449" s="207"/>
      <c r="W449" s="208"/>
      <c r="X449" s="208"/>
      <c r="Y449" s="208"/>
      <c r="Z449" s="208"/>
      <c r="AA449" s="208"/>
      <c r="AB449" s="208"/>
      <c r="AC449" s="208"/>
      <c r="AD449" s="208"/>
      <c r="AE449" s="208"/>
      <c r="AF449" s="208"/>
      <c r="AG449" s="208"/>
      <c r="AH449" s="208"/>
      <c r="AI449" s="100"/>
      <c r="AJ449" s="100"/>
      <c r="AK449" s="100"/>
      <c r="AL449" s="100"/>
      <c r="AM449" s="100"/>
    </row>
    <row r="450" ht="14.25" customHeight="1">
      <c r="A450" s="100"/>
      <c r="B450" s="100"/>
      <c r="C450" s="100"/>
      <c r="D450" s="100"/>
      <c r="E450" s="100"/>
      <c r="F450" s="206"/>
      <c r="G450" s="206"/>
      <c r="H450" s="207"/>
      <c r="I450" s="207"/>
      <c r="J450" s="207"/>
      <c r="K450" s="207"/>
      <c r="L450" s="207"/>
      <c r="M450" s="207"/>
      <c r="N450" s="207"/>
      <c r="O450" s="207"/>
      <c r="P450" s="207"/>
      <c r="Q450" s="207"/>
      <c r="R450" s="207"/>
      <c r="S450" s="207"/>
      <c r="T450" s="207"/>
      <c r="U450" s="207"/>
      <c r="V450" s="207"/>
      <c r="W450" s="208"/>
      <c r="X450" s="208"/>
      <c r="Y450" s="208"/>
      <c r="Z450" s="208"/>
      <c r="AA450" s="208"/>
      <c r="AB450" s="208"/>
      <c r="AC450" s="208"/>
      <c r="AD450" s="208"/>
      <c r="AE450" s="208"/>
      <c r="AF450" s="208"/>
      <c r="AG450" s="208"/>
      <c r="AH450" s="208"/>
      <c r="AI450" s="100"/>
      <c r="AJ450" s="100"/>
      <c r="AK450" s="100"/>
      <c r="AL450" s="100"/>
      <c r="AM450" s="100"/>
    </row>
    <row r="451" ht="14.25" customHeight="1">
      <c r="A451" s="100"/>
      <c r="B451" s="100"/>
      <c r="C451" s="100"/>
      <c r="D451" s="100"/>
      <c r="E451" s="100"/>
      <c r="F451" s="206"/>
      <c r="G451" s="206"/>
      <c r="H451" s="207"/>
      <c r="I451" s="207"/>
      <c r="J451" s="207"/>
      <c r="K451" s="207"/>
      <c r="L451" s="207"/>
      <c r="M451" s="207"/>
      <c r="N451" s="207"/>
      <c r="O451" s="207"/>
      <c r="P451" s="207"/>
      <c r="Q451" s="207"/>
      <c r="R451" s="207"/>
      <c r="S451" s="207"/>
      <c r="T451" s="207"/>
      <c r="U451" s="207"/>
      <c r="V451" s="207"/>
      <c r="W451" s="208"/>
      <c r="X451" s="208"/>
      <c r="Y451" s="208"/>
      <c r="Z451" s="208"/>
      <c r="AA451" s="208"/>
      <c r="AB451" s="208"/>
      <c r="AC451" s="208"/>
      <c r="AD451" s="208"/>
      <c r="AE451" s="208"/>
      <c r="AF451" s="208"/>
      <c r="AG451" s="208"/>
      <c r="AH451" s="208"/>
      <c r="AI451" s="100"/>
      <c r="AJ451" s="100"/>
      <c r="AK451" s="100"/>
      <c r="AL451" s="100"/>
      <c r="AM451" s="100"/>
    </row>
    <row r="452" ht="14.25" customHeight="1">
      <c r="A452" s="100"/>
      <c r="B452" s="100"/>
      <c r="C452" s="100"/>
      <c r="D452" s="100"/>
      <c r="E452" s="100"/>
      <c r="F452" s="206"/>
      <c r="G452" s="206"/>
      <c r="H452" s="207"/>
      <c r="I452" s="207"/>
      <c r="J452" s="207"/>
      <c r="K452" s="207"/>
      <c r="L452" s="207"/>
      <c r="M452" s="207"/>
      <c r="N452" s="207"/>
      <c r="O452" s="207"/>
      <c r="P452" s="207"/>
      <c r="Q452" s="207"/>
      <c r="R452" s="207"/>
      <c r="S452" s="207"/>
      <c r="T452" s="207"/>
      <c r="U452" s="207"/>
      <c r="V452" s="207"/>
      <c r="W452" s="208"/>
      <c r="X452" s="208"/>
      <c r="Y452" s="208"/>
      <c r="Z452" s="208"/>
      <c r="AA452" s="208"/>
      <c r="AB452" s="208"/>
      <c r="AC452" s="208"/>
      <c r="AD452" s="208"/>
      <c r="AE452" s="208"/>
      <c r="AF452" s="208"/>
      <c r="AG452" s="208"/>
      <c r="AH452" s="208"/>
      <c r="AI452" s="100"/>
      <c r="AJ452" s="100"/>
      <c r="AK452" s="100"/>
      <c r="AL452" s="100"/>
      <c r="AM452" s="100"/>
    </row>
    <row r="453" ht="14.25" customHeight="1">
      <c r="A453" s="100"/>
      <c r="B453" s="100"/>
      <c r="C453" s="100"/>
      <c r="D453" s="100"/>
      <c r="E453" s="100"/>
      <c r="F453" s="206"/>
      <c r="G453" s="206"/>
      <c r="H453" s="207"/>
      <c r="I453" s="207"/>
      <c r="J453" s="207"/>
      <c r="K453" s="207"/>
      <c r="L453" s="207"/>
      <c r="M453" s="207"/>
      <c r="N453" s="207"/>
      <c r="O453" s="207"/>
      <c r="P453" s="207"/>
      <c r="Q453" s="207"/>
      <c r="R453" s="207"/>
      <c r="S453" s="207"/>
      <c r="T453" s="207"/>
      <c r="U453" s="207"/>
      <c r="V453" s="207"/>
      <c r="W453" s="208"/>
      <c r="X453" s="208"/>
      <c r="Y453" s="208"/>
      <c r="Z453" s="208"/>
      <c r="AA453" s="208"/>
      <c r="AB453" s="208"/>
      <c r="AC453" s="208"/>
      <c r="AD453" s="208"/>
      <c r="AE453" s="208"/>
      <c r="AF453" s="208"/>
      <c r="AG453" s="208"/>
      <c r="AH453" s="208"/>
      <c r="AI453" s="100"/>
      <c r="AJ453" s="100"/>
      <c r="AK453" s="100"/>
      <c r="AL453" s="100"/>
      <c r="AM453" s="100"/>
    </row>
    <row r="454" ht="14.25" customHeight="1">
      <c r="A454" s="100"/>
      <c r="B454" s="100"/>
      <c r="C454" s="100"/>
      <c r="D454" s="100"/>
      <c r="E454" s="100"/>
      <c r="F454" s="206"/>
      <c r="G454" s="206"/>
      <c r="H454" s="207"/>
      <c r="I454" s="207"/>
      <c r="J454" s="207"/>
      <c r="K454" s="207"/>
      <c r="L454" s="207"/>
      <c r="M454" s="207"/>
      <c r="N454" s="207"/>
      <c r="O454" s="207"/>
      <c r="P454" s="207"/>
      <c r="Q454" s="207"/>
      <c r="R454" s="207"/>
      <c r="S454" s="207"/>
      <c r="T454" s="207"/>
      <c r="U454" s="207"/>
      <c r="V454" s="207"/>
      <c r="W454" s="208"/>
      <c r="X454" s="208"/>
      <c r="Y454" s="208"/>
      <c r="Z454" s="208"/>
      <c r="AA454" s="208"/>
      <c r="AB454" s="208"/>
      <c r="AC454" s="208"/>
      <c r="AD454" s="208"/>
      <c r="AE454" s="208"/>
      <c r="AF454" s="208"/>
      <c r="AG454" s="208"/>
      <c r="AH454" s="208"/>
      <c r="AI454" s="100"/>
      <c r="AJ454" s="100"/>
      <c r="AK454" s="100"/>
      <c r="AL454" s="100"/>
      <c r="AM454" s="100"/>
    </row>
    <row r="455" ht="14.25" customHeight="1">
      <c r="A455" s="100"/>
      <c r="B455" s="100"/>
      <c r="C455" s="100"/>
      <c r="D455" s="100"/>
      <c r="E455" s="100"/>
      <c r="F455" s="206"/>
      <c r="G455" s="206"/>
      <c r="H455" s="207"/>
      <c r="I455" s="207"/>
      <c r="J455" s="207"/>
      <c r="K455" s="207"/>
      <c r="L455" s="207"/>
      <c r="M455" s="207"/>
      <c r="N455" s="207"/>
      <c r="O455" s="207"/>
      <c r="P455" s="207"/>
      <c r="Q455" s="207"/>
      <c r="R455" s="207"/>
      <c r="S455" s="207"/>
      <c r="T455" s="207"/>
      <c r="U455" s="207"/>
      <c r="V455" s="207"/>
      <c r="W455" s="208"/>
      <c r="X455" s="208"/>
      <c r="Y455" s="208"/>
      <c r="Z455" s="208"/>
      <c r="AA455" s="208"/>
      <c r="AB455" s="208"/>
      <c r="AC455" s="208"/>
      <c r="AD455" s="208"/>
      <c r="AE455" s="208"/>
      <c r="AF455" s="208"/>
      <c r="AG455" s="208"/>
      <c r="AH455" s="208"/>
      <c r="AI455" s="100"/>
      <c r="AJ455" s="100"/>
      <c r="AK455" s="100"/>
      <c r="AL455" s="100"/>
      <c r="AM455" s="100"/>
    </row>
    <row r="456" ht="14.25" customHeight="1">
      <c r="A456" s="100"/>
      <c r="B456" s="100"/>
      <c r="C456" s="100"/>
      <c r="D456" s="100"/>
      <c r="E456" s="100"/>
      <c r="F456" s="206"/>
      <c r="G456" s="206"/>
      <c r="H456" s="207"/>
      <c r="I456" s="207"/>
      <c r="J456" s="207"/>
      <c r="K456" s="207"/>
      <c r="L456" s="207"/>
      <c r="M456" s="207"/>
      <c r="N456" s="207"/>
      <c r="O456" s="207"/>
      <c r="P456" s="207"/>
      <c r="Q456" s="207"/>
      <c r="R456" s="207"/>
      <c r="S456" s="207"/>
      <c r="T456" s="207"/>
      <c r="U456" s="207"/>
      <c r="V456" s="207"/>
      <c r="W456" s="208"/>
      <c r="X456" s="208"/>
      <c r="Y456" s="208"/>
      <c r="Z456" s="208"/>
      <c r="AA456" s="208"/>
      <c r="AB456" s="208"/>
      <c r="AC456" s="208"/>
      <c r="AD456" s="208"/>
      <c r="AE456" s="208"/>
      <c r="AF456" s="208"/>
      <c r="AG456" s="208"/>
      <c r="AH456" s="208"/>
      <c r="AI456" s="100"/>
      <c r="AJ456" s="100"/>
      <c r="AK456" s="100"/>
      <c r="AL456" s="100"/>
      <c r="AM456" s="100"/>
    </row>
    <row r="457" ht="14.25" customHeight="1">
      <c r="A457" s="100"/>
      <c r="B457" s="100"/>
      <c r="C457" s="100"/>
      <c r="D457" s="100"/>
      <c r="E457" s="100"/>
      <c r="F457" s="206"/>
      <c r="G457" s="206"/>
      <c r="H457" s="207"/>
      <c r="I457" s="207"/>
      <c r="J457" s="207"/>
      <c r="K457" s="207"/>
      <c r="L457" s="207"/>
      <c r="M457" s="207"/>
      <c r="N457" s="207"/>
      <c r="O457" s="207"/>
      <c r="P457" s="207"/>
      <c r="Q457" s="207"/>
      <c r="R457" s="207"/>
      <c r="S457" s="207"/>
      <c r="T457" s="207"/>
      <c r="U457" s="207"/>
      <c r="V457" s="207"/>
      <c r="W457" s="208"/>
      <c r="X457" s="208"/>
      <c r="Y457" s="208"/>
      <c r="Z457" s="208"/>
      <c r="AA457" s="208"/>
      <c r="AB457" s="208"/>
      <c r="AC457" s="208"/>
      <c r="AD457" s="208"/>
      <c r="AE457" s="208"/>
      <c r="AF457" s="208"/>
      <c r="AG457" s="208"/>
      <c r="AH457" s="208"/>
      <c r="AI457" s="100"/>
      <c r="AJ457" s="100"/>
      <c r="AK457" s="100"/>
      <c r="AL457" s="100"/>
      <c r="AM457" s="100"/>
    </row>
    <row r="458" ht="14.25" customHeight="1">
      <c r="A458" s="100"/>
      <c r="B458" s="100"/>
      <c r="C458" s="100"/>
      <c r="D458" s="100"/>
      <c r="E458" s="100"/>
      <c r="F458" s="206"/>
      <c r="G458" s="206"/>
      <c r="H458" s="207"/>
      <c r="I458" s="207"/>
      <c r="J458" s="207"/>
      <c r="K458" s="207"/>
      <c r="L458" s="207"/>
      <c r="M458" s="207"/>
      <c r="N458" s="207"/>
      <c r="O458" s="207"/>
      <c r="P458" s="207"/>
      <c r="Q458" s="207"/>
      <c r="R458" s="207"/>
      <c r="S458" s="207"/>
      <c r="T458" s="207"/>
      <c r="U458" s="207"/>
      <c r="V458" s="207"/>
      <c r="W458" s="208"/>
      <c r="X458" s="208"/>
      <c r="Y458" s="208"/>
      <c r="Z458" s="208"/>
      <c r="AA458" s="208"/>
      <c r="AB458" s="208"/>
      <c r="AC458" s="208"/>
      <c r="AD458" s="208"/>
      <c r="AE458" s="208"/>
      <c r="AF458" s="208"/>
      <c r="AG458" s="208"/>
      <c r="AH458" s="208"/>
      <c r="AI458" s="100"/>
      <c r="AJ458" s="100"/>
      <c r="AK458" s="100"/>
      <c r="AL458" s="100"/>
      <c r="AM458" s="100"/>
    </row>
    <row r="459" ht="14.25" customHeight="1">
      <c r="A459" s="100"/>
      <c r="B459" s="100"/>
      <c r="C459" s="100"/>
      <c r="D459" s="100"/>
      <c r="E459" s="100"/>
      <c r="F459" s="206"/>
      <c r="G459" s="206"/>
      <c r="H459" s="207"/>
      <c r="I459" s="207"/>
      <c r="J459" s="207"/>
      <c r="K459" s="207"/>
      <c r="L459" s="207"/>
      <c r="M459" s="207"/>
      <c r="N459" s="207"/>
      <c r="O459" s="207"/>
      <c r="P459" s="207"/>
      <c r="Q459" s="207"/>
      <c r="R459" s="207"/>
      <c r="S459" s="207"/>
      <c r="T459" s="207"/>
      <c r="U459" s="207"/>
      <c r="V459" s="207"/>
      <c r="W459" s="208"/>
      <c r="X459" s="208"/>
      <c r="Y459" s="208"/>
      <c r="Z459" s="208"/>
      <c r="AA459" s="208"/>
      <c r="AB459" s="208"/>
      <c r="AC459" s="208"/>
      <c r="AD459" s="208"/>
      <c r="AE459" s="208"/>
      <c r="AF459" s="208"/>
      <c r="AG459" s="208"/>
      <c r="AH459" s="208"/>
      <c r="AI459" s="100"/>
      <c r="AJ459" s="100"/>
      <c r="AK459" s="100"/>
      <c r="AL459" s="100"/>
      <c r="AM459" s="100"/>
    </row>
    <row r="460" ht="14.25" customHeight="1">
      <c r="A460" s="100"/>
      <c r="B460" s="100"/>
      <c r="C460" s="100"/>
      <c r="D460" s="100"/>
      <c r="E460" s="100"/>
      <c r="F460" s="206"/>
      <c r="G460" s="206"/>
      <c r="H460" s="207"/>
      <c r="I460" s="207"/>
      <c r="J460" s="207"/>
      <c r="K460" s="207"/>
      <c r="L460" s="207"/>
      <c r="M460" s="207"/>
      <c r="N460" s="207"/>
      <c r="O460" s="207"/>
      <c r="P460" s="207"/>
      <c r="Q460" s="207"/>
      <c r="R460" s="207"/>
      <c r="S460" s="207"/>
      <c r="T460" s="207"/>
      <c r="U460" s="207"/>
      <c r="V460" s="207"/>
      <c r="W460" s="208"/>
      <c r="X460" s="208"/>
      <c r="Y460" s="208"/>
      <c r="Z460" s="208"/>
      <c r="AA460" s="208"/>
      <c r="AB460" s="208"/>
      <c r="AC460" s="208"/>
      <c r="AD460" s="208"/>
      <c r="AE460" s="208"/>
      <c r="AF460" s="208"/>
      <c r="AG460" s="208"/>
      <c r="AH460" s="208"/>
      <c r="AI460" s="100"/>
      <c r="AJ460" s="100"/>
      <c r="AK460" s="100"/>
      <c r="AL460" s="100"/>
      <c r="AM460" s="100"/>
    </row>
    <row r="461" ht="14.25" customHeight="1">
      <c r="A461" s="100"/>
      <c r="B461" s="100"/>
      <c r="C461" s="100"/>
      <c r="D461" s="100"/>
      <c r="E461" s="100"/>
      <c r="F461" s="206"/>
      <c r="G461" s="206"/>
      <c r="H461" s="207"/>
      <c r="I461" s="207"/>
      <c r="J461" s="207"/>
      <c r="K461" s="207"/>
      <c r="L461" s="207"/>
      <c r="M461" s="207"/>
      <c r="N461" s="207"/>
      <c r="O461" s="207"/>
      <c r="P461" s="207"/>
      <c r="Q461" s="207"/>
      <c r="R461" s="207"/>
      <c r="S461" s="207"/>
      <c r="T461" s="207"/>
      <c r="U461" s="207"/>
      <c r="V461" s="207"/>
      <c r="W461" s="208"/>
      <c r="X461" s="208"/>
      <c r="Y461" s="208"/>
      <c r="Z461" s="208"/>
      <c r="AA461" s="208"/>
      <c r="AB461" s="208"/>
      <c r="AC461" s="208"/>
      <c r="AD461" s="208"/>
      <c r="AE461" s="208"/>
      <c r="AF461" s="208"/>
      <c r="AG461" s="208"/>
      <c r="AH461" s="208"/>
      <c r="AI461" s="100"/>
      <c r="AJ461" s="100"/>
      <c r="AK461" s="100"/>
      <c r="AL461" s="100"/>
      <c r="AM461" s="100"/>
    </row>
    <row r="462" ht="14.25" customHeight="1">
      <c r="A462" s="100"/>
      <c r="B462" s="100"/>
      <c r="C462" s="100"/>
      <c r="D462" s="100"/>
      <c r="E462" s="100"/>
      <c r="F462" s="206"/>
      <c r="G462" s="206"/>
      <c r="H462" s="207"/>
      <c r="I462" s="207"/>
      <c r="J462" s="207"/>
      <c r="K462" s="207"/>
      <c r="L462" s="207"/>
      <c r="M462" s="207"/>
      <c r="N462" s="207"/>
      <c r="O462" s="207"/>
      <c r="P462" s="207"/>
      <c r="Q462" s="207"/>
      <c r="R462" s="207"/>
      <c r="S462" s="207"/>
      <c r="T462" s="207"/>
      <c r="U462" s="207"/>
      <c r="V462" s="207"/>
      <c r="W462" s="208"/>
      <c r="X462" s="208"/>
      <c r="Y462" s="208"/>
      <c r="Z462" s="208"/>
      <c r="AA462" s="208"/>
      <c r="AB462" s="208"/>
      <c r="AC462" s="208"/>
      <c r="AD462" s="208"/>
      <c r="AE462" s="208"/>
      <c r="AF462" s="208"/>
      <c r="AG462" s="208"/>
      <c r="AH462" s="208"/>
      <c r="AI462" s="100"/>
      <c r="AJ462" s="100"/>
      <c r="AK462" s="100"/>
      <c r="AL462" s="100"/>
      <c r="AM462" s="100"/>
    </row>
    <row r="463" ht="14.25" customHeight="1">
      <c r="A463" s="100"/>
      <c r="B463" s="100"/>
      <c r="C463" s="100"/>
      <c r="D463" s="100"/>
      <c r="E463" s="100"/>
      <c r="F463" s="206"/>
      <c r="G463" s="206"/>
      <c r="H463" s="207"/>
      <c r="I463" s="207"/>
      <c r="J463" s="207"/>
      <c r="K463" s="207"/>
      <c r="L463" s="207"/>
      <c r="M463" s="207"/>
      <c r="N463" s="207"/>
      <c r="O463" s="207"/>
      <c r="P463" s="207"/>
      <c r="Q463" s="207"/>
      <c r="R463" s="207"/>
      <c r="S463" s="207"/>
      <c r="T463" s="207"/>
      <c r="U463" s="207"/>
      <c r="V463" s="207"/>
      <c r="W463" s="208"/>
      <c r="X463" s="208"/>
      <c r="Y463" s="208"/>
      <c r="Z463" s="208"/>
      <c r="AA463" s="208"/>
      <c r="AB463" s="208"/>
      <c r="AC463" s="208"/>
      <c r="AD463" s="208"/>
      <c r="AE463" s="208"/>
      <c r="AF463" s="208"/>
      <c r="AG463" s="208"/>
      <c r="AH463" s="208"/>
      <c r="AI463" s="100"/>
      <c r="AJ463" s="100"/>
      <c r="AK463" s="100"/>
      <c r="AL463" s="100"/>
      <c r="AM463" s="100"/>
    </row>
    <row r="464" ht="14.25" customHeight="1">
      <c r="A464" s="100"/>
      <c r="B464" s="100"/>
      <c r="C464" s="100"/>
      <c r="D464" s="100"/>
      <c r="E464" s="100"/>
      <c r="F464" s="206"/>
      <c r="G464" s="206"/>
      <c r="H464" s="207"/>
      <c r="I464" s="207"/>
      <c r="J464" s="207"/>
      <c r="K464" s="207"/>
      <c r="L464" s="207"/>
      <c r="M464" s="207"/>
      <c r="N464" s="207"/>
      <c r="O464" s="207"/>
      <c r="P464" s="207"/>
      <c r="Q464" s="207"/>
      <c r="R464" s="207"/>
      <c r="S464" s="207"/>
      <c r="T464" s="207"/>
      <c r="U464" s="207"/>
      <c r="V464" s="207"/>
      <c r="W464" s="208"/>
      <c r="X464" s="208"/>
      <c r="Y464" s="208"/>
      <c r="Z464" s="208"/>
      <c r="AA464" s="208"/>
      <c r="AB464" s="208"/>
      <c r="AC464" s="208"/>
      <c r="AD464" s="208"/>
      <c r="AE464" s="208"/>
      <c r="AF464" s="208"/>
      <c r="AG464" s="208"/>
      <c r="AH464" s="208"/>
      <c r="AI464" s="100"/>
      <c r="AJ464" s="100"/>
      <c r="AK464" s="100"/>
      <c r="AL464" s="100"/>
      <c r="AM464" s="100"/>
    </row>
    <row r="465" ht="14.25" customHeight="1">
      <c r="A465" s="100"/>
      <c r="B465" s="100"/>
      <c r="C465" s="100"/>
      <c r="D465" s="100"/>
      <c r="E465" s="100"/>
      <c r="F465" s="206"/>
      <c r="G465" s="206"/>
      <c r="H465" s="207"/>
      <c r="I465" s="207"/>
      <c r="J465" s="207"/>
      <c r="K465" s="207"/>
      <c r="L465" s="207"/>
      <c r="M465" s="207"/>
      <c r="N465" s="207"/>
      <c r="O465" s="207"/>
      <c r="P465" s="207"/>
      <c r="Q465" s="207"/>
      <c r="R465" s="207"/>
      <c r="S465" s="207"/>
      <c r="T465" s="207"/>
      <c r="U465" s="207"/>
      <c r="V465" s="207"/>
      <c r="W465" s="208"/>
      <c r="X465" s="208"/>
      <c r="Y465" s="208"/>
      <c r="Z465" s="208"/>
      <c r="AA465" s="208"/>
      <c r="AB465" s="208"/>
      <c r="AC465" s="208"/>
      <c r="AD465" s="208"/>
      <c r="AE465" s="208"/>
      <c r="AF465" s="208"/>
      <c r="AG465" s="208"/>
      <c r="AH465" s="208"/>
      <c r="AI465" s="100"/>
      <c r="AJ465" s="100"/>
      <c r="AK465" s="100"/>
      <c r="AL465" s="100"/>
      <c r="AM465" s="100"/>
    </row>
    <row r="466" ht="14.25" customHeight="1">
      <c r="A466" s="100"/>
      <c r="B466" s="100"/>
      <c r="C466" s="100"/>
      <c r="D466" s="100"/>
      <c r="E466" s="100"/>
      <c r="F466" s="206"/>
      <c r="G466" s="206"/>
      <c r="H466" s="207"/>
      <c r="I466" s="207"/>
      <c r="J466" s="207"/>
      <c r="K466" s="207"/>
      <c r="L466" s="207"/>
      <c r="M466" s="207"/>
      <c r="N466" s="207"/>
      <c r="O466" s="207"/>
      <c r="P466" s="207"/>
      <c r="Q466" s="207"/>
      <c r="R466" s="207"/>
      <c r="S466" s="207"/>
      <c r="T466" s="207"/>
      <c r="U466" s="207"/>
      <c r="V466" s="207"/>
      <c r="W466" s="208"/>
      <c r="X466" s="208"/>
      <c r="Y466" s="208"/>
      <c r="Z466" s="208"/>
      <c r="AA466" s="208"/>
      <c r="AB466" s="208"/>
      <c r="AC466" s="208"/>
      <c r="AD466" s="208"/>
      <c r="AE466" s="208"/>
      <c r="AF466" s="208"/>
      <c r="AG466" s="208"/>
      <c r="AH466" s="208"/>
      <c r="AI466" s="100"/>
      <c r="AJ466" s="100"/>
      <c r="AK466" s="100"/>
      <c r="AL466" s="100"/>
      <c r="AM466" s="100"/>
    </row>
    <row r="467" ht="14.25" customHeight="1">
      <c r="A467" s="100"/>
      <c r="B467" s="100"/>
      <c r="C467" s="100"/>
      <c r="D467" s="100"/>
      <c r="E467" s="100"/>
      <c r="F467" s="206"/>
      <c r="G467" s="206"/>
      <c r="H467" s="207"/>
      <c r="I467" s="207"/>
      <c r="J467" s="207"/>
      <c r="K467" s="207"/>
      <c r="L467" s="207"/>
      <c r="M467" s="207"/>
      <c r="N467" s="207"/>
      <c r="O467" s="207"/>
      <c r="P467" s="207"/>
      <c r="Q467" s="207"/>
      <c r="R467" s="207"/>
      <c r="S467" s="207"/>
      <c r="T467" s="207"/>
      <c r="U467" s="207"/>
      <c r="V467" s="207"/>
      <c r="W467" s="208"/>
      <c r="X467" s="208"/>
      <c r="Y467" s="208"/>
      <c r="Z467" s="208"/>
      <c r="AA467" s="208"/>
      <c r="AB467" s="208"/>
      <c r="AC467" s="208"/>
      <c r="AD467" s="208"/>
      <c r="AE467" s="208"/>
      <c r="AF467" s="208"/>
      <c r="AG467" s="208"/>
      <c r="AH467" s="208"/>
      <c r="AI467" s="100"/>
      <c r="AJ467" s="100"/>
      <c r="AK467" s="100"/>
      <c r="AL467" s="100"/>
      <c r="AM467" s="100"/>
    </row>
    <row r="468" ht="14.25" customHeight="1">
      <c r="A468" s="100"/>
      <c r="B468" s="100"/>
      <c r="C468" s="100"/>
      <c r="D468" s="100"/>
      <c r="E468" s="100"/>
      <c r="F468" s="206"/>
      <c r="G468" s="206"/>
      <c r="H468" s="207"/>
      <c r="I468" s="207"/>
      <c r="J468" s="207"/>
      <c r="K468" s="207"/>
      <c r="L468" s="207"/>
      <c r="M468" s="207"/>
      <c r="N468" s="207"/>
      <c r="O468" s="207"/>
      <c r="P468" s="207"/>
      <c r="Q468" s="207"/>
      <c r="R468" s="207"/>
      <c r="S468" s="207"/>
      <c r="T468" s="207"/>
      <c r="U468" s="207"/>
      <c r="V468" s="207"/>
      <c r="W468" s="208"/>
      <c r="X468" s="208"/>
      <c r="Y468" s="208"/>
      <c r="Z468" s="208"/>
      <c r="AA468" s="208"/>
      <c r="AB468" s="208"/>
      <c r="AC468" s="208"/>
      <c r="AD468" s="208"/>
      <c r="AE468" s="208"/>
      <c r="AF468" s="208"/>
      <c r="AG468" s="208"/>
      <c r="AH468" s="208"/>
      <c r="AI468" s="100"/>
      <c r="AJ468" s="100"/>
      <c r="AK468" s="100"/>
      <c r="AL468" s="100"/>
      <c r="AM468" s="100"/>
    </row>
    <row r="469" ht="14.25" customHeight="1">
      <c r="A469" s="100"/>
      <c r="B469" s="100"/>
      <c r="C469" s="100"/>
      <c r="D469" s="100"/>
      <c r="E469" s="100"/>
      <c r="F469" s="206"/>
      <c r="G469" s="206"/>
      <c r="H469" s="207"/>
      <c r="I469" s="207"/>
      <c r="J469" s="207"/>
      <c r="K469" s="207"/>
      <c r="L469" s="207"/>
      <c r="M469" s="207"/>
      <c r="N469" s="207"/>
      <c r="O469" s="207"/>
      <c r="P469" s="207"/>
      <c r="Q469" s="207"/>
      <c r="R469" s="207"/>
      <c r="S469" s="207"/>
      <c r="T469" s="207"/>
      <c r="U469" s="207"/>
      <c r="V469" s="207"/>
      <c r="W469" s="208"/>
      <c r="X469" s="208"/>
      <c r="Y469" s="208"/>
      <c r="Z469" s="208"/>
      <c r="AA469" s="208"/>
      <c r="AB469" s="208"/>
      <c r="AC469" s="208"/>
      <c r="AD469" s="208"/>
      <c r="AE469" s="208"/>
      <c r="AF469" s="208"/>
      <c r="AG469" s="208"/>
      <c r="AH469" s="208"/>
      <c r="AI469" s="100"/>
      <c r="AJ469" s="100"/>
      <c r="AK469" s="100"/>
      <c r="AL469" s="100"/>
      <c r="AM469" s="100"/>
    </row>
    <row r="470" ht="14.25" customHeight="1">
      <c r="A470" s="100"/>
      <c r="B470" s="100"/>
      <c r="C470" s="100"/>
      <c r="D470" s="100"/>
      <c r="E470" s="100"/>
      <c r="F470" s="206"/>
      <c r="G470" s="206"/>
      <c r="H470" s="207"/>
      <c r="I470" s="207"/>
      <c r="J470" s="207"/>
      <c r="K470" s="207"/>
      <c r="L470" s="207"/>
      <c r="M470" s="207"/>
      <c r="N470" s="207"/>
      <c r="O470" s="207"/>
      <c r="P470" s="207"/>
      <c r="Q470" s="207"/>
      <c r="R470" s="207"/>
      <c r="S470" s="207"/>
      <c r="T470" s="207"/>
      <c r="U470" s="207"/>
      <c r="V470" s="207"/>
      <c r="W470" s="208"/>
      <c r="X470" s="208"/>
      <c r="Y470" s="208"/>
      <c r="Z470" s="208"/>
      <c r="AA470" s="208"/>
      <c r="AB470" s="208"/>
      <c r="AC470" s="208"/>
      <c r="AD470" s="208"/>
      <c r="AE470" s="208"/>
      <c r="AF470" s="208"/>
      <c r="AG470" s="208"/>
      <c r="AH470" s="208"/>
      <c r="AI470" s="100"/>
      <c r="AJ470" s="100"/>
      <c r="AK470" s="100"/>
      <c r="AL470" s="100"/>
      <c r="AM470" s="100"/>
    </row>
    <row r="471" ht="14.25" customHeight="1">
      <c r="A471" s="100"/>
      <c r="B471" s="100"/>
      <c r="C471" s="100"/>
      <c r="D471" s="100"/>
      <c r="E471" s="100"/>
      <c r="F471" s="206"/>
      <c r="G471" s="206"/>
      <c r="H471" s="207"/>
      <c r="I471" s="207"/>
      <c r="J471" s="207"/>
      <c r="K471" s="207"/>
      <c r="L471" s="207"/>
      <c r="M471" s="207"/>
      <c r="N471" s="207"/>
      <c r="O471" s="207"/>
      <c r="P471" s="207"/>
      <c r="Q471" s="207"/>
      <c r="R471" s="207"/>
      <c r="S471" s="207"/>
      <c r="T471" s="207"/>
      <c r="U471" s="207"/>
      <c r="V471" s="207"/>
      <c r="W471" s="208"/>
      <c r="X471" s="208"/>
      <c r="Y471" s="208"/>
      <c r="Z471" s="208"/>
      <c r="AA471" s="208"/>
      <c r="AB471" s="208"/>
      <c r="AC471" s="208"/>
      <c r="AD471" s="208"/>
      <c r="AE471" s="208"/>
      <c r="AF471" s="208"/>
      <c r="AG471" s="208"/>
      <c r="AH471" s="208"/>
      <c r="AI471" s="100"/>
      <c r="AJ471" s="100"/>
      <c r="AK471" s="100"/>
      <c r="AL471" s="100"/>
      <c r="AM471" s="100"/>
    </row>
    <row r="472" ht="14.25" customHeight="1">
      <c r="A472" s="100"/>
      <c r="B472" s="100"/>
      <c r="C472" s="100"/>
      <c r="D472" s="100"/>
      <c r="E472" s="100"/>
      <c r="F472" s="206"/>
      <c r="G472" s="206"/>
      <c r="H472" s="207"/>
      <c r="I472" s="207"/>
      <c r="J472" s="207"/>
      <c r="K472" s="207"/>
      <c r="L472" s="207"/>
      <c r="M472" s="207"/>
      <c r="N472" s="207"/>
      <c r="O472" s="207"/>
      <c r="P472" s="207"/>
      <c r="Q472" s="207"/>
      <c r="R472" s="207"/>
      <c r="S472" s="207"/>
      <c r="T472" s="207"/>
      <c r="U472" s="207"/>
      <c r="V472" s="207"/>
      <c r="W472" s="208"/>
      <c r="X472" s="208"/>
      <c r="Y472" s="208"/>
      <c r="Z472" s="208"/>
      <c r="AA472" s="208"/>
      <c r="AB472" s="208"/>
      <c r="AC472" s="208"/>
      <c r="AD472" s="208"/>
      <c r="AE472" s="208"/>
      <c r="AF472" s="208"/>
      <c r="AG472" s="208"/>
      <c r="AH472" s="208"/>
      <c r="AI472" s="100"/>
      <c r="AJ472" s="100"/>
      <c r="AK472" s="100"/>
      <c r="AL472" s="100"/>
      <c r="AM472" s="100"/>
    </row>
    <row r="473" ht="14.25" customHeight="1">
      <c r="A473" s="100"/>
      <c r="B473" s="100"/>
      <c r="C473" s="100"/>
      <c r="D473" s="100"/>
      <c r="E473" s="100"/>
      <c r="F473" s="206"/>
      <c r="G473" s="206"/>
      <c r="H473" s="207"/>
      <c r="I473" s="207"/>
      <c r="J473" s="207"/>
      <c r="K473" s="207"/>
      <c r="L473" s="207"/>
      <c r="M473" s="207"/>
      <c r="N473" s="207"/>
      <c r="O473" s="207"/>
      <c r="P473" s="207"/>
      <c r="Q473" s="207"/>
      <c r="R473" s="207"/>
      <c r="S473" s="207"/>
      <c r="T473" s="207"/>
      <c r="U473" s="207"/>
      <c r="V473" s="207"/>
      <c r="W473" s="208"/>
      <c r="X473" s="208"/>
      <c r="Y473" s="208"/>
      <c r="Z473" s="208"/>
      <c r="AA473" s="208"/>
      <c r="AB473" s="208"/>
      <c r="AC473" s="208"/>
      <c r="AD473" s="208"/>
      <c r="AE473" s="208"/>
      <c r="AF473" s="208"/>
      <c r="AG473" s="208"/>
      <c r="AH473" s="208"/>
      <c r="AI473" s="100"/>
      <c r="AJ473" s="100"/>
      <c r="AK473" s="100"/>
      <c r="AL473" s="100"/>
      <c r="AM473" s="100"/>
    </row>
    <row r="474" ht="14.25" customHeight="1">
      <c r="A474" s="100"/>
      <c r="B474" s="100"/>
      <c r="C474" s="100"/>
      <c r="D474" s="100"/>
      <c r="E474" s="100"/>
      <c r="F474" s="206"/>
      <c r="G474" s="206"/>
      <c r="H474" s="207"/>
      <c r="I474" s="207"/>
      <c r="J474" s="207"/>
      <c r="K474" s="207"/>
      <c r="L474" s="207"/>
      <c r="M474" s="207"/>
      <c r="N474" s="207"/>
      <c r="O474" s="207"/>
      <c r="P474" s="207"/>
      <c r="Q474" s="207"/>
      <c r="R474" s="207"/>
      <c r="S474" s="207"/>
      <c r="T474" s="207"/>
      <c r="U474" s="207"/>
      <c r="V474" s="207"/>
      <c r="W474" s="208"/>
      <c r="X474" s="208"/>
      <c r="Y474" s="208"/>
      <c r="Z474" s="208"/>
      <c r="AA474" s="208"/>
      <c r="AB474" s="208"/>
      <c r="AC474" s="208"/>
      <c r="AD474" s="208"/>
      <c r="AE474" s="208"/>
      <c r="AF474" s="208"/>
      <c r="AG474" s="208"/>
      <c r="AH474" s="208"/>
      <c r="AI474" s="100"/>
      <c r="AJ474" s="100"/>
      <c r="AK474" s="100"/>
      <c r="AL474" s="100"/>
      <c r="AM474" s="100"/>
    </row>
    <row r="475" ht="14.25" customHeight="1">
      <c r="A475" s="100"/>
      <c r="B475" s="100"/>
      <c r="C475" s="100"/>
      <c r="D475" s="100"/>
      <c r="E475" s="100"/>
      <c r="F475" s="206"/>
      <c r="G475" s="206"/>
      <c r="H475" s="207"/>
      <c r="I475" s="207"/>
      <c r="J475" s="207"/>
      <c r="K475" s="207"/>
      <c r="L475" s="207"/>
      <c r="M475" s="207"/>
      <c r="N475" s="207"/>
      <c r="O475" s="207"/>
      <c r="P475" s="207"/>
      <c r="Q475" s="207"/>
      <c r="R475" s="207"/>
      <c r="S475" s="207"/>
      <c r="T475" s="207"/>
      <c r="U475" s="207"/>
      <c r="V475" s="207"/>
      <c r="W475" s="208"/>
      <c r="X475" s="208"/>
      <c r="Y475" s="208"/>
      <c r="Z475" s="208"/>
      <c r="AA475" s="208"/>
      <c r="AB475" s="208"/>
      <c r="AC475" s="208"/>
      <c r="AD475" s="208"/>
      <c r="AE475" s="208"/>
      <c r="AF475" s="208"/>
      <c r="AG475" s="208"/>
      <c r="AH475" s="208"/>
      <c r="AI475" s="100"/>
      <c r="AJ475" s="100"/>
      <c r="AK475" s="100"/>
      <c r="AL475" s="100"/>
      <c r="AM475" s="100"/>
    </row>
    <row r="476" ht="14.25" customHeight="1">
      <c r="A476" s="100"/>
      <c r="B476" s="100"/>
      <c r="C476" s="100"/>
      <c r="D476" s="100"/>
      <c r="E476" s="100"/>
      <c r="F476" s="206"/>
      <c r="G476" s="206"/>
      <c r="H476" s="207"/>
      <c r="I476" s="207"/>
      <c r="J476" s="207"/>
      <c r="K476" s="207"/>
      <c r="L476" s="207"/>
      <c r="M476" s="207"/>
      <c r="N476" s="207"/>
      <c r="O476" s="207"/>
      <c r="P476" s="207"/>
      <c r="Q476" s="207"/>
      <c r="R476" s="207"/>
      <c r="S476" s="207"/>
      <c r="T476" s="207"/>
      <c r="U476" s="207"/>
      <c r="V476" s="207"/>
      <c r="W476" s="208"/>
      <c r="X476" s="208"/>
      <c r="Y476" s="208"/>
      <c r="Z476" s="208"/>
      <c r="AA476" s="208"/>
      <c r="AB476" s="208"/>
      <c r="AC476" s="208"/>
      <c r="AD476" s="208"/>
      <c r="AE476" s="208"/>
      <c r="AF476" s="208"/>
      <c r="AG476" s="208"/>
      <c r="AH476" s="208"/>
      <c r="AI476" s="100"/>
      <c r="AJ476" s="100"/>
      <c r="AK476" s="100"/>
      <c r="AL476" s="100"/>
      <c r="AM476" s="100"/>
    </row>
    <row r="477" ht="14.25" customHeight="1">
      <c r="A477" s="100"/>
      <c r="B477" s="100"/>
      <c r="C477" s="100"/>
      <c r="D477" s="100"/>
      <c r="E477" s="100"/>
      <c r="F477" s="206"/>
      <c r="G477" s="206"/>
      <c r="H477" s="207"/>
      <c r="I477" s="207"/>
      <c r="J477" s="207"/>
      <c r="K477" s="207"/>
      <c r="L477" s="207"/>
      <c r="M477" s="207"/>
      <c r="N477" s="207"/>
      <c r="O477" s="207"/>
      <c r="P477" s="207"/>
      <c r="Q477" s="207"/>
      <c r="R477" s="207"/>
      <c r="S477" s="207"/>
      <c r="T477" s="207"/>
      <c r="U477" s="207"/>
      <c r="V477" s="207"/>
      <c r="W477" s="208"/>
      <c r="X477" s="208"/>
      <c r="Y477" s="208"/>
      <c r="Z477" s="208"/>
      <c r="AA477" s="208"/>
      <c r="AB477" s="208"/>
      <c r="AC477" s="208"/>
      <c r="AD477" s="208"/>
      <c r="AE477" s="208"/>
      <c r="AF477" s="208"/>
      <c r="AG477" s="208"/>
      <c r="AH477" s="208"/>
      <c r="AI477" s="100"/>
      <c r="AJ477" s="100"/>
      <c r="AK477" s="100"/>
      <c r="AL477" s="100"/>
      <c r="AM477" s="100"/>
    </row>
    <row r="478" ht="14.25" customHeight="1">
      <c r="A478" s="100"/>
      <c r="B478" s="100"/>
      <c r="C478" s="100"/>
      <c r="D478" s="100"/>
      <c r="E478" s="100"/>
      <c r="F478" s="206"/>
      <c r="G478" s="206"/>
      <c r="H478" s="207"/>
      <c r="I478" s="207"/>
      <c r="J478" s="207"/>
      <c r="K478" s="207"/>
      <c r="L478" s="207"/>
      <c r="M478" s="207"/>
      <c r="N478" s="207"/>
      <c r="O478" s="207"/>
      <c r="P478" s="207"/>
      <c r="Q478" s="207"/>
      <c r="R478" s="207"/>
      <c r="S478" s="207"/>
      <c r="T478" s="207"/>
      <c r="U478" s="207"/>
      <c r="V478" s="207"/>
      <c r="W478" s="208"/>
      <c r="X478" s="208"/>
      <c r="Y478" s="208"/>
      <c r="Z478" s="208"/>
      <c r="AA478" s="208"/>
      <c r="AB478" s="208"/>
      <c r="AC478" s="208"/>
      <c r="AD478" s="208"/>
      <c r="AE478" s="208"/>
      <c r="AF478" s="208"/>
      <c r="AG478" s="208"/>
      <c r="AH478" s="208"/>
      <c r="AI478" s="100"/>
      <c r="AJ478" s="100"/>
      <c r="AK478" s="100"/>
      <c r="AL478" s="100"/>
      <c r="AM478" s="100"/>
    </row>
    <row r="479" ht="14.25" customHeight="1">
      <c r="A479" s="100"/>
      <c r="B479" s="100"/>
      <c r="C479" s="100"/>
      <c r="D479" s="100"/>
      <c r="E479" s="100"/>
      <c r="F479" s="206"/>
      <c r="G479" s="206"/>
      <c r="H479" s="207"/>
      <c r="I479" s="207"/>
      <c r="J479" s="207"/>
      <c r="K479" s="207"/>
      <c r="L479" s="207"/>
      <c r="M479" s="207"/>
      <c r="N479" s="207"/>
      <c r="O479" s="207"/>
      <c r="P479" s="207"/>
      <c r="Q479" s="207"/>
      <c r="R479" s="207"/>
      <c r="S479" s="207"/>
      <c r="T479" s="207"/>
      <c r="U479" s="207"/>
      <c r="V479" s="207"/>
      <c r="W479" s="208"/>
      <c r="X479" s="208"/>
      <c r="Y479" s="208"/>
      <c r="Z479" s="208"/>
      <c r="AA479" s="208"/>
      <c r="AB479" s="208"/>
      <c r="AC479" s="208"/>
      <c r="AD479" s="208"/>
      <c r="AE479" s="208"/>
      <c r="AF479" s="208"/>
      <c r="AG479" s="208"/>
      <c r="AH479" s="208"/>
      <c r="AI479" s="100"/>
      <c r="AJ479" s="100"/>
      <c r="AK479" s="100"/>
      <c r="AL479" s="100"/>
      <c r="AM479" s="100"/>
    </row>
    <row r="480" ht="14.25" customHeight="1">
      <c r="A480" s="100"/>
      <c r="B480" s="100"/>
      <c r="C480" s="100"/>
      <c r="D480" s="100"/>
      <c r="E480" s="100"/>
      <c r="F480" s="206"/>
      <c r="G480" s="206"/>
      <c r="H480" s="207"/>
      <c r="I480" s="207"/>
      <c r="J480" s="207"/>
      <c r="K480" s="207"/>
      <c r="L480" s="207"/>
      <c r="M480" s="207"/>
      <c r="N480" s="207"/>
      <c r="O480" s="207"/>
      <c r="P480" s="207"/>
      <c r="Q480" s="207"/>
      <c r="R480" s="207"/>
      <c r="S480" s="207"/>
      <c r="T480" s="207"/>
      <c r="U480" s="207"/>
      <c r="V480" s="207"/>
      <c r="W480" s="208"/>
      <c r="X480" s="208"/>
      <c r="Y480" s="208"/>
      <c r="Z480" s="208"/>
      <c r="AA480" s="208"/>
      <c r="AB480" s="208"/>
      <c r="AC480" s="208"/>
      <c r="AD480" s="208"/>
      <c r="AE480" s="208"/>
      <c r="AF480" s="208"/>
      <c r="AG480" s="208"/>
      <c r="AH480" s="208"/>
      <c r="AI480" s="100"/>
      <c r="AJ480" s="100"/>
      <c r="AK480" s="100"/>
      <c r="AL480" s="100"/>
      <c r="AM480" s="100"/>
    </row>
    <row r="481" ht="14.25" customHeight="1">
      <c r="A481" s="100"/>
      <c r="B481" s="100"/>
      <c r="C481" s="100"/>
      <c r="D481" s="100"/>
      <c r="E481" s="100"/>
      <c r="F481" s="206"/>
      <c r="G481" s="206"/>
      <c r="H481" s="207"/>
      <c r="I481" s="207"/>
      <c r="J481" s="207"/>
      <c r="K481" s="207"/>
      <c r="L481" s="207"/>
      <c r="M481" s="207"/>
      <c r="N481" s="207"/>
      <c r="O481" s="207"/>
      <c r="P481" s="207"/>
      <c r="Q481" s="207"/>
      <c r="R481" s="207"/>
      <c r="S481" s="207"/>
      <c r="T481" s="207"/>
      <c r="U481" s="207"/>
      <c r="V481" s="207"/>
      <c r="W481" s="208"/>
      <c r="X481" s="208"/>
      <c r="Y481" s="208"/>
      <c r="Z481" s="208"/>
      <c r="AA481" s="208"/>
      <c r="AB481" s="208"/>
      <c r="AC481" s="208"/>
      <c r="AD481" s="208"/>
      <c r="AE481" s="208"/>
      <c r="AF481" s="208"/>
      <c r="AG481" s="208"/>
      <c r="AH481" s="208"/>
      <c r="AI481" s="100"/>
      <c r="AJ481" s="100"/>
      <c r="AK481" s="100"/>
      <c r="AL481" s="100"/>
      <c r="AM481" s="100"/>
    </row>
    <row r="482" ht="14.25" customHeight="1">
      <c r="A482" s="100"/>
      <c r="B482" s="100"/>
      <c r="C482" s="100"/>
      <c r="D482" s="100"/>
      <c r="E482" s="100"/>
      <c r="F482" s="206"/>
      <c r="G482" s="206"/>
      <c r="H482" s="207"/>
      <c r="I482" s="207"/>
      <c r="J482" s="207"/>
      <c r="K482" s="207"/>
      <c r="L482" s="207"/>
      <c r="M482" s="207"/>
      <c r="N482" s="207"/>
      <c r="O482" s="207"/>
      <c r="P482" s="207"/>
      <c r="Q482" s="207"/>
      <c r="R482" s="207"/>
      <c r="S482" s="207"/>
      <c r="T482" s="207"/>
      <c r="U482" s="207"/>
      <c r="V482" s="207"/>
      <c r="W482" s="208"/>
      <c r="X482" s="208"/>
      <c r="Y482" s="208"/>
      <c r="Z482" s="208"/>
      <c r="AA482" s="208"/>
      <c r="AB482" s="208"/>
      <c r="AC482" s="208"/>
      <c r="AD482" s="208"/>
      <c r="AE482" s="208"/>
      <c r="AF482" s="208"/>
      <c r="AG482" s="208"/>
      <c r="AH482" s="208"/>
      <c r="AI482" s="100"/>
      <c r="AJ482" s="100"/>
      <c r="AK482" s="100"/>
      <c r="AL482" s="100"/>
      <c r="AM482" s="100"/>
    </row>
    <row r="483" ht="14.25" customHeight="1">
      <c r="A483" s="100"/>
      <c r="B483" s="100"/>
      <c r="C483" s="100"/>
      <c r="D483" s="100"/>
      <c r="E483" s="100"/>
      <c r="F483" s="206"/>
      <c r="G483" s="206"/>
      <c r="H483" s="207"/>
      <c r="I483" s="207"/>
      <c r="J483" s="207"/>
      <c r="K483" s="207"/>
      <c r="L483" s="207"/>
      <c r="M483" s="207"/>
      <c r="N483" s="207"/>
      <c r="O483" s="207"/>
      <c r="P483" s="207"/>
      <c r="Q483" s="207"/>
      <c r="R483" s="207"/>
      <c r="S483" s="207"/>
      <c r="T483" s="207"/>
      <c r="U483" s="207"/>
      <c r="V483" s="207"/>
      <c r="W483" s="208"/>
      <c r="X483" s="208"/>
      <c r="Y483" s="208"/>
      <c r="Z483" s="208"/>
      <c r="AA483" s="208"/>
      <c r="AB483" s="208"/>
      <c r="AC483" s="208"/>
      <c r="AD483" s="208"/>
      <c r="AE483" s="208"/>
      <c r="AF483" s="208"/>
      <c r="AG483" s="208"/>
      <c r="AH483" s="208"/>
      <c r="AI483" s="100"/>
      <c r="AJ483" s="100"/>
      <c r="AK483" s="100"/>
      <c r="AL483" s="100"/>
      <c r="AM483" s="100"/>
    </row>
    <row r="484" ht="14.25" customHeight="1">
      <c r="A484" s="100"/>
      <c r="B484" s="100"/>
      <c r="C484" s="100"/>
      <c r="D484" s="100"/>
      <c r="E484" s="100"/>
      <c r="F484" s="206"/>
      <c r="G484" s="206"/>
      <c r="H484" s="207"/>
      <c r="I484" s="207"/>
      <c r="J484" s="207"/>
      <c r="K484" s="207"/>
      <c r="L484" s="207"/>
      <c r="M484" s="207"/>
      <c r="N484" s="207"/>
      <c r="O484" s="207"/>
      <c r="P484" s="207"/>
      <c r="Q484" s="207"/>
      <c r="R484" s="207"/>
      <c r="S484" s="207"/>
      <c r="T484" s="207"/>
      <c r="U484" s="207"/>
      <c r="V484" s="207"/>
      <c r="W484" s="208"/>
      <c r="X484" s="208"/>
      <c r="Y484" s="208"/>
      <c r="Z484" s="208"/>
      <c r="AA484" s="208"/>
      <c r="AB484" s="208"/>
      <c r="AC484" s="208"/>
      <c r="AD484" s="208"/>
      <c r="AE484" s="208"/>
      <c r="AF484" s="208"/>
      <c r="AG484" s="208"/>
      <c r="AH484" s="208"/>
      <c r="AI484" s="100"/>
      <c r="AJ484" s="100"/>
      <c r="AK484" s="100"/>
      <c r="AL484" s="100"/>
      <c r="AM484" s="100"/>
    </row>
    <row r="485" ht="14.25" customHeight="1">
      <c r="A485" s="100"/>
      <c r="B485" s="100"/>
      <c r="C485" s="100"/>
      <c r="D485" s="100"/>
      <c r="E485" s="100"/>
      <c r="F485" s="206"/>
      <c r="G485" s="206"/>
      <c r="H485" s="207"/>
      <c r="I485" s="207"/>
      <c r="J485" s="207"/>
      <c r="K485" s="207"/>
      <c r="L485" s="207"/>
      <c r="M485" s="207"/>
      <c r="N485" s="207"/>
      <c r="O485" s="207"/>
      <c r="P485" s="207"/>
      <c r="Q485" s="207"/>
      <c r="R485" s="207"/>
      <c r="S485" s="207"/>
      <c r="T485" s="207"/>
      <c r="U485" s="207"/>
      <c r="V485" s="207"/>
      <c r="W485" s="208"/>
      <c r="X485" s="208"/>
      <c r="Y485" s="208"/>
      <c r="Z485" s="208"/>
      <c r="AA485" s="208"/>
      <c r="AB485" s="208"/>
      <c r="AC485" s="208"/>
      <c r="AD485" s="208"/>
      <c r="AE485" s="208"/>
      <c r="AF485" s="208"/>
      <c r="AG485" s="208"/>
      <c r="AH485" s="208"/>
      <c r="AI485" s="100"/>
      <c r="AJ485" s="100"/>
      <c r="AK485" s="100"/>
      <c r="AL485" s="100"/>
      <c r="AM485" s="100"/>
    </row>
    <row r="486" ht="14.25" customHeight="1">
      <c r="A486" s="100"/>
      <c r="B486" s="100"/>
      <c r="C486" s="100"/>
      <c r="D486" s="100"/>
      <c r="E486" s="100"/>
      <c r="F486" s="206"/>
      <c r="G486" s="206"/>
      <c r="H486" s="207"/>
      <c r="I486" s="207"/>
      <c r="J486" s="207"/>
      <c r="K486" s="207"/>
      <c r="L486" s="207"/>
      <c r="M486" s="207"/>
      <c r="N486" s="207"/>
      <c r="O486" s="207"/>
      <c r="P486" s="207"/>
      <c r="Q486" s="207"/>
      <c r="R486" s="207"/>
      <c r="S486" s="207"/>
      <c r="T486" s="207"/>
      <c r="U486" s="207"/>
      <c r="V486" s="207"/>
      <c r="W486" s="208"/>
      <c r="X486" s="208"/>
      <c r="Y486" s="208"/>
      <c r="Z486" s="208"/>
      <c r="AA486" s="208"/>
      <c r="AB486" s="208"/>
      <c r="AC486" s="208"/>
      <c r="AD486" s="208"/>
      <c r="AE486" s="208"/>
      <c r="AF486" s="208"/>
      <c r="AG486" s="208"/>
      <c r="AH486" s="208"/>
      <c r="AI486" s="100"/>
      <c r="AJ486" s="100"/>
      <c r="AK486" s="100"/>
      <c r="AL486" s="100"/>
      <c r="AM486" s="100"/>
    </row>
    <row r="487" ht="14.25" customHeight="1">
      <c r="A487" s="100"/>
      <c r="B487" s="100"/>
      <c r="C487" s="100"/>
      <c r="D487" s="100"/>
      <c r="E487" s="100"/>
      <c r="F487" s="206"/>
      <c r="G487" s="206"/>
      <c r="H487" s="207"/>
      <c r="I487" s="207"/>
      <c r="J487" s="207"/>
      <c r="K487" s="207"/>
      <c r="L487" s="207"/>
      <c r="M487" s="207"/>
      <c r="N487" s="207"/>
      <c r="O487" s="207"/>
      <c r="P487" s="207"/>
      <c r="Q487" s="207"/>
      <c r="R487" s="207"/>
      <c r="S487" s="207"/>
      <c r="T487" s="207"/>
      <c r="U487" s="207"/>
      <c r="V487" s="207"/>
      <c r="W487" s="208"/>
      <c r="X487" s="208"/>
      <c r="Y487" s="208"/>
      <c r="Z487" s="208"/>
      <c r="AA487" s="208"/>
      <c r="AB487" s="208"/>
      <c r="AC487" s="208"/>
      <c r="AD487" s="208"/>
      <c r="AE487" s="208"/>
      <c r="AF487" s="208"/>
      <c r="AG487" s="208"/>
      <c r="AH487" s="208"/>
      <c r="AI487" s="100"/>
      <c r="AJ487" s="100"/>
      <c r="AK487" s="100"/>
      <c r="AL487" s="100"/>
      <c r="AM487" s="100"/>
    </row>
    <row r="488" ht="14.25" customHeight="1">
      <c r="A488" s="100"/>
      <c r="B488" s="100"/>
      <c r="C488" s="100"/>
      <c r="D488" s="100"/>
      <c r="E488" s="100"/>
      <c r="F488" s="206"/>
      <c r="G488" s="206"/>
      <c r="H488" s="207"/>
      <c r="I488" s="207"/>
      <c r="J488" s="207"/>
      <c r="K488" s="207"/>
      <c r="L488" s="207"/>
      <c r="M488" s="207"/>
      <c r="N488" s="207"/>
      <c r="O488" s="207"/>
      <c r="P488" s="207"/>
      <c r="Q488" s="207"/>
      <c r="R488" s="207"/>
      <c r="S488" s="207"/>
      <c r="T488" s="207"/>
      <c r="U488" s="207"/>
      <c r="V488" s="207"/>
      <c r="W488" s="208"/>
      <c r="X488" s="208"/>
      <c r="Y488" s="208"/>
      <c r="Z488" s="208"/>
      <c r="AA488" s="208"/>
      <c r="AB488" s="208"/>
      <c r="AC488" s="208"/>
      <c r="AD488" s="208"/>
      <c r="AE488" s="208"/>
      <c r="AF488" s="208"/>
      <c r="AG488" s="208"/>
      <c r="AH488" s="208"/>
      <c r="AI488" s="100"/>
      <c r="AJ488" s="100"/>
      <c r="AK488" s="100"/>
      <c r="AL488" s="100"/>
      <c r="AM488" s="100"/>
    </row>
    <row r="489" ht="14.25" customHeight="1">
      <c r="A489" s="100"/>
      <c r="B489" s="100"/>
      <c r="C489" s="100"/>
      <c r="D489" s="100"/>
      <c r="E489" s="100"/>
      <c r="F489" s="206"/>
      <c r="G489" s="206"/>
      <c r="H489" s="207"/>
      <c r="I489" s="207"/>
      <c r="J489" s="207"/>
      <c r="K489" s="207"/>
      <c r="L489" s="207"/>
      <c r="M489" s="207"/>
      <c r="N489" s="207"/>
      <c r="O489" s="207"/>
      <c r="P489" s="207"/>
      <c r="Q489" s="207"/>
      <c r="R489" s="207"/>
      <c r="S489" s="207"/>
      <c r="T489" s="207"/>
      <c r="U489" s="207"/>
      <c r="V489" s="207"/>
      <c r="W489" s="208"/>
      <c r="X489" s="208"/>
      <c r="Y489" s="208"/>
      <c r="Z489" s="208"/>
      <c r="AA489" s="208"/>
      <c r="AB489" s="208"/>
      <c r="AC489" s="208"/>
      <c r="AD489" s="208"/>
      <c r="AE489" s="208"/>
      <c r="AF489" s="208"/>
      <c r="AG489" s="208"/>
      <c r="AH489" s="208"/>
      <c r="AI489" s="100"/>
      <c r="AJ489" s="100"/>
      <c r="AK489" s="100"/>
      <c r="AL489" s="100"/>
      <c r="AM489" s="100"/>
    </row>
    <row r="490" ht="14.25" customHeight="1">
      <c r="A490" s="100"/>
      <c r="B490" s="100"/>
      <c r="C490" s="100"/>
      <c r="D490" s="100"/>
      <c r="E490" s="100"/>
      <c r="F490" s="206"/>
      <c r="G490" s="206"/>
      <c r="H490" s="207"/>
      <c r="I490" s="207"/>
      <c r="J490" s="207"/>
      <c r="K490" s="207"/>
      <c r="L490" s="207"/>
      <c r="M490" s="207"/>
      <c r="N490" s="207"/>
      <c r="O490" s="207"/>
      <c r="P490" s="207"/>
      <c r="Q490" s="207"/>
      <c r="R490" s="207"/>
      <c r="S490" s="207"/>
      <c r="T490" s="207"/>
      <c r="U490" s="207"/>
      <c r="V490" s="207"/>
      <c r="W490" s="208"/>
      <c r="X490" s="208"/>
      <c r="Y490" s="208"/>
      <c r="Z490" s="208"/>
      <c r="AA490" s="208"/>
      <c r="AB490" s="208"/>
      <c r="AC490" s="208"/>
      <c r="AD490" s="208"/>
      <c r="AE490" s="208"/>
      <c r="AF490" s="208"/>
      <c r="AG490" s="208"/>
      <c r="AH490" s="208"/>
      <c r="AI490" s="100"/>
      <c r="AJ490" s="100"/>
      <c r="AK490" s="100"/>
      <c r="AL490" s="100"/>
      <c r="AM490" s="100"/>
    </row>
    <row r="491" ht="14.25" customHeight="1">
      <c r="A491" s="100"/>
      <c r="B491" s="100"/>
      <c r="C491" s="100"/>
      <c r="D491" s="100"/>
      <c r="E491" s="100"/>
      <c r="F491" s="206"/>
      <c r="G491" s="206"/>
      <c r="H491" s="207"/>
      <c r="I491" s="207"/>
      <c r="J491" s="207"/>
      <c r="K491" s="207"/>
      <c r="L491" s="207"/>
      <c r="M491" s="207"/>
      <c r="N491" s="207"/>
      <c r="O491" s="207"/>
      <c r="P491" s="207"/>
      <c r="Q491" s="207"/>
      <c r="R491" s="207"/>
      <c r="S491" s="207"/>
      <c r="T491" s="207"/>
      <c r="U491" s="207"/>
      <c r="V491" s="207"/>
      <c r="W491" s="208"/>
      <c r="X491" s="208"/>
      <c r="Y491" s="208"/>
      <c r="Z491" s="208"/>
      <c r="AA491" s="208"/>
      <c r="AB491" s="208"/>
      <c r="AC491" s="208"/>
      <c r="AD491" s="208"/>
      <c r="AE491" s="208"/>
      <c r="AF491" s="208"/>
      <c r="AG491" s="208"/>
      <c r="AH491" s="208"/>
      <c r="AI491" s="100"/>
      <c r="AJ491" s="100"/>
      <c r="AK491" s="100"/>
      <c r="AL491" s="100"/>
      <c r="AM491" s="100"/>
    </row>
    <row r="492" ht="14.25" customHeight="1">
      <c r="A492" s="100"/>
      <c r="B492" s="100"/>
      <c r="C492" s="100"/>
      <c r="D492" s="100"/>
      <c r="E492" s="100"/>
      <c r="F492" s="206"/>
      <c r="G492" s="206"/>
      <c r="H492" s="207"/>
      <c r="I492" s="207"/>
      <c r="J492" s="207"/>
      <c r="K492" s="207"/>
      <c r="L492" s="207"/>
      <c r="M492" s="207"/>
      <c r="N492" s="207"/>
      <c r="O492" s="207"/>
      <c r="P492" s="207"/>
      <c r="Q492" s="207"/>
      <c r="R492" s="207"/>
      <c r="S492" s="207"/>
      <c r="T492" s="207"/>
      <c r="U492" s="207"/>
      <c r="V492" s="207"/>
      <c r="W492" s="208"/>
      <c r="X492" s="208"/>
      <c r="Y492" s="208"/>
      <c r="Z492" s="208"/>
      <c r="AA492" s="208"/>
      <c r="AB492" s="208"/>
      <c r="AC492" s="208"/>
      <c r="AD492" s="208"/>
      <c r="AE492" s="208"/>
      <c r="AF492" s="208"/>
      <c r="AG492" s="208"/>
      <c r="AH492" s="208"/>
      <c r="AI492" s="100"/>
      <c r="AJ492" s="100"/>
      <c r="AK492" s="100"/>
      <c r="AL492" s="100"/>
      <c r="AM492" s="100"/>
    </row>
    <row r="493" ht="14.25" customHeight="1">
      <c r="A493" s="100"/>
      <c r="B493" s="100"/>
      <c r="C493" s="100"/>
      <c r="D493" s="100"/>
      <c r="E493" s="100"/>
      <c r="F493" s="206"/>
      <c r="G493" s="206"/>
      <c r="H493" s="207"/>
      <c r="I493" s="207"/>
      <c r="J493" s="207"/>
      <c r="K493" s="207"/>
      <c r="L493" s="207"/>
      <c r="M493" s="207"/>
      <c r="N493" s="207"/>
      <c r="O493" s="207"/>
      <c r="P493" s="207"/>
      <c r="Q493" s="207"/>
      <c r="R493" s="207"/>
      <c r="S493" s="207"/>
      <c r="T493" s="207"/>
      <c r="U493" s="207"/>
      <c r="V493" s="207"/>
      <c r="W493" s="208"/>
      <c r="X493" s="208"/>
      <c r="Y493" s="208"/>
      <c r="Z493" s="208"/>
      <c r="AA493" s="208"/>
      <c r="AB493" s="208"/>
      <c r="AC493" s="208"/>
      <c r="AD493" s="208"/>
      <c r="AE493" s="208"/>
      <c r="AF493" s="208"/>
      <c r="AG493" s="208"/>
      <c r="AH493" s="208"/>
      <c r="AI493" s="100"/>
      <c r="AJ493" s="100"/>
      <c r="AK493" s="100"/>
      <c r="AL493" s="100"/>
      <c r="AM493" s="100"/>
    </row>
    <row r="494" ht="14.25" customHeight="1">
      <c r="A494" s="100"/>
      <c r="B494" s="100"/>
      <c r="C494" s="100"/>
      <c r="D494" s="100"/>
      <c r="E494" s="100"/>
      <c r="F494" s="206"/>
      <c r="G494" s="206"/>
      <c r="H494" s="207"/>
      <c r="I494" s="207"/>
      <c r="J494" s="207"/>
      <c r="K494" s="207"/>
      <c r="L494" s="207"/>
      <c r="M494" s="207"/>
      <c r="N494" s="207"/>
      <c r="O494" s="207"/>
      <c r="P494" s="207"/>
      <c r="Q494" s="207"/>
      <c r="R494" s="207"/>
      <c r="S494" s="207"/>
      <c r="T494" s="207"/>
      <c r="U494" s="207"/>
      <c r="V494" s="207"/>
      <c r="W494" s="208"/>
      <c r="X494" s="208"/>
      <c r="Y494" s="208"/>
      <c r="Z494" s="208"/>
      <c r="AA494" s="208"/>
      <c r="AB494" s="208"/>
      <c r="AC494" s="208"/>
      <c r="AD494" s="208"/>
      <c r="AE494" s="208"/>
      <c r="AF494" s="208"/>
      <c r="AG494" s="208"/>
      <c r="AH494" s="208"/>
      <c r="AI494" s="100"/>
      <c r="AJ494" s="100"/>
      <c r="AK494" s="100"/>
      <c r="AL494" s="100"/>
      <c r="AM494" s="100"/>
    </row>
    <row r="495" ht="14.25" customHeight="1">
      <c r="A495" s="100"/>
      <c r="B495" s="100"/>
      <c r="C495" s="100"/>
      <c r="D495" s="100"/>
      <c r="E495" s="100"/>
      <c r="F495" s="206"/>
      <c r="G495" s="206"/>
      <c r="H495" s="207"/>
      <c r="I495" s="207"/>
      <c r="J495" s="207"/>
      <c r="K495" s="207"/>
      <c r="L495" s="207"/>
      <c r="M495" s="207"/>
      <c r="N495" s="207"/>
      <c r="O495" s="207"/>
      <c r="P495" s="207"/>
      <c r="Q495" s="207"/>
      <c r="R495" s="207"/>
      <c r="S495" s="207"/>
      <c r="T495" s="207"/>
      <c r="U495" s="207"/>
      <c r="V495" s="207"/>
      <c r="W495" s="208"/>
      <c r="X495" s="208"/>
      <c r="Y495" s="208"/>
      <c r="Z495" s="208"/>
      <c r="AA495" s="208"/>
      <c r="AB495" s="208"/>
      <c r="AC495" s="208"/>
      <c r="AD495" s="208"/>
      <c r="AE495" s="208"/>
      <c r="AF495" s="208"/>
      <c r="AG495" s="208"/>
      <c r="AH495" s="208"/>
      <c r="AI495" s="100"/>
      <c r="AJ495" s="100"/>
      <c r="AK495" s="100"/>
      <c r="AL495" s="100"/>
      <c r="AM495" s="100"/>
    </row>
    <row r="496" ht="14.25" customHeight="1">
      <c r="A496" s="100"/>
      <c r="B496" s="100"/>
      <c r="C496" s="100"/>
      <c r="D496" s="100"/>
      <c r="E496" s="100"/>
      <c r="F496" s="206"/>
      <c r="G496" s="206"/>
      <c r="H496" s="207"/>
      <c r="I496" s="207"/>
      <c r="J496" s="207"/>
      <c r="K496" s="207"/>
      <c r="L496" s="207"/>
      <c r="M496" s="207"/>
      <c r="N496" s="207"/>
      <c r="O496" s="207"/>
      <c r="P496" s="207"/>
      <c r="Q496" s="207"/>
      <c r="R496" s="207"/>
      <c r="S496" s="207"/>
      <c r="T496" s="207"/>
      <c r="U496" s="207"/>
      <c r="V496" s="207"/>
      <c r="W496" s="208"/>
      <c r="X496" s="208"/>
      <c r="Y496" s="208"/>
      <c r="Z496" s="208"/>
      <c r="AA496" s="208"/>
      <c r="AB496" s="208"/>
      <c r="AC496" s="208"/>
      <c r="AD496" s="208"/>
      <c r="AE496" s="208"/>
      <c r="AF496" s="208"/>
      <c r="AG496" s="208"/>
      <c r="AH496" s="208"/>
      <c r="AI496" s="100"/>
      <c r="AJ496" s="100"/>
      <c r="AK496" s="100"/>
      <c r="AL496" s="100"/>
      <c r="AM496" s="100"/>
    </row>
    <row r="497" ht="14.25" customHeight="1">
      <c r="A497" s="100"/>
      <c r="B497" s="100"/>
      <c r="C497" s="100"/>
      <c r="D497" s="100"/>
      <c r="E497" s="100"/>
      <c r="F497" s="206"/>
      <c r="G497" s="206"/>
      <c r="H497" s="207"/>
      <c r="I497" s="207"/>
      <c r="J497" s="207"/>
      <c r="K497" s="207"/>
      <c r="L497" s="207"/>
      <c r="M497" s="207"/>
      <c r="N497" s="207"/>
      <c r="O497" s="207"/>
      <c r="P497" s="207"/>
      <c r="Q497" s="207"/>
      <c r="R497" s="207"/>
      <c r="S497" s="207"/>
      <c r="T497" s="207"/>
      <c r="U497" s="207"/>
      <c r="V497" s="207"/>
      <c r="W497" s="208"/>
      <c r="X497" s="208"/>
      <c r="Y497" s="208"/>
      <c r="Z497" s="208"/>
      <c r="AA497" s="208"/>
      <c r="AB497" s="208"/>
      <c r="AC497" s="208"/>
      <c r="AD497" s="208"/>
      <c r="AE497" s="208"/>
      <c r="AF497" s="208"/>
      <c r="AG497" s="208"/>
      <c r="AH497" s="208"/>
      <c r="AI497" s="100"/>
      <c r="AJ497" s="100"/>
      <c r="AK497" s="100"/>
      <c r="AL497" s="100"/>
      <c r="AM497" s="100"/>
    </row>
    <row r="498" ht="14.25" customHeight="1">
      <c r="A498" s="100"/>
      <c r="B498" s="100"/>
      <c r="C498" s="100"/>
      <c r="D498" s="100"/>
      <c r="E498" s="100"/>
      <c r="F498" s="206"/>
      <c r="G498" s="206"/>
      <c r="H498" s="207"/>
      <c r="I498" s="207"/>
      <c r="J498" s="207"/>
      <c r="K498" s="207"/>
      <c r="L498" s="207"/>
      <c r="M498" s="207"/>
      <c r="N498" s="207"/>
      <c r="O498" s="207"/>
      <c r="P498" s="207"/>
      <c r="Q498" s="207"/>
      <c r="R498" s="207"/>
      <c r="S498" s="207"/>
      <c r="T498" s="207"/>
      <c r="U498" s="207"/>
      <c r="V498" s="207"/>
      <c r="W498" s="208"/>
      <c r="X498" s="208"/>
      <c r="Y498" s="208"/>
      <c r="Z498" s="208"/>
      <c r="AA498" s="208"/>
      <c r="AB498" s="208"/>
      <c r="AC498" s="208"/>
      <c r="AD498" s="208"/>
      <c r="AE498" s="208"/>
      <c r="AF498" s="208"/>
      <c r="AG498" s="208"/>
      <c r="AH498" s="208"/>
      <c r="AI498" s="100"/>
      <c r="AJ498" s="100"/>
      <c r="AK498" s="100"/>
      <c r="AL498" s="100"/>
      <c r="AM498" s="100"/>
    </row>
    <row r="499" ht="14.25" customHeight="1">
      <c r="A499" s="100"/>
      <c r="B499" s="100"/>
      <c r="C499" s="100"/>
      <c r="D499" s="100"/>
      <c r="E499" s="100"/>
      <c r="F499" s="206"/>
      <c r="G499" s="206"/>
      <c r="H499" s="207"/>
      <c r="I499" s="207"/>
      <c r="J499" s="207"/>
      <c r="K499" s="207"/>
      <c r="L499" s="207"/>
      <c r="M499" s="207"/>
      <c r="N499" s="207"/>
      <c r="O499" s="207"/>
      <c r="P499" s="207"/>
      <c r="Q499" s="207"/>
      <c r="R499" s="207"/>
      <c r="S499" s="207"/>
      <c r="T499" s="207"/>
      <c r="U499" s="207"/>
      <c r="V499" s="207"/>
      <c r="W499" s="208"/>
      <c r="X499" s="208"/>
      <c r="Y499" s="208"/>
      <c r="Z499" s="208"/>
      <c r="AA499" s="208"/>
      <c r="AB499" s="208"/>
      <c r="AC499" s="208"/>
      <c r="AD499" s="208"/>
      <c r="AE499" s="208"/>
      <c r="AF499" s="208"/>
      <c r="AG499" s="208"/>
      <c r="AH499" s="208"/>
      <c r="AI499" s="100"/>
      <c r="AJ499" s="100"/>
      <c r="AK499" s="100"/>
      <c r="AL499" s="100"/>
      <c r="AM499" s="100"/>
    </row>
    <row r="500" ht="14.25" customHeight="1">
      <c r="A500" s="100"/>
      <c r="B500" s="100"/>
      <c r="C500" s="100"/>
      <c r="D500" s="100"/>
      <c r="E500" s="100"/>
      <c r="F500" s="206"/>
      <c r="G500" s="206"/>
      <c r="H500" s="207"/>
      <c r="I500" s="207"/>
      <c r="J500" s="207"/>
      <c r="K500" s="207"/>
      <c r="L500" s="207"/>
      <c r="M500" s="207"/>
      <c r="N500" s="207"/>
      <c r="O500" s="207"/>
      <c r="P500" s="207"/>
      <c r="Q500" s="207"/>
      <c r="R500" s="207"/>
      <c r="S500" s="207"/>
      <c r="T500" s="207"/>
      <c r="U500" s="207"/>
      <c r="V500" s="207"/>
      <c r="W500" s="208"/>
      <c r="X500" s="208"/>
      <c r="Y500" s="208"/>
      <c r="Z500" s="208"/>
      <c r="AA500" s="208"/>
      <c r="AB500" s="208"/>
      <c r="AC500" s="208"/>
      <c r="AD500" s="208"/>
      <c r="AE500" s="208"/>
      <c r="AF500" s="208"/>
      <c r="AG500" s="208"/>
      <c r="AH500" s="208"/>
      <c r="AI500" s="100"/>
      <c r="AJ500" s="100"/>
      <c r="AK500" s="100"/>
      <c r="AL500" s="100"/>
      <c r="AM500" s="100"/>
    </row>
    <row r="501" ht="14.25" customHeight="1">
      <c r="A501" s="100"/>
      <c r="B501" s="100"/>
      <c r="C501" s="100"/>
      <c r="D501" s="100"/>
      <c r="E501" s="100"/>
      <c r="F501" s="206"/>
      <c r="G501" s="206"/>
      <c r="H501" s="207"/>
      <c r="I501" s="207"/>
      <c r="J501" s="207"/>
      <c r="K501" s="207"/>
      <c r="L501" s="207"/>
      <c r="M501" s="207"/>
      <c r="N501" s="207"/>
      <c r="O501" s="207"/>
      <c r="P501" s="207"/>
      <c r="Q501" s="207"/>
      <c r="R501" s="207"/>
      <c r="S501" s="207"/>
      <c r="T501" s="207"/>
      <c r="U501" s="207"/>
      <c r="V501" s="207"/>
      <c r="W501" s="208"/>
      <c r="X501" s="208"/>
      <c r="Y501" s="208"/>
      <c r="Z501" s="208"/>
      <c r="AA501" s="208"/>
      <c r="AB501" s="208"/>
      <c r="AC501" s="208"/>
      <c r="AD501" s="208"/>
      <c r="AE501" s="208"/>
      <c r="AF501" s="208"/>
      <c r="AG501" s="208"/>
      <c r="AH501" s="208"/>
      <c r="AI501" s="100"/>
      <c r="AJ501" s="100"/>
      <c r="AK501" s="100"/>
      <c r="AL501" s="100"/>
      <c r="AM501" s="100"/>
    </row>
    <row r="502" ht="14.25" customHeight="1">
      <c r="A502" s="100"/>
      <c r="B502" s="100"/>
      <c r="C502" s="100"/>
      <c r="D502" s="100"/>
      <c r="E502" s="100"/>
      <c r="F502" s="206"/>
      <c r="G502" s="206"/>
      <c r="H502" s="207"/>
      <c r="I502" s="207"/>
      <c r="J502" s="207"/>
      <c r="K502" s="207"/>
      <c r="L502" s="207"/>
      <c r="M502" s="207"/>
      <c r="N502" s="207"/>
      <c r="O502" s="207"/>
      <c r="P502" s="207"/>
      <c r="Q502" s="207"/>
      <c r="R502" s="207"/>
      <c r="S502" s="207"/>
      <c r="T502" s="207"/>
      <c r="U502" s="207"/>
      <c r="V502" s="207"/>
      <c r="W502" s="208"/>
      <c r="X502" s="208"/>
      <c r="Y502" s="208"/>
      <c r="Z502" s="208"/>
      <c r="AA502" s="208"/>
      <c r="AB502" s="208"/>
      <c r="AC502" s="208"/>
      <c r="AD502" s="208"/>
      <c r="AE502" s="208"/>
      <c r="AF502" s="208"/>
      <c r="AG502" s="208"/>
      <c r="AH502" s="208"/>
      <c r="AI502" s="100"/>
      <c r="AJ502" s="100"/>
      <c r="AK502" s="100"/>
      <c r="AL502" s="100"/>
      <c r="AM502" s="100"/>
    </row>
    <row r="503" ht="14.25" customHeight="1">
      <c r="A503" s="100"/>
      <c r="B503" s="100"/>
      <c r="C503" s="100"/>
      <c r="D503" s="100"/>
      <c r="E503" s="100"/>
      <c r="F503" s="206"/>
      <c r="G503" s="206"/>
      <c r="H503" s="207"/>
      <c r="I503" s="207"/>
      <c r="J503" s="207"/>
      <c r="K503" s="207"/>
      <c r="L503" s="207"/>
      <c r="M503" s="207"/>
      <c r="N503" s="207"/>
      <c r="O503" s="207"/>
      <c r="P503" s="207"/>
      <c r="Q503" s="207"/>
      <c r="R503" s="207"/>
      <c r="S503" s="207"/>
      <c r="T503" s="207"/>
      <c r="U503" s="207"/>
      <c r="V503" s="207"/>
      <c r="W503" s="208"/>
      <c r="X503" s="208"/>
      <c r="Y503" s="208"/>
      <c r="Z503" s="208"/>
      <c r="AA503" s="208"/>
      <c r="AB503" s="208"/>
      <c r="AC503" s="208"/>
      <c r="AD503" s="208"/>
      <c r="AE503" s="208"/>
      <c r="AF503" s="208"/>
      <c r="AG503" s="208"/>
      <c r="AH503" s="208"/>
      <c r="AI503" s="100"/>
      <c r="AJ503" s="100"/>
      <c r="AK503" s="100"/>
      <c r="AL503" s="100"/>
      <c r="AM503" s="100"/>
    </row>
    <row r="504" ht="14.25" customHeight="1">
      <c r="A504" s="100"/>
      <c r="B504" s="100"/>
      <c r="C504" s="100"/>
      <c r="D504" s="100"/>
      <c r="E504" s="100"/>
      <c r="F504" s="206"/>
      <c r="G504" s="206"/>
      <c r="H504" s="207"/>
      <c r="I504" s="207"/>
      <c r="J504" s="207"/>
      <c r="K504" s="207"/>
      <c r="L504" s="207"/>
      <c r="M504" s="207"/>
      <c r="N504" s="207"/>
      <c r="O504" s="207"/>
      <c r="P504" s="207"/>
      <c r="Q504" s="207"/>
      <c r="R504" s="207"/>
      <c r="S504" s="207"/>
      <c r="T504" s="207"/>
      <c r="U504" s="207"/>
      <c r="V504" s="207"/>
      <c r="W504" s="208"/>
      <c r="X504" s="208"/>
      <c r="Y504" s="208"/>
      <c r="Z504" s="208"/>
      <c r="AA504" s="208"/>
      <c r="AB504" s="208"/>
      <c r="AC504" s="208"/>
      <c r="AD504" s="208"/>
      <c r="AE504" s="208"/>
      <c r="AF504" s="208"/>
      <c r="AG504" s="208"/>
      <c r="AH504" s="208"/>
      <c r="AI504" s="100"/>
      <c r="AJ504" s="100"/>
      <c r="AK504" s="100"/>
      <c r="AL504" s="100"/>
      <c r="AM504" s="100"/>
    </row>
    <row r="505" ht="14.25" customHeight="1">
      <c r="A505" s="100"/>
      <c r="B505" s="100"/>
      <c r="C505" s="100"/>
      <c r="D505" s="100"/>
      <c r="E505" s="100"/>
      <c r="F505" s="206"/>
      <c r="G505" s="206"/>
      <c r="H505" s="207"/>
      <c r="I505" s="207"/>
      <c r="J505" s="207"/>
      <c r="K505" s="207"/>
      <c r="L505" s="207"/>
      <c r="M505" s="207"/>
      <c r="N505" s="207"/>
      <c r="O505" s="207"/>
      <c r="P505" s="207"/>
      <c r="Q505" s="207"/>
      <c r="R505" s="207"/>
      <c r="S505" s="207"/>
      <c r="T505" s="207"/>
      <c r="U505" s="207"/>
      <c r="V505" s="207"/>
      <c r="W505" s="208"/>
      <c r="X505" s="208"/>
      <c r="Y505" s="208"/>
      <c r="Z505" s="208"/>
      <c r="AA505" s="208"/>
      <c r="AB505" s="208"/>
      <c r="AC505" s="208"/>
      <c r="AD505" s="208"/>
      <c r="AE505" s="208"/>
      <c r="AF505" s="208"/>
      <c r="AG505" s="208"/>
      <c r="AH505" s="208"/>
      <c r="AI505" s="100"/>
      <c r="AJ505" s="100"/>
      <c r="AK505" s="100"/>
      <c r="AL505" s="100"/>
      <c r="AM505" s="100"/>
    </row>
    <row r="506" ht="14.25" customHeight="1">
      <c r="A506" s="100"/>
      <c r="B506" s="100"/>
      <c r="C506" s="100"/>
      <c r="D506" s="100"/>
      <c r="E506" s="100"/>
      <c r="F506" s="206"/>
      <c r="G506" s="206"/>
      <c r="H506" s="207"/>
      <c r="I506" s="207"/>
      <c r="J506" s="207"/>
      <c r="K506" s="207"/>
      <c r="L506" s="207"/>
      <c r="M506" s="207"/>
      <c r="N506" s="207"/>
      <c r="O506" s="207"/>
      <c r="P506" s="207"/>
      <c r="Q506" s="207"/>
      <c r="R506" s="207"/>
      <c r="S506" s="207"/>
      <c r="T506" s="207"/>
      <c r="U506" s="207"/>
      <c r="V506" s="207"/>
      <c r="W506" s="208"/>
      <c r="X506" s="208"/>
      <c r="Y506" s="208"/>
      <c r="Z506" s="208"/>
      <c r="AA506" s="208"/>
      <c r="AB506" s="208"/>
      <c r="AC506" s="208"/>
      <c r="AD506" s="208"/>
      <c r="AE506" s="208"/>
      <c r="AF506" s="208"/>
      <c r="AG506" s="208"/>
      <c r="AH506" s="208"/>
      <c r="AI506" s="100"/>
      <c r="AJ506" s="100"/>
      <c r="AK506" s="100"/>
      <c r="AL506" s="100"/>
      <c r="AM506" s="100"/>
    </row>
    <row r="507" ht="14.25" customHeight="1">
      <c r="A507" s="100"/>
      <c r="B507" s="100"/>
      <c r="C507" s="100"/>
      <c r="D507" s="100"/>
      <c r="E507" s="100"/>
      <c r="F507" s="206"/>
      <c r="G507" s="206"/>
      <c r="H507" s="207"/>
      <c r="I507" s="207"/>
      <c r="J507" s="207"/>
      <c r="K507" s="207"/>
      <c r="L507" s="207"/>
      <c r="M507" s="207"/>
      <c r="N507" s="207"/>
      <c r="O507" s="207"/>
      <c r="P507" s="207"/>
      <c r="Q507" s="207"/>
      <c r="R507" s="207"/>
      <c r="S507" s="207"/>
      <c r="T507" s="207"/>
      <c r="U507" s="207"/>
      <c r="V507" s="207"/>
      <c r="W507" s="208"/>
      <c r="X507" s="208"/>
      <c r="Y507" s="208"/>
      <c r="Z507" s="208"/>
      <c r="AA507" s="208"/>
      <c r="AB507" s="208"/>
      <c r="AC507" s="208"/>
      <c r="AD507" s="208"/>
      <c r="AE507" s="208"/>
      <c r="AF507" s="208"/>
      <c r="AG507" s="208"/>
      <c r="AH507" s="208"/>
      <c r="AI507" s="100"/>
      <c r="AJ507" s="100"/>
      <c r="AK507" s="100"/>
      <c r="AL507" s="100"/>
      <c r="AM507" s="100"/>
    </row>
    <row r="508" ht="14.25" customHeight="1">
      <c r="A508" s="100"/>
      <c r="B508" s="100"/>
      <c r="C508" s="100"/>
      <c r="D508" s="100"/>
      <c r="E508" s="100"/>
      <c r="F508" s="206"/>
      <c r="G508" s="206"/>
      <c r="H508" s="207"/>
      <c r="I508" s="207"/>
      <c r="J508" s="207"/>
      <c r="K508" s="207"/>
      <c r="L508" s="207"/>
      <c r="M508" s="207"/>
      <c r="N508" s="207"/>
      <c r="O508" s="207"/>
      <c r="P508" s="207"/>
      <c r="Q508" s="207"/>
      <c r="R508" s="207"/>
      <c r="S508" s="207"/>
      <c r="T508" s="207"/>
      <c r="U508" s="207"/>
      <c r="V508" s="207"/>
      <c r="W508" s="208"/>
      <c r="X508" s="208"/>
      <c r="Y508" s="208"/>
      <c r="Z508" s="208"/>
      <c r="AA508" s="208"/>
      <c r="AB508" s="208"/>
      <c r="AC508" s="208"/>
      <c r="AD508" s="208"/>
      <c r="AE508" s="208"/>
      <c r="AF508" s="208"/>
      <c r="AG508" s="208"/>
      <c r="AH508" s="208"/>
      <c r="AI508" s="100"/>
      <c r="AJ508" s="100"/>
      <c r="AK508" s="100"/>
      <c r="AL508" s="100"/>
      <c r="AM508" s="100"/>
    </row>
    <row r="509" ht="14.25" customHeight="1">
      <c r="A509" s="100"/>
      <c r="B509" s="100"/>
      <c r="C509" s="100"/>
      <c r="D509" s="100"/>
      <c r="E509" s="100"/>
      <c r="F509" s="206"/>
      <c r="G509" s="206"/>
      <c r="H509" s="207"/>
      <c r="I509" s="207"/>
      <c r="J509" s="207"/>
      <c r="K509" s="207"/>
      <c r="L509" s="207"/>
      <c r="M509" s="207"/>
      <c r="N509" s="207"/>
      <c r="O509" s="207"/>
      <c r="P509" s="207"/>
      <c r="Q509" s="207"/>
      <c r="R509" s="207"/>
      <c r="S509" s="207"/>
      <c r="T509" s="207"/>
      <c r="U509" s="207"/>
      <c r="V509" s="207"/>
      <c r="W509" s="208"/>
      <c r="X509" s="208"/>
      <c r="Y509" s="208"/>
      <c r="Z509" s="208"/>
      <c r="AA509" s="208"/>
      <c r="AB509" s="208"/>
      <c r="AC509" s="208"/>
      <c r="AD509" s="208"/>
      <c r="AE509" s="208"/>
      <c r="AF509" s="208"/>
      <c r="AG509" s="208"/>
      <c r="AH509" s="208"/>
      <c r="AI509" s="100"/>
      <c r="AJ509" s="100"/>
      <c r="AK509" s="100"/>
      <c r="AL509" s="100"/>
      <c r="AM509" s="100"/>
    </row>
    <row r="510" ht="14.25" customHeight="1">
      <c r="A510" s="100"/>
      <c r="B510" s="100"/>
      <c r="C510" s="100"/>
      <c r="D510" s="100"/>
      <c r="E510" s="100"/>
      <c r="F510" s="206"/>
      <c r="G510" s="206"/>
      <c r="H510" s="207"/>
      <c r="I510" s="207"/>
      <c r="J510" s="207"/>
      <c r="K510" s="207"/>
      <c r="L510" s="207"/>
      <c r="M510" s="207"/>
      <c r="N510" s="207"/>
      <c r="O510" s="207"/>
      <c r="P510" s="207"/>
      <c r="Q510" s="207"/>
      <c r="R510" s="207"/>
      <c r="S510" s="207"/>
      <c r="T510" s="207"/>
      <c r="U510" s="207"/>
      <c r="V510" s="207"/>
      <c r="W510" s="208"/>
      <c r="X510" s="208"/>
      <c r="Y510" s="208"/>
      <c r="Z510" s="208"/>
      <c r="AA510" s="208"/>
      <c r="AB510" s="208"/>
      <c r="AC510" s="208"/>
      <c r="AD510" s="208"/>
      <c r="AE510" s="208"/>
      <c r="AF510" s="208"/>
      <c r="AG510" s="208"/>
      <c r="AH510" s="208"/>
      <c r="AI510" s="100"/>
      <c r="AJ510" s="100"/>
      <c r="AK510" s="100"/>
      <c r="AL510" s="100"/>
      <c r="AM510" s="100"/>
    </row>
    <row r="511" ht="14.25" customHeight="1">
      <c r="A511" s="100"/>
      <c r="B511" s="100"/>
      <c r="C511" s="100"/>
      <c r="D511" s="100"/>
      <c r="E511" s="100"/>
      <c r="F511" s="206"/>
      <c r="G511" s="206"/>
      <c r="H511" s="207"/>
      <c r="I511" s="207"/>
      <c r="J511" s="207"/>
      <c r="K511" s="207"/>
      <c r="L511" s="207"/>
      <c r="M511" s="207"/>
      <c r="N511" s="207"/>
      <c r="O511" s="207"/>
      <c r="P511" s="207"/>
      <c r="Q511" s="207"/>
      <c r="R511" s="207"/>
      <c r="S511" s="207"/>
      <c r="T511" s="207"/>
      <c r="U511" s="207"/>
      <c r="V511" s="207"/>
      <c r="W511" s="208"/>
      <c r="X511" s="208"/>
      <c r="Y511" s="208"/>
      <c r="Z511" s="208"/>
      <c r="AA511" s="208"/>
      <c r="AB511" s="208"/>
      <c r="AC511" s="208"/>
      <c r="AD511" s="208"/>
      <c r="AE511" s="208"/>
      <c r="AF511" s="208"/>
      <c r="AG511" s="208"/>
      <c r="AH511" s="208"/>
      <c r="AI511" s="100"/>
      <c r="AJ511" s="100"/>
      <c r="AK511" s="100"/>
      <c r="AL511" s="100"/>
      <c r="AM511" s="100"/>
    </row>
    <row r="512" ht="14.25" customHeight="1">
      <c r="A512" s="100"/>
      <c r="B512" s="100"/>
      <c r="C512" s="100"/>
      <c r="D512" s="100"/>
      <c r="E512" s="100"/>
      <c r="F512" s="206"/>
      <c r="G512" s="206"/>
      <c r="H512" s="207"/>
      <c r="I512" s="207"/>
      <c r="J512" s="207"/>
      <c r="K512" s="207"/>
      <c r="L512" s="207"/>
      <c r="M512" s="207"/>
      <c r="N512" s="207"/>
      <c r="O512" s="207"/>
      <c r="P512" s="207"/>
      <c r="Q512" s="207"/>
      <c r="R512" s="207"/>
      <c r="S512" s="207"/>
      <c r="T512" s="207"/>
      <c r="U512" s="207"/>
      <c r="V512" s="207"/>
      <c r="W512" s="208"/>
      <c r="X512" s="208"/>
      <c r="Y512" s="208"/>
      <c r="Z512" s="208"/>
      <c r="AA512" s="208"/>
      <c r="AB512" s="208"/>
      <c r="AC512" s="208"/>
      <c r="AD512" s="208"/>
      <c r="AE512" s="208"/>
      <c r="AF512" s="208"/>
      <c r="AG512" s="208"/>
      <c r="AH512" s="208"/>
      <c r="AI512" s="100"/>
      <c r="AJ512" s="100"/>
      <c r="AK512" s="100"/>
      <c r="AL512" s="100"/>
      <c r="AM512" s="100"/>
    </row>
    <row r="513" ht="14.25" customHeight="1">
      <c r="A513" s="100"/>
      <c r="B513" s="100"/>
      <c r="C513" s="100"/>
      <c r="D513" s="100"/>
      <c r="E513" s="100"/>
      <c r="F513" s="206"/>
      <c r="G513" s="206"/>
      <c r="H513" s="207"/>
      <c r="I513" s="207"/>
      <c r="J513" s="207"/>
      <c r="K513" s="207"/>
      <c r="L513" s="207"/>
      <c r="M513" s="207"/>
      <c r="N513" s="207"/>
      <c r="O513" s="207"/>
      <c r="P513" s="207"/>
      <c r="Q513" s="207"/>
      <c r="R513" s="207"/>
      <c r="S513" s="207"/>
      <c r="T513" s="207"/>
      <c r="U513" s="207"/>
      <c r="V513" s="207"/>
      <c r="W513" s="208"/>
      <c r="X513" s="208"/>
      <c r="Y513" s="208"/>
      <c r="Z513" s="208"/>
      <c r="AA513" s="208"/>
      <c r="AB513" s="208"/>
      <c r="AC513" s="208"/>
      <c r="AD513" s="208"/>
      <c r="AE513" s="208"/>
      <c r="AF513" s="208"/>
      <c r="AG513" s="208"/>
      <c r="AH513" s="208"/>
      <c r="AI513" s="100"/>
      <c r="AJ513" s="100"/>
      <c r="AK513" s="100"/>
      <c r="AL513" s="100"/>
      <c r="AM513" s="100"/>
    </row>
    <row r="514" ht="14.25" customHeight="1">
      <c r="A514" s="100"/>
      <c r="B514" s="100"/>
      <c r="C514" s="100"/>
      <c r="D514" s="100"/>
      <c r="E514" s="100"/>
      <c r="F514" s="206"/>
      <c r="G514" s="206"/>
      <c r="H514" s="207"/>
      <c r="I514" s="207"/>
      <c r="J514" s="207"/>
      <c r="K514" s="207"/>
      <c r="L514" s="207"/>
      <c r="M514" s="207"/>
      <c r="N514" s="207"/>
      <c r="O514" s="207"/>
      <c r="P514" s="207"/>
      <c r="Q514" s="207"/>
      <c r="R514" s="207"/>
      <c r="S514" s="207"/>
      <c r="T514" s="207"/>
      <c r="U514" s="207"/>
      <c r="V514" s="207"/>
      <c r="W514" s="208"/>
      <c r="X514" s="208"/>
      <c r="Y514" s="208"/>
      <c r="Z514" s="208"/>
      <c r="AA514" s="208"/>
      <c r="AB514" s="208"/>
      <c r="AC514" s="208"/>
      <c r="AD514" s="208"/>
      <c r="AE514" s="208"/>
      <c r="AF514" s="208"/>
      <c r="AG514" s="208"/>
      <c r="AH514" s="208"/>
      <c r="AI514" s="100"/>
      <c r="AJ514" s="100"/>
      <c r="AK514" s="100"/>
      <c r="AL514" s="100"/>
      <c r="AM514" s="100"/>
    </row>
    <row r="515" ht="14.25" customHeight="1">
      <c r="A515" s="100"/>
      <c r="B515" s="100"/>
      <c r="C515" s="100"/>
      <c r="D515" s="100"/>
      <c r="E515" s="100"/>
      <c r="F515" s="206"/>
      <c r="G515" s="206"/>
      <c r="H515" s="207"/>
      <c r="I515" s="207"/>
      <c r="J515" s="207"/>
      <c r="K515" s="207"/>
      <c r="L515" s="207"/>
      <c r="M515" s="207"/>
      <c r="N515" s="207"/>
      <c r="O515" s="207"/>
      <c r="P515" s="207"/>
      <c r="Q515" s="207"/>
      <c r="R515" s="207"/>
      <c r="S515" s="207"/>
      <c r="T515" s="207"/>
      <c r="U515" s="207"/>
      <c r="V515" s="207"/>
      <c r="W515" s="208"/>
      <c r="X515" s="208"/>
      <c r="Y515" s="208"/>
      <c r="Z515" s="208"/>
      <c r="AA515" s="208"/>
      <c r="AB515" s="208"/>
      <c r="AC515" s="208"/>
      <c r="AD515" s="208"/>
      <c r="AE515" s="208"/>
      <c r="AF515" s="208"/>
      <c r="AG515" s="208"/>
      <c r="AH515" s="208"/>
      <c r="AI515" s="100"/>
      <c r="AJ515" s="100"/>
      <c r="AK515" s="100"/>
      <c r="AL515" s="100"/>
      <c r="AM515" s="100"/>
    </row>
    <row r="516" ht="14.25" customHeight="1">
      <c r="A516" s="100"/>
      <c r="B516" s="100"/>
      <c r="C516" s="100"/>
      <c r="D516" s="100"/>
      <c r="E516" s="100"/>
      <c r="F516" s="206"/>
      <c r="G516" s="206"/>
      <c r="H516" s="207"/>
      <c r="I516" s="207"/>
      <c r="J516" s="207"/>
      <c r="K516" s="207"/>
      <c r="L516" s="207"/>
      <c r="M516" s="207"/>
      <c r="N516" s="207"/>
      <c r="O516" s="207"/>
      <c r="P516" s="207"/>
      <c r="Q516" s="207"/>
      <c r="R516" s="207"/>
      <c r="S516" s="207"/>
      <c r="T516" s="207"/>
      <c r="U516" s="207"/>
      <c r="V516" s="207"/>
      <c r="W516" s="208"/>
      <c r="X516" s="208"/>
      <c r="Y516" s="208"/>
      <c r="Z516" s="208"/>
      <c r="AA516" s="208"/>
      <c r="AB516" s="208"/>
      <c r="AC516" s="208"/>
      <c r="AD516" s="208"/>
      <c r="AE516" s="208"/>
      <c r="AF516" s="208"/>
      <c r="AG516" s="208"/>
      <c r="AH516" s="208"/>
      <c r="AI516" s="100"/>
      <c r="AJ516" s="100"/>
      <c r="AK516" s="100"/>
      <c r="AL516" s="100"/>
      <c r="AM516" s="100"/>
    </row>
    <row r="517" ht="14.25" customHeight="1">
      <c r="A517" s="100"/>
      <c r="B517" s="100"/>
      <c r="C517" s="100"/>
      <c r="D517" s="100"/>
      <c r="E517" s="100"/>
      <c r="F517" s="206"/>
      <c r="G517" s="206"/>
      <c r="H517" s="207"/>
      <c r="I517" s="207"/>
      <c r="J517" s="207"/>
      <c r="K517" s="207"/>
      <c r="L517" s="207"/>
      <c r="M517" s="207"/>
      <c r="N517" s="207"/>
      <c r="O517" s="207"/>
      <c r="P517" s="207"/>
      <c r="Q517" s="207"/>
      <c r="R517" s="207"/>
      <c r="S517" s="207"/>
      <c r="T517" s="207"/>
      <c r="U517" s="207"/>
      <c r="V517" s="207"/>
      <c r="W517" s="208"/>
      <c r="X517" s="208"/>
      <c r="Y517" s="208"/>
      <c r="Z517" s="208"/>
      <c r="AA517" s="208"/>
      <c r="AB517" s="208"/>
      <c r="AC517" s="208"/>
      <c r="AD517" s="208"/>
      <c r="AE517" s="208"/>
      <c r="AF517" s="208"/>
      <c r="AG517" s="208"/>
      <c r="AH517" s="208"/>
      <c r="AI517" s="100"/>
      <c r="AJ517" s="100"/>
      <c r="AK517" s="100"/>
      <c r="AL517" s="100"/>
      <c r="AM517" s="100"/>
    </row>
    <row r="518" ht="14.25" customHeight="1">
      <c r="A518" s="100"/>
      <c r="B518" s="100"/>
      <c r="C518" s="100"/>
      <c r="D518" s="100"/>
      <c r="E518" s="100"/>
      <c r="F518" s="206"/>
      <c r="G518" s="206"/>
      <c r="H518" s="207"/>
      <c r="I518" s="207"/>
      <c r="J518" s="207"/>
      <c r="K518" s="207"/>
      <c r="L518" s="207"/>
      <c r="M518" s="207"/>
      <c r="N518" s="207"/>
      <c r="O518" s="207"/>
      <c r="P518" s="207"/>
      <c r="Q518" s="207"/>
      <c r="R518" s="207"/>
      <c r="S518" s="207"/>
      <c r="T518" s="207"/>
      <c r="U518" s="207"/>
      <c r="V518" s="207"/>
      <c r="W518" s="208"/>
      <c r="X518" s="208"/>
      <c r="Y518" s="208"/>
      <c r="Z518" s="208"/>
      <c r="AA518" s="208"/>
      <c r="AB518" s="208"/>
      <c r="AC518" s="208"/>
      <c r="AD518" s="208"/>
      <c r="AE518" s="208"/>
      <c r="AF518" s="208"/>
      <c r="AG518" s="208"/>
      <c r="AH518" s="208"/>
      <c r="AI518" s="100"/>
      <c r="AJ518" s="100"/>
      <c r="AK518" s="100"/>
      <c r="AL518" s="100"/>
      <c r="AM518" s="100"/>
    </row>
    <row r="519" ht="14.25" customHeight="1">
      <c r="A519" s="100"/>
      <c r="B519" s="100"/>
      <c r="C519" s="100"/>
      <c r="D519" s="100"/>
      <c r="E519" s="100"/>
      <c r="F519" s="206"/>
      <c r="G519" s="206"/>
      <c r="H519" s="207"/>
      <c r="I519" s="207"/>
      <c r="J519" s="207"/>
      <c r="K519" s="207"/>
      <c r="L519" s="207"/>
      <c r="M519" s="207"/>
      <c r="N519" s="207"/>
      <c r="O519" s="207"/>
      <c r="P519" s="207"/>
      <c r="Q519" s="207"/>
      <c r="R519" s="207"/>
      <c r="S519" s="207"/>
      <c r="T519" s="207"/>
      <c r="U519" s="207"/>
      <c r="V519" s="207"/>
      <c r="W519" s="208"/>
      <c r="X519" s="208"/>
      <c r="Y519" s="208"/>
      <c r="Z519" s="208"/>
      <c r="AA519" s="208"/>
      <c r="AB519" s="208"/>
      <c r="AC519" s="208"/>
      <c r="AD519" s="208"/>
      <c r="AE519" s="208"/>
      <c r="AF519" s="208"/>
      <c r="AG519" s="208"/>
      <c r="AH519" s="208"/>
      <c r="AI519" s="100"/>
      <c r="AJ519" s="100"/>
      <c r="AK519" s="100"/>
      <c r="AL519" s="100"/>
      <c r="AM519" s="100"/>
    </row>
    <row r="520" ht="14.25" customHeight="1">
      <c r="A520" s="100"/>
      <c r="B520" s="100"/>
      <c r="C520" s="100"/>
      <c r="D520" s="100"/>
      <c r="E520" s="100"/>
      <c r="F520" s="206"/>
      <c r="G520" s="206"/>
      <c r="H520" s="207"/>
      <c r="I520" s="207"/>
      <c r="J520" s="207"/>
      <c r="K520" s="207"/>
      <c r="L520" s="207"/>
      <c r="M520" s="207"/>
      <c r="N520" s="207"/>
      <c r="O520" s="207"/>
      <c r="P520" s="207"/>
      <c r="Q520" s="207"/>
      <c r="R520" s="207"/>
      <c r="S520" s="207"/>
      <c r="T520" s="207"/>
      <c r="U520" s="207"/>
      <c r="V520" s="207"/>
      <c r="W520" s="208"/>
      <c r="X520" s="208"/>
      <c r="Y520" s="208"/>
      <c r="Z520" s="208"/>
      <c r="AA520" s="208"/>
      <c r="AB520" s="208"/>
      <c r="AC520" s="208"/>
      <c r="AD520" s="208"/>
      <c r="AE520" s="208"/>
      <c r="AF520" s="208"/>
      <c r="AG520" s="208"/>
      <c r="AH520" s="208"/>
      <c r="AI520" s="100"/>
      <c r="AJ520" s="100"/>
      <c r="AK520" s="100"/>
      <c r="AL520" s="100"/>
      <c r="AM520" s="100"/>
    </row>
    <row r="521" ht="14.25" customHeight="1">
      <c r="A521" s="100"/>
      <c r="B521" s="100"/>
      <c r="C521" s="100"/>
      <c r="D521" s="100"/>
      <c r="E521" s="100"/>
      <c r="F521" s="206"/>
      <c r="G521" s="206"/>
      <c r="H521" s="207"/>
      <c r="I521" s="207"/>
      <c r="J521" s="207"/>
      <c r="K521" s="207"/>
      <c r="L521" s="207"/>
      <c r="M521" s="207"/>
      <c r="N521" s="207"/>
      <c r="O521" s="207"/>
      <c r="P521" s="207"/>
      <c r="Q521" s="207"/>
      <c r="R521" s="207"/>
      <c r="S521" s="207"/>
      <c r="T521" s="207"/>
      <c r="U521" s="207"/>
      <c r="V521" s="207"/>
      <c r="W521" s="208"/>
      <c r="X521" s="208"/>
      <c r="Y521" s="208"/>
      <c r="Z521" s="208"/>
      <c r="AA521" s="208"/>
      <c r="AB521" s="208"/>
      <c r="AC521" s="208"/>
      <c r="AD521" s="208"/>
      <c r="AE521" s="208"/>
      <c r="AF521" s="208"/>
      <c r="AG521" s="208"/>
      <c r="AH521" s="208"/>
      <c r="AI521" s="100"/>
      <c r="AJ521" s="100"/>
      <c r="AK521" s="100"/>
      <c r="AL521" s="100"/>
      <c r="AM521" s="100"/>
    </row>
    <row r="522" ht="14.25" customHeight="1">
      <c r="A522" s="100"/>
      <c r="B522" s="100"/>
      <c r="C522" s="100"/>
      <c r="D522" s="100"/>
      <c r="E522" s="100"/>
      <c r="F522" s="206"/>
      <c r="G522" s="206"/>
      <c r="H522" s="207"/>
      <c r="I522" s="207"/>
      <c r="J522" s="207"/>
      <c r="K522" s="207"/>
      <c r="L522" s="207"/>
      <c r="M522" s="207"/>
      <c r="N522" s="207"/>
      <c r="O522" s="207"/>
      <c r="P522" s="207"/>
      <c r="Q522" s="207"/>
      <c r="R522" s="207"/>
      <c r="S522" s="207"/>
      <c r="T522" s="207"/>
      <c r="U522" s="207"/>
      <c r="V522" s="207"/>
      <c r="W522" s="208"/>
      <c r="X522" s="208"/>
      <c r="Y522" s="208"/>
      <c r="Z522" s="208"/>
      <c r="AA522" s="208"/>
      <c r="AB522" s="208"/>
      <c r="AC522" s="208"/>
      <c r="AD522" s="208"/>
      <c r="AE522" s="208"/>
      <c r="AF522" s="208"/>
      <c r="AG522" s="208"/>
      <c r="AH522" s="208"/>
      <c r="AI522" s="100"/>
      <c r="AJ522" s="100"/>
      <c r="AK522" s="100"/>
      <c r="AL522" s="100"/>
      <c r="AM522" s="100"/>
    </row>
    <row r="523" ht="14.25" customHeight="1">
      <c r="A523" s="100"/>
      <c r="B523" s="100"/>
      <c r="C523" s="100"/>
      <c r="D523" s="100"/>
      <c r="E523" s="100"/>
      <c r="F523" s="206"/>
      <c r="G523" s="206"/>
      <c r="H523" s="207"/>
      <c r="I523" s="207"/>
      <c r="J523" s="207"/>
      <c r="K523" s="207"/>
      <c r="L523" s="207"/>
      <c r="M523" s="207"/>
      <c r="N523" s="207"/>
      <c r="O523" s="207"/>
      <c r="P523" s="207"/>
      <c r="Q523" s="207"/>
      <c r="R523" s="207"/>
      <c r="S523" s="207"/>
      <c r="T523" s="207"/>
      <c r="U523" s="207"/>
      <c r="V523" s="207"/>
      <c r="W523" s="208"/>
      <c r="X523" s="208"/>
      <c r="Y523" s="208"/>
      <c r="Z523" s="208"/>
      <c r="AA523" s="208"/>
      <c r="AB523" s="208"/>
      <c r="AC523" s="208"/>
      <c r="AD523" s="208"/>
      <c r="AE523" s="208"/>
      <c r="AF523" s="208"/>
      <c r="AG523" s="208"/>
      <c r="AH523" s="208"/>
      <c r="AI523" s="100"/>
      <c r="AJ523" s="100"/>
      <c r="AK523" s="100"/>
      <c r="AL523" s="100"/>
      <c r="AM523" s="100"/>
    </row>
    <row r="524" ht="14.25" customHeight="1">
      <c r="A524" s="100"/>
      <c r="B524" s="100"/>
      <c r="C524" s="100"/>
      <c r="D524" s="100"/>
      <c r="E524" s="100"/>
      <c r="F524" s="206"/>
      <c r="G524" s="206"/>
      <c r="H524" s="207"/>
      <c r="I524" s="207"/>
      <c r="J524" s="207"/>
      <c r="K524" s="207"/>
      <c r="L524" s="207"/>
      <c r="M524" s="207"/>
      <c r="N524" s="207"/>
      <c r="O524" s="207"/>
      <c r="P524" s="207"/>
      <c r="Q524" s="207"/>
      <c r="R524" s="207"/>
      <c r="S524" s="207"/>
      <c r="T524" s="207"/>
      <c r="U524" s="207"/>
      <c r="V524" s="207"/>
      <c r="W524" s="208"/>
      <c r="X524" s="208"/>
      <c r="Y524" s="208"/>
      <c r="Z524" s="208"/>
      <c r="AA524" s="208"/>
      <c r="AB524" s="208"/>
      <c r="AC524" s="208"/>
      <c r="AD524" s="208"/>
      <c r="AE524" s="208"/>
      <c r="AF524" s="208"/>
      <c r="AG524" s="208"/>
      <c r="AH524" s="208"/>
      <c r="AI524" s="100"/>
      <c r="AJ524" s="100"/>
      <c r="AK524" s="100"/>
      <c r="AL524" s="100"/>
      <c r="AM524" s="100"/>
    </row>
    <row r="525" ht="14.25" customHeight="1">
      <c r="A525" s="100"/>
      <c r="B525" s="100"/>
      <c r="C525" s="100"/>
      <c r="D525" s="100"/>
      <c r="E525" s="100"/>
      <c r="F525" s="206"/>
      <c r="G525" s="206"/>
      <c r="H525" s="207"/>
      <c r="I525" s="207"/>
      <c r="J525" s="207"/>
      <c r="K525" s="207"/>
      <c r="L525" s="207"/>
      <c r="M525" s="207"/>
      <c r="N525" s="207"/>
      <c r="O525" s="207"/>
      <c r="P525" s="207"/>
      <c r="Q525" s="207"/>
      <c r="R525" s="207"/>
      <c r="S525" s="207"/>
      <c r="T525" s="207"/>
      <c r="U525" s="207"/>
      <c r="V525" s="207"/>
      <c r="W525" s="208"/>
      <c r="X525" s="208"/>
      <c r="Y525" s="208"/>
      <c r="Z525" s="208"/>
      <c r="AA525" s="208"/>
      <c r="AB525" s="208"/>
      <c r="AC525" s="208"/>
      <c r="AD525" s="208"/>
      <c r="AE525" s="208"/>
      <c r="AF525" s="208"/>
      <c r="AG525" s="208"/>
      <c r="AH525" s="208"/>
      <c r="AI525" s="100"/>
      <c r="AJ525" s="100"/>
      <c r="AK525" s="100"/>
      <c r="AL525" s="100"/>
      <c r="AM525" s="100"/>
    </row>
    <row r="526" ht="14.25" customHeight="1">
      <c r="A526" s="100"/>
      <c r="B526" s="100"/>
      <c r="C526" s="100"/>
      <c r="D526" s="100"/>
      <c r="E526" s="100"/>
      <c r="F526" s="206"/>
      <c r="G526" s="206"/>
      <c r="H526" s="207"/>
      <c r="I526" s="207"/>
      <c r="J526" s="207"/>
      <c r="K526" s="207"/>
      <c r="L526" s="207"/>
      <c r="M526" s="207"/>
      <c r="N526" s="207"/>
      <c r="O526" s="207"/>
      <c r="P526" s="207"/>
      <c r="Q526" s="207"/>
      <c r="R526" s="207"/>
      <c r="S526" s="207"/>
      <c r="T526" s="207"/>
      <c r="U526" s="207"/>
      <c r="V526" s="207"/>
      <c r="W526" s="208"/>
      <c r="X526" s="208"/>
      <c r="Y526" s="208"/>
      <c r="Z526" s="208"/>
      <c r="AA526" s="208"/>
      <c r="AB526" s="208"/>
      <c r="AC526" s="208"/>
      <c r="AD526" s="208"/>
      <c r="AE526" s="208"/>
      <c r="AF526" s="208"/>
      <c r="AG526" s="208"/>
      <c r="AH526" s="208"/>
      <c r="AI526" s="100"/>
      <c r="AJ526" s="100"/>
      <c r="AK526" s="100"/>
      <c r="AL526" s="100"/>
      <c r="AM526" s="100"/>
    </row>
    <row r="527" ht="14.25" customHeight="1">
      <c r="A527" s="100"/>
      <c r="B527" s="100"/>
      <c r="C527" s="100"/>
      <c r="D527" s="100"/>
      <c r="E527" s="100"/>
      <c r="F527" s="206"/>
      <c r="G527" s="206"/>
      <c r="H527" s="207"/>
      <c r="I527" s="207"/>
      <c r="J527" s="207"/>
      <c r="K527" s="207"/>
      <c r="L527" s="207"/>
      <c r="M527" s="207"/>
      <c r="N527" s="207"/>
      <c r="O527" s="207"/>
      <c r="P527" s="207"/>
      <c r="Q527" s="207"/>
      <c r="R527" s="207"/>
      <c r="S527" s="207"/>
      <c r="T527" s="207"/>
      <c r="U527" s="207"/>
      <c r="V527" s="207"/>
      <c r="W527" s="208"/>
      <c r="X527" s="208"/>
      <c r="Y527" s="208"/>
      <c r="Z527" s="208"/>
      <c r="AA527" s="208"/>
      <c r="AB527" s="208"/>
      <c r="AC527" s="208"/>
      <c r="AD527" s="208"/>
      <c r="AE527" s="208"/>
      <c r="AF527" s="208"/>
      <c r="AG527" s="208"/>
      <c r="AH527" s="208"/>
      <c r="AI527" s="100"/>
      <c r="AJ527" s="100"/>
      <c r="AK527" s="100"/>
      <c r="AL527" s="100"/>
      <c r="AM527" s="100"/>
    </row>
    <row r="528" ht="14.25" customHeight="1">
      <c r="A528" s="100"/>
      <c r="B528" s="100"/>
      <c r="C528" s="100"/>
      <c r="D528" s="100"/>
      <c r="E528" s="100"/>
      <c r="F528" s="206"/>
      <c r="G528" s="206"/>
      <c r="H528" s="207"/>
      <c r="I528" s="207"/>
      <c r="J528" s="207"/>
      <c r="K528" s="207"/>
      <c r="L528" s="207"/>
      <c r="M528" s="207"/>
      <c r="N528" s="207"/>
      <c r="O528" s="207"/>
      <c r="P528" s="207"/>
      <c r="Q528" s="207"/>
      <c r="R528" s="207"/>
      <c r="S528" s="207"/>
      <c r="T528" s="207"/>
      <c r="U528" s="207"/>
      <c r="V528" s="207"/>
      <c r="W528" s="208"/>
      <c r="X528" s="208"/>
      <c r="Y528" s="208"/>
      <c r="Z528" s="208"/>
      <c r="AA528" s="208"/>
      <c r="AB528" s="208"/>
      <c r="AC528" s="208"/>
      <c r="AD528" s="208"/>
      <c r="AE528" s="208"/>
      <c r="AF528" s="208"/>
      <c r="AG528" s="208"/>
      <c r="AH528" s="208"/>
      <c r="AI528" s="100"/>
      <c r="AJ528" s="100"/>
      <c r="AK528" s="100"/>
      <c r="AL528" s="100"/>
      <c r="AM528" s="100"/>
    </row>
    <row r="529" ht="14.25" customHeight="1">
      <c r="A529" s="100"/>
      <c r="B529" s="100"/>
      <c r="C529" s="100"/>
      <c r="D529" s="100"/>
      <c r="E529" s="100"/>
      <c r="F529" s="206"/>
      <c r="G529" s="206"/>
      <c r="H529" s="207"/>
      <c r="I529" s="207"/>
      <c r="J529" s="207"/>
      <c r="K529" s="207"/>
      <c r="L529" s="207"/>
      <c r="M529" s="207"/>
      <c r="N529" s="207"/>
      <c r="O529" s="207"/>
      <c r="P529" s="207"/>
      <c r="Q529" s="207"/>
      <c r="R529" s="207"/>
      <c r="S529" s="207"/>
      <c r="T529" s="207"/>
      <c r="U529" s="207"/>
      <c r="V529" s="207"/>
      <c r="W529" s="208"/>
      <c r="X529" s="208"/>
      <c r="Y529" s="208"/>
      <c r="Z529" s="208"/>
      <c r="AA529" s="208"/>
      <c r="AB529" s="208"/>
      <c r="AC529" s="208"/>
      <c r="AD529" s="208"/>
      <c r="AE529" s="208"/>
      <c r="AF529" s="208"/>
      <c r="AG529" s="208"/>
      <c r="AH529" s="208"/>
      <c r="AI529" s="100"/>
      <c r="AJ529" s="100"/>
      <c r="AK529" s="100"/>
      <c r="AL529" s="100"/>
      <c r="AM529" s="100"/>
    </row>
    <row r="530" ht="14.25" customHeight="1">
      <c r="A530" s="100"/>
      <c r="B530" s="100"/>
      <c r="C530" s="100"/>
      <c r="D530" s="100"/>
      <c r="E530" s="100"/>
      <c r="F530" s="206"/>
      <c r="G530" s="206"/>
      <c r="H530" s="207"/>
      <c r="I530" s="207"/>
      <c r="J530" s="207"/>
      <c r="K530" s="207"/>
      <c r="L530" s="207"/>
      <c r="M530" s="207"/>
      <c r="N530" s="207"/>
      <c r="O530" s="207"/>
      <c r="P530" s="207"/>
      <c r="Q530" s="207"/>
      <c r="R530" s="207"/>
      <c r="S530" s="207"/>
      <c r="T530" s="207"/>
      <c r="U530" s="207"/>
      <c r="V530" s="207"/>
      <c r="W530" s="208"/>
      <c r="X530" s="208"/>
      <c r="Y530" s="208"/>
      <c r="Z530" s="208"/>
      <c r="AA530" s="208"/>
      <c r="AB530" s="208"/>
      <c r="AC530" s="208"/>
      <c r="AD530" s="208"/>
      <c r="AE530" s="208"/>
      <c r="AF530" s="208"/>
      <c r="AG530" s="208"/>
      <c r="AH530" s="208"/>
      <c r="AI530" s="100"/>
      <c r="AJ530" s="100"/>
      <c r="AK530" s="100"/>
      <c r="AL530" s="100"/>
      <c r="AM530" s="100"/>
    </row>
    <row r="531" ht="14.25" customHeight="1">
      <c r="A531" s="100"/>
      <c r="B531" s="100"/>
      <c r="C531" s="100"/>
      <c r="D531" s="100"/>
      <c r="E531" s="100"/>
      <c r="F531" s="206"/>
      <c r="G531" s="206"/>
      <c r="H531" s="207"/>
      <c r="I531" s="207"/>
      <c r="J531" s="207"/>
      <c r="K531" s="207"/>
      <c r="L531" s="207"/>
      <c r="M531" s="207"/>
      <c r="N531" s="207"/>
      <c r="O531" s="207"/>
      <c r="P531" s="207"/>
      <c r="Q531" s="207"/>
      <c r="R531" s="207"/>
      <c r="S531" s="207"/>
      <c r="T531" s="207"/>
      <c r="U531" s="207"/>
      <c r="V531" s="207"/>
      <c r="W531" s="208"/>
      <c r="X531" s="208"/>
      <c r="Y531" s="208"/>
      <c r="Z531" s="208"/>
      <c r="AA531" s="208"/>
      <c r="AB531" s="208"/>
      <c r="AC531" s="208"/>
      <c r="AD531" s="208"/>
      <c r="AE531" s="208"/>
      <c r="AF531" s="208"/>
      <c r="AG531" s="208"/>
      <c r="AH531" s="208"/>
      <c r="AI531" s="100"/>
      <c r="AJ531" s="100"/>
      <c r="AK531" s="100"/>
      <c r="AL531" s="100"/>
      <c r="AM531" s="100"/>
    </row>
    <row r="532" ht="14.25" customHeight="1">
      <c r="A532" s="100"/>
      <c r="B532" s="100"/>
      <c r="C532" s="100"/>
      <c r="D532" s="100"/>
      <c r="E532" s="100"/>
      <c r="F532" s="206"/>
      <c r="G532" s="206"/>
      <c r="H532" s="207"/>
      <c r="I532" s="207"/>
      <c r="J532" s="207"/>
      <c r="K532" s="207"/>
      <c r="L532" s="207"/>
      <c r="M532" s="207"/>
      <c r="N532" s="207"/>
      <c r="O532" s="207"/>
      <c r="P532" s="207"/>
      <c r="Q532" s="207"/>
      <c r="R532" s="207"/>
      <c r="S532" s="207"/>
      <c r="T532" s="207"/>
      <c r="U532" s="207"/>
      <c r="V532" s="207"/>
      <c r="W532" s="208"/>
      <c r="X532" s="208"/>
      <c r="Y532" s="208"/>
      <c r="Z532" s="208"/>
      <c r="AA532" s="208"/>
      <c r="AB532" s="208"/>
      <c r="AC532" s="208"/>
      <c r="AD532" s="208"/>
      <c r="AE532" s="208"/>
      <c r="AF532" s="208"/>
      <c r="AG532" s="208"/>
      <c r="AH532" s="208"/>
      <c r="AI532" s="100"/>
      <c r="AJ532" s="100"/>
      <c r="AK532" s="100"/>
      <c r="AL532" s="100"/>
      <c r="AM532" s="100"/>
    </row>
    <row r="533" ht="14.25" customHeight="1">
      <c r="A533" s="100"/>
      <c r="B533" s="100"/>
      <c r="C533" s="100"/>
      <c r="D533" s="100"/>
      <c r="E533" s="100"/>
      <c r="F533" s="206"/>
      <c r="G533" s="206"/>
      <c r="H533" s="207"/>
      <c r="I533" s="207"/>
      <c r="J533" s="207"/>
      <c r="K533" s="207"/>
      <c r="L533" s="207"/>
      <c r="M533" s="207"/>
      <c r="N533" s="207"/>
      <c r="O533" s="207"/>
      <c r="P533" s="207"/>
      <c r="Q533" s="207"/>
      <c r="R533" s="207"/>
      <c r="S533" s="207"/>
      <c r="T533" s="207"/>
      <c r="U533" s="207"/>
      <c r="V533" s="207"/>
      <c r="W533" s="208"/>
      <c r="X533" s="208"/>
      <c r="Y533" s="208"/>
      <c r="Z533" s="208"/>
      <c r="AA533" s="208"/>
      <c r="AB533" s="208"/>
      <c r="AC533" s="208"/>
      <c r="AD533" s="208"/>
      <c r="AE533" s="208"/>
      <c r="AF533" s="208"/>
      <c r="AG533" s="208"/>
      <c r="AH533" s="208"/>
      <c r="AI533" s="100"/>
      <c r="AJ533" s="100"/>
      <c r="AK533" s="100"/>
      <c r="AL533" s="100"/>
      <c r="AM533" s="100"/>
    </row>
    <row r="534" ht="14.25" customHeight="1">
      <c r="A534" s="100"/>
      <c r="B534" s="100"/>
      <c r="C534" s="100"/>
      <c r="D534" s="100"/>
      <c r="E534" s="100"/>
      <c r="F534" s="206"/>
      <c r="G534" s="206"/>
      <c r="H534" s="207"/>
      <c r="I534" s="207"/>
      <c r="J534" s="207"/>
      <c r="K534" s="207"/>
      <c r="L534" s="207"/>
      <c r="M534" s="207"/>
      <c r="N534" s="207"/>
      <c r="O534" s="207"/>
      <c r="P534" s="207"/>
      <c r="Q534" s="207"/>
      <c r="R534" s="207"/>
      <c r="S534" s="207"/>
      <c r="T534" s="207"/>
      <c r="U534" s="207"/>
      <c r="V534" s="207"/>
      <c r="W534" s="208"/>
      <c r="X534" s="208"/>
      <c r="Y534" s="208"/>
      <c r="Z534" s="208"/>
      <c r="AA534" s="208"/>
      <c r="AB534" s="208"/>
      <c r="AC534" s="208"/>
      <c r="AD534" s="208"/>
      <c r="AE534" s="208"/>
      <c r="AF534" s="208"/>
      <c r="AG534" s="208"/>
      <c r="AH534" s="208"/>
      <c r="AI534" s="100"/>
      <c r="AJ534" s="100"/>
      <c r="AK534" s="100"/>
      <c r="AL534" s="100"/>
      <c r="AM534" s="100"/>
    </row>
    <row r="535" ht="14.25" customHeight="1">
      <c r="A535" s="100"/>
      <c r="B535" s="100"/>
      <c r="C535" s="100"/>
      <c r="D535" s="100"/>
      <c r="E535" s="100"/>
      <c r="F535" s="206"/>
      <c r="G535" s="206"/>
      <c r="H535" s="207"/>
      <c r="I535" s="207"/>
      <c r="J535" s="207"/>
      <c r="K535" s="207"/>
      <c r="L535" s="207"/>
      <c r="M535" s="207"/>
      <c r="N535" s="207"/>
      <c r="O535" s="207"/>
      <c r="P535" s="207"/>
      <c r="Q535" s="207"/>
      <c r="R535" s="207"/>
      <c r="S535" s="207"/>
      <c r="T535" s="207"/>
      <c r="U535" s="207"/>
      <c r="V535" s="207"/>
      <c r="W535" s="208"/>
      <c r="X535" s="208"/>
      <c r="Y535" s="208"/>
      <c r="Z535" s="208"/>
      <c r="AA535" s="208"/>
      <c r="AB535" s="208"/>
      <c r="AC535" s="208"/>
      <c r="AD535" s="208"/>
      <c r="AE535" s="208"/>
      <c r="AF535" s="208"/>
      <c r="AG535" s="208"/>
      <c r="AH535" s="208"/>
      <c r="AI535" s="100"/>
      <c r="AJ535" s="100"/>
      <c r="AK535" s="100"/>
      <c r="AL535" s="100"/>
      <c r="AM535" s="100"/>
    </row>
    <row r="536" ht="14.25" customHeight="1">
      <c r="A536" s="100"/>
      <c r="B536" s="100"/>
      <c r="C536" s="100"/>
      <c r="D536" s="100"/>
      <c r="E536" s="100"/>
      <c r="F536" s="206"/>
      <c r="G536" s="206"/>
      <c r="H536" s="207"/>
      <c r="I536" s="207"/>
      <c r="J536" s="207"/>
      <c r="K536" s="207"/>
      <c r="L536" s="207"/>
      <c r="M536" s="207"/>
      <c r="N536" s="207"/>
      <c r="O536" s="207"/>
      <c r="P536" s="207"/>
      <c r="Q536" s="207"/>
      <c r="R536" s="207"/>
      <c r="S536" s="207"/>
      <c r="T536" s="207"/>
      <c r="U536" s="207"/>
      <c r="V536" s="207"/>
      <c r="W536" s="208"/>
      <c r="X536" s="208"/>
      <c r="Y536" s="208"/>
      <c r="Z536" s="208"/>
      <c r="AA536" s="208"/>
      <c r="AB536" s="208"/>
      <c r="AC536" s="208"/>
      <c r="AD536" s="208"/>
      <c r="AE536" s="208"/>
      <c r="AF536" s="208"/>
      <c r="AG536" s="208"/>
      <c r="AH536" s="208"/>
      <c r="AI536" s="100"/>
      <c r="AJ536" s="100"/>
      <c r="AK536" s="100"/>
      <c r="AL536" s="100"/>
      <c r="AM536" s="100"/>
    </row>
    <row r="537" ht="14.25" customHeight="1">
      <c r="A537" s="100"/>
      <c r="B537" s="100"/>
      <c r="C537" s="100"/>
      <c r="D537" s="100"/>
      <c r="E537" s="100"/>
      <c r="F537" s="206"/>
      <c r="G537" s="206"/>
      <c r="H537" s="207"/>
      <c r="I537" s="207"/>
      <c r="J537" s="207"/>
      <c r="K537" s="207"/>
      <c r="L537" s="207"/>
      <c r="M537" s="207"/>
      <c r="N537" s="207"/>
      <c r="O537" s="207"/>
      <c r="P537" s="207"/>
      <c r="Q537" s="207"/>
      <c r="R537" s="207"/>
      <c r="S537" s="207"/>
      <c r="T537" s="207"/>
      <c r="U537" s="207"/>
      <c r="V537" s="207"/>
      <c r="W537" s="208"/>
      <c r="X537" s="208"/>
      <c r="Y537" s="208"/>
      <c r="Z537" s="208"/>
      <c r="AA537" s="208"/>
      <c r="AB537" s="208"/>
      <c r="AC537" s="208"/>
      <c r="AD537" s="208"/>
      <c r="AE537" s="208"/>
      <c r="AF537" s="208"/>
      <c r="AG537" s="208"/>
      <c r="AH537" s="208"/>
      <c r="AI537" s="100"/>
      <c r="AJ537" s="100"/>
      <c r="AK537" s="100"/>
      <c r="AL537" s="100"/>
      <c r="AM537" s="100"/>
    </row>
    <row r="538" ht="14.25" customHeight="1">
      <c r="A538" s="100"/>
      <c r="B538" s="100"/>
      <c r="C538" s="100"/>
      <c r="D538" s="100"/>
      <c r="E538" s="100"/>
      <c r="F538" s="206"/>
      <c r="G538" s="206"/>
      <c r="H538" s="207"/>
      <c r="I538" s="207"/>
      <c r="J538" s="207"/>
      <c r="K538" s="207"/>
      <c r="L538" s="207"/>
      <c r="M538" s="207"/>
      <c r="N538" s="207"/>
      <c r="O538" s="207"/>
      <c r="P538" s="207"/>
      <c r="Q538" s="207"/>
      <c r="R538" s="207"/>
      <c r="S538" s="207"/>
      <c r="T538" s="207"/>
      <c r="U538" s="207"/>
      <c r="V538" s="207"/>
      <c r="W538" s="208"/>
      <c r="X538" s="208"/>
      <c r="Y538" s="208"/>
      <c r="Z538" s="208"/>
      <c r="AA538" s="208"/>
      <c r="AB538" s="208"/>
      <c r="AC538" s="208"/>
      <c r="AD538" s="208"/>
      <c r="AE538" s="208"/>
      <c r="AF538" s="208"/>
      <c r="AG538" s="208"/>
      <c r="AH538" s="208"/>
      <c r="AI538" s="100"/>
      <c r="AJ538" s="100"/>
      <c r="AK538" s="100"/>
      <c r="AL538" s="100"/>
      <c r="AM538" s="100"/>
    </row>
    <row r="539" ht="14.25" customHeight="1">
      <c r="A539" s="100"/>
      <c r="B539" s="100"/>
      <c r="C539" s="100"/>
      <c r="D539" s="100"/>
      <c r="E539" s="100"/>
      <c r="F539" s="206"/>
      <c r="G539" s="206"/>
      <c r="H539" s="207"/>
      <c r="I539" s="207"/>
      <c r="J539" s="207"/>
      <c r="K539" s="207"/>
      <c r="L539" s="207"/>
      <c r="M539" s="207"/>
      <c r="N539" s="207"/>
      <c r="O539" s="207"/>
      <c r="P539" s="207"/>
      <c r="Q539" s="207"/>
      <c r="R539" s="207"/>
      <c r="S539" s="207"/>
      <c r="T539" s="207"/>
      <c r="U539" s="207"/>
      <c r="V539" s="207"/>
      <c r="W539" s="208"/>
      <c r="X539" s="208"/>
      <c r="Y539" s="208"/>
      <c r="Z539" s="208"/>
      <c r="AA539" s="208"/>
      <c r="AB539" s="208"/>
      <c r="AC539" s="208"/>
      <c r="AD539" s="208"/>
      <c r="AE539" s="208"/>
      <c r="AF539" s="208"/>
      <c r="AG539" s="208"/>
      <c r="AH539" s="208"/>
      <c r="AI539" s="100"/>
      <c r="AJ539" s="100"/>
      <c r="AK539" s="100"/>
      <c r="AL539" s="100"/>
      <c r="AM539" s="100"/>
    </row>
    <row r="540" ht="14.25" customHeight="1">
      <c r="A540" s="100"/>
      <c r="B540" s="100"/>
      <c r="C540" s="100"/>
      <c r="D540" s="100"/>
      <c r="E540" s="100"/>
      <c r="F540" s="206"/>
      <c r="G540" s="206"/>
      <c r="H540" s="207"/>
      <c r="I540" s="207"/>
      <c r="J540" s="207"/>
      <c r="K540" s="207"/>
      <c r="L540" s="207"/>
      <c r="M540" s="207"/>
      <c r="N540" s="207"/>
      <c r="O540" s="207"/>
      <c r="P540" s="207"/>
      <c r="Q540" s="207"/>
      <c r="R540" s="207"/>
      <c r="S540" s="207"/>
      <c r="T540" s="207"/>
      <c r="U540" s="207"/>
      <c r="V540" s="207"/>
      <c r="W540" s="208"/>
      <c r="X540" s="208"/>
      <c r="Y540" s="208"/>
      <c r="Z540" s="208"/>
      <c r="AA540" s="208"/>
      <c r="AB540" s="208"/>
      <c r="AC540" s="208"/>
      <c r="AD540" s="208"/>
      <c r="AE540" s="208"/>
      <c r="AF540" s="208"/>
      <c r="AG540" s="208"/>
      <c r="AH540" s="208"/>
      <c r="AI540" s="100"/>
      <c r="AJ540" s="100"/>
      <c r="AK540" s="100"/>
      <c r="AL540" s="100"/>
      <c r="AM540" s="100"/>
    </row>
    <row r="541" ht="14.25" customHeight="1">
      <c r="A541" s="100"/>
      <c r="B541" s="100"/>
      <c r="C541" s="100"/>
      <c r="D541" s="100"/>
      <c r="E541" s="100"/>
      <c r="F541" s="206"/>
      <c r="G541" s="206"/>
      <c r="H541" s="207"/>
      <c r="I541" s="207"/>
      <c r="J541" s="207"/>
      <c r="K541" s="207"/>
      <c r="L541" s="207"/>
      <c r="M541" s="207"/>
      <c r="N541" s="207"/>
      <c r="O541" s="207"/>
      <c r="P541" s="207"/>
      <c r="Q541" s="207"/>
      <c r="R541" s="207"/>
      <c r="S541" s="207"/>
      <c r="T541" s="207"/>
      <c r="U541" s="207"/>
      <c r="V541" s="207"/>
      <c r="W541" s="208"/>
      <c r="X541" s="208"/>
      <c r="Y541" s="208"/>
      <c r="Z541" s="208"/>
      <c r="AA541" s="208"/>
      <c r="AB541" s="208"/>
      <c r="AC541" s="208"/>
      <c r="AD541" s="208"/>
      <c r="AE541" s="208"/>
      <c r="AF541" s="208"/>
      <c r="AG541" s="208"/>
      <c r="AH541" s="208"/>
      <c r="AI541" s="100"/>
      <c r="AJ541" s="100"/>
      <c r="AK541" s="100"/>
      <c r="AL541" s="100"/>
      <c r="AM541" s="100"/>
    </row>
    <row r="542" ht="14.25" customHeight="1">
      <c r="A542" s="100"/>
      <c r="B542" s="100"/>
      <c r="C542" s="100"/>
      <c r="D542" s="100"/>
      <c r="E542" s="100"/>
      <c r="F542" s="206"/>
      <c r="G542" s="206"/>
      <c r="H542" s="207"/>
      <c r="I542" s="207"/>
      <c r="J542" s="207"/>
      <c r="K542" s="207"/>
      <c r="L542" s="207"/>
      <c r="M542" s="207"/>
      <c r="N542" s="207"/>
      <c r="O542" s="207"/>
      <c r="P542" s="207"/>
      <c r="Q542" s="207"/>
      <c r="R542" s="207"/>
      <c r="S542" s="207"/>
      <c r="T542" s="207"/>
      <c r="U542" s="207"/>
      <c r="V542" s="207"/>
      <c r="W542" s="208"/>
      <c r="X542" s="208"/>
      <c r="Y542" s="208"/>
      <c r="Z542" s="208"/>
      <c r="AA542" s="208"/>
      <c r="AB542" s="208"/>
      <c r="AC542" s="208"/>
      <c r="AD542" s="208"/>
      <c r="AE542" s="208"/>
      <c r="AF542" s="208"/>
      <c r="AG542" s="208"/>
      <c r="AH542" s="208"/>
      <c r="AI542" s="100"/>
      <c r="AJ542" s="100"/>
      <c r="AK542" s="100"/>
      <c r="AL542" s="100"/>
      <c r="AM542" s="100"/>
    </row>
    <row r="543" ht="14.25" customHeight="1">
      <c r="A543" s="100"/>
      <c r="B543" s="100"/>
      <c r="C543" s="100"/>
      <c r="D543" s="100"/>
      <c r="E543" s="100"/>
      <c r="F543" s="206"/>
      <c r="G543" s="206"/>
      <c r="H543" s="207"/>
      <c r="I543" s="207"/>
      <c r="J543" s="207"/>
      <c r="K543" s="207"/>
      <c r="L543" s="207"/>
      <c r="M543" s="207"/>
      <c r="N543" s="207"/>
      <c r="O543" s="207"/>
      <c r="P543" s="207"/>
      <c r="Q543" s="207"/>
      <c r="R543" s="207"/>
      <c r="S543" s="207"/>
      <c r="T543" s="207"/>
      <c r="U543" s="207"/>
      <c r="V543" s="207"/>
      <c r="W543" s="208"/>
      <c r="X543" s="208"/>
      <c r="Y543" s="208"/>
      <c r="Z543" s="208"/>
      <c r="AA543" s="208"/>
      <c r="AB543" s="208"/>
      <c r="AC543" s="208"/>
      <c r="AD543" s="208"/>
      <c r="AE543" s="208"/>
      <c r="AF543" s="208"/>
      <c r="AG543" s="208"/>
      <c r="AH543" s="208"/>
      <c r="AI543" s="100"/>
      <c r="AJ543" s="100"/>
      <c r="AK543" s="100"/>
      <c r="AL543" s="100"/>
      <c r="AM543" s="100"/>
    </row>
    <row r="544" ht="14.25" customHeight="1">
      <c r="A544" s="100"/>
      <c r="B544" s="100"/>
      <c r="C544" s="100"/>
      <c r="D544" s="100"/>
      <c r="E544" s="100"/>
      <c r="F544" s="206"/>
      <c r="G544" s="206"/>
      <c r="H544" s="207"/>
      <c r="I544" s="207"/>
      <c r="J544" s="207"/>
      <c r="K544" s="207"/>
      <c r="L544" s="207"/>
      <c r="M544" s="207"/>
      <c r="N544" s="207"/>
      <c r="O544" s="207"/>
      <c r="P544" s="207"/>
      <c r="Q544" s="207"/>
      <c r="R544" s="207"/>
      <c r="S544" s="207"/>
      <c r="T544" s="207"/>
      <c r="U544" s="207"/>
      <c r="V544" s="207"/>
      <c r="W544" s="208"/>
      <c r="X544" s="208"/>
      <c r="Y544" s="208"/>
      <c r="Z544" s="208"/>
      <c r="AA544" s="208"/>
      <c r="AB544" s="208"/>
      <c r="AC544" s="208"/>
      <c r="AD544" s="208"/>
      <c r="AE544" s="208"/>
      <c r="AF544" s="208"/>
      <c r="AG544" s="208"/>
      <c r="AH544" s="208"/>
      <c r="AI544" s="100"/>
      <c r="AJ544" s="100"/>
      <c r="AK544" s="100"/>
      <c r="AL544" s="100"/>
      <c r="AM544" s="100"/>
    </row>
    <row r="545" ht="14.25" customHeight="1">
      <c r="A545" s="100"/>
      <c r="B545" s="100"/>
      <c r="C545" s="100"/>
      <c r="D545" s="100"/>
      <c r="E545" s="100"/>
      <c r="F545" s="206"/>
      <c r="G545" s="206"/>
      <c r="H545" s="207"/>
      <c r="I545" s="207"/>
      <c r="J545" s="207"/>
      <c r="K545" s="207"/>
      <c r="L545" s="207"/>
      <c r="M545" s="207"/>
      <c r="N545" s="207"/>
      <c r="O545" s="207"/>
      <c r="P545" s="207"/>
      <c r="Q545" s="207"/>
      <c r="R545" s="207"/>
      <c r="S545" s="207"/>
      <c r="T545" s="207"/>
      <c r="U545" s="207"/>
      <c r="V545" s="207"/>
      <c r="W545" s="208"/>
      <c r="X545" s="208"/>
      <c r="Y545" s="208"/>
      <c r="Z545" s="208"/>
      <c r="AA545" s="208"/>
      <c r="AB545" s="208"/>
      <c r="AC545" s="208"/>
      <c r="AD545" s="208"/>
      <c r="AE545" s="208"/>
      <c r="AF545" s="208"/>
      <c r="AG545" s="208"/>
      <c r="AH545" s="208"/>
      <c r="AI545" s="100"/>
      <c r="AJ545" s="100"/>
      <c r="AK545" s="100"/>
      <c r="AL545" s="100"/>
      <c r="AM545" s="100"/>
    </row>
    <row r="546" ht="14.25" customHeight="1">
      <c r="A546" s="100"/>
      <c r="B546" s="100"/>
      <c r="C546" s="100"/>
      <c r="D546" s="100"/>
      <c r="E546" s="100"/>
      <c r="F546" s="206"/>
      <c r="G546" s="206"/>
      <c r="H546" s="207"/>
      <c r="I546" s="207"/>
      <c r="J546" s="207"/>
      <c r="K546" s="207"/>
      <c r="L546" s="207"/>
      <c r="M546" s="207"/>
      <c r="N546" s="207"/>
      <c r="O546" s="207"/>
      <c r="P546" s="207"/>
      <c r="Q546" s="207"/>
      <c r="R546" s="207"/>
      <c r="S546" s="207"/>
      <c r="T546" s="207"/>
      <c r="U546" s="207"/>
      <c r="V546" s="207"/>
      <c r="W546" s="208"/>
      <c r="X546" s="208"/>
      <c r="Y546" s="208"/>
      <c r="Z546" s="208"/>
      <c r="AA546" s="208"/>
      <c r="AB546" s="208"/>
      <c r="AC546" s="208"/>
      <c r="AD546" s="208"/>
      <c r="AE546" s="208"/>
      <c r="AF546" s="208"/>
      <c r="AG546" s="208"/>
      <c r="AH546" s="208"/>
      <c r="AI546" s="100"/>
      <c r="AJ546" s="100"/>
      <c r="AK546" s="100"/>
      <c r="AL546" s="100"/>
      <c r="AM546" s="100"/>
    </row>
    <row r="547" ht="14.25" customHeight="1">
      <c r="A547" s="100"/>
      <c r="B547" s="100"/>
      <c r="C547" s="100"/>
      <c r="D547" s="100"/>
      <c r="E547" s="100"/>
      <c r="F547" s="206"/>
      <c r="G547" s="206"/>
      <c r="H547" s="207"/>
      <c r="I547" s="207"/>
      <c r="J547" s="207"/>
      <c r="K547" s="207"/>
      <c r="L547" s="207"/>
      <c r="M547" s="207"/>
      <c r="N547" s="207"/>
      <c r="O547" s="207"/>
      <c r="P547" s="207"/>
      <c r="Q547" s="207"/>
      <c r="R547" s="207"/>
      <c r="S547" s="207"/>
      <c r="T547" s="207"/>
      <c r="U547" s="207"/>
      <c r="V547" s="207"/>
      <c r="W547" s="208"/>
      <c r="X547" s="208"/>
      <c r="Y547" s="208"/>
      <c r="Z547" s="208"/>
      <c r="AA547" s="208"/>
      <c r="AB547" s="208"/>
      <c r="AC547" s="208"/>
      <c r="AD547" s="208"/>
      <c r="AE547" s="208"/>
      <c r="AF547" s="208"/>
      <c r="AG547" s="208"/>
      <c r="AH547" s="208"/>
      <c r="AI547" s="100"/>
      <c r="AJ547" s="100"/>
      <c r="AK547" s="100"/>
      <c r="AL547" s="100"/>
      <c r="AM547" s="100"/>
    </row>
    <row r="548" ht="14.25" customHeight="1">
      <c r="A548" s="100"/>
      <c r="B548" s="100"/>
      <c r="C548" s="100"/>
      <c r="D548" s="100"/>
      <c r="E548" s="100"/>
      <c r="F548" s="206"/>
      <c r="G548" s="206"/>
      <c r="H548" s="207"/>
      <c r="I548" s="207"/>
      <c r="J548" s="207"/>
      <c r="K548" s="207"/>
      <c r="L548" s="207"/>
      <c r="M548" s="207"/>
      <c r="N548" s="207"/>
      <c r="O548" s="207"/>
      <c r="P548" s="207"/>
      <c r="Q548" s="207"/>
      <c r="R548" s="207"/>
      <c r="S548" s="207"/>
      <c r="T548" s="207"/>
      <c r="U548" s="207"/>
      <c r="V548" s="207"/>
      <c r="W548" s="208"/>
      <c r="X548" s="208"/>
      <c r="Y548" s="208"/>
      <c r="Z548" s="208"/>
      <c r="AA548" s="208"/>
      <c r="AB548" s="208"/>
      <c r="AC548" s="208"/>
      <c r="AD548" s="208"/>
      <c r="AE548" s="208"/>
      <c r="AF548" s="208"/>
      <c r="AG548" s="208"/>
      <c r="AH548" s="208"/>
      <c r="AI548" s="100"/>
      <c r="AJ548" s="100"/>
      <c r="AK548" s="100"/>
      <c r="AL548" s="100"/>
      <c r="AM548" s="100"/>
    </row>
    <row r="549" ht="14.25" customHeight="1">
      <c r="A549" s="100"/>
      <c r="B549" s="100"/>
      <c r="C549" s="100"/>
      <c r="D549" s="100"/>
      <c r="E549" s="100"/>
      <c r="F549" s="206"/>
      <c r="G549" s="206"/>
      <c r="H549" s="207"/>
      <c r="I549" s="207"/>
      <c r="J549" s="207"/>
      <c r="K549" s="207"/>
      <c r="L549" s="207"/>
      <c r="M549" s="207"/>
      <c r="N549" s="207"/>
      <c r="O549" s="207"/>
      <c r="P549" s="207"/>
      <c r="Q549" s="207"/>
      <c r="R549" s="207"/>
      <c r="S549" s="207"/>
      <c r="T549" s="207"/>
      <c r="U549" s="207"/>
      <c r="V549" s="207"/>
      <c r="W549" s="208"/>
      <c r="X549" s="208"/>
      <c r="Y549" s="208"/>
      <c r="Z549" s="208"/>
      <c r="AA549" s="208"/>
      <c r="AB549" s="208"/>
      <c r="AC549" s="208"/>
      <c r="AD549" s="208"/>
      <c r="AE549" s="208"/>
      <c r="AF549" s="208"/>
      <c r="AG549" s="208"/>
      <c r="AH549" s="208"/>
      <c r="AI549" s="100"/>
      <c r="AJ549" s="100"/>
      <c r="AK549" s="100"/>
      <c r="AL549" s="100"/>
      <c r="AM549" s="100"/>
    </row>
    <row r="550" ht="14.25" customHeight="1">
      <c r="A550" s="100"/>
      <c r="B550" s="100"/>
      <c r="C550" s="100"/>
      <c r="D550" s="100"/>
      <c r="E550" s="100"/>
      <c r="F550" s="206"/>
      <c r="G550" s="206"/>
      <c r="H550" s="207"/>
      <c r="I550" s="207"/>
      <c r="J550" s="207"/>
      <c r="K550" s="207"/>
      <c r="L550" s="207"/>
      <c r="M550" s="207"/>
      <c r="N550" s="207"/>
      <c r="O550" s="207"/>
      <c r="P550" s="207"/>
      <c r="Q550" s="207"/>
      <c r="R550" s="207"/>
      <c r="S550" s="207"/>
      <c r="T550" s="207"/>
      <c r="U550" s="207"/>
      <c r="V550" s="207"/>
      <c r="W550" s="208"/>
      <c r="X550" s="208"/>
      <c r="Y550" s="208"/>
      <c r="Z550" s="208"/>
      <c r="AA550" s="208"/>
      <c r="AB550" s="208"/>
      <c r="AC550" s="208"/>
      <c r="AD550" s="208"/>
      <c r="AE550" s="208"/>
      <c r="AF550" s="208"/>
      <c r="AG550" s="208"/>
      <c r="AH550" s="208"/>
      <c r="AI550" s="100"/>
      <c r="AJ550" s="100"/>
      <c r="AK550" s="100"/>
      <c r="AL550" s="100"/>
      <c r="AM550" s="100"/>
    </row>
    <row r="551" ht="14.25" customHeight="1">
      <c r="A551" s="100"/>
      <c r="B551" s="100"/>
      <c r="C551" s="100"/>
      <c r="D551" s="100"/>
      <c r="E551" s="100"/>
      <c r="F551" s="206"/>
      <c r="G551" s="206"/>
      <c r="H551" s="207"/>
      <c r="I551" s="207"/>
      <c r="J551" s="207"/>
      <c r="K551" s="207"/>
      <c r="L551" s="207"/>
      <c r="M551" s="207"/>
      <c r="N551" s="207"/>
      <c r="O551" s="207"/>
      <c r="P551" s="207"/>
      <c r="Q551" s="207"/>
      <c r="R551" s="207"/>
      <c r="S551" s="207"/>
      <c r="T551" s="207"/>
      <c r="U551" s="207"/>
      <c r="V551" s="207"/>
      <c r="W551" s="208"/>
      <c r="X551" s="208"/>
      <c r="Y551" s="208"/>
      <c r="Z551" s="208"/>
      <c r="AA551" s="208"/>
      <c r="AB551" s="208"/>
      <c r="AC551" s="208"/>
      <c r="AD551" s="208"/>
      <c r="AE551" s="208"/>
      <c r="AF551" s="208"/>
      <c r="AG551" s="208"/>
      <c r="AH551" s="208"/>
      <c r="AI551" s="100"/>
      <c r="AJ551" s="100"/>
      <c r="AK551" s="100"/>
      <c r="AL551" s="100"/>
      <c r="AM551" s="100"/>
    </row>
    <row r="552" ht="14.25" customHeight="1">
      <c r="A552" s="100"/>
      <c r="B552" s="100"/>
      <c r="C552" s="100"/>
      <c r="D552" s="100"/>
      <c r="E552" s="100"/>
      <c r="F552" s="206"/>
      <c r="G552" s="206"/>
      <c r="H552" s="207"/>
      <c r="I552" s="207"/>
      <c r="J552" s="207"/>
      <c r="K552" s="207"/>
      <c r="L552" s="207"/>
      <c r="M552" s="207"/>
      <c r="N552" s="207"/>
      <c r="O552" s="207"/>
      <c r="P552" s="207"/>
      <c r="Q552" s="207"/>
      <c r="R552" s="207"/>
      <c r="S552" s="207"/>
      <c r="T552" s="207"/>
      <c r="U552" s="207"/>
      <c r="V552" s="207"/>
      <c r="W552" s="208"/>
      <c r="X552" s="208"/>
      <c r="Y552" s="208"/>
      <c r="Z552" s="208"/>
      <c r="AA552" s="208"/>
      <c r="AB552" s="208"/>
      <c r="AC552" s="208"/>
      <c r="AD552" s="208"/>
      <c r="AE552" s="208"/>
      <c r="AF552" s="208"/>
      <c r="AG552" s="208"/>
      <c r="AH552" s="208"/>
      <c r="AI552" s="100"/>
      <c r="AJ552" s="100"/>
      <c r="AK552" s="100"/>
      <c r="AL552" s="100"/>
      <c r="AM552" s="100"/>
    </row>
    <row r="553" ht="14.25" customHeight="1">
      <c r="A553" s="100"/>
      <c r="B553" s="100"/>
      <c r="C553" s="100"/>
      <c r="D553" s="100"/>
      <c r="E553" s="100"/>
      <c r="F553" s="206"/>
      <c r="G553" s="206"/>
      <c r="H553" s="207"/>
      <c r="I553" s="207"/>
      <c r="J553" s="207"/>
      <c r="K553" s="207"/>
      <c r="L553" s="207"/>
      <c r="M553" s="207"/>
      <c r="N553" s="207"/>
      <c r="O553" s="207"/>
      <c r="P553" s="207"/>
      <c r="Q553" s="207"/>
      <c r="R553" s="207"/>
      <c r="S553" s="207"/>
      <c r="T553" s="207"/>
      <c r="U553" s="207"/>
      <c r="V553" s="207"/>
      <c r="W553" s="208"/>
      <c r="X553" s="208"/>
      <c r="Y553" s="208"/>
      <c r="Z553" s="208"/>
      <c r="AA553" s="208"/>
      <c r="AB553" s="208"/>
      <c r="AC553" s="208"/>
      <c r="AD553" s="208"/>
      <c r="AE553" s="208"/>
      <c r="AF553" s="208"/>
      <c r="AG553" s="208"/>
      <c r="AH553" s="208"/>
      <c r="AI553" s="100"/>
      <c r="AJ553" s="100"/>
      <c r="AK553" s="100"/>
      <c r="AL553" s="100"/>
      <c r="AM553" s="100"/>
    </row>
    <row r="554" ht="14.25" customHeight="1">
      <c r="A554" s="100"/>
      <c r="B554" s="100"/>
      <c r="C554" s="100"/>
      <c r="D554" s="100"/>
      <c r="E554" s="100"/>
      <c r="F554" s="206"/>
      <c r="G554" s="206"/>
      <c r="H554" s="207"/>
      <c r="I554" s="207"/>
      <c r="J554" s="207"/>
      <c r="K554" s="207"/>
      <c r="L554" s="207"/>
      <c r="M554" s="207"/>
      <c r="N554" s="207"/>
      <c r="O554" s="207"/>
      <c r="P554" s="207"/>
      <c r="Q554" s="207"/>
      <c r="R554" s="207"/>
      <c r="S554" s="207"/>
      <c r="T554" s="207"/>
      <c r="U554" s="207"/>
      <c r="V554" s="207"/>
      <c r="W554" s="208"/>
      <c r="X554" s="208"/>
      <c r="Y554" s="208"/>
      <c r="Z554" s="208"/>
      <c r="AA554" s="208"/>
      <c r="AB554" s="208"/>
      <c r="AC554" s="208"/>
      <c r="AD554" s="208"/>
      <c r="AE554" s="208"/>
      <c r="AF554" s="208"/>
      <c r="AG554" s="208"/>
      <c r="AH554" s="208"/>
      <c r="AI554" s="100"/>
      <c r="AJ554" s="100"/>
      <c r="AK554" s="100"/>
      <c r="AL554" s="100"/>
      <c r="AM554" s="100"/>
    </row>
    <row r="555" ht="14.25" customHeight="1">
      <c r="A555" s="100"/>
      <c r="B555" s="100"/>
      <c r="C555" s="100"/>
      <c r="D555" s="100"/>
      <c r="E555" s="100"/>
      <c r="F555" s="206"/>
      <c r="G555" s="206"/>
      <c r="H555" s="207"/>
      <c r="I555" s="207"/>
      <c r="J555" s="207"/>
      <c r="K555" s="207"/>
      <c r="L555" s="207"/>
      <c r="M555" s="207"/>
      <c r="N555" s="207"/>
      <c r="O555" s="207"/>
      <c r="P555" s="207"/>
      <c r="Q555" s="207"/>
      <c r="R555" s="207"/>
      <c r="S555" s="207"/>
      <c r="T555" s="207"/>
      <c r="U555" s="207"/>
      <c r="V555" s="207"/>
      <c r="W555" s="208"/>
      <c r="X555" s="208"/>
      <c r="Y555" s="208"/>
      <c r="Z555" s="208"/>
      <c r="AA555" s="208"/>
      <c r="AB555" s="208"/>
      <c r="AC555" s="208"/>
      <c r="AD555" s="208"/>
      <c r="AE555" s="208"/>
      <c r="AF555" s="208"/>
      <c r="AG555" s="208"/>
      <c r="AH555" s="208"/>
      <c r="AI555" s="100"/>
      <c r="AJ555" s="100"/>
      <c r="AK555" s="100"/>
      <c r="AL555" s="100"/>
      <c r="AM555" s="100"/>
    </row>
    <row r="556" ht="14.25" customHeight="1">
      <c r="A556" s="100"/>
      <c r="B556" s="100"/>
      <c r="C556" s="100"/>
      <c r="D556" s="100"/>
      <c r="E556" s="100"/>
      <c r="F556" s="206"/>
      <c r="G556" s="206"/>
      <c r="H556" s="207"/>
      <c r="I556" s="207"/>
      <c r="J556" s="207"/>
      <c r="K556" s="207"/>
      <c r="L556" s="207"/>
      <c r="M556" s="207"/>
      <c r="N556" s="207"/>
      <c r="O556" s="207"/>
      <c r="P556" s="207"/>
      <c r="Q556" s="207"/>
      <c r="R556" s="207"/>
      <c r="S556" s="207"/>
      <c r="T556" s="207"/>
      <c r="U556" s="207"/>
      <c r="V556" s="207"/>
      <c r="W556" s="208"/>
      <c r="X556" s="208"/>
      <c r="Y556" s="208"/>
      <c r="Z556" s="208"/>
      <c r="AA556" s="208"/>
      <c r="AB556" s="208"/>
      <c r="AC556" s="208"/>
      <c r="AD556" s="208"/>
      <c r="AE556" s="208"/>
      <c r="AF556" s="208"/>
      <c r="AG556" s="208"/>
      <c r="AH556" s="208"/>
      <c r="AI556" s="100"/>
      <c r="AJ556" s="100"/>
      <c r="AK556" s="100"/>
      <c r="AL556" s="100"/>
      <c r="AM556" s="100"/>
    </row>
    <row r="557" ht="14.25" customHeight="1">
      <c r="A557" s="100"/>
      <c r="B557" s="100"/>
      <c r="C557" s="100"/>
      <c r="D557" s="100"/>
      <c r="E557" s="100"/>
      <c r="F557" s="206"/>
      <c r="G557" s="206"/>
      <c r="H557" s="207"/>
      <c r="I557" s="207"/>
      <c r="J557" s="207"/>
      <c r="K557" s="207"/>
      <c r="L557" s="207"/>
      <c r="M557" s="207"/>
      <c r="N557" s="207"/>
      <c r="O557" s="207"/>
      <c r="P557" s="207"/>
      <c r="Q557" s="207"/>
      <c r="R557" s="207"/>
      <c r="S557" s="207"/>
      <c r="T557" s="207"/>
      <c r="U557" s="207"/>
      <c r="V557" s="207"/>
      <c r="W557" s="208"/>
      <c r="X557" s="208"/>
      <c r="Y557" s="208"/>
      <c r="Z557" s="208"/>
      <c r="AA557" s="208"/>
      <c r="AB557" s="208"/>
      <c r="AC557" s="208"/>
      <c r="AD557" s="208"/>
      <c r="AE557" s="208"/>
      <c r="AF557" s="208"/>
      <c r="AG557" s="208"/>
      <c r="AH557" s="208"/>
      <c r="AI557" s="100"/>
      <c r="AJ557" s="100"/>
      <c r="AK557" s="100"/>
      <c r="AL557" s="100"/>
      <c r="AM557" s="100"/>
    </row>
    <row r="558" ht="14.25" customHeight="1">
      <c r="A558" s="100"/>
      <c r="B558" s="100"/>
      <c r="C558" s="100"/>
      <c r="D558" s="100"/>
      <c r="E558" s="100"/>
      <c r="F558" s="206"/>
      <c r="G558" s="206"/>
      <c r="H558" s="207"/>
      <c r="I558" s="207"/>
      <c r="J558" s="207"/>
      <c r="K558" s="207"/>
      <c r="L558" s="207"/>
      <c r="M558" s="207"/>
      <c r="N558" s="207"/>
      <c r="O558" s="207"/>
      <c r="P558" s="207"/>
      <c r="Q558" s="207"/>
      <c r="R558" s="207"/>
      <c r="S558" s="207"/>
      <c r="T558" s="207"/>
      <c r="U558" s="207"/>
      <c r="V558" s="207"/>
      <c r="W558" s="208"/>
      <c r="X558" s="208"/>
      <c r="Y558" s="208"/>
      <c r="Z558" s="208"/>
      <c r="AA558" s="208"/>
      <c r="AB558" s="208"/>
      <c r="AC558" s="208"/>
      <c r="AD558" s="208"/>
      <c r="AE558" s="208"/>
      <c r="AF558" s="208"/>
      <c r="AG558" s="208"/>
      <c r="AH558" s="208"/>
      <c r="AI558" s="100"/>
      <c r="AJ558" s="100"/>
      <c r="AK558" s="100"/>
      <c r="AL558" s="100"/>
      <c r="AM558" s="100"/>
    </row>
    <row r="559" ht="14.25" customHeight="1">
      <c r="A559" s="100"/>
      <c r="B559" s="100"/>
      <c r="C559" s="100"/>
      <c r="D559" s="100"/>
      <c r="E559" s="100"/>
      <c r="F559" s="206"/>
      <c r="G559" s="206"/>
      <c r="H559" s="207"/>
      <c r="I559" s="207"/>
      <c r="J559" s="207"/>
      <c r="K559" s="207"/>
      <c r="L559" s="207"/>
      <c r="M559" s="207"/>
      <c r="N559" s="207"/>
      <c r="O559" s="207"/>
      <c r="P559" s="207"/>
      <c r="Q559" s="207"/>
      <c r="R559" s="207"/>
      <c r="S559" s="207"/>
      <c r="T559" s="207"/>
      <c r="U559" s="207"/>
      <c r="V559" s="207"/>
      <c r="W559" s="208"/>
      <c r="X559" s="208"/>
      <c r="Y559" s="208"/>
      <c r="Z559" s="208"/>
      <c r="AA559" s="208"/>
      <c r="AB559" s="208"/>
      <c r="AC559" s="208"/>
      <c r="AD559" s="208"/>
      <c r="AE559" s="208"/>
      <c r="AF559" s="208"/>
      <c r="AG559" s="208"/>
      <c r="AH559" s="208"/>
      <c r="AI559" s="100"/>
      <c r="AJ559" s="100"/>
      <c r="AK559" s="100"/>
      <c r="AL559" s="100"/>
      <c r="AM559" s="100"/>
    </row>
    <row r="560" ht="14.25" customHeight="1">
      <c r="A560" s="100"/>
      <c r="B560" s="100"/>
      <c r="C560" s="100"/>
      <c r="D560" s="100"/>
      <c r="E560" s="100"/>
      <c r="F560" s="206"/>
      <c r="G560" s="206"/>
      <c r="H560" s="207"/>
      <c r="I560" s="207"/>
      <c r="J560" s="207"/>
      <c r="K560" s="207"/>
      <c r="L560" s="207"/>
      <c r="M560" s="207"/>
      <c r="N560" s="207"/>
      <c r="O560" s="207"/>
      <c r="P560" s="207"/>
      <c r="Q560" s="207"/>
      <c r="R560" s="207"/>
      <c r="S560" s="207"/>
      <c r="T560" s="207"/>
      <c r="U560" s="207"/>
      <c r="V560" s="207"/>
      <c r="W560" s="208"/>
      <c r="X560" s="208"/>
      <c r="Y560" s="208"/>
      <c r="Z560" s="208"/>
      <c r="AA560" s="208"/>
      <c r="AB560" s="208"/>
      <c r="AC560" s="208"/>
      <c r="AD560" s="208"/>
      <c r="AE560" s="208"/>
      <c r="AF560" s="208"/>
      <c r="AG560" s="208"/>
      <c r="AH560" s="208"/>
      <c r="AI560" s="100"/>
      <c r="AJ560" s="100"/>
      <c r="AK560" s="100"/>
      <c r="AL560" s="100"/>
      <c r="AM560" s="100"/>
    </row>
    <row r="561" ht="14.25" customHeight="1">
      <c r="A561" s="100"/>
      <c r="B561" s="100"/>
      <c r="C561" s="100"/>
      <c r="D561" s="100"/>
      <c r="E561" s="100"/>
      <c r="F561" s="206"/>
      <c r="G561" s="206"/>
      <c r="H561" s="207"/>
      <c r="I561" s="207"/>
      <c r="J561" s="207"/>
      <c r="K561" s="207"/>
      <c r="L561" s="207"/>
      <c r="M561" s="207"/>
      <c r="N561" s="207"/>
      <c r="O561" s="207"/>
      <c r="P561" s="207"/>
      <c r="Q561" s="207"/>
      <c r="R561" s="207"/>
      <c r="S561" s="207"/>
      <c r="T561" s="207"/>
      <c r="U561" s="207"/>
      <c r="V561" s="207"/>
      <c r="W561" s="208"/>
      <c r="X561" s="208"/>
      <c r="Y561" s="208"/>
      <c r="Z561" s="208"/>
      <c r="AA561" s="208"/>
      <c r="AB561" s="208"/>
      <c r="AC561" s="208"/>
      <c r="AD561" s="208"/>
      <c r="AE561" s="208"/>
      <c r="AF561" s="208"/>
      <c r="AG561" s="208"/>
      <c r="AH561" s="208"/>
      <c r="AI561" s="100"/>
      <c r="AJ561" s="100"/>
      <c r="AK561" s="100"/>
      <c r="AL561" s="100"/>
      <c r="AM561" s="100"/>
    </row>
    <row r="562" ht="14.25" customHeight="1">
      <c r="A562" s="100"/>
      <c r="B562" s="100"/>
      <c r="C562" s="100"/>
      <c r="D562" s="100"/>
      <c r="E562" s="100"/>
      <c r="F562" s="206"/>
      <c r="G562" s="206"/>
      <c r="H562" s="207"/>
      <c r="I562" s="207"/>
      <c r="J562" s="207"/>
      <c r="K562" s="207"/>
      <c r="L562" s="207"/>
      <c r="M562" s="207"/>
      <c r="N562" s="207"/>
      <c r="O562" s="207"/>
      <c r="P562" s="207"/>
      <c r="Q562" s="207"/>
      <c r="R562" s="207"/>
      <c r="S562" s="207"/>
      <c r="T562" s="207"/>
      <c r="U562" s="207"/>
      <c r="V562" s="207"/>
      <c r="W562" s="208"/>
      <c r="X562" s="208"/>
      <c r="Y562" s="208"/>
      <c r="Z562" s="208"/>
      <c r="AA562" s="208"/>
      <c r="AB562" s="208"/>
      <c r="AC562" s="208"/>
      <c r="AD562" s="208"/>
      <c r="AE562" s="208"/>
      <c r="AF562" s="208"/>
      <c r="AG562" s="208"/>
      <c r="AH562" s="208"/>
      <c r="AI562" s="100"/>
      <c r="AJ562" s="100"/>
      <c r="AK562" s="100"/>
      <c r="AL562" s="100"/>
      <c r="AM562" s="100"/>
    </row>
    <row r="563" ht="14.25" customHeight="1">
      <c r="A563" s="100"/>
      <c r="B563" s="100"/>
      <c r="C563" s="100"/>
      <c r="D563" s="100"/>
      <c r="E563" s="100"/>
      <c r="F563" s="206"/>
      <c r="G563" s="206"/>
      <c r="H563" s="207"/>
      <c r="I563" s="207"/>
      <c r="J563" s="207"/>
      <c r="K563" s="207"/>
      <c r="L563" s="207"/>
      <c r="M563" s="207"/>
      <c r="N563" s="207"/>
      <c r="O563" s="207"/>
      <c r="P563" s="207"/>
      <c r="Q563" s="207"/>
      <c r="R563" s="207"/>
      <c r="S563" s="207"/>
      <c r="T563" s="207"/>
      <c r="U563" s="207"/>
      <c r="V563" s="207"/>
      <c r="W563" s="208"/>
      <c r="X563" s="208"/>
      <c r="Y563" s="208"/>
      <c r="Z563" s="208"/>
      <c r="AA563" s="208"/>
      <c r="AB563" s="208"/>
      <c r="AC563" s="208"/>
      <c r="AD563" s="208"/>
      <c r="AE563" s="208"/>
      <c r="AF563" s="208"/>
      <c r="AG563" s="208"/>
      <c r="AH563" s="208"/>
      <c r="AI563" s="100"/>
      <c r="AJ563" s="100"/>
      <c r="AK563" s="100"/>
      <c r="AL563" s="100"/>
      <c r="AM563" s="100"/>
    </row>
    <row r="564" ht="14.25" customHeight="1">
      <c r="A564" s="100"/>
      <c r="B564" s="100"/>
      <c r="C564" s="100"/>
      <c r="D564" s="100"/>
      <c r="E564" s="100"/>
      <c r="F564" s="206"/>
      <c r="G564" s="206"/>
      <c r="H564" s="207"/>
      <c r="I564" s="207"/>
      <c r="J564" s="207"/>
      <c r="K564" s="207"/>
      <c r="L564" s="207"/>
      <c r="M564" s="207"/>
      <c r="N564" s="207"/>
      <c r="O564" s="207"/>
      <c r="P564" s="207"/>
      <c r="Q564" s="207"/>
      <c r="R564" s="207"/>
      <c r="S564" s="207"/>
      <c r="T564" s="207"/>
      <c r="U564" s="207"/>
      <c r="V564" s="207"/>
      <c r="W564" s="208"/>
      <c r="X564" s="208"/>
      <c r="Y564" s="208"/>
      <c r="Z564" s="208"/>
      <c r="AA564" s="208"/>
      <c r="AB564" s="208"/>
      <c r="AC564" s="208"/>
      <c r="AD564" s="208"/>
      <c r="AE564" s="208"/>
      <c r="AF564" s="208"/>
      <c r="AG564" s="208"/>
      <c r="AH564" s="208"/>
      <c r="AI564" s="100"/>
      <c r="AJ564" s="100"/>
      <c r="AK564" s="100"/>
      <c r="AL564" s="100"/>
      <c r="AM564" s="100"/>
    </row>
    <row r="565" ht="14.25" customHeight="1">
      <c r="A565" s="100"/>
      <c r="B565" s="100"/>
      <c r="C565" s="100"/>
      <c r="D565" s="100"/>
      <c r="E565" s="100"/>
      <c r="F565" s="206"/>
      <c r="G565" s="206"/>
      <c r="H565" s="207"/>
      <c r="I565" s="207"/>
      <c r="J565" s="207"/>
      <c r="K565" s="207"/>
      <c r="L565" s="207"/>
      <c r="M565" s="207"/>
      <c r="N565" s="207"/>
      <c r="O565" s="207"/>
      <c r="P565" s="207"/>
      <c r="Q565" s="207"/>
      <c r="R565" s="207"/>
      <c r="S565" s="207"/>
      <c r="T565" s="207"/>
      <c r="U565" s="207"/>
      <c r="V565" s="207"/>
      <c r="W565" s="208"/>
      <c r="X565" s="208"/>
      <c r="Y565" s="208"/>
      <c r="Z565" s="208"/>
      <c r="AA565" s="208"/>
      <c r="AB565" s="208"/>
      <c r="AC565" s="208"/>
      <c r="AD565" s="208"/>
      <c r="AE565" s="208"/>
      <c r="AF565" s="208"/>
      <c r="AG565" s="208"/>
      <c r="AH565" s="208"/>
      <c r="AI565" s="100"/>
      <c r="AJ565" s="100"/>
      <c r="AK565" s="100"/>
      <c r="AL565" s="100"/>
      <c r="AM565" s="100"/>
    </row>
    <row r="566" ht="14.25" customHeight="1">
      <c r="A566" s="100"/>
      <c r="B566" s="100"/>
      <c r="C566" s="100"/>
      <c r="D566" s="100"/>
      <c r="E566" s="100"/>
      <c r="F566" s="206"/>
      <c r="G566" s="206"/>
      <c r="H566" s="207"/>
      <c r="I566" s="207"/>
      <c r="J566" s="207"/>
      <c r="K566" s="207"/>
      <c r="L566" s="207"/>
      <c r="M566" s="207"/>
      <c r="N566" s="207"/>
      <c r="O566" s="207"/>
      <c r="P566" s="207"/>
      <c r="Q566" s="207"/>
      <c r="R566" s="207"/>
      <c r="S566" s="207"/>
      <c r="T566" s="207"/>
      <c r="U566" s="207"/>
      <c r="V566" s="207"/>
      <c r="W566" s="208"/>
      <c r="X566" s="208"/>
      <c r="Y566" s="208"/>
      <c r="Z566" s="208"/>
      <c r="AA566" s="208"/>
      <c r="AB566" s="208"/>
      <c r="AC566" s="208"/>
      <c r="AD566" s="208"/>
      <c r="AE566" s="208"/>
      <c r="AF566" s="208"/>
      <c r="AG566" s="208"/>
      <c r="AH566" s="208"/>
      <c r="AI566" s="100"/>
      <c r="AJ566" s="100"/>
      <c r="AK566" s="100"/>
      <c r="AL566" s="100"/>
      <c r="AM566" s="100"/>
    </row>
    <row r="567" ht="14.25" customHeight="1">
      <c r="A567" s="100"/>
      <c r="B567" s="100"/>
      <c r="C567" s="100"/>
      <c r="D567" s="100"/>
      <c r="E567" s="100"/>
      <c r="F567" s="206"/>
      <c r="G567" s="206"/>
      <c r="H567" s="207"/>
      <c r="I567" s="207"/>
      <c r="J567" s="207"/>
      <c r="K567" s="207"/>
      <c r="L567" s="207"/>
      <c r="M567" s="207"/>
      <c r="N567" s="207"/>
      <c r="O567" s="207"/>
      <c r="P567" s="207"/>
      <c r="Q567" s="207"/>
      <c r="R567" s="207"/>
      <c r="S567" s="207"/>
      <c r="T567" s="207"/>
      <c r="U567" s="207"/>
      <c r="V567" s="207"/>
      <c r="W567" s="208"/>
      <c r="X567" s="208"/>
      <c r="Y567" s="208"/>
      <c r="Z567" s="208"/>
      <c r="AA567" s="208"/>
      <c r="AB567" s="208"/>
      <c r="AC567" s="208"/>
      <c r="AD567" s="208"/>
      <c r="AE567" s="208"/>
      <c r="AF567" s="208"/>
      <c r="AG567" s="208"/>
      <c r="AH567" s="208"/>
      <c r="AI567" s="100"/>
      <c r="AJ567" s="100"/>
      <c r="AK567" s="100"/>
      <c r="AL567" s="100"/>
      <c r="AM567" s="100"/>
    </row>
    <row r="568" ht="14.25" customHeight="1">
      <c r="A568" s="100"/>
      <c r="B568" s="100"/>
      <c r="C568" s="100"/>
      <c r="D568" s="100"/>
      <c r="E568" s="100"/>
      <c r="F568" s="206"/>
      <c r="G568" s="206"/>
      <c r="H568" s="207"/>
      <c r="I568" s="207"/>
      <c r="J568" s="207"/>
      <c r="K568" s="207"/>
      <c r="L568" s="207"/>
      <c r="M568" s="207"/>
      <c r="N568" s="207"/>
      <c r="O568" s="207"/>
      <c r="P568" s="207"/>
      <c r="Q568" s="207"/>
      <c r="R568" s="207"/>
      <c r="S568" s="207"/>
      <c r="T568" s="207"/>
      <c r="U568" s="207"/>
      <c r="V568" s="207"/>
      <c r="W568" s="208"/>
      <c r="X568" s="208"/>
      <c r="Y568" s="208"/>
      <c r="Z568" s="208"/>
      <c r="AA568" s="208"/>
      <c r="AB568" s="208"/>
      <c r="AC568" s="208"/>
      <c r="AD568" s="208"/>
      <c r="AE568" s="208"/>
      <c r="AF568" s="208"/>
      <c r="AG568" s="208"/>
      <c r="AH568" s="208"/>
      <c r="AI568" s="100"/>
      <c r="AJ568" s="100"/>
      <c r="AK568" s="100"/>
      <c r="AL568" s="100"/>
      <c r="AM568" s="100"/>
    </row>
    <row r="569" ht="14.25" customHeight="1">
      <c r="A569" s="100"/>
      <c r="B569" s="100"/>
      <c r="C569" s="100"/>
      <c r="D569" s="100"/>
      <c r="E569" s="100"/>
      <c r="F569" s="206"/>
      <c r="G569" s="206"/>
      <c r="H569" s="207"/>
      <c r="I569" s="207"/>
      <c r="J569" s="207"/>
      <c r="K569" s="207"/>
      <c r="L569" s="207"/>
      <c r="M569" s="207"/>
      <c r="N569" s="207"/>
      <c r="O569" s="207"/>
      <c r="P569" s="207"/>
      <c r="Q569" s="207"/>
      <c r="R569" s="207"/>
      <c r="S569" s="207"/>
      <c r="T569" s="207"/>
      <c r="U569" s="207"/>
      <c r="V569" s="207"/>
      <c r="W569" s="208"/>
      <c r="X569" s="208"/>
      <c r="Y569" s="208"/>
      <c r="Z569" s="208"/>
      <c r="AA569" s="208"/>
      <c r="AB569" s="208"/>
      <c r="AC569" s="208"/>
      <c r="AD569" s="208"/>
      <c r="AE569" s="208"/>
      <c r="AF569" s="208"/>
      <c r="AG569" s="208"/>
      <c r="AH569" s="208"/>
      <c r="AI569" s="100"/>
      <c r="AJ569" s="100"/>
      <c r="AK569" s="100"/>
      <c r="AL569" s="100"/>
      <c r="AM569" s="100"/>
    </row>
    <row r="570" ht="14.25" customHeight="1">
      <c r="A570" s="100"/>
      <c r="B570" s="100"/>
      <c r="C570" s="100"/>
      <c r="D570" s="100"/>
      <c r="E570" s="100"/>
      <c r="F570" s="206"/>
      <c r="G570" s="206"/>
      <c r="H570" s="207"/>
      <c r="I570" s="207"/>
      <c r="J570" s="207"/>
      <c r="K570" s="207"/>
      <c r="L570" s="207"/>
      <c r="M570" s="207"/>
      <c r="N570" s="207"/>
      <c r="O570" s="207"/>
      <c r="P570" s="207"/>
      <c r="Q570" s="207"/>
      <c r="R570" s="207"/>
      <c r="S570" s="207"/>
      <c r="T570" s="207"/>
      <c r="U570" s="207"/>
      <c r="V570" s="207"/>
      <c r="W570" s="208"/>
      <c r="X570" s="208"/>
      <c r="Y570" s="208"/>
      <c r="Z570" s="208"/>
      <c r="AA570" s="208"/>
      <c r="AB570" s="208"/>
      <c r="AC570" s="208"/>
      <c r="AD570" s="208"/>
      <c r="AE570" s="208"/>
      <c r="AF570" s="208"/>
      <c r="AG570" s="208"/>
      <c r="AH570" s="208"/>
      <c r="AI570" s="100"/>
      <c r="AJ570" s="100"/>
      <c r="AK570" s="100"/>
      <c r="AL570" s="100"/>
      <c r="AM570" s="100"/>
    </row>
    <row r="571" ht="14.25" customHeight="1">
      <c r="A571" s="100"/>
      <c r="B571" s="100"/>
      <c r="C571" s="100"/>
      <c r="D571" s="100"/>
      <c r="E571" s="100"/>
      <c r="F571" s="206"/>
      <c r="G571" s="206"/>
      <c r="H571" s="207"/>
      <c r="I571" s="207"/>
      <c r="J571" s="207"/>
      <c r="K571" s="207"/>
      <c r="L571" s="207"/>
      <c r="M571" s="207"/>
      <c r="N571" s="207"/>
      <c r="O571" s="207"/>
      <c r="P571" s="207"/>
      <c r="Q571" s="207"/>
      <c r="R571" s="207"/>
      <c r="S571" s="207"/>
      <c r="T571" s="207"/>
      <c r="U571" s="207"/>
      <c r="V571" s="207"/>
      <c r="W571" s="208"/>
      <c r="X571" s="208"/>
      <c r="Y571" s="208"/>
      <c r="Z571" s="208"/>
      <c r="AA571" s="208"/>
      <c r="AB571" s="208"/>
      <c r="AC571" s="208"/>
      <c r="AD571" s="208"/>
      <c r="AE571" s="208"/>
      <c r="AF571" s="208"/>
      <c r="AG571" s="208"/>
      <c r="AH571" s="208"/>
      <c r="AI571" s="100"/>
      <c r="AJ571" s="100"/>
      <c r="AK571" s="100"/>
      <c r="AL571" s="100"/>
      <c r="AM571" s="100"/>
    </row>
    <row r="572" ht="14.25" customHeight="1">
      <c r="A572" s="100"/>
      <c r="B572" s="100"/>
      <c r="C572" s="100"/>
      <c r="D572" s="100"/>
      <c r="E572" s="100"/>
      <c r="F572" s="206"/>
      <c r="G572" s="206"/>
      <c r="H572" s="207"/>
      <c r="I572" s="207"/>
      <c r="J572" s="207"/>
      <c r="K572" s="207"/>
      <c r="L572" s="207"/>
      <c r="M572" s="207"/>
      <c r="N572" s="207"/>
      <c r="O572" s="207"/>
      <c r="P572" s="207"/>
      <c r="Q572" s="207"/>
      <c r="R572" s="207"/>
      <c r="S572" s="207"/>
      <c r="T572" s="207"/>
      <c r="U572" s="207"/>
      <c r="V572" s="207"/>
      <c r="W572" s="208"/>
      <c r="X572" s="208"/>
      <c r="Y572" s="208"/>
      <c r="Z572" s="208"/>
      <c r="AA572" s="208"/>
      <c r="AB572" s="208"/>
      <c r="AC572" s="208"/>
      <c r="AD572" s="208"/>
      <c r="AE572" s="208"/>
      <c r="AF572" s="208"/>
      <c r="AG572" s="208"/>
      <c r="AH572" s="208"/>
      <c r="AI572" s="100"/>
      <c r="AJ572" s="100"/>
      <c r="AK572" s="100"/>
      <c r="AL572" s="100"/>
      <c r="AM572" s="100"/>
    </row>
    <row r="573" ht="14.25" customHeight="1">
      <c r="A573" s="100"/>
      <c r="B573" s="100"/>
      <c r="C573" s="100"/>
      <c r="D573" s="100"/>
      <c r="E573" s="100"/>
      <c r="F573" s="206"/>
      <c r="G573" s="206"/>
      <c r="H573" s="207"/>
      <c r="I573" s="207"/>
      <c r="J573" s="207"/>
      <c r="K573" s="207"/>
      <c r="L573" s="207"/>
      <c r="M573" s="207"/>
      <c r="N573" s="207"/>
      <c r="O573" s="207"/>
      <c r="P573" s="207"/>
      <c r="Q573" s="207"/>
      <c r="R573" s="207"/>
      <c r="S573" s="207"/>
      <c r="T573" s="207"/>
      <c r="U573" s="207"/>
      <c r="V573" s="207"/>
      <c r="W573" s="208"/>
      <c r="X573" s="208"/>
      <c r="Y573" s="208"/>
      <c r="Z573" s="208"/>
      <c r="AA573" s="208"/>
      <c r="AB573" s="208"/>
      <c r="AC573" s="208"/>
      <c r="AD573" s="208"/>
      <c r="AE573" s="208"/>
      <c r="AF573" s="208"/>
      <c r="AG573" s="208"/>
      <c r="AH573" s="208"/>
      <c r="AI573" s="100"/>
      <c r="AJ573" s="100"/>
      <c r="AK573" s="100"/>
      <c r="AL573" s="100"/>
      <c r="AM573" s="100"/>
    </row>
    <row r="574" ht="14.25" customHeight="1">
      <c r="A574" s="100"/>
      <c r="B574" s="100"/>
      <c r="C574" s="100"/>
      <c r="D574" s="100"/>
      <c r="E574" s="100"/>
      <c r="F574" s="206"/>
      <c r="G574" s="206"/>
      <c r="H574" s="207"/>
      <c r="I574" s="207"/>
      <c r="J574" s="207"/>
      <c r="K574" s="207"/>
      <c r="L574" s="207"/>
      <c r="M574" s="207"/>
      <c r="N574" s="207"/>
      <c r="O574" s="207"/>
      <c r="P574" s="207"/>
      <c r="Q574" s="207"/>
      <c r="R574" s="207"/>
      <c r="S574" s="207"/>
      <c r="T574" s="207"/>
      <c r="U574" s="207"/>
      <c r="V574" s="207"/>
      <c r="W574" s="208"/>
      <c r="X574" s="208"/>
      <c r="Y574" s="208"/>
      <c r="Z574" s="208"/>
      <c r="AA574" s="208"/>
      <c r="AB574" s="208"/>
      <c r="AC574" s="208"/>
      <c r="AD574" s="208"/>
      <c r="AE574" s="208"/>
      <c r="AF574" s="208"/>
      <c r="AG574" s="208"/>
      <c r="AH574" s="208"/>
      <c r="AI574" s="100"/>
      <c r="AJ574" s="100"/>
      <c r="AK574" s="100"/>
      <c r="AL574" s="100"/>
      <c r="AM574" s="100"/>
    </row>
    <row r="575" ht="14.25" customHeight="1">
      <c r="A575" s="100"/>
      <c r="B575" s="100"/>
      <c r="C575" s="100"/>
      <c r="D575" s="100"/>
      <c r="E575" s="100"/>
      <c r="F575" s="206"/>
      <c r="G575" s="206"/>
      <c r="H575" s="207"/>
      <c r="I575" s="207"/>
      <c r="J575" s="207"/>
      <c r="K575" s="207"/>
      <c r="L575" s="207"/>
      <c r="M575" s="207"/>
      <c r="N575" s="207"/>
      <c r="O575" s="207"/>
      <c r="P575" s="207"/>
      <c r="Q575" s="207"/>
      <c r="R575" s="207"/>
      <c r="S575" s="207"/>
      <c r="T575" s="207"/>
      <c r="U575" s="207"/>
      <c r="V575" s="207"/>
      <c r="W575" s="208"/>
      <c r="X575" s="208"/>
      <c r="Y575" s="208"/>
      <c r="Z575" s="208"/>
      <c r="AA575" s="208"/>
      <c r="AB575" s="208"/>
      <c r="AC575" s="208"/>
      <c r="AD575" s="208"/>
      <c r="AE575" s="208"/>
      <c r="AF575" s="208"/>
      <c r="AG575" s="208"/>
      <c r="AH575" s="208"/>
      <c r="AI575" s="100"/>
      <c r="AJ575" s="100"/>
      <c r="AK575" s="100"/>
      <c r="AL575" s="100"/>
      <c r="AM575" s="100"/>
    </row>
    <row r="576" ht="14.25" customHeight="1">
      <c r="A576" s="100"/>
      <c r="B576" s="100"/>
      <c r="C576" s="100"/>
      <c r="D576" s="100"/>
      <c r="E576" s="100"/>
      <c r="F576" s="206"/>
      <c r="G576" s="206"/>
      <c r="H576" s="207"/>
      <c r="I576" s="207"/>
      <c r="J576" s="207"/>
      <c r="K576" s="207"/>
      <c r="L576" s="207"/>
      <c r="M576" s="207"/>
      <c r="N576" s="207"/>
      <c r="O576" s="207"/>
      <c r="P576" s="207"/>
      <c r="Q576" s="207"/>
      <c r="R576" s="207"/>
      <c r="S576" s="207"/>
      <c r="T576" s="207"/>
      <c r="U576" s="207"/>
      <c r="V576" s="207"/>
      <c r="W576" s="208"/>
      <c r="X576" s="208"/>
      <c r="Y576" s="208"/>
      <c r="Z576" s="208"/>
      <c r="AA576" s="208"/>
      <c r="AB576" s="208"/>
      <c r="AC576" s="208"/>
      <c r="AD576" s="208"/>
      <c r="AE576" s="208"/>
      <c r="AF576" s="208"/>
      <c r="AG576" s="208"/>
      <c r="AH576" s="208"/>
      <c r="AI576" s="100"/>
      <c r="AJ576" s="100"/>
      <c r="AK576" s="100"/>
      <c r="AL576" s="100"/>
      <c r="AM576" s="100"/>
    </row>
    <row r="577" ht="14.25" customHeight="1">
      <c r="A577" s="100"/>
      <c r="B577" s="100"/>
      <c r="C577" s="100"/>
      <c r="D577" s="100"/>
      <c r="E577" s="100"/>
      <c r="F577" s="206"/>
      <c r="G577" s="206"/>
      <c r="H577" s="207"/>
      <c r="I577" s="207"/>
      <c r="J577" s="207"/>
      <c r="K577" s="207"/>
      <c r="L577" s="207"/>
      <c r="M577" s="207"/>
      <c r="N577" s="207"/>
      <c r="O577" s="207"/>
      <c r="P577" s="207"/>
      <c r="Q577" s="207"/>
      <c r="R577" s="207"/>
      <c r="S577" s="207"/>
      <c r="T577" s="207"/>
      <c r="U577" s="207"/>
      <c r="V577" s="207"/>
      <c r="W577" s="208"/>
      <c r="X577" s="208"/>
      <c r="Y577" s="208"/>
      <c r="Z577" s="208"/>
      <c r="AA577" s="208"/>
      <c r="AB577" s="208"/>
      <c r="AC577" s="208"/>
      <c r="AD577" s="208"/>
      <c r="AE577" s="208"/>
      <c r="AF577" s="208"/>
      <c r="AG577" s="208"/>
      <c r="AH577" s="208"/>
      <c r="AI577" s="100"/>
      <c r="AJ577" s="100"/>
      <c r="AK577" s="100"/>
      <c r="AL577" s="100"/>
      <c r="AM577" s="100"/>
    </row>
    <row r="578" ht="14.25" customHeight="1">
      <c r="A578" s="100"/>
      <c r="B578" s="100"/>
      <c r="C578" s="100"/>
      <c r="D578" s="100"/>
      <c r="E578" s="100"/>
      <c r="F578" s="206"/>
      <c r="G578" s="206"/>
      <c r="H578" s="207"/>
      <c r="I578" s="207"/>
      <c r="J578" s="207"/>
      <c r="K578" s="207"/>
      <c r="L578" s="207"/>
      <c r="M578" s="207"/>
      <c r="N578" s="207"/>
      <c r="O578" s="207"/>
      <c r="P578" s="207"/>
      <c r="Q578" s="207"/>
      <c r="R578" s="207"/>
      <c r="S578" s="207"/>
      <c r="T578" s="207"/>
      <c r="U578" s="207"/>
      <c r="V578" s="207"/>
      <c r="W578" s="208"/>
      <c r="X578" s="208"/>
      <c r="Y578" s="208"/>
      <c r="Z578" s="208"/>
      <c r="AA578" s="208"/>
      <c r="AB578" s="208"/>
      <c r="AC578" s="208"/>
      <c r="AD578" s="208"/>
      <c r="AE578" s="208"/>
      <c r="AF578" s="208"/>
      <c r="AG578" s="208"/>
      <c r="AH578" s="208"/>
      <c r="AI578" s="100"/>
      <c r="AJ578" s="100"/>
      <c r="AK578" s="100"/>
      <c r="AL578" s="100"/>
      <c r="AM578" s="100"/>
    </row>
    <row r="579" ht="14.25" customHeight="1">
      <c r="A579" s="100"/>
      <c r="B579" s="100"/>
      <c r="C579" s="100"/>
      <c r="D579" s="100"/>
      <c r="E579" s="100"/>
      <c r="F579" s="206"/>
      <c r="G579" s="206"/>
      <c r="H579" s="207"/>
      <c r="I579" s="207"/>
      <c r="J579" s="207"/>
      <c r="K579" s="207"/>
      <c r="L579" s="207"/>
      <c r="M579" s="207"/>
      <c r="N579" s="207"/>
      <c r="O579" s="207"/>
      <c r="P579" s="207"/>
      <c r="Q579" s="207"/>
      <c r="R579" s="207"/>
      <c r="S579" s="207"/>
      <c r="T579" s="207"/>
      <c r="U579" s="207"/>
      <c r="V579" s="207"/>
      <c r="W579" s="208"/>
      <c r="X579" s="208"/>
      <c r="Y579" s="208"/>
      <c r="Z579" s="208"/>
      <c r="AA579" s="208"/>
      <c r="AB579" s="208"/>
      <c r="AC579" s="208"/>
      <c r="AD579" s="208"/>
      <c r="AE579" s="208"/>
      <c r="AF579" s="208"/>
      <c r="AG579" s="208"/>
      <c r="AH579" s="208"/>
      <c r="AI579" s="100"/>
      <c r="AJ579" s="100"/>
      <c r="AK579" s="100"/>
      <c r="AL579" s="100"/>
      <c r="AM579" s="100"/>
    </row>
    <row r="580" ht="14.25" customHeight="1">
      <c r="A580" s="100"/>
      <c r="B580" s="100"/>
      <c r="C580" s="100"/>
      <c r="D580" s="100"/>
      <c r="E580" s="100"/>
      <c r="F580" s="206"/>
      <c r="G580" s="206"/>
      <c r="H580" s="207"/>
      <c r="I580" s="207"/>
      <c r="J580" s="207"/>
      <c r="K580" s="207"/>
      <c r="L580" s="207"/>
      <c r="M580" s="207"/>
      <c r="N580" s="207"/>
      <c r="O580" s="207"/>
      <c r="P580" s="207"/>
      <c r="Q580" s="207"/>
      <c r="R580" s="207"/>
      <c r="S580" s="207"/>
      <c r="T580" s="207"/>
      <c r="U580" s="207"/>
      <c r="V580" s="207"/>
      <c r="W580" s="208"/>
      <c r="X580" s="208"/>
      <c r="Y580" s="208"/>
      <c r="Z580" s="208"/>
      <c r="AA580" s="208"/>
      <c r="AB580" s="208"/>
      <c r="AC580" s="208"/>
      <c r="AD580" s="208"/>
      <c r="AE580" s="208"/>
      <c r="AF580" s="208"/>
      <c r="AG580" s="208"/>
      <c r="AH580" s="208"/>
      <c r="AI580" s="100"/>
      <c r="AJ580" s="100"/>
      <c r="AK580" s="100"/>
      <c r="AL580" s="100"/>
      <c r="AM580" s="100"/>
    </row>
    <row r="581" ht="14.25" customHeight="1">
      <c r="A581" s="100"/>
      <c r="B581" s="100"/>
      <c r="C581" s="100"/>
      <c r="D581" s="100"/>
      <c r="E581" s="100"/>
      <c r="F581" s="206"/>
      <c r="G581" s="206"/>
      <c r="H581" s="207"/>
      <c r="I581" s="207"/>
      <c r="J581" s="207"/>
      <c r="K581" s="207"/>
      <c r="L581" s="207"/>
      <c r="M581" s="207"/>
      <c r="N581" s="207"/>
      <c r="O581" s="207"/>
      <c r="P581" s="207"/>
      <c r="Q581" s="207"/>
      <c r="R581" s="207"/>
      <c r="S581" s="207"/>
      <c r="T581" s="207"/>
      <c r="U581" s="207"/>
      <c r="V581" s="207"/>
      <c r="W581" s="208"/>
      <c r="X581" s="208"/>
      <c r="Y581" s="208"/>
      <c r="Z581" s="208"/>
      <c r="AA581" s="208"/>
      <c r="AB581" s="208"/>
      <c r="AC581" s="208"/>
      <c r="AD581" s="208"/>
      <c r="AE581" s="208"/>
      <c r="AF581" s="208"/>
      <c r="AG581" s="208"/>
      <c r="AH581" s="208"/>
      <c r="AI581" s="100"/>
      <c r="AJ581" s="100"/>
      <c r="AK581" s="100"/>
      <c r="AL581" s="100"/>
      <c r="AM581" s="100"/>
    </row>
    <row r="582" ht="14.25" customHeight="1">
      <c r="A582" s="100"/>
      <c r="B582" s="100"/>
      <c r="C582" s="100"/>
      <c r="D582" s="100"/>
      <c r="E582" s="100"/>
      <c r="F582" s="206"/>
      <c r="G582" s="206"/>
      <c r="H582" s="207"/>
      <c r="I582" s="207"/>
      <c r="J582" s="207"/>
      <c r="K582" s="207"/>
      <c r="L582" s="207"/>
      <c r="M582" s="207"/>
      <c r="N582" s="207"/>
      <c r="O582" s="207"/>
      <c r="P582" s="207"/>
      <c r="Q582" s="207"/>
      <c r="R582" s="207"/>
      <c r="S582" s="207"/>
      <c r="T582" s="207"/>
      <c r="U582" s="207"/>
      <c r="V582" s="207"/>
      <c r="W582" s="208"/>
      <c r="X582" s="208"/>
      <c r="Y582" s="208"/>
      <c r="Z582" s="208"/>
      <c r="AA582" s="208"/>
      <c r="AB582" s="208"/>
      <c r="AC582" s="208"/>
      <c r="AD582" s="208"/>
      <c r="AE582" s="208"/>
      <c r="AF582" s="208"/>
      <c r="AG582" s="208"/>
      <c r="AH582" s="208"/>
      <c r="AI582" s="100"/>
      <c r="AJ582" s="100"/>
      <c r="AK582" s="100"/>
      <c r="AL582" s="100"/>
      <c r="AM582" s="100"/>
    </row>
    <row r="583" ht="14.25" customHeight="1">
      <c r="A583" s="100"/>
      <c r="B583" s="100"/>
      <c r="C583" s="100"/>
      <c r="D583" s="100"/>
      <c r="E583" s="100"/>
      <c r="F583" s="206"/>
      <c r="G583" s="206"/>
      <c r="H583" s="207"/>
      <c r="I583" s="207"/>
      <c r="J583" s="207"/>
      <c r="K583" s="207"/>
      <c r="L583" s="207"/>
      <c r="M583" s="207"/>
      <c r="N583" s="207"/>
      <c r="O583" s="207"/>
      <c r="P583" s="207"/>
      <c r="Q583" s="207"/>
      <c r="R583" s="207"/>
      <c r="S583" s="207"/>
      <c r="T583" s="207"/>
      <c r="U583" s="207"/>
      <c r="V583" s="207"/>
      <c r="W583" s="208"/>
      <c r="X583" s="208"/>
      <c r="Y583" s="208"/>
      <c r="Z583" s="208"/>
      <c r="AA583" s="208"/>
      <c r="AB583" s="208"/>
      <c r="AC583" s="208"/>
      <c r="AD583" s="208"/>
      <c r="AE583" s="208"/>
      <c r="AF583" s="208"/>
      <c r="AG583" s="208"/>
      <c r="AH583" s="208"/>
      <c r="AI583" s="100"/>
      <c r="AJ583" s="100"/>
      <c r="AK583" s="100"/>
      <c r="AL583" s="100"/>
      <c r="AM583" s="100"/>
    </row>
    <row r="584" ht="14.25" customHeight="1">
      <c r="A584" s="100"/>
      <c r="B584" s="100"/>
      <c r="C584" s="100"/>
      <c r="D584" s="100"/>
      <c r="E584" s="100"/>
      <c r="F584" s="206"/>
      <c r="G584" s="206"/>
      <c r="H584" s="207"/>
      <c r="I584" s="207"/>
      <c r="J584" s="207"/>
      <c r="K584" s="207"/>
      <c r="L584" s="207"/>
      <c r="M584" s="207"/>
      <c r="N584" s="207"/>
      <c r="O584" s="207"/>
      <c r="P584" s="207"/>
      <c r="Q584" s="207"/>
      <c r="R584" s="207"/>
      <c r="S584" s="207"/>
      <c r="T584" s="207"/>
      <c r="U584" s="207"/>
      <c r="V584" s="207"/>
      <c r="W584" s="208"/>
      <c r="X584" s="208"/>
      <c r="Y584" s="208"/>
      <c r="Z584" s="208"/>
      <c r="AA584" s="208"/>
      <c r="AB584" s="208"/>
      <c r="AC584" s="208"/>
      <c r="AD584" s="208"/>
      <c r="AE584" s="208"/>
      <c r="AF584" s="208"/>
      <c r="AG584" s="208"/>
      <c r="AH584" s="208"/>
      <c r="AI584" s="100"/>
      <c r="AJ584" s="100"/>
      <c r="AK584" s="100"/>
      <c r="AL584" s="100"/>
      <c r="AM584" s="100"/>
    </row>
    <row r="585" ht="14.25" customHeight="1">
      <c r="A585" s="100"/>
      <c r="B585" s="100"/>
      <c r="C585" s="100"/>
      <c r="D585" s="100"/>
      <c r="E585" s="100"/>
      <c r="F585" s="206"/>
      <c r="G585" s="206"/>
      <c r="H585" s="207"/>
      <c r="I585" s="207"/>
      <c r="J585" s="207"/>
      <c r="K585" s="207"/>
      <c r="L585" s="207"/>
      <c r="M585" s="207"/>
      <c r="N585" s="207"/>
      <c r="O585" s="207"/>
      <c r="P585" s="207"/>
      <c r="Q585" s="207"/>
      <c r="R585" s="207"/>
      <c r="S585" s="207"/>
      <c r="T585" s="207"/>
      <c r="U585" s="207"/>
      <c r="V585" s="207"/>
      <c r="W585" s="208"/>
      <c r="X585" s="208"/>
      <c r="Y585" s="208"/>
      <c r="Z585" s="208"/>
      <c r="AA585" s="208"/>
      <c r="AB585" s="208"/>
      <c r="AC585" s="208"/>
      <c r="AD585" s="208"/>
      <c r="AE585" s="208"/>
      <c r="AF585" s="208"/>
      <c r="AG585" s="208"/>
      <c r="AH585" s="208"/>
      <c r="AI585" s="100"/>
      <c r="AJ585" s="100"/>
      <c r="AK585" s="100"/>
      <c r="AL585" s="100"/>
      <c r="AM585" s="100"/>
    </row>
    <row r="586" ht="14.25" customHeight="1">
      <c r="A586" s="100"/>
      <c r="B586" s="100"/>
      <c r="C586" s="100"/>
      <c r="D586" s="100"/>
      <c r="E586" s="100"/>
      <c r="F586" s="206"/>
      <c r="G586" s="206"/>
      <c r="H586" s="207"/>
      <c r="I586" s="207"/>
      <c r="J586" s="207"/>
      <c r="K586" s="207"/>
      <c r="L586" s="207"/>
      <c r="M586" s="207"/>
      <c r="N586" s="207"/>
      <c r="O586" s="207"/>
      <c r="P586" s="207"/>
      <c r="Q586" s="207"/>
      <c r="R586" s="207"/>
      <c r="S586" s="207"/>
      <c r="T586" s="207"/>
      <c r="U586" s="207"/>
      <c r="V586" s="207"/>
      <c r="W586" s="208"/>
      <c r="X586" s="208"/>
      <c r="Y586" s="208"/>
      <c r="Z586" s="208"/>
      <c r="AA586" s="208"/>
      <c r="AB586" s="208"/>
      <c r="AC586" s="208"/>
      <c r="AD586" s="208"/>
      <c r="AE586" s="208"/>
      <c r="AF586" s="208"/>
      <c r="AG586" s="208"/>
      <c r="AH586" s="208"/>
      <c r="AI586" s="100"/>
      <c r="AJ586" s="100"/>
      <c r="AK586" s="100"/>
      <c r="AL586" s="100"/>
      <c r="AM586" s="100"/>
    </row>
    <row r="587" ht="14.25" customHeight="1">
      <c r="A587" s="100"/>
      <c r="B587" s="100"/>
      <c r="C587" s="100"/>
      <c r="D587" s="100"/>
      <c r="E587" s="100"/>
      <c r="F587" s="206"/>
      <c r="G587" s="206"/>
      <c r="H587" s="207"/>
      <c r="I587" s="207"/>
      <c r="J587" s="207"/>
      <c r="K587" s="207"/>
      <c r="L587" s="207"/>
      <c r="M587" s="207"/>
      <c r="N587" s="207"/>
      <c r="O587" s="207"/>
      <c r="P587" s="207"/>
      <c r="Q587" s="207"/>
      <c r="R587" s="207"/>
      <c r="S587" s="207"/>
      <c r="T587" s="207"/>
      <c r="U587" s="207"/>
      <c r="V587" s="207"/>
      <c r="W587" s="208"/>
      <c r="X587" s="208"/>
      <c r="Y587" s="208"/>
      <c r="Z587" s="208"/>
      <c r="AA587" s="208"/>
      <c r="AB587" s="208"/>
      <c r="AC587" s="208"/>
      <c r="AD587" s="208"/>
      <c r="AE587" s="208"/>
      <c r="AF587" s="208"/>
      <c r="AG587" s="208"/>
      <c r="AH587" s="208"/>
      <c r="AI587" s="100"/>
      <c r="AJ587" s="100"/>
      <c r="AK587" s="100"/>
      <c r="AL587" s="100"/>
      <c r="AM587" s="100"/>
    </row>
    <row r="588" ht="14.25" customHeight="1">
      <c r="A588" s="100"/>
      <c r="B588" s="100"/>
      <c r="C588" s="100"/>
      <c r="D588" s="100"/>
      <c r="E588" s="100"/>
      <c r="F588" s="206"/>
      <c r="G588" s="206"/>
      <c r="H588" s="207"/>
      <c r="I588" s="207"/>
      <c r="J588" s="207"/>
      <c r="K588" s="207"/>
      <c r="L588" s="207"/>
      <c r="M588" s="207"/>
      <c r="N588" s="207"/>
      <c r="O588" s="207"/>
      <c r="P588" s="207"/>
      <c r="Q588" s="207"/>
      <c r="R588" s="207"/>
      <c r="S588" s="207"/>
      <c r="T588" s="207"/>
      <c r="U588" s="207"/>
      <c r="V588" s="207"/>
      <c r="W588" s="208"/>
      <c r="X588" s="208"/>
      <c r="Y588" s="208"/>
      <c r="Z588" s="208"/>
      <c r="AA588" s="208"/>
      <c r="AB588" s="208"/>
      <c r="AC588" s="208"/>
      <c r="AD588" s="208"/>
      <c r="AE588" s="208"/>
      <c r="AF588" s="208"/>
      <c r="AG588" s="208"/>
      <c r="AH588" s="208"/>
      <c r="AI588" s="100"/>
      <c r="AJ588" s="100"/>
      <c r="AK588" s="100"/>
      <c r="AL588" s="100"/>
      <c r="AM588" s="100"/>
    </row>
    <row r="589" ht="14.25" customHeight="1">
      <c r="A589" s="100"/>
      <c r="B589" s="100"/>
      <c r="C589" s="100"/>
      <c r="D589" s="100"/>
      <c r="E589" s="100"/>
      <c r="F589" s="206"/>
      <c r="G589" s="206"/>
      <c r="H589" s="207"/>
      <c r="I589" s="207"/>
      <c r="J589" s="207"/>
      <c r="K589" s="207"/>
      <c r="L589" s="207"/>
      <c r="M589" s="207"/>
      <c r="N589" s="207"/>
      <c r="O589" s="207"/>
      <c r="P589" s="207"/>
      <c r="Q589" s="207"/>
      <c r="R589" s="207"/>
      <c r="S589" s="207"/>
      <c r="T589" s="207"/>
      <c r="U589" s="207"/>
      <c r="V589" s="207"/>
      <c r="W589" s="208"/>
      <c r="X589" s="208"/>
      <c r="Y589" s="208"/>
      <c r="Z589" s="208"/>
      <c r="AA589" s="208"/>
      <c r="AB589" s="208"/>
      <c r="AC589" s="208"/>
      <c r="AD589" s="208"/>
      <c r="AE589" s="208"/>
      <c r="AF589" s="208"/>
      <c r="AG589" s="208"/>
      <c r="AH589" s="208"/>
      <c r="AI589" s="100"/>
      <c r="AJ589" s="100"/>
      <c r="AK589" s="100"/>
      <c r="AL589" s="100"/>
      <c r="AM589" s="100"/>
    </row>
    <row r="590" ht="14.25" customHeight="1">
      <c r="A590" s="100"/>
      <c r="B590" s="100"/>
      <c r="C590" s="100"/>
      <c r="D590" s="100"/>
      <c r="E590" s="100"/>
      <c r="F590" s="206"/>
      <c r="G590" s="206"/>
      <c r="H590" s="207"/>
      <c r="I590" s="207"/>
      <c r="J590" s="207"/>
      <c r="K590" s="207"/>
      <c r="L590" s="207"/>
      <c r="M590" s="207"/>
      <c r="N590" s="207"/>
      <c r="O590" s="207"/>
      <c r="P590" s="207"/>
      <c r="Q590" s="207"/>
      <c r="R590" s="207"/>
      <c r="S590" s="207"/>
      <c r="T590" s="207"/>
      <c r="U590" s="207"/>
      <c r="V590" s="207"/>
      <c r="W590" s="208"/>
      <c r="X590" s="208"/>
      <c r="Y590" s="208"/>
      <c r="Z590" s="208"/>
      <c r="AA590" s="208"/>
      <c r="AB590" s="208"/>
      <c r="AC590" s="208"/>
      <c r="AD590" s="208"/>
      <c r="AE590" s="208"/>
      <c r="AF590" s="208"/>
      <c r="AG590" s="208"/>
      <c r="AH590" s="208"/>
      <c r="AI590" s="100"/>
      <c r="AJ590" s="100"/>
      <c r="AK590" s="100"/>
      <c r="AL590" s="100"/>
      <c r="AM590" s="100"/>
    </row>
    <row r="591" ht="14.25" customHeight="1">
      <c r="A591" s="100"/>
      <c r="B591" s="100"/>
      <c r="C591" s="100"/>
      <c r="D591" s="100"/>
      <c r="E591" s="100"/>
      <c r="F591" s="206"/>
      <c r="G591" s="206"/>
      <c r="H591" s="207"/>
      <c r="I591" s="207"/>
      <c r="J591" s="207"/>
      <c r="K591" s="207"/>
      <c r="L591" s="207"/>
      <c r="M591" s="207"/>
      <c r="N591" s="207"/>
      <c r="O591" s="207"/>
      <c r="P591" s="207"/>
      <c r="Q591" s="207"/>
      <c r="R591" s="207"/>
      <c r="S591" s="207"/>
      <c r="T591" s="207"/>
      <c r="U591" s="207"/>
      <c r="V591" s="207"/>
      <c r="W591" s="208"/>
      <c r="X591" s="208"/>
      <c r="Y591" s="208"/>
      <c r="Z591" s="208"/>
      <c r="AA591" s="208"/>
      <c r="AB591" s="208"/>
      <c r="AC591" s="208"/>
      <c r="AD591" s="208"/>
      <c r="AE591" s="208"/>
      <c r="AF591" s="208"/>
      <c r="AG591" s="208"/>
      <c r="AH591" s="208"/>
      <c r="AI591" s="100"/>
      <c r="AJ591" s="100"/>
      <c r="AK591" s="100"/>
      <c r="AL591" s="100"/>
      <c r="AM591" s="100"/>
    </row>
    <row r="592" ht="14.25" customHeight="1">
      <c r="A592" s="100"/>
      <c r="B592" s="100"/>
      <c r="C592" s="100"/>
      <c r="D592" s="100"/>
      <c r="E592" s="100"/>
      <c r="F592" s="206"/>
      <c r="G592" s="206"/>
      <c r="H592" s="207"/>
      <c r="I592" s="207"/>
      <c r="J592" s="207"/>
      <c r="K592" s="207"/>
      <c r="L592" s="207"/>
      <c r="M592" s="207"/>
      <c r="N592" s="207"/>
      <c r="O592" s="207"/>
      <c r="P592" s="207"/>
      <c r="Q592" s="207"/>
      <c r="R592" s="207"/>
      <c r="S592" s="207"/>
      <c r="T592" s="207"/>
      <c r="U592" s="207"/>
      <c r="V592" s="207"/>
      <c r="W592" s="208"/>
      <c r="X592" s="208"/>
      <c r="Y592" s="208"/>
      <c r="Z592" s="208"/>
      <c r="AA592" s="208"/>
      <c r="AB592" s="208"/>
      <c r="AC592" s="208"/>
      <c r="AD592" s="208"/>
      <c r="AE592" s="208"/>
      <c r="AF592" s="208"/>
      <c r="AG592" s="208"/>
      <c r="AH592" s="208"/>
      <c r="AI592" s="100"/>
      <c r="AJ592" s="100"/>
      <c r="AK592" s="100"/>
      <c r="AL592" s="100"/>
      <c r="AM592" s="100"/>
    </row>
    <row r="593" ht="14.25" customHeight="1">
      <c r="A593" s="100"/>
      <c r="B593" s="100"/>
      <c r="C593" s="100"/>
      <c r="D593" s="100"/>
      <c r="E593" s="100"/>
      <c r="F593" s="206"/>
      <c r="G593" s="206"/>
      <c r="H593" s="207"/>
      <c r="I593" s="207"/>
      <c r="J593" s="207"/>
      <c r="K593" s="207"/>
      <c r="L593" s="207"/>
      <c r="M593" s="207"/>
      <c r="N593" s="207"/>
      <c r="O593" s="207"/>
      <c r="P593" s="207"/>
      <c r="Q593" s="207"/>
      <c r="R593" s="207"/>
      <c r="S593" s="207"/>
      <c r="T593" s="207"/>
      <c r="U593" s="207"/>
      <c r="V593" s="207"/>
      <c r="W593" s="208"/>
      <c r="X593" s="208"/>
      <c r="Y593" s="208"/>
      <c r="Z593" s="208"/>
      <c r="AA593" s="208"/>
      <c r="AB593" s="208"/>
      <c r="AC593" s="208"/>
      <c r="AD593" s="208"/>
      <c r="AE593" s="208"/>
      <c r="AF593" s="208"/>
      <c r="AG593" s="208"/>
      <c r="AH593" s="208"/>
      <c r="AI593" s="100"/>
      <c r="AJ593" s="100"/>
      <c r="AK593" s="100"/>
      <c r="AL593" s="100"/>
      <c r="AM593" s="100"/>
    </row>
    <row r="594" ht="14.25" customHeight="1">
      <c r="A594" s="100"/>
      <c r="B594" s="100"/>
      <c r="C594" s="100"/>
      <c r="D594" s="100"/>
      <c r="E594" s="100"/>
      <c r="F594" s="206"/>
      <c r="G594" s="206"/>
      <c r="H594" s="207"/>
      <c r="I594" s="207"/>
      <c r="J594" s="207"/>
      <c r="K594" s="207"/>
      <c r="L594" s="207"/>
      <c r="M594" s="207"/>
      <c r="N594" s="207"/>
      <c r="O594" s="207"/>
      <c r="P594" s="207"/>
      <c r="Q594" s="207"/>
      <c r="R594" s="207"/>
      <c r="S594" s="207"/>
      <c r="T594" s="207"/>
      <c r="U594" s="207"/>
      <c r="V594" s="207"/>
      <c r="W594" s="208"/>
      <c r="X594" s="208"/>
      <c r="Y594" s="208"/>
      <c r="Z594" s="208"/>
      <c r="AA594" s="208"/>
      <c r="AB594" s="208"/>
      <c r="AC594" s="208"/>
      <c r="AD594" s="208"/>
      <c r="AE594" s="208"/>
      <c r="AF594" s="208"/>
      <c r="AG594" s="208"/>
      <c r="AH594" s="208"/>
      <c r="AI594" s="100"/>
      <c r="AJ594" s="100"/>
      <c r="AK594" s="100"/>
      <c r="AL594" s="100"/>
      <c r="AM594" s="100"/>
    </row>
    <row r="595" ht="14.25" customHeight="1">
      <c r="A595" s="100"/>
      <c r="B595" s="100"/>
      <c r="C595" s="100"/>
      <c r="D595" s="100"/>
      <c r="E595" s="100"/>
      <c r="F595" s="206"/>
      <c r="G595" s="206"/>
      <c r="H595" s="207"/>
      <c r="I595" s="207"/>
      <c r="J595" s="207"/>
      <c r="K595" s="207"/>
      <c r="L595" s="207"/>
      <c r="M595" s="207"/>
      <c r="N595" s="207"/>
      <c r="O595" s="207"/>
      <c r="P595" s="207"/>
      <c r="Q595" s="207"/>
      <c r="R595" s="207"/>
      <c r="S595" s="207"/>
      <c r="T595" s="207"/>
      <c r="U595" s="207"/>
      <c r="V595" s="207"/>
      <c r="W595" s="208"/>
      <c r="X595" s="208"/>
      <c r="Y595" s="208"/>
      <c r="Z595" s="208"/>
      <c r="AA595" s="208"/>
      <c r="AB595" s="208"/>
      <c r="AC595" s="208"/>
      <c r="AD595" s="208"/>
      <c r="AE595" s="208"/>
      <c r="AF595" s="208"/>
      <c r="AG595" s="208"/>
      <c r="AH595" s="208"/>
      <c r="AI595" s="100"/>
      <c r="AJ595" s="100"/>
      <c r="AK595" s="100"/>
      <c r="AL595" s="100"/>
      <c r="AM595" s="100"/>
    </row>
    <row r="596" ht="14.25" customHeight="1">
      <c r="A596" s="100"/>
      <c r="B596" s="100"/>
      <c r="C596" s="100"/>
      <c r="D596" s="100"/>
      <c r="E596" s="100"/>
      <c r="F596" s="206"/>
      <c r="G596" s="206"/>
      <c r="H596" s="207"/>
      <c r="I596" s="207"/>
      <c r="J596" s="207"/>
      <c r="K596" s="207"/>
      <c r="L596" s="207"/>
      <c r="M596" s="207"/>
      <c r="N596" s="207"/>
      <c r="O596" s="207"/>
      <c r="P596" s="207"/>
      <c r="Q596" s="207"/>
      <c r="R596" s="207"/>
      <c r="S596" s="207"/>
      <c r="T596" s="207"/>
      <c r="U596" s="207"/>
      <c r="V596" s="207"/>
      <c r="W596" s="208"/>
      <c r="X596" s="208"/>
      <c r="Y596" s="208"/>
      <c r="Z596" s="208"/>
      <c r="AA596" s="208"/>
      <c r="AB596" s="208"/>
      <c r="AC596" s="208"/>
      <c r="AD596" s="208"/>
      <c r="AE596" s="208"/>
      <c r="AF596" s="208"/>
      <c r="AG596" s="208"/>
      <c r="AH596" s="208"/>
      <c r="AI596" s="100"/>
      <c r="AJ596" s="100"/>
      <c r="AK596" s="100"/>
      <c r="AL596" s="100"/>
      <c r="AM596" s="100"/>
    </row>
    <row r="597" ht="14.25" customHeight="1">
      <c r="A597" s="100"/>
      <c r="B597" s="100"/>
      <c r="C597" s="100"/>
      <c r="D597" s="100"/>
      <c r="E597" s="100"/>
      <c r="F597" s="206"/>
      <c r="G597" s="206"/>
      <c r="H597" s="207"/>
      <c r="I597" s="207"/>
      <c r="J597" s="207"/>
      <c r="K597" s="207"/>
      <c r="L597" s="207"/>
      <c r="M597" s="207"/>
      <c r="N597" s="207"/>
      <c r="O597" s="207"/>
      <c r="P597" s="207"/>
      <c r="Q597" s="207"/>
      <c r="R597" s="207"/>
      <c r="S597" s="207"/>
      <c r="T597" s="207"/>
      <c r="U597" s="207"/>
      <c r="V597" s="207"/>
      <c r="W597" s="208"/>
      <c r="X597" s="208"/>
      <c r="Y597" s="208"/>
      <c r="Z597" s="208"/>
      <c r="AA597" s="208"/>
      <c r="AB597" s="208"/>
      <c r="AC597" s="208"/>
      <c r="AD597" s="208"/>
      <c r="AE597" s="208"/>
      <c r="AF597" s="208"/>
      <c r="AG597" s="208"/>
      <c r="AH597" s="208"/>
      <c r="AI597" s="100"/>
      <c r="AJ597" s="100"/>
      <c r="AK597" s="100"/>
      <c r="AL597" s="100"/>
      <c r="AM597" s="100"/>
    </row>
    <row r="598" ht="14.25" customHeight="1">
      <c r="A598" s="100"/>
      <c r="B598" s="100"/>
      <c r="C598" s="100"/>
      <c r="D598" s="100"/>
      <c r="E598" s="100"/>
      <c r="F598" s="206"/>
      <c r="G598" s="206"/>
      <c r="H598" s="207"/>
      <c r="I598" s="207"/>
      <c r="J598" s="207"/>
      <c r="K598" s="207"/>
      <c r="L598" s="207"/>
      <c r="M598" s="207"/>
      <c r="N598" s="207"/>
      <c r="O598" s="207"/>
      <c r="P598" s="207"/>
      <c r="Q598" s="207"/>
      <c r="R598" s="207"/>
      <c r="S598" s="207"/>
      <c r="T598" s="207"/>
      <c r="U598" s="207"/>
      <c r="V598" s="207"/>
      <c r="W598" s="208"/>
      <c r="X598" s="208"/>
      <c r="Y598" s="208"/>
      <c r="Z598" s="208"/>
      <c r="AA598" s="208"/>
      <c r="AB598" s="208"/>
      <c r="AC598" s="208"/>
      <c r="AD598" s="208"/>
      <c r="AE598" s="208"/>
      <c r="AF598" s="208"/>
      <c r="AG598" s="208"/>
      <c r="AH598" s="208"/>
      <c r="AI598" s="100"/>
      <c r="AJ598" s="100"/>
      <c r="AK598" s="100"/>
      <c r="AL598" s="100"/>
      <c r="AM598" s="100"/>
    </row>
    <row r="599" ht="14.25" customHeight="1">
      <c r="A599" s="100"/>
      <c r="B599" s="100"/>
      <c r="C599" s="100"/>
      <c r="D599" s="100"/>
      <c r="E599" s="100"/>
      <c r="F599" s="206"/>
      <c r="G599" s="206"/>
      <c r="H599" s="207"/>
      <c r="I599" s="207"/>
      <c r="J599" s="207"/>
      <c r="K599" s="207"/>
      <c r="L599" s="207"/>
      <c r="M599" s="207"/>
      <c r="N599" s="207"/>
      <c r="O599" s="207"/>
      <c r="P599" s="207"/>
      <c r="Q599" s="207"/>
      <c r="R599" s="207"/>
      <c r="S599" s="207"/>
      <c r="T599" s="207"/>
      <c r="U599" s="207"/>
      <c r="V599" s="207"/>
      <c r="W599" s="208"/>
      <c r="X599" s="208"/>
      <c r="Y599" s="208"/>
      <c r="Z599" s="208"/>
      <c r="AA599" s="208"/>
      <c r="AB599" s="208"/>
      <c r="AC599" s="208"/>
      <c r="AD599" s="208"/>
      <c r="AE599" s="208"/>
      <c r="AF599" s="208"/>
      <c r="AG599" s="208"/>
      <c r="AH599" s="208"/>
      <c r="AI599" s="100"/>
      <c r="AJ599" s="100"/>
      <c r="AK599" s="100"/>
      <c r="AL599" s="100"/>
      <c r="AM599" s="100"/>
    </row>
    <row r="600" ht="14.25" customHeight="1">
      <c r="A600" s="100"/>
      <c r="B600" s="100"/>
      <c r="C600" s="100"/>
      <c r="D600" s="100"/>
      <c r="E600" s="100"/>
      <c r="F600" s="206"/>
      <c r="G600" s="206"/>
      <c r="H600" s="207"/>
      <c r="I600" s="207"/>
      <c r="J600" s="207"/>
      <c r="K600" s="207"/>
      <c r="L600" s="207"/>
      <c r="M600" s="207"/>
      <c r="N600" s="207"/>
      <c r="O600" s="207"/>
      <c r="P600" s="207"/>
      <c r="Q600" s="207"/>
      <c r="R600" s="207"/>
      <c r="S600" s="207"/>
      <c r="T600" s="207"/>
      <c r="U600" s="207"/>
      <c r="V600" s="207"/>
      <c r="W600" s="208"/>
      <c r="X600" s="208"/>
      <c r="Y600" s="208"/>
      <c r="Z600" s="208"/>
      <c r="AA600" s="208"/>
      <c r="AB600" s="208"/>
      <c r="AC600" s="208"/>
      <c r="AD600" s="208"/>
      <c r="AE600" s="208"/>
      <c r="AF600" s="208"/>
      <c r="AG600" s="208"/>
      <c r="AH600" s="208"/>
      <c r="AI600" s="100"/>
      <c r="AJ600" s="100"/>
      <c r="AK600" s="100"/>
      <c r="AL600" s="100"/>
      <c r="AM600" s="100"/>
    </row>
    <row r="601" ht="14.25" customHeight="1">
      <c r="A601" s="100"/>
      <c r="B601" s="100"/>
      <c r="C601" s="100"/>
      <c r="D601" s="100"/>
      <c r="E601" s="100"/>
      <c r="F601" s="206"/>
      <c r="G601" s="206"/>
      <c r="H601" s="207"/>
      <c r="I601" s="207"/>
      <c r="J601" s="207"/>
      <c r="K601" s="207"/>
      <c r="L601" s="207"/>
      <c r="M601" s="207"/>
      <c r="N601" s="207"/>
      <c r="O601" s="207"/>
      <c r="P601" s="207"/>
      <c r="Q601" s="207"/>
      <c r="R601" s="207"/>
      <c r="S601" s="207"/>
      <c r="T601" s="207"/>
      <c r="U601" s="207"/>
      <c r="V601" s="207"/>
      <c r="W601" s="208"/>
      <c r="X601" s="208"/>
      <c r="Y601" s="208"/>
      <c r="Z601" s="208"/>
      <c r="AA601" s="208"/>
      <c r="AB601" s="208"/>
      <c r="AC601" s="208"/>
      <c r="AD601" s="208"/>
      <c r="AE601" s="208"/>
      <c r="AF601" s="208"/>
      <c r="AG601" s="208"/>
      <c r="AH601" s="208"/>
      <c r="AI601" s="100"/>
      <c r="AJ601" s="100"/>
      <c r="AK601" s="100"/>
      <c r="AL601" s="100"/>
      <c r="AM601" s="100"/>
    </row>
    <row r="602" ht="14.25" customHeight="1">
      <c r="A602" s="100"/>
      <c r="B602" s="100"/>
      <c r="C602" s="100"/>
      <c r="D602" s="100"/>
      <c r="E602" s="100"/>
      <c r="F602" s="206"/>
      <c r="G602" s="206"/>
      <c r="H602" s="207"/>
      <c r="I602" s="207"/>
      <c r="J602" s="207"/>
      <c r="K602" s="207"/>
      <c r="L602" s="207"/>
      <c r="M602" s="207"/>
      <c r="N602" s="207"/>
      <c r="O602" s="207"/>
      <c r="P602" s="207"/>
      <c r="Q602" s="207"/>
      <c r="R602" s="207"/>
      <c r="S602" s="207"/>
      <c r="T602" s="207"/>
      <c r="U602" s="207"/>
      <c r="V602" s="207"/>
      <c r="W602" s="208"/>
      <c r="X602" s="208"/>
      <c r="Y602" s="208"/>
      <c r="Z602" s="208"/>
      <c r="AA602" s="208"/>
      <c r="AB602" s="208"/>
      <c r="AC602" s="208"/>
      <c r="AD602" s="208"/>
      <c r="AE602" s="208"/>
      <c r="AF602" s="208"/>
      <c r="AG602" s="208"/>
      <c r="AH602" s="208"/>
      <c r="AI602" s="100"/>
      <c r="AJ602" s="100"/>
      <c r="AK602" s="100"/>
      <c r="AL602" s="100"/>
      <c r="AM602" s="100"/>
    </row>
    <row r="603" ht="14.25" customHeight="1">
      <c r="A603" s="100"/>
      <c r="B603" s="100"/>
      <c r="C603" s="100"/>
      <c r="D603" s="100"/>
      <c r="E603" s="100"/>
      <c r="F603" s="206"/>
      <c r="G603" s="206"/>
      <c r="H603" s="207"/>
      <c r="I603" s="207"/>
      <c r="J603" s="207"/>
      <c r="K603" s="207"/>
      <c r="L603" s="207"/>
      <c r="M603" s="207"/>
      <c r="N603" s="207"/>
      <c r="O603" s="207"/>
      <c r="P603" s="207"/>
      <c r="Q603" s="207"/>
      <c r="R603" s="207"/>
      <c r="S603" s="207"/>
      <c r="T603" s="207"/>
      <c r="U603" s="207"/>
      <c r="V603" s="207"/>
      <c r="W603" s="208"/>
      <c r="X603" s="208"/>
      <c r="Y603" s="208"/>
      <c r="Z603" s="208"/>
      <c r="AA603" s="208"/>
      <c r="AB603" s="208"/>
      <c r="AC603" s="208"/>
      <c r="AD603" s="208"/>
      <c r="AE603" s="208"/>
      <c r="AF603" s="208"/>
      <c r="AG603" s="208"/>
      <c r="AH603" s="208"/>
      <c r="AI603" s="100"/>
      <c r="AJ603" s="100"/>
      <c r="AK603" s="100"/>
      <c r="AL603" s="100"/>
      <c r="AM603" s="100"/>
    </row>
    <row r="604" ht="14.25" customHeight="1">
      <c r="A604" s="100"/>
      <c r="B604" s="100"/>
      <c r="C604" s="100"/>
      <c r="D604" s="100"/>
      <c r="E604" s="100"/>
      <c r="F604" s="206"/>
      <c r="G604" s="206"/>
      <c r="H604" s="207"/>
      <c r="I604" s="207"/>
      <c r="J604" s="207"/>
      <c r="K604" s="207"/>
      <c r="L604" s="207"/>
      <c r="M604" s="207"/>
      <c r="N604" s="207"/>
      <c r="O604" s="207"/>
      <c r="P604" s="207"/>
      <c r="Q604" s="207"/>
      <c r="R604" s="207"/>
      <c r="S604" s="207"/>
      <c r="T604" s="207"/>
      <c r="U604" s="207"/>
      <c r="V604" s="207"/>
      <c r="W604" s="208"/>
      <c r="X604" s="208"/>
      <c r="Y604" s="208"/>
      <c r="Z604" s="208"/>
      <c r="AA604" s="208"/>
      <c r="AB604" s="208"/>
      <c r="AC604" s="208"/>
      <c r="AD604" s="208"/>
      <c r="AE604" s="208"/>
      <c r="AF604" s="208"/>
      <c r="AG604" s="208"/>
      <c r="AH604" s="208"/>
      <c r="AI604" s="100"/>
      <c r="AJ604" s="100"/>
      <c r="AK604" s="100"/>
      <c r="AL604" s="100"/>
      <c r="AM604" s="100"/>
    </row>
    <row r="605" ht="14.25" customHeight="1">
      <c r="A605" s="100"/>
      <c r="B605" s="100"/>
      <c r="C605" s="100"/>
      <c r="D605" s="100"/>
      <c r="E605" s="100"/>
      <c r="F605" s="206"/>
      <c r="G605" s="206"/>
      <c r="H605" s="207"/>
      <c r="I605" s="207"/>
      <c r="J605" s="207"/>
      <c r="K605" s="207"/>
      <c r="L605" s="207"/>
      <c r="M605" s="207"/>
      <c r="N605" s="207"/>
      <c r="O605" s="207"/>
      <c r="P605" s="207"/>
      <c r="Q605" s="207"/>
      <c r="R605" s="207"/>
      <c r="S605" s="207"/>
      <c r="T605" s="207"/>
      <c r="U605" s="207"/>
      <c r="V605" s="207"/>
      <c r="W605" s="208"/>
      <c r="X605" s="208"/>
      <c r="Y605" s="208"/>
      <c r="Z605" s="208"/>
      <c r="AA605" s="208"/>
      <c r="AB605" s="208"/>
      <c r="AC605" s="208"/>
      <c r="AD605" s="208"/>
      <c r="AE605" s="208"/>
      <c r="AF605" s="208"/>
      <c r="AG605" s="208"/>
      <c r="AH605" s="208"/>
      <c r="AI605" s="100"/>
      <c r="AJ605" s="100"/>
      <c r="AK605" s="100"/>
      <c r="AL605" s="100"/>
      <c r="AM605" s="100"/>
    </row>
    <row r="606" ht="14.25" customHeight="1">
      <c r="A606" s="100"/>
      <c r="B606" s="100"/>
      <c r="C606" s="100"/>
      <c r="D606" s="100"/>
      <c r="E606" s="100"/>
      <c r="F606" s="206"/>
      <c r="G606" s="206"/>
      <c r="H606" s="207"/>
      <c r="I606" s="207"/>
      <c r="J606" s="207"/>
      <c r="K606" s="207"/>
      <c r="L606" s="207"/>
      <c r="M606" s="207"/>
      <c r="N606" s="207"/>
      <c r="O606" s="207"/>
      <c r="P606" s="207"/>
      <c r="Q606" s="207"/>
      <c r="R606" s="207"/>
      <c r="S606" s="207"/>
      <c r="T606" s="207"/>
      <c r="U606" s="207"/>
      <c r="V606" s="207"/>
      <c r="W606" s="208"/>
      <c r="X606" s="208"/>
      <c r="Y606" s="208"/>
      <c r="Z606" s="208"/>
      <c r="AA606" s="208"/>
      <c r="AB606" s="208"/>
      <c r="AC606" s="208"/>
      <c r="AD606" s="208"/>
      <c r="AE606" s="208"/>
      <c r="AF606" s="208"/>
      <c r="AG606" s="208"/>
      <c r="AH606" s="208"/>
      <c r="AI606" s="100"/>
      <c r="AJ606" s="100"/>
      <c r="AK606" s="100"/>
      <c r="AL606" s="100"/>
      <c r="AM606" s="100"/>
    </row>
    <row r="607" ht="14.25" customHeight="1">
      <c r="A607" s="100"/>
      <c r="B607" s="100"/>
      <c r="C607" s="100"/>
      <c r="D607" s="100"/>
      <c r="E607" s="100"/>
      <c r="F607" s="206"/>
      <c r="G607" s="206"/>
      <c r="H607" s="207"/>
      <c r="I607" s="207"/>
      <c r="J607" s="207"/>
      <c r="K607" s="207"/>
      <c r="L607" s="207"/>
      <c r="M607" s="207"/>
      <c r="N607" s="207"/>
      <c r="O607" s="207"/>
      <c r="P607" s="207"/>
      <c r="Q607" s="207"/>
      <c r="R607" s="207"/>
      <c r="S607" s="207"/>
      <c r="T607" s="207"/>
      <c r="U607" s="207"/>
      <c r="V607" s="207"/>
      <c r="W607" s="208"/>
      <c r="X607" s="208"/>
      <c r="Y607" s="208"/>
      <c r="Z607" s="208"/>
      <c r="AA607" s="208"/>
      <c r="AB607" s="208"/>
      <c r="AC607" s="208"/>
      <c r="AD607" s="208"/>
      <c r="AE607" s="208"/>
      <c r="AF607" s="208"/>
      <c r="AG607" s="208"/>
      <c r="AH607" s="208"/>
      <c r="AI607" s="100"/>
      <c r="AJ607" s="100"/>
      <c r="AK607" s="100"/>
      <c r="AL607" s="100"/>
      <c r="AM607" s="100"/>
    </row>
    <row r="608" ht="14.25" customHeight="1">
      <c r="A608" s="100"/>
      <c r="B608" s="100"/>
      <c r="C608" s="100"/>
      <c r="D608" s="100"/>
      <c r="E608" s="100"/>
      <c r="F608" s="206"/>
      <c r="G608" s="206"/>
      <c r="H608" s="207"/>
      <c r="I608" s="207"/>
      <c r="J608" s="207"/>
      <c r="K608" s="207"/>
      <c r="L608" s="207"/>
      <c r="M608" s="207"/>
      <c r="N608" s="207"/>
      <c r="O608" s="207"/>
      <c r="P608" s="207"/>
      <c r="Q608" s="207"/>
      <c r="R608" s="207"/>
      <c r="S608" s="207"/>
      <c r="T608" s="207"/>
      <c r="U608" s="207"/>
      <c r="V608" s="207"/>
      <c r="W608" s="208"/>
      <c r="X608" s="208"/>
      <c r="Y608" s="208"/>
      <c r="Z608" s="208"/>
      <c r="AA608" s="208"/>
      <c r="AB608" s="208"/>
      <c r="AC608" s="208"/>
      <c r="AD608" s="208"/>
      <c r="AE608" s="208"/>
      <c r="AF608" s="208"/>
      <c r="AG608" s="208"/>
      <c r="AH608" s="208"/>
      <c r="AI608" s="100"/>
      <c r="AJ608" s="100"/>
      <c r="AK608" s="100"/>
      <c r="AL608" s="100"/>
      <c r="AM608" s="100"/>
    </row>
    <row r="609" ht="14.25" customHeight="1">
      <c r="A609" s="100"/>
      <c r="B609" s="100"/>
      <c r="C609" s="100"/>
      <c r="D609" s="100"/>
      <c r="E609" s="100"/>
      <c r="F609" s="206"/>
      <c r="G609" s="206"/>
      <c r="H609" s="207"/>
      <c r="I609" s="207"/>
      <c r="J609" s="207"/>
      <c r="K609" s="207"/>
      <c r="L609" s="207"/>
      <c r="M609" s="207"/>
      <c r="N609" s="207"/>
      <c r="O609" s="207"/>
      <c r="P609" s="207"/>
      <c r="Q609" s="207"/>
      <c r="R609" s="207"/>
      <c r="S609" s="207"/>
      <c r="T609" s="207"/>
      <c r="U609" s="207"/>
      <c r="V609" s="207"/>
      <c r="W609" s="208"/>
      <c r="X609" s="208"/>
      <c r="Y609" s="208"/>
      <c r="Z609" s="208"/>
      <c r="AA609" s="208"/>
      <c r="AB609" s="208"/>
      <c r="AC609" s="208"/>
      <c r="AD609" s="208"/>
      <c r="AE609" s="208"/>
      <c r="AF609" s="208"/>
      <c r="AG609" s="208"/>
      <c r="AH609" s="208"/>
      <c r="AI609" s="100"/>
      <c r="AJ609" s="100"/>
      <c r="AK609" s="100"/>
      <c r="AL609" s="100"/>
      <c r="AM609" s="100"/>
    </row>
    <row r="610" ht="14.25" customHeight="1">
      <c r="A610" s="100"/>
      <c r="B610" s="100"/>
      <c r="C610" s="100"/>
      <c r="D610" s="100"/>
      <c r="E610" s="100"/>
      <c r="F610" s="206"/>
      <c r="G610" s="206"/>
      <c r="H610" s="207"/>
      <c r="I610" s="207"/>
      <c r="J610" s="207"/>
      <c r="K610" s="207"/>
      <c r="L610" s="207"/>
      <c r="M610" s="207"/>
      <c r="N610" s="207"/>
      <c r="O610" s="207"/>
      <c r="P610" s="207"/>
      <c r="Q610" s="207"/>
      <c r="R610" s="207"/>
      <c r="S610" s="207"/>
      <c r="T610" s="207"/>
      <c r="U610" s="207"/>
      <c r="V610" s="207"/>
      <c r="W610" s="208"/>
      <c r="X610" s="208"/>
      <c r="Y610" s="208"/>
      <c r="Z610" s="208"/>
      <c r="AA610" s="208"/>
      <c r="AB610" s="208"/>
      <c r="AC610" s="208"/>
      <c r="AD610" s="208"/>
      <c r="AE610" s="208"/>
      <c r="AF610" s="208"/>
      <c r="AG610" s="208"/>
      <c r="AH610" s="208"/>
      <c r="AI610" s="100"/>
      <c r="AJ610" s="100"/>
      <c r="AK610" s="100"/>
      <c r="AL610" s="100"/>
      <c r="AM610" s="100"/>
    </row>
    <row r="611" ht="14.25" customHeight="1">
      <c r="A611" s="100"/>
      <c r="B611" s="100"/>
      <c r="C611" s="100"/>
      <c r="D611" s="100"/>
      <c r="E611" s="100"/>
      <c r="F611" s="206"/>
      <c r="G611" s="206"/>
      <c r="H611" s="207"/>
      <c r="I611" s="207"/>
      <c r="J611" s="207"/>
      <c r="K611" s="207"/>
      <c r="L611" s="207"/>
      <c r="M611" s="207"/>
      <c r="N611" s="207"/>
      <c r="O611" s="207"/>
      <c r="P611" s="207"/>
      <c r="Q611" s="207"/>
      <c r="R611" s="207"/>
      <c r="S611" s="207"/>
      <c r="T611" s="207"/>
      <c r="U611" s="207"/>
      <c r="V611" s="207"/>
      <c r="W611" s="208"/>
      <c r="X611" s="208"/>
      <c r="Y611" s="208"/>
      <c r="Z611" s="208"/>
      <c r="AA611" s="208"/>
      <c r="AB611" s="208"/>
      <c r="AC611" s="208"/>
      <c r="AD611" s="208"/>
      <c r="AE611" s="208"/>
      <c r="AF611" s="208"/>
      <c r="AG611" s="208"/>
      <c r="AH611" s="208"/>
      <c r="AI611" s="100"/>
      <c r="AJ611" s="100"/>
      <c r="AK611" s="100"/>
      <c r="AL611" s="100"/>
      <c r="AM611" s="100"/>
    </row>
    <row r="612" ht="14.25" customHeight="1">
      <c r="A612" s="100"/>
      <c r="B612" s="100"/>
      <c r="C612" s="100"/>
      <c r="D612" s="100"/>
      <c r="E612" s="100"/>
      <c r="F612" s="206"/>
      <c r="G612" s="206"/>
      <c r="H612" s="207"/>
      <c r="I612" s="207"/>
      <c r="J612" s="207"/>
      <c r="K612" s="207"/>
      <c r="L612" s="207"/>
      <c r="M612" s="207"/>
      <c r="N612" s="207"/>
      <c r="O612" s="207"/>
      <c r="P612" s="207"/>
      <c r="Q612" s="207"/>
      <c r="R612" s="207"/>
      <c r="S612" s="207"/>
      <c r="T612" s="207"/>
      <c r="U612" s="207"/>
      <c r="V612" s="207"/>
      <c r="W612" s="208"/>
      <c r="X612" s="208"/>
      <c r="Y612" s="208"/>
      <c r="Z612" s="208"/>
      <c r="AA612" s="208"/>
      <c r="AB612" s="208"/>
      <c r="AC612" s="208"/>
      <c r="AD612" s="208"/>
      <c r="AE612" s="208"/>
      <c r="AF612" s="208"/>
      <c r="AG612" s="208"/>
      <c r="AH612" s="208"/>
      <c r="AI612" s="100"/>
      <c r="AJ612" s="100"/>
      <c r="AK612" s="100"/>
      <c r="AL612" s="100"/>
      <c r="AM612" s="100"/>
    </row>
    <row r="613" ht="14.25" customHeight="1">
      <c r="A613" s="100"/>
      <c r="B613" s="100"/>
      <c r="C613" s="100"/>
      <c r="D613" s="100"/>
      <c r="E613" s="100"/>
      <c r="F613" s="206"/>
      <c r="G613" s="206"/>
      <c r="H613" s="207"/>
      <c r="I613" s="207"/>
      <c r="J613" s="207"/>
      <c r="K613" s="207"/>
      <c r="L613" s="207"/>
      <c r="M613" s="207"/>
      <c r="N613" s="207"/>
      <c r="O613" s="207"/>
      <c r="P613" s="207"/>
      <c r="Q613" s="207"/>
      <c r="R613" s="207"/>
      <c r="S613" s="207"/>
      <c r="T613" s="207"/>
      <c r="U613" s="207"/>
      <c r="V613" s="207"/>
      <c r="W613" s="208"/>
      <c r="X613" s="208"/>
      <c r="Y613" s="208"/>
      <c r="Z613" s="208"/>
      <c r="AA613" s="208"/>
      <c r="AB613" s="208"/>
      <c r="AC613" s="208"/>
      <c r="AD613" s="208"/>
      <c r="AE613" s="208"/>
      <c r="AF613" s="208"/>
      <c r="AG613" s="208"/>
      <c r="AH613" s="208"/>
      <c r="AI613" s="100"/>
      <c r="AJ613" s="100"/>
      <c r="AK613" s="100"/>
      <c r="AL613" s="100"/>
      <c r="AM613" s="100"/>
    </row>
    <row r="614" ht="14.25" customHeight="1">
      <c r="A614" s="100"/>
      <c r="B614" s="100"/>
      <c r="C614" s="100"/>
      <c r="D614" s="100"/>
      <c r="E614" s="100"/>
      <c r="F614" s="206"/>
      <c r="G614" s="206"/>
      <c r="H614" s="207"/>
      <c r="I614" s="207"/>
      <c r="J614" s="207"/>
      <c r="K614" s="207"/>
      <c r="L614" s="207"/>
      <c r="M614" s="207"/>
      <c r="N614" s="207"/>
      <c r="O614" s="207"/>
      <c r="P614" s="207"/>
      <c r="Q614" s="207"/>
      <c r="R614" s="207"/>
      <c r="S614" s="207"/>
      <c r="T614" s="207"/>
      <c r="U614" s="207"/>
      <c r="V614" s="207"/>
      <c r="W614" s="208"/>
      <c r="X614" s="208"/>
      <c r="Y614" s="208"/>
      <c r="Z614" s="208"/>
      <c r="AA614" s="208"/>
      <c r="AB614" s="208"/>
      <c r="AC614" s="208"/>
      <c r="AD614" s="208"/>
      <c r="AE614" s="208"/>
      <c r="AF614" s="208"/>
      <c r="AG614" s="208"/>
      <c r="AH614" s="208"/>
      <c r="AI614" s="100"/>
      <c r="AJ614" s="100"/>
      <c r="AK614" s="100"/>
      <c r="AL614" s="100"/>
      <c r="AM614" s="100"/>
    </row>
    <row r="615" ht="14.25" customHeight="1">
      <c r="A615" s="100"/>
      <c r="B615" s="100"/>
      <c r="C615" s="100"/>
      <c r="D615" s="100"/>
      <c r="E615" s="100"/>
      <c r="F615" s="206"/>
      <c r="G615" s="206"/>
      <c r="H615" s="207"/>
      <c r="I615" s="207"/>
      <c r="J615" s="207"/>
      <c r="K615" s="207"/>
      <c r="L615" s="207"/>
      <c r="M615" s="207"/>
      <c r="N615" s="207"/>
      <c r="O615" s="207"/>
      <c r="P615" s="207"/>
      <c r="Q615" s="207"/>
      <c r="R615" s="207"/>
      <c r="S615" s="207"/>
      <c r="T615" s="207"/>
      <c r="U615" s="207"/>
      <c r="V615" s="207"/>
      <c r="W615" s="208"/>
      <c r="X615" s="208"/>
      <c r="Y615" s="208"/>
      <c r="Z615" s="208"/>
      <c r="AA615" s="208"/>
      <c r="AB615" s="208"/>
      <c r="AC615" s="208"/>
      <c r="AD615" s="208"/>
      <c r="AE615" s="208"/>
      <c r="AF615" s="208"/>
      <c r="AG615" s="208"/>
      <c r="AH615" s="208"/>
      <c r="AI615" s="100"/>
      <c r="AJ615" s="100"/>
      <c r="AK615" s="100"/>
      <c r="AL615" s="100"/>
      <c r="AM615" s="100"/>
    </row>
    <row r="616" ht="14.25" customHeight="1">
      <c r="A616" s="100"/>
      <c r="B616" s="100"/>
      <c r="C616" s="100"/>
      <c r="D616" s="100"/>
      <c r="E616" s="100"/>
      <c r="F616" s="206"/>
      <c r="G616" s="206"/>
      <c r="H616" s="207"/>
      <c r="I616" s="207"/>
      <c r="J616" s="207"/>
      <c r="K616" s="207"/>
      <c r="L616" s="207"/>
      <c r="M616" s="207"/>
      <c r="N616" s="207"/>
      <c r="O616" s="207"/>
      <c r="P616" s="207"/>
      <c r="Q616" s="207"/>
      <c r="R616" s="207"/>
      <c r="S616" s="207"/>
      <c r="T616" s="207"/>
      <c r="U616" s="207"/>
      <c r="V616" s="207"/>
      <c r="W616" s="208"/>
      <c r="X616" s="208"/>
      <c r="Y616" s="208"/>
      <c r="Z616" s="208"/>
      <c r="AA616" s="208"/>
      <c r="AB616" s="208"/>
      <c r="AC616" s="208"/>
      <c r="AD616" s="208"/>
      <c r="AE616" s="208"/>
      <c r="AF616" s="208"/>
      <c r="AG616" s="208"/>
      <c r="AH616" s="208"/>
      <c r="AI616" s="100"/>
      <c r="AJ616" s="100"/>
      <c r="AK616" s="100"/>
      <c r="AL616" s="100"/>
      <c r="AM616" s="100"/>
    </row>
    <row r="617" ht="14.25" customHeight="1">
      <c r="A617" s="100"/>
      <c r="B617" s="100"/>
      <c r="C617" s="100"/>
      <c r="D617" s="100"/>
      <c r="E617" s="100"/>
      <c r="F617" s="206"/>
      <c r="G617" s="206"/>
      <c r="H617" s="207"/>
      <c r="I617" s="207"/>
      <c r="J617" s="207"/>
      <c r="K617" s="207"/>
      <c r="L617" s="207"/>
      <c r="M617" s="207"/>
      <c r="N617" s="207"/>
      <c r="O617" s="207"/>
      <c r="P617" s="207"/>
      <c r="Q617" s="207"/>
      <c r="R617" s="207"/>
      <c r="S617" s="207"/>
      <c r="T617" s="207"/>
      <c r="U617" s="207"/>
      <c r="V617" s="207"/>
      <c r="W617" s="208"/>
      <c r="X617" s="208"/>
      <c r="Y617" s="208"/>
      <c r="Z617" s="208"/>
      <c r="AA617" s="208"/>
      <c r="AB617" s="208"/>
      <c r="AC617" s="208"/>
      <c r="AD617" s="208"/>
      <c r="AE617" s="208"/>
      <c r="AF617" s="208"/>
      <c r="AG617" s="208"/>
      <c r="AH617" s="208"/>
      <c r="AI617" s="100"/>
      <c r="AJ617" s="100"/>
      <c r="AK617" s="100"/>
      <c r="AL617" s="100"/>
      <c r="AM617" s="100"/>
    </row>
    <row r="618" ht="14.25" customHeight="1">
      <c r="A618" s="100"/>
      <c r="B618" s="100"/>
      <c r="C618" s="100"/>
      <c r="D618" s="100"/>
      <c r="E618" s="100"/>
      <c r="F618" s="206"/>
      <c r="G618" s="206"/>
      <c r="H618" s="207"/>
      <c r="I618" s="207"/>
      <c r="J618" s="207"/>
      <c r="K618" s="207"/>
      <c r="L618" s="207"/>
      <c r="M618" s="207"/>
      <c r="N618" s="207"/>
      <c r="O618" s="207"/>
      <c r="P618" s="207"/>
      <c r="Q618" s="207"/>
      <c r="R618" s="207"/>
      <c r="S618" s="207"/>
      <c r="T618" s="207"/>
      <c r="U618" s="207"/>
      <c r="V618" s="207"/>
      <c r="W618" s="208"/>
      <c r="X618" s="208"/>
      <c r="Y618" s="208"/>
      <c r="Z618" s="208"/>
      <c r="AA618" s="208"/>
      <c r="AB618" s="208"/>
      <c r="AC618" s="208"/>
      <c r="AD618" s="208"/>
      <c r="AE618" s="208"/>
      <c r="AF618" s="208"/>
      <c r="AG618" s="208"/>
      <c r="AH618" s="208"/>
      <c r="AI618" s="100"/>
      <c r="AJ618" s="100"/>
      <c r="AK618" s="100"/>
      <c r="AL618" s="100"/>
      <c r="AM618" s="100"/>
    </row>
    <row r="619" ht="14.25" customHeight="1">
      <c r="A619" s="100"/>
      <c r="B619" s="100"/>
      <c r="C619" s="100"/>
      <c r="D619" s="100"/>
      <c r="E619" s="100"/>
      <c r="F619" s="206"/>
      <c r="G619" s="206"/>
      <c r="H619" s="207"/>
      <c r="I619" s="207"/>
      <c r="J619" s="207"/>
      <c r="K619" s="207"/>
      <c r="L619" s="207"/>
      <c r="M619" s="207"/>
      <c r="N619" s="207"/>
      <c r="O619" s="207"/>
      <c r="P619" s="207"/>
      <c r="Q619" s="207"/>
      <c r="R619" s="207"/>
      <c r="S619" s="207"/>
      <c r="T619" s="207"/>
      <c r="U619" s="207"/>
      <c r="V619" s="207"/>
      <c r="W619" s="208"/>
      <c r="X619" s="208"/>
      <c r="Y619" s="208"/>
      <c r="Z619" s="208"/>
      <c r="AA619" s="208"/>
      <c r="AB619" s="208"/>
      <c r="AC619" s="208"/>
      <c r="AD619" s="208"/>
      <c r="AE619" s="208"/>
      <c r="AF619" s="208"/>
      <c r="AG619" s="208"/>
      <c r="AH619" s="208"/>
      <c r="AI619" s="100"/>
      <c r="AJ619" s="100"/>
      <c r="AK619" s="100"/>
      <c r="AL619" s="100"/>
      <c r="AM619" s="100"/>
    </row>
    <row r="620" ht="14.25" customHeight="1">
      <c r="A620" s="100"/>
      <c r="B620" s="100"/>
      <c r="C620" s="100"/>
      <c r="D620" s="100"/>
      <c r="E620" s="100"/>
      <c r="F620" s="206"/>
      <c r="G620" s="206"/>
      <c r="H620" s="207"/>
      <c r="I620" s="207"/>
      <c r="J620" s="207"/>
      <c r="K620" s="207"/>
      <c r="L620" s="207"/>
      <c r="M620" s="207"/>
      <c r="N620" s="207"/>
      <c r="O620" s="207"/>
      <c r="P620" s="207"/>
      <c r="Q620" s="207"/>
      <c r="R620" s="207"/>
      <c r="S620" s="207"/>
      <c r="T620" s="207"/>
      <c r="U620" s="207"/>
      <c r="V620" s="207"/>
      <c r="W620" s="208"/>
      <c r="X620" s="208"/>
      <c r="Y620" s="208"/>
      <c r="Z620" s="208"/>
      <c r="AA620" s="208"/>
      <c r="AB620" s="208"/>
      <c r="AC620" s="208"/>
      <c r="AD620" s="208"/>
      <c r="AE620" s="208"/>
      <c r="AF620" s="208"/>
      <c r="AG620" s="208"/>
      <c r="AH620" s="208"/>
      <c r="AI620" s="100"/>
      <c r="AJ620" s="100"/>
      <c r="AK620" s="100"/>
      <c r="AL620" s="100"/>
      <c r="AM620" s="100"/>
    </row>
    <row r="621" ht="14.25" customHeight="1">
      <c r="A621" s="100"/>
      <c r="B621" s="100"/>
      <c r="C621" s="100"/>
      <c r="D621" s="100"/>
      <c r="E621" s="100"/>
      <c r="F621" s="206"/>
      <c r="G621" s="206"/>
      <c r="H621" s="207"/>
      <c r="I621" s="207"/>
      <c r="J621" s="207"/>
      <c r="K621" s="207"/>
      <c r="L621" s="207"/>
      <c r="M621" s="207"/>
      <c r="N621" s="207"/>
      <c r="O621" s="207"/>
      <c r="P621" s="207"/>
      <c r="Q621" s="207"/>
      <c r="R621" s="207"/>
      <c r="S621" s="207"/>
      <c r="T621" s="207"/>
      <c r="U621" s="207"/>
      <c r="V621" s="207"/>
      <c r="W621" s="208"/>
      <c r="X621" s="208"/>
      <c r="Y621" s="208"/>
      <c r="Z621" s="208"/>
      <c r="AA621" s="208"/>
      <c r="AB621" s="208"/>
      <c r="AC621" s="208"/>
      <c r="AD621" s="208"/>
      <c r="AE621" s="208"/>
      <c r="AF621" s="208"/>
      <c r="AG621" s="208"/>
      <c r="AH621" s="208"/>
      <c r="AI621" s="100"/>
      <c r="AJ621" s="100"/>
      <c r="AK621" s="100"/>
      <c r="AL621" s="100"/>
      <c r="AM621" s="100"/>
    </row>
    <row r="622" ht="14.25" customHeight="1">
      <c r="A622" s="100"/>
      <c r="B622" s="100"/>
      <c r="C622" s="100"/>
      <c r="D622" s="100"/>
      <c r="E622" s="100"/>
      <c r="F622" s="206"/>
      <c r="G622" s="206"/>
      <c r="H622" s="207"/>
      <c r="I622" s="207"/>
      <c r="J622" s="207"/>
      <c r="K622" s="207"/>
      <c r="L622" s="207"/>
      <c r="M622" s="207"/>
      <c r="N622" s="207"/>
      <c r="O622" s="207"/>
      <c r="P622" s="207"/>
      <c r="Q622" s="207"/>
      <c r="R622" s="207"/>
      <c r="S622" s="207"/>
      <c r="T622" s="207"/>
      <c r="U622" s="207"/>
      <c r="V622" s="207"/>
      <c r="W622" s="208"/>
      <c r="X622" s="208"/>
      <c r="Y622" s="208"/>
      <c r="Z622" s="208"/>
      <c r="AA622" s="208"/>
      <c r="AB622" s="208"/>
      <c r="AC622" s="208"/>
      <c r="AD622" s="208"/>
      <c r="AE622" s="208"/>
      <c r="AF622" s="208"/>
      <c r="AG622" s="208"/>
      <c r="AH622" s="208"/>
      <c r="AI622" s="100"/>
      <c r="AJ622" s="100"/>
      <c r="AK622" s="100"/>
      <c r="AL622" s="100"/>
      <c r="AM622" s="100"/>
    </row>
    <row r="623" ht="14.25" customHeight="1">
      <c r="A623" s="100"/>
      <c r="B623" s="100"/>
      <c r="C623" s="100"/>
      <c r="D623" s="100"/>
      <c r="E623" s="100"/>
      <c r="F623" s="206"/>
      <c r="G623" s="206"/>
      <c r="H623" s="207"/>
      <c r="I623" s="207"/>
      <c r="J623" s="207"/>
      <c r="K623" s="207"/>
      <c r="L623" s="207"/>
      <c r="M623" s="207"/>
      <c r="N623" s="207"/>
      <c r="O623" s="207"/>
      <c r="P623" s="207"/>
      <c r="Q623" s="207"/>
      <c r="R623" s="207"/>
      <c r="S623" s="207"/>
      <c r="T623" s="207"/>
      <c r="U623" s="207"/>
      <c r="V623" s="207"/>
      <c r="W623" s="208"/>
      <c r="X623" s="208"/>
      <c r="Y623" s="208"/>
      <c r="Z623" s="208"/>
      <c r="AA623" s="208"/>
      <c r="AB623" s="208"/>
      <c r="AC623" s="208"/>
      <c r="AD623" s="208"/>
      <c r="AE623" s="208"/>
      <c r="AF623" s="208"/>
      <c r="AG623" s="208"/>
      <c r="AH623" s="208"/>
      <c r="AI623" s="100"/>
      <c r="AJ623" s="100"/>
      <c r="AK623" s="100"/>
      <c r="AL623" s="100"/>
      <c r="AM623" s="100"/>
    </row>
    <row r="624" ht="14.25" customHeight="1">
      <c r="A624" s="100"/>
      <c r="B624" s="100"/>
      <c r="C624" s="100"/>
      <c r="D624" s="100"/>
      <c r="E624" s="100"/>
      <c r="F624" s="206"/>
      <c r="G624" s="206"/>
      <c r="H624" s="207"/>
      <c r="I624" s="207"/>
      <c r="J624" s="207"/>
      <c r="K624" s="207"/>
      <c r="L624" s="207"/>
      <c r="M624" s="207"/>
      <c r="N624" s="207"/>
      <c r="O624" s="207"/>
      <c r="P624" s="207"/>
      <c r="Q624" s="207"/>
      <c r="R624" s="207"/>
      <c r="S624" s="207"/>
      <c r="T624" s="207"/>
      <c r="U624" s="207"/>
      <c r="V624" s="207"/>
      <c r="W624" s="208"/>
      <c r="X624" s="208"/>
      <c r="Y624" s="208"/>
      <c r="Z624" s="208"/>
      <c r="AA624" s="208"/>
      <c r="AB624" s="208"/>
      <c r="AC624" s="208"/>
      <c r="AD624" s="208"/>
      <c r="AE624" s="208"/>
      <c r="AF624" s="208"/>
      <c r="AG624" s="208"/>
      <c r="AH624" s="208"/>
      <c r="AI624" s="100"/>
      <c r="AJ624" s="100"/>
      <c r="AK624" s="100"/>
      <c r="AL624" s="100"/>
      <c r="AM624" s="100"/>
    </row>
    <row r="625" ht="14.25" customHeight="1">
      <c r="A625" s="100"/>
      <c r="B625" s="100"/>
      <c r="C625" s="100"/>
      <c r="D625" s="100"/>
      <c r="E625" s="100"/>
      <c r="F625" s="206"/>
      <c r="G625" s="206"/>
      <c r="H625" s="207"/>
      <c r="I625" s="207"/>
      <c r="J625" s="207"/>
      <c r="K625" s="207"/>
      <c r="L625" s="207"/>
      <c r="M625" s="207"/>
      <c r="N625" s="207"/>
      <c r="O625" s="207"/>
      <c r="P625" s="207"/>
      <c r="Q625" s="207"/>
      <c r="R625" s="207"/>
      <c r="S625" s="207"/>
      <c r="T625" s="207"/>
      <c r="U625" s="207"/>
      <c r="V625" s="207"/>
      <c r="W625" s="208"/>
      <c r="X625" s="208"/>
      <c r="Y625" s="208"/>
      <c r="Z625" s="208"/>
      <c r="AA625" s="208"/>
      <c r="AB625" s="208"/>
      <c r="AC625" s="208"/>
      <c r="AD625" s="208"/>
      <c r="AE625" s="208"/>
      <c r="AF625" s="208"/>
      <c r="AG625" s="208"/>
      <c r="AH625" s="208"/>
      <c r="AI625" s="100"/>
      <c r="AJ625" s="100"/>
      <c r="AK625" s="100"/>
      <c r="AL625" s="100"/>
      <c r="AM625" s="100"/>
    </row>
    <row r="626" ht="14.25" customHeight="1">
      <c r="A626" s="100"/>
      <c r="B626" s="100"/>
      <c r="C626" s="100"/>
      <c r="D626" s="100"/>
      <c r="E626" s="100"/>
      <c r="F626" s="206"/>
      <c r="G626" s="206"/>
      <c r="H626" s="207"/>
      <c r="I626" s="207"/>
      <c r="J626" s="207"/>
      <c r="K626" s="207"/>
      <c r="L626" s="207"/>
      <c r="M626" s="207"/>
      <c r="N626" s="207"/>
      <c r="O626" s="207"/>
      <c r="P626" s="207"/>
      <c r="Q626" s="207"/>
      <c r="R626" s="207"/>
      <c r="S626" s="207"/>
      <c r="T626" s="207"/>
      <c r="U626" s="207"/>
      <c r="V626" s="207"/>
      <c r="W626" s="208"/>
      <c r="X626" s="208"/>
      <c r="Y626" s="208"/>
      <c r="Z626" s="208"/>
      <c r="AA626" s="208"/>
      <c r="AB626" s="208"/>
      <c r="AC626" s="208"/>
      <c r="AD626" s="208"/>
      <c r="AE626" s="208"/>
      <c r="AF626" s="208"/>
      <c r="AG626" s="208"/>
      <c r="AH626" s="208"/>
      <c r="AI626" s="100"/>
      <c r="AJ626" s="100"/>
      <c r="AK626" s="100"/>
      <c r="AL626" s="100"/>
      <c r="AM626" s="100"/>
    </row>
    <row r="627" ht="14.25" customHeight="1">
      <c r="A627" s="100"/>
      <c r="B627" s="100"/>
      <c r="C627" s="100"/>
      <c r="D627" s="100"/>
      <c r="E627" s="100"/>
      <c r="F627" s="206"/>
      <c r="G627" s="206"/>
      <c r="H627" s="207"/>
      <c r="I627" s="207"/>
      <c r="J627" s="207"/>
      <c r="K627" s="207"/>
      <c r="L627" s="207"/>
      <c r="M627" s="207"/>
      <c r="N627" s="207"/>
      <c r="O627" s="207"/>
      <c r="P627" s="207"/>
      <c r="Q627" s="207"/>
      <c r="R627" s="207"/>
      <c r="S627" s="207"/>
      <c r="T627" s="207"/>
      <c r="U627" s="207"/>
      <c r="V627" s="207"/>
      <c r="W627" s="208"/>
      <c r="X627" s="208"/>
      <c r="Y627" s="208"/>
      <c r="Z627" s="208"/>
      <c r="AA627" s="208"/>
      <c r="AB627" s="208"/>
      <c r="AC627" s="208"/>
      <c r="AD627" s="208"/>
      <c r="AE627" s="208"/>
      <c r="AF627" s="208"/>
      <c r="AG627" s="208"/>
      <c r="AH627" s="208"/>
      <c r="AI627" s="100"/>
      <c r="AJ627" s="100"/>
      <c r="AK627" s="100"/>
      <c r="AL627" s="100"/>
      <c r="AM627" s="100"/>
    </row>
    <row r="628" ht="14.25" customHeight="1">
      <c r="A628" s="100"/>
      <c r="B628" s="100"/>
      <c r="C628" s="100"/>
      <c r="D628" s="100"/>
      <c r="E628" s="100"/>
      <c r="F628" s="206"/>
      <c r="G628" s="206"/>
      <c r="H628" s="207"/>
      <c r="I628" s="207"/>
      <c r="J628" s="207"/>
      <c r="K628" s="207"/>
      <c r="L628" s="207"/>
      <c r="M628" s="207"/>
      <c r="N628" s="207"/>
      <c r="O628" s="207"/>
      <c r="P628" s="207"/>
      <c r="Q628" s="207"/>
      <c r="R628" s="207"/>
      <c r="S628" s="207"/>
      <c r="T628" s="207"/>
      <c r="U628" s="207"/>
      <c r="V628" s="207"/>
      <c r="W628" s="208"/>
      <c r="X628" s="208"/>
      <c r="Y628" s="208"/>
      <c r="Z628" s="208"/>
      <c r="AA628" s="208"/>
      <c r="AB628" s="208"/>
      <c r="AC628" s="208"/>
      <c r="AD628" s="208"/>
      <c r="AE628" s="208"/>
      <c r="AF628" s="208"/>
      <c r="AG628" s="208"/>
      <c r="AH628" s="208"/>
      <c r="AI628" s="100"/>
      <c r="AJ628" s="100"/>
      <c r="AK628" s="100"/>
      <c r="AL628" s="100"/>
      <c r="AM628" s="100"/>
    </row>
    <row r="629" ht="14.25" customHeight="1">
      <c r="A629" s="100"/>
      <c r="B629" s="100"/>
      <c r="C629" s="100"/>
      <c r="D629" s="100"/>
      <c r="E629" s="100"/>
      <c r="F629" s="206"/>
      <c r="G629" s="206"/>
      <c r="H629" s="207"/>
      <c r="I629" s="207"/>
      <c r="J629" s="207"/>
      <c r="K629" s="207"/>
      <c r="L629" s="207"/>
      <c r="M629" s="207"/>
      <c r="N629" s="207"/>
      <c r="O629" s="207"/>
      <c r="P629" s="207"/>
      <c r="Q629" s="207"/>
      <c r="R629" s="207"/>
      <c r="S629" s="207"/>
      <c r="T629" s="207"/>
      <c r="U629" s="207"/>
      <c r="V629" s="207"/>
      <c r="W629" s="208"/>
      <c r="X629" s="208"/>
      <c r="Y629" s="208"/>
      <c r="Z629" s="208"/>
      <c r="AA629" s="208"/>
      <c r="AB629" s="208"/>
      <c r="AC629" s="208"/>
      <c r="AD629" s="208"/>
      <c r="AE629" s="208"/>
      <c r="AF629" s="208"/>
      <c r="AG629" s="208"/>
      <c r="AH629" s="208"/>
      <c r="AI629" s="100"/>
      <c r="AJ629" s="100"/>
      <c r="AK629" s="100"/>
      <c r="AL629" s="100"/>
      <c r="AM629" s="100"/>
    </row>
    <row r="630" ht="14.25" customHeight="1">
      <c r="A630" s="100"/>
      <c r="B630" s="100"/>
      <c r="C630" s="100"/>
      <c r="D630" s="100"/>
      <c r="E630" s="100"/>
      <c r="F630" s="206"/>
      <c r="G630" s="206"/>
      <c r="H630" s="207"/>
      <c r="I630" s="207"/>
      <c r="J630" s="207"/>
      <c r="K630" s="207"/>
      <c r="L630" s="207"/>
      <c r="M630" s="207"/>
      <c r="N630" s="207"/>
      <c r="O630" s="207"/>
      <c r="P630" s="207"/>
      <c r="Q630" s="207"/>
      <c r="R630" s="207"/>
      <c r="S630" s="207"/>
      <c r="T630" s="207"/>
      <c r="U630" s="207"/>
      <c r="V630" s="207"/>
      <c r="W630" s="208"/>
      <c r="X630" s="208"/>
      <c r="Y630" s="208"/>
      <c r="Z630" s="208"/>
      <c r="AA630" s="208"/>
      <c r="AB630" s="208"/>
      <c r="AC630" s="208"/>
      <c r="AD630" s="208"/>
      <c r="AE630" s="208"/>
      <c r="AF630" s="208"/>
      <c r="AG630" s="208"/>
      <c r="AH630" s="208"/>
      <c r="AI630" s="100"/>
      <c r="AJ630" s="100"/>
      <c r="AK630" s="100"/>
      <c r="AL630" s="100"/>
      <c r="AM630" s="100"/>
    </row>
    <row r="631" ht="14.25" customHeight="1">
      <c r="A631" s="100"/>
      <c r="B631" s="100"/>
      <c r="C631" s="100"/>
      <c r="D631" s="100"/>
      <c r="E631" s="100"/>
      <c r="F631" s="206"/>
      <c r="G631" s="206"/>
      <c r="H631" s="207"/>
      <c r="I631" s="207"/>
      <c r="J631" s="207"/>
      <c r="K631" s="207"/>
      <c r="L631" s="207"/>
      <c r="M631" s="207"/>
      <c r="N631" s="207"/>
      <c r="O631" s="207"/>
      <c r="P631" s="207"/>
      <c r="Q631" s="207"/>
      <c r="R631" s="207"/>
      <c r="S631" s="207"/>
      <c r="T631" s="207"/>
      <c r="U631" s="207"/>
      <c r="V631" s="207"/>
      <c r="W631" s="208"/>
      <c r="X631" s="208"/>
      <c r="Y631" s="208"/>
      <c r="Z631" s="208"/>
      <c r="AA631" s="208"/>
      <c r="AB631" s="208"/>
      <c r="AC631" s="208"/>
      <c r="AD631" s="208"/>
      <c r="AE631" s="208"/>
      <c r="AF631" s="208"/>
      <c r="AG631" s="208"/>
      <c r="AH631" s="208"/>
      <c r="AI631" s="100"/>
      <c r="AJ631" s="100"/>
      <c r="AK631" s="100"/>
      <c r="AL631" s="100"/>
      <c r="AM631" s="100"/>
    </row>
    <row r="632" ht="14.25" customHeight="1">
      <c r="A632" s="100"/>
      <c r="B632" s="100"/>
      <c r="C632" s="100"/>
      <c r="D632" s="100"/>
      <c r="E632" s="100"/>
      <c r="F632" s="206"/>
      <c r="G632" s="206"/>
      <c r="H632" s="207"/>
      <c r="I632" s="207"/>
      <c r="J632" s="207"/>
      <c r="K632" s="207"/>
      <c r="L632" s="207"/>
      <c r="M632" s="207"/>
      <c r="N632" s="207"/>
      <c r="O632" s="207"/>
      <c r="P632" s="207"/>
      <c r="Q632" s="207"/>
      <c r="R632" s="207"/>
      <c r="S632" s="207"/>
      <c r="T632" s="207"/>
      <c r="U632" s="207"/>
      <c r="V632" s="207"/>
      <c r="W632" s="208"/>
      <c r="X632" s="208"/>
      <c r="Y632" s="208"/>
      <c r="Z632" s="208"/>
      <c r="AA632" s="208"/>
      <c r="AB632" s="208"/>
      <c r="AC632" s="208"/>
      <c r="AD632" s="208"/>
      <c r="AE632" s="208"/>
      <c r="AF632" s="208"/>
      <c r="AG632" s="208"/>
      <c r="AH632" s="208"/>
      <c r="AI632" s="100"/>
      <c r="AJ632" s="100"/>
      <c r="AK632" s="100"/>
      <c r="AL632" s="100"/>
      <c r="AM632" s="100"/>
    </row>
    <row r="633" ht="14.25" customHeight="1">
      <c r="A633" s="100"/>
      <c r="B633" s="100"/>
      <c r="C633" s="100"/>
      <c r="D633" s="100"/>
      <c r="E633" s="100"/>
      <c r="F633" s="206"/>
      <c r="G633" s="206"/>
      <c r="H633" s="207"/>
      <c r="I633" s="207"/>
      <c r="J633" s="207"/>
      <c r="K633" s="207"/>
      <c r="L633" s="207"/>
      <c r="M633" s="207"/>
      <c r="N633" s="207"/>
      <c r="O633" s="207"/>
      <c r="P633" s="207"/>
      <c r="Q633" s="207"/>
      <c r="R633" s="207"/>
      <c r="S633" s="207"/>
      <c r="T633" s="207"/>
      <c r="U633" s="207"/>
      <c r="V633" s="207"/>
      <c r="W633" s="208"/>
      <c r="X633" s="208"/>
      <c r="Y633" s="208"/>
      <c r="Z633" s="208"/>
      <c r="AA633" s="208"/>
      <c r="AB633" s="208"/>
      <c r="AC633" s="208"/>
      <c r="AD633" s="208"/>
      <c r="AE633" s="208"/>
      <c r="AF633" s="208"/>
      <c r="AG633" s="208"/>
      <c r="AH633" s="208"/>
      <c r="AI633" s="100"/>
      <c r="AJ633" s="100"/>
      <c r="AK633" s="100"/>
      <c r="AL633" s="100"/>
      <c r="AM633" s="100"/>
    </row>
    <row r="634" ht="14.25" customHeight="1">
      <c r="A634" s="100"/>
      <c r="B634" s="100"/>
      <c r="C634" s="100"/>
      <c r="D634" s="100"/>
      <c r="E634" s="100"/>
      <c r="F634" s="206"/>
      <c r="G634" s="206"/>
      <c r="H634" s="207"/>
      <c r="I634" s="207"/>
      <c r="J634" s="207"/>
      <c r="K634" s="207"/>
      <c r="L634" s="207"/>
      <c r="M634" s="207"/>
      <c r="N634" s="207"/>
      <c r="O634" s="207"/>
      <c r="P634" s="207"/>
      <c r="Q634" s="207"/>
      <c r="R634" s="207"/>
      <c r="S634" s="207"/>
      <c r="T634" s="207"/>
      <c r="U634" s="207"/>
      <c r="V634" s="207"/>
      <c r="W634" s="208"/>
      <c r="X634" s="208"/>
      <c r="Y634" s="208"/>
      <c r="Z634" s="208"/>
      <c r="AA634" s="208"/>
      <c r="AB634" s="208"/>
      <c r="AC634" s="208"/>
      <c r="AD634" s="208"/>
      <c r="AE634" s="208"/>
      <c r="AF634" s="208"/>
      <c r="AG634" s="208"/>
      <c r="AH634" s="208"/>
      <c r="AI634" s="100"/>
      <c r="AJ634" s="100"/>
      <c r="AK634" s="100"/>
      <c r="AL634" s="100"/>
      <c r="AM634" s="100"/>
    </row>
    <row r="635" ht="14.25" customHeight="1">
      <c r="A635" s="100"/>
      <c r="B635" s="100"/>
      <c r="C635" s="100"/>
      <c r="D635" s="100"/>
      <c r="E635" s="100"/>
      <c r="F635" s="206"/>
      <c r="G635" s="206"/>
      <c r="H635" s="207"/>
      <c r="I635" s="207"/>
      <c r="J635" s="207"/>
      <c r="K635" s="207"/>
      <c r="L635" s="207"/>
      <c r="M635" s="207"/>
      <c r="N635" s="207"/>
      <c r="O635" s="207"/>
      <c r="P635" s="207"/>
      <c r="Q635" s="207"/>
      <c r="R635" s="207"/>
      <c r="S635" s="207"/>
      <c r="T635" s="207"/>
      <c r="U635" s="207"/>
      <c r="V635" s="207"/>
      <c r="W635" s="208"/>
      <c r="X635" s="208"/>
      <c r="Y635" s="208"/>
      <c r="Z635" s="208"/>
      <c r="AA635" s="208"/>
      <c r="AB635" s="208"/>
      <c r="AC635" s="208"/>
      <c r="AD635" s="208"/>
      <c r="AE635" s="208"/>
      <c r="AF635" s="208"/>
      <c r="AG635" s="208"/>
      <c r="AH635" s="208"/>
      <c r="AI635" s="100"/>
      <c r="AJ635" s="100"/>
      <c r="AK635" s="100"/>
      <c r="AL635" s="100"/>
      <c r="AM635" s="100"/>
    </row>
    <row r="636" ht="14.25" customHeight="1">
      <c r="A636" s="100"/>
      <c r="B636" s="100"/>
      <c r="C636" s="100"/>
      <c r="D636" s="100"/>
      <c r="E636" s="100"/>
      <c r="F636" s="206"/>
      <c r="G636" s="206"/>
      <c r="H636" s="207"/>
      <c r="I636" s="207"/>
      <c r="J636" s="207"/>
      <c r="K636" s="207"/>
      <c r="L636" s="207"/>
      <c r="M636" s="207"/>
      <c r="N636" s="207"/>
      <c r="O636" s="207"/>
      <c r="P636" s="207"/>
      <c r="Q636" s="207"/>
      <c r="R636" s="207"/>
      <c r="S636" s="207"/>
      <c r="T636" s="207"/>
      <c r="U636" s="207"/>
      <c r="V636" s="207"/>
      <c r="W636" s="208"/>
      <c r="X636" s="208"/>
      <c r="Y636" s="208"/>
      <c r="Z636" s="208"/>
      <c r="AA636" s="208"/>
      <c r="AB636" s="208"/>
      <c r="AC636" s="208"/>
      <c r="AD636" s="208"/>
      <c r="AE636" s="208"/>
      <c r="AF636" s="208"/>
      <c r="AG636" s="208"/>
      <c r="AH636" s="208"/>
      <c r="AI636" s="100"/>
      <c r="AJ636" s="100"/>
      <c r="AK636" s="100"/>
      <c r="AL636" s="100"/>
      <c r="AM636" s="100"/>
    </row>
    <row r="637" ht="14.25" customHeight="1">
      <c r="A637" s="100"/>
      <c r="B637" s="100"/>
      <c r="C637" s="100"/>
      <c r="D637" s="100"/>
      <c r="E637" s="100"/>
      <c r="F637" s="206"/>
      <c r="G637" s="206"/>
      <c r="H637" s="207"/>
      <c r="I637" s="207"/>
      <c r="J637" s="207"/>
      <c r="K637" s="207"/>
      <c r="L637" s="207"/>
      <c r="M637" s="207"/>
      <c r="N637" s="207"/>
      <c r="O637" s="207"/>
      <c r="P637" s="207"/>
      <c r="Q637" s="207"/>
      <c r="R637" s="207"/>
      <c r="S637" s="207"/>
      <c r="T637" s="207"/>
      <c r="U637" s="207"/>
      <c r="V637" s="207"/>
      <c r="W637" s="208"/>
      <c r="X637" s="208"/>
      <c r="Y637" s="208"/>
      <c r="Z637" s="208"/>
      <c r="AA637" s="208"/>
      <c r="AB637" s="208"/>
      <c r="AC637" s="208"/>
      <c r="AD637" s="208"/>
      <c r="AE637" s="208"/>
      <c r="AF637" s="208"/>
      <c r="AG637" s="208"/>
      <c r="AH637" s="208"/>
      <c r="AI637" s="100"/>
      <c r="AJ637" s="100"/>
      <c r="AK637" s="100"/>
      <c r="AL637" s="100"/>
      <c r="AM637" s="100"/>
    </row>
    <row r="638" ht="14.25" customHeight="1">
      <c r="A638" s="100"/>
      <c r="B638" s="100"/>
      <c r="C638" s="100"/>
      <c r="D638" s="100"/>
      <c r="E638" s="100"/>
      <c r="F638" s="206"/>
      <c r="G638" s="206"/>
      <c r="H638" s="207"/>
      <c r="I638" s="207"/>
      <c r="J638" s="207"/>
      <c r="K638" s="207"/>
      <c r="L638" s="207"/>
      <c r="M638" s="207"/>
      <c r="N638" s="207"/>
      <c r="O638" s="207"/>
      <c r="P638" s="207"/>
      <c r="Q638" s="207"/>
      <c r="R638" s="207"/>
      <c r="S638" s="207"/>
      <c r="T638" s="207"/>
      <c r="U638" s="207"/>
      <c r="V638" s="207"/>
      <c r="W638" s="208"/>
      <c r="X638" s="208"/>
      <c r="Y638" s="208"/>
      <c r="Z638" s="208"/>
      <c r="AA638" s="208"/>
      <c r="AB638" s="208"/>
      <c r="AC638" s="208"/>
      <c r="AD638" s="208"/>
      <c r="AE638" s="208"/>
      <c r="AF638" s="208"/>
      <c r="AG638" s="208"/>
      <c r="AH638" s="208"/>
      <c r="AI638" s="100"/>
      <c r="AJ638" s="100"/>
      <c r="AK638" s="100"/>
      <c r="AL638" s="100"/>
      <c r="AM638" s="100"/>
    </row>
    <row r="639" ht="14.25" customHeight="1">
      <c r="A639" s="100"/>
      <c r="B639" s="100"/>
      <c r="C639" s="100"/>
      <c r="D639" s="100"/>
      <c r="E639" s="100"/>
      <c r="F639" s="206"/>
      <c r="G639" s="206"/>
      <c r="H639" s="207"/>
      <c r="I639" s="207"/>
      <c r="J639" s="207"/>
      <c r="K639" s="207"/>
      <c r="L639" s="207"/>
      <c r="M639" s="207"/>
      <c r="N639" s="207"/>
      <c r="O639" s="207"/>
      <c r="P639" s="207"/>
      <c r="Q639" s="207"/>
      <c r="R639" s="207"/>
      <c r="S639" s="207"/>
      <c r="T639" s="207"/>
      <c r="U639" s="207"/>
      <c r="V639" s="207"/>
      <c r="W639" s="208"/>
      <c r="X639" s="208"/>
      <c r="Y639" s="208"/>
      <c r="Z639" s="208"/>
      <c r="AA639" s="208"/>
      <c r="AB639" s="208"/>
      <c r="AC639" s="208"/>
      <c r="AD639" s="208"/>
      <c r="AE639" s="208"/>
      <c r="AF639" s="208"/>
      <c r="AG639" s="208"/>
      <c r="AH639" s="208"/>
      <c r="AI639" s="100"/>
      <c r="AJ639" s="100"/>
      <c r="AK639" s="100"/>
      <c r="AL639" s="100"/>
      <c r="AM639" s="100"/>
    </row>
    <row r="640" ht="14.25" customHeight="1">
      <c r="A640" s="100"/>
      <c r="B640" s="100"/>
      <c r="C640" s="100"/>
      <c r="D640" s="100"/>
      <c r="E640" s="100"/>
      <c r="F640" s="206"/>
      <c r="G640" s="206"/>
      <c r="H640" s="207"/>
      <c r="I640" s="207"/>
      <c r="J640" s="207"/>
      <c r="K640" s="207"/>
      <c r="L640" s="207"/>
      <c r="M640" s="207"/>
      <c r="N640" s="207"/>
      <c r="O640" s="207"/>
      <c r="P640" s="207"/>
      <c r="Q640" s="207"/>
      <c r="R640" s="207"/>
      <c r="S640" s="207"/>
      <c r="T640" s="207"/>
      <c r="U640" s="207"/>
      <c r="V640" s="207"/>
      <c r="W640" s="208"/>
      <c r="X640" s="208"/>
      <c r="Y640" s="208"/>
      <c r="Z640" s="208"/>
      <c r="AA640" s="208"/>
      <c r="AB640" s="208"/>
      <c r="AC640" s="208"/>
      <c r="AD640" s="208"/>
      <c r="AE640" s="208"/>
      <c r="AF640" s="208"/>
      <c r="AG640" s="208"/>
      <c r="AH640" s="208"/>
      <c r="AI640" s="100"/>
      <c r="AJ640" s="100"/>
      <c r="AK640" s="100"/>
      <c r="AL640" s="100"/>
      <c r="AM640" s="100"/>
    </row>
    <row r="641" ht="14.25" customHeight="1">
      <c r="A641" s="100"/>
      <c r="B641" s="100"/>
      <c r="C641" s="100"/>
      <c r="D641" s="100"/>
      <c r="E641" s="100"/>
      <c r="F641" s="206"/>
      <c r="G641" s="206"/>
      <c r="H641" s="207"/>
      <c r="I641" s="207"/>
      <c r="J641" s="207"/>
      <c r="K641" s="207"/>
      <c r="L641" s="207"/>
      <c r="M641" s="207"/>
      <c r="N641" s="207"/>
      <c r="O641" s="207"/>
      <c r="P641" s="207"/>
      <c r="Q641" s="207"/>
      <c r="R641" s="207"/>
      <c r="S641" s="207"/>
      <c r="T641" s="207"/>
      <c r="U641" s="207"/>
      <c r="V641" s="207"/>
      <c r="W641" s="208"/>
      <c r="X641" s="208"/>
      <c r="Y641" s="208"/>
      <c r="Z641" s="208"/>
      <c r="AA641" s="208"/>
      <c r="AB641" s="208"/>
      <c r="AC641" s="208"/>
      <c r="AD641" s="208"/>
      <c r="AE641" s="208"/>
      <c r="AF641" s="208"/>
      <c r="AG641" s="208"/>
      <c r="AH641" s="208"/>
      <c r="AI641" s="100"/>
      <c r="AJ641" s="100"/>
      <c r="AK641" s="100"/>
      <c r="AL641" s="100"/>
      <c r="AM641" s="100"/>
    </row>
    <row r="642" ht="14.25" customHeight="1">
      <c r="A642" s="100"/>
      <c r="B642" s="100"/>
      <c r="C642" s="100"/>
      <c r="D642" s="100"/>
      <c r="E642" s="100"/>
      <c r="F642" s="206"/>
      <c r="G642" s="206"/>
      <c r="H642" s="207"/>
      <c r="I642" s="207"/>
      <c r="J642" s="207"/>
      <c r="K642" s="207"/>
      <c r="L642" s="207"/>
      <c r="M642" s="207"/>
      <c r="N642" s="207"/>
      <c r="O642" s="207"/>
      <c r="P642" s="207"/>
      <c r="Q642" s="207"/>
      <c r="R642" s="207"/>
      <c r="S642" s="207"/>
      <c r="T642" s="207"/>
      <c r="U642" s="207"/>
      <c r="V642" s="207"/>
      <c r="W642" s="208"/>
      <c r="X642" s="208"/>
      <c r="Y642" s="208"/>
      <c r="Z642" s="208"/>
      <c r="AA642" s="208"/>
      <c r="AB642" s="208"/>
      <c r="AC642" s="208"/>
      <c r="AD642" s="208"/>
      <c r="AE642" s="208"/>
      <c r="AF642" s="208"/>
      <c r="AG642" s="208"/>
      <c r="AH642" s="208"/>
      <c r="AI642" s="100"/>
      <c r="AJ642" s="100"/>
      <c r="AK642" s="100"/>
      <c r="AL642" s="100"/>
      <c r="AM642" s="100"/>
    </row>
    <row r="643" ht="14.25" customHeight="1">
      <c r="A643" s="100"/>
      <c r="B643" s="100"/>
      <c r="C643" s="100"/>
      <c r="D643" s="100"/>
      <c r="E643" s="100"/>
      <c r="F643" s="206"/>
      <c r="G643" s="206"/>
      <c r="H643" s="207"/>
      <c r="I643" s="207"/>
      <c r="J643" s="207"/>
      <c r="K643" s="207"/>
      <c r="L643" s="207"/>
      <c r="M643" s="207"/>
      <c r="N643" s="207"/>
      <c r="O643" s="207"/>
      <c r="P643" s="207"/>
      <c r="Q643" s="207"/>
      <c r="R643" s="207"/>
      <c r="S643" s="207"/>
      <c r="T643" s="207"/>
      <c r="U643" s="207"/>
      <c r="V643" s="207"/>
      <c r="W643" s="208"/>
      <c r="X643" s="208"/>
      <c r="Y643" s="208"/>
      <c r="Z643" s="208"/>
      <c r="AA643" s="208"/>
      <c r="AB643" s="208"/>
      <c r="AC643" s="208"/>
      <c r="AD643" s="208"/>
      <c r="AE643" s="208"/>
      <c r="AF643" s="208"/>
      <c r="AG643" s="208"/>
      <c r="AH643" s="208"/>
      <c r="AI643" s="100"/>
      <c r="AJ643" s="100"/>
      <c r="AK643" s="100"/>
      <c r="AL643" s="100"/>
      <c r="AM643" s="100"/>
    </row>
    <row r="644" ht="14.25" customHeight="1">
      <c r="A644" s="100"/>
      <c r="B644" s="100"/>
      <c r="C644" s="100"/>
      <c r="D644" s="100"/>
      <c r="E644" s="100"/>
      <c r="F644" s="206"/>
      <c r="G644" s="206"/>
      <c r="H644" s="207"/>
      <c r="I644" s="207"/>
      <c r="J644" s="207"/>
      <c r="K644" s="207"/>
      <c r="L644" s="207"/>
      <c r="M644" s="207"/>
      <c r="N644" s="207"/>
      <c r="O644" s="207"/>
      <c r="P644" s="207"/>
      <c r="Q644" s="207"/>
      <c r="R644" s="207"/>
      <c r="S644" s="207"/>
      <c r="T644" s="207"/>
      <c r="U644" s="207"/>
      <c r="V644" s="207"/>
      <c r="W644" s="208"/>
      <c r="X644" s="208"/>
      <c r="Y644" s="208"/>
      <c r="Z644" s="208"/>
      <c r="AA644" s="208"/>
      <c r="AB644" s="208"/>
      <c r="AC644" s="208"/>
      <c r="AD644" s="208"/>
      <c r="AE644" s="208"/>
      <c r="AF644" s="208"/>
      <c r="AG644" s="208"/>
      <c r="AH644" s="208"/>
      <c r="AI644" s="100"/>
      <c r="AJ644" s="100"/>
      <c r="AK644" s="100"/>
      <c r="AL644" s="100"/>
      <c r="AM644" s="100"/>
    </row>
    <row r="645" ht="14.25" customHeight="1">
      <c r="A645" s="100"/>
      <c r="B645" s="100"/>
      <c r="C645" s="100"/>
      <c r="D645" s="100"/>
      <c r="E645" s="100"/>
      <c r="F645" s="206"/>
      <c r="G645" s="206"/>
      <c r="H645" s="207"/>
      <c r="I645" s="207"/>
      <c r="J645" s="207"/>
      <c r="K645" s="207"/>
      <c r="L645" s="207"/>
      <c r="M645" s="207"/>
      <c r="N645" s="207"/>
      <c r="O645" s="207"/>
      <c r="P645" s="207"/>
      <c r="Q645" s="207"/>
      <c r="R645" s="207"/>
      <c r="S645" s="207"/>
      <c r="T645" s="207"/>
      <c r="U645" s="207"/>
      <c r="V645" s="207"/>
      <c r="W645" s="208"/>
      <c r="X645" s="208"/>
      <c r="Y645" s="208"/>
      <c r="Z645" s="208"/>
      <c r="AA645" s="208"/>
      <c r="AB645" s="208"/>
      <c r="AC645" s="208"/>
      <c r="AD645" s="208"/>
      <c r="AE645" s="208"/>
      <c r="AF645" s="208"/>
      <c r="AG645" s="208"/>
      <c r="AH645" s="208"/>
      <c r="AI645" s="100"/>
      <c r="AJ645" s="100"/>
      <c r="AK645" s="100"/>
      <c r="AL645" s="100"/>
      <c r="AM645" s="100"/>
    </row>
    <row r="646" ht="14.25" customHeight="1">
      <c r="A646" s="100"/>
      <c r="B646" s="100"/>
      <c r="C646" s="100"/>
      <c r="D646" s="100"/>
      <c r="E646" s="100"/>
      <c r="F646" s="206"/>
      <c r="G646" s="206"/>
      <c r="H646" s="207"/>
      <c r="I646" s="207"/>
      <c r="J646" s="207"/>
      <c r="K646" s="207"/>
      <c r="L646" s="207"/>
      <c r="M646" s="207"/>
      <c r="N646" s="207"/>
      <c r="O646" s="207"/>
      <c r="P646" s="207"/>
      <c r="Q646" s="207"/>
      <c r="R646" s="207"/>
      <c r="S646" s="207"/>
      <c r="T646" s="207"/>
      <c r="U646" s="207"/>
      <c r="V646" s="207"/>
      <c r="W646" s="208"/>
      <c r="X646" s="208"/>
      <c r="Y646" s="208"/>
      <c r="Z646" s="208"/>
      <c r="AA646" s="208"/>
      <c r="AB646" s="208"/>
      <c r="AC646" s="208"/>
      <c r="AD646" s="208"/>
      <c r="AE646" s="208"/>
      <c r="AF646" s="208"/>
      <c r="AG646" s="208"/>
      <c r="AH646" s="208"/>
      <c r="AI646" s="100"/>
      <c r="AJ646" s="100"/>
      <c r="AK646" s="100"/>
      <c r="AL646" s="100"/>
      <c r="AM646" s="100"/>
    </row>
    <row r="647" ht="14.25" customHeight="1">
      <c r="A647" s="100"/>
      <c r="B647" s="100"/>
      <c r="C647" s="100"/>
      <c r="D647" s="100"/>
      <c r="E647" s="100"/>
      <c r="F647" s="206"/>
      <c r="G647" s="206"/>
      <c r="H647" s="207"/>
      <c r="I647" s="207"/>
      <c r="J647" s="207"/>
      <c r="K647" s="207"/>
      <c r="L647" s="207"/>
      <c r="M647" s="207"/>
      <c r="N647" s="207"/>
      <c r="O647" s="207"/>
      <c r="P647" s="207"/>
      <c r="Q647" s="207"/>
      <c r="R647" s="207"/>
      <c r="S647" s="207"/>
      <c r="T647" s="207"/>
      <c r="U647" s="207"/>
      <c r="V647" s="207"/>
      <c r="W647" s="208"/>
      <c r="X647" s="208"/>
      <c r="Y647" s="208"/>
      <c r="Z647" s="208"/>
      <c r="AA647" s="208"/>
      <c r="AB647" s="208"/>
      <c r="AC647" s="208"/>
      <c r="AD647" s="208"/>
      <c r="AE647" s="208"/>
      <c r="AF647" s="208"/>
      <c r="AG647" s="208"/>
      <c r="AH647" s="208"/>
      <c r="AI647" s="100"/>
      <c r="AJ647" s="100"/>
      <c r="AK647" s="100"/>
      <c r="AL647" s="100"/>
      <c r="AM647" s="100"/>
    </row>
    <row r="648" ht="14.25" customHeight="1">
      <c r="A648" s="100"/>
      <c r="B648" s="100"/>
      <c r="C648" s="100"/>
      <c r="D648" s="100"/>
      <c r="E648" s="100"/>
      <c r="F648" s="206"/>
      <c r="G648" s="206"/>
      <c r="H648" s="207"/>
      <c r="I648" s="207"/>
      <c r="J648" s="207"/>
      <c r="K648" s="207"/>
      <c r="L648" s="207"/>
      <c r="M648" s="207"/>
      <c r="N648" s="207"/>
      <c r="O648" s="207"/>
      <c r="P648" s="207"/>
      <c r="Q648" s="207"/>
      <c r="R648" s="207"/>
      <c r="S648" s="207"/>
      <c r="T648" s="207"/>
      <c r="U648" s="207"/>
      <c r="V648" s="207"/>
      <c r="W648" s="208"/>
      <c r="X648" s="208"/>
      <c r="Y648" s="208"/>
      <c r="Z648" s="208"/>
      <c r="AA648" s="208"/>
      <c r="AB648" s="208"/>
      <c r="AC648" s="208"/>
      <c r="AD648" s="208"/>
      <c r="AE648" s="208"/>
      <c r="AF648" s="208"/>
      <c r="AG648" s="208"/>
      <c r="AH648" s="208"/>
      <c r="AI648" s="100"/>
      <c r="AJ648" s="100"/>
      <c r="AK648" s="100"/>
      <c r="AL648" s="100"/>
      <c r="AM648" s="100"/>
    </row>
    <row r="649" ht="14.25" customHeight="1">
      <c r="A649" s="100"/>
      <c r="B649" s="100"/>
      <c r="C649" s="100"/>
      <c r="D649" s="100"/>
      <c r="E649" s="100"/>
      <c r="F649" s="206"/>
      <c r="G649" s="206"/>
      <c r="H649" s="207"/>
      <c r="I649" s="207"/>
      <c r="J649" s="207"/>
      <c r="K649" s="207"/>
      <c r="L649" s="207"/>
      <c r="M649" s="207"/>
      <c r="N649" s="207"/>
      <c r="O649" s="207"/>
      <c r="P649" s="207"/>
      <c r="Q649" s="207"/>
      <c r="R649" s="207"/>
      <c r="S649" s="207"/>
      <c r="T649" s="207"/>
      <c r="U649" s="207"/>
      <c r="V649" s="207"/>
      <c r="W649" s="208"/>
      <c r="X649" s="208"/>
      <c r="Y649" s="208"/>
      <c r="Z649" s="208"/>
      <c r="AA649" s="208"/>
      <c r="AB649" s="208"/>
      <c r="AC649" s="208"/>
      <c r="AD649" s="208"/>
      <c r="AE649" s="208"/>
      <c r="AF649" s="208"/>
      <c r="AG649" s="208"/>
      <c r="AH649" s="208"/>
      <c r="AI649" s="100"/>
      <c r="AJ649" s="100"/>
      <c r="AK649" s="100"/>
      <c r="AL649" s="100"/>
      <c r="AM649" s="100"/>
    </row>
    <row r="650" ht="14.25" customHeight="1">
      <c r="A650" s="100"/>
      <c r="B650" s="100"/>
      <c r="C650" s="100"/>
      <c r="D650" s="100"/>
      <c r="E650" s="100"/>
      <c r="F650" s="206"/>
      <c r="G650" s="206"/>
      <c r="H650" s="207"/>
      <c r="I650" s="207"/>
      <c r="J650" s="207"/>
      <c r="K650" s="207"/>
      <c r="L650" s="207"/>
      <c r="M650" s="207"/>
      <c r="N650" s="207"/>
      <c r="O650" s="207"/>
      <c r="P650" s="207"/>
      <c r="Q650" s="207"/>
      <c r="R650" s="207"/>
      <c r="S650" s="207"/>
      <c r="T650" s="207"/>
      <c r="U650" s="207"/>
      <c r="V650" s="207"/>
      <c r="W650" s="208"/>
      <c r="X650" s="208"/>
      <c r="Y650" s="208"/>
      <c r="Z650" s="208"/>
      <c r="AA650" s="208"/>
      <c r="AB650" s="208"/>
      <c r="AC650" s="208"/>
      <c r="AD650" s="208"/>
      <c r="AE650" s="208"/>
      <c r="AF650" s="208"/>
      <c r="AG650" s="208"/>
      <c r="AH650" s="208"/>
      <c r="AI650" s="100"/>
      <c r="AJ650" s="100"/>
      <c r="AK650" s="100"/>
      <c r="AL650" s="100"/>
      <c r="AM650" s="100"/>
    </row>
    <row r="651" ht="14.25" customHeight="1">
      <c r="A651" s="100"/>
      <c r="B651" s="100"/>
      <c r="C651" s="100"/>
      <c r="D651" s="100"/>
      <c r="E651" s="100"/>
      <c r="F651" s="206"/>
      <c r="G651" s="206"/>
      <c r="H651" s="207"/>
      <c r="I651" s="207"/>
      <c r="J651" s="207"/>
      <c r="K651" s="207"/>
      <c r="L651" s="207"/>
      <c r="M651" s="207"/>
      <c r="N651" s="207"/>
      <c r="O651" s="207"/>
      <c r="P651" s="207"/>
      <c r="Q651" s="207"/>
      <c r="R651" s="207"/>
      <c r="S651" s="207"/>
      <c r="T651" s="207"/>
      <c r="U651" s="207"/>
      <c r="V651" s="207"/>
      <c r="W651" s="208"/>
      <c r="X651" s="208"/>
      <c r="Y651" s="208"/>
      <c r="Z651" s="208"/>
      <c r="AA651" s="208"/>
      <c r="AB651" s="208"/>
      <c r="AC651" s="208"/>
      <c r="AD651" s="208"/>
      <c r="AE651" s="208"/>
      <c r="AF651" s="208"/>
      <c r="AG651" s="208"/>
      <c r="AH651" s="208"/>
      <c r="AI651" s="100"/>
      <c r="AJ651" s="100"/>
      <c r="AK651" s="100"/>
      <c r="AL651" s="100"/>
      <c r="AM651" s="100"/>
    </row>
    <row r="652" ht="14.25" customHeight="1">
      <c r="A652" s="100"/>
      <c r="B652" s="100"/>
      <c r="C652" s="100"/>
      <c r="D652" s="100"/>
      <c r="E652" s="100"/>
      <c r="F652" s="206"/>
      <c r="G652" s="206"/>
      <c r="H652" s="207"/>
      <c r="I652" s="207"/>
      <c r="J652" s="207"/>
      <c r="K652" s="207"/>
      <c r="L652" s="207"/>
      <c r="M652" s="207"/>
      <c r="N652" s="207"/>
      <c r="O652" s="207"/>
      <c r="P652" s="207"/>
      <c r="Q652" s="207"/>
      <c r="R652" s="207"/>
      <c r="S652" s="207"/>
      <c r="T652" s="207"/>
      <c r="U652" s="207"/>
      <c r="V652" s="207"/>
      <c r="W652" s="208"/>
      <c r="X652" s="208"/>
      <c r="Y652" s="208"/>
      <c r="Z652" s="208"/>
      <c r="AA652" s="208"/>
      <c r="AB652" s="208"/>
      <c r="AC652" s="208"/>
      <c r="AD652" s="208"/>
      <c r="AE652" s="208"/>
      <c r="AF652" s="208"/>
      <c r="AG652" s="208"/>
      <c r="AH652" s="208"/>
      <c r="AI652" s="100"/>
      <c r="AJ652" s="100"/>
      <c r="AK652" s="100"/>
      <c r="AL652" s="100"/>
      <c r="AM652" s="100"/>
    </row>
    <row r="653" ht="14.25" customHeight="1">
      <c r="A653" s="100"/>
      <c r="B653" s="100"/>
      <c r="C653" s="100"/>
      <c r="D653" s="100"/>
      <c r="E653" s="100"/>
      <c r="F653" s="206"/>
      <c r="G653" s="206"/>
      <c r="H653" s="207"/>
      <c r="I653" s="207"/>
      <c r="J653" s="207"/>
      <c r="K653" s="207"/>
      <c r="L653" s="207"/>
      <c r="M653" s="207"/>
      <c r="N653" s="207"/>
      <c r="O653" s="207"/>
      <c r="P653" s="207"/>
      <c r="Q653" s="207"/>
      <c r="R653" s="207"/>
      <c r="S653" s="207"/>
      <c r="T653" s="207"/>
      <c r="U653" s="207"/>
      <c r="V653" s="207"/>
      <c r="W653" s="208"/>
      <c r="X653" s="208"/>
      <c r="Y653" s="208"/>
      <c r="Z653" s="208"/>
      <c r="AA653" s="208"/>
      <c r="AB653" s="208"/>
      <c r="AC653" s="208"/>
      <c r="AD653" s="208"/>
      <c r="AE653" s="208"/>
      <c r="AF653" s="208"/>
      <c r="AG653" s="208"/>
      <c r="AH653" s="208"/>
      <c r="AI653" s="100"/>
      <c r="AJ653" s="100"/>
      <c r="AK653" s="100"/>
      <c r="AL653" s="100"/>
      <c r="AM653" s="100"/>
    </row>
    <row r="654" ht="14.25" customHeight="1">
      <c r="A654" s="100"/>
      <c r="B654" s="100"/>
      <c r="C654" s="100"/>
      <c r="D654" s="100"/>
      <c r="E654" s="100"/>
      <c r="F654" s="206"/>
      <c r="G654" s="206"/>
      <c r="H654" s="207"/>
      <c r="I654" s="207"/>
      <c r="J654" s="207"/>
      <c r="K654" s="207"/>
      <c r="L654" s="207"/>
      <c r="M654" s="207"/>
      <c r="N654" s="207"/>
      <c r="O654" s="207"/>
      <c r="P654" s="207"/>
      <c r="Q654" s="207"/>
      <c r="R654" s="207"/>
      <c r="S654" s="207"/>
      <c r="T654" s="207"/>
      <c r="U654" s="207"/>
      <c r="V654" s="207"/>
      <c r="W654" s="208"/>
      <c r="X654" s="208"/>
      <c r="Y654" s="208"/>
      <c r="Z654" s="208"/>
      <c r="AA654" s="208"/>
      <c r="AB654" s="208"/>
      <c r="AC654" s="208"/>
      <c r="AD654" s="208"/>
      <c r="AE654" s="208"/>
      <c r="AF654" s="208"/>
      <c r="AG654" s="208"/>
      <c r="AH654" s="208"/>
      <c r="AI654" s="100"/>
      <c r="AJ654" s="100"/>
      <c r="AK654" s="100"/>
      <c r="AL654" s="100"/>
      <c r="AM654" s="100"/>
    </row>
    <row r="655" ht="14.25" customHeight="1">
      <c r="A655" s="100"/>
      <c r="B655" s="100"/>
      <c r="C655" s="100"/>
      <c r="D655" s="100"/>
      <c r="E655" s="100"/>
      <c r="F655" s="206"/>
      <c r="G655" s="206"/>
      <c r="H655" s="207"/>
      <c r="I655" s="207"/>
      <c r="J655" s="207"/>
      <c r="K655" s="207"/>
      <c r="L655" s="207"/>
      <c r="M655" s="207"/>
      <c r="N655" s="207"/>
      <c r="O655" s="207"/>
      <c r="P655" s="207"/>
      <c r="Q655" s="207"/>
      <c r="R655" s="207"/>
      <c r="S655" s="207"/>
      <c r="T655" s="207"/>
      <c r="U655" s="207"/>
      <c r="V655" s="207"/>
      <c r="W655" s="208"/>
      <c r="X655" s="208"/>
      <c r="Y655" s="208"/>
      <c r="Z655" s="208"/>
      <c r="AA655" s="208"/>
      <c r="AB655" s="208"/>
      <c r="AC655" s="208"/>
      <c r="AD655" s="208"/>
      <c r="AE655" s="208"/>
      <c r="AF655" s="208"/>
      <c r="AG655" s="208"/>
      <c r="AH655" s="208"/>
      <c r="AI655" s="100"/>
      <c r="AJ655" s="100"/>
      <c r="AK655" s="100"/>
      <c r="AL655" s="100"/>
      <c r="AM655" s="100"/>
    </row>
    <row r="656" ht="14.25" customHeight="1">
      <c r="A656" s="100"/>
      <c r="B656" s="100"/>
      <c r="C656" s="100"/>
      <c r="D656" s="100"/>
      <c r="E656" s="100"/>
      <c r="F656" s="206"/>
      <c r="G656" s="206"/>
      <c r="H656" s="207"/>
      <c r="I656" s="207"/>
      <c r="J656" s="207"/>
      <c r="K656" s="207"/>
      <c r="L656" s="207"/>
      <c r="M656" s="207"/>
      <c r="N656" s="207"/>
      <c r="O656" s="207"/>
      <c r="P656" s="207"/>
      <c r="Q656" s="207"/>
      <c r="R656" s="207"/>
      <c r="S656" s="207"/>
      <c r="T656" s="207"/>
      <c r="U656" s="207"/>
      <c r="V656" s="207"/>
      <c r="W656" s="208"/>
      <c r="X656" s="208"/>
      <c r="Y656" s="208"/>
      <c r="Z656" s="208"/>
      <c r="AA656" s="208"/>
      <c r="AB656" s="208"/>
      <c r="AC656" s="208"/>
      <c r="AD656" s="208"/>
      <c r="AE656" s="208"/>
      <c r="AF656" s="208"/>
      <c r="AG656" s="208"/>
      <c r="AH656" s="208"/>
      <c r="AI656" s="100"/>
      <c r="AJ656" s="100"/>
      <c r="AK656" s="100"/>
      <c r="AL656" s="100"/>
      <c r="AM656" s="100"/>
    </row>
    <row r="657" ht="14.25" customHeight="1">
      <c r="A657" s="100"/>
      <c r="B657" s="100"/>
      <c r="C657" s="100"/>
      <c r="D657" s="100"/>
      <c r="E657" s="100"/>
      <c r="F657" s="206"/>
      <c r="G657" s="206"/>
      <c r="H657" s="207"/>
      <c r="I657" s="207"/>
      <c r="J657" s="207"/>
      <c r="K657" s="207"/>
      <c r="L657" s="207"/>
      <c r="M657" s="207"/>
      <c r="N657" s="207"/>
      <c r="O657" s="207"/>
      <c r="P657" s="207"/>
      <c r="Q657" s="207"/>
      <c r="R657" s="207"/>
      <c r="S657" s="207"/>
      <c r="T657" s="207"/>
      <c r="U657" s="207"/>
      <c r="V657" s="207"/>
      <c r="W657" s="208"/>
      <c r="X657" s="208"/>
      <c r="Y657" s="208"/>
      <c r="Z657" s="208"/>
      <c r="AA657" s="208"/>
      <c r="AB657" s="208"/>
      <c r="AC657" s="208"/>
      <c r="AD657" s="208"/>
      <c r="AE657" s="208"/>
      <c r="AF657" s="208"/>
      <c r="AG657" s="208"/>
      <c r="AH657" s="208"/>
      <c r="AI657" s="100"/>
      <c r="AJ657" s="100"/>
      <c r="AK657" s="100"/>
      <c r="AL657" s="100"/>
      <c r="AM657" s="100"/>
    </row>
    <row r="658" ht="14.25" customHeight="1">
      <c r="A658" s="100"/>
      <c r="B658" s="100"/>
      <c r="C658" s="100"/>
      <c r="D658" s="100"/>
      <c r="E658" s="100"/>
      <c r="F658" s="206"/>
      <c r="G658" s="206"/>
      <c r="H658" s="207"/>
      <c r="I658" s="207"/>
      <c r="J658" s="207"/>
      <c r="K658" s="207"/>
      <c r="L658" s="207"/>
      <c r="M658" s="207"/>
      <c r="N658" s="207"/>
      <c r="O658" s="207"/>
      <c r="P658" s="207"/>
      <c r="Q658" s="207"/>
      <c r="R658" s="207"/>
      <c r="S658" s="207"/>
      <c r="T658" s="207"/>
      <c r="U658" s="207"/>
      <c r="V658" s="207"/>
      <c r="W658" s="208"/>
      <c r="X658" s="208"/>
      <c r="Y658" s="208"/>
      <c r="Z658" s="208"/>
      <c r="AA658" s="208"/>
      <c r="AB658" s="208"/>
      <c r="AC658" s="208"/>
      <c r="AD658" s="208"/>
      <c r="AE658" s="208"/>
      <c r="AF658" s="208"/>
      <c r="AG658" s="208"/>
      <c r="AH658" s="208"/>
      <c r="AI658" s="100"/>
      <c r="AJ658" s="100"/>
      <c r="AK658" s="100"/>
      <c r="AL658" s="100"/>
      <c r="AM658" s="100"/>
    </row>
    <row r="659" ht="14.25" customHeight="1">
      <c r="A659" s="100"/>
      <c r="B659" s="100"/>
      <c r="C659" s="100"/>
      <c r="D659" s="100"/>
      <c r="E659" s="100"/>
      <c r="F659" s="206"/>
      <c r="G659" s="206"/>
      <c r="H659" s="207"/>
      <c r="I659" s="207"/>
      <c r="J659" s="207"/>
      <c r="K659" s="207"/>
      <c r="L659" s="207"/>
      <c r="M659" s="207"/>
      <c r="N659" s="207"/>
      <c r="O659" s="207"/>
      <c r="P659" s="207"/>
      <c r="Q659" s="207"/>
      <c r="R659" s="207"/>
      <c r="S659" s="207"/>
      <c r="T659" s="207"/>
      <c r="U659" s="207"/>
      <c r="V659" s="207"/>
      <c r="W659" s="208"/>
      <c r="X659" s="208"/>
      <c r="Y659" s="208"/>
      <c r="Z659" s="208"/>
      <c r="AA659" s="208"/>
      <c r="AB659" s="208"/>
      <c r="AC659" s="208"/>
      <c r="AD659" s="208"/>
      <c r="AE659" s="208"/>
      <c r="AF659" s="208"/>
      <c r="AG659" s="208"/>
      <c r="AH659" s="208"/>
      <c r="AI659" s="100"/>
      <c r="AJ659" s="100"/>
      <c r="AK659" s="100"/>
      <c r="AL659" s="100"/>
      <c r="AM659" s="100"/>
    </row>
    <row r="660" ht="14.25" customHeight="1">
      <c r="A660" s="100"/>
      <c r="B660" s="100"/>
      <c r="C660" s="100"/>
      <c r="D660" s="100"/>
      <c r="E660" s="100"/>
      <c r="F660" s="206"/>
      <c r="G660" s="206"/>
      <c r="H660" s="207"/>
      <c r="I660" s="207"/>
      <c r="J660" s="207"/>
      <c r="K660" s="207"/>
      <c r="L660" s="207"/>
      <c r="M660" s="207"/>
      <c r="N660" s="207"/>
      <c r="O660" s="207"/>
      <c r="P660" s="207"/>
      <c r="Q660" s="207"/>
      <c r="R660" s="207"/>
      <c r="S660" s="207"/>
      <c r="T660" s="207"/>
      <c r="U660" s="207"/>
      <c r="V660" s="207"/>
      <c r="W660" s="208"/>
      <c r="X660" s="208"/>
      <c r="Y660" s="208"/>
      <c r="Z660" s="208"/>
      <c r="AA660" s="208"/>
      <c r="AB660" s="208"/>
      <c r="AC660" s="208"/>
      <c r="AD660" s="208"/>
      <c r="AE660" s="208"/>
      <c r="AF660" s="208"/>
      <c r="AG660" s="208"/>
      <c r="AH660" s="208"/>
      <c r="AI660" s="100"/>
      <c r="AJ660" s="100"/>
      <c r="AK660" s="100"/>
      <c r="AL660" s="100"/>
      <c r="AM660" s="100"/>
    </row>
    <row r="661" ht="14.25" customHeight="1">
      <c r="A661" s="100"/>
      <c r="B661" s="100"/>
      <c r="C661" s="100"/>
      <c r="D661" s="100"/>
      <c r="E661" s="100"/>
      <c r="F661" s="206"/>
      <c r="G661" s="206"/>
      <c r="H661" s="207"/>
      <c r="I661" s="207"/>
      <c r="J661" s="207"/>
      <c r="K661" s="207"/>
      <c r="L661" s="207"/>
      <c r="M661" s="207"/>
      <c r="N661" s="207"/>
      <c r="O661" s="207"/>
      <c r="P661" s="207"/>
      <c r="Q661" s="207"/>
      <c r="R661" s="207"/>
      <c r="S661" s="207"/>
      <c r="T661" s="207"/>
      <c r="U661" s="207"/>
      <c r="V661" s="207"/>
      <c r="W661" s="208"/>
      <c r="X661" s="208"/>
      <c r="Y661" s="208"/>
      <c r="Z661" s="208"/>
      <c r="AA661" s="208"/>
      <c r="AB661" s="208"/>
      <c r="AC661" s="208"/>
      <c r="AD661" s="208"/>
      <c r="AE661" s="208"/>
      <c r="AF661" s="208"/>
      <c r="AG661" s="208"/>
      <c r="AH661" s="208"/>
      <c r="AI661" s="100"/>
      <c r="AJ661" s="100"/>
      <c r="AK661" s="100"/>
      <c r="AL661" s="100"/>
      <c r="AM661" s="100"/>
    </row>
    <row r="662" ht="14.25" customHeight="1">
      <c r="A662" s="100"/>
      <c r="B662" s="100"/>
      <c r="C662" s="100"/>
      <c r="D662" s="100"/>
      <c r="E662" s="100"/>
      <c r="F662" s="206"/>
      <c r="G662" s="206"/>
      <c r="H662" s="207"/>
      <c r="I662" s="207"/>
      <c r="J662" s="207"/>
      <c r="K662" s="207"/>
      <c r="L662" s="207"/>
      <c r="M662" s="207"/>
      <c r="N662" s="207"/>
      <c r="O662" s="207"/>
      <c r="P662" s="207"/>
      <c r="Q662" s="207"/>
      <c r="R662" s="207"/>
      <c r="S662" s="207"/>
      <c r="T662" s="207"/>
      <c r="U662" s="207"/>
      <c r="V662" s="207"/>
      <c r="W662" s="208"/>
      <c r="X662" s="208"/>
      <c r="Y662" s="208"/>
      <c r="Z662" s="208"/>
      <c r="AA662" s="208"/>
      <c r="AB662" s="208"/>
      <c r="AC662" s="208"/>
      <c r="AD662" s="208"/>
      <c r="AE662" s="208"/>
      <c r="AF662" s="208"/>
      <c r="AG662" s="208"/>
      <c r="AH662" s="208"/>
      <c r="AI662" s="100"/>
      <c r="AJ662" s="100"/>
      <c r="AK662" s="100"/>
      <c r="AL662" s="100"/>
      <c r="AM662" s="100"/>
    </row>
    <row r="663" ht="14.25" customHeight="1">
      <c r="A663" s="100"/>
      <c r="B663" s="100"/>
      <c r="C663" s="100"/>
      <c r="D663" s="100"/>
      <c r="E663" s="100"/>
      <c r="F663" s="206"/>
      <c r="G663" s="206"/>
      <c r="H663" s="207"/>
      <c r="I663" s="207"/>
      <c r="J663" s="207"/>
      <c r="K663" s="207"/>
      <c r="L663" s="207"/>
      <c r="M663" s="207"/>
      <c r="N663" s="207"/>
      <c r="O663" s="207"/>
      <c r="P663" s="207"/>
      <c r="Q663" s="207"/>
      <c r="R663" s="207"/>
      <c r="S663" s="207"/>
      <c r="T663" s="207"/>
      <c r="U663" s="207"/>
      <c r="V663" s="207"/>
      <c r="W663" s="208"/>
      <c r="X663" s="208"/>
      <c r="Y663" s="208"/>
      <c r="Z663" s="208"/>
      <c r="AA663" s="208"/>
      <c r="AB663" s="208"/>
      <c r="AC663" s="208"/>
      <c r="AD663" s="208"/>
      <c r="AE663" s="208"/>
      <c r="AF663" s="208"/>
      <c r="AG663" s="208"/>
      <c r="AH663" s="208"/>
      <c r="AI663" s="100"/>
      <c r="AJ663" s="100"/>
      <c r="AK663" s="100"/>
      <c r="AL663" s="100"/>
      <c r="AM663" s="100"/>
    </row>
    <row r="664" ht="14.25" customHeight="1">
      <c r="A664" s="100"/>
      <c r="B664" s="100"/>
      <c r="C664" s="100"/>
      <c r="D664" s="100"/>
      <c r="E664" s="100"/>
      <c r="F664" s="206"/>
      <c r="G664" s="206"/>
      <c r="H664" s="207"/>
      <c r="I664" s="207"/>
      <c r="J664" s="207"/>
      <c r="K664" s="207"/>
      <c r="L664" s="207"/>
      <c r="M664" s="207"/>
      <c r="N664" s="207"/>
      <c r="O664" s="207"/>
      <c r="P664" s="207"/>
      <c r="Q664" s="207"/>
      <c r="R664" s="207"/>
      <c r="S664" s="207"/>
      <c r="T664" s="207"/>
      <c r="U664" s="207"/>
      <c r="V664" s="207"/>
      <c r="W664" s="208"/>
      <c r="X664" s="208"/>
      <c r="Y664" s="208"/>
      <c r="Z664" s="208"/>
      <c r="AA664" s="208"/>
      <c r="AB664" s="208"/>
      <c r="AC664" s="208"/>
      <c r="AD664" s="208"/>
      <c r="AE664" s="208"/>
      <c r="AF664" s="208"/>
      <c r="AG664" s="208"/>
      <c r="AH664" s="208"/>
      <c r="AI664" s="100"/>
      <c r="AJ664" s="100"/>
      <c r="AK664" s="100"/>
      <c r="AL664" s="100"/>
      <c r="AM664" s="100"/>
    </row>
    <row r="665" ht="14.25" customHeight="1">
      <c r="A665" s="100"/>
      <c r="B665" s="100"/>
      <c r="C665" s="100"/>
      <c r="D665" s="100"/>
      <c r="E665" s="100"/>
      <c r="F665" s="206"/>
      <c r="G665" s="206"/>
      <c r="H665" s="207"/>
      <c r="I665" s="207"/>
      <c r="J665" s="207"/>
      <c r="K665" s="207"/>
      <c r="L665" s="207"/>
      <c r="M665" s="207"/>
      <c r="N665" s="207"/>
      <c r="O665" s="207"/>
      <c r="P665" s="207"/>
      <c r="Q665" s="207"/>
      <c r="R665" s="207"/>
      <c r="S665" s="207"/>
      <c r="T665" s="207"/>
      <c r="U665" s="207"/>
      <c r="V665" s="207"/>
      <c r="W665" s="208"/>
      <c r="X665" s="208"/>
      <c r="Y665" s="208"/>
      <c r="Z665" s="208"/>
      <c r="AA665" s="208"/>
      <c r="AB665" s="208"/>
      <c r="AC665" s="208"/>
      <c r="AD665" s="208"/>
      <c r="AE665" s="208"/>
      <c r="AF665" s="208"/>
      <c r="AG665" s="208"/>
      <c r="AH665" s="208"/>
      <c r="AI665" s="100"/>
      <c r="AJ665" s="100"/>
      <c r="AK665" s="100"/>
      <c r="AL665" s="100"/>
      <c r="AM665" s="100"/>
    </row>
    <row r="666" ht="14.25" customHeight="1">
      <c r="A666" s="100"/>
      <c r="B666" s="100"/>
      <c r="C666" s="100"/>
      <c r="D666" s="100"/>
      <c r="E666" s="100"/>
      <c r="F666" s="206"/>
      <c r="G666" s="206"/>
      <c r="H666" s="207"/>
      <c r="I666" s="207"/>
      <c r="J666" s="207"/>
      <c r="K666" s="207"/>
      <c r="L666" s="207"/>
      <c r="M666" s="207"/>
      <c r="N666" s="207"/>
      <c r="O666" s="207"/>
      <c r="P666" s="207"/>
      <c r="Q666" s="207"/>
      <c r="R666" s="207"/>
      <c r="S666" s="207"/>
      <c r="T666" s="207"/>
      <c r="U666" s="207"/>
      <c r="V666" s="207"/>
      <c r="W666" s="208"/>
      <c r="X666" s="208"/>
      <c r="Y666" s="208"/>
      <c r="Z666" s="208"/>
      <c r="AA666" s="208"/>
      <c r="AB666" s="208"/>
      <c r="AC666" s="208"/>
      <c r="AD666" s="208"/>
      <c r="AE666" s="208"/>
      <c r="AF666" s="208"/>
      <c r="AG666" s="208"/>
      <c r="AH666" s="208"/>
      <c r="AI666" s="100"/>
      <c r="AJ666" s="100"/>
      <c r="AK666" s="100"/>
      <c r="AL666" s="100"/>
      <c r="AM666" s="100"/>
    </row>
    <row r="667" ht="14.25" customHeight="1">
      <c r="A667" s="100"/>
      <c r="B667" s="100"/>
      <c r="C667" s="100"/>
      <c r="D667" s="100"/>
      <c r="E667" s="100"/>
      <c r="F667" s="206"/>
      <c r="G667" s="206"/>
      <c r="H667" s="207"/>
      <c r="I667" s="207"/>
      <c r="J667" s="207"/>
      <c r="K667" s="207"/>
      <c r="L667" s="207"/>
      <c r="M667" s="207"/>
      <c r="N667" s="207"/>
      <c r="O667" s="207"/>
      <c r="P667" s="207"/>
      <c r="Q667" s="207"/>
      <c r="R667" s="207"/>
      <c r="S667" s="207"/>
      <c r="T667" s="207"/>
      <c r="U667" s="207"/>
      <c r="V667" s="207"/>
      <c r="W667" s="208"/>
      <c r="X667" s="208"/>
      <c r="Y667" s="208"/>
      <c r="Z667" s="208"/>
      <c r="AA667" s="208"/>
      <c r="AB667" s="208"/>
      <c r="AC667" s="208"/>
      <c r="AD667" s="208"/>
      <c r="AE667" s="208"/>
      <c r="AF667" s="208"/>
      <c r="AG667" s="208"/>
      <c r="AH667" s="208"/>
      <c r="AI667" s="100"/>
      <c r="AJ667" s="100"/>
      <c r="AK667" s="100"/>
      <c r="AL667" s="100"/>
      <c r="AM667" s="100"/>
    </row>
    <row r="668" ht="14.25" customHeight="1">
      <c r="A668" s="100"/>
      <c r="B668" s="100"/>
      <c r="C668" s="100"/>
      <c r="D668" s="100"/>
      <c r="E668" s="100"/>
      <c r="F668" s="206"/>
      <c r="G668" s="206"/>
      <c r="H668" s="207"/>
      <c r="I668" s="207"/>
      <c r="J668" s="207"/>
      <c r="K668" s="207"/>
      <c r="L668" s="207"/>
      <c r="M668" s="207"/>
      <c r="N668" s="207"/>
      <c r="O668" s="207"/>
      <c r="P668" s="207"/>
      <c r="Q668" s="207"/>
      <c r="R668" s="207"/>
      <c r="S668" s="207"/>
      <c r="T668" s="207"/>
      <c r="U668" s="207"/>
      <c r="V668" s="207"/>
      <c r="W668" s="208"/>
      <c r="X668" s="208"/>
      <c r="Y668" s="208"/>
      <c r="Z668" s="208"/>
      <c r="AA668" s="208"/>
      <c r="AB668" s="208"/>
      <c r="AC668" s="208"/>
      <c r="AD668" s="208"/>
      <c r="AE668" s="208"/>
      <c r="AF668" s="208"/>
      <c r="AG668" s="208"/>
      <c r="AH668" s="208"/>
      <c r="AI668" s="100"/>
      <c r="AJ668" s="100"/>
      <c r="AK668" s="100"/>
      <c r="AL668" s="100"/>
      <c r="AM668" s="100"/>
    </row>
    <row r="669" ht="14.25" customHeight="1">
      <c r="A669" s="100"/>
      <c r="B669" s="100"/>
      <c r="C669" s="100"/>
      <c r="D669" s="100"/>
      <c r="E669" s="100"/>
      <c r="F669" s="206"/>
      <c r="G669" s="206"/>
      <c r="H669" s="207"/>
      <c r="I669" s="207"/>
      <c r="J669" s="207"/>
      <c r="K669" s="207"/>
      <c r="L669" s="207"/>
      <c r="M669" s="207"/>
      <c r="N669" s="207"/>
      <c r="O669" s="207"/>
      <c r="P669" s="207"/>
      <c r="Q669" s="207"/>
      <c r="R669" s="207"/>
      <c r="S669" s="207"/>
      <c r="T669" s="207"/>
      <c r="U669" s="207"/>
      <c r="V669" s="207"/>
      <c r="W669" s="208"/>
      <c r="X669" s="208"/>
      <c r="Y669" s="208"/>
      <c r="Z669" s="208"/>
      <c r="AA669" s="208"/>
      <c r="AB669" s="208"/>
      <c r="AC669" s="208"/>
      <c r="AD669" s="208"/>
      <c r="AE669" s="208"/>
      <c r="AF669" s="208"/>
      <c r="AG669" s="208"/>
      <c r="AH669" s="208"/>
      <c r="AI669" s="100"/>
      <c r="AJ669" s="100"/>
      <c r="AK669" s="100"/>
      <c r="AL669" s="100"/>
      <c r="AM669" s="100"/>
    </row>
    <row r="670" ht="14.25" customHeight="1">
      <c r="A670" s="100"/>
      <c r="B670" s="100"/>
      <c r="C670" s="100"/>
      <c r="D670" s="100"/>
      <c r="E670" s="100"/>
      <c r="F670" s="206"/>
      <c r="G670" s="206"/>
      <c r="H670" s="207"/>
      <c r="I670" s="207"/>
      <c r="J670" s="207"/>
      <c r="K670" s="207"/>
      <c r="L670" s="207"/>
      <c r="M670" s="207"/>
      <c r="N670" s="207"/>
      <c r="O670" s="207"/>
      <c r="P670" s="207"/>
      <c r="Q670" s="207"/>
      <c r="R670" s="207"/>
      <c r="S670" s="207"/>
      <c r="T670" s="207"/>
      <c r="U670" s="207"/>
      <c r="V670" s="207"/>
      <c r="W670" s="208"/>
      <c r="X670" s="208"/>
      <c r="Y670" s="208"/>
      <c r="Z670" s="208"/>
      <c r="AA670" s="208"/>
      <c r="AB670" s="208"/>
      <c r="AC670" s="208"/>
      <c r="AD670" s="208"/>
      <c r="AE670" s="208"/>
      <c r="AF670" s="208"/>
      <c r="AG670" s="208"/>
      <c r="AH670" s="208"/>
      <c r="AI670" s="100"/>
      <c r="AJ670" s="100"/>
      <c r="AK670" s="100"/>
      <c r="AL670" s="100"/>
      <c r="AM670" s="100"/>
    </row>
    <row r="671" ht="14.25" customHeight="1">
      <c r="A671" s="100"/>
      <c r="B671" s="100"/>
      <c r="C671" s="100"/>
      <c r="D671" s="100"/>
      <c r="E671" s="100"/>
      <c r="F671" s="206"/>
      <c r="G671" s="206"/>
      <c r="H671" s="207"/>
      <c r="I671" s="207"/>
      <c r="J671" s="207"/>
      <c r="K671" s="207"/>
      <c r="L671" s="207"/>
      <c r="M671" s="207"/>
      <c r="N671" s="207"/>
      <c r="O671" s="207"/>
      <c r="P671" s="207"/>
      <c r="Q671" s="207"/>
      <c r="R671" s="207"/>
      <c r="S671" s="207"/>
      <c r="T671" s="207"/>
      <c r="U671" s="207"/>
      <c r="V671" s="207"/>
      <c r="W671" s="208"/>
      <c r="X671" s="208"/>
      <c r="Y671" s="208"/>
      <c r="Z671" s="208"/>
      <c r="AA671" s="208"/>
      <c r="AB671" s="208"/>
      <c r="AC671" s="208"/>
      <c r="AD671" s="208"/>
      <c r="AE671" s="208"/>
      <c r="AF671" s="208"/>
      <c r="AG671" s="208"/>
      <c r="AH671" s="208"/>
      <c r="AI671" s="100"/>
      <c r="AJ671" s="100"/>
      <c r="AK671" s="100"/>
      <c r="AL671" s="100"/>
      <c r="AM671" s="100"/>
    </row>
    <row r="672" ht="14.25" customHeight="1">
      <c r="A672" s="100"/>
      <c r="B672" s="100"/>
      <c r="C672" s="100"/>
      <c r="D672" s="100"/>
      <c r="E672" s="100"/>
      <c r="F672" s="206"/>
      <c r="G672" s="206"/>
      <c r="H672" s="207"/>
      <c r="I672" s="207"/>
      <c r="J672" s="207"/>
      <c r="K672" s="207"/>
      <c r="L672" s="207"/>
      <c r="M672" s="207"/>
      <c r="N672" s="207"/>
      <c r="O672" s="207"/>
      <c r="P672" s="207"/>
      <c r="Q672" s="207"/>
      <c r="R672" s="207"/>
      <c r="S672" s="207"/>
      <c r="T672" s="207"/>
      <c r="U672" s="207"/>
      <c r="V672" s="207"/>
      <c r="W672" s="208"/>
      <c r="X672" s="208"/>
      <c r="Y672" s="208"/>
      <c r="Z672" s="208"/>
      <c r="AA672" s="208"/>
      <c r="AB672" s="208"/>
      <c r="AC672" s="208"/>
      <c r="AD672" s="208"/>
      <c r="AE672" s="208"/>
      <c r="AF672" s="208"/>
      <c r="AG672" s="208"/>
      <c r="AH672" s="208"/>
      <c r="AI672" s="100"/>
      <c r="AJ672" s="100"/>
      <c r="AK672" s="100"/>
      <c r="AL672" s="100"/>
      <c r="AM672" s="100"/>
    </row>
    <row r="673" ht="14.25" customHeight="1">
      <c r="A673" s="100"/>
      <c r="B673" s="100"/>
      <c r="C673" s="100"/>
      <c r="D673" s="100"/>
      <c r="E673" s="100"/>
      <c r="F673" s="206"/>
      <c r="G673" s="206"/>
      <c r="H673" s="207"/>
      <c r="I673" s="207"/>
      <c r="J673" s="207"/>
      <c r="K673" s="207"/>
      <c r="L673" s="207"/>
      <c r="M673" s="207"/>
      <c r="N673" s="207"/>
      <c r="O673" s="207"/>
      <c r="P673" s="207"/>
      <c r="Q673" s="207"/>
      <c r="R673" s="207"/>
      <c r="S673" s="207"/>
      <c r="T673" s="207"/>
      <c r="U673" s="207"/>
      <c r="V673" s="207"/>
      <c r="W673" s="208"/>
      <c r="X673" s="208"/>
      <c r="Y673" s="208"/>
      <c r="Z673" s="208"/>
      <c r="AA673" s="208"/>
      <c r="AB673" s="208"/>
      <c r="AC673" s="208"/>
      <c r="AD673" s="208"/>
      <c r="AE673" s="208"/>
      <c r="AF673" s="208"/>
      <c r="AG673" s="208"/>
      <c r="AH673" s="208"/>
      <c r="AI673" s="100"/>
      <c r="AJ673" s="100"/>
      <c r="AK673" s="100"/>
      <c r="AL673" s="100"/>
      <c r="AM673" s="100"/>
    </row>
    <row r="674" ht="14.25" customHeight="1">
      <c r="A674" s="100"/>
      <c r="B674" s="100"/>
      <c r="C674" s="100"/>
      <c r="D674" s="100"/>
      <c r="E674" s="100"/>
      <c r="F674" s="206"/>
      <c r="G674" s="206"/>
      <c r="H674" s="207"/>
      <c r="I674" s="207"/>
      <c r="J674" s="207"/>
      <c r="K674" s="207"/>
      <c r="L674" s="207"/>
      <c r="M674" s="207"/>
      <c r="N674" s="207"/>
      <c r="O674" s="207"/>
      <c r="P674" s="207"/>
      <c r="Q674" s="207"/>
      <c r="R674" s="207"/>
      <c r="S674" s="207"/>
      <c r="T674" s="207"/>
      <c r="U674" s="207"/>
      <c r="V674" s="207"/>
      <c r="W674" s="208"/>
      <c r="X674" s="208"/>
      <c r="Y674" s="208"/>
      <c r="Z674" s="208"/>
      <c r="AA674" s="208"/>
      <c r="AB674" s="208"/>
      <c r="AC674" s="208"/>
      <c r="AD674" s="208"/>
      <c r="AE674" s="208"/>
      <c r="AF674" s="208"/>
      <c r="AG674" s="208"/>
      <c r="AH674" s="208"/>
      <c r="AI674" s="100"/>
      <c r="AJ674" s="100"/>
      <c r="AK674" s="100"/>
      <c r="AL674" s="100"/>
      <c r="AM674" s="100"/>
    </row>
    <row r="675" ht="14.25" customHeight="1">
      <c r="A675" s="100"/>
      <c r="B675" s="100"/>
      <c r="C675" s="100"/>
      <c r="D675" s="100"/>
      <c r="E675" s="100"/>
      <c r="F675" s="206"/>
      <c r="G675" s="206"/>
      <c r="H675" s="207"/>
      <c r="I675" s="207"/>
      <c r="J675" s="207"/>
      <c r="K675" s="207"/>
      <c r="L675" s="207"/>
      <c r="M675" s="207"/>
      <c r="N675" s="207"/>
      <c r="O675" s="207"/>
      <c r="P675" s="207"/>
      <c r="Q675" s="207"/>
      <c r="R675" s="207"/>
      <c r="S675" s="207"/>
      <c r="T675" s="207"/>
      <c r="U675" s="207"/>
      <c r="V675" s="207"/>
      <c r="W675" s="208"/>
      <c r="X675" s="208"/>
      <c r="Y675" s="208"/>
      <c r="Z675" s="208"/>
      <c r="AA675" s="208"/>
      <c r="AB675" s="208"/>
      <c r="AC675" s="208"/>
      <c r="AD675" s="208"/>
      <c r="AE675" s="208"/>
      <c r="AF675" s="208"/>
      <c r="AG675" s="208"/>
      <c r="AH675" s="208"/>
      <c r="AI675" s="100"/>
      <c r="AJ675" s="100"/>
      <c r="AK675" s="100"/>
      <c r="AL675" s="100"/>
      <c r="AM675" s="100"/>
    </row>
    <row r="676" ht="14.25" customHeight="1">
      <c r="A676" s="100"/>
      <c r="B676" s="100"/>
      <c r="C676" s="100"/>
      <c r="D676" s="100"/>
      <c r="E676" s="100"/>
      <c r="F676" s="206"/>
      <c r="G676" s="206"/>
      <c r="H676" s="207"/>
      <c r="I676" s="207"/>
      <c r="J676" s="207"/>
      <c r="K676" s="207"/>
      <c r="L676" s="207"/>
      <c r="M676" s="207"/>
      <c r="N676" s="207"/>
      <c r="O676" s="207"/>
      <c r="P676" s="207"/>
      <c r="Q676" s="207"/>
      <c r="R676" s="207"/>
      <c r="S676" s="207"/>
      <c r="T676" s="207"/>
      <c r="U676" s="207"/>
      <c r="V676" s="207"/>
      <c r="W676" s="208"/>
      <c r="X676" s="208"/>
      <c r="Y676" s="208"/>
      <c r="Z676" s="208"/>
      <c r="AA676" s="208"/>
      <c r="AB676" s="208"/>
      <c r="AC676" s="208"/>
      <c r="AD676" s="208"/>
      <c r="AE676" s="208"/>
      <c r="AF676" s="208"/>
      <c r="AG676" s="208"/>
      <c r="AH676" s="208"/>
      <c r="AI676" s="100"/>
      <c r="AJ676" s="100"/>
      <c r="AK676" s="100"/>
      <c r="AL676" s="100"/>
      <c r="AM676" s="100"/>
    </row>
    <row r="677" ht="14.25" customHeight="1">
      <c r="A677" s="100"/>
      <c r="B677" s="100"/>
      <c r="C677" s="100"/>
      <c r="D677" s="100"/>
      <c r="E677" s="100"/>
      <c r="F677" s="206"/>
      <c r="G677" s="206"/>
      <c r="H677" s="207"/>
      <c r="I677" s="207"/>
      <c r="J677" s="207"/>
      <c r="K677" s="207"/>
      <c r="L677" s="207"/>
      <c r="M677" s="207"/>
      <c r="N677" s="207"/>
      <c r="O677" s="207"/>
      <c r="P677" s="207"/>
      <c r="Q677" s="207"/>
      <c r="R677" s="207"/>
      <c r="S677" s="207"/>
      <c r="T677" s="207"/>
      <c r="U677" s="207"/>
      <c r="V677" s="207"/>
      <c r="W677" s="208"/>
      <c r="X677" s="208"/>
      <c r="Y677" s="208"/>
      <c r="Z677" s="208"/>
      <c r="AA677" s="208"/>
      <c r="AB677" s="208"/>
      <c r="AC677" s="208"/>
      <c r="AD677" s="208"/>
      <c r="AE677" s="208"/>
      <c r="AF677" s="208"/>
      <c r="AG677" s="208"/>
      <c r="AH677" s="208"/>
      <c r="AI677" s="100"/>
      <c r="AJ677" s="100"/>
      <c r="AK677" s="100"/>
      <c r="AL677" s="100"/>
      <c r="AM677" s="100"/>
    </row>
    <row r="678" ht="14.25" customHeight="1">
      <c r="A678" s="100"/>
      <c r="B678" s="100"/>
      <c r="C678" s="100"/>
      <c r="D678" s="100"/>
      <c r="E678" s="100"/>
      <c r="F678" s="206"/>
      <c r="G678" s="206"/>
      <c r="H678" s="207"/>
      <c r="I678" s="207"/>
      <c r="J678" s="207"/>
      <c r="K678" s="207"/>
      <c r="L678" s="207"/>
      <c r="M678" s="207"/>
      <c r="N678" s="207"/>
      <c r="O678" s="207"/>
      <c r="P678" s="207"/>
      <c r="Q678" s="207"/>
      <c r="R678" s="207"/>
      <c r="S678" s="207"/>
      <c r="T678" s="207"/>
      <c r="U678" s="207"/>
      <c r="V678" s="207"/>
      <c r="W678" s="208"/>
      <c r="X678" s="208"/>
      <c r="Y678" s="208"/>
      <c r="Z678" s="208"/>
      <c r="AA678" s="208"/>
      <c r="AB678" s="208"/>
      <c r="AC678" s="208"/>
      <c r="AD678" s="208"/>
      <c r="AE678" s="208"/>
      <c r="AF678" s="208"/>
      <c r="AG678" s="208"/>
      <c r="AH678" s="208"/>
      <c r="AI678" s="100"/>
      <c r="AJ678" s="100"/>
      <c r="AK678" s="100"/>
      <c r="AL678" s="100"/>
      <c r="AM678" s="100"/>
    </row>
    <row r="679" ht="14.25" customHeight="1">
      <c r="A679" s="100"/>
      <c r="B679" s="100"/>
      <c r="C679" s="100"/>
      <c r="D679" s="100"/>
      <c r="E679" s="100"/>
      <c r="F679" s="206"/>
      <c r="G679" s="206"/>
      <c r="H679" s="207"/>
      <c r="I679" s="207"/>
      <c r="J679" s="207"/>
      <c r="K679" s="207"/>
      <c r="L679" s="207"/>
      <c r="M679" s="207"/>
      <c r="N679" s="207"/>
      <c r="O679" s="207"/>
      <c r="P679" s="207"/>
      <c r="Q679" s="207"/>
      <c r="R679" s="207"/>
      <c r="S679" s="207"/>
      <c r="T679" s="207"/>
      <c r="U679" s="207"/>
      <c r="V679" s="207"/>
      <c r="W679" s="208"/>
      <c r="X679" s="208"/>
      <c r="Y679" s="208"/>
      <c r="Z679" s="208"/>
      <c r="AA679" s="208"/>
      <c r="AB679" s="208"/>
      <c r="AC679" s="208"/>
      <c r="AD679" s="208"/>
      <c r="AE679" s="208"/>
      <c r="AF679" s="208"/>
      <c r="AG679" s="208"/>
      <c r="AH679" s="208"/>
      <c r="AI679" s="100"/>
      <c r="AJ679" s="100"/>
      <c r="AK679" s="100"/>
      <c r="AL679" s="100"/>
      <c r="AM679" s="100"/>
    </row>
    <row r="680" ht="14.25" customHeight="1">
      <c r="A680" s="100"/>
      <c r="B680" s="100"/>
      <c r="C680" s="100"/>
      <c r="D680" s="100"/>
      <c r="E680" s="100"/>
      <c r="F680" s="206"/>
      <c r="G680" s="206"/>
      <c r="H680" s="207"/>
      <c r="I680" s="207"/>
      <c r="J680" s="207"/>
      <c r="K680" s="207"/>
      <c r="L680" s="207"/>
      <c r="M680" s="207"/>
      <c r="N680" s="207"/>
      <c r="O680" s="207"/>
      <c r="P680" s="207"/>
      <c r="Q680" s="207"/>
      <c r="R680" s="207"/>
      <c r="S680" s="207"/>
      <c r="T680" s="207"/>
      <c r="U680" s="207"/>
      <c r="V680" s="207"/>
      <c r="W680" s="208"/>
      <c r="X680" s="208"/>
      <c r="Y680" s="208"/>
      <c r="Z680" s="208"/>
      <c r="AA680" s="208"/>
      <c r="AB680" s="208"/>
      <c r="AC680" s="208"/>
      <c r="AD680" s="208"/>
      <c r="AE680" s="208"/>
      <c r="AF680" s="208"/>
      <c r="AG680" s="208"/>
      <c r="AH680" s="208"/>
      <c r="AI680" s="100"/>
      <c r="AJ680" s="100"/>
      <c r="AK680" s="100"/>
      <c r="AL680" s="100"/>
      <c r="AM680" s="100"/>
    </row>
    <row r="681" ht="14.25" customHeight="1">
      <c r="A681" s="100"/>
      <c r="B681" s="100"/>
      <c r="C681" s="100"/>
      <c r="D681" s="100"/>
      <c r="E681" s="100"/>
      <c r="F681" s="206"/>
      <c r="G681" s="206"/>
      <c r="H681" s="207"/>
      <c r="I681" s="207"/>
      <c r="J681" s="207"/>
      <c r="K681" s="207"/>
      <c r="L681" s="207"/>
      <c r="M681" s="207"/>
      <c r="N681" s="207"/>
      <c r="O681" s="207"/>
      <c r="P681" s="207"/>
      <c r="Q681" s="207"/>
      <c r="R681" s="207"/>
      <c r="S681" s="207"/>
      <c r="T681" s="207"/>
      <c r="U681" s="207"/>
      <c r="V681" s="207"/>
      <c r="W681" s="208"/>
      <c r="X681" s="208"/>
      <c r="Y681" s="208"/>
      <c r="Z681" s="208"/>
      <c r="AA681" s="208"/>
      <c r="AB681" s="208"/>
      <c r="AC681" s="208"/>
      <c r="AD681" s="208"/>
      <c r="AE681" s="208"/>
      <c r="AF681" s="208"/>
      <c r="AG681" s="208"/>
      <c r="AH681" s="208"/>
      <c r="AI681" s="100"/>
      <c r="AJ681" s="100"/>
      <c r="AK681" s="100"/>
      <c r="AL681" s="100"/>
      <c r="AM681" s="100"/>
    </row>
    <row r="682" ht="14.25" customHeight="1">
      <c r="A682" s="100"/>
      <c r="B682" s="100"/>
      <c r="C682" s="100"/>
      <c r="D682" s="100"/>
      <c r="E682" s="100"/>
      <c r="F682" s="206"/>
      <c r="G682" s="206"/>
      <c r="H682" s="207"/>
      <c r="I682" s="207"/>
      <c r="J682" s="207"/>
      <c r="K682" s="207"/>
      <c r="L682" s="207"/>
      <c r="M682" s="207"/>
      <c r="N682" s="207"/>
      <c r="O682" s="207"/>
      <c r="P682" s="207"/>
      <c r="Q682" s="207"/>
      <c r="R682" s="207"/>
      <c r="S682" s="207"/>
      <c r="T682" s="207"/>
      <c r="U682" s="207"/>
      <c r="V682" s="207"/>
      <c r="W682" s="208"/>
      <c r="X682" s="208"/>
      <c r="Y682" s="208"/>
      <c r="Z682" s="208"/>
      <c r="AA682" s="208"/>
      <c r="AB682" s="208"/>
      <c r="AC682" s="208"/>
      <c r="AD682" s="208"/>
      <c r="AE682" s="208"/>
      <c r="AF682" s="208"/>
      <c r="AG682" s="208"/>
      <c r="AH682" s="208"/>
      <c r="AI682" s="100"/>
      <c r="AJ682" s="100"/>
      <c r="AK682" s="100"/>
      <c r="AL682" s="100"/>
      <c r="AM682" s="100"/>
    </row>
    <row r="683" ht="14.25" customHeight="1">
      <c r="A683" s="100"/>
      <c r="B683" s="100"/>
      <c r="C683" s="100"/>
      <c r="D683" s="100"/>
      <c r="E683" s="100"/>
      <c r="F683" s="206"/>
      <c r="G683" s="206"/>
      <c r="H683" s="207"/>
      <c r="I683" s="207"/>
      <c r="J683" s="207"/>
      <c r="K683" s="207"/>
      <c r="L683" s="207"/>
      <c r="M683" s="207"/>
      <c r="N683" s="207"/>
      <c r="O683" s="207"/>
      <c r="P683" s="207"/>
      <c r="Q683" s="207"/>
      <c r="R683" s="207"/>
      <c r="S683" s="207"/>
      <c r="T683" s="207"/>
      <c r="U683" s="207"/>
      <c r="V683" s="207"/>
      <c r="W683" s="208"/>
      <c r="X683" s="208"/>
      <c r="Y683" s="208"/>
      <c r="Z683" s="208"/>
      <c r="AA683" s="208"/>
      <c r="AB683" s="208"/>
      <c r="AC683" s="208"/>
      <c r="AD683" s="208"/>
      <c r="AE683" s="208"/>
      <c r="AF683" s="208"/>
      <c r="AG683" s="208"/>
      <c r="AH683" s="208"/>
      <c r="AI683" s="100"/>
      <c r="AJ683" s="100"/>
      <c r="AK683" s="100"/>
      <c r="AL683" s="100"/>
      <c r="AM683" s="100"/>
    </row>
    <row r="684" ht="14.25" customHeight="1">
      <c r="A684" s="100"/>
      <c r="B684" s="100"/>
      <c r="C684" s="100"/>
      <c r="D684" s="100"/>
      <c r="E684" s="100"/>
      <c r="F684" s="206"/>
      <c r="G684" s="206"/>
      <c r="H684" s="207"/>
      <c r="I684" s="207"/>
      <c r="J684" s="207"/>
      <c r="K684" s="207"/>
      <c r="L684" s="207"/>
      <c r="M684" s="207"/>
      <c r="N684" s="207"/>
      <c r="O684" s="207"/>
      <c r="P684" s="207"/>
      <c r="Q684" s="207"/>
      <c r="R684" s="207"/>
      <c r="S684" s="207"/>
      <c r="T684" s="207"/>
      <c r="U684" s="207"/>
      <c r="V684" s="207"/>
      <c r="W684" s="208"/>
      <c r="X684" s="208"/>
      <c r="Y684" s="208"/>
      <c r="Z684" s="208"/>
      <c r="AA684" s="208"/>
      <c r="AB684" s="208"/>
      <c r="AC684" s="208"/>
      <c r="AD684" s="208"/>
      <c r="AE684" s="208"/>
      <c r="AF684" s="208"/>
      <c r="AG684" s="208"/>
      <c r="AH684" s="208"/>
      <c r="AI684" s="100"/>
      <c r="AJ684" s="100"/>
      <c r="AK684" s="100"/>
      <c r="AL684" s="100"/>
      <c r="AM684" s="100"/>
    </row>
    <row r="685" ht="14.25" customHeight="1">
      <c r="A685" s="100"/>
      <c r="B685" s="100"/>
      <c r="C685" s="100"/>
      <c r="D685" s="100"/>
      <c r="E685" s="100"/>
      <c r="F685" s="206"/>
      <c r="G685" s="206"/>
      <c r="H685" s="207"/>
      <c r="I685" s="207"/>
      <c r="J685" s="207"/>
      <c r="K685" s="207"/>
      <c r="L685" s="207"/>
      <c r="M685" s="207"/>
      <c r="N685" s="207"/>
      <c r="O685" s="207"/>
      <c r="P685" s="207"/>
      <c r="Q685" s="207"/>
      <c r="R685" s="207"/>
      <c r="S685" s="207"/>
      <c r="T685" s="207"/>
      <c r="U685" s="207"/>
      <c r="V685" s="207"/>
      <c r="W685" s="208"/>
      <c r="X685" s="208"/>
      <c r="Y685" s="208"/>
      <c r="Z685" s="208"/>
      <c r="AA685" s="208"/>
      <c r="AB685" s="208"/>
      <c r="AC685" s="208"/>
      <c r="AD685" s="208"/>
      <c r="AE685" s="208"/>
      <c r="AF685" s="208"/>
      <c r="AG685" s="208"/>
      <c r="AH685" s="208"/>
      <c r="AI685" s="100"/>
      <c r="AJ685" s="100"/>
      <c r="AK685" s="100"/>
      <c r="AL685" s="100"/>
      <c r="AM685" s="100"/>
    </row>
    <row r="686" ht="14.25" customHeight="1">
      <c r="A686" s="100"/>
      <c r="B686" s="100"/>
      <c r="C686" s="100"/>
      <c r="D686" s="100"/>
      <c r="E686" s="100"/>
      <c r="F686" s="206"/>
      <c r="G686" s="206"/>
      <c r="H686" s="207"/>
      <c r="I686" s="207"/>
      <c r="J686" s="207"/>
      <c r="K686" s="207"/>
      <c r="L686" s="207"/>
      <c r="M686" s="207"/>
      <c r="N686" s="207"/>
      <c r="O686" s="207"/>
      <c r="P686" s="207"/>
      <c r="Q686" s="207"/>
      <c r="R686" s="207"/>
      <c r="S686" s="207"/>
      <c r="T686" s="207"/>
      <c r="U686" s="207"/>
      <c r="V686" s="207"/>
      <c r="W686" s="208"/>
      <c r="X686" s="208"/>
      <c r="Y686" s="208"/>
      <c r="Z686" s="208"/>
      <c r="AA686" s="208"/>
      <c r="AB686" s="208"/>
      <c r="AC686" s="208"/>
      <c r="AD686" s="208"/>
      <c r="AE686" s="208"/>
      <c r="AF686" s="208"/>
      <c r="AG686" s="208"/>
      <c r="AH686" s="208"/>
      <c r="AI686" s="100"/>
      <c r="AJ686" s="100"/>
      <c r="AK686" s="100"/>
      <c r="AL686" s="100"/>
      <c r="AM686" s="100"/>
    </row>
    <row r="687" ht="14.25" customHeight="1">
      <c r="A687" s="100"/>
      <c r="B687" s="100"/>
      <c r="C687" s="100"/>
      <c r="D687" s="100"/>
      <c r="E687" s="100"/>
      <c r="F687" s="206"/>
      <c r="G687" s="206"/>
      <c r="H687" s="207"/>
      <c r="I687" s="207"/>
      <c r="J687" s="207"/>
      <c r="K687" s="207"/>
      <c r="L687" s="207"/>
      <c r="M687" s="207"/>
      <c r="N687" s="207"/>
      <c r="O687" s="207"/>
      <c r="P687" s="207"/>
      <c r="Q687" s="207"/>
      <c r="R687" s="207"/>
      <c r="S687" s="207"/>
      <c r="T687" s="207"/>
      <c r="U687" s="207"/>
      <c r="V687" s="207"/>
      <c r="W687" s="208"/>
      <c r="X687" s="208"/>
      <c r="Y687" s="208"/>
      <c r="Z687" s="208"/>
      <c r="AA687" s="208"/>
      <c r="AB687" s="208"/>
      <c r="AC687" s="208"/>
      <c r="AD687" s="208"/>
      <c r="AE687" s="208"/>
      <c r="AF687" s="208"/>
      <c r="AG687" s="208"/>
      <c r="AH687" s="208"/>
      <c r="AI687" s="100"/>
      <c r="AJ687" s="100"/>
      <c r="AK687" s="100"/>
      <c r="AL687" s="100"/>
      <c r="AM687" s="100"/>
    </row>
    <row r="688" ht="14.25" customHeight="1">
      <c r="A688" s="100"/>
      <c r="B688" s="100"/>
      <c r="C688" s="100"/>
      <c r="D688" s="100"/>
      <c r="E688" s="100"/>
      <c r="F688" s="206"/>
      <c r="G688" s="206"/>
      <c r="H688" s="207"/>
      <c r="I688" s="207"/>
      <c r="J688" s="207"/>
      <c r="K688" s="207"/>
      <c r="L688" s="207"/>
      <c r="M688" s="207"/>
      <c r="N688" s="207"/>
      <c r="O688" s="207"/>
      <c r="P688" s="207"/>
      <c r="Q688" s="207"/>
      <c r="R688" s="207"/>
      <c r="S688" s="207"/>
      <c r="T688" s="207"/>
      <c r="U688" s="207"/>
      <c r="V688" s="207"/>
      <c r="W688" s="208"/>
      <c r="X688" s="208"/>
      <c r="Y688" s="208"/>
      <c r="Z688" s="208"/>
      <c r="AA688" s="208"/>
      <c r="AB688" s="208"/>
      <c r="AC688" s="208"/>
      <c r="AD688" s="208"/>
      <c r="AE688" s="208"/>
      <c r="AF688" s="208"/>
      <c r="AG688" s="208"/>
      <c r="AH688" s="208"/>
      <c r="AI688" s="100"/>
      <c r="AJ688" s="100"/>
      <c r="AK688" s="100"/>
      <c r="AL688" s="100"/>
      <c r="AM688" s="100"/>
    </row>
    <row r="689" ht="14.25" customHeight="1">
      <c r="A689" s="100"/>
      <c r="B689" s="100"/>
      <c r="C689" s="100"/>
      <c r="D689" s="100"/>
      <c r="E689" s="100"/>
      <c r="F689" s="206"/>
      <c r="G689" s="206"/>
      <c r="H689" s="207"/>
      <c r="I689" s="207"/>
      <c r="J689" s="207"/>
      <c r="K689" s="207"/>
      <c r="L689" s="207"/>
      <c r="M689" s="207"/>
      <c r="N689" s="207"/>
      <c r="O689" s="207"/>
      <c r="P689" s="207"/>
      <c r="Q689" s="207"/>
      <c r="R689" s="207"/>
      <c r="S689" s="207"/>
      <c r="T689" s="207"/>
      <c r="U689" s="207"/>
      <c r="V689" s="207"/>
      <c r="W689" s="208"/>
      <c r="X689" s="208"/>
      <c r="Y689" s="208"/>
      <c r="Z689" s="208"/>
      <c r="AA689" s="208"/>
      <c r="AB689" s="208"/>
      <c r="AC689" s="208"/>
      <c r="AD689" s="208"/>
      <c r="AE689" s="208"/>
      <c r="AF689" s="208"/>
      <c r="AG689" s="208"/>
      <c r="AH689" s="208"/>
      <c r="AI689" s="100"/>
      <c r="AJ689" s="100"/>
      <c r="AK689" s="100"/>
      <c r="AL689" s="100"/>
      <c r="AM689" s="100"/>
    </row>
    <row r="690" ht="14.25" customHeight="1">
      <c r="A690" s="100"/>
      <c r="B690" s="100"/>
      <c r="C690" s="100"/>
      <c r="D690" s="100"/>
      <c r="E690" s="100"/>
      <c r="F690" s="206"/>
      <c r="G690" s="206"/>
      <c r="H690" s="207"/>
      <c r="I690" s="207"/>
      <c r="J690" s="207"/>
      <c r="K690" s="207"/>
      <c r="L690" s="207"/>
      <c r="M690" s="207"/>
      <c r="N690" s="207"/>
      <c r="O690" s="207"/>
      <c r="P690" s="207"/>
      <c r="Q690" s="207"/>
      <c r="R690" s="207"/>
      <c r="S690" s="207"/>
      <c r="T690" s="207"/>
      <c r="U690" s="207"/>
      <c r="V690" s="207"/>
      <c r="W690" s="208"/>
      <c r="X690" s="208"/>
      <c r="Y690" s="208"/>
      <c r="Z690" s="208"/>
      <c r="AA690" s="208"/>
      <c r="AB690" s="208"/>
      <c r="AC690" s="208"/>
      <c r="AD690" s="208"/>
      <c r="AE690" s="208"/>
      <c r="AF690" s="208"/>
      <c r="AG690" s="208"/>
      <c r="AH690" s="208"/>
      <c r="AI690" s="100"/>
      <c r="AJ690" s="100"/>
      <c r="AK690" s="100"/>
      <c r="AL690" s="100"/>
      <c r="AM690" s="100"/>
    </row>
    <row r="691" ht="14.25" customHeight="1">
      <c r="A691" s="100"/>
      <c r="B691" s="100"/>
      <c r="C691" s="100"/>
      <c r="D691" s="100"/>
      <c r="E691" s="100"/>
      <c r="F691" s="206"/>
      <c r="G691" s="206"/>
      <c r="H691" s="207"/>
      <c r="I691" s="207"/>
      <c r="J691" s="207"/>
      <c r="K691" s="207"/>
      <c r="L691" s="207"/>
      <c r="M691" s="207"/>
      <c r="N691" s="207"/>
      <c r="O691" s="207"/>
      <c r="P691" s="207"/>
      <c r="Q691" s="207"/>
      <c r="R691" s="207"/>
      <c r="S691" s="207"/>
      <c r="T691" s="207"/>
      <c r="U691" s="207"/>
      <c r="V691" s="207"/>
      <c r="W691" s="208"/>
      <c r="X691" s="208"/>
      <c r="Y691" s="208"/>
      <c r="Z691" s="208"/>
      <c r="AA691" s="208"/>
      <c r="AB691" s="208"/>
      <c r="AC691" s="208"/>
      <c r="AD691" s="208"/>
      <c r="AE691" s="208"/>
      <c r="AF691" s="208"/>
      <c r="AG691" s="208"/>
      <c r="AH691" s="208"/>
      <c r="AI691" s="100"/>
      <c r="AJ691" s="100"/>
      <c r="AK691" s="100"/>
      <c r="AL691" s="100"/>
      <c r="AM691" s="100"/>
    </row>
    <row r="692" ht="14.25" customHeight="1">
      <c r="A692" s="100"/>
      <c r="B692" s="100"/>
      <c r="C692" s="100"/>
      <c r="D692" s="100"/>
      <c r="E692" s="100"/>
      <c r="F692" s="206"/>
      <c r="G692" s="206"/>
      <c r="H692" s="207"/>
      <c r="I692" s="207"/>
      <c r="J692" s="207"/>
      <c r="K692" s="207"/>
      <c r="L692" s="207"/>
      <c r="M692" s="207"/>
      <c r="N692" s="207"/>
      <c r="O692" s="207"/>
      <c r="P692" s="207"/>
      <c r="Q692" s="207"/>
      <c r="R692" s="207"/>
      <c r="S692" s="207"/>
      <c r="T692" s="207"/>
      <c r="U692" s="207"/>
      <c r="V692" s="207"/>
      <c r="W692" s="208"/>
      <c r="X692" s="208"/>
      <c r="Y692" s="208"/>
      <c r="Z692" s="208"/>
      <c r="AA692" s="208"/>
      <c r="AB692" s="208"/>
      <c r="AC692" s="208"/>
      <c r="AD692" s="208"/>
      <c r="AE692" s="208"/>
      <c r="AF692" s="208"/>
      <c r="AG692" s="208"/>
      <c r="AH692" s="208"/>
      <c r="AI692" s="100"/>
      <c r="AJ692" s="100"/>
      <c r="AK692" s="100"/>
      <c r="AL692" s="100"/>
      <c r="AM692" s="100"/>
    </row>
    <row r="693" ht="14.25" customHeight="1">
      <c r="A693" s="100"/>
      <c r="B693" s="100"/>
      <c r="C693" s="100"/>
      <c r="D693" s="100"/>
      <c r="E693" s="100"/>
      <c r="F693" s="206"/>
      <c r="G693" s="206"/>
      <c r="H693" s="207"/>
      <c r="I693" s="207"/>
      <c r="J693" s="207"/>
      <c r="K693" s="207"/>
      <c r="L693" s="207"/>
      <c r="M693" s="207"/>
      <c r="N693" s="207"/>
      <c r="O693" s="207"/>
      <c r="P693" s="207"/>
      <c r="Q693" s="207"/>
      <c r="R693" s="207"/>
      <c r="S693" s="207"/>
      <c r="T693" s="207"/>
      <c r="U693" s="207"/>
      <c r="V693" s="207"/>
      <c r="W693" s="208"/>
      <c r="X693" s="208"/>
      <c r="Y693" s="208"/>
      <c r="Z693" s="208"/>
      <c r="AA693" s="208"/>
      <c r="AB693" s="208"/>
      <c r="AC693" s="208"/>
      <c r="AD693" s="208"/>
      <c r="AE693" s="208"/>
      <c r="AF693" s="208"/>
      <c r="AG693" s="208"/>
      <c r="AH693" s="208"/>
      <c r="AI693" s="100"/>
      <c r="AJ693" s="100"/>
      <c r="AK693" s="100"/>
      <c r="AL693" s="100"/>
      <c r="AM693" s="100"/>
    </row>
    <row r="694" ht="14.25" customHeight="1">
      <c r="A694" s="100"/>
      <c r="B694" s="100"/>
      <c r="C694" s="100"/>
      <c r="D694" s="100"/>
      <c r="E694" s="100"/>
      <c r="F694" s="206"/>
      <c r="G694" s="206"/>
      <c r="H694" s="207"/>
      <c r="I694" s="207"/>
      <c r="J694" s="207"/>
      <c r="K694" s="207"/>
      <c r="L694" s="207"/>
      <c r="M694" s="207"/>
      <c r="N694" s="207"/>
      <c r="O694" s="207"/>
      <c r="P694" s="207"/>
      <c r="Q694" s="207"/>
      <c r="R694" s="207"/>
      <c r="S694" s="207"/>
      <c r="T694" s="207"/>
      <c r="U694" s="207"/>
      <c r="V694" s="207"/>
      <c r="W694" s="208"/>
      <c r="X694" s="208"/>
      <c r="Y694" s="208"/>
      <c r="Z694" s="208"/>
      <c r="AA694" s="208"/>
      <c r="AB694" s="208"/>
      <c r="AC694" s="208"/>
      <c r="AD694" s="208"/>
      <c r="AE694" s="208"/>
      <c r="AF694" s="208"/>
      <c r="AG694" s="208"/>
      <c r="AH694" s="208"/>
      <c r="AI694" s="100"/>
      <c r="AJ694" s="100"/>
      <c r="AK694" s="100"/>
      <c r="AL694" s="100"/>
      <c r="AM694" s="100"/>
    </row>
    <row r="695" ht="14.25" customHeight="1">
      <c r="A695" s="100"/>
      <c r="B695" s="100"/>
      <c r="C695" s="100"/>
      <c r="D695" s="100"/>
      <c r="E695" s="100"/>
      <c r="F695" s="206"/>
      <c r="G695" s="206"/>
      <c r="H695" s="207"/>
      <c r="I695" s="207"/>
      <c r="J695" s="207"/>
      <c r="K695" s="207"/>
      <c r="L695" s="207"/>
      <c r="M695" s="207"/>
      <c r="N695" s="207"/>
      <c r="O695" s="207"/>
      <c r="P695" s="207"/>
      <c r="Q695" s="207"/>
      <c r="R695" s="207"/>
      <c r="S695" s="207"/>
      <c r="T695" s="207"/>
      <c r="U695" s="207"/>
      <c r="V695" s="207"/>
      <c r="W695" s="208"/>
      <c r="X695" s="208"/>
      <c r="Y695" s="208"/>
      <c r="Z695" s="208"/>
      <c r="AA695" s="208"/>
      <c r="AB695" s="208"/>
      <c r="AC695" s="208"/>
      <c r="AD695" s="208"/>
      <c r="AE695" s="208"/>
      <c r="AF695" s="208"/>
      <c r="AG695" s="208"/>
      <c r="AH695" s="208"/>
      <c r="AI695" s="100"/>
      <c r="AJ695" s="100"/>
      <c r="AK695" s="100"/>
      <c r="AL695" s="100"/>
      <c r="AM695" s="100"/>
    </row>
    <row r="696" ht="14.25" customHeight="1">
      <c r="A696" s="100"/>
      <c r="B696" s="100"/>
      <c r="C696" s="100"/>
      <c r="D696" s="100"/>
      <c r="E696" s="100"/>
      <c r="F696" s="206"/>
      <c r="G696" s="206"/>
      <c r="H696" s="207"/>
      <c r="I696" s="207"/>
      <c r="J696" s="207"/>
      <c r="K696" s="207"/>
      <c r="L696" s="207"/>
      <c r="M696" s="207"/>
      <c r="N696" s="207"/>
      <c r="O696" s="207"/>
      <c r="P696" s="207"/>
      <c r="Q696" s="207"/>
      <c r="R696" s="207"/>
      <c r="S696" s="207"/>
      <c r="T696" s="207"/>
      <c r="U696" s="207"/>
      <c r="V696" s="207"/>
      <c r="W696" s="208"/>
      <c r="X696" s="208"/>
      <c r="Y696" s="208"/>
      <c r="Z696" s="208"/>
      <c r="AA696" s="208"/>
      <c r="AB696" s="208"/>
      <c r="AC696" s="208"/>
      <c r="AD696" s="208"/>
      <c r="AE696" s="208"/>
      <c r="AF696" s="208"/>
      <c r="AG696" s="208"/>
      <c r="AH696" s="208"/>
      <c r="AI696" s="100"/>
      <c r="AJ696" s="100"/>
      <c r="AK696" s="100"/>
      <c r="AL696" s="100"/>
      <c r="AM696" s="100"/>
    </row>
    <row r="697" ht="14.25" customHeight="1">
      <c r="A697" s="100"/>
      <c r="B697" s="100"/>
      <c r="C697" s="100"/>
      <c r="D697" s="100"/>
      <c r="E697" s="100"/>
      <c r="F697" s="206"/>
      <c r="G697" s="206"/>
      <c r="H697" s="207"/>
      <c r="I697" s="207"/>
      <c r="J697" s="207"/>
      <c r="K697" s="207"/>
      <c r="L697" s="207"/>
      <c r="M697" s="207"/>
      <c r="N697" s="207"/>
      <c r="O697" s="207"/>
      <c r="P697" s="207"/>
      <c r="Q697" s="207"/>
      <c r="R697" s="207"/>
      <c r="S697" s="207"/>
      <c r="T697" s="207"/>
      <c r="U697" s="207"/>
      <c r="V697" s="207"/>
      <c r="W697" s="208"/>
      <c r="X697" s="208"/>
      <c r="Y697" s="208"/>
      <c r="Z697" s="208"/>
      <c r="AA697" s="208"/>
      <c r="AB697" s="208"/>
      <c r="AC697" s="208"/>
      <c r="AD697" s="208"/>
      <c r="AE697" s="208"/>
      <c r="AF697" s="208"/>
      <c r="AG697" s="208"/>
      <c r="AH697" s="208"/>
      <c r="AI697" s="100"/>
      <c r="AJ697" s="100"/>
      <c r="AK697" s="100"/>
      <c r="AL697" s="100"/>
      <c r="AM697" s="100"/>
    </row>
    <row r="698" ht="14.25" customHeight="1">
      <c r="A698" s="100"/>
      <c r="B698" s="100"/>
      <c r="C698" s="100"/>
      <c r="D698" s="100"/>
      <c r="E698" s="100"/>
      <c r="F698" s="206"/>
      <c r="G698" s="206"/>
      <c r="H698" s="207"/>
      <c r="I698" s="207"/>
      <c r="J698" s="207"/>
      <c r="K698" s="207"/>
      <c r="L698" s="207"/>
      <c r="M698" s="207"/>
      <c r="N698" s="207"/>
      <c r="O698" s="207"/>
      <c r="P698" s="207"/>
      <c r="Q698" s="207"/>
      <c r="R698" s="207"/>
      <c r="S698" s="207"/>
      <c r="T698" s="207"/>
      <c r="U698" s="207"/>
      <c r="V698" s="207"/>
      <c r="W698" s="208"/>
      <c r="X698" s="208"/>
      <c r="Y698" s="208"/>
      <c r="Z698" s="208"/>
      <c r="AA698" s="208"/>
      <c r="AB698" s="208"/>
      <c r="AC698" s="208"/>
      <c r="AD698" s="208"/>
      <c r="AE698" s="208"/>
      <c r="AF698" s="208"/>
      <c r="AG698" s="208"/>
      <c r="AH698" s="208"/>
      <c r="AI698" s="100"/>
      <c r="AJ698" s="100"/>
      <c r="AK698" s="100"/>
      <c r="AL698" s="100"/>
      <c r="AM698" s="100"/>
    </row>
    <row r="699" ht="14.25" customHeight="1">
      <c r="A699" s="100"/>
      <c r="B699" s="100"/>
      <c r="C699" s="100"/>
      <c r="D699" s="100"/>
      <c r="E699" s="100"/>
      <c r="F699" s="206"/>
      <c r="G699" s="206"/>
      <c r="H699" s="207"/>
      <c r="I699" s="207"/>
      <c r="J699" s="207"/>
      <c r="K699" s="207"/>
      <c r="L699" s="207"/>
      <c r="M699" s="207"/>
      <c r="N699" s="207"/>
      <c r="O699" s="207"/>
      <c r="P699" s="207"/>
      <c r="Q699" s="207"/>
      <c r="R699" s="207"/>
      <c r="S699" s="207"/>
      <c r="T699" s="207"/>
      <c r="U699" s="207"/>
      <c r="V699" s="207"/>
      <c r="W699" s="208"/>
      <c r="X699" s="208"/>
      <c r="Y699" s="208"/>
      <c r="Z699" s="208"/>
      <c r="AA699" s="208"/>
      <c r="AB699" s="208"/>
      <c r="AC699" s="208"/>
      <c r="AD699" s="208"/>
      <c r="AE699" s="208"/>
      <c r="AF699" s="208"/>
      <c r="AG699" s="208"/>
      <c r="AH699" s="208"/>
      <c r="AI699" s="100"/>
      <c r="AJ699" s="100"/>
      <c r="AK699" s="100"/>
      <c r="AL699" s="100"/>
      <c r="AM699" s="100"/>
    </row>
    <row r="700" ht="14.25" customHeight="1">
      <c r="A700" s="100"/>
      <c r="B700" s="100"/>
      <c r="C700" s="100"/>
      <c r="D700" s="100"/>
      <c r="E700" s="100"/>
      <c r="F700" s="206"/>
      <c r="G700" s="206"/>
      <c r="H700" s="207"/>
      <c r="I700" s="207"/>
      <c r="J700" s="207"/>
      <c r="K700" s="207"/>
      <c r="L700" s="207"/>
      <c r="M700" s="207"/>
      <c r="N700" s="207"/>
      <c r="O700" s="207"/>
      <c r="P700" s="207"/>
      <c r="Q700" s="207"/>
      <c r="R700" s="207"/>
      <c r="S700" s="207"/>
      <c r="T700" s="207"/>
      <c r="U700" s="207"/>
      <c r="V700" s="207"/>
      <c r="W700" s="208"/>
      <c r="X700" s="208"/>
      <c r="Y700" s="208"/>
      <c r="Z700" s="208"/>
      <c r="AA700" s="208"/>
      <c r="AB700" s="208"/>
      <c r="AC700" s="208"/>
      <c r="AD700" s="208"/>
      <c r="AE700" s="208"/>
      <c r="AF700" s="208"/>
      <c r="AG700" s="208"/>
      <c r="AH700" s="208"/>
      <c r="AI700" s="100"/>
      <c r="AJ700" s="100"/>
      <c r="AK700" s="100"/>
      <c r="AL700" s="100"/>
      <c r="AM700" s="100"/>
    </row>
    <row r="701" ht="14.25" customHeight="1">
      <c r="A701" s="100"/>
      <c r="B701" s="100"/>
      <c r="C701" s="100"/>
      <c r="D701" s="100"/>
      <c r="E701" s="100"/>
      <c r="F701" s="206"/>
      <c r="G701" s="206"/>
      <c r="H701" s="207"/>
      <c r="I701" s="207"/>
      <c r="J701" s="207"/>
      <c r="K701" s="207"/>
      <c r="L701" s="207"/>
      <c r="M701" s="207"/>
      <c r="N701" s="207"/>
      <c r="O701" s="207"/>
      <c r="P701" s="207"/>
      <c r="Q701" s="207"/>
      <c r="R701" s="207"/>
      <c r="S701" s="207"/>
      <c r="T701" s="207"/>
      <c r="U701" s="207"/>
      <c r="V701" s="207"/>
      <c r="W701" s="208"/>
      <c r="X701" s="208"/>
      <c r="Y701" s="208"/>
      <c r="Z701" s="208"/>
      <c r="AA701" s="208"/>
      <c r="AB701" s="208"/>
      <c r="AC701" s="208"/>
      <c r="AD701" s="208"/>
      <c r="AE701" s="208"/>
      <c r="AF701" s="208"/>
      <c r="AG701" s="208"/>
      <c r="AH701" s="208"/>
      <c r="AI701" s="100"/>
      <c r="AJ701" s="100"/>
      <c r="AK701" s="100"/>
      <c r="AL701" s="100"/>
      <c r="AM701" s="100"/>
    </row>
    <row r="702" ht="14.25" customHeight="1">
      <c r="A702" s="100"/>
      <c r="B702" s="100"/>
      <c r="C702" s="100"/>
      <c r="D702" s="100"/>
      <c r="E702" s="100"/>
      <c r="F702" s="206"/>
      <c r="G702" s="206"/>
      <c r="H702" s="207"/>
      <c r="I702" s="207"/>
      <c r="J702" s="207"/>
      <c r="K702" s="207"/>
      <c r="L702" s="207"/>
      <c r="M702" s="207"/>
      <c r="N702" s="207"/>
      <c r="O702" s="207"/>
      <c r="P702" s="207"/>
      <c r="Q702" s="207"/>
      <c r="R702" s="207"/>
      <c r="S702" s="207"/>
      <c r="T702" s="207"/>
      <c r="U702" s="207"/>
      <c r="V702" s="207"/>
      <c r="W702" s="208"/>
      <c r="X702" s="208"/>
      <c r="Y702" s="208"/>
      <c r="Z702" s="208"/>
      <c r="AA702" s="208"/>
      <c r="AB702" s="208"/>
      <c r="AC702" s="208"/>
      <c r="AD702" s="208"/>
      <c r="AE702" s="208"/>
      <c r="AF702" s="208"/>
      <c r="AG702" s="208"/>
      <c r="AH702" s="208"/>
      <c r="AI702" s="100"/>
      <c r="AJ702" s="100"/>
      <c r="AK702" s="100"/>
      <c r="AL702" s="100"/>
      <c r="AM702" s="100"/>
    </row>
    <row r="703" ht="14.25" customHeight="1">
      <c r="A703" s="100"/>
      <c r="B703" s="100"/>
      <c r="C703" s="100"/>
      <c r="D703" s="100"/>
      <c r="E703" s="100"/>
      <c r="F703" s="206"/>
      <c r="G703" s="206"/>
      <c r="H703" s="207"/>
      <c r="I703" s="207"/>
      <c r="J703" s="207"/>
      <c r="K703" s="207"/>
      <c r="L703" s="207"/>
      <c r="M703" s="207"/>
      <c r="N703" s="207"/>
      <c r="O703" s="207"/>
      <c r="P703" s="207"/>
      <c r="Q703" s="207"/>
      <c r="R703" s="207"/>
      <c r="S703" s="207"/>
      <c r="T703" s="207"/>
      <c r="U703" s="207"/>
      <c r="V703" s="207"/>
      <c r="W703" s="208"/>
      <c r="X703" s="208"/>
      <c r="Y703" s="208"/>
      <c r="Z703" s="208"/>
      <c r="AA703" s="208"/>
      <c r="AB703" s="208"/>
      <c r="AC703" s="208"/>
      <c r="AD703" s="208"/>
      <c r="AE703" s="208"/>
      <c r="AF703" s="208"/>
      <c r="AG703" s="208"/>
      <c r="AH703" s="208"/>
      <c r="AI703" s="100"/>
      <c r="AJ703" s="100"/>
      <c r="AK703" s="100"/>
      <c r="AL703" s="100"/>
      <c r="AM703" s="100"/>
    </row>
    <row r="704" ht="14.25" customHeight="1">
      <c r="A704" s="100"/>
      <c r="B704" s="100"/>
      <c r="C704" s="100"/>
      <c r="D704" s="100"/>
      <c r="E704" s="100"/>
      <c r="F704" s="206"/>
      <c r="G704" s="206"/>
      <c r="H704" s="207"/>
      <c r="I704" s="207"/>
      <c r="J704" s="207"/>
      <c r="K704" s="207"/>
      <c r="L704" s="207"/>
      <c r="M704" s="207"/>
      <c r="N704" s="207"/>
      <c r="O704" s="207"/>
      <c r="P704" s="207"/>
      <c r="Q704" s="207"/>
      <c r="R704" s="207"/>
      <c r="S704" s="207"/>
      <c r="T704" s="207"/>
      <c r="U704" s="207"/>
      <c r="V704" s="207"/>
      <c r="W704" s="208"/>
      <c r="X704" s="208"/>
      <c r="Y704" s="208"/>
      <c r="Z704" s="208"/>
      <c r="AA704" s="208"/>
      <c r="AB704" s="208"/>
      <c r="AC704" s="208"/>
      <c r="AD704" s="208"/>
      <c r="AE704" s="208"/>
      <c r="AF704" s="208"/>
      <c r="AG704" s="208"/>
      <c r="AH704" s="208"/>
      <c r="AI704" s="100"/>
      <c r="AJ704" s="100"/>
      <c r="AK704" s="100"/>
      <c r="AL704" s="100"/>
      <c r="AM704" s="100"/>
    </row>
    <row r="705" ht="14.25" customHeight="1">
      <c r="A705" s="100"/>
      <c r="B705" s="100"/>
      <c r="C705" s="100"/>
      <c r="D705" s="100"/>
      <c r="E705" s="100"/>
      <c r="F705" s="206"/>
      <c r="G705" s="206"/>
      <c r="H705" s="207"/>
      <c r="I705" s="207"/>
      <c r="J705" s="207"/>
      <c r="K705" s="207"/>
      <c r="L705" s="207"/>
      <c r="M705" s="207"/>
      <c r="N705" s="207"/>
      <c r="O705" s="207"/>
      <c r="P705" s="207"/>
      <c r="Q705" s="207"/>
      <c r="R705" s="207"/>
      <c r="S705" s="207"/>
      <c r="T705" s="207"/>
      <c r="U705" s="207"/>
      <c r="V705" s="207"/>
      <c r="W705" s="208"/>
      <c r="X705" s="208"/>
      <c r="Y705" s="208"/>
      <c r="Z705" s="208"/>
      <c r="AA705" s="208"/>
      <c r="AB705" s="208"/>
      <c r="AC705" s="208"/>
      <c r="AD705" s="208"/>
      <c r="AE705" s="208"/>
      <c r="AF705" s="208"/>
      <c r="AG705" s="208"/>
      <c r="AH705" s="208"/>
      <c r="AI705" s="100"/>
      <c r="AJ705" s="100"/>
      <c r="AK705" s="100"/>
      <c r="AL705" s="100"/>
      <c r="AM705" s="100"/>
    </row>
    <row r="706" ht="14.25" customHeight="1">
      <c r="A706" s="100"/>
      <c r="B706" s="100"/>
      <c r="C706" s="100"/>
      <c r="D706" s="100"/>
      <c r="E706" s="100"/>
      <c r="F706" s="206"/>
      <c r="G706" s="206"/>
      <c r="H706" s="207"/>
      <c r="I706" s="207"/>
      <c r="J706" s="207"/>
      <c r="K706" s="207"/>
      <c r="L706" s="207"/>
      <c r="M706" s="207"/>
      <c r="N706" s="207"/>
      <c r="O706" s="207"/>
      <c r="P706" s="207"/>
      <c r="Q706" s="207"/>
      <c r="R706" s="207"/>
      <c r="S706" s="207"/>
      <c r="T706" s="207"/>
      <c r="U706" s="207"/>
      <c r="V706" s="207"/>
      <c r="W706" s="208"/>
      <c r="X706" s="208"/>
      <c r="Y706" s="208"/>
      <c r="Z706" s="208"/>
      <c r="AA706" s="208"/>
      <c r="AB706" s="208"/>
      <c r="AC706" s="208"/>
      <c r="AD706" s="208"/>
      <c r="AE706" s="208"/>
      <c r="AF706" s="208"/>
      <c r="AG706" s="208"/>
      <c r="AH706" s="208"/>
      <c r="AI706" s="100"/>
      <c r="AJ706" s="100"/>
      <c r="AK706" s="100"/>
      <c r="AL706" s="100"/>
      <c r="AM706" s="100"/>
    </row>
    <row r="707" ht="14.25" customHeight="1">
      <c r="A707" s="100"/>
      <c r="B707" s="100"/>
      <c r="C707" s="100"/>
      <c r="D707" s="100"/>
      <c r="E707" s="100"/>
      <c r="F707" s="206"/>
      <c r="G707" s="206"/>
      <c r="H707" s="207"/>
      <c r="I707" s="207"/>
      <c r="J707" s="207"/>
      <c r="K707" s="207"/>
      <c r="L707" s="207"/>
      <c r="M707" s="207"/>
      <c r="N707" s="207"/>
      <c r="O707" s="207"/>
      <c r="P707" s="207"/>
      <c r="Q707" s="207"/>
      <c r="R707" s="207"/>
      <c r="S707" s="207"/>
      <c r="T707" s="207"/>
      <c r="U707" s="207"/>
      <c r="V707" s="207"/>
      <c r="W707" s="208"/>
      <c r="X707" s="208"/>
      <c r="Y707" s="208"/>
      <c r="Z707" s="208"/>
      <c r="AA707" s="208"/>
      <c r="AB707" s="208"/>
      <c r="AC707" s="208"/>
      <c r="AD707" s="208"/>
      <c r="AE707" s="208"/>
      <c r="AF707" s="208"/>
      <c r="AG707" s="208"/>
      <c r="AH707" s="208"/>
      <c r="AI707" s="100"/>
      <c r="AJ707" s="100"/>
      <c r="AK707" s="100"/>
      <c r="AL707" s="100"/>
      <c r="AM707" s="100"/>
    </row>
    <row r="708" ht="14.25" customHeight="1">
      <c r="A708" s="100"/>
      <c r="B708" s="100"/>
      <c r="C708" s="100"/>
      <c r="D708" s="100"/>
      <c r="E708" s="100"/>
      <c r="F708" s="206"/>
      <c r="G708" s="206"/>
      <c r="H708" s="207"/>
      <c r="I708" s="207"/>
      <c r="J708" s="207"/>
      <c r="K708" s="207"/>
      <c r="L708" s="207"/>
      <c r="M708" s="207"/>
      <c r="N708" s="207"/>
      <c r="O708" s="207"/>
      <c r="P708" s="207"/>
      <c r="Q708" s="207"/>
      <c r="R708" s="207"/>
      <c r="S708" s="207"/>
      <c r="T708" s="207"/>
      <c r="U708" s="207"/>
      <c r="V708" s="207"/>
      <c r="W708" s="208"/>
      <c r="X708" s="208"/>
      <c r="Y708" s="208"/>
      <c r="Z708" s="208"/>
      <c r="AA708" s="208"/>
      <c r="AB708" s="208"/>
      <c r="AC708" s="208"/>
      <c r="AD708" s="208"/>
      <c r="AE708" s="208"/>
      <c r="AF708" s="208"/>
      <c r="AG708" s="208"/>
      <c r="AH708" s="208"/>
      <c r="AI708" s="100"/>
      <c r="AJ708" s="100"/>
      <c r="AK708" s="100"/>
      <c r="AL708" s="100"/>
      <c r="AM708" s="100"/>
    </row>
    <row r="709" ht="14.25" customHeight="1">
      <c r="A709" s="100"/>
      <c r="B709" s="100"/>
      <c r="C709" s="100"/>
      <c r="D709" s="100"/>
      <c r="E709" s="100"/>
      <c r="F709" s="206"/>
      <c r="G709" s="206"/>
      <c r="H709" s="207"/>
      <c r="I709" s="207"/>
      <c r="J709" s="207"/>
      <c r="K709" s="207"/>
      <c r="L709" s="207"/>
      <c r="M709" s="207"/>
      <c r="N709" s="207"/>
      <c r="O709" s="207"/>
      <c r="P709" s="207"/>
      <c r="Q709" s="207"/>
      <c r="R709" s="207"/>
      <c r="S709" s="207"/>
      <c r="T709" s="207"/>
      <c r="U709" s="207"/>
      <c r="V709" s="207"/>
      <c r="W709" s="208"/>
      <c r="X709" s="208"/>
      <c r="Y709" s="208"/>
      <c r="Z709" s="208"/>
      <c r="AA709" s="208"/>
      <c r="AB709" s="208"/>
      <c r="AC709" s="208"/>
      <c r="AD709" s="208"/>
      <c r="AE709" s="208"/>
      <c r="AF709" s="208"/>
      <c r="AG709" s="208"/>
      <c r="AH709" s="208"/>
      <c r="AI709" s="100"/>
      <c r="AJ709" s="100"/>
      <c r="AK709" s="100"/>
      <c r="AL709" s="100"/>
      <c r="AM709" s="100"/>
    </row>
    <row r="710" ht="14.25" customHeight="1">
      <c r="A710" s="100"/>
      <c r="B710" s="100"/>
      <c r="C710" s="100"/>
      <c r="D710" s="100"/>
      <c r="E710" s="100"/>
      <c r="F710" s="206"/>
      <c r="G710" s="206"/>
      <c r="H710" s="207"/>
      <c r="I710" s="207"/>
      <c r="J710" s="207"/>
      <c r="K710" s="207"/>
      <c r="L710" s="207"/>
      <c r="M710" s="207"/>
      <c r="N710" s="207"/>
      <c r="O710" s="207"/>
      <c r="P710" s="207"/>
      <c r="Q710" s="207"/>
      <c r="R710" s="207"/>
      <c r="S710" s="207"/>
      <c r="T710" s="207"/>
      <c r="U710" s="207"/>
      <c r="V710" s="207"/>
      <c r="W710" s="208"/>
      <c r="X710" s="208"/>
      <c r="Y710" s="208"/>
      <c r="Z710" s="208"/>
      <c r="AA710" s="208"/>
      <c r="AB710" s="208"/>
      <c r="AC710" s="208"/>
      <c r="AD710" s="208"/>
      <c r="AE710" s="208"/>
      <c r="AF710" s="208"/>
      <c r="AG710" s="208"/>
      <c r="AH710" s="208"/>
      <c r="AI710" s="100"/>
      <c r="AJ710" s="100"/>
      <c r="AK710" s="100"/>
      <c r="AL710" s="100"/>
      <c r="AM710" s="100"/>
    </row>
    <row r="711" ht="14.25" customHeight="1">
      <c r="A711" s="100"/>
      <c r="B711" s="100"/>
      <c r="C711" s="100"/>
      <c r="D711" s="100"/>
      <c r="E711" s="100"/>
      <c r="F711" s="206"/>
      <c r="G711" s="206"/>
      <c r="H711" s="207"/>
      <c r="I711" s="207"/>
      <c r="J711" s="207"/>
      <c r="K711" s="207"/>
      <c r="L711" s="207"/>
      <c r="M711" s="207"/>
      <c r="N711" s="207"/>
      <c r="O711" s="207"/>
      <c r="P711" s="207"/>
      <c r="Q711" s="207"/>
      <c r="R711" s="207"/>
      <c r="S711" s="207"/>
      <c r="T711" s="207"/>
      <c r="U711" s="207"/>
      <c r="V711" s="207"/>
      <c r="W711" s="208"/>
      <c r="X711" s="208"/>
      <c r="Y711" s="208"/>
      <c r="Z711" s="208"/>
      <c r="AA711" s="208"/>
      <c r="AB711" s="208"/>
      <c r="AC711" s="208"/>
      <c r="AD711" s="208"/>
      <c r="AE711" s="208"/>
      <c r="AF711" s="208"/>
      <c r="AG711" s="208"/>
      <c r="AH711" s="208"/>
      <c r="AI711" s="100"/>
      <c r="AJ711" s="100"/>
      <c r="AK711" s="100"/>
      <c r="AL711" s="100"/>
      <c r="AM711" s="100"/>
    </row>
    <row r="712" ht="14.25" customHeight="1">
      <c r="A712" s="100"/>
      <c r="B712" s="100"/>
      <c r="C712" s="100"/>
      <c r="D712" s="100"/>
      <c r="E712" s="100"/>
      <c r="F712" s="206"/>
      <c r="G712" s="206"/>
      <c r="H712" s="207"/>
      <c r="I712" s="207"/>
      <c r="J712" s="207"/>
      <c r="K712" s="207"/>
      <c r="L712" s="207"/>
      <c r="M712" s="207"/>
      <c r="N712" s="207"/>
      <c r="O712" s="207"/>
      <c r="P712" s="207"/>
      <c r="Q712" s="207"/>
      <c r="R712" s="207"/>
      <c r="S712" s="207"/>
      <c r="T712" s="207"/>
      <c r="U712" s="207"/>
      <c r="V712" s="207"/>
      <c r="W712" s="208"/>
      <c r="X712" s="208"/>
      <c r="Y712" s="208"/>
      <c r="Z712" s="208"/>
      <c r="AA712" s="208"/>
      <c r="AB712" s="208"/>
      <c r="AC712" s="208"/>
      <c r="AD712" s="208"/>
      <c r="AE712" s="208"/>
      <c r="AF712" s="208"/>
      <c r="AG712" s="208"/>
      <c r="AH712" s="208"/>
      <c r="AI712" s="100"/>
      <c r="AJ712" s="100"/>
      <c r="AK712" s="100"/>
      <c r="AL712" s="100"/>
      <c r="AM712" s="100"/>
    </row>
    <row r="713" ht="14.25" customHeight="1">
      <c r="A713" s="100"/>
      <c r="B713" s="100"/>
      <c r="C713" s="100"/>
      <c r="D713" s="100"/>
      <c r="E713" s="100"/>
      <c r="F713" s="206"/>
      <c r="G713" s="206"/>
      <c r="H713" s="207"/>
      <c r="I713" s="207"/>
      <c r="J713" s="207"/>
      <c r="K713" s="207"/>
      <c r="L713" s="207"/>
      <c r="M713" s="207"/>
      <c r="N713" s="207"/>
      <c r="O713" s="207"/>
      <c r="P713" s="207"/>
      <c r="Q713" s="207"/>
      <c r="R713" s="207"/>
      <c r="S713" s="207"/>
      <c r="T713" s="207"/>
      <c r="U713" s="207"/>
      <c r="V713" s="207"/>
      <c r="W713" s="208"/>
      <c r="X713" s="208"/>
      <c r="Y713" s="208"/>
      <c r="Z713" s="208"/>
      <c r="AA713" s="208"/>
      <c r="AB713" s="208"/>
      <c r="AC713" s="208"/>
      <c r="AD713" s="208"/>
      <c r="AE713" s="208"/>
      <c r="AF713" s="208"/>
      <c r="AG713" s="208"/>
      <c r="AH713" s="208"/>
      <c r="AI713" s="100"/>
      <c r="AJ713" s="100"/>
      <c r="AK713" s="100"/>
      <c r="AL713" s="100"/>
      <c r="AM713" s="100"/>
    </row>
    <row r="714" ht="14.25" customHeight="1">
      <c r="A714" s="100"/>
      <c r="B714" s="100"/>
      <c r="C714" s="100"/>
      <c r="D714" s="100"/>
      <c r="E714" s="100"/>
      <c r="F714" s="206"/>
      <c r="G714" s="206"/>
      <c r="H714" s="207"/>
      <c r="I714" s="207"/>
      <c r="J714" s="207"/>
      <c r="K714" s="207"/>
      <c r="L714" s="207"/>
      <c r="M714" s="207"/>
      <c r="N714" s="207"/>
      <c r="O714" s="207"/>
      <c r="P714" s="207"/>
      <c r="Q714" s="207"/>
      <c r="R714" s="207"/>
      <c r="S714" s="207"/>
      <c r="T714" s="207"/>
      <c r="U714" s="207"/>
      <c r="V714" s="207"/>
      <c r="W714" s="208"/>
      <c r="X714" s="208"/>
      <c r="Y714" s="208"/>
      <c r="Z714" s="208"/>
      <c r="AA714" s="208"/>
      <c r="AB714" s="208"/>
      <c r="AC714" s="208"/>
      <c r="AD714" s="208"/>
      <c r="AE714" s="208"/>
      <c r="AF714" s="208"/>
      <c r="AG714" s="208"/>
      <c r="AH714" s="208"/>
      <c r="AI714" s="100"/>
      <c r="AJ714" s="100"/>
      <c r="AK714" s="100"/>
      <c r="AL714" s="100"/>
      <c r="AM714" s="100"/>
    </row>
    <row r="715" ht="14.25" customHeight="1">
      <c r="A715" s="100"/>
      <c r="B715" s="100"/>
      <c r="C715" s="100"/>
      <c r="D715" s="100"/>
      <c r="E715" s="100"/>
      <c r="F715" s="206"/>
      <c r="G715" s="206"/>
      <c r="H715" s="207"/>
      <c r="I715" s="207"/>
      <c r="J715" s="207"/>
      <c r="K715" s="207"/>
      <c r="L715" s="207"/>
      <c r="M715" s="207"/>
      <c r="N715" s="207"/>
      <c r="O715" s="207"/>
      <c r="P715" s="207"/>
      <c r="Q715" s="207"/>
      <c r="R715" s="207"/>
      <c r="S715" s="207"/>
      <c r="T715" s="207"/>
      <c r="U715" s="207"/>
      <c r="V715" s="207"/>
      <c r="W715" s="208"/>
      <c r="X715" s="208"/>
      <c r="Y715" s="208"/>
      <c r="Z715" s="208"/>
      <c r="AA715" s="208"/>
      <c r="AB715" s="208"/>
      <c r="AC715" s="208"/>
      <c r="AD715" s="208"/>
      <c r="AE715" s="208"/>
      <c r="AF715" s="208"/>
      <c r="AG715" s="208"/>
      <c r="AH715" s="208"/>
      <c r="AI715" s="100"/>
      <c r="AJ715" s="100"/>
      <c r="AK715" s="100"/>
      <c r="AL715" s="100"/>
      <c r="AM715" s="100"/>
    </row>
    <row r="716" ht="14.25" customHeight="1">
      <c r="A716" s="100"/>
      <c r="B716" s="100"/>
      <c r="C716" s="100"/>
      <c r="D716" s="100"/>
      <c r="E716" s="100"/>
      <c r="F716" s="206"/>
      <c r="G716" s="206"/>
      <c r="H716" s="207"/>
      <c r="I716" s="207"/>
      <c r="J716" s="207"/>
      <c r="K716" s="207"/>
      <c r="L716" s="207"/>
      <c r="M716" s="207"/>
      <c r="N716" s="207"/>
      <c r="O716" s="207"/>
      <c r="P716" s="207"/>
      <c r="Q716" s="207"/>
      <c r="R716" s="207"/>
      <c r="S716" s="207"/>
      <c r="T716" s="207"/>
      <c r="U716" s="207"/>
      <c r="V716" s="207"/>
      <c r="W716" s="208"/>
      <c r="X716" s="208"/>
      <c r="Y716" s="208"/>
      <c r="Z716" s="208"/>
      <c r="AA716" s="208"/>
      <c r="AB716" s="208"/>
      <c r="AC716" s="208"/>
      <c r="AD716" s="208"/>
      <c r="AE716" s="208"/>
      <c r="AF716" s="208"/>
      <c r="AG716" s="208"/>
      <c r="AH716" s="208"/>
      <c r="AI716" s="100"/>
      <c r="AJ716" s="100"/>
      <c r="AK716" s="100"/>
      <c r="AL716" s="100"/>
      <c r="AM716" s="100"/>
    </row>
    <row r="717" ht="14.25" customHeight="1">
      <c r="A717" s="100"/>
      <c r="B717" s="100"/>
      <c r="C717" s="100"/>
      <c r="D717" s="100"/>
      <c r="E717" s="100"/>
      <c r="F717" s="206"/>
      <c r="G717" s="206"/>
      <c r="H717" s="207"/>
      <c r="I717" s="207"/>
      <c r="J717" s="207"/>
      <c r="K717" s="207"/>
      <c r="L717" s="207"/>
      <c r="M717" s="207"/>
      <c r="N717" s="207"/>
      <c r="O717" s="207"/>
      <c r="P717" s="207"/>
      <c r="Q717" s="207"/>
      <c r="R717" s="207"/>
      <c r="S717" s="207"/>
      <c r="T717" s="207"/>
      <c r="U717" s="207"/>
      <c r="V717" s="207"/>
      <c r="W717" s="208"/>
      <c r="X717" s="208"/>
      <c r="Y717" s="208"/>
      <c r="Z717" s="208"/>
      <c r="AA717" s="208"/>
      <c r="AB717" s="208"/>
      <c r="AC717" s="208"/>
      <c r="AD717" s="208"/>
      <c r="AE717" s="208"/>
      <c r="AF717" s="208"/>
      <c r="AG717" s="208"/>
      <c r="AH717" s="208"/>
      <c r="AI717" s="100"/>
      <c r="AJ717" s="100"/>
      <c r="AK717" s="100"/>
      <c r="AL717" s="100"/>
      <c r="AM717" s="100"/>
    </row>
    <row r="718" ht="14.25" customHeight="1">
      <c r="A718" s="100"/>
      <c r="B718" s="100"/>
      <c r="C718" s="100"/>
      <c r="D718" s="100"/>
      <c r="E718" s="100"/>
      <c r="F718" s="206"/>
      <c r="G718" s="206"/>
      <c r="H718" s="207"/>
      <c r="I718" s="207"/>
      <c r="J718" s="207"/>
      <c r="K718" s="207"/>
      <c r="L718" s="207"/>
      <c r="M718" s="207"/>
      <c r="N718" s="207"/>
      <c r="O718" s="207"/>
      <c r="P718" s="207"/>
      <c r="Q718" s="207"/>
      <c r="R718" s="207"/>
      <c r="S718" s="207"/>
      <c r="T718" s="207"/>
      <c r="U718" s="207"/>
      <c r="V718" s="207"/>
      <c r="W718" s="208"/>
      <c r="X718" s="208"/>
      <c r="Y718" s="208"/>
      <c r="Z718" s="208"/>
      <c r="AA718" s="208"/>
      <c r="AB718" s="208"/>
      <c r="AC718" s="208"/>
      <c r="AD718" s="208"/>
      <c r="AE718" s="208"/>
      <c r="AF718" s="208"/>
      <c r="AG718" s="208"/>
      <c r="AH718" s="208"/>
      <c r="AI718" s="100"/>
      <c r="AJ718" s="100"/>
      <c r="AK718" s="100"/>
      <c r="AL718" s="100"/>
      <c r="AM718" s="100"/>
    </row>
    <row r="719" ht="14.25" customHeight="1">
      <c r="A719" s="100"/>
      <c r="B719" s="100"/>
      <c r="C719" s="100"/>
      <c r="D719" s="100"/>
      <c r="E719" s="100"/>
      <c r="F719" s="206"/>
      <c r="G719" s="206"/>
      <c r="H719" s="207"/>
      <c r="I719" s="207"/>
      <c r="J719" s="207"/>
      <c r="K719" s="207"/>
      <c r="L719" s="207"/>
      <c r="M719" s="207"/>
      <c r="N719" s="207"/>
      <c r="O719" s="207"/>
      <c r="P719" s="207"/>
      <c r="Q719" s="207"/>
      <c r="R719" s="207"/>
      <c r="S719" s="207"/>
      <c r="T719" s="207"/>
      <c r="U719" s="207"/>
      <c r="V719" s="207"/>
      <c r="W719" s="208"/>
      <c r="X719" s="208"/>
      <c r="Y719" s="208"/>
      <c r="Z719" s="208"/>
      <c r="AA719" s="208"/>
      <c r="AB719" s="208"/>
      <c r="AC719" s="208"/>
      <c r="AD719" s="208"/>
      <c r="AE719" s="208"/>
      <c r="AF719" s="208"/>
      <c r="AG719" s="208"/>
      <c r="AH719" s="208"/>
      <c r="AI719" s="100"/>
      <c r="AJ719" s="100"/>
      <c r="AK719" s="100"/>
      <c r="AL719" s="100"/>
      <c r="AM719" s="100"/>
    </row>
    <row r="720" ht="14.25" customHeight="1">
      <c r="A720" s="100"/>
      <c r="B720" s="100"/>
      <c r="C720" s="100"/>
      <c r="D720" s="100"/>
      <c r="E720" s="100"/>
      <c r="F720" s="206"/>
      <c r="G720" s="206"/>
      <c r="H720" s="207"/>
      <c r="I720" s="207"/>
      <c r="J720" s="207"/>
      <c r="K720" s="207"/>
      <c r="L720" s="207"/>
      <c r="M720" s="207"/>
      <c r="N720" s="207"/>
      <c r="O720" s="207"/>
      <c r="P720" s="207"/>
      <c r="Q720" s="207"/>
      <c r="R720" s="207"/>
      <c r="S720" s="207"/>
      <c r="T720" s="207"/>
      <c r="U720" s="207"/>
      <c r="V720" s="207"/>
      <c r="W720" s="208"/>
      <c r="X720" s="208"/>
      <c r="Y720" s="208"/>
      <c r="Z720" s="208"/>
      <c r="AA720" s="208"/>
      <c r="AB720" s="208"/>
      <c r="AC720" s="208"/>
      <c r="AD720" s="208"/>
      <c r="AE720" s="208"/>
      <c r="AF720" s="208"/>
      <c r="AG720" s="208"/>
      <c r="AH720" s="208"/>
      <c r="AI720" s="100"/>
      <c r="AJ720" s="100"/>
      <c r="AK720" s="100"/>
      <c r="AL720" s="100"/>
      <c r="AM720" s="100"/>
    </row>
    <row r="721" ht="14.25" customHeight="1">
      <c r="A721" s="100"/>
      <c r="B721" s="100"/>
      <c r="C721" s="100"/>
      <c r="D721" s="100"/>
      <c r="E721" s="100"/>
      <c r="F721" s="206"/>
      <c r="G721" s="206"/>
      <c r="H721" s="207"/>
      <c r="I721" s="207"/>
      <c r="J721" s="207"/>
      <c r="K721" s="207"/>
      <c r="L721" s="207"/>
      <c r="M721" s="207"/>
      <c r="N721" s="207"/>
      <c r="O721" s="207"/>
      <c r="P721" s="207"/>
      <c r="Q721" s="207"/>
      <c r="R721" s="207"/>
      <c r="S721" s="207"/>
      <c r="T721" s="207"/>
      <c r="U721" s="207"/>
      <c r="V721" s="207"/>
      <c r="W721" s="208"/>
      <c r="X721" s="208"/>
      <c r="Y721" s="208"/>
      <c r="Z721" s="208"/>
      <c r="AA721" s="208"/>
      <c r="AB721" s="208"/>
      <c r="AC721" s="208"/>
      <c r="AD721" s="208"/>
      <c r="AE721" s="208"/>
      <c r="AF721" s="208"/>
      <c r="AG721" s="208"/>
      <c r="AH721" s="208"/>
      <c r="AI721" s="100"/>
      <c r="AJ721" s="100"/>
      <c r="AK721" s="100"/>
      <c r="AL721" s="100"/>
      <c r="AM721" s="100"/>
    </row>
    <row r="722" ht="14.25" customHeight="1">
      <c r="A722" s="100"/>
      <c r="B722" s="100"/>
      <c r="C722" s="100"/>
      <c r="D722" s="100"/>
      <c r="E722" s="100"/>
      <c r="F722" s="206"/>
      <c r="G722" s="206"/>
      <c r="H722" s="207"/>
      <c r="I722" s="207"/>
      <c r="J722" s="207"/>
      <c r="K722" s="207"/>
      <c r="L722" s="207"/>
      <c r="M722" s="207"/>
      <c r="N722" s="207"/>
      <c r="O722" s="207"/>
      <c r="P722" s="207"/>
      <c r="Q722" s="207"/>
      <c r="R722" s="207"/>
      <c r="S722" s="207"/>
      <c r="T722" s="207"/>
      <c r="U722" s="207"/>
      <c r="V722" s="207"/>
      <c r="W722" s="208"/>
      <c r="X722" s="208"/>
      <c r="Y722" s="208"/>
      <c r="Z722" s="208"/>
      <c r="AA722" s="208"/>
      <c r="AB722" s="208"/>
      <c r="AC722" s="208"/>
      <c r="AD722" s="208"/>
      <c r="AE722" s="208"/>
      <c r="AF722" s="208"/>
      <c r="AG722" s="208"/>
      <c r="AH722" s="208"/>
      <c r="AI722" s="100"/>
      <c r="AJ722" s="100"/>
      <c r="AK722" s="100"/>
      <c r="AL722" s="100"/>
      <c r="AM722" s="100"/>
    </row>
    <row r="723" ht="14.25" customHeight="1">
      <c r="A723" s="100"/>
      <c r="B723" s="100"/>
      <c r="C723" s="100"/>
      <c r="D723" s="100"/>
      <c r="E723" s="100"/>
      <c r="F723" s="206"/>
      <c r="G723" s="206"/>
      <c r="H723" s="207"/>
      <c r="I723" s="207"/>
      <c r="J723" s="207"/>
      <c r="K723" s="207"/>
      <c r="L723" s="207"/>
      <c r="M723" s="207"/>
      <c r="N723" s="207"/>
      <c r="O723" s="207"/>
      <c r="P723" s="207"/>
      <c r="Q723" s="207"/>
      <c r="R723" s="207"/>
      <c r="S723" s="207"/>
      <c r="T723" s="207"/>
      <c r="U723" s="207"/>
      <c r="V723" s="207"/>
      <c r="W723" s="208"/>
      <c r="X723" s="208"/>
      <c r="Y723" s="208"/>
      <c r="Z723" s="208"/>
      <c r="AA723" s="208"/>
      <c r="AB723" s="208"/>
      <c r="AC723" s="208"/>
      <c r="AD723" s="208"/>
      <c r="AE723" s="208"/>
      <c r="AF723" s="208"/>
      <c r="AG723" s="208"/>
      <c r="AH723" s="208"/>
      <c r="AI723" s="100"/>
      <c r="AJ723" s="100"/>
      <c r="AK723" s="100"/>
      <c r="AL723" s="100"/>
      <c r="AM723" s="100"/>
    </row>
    <row r="724" ht="14.25" customHeight="1">
      <c r="A724" s="100"/>
      <c r="B724" s="100"/>
      <c r="C724" s="100"/>
      <c r="D724" s="100"/>
      <c r="E724" s="100"/>
      <c r="F724" s="206"/>
      <c r="G724" s="206"/>
      <c r="H724" s="207"/>
      <c r="I724" s="207"/>
      <c r="J724" s="207"/>
      <c r="K724" s="207"/>
      <c r="L724" s="207"/>
      <c r="M724" s="207"/>
      <c r="N724" s="207"/>
      <c r="O724" s="207"/>
      <c r="P724" s="207"/>
      <c r="Q724" s="207"/>
      <c r="R724" s="207"/>
      <c r="S724" s="207"/>
      <c r="T724" s="207"/>
      <c r="U724" s="207"/>
      <c r="V724" s="207"/>
      <c r="W724" s="208"/>
      <c r="X724" s="208"/>
      <c r="Y724" s="208"/>
      <c r="Z724" s="208"/>
      <c r="AA724" s="208"/>
      <c r="AB724" s="208"/>
      <c r="AC724" s="208"/>
      <c r="AD724" s="208"/>
      <c r="AE724" s="208"/>
      <c r="AF724" s="208"/>
      <c r="AG724" s="208"/>
      <c r="AH724" s="208"/>
      <c r="AI724" s="100"/>
      <c r="AJ724" s="100"/>
      <c r="AK724" s="100"/>
      <c r="AL724" s="100"/>
      <c r="AM724" s="100"/>
    </row>
    <row r="725" ht="14.25" customHeight="1">
      <c r="A725" s="100"/>
      <c r="B725" s="100"/>
      <c r="C725" s="100"/>
      <c r="D725" s="100"/>
      <c r="E725" s="100"/>
      <c r="F725" s="206"/>
      <c r="G725" s="206"/>
      <c r="H725" s="207"/>
      <c r="I725" s="207"/>
      <c r="J725" s="207"/>
      <c r="K725" s="207"/>
      <c r="L725" s="207"/>
      <c r="M725" s="207"/>
      <c r="N725" s="207"/>
      <c r="O725" s="207"/>
      <c r="P725" s="207"/>
      <c r="Q725" s="207"/>
      <c r="R725" s="207"/>
      <c r="S725" s="207"/>
      <c r="T725" s="207"/>
      <c r="U725" s="207"/>
      <c r="V725" s="207"/>
      <c r="W725" s="208"/>
      <c r="X725" s="208"/>
      <c r="Y725" s="208"/>
      <c r="Z725" s="208"/>
      <c r="AA725" s="208"/>
      <c r="AB725" s="208"/>
      <c r="AC725" s="208"/>
      <c r="AD725" s="208"/>
      <c r="AE725" s="208"/>
      <c r="AF725" s="208"/>
      <c r="AG725" s="208"/>
      <c r="AH725" s="208"/>
      <c r="AI725" s="100"/>
      <c r="AJ725" s="100"/>
      <c r="AK725" s="100"/>
      <c r="AL725" s="100"/>
      <c r="AM725" s="100"/>
    </row>
    <row r="726" ht="14.25" customHeight="1">
      <c r="A726" s="100"/>
      <c r="B726" s="100"/>
      <c r="C726" s="100"/>
      <c r="D726" s="100"/>
      <c r="E726" s="100"/>
      <c r="F726" s="206"/>
      <c r="G726" s="206"/>
      <c r="H726" s="207"/>
      <c r="I726" s="207"/>
      <c r="J726" s="207"/>
      <c r="K726" s="207"/>
      <c r="L726" s="207"/>
      <c r="M726" s="207"/>
      <c r="N726" s="207"/>
      <c r="O726" s="207"/>
      <c r="P726" s="207"/>
      <c r="Q726" s="207"/>
      <c r="R726" s="207"/>
      <c r="S726" s="207"/>
      <c r="T726" s="207"/>
      <c r="U726" s="207"/>
      <c r="V726" s="207"/>
      <c r="W726" s="208"/>
      <c r="X726" s="208"/>
      <c r="Y726" s="208"/>
      <c r="Z726" s="208"/>
      <c r="AA726" s="208"/>
      <c r="AB726" s="208"/>
      <c r="AC726" s="208"/>
      <c r="AD726" s="208"/>
      <c r="AE726" s="208"/>
      <c r="AF726" s="208"/>
      <c r="AG726" s="208"/>
      <c r="AH726" s="208"/>
      <c r="AI726" s="100"/>
      <c r="AJ726" s="100"/>
      <c r="AK726" s="100"/>
      <c r="AL726" s="100"/>
      <c r="AM726" s="100"/>
    </row>
    <row r="727" ht="14.25" customHeight="1">
      <c r="A727" s="100"/>
      <c r="B727" s="100"/>
      <c r="C727" s="100"/>
      <c r="D727" s="100"/>
      <c r="E727" s="100"/>
      <c r="F727" s="206"/>
      <c r="G727" s="206"/>
      <c r="H727" s="207"/>
      <c r="I727" s="207"/>
      <c r="J727" s="207"/>
      <c r="K727" s="207"/>
      <c r="L727" s="207"/>
      <c r="M727" s="207"/>
      <c r="N727" s="207"/>
      <c r="O727" s="207"/>
      <c r="P727" s="207"/>
      <c r="Q727" s="207"/>
      <c r="R727" s="207"/>
      <c r="S727" s="207"/>
      <c r="T727" s="207"/>
      <c r="U727" s="207"/>
      <c r="V727" s="207"/>
      <c r="W727" s="208"/>
      <c r="X727" s="208"/>
      <c r="Y727" s="208"/>
      <c r="Z727" s="208"/>
      <c r="AA727" s="208"/>
      <c r="AB727" s="208"/>
      <c r="AC727" s="208"/>
      <c r="AD727" s="208"/>
      <c r="AE727" s="208"/>
      <c r="AF727" s="208"/>
      <c r="AG727" s="208"/>
      <c r="AH727" s="208"/>
      <c r="AI727" s="100"/>
      <c r="AJ727" s="100"/>
      <c r="AK727" s="100"/>
      <c r="AL727" s="100"/>
      <c r="AM727" s="100"/>
    </row>
    <row r="728" ht="14.25" customHeight="1">
      <c r="A728" s="100"/>
      <c r="B728" s="100"/>
      <c r="C728" s="100"/>
      <c r="D728" s="100"/>
      <c r="E728" s="100"/>
      <c r="F728" s="206"/>
      <c r="G728" s="206"/>
      <c r="H728" s="207"/>
      <c r="I728" s="207"/>
      <c r="J728" s="207"/>
      <c r="K728" s="207"/>
      <c r="L728" s="207"/>
      <c r="M728" s="207"/>
      <c r="N728" s="207"/>
      <c r="O728" s="207"/>
      <c r="P728" s="207"/>
      <c r="Q728" s="207"/>
      <c r="R728" s="207"/>
      <c r="S728" s="207"/>
      <c r="T728" s="207"/>
      <c r="U728" s="207"/>
      <c r="V728" s="207"/>
      <c r="W728" s="208"/>
      <c r="X728" s="208"/>
      <c r="Y728" s="208"/>
      <c r="Z728" s="208"/>
      <c r="AA728" s="208"/>
      <c r="AB728" s="208"/>
      <c r="AC728" s="208"/>
      <c r="AD728" s="208"/>
      <c r="AE728" s="208"/>
      <c r="AF728" s="208"/>
      <c r="AG728" s="208"/>
      <c r="AH728" s="208"/>
      <c r="AI728" s="100"/>
      <c r="AJ728" s="100"/>
      <c r="AK728" s="100"/>
      <c r="AL728" s="100"/>
      <c r="AM728" s="100"/>
    </row>
    <row r="729" ht="14.25" customHeight="1">
      <c r="A729" s="100"/>
      <c r="B729" s="100"/>
      <c r="C729" s="100"/>
      <c r="D729" s="100"/>
      <c r="E729" s="100"/>
      <c r="F729" s="206"/>
      <c r="G729" s="206"/>
      <c r="H729" s="207"/>
      <c r="I729" s="207"/>
      <c r="J729" s="207"/>
      <c r="K729" s="207"/>
      <c r="L729" s="207"/>
      <c r="M729" s="207"/>
      <c r="N729" s="207"/>
      <c r="O729" s="207"/>
      <c r="P729" s="207"/>
      <c r="Q729" s="207"/>
      <c r="R729" s="207"/>
      <c r="S729" s="207"/>
      <c r="T729" s="207"/>
      <c r="U729" s="207"/>
      <c r="V729" s="207"/>
      <c r="W729" s="208"/>
      <c r="X729" s="208"/>
      <c r="Y729" s="208"/>
      <c r="Z729" s="208"/>
      <c r="AA729" s="208"/>
      <c r="AB729" s="208"/>
      <c r="AC729" s="208"/>
      <c r="AD729" s="208"/>
      <c r="AE729" s="208"/>
      <c r="AF729" s="208"/>
      <c r="AG729" s="208"/>
      <c r="AH729" s="208"/>
      <c r="AI729" s="100"/>
      <c r="AJ729" s="100"/>
      <c r="AK729" s="100"/>
      <c r="AL729" s="100"/>
      <c r="AM729" s="100"/>
    </row>
    <row r="730" ht="14.25" customHeight="1">
      <c r="A730" s="100"/>
      <c r="B730" s="100"/>
      <c r="C730" s="100"/>
      <c r="D730" s="100"/>
      <c r="E730" s="100"/>
      <c r="F730" s="206"/>
      <c r="G730" s="206"/>
      <c r="H730" s="207"/>
      <c r="I730" s="207"/>
      <c r="J730" s="207"/>
      <c r="K730" s="207"/>
      <c r="L730" s="207"/>
      <c r="M730" s="207"/>
      <c r="N730" s="207"/>
      <c r="O730" s="207"/>
      <c r="P730" s="207"/>
      <c r="Q730" s="207"/>
      <c r="R730" s="207"/>
      <c r="S730" s="207"/>
      <c r="T730" s="207"/>
      <c r="U730" s="207"/>
      <c r="V730" s="207"/>
      <c r="W730" s="208"/>
      <c r="X730" s="208"/>
      <c r="Y730" s="208"/>
      <c r="Z730" s="208"/>
      <c r="AA730" s="208"/>
      <c r="AB730" s="208"/>
      <c r="AC730" s="208"/>
      <c r="AD730" s="208"/>
      <c r="AE730" s="208"/>
      <c r="AF730" s="208"/>
      <c r="AG730" s="208"/>
      <c r="AH730" s="208"/>
      <c r="AI730" s="100"/>
      <c r="AJ730" s="100"/>
      <c r="AK730" s="100"/>
      <c r="AL730" s="100"/>
      <c r="AM730" s="100"/>
    </row>
    <row r="731" ht="14.25" customHeight="1">
      <c r="A731" s="100"/>
      <c r="B731" s="100"/>
      <c r="C731" s="100"/>
      <c r="D731" s="100"/>
      <c r="E731" s="100"/>
      <c r="F731" s="206"/>
      <c r="G731" s="206"/>
      <c r="H731" s="207"/>
      <c r="I731" s="207"/>
      <c r="J731" s="207"/>
      <c r="K731" s="207"/>
      <c r="L731" s="207"/>
      <c r="M731" s="207"/>
      <c r="N731" s="207"/>
      <c r="O731" s="207"/>
      <c r="P731" s="207"/>
      <c r="Q731" s="207"/>
      <c r="R731" s="207"/>
      <c r="S731" s="207"/>
      <c r="T731" s="207"/>
      <c r="U731" s="207"/>
      <c r="V731" s="207"/>
      <c r="W731" s="208"/>
      <c r="X731" s="208"/>
      <c r="Y731" s="208"/>
      <c r="Z731" s="208"/>
      <c r="AA731" s="208"/>
      <c r="AB731" s="208"/>
      <c r="AC731" s="208"/>
      <c r="AD731" s="208"/>
      <c r="AE731" s="208"/>
      <c r="AF731" s="208"/>
      <c r="AG731" s="208"/>
      <c r="AH731" s="208"/>
      <c r="AI731" s="100"/>
      <c r="AJ731" s="100"/>
      <c r="AK731" s="100"/>
      <c r="AL731" s="100"/>
      <c r="AM731" s="100"/>
    </row>
    <row r="732" ht="14.25" customHeight="1">
      <c r="A732" s="100"/>
      <c r="B732" s="100"/>
      <c r="C732" s="100"/>
      <c r="D732" s="100"/>
      <c r="E732" s="100"/>
      <c r="F732" s="206"/>
      <c r="G732" s="206"/>
      <c r="H732" s="207"/>
      <c r="I732" s="207"/>
      <c r="J732" s="207"/>
      <c r="K732" s="207"/>
      <c r="L732" s="207"/>
      <c r="M732" s="207"/>
      <c r="N732" s="207"/>
      <c r="O732" s="207"/>
      <c r="P732" s="207"/>
      <c r="Q732" s="207"/>
      <c r="R732" s="207"/>
      <c r="S732" s="207"/>
      <c r="T732" s="207"/>
      <c r="U732" s="207"/>
      <c r="V732" s="207"/>
      <c r="W732" s="208"/>
      <c r="X732" s="208"/>
      <c r="Y732" s="208"/>
      <c r="Z732" s="208"/>
      <c r="AA732" s="208"/>
      <c r="AB732" s="208"/>
      <c r="AC732" s="208"/>
      <c r="AD732" s="208"/>
      <c r="AE732" s="208"/>
      <c r="AF732" s="208"/>
      <c r="AG732" s="208"/>
      <c r="AH732" s="208"/>
      <c r="AI732" s="100"/>
      <c r="AJ732" s="100"/>
      <c r="AK732" s="100"/>
      <c r="AL732" s="100"/>
      <c r="AM732" s="100"/>
    </row>
    <row r="733" ht="14.25" customHeight="1">
      <c r="A733" s="100"/>
      <c r="B733" s="100"/>
      <c r="C733" s="100"/>
      <c r="D733" s="100"/>
      <c r="E733" s="100"/>
      <c r="F733" s="206"/>
      <c r="G733" s="206"/>
      <c r="H733" s="207"/>
      <c r="I733" s="207"/>
      <c r="J733" s="207"/>
      <c r="K733" s="207"/>
      <c r="L733" s="207"/>
      <c r="M733" s="207"/>
      <c r="N733" s="207"/>
      <c r="O733" s="207"/>
      <c r="P733" s="207"/>
      <c r="Q733" s="207"/>
      <c r="R733" s="207"/>
      <c r="S733" s="207"/>
      <c r="T733" s="207"/>
      <c r="U733" s="207"/>
      <c r="V733" s="207"/>
      <c r="W733" s="208"/>
      <c r="X733" s="208"/>
      <c r="Y733" s="208"/>
      <c r="Z733" s="208"/>
      <c r="AA733" s="208"/>
      <c r="AB733" s="208"/>
      <c r="AC733" s="208"/>
      <c r="AD733" s="208"/>
      <c r="AE733" s="208"/>
      <c r="AF733" s="208"/>
      <c r="AG733" s="208"/>
      <c r="AH733" s="208"/>
      <c r="AI733" s="100"/>
      <c r="AJ733" s="100"/>
      <c r="AK733" s="100"/>
      <c r="AL733" s="100"/>
      <c r="AM733" s="100"/>
    </row>
    <row r="734" ht="14.25" customHeight="1">
      <c r="A734" s="100"/>
      <c r="B734" s="100"/>
      <c r="C734" s="100"/>
      <c r="D734" s="100"/>
      <c r="E734" s="100"/>
      <c r="F734" s="206"/>
      <c r="G734" s="206"/>
      <c r="H734" s="207"/>
      <c r="I734" s="207"/>
      <c r="J734" s="207"/>
      <c r="K734" s="207"/>
      <c r="L734" s="207"/>
      <c r="M734" s="207"/>
      <c r="N734" s="207"/>
      <c r="O734" s="207"/>
      <c r="P734" s="207"/>
      <c r="Q734" s="207"/>
      <c r="R734" s="207"/>
      <c r="S734" s="207"/>
      <c r="T734" s="207"/>
      <c r="U734" s="207"/>
      <c r="V734" s="207"/>
      <c r="W734" s="208"/>
      <c r="X734" s="208"/>
      <c r="Y734" s="208"/>
      <c r="Z734" s="208"/>
      <c r="AA734" s="208"/>
      <c r="AB734" s="208"/>
      <c r="AC734" s="208"/>
      <c r="AD734" s="208"/>
      <c r="AE734" s="208"/>
      <c r="AF734" s="208"/>
      <c r="AG734" s="208"/>
      <c r="AH734" s="208"/>
      <c r="AI734" s="100"/>
      <c r="AJ734" s="100"/>
      <c r="AK734" s="100"/>
      <c r="AL734" s="100"/>
      <c r="AM734" s="100"/>
    </row>
    <row r="735" ht="14.25" customHeight="1">
      <c r="A735" s="100"/>
      <c r="B735" s="100"/>
      <c r="C735" s="100"/>
      <c r="D735" s="100"/>
      <c r="E735" s="100"/>
      <c r="F735" s="206"/>
      <c r="G735" s="206"/>
      <c r="H735" s="207"/>
      <c r="I735" s="207"/>
      <c r="J735" s="207"/>
      <c r="K735" s="207"/>
      <c r="L735" s="207"/>
      <c r="M735" s="207"/>
      <c r="N735" s="207"/>
      <c r="O735" s="207"/>
      <c r="P735" s="207"/>
      <c r="Q735" s="207"/>
      <c r="R735" s="207"/>
      <c r="S735" s="207"/>
      <c r="T735" s="207"/>
      <c r="U735" s="207"/>
      <c r="V735" s="207"/>
      <c r="W735" s="208"/>
      <c r="X735" s="208"/>
      <c r="Y735" s="208"/>
      <c r="Z735" s="208"/>
      <c r="AA735" s="208"/>
      <c r="AB735" s="208"/>
      <c r="AC735" s="208"/>
      <c r="AD735" s="208"/>
      <c r="AE735" s="208"/>
      <c r="AF735" s="208"/>
      <c r="AG735" s="208"/>
      <c r="AH735" s="208"/>
      <c r="AI735" s="100"/>
      <c r="AJ735" s="100"/>
      <c r="AK735" s="100"/>
      <c r="AL735" s="100"/>
      <c r="AM735" s="100"/>
    </row>
    <row r="736" ht="14.25" customHeight="1">
      <c r="A736" s="100"/>
      <c r="B736" s="100"/>
      <c r="C736" s="100"/>
      <c r="D736" s="100"/>
      <c r="E736" s="100"/>
      <c r="F736" s="206"/>
      <c r="G736" s="206"/>
      <c r="H736" s="207"/>
      <c r="I736" s="207"/>
      <c r="J736" s="207"/>
      <c r="K736" s="207"/>
      <c r="L736" s="207"/>
      <c r="M736" s="207"/>
      <c r="N736" s="207"/>
      <c r="O736" s="207"/>
      <c r="P736" s="207"/>
      <c r="Q736" s="207"/>
      <c r="R736" s="207"/>
      <c r="S736" s="207"/>
      <c r="T736" s="207"/>
      <c r="U736" s="207"/>
      <c r="V736" s="207"/>
      <c r="W736" s="208"/>
      <c r="X736" s="208"/>
      <c r="Y736" s="208"/>
      <c r="Z736" s="208"/>
      <c r="AA736" s="208"/>
      <c r="AB736" s="208"/>
      <c r="AC736" s="208"/>
      <c r="AD736" s="208"/>
      <c r="AE736" s="208"/>
      <c r="AF736" s="208"/>
      <c r="AG736" s="208"/>
      <c r="AH736" s="208"/>
      <c r="AI736" s="100"/>
      <c r="AJ736" s="100"/>
      <c r="AK736" s="100"/>
      <c r="AL736" s="100"/>
      <c r="AM736" s="100"/>
    </row>
    <row r="737" ht="14.25" customHeight="1">
      <c r="A737" s="100"/>
      <c r="B737" s="100"/>
      <c r="C737" s="100"/>
      <c r="D737" s="100"/>
      <c r="E737" s="100"/>
      <c r="F737" s="206"/>
      <c r="G737" s="206"/>
      <c r="H737" s="207"/>
      <c r="I737" s="207"/>
      <c r="J737" s="207"/>
      <c r="K737" s="207"/>
      <c r="L737" s="207"/>
      <c r="M737" s="207"/>
      <c r="N737" s="207"/>
      <c r="O737" s="207"/>
      <c r="P737" s="207"/>
      <c r="Q737" s="207"/>
      <c r="R737" s="207"/>
      <c r="S737" s="207"/>
      <c r="T737" s="207"/>
      <c r="U737" s="207"/>
      <c r="V737" s="207"/>
      <c r="W737" s="208"/>
      <c r="X737" s="208"/>
      <c r="Y737" s="208"/>
      <c r="Z737" s="208"/>
      <c r="AA737" s="208"/>
      <c r="AB737" s="208"/>
      <c r="AC737" s="208"/>
      <c r="AD737" s="208"/>
      <c r="AE737" s="208"/>
      <c r="AF737" s="208"/>
      <c r="AG737" s="208"/>
      <c r="AH737" s="208"/>
      <c r="AI737" s="100"/>
      <c r="AJ737" s="100"/>
      <c r="AK737" s="100"/>
      <c r="AL737" s="100"/>
      <c r="AM737" s="100"/>
    </row>
    <row r="738" ht="14.25" customHeight="1">
      <c r="A738" s="100"/>
      <c r="B738" s="100"/>
      <c r="C738" s="100"/>
      <c r="D738" s="100"/>
      <c r="E738" s="100"/>
      <c r="F738" s="206"/>
      <c r="G738" s="206"/>
      <c r="H738" s="207"/>
      <c r="I738" s="207"/>
      <c r="J738" s="207"/>
      <c r="K738" s="207"/>
      <c r="L738" s="207"/>
      <c r="M738" s="207"/>
      <c r="N738" s="207"/>
      <c r="O738" s="207"/>
      <c r="P738" s="207"/>
      <c r="Q738" s="207"/>
      <c r="R738" s="207"/>
      <c r="S738" s="207"/>
      <c r="T738" s="207"/>
      <c r="U738" s="207"/>
      <c r="V738" s="207"/>
      <c r="W738" s="208"/>
      <c r="X738" s="208"/>
      <c r="Y738" s="208"/>
      <c r="Z738" s="208"/>
      <c r="AA738" s="208"/>
      <c r="AB738" s="208"/>
      <c r="AC738" s="208"/>
      <c r="AD738" s="208"/>
      <c r="AE738" s="208"/>
      <c r="AF738" s="208"/>
      <c r="AG738" s="208"/>
      <c r="AH738" s="208"/>
      <c r="AI738" s="100"/>
      <c r="AJ738" s="100"/>
      <c r="AK738" s="100"/>
      <c r="AL738" s="100"/>
      <c r="AM738" s="100"/>
    </row>
    <row r="739" ht="14.25" customHeight="1">
      <c r="A739" s="100"/>
      <c r="B739" s="100"/>
      <c r="C739" s="100"/>
      <c r="D739" s="100"/>
      <c r="E739" s="100"/>
      <c r="F739" s="206"/>
      <c r="G739" s="206"/>
      <c r="H739" s="207"/>
      <c r="I739" s="207"/>
      <c r="J739" s="207"/>
      <c r="K739" s="207"/>
      <c r="L739" s="207"/>
      <c r="M739" s="207"/>
      <c r="N739" s="207"/>
      <c r="O739" s="207"/>
      <c r="P739" s="207"/>
      <c r="Q739" s="207"/>
      <c r="R739" s="207"/>
      <c r="S739" s="207"/>
      <c r="T739" s="207"/>
      <c r="U739" s="207"/>
      <c r="V739" s="207"/>
      <c r="W739" s="208"/>
      <c r="X739" s="208"/>
      <c r="Y739" s="208"/>
      <c r="Z739" s="208"/>
      <c r="AA739" s="208"/>
      <c r="AB739" s="208"/>
      <c r="AC739" s="208"/>
      <c r="AD739" s="208"/>
      <c r="AE739" s="208"/>
      <c r="AF739" s="208"/>
      <c r="AG739" s="208"/>
      <c r="AH739" s="208"/>
      <c r="AI739" s="100"/>
      <c r="AJ739" s="100"/>
      <c r="AK739" s="100"/>
      <c r="AL739" s="100"/>
      <c r="AM739" s="100"/>
    </row>
    <row r="740" ht="14.25" customHeight="1">
      <c r="A740" s="100"/>
      <c r="B740" s="100"/>
      <c r="C740" s="100"/>
      <c r="D740" s="100"/>
      <c r="E740" s="100"/>
      <c r="F740" s="206"/>
      <c r="G740" s="206"/>
      <c r="H740" s="207"/>
      <c r="I740" s="207"/>
      <c r="J740" s="207"/>
      <c r="K740" s="207"/>
      <c r="L740" s="207"/>
      <c r="M740" s="207"/>
      <c r="N740" s="207"/>
      <c r="O740" s="207"/>
      <c r="P740" s="207"/>
      <c r="Q740" s="207"/>
      <c r="R740" s="207"/>
      <c r="S740" s="207"/>
      <c r="T740" s="207"/>
      <c r="U740" s="207"/>
      <c r="V740" s="207"/>
      <c r="W740" s="208"/>
      <c r="X740" s="208"/>
      <c r="Y740" s="208"/>
      <c r="Z740" s="208"/>
      <c r="AA740" s="208"/>
      <c r="AB740" s="208"/>
      <c r="AC740" s="208"/>
      <c r="AD740" s="208"/>
      <c r="AE740" s="208"/>
      <c r="AF740" s="208"/>
      <c r="AG740" s="208"/>
      <c r="AH740" s="208"/>
      <c r="AI740" s="100"/>
      <c r="AJ740" s="100"/>
      <c r="AK740" s="100"/>
      <c r="AL740" s="100"/>
      <c r="AM740" s="100"/>
    </row>
    <row r="741" ht="14.25" customHeight="1">
      <c r="A741" s="100"/>
      <c r="B741" s="100"/>
      <c r="C741" s="100"/>
      <c r="D741" s="100"/>
      <c r="E741" s="100"/>
      <c r="F741" s="206"/>
      <c r="G741" s="206"/>
      <c r="H741" s="207"/>
      <c r="I741" s="207"/>
      <c r="J741" s="207"/>
      <c r="K741" s="207"/>
      <c r="L741" s="207"/>
      <c r="M741" s="207"/>
      <c r="N741" s="207"/>
      <c r="O741" s="207"/>
      <c r="P741" s="207"/>
      <c r="Q741" s="207"/>
      <c r="R741" s="207"/>
      <c r="S741" s="207"/>
      <c r="T741" s="207"/>
      <c r="U741" s="207"/>
      <c r="V741" s="207"/>
      <c r="W741" s="208"/>
      <c r="X741" s="208"/>
      <c r="Y741" s="208"/>
      <c r="Z741" s="208"/>
      <c r="AA741" s="208"/>
      <c r="AB741" s="208"/>
      <c r="AC741" s="208"/>
      <c r="AD741" s="208"/>
      <c r="AE741" s="208"/>
      <c r="AF741" s="208"/>
      <c r="AG741" s="208"/>
      <c r="AH741" s="208"/>
      <c r="AI741" s="100"/>
      <c r="AJ741" s="100"/>
      <c r="AK741" s="100"/>
      <c r="AL741" s="100"/>
      <c r="AM741" s="100"/>
    </row>
    <row r="742" ht="14.25" customHeight="1">
      <c r="A742" s="100"/>
      <c r="B742" s="100"/>
      <c r="C742" s="100"/>
      <c r="D742" s="100"/>
      <c r="E742" s="100"/>
      <c r="F742" s="206"/>
      <c r="G742" s="206"/>
      <c r="H742" s="207"/>
      <c r="I742" s="207"/>
      <c r="J742" s="207"/>
      <c r="K742" s="207"/>
      <c r="L742" s="207"/>
      <c r="M742" s="207"/>
      <c r="N742" s="207"/>
      <c r="O742" s="207"/>
      <c r="P742" s="207"/>
      <c r="Q742" s="207"/>
      <c r="R742" s="207"/>
      <c r="S742" s="207"/>
      <c r="T742" s="207"/>
      <c r="U742" s="207"/>
      <c r="V742" s="207"/>
      <c r="W742" s="208"/>
      <c r="X742" s="208"/>
      <c r="Y742" s="208"/>
      <c r="Z742" s="208"/>
      <c r="AA742" s="208"/>
      <c r="AB742" s="208"/>
      <c r="AC742" s="208"/>
      <c r="AD742" s="208"/>
      <c r="AE742" s="208"/>
      <c r="AF742" s="208"/>
      <c r="AG742" s="208"/>
      <c r="AH742" s="208"/>
      <c r="AI742" s="100"/>
      <c r="AJ742" s="100"/>
      <c r="AK742" s="100"/>
      <c r="AL742" s="100"/>
      <c r="AM742" s="100"/>
    </row>
    <row r="743" ht="14.25" customHeight="1">
      <c r="A743" s="100"/>
      <c r="B743" s="100"/>
      <c r="C743" s="100"/>
      <c r="D743" s="100"/>
      <c r="E743" s="100"/>
      <c r="F743" s="206"/>
      <c r="G743" s="206"/>
      <c r="H743" s="207"/>
      <c r="I743" s="207"/>
      <c r="J743" s="207"/>
      <c r="K743" s="207"/>
      <c r="L743" s="207"/>
      <c r="M743" s="207"/>
      <c r="N743" s="207"/>
      <c r="O743" s="207"/>
      <c r="P743" s="207"/>
      <c r="Q743" s="207"/>
      <c r="R743" s="207"/>
      <c r="S743" s="207"/>
      <c r="T743" s="207"/>
      <c r="U743" s="207"/>
      <c r="V743" s="207"/>
      <c r="W743" s="208"/>
      <c r="X743" s="208"/>
      <c r="Y743" s="208"/>
      <c r="Z743" s="208"/>
      <c r="AA743" s="208"/>
      <c r="AB743" s="208"/>
      <c r="AC743" s="208"/>
      <c r="AD743" s="208"/>
      <c r="AE743" s="208"/>
      <c r="AF743" s="208"/>
      <c r="AG743" s="208"/>
      <c r="AH743" s="208"/>
      <c r="AI743" s="100"/>
      <c r="AJ743" s="100"/>
      <c r="AK743" s="100"/>
      <c r="AL743" s="100"/>
      <c r="AM743" s="100"/>
    </row>
    <row r="744" ht="14.25" customHeight="1">
      <c r="A744" s="100"/>
      <c r="B744" s="100"/>
      <c r="C744" s="100"/>
      <c r="D744" s="100"/>
      <c r="E744" s="100"/>
      <c r="F744" s="206"/>
      <c r="G744" s="206"/>
      <c r="H744" s="207"/>
      <c r="I744" s="207"/>
      <c r="J744" s="207"/>
      <c r="K744" s="207"/>
      <c r="L744" s="207"/>
      <c r="M744" s="207"/>
      <c r="N744" s="207"/>
      <c r="O744" s="207"/>
      <c r="P744" s="207"/>
      <c r="Q744" s="207"/>
      <c r="R744" s="207"/>
      <c r="S744" s="207"/>
      <c r="T744" s="207"/>
      <c r="U744" s="207"/>
      <c r="V744" s="207"/>
      <c r="W744" s="208"/>
      <c r="X744" s="208"/>
      <c r="Y744" s="208"/>
      <c r="Z744" s="208"/>
      <c r="AA744" s="208"/>
      <c r="AB744" s="208"/>
      <c r="AC744" s="208"/>
      <c r="AD744" s="208"/>
      <c r="AE744" s="208"/>
      <c r="AF744" s="208"/>
      <c r="AG744" s="208"/>
      <c r="AH744" s="208"/>
      <c r="AI744" s="100"/>
      <c r="AJ744" s="100"/>
      <c r="AK744" s="100"/>
      <c r="AL744" s="100"/>
      <c r="AM744" s="100"/>
    </row>
    <row r="745" ht="14.25" customHeight="1">
      <c r="A745" s="100"/>
      <c r="B745" s="100"/>
      <c r="C745" s="100"/>
      <c r="D745" s="100"/>
      <c r="E745" s="100"/>
      <c r="F745" s="206"/>
      <c r="G745" s="206"/>
      <c r="H745" s="207"/>
      <c r="I745" s="207"/>
      <c r="J745" s="207"/>
      <c r="K745" s="207"/>
      <c r="L745" s="207"/>
      <c r="M745" s="207"/>
      <c r="N745" s="207"/>
      <c r="O745" s="207"/>
      <c r="P745" s="207"/>
      <c r="Q745" s="207"/>
      <c r="R745" s="207"/>
      <c r="S745" s="207"/>
      <c r="T745" s="207"/>
      <c r="U745" s="207"/>
      <c r="V745" s="207"/>
      <c r="W745" s="208"/>
      <c r="X745" s="208"/>
      <c r="Y745" s="208"/>
      <c r="Z745" s="208"/>
      <c r="AA745" s="208"/>
      <c r="AB745" s="208"/>
      <c r="AC745" s="208"/>
      <c r="AD745" s="208"/>
      <c r="AE745" s="208"/>
      <c r="AF745" s="208"/>
      <c r="AG745" s="208"/>
      <c r="AH745" s="208"/>
      <c r="AI745" s="100"/>
      <c r="AJ745" s="100"/>
      <c r="AK745" s="100"/>
      <c r="AL745" s="100"/>
      <c r="AM745" s="100"/>
    </row>
    <row r="746" ht="14.25" customHeight="1">
      <c r="A746" s="100"/>
      <c r="B746" s="100"/>
      <c r="C746" s="100"/>
      <c r="D746" s="100"/>
      <c r="E746" s="100"/>
      <c r="F746" s="206"/>
      <c r="G746" s="206"/>
      <c r="H746" s="207"/>
      <c r="I746" s="207"/>
      <c r="J746" s="207"/>
      <c r="K746" s="207"/>
      <c r="L746" s="207"/>
      <c r="M746" s="207"/>
      <c r="N746" s="207"/>
      <c r="O746" s="207"/>
      <c r="P746" s="207"/>
      <c r="Q746" s="207"/>
      <c r="R746" s="207"/>
      <c r="S746" s="207"/>
      <c r="T746" s="207"/>
      <c r="U746" s="207"/>
      <c r="V746" s="207"/>
      <c r="W746" s="208"/>
      <c r="X746" s="208"/>
      <c r="Y746" s="208"/>
      <c r="Z746" s="208"/>
      <c r="AA746" s="208"/>
      <c r="AB746" s="208"/>
      <c r="AC746" s="208"/>
      <c r="AD746" s="208"/>
      <c r="AE746" s="208"/>
      <c r="AF746" s="208"/>
      <c r="AG746" s="208"/>
      <c r="AH746" s="208"/>
      <c r="AI746" s="100"/>
      <c r="AJ746" s="100"/>
      <c r="AK746" s="100"/>
      <c r="AL746" s="100"/>
      <c r="AM746" s="100"/>
    </row>
    <row r="747" ht="14.25" customHeight="1">
      <c r="A747" s="100"/>
      <c r="B747" s="100"/>
      <c r="C747" s="100"/>
      <c r="D747" s="100"/>
      <c r="E747" s="100"/>
      <c r="F747" s="206"/>
      <c r="G747" s="206"/>
      <c r="H747" s="207"/>
      <c r="I747" s="207"/>
      <c r="J747" s="207"/>
      <c r="K747" s="207"/>
      <c r="L747" s="207"/>
      <c r="M747" s="207"/>
      <c r="N747" s="207"/>
      <c r="O747" s="207"/>
      <c r="P747" s="207"/>
      <c r="Q747" s="207"/>
      <c r="R747" s="207"/>
      <c r="S747" s="207"/>
      <c r="T747" s="207"/>
      <c r="U747" s="207"/>
      <c r="V747" s="207"/>
      <c r="W747" s="208"/>
      <c r="X747" s="208"/>
      <c r="Y747" s="208"/>
      <c r="Z747" s="208"/>
      <c r="AA747" s="208"/>
      <c r="AB747" s="208"/>
      <c r="AC747" s="208"/>
      <c r="AD747" s="208"/>
      <c r="AE747" s="208"/>
      <c r="AF747" s="208"/>
      <c r="AG747" s="208"/>
      <c r="AH747" s="208"/>
      <c r="AI747" s="100"/>
      <c r="AJ747" s="100"/>
      <c r="AK747" s="100"/>
      <c r="AL747" s="100"/>
      <c r="AM747" s="100"/>
    </row>
    <row r="748" ht="14.25" customHeight="1">
      <c r="A748" s="100"/>
      <c r="B748" s="100"/>
      <c r="C748" s="100"/>
      <c r="D748" s="100"/>
      <c r="E748" s="100"/>
      <c r="F748" s="206"/>
      <c r="G748" s="206"/>
      <c r="H748" s="207"/>
      <c r="I748" s="207"/>
      <c r="J748" s="207"/>
      <c r="K748" s="207"/>
      <c r="L748" s="207"/>
      <c r="M748" s="207"/>
      <c r="N748" s="207"/>
      <c r="O748" s="207"/>
      <c r="P748" s="207"/>
      <c r="Q748" s="207"/>
      <c r="R748" s="207"/>
      <c r="S748" s="207"/>
      <c r="T748" s="207"/>
      <c r="U748" s="207"/>
      <c r="V748" s="207"/>
      <c r="W748" s="208"/>
      <c r="X748" s="208"/>
      <c r="Y748" s="208"/>
      <c r="Z748" s="208"/>
      <c r="AA748" s="208"/>
      <c r="AB748" s="208"/>
      <c r="AC748" s="208"/>
      <c r="AD748" s="208"/>
      <c r="AE748" s="208"/>
      <c r="AF748" s="208"/>
      <c r="AG748" s="208"/>
      <c r="AH748" s="208"/>
      <c r="AI748" s="100"/>
      <c r="AJ748" s="100"/>
      <c r="AK748" s="100"/>
      <c r="AL748" s="100"/>
      <c r="AM748" s="100"/>
    </row>
    <row r="749" ht="14.25" customHeight="1">
      <c r="A749" s="100"/>
      <c r="B749" s="100"/>
      <c r="C749" s="100"/>
      <c r="D749" s="100"/>
      <c r="E749" s="100"/>
      <c r="F749" s="206"/>
      <c r="G749" s="206"/>
      <c r="H749" s="207"/>
      <c r="I749" s="207"/>
      <c r="J749" s="207"/>
      <c r="K749" s="207"/>
      <c r="L749" s="207"/>
      <c r="M749" s="207"/>
      <c r="N749" s="207"/>
      <c r="O749" s="207"/>
      <c r="P749" s="207"/>
      <c r="Q749" s="207"/>
      <c r="R749" s="207"/>
      <c r="S749" s="207"/>
      <c r="T749" s="207"/>
      <c r="U749" s="207"/>
      <c r="V749" s="207"/>
      <c r="W749" s="208"/>
      <c r="X749" s="208"/>
      <c r="Y749" s="208"/>
      <c r="Z749" s="208"/>
      <c r="AA749" s="208"/>
      <c r="AB749" s="208"/>
      <c r="AC749" s="208"/>
      <c r="AD749" s="208"/>
      <c r="AE749" s="208"/>
      <c r="AF749" s="208"/>
      <c r="AG749" s="208"/>
      <c r="AH749" s="208"/>
      <c r="AI749" s="100"/>
      <c r="AJ749" s="100"/>
      <c r="AK749" s="100"/>
      <c r="AL749" s="100"/>
      <c r="AM749" s="100"/>
    </row>
    <row r="750" ht="14.25" customHeight="1">
      <c r="A750" s="100"/>
      <c r="B750" s="100"/>
      <c r="C750" s="100"/>
      <c r="D750" s="100"/>
      <c r="E750" s="100"/>
      <c r="F750" s="206"/>
      <c r="G750" s="206"/>
      <c r="H750" s="207"/>
      <c r="I750" s="207"/>
      <c r="J750" s="207"/>
      <c r="K750" s="207"/>
      <c r="L750" s="207"/>
      <c r="M750" s="207"/>
      <c r="N750" s="207"/>
      <c r="O750" s="207"/>
      <c r="P750" s="207"/>
      <c r="Q750" s="207"/>
      <c r="R750" s="207"/>
      <c r="S750" s="207"/>
      <c r="T750" s="207"/>
      <c r="U750" s="207"/>
      <c r="V750" s="207"/>
      <c r="W750" s="208"/>
      <c r="X750" s="208"/>
      <c r="Y750" s="208"/>
      <c r="Z750" s="208"/>
      <c r="AA750" s="208"/>
      <c r="AB750" s="208"/>
      <c r="AC750" s="208"/>
      <c r="AD750" s="208"/>
      <c r="AE750" s="208"/>
      <c r="AF750" s="208"/>
      <c r="AG750" s="208"/>
      <c r="AH750" s="208"/>
      <c r="AI750" s="100"/>
      <c r="AJ750" s="100"/>
      <c r="AK750" s="100"/>
      <c r="AL750" s="100"/>
      <c r="AM750" s="100"/>
    </row>
    <row r="751" ht="14.25" customHeight="1">
      <c r="A751" s="100"/>
      <c r="B751" s="100"/>
      <c r="C751" s="100"/>
      <c r="D751" s="100"/>
      <c r="E751" s="100"/>
      <c r="F751" s="206"/>
      <c r="G751" s="206"/>
      <c r="H751" s="207"/>
      <c r="I751" s="207"/>
      <c r="J751" s="207"/>
      <c r="K751" s="207"/>
      <c r="L751" s="207"/>
      <c r="M751" s="207"/>
      <c r="N751" s="207"/>
      <c r="O751" s="207"/>
      <c r="P751" s="207"/>
      <c r="Q751" s="207"/>
      <c r="R751" s="207"/>
      <c r="S751" s="207"/>
      <c r="T751" s="207"/>
      <c r="U751" s="207"/>
      <c r="V751" s="207"/>
      <c r="W751" s="208"/>
      <c r="X751" s="208"/>
      <c r="Y751" s="208"/>
      <c r="Z751" s="208"/>
      <c r="AA751" s="208"/>
      <c r="AB751" s="208"/>
      <c r="AC751" s="208"/>
      <c r="AD751" s="208"/>
      <c r="AE751" s="208"/>
      <c r="AF751" s="208"/>
      <c r="AG751" s="208"/>
      <c r="AH751" s="208"/>
      <c r="AI751" s="100"/>
      <c r="AJ751" s="100"/>
      <c r="AK751" s="100"/>
      <c r="AL751" s="100"/>
      <c r="AM751" s="100"/>
    </row>
    <row r="752" ht="14.25" customHeight="1">
      <c r="A752" s="100"/>
      <c r="B752" s="100"/>
      <c r="C752" s="100"/>
      <c r="D752" s="100"/>
      <c r="E752" s="100"/>
      <c r="F752" s="206"/>
      <c r="G752" s="206"/>
      <c r="H752" s="207"/>
      <c r="I752" s="207"/>
      <c r="J752" s="207"/>
      <c r="K752" s="207"/>
      <c r="L752" s="207"/>
      <c r="M752" s="207"/>
      <c r="N752" s="207"/>
      <c r="O752" s="207"/>
      <c r="P752" s="207"/>
      <c r="Q752" s="207"/>
      <c r="R752" s="207"/>
      <c r="S752" s="207"/>
      <c r="T752" s="207"/>
      <c r="U752" s="207"/>
      <c r="V752" s="207"/>
      <c r="W752" s="208"/>
      <c r="X752" s="208"/>
      <c r="Y752" s="208"/>
      <c r="Z752" s="208"/>
      <c r="AA752" s="208"/>
      <c r="AB752" s="208"/>
      <c r="AC752" s="208"/>
      <c r="AD752" s="208"/>
      <c r="AE752" s="208"/>
      <c r="AF752" s="208"/>
      <c r="AG752" s="208"/>
      <c r="AH752" s="208"/>
      <c r="AI752" s="100"/>
      <c r="AJ752" s="100"/>
      <c r="AK752" s="100"/>
      <c r="AL752" s="100"/>
      <c r="AM752" s="100"/>
    </row>
    <row r="753" ht="14.25" customHeight="1">
      <c r="A753" s="100"/>
      <c r="B753" s="100"/>
      <c r="C753" s="100"/>
      <c r="D753" s="100"/>
      <c r="E753" s="100"/>
      <c r="F753" s="206"/>
      <c r="G753" s="206"/>
      <c r="H753" s="207"/>
      <c r="I753" s="207"/>
      <c r="J753" s="207"/>
      <c r="K753" s="207"/>
      <c r="L753" s="207"/>
      <c r="M753" s="207"/>
      <c r="N753" s="207"/>
      <c r="O753" s="207"/>
      <c r="P753" s="207"/>
      <c r="Q753" s="207"/>
      <c r="R753" s="207"/>
      <c r="S753" s="207"/>
      <c r="T753" s="207"/>
      <c r="U753" s="207"/>
      <c r="V753" s="207"/>
      <c r="W753" s="208"/>
      <c r="X753" s="208"/>
      <c r="Y753" s="208"/>
      <c r="Z753" s="208"/>
      <c r="AA753" s="208"/>
      <c r="AB753" s="208"/>
      <c r="AC753" s="208"/>
      <c r="AD753" s="208"/>
      <c r="AE753" s="208"/>
      <c r="AF753" s="208"/>
      <c r="AG753" s="208"/>
      <c r="AH753" s="208"/>
      <c r="AI753" s="100"/>
      <c r="AJ753" s="100"/>
      <c r="AK753" s="100"/>
      <c r="AL753" s="100"/>
      <c r="AM753" s="100"/>
    </row>
    <row r="754" ht="14.25" customHeight="1">
      <c r="A754" s="100"/>
      <c r="B754" s="100"/>
      <c r="C754" s="100"/>
      <c r="D754" s="100"/>
      <c r="E754" s="100"/>
      <c r="F754" s="206"/>
      <c r="G754" s="206"/>
      <c r="H754" s="207"/>
      <c r="I754" s="207"/>
      <c r="J754" s="207"/>
      <c r="K754" s="207"/>
      <c r="L754" s="207"/>
      <c r="M754" s="207"/>
      <c r="N754" s="207"/>
      <c r="O754" s="207"/>
      <c r="P754" s="207"/>
      <c r="Q754" s="207"/>
      <c r="R754" s="207"/>
      <c r="S754" s="207"/>
      <c r="T754" s="207"/>
      <c r="U754" s="207"/>
      <c r="V754" s="207"/>
      <c r="W754" s="208"/>
      <c r="X754" s="208"/>
      <c r="Y754" s="208"/>
      <c r="Z754" s="208"/>
      <c r="AA754" s="208"/>
      <c r="AB754" s="208"/>
      <c r="AC754" s="208"/>
      <c r="AD754" s="208"/>
      <c r="AE754" s="208"/>
      <c r="AF754" s="208"/>
      <c r="AG754" s="208"/>
      <c r="AH754" s="208"/>
      <c r="AI754" s="100"/>
      <c r="AJ754" s="100"/>
      <c r="AK754" s="100"/>
      <c r="AL754" s="100"/>
      <c r="AM754" s="100"/>
    </row>
    <row r="755" ht="14.25" customHeight="1">
      <c r="A755" s="100"/>
      <c r="B755" s="100"/>
      <c r="C755" s="100"/>
      <c r="D755" s="100"/>
      <c r="E755" s="100"/>
      <c r="F755" s="206"/>
      <c r="G755" s="206"/>
      <c r="H755" s="207"/>
      <c r="I755" s="207"/>
      <c r="J755" s="207"/>
      <c r="K755" s="207"/>
      <c r="L755" s="207"/>
      <c r="M755" s="207"/>
      <c r="N755" s="207"/>
      <c r="O755" s="207"/>
      <c r="P755" s="207"/>
      <c r="Q755" s="207"/>
      <c r="R755" s="207"/>
      <c r="S755" s="207"/>
      <c r="T755" s="207"/>
      <c r="U755" s="207"/>
      <c r="V755" s="207"/>
      <c r="W755" s="208"/>
      <c r="X755" s="208"/>
      <c r="Y755" s="208"/>
      <c r="Z755" s="208"/>
      <c r="AA755" s="208"/>
      <c r="AB755" s="208"/>
      <c r="AC755" s="208"/>
      <c r="AD755" s="208"/>
      <c r="AE755" s="208"/>
      <c r="AF755" s="208"/>
      <c r="AG755" s="208"/>
      <c r="AH755" s="208"/>
      <c r="AI755" s="100"/>
      <c r="AJ755" s="100"/>
      <c r="AK755" s="100"/>
      <c r="AL755" s="100"/>
      <c r="AM755" s="100"/>
    </row>
    <row r="756" ht="14.25" customHeight="1">
      <c r="A756" s="100"/>
      <c r="B756" s="100"/>
      <c r="C756" s="100"/>
      <c r="D756" s="100"/>
      <c r="E756" s="100"/>
      <c r="F756" s="206"/>
      <c r="G756" s="206"/>
      <c r="H756" s="207"/>
      <c r="I756" s="207"/>
      <c r="J756" s="207"/>
      <c r="K756" s="207"/>
      <c r="L756" s="207"/>
      <c r="M756" s="207"/>
      <c r="N756" s="207"/>
      <c r="O756" s="207"/>
      <c r="P756" s="207"/>
      <c r="Q756" s="207"/>
      <c r="R756" s="207"/>
      <c r="S756" s="207"/>
      <c r="T756" s="207"/>
      <c r="U756" s="207"/>
      <c r="V756" s="207"/>
      <c r="W756" s="208"/>
      <c r="X756" s="208"/>
      <c r="Y756" s="208"/>
      <c r="Z756" s="208"/>
      <c r="AA756" s="208"/>
      <c r="AB756" s="208"/>
      <c r="AC756" s="208"/>
      <c r="AD756" s="208"/>
      <c r="AE756" s="208"/>
      <c r="AF756" s="208"/>
      <c r="AG756" s="208"/>
      <c r="AH756" s="208"/>
      <c r="AI756" s="100"/>
      <c r="AJ756" s="100"/>
      <c r="AK756" s="100"/>
      <c r="AL756" s="100"/>
      <c r="AM756" s="100"/>
    </row>
    <row r="757" ht="14.25" customHeight="1">
      <c r="A757" s="100"/>
      <c r="B757" s="100"/>
      <c r="C757" s="100"/>
      <c r="D757" s="100"/>
      <c r="E757" s="100"/>
      <c r="F757" s="206"/>
      <c r="G757" s="206"/>
      <c r="H757" s="207"/>
      <c r="I757" s="207"/>
      <c r="J757" s="207"/>
      <c r="K757" s="207"/>
      <c r="L757" s="207"/>
      <c r="M757" s="207"/>
      <c r="N757" s="207"/>
      <c r="O757" s="207"/>
      <c r="P757" s="207"/>
      <c r="Q757" s="207"/>
      <c r="R757" s="207"/>
      <c r="S757" s="207"/>
      <c r="T757" s="207"/>
      <c r="U757" s="207"/>
      <c r="V757" s="207"/>
      <c r="W757" s="208"/>
      <c r="X757" s="208"/>
      <c r="Y757" s="208"/>
      <c r="Z757" s="208"/>
      <c r="AA757" s="208"/>
      <c r="AB757" s="208"/>
      <c r="AC757" s="208"/>
      <c r="AD757" s="208"/>
      <c r="AE757" s="208"/>
      <c r="AF757" s="208"/>
      <c r="AG757" s="208"/>
      <c r="AH757" s="208"/>
      <c r="AI757" s="100"/>
      <c r="AJ757" s="100"/>
      <c r="AK757" s="100"/>
      <c r="AL757" s="100"/>
      <c r="AM757" s="100"/>
    </row>
    <row r="758" ht="14.25" customHeight="1">
      <c r="A758" s="100"/>
      <c r="B758" s="100"/>
      <c r="C758" s="100"/>
      <c r="D758" s="100"/>
      <c r="E758" s="100"/>
      <c r="F758" s="206"/>
      <c r="G758" s="206"/>
      <c r="H758" s="207"/>
      <c r="I758" s="207"/>
      <c r="J758" s="207"/>
      <c r="K758" s="207"/>
      <c r="L758" s="207"/>
      <c r="M758" s="207"/>
      <c r="N758" s="207"/>
      <c r="O758" s="207"/>
      <c r="P758" s="207"/>
      <c r="Q758" s="207"/>
      <c r="R758" s="207"/>
      <c r="S758" s="207"/>
      <c r="T758" s="207"/>
      <c r="U758" s="207"/>
      <c r="V758" s="207"/>
      <c r="W758" s="208"/>
      <c r="X758" s="208"/>
      <c r="Y758" s="208"/>
      <c r="Z758" s="208"/>
      <c r="AA758" s="208"/>
      <c r="AB758" s="208"/>
      <c r="AC758" s="208"/>
      <c r="AD758" s="208"/>
      <c r="AE758" s="208"/>
      <c r="AF758" s="208"/>
      <c r="AG758" s="208"/>
      <c r="AH758" s="208"/>
      <c r="AI758" s="100"/>
      <c r="AJ758" s="100"/>
      <c r="AK758" s="100"/>
      <c r="AL758" s="100"/>
      <c r="AM758" s="100"/>
    </row>
    <row r="759" ht="14.25" customHeight="1">
      <c r="A759" s="100"/>
      <c r="B759" s="100"/>
      <c r="C759" s="100"/>
      <c r="D759" s="100"/>
      <c r="E759" s="100"/>
      <c r="F759" s="206"/>
      <c r="G759" s="206"/>
      <c r="H759" s="207"/>
      <c r="I759" s="207"/>
      <c r="J759" s="207"/>
      <c r="K759" s="207"/>
      <c r="L759" s="207"/>
      <c r="M759" s="207"/>
      <c r="N759" s="207"/>
      <c r="O759" s="207"/>
      <c r="P759" s="207"/>
      <c r="Q759" s="207"/>
      <c r="R759" s="207"/>
      <c r="S759" s="207"/>
      <c r="T759" s="207"/>
      <c r="U759" s="207"/>
      <c r="V759" s="207"/>
      <c r="W759" s="208"/>
      <c r="X759" s="208"/>
      <c r="Y759" s="208"/>
      <c r="Z759" s="208"/>
      <c r="AA759" s="208"/>
      <c r="AB759" s="208"/>
      <c r="AC759" s="208"/>
      <c r="AD759" s="208"/>
      <c r="AE759" s="208"/>
      <c r="AF759" s="208"/>
      <c r="AG759" s="208"/>
      <c r="AH759" s="208"/>
      <c r="AI759" s="100"/>
      <c r="AJ759" s="100"/>
      <c r="AK759" s="100"/>
      <c r="AL759" s="100"/>
      <c r="AM759" s="100"/>
    </row>
    <row r="760" ht="14.25" customHeight="1">
      <c r="A760" s="100"/>
      <c r="B760" s="100"/>
      <c r="C760" s="100"/>
      <c r="D760" s="100"/>
      <c r="E760" s="100"/>
      <c r="F760" s="206"/>
      <c r="G760" s="206"/>
      <c r="H760" s="207"/>
      <c r="I760" s="207"/>
      <c r="J760" s="207"/>
      <c r="K760" s="207"/>
      <c r="L760" s="207"/>
      <c r="M760" s="207"/>
      <c r="N760" s="207"/>
      <c r="O760" s="207"/>
      <c r="P760" s="207"/>
      <c r="Q760" s="207"/>
      <c r="R760" s="207"/>
      <c r="S760" s="207"/>
      <c r="T760" s="207"/>
      <c r="U760" s="207"/>
      <c r="V760" s="207"/>
      <c r="W760" s="208"/>
      <c r="X760" s="208"/>
      <c r="Y760" s="208"/>
      <c r="Z760" s="208"/>
      <c r="AA760" s="208"/>
      <c r="AB760" s="208"/>
      <c r="AC760" s="208"/>
      <c r="AD760" s="208"/>
      <c r="AE760" s="208"/>
      <c r="AF760" s="208"/>
      <c r="AG760" s="208"/>
      <c r="AH760" s="208"/>
      <c r="AI760" s="100"/>
      <c r="AJ760" s="100"/>
      <c r="AK760" s="100"/>
      <c r="AL760" s="100"/>
      <c r="AM760" s="100"/>
    </row>
    <row r="761" ht="14.25" customHeight="1">
      <c r="A761" s="100"/>
      <c r="B761" s="100"/>
      <c r="C761" s="100"/>
      <c r="D761" s="100"/>
      <c r="E761" s="100"/>
      <c r="F761" s="206"/>
      <c r="G761" s="206"/>
      <c r="H761" s="207"/>
      <c r="I761" s="207"/>
      <c r="J761" s="207"/>
      <c r="K761" s="207"/>
      <c r="L761" s="207"/>
      <c r="M761" s="207"/>
      <c r="N761" s="207"/>
      <c r="O761" s="207"/>
      <c r="P761" s="207"/>
      <c r="Q761" s="207"/>
      <c r="R761" s="207"/>
      <c r="S761" s="207"/>
      <c r="T761" s="207"/>
      <c r="U761" s="207"/>
      <c r="V761" s="207"/>
      <c r="W761" s="208"/>
      <c r="X761" s="208"/>
      <c r="Y761" s="208"/>
      <c r="Z761" s="208"/>
      <c r="AA761" s="208"/>
      <c r="AB761" s="208"/>
      <c r="AC761" s="208"/>
      <c r="AD761" s="208"/>
      <c r="AE761" s="208"/>
      <c r="AF761" s="208"/>
      <c r="AG761" s="208"/>
      <c r="AH761" s="208"/>
      <c r="AI761" s="100"/>
      <c r="AJ761" s="100"/>
      <c r="AK761" s="100"/>
      <c r="AL761" s="100"/>
      <c r="AM761" s="100"/>
    </row>
    <row r="762" ht="14.25" customHeight="1">
      <c r="A762" s="100"/>
      <c r="B762" s="100"/>
      <c r="C762" s="100"/>
      <c r="D762" s="100"/>
      <c r="E762" s="100"/>
      <c r="F762" s="206"/>
      <c r="G762" s="206"/>
      <c r="H762" s="207"/>
      <c r="I762" s="207"/>
      <c r="J762" s="207"/>
      <c r="K762" s="207"/>
      <c r="L762" s="207"/>
      <c r="M762" s="207"/>
      <c r="N762" s="207"/>
      <c r="O762" s="207"/>
      <c r="P762" s="207"/>
      <c r="Q762" s="207"/>
      <c r="R762" s="207"/>
      <c r="S762" s="207"/>
      <c r="T762" s="207"/>
      <c r="U762" s="207"/>
      <c r="V762" s="207"/>
      <c r="W762" s="208"/>
      <c r="X762" s="208"/>
      <c r="Y762" s="208"/>
      <c r="Z762" s="208"/>
      <c r="AA762" s="208"/>
      <c r="AB762" s="208"/>
      <c r="AC762" s="208"/>
      <c r="AD762" s="208"/>
      <c r="AE762" s="208"/>
      <c r="AF762" s="208"/>
      <c r="AG762" s="208"/>
      <c r="AH762" s="208"/>
      <c r="AI762" s="100"/>
      <c r="AJ762" s="100"/>
      <c r="AK762" s="100"/>
      <c r="AL762" s="100"/>
      <c r="AM762" s="100"/>
    </row>
    <row r="763" ht="14.25" customHeight="1">
      <c r="A763" s="100"/>
      <c r="B763" s="100"/>
      <c r="C763" s="100"/>
      <c r="D763" s="100"/>
      <c r="E763" s="100"/>
      <c r="F763" s="206"/>
      <c r="G763" s="206"/>
      <c r="H763" s="207"/>
      <c r="I763" s="207"/>
      <c r="J763" s="207"/>
      <c r="K763" s="207"/>
      <c r="L763" s="207"/>
      <c r="M763" s="207"/>
      <c r="N763" s="207"/>
      <c r="O763" s="207"/>
      <c r="P763" s="207"/>
      <c r="Q763" s="207"/>
      <c r="R763" s="207"/>
      <c r="S763" s="207"/>
      <c r="T763" s="207"/>
      <c r="U763" s="207"/>
      <c r="V763" s="207"/>
      <c r="W763" s="208"/>
      <c r="X763" s="208"/>
      <c r="Y763" s="208"/>
      <c r="Z763" s="208"/>
      <c r="AA763" s="208"/>
      <c r="AB763" s="208"/>
      <c r="AC763" s="208"/>
      <c r="AD763" s="208"/>
      <c r="AE763" s="208"/>
      <c r="AF763" s="208"/>
      <c r="AG763" s="208"/>
      <c r="AH763" s="208"/>
      <c r="AI763" s="100"/>
      <c r="AJ763" s="100"/>
      <c r="AK763" s="100"/>
      <c r="AL763" s="100"/>
      <c r="AM763" s="100"/>
    </row>
    <row r="764" ht="14.25" customHeight="1">
      <c r="A764" s="100"/>
      <c r="B764" s="100"/>
      <c r="C764" s="100"/>
      <c r="D764" s="100"/>
      <c r="E764" s="100"/>
      <c r="F764" s="206"/>
      <c r="G764" s="206"/>
      <c r="H764" s="207"/>
      <c r="I764" s="207"/>
      <c r="J764" s="207"/>
      <c r="K764" s="207"/>
      <c r="L764" s="207"/>
      <c r="M764" s="207"/>
      <c r="N764" s="207"/>
      <c r="O764" s="207"/>
      <c r="P764" s="207"/>
      <c r="Q764" s="207"/>
      <c r="R764" s="207"/>
      <c r="S764" s="207"/>
      <c r="T764" s="207"/>
      <c r="U764" s="207"/>
      <c r="V764" s="207"/>
      <c r="W764" s="208"/>
      <c r="X764" s="208"/>
      <c r="Y764" s="208"/>
      <c r="Z764" s="208"/>
      <c r="AA764" s="208"/>
      <c r="AB764" s="208"/>
      <c r="AC764" s="208"/>
      <c r="AD764" s="208"/>
      <c r="AE764" s="208"/>
      <c r="AF764" s="208"/>
      <c r="AG764" s="208"/>
      <c r="AH764" s="208"/>
      <c r="AI764" s="100"/>
      <c r="AJ764" s="100"/>
      <c r="AK764" s="100"/>
      <c r="AL764" s="100"/>
      <c r="AM764" s="100"/>
    </row>
    <row r="765" ht="14.25" customHeight="1">
      <c r="A765" s="100"/>
      <c r="B765" s="100"/>
      <c r="C765" s="100"/>
      <c r="D765" s="100"/>
      <c r="E765" s="100"/>
      <c r="F765" s="206"/>
      <c r="G765" s="206"/>
      <c r="H765" s="207"/>
      <c r="I765" s="207"/>
      <c r="J765" s="207"/>
      <c r="K765" s="207"/>
      <c r="L765" s="207"/>
      <c r="M765" s="207"/>
      <c r="N765" s="207"/>
      <c r="O765" s="207"/>
      <c r="P765" s="207"/>
      <c r="Q765" s="207"/>
      <c r="R765" s="207"/>
      <c r="S765" s="207"/>
      <c r="T765" s="207"/>
      <c r="U765" s="207"/>
      <c r="V765" s="207"/>
      <c r="W765" s="208"/>
      <c r="X765" s="208"/>
      <c r="Y765" s="208"/>
      <c r="Z765" s="208"/>
      <c r="AA765" s="208"/>
      <c r="AB765" s="208"/>
      <c r="AC765" s="208"/>
      <c r="AD765" s="208"/>
      <c r="AE765" s="208"/>
      <c r="AF765" s="208"/>
      <c r="AG765" s="208"/>
      <c r="AH765" s="208"/>
      <c r="AI765" s="100"/>
      <c r="AJ765" s="100"/>
      <c r="AK765" s="100"/>
      <c r="AL765" s="100"/>
      <c r="AM765" s="100"/>
    </row>
    <row r="766" ht="14.25" customHeight="1">
      <c r="A766" s="100"/>
      <c r="B766" s="100"/>
      <c r="C766" s="100"/>
      <c r="D766" s="100"/>
      <c r="E766" s="100"/>
      <c r="F766" s="206"/>
      <c r="G766" s="206"/>
      <c r="H766" s="207"/>
      <c r="I766" s="207"/>
      <c r="J766" s="207"/>
      <c r="K766" s="207"/>
      <c r="L766" s="207"/>
      <c r="M766" s="207"/>
      <c r="N766" s="207"/>
      <c r="O766" s="207"/>
      <c r="P766" s="207"/>
      <c r="Q766" s="207"/>
      <c r="R766" s="207"/>
      <c r="S766" s="207"/>
      <c r="T766" s="207"/>
      <c r="U766" s="207"/>
      <c r="V766" s="207"/>
      <c r="W766" s="208"/>
      <c r="X766" s="208"/>
      <c r="Y766" s="208"/>
      <c r="Z766" s="208"/>
      <c r="AA766" s="208"/>
      <c r="AB766" s="208"/>
      <c r="AC766" s="208"/>
      <c r="AD766" s="208"/>
      <c r="AE766" s="208"/>
      <c r="AF766" s="208"/>
      <c r="AG766" s="208"/>
      <c r="AH766" s="208"/>
      <c r="AI766" s="100"/>
      <c r="AJ766" s="100"/>
      <c r="AK766" s="100"/>
      <c r="AL766" s="100"/>
      <c r="AM766" s="100"/>
    </row>
    <row r="767" ht="14.25" customHeight="1">
      <c r="A767" s="100"/>
      <c r="B767" s="100"/>
      <c r="C767" s="100"/>
      <c r="D767" s="100"/>
      <c r="E767" s="100"/>
      <c r="F767" s="206"/>
      <c r="G767" s="206"/>
      <c r="H767" s="207"/>
      <c r="I767" s="207"/>
      <c r="J767" s="207"/>
      <c r="K767" s="207"/>
      <c r="L767" s="207"/>
      <c r="M767" s="207"/>
      <c r="N767" s="207"/>
      <c r="O767" s="207"/>
      <c r="P767" s="207"/>
      <c r="Q767" s="207"/>
      <c r="R767" s="207"/>
      <c r="S767" s="207"/>
      <c r="T767" s="207"/>
      <c r="U767" s="207"/>
      <c r="V767" s="207"/>
      <c r="W767" s="208"/>
      <c r="X767" s="208"/>
      <c r="Y767" s="208"/>
      <c r="Z767" s="208"/>
      <c r="AA767" s="208"/>
      <c r="AB767" s="208"/>
      <c r="AC767" s="208"/>
      <c r="AD767" s="208"/>
      <c r="AE767" s="208"/>
      <c r="AF767" s="208"/>
      <c r="AG767" s="208"/>
      <c r="AH767" s="208"/>
      <c r="AI767" s="100"/>
      <c r="AJ767" s="100"/>
      <c r="AK767" s="100"/>
      <c r="AL767" s="100"/>
      <c r="AM767" s="100"/>
    </row>
    <row r="768" ht="14.25" customHeight="1">
      <c r="A768" s="100"/>
      <c r="B768" s="100"/>
      <c r="C768" s="100"/>
      <c r="D768" s="100"/>
      <c r="E768" s="100"/>
      <c r="F768" s="206"/>
      <c r="G768" s="206"/>
      <c r="H768" s="207"/>
      <c r="I768" s="207"/>
      <c r="J768" s="207"/>
      <c r="K768" s="207"/>
      <c r="L768" s="207"/>
      <c r="M768" s="207"/>
      <c r="N768" s="207"/>
      <c r="O768" s="207"/>
      <c r="P768" s="207"/>
      <c r="Q768" s="207"/>
      <c r="R768" s="207"/>
      <c r="S768" s="207"/>
      <c r="T768" s="207"/>
      <c r="U768" s="207"/>
      <c r="V768" s="207"/>
      <c r="W768" s="208"/>
      <c r="X768" s="208"/>
      <c r="Y768" s="208"/>
      <c r="Z768" s="208"/>
      <c r="AA768" s="208"/>
      <c r="AB768" s="208"/>
      <c r="AC768" s="208"/>
      <c r="AD768" s="208"/>
      <c r="AE768" s="208"/>
      <c r="AF768" s="208"/>
      <c r="AG768" s="208"/>
      <c r="AH768" s="208"/>
      <c r="AI768" s="100"/>
      <c r="AJ768" s="100"/>
      <c r="AK768" s="100"/>
      <c r="AL768" s="100"/>
      <c r="AM768" s="100"/>
    </row>
    <row r="769" ht="14.25" customHeight="1">
      <c r="A769" s="100"/>
      <c r="B769" s="100"/>
      <c r="C769" s="100"/>
      <c r="D769" s="100"/>
      <c r="E769" s="100"/>
      <c r="F769" s="206"/>
      <c r="G769" s="206"/>
      <c r="H769" s="207"/>
      <c r="I769" s="207"/>
      <c r="J769" s="207"/>
      <c r="K769" s="207"/>
      <c r="L769" s="207"/>
      <c r="M769" s="207"/>
      <c r="N769" s="207"/>
      <c r="O769" s="207"/>
      <c r="P769" s="207"/>
      <c r="Q769" s="207"/>
      <c r="R769" s="207"/>
      <c r="S769" s="207"/>
      <c r="T769" s="207"/>
      <c r="U769" s="207"/>
      <c r="V769" s="207"/>
      <c r="W769" s="208"/>
      <c r="X769" s="208"/>
      <c r="Y769" s="208"/>
      <c r="Z769" s="208"/>
      <c r="AA769" s="208"/>
      <c r="AB769" s="208"/>
      <c r="AC769" s="208"/>
      <c r="AD769" s="208"/>
      <c r="AE769" s="208"/>
      <c r="AF769" s="208"/>
      <c r="AG769" s="208"/>
      <c r="AH769" s="208"/>
      <c r="AI769" s="100"/>
      <c r="AJ769" s="100"/>
      <c r="AK769" s="100"/>
      <c r="AL769" s="100"/>
      <c r="AM769" s="100"/>
    </row>
    <row r="770" ht="14.25" customHeight="1">
      <c r="A770" s="100"/>
      <c r="B770" s="100"/>
      <c r="C770" s="100"/>
      <c r="D770" s="100"/>
      <c r="E770" s="100"/>
      <c r="F770" s="206"/>
      <c r="G770" s="206"/>
      <c r="H770" s="207"/>
      <c r="I770" s="207"/>
      <c r="J770" s="207"/>
      <c r="K770" s="207"/>
      <c r="L770" s="207"/>
      <c r="M770" s="207"/>
      <c r="N770" s="207"/>
      <c r="O770" s="207"/>
      <c r="P770" s="207"/>
      <c r="Q770" s="207"/>
      <c r="R770" s="207"/>
      <c r="S770" s="207"/>
      <c r="T770" s="207"/>
      <c r="U770" s="207"/>
      <c r="V770" s="207"/>
      <c r="W770" s="208"/>
      <c r="X770" s="208"/>
      <c r="Y770" s="208"/>
      <c r="Z770" s="208"/>
      <c r="AA770" s="208"/>
      <c r="AB770" s="208"/>
      <c r="AC770" s="208"/>
      <c r="AD770" s="208"/>
      <c r="AE770" s="208"/>
      <c r="AF770" s="208"/>
      <c r="AG770" s="208"/>
      <c r="AH770" s="208"/>
      <c r="AI770" s="100"/>
      <c r="AJ770" s="100"/>
      <c r="AK770" s="100"/>
      <c r="AL770" s="100"/>
      <c r="AM770" s="100"/>
    </row>
    <row r="771" ht="14.25" customHeight="1">
      <c r="A771" s="100"/>
      <c r="B771" s="100"/>
      <c r="C771" s="100"/>
      <c r="D771" s="100"/>
      <c r="E771" s="100"/>
      <c r="F771" s="206"/>
      <c r="G771" s="206"/>
      <c r="H771" s="207"/>
      <c r="I771" s="207"/>
      <c r="J771" s="207"/>
      <c r="K771" s="207"/>
      <c r="L771" s="207"/>
      <c r="M771" s="207"/>
      <c r="N771" s="207"/>
      <c r="O771" s="207"/>
      <c r="P771" s="207"/>
      <c r="Q771" s="207"/>
      <c r="R771" s="207"/>
      <c r="S771" s="207"/>
      <c r="T771" s="207"/>
      <c r="U771" s="207"/>
      <c r="V771" s="207"/>
      <c r="W771" s="208"/>
      <c r="X771" s="208"/>
      <c r="Y771" s="208"/>
      <c r="Z771" s="208"/>
      <c r="AA771" s="208"/>
      <c r="AB771" s="208"/>
      <c r="AC771" s="208"/>
      <c r="AD771" s="208"/>
      <c r="AE771" s="208"/>
      <c r="AF771" s="208"/>
      <c r="AG771" s="208"/>
      <c r="AH771" s="208"/>
      <c r="AI771" s="100"/>
      <c r="AJ771" s="100"/>
      <c r="AK771" s="100"/>
      <c r="AL771" s="100"/>
      <c r="AM771" s="100"/>
    </row>
    <row r="772" ht="14.25" customHeight="1">
      <c r="A772" s="100"/>
      <c r="B772" s="100"/>
      <c r="C772" s="100"/>
      <c r="D772" s="100"/>
      <c r="E772" s="100"/>
      <c r="F772" s="206"/>
      <c r="G772" s="206"/>
      <c r="H772" s="207"/>
      <c r="I772" s="207"/>
      <c r="J772" s="207"/>
      <c r="K772" s="207"/>
      <c r="L772" s="207"/>
      <c r="M772" s="207"/>
      <c r="N772" s="207"/>
      <c r="O772" s="207"/>
      <c r="P772" s="207"/>
      <c r="Q772" s="207"/>
      <c r="R772" s="207"/>
      <c r="S772" s="207"/>
      <c r="T772" s="207"/>
      <c r="U772" s="207"/>
      <c r="V772" s="207"/>
      <c r="W772" s="208"/>
      <c r="X772" s="208"/>
      <c r="Y772" s="208"/>
      <c r="Z772" s="208"/>
      <c r="AA772" s="208"/>
      <c r="AB772" s="208"/>
      <c r="AC772" s="208"/>
      <c r="AD772" s="208"/>
      <c r="AE772" s="208"/>
      <c r="AF772" s="208"/>
      <c r="AG772" s="208"/>
      <c r="AH772" s="208"/>
      <c r="AI772" s="100"/>
      <c r="AJ772" s="100"/>
      <c r="AK772" s="100"/>
      <c r="AL772" s="100"/>
      <c r="AM772" s="100"/>
    </row>
    <row r="773" ht="14.25" customHeight="1">
      <c r="A773" s="100"/>
      <c r="B773" s="100"/>
      <c r="C773" s="100"/>
      <c r="D773" s="100"/>
      <c r="E773" s="100"/>
      <c r="F773" s="206"/>
      <c r="G773" s="206"/>
      <c r="H773" s="207"/>
      <c r="I773" s="207"/>
      <c r="J773" s="207"/>
      <c r="K773" s="207"/>
      <c r="L773" s="207"/>
      <c r="M773" s="207"/>
      <c r="N773" s="207"/>
      <c r="O773" s="207"/>
      <c r="P773" s="207"/>
      <c r="Q773" s="207"/>
      <c r="R773" s="207"/>
      <c r="S773" s="207"/>
      <c r="T773" s="207"/>
      <c r="U773" s="207"/>
      <c r="V773" s="207"/>
      <c r="W773" s="208"/>
      <c r="X773" s="208"/>
      <c r="Y773" s="208"/>
      <c r="Z773" s="208"/>
      <c r="AA773" s="208"/>
      <c r="AB773" s="208"/>
      <c r="AC773" s="208"/>
      <c r="AD773" s="208"/>
      <c r="AE773" s="208"/>
      <c r="AF773" s="208"/>
      <c r="AG773" s="208"/>
      <c r="AH773" s="208"/>
      <c r="AI773" s="100"/>
      <c r="AJ773" s="100"/>
      <c r="AK773" s="100"/>
      <c r="AL773" s="100"/>
      <c r="AM773" s="100"/>
    </row>
    <row r="774" ht="14.25" customHeight="1">
      <c r="A774" s="100"/>
      <c r="B774" s="100"/>
      <c r="C774" s="100"/>
      <c r="D774" s="100"/>
      <c r="E774" s="100"/>
      <c r="F774" s="206"/>
      <c r="G774" s="206"/>
      <c r="H774" s="207"/>
      <c r="I774" s="207"/>
      <c r="J774" s="207"/>
      <c r="K774" s="207"/>
      <c r="L774" s="207"/>
      <c r="M774" s="207"/>
      <c r="N774" s="207"/>
      <c r="O774" s="207"/>
      <c r="P774" s="207"/>
      <c r="Q774" s="207"/>
      <c r="R774" s="207"/>
      <c r="S774" s="207"/>
      <c r="T774" s="207"/>
      <c r="U774" s="207"/>
      <c r="V774" s="207"/>
      <c r="W774" s="208"/>
      <c r="X774" s="208"/>
      <c r="Y774" s="208"/>
      <c r="Z774" s="208"/>
      <c r="AA774" s="208"/>
      <c r="AB774" s="208"/>
      <c r="AC774" s="208"/>
      <c r="AD774" s="208"/>
      <c r="AE774" s="208"/>
      <c r="AF774" s="208"/>
      <c r="AG774" s="208"/>
      <c r="AH774" s="208"/>
      <c r="AI774" s="100"/>
      <c r="AJ774" s="100"/>
      <c r="AK774" s="100"/>
      <c r="AL774" s="100"/>
      <c r="AM774" s="100"/>
    </row>
    <row r="775" ht="14.25" customHeight="1">
      <c r="A775" s="100"/>
      <c r="B775" s="100"/>
      <c r="C775" s="100"/>
      <c r="D775" s="100"/>
      <c r="E775" s="100"/>
      <c r="F775" s="206"/>
      <c r="G775" s="206"/>
      <c r="H775" s="207"/>
      <c r="I775" s="207"/>
      <c r="J775" s="207"/>
      <c r="K775" s="207"/>
      <c r="L775" s="207"/>
      <c r="M775" s="207"/>
      <c r="N775" s="207"/>
      <c r="O775" s="207"/>
      <c r="P775" s="207"/>
      <c r="Q775" s="207"/>
      <c r="R775" s="207"/>
      <c r="S775" s="207"/>
      <c r="T775" s="207"/>
      <c r="U775" s="207"/>
      <c r="V775" s="207"/>
      <c r="W775" s="208"/>
      <c r="X775" s="208"/>
      <c r="Y775" s="208"/>
      <c r="Z775" s="208"/>
      <c r="AA775" s="208"/>
      <c r="AB775" s="208"/>
      <c r="AC775" s="208"/>
      <c r="AD775" s="208"/>
      <c r="AE775" s="208"/>
      <c r="AF775" s="208"/>
      <c r="AG775" s="208"/>
      <c r="AH775" s="208"/>
      <c r="AI775" s="100"/>
      <c r="AJ775" s="100"/>
      <c r="AK775" s="100"/>
      <c r="AL775" s="100"/>
      <c r="AM775" s="100"/>
    </row>
    <row r="776" ht="14.25" customHeight="1">
      <c r="A776" s="100"/>
      <c r="B776" s="100"/>
      <c r="C776" s="100"/>
      <c r="D776" s="100"/>
      <c r="E776" s="100"/>
      <c r="F776" s="206"/>
      <c r="G776" s="206"/>
      <c r="H776" s="207"/>
      <c r="I776" s="207"/>
      <c r="J776" s="207"/>
      <c r="K776" s="207"/>
      <c r="L776" s="207"/>
      <c r="M776" s="207"/>
      <c r="N776" s="207"/>
      <c r="O776" s="207"/>
      <c r="P776" s="207"/>
      <c r="Q776" s="207"/>
      <c r="R776" s="207"/>
      <c r="S776" s="207"/>
      <c r="T776" s="207"/>
      <c r="U776" s="207"/>
      <c r="V776" s="207"/>
      <c r="W776" s="208"/>
      <c r="X776" s="208"/>
      <c r="Y776" s="208"/>
      <c r="Z776" s="208"/>
      <c r="AA776" s="208"/>
      <c r="AB776" s="208"/>
      <c r="AC776" s="208"/>
      <c r="AD776" s="208"/>
      <c r="AE776" s="208"/>
      <c r="AF776" s="208"/>
      <c r="AG776" s="208"/>
      <c r="AH776" s="208"/>
      <c r="AI776" s="100"/>
      <c r="AJ776" s="100"/>
      <c r="AK776" s="100"/>
      <c r="AL776" s="100"/>
      <c r="AM776" s="100"/>
    </row>
    <row r="777" ht="14.25" customHeight="1">
      <c r="A777" s="100"/>
      <c r="B777" s="100"/>
      <c r="C777" s="100"/>
      <c r="D777" s="100"/>
      <c r="E777" s="100"/>
      <c r="F777" s="206"/>
      <c r="G777" s="206"/>
      <c r="H777" s="207"/>
      <c r="I777" s="207"/>
      <c r="J777" s="207"/>
      <c r="K777" s="207"/>
      <c r="L777" s="207"/>
      <c r="M777" s="207"/>
      <c r="N777" s="207"/>
      <c r="O777" s="207"/>
      <c r="P777" s="207"/>
      <c r="Q777" s="207"/>
      <c r="R777" s="207"/>
      <c r="S777" s="207"/>
      <c r="T777" s="207"/>
      <c r="U777" s="207"/>
      <c r="V777" s="207"/>
      <c r="W777" s="208"/>
      <c r="X777" s="208"/>
      <c r="Y777" s="208"/>
      <c r="Z777" s="208"/>
      <c r="AA777" s="208"/>
      <c r="AB777" s="208"/>
      <c r="AC777" s="208"/>
      <c r="AD777" s="208"/>
      <c r="AE777" s="208"/>
      <c r="AF777" s="208"/>
      <c r="AG777" s="208"/>
      <c r="AH777" s="208"/>
      <c r="AI777" s="100"/>
      <c r="AJ777" s="100"/>
      <c r="AK777" s="100"/>
      <c r="AL777" s="100"/>
      <c r="AM777" s="100"/>
    </row>
    <row r="778" ht="14.25" customHeight="1">
      <c r="A778" s="100"/>
      <c r="B778" s="100"/>
      <c r="C778" s="100"/>
      <c r="D778" s="100"/>
      <c r="E778" s="100"/>
      <c r="F778" s="206"/>
      <c r="G778" s="206"/>
      <c r="H778" s="207"/>
      <c r="I778" s="207"/>
      <c r="J778" s="207"/>
      <c r="K778" s="207"/>
      <c r="L778" s="207"/>
      <c r="M778" s="207"/>
      <c r="N778" s="207"/>
      <c r="O778" s="207"/>
      <c r="P778" s="207"/>
      <c r="Q778" s="207"/>
      <c r="R778" s="207"/>
      <c r="S778" s="207"/>
      <c r="T778" s="207"/>
      <c r="U778" s="207"/>
      <c r="V778" s="207"/>
      <c r="W778" s="208"/>
      <c r="X778" s="208"/>
      <c r="Y778" s="208"/>
      <c r="Z778" s="208"/>
      <c r="AA778" s="208"/>
      <c r="AB778" s="208"/>
      <c r="AC778" s="208"/>
      <c r="AD778" s="208"/>
      <c r="AE778" s="208"/>
      <c r="AF778" s="208"/>
      <c r="AG778" s="208"/>
      <c r="AH778" s="208"/>
      <c r="AI778" s="100"/>
      <c r="AJ778" s="100"/>
      <c r="AK778" s="100"/>
      <c r="AL778" s="100"/>
      <c r="AM778" s="100"/>
    </row>
    <row r="779" ht="14.25" customHeight="1">
      <c r="A779" s="100"/>
      <c r="B779" s="100"/>
      <c r="C779" s="100"/>
      <c r="D779" s="100"/>
      <c r="E779" s="100"/>
      <c r="F779" s="206"/>
      <c r="G779" s="206"/>
      <c r="H779" s="207"/>
      <c r="I779" s="207"/>
      <c r="J779" s="207"/>
      <c r="K779" s="207"/>
      <c r="L779" s="207"/>
      <c r="M779" s="207"/>
      <c r="N779" s="207"/>
      <c r="O779" s="207"/>
      <c r="P779" s="207"/>
      <c r="Q779" s="207"/>
      <c r="R779" s="207"/>
      <c r="S779" s="207"/>
      <c r="T779" s="207"/>
      <c r="U779" s="207"/>
      <c r="V779" s="207"/>
      <c r="W779" s="208"/>
      <c r="X779" s="208"/>
      <c r="Y779" s="208"/>
      <c r="Z779" s="208"/>
      <c r="AA779" s="208"/>
      <c r="AB779" s="208"/>
      <c r="AC779" s="208"/>
      <c r="AD779" s="208"/>
      <c r="AE779" s="208"/>
      <c r="AF779" s="208"/>
      <c r="AG779" s="208"/>
      <c r="AH779" s="208"/>
      <c r="AI779" s="100"/>
      <c r="AJ779" s="100"/>
      <c r="AK779" s="100"/>
      <c r="AL779" s="100"/>
      <c r="AM779" s="100"/>
    </row>
    <row r="780" ht="14.25" customHeight="1">
      <c r="A780" s="100"/>
      <c r="B780" s="100"/>
      <c r="C780" s="100"/>
      <c r="D780" s="100"/>
      <c r="E780" s="100"/>
      <c r="F780" s="206"/>
      <c r="G780" s="206"/>
      <c r="H780" s="207"/>
      <c r="I780" s="207"/>
      <c r="J780" s="207"/>
      <c r="K780" s="207"/>
      <c r="L780" s="207"/>
      <c r="M780" s="207"/>
      <c r="N780" s="207"/>
      <c r="O780" s="207"/>
      <c r="P780" s="207"/>
      <c r="Q780" s="207"/>
      <c r="R780" s="207"/>
      <c r="S780" s="207"/>
      <c r="T780" s="207"/>
      <c r="U780" s="207"/>
      <c r="V780" s="207"/>
      <c r="W780" s="208"/>
      <c r="X780" s="208"/>
      <c r="Y780" s="208"/>
      <c r="Z780" s="208"/>
      <c r="AA780" s="208"/>
      <c r="AB780" s="208"/>
      <c r="AC780" s="208"/>
      <c r="AD780" s="208"/>
      <c r="AE780" s="208"/>
      <c r="AF780" s="208"/>
      <c r="AG780" s="208"/>
      <c r="AH780" s="208"/>
      <c r="AI780" s="100"/>
      <c r="AJ780" s="100"/>
      <c r="AK780" s="100"/>
      <c r="AL780" s="100"/>
      <c r="AM780" s="100"/>
    </row>
    <row r="781" ht="14.25" customHeight="1">
      <c r="A781" s="100"/>
      <c r="B781" s="100"/>
      <c r="C781" s="100"/>
      <c r="D781" s="100"/>
      <c r="E781" s="100"/>
      <c r="F781" s="206"/>
      <c r="G781" s="206"/>
      <c r="H781" s="207"/>
      <c r="I781" s="207"/>
      <c r="J781" s="207"/>
      <c r="K781" s="207"/>
      <c r="L781" s="207"/>
      <c r="M781" s="207"/>
      <c r="N781" s="207"/>
      <c r="O781" s="207"/>
      <c r="P781" s="207"/>
      <c r="Q781" s="207"/>
      <c r="R781" s="207"/>
      <c r="S781" s="207"/>
      <c r="T781" s="207"/>
      <c r="U781" s="207"/>
      <c r="V781" s="207"/>
      <c r="W781" s="208"/>
      <c r="X781" s="208"/>
      <c r="Y781" s="208"/>
      <c r="Z781" s="208"/>
      <c r="AA781" s="208"/>
      <c r="AB781" s="208"/>
      <c r="AC781" s="208"/>
      <c r="AD781" s="208"/>
      <c r="AE781" s="208"/>
      <c r="AF781" s="208"/>
      <c r="AG781" s="208"/>
      <c r="AH781" s="208"/>
      <c r="AI781" s="100"/>
      <c r="AJ781" s="100"/>
      <c r="AK781" s="100"/>
      <c r="AL781" s="100"/>
      <c r="AM781" s="100"/>
    </row>
    <row r="782" ht="14.25" customHeight="1">
      <c r="A782" s="100"/>
      <c r="B782" s="100"/>
      <c r="C782" s="100"/>
      <c r="D782" s="100"/>
      <c r="E782" s="100"/>
      <c r="F782" s="206"/>
      <c r="G782" s="206"/>
      <c r="H782" s="207"/>
      <c r="I782" s="207"/>
      <c r="J782" s="207"/>
      <c r="K782" s="207"/>
      <c r="L782" s="207"/>
      <c r="M782" s="207"/>
      <c r="N782" s="207"/>
      <c r="O782" s="207"/>
      <c r="P782" s="207"/>
      <c r="Q782" s="207"/>
      <c r="R782" s="207"/>
      <c r="S782" s="207"/>
      <c r="T782" s="207"/>
      <c r="U782" s="207"/>
      <c r="V782" s="207"/>
      <c r="W782" s="208"/>
      <c r="X782" s="208"/>
      <c r="Y782" s="208"/>
      <c r="Z782" s="208"/>
      <c r="AA782" s="208"/>
      <c r="AB782" s="208"/>
      <c r="AC782" s="208"/>
      <c r="AD782" s="208"/>
      <c r="AE782" s="208"/>
      <c r="AF782" s="208"/>
      <c r="AG782" s="208"/>
      <c r="AH782" s="208"/>
      <c r="AI782" s="100"/>
      <c r="AJ782" s="100"/>
      <c r="AK782" s="100"/>
      <c r="AL782" s="100"/>
      <c r="AM782" s="100"/>
    </row>
    <row r="783" ht="14.25" customHeight="1">
      <c r="A783" s="100"/>
      <c r="B783" s="100"/>
      <c r="C783" s="100"/>
      <c r="D783" s="100"/>
      <c r="E783" s="100"/>
      <c r="F783" s="206"/>
      <c r="G783" s="206"/>
      <c r="H783" s="207"/>
      <c r="I783" s="207"/>
      <c r="J783" s="207"/>
      <c r="K783" s="207"/>
      <c r="L783" s="207"/>
      <c r="M783" s="207"/>
      <c r="N783" s="207"/>
      <c r="O783" s="207"/>
      <c r="P783" s="207"/>
      <c r="Q783" s="207"/>
      <c r="R783" s="207"/>
      <c r="S783" s="207"/>
      <c r="T783" s="207"/>
      <c r="U783" s="207"/>
      <c r="V783" s="207"/>
      <c r="W783" s="208"/>
      <c r="X783" s="208"/>
      <c r="Y783" s="208"/>
      <c r="Z783" s="208"/>
      <c r="AA783" s="208"/>
      <c r="AB783" s="208"/>
      <c r="AC783" s="208"/>
      <c r="AD783" s="208"/>
      <c r="AE783" s="208"/>
      <c r="AF783" s="208"/>
      <c r="AG783" s="208"/>
      <c r="AH783" s="208"/>
      <c r="AI783" s="100"/>
      <c r="AJ783" s="100"/>
      <c r="AK783" s="100"/>
      <c r="AL783" s="100"/>
      <c r="AM783" s="100"/>
    </row>
    <row r="784" ht="14.25" customHeight="1">
      <c r="A784" s="100"/>
      <c r="B784" s="100"/>
      <c r="C784" s="100"/>
      <c r="D784" s="100"/>
      <c r="E784" s="100"/>
      <c r="F784" s="206"/>
      <c r="G784" s="206"/>
      <c r="H784" s="207"/>
      <c r="I784" s="207"/>
      <c r="J784" s="207"/>
      <c r="K784" s="207"/>
      <c r="L784" s="207"/>
      <c r="M784" s="207"/>
      <c r="N784" s="207"/>
      <c r="O784" s="207"/>
      <c r="P784" s="207"/>
      <c r="Q784" s="207"/>
      <c r="R784" s="207"/>
      <c r="S784" s="207"/>
      <c r="T784" s="207"/>
      <c r="U784" s="207"/>
      <c r="V784" s="207"/>
      <c r="W784" s="208"/>
      <c r="X784" s="208"/>
      <c r="Y784" s="208"/>
      <c r="Z784" s="208"/>
      <c r="AA784" s="208"/>
      <c r="AB784" s="208"/>
      <c r="AC784" s="208"/>
      <c r="AD784" s="208"/>
      <c r="AE784" s="208"/>
      <c r="AF784" s="208"/>
      <c r="AG784" s="208"/>
      <c r="AH784" s="208"/>
      <c r="AI784" s="100"/>
      <c r="AJ784" s="100"/>
      <c r="AK784" s="100"/>
      <c r="AL784" s="100"/>
      <c r="AM784" s="100"/>
    </row>
    <row r="785" ht="14.25" customHeight="1">
      <c r="A785" s="100"/>
      <c r="B785" s="100"/>
      <c r="C785" s="100"/>
      <c r="D785" s="100"/>
      <c r="E785" s="100"/>
      <c r="F785" s="206"/>
      <c r="G785" s="206"/>
      <c r="H785" s="207"/>
      <c r="I785" s="207"/>
      <c r="J785" s="207"/>
      <c r="K785" s="207"/>
      <c r="L785" s="207"/>
      <c r="M785" s="207"/>
      <c r="N785" s="207"/>
      <c r="O785" s="207"/>
      <c r="P785" s="207"/>
      <c r="Q785" s="207"/>
      <c r="R785" s="207"/>
      <c r="S785" s="207"/>
      <c r="T785" s="207"/>
      <c r="U785" s="207"/>
      <c r="V785" s="207"/>
      <c r="W785" s="208"/>
      <c r="X785" s="208"/>
      <c r="Y785" s="208"/>
      <c r="Z785" s="208"/>
      <c r="AA785" s="208"/>
      <c r="AB785" s="208"/>
      <c r="AC785" s="208"/>
      <c r="AD785" s="208"/>
      <c r="AE785" s="208"/>
      <c r="AF785" s="208"/>
      <c r="AG785" s="208"/>
      <c r="AH785" s="208"/>
      <c r="AI785" s="100"/>
      <c r="AJ785" s="100"/>
      <c r="AK785" s="100"/>
      <c r="AL785" s="100"/>
      <c r="AM785" s="100"/>
    </row>
    <row r="786" ht="14.25" customHeight="1">
      <c r="A786" s="100"/>
      <c r="B786" s="100"/>
      <c r="C786" s="100"/>
      <c r="D786" s="100"/>
      <c r="E786" s="100"/>
      <c r="F786" s="206"/>
      <c r="G786" s="206"/>
      <c r="H786" s="207"/>
      <c r="I786" s="207"/>
      <c r="J786" s="207"/>
      <c r="K786" s="207"/>
      <c r="L786" s="207"/>
      <c r="M786" s="207"/>
      <c r="N786" s="207"/>
      <c r="O786" s="207"/>
      <c r="P786" s="207"/>
      <c r="Q786" s="207"/>
      <c r="R786" s="207"/>
      <c r="S786" s="207"/>
      <c r="T786" s="207"/>
      <c r="U786" s="207"/>
      <c r="V786" s="207"/>
      <c r="W786" s="208"/>
      <c r="X786" s="208"/>
      <c r="Y786" s="208"/>
      <c r="Z786" s="208"/>
      <c r="AA786" s="208"/>
      <c r="AB786" s="208"/>
      <c r="AC786" s="208"/>
      <c r="AD786" s="208"/>
      <c r="AE786" s="208"/>
      <c r="AF786" s="208"/>
      <c r="AG786" s="208"/>
      <c r="AH786" s="208"/>
      <c r="AI786" s="100"/>
      <c r="AJ786" s="100"/>
      <c r="AK786" s="100"/>
      <c r="AL786" s="100"/>
      <c r="AM786" s="100"/>
    </row>
    <row r="787" ht="14.25" customHeight="1">
      <c r="A787" s="100"/>
      <c r="B787" s="100"/>
      <c r="C787" s="100"/>
      <c r="D787" s="100"/>
      <c r="E787" s="100"/>
      <c r="F787" s="206"/>
      <c r="G787" s="206"/>
      <c r="H787" s="207"/>
      <c r="I787" s="207"/>
      <c r="J787" s="207"/>
      <c r="K787" s="207"/>
      <c r="L787" s="207"/>
      <c r="M787" s="207"/>
      <c r="N787" s="207"/>
      <c r="O787" s="207"/>
      <c r="P787" s="207"/>
      <c r="Q787" s="207"/>
      <c r="R787" s="207"/>
      <c r="S787" s="207"/>
      <c r="T787" s="207"/>
      <c r="U787" s="207"/>
      <c r="V787" s="207"/>
      <c r="W787" s="208"/>
      <c r="X787" s="208"/>
      <c r="Y787" s="208"/>
      <c r="Z787" s="208"/>
      <c r="AA787" s="208"/>
      <c r="AB787" s="208"/>
      <c r="AC787" s="208"/>
      <c r="AD787" s="208"/>
      <c r="AE787" s="208"/>
      <c r="AF787" s="208"/>
      <c r="AG787" s="208"/>
      <c r="AH787" s="208"/>
      <c r="AI787" s="100"/>
      <c r="AJ787" s="100"/>
      <c r="AK787" s="100"/>
      <c r="AL787" s="100"/>
      <c r="AM787" s="100"/>
    </row>
    <row r="788" ht="14.25" customHeight="1">
      <c r="A788" s="100"/>
      <c r="B788" s="100"/>
      <c r="C788" s="100"/>
      <c r="D788" s="100"/>
      <c r="E788" s="100"/>
      <c r="F788" s="206"/>
      <c r="G788" s="206"/>
      <c r="H788" s="207"/>
      <c r="I788" s="207"/>
      <c r="J788" s="207"/>
      <c r="K788" s="207"/>
      <c r="L788" s="207"/>
      <c r="M788" s="207"/>
      <c r="N788" s="207"/>
      <c r="O788" s="207"/>
      <c r="P788" s="207"/>
      <c r="Q788" s="207"/>
      <c r="R788" s="207"/>
      <c r="S788" s="207"/>
      <c r="T788" s="207"/>
      <c r="U788" s="207"/>
      <c r="V788" s="207"/>
      <c r="W788" s="208"/>
      <c r="X788" s="208"/>
      <c r="Y788" s="208"/>
      <c r="Z788" s="208"/>
      <c r="AA788" s="208"/>
      <c r="AB788" s="208"/>
      <c r="AC788" s="208"/>
      <c r="AD788" s="208"/>
      <c r="AE788" s="208"/>
      <c r="AF788" s="208"/>
      <c r="AG788" s="208"/>
      <c r="AH788" s="208"/>
      <c r="AI788" s="100"/>
      <c r="AJ788" s="100"/>
      <c r="AK788" s="100"/>
      <c r="AL788" s="100"/>
      <c r="AM788" s="100"/>
    </row>
    <row r="789" ht="14.25" customHeight="1">
      <c r="A789" s="100"/>
      <c r="B789" s="100"/>
      <c r="C789" s="100"/>
      <c r="D789" s="100"/>
      <c r="E789" s="100"/>
      <c r="F789" s="206"/>
      <c r="G789" s="206"/>
      <c r="H789" s="207"/>
      <c r="I789" s="207"/>
      <c r="J789" s="207"/>
      <c r="K789" s="207"/>
      <c r="L789" s="207"/>
      <c r="M789" s="207"/>
      <c r="N789" s="207"/>
      <c r="O789" s="207"/>
      <c r="P789" s="207"/>
      <c r="Q789" s="207"/>
      <c r="R789" s="207"/>
      <c r="S789" s="207"/>
      <c r="T789" s="207"/>
      <c r="U789" s="207"/>
      <c r="V789" s="207"/>
      <c r="W789" s="208"/>
      <c r="X789" s="208"/>
      <c r="Y789" s="208"/>
      <c r="Z789" s="208"/>
      <c r="AA789" s="208"/>
      <c r="AB789" s="208"/>
      <c r="AC789" s="208"/>
      <c r="AD789" s="208"/>
      <c r="AE789" s="208"/>
      <c r="AF789" s="208"/>
      <c r="AG789" s="208"/>
      <c r="AH789" s="208"/>
      <c r="AI789" s="100"/>
      <c r="AJ789" s="100"/>
      <c r="AK789" s="100"/>
      <c r="AL789" s="100"/>
      <c r="AM789" s="100"/>
    </row>
    <row r="790" ht="14.25" customHeight="1">
      <c r="A790" s="100"/>
      <c r="B790" s="100"/>
      <c r="C790" s="100"/>
      <c r="D790" s="100"/>
      <c r="E790" s="100"/>
      <c r="F790" s="206"/>
      <c r="G790" s="206"/>
      <c r="H790" s="207"/>
      <c r="I790" s="207"/>
      <c r="J790" s="207"/>
      <c r="K790" s="207"/>
      <c r="L790" s="207"/>
      <c r="M790" s="207"/>
      <c r="N790" s="207"/>
      <c r="O790" s="207"/>
      <c r="P790" s="207"/>
      <c r="Q790" s="207"/>
      <c r="R790" s="207"/>
      <c r="S790" s="207"/>
      <c r="T790" s="207"/>
      <c r="U790" s="207"/>
      <c r="V790" s="207"/>
      <c r="W790" s="208"/>
      <c r="X790" s="208"/>
      <c r="Y790" s="208"/>
      <c r="Z790" s="208"/>
      <c r="AA790" s="208"/>
      <c r="AB790" s="208"/>
      <c r="AC790" s="208"/>
      <c r="AD790" s="208"/>
      <c r="AE790" s="208"/>
      <c r="AF790" s="208"/>
      <c r="AG790" s="208"/>
      <c r="AH790" s="208"/>
      <c r="AI790" s="100"/>
      <c r="AJ790" s="100"/>
      <c r="AK790" s="100"/>
      <c r="AL790" s="100"/>
      <c r="AM790" s="100"/>
    </row>
    <row r="791" ht="14.25" customHeight="1">
      <c r="A791" s="100"/>
      <c r="B791" s="100"/>
      <c r="C791" s="100"/>
      <c r="D791" s="100"/>
      <c r="E791" s="100"/>
      <c r="F791" s="206"/>
      <c r="G791" s="206"/>
      <c r="H791" s="207"/>
      <c r="I791" s="207"/>
      <c r="J791" s="207"/>
      <c r="K791" s="207"/>
      <c r="L791" s="207"/>
      <c r="M791" s="207"/>
      <c r="N791" s="207"/>
      <c r="O791" s="207"/>
      <c r="P791" s="207"/>
      <c r="Q791" s="207"/>
      <c r="R791" s="207"/>
      <c r="S791" s="207"/>
      <c r="T791" s="207"/>
      <c r="U791" s="207"/>
      <c r="V791" s="207"/>
      <c r="W791" s="208"/>
      <c r="X791" s="208"/>
      <c r="Y791" s="208"/>
      <c r="Z791" s="208"/>
      <c r="AA791" s="208"/>
      <c r="AB791" s="208"/>
      <c r="AC791" s="208"/>
      <c r="AD791" s="208"/>
      <c r="AE791" s="208"/>
      <c r="AF791" s="208"/>
      <c r="AG791" s="208"/>
      <c r="AH791" s="208"/>
      <c r="AI791" s="100"/>
      <c r="AJ791" s="100"/>
      <c r="AK791" s="100"/>
      <c r="AL791" s="100"/>
      <c r="AM791" s="100"/>
    </row>
    <row r="792" ht="14.25" customHeight="1">
      <c r="A792" s="100"/>
      <c r="B792" s="100"/>
      <c r="C792" s="100"/>
      <c r="D792" s="100"/>
      <c r="E792" s="100"/>
      <c r="F792" s="206"/>
      <c r="G792" s="206"/>
      <c r="H792" s="207"/>
      <c r="I792" s="207"/>
      <c r="J792" s="207"/>
      <c r="K792" s="207"/>
      <c r="L792" s="207"/>
      <c r="M792" s="207"/>
      <c r="N792" s="207"/>
      <c r="O792" s="207"/>
      <c r="P792" s="207"/>
      <c r="Q792" s="207"/>
      <c r="R792" s="207"/>
      <c r="S792" s="207"/>
      <c r="T792" s="207"/>
      <c r="U792" s="207"/>
      <c r="V792" s="207"/>
      <c r="W792" s="208"/>
      <c r="X792" s="208"/>
      <c r="Y792" s="208"/>
      <c r="Z792" s="208"/>
      <c r="AA792" s="208"/>
      <c r="AB792" s="208"/>
      <c r="AC792" s="208"/>
      <c r="AD792" s="208"/>
      <c r="AE792" s="208"/>
      <c r="AF792" s="208"/>
      <c r="AG792" s="208"/>
      <c r="AH792" s="208"/>
      <c r="AI792" s="100"/>
      <c r="AJ792" s="100"/>
      <c r="AK792" s="100"/>
      <c r="AL792" s="100"/>
      <c r="AM792" s="100"/>
    </row>
    <row r="793" ht="14.25" customHeight="1">
      <c r="A793" s="100"/>
      <c r="B793" s="100"/>
      <c r="C793" s="100"/>
      <c r="D793" s="100"/>
      <c r="E793" s="100"/>
      <c r="F793" s="206"/>
      <c r="G793" s="206"/>
      <c r="H793" s="207"/>
      <c r="I793" s="207"/>
      <c r="J793" s="207"/>
      <c r="K793" s="207"/>
      <c r="L793" s="207"/>
      <c r="M793" s="207"/>
      <c r="N793" s="207"/>
      <c r="O793" s="207"/>
      <c r="P793" s="207"/>
      <c r="Q793" s="207"/>
      <c r="R793" s="207"/>
      <c r="S793" s="207"/>
      <c r="T793" s="207"/>
      <c r="U793" s="207"/>
      <c r="V793" s="207"/>
      <c r="W793" s="208"/>
      <c r="X793" s="208"/>
      <c r="Y793" s="208"/>
      <c r="Z793" s="208"/>
      <c r="AA793" s="208"/>
      <c r="AB793" s="208"/>
      <c r="AC793" s="208"/>
      <c r="AD793" s="208"/>
      <c r="AE793" s="208"/>
      <c r="AF793" s="208"/>
      <c r="AG793" s="208"/>
      <c r="AH793" s="208"/>
      <c r="AI793" s="100"/>
      <c r="AJ793" s="100"/>
      <c r="AK793" s="100"/>
      <c r="AL793" s="100"/>
      <c r="AM793" s="100"/>
    </row>
    <row r="794" ht="14.25" customHeight="1">
      <c r="A794" s="100"/>
      <c r="B794" s="100"/>
      <c r="C794" s="100"/>
      <c r="D794" s="100"/>
      <c r="E794" s="100"/>
      <c r="F794" s="206"/>
      <c r="G794" s="206"/>
      <c r="H794" s="207"/>
      <c r="I794" s="207"/>
      <c r="J794" s="207"/>
      <c r="K794" s="207"/>
      <c r="L794" s="207"/>
      <c r="M794" s="207"/>
      <c r="N794" s="207"/>
      <c r="O794" s="207"/>
      <c r="P794" s="207"/>
      <c r="Q794" s="207"/>
      <c r="R794" s="207"/>
      <c r="S794" s="207"/>
      <c r="T794" s="207"/>
      <c r="U794" s="207"/>
      <c r="V794" s="207"/>
      <c r="W794" s="208"/>
      <c r="X794" s="208"/>
      <c r="Y794" s="208"/>
      <c r="Z794" s="208"/>
      <c r="AA794" s="208"/>
      <c r="AB794" s="208"/>
      <c r="AC794" s="208"/>
      <c r="AD794" s="208"/>
      <c r="AE794" s="208"/>
      <c r="AF794" s="208"/>
      <c r="AG794" s="208"/>
      <c r="AH794" s="208"/>
      <c r="AI794" s="100"/>
      <c r="AJ794" s="100"/>
      <c r="AK794" s="100"/>
      <c r="AL794" s="100"/>
      <c r="AM794" s="100"/>
    </row>
    <row r="795" ht="14.25" customHeight="1">
      <c r="A795" s="100"/>
      <c r="B795" s="100"/>
      <c r="C795" s="100"/>
      <c r="D795" s="100"/>
      <c r="E795" s="100"/>
      <c r="F795" s="206"/>
      <c r="G795" s="206"/>
      <c r="H795" s="207"/>
      <c r="I795" s="207"/>
      <c r="J795" s="207"/>
      <c r="K795" s="207"/>
      <c r="L795" s="207"/>
      <c r="M795" s="207"/>
      <c r="N795" s="207"/>
      <c r="O795" s="207"/>
      <c r="P795" s="207"/>
      <c r="Q795" s="207"/>
      <c r="R795" s="207"/>
      <c r="S795" s="207"/>
      <c r="T795" s="207"/>
      <c r="U795" s="207"/>
      <c r="V795" s="207"/>
      <c r="W795" s="208"/>
      <c r="X795" s="208"/>
      <c r="Y795" s="208"/>
      <c r="Z795" s="208"/>
      <c r="AA795" s="208"/>
      <c r="AB795" s="208"/>
      <c r="AC795" s="208"/>
      <c r="AD795" s="208"/>
      <c r="AE795" s="208"/>
      <c r="AF795" s="208"/>
      <c r="AG795" s="208"/>
      <c r="AH795" s="208"/>
      <c r="AI795" s="100"/>
      <c r="AJ795" s="100"/>
      <c r="AK795" s="100"/>
      <c r="AL795" s="100"/>
      <c r="AM795" s="100"/>
    </row>
    <row r="796" ht="14.25" customHeight="1">
      <c r="A796" s="100"/>
      <c r="B796" s="100"/>
      <c r="C796" s="100"/>
      <c r="D796" s="100"/>
      <c r="E796" s="100"/>
      <c r="F796" s="206"/>
      <c r="G796" s="206"/>
      <c r="H796" s="207"/>
      <c r="I796" s="207"/>
      <c r="J796" s="207"/>
      <c r="K796" s="207"/>
      <c r="L796" s="207"/>
      <c r="M796" s="207"/>
      <c r="N796" s="207"/>
      <c r="O796" s="207"/>
      <c r="P796" s="207"/>
      <c r="Q796" s="207"/>
      <c r="R796" s="207"/>
      <c r="S796" s="207"/>
      <c r="T796" s="207"/>
      <c r="U796" s="207"/>
      <c r="V796" s="207"/>
      <c r="W796" s="208"/>
      <c r="X796" s="208"/>
      <c r="Y796" s="208"/>
      <c r="Z796" s="208"/>
      <c r="AA796" s="208"/>
      <c r="AB796" s="208"/>
      <c r="AC796" s="208"/>
      <c r="AD796" s="208"/>
      <c r="AE796" s="208"/>
      <c r="AF796" s="208"/>
      <c r="AG796" s="208"/>
      <c r="AH796" s="208"/>
      <c r="AI796" s="100"/>
      <c r="AJ796" s="100"/>
      <c r="AK796" s="100"/>
      <c r="AL796" s="100"/>
      <c r="AM796" s="100"/>
    </row>
    <row r="797" ht="14.25" customHeight="1">
      <c r="A797" s="100"/>
      <c r="B797" s="100"/>
      <c r="C797" s="100"/>
      <c r="D797" s="100"/>
      <c r="E797" s="100"/>
      <c r="F797" s="206"/>
      <c r="G797" s="206"/>
      <c r="H797" s="207"/>
      <c r="I797" s="207"/>
      <c r="J797" s="207"/>
      <c r="K797" s="207"/>
      <c r="L797" s="207"/>
      <c r="M797" s="207"/>
      <c r="N797" s="207"/>
      <c r="O797" s="207"/>
      <c r="P797" s="207"/>
      <c r="Q797" s="207"/>
      <c r="R797" s="207"/>
      <c r="S797" s="207"/>
      <c r="T797" s="207"/>
      <c r="U797" s="207"/>
      <c r="V797" s="207"/>
      <c r="W797" s="208"/>
      <c r="X797" s="208"/>
      <c r="Y797" s="208"/>
      <c r="Z797" s="208"/>
      <c r="AA797" s="208"/>
      <c r="AB797" s="208"/>
      <c r="AC797" s="208"/>
      <c r="AD797" s="208"/>
      <c r="AE797" s="208"/>
      <c r="AF797" s="208"/>
      <c r="AG797" s="208"/>
      <c r="AH797" s="208"/>
      <c r="AI797" s="100"/>
      <c r="AJ797" s="100"/>
      <c r="AK797" s="100"/>
      <c r="AL797" s="100"/>
      <c r="AM797" s="100"/>
    </row>
    <row r="798" ht="14.25" customHeight="1">
      <c r="A798" s="100"/>
      <c r="B798" s="100"/>
      <c r="C798" s="100"/>
      <c r="D798" s="100"/>
      <c r="E798" s="100"/>
      <c r="F798" s="206"/>
      <c r="G798" s="206"/>
      <c r="H798" s="207"/>
      <c r="I798" s="207"/>
      <c r="J798" s="207"/>
      <c r="K798" s="207"/>
      <c r="L798" s="207"/>
      <c r="M798" s="207"/>
      <c r="N798" s="207"/>
      <c r="O798" s="207"/>
      <c r="P798" s="207"/>
      <c r="Q798" s="207"/>
      <c r="R798" s="207"/>
      <c r="S798" s="207"/>
      <c r="T798" s="207"/>
      <c r="U798" s="207"/>
      <c r="V798" s="207"/>
      <c r="W798" s="208"/>
      <c r="X798" s="208"/>
      <c r="Y798" s="208"/>
      <c r="Z798" s="208"/>
      <c r="AA798" s="208"/>
      <c r="AB798" s="208"/>
      <c r="AC798" s="208"/>
      <c r="AD798" s="208"/>
      <c r="AE798" s="208"/>
      <c r="AF798" s="208"/>
      <c r="AG798" s="208"/>
      <c r="AH798" s="208"/>
      <c r="AI798" s="100"/>
      <c r="AJ798" s="100"/>
      <c r="AK798" s="100"/>
      <c r="AL798" s="100"/>
      <c r="AM798" s="100"/>
    </row>
    <row r="799" ht="14.25" customHeight="1">
      <c r="A799" s="100"/>
      <c r="B799" s="100"/>
      <c r="C799" s="100"/>
      <c r="D799" s="100"/>
      <c r="E799" s="100"/>
      <c r="F799" s="206"/>
      <c r="G799" s="206"/>
      <c r="H799" s="207"/>
      <c r="I799" s="207"/>
      <c r="J799" s="207"/>
      <c r="K799" s="207"/>
      <c r="L799" s="207"/>
      <c r="M799" s="207"/>
      <c r="N799" s="207"/>
      <c r="O799" s="207"/>
      <c r="P799" s="207"/>
      <c r="Q799" s="207"/>
      <c r="R799" s="207"/>
      <c r="S799" s="207"/>
      <c r="T799" s="207"/>
      <c r="U799" s="207"/>
      <c r="V799" s="207"/>
      <c r="W799" s="208"/>
      <c r="X799" s="208"/>
      <c r="Y799" s="208"/>
      <c r="Z799" s="208"/>
      <c r="AA799" s="208"/>
      <c r="AB799" s="208"/>
      <c r="AC799" s="208"/>
      <c r="AD799" s="208"/>
      <c r="AE799" s="208"/>
      <c r="AF799" s="208"/>
      <c r="AG799" s="208"/>
      <c r="AH799" s="208"/>
      <c r="AI799" s="100"/>
      <c r="AJ799" s="100"/>
      <c r="AK799" s="100"/>
      <c r="AL799" s="100"/>
      <c r="AM799" s="100"/>
    </row>
    <row r="800" ht="14.25" customHeight="1">
      <c r="A800" s="100"/>
      <c r="B800" s="100"/>
      <c r="C800" s="100"/>
      <c r="D800" s="100"/>
      <c r="E800" s="100"/>
      <c r="F800" s="206"/>
      <c r="G800" s="206"/>
      <c r="H800" s="207"/>
      <c r="I800" s="207"/>
      <c r="J800" s="207"/>
      <c r="K800" s="207"/>
      <c r="L800" s="207"/>
      <c r="M800" s="207"/>
      <c r="N800" s="207"/>
      <c r="O800" s="207"/>
      <c r="P800" s="207"/>
      <c r="Q800" s="207"/>
      <c r="R800" s="207"/>
      <c r="S800" s="207"/>
      <c r="T800" s="207"/>
      <c r="U800" s="207"/>
      <c r="V800" s="207"/>
      <c r="W800" s="208"/>
      <c r="X800" s="208"/>
      <c r="Y800" s="208"/>
      <c r="Z800" s="208"/>
      <c r="AA800" s="208"/>
      <c r="AB800" s="208"/>
      <c r="AC800" s="208"/>
      <c r="AD800" s="208"/>
      <c r="AE800" s="208"/>
      <c r="AF800" s="208"/>
      <c r="AG800" s="208"/>
      <c r="AH800" s="208"/>
      <c r="AI800" s="100"/>
      <c r="AJ800" s="100"/>
      <c r="AK800" s="100"/>
      <c r="AL800" s="100"/>
      <c r="AM800" s="100"/>
    </row>
    <row r="801" ht="14.25" customHeight="1">
      <c r="A801" s="100"/>
      <c r="B801" s="100"/>
      <c r="C801" s="100"/>
      <c r="D801" s="100"/>
      <c r="E801" s="100"/>
      <c r="F801" s="206"/>
      <c r="G801" s="206"/>
      <c r="H801" s="207"/>
      <c r="I801" s="207"/>
      <c r="J801" s="207"/>
      <c r="K801" s="207"/>
      <c r="L801" s="207"/>
      <c r="M801" s="207"/>
      <c r="N801" s="207"/>
      <c r="O801" s="207"/>
      <c r="P801" s="207"/>
      <c r="Q801" s="207"/>
      <c r="R801" s="207"/>
      <c r="S801" s="207"/>
      <c r="T801" s="207"/>
      <c r="U801" s="207"/>
      <c r="V801" s="207"/>
      <c r="W801" s="208"/>
      <c r="X801" s="208"/>
      <c r="Y801" s="208"/>
      <c r="Z801" s="208"/>
      <c r="AA801" s="208"/>
      <c r="AB801" s="208"/>
      <c r="AC801" s="208"/>
      <c r="AD801" s="208"/>
      <c r="AE801" s="208"/>
      <c r="AF801" s="208"/>
      <c r="AG801" s="208"/>
      <c r="AH801" s="208"/>
      <c r="AI801" s="100"/>
      <c r="AJ801" s="100"/>
      <c r="AK801" s="100"/>
      <c r="AL801" s="100"/>
      <c r="AM801" s="100"/>
    </row>
    <row r="802" ht="14.25" customHeight="1">
      <c r="A802" s="100"/>
      <c r="B802" s="100"/>
      <c r="C802" s="100"/>
      <c r="D802" s="100"/>
      <c r="E802" s="100"/>
      <c r="F802" s="206"/>
      <c r="G802" s="206"/>
      <c r="H802" s="207"/>
      <c r="I802" s="207"/>
      <c r="J802" s="207"/>
      <c r="K802" s="207"/>
      <c r="L802" s="207"/>
      <c r="M802" s="207"/>
      <c r="N802" s="207"/>
      <c r="O802" s="207"/>
      <c r="P802" s="207"/>
      <c r="Q802" s="207"/>
      <c r="R802" s="207"/>
      <c r="S802" s="207"/>
      <c r="T802" s="207"/>
      <c r="U802" s="207"/>
      <c r="V802" s="207"/>
      <c r="W802" s="208"/>
      <c r="X802" s="208"/>
      <c r="Y802" s="208"/>
      <c r="Z802" s="208"/>
      <c r="AA802" s="208"/>
      <c r="AB802" s="208"/>
      <c r="AC802" s="208"/>
      <c r="AD802" s="208"/>
      <c r="AE802" s="208"/>
      <c r="AF802" s="208"/>
      <c r="AG802" s="208"/>
      <c r="AH802" s="208"/>
      <c r="AI802" s="100"/>
      <c r="AJ802" s="100"/>
      <c r="AK802" s="100"/>
      <c r="AL802" s="100"/>
      <c r="AM802" s="100"/>
    </row>
    <row r="803" ht="14.25" customHeight="1">
      <c r="A803" s="100"/>
      <c r="B803" s="100"/>
      <c r="C803" s="100"/>
      <c r="D803" s="100"/>
      <c r="E803" s="100"/>
      <c r="F803" s="206"/>
      <c r="G803" s="206"/>
      <c r="H803" s="207"/>
      <c r="I803" s="207"/>
      <c r="J803" s="207"/>
      <c r="K803" s="207"/>
      <c r="L803" s="207"/>
      <c r="M803" s="207"/>
      <c r="N803" s="207"/>
      <c r="O803" s="207"/>
      <c r="P803" s="207"/>
      <c r="Q803" s="207"/>
      <c r="R803" s="207"/>
      <c r="S803" s="207"/>
      <c r="T803" s="207"/>
      <c r="U803" s="207"/>
      <c r="V803" s="207"/>
      <c r="W803" s="208"/>
      <c r="X803" s="208"/>
      <c r="Y803" s="208"/>
      <c r="Z803" s="208"/>
      <c r="AA803" s="208"/>
      <c r="AB803" s="208"/>
      <c r="AC803" s="208"/>
      <c r="AD803" s="208"/>
      <c r="AE803" s="208"/>
      <c r="AF803" s="208"/>
      <c r="AG803" s="208"/>
      <c r="AH803" s="208"/>
      <c r="AI803" s="100"/>
      <c r="AJ803" s="100"/>
      <c r="AK803" s="100"/>
      <c r="AL803" s="100"/>
      <c r="AM803" s="100"/>
    </row>
    <row r="804" ht="14.25" customHeight="1">
      <c r="A804" s="100"/>
      <c r="B804" s="100"/>
      <c r="C804" s="100"/>
      <c r="D804" s="100"/>
      <c r="E804" s="100"/>
      <c r="F804" s="206"/>
      <c r="G804" s="206"/>
      <c r="H804" s="207"/>
      <c r="I804" s="207"/>
      <c r="J804" s="207"/>
      <c r="K804" s="207"/>
      <c r="L804" s="207"/>
      <c r="M804" s="207"/>
      <c r="N804" s="207"/>
      <c r="O804" s="207"/>
      <c r="P804" s="207"/>
      <c r="Q804" s="207"/>
      <c r="R804" s="207"/>
      <c r="S804" s="207"/>
      <c r="T804" s="207"/>
      <c r="U804" s="207"/>
      <c r="V804" s="207"/>
      <c r="W804" s="208"/>
      <c r="X804" s="208"/>
      <c r="Y804" s="208"/>
      <c r="Z804" s="208"/>
      <c r="AA804" s="208"/>
      <c r="AB804" s="208"/>
      <c r="AC804" s="208"/>
      <c r="AD804" s="208"/>
      <c r="AE804" s="208"/>
      <c r="AF804" s="208"/>
      <c r="AG804" s="208"/>
      <c r="AH804" s="208"/>
      <c r="AI804" s="100"/>
      <c r="AJ804" s="100"/>
      <c r="AK804" s="100"/>
      <c r="AL804" s="100"/>
      <c r="AM804" s="100"/>
    </row>
    <row r="805" ht="14.25" customHeight="1">
      <c r="A805" s="100"/>
      <c r="B805" s="100"/>
      <c r="C805" s="100"/>
      <c r="D805" s="100"/>
      <c r="E805" s="100"/>
      <c r="F805" s="206"/>
      <c r="G805" s="206"/>
      <c r="H805" s="207"/>
      <c r="I805" s="207"/>
      <c r="J805" s="207"/>
      <c r="K805" s="207"/>
      <c r="L805" s="207"/>
      <c r="M805" s="207"/>
      <c r="N805" s="207"/>
      <c r="O805" s="207"/>
      <c r="P805" s="207"/>
      <c r="Q805" s="207"/>
      <c r="R805" s="207"/>
      <c r="S805" s="207"/>
      <c r="T805" s="207"/>
      <c r="U805" s="207"/>
      <c r="V805" s="207"/>
      <c r="W805" s="208"/>
      <c r="X805" s="208"/>
      <c r="Y805" s="208"/>
      <c r="Z805" s="208"/>
      <c r="AA805" s="208"/>
      <c r="AB805" s="208"/>
      <c r="AC805" s="208"/>
      <c r="AD805" s="208"/>
      <c r="AE805" s="208"/>
      <c r="AF805" s="208"/>
      <c r="AG805" s="208"/>
      <c r="AH805" s="208"/>
      <c r="AI805" s="100"/>
      <c r="AJ805" s="100"/>
      <c r="AK805" s="100"/>
      <c r="AL805" s="100"/>
      <c r="AM805" s="100"/>
    </row>
    <row r="806" ht="14.25" customHeight="1">
      <c r="A806" s="100"/>
      <c r="B806" s="100"/>
      <c r="C806" s="100"/>
      <c r="D806" s="100"/>
      <c r="E806" s="100"/>
      <c r="F806" s="206"/>
      <c r="G806" s="206"/>
      <c r="H806" s="207"/>
      <c r="I806" s="207"/>
      <c r="J806" s="207"/>
      <c r="K806" s="207"/>
      <c r="L806" s="207"/>
      <c r="M806" s="207"/>
      <c r="N806" s="207"/>
      <c r="O806" s="207"/>
      <c r="P806" s="207"/>
      <c r="Q806" s="207"/>
      <c r="R806" s="207"/>
      <c r="S806" s="207"/>
      <c r="T806" s="207"/>
      <c r="U806" s="207"/>
      <c r="V806" s="207"/>
      <c r="W806" s="208"/>
      <c r="X806" s="208"/>
      <c r="Y806" s="208"/>
      <c r="Z806" s="208"/>
      <c r="AA806" s="208"/>
      <c r="AB806" s="208"/>
      <c r="AC806" s="208"/>
      <c r="AD806" s="208"/>
      <c r="AE806" s="208"/>
      <c r="AF806" s="208"/>
      <c r="AG806" s="208"/>
      <c r="AH806" s="208"/>
      <c r="AI806" s="100"/>
      <c r="AJ806" s="100"/>
      <c r="AK806" s="100"/>
      <c r="AL806" s="100"/>
      <c r="AM806" s="100"/>
    </row>
    <row r="807" ht="14.25" customHeight="1">
      <c r="A807" s="100"/>
      <c r="B807" s="100"/>
      <c r="C807" s="100"/>
      <c r="D807" s="100"/>
      <c r="E807" s="100"/>
      <c r="F807" s="206"/>
      <c r="G807" s="206"/>
      <c r="H807" s="207"/>
      <c r="I807" s="207"/>
      <c r="J807" s="207"/>
      <c r="K807" s="207"/>
      <c r="L807" s="207"/>
      <c r="M807" s="207"/>
      <c r="N807" s="207"/>
      <c r="O807" s="207"/>
      <c r="P807" s="207"/>
      <c r="Q807" s="207"/>
      <c r="R807" s="207"/>
      <c r="S807" s="207"/>
      <c r="T807" s="207"/>
      <c r="U807" s="207"/>
      <c r="V807" s="207"/>
      <c r="W807" s="208"/>
      <c r="X807" s="208"/>
      <c r="Y807" s="208"/>
      <c r="Z807" s="208"/>
      <c r="AA807" s="208"/>
      <c r="AB807" s="208"/>
      <c r="AC807" s="208"/>
      <c r="AD807" s="208"/>
      <c r="AE807" s="208"/>
      <c r="AF807" s="208"/>
      <c r="AG807" s="208"/>
      <c r="AH807" s="208"/>
      <c r="AI807" s="100"/>
      <c r="AJ807" s="100"/>
      <c r="AK807" s="100"/>
      <c r="AL807" s="100"/>
      <c r="AM807" s="100"/>
    </row>
    <row r="808" ht="14.25" customHeight="1">
      <c r="A808" s="100"/>
      <c r="B808" s="100"/>
      <c r="C808" s="100"/>
      <c r="D808" s="100"/>
      <c r="E808" s="100"/>
      <c r="F808" s="206"/>
      <c r="G808" s="206"/>
      <c r="H808" s="207"/>
      <c r="I808" s="207"/>
      <c r="J808" s="207"/>
      <c r="K808" s="207"/>
      <c r="L808" s="207"/>
      <c r="M808" s="207"/>
      <c r="N808" s="207"/>
      <c r="O808" s="207"/>
      <c r="P808" s="207"/>
      <c r="Q808" s="207"/>
      <c r="R808" s="207"/>
      <c r="S808" s="207"/>
      <c r="T808" s="207"/>
      <c r="U808" s="207"/>
      <c r="V808" s="207"/>
      <c r="W808" s="208"/>
      <c r="X808" s="208"/>
      <c r="Y808" s="208"/>
      <c r="Z808" s="208"/>
      <c r="AA808" s="208"/>
      <c r="AB808" s="208"/>
      <c r="AC808" s="208"/>
      <c r="AD808" s="208"/>
      <c r="AE808" s="208"/>
      <c r="AF808" s="208"/>
      <c r="AG808" s="208"/>
      <c r="AH808" s="208"/>
      <c r="AI808" s="100"/>
      <c r="AJ808" s="100"/>
      <c r="AK808" s="100"/>
      <c r="AL808" s="100"/>
      <c r="AM808" s="100"/>
    </row>
    <row r="809" ht="14.25" customHeight="1">
      <c r="A809" s="100"/>
      <c r="B809" s="100"/>
      <c r="C809" s="100"/>
      <c r="D809" s="100"/>
      <c r="E809" s="100"/>
      <c r="F809" s="206"/>
      <c r="G809" s="206"/>
      <c r="H809" s="207"/>
      <c r="I809" s="207"/>
      <c r="J809" s="207"/>
      <c r="K809" s="207"/>
      <c r="L809" s="207"/>
      <c r="M809" s="207"/>
      <c r="N809" s="207"/>
      <c r="O809" s="207"/>
      <c r="P809" s="207"/>
      <c r="Q809" s="207"/>
      <c r="R809" s="207"/>
      <c r="S809" s="207"/>
      <c r="T809" s="207"/>
      <c r="U809" s="207"/>
      <c r="V809" s="207"/>
      <c r="W809" s="208"/>
      <c r="X809" s="208"/>
      <c r="Y809" s="208"/>
      <c r="Z809" s="208"/>
      <c r="AA809" s="208"/>
      <c r="AB809" s="208"/>
      <c r="AC809" s="208"/>
      <c r="AD809" s="208"/>
      <c r="AE809" s="208"/>
      <c r="AF809" s="208"/>
      <c r="AG809" s="208"/>
      <c r="AH809" s="208"/>
      <c r="AI809" s="100"/>
      <c r="AJ809" s="100"/>
      <c r="AK809" s="100"/>
      <c r="AL809" s="100"/>
      <c r="AM809" s="100"/>
    </row>
    <row r="810" ht="14.25" customHeight="1">
      <c r="A810" s="100"/>
      <c r="B810" s="100"/>
      <c r="C810" s="100"/>
      <c r="D810" s="100"/>
      <c r="E810" s="100"/>
      <c r="F810" s="206"/>
      <c r="G810" s="206"/>
      <c r="H810" s="207"/>
      <c r="I810" s="207"/>
      <c r="J810" s="207"/>
      <c r="K810" s="207"/>
      <c r="L810" s="207"/>
      <c r="M810" s="207"/>
      <c r="N810" s="207"/>
      <c r="O810" s="207"/>
      <c r="P810" s="207"/>
      <c r="Q810" s="207"/>
      <c r="R810" s="207"/>
      <c r="S810" s="207"/>
      <c r="T810" s="207"/>
      <c r="U810" s="207"/>
      <c r="V810" s="207"/>
      <c r="W810" s="208"/>
      <c r="X810" s="208"/>
      <c r="Y810" s="208"/>
      <c r="Z810" s="208"/>
      <c r="AA810" s="208"/>
      <c r="AB810" s="208"/>
      <c r="AC810" s="208"/>
      <c r="AD810" s="208"/>
      <c r="AE810" s="208"/>
      <c r="AF810" s="208"/>
      <c r="AG810" s="208"/>
      <c r="AH810" s="208"/>
      <c r="AI810" s="100"/>
      <c r="AJ810" s="100"/>
      <c r="AK810" s="100"/>
      <c r="AL810" s="100"/>
      <c r="AM810" s="100"/>
    </row>
    <row r="811" ht="14.25" customHeight="1">
      <c r="A811" s="100"/>
      <c r="B811" s="100"/>
      <c r="C811" s="100"/>
      <c r="D811" s="100"/>
      <c r="E811" s="100"/>
      <c r="F811" s="206"/>
      <c r="G811" s="206"/>
      <c r="H811" s="207"/>
      <c r="I811" s="207"/>
      <c r="J811" s="207"/>
      <c r="K811" s="207"/>
      <c r="L811" s="207"/>
      <c r="M811" s="207"/>
      <c r="N811" s="207"/>
      <c r="O811" s="207"/>
      <c r="P811" s="207"/>
      <c r="Q811" s="207"/>
      <c r="R811" s="207"/>
      <c r="S811" s="207"/>
      <c r="T811" s="207"/>
      <c r="U811" s="207"/>
      <c r="V811" s="207"/>
      <c r="W811" s="208"/>
      <c r="X811" s="208"/>
      <c r="Y811" s="208"/>
      <c r="Z811" s="208"/>
      <c r="AA811" s="208"/>
      <c r="AB811" s="208"/>
      <c r="AC811" s="208"/>
      <c r="AD811" s="208"/>
      <c r="AE811" s="208"/>
      <c r="AF811" s="208"/>
      <c r="AG811" s="208"/>
      <c r="AH811" s="208"/>
      <c r="AI811" s="100"/>
      <c r="AJ811" s="100"/>
      <c r="AK811" s="100"/>
      <c r="AL811" s="100"/>
      <c r="AM811" s="100"/>
    </row>
    <row r="812" ht="14.25" customHeight="1">
      <c r="A812" s="100"/>
      <c r="B812" s="100"/>
      <c r="C812" s="100"/>
      <c r="D812" s="100"/>
      <c r="E812" s="100"/>
      <c r="F812" s="206"/>
      <c r="G812" s="206"/>
      <c r="H812" s="207"/>
      <c r="I812" s="207"/>
      <c r="J812" s="207"/>
      <c r="K812" s="207"/>
      <c r="L812" s="207"/>
      <c r="M812" s="207"/>
      <c r="N812" s="207"/>
      <c r="O812" s="207"/>
      <c r="P812" s="207"/>
      <c r="Q812" s="207"/>
      <c r="R812" s="207"/>
      <c r="S812" s="207"/>
      <c r="T812" s="207"/>
      <c r="U812" s="207"/>
      <c r="V812" s="207"/>
      <c r="W812" s="208"/>
      <c r="X812" s="208"/>
      <c r="Y812" s="208"/>
      <c r="Z812" s="208"/>
      <c r="AA812" s="208"/>
      <c r="AB812" s="208"/>
      <c r="AC812" s="208"/>
      <c r="AD812" s="208"/>
      <c r="AE812" s="208"/>
      <c r="AF812" s="208"/>
      <c r="AG812" s="208"/>
      <c r="AH812" s="208"/>
      <c r="AI812" s="100"/>
      <c r="AJ812" s="100"/>
      <c r="AK812" s="100"/>
      <c r="AL812" s="100"/>
      <c r="AM812" s="100"/>
    </row>
    <row r="813" ht="14.25" customHeight="1">
      <c r="A813" s="100"/>
      <c r="B813" s="100"/>
      <c r="C813" s="100"/>
      <c r="D813" s="100"/>
      <c r="E813" s="100"/>
      <c r="F813" s="206"/>
      <c r="G813" s="206"/>
      <c r="H813" s="207"/>
      <c r="I813" s="207"/>
      <c r="J813" s="207"/>
      <c r="K813" s="207"/>
      <c r="L813" s="207"/>
      <c r="M813" s="207"/>
      <c r="N813" s="207"/>
      <c r="O813" s="207"/>
      <c r="P813" s="207"/>
      <c r="Q813" s="207"/>
      <c r="R813" s="207"/>
      <c r="S813" s="207"/>
      <c r="T813" s="207"/>
      <c r="U813" s="207"/>
      <c r="V813" s="207"/>
      <c r="W813" s="208"/>
      <c r="X813" s="208"/>
      <c r="Y813" s="208"/>
      <c r="Z813" s="208"/>
      <c r="AA813" s="208"/>
      <c r="AB813" s="208"/>
      <c r="AC813" s="208"/>
      <c r="AD813" s="208"/>
      <c r="AE813" s="208"/>
      <c r="AF813" s="208"/>
      <c r="AG813" s="208"/>
      <c r="AH813" s="208"/>
      <c r="AI813" s="100"/>
      <c r="AJ813" s="100"/>
      <c r="AK813" s="100"/>
      <c r="AL813" s="100"/>
      <c r="AM813" s="100"/>
    </row>
    <row r="814" ht="14.25" customHeight="1">
      <c r="A814" s="100"/>
      <c r="B814" s="100"/>
      <c r="C814" s="100"/>
      <c r="D814" s="100"/>
      <c r="E814" s="100"/>
      <c r="F814" s="206"/>
      <c r="G814" s="206"/>
      <c r="H814" s="207"/>
      <c r="I814" s="207"/>
      <c r="J814" s="207"/>
      <c r="K814" s="207"/>
      <c r="L814" s="207"/>
      <c r="M814" s="207"/>
      <c r="N814" s="207"/>
      <c r="O814" s="207"/>
      <c r="P814" s="207"/>
      <c r="Q814" s="207"/>
      <c r="R814" s="207"/>
      <c r="S814" s="207"/>
      <c r="T814" s="207"/>
      <c r="U814" s="207"/>
      <c r="V814" s="207"/>
      <c r="W814" s="208"/>
      <c r="X814" s="208"/>
      <c r="Y814" s="208"/>
      <c r="Z814" s="208"/>
      <c r="AA814" s="208"/>
      <c r="AB814" s="208"/>
      <c r="AC814" s="208"/>
      <c r="AD814" s="208"/>
      <c r="AE814" s="208"/>
      <c r="AF814" s="208"/>
      <c r="AG814" s="208"/>
      <c r="AH814" s="208"/>
      <c r="AI814" s="100"/>
      <c r="AJ814" s="100"/>
      <c r="AK814" s="100"/>
      <c r="AL814" s="100"/>
      <c r="AM814" s="100"/>
    </row>
    <row r="815" ht="14.25" customHeight="1">
      <c r="A815" s="100"/>
      <c r="B815" s="100"/>
      <c r="C815" s="100"/>
      <c r="D815" s="100"/>
      <c r="E815" s="100"/>
      <c r="F815" s="206"/>
      <c r="G815" s="206"/>
      <c r="H815" s="207"/>
      <c r="I815" s="207"/>
      <c r="J815" s="207"/>
      <c r="K815" s="207"/>
      <c r="L815" s="207"/>
      <c r="M815" s="207"/>
      <c r="N815" s="207"/>
      <c r="O815" s="207"/>
      <c r="P815" s="207"/>
      <c r="Q815" s="207"/>
      <c r="R815" s="207"/>
      <c r="S815" s="207"/>
      <c r="T815" s="207"/>
      <c r="U815" s="207"/>
      <c r="V815" s="207"/>
      <c r="W815" s="208"/>
      <c r="X815" s="208"/>
      <c r="Y815" s="208"/>
      <c r="Z815" s="208"/>
      <c r="AA815" s="208"/>
      <c r="AB815" s="208"/>
      <c r="AC815" s="208"/>
      <c r="AD815" s="208"/>
      <c r="AE815" s="208"/>
      <c r="AF815" s="208"/>
      <c r="AG815" s="208"/>
      <c r="AH815" s="208"/>
      <c r="AI815" s="100"/>
      <c r="AJ815" s="100"/>
      <c r="AK815" s="100"/>
      <c r="AL815" s="100"/>
      <c r="AM815" s="100"/>
    </row>
    <row r="816" ht="14.25" customHeight="1">
      <c r="A816" s="100"/>
      <c r="B816" s="100"/>
      <c r="C816" s="100"/>
      <c r="D816" s="100"/>
      <c r="E816" s="100"/>
      <c r="F816" s="206"/>
      <c r="G816" s="206"/>
      <c r="H816" s="207"/>
      <c r="I816" s="207"/>
      <c r="J816" s="207"/>
      <c r="K816" s="207"/>
      <c r="L816" s="207"/>
      <c r="M816" s="207"/>
      <c r="N816" s="207"/>
      <c r="O816" s="207"/>
      <c r="P816" s="207"/>
      <c r="Q816" s="207"/>
      <c r="R816" s="207"/>
      <c r="S816" s="207"/>
      <c r="T816" s="207"/>
      <c r="U816" s="207"/>
      <c r="V816" s="207"/>
      <c r="W816" s="208"/>
      <c r="X816" s="208"/>
      <c r="Y816" s="208"/>
      <c r="Z816" s="208"/>
      <c r="AA816" s="208"/>
      <c r="AB816" s="208"/>
      <c r="AC816" s="208"/>
      <c r="AD816" s="208"/>
      <c r="AE816" s="208"/>
      <c r="AF816" s="208"/>
      <c r="AG816" s="208"/>
      <c r="AH816" s="208"/>
      <c r="AI816" s="100"/>
      <c r="AJ816" s="100"/>
      <c r="AK816" s="100"/>
      <c r="AL816" s="100"/>
      <c r="AM816" s="100"/>
    </row>
    <row r="817" ht="14.25" customHeight="1">
      <c r="A817" s="100"/>
      <c r="B817" s="100"/>
      <c r="C817" s="100"/>
      <c r="D817" s="100"/>
      <c r="E817" s="100"/>
      <c r="F817" s="206"/>
      <c r="G817" s="206"/>
      <c r="H817" s="207"/>
      <c r="I817" s="207"/>
      <c r="J817" s="207"/>
      <c r="K817" s="207"/>
      <c r="L817" s="207"/>
      <c r="M817" s="207"/>
      <c r="N817" s="207"/>
      <c r="O817" s="207"/>
      <c r="P817" s="207"/>
      <c r="Q817" s="207"/>
      <c r="R817" s="207"/>
      <c r="S817" s="207"/>
      <c r="T817" s="207"/>
      <c r="U817" s="207"/>
      <c r="V817" s="207"/>
      <c r="W817" s="208"/>
      <c r="X817" s="208"/>
      <c r="Y817" s="208"/>
      <c r="Z817" s="208"/>
      <c r="AA817" s="208"/>
      <c r="AB817" s="208"/>
      <c r="AC817" s="208"/>
      <c r="AD817" s="208"/>
      <c r="AE817" s="208"/>
      <c r="AF817" s="208"/>
      <c r="AG817" s="208"/>
      <c r="AH817" s="208"/>
      <c r="AI817" s="100"/>
      <c r="AJ817" s="100"/>
      <c r="AK817" s="100"/>
      <c r="AL817" s="100"/>
      <c r="AM817" s="100"/>
    </row>
    <row r="818" ht="14.25" customHeight="1">
      <c r="A818" s="100"/>
      <c r="B818" s="100"/>
      <c r="C818" s="100"/>
      <c r="D818" s="100"/>
      <c r="E818" s="100"/>
      <c r="F818" s="206"/>
      <c r="G818" s="206"/>
      <c r="H818" s="207"/>
      <c r="I818" s="207"/>
      <c r="J818" s="207"/>
      <c r="K818" s="207"/>
      <c r="L818" s="207"/>
      <c r="M818" s="207"/>
      <c r="N818" s="207"/>
      <c r="O818" s="207"/>
      <c r="P818" s="207"/>
      <c r="Q818" s="207"/>
      <c r="R818" s="207"/>
      <c r="S818" s="207"/>
      <c r="T818" s="207"/>
      <c r="U818" s="207"/>
      <c r="V818" s="207"/>
      <c r="W818" s="208"/>
      <c r="X818" s="208"/>
      <c r="Y818" s="208"/>
      <c r="Z818" s="208"/>
      <c r="AA818" s="208"/>
      <c r="AB818" s="208"/>
      <c r="AC818" s="208"/>
      <c r="AD818" s="208"/>
      <c r="AE818" s="208"/>
      <c r="AF818" s="208"/>
      <c r="AG818" s="208"/>
      <c r="AH818" s="208"/>
      <c r="AI818" s="100"/>
      <c r="AJ818" s="100"/>
      <c r="AK818" s="100"/>
      <c r="AL818" s="100"/>
      <c r="AM818" s="100"/>
    </row>
    <row r="819" ht="14.25" customHeight="1">
      <c r="A819" s="100"/>
      <c r="B819" s="100"/>
      <c r="C819" s="100"/>
      <c r="D819" s="100"/>
      <c r="E819" s="100"/>
      <c r="F819" s="206"/>
      <c r="G819" s="206"/>
      <c r="H819" s="207"/>
      <c r="I819" s="207"/>
      <c r="J819" s="207"/>
      <c r="K819" s="207"/>
      <c r="L819" s="207"/>
      <c r="M819" s="207"/>
      <c r="N819" s="207"/>
      <c r="O819" s="207"/>
      <c r="P819" s="207"/>
      <c r="Q819" s="207"/>
      <c r="R819" s="207"/>
      <c r="S819" s="207"/>
      <c r="T819" s="207"/>
      <c r="U819" s="207"/>
      <c r="V819" s="207"/>
      <c r="W819" s="208"/>
      <c r="X819" s="208"/>
      <c r="Y819" s="208"/>
      <c r="Z819" s="208"/>
      <c r="AA819" s="208"/>
      <c r="AB819" s="208"/>
      <c r="AC819" s="208"/>
      <c r="AD819" s="208"/>
      <c r="AE819" s="208"/>
      <c r="AF819" s="208"/>
      <c r="AG819" s="208"/>
      <c r="AH819" s="208"/>
      <c r="AI819" s="100"/>
      <c r="AJ819" s="100"/>
      <c r="AK819" s="100"/>
      <c r="AL819" s="100"/>
      <c r="AM819" s="100"/>
    </row>
    <row r="820" ht="14.25" customHeight="1">
      <c r="A820" s="100"/>
      <c r="B820" s="100"/>
      <c r="C820" s="100"/>
      <c r="D820" s="100"/>
      <c r="E820" s="100"/>
      <c r="F820" s="206"/>
      <c r="G820" s="206"/>
      <c r="H820" s="207"/>
      <c r="I820" s="207"/>
      <c r="J820" s="207"/>
      <c r="K820" s="207"/>
      <c r="L820" s="207"/>
      <c r="M820" s="207"/>
      <c r="N820" s="207"/>
      <c r="O820" s="207"/>
      <c r="P820" s="207"/>
      <c r="Q820" s="207"/>
      <c r="R820" s="207"/>
      <c r="S820" s="207"/>
      <c r="T820" s="207"/>
      <c r="U820" s="207"/>
      <c r="V820" s="207"/>
      <c r="W820" s="208"/>
      <c r="X820" s="208"/>
      <c r="Y820" s="208"/>
      <c r="Z820" s="208"/>
      <c r="AA820" s="208"/>
      <c r="AB820" s="208"/>
      <c r="AC820" s="208"/>
      <c r="AD820" s="208"/>
      <c r="AE820" s="208"/>
      <c r="AF820" s="208"/>
      <c r="AG820" s="208"/>
      <c r="AH820" s="208"/>
      <c r="AI820" s="100"/>
      <c r="AJ820" s="100"/>
      <c r="AK820" s="100"/>
      <c r="AL820" s="100"/>
      <c r="AM820" s="100"/>
    </row>
    <row r="821" ht="14.25" customHeight="1">
      <c r="A821" s="100"/>
      <c r="B821" s="100"/>
      <c r="C821" s="100"/>
      <c r="D821" s="100"/>
      <c r="E821" s="100"/>
      <c r="F821" s="206"/>
      <c r="G821" s="206"/>
      <c r="H821" s="207"/>
      <c r="I821" s="207"/>
      <c r="J821" s="207"/>
      <c r="K821" s="207"/>
      <c r="L821" s="207"/>
      <c r="M821" s="207"/>
      <c r="N821" s="207"/>
      <c r="O821" s="207"/>
      <c r="P821" s="207"/>
      <c r="Q821" s="207"/>
      <c r="R821" s="207"/>
      <c r="S821" s="207"/>
      <c r="T821" s="207"/>
      <c r="U821" s="207"/>
      <c r="V821" s="207"/>
      <c r="W821" s="208"/>
      <c r="X821" s="208"/>
      <c r="Y821" s="208"/>
      <c r="Z821" s="208"/>
      <c r="AA821" s="208"/>
      <c r="AB821" s="208"/>
      <c r="AC821" s="208"/>
      <c r="AD821" s="208"/>
      <c r="AE821" s="208"/>
      <c r="AF821" s="208"/>
      <c r="AG821" s="208"/>
      <c r="AH821" s="208"/>
      <c r="AI821" s="100"/>
      <c r="AJ821" s="100"/>
      <c r="AK821" s="100"/>
      <c r="AL821" s="100"/>
      <c r="AM821" s="100"/>
    </row>
    <row r="822" ht="14.25" customHeight="1">
      <c r="A822" s="100"/>
      <c r="B822" s="100"/>
      <c r="C822" s="100"/>
      <c r="D822" s="100"/>
      <c r="E822" s="100"/>
      <c r="F822" s="206"/>
      <c r="G822" s="206"/>
      <c r="H822" s="207"/>
      <c r="I822" s="207"/>
      <c r="J822" s="207"/>
      <c r="K822" s="207"/>
      <c r="L822" s="207"/>
      <c r="M822" s="207"/>
      <c r="N822" s="207"/>
      <c r="O822" s="207"/>
      <c r="P822" s="207"/>
      <c r="Q822" s="207"/>
      <c r="R822" s="207"/>
      <c r="S822" s="207"/>
      <c r="T822" s="207"/>
      <c r="U822" s="207"/>
      <c r="V822" s="207"/>
      <c r="W822" s="208"/>
      <c r="X822" s="208"/>
      <c r="Y822" s="208"/>
      <c r="Z822" s="208"/>
      <c r="AA822" s="208"/>
      <c r="AB822" s="208"/>
      <c r="AC822" s="208"/>
      <c r="AD822" s="208"/>
      <c r="AE822" s="208"/>
      <c r="AF822" s="208"/>
      <c r="AG822" s="208"/>
      <c r="AH822" s="208"/>
      <c r="AI822" s="100"/>
      <c r="AJ822" s="100"/>
      <c r="AK822" s="100"/>
      <c r="AL822" s="100"/>
      <c r="AM822" s="100"/>
    </row>
    <row r="823" ht="14.25" customHeight="1">
      <c r="A823" s="100"/>
      <c r="B823" s="100"/>
      <c r="C823" s="100"/>
      <c r="D823" s="100"/>
      <c r="E823" s="100"/>
      <c r="F823" s="206"/>
      <c r="G823" s="206"/>
      <c r="H823" s="207"/>
      <c r="I823" s="207"/>
      <c r="J823" s="207"/>
      <c r="K823" s="207"/>
      <c r="L823" s="207"/>
      <c r="M823" s="207"/>
      <c r="N823" s="207"/>
      <c r="O823" s="207"/>
      <c r="P823" s="207"/>
      <c r="Q823" s="207"/>
      <c r="R823" s="207"/>
      <c r="S823" s="207"/>
      <c r="T823" s="207"/>
      <c r="U823" s="207"/>
      <c r="V823" s="207"/>
      <c r="W823" s="208"/>
      <c r="X823" s="208"/>
      <c r="Y823" s="208"/>
      <c r="Z823" s="208"/>
      <c r="AA823" s="208"/>
      <c r="AB823" s="208"/>
      <c r="AC823" s="208"/>
      <c r="AD823" s="208"/>
      <c r="AE823" s="208"/>
      <c r="AF823" s="208"/>
      <c r="AG823" s="208"/>
      <c r="AH823" s="208"/>
      <c r="AI823" s="100"/>
      <c r="AJ823" s="100"/>
      <c r="AK823" s="100"/>
      <c r="AL823" s="100"/>
      <c r="AM823" s="100"/>
    </row>
    <row r="824" ht="14.25" customHeight="1">
      <c r="A824" s="100"/>
      <c r="B824" s="100"/>
      <c r="C824" s="100"/>
      <c r="D824" s="100"/>
      <c r="E824" s="100"/>
      <c r="F824" s="206"/>
      <c r="G824" s="206"/>
      <c r="H824" s="207"/>
      <c r="I824" s="207"/>
      <c r="J824" s="207"/>
      <c r="K824" s="207"/>
      <c r="L824" s="207"/>
      <c r="M824" s="207"/>
      <c r="N824" s="207"/>
      <c r="O824" s="207"/>
      <c r="P824" s="207"/>
      <c r="Q824" s="207"/>
      <c r="R824" s="207"/>
      <c r="S824" s="207"/>
      <c r="T824" s="207"/>
      <c r="U824" s="207"/>
      <c r="V824" s="207"/>
      <c r="W824" s="208"/>
      <c r="X824" s="208"/>
      <c r="Y824" s="208"/>
      <c r="Z824" s="208"/>
      <c r="AA824" s="208"/>
      <c r="AB824" s="208"/>
      <c r="AC824" s="208"/>
      <c r="AD824" s="208"/>
      <c r="AE824" s="208"/>
      <c r="AF824" s="208"/>
      <c r="AG824" s="208"/>
      <c r="AH824" s="208"/>
      <c r="AI824" s="100"/>
      <c r="AJ824" s="100"/>
      <c r="AK824" s="100"/>
      <c r="AL824" s="100"/>
      <c r="AM824" s="100"/>
    </row>
    <row r="825" ht="14.25" customHeight="1">
      <c r="A825" s="100"/>
      <c r="B825" s="100"/>
      <c r="C825" s="100"/>
      <c r="D825" s="100"/>
      <c r="E825" s="100"/>
      <c r="F825" s="206"/>
      <c r="G825" s="206"/>
      <c r="H825" s="207"/>
      <c r="I825" s="207"/>
      <c r="J825" s="207"/>
      <c r="K825" s="207"/>
      <c r="L825" s="207"/>
      <c r="M825" s="207"/>
      <c r="N825" s="207"/>
      <c r="O825" s="207"/>
      <c r="P825" s="207"/>
      <c r="Q825" s="207"/>
      <c r="R825" s="207"/>
      <c r="S825" s="207"/>
      <c r="T825" s="207"/>
      <c r="U825" s="207"/>
      <c r="V825" s="207"/>
      <c r="W825" s="208"/>
      <c r="X825" s="208"/>
      <c r="Y825" s="208"/>
      <c r="Z825" s="208"/>
      <c r="AA825" s="208"/>
      <c r="AB825" s="208"/>
      <c r="AC825" s="208"/>
      <c r="AD825" s="208"/>
      <c r="AE825" s="208"/>
      <c r="AF825" s="208"/>
      <c r="AG825" s="208"/>
      <c r="AH825" s="208"/>
      <c r="AI825" s="100"/>
      <c r="AJ825" s="100"/>
      <c r="AK825" s="100"/>
      <c r="AL825" s="100"/>
      <c r="AM825" s="100"/>
    </row>
    <row r="826" ht="14.25" customHeight="1">
      <c r="A826" s="100"/>
      <c r="B826" s="100"/>
      <c r="C826" s="100"/>
      <c r="D826" s="100"/>
      <c r="E826" s="100"/>
      <c r="F826" s="206"/>
      <c r="G826" s="206"/>
      <c r="H826" s="207"/>
      <c r="I826" s="207"/>
      <c r="J826" s="207"/>
      <c r="K826" s="207"/>
      <c r="L826" s="207"/>
      <c r="M826" s="207"/>
      <c r="N826" s="207"/>
      <c r="O826" s="207"/>
      <c r="P826" s="207"/>
      <c r="Q826" s="207"/>
      <c r="R826" s="207"/>
      <c r="S826" s="207"/>
      <c r="T826" s="207"/>
      <c r="U826" s="207"/>
      <c r="V826" s="207"/>
      <c r="W826" s="208"/>
      <c r="X826" s="208"/>
      <c r="Y826" s="208"/>
      <c r="Z826" s="208"/>
      <c r="AA826" s="208"/>
      <c r="AB826" s="208"/>
      <c r="AC826" s="208"/>
      <c r="AD826" s="208"/>
      <c r="AE826" s="208"/>
      <c r="AF826" s="208"/>
      <c r="AG826" s="208"/>
      <c r="AH826" s="208"/>
      <c r="AI826" s="100"/>
      <c r="AJ826" s="100"/>
      <c r="AK826" s="100"/>
      <c r="AL826" s="100"/>
      <c r="AM826" s="100"/>
    </row>
    <row r="827" ht="14.25" customHeight="1">
      <c r="A827" s="100"/>
      <c r="B827" s="100"/>
      <c r="C827" s="100"/>
      <c r="D827" s="100"/>
      <c r="E827" s="100"/>
      <c r="F827" s="206"/>
      <c r="G827" s="206"/>
      <c r="H827" s="207"/>
      <c r="I827" s="207"/>
      <c r="J827" s="207"/>
      <c r="K827" s="207"/>
      <c r="L827" s="207"/>
      <c r="M827" s="207"/>
      <c r="N827" s="207"/>
      <c r="O827" s="207"/>
      <c r="P827" s="207"/>
      <c r="Q827" s="207"/>
      <c r="R827" s="207"/>
      <c r="S827" s="207"/>
      <c r="T827" s="207"/>
      <c r="U827" s="207"/>
      <c r="V827" s="207"/>
      <c r="W827" s="208"/>
      <c r="X827" s="208"/>
      <c r="Y827" s="208"/>
      <c r="Z827" s="208"/>
      <c r="AA827" s="208"/>
      <c r="AB827" s="208"/>
      <c r="AC827" s="208"/>
      <c r="AD827" s="208"/>
      <c r="AE827" s="208"/>
      <c r="AF827" s="208"/>
      <c r="AG827" s="208"/>
      <c r="AH827" s="208"/>
      <c r="AI827" s="100"/>
      <c r="AJ827" s="100"/>
      <c r="AK827" s="100"/>
      <c r="AL827" s="100"/>
      <c r="AM827" s="100"/>
    </row>
    <row r="828" ht="14.25" customHeight="1">
      <c r="A828" s="100"/>
      <c r="B828" s="100"/>
      <c r="C828" s="100"/>
      <c r="D828" s="100"/>
      <c r="E828" s="100"/>
      <c r="F828" s="206"/>
      <c r="G828" s="206"/>
      <c r="H828" s="207"/>
      <c r="I828" s="207"/>
      <c r="J828" s="207"/>
      <c r="K828" s="207"/>
      <c r="L828" s="207"/>
      <c r="M828" s="207"/>
      <c r="N828" s="207"/>
      <c r="O828" s="207"/>
      <c r="P828" s="207"/>
      <c r="Q828" s="207"/>
      <c r="R828" s="207"/>
      <c r="S828" s="207"/>
      <c r="T828" s="207"/>
      <c r="U828" s="207"/>
      <c r="V828" s="207"/>
      <c r="W828" s="208"/>
      <c r="X828" s="208"/>
      <c r="Y828" s="208"/>
      <c r="Z828" s="208"/>
      <c r="AA828" s="208"/>
      <c r="AB828" s="208"/>
      <c r="AC828" s="208"/>
      <c r="AD828" s="208"/>
      <c r="AE828" s="208"/>
      <c r="AF828" s="208"/>
      <c r="AG828" s="208"/>
      <c r="AH828" s="208"/>
      <c r="AI828" s="100"/>
      <c r="AJ828" s="100"/>
      <c r="AK828" s="100"/>
      <c r="AL828" s="100"/>
      <c r="AM828" s="100"/>
    </row>
    <row r="829" ht="14.25" customHeight="1">
      <c r="A829" s="100"/>
      <c r="B829" s="100"/>
      <c r="C829" s="100"/>
      <c r="D829" s="100"/>
      <c r="E829" s="100"/>
      <c r="F829" s="206"/>
      <c r="G829" s="206"/>
      <c r="H829" s="207"/>
      <c r="I829" s="207"/>
      <c r="J829" s="207"/>
      <c r="K829" s="207"/>
      <c r="L829" s="207"/>
      <c r="M829" s="207"/>
      <c r="N829" s="207"/>
      <c r="O829" s="207"/>
      <c r="P829" s="207"/>
      <c r="Q829" s="207"/>
      <c r="R829" s="207"/>
      <c r="S829" s="207"/>
      <c r="T829" s="207"/>
      <c r="U829" s="207"/>
      <c r="V829" s="207"/>
      <c r="W829" s="208"/>
      <c r="X829" s="208"/>
      <c r="Y829" s="208"/>
      <c r="Z829" s="208"/>
      <c r="AA829" s="208"/>
      <c r="AB829" s="208"/>
      <c r="AC829" s="208"/>
      <c r="AD829" s="208"/>
      <c r="AE829" s="208"/>
      <c r="AF829" s="208"/>
      <c r="AG829" s="208"/>
      <c r="AH829" s="208"/>
      <c r="AI829" s="100"/>
      <c r="AJ829" s="100"/>
      <c r="AK829" s="100"/>
      <c r="AL829" s="100"/>
      <c r="AM829" s="100"/>
    </row>
    <row r="830" ht="14.25" customHeight="1">
      <c r="A830" s="100"/>
      <c r="B830" s="100"/>
      <c r="C830" s="100"/>
      <c r="D830" s="100"/>
      <c r="E830" s="100"/>
      <c r="F830" s="206"/>
      <c r="G830" s="206"/>
      <c r="H830" s="207"/>
      <c r="I830" s="207"/>
      <c r="J830" s="207"/>
      <c r="K830" s="207"/>
      <c r="L830" s="207"/>
      <c r="M830" s="207"/>
      <c r="N830" s="207"/>
      <c r="O830" s="207"/>
      <c r="P830" s="207"/>
      <c r="Q830" s="207"/>
      <c r="R830" s="207"/>
      <c r="S830" s="207"/>
      <c r="T830" s="207"/>
      <c r="U830" s="207"/>
      <c r="V830" s="207"/>
      <c r="W830" s="208"/>
      <c r="X830" s="208"/>
      <c r="Y830" s="208"/>
      <c r="Z830" s="208"/>
      <c r="AA830" s="208"/>
      <c r="AB830" s="208"/>
      <c r="AC830" s="208"/>
      <c r="AD830" s="208"/>
      <c r="AE830" s="208"/>
      <c r="AF830" s="208"/>
      <c r="AG830" s="208"/>
      <c r="AH830" s="208"/>
      <c r="AI830" s="100"/>
      <c r="AJ830" s="100"/>
      <c r="AK830" s="100"/>
      <c r="AL830" s="100"/>
      <c r="AM830" s="100"/>
    </row>
    <row r="831" ht="14.25" customHeight="1">
      <c r="A831" s="100"/>
      <c r="B831" s="100"/>
      <c r="C831" s="100"/>
      <c r="D831" s="100"/>
      <c r="E831" s="100"/>
      <c r="F831" s="206"/>
      <c r="G831" s="206"/>
      <c r="H831" s="207"/>
      <c r="I831" s="207"/>
      <c r="J831" s="207"/>
      <c r="K831" s="207"/>
      <c r="L831" s="207"/>
      <c r="M831" s="207"/>
      <c r="N831" s="207"/>
      <c r="O831" s="207"/>
      <c r="P831" s="207"/>
      <c r="Q831" s="207"/>
      <c r="R831" s="207"/>
      <c r="S831" s="207"/>
      <c r="T831" s="207"/>
      <c r="U831" s="207"/>
      <c r="V831" s="207"/>
      <c r="W831" s="208"/>
      <c r="X831" s="208"/>
      <c r="Y831" s="208"/>
      <c r="Z831" s="208"/>
      <c r="AA831" s="208"/>
      <c r="AB831" s="208"/>
      <c r="AC831" s="208"/>
      <c r="AD831" s="208"/>
      <c r="AE831" s="208"/>
      <c r="AF831" s="208"/>
      <c r="AG831" s="208"/>
      <c r="AH831" s="208"/>
      <c r="AI831" s="100"/>
      <c r="AJ831" s="100"/>
      <c r="AK831" s="100"/>
      <c r="AL831" s="100"/>
      <c r="AM831" s="100"/>
    </row>
    <row r="832" ht="14.25" customHeight="1">
      <c r="A832" s="100"/>
      <c r="B832" s="100"/>
      <c r="C832" s="100"/>
      <c r="D832" s="100"/>
      <c r="E832" s="100"/>
      <c r="F832" s="206"/>
      <c r="G832" s="206"/>
      <c r="H832" s="207"/>
      <c r="I832" s="207"/>
      <c r="J832" s="207"/>
      <c r="K832" s="207"/>
      <c r="L832" s="207"/>
      <c r="M832" s="207"/>
      <c r="N832" s="207"/>
      <c r="O832" s="207"/>
      <c r="P832" s="207"/>
      <c r="Q832" s="207"/>
      <c r="R832" s="207"/>
      <c r="S832" s="207"/>
      <c r="T832" s="207"/>
      <c r="U832" s="207"/>
      <c r="V832" s="207"/>
      <c r="W832" s="208"/>
      <c r="X832" s="208"/>
      <c r="Y832" s="208"/>
      <c r="Z832" s="208"/>
      <c r="AA832" s="208"/>
      <c r="AB832" s="208"/>
      <c r="AC832" s="208"/>
      <c r="AD832" s="208"/>
      <c r="AE832" s="208"/>
      <c r="AF832" s="208"/>
      <c r="AG832" s="208"/>
      <c r="AH832" s="208"/>
      <c r="AI832" s="100"/>
      <c r="AJ832" s="100"/>
      <c r="AK832" s="100"/>
      <c r="AL832" s="100"/>
      <c r="AM832" s="100"/>
    </row>
    <row r="833" ht="14.25" customHeight="1">
      <c r="A833" s="100"/>
      <c r="B833" s="100"/>
      <c r="C833" s="100"/>
      <c r="D833" s="100"/>
      <c r="E833" s="100"/>
      <c r="F833" s="206"/>
      <c r="G833" s="206"/>
      <c r="H833" s="207"/>
      <c r="I833" s="207"/>
      <c r="J833" s="207"/>
      <c r="K833" s="207"/>
      <c r="L833" s="207"/>
      <c r="M833" s="207"/>
      <c r="N833" s="207"/>
      <c r="O833" s="207"/>
      <c r="P833" s="207"/>
      <c r="Q833" s="207"/>
      <c r="R833" s="207"/>
      <c r="S833" s="207"/>
      <c r="T833" s="207"/>
      <c r="U833" s="207"/>
      <c r="V833" s="207"/>
      <c r="W833" s="208"/>
      <c r="X833" s="208"/>
      <c r="Y833" s="208"/>
      <c r="Z833" s="208"/>
      <c r="AA833" s="208"/>
      <c r="AB833" s="208"/>
      <c r="AC833" s="208"/>
      <c r="AD833" s="208"/>
      <c r="AE833" s="208"/>
      <c r="AF833" s="208"/>
      <c r="AG833" s="208"/>
      <c r="AH833" s="208"/>
      <c r="AI833" s="100"/>
      <c r="AJ833" s="100"/>
      <c r="AK833" s="100"/>
      <c r="AL833" s="100"/>
      <c r="AM833" s="100"/>
    </row>
    <row r="834" ht="14.25" customHeight="1">
      <c r="A834" s="100"/>
      <c r="B834" s="100"/>
      <c r="C834" s="100"/>
      <c r="D834" s="100"/>
      <c r="E834" s="100"/>
      <c r="F834" s="206"/>
      <c r="G834" s="206"/>
      <c r="H834" s="207"/>
      <c r="I834" s="207"/>
      <c r="J834" s="207"/>
      <c r="K834" s="207"/>
      <c r="L834" s="207"/>
      <c r="M834" s="207"/>
      <c r="N834" s="207"/>
      <c r="O834" s="207"/>
      <c r="P834" s="207"/>
      <c r="Q834" s="207"/>
      <c r="R834" s="207"/>
      <c r="S834" s="207"/>
      <c r="T834" s="207"/>
      <c r="U834" s="207"/>
      <c r="V834" s="207"/>
      <c r="W834" s="208"/>
      <c r="X834" s="208"/>
      <c r="Y834" s="208"/>
      <c r="Z834" s="208"/>
      <c r="AA834" s="208"/>
      <c r="AB834" s="208"/>
      <c r="AC834" s="208"/>
      <c r="AD834" s="208"/>
      <c r="AE834" s="208"/>
      <c r="AF834" s="208"/>
      <c r="AG834" s="208"/>
      <c r="AH834" s="208"/>
      <c r="AI834" s="100"/>
      <c r="AJ834" s="100"/>
      <c r="AK834" s="100"/>
      <c r="AL834" s="100"/>
      <c r="AM834" s="100"/>
    </row>
    <row r="835" ht="14.25" customHeight="1">
      <c r="A835" s="100"/>
      <c r="B835" s="100"/>
      <c r="C835" s="100"/>
      <c r="D835" s="100"/>
      <c r="E835" s="100"/>
      <c r="F835" s="206"/>
      <c r="G835" s="206"/>
      <c r="H835" s="207"/>
      <c r="I835" s="207"/>
      <c r="J835" s="207"/>
      <c r="K835" s="207"/>
      <c r="L835" s="207"/>
      <c r="M835" s="207"/>
      <c r="N835" s="207"/>
      <c r="O835" s="207"/>
      <c r="P835" s="207"/>
      <c r="Q835" s="207"/>
      <c r="R835" s="207"/>
      <c r="S835" s="207"/>
      <c r="T835" s="207"/>
      <c r="U835" s="207"/>
      <c r="V835" s="207"/>
      <c r="W835" s="208"/>
      <c r="X835" s="208"/>
      <c r="Y835" s="208"/>
      <c r="Z835" s="208"/>
      <c r="AA835" s="208"/>
      <c r="AB835" s="208"/>
      <c r="AC835" s="208"/>
      <c r="AD835" s="208"/>
      <c r="AE835" s="208"/>
      <c r="AF835" s="208"/>
      <c r="AG835" s="208"/>
      <c r="AH835" s="208"/>
      <c r="AI835" s="100"/>
      <c r="AJ835" s="100"/>
      <c r="AK835" s="100"/>
      <c r="AL835" s="100"/>
      <c r="AM835" s="100"/>
    </row>
    <row r="836" ht="14.25" customHeight="1">
      <c r="A836" s="100"/>
      <c r="B836" s="100"/>
      <c r="C836" s="100"/>
      <c r="D836" s="100"/>
      <c r="E836" s="100"/>
      <c r="F836" s="206"/>
      <c r="G836" s="206"/>
      <c r="H836" s="207"/>
      <c r="I836" s="207"/>
      <c r="J836" s="207"/>
      <c r="K836" s="207"/>
      <c r="L836" s="207"/>
      <c r="M836" s="207"/>
      <c r="N836" s="207"/>
      <c r="O836" s="207"/>
      <c r="P836" s="207"/>
      <c r="Q836" s="207"/>
      <c r="R836" s="207"/>
      <c r="S836" s="207"/>
      <c r="T836" s="207"/>
      <c r="U836" s="207"/>
      <c r="V836" s="207"/>
      <c r="W836" s="208"/>
      <c r="X836" s="208"/>
      <c r="Y836" s="208"/>
      <c r="Z836" s="208"/>
      <c r="AA836" s="208"/>
      <c r="AB836" s="208"/>
      <c r="AC836" s="208"/>
      <c r="AD836" s="208"/>
      <c r="AE836" s="208"/>
      <c r="AF836" s="208"/>
      <c r="AG836" s="208"/>
      <c r="AH836" s="208"/>
      <c r="AI836" s="100"/>
      <c r="AJ836" s="100"/>
      <c r="AK836" s="100"/>
      <c r="AL836" s="100"/>
      <c r="AM836" s="100"/>
    </row>
    <row r="837" ht="14.25" customHeight="1">
      <c r="A837" s="100"/>
      <c r="B837" s="100"/>
      <c r="C837" s="100"/>
      <c r="D837" s="100"/>
      <c r="E837" s="100"/>
      <c r="F837" s="206"/>
      <c r="G837" s="206"/>
      <c r="H837" s="207"/>
      <c r="I837" s="207"/>
      <c r="J837" s="207"/>
      <c r="K837" s="207"/>
      <c r="L837" s="207"/>
      <c r="M837" s="207"/>
      <c r="N837" s="207"/>
      <c r="O837" s="207"/>
      <c r="P837" s="207"/>
      <c r="Q837" s="207"/>
      <c r="R837" s="207"/>
      <c r="S837" s="207"/>
      <c r="T837" s="207"/>
      <c r="U837" s="207"/>
      <c r="V837" s="207"/>
      <c r="W837" s="208"/>
      <c r="X837" s="208"/>
      <c r="Y837" s="208"/>
      <c r="Z837" s="208"/>
      <c r="AA837" s="208"/>
      <c r="AB837" s="208"/>
      <c r="AC837" s="208"/>
      <c r="AD837" s="208"/>
      <c r="AE837" s="208"/>
      <c r="AF837" s="208"/>
      <c r="AG837" s="208"/>
      <c r="AH837" s="208"/>
      <c r="AI837" s="100"/>
      <c r="AJ837" s="100"/>
      <c r="AK837" s="100"/>
      <c r="AL837" s="100"/>
      <c r="AM837" s="100"/>
    </row>
    <row r="838" ht="14.25" customHeight="1">
      <c r="A838" s="100"/>
      <c r="B838" s="100"/>
      <c r="C838" s="100"/>
      <c r="D838" s="100"/>
      <c r="E838" s="100"/>
      <c r="F838" s="206"/>
      <c r="G838" s="206"/>
      <c r="H838" s="207"/>
      <c r="I838" s="207"/>
      <c r="J838" s="207"/>
      <c r="K838" s="207"/>
      <c r="L838" s="207"/>
      <c r="M838" s="207"/>
      <c r="N838" s="207"/>
      <c r="O838" s="207"/>
      <c r="P838" s="207"/>
      <c r="Q838" s="207"/>
      <c r="R838" s="207"/>
      <c r="S838" s="207"/>
      <c r="T838" s="207"/>
      <c r="U838" s="207"/>
      <c r="V838" s="207"/>
      <c r="W838" s="208"/>
      <c r="X838" s="208"/>
      <c r="Y838" s="208"/>
      <c r="Z838" s="208"/>
      <c r="AA838" s="208"/>
      <c r="AB838" s="208"/>
      <c r="AC838" s="208"/>
      <c r="AD838" s="208"/>
      <c r="AE838" s="208"/>
      <c r="AF838" s="208"/>
      <c r="AG838" s="208"/>
      <c r="AH838" s="208"/>
      <c r="AI838" s="100"/>
      <c r="AJ838" s="100"/>
      <c r="AK838" s="100"/>
      <c r="AL838" s="100"/>
      <c r="AM838" s="100"/>
    </row>
    <row r="839" ht="14.25" customHeight="1">
      <c r="A839" s="100"/>
      <c r="B839" s="100"/>
      <c r="C839" s="100"/>
      <c r="D839" s="100"/>
      <c r="E839" s="100"/>
      <c r="F839" s="206"/>
      <c r="G839" s="206"/>
      <c r="H839" s="207"/>
      <c r="I839" s="207"/>
      <c r="J839" s="207"/>
      <c r="K839" s="207"/>
      <c r="L839" s="207"/>
      <c r="M839" s="207"/>
      <c r="N839" s="207"/>
      <c r="O839" s="207"/>
      <c r="P839" s="207"/>
      <c r="Q839" s="207"/>
      <c r="R839" s="207"/>
      <c r="S839" s="207"/>
      <c r="T839" s="207"/>
      <c r="U839" s="207"/>
      <c r="V839" s="207"/>
      <c r="W839" s="208"/>
      <c r="X839" s="208"/>
      <c r="Y839" s="208"/>
      <c r="Z839" s="208"/>
      <c r="AA839" s="208"/>
      <c r="AB839" s="208"/>
      <c r="AC839" s="208"/>
      <c r="AD839" s="208"/>
      <c r="AE839" s="208"/>
      <c r="AF839" s="208"/>
      <c r="AG839" s="208"/>
      <c r="AH839" s="208"/>
      <c r="AI839" s="100"/>
      <c r="AJ839" s="100"/>
      <c r="AK839" s="100"/>
      <c r="AL839" s="100"/>
      <c r="AM839" s="100"/>
    </row>
    <row r="840" ht="14.25" customHeight="1">
      <c r="A840" s="100"/>
      <c r="B840" s="100"/>
      <c r="C840" s="100"/>
      <c r="D840" s="100"/>
      <c r="E840" s="100"/>
      <c r="F840" s="206"/>
      <c r="G840" s="206"/>
      <c r="H840" s="207"/>
      <c r="I840" s="207"/>
      <c r="J840" s="207"/>
      <c r="K840" s="207"/>
      <c r="L840" s="207"/>
      <c r="M840" s="207"/>
      <c r="N840" s="207"/>
      <c r="O840" s="207"/>
      <c r="P840" s="207"/>
      <c r="Q840" s="207"/>
      <c r="R840" s="207"/>
      <c r="S840" s="207"/>
      <c r="T840" s="207"/>
      <c r="U840" s="207"/>
      <c r="V840" s="207"/>
      <c r="W840" s="208"/>
      <c r="X840" s="208"/>
      <c r="Y840" s="208"/>
      <c r="Z840" s="208"/>
      <c r="AA840" s="208"/>
      <c r="AB840" s="208"/>
      <c r="AC840" s="208"/>
      <c r="AD840" s="208"/>
      <c r="AE840" s="208"/>
      <c r="AF840" s="208"/>
      <c r="AG840" s="208"/>
      <c r="AH840" s="208"/>
      <c r="AI840" s="100"/>
      <c r="AJ840" s="100"/>
      <c r="AK840" s="100"/>
      <c r="AL840" s="100"/>
      <c r="AM840" s="100"/>
    </row>
    <row r="841" ht="14.25" customHeight="1">
      <c r="A841" s="100"/>
      <c r="B841" s="100"/>
      <c r="C841" s="100"/>
      <c r="D841" s="100"/>
      <c r="E841" s="100"/>
      <c r="F841" s="206"/>
      <c r="G841" s="206"/>
      <c r="H841" s="207"/>
      <c r="I841" s="207"/>
      <c r="J841" s="207"/>
      <c r="K841" s="207"/>
      <c r="L841" s="207"/>
      <c r="M841" s="207"/>
      <c r="N841" s="207"/>
      <c r="O841" s="207"/>
      <c r="P841" s="207"/>
      <c r="Q841" s="207"/>
      <c r="R841" s="207"/>
      <c r="S841" s="207"/>
      <c r="T841" s="207"/>
      <c r="U841" s="207"/>
      <c r="V841" s="207"/>
      <c r="W841" s="208"/>
      <c r="X841" s="208"/>
      <c r="Y841" s="208"/>
      <c r="Z841" s="208"/>
      <c r="AA841" s="208"/>
      <c r="AB841" s="208"/>
      <c r="AC841" s="208"/>
      <c r="AD841" s="208"/>
      <c r="AE841" s="208"/>
      <c r="AF841" s="208"/>
      <c r="AG841" s="208"/>
      <c r="AH841" s="208"/>
      <c r="AI841" s="100"/>
      <c r="AJ841" s="100"/>
      <c r="AK841" s="100"/>
      <c r="AL841" s="100"/>
      <c r="AM841" s="100"/>
    </row>
    <row r="842" ht="14.25" customHeight="1">
      <c r="A842" s="100"/>
      <c r="B842" s="100"/>
      <c r="C842" s="100"/>
      <c r="D842" s="100"/>
      <c r="E842" s="100"/>
      <c r="F842" s="206"/>
      <c r="G842" s="206"/>
      <c r="H842" s="207"/>
      <c r="I842" s="207"/>
      <c r="J842" s="207"/>
      <c r="K842" s="207"/>
      <c r="L842" s="207"/>
      <c r="M842" s="207"/>
      <c r="N842" s="207"/>
      <c r="O842" s="207"/>
      <c r="P842" s="207"/>
      <c r="Q842" s="207"/>
      <c r="R842" s="207"/>
      <c r="S842" s="207"/>
      <c r="T842" s="207"/>
      <c r="U842" s="207"/>
      <c r="V842" s="207"/>
      <c r="W842" s="208"/>
      <c r="X842" s="208"/>
      <c r="Y842" s="208"/>
      <c r="Z842" s="208"/>
      <c r="AA842" s="208"/>
      <c r="AB842" s="208"/>
      <c r="AC842" s="208"/>
      <c r="AD842" s="208"/>
      <c r="AE842" s="208"/>
      <c r="AF842" s="208"/>
      <c r="AG842" s="208"/>
      <c r="AH842" s="208"/>
      <c r="AI842" s="100"/>
      <c r="AJ842" s="100"/>
      <c r="AK842" s="100"/>
      <c r="AL842" s="100"/>
      <c r="AM842" s="100"/>
    </row>
    <row r="843" ht="14.25" customHeight="1">
      <c r="A843" s="100"/>
      <c r="B843" s="100"/>
      <c r="C843" s="100"/>
      <c r="D843" s="100"/>
      <c r="E843" s="100"/>
      <c r="F843" s="206"/>
      <c r="G843" s="206"/>
      <c r="H843" s="207"/>
      <c r="I843" s="207"/>
      <c r="J843" s="207"/>
      <c r="K843" s="207"/>
      <c r="L843" s="207"/>
      <c r="M843" s="207"/>
      <c r="N843" s="207"/>
      <c r="O843" s="207"/>
      <c r="P843" s="207"/>
      <c r="Q843" s="207"/>
      <c r="R843" s="207"/>
      <c r="S843" s="207"/>
      <c r="T843" s="207"/>
      <c r="U843" s="207"/>
      <c r="V843" s="207"/>
      <c r="W843" s="208"/>
      <c r="X843" s="208"/>
      <c r="Y843" s="208"/>
      <c r="Z843" s="208"/>
      <c r="AA843" s="208"/>
      <c r="AB843" s="208"/>
      <c r="AC843" s="208"/>
      <c r="AD843" s="208"/>
      <c r="AE843" s="208"/>
      <c r="AF843" s="208"/>
      <c r="AG843" s="208"/>
      <c r="AH843" s="208"/>
      <c r="AI843" s="100"/>
      <c r="AJ843" s="100"/>
      <c r="AK843" s="100"/>
      <c r="AL843" s="100"/>
      <c r="AM843" s="100"/>
    </row>
    <row r="844" ht="14.25" customHeight="1">
      <c r="A844" s="100"/>
      <c r="B844" s="100"/>
      <c r="C844" s="100"/>
      <c r="D844" s="100"/>
      <c r="E844" s="100"/>
      <c r="F844" s="206"/>
      <c r="G844" s="206"/>
      <c r="H844" s="207"/>
      <c r="I844" s="207"/>
      <c r="J844" s="207"/>
      <c r="K844" s="207"/>
      <c r="L844" s="207"/>
      <c r="M844" s="207"/>
      <c r="N844" s="207"/>
      <c r="O844" s="207"/>
      <c r="P844" s="207"/>
      <c r="Q844" s="207"/>
      <c r="R844" s="207"/>
      <c r="S844" s="207"/>
      <c r="T844" s="207"/>
      <c r="U844" s="207"/>
      <c r="V844" s="207"/>
      <c r="W844" s="208"/>
      <c r="X844" s="208"/>
      <c r="Y844" s="208"/>
      <c r="Z844" s="208"/>
      <c r="AA844" s="208"/>
      <c r="AB844" s="208"/>
      <c r="AC844" s="208"/>
      <c r="AD844" s="208"/>
      <c r="AE844" s="208"/>
      <c r="AF844" s="208"/>
      <c r="AG844" s="208"/>
      <c r="AH844" s="208"/>
      <c r="AI844" s="100"/>
      <c r="AJ844" s="100"/>
      <c r="AK844" s="100"/>
      <c r="AL844" s="100"/>
      <c r="AM844" s="100"/>
    </row>
    <row r="845" ht="14.25" customHeight="1">
      <c r="A845" s="100"/>
      <c r="B845" s="100"/>
      <c r="C845" s="100"/>
      <c r="D845" s="100"/>
      <c r="E845" s="100"/>
      <c r="F845" s="206"/>
      <c r="G845" s="206"/>
      <c r="H845" s="207"/>
      <c r="I845" s="207"/>
      <c r="J845" s="207"/>
      <c r="K845" s="207"/>
      <c r="L845" s="207"/>
      <c r="M845" s="207"/>
      <c r="N845" s="207"/>
      <c r="O845" s="207"/>
      <c r="P845" s="207"/>
      <c r="Q845" s="207"/>
      <c r="R845" s="207"/>
      <c r="S845" s="207"/>
      <c r="T845" s="207"/>
      <c r="U845" s="207"/>
      <c r="V845" s="207"/>
      <c r="W845" s="208"/>
      <c r="X845" s="208"/>
      <c r="Y845" s="208"/>
      <c r="Z845" s="208"/>
      <c r="AA845" s="208"/>
      <c r="AB845" s="208"/>
      <c r="AC845" s="208"/>
      <c r="AD845" s="208"/>
      <c r="AE845" s="208"/>
      <c r="AF845" s="208"/>
      <c r="AG845" s="208"/>
      <c r="AH845" s="208"/>
      <c r="AI845" s="100"/>
      <c r="AJ845" s="100"/>
      <c r="AK845" s="100"/>
      <c r="AL845" s="100"/>
      <c r="AM845" s="100"/>
    </row>
    <row r="846" ht="14.25" customHeight="1">
      <c r="A846" s="100"/>
      <c r="B846" s="100"/>
      <c r="C846" s="100"/>
      <c r="D846" s="100"/>
      <c r="E846" s="100"/>
      <c r="F846" s="206"/>
      <c r="G846" s="206"/>
      <c r="H846" s="207"/>
      <c r="I846" s="207"/>
      <c r="J846" s="207"/>
      <c r="K846" s="207"/>
      <c r="L846" s="207"/>
      <c r="M846" s="207"/>
      <c r="N846" s="207"/>
      <c r="O846" s="207"/>
      <c r="P846" s="207"/>
      <c r="Q846" s="207"/>
      <c r="R846" s="207"/>
      <c r="S846" s="207"/>
      <c r="T846" s="207"/>
      <c r="U846" s="207"/>
      <c r="V846" s="207"/>
      <c r="W846" s="208"/>
      <c r="X846" s="208"/>
      <c r="Y846" s="208"/>
      <c r="Z846" s="208"/>
      <c r="AA846" s="208"/>
      <c r="AB846" s="208"/>
      <c r="AC846" s="208"/>
      <c r="AD846" s="208"/>
      <c r="AE846" s="208"/>
      <c r="AF846" s="208"/>
      <c r="AG846" s="208"/>
      <c r="AH846" s="208"/>
      <c r="AI846" s="100"/>
      <c r="AJ846" s="100"/>
      <c r="AK846" s="100"/>
      <c r="AL846" s="100"/>
      <c r="AM846" s="100"/>
    </row>
    <row r="847" ht="14.25" customHeight="1">
      <c r="A847" s="100"/>
      <c r="B847" s="100"/>
      <c r="C847" s="100"/>
      <c r="D847" s="100"/>
      <c r="E847" s="100"/>
      <c r="F847" s="206"/>
      <c r="G847" s="206"/>
      <c r="H847" s="207"/>
      <c r="I847" s="207"/>
      <c r="J847" s="207"/>
      <c r="K847" s="207"/>
      <c r="L847" s="207"/>
      <c r="M847" s="207"/>
      <c r="N847" s="207"/>
      <c r="O847" s="207"/>
      <c r="P847" s="207"/>
      <c r="Q847" s="207"/>
      <c r="R847" s="207"/>
      <c r="S847" s="207"/>
      <c r="T847" s="207"/>
      <c r="U847" s="207"/>
      <c r="V847" s="207"/>
      <c r="W847" s="208"/>
      <c r="X847" s="208"/>
      <c r="Y847" s="208"/>
      <c r="Z847" s="208"/>
      <c r="AA847" s="208"/>
      <c r="AB847" s="208"/>
      <c r="AC847" s="208"/>
      <c r="AD847" s="208"/>
      <c r="AE847" s="208"/>
      <c r="AF847" s="208"/>
      <c r="AG847" s="208"/>
      <c r="AH847" s="208"/>
      <c r="AI847" s="100"/>
      <c r="AJ847" s="100"/>
      <c r="AK847" s="100"/>
      <c r="AL847" s="100"/>
      <c r="AM847" s="100"/>
    </row>
    <row r="848" ht="14.25" customHeight="1">
      <c r="A848" s="100"/>
      <c r="B848" s="100"/>
      <c r="C848" s="100"/>
      <c r="D848" s="100"/>
      <c r="E848" s="100"/>
      <c r="F848" s="206"/>
      <c r="G848" s="206"/>
      <c r="H848" s="207"/>
      <c r="I848" s="207"/>
      <c r="J848" s="207"/>
      <c r="K848" s="207"/>
      <c r="L848" s="207"/>
      <c r="M848" s="207"/>
      <c r="N848" s="207"/>
      <c r="O848" s="207"/>
      <c r="P848" s="207"/>
      <c r="Q848" s="207"/>
      <c r="R848" s="207"/>
      <c r="S848" s="207"/>
      <c r="T848" s="207"/>
      <c r="U848" s="207"/>
      <c r="V848" s="207"/>
      <c r="W848" s="208"/>
      <c r="X848" s="208"/>
      <c r="Y848" s="208"/>
      <c r="Z848" s="208"/>
      <c r="AA848" s="208"/>
      <c r="AB848" s="208"/>
      <c r="AC848" s="208"/>
      <c r="AD848" s="208"/>
      <c r="AE848" s="208"/>
      <c r="AF848" s="208"/>
      <c r="AG848" s="208"/>
      <c r="AH848" s="208"/>
      <c r="AI848" s="100"/>
      <c r="AJ848" s="100"/>
      <c r="AK848" s="100"/>
      <c r="AL848" s="100"/>
      <c r="AM848" s="100"/>
    </row>
    <row r="849" ht="14.25" customHeight="1">
      <c r="A849" s="100"/>
      <c r="B849" s="100"/>
      <c r="C849" s="100"/>
      <c r="D849" s="100"/>
      <c r="E849" s="100"/>
      <c r="F849" s="206"/>
      <c r="G849" s="206"/>
      <c r="H849" s="207"/>
      <c r="I849" s="207"/>
      <c r="J849" s="207"/>
      <c r="K849" s="207"/>
      <c r="L849" s="207"/>
      <c r="M849" s="207"/>
      <c r="N849" s="207"/>
      <c r="O849" s="207"/>
      <c r="P849" s="207"/>
      <c r="Q849" s="207"/>
      <c r="R849" s="207"/>
      <c r="S849" s="207"/>
      <c r="T849" s="207"/>
      <c r="U849" s="207"/>
      <c r="V849" s="207"/>
      <c r="W849" s="208"/>
      <c r="X849" s="208"/>
      <c r="Y849" s="208"/>
      <c r="Z849" s="208"/>
      <c r="AA849" s="208"/>
      <c r="AB849" s="208"/>
      <c r="AC849" s="208"/>
      <c r="AD849" s="208"/>
      <c r="AE849" s="208"/>
      <c r="AF849" s="208"/>
      <c r="AG849" s="208"/>
      <c r="AH849" s="208"/>
      <c r="AI849" s="100"/>
      <c r="AJ849" s="100"/>
      <c r="AK849" s="100"/>
      <c r="AL849" s="100"/>
      <c r="AM849" s="100"/>
    </row>
    <row r="850" ht="14.25" customHeight="1">
      <c r="A850" s="100"/>
      <c r="B850" s="100"/>
      <c r="C850" s="100"/>
      <c r="D850" s="100"/>
      <c r="E850" s="100"/>
      <c r="F850" s="206"/>
      <c r="G850" s="206"/>
      <c r="H850" s="207"/>
      <c r="I850" s="207"/>
      <c r="J850" s="207"/>
      <c r="K850" s="207"/>
      <c r="L850" s="207"/>
      <c r="M850" s="207"/>
      <c r="N850" s="207"/>
      <c r="O850" s="207"/>
      <c r="P850" s="207"/>
      <c r="Q850" s="207"/>
      <c r="R850" s="207"/>
      <c r="S850" s="207"/>
      <c r="T850" s="207"/>
      <c r="U850" s="207"/>
      <c r="V850" s="207"/>
      <c r="W850" s="208"/>
      <c r="X850" s="208"/>
      <c r="Y850" s="208"/>
      <c r="Z850" s="208"/>
      <c r="AA850" s="208"/>
      <c r="AB850" s="208"/>
      <c r="AC850" s="208"/>
      <c r="AD850" s="208"/>
      <c r="AE850" s="208"/>
      <c r="AF850" s="208"/>
      <c r="AG850" s="208"/>
      <c r="AH850" s="208"/>
      <c r="AI850" s="100"/>
      <c r="AJ850" s="100"/>
      <c r="AK850" s="100"/>
      <c r="AL850" s="100"/>
      <c r="AM850" s="100"/>
    </row>
    <row r="851" ht="14.25" customHeight="1">
      <c r="A851" s="100"/>
      <c r="B851" s="100"/>
      <c r="C851" s="100"/>
      <c r="D851" s="100"/>
      <c r="E851" s="100"/>
      <c r="F851" s="206"/>
      <c r="G851" s="206"/>
      <c r="H851" s="207"/>
      <c r="I851" s="207"/>
      <c r="J851" s="207"/>
      <c r="K851" s="207"/>
      <c r="L851" s="207"/>
      <c r="M851" s="207"/>
      <c r="N851" s="207"/>
      <c r="O851" s="207"/>
      <c r="P851" s="207"/>
      <c r="Q851" s="207"/>
      <c r="R851" s="207"/>
      <c r="S851" s="207"/>
      <c r="T851" s="207"/>
      <c r="U851" s="207"/>
      <c r="V851" s="207"/>
      <c r="W851" s="208"/>
      <c r="X851" s="208"/>
      <c r="Y851" s="208"/>
      <c r="Z851" s="208"/>
      <c r="AA851" s="208"/>
      <c r="AB851" s="208"/>
      <c r="AC851" s="208"/>
      <c r="AD851" s="208"/>
      <c r="AE851" s="208"/>
      <c r="AF851" s="208"/>
      <c r="AG851" s="208"/>
      <c r="AH851" s="208"/>
      <c r="AI851" s="100"/>
      <c r="AJ851" s="100"/>
      <c r="AK851" s="100"/>
      <c r="AL851" s="100"/>
      <c r="AM851" s="100"/>
    </row>
    <row r="852" ht="14.25" customHeight="1">
      <c r="A852" s="100"/>
      <c r="B852" s="100"/>
      <c r="C852" s="100"/>
      <c r="D852" s="100"/>
      <c r="E852" s="100"/>
      <c r="F852" s="206"/>
      <c r="G852" s="206"/>
      <c r="H852" s="207"/>
      <c r="I852" s="207"/>
      <c r="J852" s="207"/>
      <c r="K852" s="207"/>
      <c r="L852" s="207"/>
      <c r="M852" s="207"/>
      <c r="N852" s="207"/>
      <c r="O852" s="207"/>
      <c r="P852" s="207"/>
      <c r="Q852" s="207"/>
      <c r="R852" s="207"/>
      <c r="S852" s="207"/>
      <c r="T852" s="207"/>
      <c r="U852" s="207"/>
      <c r="V852" s="207"/>
      <c r="W852" s="208"/>
      <c r="X852" s="208"/>
      <c r="Y852" s="208"/>
      <c r="Z852" s="208"/>
      <c r="AA852" s="208"/>
      <c r="AB852" s="208"/>
      <c r="AC852" s="208"/>
      <c r="AD852" s="208"/>
      <c r="AE852" s="208"/>
      <c r="AF852" s="208"/>
      <c r="AG852" s="208"/>
      <c r="AH852" s="208"/>
      <c r="AI852" s="100"/>
      <c r="AJ852" s="100"/>
      <c r="AK852" s="100"/>
      <c r="AL852" s="100"/>
      <c r="AM852" s="100"/>
    </row>
    <row r="853" ht="14.25" customHeight="1">
      <c r="A853" s="100"/>
      <c r="B853" s="100"/>
      <c r="C853" s="100"/>
      <c r="D853" s="100"/>
      <c r="E853" s="100"/>
      <c r="F853" s="206"/>
      <c r="G853" s="206"/>
      <c r="H853" s="207"/>
      <c r="I853" s="207"/>
      <c r="J853" s="207"/>
      <c r="K853" s="207"/>
      <c r="L853" s="207"/>
      <c r="M853" s="207"/>
      <c r="N853" s="207"/>
      <c r="O853" s="207"/>
      <c r="P853" s="207"/>
      <c r="Q853" s="207"/>
      <c r="R853" s="207"/>
      <c r="S853" s="207"/>
      <c r="T853" s="207"/>
      <c r="U853" s="207"/>
      <c r="V853" s="207"/>
      <c r="W853" s="208"/>
      <c r="X853" s="208"/>
      <c r="Y853" s="208"/>
      <c r="Z853" s="208"/>
      <c r="AA853" s="208"/>
      <c r="AB853" s="208"/>
      <c r="AC853" s="208"/>
      <c r="AD853" s="208"/>
      <c r="AE853" s="208"/>
      <c r="AF853" s="208"/>
      <c r="AG853" s="208"/>
      <c r="AH853" s="208"/>
      <c r="AI853" s="100"/>
      <c r="AJ853" s="100"/>
      <c r="AK853" s="100"/>
      <c r="AL853" s="100"/>
      <c r="AM853" s="100"/>
    </row>
    <row r="854" ht="14.25" customHeight="1">
      <c r="A854" s="100"/>
      <c r="B854" s="100"/>
      <c r="C854" s="100"/>
      <c r="D854" s="100"/>
      <c r="E854" s="100"/>
      <c r="F854" s="206"/>
      <c r="G854" s="206"/>
      <c r="H854" s="207"/>
      <c r="I854" s="207"/>
      <c r="J854" s="207"/>
      <c r="K854" s="207"/>
      <c r="L854" s="207"/>
      <c r="M854" s="207"/>
      <c r="N854" s="207"/>
      <c r="O854" s="207"/>
      <c r="P854" s="207"/>
      <c r="Q854" s="207"/>
      <c r="R854" s="207"/>
      <c r="S854" s="207"/>
      <c r="T854" s="207"/>
      <c r="U854" s="207"/>
      <c r="V854" s="207"/>
      <c r="W854" s="208"/>
      <c r="X854" s="208"/>
      <c r="Y854" s="208"/>
      <c r="Z854" s="208"/>
      <c r="AA854" s="208"/>
      <c r="AB854" s="208"/>
      <c r="AC854" s="208"/>
      <c r="AD854" s="208"/>
      <c r="AE854" s="208"/>
      <c r="AF854" s="208"/>
      <c r="AG854" s="208"/>
      <c r="AH854" s="208"/>
      <c r="AI854" s="100"/>
      <c r="AJ854" s="100"/>
      <c r="AK854" s="100"/>
      <c r="AL854" s="100"/>
      <c r="AM854" s="100"/>
    </row>
    <row r="855" ht="14.25" customHeight="1">
      <c r="A855" s="100"/>
      <c r="B855" s="100"/>
      <c r="C855" s="100"/>
      <c r="D855" s="100"/>
      <c r="E855" s="100"/>
      <c r="F855" s="206"/>
      <c r="G855" s="206"/>
      <c r="H855" s="207"/>
      <c r="I855" s="207"/>
      <c r="J855" s="207"/>
      <c r="K855" s="207"/>
      <c r="L855" s="207"/>
      <c r="M855" s="207"/>
      <c r="N855" s="207"/>
      <c r="O855" s="207"/>
      <c r="P855" s="207"/>
      <c r="Q855" s="207"/>
      <c r="R855" s="207"/>
      <c r="S855" s="207"/>
      <c r="T855" s="207"/>
      <c r="U855" s="207"/>
      <c r="V855" s="207"/>
      <c r="W855" s="208"/>
      <c r="X855" s="208"/>
      <c r="Y855" s="208"/>
      <c r="Z855" s="208"/>
      <c r="AA855" s="208"/>
      <c r="AB855" s="208"/>
      <c r="AC855" s="208"/>
      <c r="AD855" s="208"/>
      <c r="AE855" s="208"/>
      <c r="AF855" s="208"/>
      <c r="AG855" s="208"/>
      <c r="AH855" s="208"/>
      <c r="AI855" s="100"/>
      <c r="AJ855" s="100"/>
      <c r="AK855" s="100"/>
      <c r="AL855" s="100"/>
      <c r="AM855" s="100"/>
    </row>
    <row r="856" ht="14.25" customHeight="1">
      <c r="A856" s="100"/>
      <c r="B856" s="100"/>
      <c r="C856" s="100"/>
      <c r="D856" s="100"/>
      <c r="E856" s="100"/>
      <c r="F856" s="206"/>
      <c r="G856" s="206"/>
      <c r="H856" s="207"/>
      <c r="I856" s="207"/>
      <c r="J856" s="207"/>
      <c r="K856" s="207"/>
      <c r="L856" s="207"/>
      <c r="M856" s="207"/>
      <c r="N856" s="207"/>
      <c r="O856" s="207"/>
      <c r="P856" s="207"/>
      <c r="Q856" s="207"/>
      <c r="R856" s="207"/>
      <c r="S856" s="207"/>
      <c r="T856" s="207"/>
      <c r="U856" s="207"/>
      <c r="V856" s="207"/>
      <c r="W856" s="208"/>
      <c r="X856" s="208"/>
      <c r="Y856" s="208"/>
      <c r="Z856" s="208"/>
      <c r="AA856" s="208"/>
      <c r="AB856" s="208"/>
      <c r="AC856" s="208"/>
      <c r="AD856" s="208"/>
      <c r="AE856" s="208"/>
      <c r="AF856" s="208"/>
      <c r="AG856" s="208"/>
      <c r="AH856" s="208"/>
      <c r="AI856" s="100"/>
      <c r="AJ856" s="100"/>
      <c r="AK856" s="100"/>
      <c r="AL856" s="100"/>
      <c r="AM856" s="100"/>
    </row>
    <row r="857" ht="14.25" customHeight="1">
      <c r="A857" s="100"/>
      <c r="B857" s="100"/>
      <c r="C857" s="100"/>
      <c r="D857" s="100"/>
      <c r="E857" s="100"/>
      <c r="F857" s="206"/>
      <c r="G857" s="206"/>
      <c r="H857" s="207"/>
      <c r="I857" s="207"/>
      <c r="J857" s="207"/>
      <c r="K857" s="207"/>
      <c r="L857" s="207"/>
      <c r="M857" s="207"/>
      <c r="N857" s="207"/>
      <c r="O857" s="207"/>
      <c r="P857" s="207"/>
      <c r="Q857" s="207"/>
      <c r="R857" s="207"/>
      <c r="S857" s="207"/>
      <c r="T857" s="207"/>
      <c r="U857" s="207"/>
      <c r="V857" s="207"/>
      <c r="W857" s="208"/>
      <c r="X857" s="208"/>
      <c r="Y857" s="208"/>
      <c r="Z857" s="208"/>
      <c r="AA857" s="208"/>
      <c r="AB857" s="208"/>
      <c r="AC857" s="208"/>
      <c r="AD857" s="208"/>
      <c r="AE857" s="208"/>
      <c r="AF857" s="208"/>
      <c r="AG857" s="208"/>
      <c r="AH857" s="208"/>
      <c r="AI857" s="100"/>
      <c r="AJ857" s="100"/>
      <c r="AK857" s="100"/>
      <c r="AL857" s="100"/>
      <c r="AM857" s="100"/>
    </row>
    <row r="858" ht="14.25" customHeight="1">
      <c r="A858" s="100"/>
      <c r="B858" s="100"/>
      <c r="C858" s="100"/>
      <c r="D858" s="100"/>
      <c r="E858" s="100"/>
      <c r="F858" s="206"/>
      <c r="G858" s="206"/>
      <c r="H858" s="207"/>
      <c r="I858" s="207"/>
      <c r="J858" s="207"/>
      <c r="K858" s="207"/>
      <c r="L858" s="207"/>
      <c r="M858" s="207"/>
      <c r="N858" s="207"/>
      <c r="O858" s="207"/>
      <c r="P858" s="207"/>
      <c r="Q858" s="207"/>
      <c r="R858" s="207"/>
      <c r="S858" s="207"/>
      <c r="T858" s="207"/>
      <c r="U858" s="207"/>
      <c r="V858" s="207"/>
      <c r="W858" s="208"/>
      <c r="X858" s="208"/>
      <c r="Y858" s="208"/>
      <c r="Z858" s="208"/>
      <c r="AA858" s="208"/>
      <c r="AB858" s="208"/>
      <c r="AC858" s="208"/>
      <c r="AD858" s="208"/>
      <c r="AE858" s="208"/>
      <c r="AF858" s="208"/>
      <c r="AG858" s="208"/>
      <c r="AH858" s="208"/>
      <c r="AI858" s="100"/>
      <c r="AJ858" s="100"/>
      <c r="AK858" s="100"/>
      <c r="AL858" s="100"/>
      <c r="AM858" s="100"/>
    </row>
    <row r="859" ht="14.25" customHeight="1">
      <c r="A859" s="100"/>
      <c r="B859" s="100"/>
      <c r="C859" s="100"/>
      <c r="D859" s="100"/>
      <c r="E859" s="100"/>
      <c r="F859" s="206"/>
      <c r="G859" s="206"/>
      <c r="H859" s="207"/>
      <c r="I859" s="207"/>
      <c r="J859" s="207"/>
      <c r="K859" s="207"/>
      <c r="L859" s="207"/>
      <c r="M859" s="207"/>
      <c r="N859" s="207"/>
      <c r="O859" s="207"/>
      <c r="P859" s="207"/>
      <c r="Q859" s="207"/>
      <c r="R859" s="207"/>
      <c r="S859" s="207"/>
      <c r="T859" s="207"/>
      <c r="U859" s="207"/>
      <c r="V859" s="207"/>
      <c r="W859" s="208"/>
      <c r="X859" s="208"/>
      <c r="Y859" s="208"/>
      <c r="Z859" s="208"/>
      <c r="AA859" s="208"/>
      <c r="AB859" s="208"/>
      <c r="AC859" s="208"/>
      <c r="AD859" s="208"/>
      <c r="AE859" s="208"/>
      <c r="AF859" s="208"/>
      <c r="AG859" s="208"/>
      <c r="AH859" s="208"/>
      <c r="AI859" s="100"/>
      <c r="AJ859" s="100"/>
      <c r="AK859" s="100"/>
      <c r="AL859" s="100"/>
      <c r="AM859" s="100"/>
    </row>
    <row r="860" ht="14.25" customHeight="1">
      <c r="A860" s="100"/>
      <c r="B860" s="100"/>
      <c r="C860" s="100"/>
      <c r="D860" s="100"/>
      <c r="E860" s="100"/>
      <c r="F860" s="206"/>
      <c r="G860" s="206"/>
      <c r="H860" s="207"/>
      <c r="I860" s="207"/>
      <c r="J860" s="207"/>
      <c r="K860" s="207"/>
      <c r="L860" s="207"/>
      <c r="M860" s="207"/>
      <c r="N860" s="207"/>
      <c r="O860" s="207"/>
      <c r="P860" s="207"/>
      <c r="Q860" s="207"/>
      <c r="R860" s="207"/>
      <c r="S860" s="207"/>
      <c r="T860" s="207"/>
      <c r="U860" s="207"/>
      <c r="V860" s="207"/>
      <c r="W860" s="208"/>
      <c r="X860" s="208"/>
      <c r="Y860" s="208"/>
      <c r="Z860" s="208"/>
      <c r="AA860" s="208"/>
      <c r="AB860" s="208"/>
      <c r="AC860" s="208"/>
      <c r="AD860" s="208"/>
      <c r="AE860" s="208"/>
      <c r="AF860" s="208"/>
      <c r="AG860" s="208"/>
      <c r="AH860" s="208"/>
      <c r="AI860" s="100"/>
      <c r="AJ860" s="100"/>
      <c r="AK860" s="100"/>
      <c r="AL860" s="100"/>
      <c r="AM860" s="100"/>
    </row>
    <row r="861" ht="14.25" customHeight="1">
      <c r="A861" s="100"/>
      <c r="B861" s="100"/>
      <c r="C861" s="100"/>
      <c r="D861" s="100"/>
      <c r="E861" s="100"/>
      <c r="F861" s="206"/>
      <c r="G861" s="206"/>
      <c r="H861" s="207"/>
      <c r="I861" s="207"/>
      <c r="J861" s="207"/>
      <c r="K861" s="207"/>
      <c r="L861" s="207"/>
      <c r="M861" s="207"/>
      <c r="N861" s="207"/>
      <c r="O861" s="207"/>
      <c r="P861" s="207"/>
      <c r="Q861" s="207"/>
      <c r="R861" s="207"/>
      <c r="S861" s="207"/>
      <c r="T861" s="207"/>
      <c r="U861" s="207"/>
      <c r="V861" s="207"/>
      <c r="W861" s="208"/>
      <c r="X861" s="208"/>
      <c r="Y861" s="208"/>
      <c r="Z861" s="208"/>
      <c r="AA861" s="208"/>
      <c r="AB861" s="208"/>
      <c r="AC861" s="208"/>
      <c r="AD861" s="208"/>
      <c r="AE861" s="208"/>
      <c r="AF861" s="208"/>
      <c r="AG861" s="208"/>
      <c r="AH861" s="208"/>
      <c r="AI861" s="100"/>
      <c r="AJ861" s="100"/>
      <c r="AK861" s="100"/>
      <c r="AL861" s="100"/>
      <c r="AM861" s="100"/>
    </row>
    <row r="862" ht="14.25" customHeight="1">
      <c r="A862" s="100"/>
      <c r="B862" s="100"/>
      <c r="C862" s="100"/>
      <c r="D862" s="100"/>
      <c r="E862" s="100"/>
      <c r="F862" s="206"/>
      <c r="G862" s="206"/>
      <c r="H862" s="207"/>
      <c r="I862" s="207"/>
      <c r="J862" s="207"/>
      <c r="K862" s="207"/>
      <c r="L862" s="207"/>
      <c r="M862" s="207"/>
      <c r="N862" s="207"/>
      <c r="O862" s="207"/>
      <c r="P862" s="207"/>
      <c r="Q862" s="207"/>
      <c r="R862" s="207"/>
      <c r="S862" s="207"/>
      <c r="T862" s="207"/>
      <c r="U862" s="207"/>
      <c r="V862" s="207"/>
      <c r="W862" s="208"/>
      <c r="X862" s="208"/>
      <c r="Y862" s="208"/>
      <c r="Z862" s="208"/>
      <c r="AA862" s="208"/>
      <c r="AB862" s="208"/>
      <c r="AC862" s="208"/>
      <c r="AD862" s="208"/>
      <c r="AE862" s="208"/>
      <c r="AF862" s="208"/>
      <c r="AG862" s="208"/>
      <c r="AH862" s="208"/>
      <c r="AI862" s="100"/>
      <c r="AJ862" s="100"/>
      <c r="AK862" s="100"/>
      <c r="AL862" s="100"/>
      <c r="AM862" s="100"/>
    </row>
    <row r="863" ht="14.25" customHeight="1">
      <c r="A863" s="100"/>
      <c r="B863" s="100"/>
      <c r="C863" s="100"/>
      <c r="D863" s="100"/>
      <c r="E863" s="100"/>
      <c r="F863" s="206"/>
      <c r="G863" s="206"/>
      <c r="H863" s="207"/>
      <c r="I863" s="207"/>
      <c r="J863" s="207"/>
      <c r="K863" s="207"/>
      <c r="L863" s="207"/>
      <c r="M863" s="207"/>
      <c r="N863" s="207"/>
      <c r="O863" s="207"/>
      <c r="P863" s="207"/>
      <c r="Q863" s="207"/>
      <c r="R863" s="207"/>
      <c r="S863" s="207"/>
      <c r="T863" s="207"/>
      <c r="U863" s="207"/>
      <c r="V863" s="207"/>
      <c r="W863" s="208"/>
      <c r="X863" s="208"/>
      <c r="Y863" s="208"/>
      <c r="Z863" s="208"/>
      <c r="AA863" s="208"/>
      <c r="AB863" s="208"/>
      <c r="AC863" s="208"/>
      <c r="AD863" s="208"/>
      <c r="AE863" s="208"/>
      <c r="AF863" s="208"/>
      <c r="AG863" s="208"/>
      <c r="AH863" s="208"/>
      <c r="AI863" s="100"/>
      <c r="AJ863" s="100"/>
      <c r="AK863" s="100"/>
      <c r="AL863" s="100"/>
      <c r="AM863" s="100"/>
    </row>
    <row r="864" ht="14.25" customHeight="1">
      <c r="A864" s="100"/>
      <c r="B864" s="100"/>
      <c r="C864" s="100"/>
      <c r="D864" s="100"/>
      <c r="E864" s="100"/>
      <c r="F864" s="206"/>
      <c r="G864" s="206"/>
      <c r="H864" s="207"/>
      <c r="I864" s="207"/>
      <c r="J864" s="207"/>
      <c r="K864" s="207"/>
      <c r="L864" s="207"/>
      <c r="M864" s="207"/>
      <c r="N864" s="207"/>
      <c r="O864" s="207"/>
      <c r="P864" s="207"/>
      <c r="Q864" s="207"/>
      <c r="R864" s="207"/>
      <c r="S864" s="207"/>
      <c r="T864" s="207"/>
      <c r="U864" s="207"/>
      <c r="V864" s="207"/>
      <c r="W864" s="208"/>
      <c r="X864" s="208"/>
      <c r="Y864" s="208"/>
      <c r="Z864" s="208"/>
      <c r="AA864" s="208"/>
      <c r="AB864" s="208"/>
      <c r="AC864" s="208"/>
      <c r="AD864" s="208"/>
      <c r="AE864" s="208"/>
      <c r="AF864" s="208"/>
      <c r="AG864" s="208"/>
      <c r="AH864" s="208"/>
      <c r="AI864" s="100"/>
      <c r="AJ864" s="100"/>
      <c r="AK864" s="100"/>
      <c r="AL864" s="100"/>
      <c r="AM864" s="100"/>
    </row>
    <row r="865" ht="14.25" customHeight="1">
      <c r="A865" s="100"/>
      <c r="B865" s="100"/>
      <c r="C865" s="100"/>
      <c r="D865" s="100"/>
      <c r="E865" s="100"/>
      <c r="F865" s="206"/>
      <c r="G865" s="206"/>
      <c r="H865" s="207"/>
      <c r="I865" s="207"/>
      <c r="J865" s="207"/>
      <c r="K865" s="207"/>
      <c r="L865" s="207"/>
      <c r="M865" s="207"/>
      <c r="N865" s="207"/>
      <c r="O865" s="207"/>
      <c r="P865" s="207"/>
      <c r="Q865" s="207"/>
      <c r="R865" s="207"/>
      <c r="S865" s="207"/>
      <c r="T865" s="207"/>
      <c r="U865" s="207"/>
      <c r="V865" s="207"/>
      <c r="W865" s="208"/>
      <c r="X865" s="208"/>
      <c r="Y865" s="208"/>
      <c r="Z865" s="208"/>
      <c r="AA865" s="208"/>
      <c r="AB865" s="208"/>
      <c r="AC865" s="208"/>
      <c r="AD865" s="208"/>
      <c r="AE865" s="208"/>
      <c r="AF865" s="208"/>
      <c r="AG865" s="208"/>
      <c r="AH865" s="208"/>
      <c r="AI865" s="100"/>
      <c r="AJ865" s="100"/>
      <c r="AK865" s="100"/>
      <c r="AL865" s="100"/>
      <c r="AM865" s="100"/>
    </row>
    <row r="866" ht="14.25" customHeight="1">
      <c r="A866" s="100"/>
      <c r="B866" s="100"/>
      <c r="C866" s="100"/>
      <c r="D866" s="100"/>
      <c r="E866" s="100"/>
      <c r="F866" s="206"/>
      <c r="G866" s="206"/>
      <c r="H866" s="207"/>
      <c r="I866" s="207"/>
      <c r="J866" s="207"/>
      <c r="K866" s="207"/>
      <c r="L866" s="207"/>
      <c r="M866" s="207"/>
      <c r="N866" s="207"/>
      <c r="O866" s="207"/>
      <c r="P866" s="207"/>
      <c r="Q866" s="207"/>
      <c r="R866" s="207"/>
      <c r="S866" s="207"/>
      <c r="T866" s="207"/>
      <c r="U866" s="207"/>
      <c r="V866" s="207"/>
      <c r="W866" s="208"/>
      <c r="X866" s="208"/>
      <c r="Y866" s="208"/>
      <c r="Z866" s="208"/>
      <c r="AA866" s="208"/>
      <c r="AB866" s="208"/>
      <c r="AC866" s="208"/>
      <c r="AD866" s="208"/>
      <c r="AE866" s="208"/>
      <c r="AF866" s="208"/>
      <c r="AG866" s="208"/>
      <c r="AH866" s="208"/>
      <c r="AI866" s="100"/>
      <c r="AJ866" s="100"/>
      <c r="AK866" s="100"/>
      <c r="AL866" s="100"/>
      <c r="AM866" s="100"/>
    </row>
    <row r="867" ht="14.25" customHeight="1">
      <c r="A867" s="100"/>
      <c r="B867" s="100"/>
      <c r="C867" s="100"/>
      <c r="D867" s="100"/>
      <c r="E867" s="100"/>
      <c r="F867" s="206"/>
      <c r="G867" s="206"/>
      <c r="H867" s="207"/>
      <c r="I867" s="207"/>
      <c r="J867" s="207"/>
      <c r="K867" s="207"/>
      <c r="L867" s="207"/>
      <c r="M867" s="207"/>
      <c r="N867" s="207"/>
      <c r="O867" s="207"/>
      <c r="P867" s="207"/>
      <c r="Q867" s="207"/>
      <c r="R867" s="207"/>
      <c r="S867" s="207"/>
      <c r="T867" s="207"/>
      <c r="U867" s="207"/>
      <c r="V867" s="207"/>
      <c r="W867" s="208"/>
      <c r="X867" s="208"/>
      <c r="Y867" s="208"/>
      <c r="Z867" s="208"/>
      <c r="AA867" s="208"/>
      <c r="AB867" s="208"/>
      <c r="AC867" s="208"/>
      <c r="AD867" s="208"/>
      <c r="AE867" s="208"/>
      <c r="AF867" s="208"/>
      <c r="AG867" s="208"/>
      <c r="AH867" s="208"/>
      <c r="AI867" s="100"/>
      <c r="AJ867" s="100"/>
      <c r="AK867" s="100"/>
      <c r="AL867" s="100"/>
      <c r="AM867" s="100"/>
    </row>
    <row r="868" ht="14.25" customHeight="1">
      <c r="A868" s="100"/>
      <c r="B868" s="100"/>
      <c r="C868" s="100"/>
      <c r="D868" s="100"/>
      <c r="E868" s="100"/>
      <c r="F868" s="206"/>
      <c r="G868" s="206"/>
      <c r="H868" s="207"/>
      <c r="I868" s="207"/>
      <c r="J868" s="207"/>
      <c r="K868" s="207"/>
      <c r="L868" s="207"/>
      <c r="M868" s="207"/>
      <c r="N868" s="207"/>
      <c r="O868" s="207"/>
      <c r="P868" s="207"/>
      <c r="Q868" s="207"/>
      <c r="R868" s="207"/>
      <c r="S868" s="207"/>
      <c r="T868" s="207"/>
      <c r="U868" s="207"/>
      <c r="V868" s="207"/>
      <c r="W868" s="208"/>
      <c r="X868" s="208"/>
      <c r="Y868" s="208"/>
      <c r="Z868" s="208"/>
      <c r="AA868" s="208"/>
      <c r="AB868" s="208"/>
      <c r="AC868" s="208"/>
      <c r="AD868" s="208"/>
      <c r="AE868" s="208"/>
      <c r="AF868" s="208"/>
      <c r="AG868" s="208"/>
      <c r="AH868" s="208"/>
      <c r="AI868" s="100"/>
      <c r="AJ868" s="100"/>
      <c r="AK868" s="100"/>
      <c r="AL868" s="100"/>
      <c r="AM868" s="100"/>
    </row>
    <row r="869" ht="14.25" customHeight="1">
      <c r="A869" s="100"/>
      <c r="B869" s="100"/>
      <c r="C869" s="100"/>
      <c r="D869" s="100"/>
      <c r="E869" s="100"/>
      <c r="F869" s="206"/>
      <c r="G869" s="206"/>
      <c r="H869" s="207"/>
      <c r="I869" s="207"/>
      <c r="J869" s="207"/>
      <c r="K869" s="207"/>
      <c r="L869" s="207"/>
      <c r="M869" s="207"/>
      <c r="N869" s="207"/>
      <c r="O869" s="207"/>
      <c r="P869" s="207"/>
      <c r="Q869" s="207"/>
      <c r="R869" s="207"/>
      <c r="S869" s="207"/>
      <c r="T869" s="207"/>
      <c r="U869" s="207"/>
      <c r="V869" s="207"/>
      <c r="W869" s="208"/>
      <c r="X869" s="208"/>
      <c r="Y869" s="208"/>
      <c r="Z869" s="208"/>
      <c r="AA869" s="208"/>
      <c r="AB869" s="208"/>
      <c r="AC869" s="208"/>
      <c r="AD869" s="208"/>
      <c r="AE869" s="208"/>
      <c r="AF869" s="208"/>
      <c r="AG869" s="208"/>
      <c r="AH869" s="208"/>
      <c r="AI869" s="100"/>
      <c r="AJ869" s="100"/>
      <c r="AK869" s="100"/>
      <c r="AL869" s="100"/>
      <c r="AM869" s="100"/>
    </row>
    <row r="870" ht="14.25" customHeight="1">
      <c r="A870" s="100"/>
      <c r="B870" s="100"/>
      <c r="C870" s="100"/>
      <c r="D870" s="100"/>
      <c r="E870" s="100"/>
      <c r="F870" s="206"/>
      <c r="G870" s="206"/>
      <c r="H870" s="207"/>
      <c r="I870" s="207"/>
      <c r="J870" s="207"/>
      <c r="K870" s="207"/>
      <c r="L870" s="207"/>
      <c r="M870" s="207"/>
      <c r="N870" s="207"/>
      <c r="O870" s="207"/>
      <c r="P870" s="207"/>
      <c r="Q870" s="207"/>
      <c r="R870" s="207"/>
      <c r="S870" s="207"/>
      <c r="T870" s="207"/>
      <c r="U870" s="207"/>
      <c r="V870" s="207"/>
      <c r="W870" s="208"/>
      <c r="X870" s="208"/>
      <c r="Y870" s="208"/>
      <c r="Z870" s="208"/>
      <c r="AA870" s="208"/>
      <c r="AB870" s="208"/>
      <c r="AC870" s="208"/>
      <c r="AD870" s="208"/>
      <c r="AE870" s="208"/>
      <c r="AF870" s="208"/>
      <c r="AG870" s="208"/>
      <c r="AH870" s="208"/>
      <c r="AI870" s="100"/>
      <c r="AJ870" s="100"/>
      <c r="AK870" s="100"/>
      <c r="AL870" s="100"/>
      <c r="AM870" s="100"/>
    </row>
    <row r="871" ht="14.25" customHeight="1">
      <c r="A871" s="100"/>
      <c r="B871" s="100"/>
      <c r="C871" s="100"/>
      <c r="D871" s="100"/>
      <c r="E871" s="100"/>
      <c r="F871" s="206"/>
      <c r="G871" s="206"/>
      <c r="H871" s="207"/>
      <c r="I871" s="207"/>
      <c r="J871" s="207"/>
      <c r="K871" s="207"/>
      <c r="L871" s="207"/>
      <c r="M871" s="207"/>
      <c r="N871" s="207"/>
      <c r="O871" s="207"/>
      <c r="P871" s="207"/>
      <c r="Q871" s="207"/>
      <c r="R871" s="207"/>
      <c r="S871" s="207"/>
      <c r="T871" s="207"/>
      <c r="U871" s="207"/>
      <c r="V871" s="207"/>
      <c r="W871" s="208"/>
      <c r="X871" s="208"/>
      <c r="Y871" s="208"/>
      <c r="Z871" s="208"/>
      <c r="AA871" s="208"/>
      <c r="AB871" s="208"/>
      <c r="AC871" s="208"/>
      <c r="AD871" s="208"/>
      <c r="AE871" s="208"/>
      <c r="AF871" s="208"/>
      <c r="AG871" s="208"/>
      <c r="AH871" s="208"/>
      <c r="AI871" s="100"/>
      <c r="AJ871" s="100"/>
      <c r="AK871" s="100"/>
      <c r="AL871" s="100"/>
      <c r="AM871" s="100"/>
    </row>
    <row r="872" ht="14.25" customHeight="1">
      <c r="A872" s="100"/>
      <c r="B872" s="100"/>
      <c r="C872" s="100"/>
      <c r="D872" s="100"/>
      <c r="E872" s="100"/>
      <c r="F872" s="206"/>
      <c r="G872" s="206"/>
      <c r="H872" s="207"/>
      <c r="I872" s="207"/>
      <c r="J872" s="207"/>
      <c r="K872" s="207"/>
      <c r="L872" s="207"/>
      <c r="M872" s="207"/>
      <c r="N872" s="207"/>
      <c r="O872" s="207"/>
      <c r="P872" s="207"/>
      <c r="Q872" s="207"/>
      <c r="R872" s="207"/>
      <c r="S872" s="207"/>
      <c r="T872" s="207"/>
      <c r="U872" s="207"/>
      <c r="V872" s="207"/>
      <c r="W872" s="208"/>
      <c r="X872" s="208"/>
      <c r="Y872" s="208"/>
      <c r="Z872" s="208"/>
      <c r="AA872" s="208"/>
      <c r="AB872" s="208"/>
      <c r="AC872" s="208"/>
      <c r="AD872" s="208"/>
      <c r="AE872" s="208"/>
      <c r="AF872" s="208"/>
      <c r="AG872" s="208"/>
      <c r="AH872" s="208"/>
      <c r="AI872" s="100"/>
      <c r="AJ872" s="100"/>
      <c r="AK872" s="100"/>
      <c r="AL872" s="100"/>
      <c r="AM872" s="100"/>
    </row>
    <row r="873" ht="14.25" customHeight="1">
      <c r="A873" s="100"/>
      <c r="B873" s="100"/>
      <c r="C873" s="100"/>
      <c r="D873" s="100"/>
      <c r="E873" s="100"/>
      <c r="F873" s="206"/>
      <c r="G873" s="206"/>
      <c r="H873" s="207"/>
      <c r="I873" s="207"/>
      <c r="J873" s="207"/>
      <c r="K873" s="207"/>
      <c r="L873" s="207"/>
      <c r="M873" s="207"/>
      <c r="N873" s="207"/>
      <c r="O873" s="207"/>
      <c r="P873" s="207"/>
      <c r="Q873" s="207"/>
      <c r="R873" s="207"/>
      <c r="S873" s="207"/>
      <c r="T873" s="207"/>
      <c r="U873" s="207"/>
      <c r="V873" s="207"/>
      <c r="W873" s="208"/>
      <c r="X873" s="208"/>
      <c r="Y873" s="208"/>
      <c r="Z873" s="208"/>
      <c r="AA873" s="208"/>
      <c r="AB873" s="208"/>
      <c r="AC873" s="208"/>
      <c r="AD873" s="208"/>
      <c r="AE873" s="208"/>
      <c r="AF873" s="208"/>
      <c r="AG873" s="208"/>
      <c r="AH873" s="208"/>
      <c r="AI873" s="100"/>
      <c r="AJ873" s="100"/>
      <c r="AK873" s="100"/>
      <c r="AL873" s="100"/>
      <c r="AM873" s="100"/>
    </row>
    <row r="874" ht="14.25" customHeight="1">
      <c r="A874" s="100"/>
      <c r="B874" s="100"/>
      <c r="C874" s="100"/>
      <c r="D874" s="100"/>
      <c r="E874" s="100"/>
      <c r="F874" s="206"/>
      <c r="G874" s="206"/>
      <c r="H874" s="207"/>
      <c r="I874" s="207"/>
      <c r="J874" s="207"/>
      <c r="K874" s="207"/>
      <c r="L874" s="207"/>
      <c r="M874" s="207"/>
      <c r="N874" s="207"/>
      <c r="O874" s="207"/>
      <c r="P874" s="207"/>
      <c r="Q874" s="207"/>
      <c r="R874" s="207"/>
      <c r="S874" s="207"/>
      <c r="T874" s="207"/>
      <c r="U874" s="207"/>
      <c r="V874" s="207"/>
      <c r="W874" s="208"/>
      <c r="X874" s="208"/>
      <c r="Y874" s="208"/>
      <c r="Z874" s="208"/>
      <c r="AA874" s="208"/>
      <c r="AB874" s="208"/>
      <c r="AC874" s="208"/>
      <c r="AD874" s="208"/>
      <c r="AE874" s="208"/>
      <c r="AF874" s="208"/>
      <c r="AG874" s="208"/>
      <c r="AH874" s="208"/>
      <c r="AI874" s="100"/>
      <c r="AJ874" s="100"/>
      <c r="AK874" s="100"/>
      <c r="AL874" s="100"/>
      <c r="AM874" s="100"/>
    </row>
    <row r="875" ht="14.25" customHeight="1">
      <c r="A875" s="100"/>
      <c r="B875" s="100"/>
      <c r="C875" s="100"/>
      <c r="D875" s="100"/>
      <c r="E875" s="100"/>
      <c r="F875" s="206"/>
      <c r="G875" s="206"/>
      <c r="H875" s="207"/>
      <c r="I875" s="207"/>
      <c r="J875" s="207"/>
      <c r="K875" s="207"/>
      <c r="L875" s="207"/>
      <c r="M875" s="207"/>
      <c r="N875" s="207"/>
      <c r="O875" s="207"/>
      <c r="P875" s="207"/>
      <c r="Q875" s="207"/>
      <c r="R875" s="207"/>
      <c r="S875" s="207"/>
      <c r="T875" s="207"/>
      <c r="U875" s="207"/>
      <c r="V875" s="207"/>
      <c r="W875" s="208"/>
      <c r="X875" s="208"/>
      <c r="Y875" s="208"/>
      <c r="Z875" s="208"/>
      <c r="AA875" s="208"/>
      <c r="AB875" s="208"/>
      <c r="AC875" s="208"/>
      <c r="AD875" s="208"/>
      <c r="AE875" s="208"/>
      <c r="AF875" s="208"/>
      <c r="AG875" s="208"/>
      <c r="AH875" s="208"/>
      <c r="AI875" s="100"/>
      <c r="AJ875" s="100"/>
      <c r="AK875" s="100"/>
      <c r="AL875" s="100"/>
      <c r="AM875" s="100"/>
    </row>
    <row r="876" ht="14.25" customHeight="1">
      <c r="A876" s="100"/>
      <c r="B876" s="100"/>
      <c r="C876" s="100"/>
      <c r="D876" s="100"/>
      <c r="E876" s="100"/>
      <c r="F876" s="206"/>
      <c r="G876" s="206"/>
      <c r="H876" s="207"/>
      <c r="I876" s="207"/>
      <c r="J876" s="207"/>
      <c r="K876" s="207"/>
      <c r="L876" s="207"/>
      <c r="M876" s="207"/>
      <c r="N876" s="207"/>
      <c r="O876" s="207"/>
      <c r="P876" s="207"/>
      <c r="Q876" s="207"/>
      <c r="R876" s="207"/>
      <c r="S876" s="207"/>
      <c r="T876" s="207"/>
      <c r="U876" s="207"/>
      <c r="V876" s="207"/>
      <c r="W876" s="208"/>
      <c r="X876" s="208"/>
      <c r="Y876" s="208"/>
      <c r="Z876" s="208"/>
      <c r="AA876" s="208"/>
      <c r="AB876" s="208"/>
      <c r="AC876" s="208"/>
      <c r="AD876" s="208"/>
      <c r="AE876" s="208"/>
      <c r="AF876" s="208"/>
      <c r="AG876" s="208"/>
      <c r="AH876" s="208"/>
      <c r="AI876" s="100"/>
      <c r="AJ876" s="100"/>
      <c r="AK876" s="100"/>
      <c r="AL876" s="100"/>
      <c r="AM876" s="100"/>
    </row>
    <row r="877" ht="14.25" customHeight="1">
      <c r="A877" s="100"/>
      <c r="B877" s="100"/>
      <c r="C877" s="100"/>
      <c r="D877" s="100"/>
      <c r="E877" s="100"/>
      <c r="F877" s="206"/>
      <c r="G877" s="206"/>
      <c r="H877" s="207"/>
      <c r="I877" s="207"/>
      <c r="J877" s="207"/>
      <c r="K877" s="207"/>
      <c r="L877" s="207"/>
      <c r="M877" s="207"/>
      <c r="N877" s="207"/>
      <c r="O877" s="207"/>
      <c r="P877" s="207"/>
      <c r="Q877" s="207"/>
      <c r="R877" s="207"/>
      <c r="S877" s="207"/>
      <c r="T877" s="207"/>
      <c r="U877" s="207"/>
      <c r="V877" s="207"/>
      <c r="W877" s="208"/>
      <c r="X877" s="208"/>
      <c r="Y877" s="208"/>
      <c r="Z877" s="208"/>
      <c r="AA877" s="208"/>
      <c r="AB877" s="208"/>
      <c r="AC877" s="208"/>
      <c r="AD877" s="208"/>
      <c r="AE877" s="208"/>
      <c r="AF877" s="208"/>
      <c r="AG877" s="208"/>
      <c r="AH877" s="208"/>
      <c r="AI877" s="100"/>
      <c r="AJ877" s="100"/>
      <c r="AK877" s="100"/>
      <c r="AL877" s="100"/>
      <c r="AM877" s="100"/>
    </row>
    <row r="878" ht="14.25" customHeight="1">
      <c r="A878" s="100"/>
      <c r="B878" s="100"/>
      <c r="C878" s="100"/>
      <c r="D878" s="100"/>
      <c r="E878" s="100"/>
      <c r="F878" s="206"/>
      <c r="G878" s="206"/>
      <c r="H878" s="207"/>
      <c r="I878" s="207"/>
      <c r="J878" s="207"/>
      <c r="K878" s="207"/>
      <c r="L878" s="207"/>
      <c r="M878" s="207"/>
      <c r="N878" s="207"/>
      <c r="O878" s="207"/>
      <c r="P878" s="207"/>
      <c r="Q878" s="207"/>
      <c r="R878" s="207"/>
      <c r="S878" s="207"/>
      <c r="T878" s="207"/>
      <c r="U878" s="207"/>
      <c r="V878" s="207"/>
      <c r="W878" s="208"/>
      <c r="X878" s="208"/>
      <c r="Y878" s="208"/>
      <c r="Z878" s="208"/>
      <c r="AA878" s="208"/>
      <c r="AB878" s="208"/>
      <c r="AC878" s="208"/>
      <c r="AD878" s="208"/>
      <c r="AE878" s="208"/>
      <c r="AF878" s="208"/>
      <c r="AG878" s="208"/>
      <c r="AH878" s="208"/>
      <c r="AI878" s="100"/>
      <c r="AJ878" s="100"/>
      <c r="AK878" s="100"/>
      <c r="AL878" s="100"/>
      <c r="AM878" s="100"/>
    </row>
    <row r="879" ht="14.25" customHeight="1">
      <c r="A879" s="100"/>
      <c r="B879" s="100"/>
      <c r="C879" s="100"/>
      <c r="D879" s="100"/>
      <c r="E879" s="100"/>
      <c r="F879" s="206"/>
      <c r="G879" s="206"/>
      <c r="H879" s="207"/>
      <c r="I879" s="207"/>
      <c r="J879" s="207"/>
      <c r="K879" s="207"/>
      <c r="L879" s="207"/>
      <c r="M879" s="207"/>
      <c r="N879" s="207"/>
      <c r="O879" s="207"/>
      <c r="P879" s="207"/>
      <c r="Q879" s="207"/>
      <c r="R879" s="207"/>
      <c r="S879" s="207"/>
      <c r="T879" s="207"/>
      <c r="U879" s="207"/>
      <c r="V879" s="207"/>
      <c r="W879" s="208"/>
      <c r="X879" s="208"/>
      <c r="Y879" s="208"/>
      <c r="Z879" s="208"/>
      <c r="AA879" s="208"/>
      <c r="AB879" s="208"/>
      <c r="AC879" s="208"/>
      <c r="AD879" s="208"/>
      <c r="AE879" s="208"/>
      <c r="AF879" s="208"/>
      <c r="AG879" s="208"/>
      <c r="AH879" s="208"/>
      <c r="AI879" s="100"/>
      <c r="AJ879" s="100"/>
      <c r="AK879" s="100"/>
      <c r="AL879" s="100"/>
      <c r="AM879" s="100"/>
    </row>
    <row r="880" ht="14.25" customHeight="1">
      <c r="A880" s="100"/>
      <c r="B880" s="100"/>
      <c r="C880" s="100"/>
      <c r="D880" s="100"/>
      <c r="E880" s="100"/>
      <c r="F880" s="206"/>
      <c r="G880" s="206"/>
      <c r="H880" s="207"/>
      <c r="I880" s="207"/>
      <c r="J880" s="207"/>
      <c r="K880" s="207"/>
      <c r="L880" s="207"/>
      <c r="M880" s="207"/>
      <c r="N880" s="207"/>
      <c r="O880" s="207"/>
      <c r="P880" s="207"/>
      <c r="Q880" s="207"/>
      <c r="R880" s="207"/>
      <c r="S880" s="207"/>
      <c r="T880" s="207"/>
      <c r="U880" s="207"/>
      <c r="V880" s="207"/>
      <c r="W880" s="208"/>
      <c r="X880" s="208"/>
      <c r="Y880" s="208"/>
      <c r="Z880" s="208"/>
      <c r="AA880" s="208"/>
      <c r="AB880" s="208"/>
      <c r="AC880" s="208"/>
      <c r="AD880" s="208"/>
      <c r="AE880" s="208"/>
      <c r="AF880" s="208"/>
      <c r="AG880" s="208"/>
      <c r="AH880" s="208"/>
      <c r="AI880" s="100"/>
      <c r="AJ880" s="100"/>
      <c r="AK880" s="100"/>
      <c r="AL880" s="100"/>
      <c r="AM880" s="100"/>
    </row>
    <row r="881" ht="14.25" customHeight="1">
      <c r="A881" s="100"/>
      <c r="B881" s="100"/>
      <c r="C881" s="100"/>
      <c r="D881" s="100"/>
      <c r="E881" s="100"/>
      <c r="F881" s="206"/>
      <c r="G881" s="206"/>
      <c r="H881" s="207"/>
      <c r="I881" s="207"/>
      <c r="J881" s="207"/>
      <c r="K881" s="207"/>
      <c r="L881" s="207"/>
      <c r="M881" s="207"/>
      <c r="N881" s="207"/>
      <c r="O881" s="207"/>
      <c r="P881" s="207"/>
      <c r="Q881" s="207"/>
      <c r="R881" s="207"/>
      <c r="S881" s="207"/>
      <c r="T881" s="207"/>
      <c r="U881" s="207"/>
      <c r="V881" s="207"/>
      <c r="W881" s="208"/>
      <c r="X881" s="208"/>
      <c r="Y881" s="208"/>
      <c r="Z881" s="208"/>
      <c r="AA881" s="208"/>
      <c r="AB881" s="208"/>
      <c r="AC881" s="208"/>
      <c r="AD881" s="208"/>
      <c r="AE881" s="208"/>
      <c r="AF881" s="208"/>
      <c r="AG881" s="208"/>
      <c r="AH881" s="208"/>
      <c r="AI881" s="100"/>
      <c r="AJ881" s="100"/>
      <c r="AK881" s="100"/>
      <c r="AL881" s="100"/>
      <c r="AM881" s="100"/>
    </row>
    <row r="882" ht="14.25" customHeight="1">
      <c r="A882" s="100"/>
      <c r="B882" s="100"/>
      <c r="C882" s="100"/>
      <c r="D882" s="100"/>
      <c r="E882" s="100"/>
      <c r="F882" s="206"/>
      <c r="G882" s="206"/>
      <c r="H882" s="207"/>
      <c r="I882" s="207"/>
      <c r="J882" s="207"/>
      <c r="K882" s="207"/>
      <c r="L882" s="207"/>
      <c r="M882" s="207"/>
      <c r="N882" s="207"/>
      <c r="O882" s="207"/>
      <c r="P882" s="207"/>
      <c r="Q882" s="207"/>
      <c r="R882" s="207"/>
      <c r="S882" s="207"/>
      <c r="T882" s="207"/>
      <c r="U882" s="207"/>
      <c r="V882" s="207"/>
      <c r="W882" s="208"/>
      <c r="X882" s="208"/>
      <c r="Y882" s="208"/>
      <c r="Z882" s="208"/>
      <c r="AA882" s="208"/>
      <c r="AB882" s="208"/>
      <c r="AC882" s="208"/>
      <c r="AD882" s="208"/>
      <c r="AE882" s="208"/>
      <c r="AF882" s="208"/>
      <c r="AG882" s="208"/>
      <c r="AH882" s="208"/>
      <c r="AI882" s="100"/>
      <c r="AJ882" s="100"/>
      <c r="AK882" s="100"/>
      <c r="AL882" s="100"/>
      <c r="AM882" s="100"/>
    </row>
    <row r="883" ht="14.25" customHeight="1">
      <c r="A883" s="100"/>
      <c r="B883" s="100"/>
      <c r="C883" s="100"/>
      <c r="D883" s="100"/>
      <c r="E883" s="100"/>
      <c r="F883" s="206"/>
      <c r="G883" s="206"/>
      <c r="H883" s="207"/>
      <c r="I883" s="207"/>
      <c r="J883" s="207"/>
      <c r="K883" s="207"/>
      <c r="L883" s="207"/>
      <c r="M883" s="207"/>
      <c r="N883" s="207"/>
      <c r="O883" s="207"/>
      <c r="P883" s="207"/>
      <c r="Q883" s="207"/>
      <c r="R883" s="207"/>
      <c r="S883" s="207"/>
      <c r="T883" s="207"/>
      <c r="U883" s="207"/>
      <c r="V883" s="207"/>
      <c r="W883" s="208"/>
      <c r="X883" s="208"/>
      <c r="Y883" s="208"/>
      <c r="Z883" s="208"/>
      <c r="AA883" s="208"/>
      <c r="AB883" s="208"/>
      <c r="AC883" s="208"/>
      <c r="AD883" s="208"/>
      <c r="AE883" s="208"/>
      <c r="AF883" s="208"/>
      <c r="AG883" s="208"/>
      <c r="AH883" s="208"/>
      <c r="AI883" s="100"/>
      <c r="AJ883" s="100"/>
      <c r="AK883" s="100"/>
      <c r="AL883" s="100"/>
      <c r="AM883" s="100"/>
    </row>
    <row r="884" ht="14.25" customHeight="1">
      <c r="A884" s="100"/>
      <c r="B884" s="100"/>
      <c r="C884" s="100"/>
      <c r="D884" s="100"/>
      <c r="E884" s="100"/>
      <c r="F884" s="206"/>
      <c r="G884" s="206"/>
      <c r="H884" s="207"/>
      <c r="I884" s="207"/>
      <c r="J884" s="207"/>
      <c r="K884" s="207"/>
      <c r="L884" s="207"/>
      <c r="M884" s="207"/>
      <c r="N884" s="207"/>
      <c r="O884" s="207"/>
      <c r="P884" s="207"/>
      <c r="Q884" s="207"/>
      <c r="R884" s="207"/>
      <c r="S884" s="207"/>
      <c r="T884" s="207"/>
      <c r="U884" s="207"/>
      <c r="V884" s="207"/>
      <c r="W884" s="208"/>
      <c r="X884" s="208"/>
      <c r="Y884" s="208"/>
      <c r="Z884" s="208"/>
      <c r="AA884" s="208"/>
      <c r="AB884" s="208"/>
      <c r="AC884" s="208"/>
      <c r="AD884" s="208"/>
      <c r="AE884" s="208"/>
      <c r="AF884" s="208"/>
      <c r="AG884" s="208"/>
      <c r="AH884" s="208"/>
      <c r="AI884" s="100"/>
      <c r="AJ884" s="100"/>
      <c r="AK884" s="100"/>
      <c r="AL884" s="100"/>
      <c r="AM884" s="100"/>
    </row>
    <row r="885" ht="14.25" customHeight="1">
      <c r="A885" s="100"/>
      <c r="B885" s="100"/>
      <c r="C885" s="100"/>
      <c r="D885" s="100"/>
      <c r="E885" s="100"/>
      <c r="F885" s="206"/>
      <c r="G885" s="206"/>
      <c r="H885" s="207"/>
      <c r="I885" s="207"/>
      <c r="J885" s="207"/>
      <c r="K885" s="207"/>
      <c r="L885" s="207"/>
      <c r="M885" s="207"/>
      <c r="N885" s="207"/>
      <c r="O885" s="207"/>
      <c r="P885" s="207"/>
      <c r="Q885" s="207"/>
      <c r="R885" s="207"/>
      <c r="S885" s="207"/>
      <c r="T885" s="207"/>
      <c r="U885" s="207"/>
      <c r="V885" s="207"/>
      <c r="W885" s="208"/>
      <c r="X885" s="208"/>
      <c r="Y885" s="208"/>
      <c r="Z885" s="208"/>
      <c r="AA885" s="208"/>
      <c r="AB885" s="208"/>
      <c r="AC885" s="208"/>
      <c r="AD885" s="208"/>
      <c r="AE885" s="208"/>
      <c r="AF885" s="208"/>
      <c r="AG885" s="208"/>
      <c r="AH885" s="208"/>
      <c r="AI885" s="100"/>
      <c r="AJ885" s="100"/>
      <c r="AK885" s="100"/>
      <c r="AL885" s="100"/>
      <c r="AM885" s="100"/>
    </row>
    <row r="886" ht="14.25" customHeight="1">
      <c r="A886" s="100"/>
      <c r="B886" s="100"/>
      <c r="C886" s="100"/>
      <c r="D886" s="100"/>
      <c r="E886" s="100"/>
      <c r="F886" s="206"/>
      <c r="G886" s="206"/>
      <c r="H886" s="207"/>
      <c r="I886" s="207"/>
      <c r="J886" s="207"/>
      <c r="K886" s="207"/>
      <c r="L886" s="207"/>
      <c r="M886" s="207"/>
      <c r="N886" s="207"/>
      <c r="O886" s="207"/>
      <c r="P886" s="207"/>
      <c r="Q886" s="207"/>
      <c r="R886" s="207"/>
      <c r="S886" s="207"/>
      <c r="T886" s="207"/>
      <c r="U886" s="207"/>
      <c r="V886" s="207"/>
      <c r="W886" s="208"/>
      <c r="X886" s="208"/>
      <c r="Y886" s="208"/>
      <c r="Z886" s="208"/>
      <c r="AA886" s="208"/>
      <c r="AB886" s="208"/>
      <c r="AC886" s="208"/>
      <c r="AD886" s="208"/>
      <c r="AE886" s="208"/>
      <c r="AF886" s="208"/>
      <c r="AG886" s="208"/>
      <c r="AH886" s="208"/>
      <c r="AI886" s="100"/>
      <c r="AJ886" s="100"/>
      <c r="AK886" s="100"/>
      <c r="AL886" s="100"/>
      <c r="AM886" s="100"/>
    </row>
    <row r="887" ht="14.25" customHeight="1">
      <c r="A887" s="100"/>
      <c r="B887" s="100"/>
      <c r="C887" s="100"/>
      <c r="D887" s="100"/>
      <c r="E887" s="100"/>
      <c r="F887" s="206"/>
      <c r="G887" s="206"/>
      <c r="H887" s="207"/>
      <c r="I887" s="207"/>
      <c r="J887" s="207"/>
      <c r="K887" s="207"/>
      <c r="L887" s="207"/>
      <c r="M887" s="207"/>
      <c r="N887" s="207"/>
      <c r="O887" s="207"/>
      <c r="P887" s="207"/>
      <c r="Q887" s="207"/>
      <c r="R887" s="207"/>
      <c r="S887" s="207"/>
      <c r="T887" s="207"/>
      <c r="U887" s="207"/>
      <c r="V887" s="207"/>
      <c r="W887" s="208"/>
      <c r="X887" s="208"/>
      <c r="Y887" s="208"/>
      <c r="Z887" s="208"/>
      <c r="AA887" s="208"/>
      <c r="AB887" s="208"/>
      <c r="AC887" s="208"/>
      <c r="AD887" s="208"/>
      <c r="AE887" s="208"/>
      <c r="AF887" s="208"/>
      <c r="AG887" s="208"/>
      <c r="AH887" s="208"/>
      <c r="AI887" s="100"/>
      <c r="AJ887" s="100"/>
      <c r="AK887" s="100"/>
      <c r="AL887" s="100"/>
      <c r="AM887" s="100"/>
    </row>
    <row r="888" ht="14.25" customHeight="1">
      <c r="A888" s="100"/>
      <c r="B888" s="100"/>
      <c r="C888" s="100"/>
      <c r="D888" s="100"/>
      <c r="E888" s="100"/>
      <c r="F888" s="206"/>
      <c r="G888" s="206"/>
      <c r="H888" s="207"/>
      <c r="I888" s="207"/>
      <c r="J888" s="207"/>
      <c r="K888" s="207"/>
      <c r="L888" s="207"/>
      <c r="M888" s="207"/>
      <c r="N888" s="207"/>
      <c r="O888" s="207"/>
      <c r="P888" s="207"/>
      <c r="Q888" s="207"/>
      <c r="R888" s="207"/>
      <c r="S888" s="207"/>
      <c r="T888" s="207"/>
      <c r="U888" s="207"/>
      <c r="V888" s="207"/>
      <c r="W888" s="208"/>
      <c r="X888" s="208"/>
      <c r="Y888" s="208"/>
      <c r="Z888" s="208"/>
      <c r="AA888" s="208"/>
      <c r="AB888" s="208"/>
      <c r="AC888" s="208"/>
      <c r="AD888" s="208"/>
      <c r="AE888" s="208"/>
      <c r="AF888" s="208"/>
      <c r="AG888" s="208"/>
      <c r="AH888" s="208"/>
      <c r="AI888" s="100"/>
      <c r="AJ888" s="100"/>
      <c r="AK888" s="100"/>
      <c r="AL888" s="100"/>
      <c r="AM888" s="100"/>
    </row>
    <row r="889" ht="14.25" customHeight="1">
      <c r="A889" s="100"/>
      <c r="B889" s="100"/>
      <c r="C889" s="100"/>
      <c r="D889" s="100"/>
      <c r="E889" s="100"/>
      <c r="F889" s="206"/>
      <c r="G889" s="206"/>
      <c r="H889" s="207"/>
      <c r="I889" s="207"/>
      <c r="J889" s="207"/>
      <c r="K889" s="207"/>
      <c r="L889" s="207"/>
      <c r="M889" s="207"/>
      <c r="N889" s="207"/>
      <c r="O889" s="207"/>
      <c r="P889" s="207"/>
      <c r="Q889" s="207"/>
      <c r="R889" s="207"/>
      <c r="S889" s="207"/>
      <c r="T889" s="207"/>
      <c r="U889" s="207"/>
      <c r="V889" s="207"/>
      <c r="W889" s="208"/>
      <c r="X889" s="208"/>
      <c r="Y889" s="208"/>
      <c r="Z889" s="208"/>
      <c r="AA889" s="208"/>
      <c r="AB889" s="208"/>
      <c r="AC889" s="208"/>
      <c r="AD889" s="208"/>
      <c r="AE889" s="208"/>
      <c r="AF889" s="208"/>
      <c r="AG889" s="208"/>
      <c r="AH889" s="208"/>
      <c r="AI889" s="100"/>
      <c r="AJ889" s="100"/>
      <c r="AK889" s="100"/>
      <c r="AL889" s="100"/>
      <c r="AM889" s="100"/>
    </row>
    <row r="890" ht="14.25" customHeight="1">
      <c r="A890" s="100"/>
      <c r="B890" s="100"/>
      <c r="C890" s="100"/>
      <c r="D890" s="100"/>
      <c r="E890" s="100"/>
      <c r="F890" s="206"/>
      <c r="G890" s="206"/>
      <c r="H890" s="207"/>
      <c r="I890" s="207"/>
      <c r="J890" s="207"/>
      <c r="K890" s="207"/>
      <c r="L890" s="207"/>
      <c r="M890" s="207"/>
      <c r="N890" s="207"/>
      <c r="O890" s="207"/>
      <c r="P890" s="207"/>
      <c r="Q890" s="207"/>
      <c r="R890" s="207"/>
      <c r="S890" s="207"/>
      <c r="T890" s="207"/>
      <c r="U890" s="207"/>
      <c r="V890" s="207"/>
      <c r="W890" s="208"/>
      <c r="X890" s="208"/>
      <c r="Y890" s="208"/>
      <c r="Z890" s="208"/>
      <c r="AA890" s="208"/>
      <c r="AB890" s="208"/>
      <c r="AC890" s="208"/>
      <c r="AD890" s="208"/>
      <c r="AE890" s="208"/>
      <c r="AF890" s="208"/>
      <c r="AG890" s="208"/>
      <c r="AH890" s="208"/>
      <c r="AI890" s="100"/>
      <c r="AJ890" s="100"/>
      <c r="AK890" s="100"/>
      <c r="AL890" s="100"/>
      <c r="AM890" s="100"/>
    </row>
    <row r="891" ht="14.25" customHeight="1">
      <c r="A891" s="100"/>
      <c r="B891" s="100"/>
      <c r="C891" s="100"/>
      <c r="D891" s="100"/>
      <c r="E891" s="100"/>
      <c r="F891" s="206"/>
      <c r="G891" s="206"/>
      <c r="H891" s="207"/>
      <c r="I891" s="207"/>
      <c r="J891" s="207"/>
      <c r="K891" s="207"/>
      <c r="L891" s="207"/>
      <c r="M891" s="207"/>
      <c r="N891" s="207"/>
      <c r="O891" s="207"/>
      <c r="P891" s="207"/>
      <c r="Q891" s="207"/>
      <c r="R891" s="207"/>
      <c r="S891" s="207"/>
      <c r="T891" s="207"/>
      <c r="U891" s="207"/>
      <c r="V891" s="207"/>
      <c r="W891" s="208"/>
      <c r="X891" s="208"/>
      <c r="Y891" s="208"/>
      <c r="Z891" s="208"/>
      <c r="AA891" s="208"/>
      <c r="AB891" s="208"/>
      <c r="AC891" s="208"/>
      <c r="AD891" s="208"/>
      <c r="AE891" s="208"/>
      <c r="AF891" s="208"/>
      <c r="AG891" s="208"/>
      <c r="AH891" s="208"/>
      <c r="AI891" s="100"/>
      <c r="AJ891" s="100"/>
      <c r="AK891" s="100"/>
      <c r="AL891" s="100"/>
      <c r="AM891" s="100"/>
    </row>
    <row r="892" ht="14.25" customHeight="1">
      <c r="A892" s="100"/>
      <c r="B892" s="100"/>
      <c r="C892" s="100"/>
      <c r="D892" s="100"/>
      <c r="E892" s="100"/>
      <c r="F892" s="206"/>
      <c r="G892" s="206"/>
      <c r="H892" s="207"/>
      <c r="I892" s="207"/>
      <c r="J892" s="207"/>
      <c r="K892" s="207"/>
      <c r="L892" s="207"/>
      <c r="M892" s="207"/>
      <c r="N892" s="207"/>
      <c r="O892" s="207"/>
      <c r="P892" s="207"/>
      <c r="Q892" s="207"/>
      <c r="R892" s="207"/>
      <c r="S892" s="207"/>
      <c r="T892" s="207"/>
      <c r="U892" s="207"/>
      <c r="V892" s="207"/>
      <c r="W892" s="208"/>
      <c r="X892" s="208"/>
      <c r="Y892" s="208"/>
      <c r="Z892" s="208"/>
      <c r="AA892" s="208"/>
      <c r="AB892" s="208"/>
      <c r="AC892" s="208"/>
      <c r="AD892" s="208"/>
      <c r="AE892" s="208"/>
      <c r="AF892" s="208"/>
      <c r="AG892" s="208"/>
      <c r="AH892" s="208"/>
      <c r="AI892" s="100"/>
      <c r="AJ892" s="100"/>
      <c r="AK892" s="100"/>
      <c r="AL892" s="100"/>
      <c r="AM892" s="100"/>
    </row>
    <row r="893" ht="14.25" customHeight="1">
      <c r="A893" s="100"/>
      <c r="B893" s="100"/>
      <c r="C893" s="100"/>
      <c r="D893" s="100"/>
      <c r="E893" s="100"/>
      <c r="F893" s="206"/>
      <c r="G893" s="206"/>
      <c r="H893" s="207"/>
      <c r="I893" s="207"/>
      <c r="J893" s="207"/>
      <c r="K893" s="207"/>
      <c r="L893" s="207"/>
      <c r="M893" s="207"/>
      <c r="N893" s="207"/>
      <c r="O893" s="207"/>
      <c r="P893" s="207"/>
      <c r="Q893" s="207"/>
      <c r="R893" s="207"/>
      <c r="S893" s="207"/>
      <c r="T893" s="207"/>
      <c r="U893" s="207"/>
      <c r="V893" s="207"/>
      <c r="W893" s="208"/>
      <c r="X893" s="208"/>
      <c r="Y893" s="208"/>
      <c r="Z893" s="208"/>
      <c r="AA893" s="208"/>
      <c r="AB893" s="208"/>
      <c r="AC893" s="208"/>
      <c r="AD893" s="208"/>
      <c r="AE893" s="208"/>
      <c r="AF893" s="208"/>
      <c r="AG893" s="208"/>
      <c r="AH893" s="208"/>
      <c r="AI893" s="100"/>
      <c r="AJ893" s="100"/>
      <c r="AK893" s="100"/>
      <c r="AL893" s="100"/>
      <c r="AM893" s="100"/>
    </row>
    <row r="894" ht="14.25" customHeight="1">
      <c r="A894" s="100"/>
      <c r="B894" s="100"/>
      <c r="C894" s="100"/>
      <c r="D894" s="100"/>
      <c r="E894" s="100"/>
      <c r="F894" s="206"/>
      <c r="G894" s="206"/>
      <c r="H894" s="207"/>
      <c r="I894" s="207"/>
      <c r="J894" s="207"/>
      <c r="K894" s="207"/>
      <c r="L894" s="207"/>
      <c r="M894" s="207"/>
      <c r="N894" s="207"/>
      <c r="O894" s="207"/>
      <c r="P894" s="207"/>
      <c r="Q894" s="207"/>
      <c r="R894" s="207"/>
      <c r="S894" s="207"/>
      <c r="T894" s="207"/>
      <c r="U894" s="207"/>
      <c r="V894" s="207"/>
      <c r="W894" s="208"/>
      <c r="X894" s="208"/>
      <c r="Y894" s="208"/>
      <c r="Z894" s="208"/>
      <c r="AA894" s="208"/>
      <c r="AB894" s="208"/>
      <c r="AC894" s="208"/>
      <c r="AD894" s="208"/>
      <c r="AE894" s="208"/>
      <c r="AF894" s="208"/>
      <c r="AG894" s="208"/>
      <c r="AH894" s="208"/>
      <c r="AI894" s="100"/>
      <c r="AJ894" s="100"/>
      <c r="AK894" s="100"/>
      <c r="AL894" s="100"/>
      <c r="AM894" s="100"/>
    </row>
    <row r="895" ht="14.25" customHeight="1">
      <c r="A895" s="100"/>
      <c r="B895" s="100"/>
      <c r="C895" s="100"/>
      <c r="D895" s="100"/>
      <c r="E895" s="100"/>
      <c r="F895" s="206"/>
      <c r="G895" s="206"/>
      <c r="H895" s="207"/>
      <c r="I895" s="207"/>
      <c r="J895" s="207"/>
      <c r="K895" s="207"/>
      <c r="L895" s="207"/>
      <c r="M895" s="207"/>
      <c r="N895" s="207"/>
      <c r="O895" s="207"/>
      <c r="P895" s="207"/>
      <c r="Q895" s="207"/>
      <c r="R895" s="207"/>
      <c r="S895" s="207"/>
      <c r="T895" s="207"/>
      <c r="U895" s="207"/>
      <c r="V895" s="207"/>
      <c r="W895" s="208"/>
      <c r="X895" s="208"/>
      <c r="Y895" s="208"/>
      <c r="Z895" s="208"/>
      <c r="AA895" s="208"/>
      <c r="AB895" s="208"/>
      <c r="AC895" s="208"/>
      <c r="AD895" s="208"/>
      <c r="AE895" s="208"/>
      <c r="AF895" s="208"/>
      <c r="AG895" s="208"/>
      <c r="AH895" s="208"/>
      <c r="AI895" s="100"/>
      <c r="AJ895" s="100"/>
      <c r="AK895" s="100"/>
      <c r="AL895" s="100"/>
      <c r="AM895" s="100"/>
    </row>
    <row r="896" ht="14.25" customHeight="1">
      <c r="A896" s="100"/>
      <c r="B896" s="100"/>
      <c r="C896" s="100"/>
      <c r="D896" s="100"/>
      <c r="E896" s="100"/>
      <c r="F896" s="206"/>
      <c r="G896" s="206"/>
      <c r="H896" s="207"/>
      <c r="I896" s="207"/>
      <c r="J896" s="207"/>
      <c r="K896" s="207"/>
      <c r="L896" s="207"/>
      <c r="M896" s="207"/>
      <c r="N896" s="207"/>
      <c r="O896" s="207"/>
      <c r="P896" s="207"/>
      <c r="Q896" s="207"/>
      <c r="R896" s="207"/>
      <c r="S896" s="207"/>
      <c r="T896" s="207"/>
      <c r="U896" s="207"/>
      <c r="V896" s="207"/>
      <c r="W896" s="208"/>
      <c r="X896" s="208"/>
      <c r="Y896" s="208"/>
      <c r="Z896" s="208"/>
      <c r="AA896" s="208"/>
      <c r="AB896" s="208"/>
      <c r="AC896" s="208"/>
      <c r="AD896" s="208"/>
      <c r="AE896" s="208"/>
      <c r="AF896" s="208"/>
      <c r="AG896" s="208"/>
      <c r="AH896" s="208"/>
      <c r="AI896" s="100"/>
      <c r="AJ896" s="100"/>
      <c r="AK896" s="100"/>
      <c r="AL896" s="100"/>
      <c r="AM896" s="100"/>
    </row>
    <row r="897" ht="14.25" customHeight="1">
      <c r="A897" s="100"/>
      <c r="B897" s="100"/>
      <c r="C897" s="100"/>
      <c r="D897" s="100"/>
      <c r="E897" s="100"/>
      <c r="F897" s="206"/>
      <c r="G897" s="206"/>
      <c r="H897" s="207"/>
      <c r="I897" s="207"/>
      <c r="J897" s="207"/>
      <c r="K897" s="207"/>
      <c r="L897" s="207"/>
      <c r="M897" s="207"/>
      <c r="N897" s="207"/>
      <c r="O897" s="207"/>
      <c r="P897" s="207"/>
      <c r="Q897" s="207"/>
      <c r="R897" s="207"/>
      <c r="S897" s="207"/>
      <c r="T897" s="207"/>
      <c r="U897" s="207"/>
      <c r="V897" s="207"/>
      <c r="W897" s="208"/>
      <c r="X897" s="208"/>
      <c r="Y897" s="208"/>
      <c r="Z897" s="208"/>
      <c r="AA897" s="208"/>
      <c r="AB897" s="208"/>
      <c r="AC897" s="208"/>
      <c r="AD897" s="208"/>
      <c r="AE897" s="208"/>
      <c r="AF897" s="208"/>
      <c r="AG897" s="208"/>
      <c r="AH897" s="208"/>
      <c r="AI897" s="100"/>
      <c r="AJ897" s="100"/>
      <c r="AK897" s="100"/>
      <c r="AL897" s="100"/>
      <c r="AM897" s="100"/>
    </row>
    <row r="898" ht="14.25" customHeight="1">
      <c r="A898" s="100"/>
      <c r="B898" s="100"/>
      <c r="C898" s="100"/>
      <c r="D898" s="100"/>
      <c r="E898" s="100"/>
      <c r="F898" s="206"/>
      <c r="G898" s="206"/>
      <c r="H898" s="207"/>
      <c r="I898" s="207"/>
      <c r="J898" s="207"/>
      <c r="K898" s="207"/>
      <c r="L898" s="207"/>
      <c r="M898" s="207"/>
      <c r="N898" s="207"/>
      <c r="O898" s="207"/>
      <c r="P898" s="207"/>
      <c r="Q898" s="207"/>
      <c r="R898" s="207"/>
      <c r="S898" s="207"/>
      <c r="T898" s="207"/>
      <c r="U898" s="207"/>
      <c r="V898" s="207"/>
      <c r="W898" s="208"/>
      <c r="X898" s="208"/>
      <c r="Y898" s="208"/>
      <c r="Z898" s="208"/>
      <c r="AA898" s="208"/>
      <c r="AB898" s="208"/>
      <c r="AC898" s="208"/>
      <c r="AD898" s="208"/>
      <c r="AE898" s="208"/>
      <c r="AF898" s="208"/>
      <c r="AG898" s="208"/>
      <c r="AH898" s="208"/>
      <c r="AI898" s="100"/>
      <c r="AJ898" s="100"/>
      <c r="AK898" s="100"/>
      <c r="AL898" s="100"/>
      <c r="AM898" s="100"/>
    </row>
    <row r="899" ht="14.25" customHeight="1">
      <c r="A899" s="100"/>
      <c r="B899" s="100"/>
      <c r="C899" s="100"/>
      <c r="D899" s="100"/>
      <c r="E899" s="100"/>
      <c r="F899" s="206"/>
      <c r="G899" s="206"/>
      <c r="H899" s="207"/>
      <c r="I899" s="207"/>
      <c r="J899" s="207"/>
      <c r="K899" s="207"/>
      <c r="L899" s="207"/>
      <c r="M899" s="207"/>
      <c r="N899" s="207"/>
      <c r="O899" s="207"/>
      <c r="P899" s="207"/>
      <c r="Q899" s="207"/>
      <c r="R899" s="207"/>
      <c r="S899" s="207"/>
      <c r="T899" s="207"/>
      <c r="U899" s="207"/>
      <c r="V899" s="207"/>
      <c r="W899" s="208"/>
      <c r="X899" s="208"/>
      <c r="Y899" s="208"/>
      <c r="Z899" s="208"/>
      <c r="AA899" s="208"/>
      <c r="AB899" s="208"/>
      <c r="AC899" s="208"/>
      <c r="AD899" s="208"/>
      <c r="AE899" s="208"/>
      <c r="AF899" s="208"/>
      <c r="AG899" s="208"/>
      <c r="AH899" s="208"/>
      <c r="AI899" s="100"/>
      <c r="AJ899" s="100"/>
      <c r="AK899" s="100"/>
      <c r="AL899" s="100"/>
      <c r="AM899" s="100"/>
    </row>
    <row r="900" ht="14.25" customHeight="1">
      <c r="A900" s="100"/>
      <c r="B900" s="100"/>
      <c r="C900" s="100"/>
      <c r="D900" s="100"/>
      <c r="E900" s="100"/>
      <c r="F900" s="206"/>
      <c r="G900" s="206"/>
      <c r="H900" s="207"/>
      <c r="I900" s="207"/>
      <c r="J900" s="207"/>
      <c r="K900" s="207"/>
      <c r="L900" s="207"/>
      <c r="M900" s="207"/>
      <c r="N900" s="207"/>
      <c r="O900" s="207"/>
      <c r="P900" s="207"/>
      <c r="Q900" s="207"/>
      <c r="R900" s="207"/>
      <c r="S900" s="207"/>
      <c r="T900" s="207"/>
      <c r="U900" s="207"/>
      <c r="V900" s="207"/>
      <c r="W900" s="208"/>
      <c r="X900" s="208"/>
      <c r="Y900" s="208"/>
      <c r="Z900" s="208"/>
      <c r="AA900" s="208"/>
      <c r="AB900" s="208"/>
      <c r="AC900" s="208"/>
      <c r="AD900" s="208"/>
      <c r="AE900" s="208"/>
      <c r="AF900" s="208"/>
      <c r="AG900" s="208"/>
      <c r="AH900" s="208"/>
      <c r="AI900" s="100"/>
      <c r="AJ900" s="100"/>
      <c r="AK900" s="100"/>
      <c r="AL900" s="100"/>
      <c r="AM900" s="100"/>
    </row>
    <row r="901" ht="14.25" customHeight="1">
      <c r="A901" s="100"/>
      <c r="B901" s="100"/>
      <c r="C901" s="100"/>
      <c r="D901" s="100"/>
      <c r="E901" s="100"/>
      <c r="F901" s="206"/>
      <c r="G901" s="206"/>
      <c r="H901" s="207"/>
      <c r="I901" s="207"/>
      <c r="J901" s="207"/>
      <c r="K901" s="207"/>
      <c r="L901" s="207"/>
      <c r="M901" s="207"/>
      <c r="N901" s="207"/>
      <c r="O901" s="207"/>
      <c r="P901" s="207"/>
      <c r="Q901" s="207"/>
      <c r="R901" s="207"/>
      <c r="S901" s="207"/>
      <c r="T901" s="207"/>
      <c r="U901" s="207"/>
      <c r="V901" s="207"/>
      <c r="W901" s="208"/>
      <c r="X901" s="208"/>
      <c r="Y901" s="208"/>
      <c r="Z901" s="208"/>
      <c r="AA901" s="208"/>
      <c r="AB901" s="208"/>
      <c r="AC901" s="208"/>
      <c r="AD901" s="208"/>
      <c r="AE901" s="208"/>
      <c r="AF901" s="208"/>
      <c r="AG901" s="208"/>
      <c r="AH901" s="208"/>
      <c r="AI901" s="100"/>
      <c r="AJ901" s="100"/>
      <c r="AK901" s="100"/>
      <c r="AL901" s="100"/>
      <c r="AM901" s="100"/>
    </row>
    <row r="902" ht="14.25" customHeight="1">
      <c r="A902" s="100"/>
      <c r="B902" s="100"/>
      <c r="C902" s="100"/>
      <c r="D902" s="100"/>
      <c r="E902" s="100"/>
      <c r="F902" s="206"/>
      <c r="G902" s="206"/>
      <c r="H902" s="207"/>
      <c r="I902" s="207"/>
      <c r="J902" s="207"/>
      <c r="K902" s="207"/>
      <c r="L902" s="207"/>
      <c r="M902" s="207"/>
      <c r="N902" s="207"/>
      <c r="O902" s="207"/>
      <c r="P902" s="207"/>
      <c r="Q902" s="207"/>
      <c r="R902" s="207"/>
      <c r="S902" s="207"/>
      <c r="T902" s="207"/>
      <c r="U902" s="207"/>
      <c r="V902" s="207"/>
      <c r="W902" s="208"/>
      <c r="X902" s="208"/>
      <c r="Y902" s="208"/>
      <c r="Z902" s="208"/>
      <c r="AA902" s="208"/>
      <c r="AB902" s="208"/>
      <c r="AC902" s="208"/>
      <c r="AD902" s="208"/>
      <c r="AE902" s="208"/>
      <c r="AF902" s="208"/>
      <c r="AG902" s="208"/>
      <c r="AH902" s="208"/>
      <c r="AI902" s="100"/>
      <c r="AJ902" s="100"/>
      <c r="AK902" s="100"/>
      <c r="AL902" s="100"/>
      <c r="AM902" s="100"/>
    </row>
    <row r="903" ht="14.25" customHeight="1">
      <c r="A903" s="100"/>
      <c r="B903" s="100"/>
      <c r="C903" s="100"/>
      <c r="D903" s="100"/>
      <c r="E903" s="100"/>
      <c r="F903" s="206"/>
      <c r="G903" s="206"/>
      <c r="H903" s="207"/>
      <c r="I903" s="207"/>
      <c r="J903" s="207"/>
      <c r="K903" s="207"/>
      <c r="L903" s="207"/>
      <c r="M903" s="207"/>
      <c r="N903" s="207"/>
      <c r="O903" s="207"/>
      <c r="P903" s="207"/>
      <c r="Q903" s="207"/>
      <c r="R903" s="207"/>
      <c r="S903" s="207"/>
      <c r="T903" s="207"/>
      <c r="U903" s="207"/>
      <c r="V903" s="207"/>
      <c r="W903" s="208"/>
      <c r="X903" s="208"/>
      <c r="Y903" s="208"/>
      <c r="Z903" s="208"/>
      <c r="AA903" s="208"/>
      <c r="AB903" s="208"/>
      <c r="AC903" s="208"/>
      <c r="AD903" s="208"/>
      <c r="AE903" s="208"/>
      <c r="AF903" s="208"/>
      <c r="AG903" s="208"/>
      <c r="AH903" s="208"/>
      <c r="AI903" s="100"/>
      <c r="AJ903" s="100"/>
      <c r="AK903" s="100"/>
      <c r="AL903" s="100"/>
      <c r="AM903" s="100"/>
    </row>
    <row r="904" ht="14.25" customHeight="1">
      <c r="A904" s="100"/>
      <c r="B904" s="100"/>
      <c r="C904" s="100"/>
      <c r="D904" s="100"/>
      <c r="E904" s="100"/>
      <c r="F904" s="206"/>
      <c r="G904" s="206"/>
      <c r="H904" s="207"/>
      <c r="I904" s="207"/>
      <c r="J904" s="207"/>
      <c r="K904" s="207"/>
      <c r="L904" s="207"/>
      <c r="M904" s="207"/>
      <c r="N904" s="207"/>
      <c r="O904" s="207"/>
      <c r="P904" s="207"/>
      <c r="Q904" s="207"/>
      <c r="R904" s="207"/>
      <c r="S904" s="207"/>
      <c r="T904" s="207"/>
      <c r="U904" s="207"/>
      <c r="V904" s="207"/>
      <c r="W904" s="208"/>
      <c r="X904" s="208"/>
      <c r="Y904" s="208"/>
      <c r="Z904" s="208"/>
      <c r="AA904" s="208"/>
      <c r="AB904" s="208"/>
      <c r="AC904" s="208"/>
      <c r="AD904" s="208"/>
      <c r="AE904" s="208"/>
      <c r="AF904" s="208"/>
      <c r="AG904" s="208"/>
      <c r="AH904" s="208"/>
      <c r="AI904" s="100"/>
      <c r="AJ904" s="100"/>
      <c r="AK904" s="100"/>
      <c r="AL904" s="100"/>
      <c r="AM904" s="100"/>
    </row>
    <row r="905" ht="14.25" customHeight="1">
      <c r="A905" s="100"/>
      <c r="B905" s="100"/>
      <c r="C905" s="100"/>
      <c r="D905" s="100"/>
      <c r="E905" s="100"/>
      <c r="F905" s="206"/>
      <c r="G905" s="206"/>
      <c r="H905" s="207"/>
      <c r="I905" s="207"/>
      <c r="J905" s="207"/>
      <c r="K905" s="207"/>
      <c r="L905" s="207"/>
      <c r="M905" s="207"/>
      <c r="N905" s="207"/>
      <c r="O905" s="207"/>
      <c r="P905" s="207"/>
      <c r="Q905" s="207"/>
      <c r="R905" s="207"/>
      <c r="S905" s="207"/>
      <c r="T905" s="207"/>
      <c r="U905" s="207"/>
      <c r="V905" s="207"/>
      <c r="W905" s="208"/>
      <c r="X905" s="208"/>
      <c r="Y905" s="208"/>
      <c r="Z905" s="208"/>
      <c r="AA905" s="208"/>
      <c r="AB905" s="208"/>
      <c r="AC905" s="208"/>
      <c r="AD905" s="208"/>
      <c r="AE905" s="208"/>
      <c r="AF905" s="208"/>
      <c r="AG905" s="208"/>
      <c r="AH905" s="208"/>
      <c r="AI905" s="100"/>
      <c r="AJ905" s="100"/>
      <c r="AK905" s="100"/>
      <c r="AL905" s="100"/>
      <c r="AM905" s="100"/>
    </row>
    <row r="906" ht="14.25" customHeight="1">
      <c r="A906" s="100"/>
      <c r="B906" s="100"/>
      <c r="C906" s="100"/>
      <c r="D906" s="100"/>
      <c r="E906" s="100"/>
      <c r="F906" s="206"/>
      <c r="G906" s="206"/>
      <c r="H906" s="207"/>
      <c r="I906" s="207"/>
      <c r="J906" s="207"/>
      <c r="K906" s="207"/>
      <c r="L906" s="207"/>
      <c r="M906" s="207"/>
      <c r="N906" s="207"/>
      <c r="O906" s="207"/>
      <c r="P906" s="207"/>
      <c r="Q906" s="207"/>
      <c r="R906" s="207"/>
      <c r="S906" s="207"/>
      <c r="T906" s="207"/>
      <c r="U906" s="207"/>
      <c r="V906" s="207"/>
      <c r="W906" s="208"/>
      <c r="X906" s="208"/>
      <c r="Y906" s="208"/>
      <c r="Z906" s="208"/>
      <c r="AA906" s="208"/>
      <c r="AB906" s="208"/>
      <c r="AC906" s="208"/>
      <c r="AD906" s="208"/>
      <c r="AE906" s="208"/>
      <c r="AF906" s="208"/>
      <c r="AG906" s="208"/>
      <c r="AH906" s="208"/>
      <c r="AI906" s="100"/>
      <c r="AJ906" s="100"/>
      <c r="AK906" s="100"/>
      <c r="AL906" s="100"/>
      <c r="AM906" s="100"/>
    </row>
    <row r="907" ht="14.25" customHeight="1">
      <c r="A907" s="100"/>
      <c r="B907" s="100"/>
      <c r="C907" s="100"/>
      <c r="D907" s="100"/>
      <c r="E907" s="100"/>
      <c r="F907" s="206"/>
      <c r="G907" s="206"/>
      <c r="H907" s="207"/>
      <c r="I907" s="207"/>
      <c r="J907" s="207"/>
      <c r="K907" s="207"/>
      <c r="L907" s="207"/>
      <c r="M907" s="207"/>
      <c r="N907" s="207"/>
      <c r="O907" s="207"/>
      <c r="P907" s="207"/>
      <c r="Q907" s="207"/>
      <c r="R907" s="207"/>
      <c r="S907" s="207"/>
      <c r="T907" s="207"/>
      <c r="U907" s="207"/>
      <c r="V907" s="207"/>
      <c r="W907" s="208"/>
      <c r="X907" s="208"/>
      <c r="Y907" s="208"/>
      <c r="Z907" s="208"/>
      <c r="AA907" s="208"/>
      <c r="AB907" s="208"/>
      <c r="AC907" s="208"/>
      <c r="AD907" s="208"/>
      <c r="AE907" s="208"/>
      <c r="AF907" s="208"/>
      <c r="AG907" s="208"/>
      <c r="AH907" s="208"/>
      <c r="AI907" s="100"/>
      <c r="AJ907" s="100"/>
      <c r="AK907" s="100"/>
      <c r="AL907" s="100"/>
      <c r="AM907" s="100"/>
    </row>
    <row r="908" ht="14.25" customHeight="1">
      <c r="A908" s="100"/>
      <c r="B908" s="100"/>
      <c r="C908" s="100"/>
      <c r="D908" s="100"/>
      <c r="E908" s="100"/>
      <c r="F908" s="206"/>
      <c r="G908" s="206"/>
      <c r="H908" s="207"/>
      <c r="I908" s="207"/>
      <c r="J908" s="207"/>
      <c r="K908" s="207"/>
      <c r="L908" s="207"/>
      <c r="M908" s="207"/>
      <c r="N908" s="207"/>
      <c r="O908" s="207"/>
      <c r="P908" s="207"/>
      <c r="Q908" s="207"/>
      <c r="R908" s="207"/>
      <c r="S908" s="207"/>
      <c r="T908" s="207"/>
      <c r="U908" s="207"/>
      <c r="V908" s="207"/>
      <c r="W908" s="208"/>
      <c r="X908" s="208"/>
      <c r="Y908" s="208"/>
      <c r="Z908" s="208"/>
      <c r="AA908" s="208"/>
      <c r="AB908" s="208"/>
      <c r="AC908" s="208"/>
      <c r="AD908" s="208"/>
      <c r="AE908" s="208"/>
      <c r="AF908" s="208"/>
      <c r="AG908" s="208"/>
      <c r="AH908" s="208"/>
      <c r="AI908" s="100"/>
      <c r="AJ908" s="100"/>
      <c r="AK908" s="100"/>
      <c r="AL908" s="100"/>
      <c r="AM908" s="100"/>
    </row>
    <row r="909" ht="14.25" customHeight="1">
      <c r="A909" s="100"/>
      <c r="B909" s="100"/>
      <c r="C909" s="100"/>
      <c r="D909" s="100"/>
      <c r="E909" s="100"/>
      <c r="F909" s="206"/>
      <c r="G909" s="206"/>
      <c r="H909" s="207"/>
      <c r="I909" s="207"/>
      <c r="J909" s="207"/>
      <c r="K909" s="207"/>
      <c r="L909" s="207"/>
      <c r="M909" s="207"/>
      <c r="N909" s="207"/>
      <c r="O909" s="207"/>
      <c r="P909" s="207"/>
      <c r="Q909" s="207"/>
      <c r="R909" s="207"/>
      <c r="S909" s="207"/>
      <c r="T909" s="207"/>
      <c r="U909" s="207"/>
      <c r="V909" s="207"/>
      <c r="W909" s="208"/>
      <c r="X909" s="208"/>
      <c r="Y909" s="208"/>
      <c r="Z909" s="208"/>
      <c r="AA909" s="208"/>
      <c r="AB909" s="208"/>
      <c r="AC909" s="208"/>
      <c r="AD909" s="208"/>
      <c r="AE909" s="208"/>
      <c r="AF909" s="208"/>
      <c r="AG909" s="208"/>
      <c r="AH909" s="208"/>
      <c r="AI909" s="100"/>
      <c r="AJ909" s="100"/>
      <c r="AK909" s="100"/>
      <c r="AL909" s="100"/>
      <c r="AM909" s="100"/>
    </row>
    <row r="910" ht="14.25" customHeight="1">
      <c r="A910" s="100"/>
      <c r="B910" s="100"/>
      <c r="C910" s="100"/>
      <c r="D910" s="100"/>
      <c r="E910" s="100"/>
      <c r="F910" s="206"/>
      <c r="G910" s="206"/>
      <c r="H910" s="207"/>
      <c r="I910" s="207"/>
      <c r="J910" s="207"/>
      <c r="K910" s="207"/>
      <c r="L910" s="207"/>
      <c r="M910" s="207"/>
      <c r="N910" s="207"/>
      <c r="O910" s="207"/>
      <c r="P910" s="207"/>
      <c r="Q910" s="207"/>
      <c r="R910" s="207"/>
      <c r="S910" s="207"/>
      <c r="T910" s="207"/>
      <c r="U910" s="207"/>
      <c r="V910" s="207"/>
      <c r="W910" s="208"/>
      <c r="X910" s="208"/>
      <c r="Y910" s="208"/>
      <c r="Z910" s="208"/>
      <c r="AA910" s="208"/>
      <c r="AB910" s="208"/>
      <c r="AC910" s="208"/>
      <c r="AD910" s="208"/>
      <c r="AE910" s="208"/>
      <c r="AF910" s="208"/>
      <c r="AG910" s="208"/>
      <c r="AH910" s="208"/>
      <c r="AI910" s="100"/>
      <c r="AJ910" s="100"/>
      <c r="AK910" s="100"/>
      <c r="AL910" s="100"/>
      <c r="AM910" s="100"/>
    </row>
    <row r="911" ht="14.25" customHeight="1">
      <c r="A911" s="100"/>
      <c r="B911" s="100"/>
      <c r="C911" s="100"/>
      <c r="D911" s="100"/>
      <c r="E911" s="100"/>
      <c r="F911" s="206"/>
      <c r="G911" s="206"/>
      <c r="H911" s="207"/>
      <c r="I911" s="207"/>
      <c r="J911" s="207"/>
      <c r="K911" s="207"/>
      <c r="L911" s="207"/>
      <c r="M911" s="207"/>
      <c r="N911" s="207"/>
      <c r="O911" s="207"/>
      <c r="P911" s="207"/>
      <c r="Q911" s="207"/>
      <c r="R911" s="207"/>
      <c r="S911" s="207"/>
      <c r="T911" s="207"/>
      <c r="U911" s="207"/>
      <c r="V911" s="207"/>
      <c r="W911" s="208"/>
      <c r="X911" s="208"/>
      <c r="Y911" s="208"/>
      <c r="Z911" s="208"/>
      <c r="AA911" s="208"/>
      <c r="AB911" s="208"/>
      <c r="AC911" s="208"/>
      <c r="AD911" s="208"/>
      <c r="AE911" s="208"/>
      <c r="AF911" s="208"/>
      <c r="AG911" s="208"/>
      <c r="AH911" s="208"/>
      <c r="AI911" s="100"/>
      <c r="AJ911" s="100"/>
      <c r="AK911" s="100"/>
      <c r="AL911" s="100"/>
      <c r="AM911" s="100"/>
    </row>
    <row r="912" ht="14.25" customHeight="1">
      <c r="A912" s="100"/>
      <c r="B912" s="100"/>
      <c r="C912" s="100"/>
      <c r="D912" s="100"/>
      <c r="E912" s="100"/>
      <c r="F912" s="206"/>
      <c r="G912" s="206"/>
      <c r="H912" s="207"/>
      <c r="I912" s="207"/>
      <c r="J912" s="207"/>
      <c r="K912" s="207"/>
      <c r="L912" s="207"/>
      <c r="M912" s="207"/>
      <c r="N912" s="207"/>
      <c r="O912" s="207"/>
      <c r="P912" s="207"/>
      <c r="Q912" s="207"/>
      <c r="R912" s="207"/>
      <c r="S912" s="207"/>
      <c r="T912" s="207"/>
      <c r="U912" s="207"/>
      <c r="V912" s="207"/>
      <c r="W912" s="208"/>
      <c r="X912" s="208"/>
      <c r="Y912" s="208"/>
      <c r="Z912" s="208"/>
      <c r="AA912" s="208"/>
      <c r="AB912" s="208"/>
      <c r="AC912" s="208"/>
      <c r="AD912" s="208"/>
      <c r="AE912" s="208"/>
      <c r="AF912" s="208"/>
      <c r="AG912" s="208"/>
      <c r="AH912" s="208"/>
      <c r="AI912" s="100"/>
      <c r="AJ912" s="100"/>
      <c r="AK912" s="100"/>
      <c r="AL912" s="100"/>
      <c r="AM912" s="100"/>
    </row>
    <row r="913" ht="14.25" customHeight="1">
      <c r="A913" s="100"/>
      <c r="B913" s="100"/>
      <c r="C913" s="100"/>
      <c r="D913" s="100"/>
      <c r="E913" s="100"/>
      <c r="F913" s="206"/>
      <c r="G913" s="206"/>
      <c r="H913" s="207"/>
      <c r="I913" s="207"/>
      <c r="J913" s="207"/>
      <c r="K913" s="207"/>
      <c r="L913" s="207"/>
      <c r="M913" s="207"/>
      <c r="N913" s="207"/>
      <c r="O913" s="207"/>
      <c r="P913" s="207"/>
      <c r="Q913" s="207"/>
      <c r="R913" s="207"/>
      <c r="S913" s="207"/>
      <c r="T913" s="207"/>
      <c r="U913" s="207"/>
      <c r="V913" s="207"/>
      <c r="W913" s="208"/>
      <c r="X913" s="208"/>
      <c r="Y913" s="208"/>
      <c r="Z913" s="208"/>
      <c r="AA913" s="208"/>
      <c r="AB913" s="208"/>
      <c r="AC913" s="208"/>
      <c r="AD913" s="208"/>
      <c r="AE913" s="208"/>
      <c r="AF913" s="208"/>
      <c r="AG913" s="208"/>
      <c r="AH913" s="208"/>
      <c r="AI913" s="100"/>
      <c r="AJ913" s="100"/>
      <c r="AK913" s="100"/>
      <c r="AL913" s="100"/>
      <c r="AM913" s="100"/>
    </row>
    <row r="914" ht="14.25" customHeight="1">
      <c r="A914" s="100"/>
      <c r="B914" s="100"/>
      <c r="C914" s="100"/>
      <c r="D914" s="100"/>
      <c r="E914" s="100"/>
      <c r="F914" s="206"/>
      <c r="G914" s="206"/>
      <c r="H914" s="207"/>
      <c r="I914" s="207"/>
      <c r="J914" s="207"/>
      <c r="K914" s="207"/>
      <c r="L914" s="207"/>
      <c r="M914" s="207"/>
      <c r="N914" s="207"/>
      <c r="O914" s="207"/>
      <c r="P914" s="207"/>
      <c r="Q914" s="207"/>
      <c r="R914" s="207"/>
      <c r="S914" s="207"/>
      <c r="T914" s="207"/>
      <c r="U914" s="207"/>
      <c r="V914" s="207"/>
      <c r="W914" s="208"/>
      <c r="X914" s="208"/>
      <c r="Y914" s="208"/>
      <c r="Z914" s="208"/>
      <c r="AA914" s="208"/>
      <c r="AB914" s="208"/>
      <c r="AC914" s="208"/>
      <c r="AD914" s="208"/>
      <c r="AE914" s="208"/>
      <c r="AF914" s="208"/>
      <c r="AG914" s="208"/>
      <c r="AH914" s="208"/>
      <c r="AI914" s="100"/>
      <c r="AJ914" s="100"/>
      <c r="AK914" s="100"/>
      <c r="AL914" s="100"/>
      <c r="AM914" s="100"/>
    </row>
    <row r="915" ht="14.25" customHeight="1">
      <c r="A915" s="100"/>
      <c r="B915" s="100"/>
      <c r="C915" s="100"/>
      <c r="D915" s="100"/>
      <c r="E915" s="100"/>
      <c r="F915" s="206"/>
      <c r="G915" s="206"/>
      <c r="H915" s="207"/>
      <c r="I915" s="207"/>
      <c r="J915" s="207"/>
      <c r="K915" s="207"/>
      <c r="L915" s="207"/>
      <c r="M915" s="207"/>
      <c r="N915" s="207"/>
      <c r="O915" s="207"/>
      <c r="P915" s="207"/>
      <c r="Q915" s="207"/>
      <c r="R915" s="207"/>
      <c r="S915" s="207"/>
      <c r="T915" s="207"/>
      <c r="U915" s="207"/>
      <c r="V915" s="207"/>
      <c r="W915" s="208"/>
      <c r="X915" s="208"/>
      <c r="Y915" s="208"/>
      <c r="Z915" s="208"/>
      <c r="AA915" s="208"/>
      <c r="AB915" s="208"/>
      <c r="AC915" s="208"/>
      <c r="AD915" s="208"/>
      <c r="AE915" s="208"/>
      <c r="AF915" s="208"/>
      <c r="AG915" s="208"/>
      <c r="AH915" s="208"/>
      <c r="AI915" s="100"/>
      <c r="AJ915" s="100"/>
      <c r="AK915" s="100"/>
      <c r="AL915" s="100"/>
      <c r="AM915" s="100"/>
    </row>
    <row r="916" ht="14.25" customHeight="1">
      <c r="A916" s="100"/>
      <c r="B916" s="100"/>
      <c r="C916" s="100"/>
      <c r="D916" s="100"/>
      <c r="E916" s="100"/>
      <c r="F916" s="206"/>
      <c r="G916" s="206"/>
      <c r="H916" s="207"/>
      <c r="I916" s="207"/>
      <c r="J916" s="207"/>
      <c r="K916" s="207"/>
      <c r="L916" s="207"/>
      <c r="M916" s="207"/>
      <c r="N916" s="207"/>
      <c r="O916" s="207"/>
      <c r="P916" s="207"/>
      <c r="Q916" s="207"/>
      <c r="R916" s="207"/>
      <c r="S916" s="207"/>
      <c r="T916" s="207"/>
      <c r="U916" s="207"/>
      <c r="V916" s="207"/>
      <c r="W916" s="208"/>
      <c r="X916" s="208"/>
      <c r="Y916" s="208"/>
      <c r="Z916" s="208"/>
      <c r="AA916" s="208"/>
      <c r="AB916" s="208"/>
      <c r="AC916" s="208"/>
      <c r="AD916" s="208"/>
      <c r="AE916" s="208"/>
      <c r="AF916" s="208"/>
      <c r="AG916" s="208"/>
      <c r="AH916" s="208"/>
      <c r="AI916" s="100"/>
      <c r="AJ916" s="100"/>
      <c r="AK916" s="100"/>
      <c r="AL916" s="100"/>
      <c r="AM916" s="100"/>
    </row>
    <row r="917" ht="14.25" customHeight="1">
      <c r="A917" s="100"/>
      <c r="B917" s="100"/>
      <c r="C917" s="100"/>
      <c r="D917" s="100"/>
      <c r="E917" s="100"/>
      <c r="F917" s="206"/>
      <c r="G917" s="206"/>
      <c r="H917" s="207"/>
      <c r="I917" s="207"/>
      <c r="J917" s="207"/>
      <c r="K917" s="207"/>
      <c r="L917" s="207"/>
      <c r="M917" s="207"/>
      <c r="N917" s="207"/>
      <c r="O917" s="207"/>
      <c r="P917" s="207"/>
      <c r="Q917" s="207"/>
      <c r="R917" s="207"/>
      <c r="S917" s="207"/>
      <c r="T917" s="207"/>
      <c r="U917" s="207"/>
      <c r="V917" s="207"/>
      <c r="W917" s="208"/>
      <c r="X917" s="208"/>
      <c r="Y917" s="208"/>
      <c r="Z917" s="208"/>
      <c r="AA917" s="208"/>
      <c r="AB917" s="208"/>
      <c r="AC917" s="208"/>
      <c r="AD917" s="208"/>
      <c r="AE917" s="208"/>
      <c r="AF917" s="208"/>
      <c r="AG917" s="208"/>
      <c r="AH917" s="208"/>
      <c r="AI917" s="100"/>
      <c r="AJ917" s="100"/>
      <c r="AK917" s="100"/>
      <c r="AL917" s="100"/>
      <c r="AM917" s="100"/>
    </row>
    <row r="918" ht="14.25" customHeight="1">
      <c r="A918" s="100"/>
      <c r="B918" s="100"/>
      <c r="C918" s="100"/>
      <c r="D918" s="100"/>
      <c r="E918" s="100"/>
      <c r="F918" s="206"/>
      <c r="G918" s="206"/>
      <c r="H918" s="207"/>
      <c r="I918" s="207"/>
      <c r="J918" s="207"/>
      <c r="K918" s="207"/>
      <c r="L918" s="207"/>
      <c r="M918" s="207"/>
      <c r="N918" s="207"/>
      <c r="O918" s="207"/>
      <c r="P918" s="207"/>
      <c r="Q918" s="207"/>
      <c r="R918" s="207"/>
      <c r="S918" s="207"/>
      <c r="T918" s="207"/>
      <c r="U918" s="207"/>
      <c r="V918" s="207"/>
      <c r="W918" s="208"/>
      <c r="X918" s="208"/>
      <c r="Y918" s="208"/>
      <c r="Z918" s="208"/>
      <c r="AA918" s="208"/>
      <c r="AB918" s="208"/>
      <c r="AC918" s="208"/>
      <c r="AD918" s="208"/>
      <c r="AE918" s="208"/>
      <c r="AF918" s="208"/>
      <c r="AG918" s="208"/>
      <c r="AH918" s="208"/>
      <c r="AI918" s="100"/>
      <c r="AJ918" s="100"/>
      <c r="AK918" s="100"/>
      <c r="AL918" s="100"/>
      <c r="AM918" s="100"/>
    </row>
    <row r="919" ht="14.25" customHeight="1">
      <c r="A919" s="100"/>
      <c r="B919" s="100"/>
      <c r="C919" s="100"/>
      <c r="D919" s="100"/>
      <c r="E919" s="100"/>
      <c r="F919" s="206"/>
      <c r="G919" s="206"/>
      <c r="H919" s="207"/>
      <c r="I919" s="207"/>
      <c r="J919" s="207"/>
      <c r="K919" s="207"/>
      <c r="L919" s="207"/>
      <c r="M919" s="207"/>
      <c r="N919" s="207"/>
      <c r="O919" s="207"/>
      <c r="P919" s="207"/>
      <c r="Q919" s="207"/>
      <c r="R919" s="207"/>
      <c r="S919" s="207"/>
      <c r="T919" s="207"/>
      <c r="U919" s="207"/>
      <c r="V919" s="207"/>
      <c r="W919" s="208"/>
      <c r="X919" s="208"/>
      <c r="Y919" s="208"/>
      <c r="Z919" s="208"/>
      <c r="AA919" s="208"/>
      <c r="AB919" s="208"/>
      <c r="AC919" s="208"/>
      <c r="AD919" s="208"/>
      <c r="AE919" s="208"/>
      <c r="AF919" s="208"/>
      <c r="AG919" s="208"/>
      <c r="AH919" s="208"/>
      <c r="AI919" s="100"/>
      <c r="AJ919" s="100"/>
      <c r="AK919" s="100"/>
      <c r="AL919" s="100"/>
      <c r="AM919" s="100"/>
    </row>
    <row r="920" ht="14.25" customHeight="1">
      <c r="A920" s="100"/>
      <c r="B920" s="100"/>
      <c r="C920" s="100"/>
      <c r="D920" s="100"/>
      <c r="E920" s="100"/>
      <c r="F920" s="206"/>
      <c r="G920" s="206"/>
      <c r="H920" s="207"/>
      <c r="I920" s="207"/>
      <c r="J920" s="207"/>
      <c r="K920" s="207"/>
      <c r="L920" s="207"/>
      <c r="M920" s="207"/>
      <c r="N920" s="207"/>
      <c r="O920" s="207"/>
      <c r="P920" s="207"/>
      <c r="Q920" s="207"/>
      <c r="R920" s="207"/>
      <c r="S920" s="207"/>
      <c r="T920" s="207"/>
      <c r="U920" s="207"/>
      <c r="V920" s="207"/>
      <c r="W920" s="208"/>
      <c r="X920" s="208"/>
      <c r="Y920" s="208"/>
      <c r="Z920" s="208"/>
      <c r="AA920" s="208"/>
      <c r="AB920" s="208"/>
      <c r="AC920" s="208"/>
      <c r="AD920" s="208"/>
      <c r="AE920" s="208"/>
      <c r="AF920" s="208"/>
      <c r="AG920" s="208"/>
      <c r="AH920" s="208"/>
      <c r="AI920" s="100"/>
      <c r="AJ920" s="100"/>
      <c r="AK920" s="100"/>
      <c r="AL920" s="100"/>
      <c r="AM920" s="100"/>
    </row>
    <row r="921" ht="14.25" customHeight="1">
      <c r="A921" s="100"/>
      <c r="B921" s="100"/>
      <c r="C921" s="100"/>
      <c r="D921" s="100"/>
      <c r="E921" s="100"/>
      <c r="F921" s="206"/>
      <c r="G921" s="206"/>
      <c r="H921" s="207"/>
      <c r="I921" s="207"/>
      <c r="J921" s="207"/>
      <c r="K921" s="207"/>
      <c r="L921" s="207"/>
      <c r="M921" s="207"/>
      <c r="N921" s="207"/>
      <c r="O921" s="207"/>
      <c r="P921" s="207"/>
      <c r="Q921" s="207"/>
      <c r="R921" s="207"/>
      <c r="S921" s="207"/>
      <c r="T921" s="207"/>
      <c r="U921" s="207"/>
      <c r="V921" s="207"/>
      <c r="W921" s="208"/>
      <c r="X921" s="208"/>
      <c r="Y921" s="208"/>
      <c r="Z921" s="208"/>
      <c r="AA921" s="208"/>
      <c r="AB921" s="208"/>
      <c r="AC921" s="208"/>
      <c r="AD921" s="208"/>
      <c r="AE921" s="208"/>
      <c r="AF921" s="208"/>
      <c r="AG921" s="208"/>
      <c r="AH921" s="208"/>
      <c r="AI921" s="100"/>
      <c r="AJ921" s="100"/>
      <c r="AK921" s="100"/>
      <c r="AL921" s="100"/>
      <c r="AM921" s="100"/>
    </row>
    <row r="922" ht="14.25" customHeight="1">
      <c r="A922" s="100"/>
      <c r="B922" s="100"/>
      <c r="C922" s="100"/>
      <c r="D922" s="100"/>
      <c r="E922" s="100"/>
      <c r="F922" s="206"/>
      <c r="G922" s="206"/>
      <c r="H922" s="207"/>
      <c r="I922" s="207"/>
      <c r="J922" s="207"/>
      <c r="K922" s="207"/>
      <c r="L922" s="207"/>
      <c r="M922" s="207"/>
      <c r="N922" s="207"/>
      <c r="O922" s="207"/>
      <c r="P922" s="207"/>
      <c r="Q922" s="207"/>
      <c r="R922" s="207"/>
      <c r="S922" s="207"/>
      <c r="T922" s="207"/>
      <c r="U922" s="207"/>
      <c r="V922" s="207"/>
      <c r="W922" s="208"/>
      <c r="X922" s="208"/>
      <c r="Y922" s="208"/>
      <c r="Z922" s="208"/>
      <c r="AA922" s="208"/>
      <c r="AB922" s="208"/>
      <c r="AC922" s="208"/>
      <c r="AD922" s="208"/>
      <c r="AE922" s="208"/>
      <c r="AF922" s="208"/>
      <c r="AG922" s="208"/>
      <c r="AH922" s="208"/>
      <c r="AI922" s="100"/>
      <c r="AJ922" s="100"/>
      <c r="AK922" s="100"/>
      <c r="AL922" s="100"/>
      <c r="AM922" s="100"/>
    </row>
    <row r="923" ht="14.25" customHeight="1">
      <c r="A923" s="100"/>
      <c r="B923" s="100"/>
      <c r="C923" s="100"/>
      <c r="D923" s="100"/>
      <c r="E923" s="100"/>
      <c r="F923" s="206"/>
      <c r="G923" s="206"/>
      <c r="H923" s="207"/>
      <c r="I923" s="207"/>
      <c r="J923" s="207"/>
      <c r="K923" s="207"/>
      <c r="L923" s="207"/>
      <c r="M923" s="207"/>
      <c r="N923" s="207"/>
      <c r="O923" s="207"/>
      <c r="P923" s="207"/>
      <c r="Q923" s="207"/>
      <c r="R923" s="207"/>
      <c r="S923" s="207"/>
      <c r="T923" s="207"/>
      <c r="U923" s="207"/>
      <c r="V923" s="207"/>
      <c r="W923" s="208"/>
      <c r="X923" s="208"/>
      <c r="Y923" s="208"/>
      <c r="Z923" s="208"/>
      <c r="AA923" s="208"/>
      <c r="AB923" s="208"/>
      <c r="AC923" s="208"/>
      <c r="AD923" s="208"/>
      <c r="AE923" s="208"/>
      <c r="AF923" s="208"/>
      <c r="AG923" s="208"/>
      <c r="AH923" s="208"/>
      <c r="AI923" s="100"/>
      <c r="AJ923" s="100"/>
      <c r="AK923" s="100"/>
      <c r="AL923" s="100"/>
      <c r="AM923" s="100"/>
    </row>
    <row r="924" ht="14.25" customHeight="1">
      <c r="A924" s="100"/>
      <c r="B924" s="100"/>
      <c r="C924" s="100"/>
      <c r="D924" s="100"/>
      <c r="E924" s="100"/>
      <c r="F924" s="206"/>
      <c r="G924" s="206"/>
      <c r="H924" s="207"/>
      <c r="I924" s="207"/>
      <c r="J924" s="207"/>
      <c r="K924" s="207"/>
      <c r="L924" s="207"/>
      <c r="M924" s="207"/>
      <c r="N924" s="207"/>
      <c r="O924" s="207"/>
      <c r="P924" s="207"/>
      <c r="Q924" s="207"/>
      <c r="R924" s="207"/>
      <c r="S924" s="207"/>
      <c r="T924" s="207"/>
      <c r="U924" s="207"/>
      <c r="V924" s="207"/>
      <c r="W924" s="208"/>
      <c r="X924" s="208"/>
      <c r="Y924" s="208"/>
      <c r="Z924" s="208"/>
      <c r="AA924" s="208"/>
      <c r="AB924" s="208"/>
      <c r="AC924" s="208"/>
      <c r="AD924" s="208"/>
      <c r="AE924" s="208"/>
      <c r="AF924" s="208"/>
      <c r="AG924" s="208"/>
      <c r="AH924" s="208"/>
      <c r="AI924" s="100"/>
      <c r="AJ924" s="100"/>
      <c r="AK924" s="100"/>
      <c r="AL924" s="100"/>
      <c r="AM924" s="100"/>
    </row>
    <row r="925" ht="14.25" customHeight="1">
      <c r="A925" s="100"/>
      <c r="B925" s="100"/>
      <c r="C925" s="100"/>
      <c r="D925" s="100"/>
      <c r="E925" s="100"/>
      <c r="F925" s="206"/>
      <c r="G925" s="206"/>
      <c r="H925" s="207"/>
      <c r="I925" s="207"/>
      <c r="J925" s="207"/>
      <c r="K925" s="207"/>
      <c r="L925" s="207"/>
      <c r="M925" s="207"/>
      <c r="N925" s="207"/>
      <c r="O925" s="207"/>
      <c r="P925" s="207"/>
      <c r="Q925" s="207"/>
      <c r="R925" s="207"/>
      <c r="S925" s="207"/>
      <c r="T925" s="207"/>
      <c r="U925" s="207"/>
      <c r="V925" s="207"/>
      <c r="W925" s="208"/>
      <c r="X925" s="208"/>
      <c r="Y925" s="208"/>
      <c r="Z925" s="208"/>
      <c r="AA925" s="208"/>
      <c r="AB925" s="208"/>
      <c r="AC925" s="208"/>
      <c r="AD925" s="208"/>
      <c r="AE925" s="208"/>
      <c r="AF925" s="208"/>
      <c r="AG925" s="208"/>
      <c r="AH925" s="208"/>
      <c r="AI925" s="100"/>
      <c r="AJ925" s="100"/>
      <c r="AK925" s="100"/>
      <c r="AL925" s="100"/>
      <c r="AM925" s="100"/>
    </row>
    <row r="926" ht="14.25" customHeight="1">
      <c r="A926" s="100"/>
      <c r="B926" s="100"/>
      <c r="C926" s="100"/>
      <c r="D926" s="100"/>
      <c r="E926" s="100"/>
      <c r="F926" s="206"/>
      <c r="G926" s="206"/>
      <c r="H926" s="207"/>
      <c r="I926" s="207"/>
      <c r="J926" s="207"/>
      <c r="K926" s="207"/>
      <c r="L926" s="207"/>
      <c r="M926" s="207"/>
      <c r="N926" s="207"/>
      <c r="O926" s="207"/>
      <c r="P926" s="207"/>
      <c r="Q926" s="207"/>
      <c r="R926" s="207"/>
      <c r="S926" s="207"/>
      <c r="T926" s="207"/>
      <c r="U926" s="207"/>
      <c r="V926" s="207"/>
      <c r="W926" s="208"/>
      <c r="X926" s="208"/>
      <c r="Y926" s="208"/>
      <c r="Z926" s="208"/>
      <c r="AA926" s="208"/>
      <c r="AB926" s="208"/>
      <c r="AC926" s="208"/>
      <c r="AD926" s="208"/>
      <c r="AE926" s="208"/>
      <c r="AF926" s="208"/>
      <c r="AG926" s="208"/>
      <c r="AH926" s="208"/>
      <c r="AI926" s="100"/>
      <c r="AJ926" s="100"/>
      <c r="AK926" s="100"/>
      <c r="AL926" s="100"/>
      <c r="AM926" s="100"/>
    </row>
    <row r="927" ht="14.25" customHeight="1">
      <c r="A927" s="100"/>
      <c r="B927" s="100"/>
      <c r="C927" s="100"/>
      <c r="D927" s="100"/>
      <c r="E927" s="100"/>
      <c r="F927" s="206"/>
      <c r="G927" s="206"/>
      <c r="H927" s="207"/>
      <c r="I927" s="207"/>
      <c r="J927" s="207"/>
      <c r="K927" s="207"/>
      <c r="L927" s="207"/>
      <c r="M927" s="207"/>
      <c r="N927" s="207"/>
      <c r="O927" s="207"/>
      <c r="P927" s="207"/>
      <c r="Q927" s="207"/>
      <c r="R927" s="207"/>
      <c r="S927" s="207"/>
      <c r="T927" s="207"/>
      <c r="U927" s="207"/>
      <c r="V927" s="207"/>
      <c r="W927" s="208"/>
      <c r="X927" s="208"/>
      <c r="Y927" s="208"/>
      <c r="Z927" s="208"/>
      <c r="AA927" s="208"/>
      <c r="AB927" s="208"/>
      <c r="AC927" s="208"/>
      <c r="AD927" s="208"/>
      <c r="AE927" s="208"/>
      <c r="AF927" s="208"/>
      <c r="AG927" s="208"/>
      <c r="AH927" s="208"/>
      <c r="AI927" s="100"/>
      <c r="AJ927" s="100"/>
      <c r="AK927" s="100"/>
      <c r="AL927" s="100"/>
      <c r="AM927" s="100"/>
    </row>
    <row r="928" ht="14.25" customHeight="1">
      <c r="A928" s="100"/>
      <c r="B928" s="100"/>
      <c r="C928" s="100"/>
      <c r="D928" s="100"/>
      <c r="E928" s="100"/>
      <c r="F928" s="206"/>
      <c r="G928" s="206"/>
      <c r="H928" s="207"/>
      <c r="I928" s="207"/>
      <c r="J928" s="207"/>
      <c r="K928" s="207"/>
      <c r="L928" s="207"/>
      <c r="M928" s="207"/>
      <c r="N928" s="207"/>
      <c r="O928" s="207"/>
      <c r="P928" s="207"/>
      <c r="Q928" s="207"/>
      <c r="R928" s="207"/>
      <c r="S928" s="207"/>
      <c r="T928" s="207"/>
      <c r="U928" s="207"/>
      <c r="V928" s="207"/>
      <c r="W928" s="208"/>
      <c r="X928" s="208"/>
      <c r="Y928" s="208"/>
      <c r="Z928" s="208"/>
      <c r="AA928" s="208"/>
      <c r="AB928" s="208"/>
      <c r="AC928" s="208"/>
      <c r="AD928" s="208"/>
      <c r="AE928" s="208"/>
      <c r="AF928" s="208"/>
      <c r="AG928" s="208"/>
      <c r="AH928" s="208"/>
      <c r="AI928" s="100"/>
      <c r="AJ928" s="100"/>
      <c r="AK928" s="100"/>
      <c r="AL928" s="100"/>
      <c r="AM928" s="100"/>
    </row>
    <row r="929" ht="14.25" customHeight="1">
      <c r="A929" s="100"/>
      <c r="B929" s="100"/>
      <c r="C929" s="100"/>
      <c r="D929" s="100"/>
      <c r="E929" s="100"/>
      <c r="F929" s="206"/>
      <c r="G929" s="206"/>
      <c r="H929" s="207"/>
      <c r="I929" s="207"/>
      <c r="J929" s="207"/>
      <c r="K929" s="207"/>
      <c r="L929" s="207"/>
      <c r="M929" s="207"/>
      <c r="N929" s="207"/>
      <c r="O929" s="207"/>
      <c r="P929" s="207"/>
      <c r="Q929" s="207"/>
      <c r="R929" s="207"/>
      <c r="S929" s="207"/>
      <c r="T929" s="207"/>
      <c r="U929" s="207"/>
      <c r="V929" s="207"/>
      <c r="W929" s="208"/>
      <c r="X929" s="208"/>
      <c r="Y929" s="208"/>
      <c r="Z929" s="208"/>
      <c r="AA929" s="208"/>
      <c r="AB929" s="208"/>
      <c r="AC929" s="208"/>
      <c r="AD929" s="208"/>
      <c r="AE929" s="208"/>
      <c r="AF929" s="208"/>
      <c r="AG929" s="208"/>
      <c r="AH929" s="208"/>
      <c r="AI929" s="100"/>
      <c r="AJ929" s="100"/>
      <c r="AK929" s="100"/>
      <c r="AL929" s="100"/>
      <c r="AM929" s="100"/>
    </row>
    <row r="930" ht="14.25" customHeight="1">
      <c r="A930" s="100"/>
      <c r="B930" s="100"/>
      <c r="C930" s="100"/>
      <c r="D930" s="100"/>
      <c r="E930" s="100"/>
      <c r="F930" s="206"/>
      <c r="G930" s="206"/>
      <c r="H930" s="207"/>
      <c r="I930" s="207"/>
      <c r="J930" s="207"/>
      <c r="K930" s="207"/>
      <c r="L930" s="207"/>
      <c r="M930" s="207"/>
      <c r="N930" s="207"/>
      <c r="O930" s="207"/>
      <c r="P930" s="207"/>
      <c r="Q930" s="207"/>
      <c r="R930" s="207"/>
      <c r="S930" s="207"/>
      <c r="T930" s="207"/>
      <c r="U930" s="207"/>
      <c r="V930" s="207"/>
      <c r="W930" s="208"/>
      <c r="X930" s="208"/>
      <c r="Y930" s="208"/>
      <c r="Z930" s="208"/>
      <c r="AA930" s="208"/>
      <c r="AB930" s="208"/>
      <c r="AC930" s="208"/>
      <c r="AD930" s="208"/>
      <c r="AE930" s="208"/>
      <c r="AF930" s="208"/>
      <c r="AG930" s="208"/>
      <c r="AH930" s="208"/>
      <c r="AI930" s="100"/>
      <c r="AJ930" s="100"/>
      <c r="AK930" s="100"/>
      <c r="AL930" s="100"/>
      <c r="AM930" s="100"/>
    </row>
    <row r="931" ht="14.25" customHeight="1">
      <c r="A931" s="100"/>
      <c r="B931" s="100"/>
      <c r="C931" s="100"/>
      <c r="D931" s="100"/>
      <c r="E931" s="100"/>
      <c r="F931" s="206"/>
      <c r="G931" s="206"/>
      <c r="H931" s="207"/>
      <c r="I931" s="207"/>
      <c r="J931" s="207"/>
      <c r="K931" s="207"/>
      <c r="L931" s="207"/>
      <c r="M931" s="207"/>
      <c r="N931" s="207"/>
      <c r="O931" s="207"/>
      <c r="P931" s="207"/>
      <c r="Q931" s="207"/>
      <c r="R931" s="207"/>
      <c r="S931" s="207"/>
      <c r="T931" s="207"/>
      <c r="U931" s="207"/>
      <c r="V931" s="207"/>
      <c r="W931" s="208"/>
      <c r="X931" s="208"/>
      <c r="Y931" s="208"/>
      <c r="Z931" s="208"/>
      <c r="AA931" s="208"/>
      <c r="AB931" s="208"/>
      <c r="AC931" s="208"/>
      <c r="AD931" s="208"/>
      <c r="AE931" s="208"/>
      <c r="AF931" s="208"/>
      <c r="AG931" s="208"/>
      <c r="AH931" s="208"/>
      <c r="AI931" s="100"/>
      <c r="AJ931" s="100"/>
      <c r="AK931" s="100"/>
      <c r="AL931" s="100"/>
      <c r="AM931" s="100"/>
    </row>
    <row r="932" ht="14.25" customHeight="1">
      <c r="A932" s="100"/>
      <c r="B932" s="100"/>
      <c r="C932" s="100"/>
      <c r="D932" s="100"/>
      <c r="E932" s="100"/>
      <c r="F932" s="206"/>
      <c r="G932" s="206"/>
      <c r="H932" s="207"/>
      <c r="I932" s="207"/>
      <c r="J932" s="207"/>
      <c r="K932" s="207"/>
      <c r="L932" s="207"/>
      <c r="M932" s="207"/>
      <c r="N932" s="207"/>
      <c r="O932" s="207"/>
      <c r="P932" s="207"/>
      <c r="Q932" s="207"/>
      <c r="R932" s="207"/>
      <c r="S932" s="207"/>
      <c r="T932" s="207"/>
      <c r="U932" s="207"/>
      <c r="V932" s="207"/>
      <c r="W932" s="208"/>
      <c r="X932" s="208"/>
      <c r="Y932" s="208"/>
      <c r="Z932" s="208"/>
      <c r="AA932" s="208"/>
      <c r="AB932" s="208"/>
      <c r="AC932" s="208"/>
      <c r="AD932" s="208"/>
      <c r="AE932" s="208"/>
      <c r="AF932" s="208"/>
      <c r="AG932" s="208"/>
      <c r="AH932" s="208"/>
      <c r="AI932" s="100"/>
      <c r="AJ932" s="100"/>
      <c r="AK932" s="100"/>
      <c r="AL932" s="100"/>
      <c r="AM932" s="100"/>
    </row>
    <row r="933" ht="14.25" customHeight="1">
      <c r="A933" s="100"/>
      <c r="B933" s="100"/>
      <c r="C933" s="100"/>
      <c r="D933" s="100"/>
      <c r="E933" s="100"/>
      <c r="F933" s="206"/>
      <c r="G933" s="206"/>
      <c r="H933" s="207"/>
      <c r="I933" s="207"/>
      <c r="J933" s="207"/>
      <c r="K933" s="207"/>
      <c r="L933" s="207"/>
      <c r="M933" s="207"/>
      <c r="N933" s="207"/>
      <c r="O933" s="207"/>
      <c r="P933" s="207"/>
      <c r="Q933" s="207"/>
      <c r="R933" s="207"/>
      <c r="S933" s="207"/>
      <c r="T933" s="207"/>
      <c r="U933" s="207"/>
      <c r="V933" s="207"/>
      <c r="W933" s="208"/>
      <c r="X933" s="208"/>
      <c r="Y933" s="208"/>
      <c r="Z933" s="208"/>
      <c r="AA933" s="208"/>
      <c r="AB933" s="208"/>
      <c r="AC933" s="208"/>
      <c r="AD933" s="208"/>
      <c r="AE933" s="208"/>
      <c r="AF933" s="208"/>
      <c r="AG933" s="208"/>
      <c r="AH933" s="208"/>
      <c r="AI933" s="100"/>
      <c r="AJ933" s="100"/>
      <c r="AK933" s="100"/>
      <c r="AL933" s="100"/>
      <c r="AM933" s="100"/>
    </row>
    <row r="934" ht="14.25" customHeight="1">
      <c r="A934" s="100"/>
      <c r="B934" s="100"/>
      <c r="C934" s="100"/>
      <c r="D934" s="100"/>
      <c r="E934" s="100"/>
      <c r="F934" s="206"/>
      <c r="G934" s="206"/>
      <c r="H934" s="207"/>
      <c r="I934" s="207"/>
      <c r="J934" s="207"/>
      <c r="K934" s="207"/>
      <c r="L934" s="207"/>
      <c r="M934" s="207"/>
      <c r="N934" s="207"/>
      <c r="O934" s="207"/>
      <c r="P934" s="207"/>
      <c r="Q934" s="207"/>
      <c r="R934" s="207"/>
      <c r="S934" s="207"/>
      <c r="T934" s="207"/>
      <c r="U934" s="207"/>
      <c r="V934" s="207"/>
      <c r="W934" s="208"/>
      <c r="X934" s="208"/>
      <c r="Y934" s="208"/>
      <c r="Z934" s="208"/>
      <c r="AA934" s="208"/>
      <c r="AB934" s="208"/>
      <c r="AC934" s="208"/>
      <c r="AD934" s="208"/>
      <c r="AE934" s="208"/>
      <c r="AF934" s="208"/>
      <c r="AG934" s="208"/>
      <c r="AH934" s="208"/>
      <c r="AI934" s="100"/>
      <c r="AJ934" s="100"/>
      <c r="AK934" s="100"/>
      <c r="AL934" s="100"/>
      <c r="AM934" s="100"/>
    </row>
    <row r="935" ht="14.25" customHeight="1">
      <c r="A935" s="100"/>
      <c r="B935" s="100"/>
      <c r="C935" s="100"/>
      <c r="D935" s="100"/>
      <c r="E935" s="100"/>
      <c r="F935" s="206"/>
      <c r="G935" s="206"/>
      <c r="H935" s="207"/>
      <c r="I935" s="207"/>
      <c r="J935" s="207"/>
      <c r="K935" s="207"/>
      <c r="L935" s="207"/>
      <c r="M935" s="207"/>
      <c r="N935" s="207"/>
      <c r="O935" s="207"/>
      <c r="P935" s="207"/>
      <c r="Q935" s="207"/>
      <c r="R935" s="207"/>
      <c r="S935" s="207"/>
      <c r="T935" s="207"/>
      <c r="U935" s="207"/>
      <c r="V935" s="207"/>
      <c r="W935" s="208"/>
      <c r="X935" s="208"/>
      <c r="Y935" s="208"/>
      <c r="Z935" s="208"/>
      <c r="AA935" s="208"/>
      <c r="AB935" s="208"/>
      <c r="AC935" s="208"/>
      <c r="AD935" s="208"/>
      <c r="AE935" s="208"/>
      <c r="AF935" s="208"/>
      <c r="AG935" s="208"/>
      <c r="AH935" s="208"/>
      <c r="AI935" s="100"/>
      <c r="AJ935" s="100"/>
      <c r="AK935" s="100"/>
      <c r="AL935" s="100"/>
      <c r="AM935" s="100"/>
    </row>
    <row r="936" ht="14.25" customHeight="1">
      <c r="A936" s="100"/>
      <c r="B936" s="100"/>
      <c r="C936" s="100"/>
      <c r="D936" s="100"/>
      <c r="E936" s="100"/>
      <c r="F936" s="206"/>
      <c r="G936" s="206"/>
      <c r="H936" s="207"/>
      <c r="I936" s="207"/>
      <c r="J936" s="207"/>
      <c r="K936" s="207"/>
      <c r="L936" s="207"/>
      <c r="M936" s="207"/>
      <c r="N936" s="207"/>
      <c r="O936" s="207"/>
      <c r="P936" s="207"/>
      <c r="Q936" s="207"/>
      <c r="R936" s="207"/>
      <c r="S936" s="207"/>
      <c r="T936" s="207"/>
      <c r="U936" s="207"/>
      <c r="V936" s="207"/>
      <c r="W936" s="208"/>
      <c r="X936" s="208"/>
      <c r="Y936" s="208"/>
      <c r="Z936" s="208"/>
      <c r="AA936" s="208"/>
      <c r="AB936" s="208"/>
      <c r="AC936" s="208"/>
      <c r="AD936" s="208"/>
      <c r="AE936" s="208"/>
      <c r="AF936" s="208"/>
      <c r="AG936" s="208"/>
      <c r="AH936" s="208"/>
      <c r="AI936" s="100"/>
      <c r="AJ936" s="100"/>
      <c r="AK936" s="100"/>
      <c r="AL936" s="100"/>
      <c r="AM936" s="100"/>
    </row>
    <row r="937" ht="14.25" customHeight="1">
      <c r="A937" s="100"/>
      <c r="B937" s="100"/>
      <c r="C937" s="100"/>
      <c r="D937" s="100"/>
      <c r="E937" s="100"/>
      <c r="F937" s="206"/>
      <c r="G937" s="206"/>
      <c r="H937" s="207"/>
      <c r="I937" s="207"/>
      <c r="J937" s="207"/>
      <c r="K937" s="207"/>
      <c r="L937" s="207"/>
      <c r="M937" s="207"/>
      <c r="N937" s="207"/>
      <c r="O937" s="207"/>
      <c r="P937" s="207"/>
      <c r="Q937" s="207"/>
      <c r="R937" s="207"/>
      <c r="S937" s="207"/>
      <c r="T937" s="207"/>
      <c r="U937" s="207"/>
      <c r="V937" s="207"/>
      <c r="W937" s="208"/>
      <c r="X937" s="208"/>
      <c r="Y937" s="208"/>
      <c r="Z937" s="208"/>
      <c r="AA937" s="208"/>
      <c r="AB937" s="208"/>
      <c r="AC937" s="208"/>
      <c r="AD937" s="208"/>
      <c r="AE937" s="208"/>
      <c r="AF937" s="208"/>
      <c r="AG937" s="208"/>
      <c r="AH937" s="208"/>
      <c r="AI937" s="100"/>
      <c r="AJ937" s="100"/>
      <c r="AK937" s="100"/>
      <c r="AL937" s="100"/>
      <c r="AM937" s="100"/>
    </row>
    <row r="938" ht="14.25" customHeight="1">
      <c r="A938" s="100"/>
      <c r="B938" s="100"/>
      <c r="C938" s="100"/>
      <c r="D938" s="100"/>
      <c r="E938" s="100"/>
      <c r="F938" s="206"/>
      <c r="G938" s="206"/>
      <c r="H938" s="207"/>
      <c r="I938" s="207"/>
      <c r="J938" s="207"/>
      <c r="K938" s="207"/>
      <c r="L938" s="207"/>
      <c r="M938" s="207"/>
      <c r="N938" s="207"/>
      <c r="O938" s="207"/>
      <c r="P938" s="207"/>
      <c r="Q938" s="207"/>
      <c r="R938" s="207"/>
      <c r="S938" s="207"/>
      <c r="T938" s="207"/>
      <c r="U938" s="207"/>
      <c r="V938" s="207"/>
      <c r="W938" s="208"/>
      <c r="X938" s="208"/>
      <c r="Y938" s="208"/>
      <c r="Z938" s="208"/>
      <c r="AA938" s="208"/>
      <c r="AB938" s="208"/>
      <c r="AC938" s="208"/>
      <c r="AD938" s="208"/>
      <c r="AE938" s="208"/>
      <c r="AF938" s="208"/>
      <c r="AG938" s="208"/>
      <c r="AH938" s="208"/>
      <c r="AI938" s="100"/>
      <c r="AJ938" s="100"/>
      <c r="AK938" s="100"/>
      <c r="AL938" s="100"/>
      <c r="AM938" s="100"/>
    </row>
    <row r="939" ht="14.25" customHeight="1">
      <c r="A939" s="100"/>
      <c r="B939" s="100"/>
      <c r="C939" s="100"/>
      <c r="D939" s="100"/>
      <c r="E939" s="100"/>
      <c r="F939" s="206"/>
      <c r="G939" s="206"/>
      <c r="H939" s="207"/>
      <c r="I939" s="207"/>
      <c r="J939" s="207"/>
      <c r="K939" s="207"/>
      <c r="L939" s="207"/>
      <c r="M939" s="207"/>
      <c r="N939" s="207"/>
      <c r="O939" s="207"/>
      <c r="P939" s="207"/>
      <c r="Q939" s="207"/>
      <c r="R939" s="207"/>
      <c r="S939" s="207"/>
      <c r="T939" s="207"/>
      <c r="U939" s="207"/>
      <c r="V939" s="207"/>
      <c r="W939" s="208"/>
      <c r="X939" s="208"/>
      <c r="Y939" s="208"/>
      <c r="Z939" s="208"/>
      <c r="AA939" s="208"/>
      <c r="AB939" s="208"/>
      <c r="AC939" s="208"/>
      <c r="AD939" s="208"/>
      <c r="AE939" s="208"/>
      <c r="AF939" s="208"/>
      <c r="AG939" s="208"/>
      <c r="AH939" s="208"/>
      <c r="AI939" s="100"/>
      <c r="AJ939" s="100"/>
      <c r="AK939" s="100"/>
      <c r="AL939" s="100"/>
      <c r="AM939" s="100"/>
    </row>
    <row r="940" ht="14.25" customHeight="1">
      <c r="A940" s="100"/>
      <c r="B940" s="100"/>
      <c r="C940" s="100"/>
      <c r="D940" s="100"/>
      <c r="E940" s="100"/>
      <c r="F940" s="206"/>
      <c r="G940" s="206"/>
      <c r="H940" s="207"/>
      <c r="I940" s="207"/>
      <c r="J940" s="207"/>
      <c r="K940" s="207"/>
      <c r="L940" s="207"/>
      <c r="M940" s="207"/>
      <c r="N940" s="207"/>
      <c r="O940" s="207"/>
      <c r="P940" s="207"/>
      <c r="Q940" s="207"/>
      <c r="R940" s="207"/>
      <c r="S940" s="207"/>
      <c r="T940" s="207"/>
      <c r="U940" s="207"/>
      <c r="V940" s="207"/>
      <c r="W940" s="208"/>
      <c r="X940" s="208"/>
      <c r="Y940" s="208"/>
      <c r="Z940" s="208"/>
      <c r="AA940" s="208"/>
      <c r="AB940" s="208"/>
      <c r="AC940" s="208"/>
      <c r="AD940" s="208"/>
      <c r="AE940" s="208"/>
      <c r="AF940" s="208"/>
      <c r="AG940" s="208"/>
      <c r="AH940" s="208"/>
      <c r="AI940" s="100"/>
      <c r="AJ940" s="100"/>
      <c r="AK940" s="100"/>
      <c r="AL940" s="100"/>
      <c r="AM940" s="100"/>
    </row>
    <row r="941" ht="14.25" customHeight="1">
      <c r="A941" s="100"/>
      <c r="B941" s="100"/>
      <c r="C941" s="100"/>
      <c r="D941" s="100"/>
      <c r="E941" s="100"/>
      <c r="F941" s="206"/>
      <c r="G941" s="206"/>
      <c r="H941" s="207"/>
      <c r="I941" s="207"/>
      <c r="J941" s="207"/>
      <c r="K941" s="207"/>
      <c r="L941" s="207"/>
      <c r="M941" s="207"/>
      <c r="N941" s="207"/>
      <c r="O941" s="207"/>
      <c r="P941" s="207"/>
      <c r="Q941" s="207"/>
      <c r="R941" s="207"/>
      <c r="S941" s="207"/>
      <c r="T941" s="207"/>
      <c r="U941" s="207"/>
      <c r="V941" s="207"/>
      <c r="W941" s="208"/>
      <c r="X941" s="208"/>
      <c r="Y941" s="208"/>
      <c r="Z941" s="208"/>
      <c r="AA941" s="208"/>
      <c r="AB941" s="208"/>
      <c r="AC941" s="208"/>
      <c r="AD941" s="208"/>
      <c r="AE941" s="208"/>
      <c r="AF941" s="208"/>
      <c r="AG941" s="208"/>
      <c r="AH941" s="208"/>
      <c r="AI941" s="100"/>
      <c r="AJ941" s="100"/>
      <c r="AK941" s="100"/>
      <c r="AL941" s="100"/>
      <c r="AM941" s="100"/>
    </row>
    <row r="942" ht="14.25" customHeight="1">
      <c r="A942" s="100"/>
      <c r="B942" s="100"/>
      <c r="C942" s="100"/>
      <c r="D942" s="100"/>
      <c r="E942" s="100"/>
      <c r="F942" s="206"/>
      <c r="G942" s="206"/>
      <c r="H942" s="207"/>
      <c r="I942" s="207"/>
      <c r="J942" s="207"/>
      <c r="K942" s="207"/>
      <c r="L942" s="207"/>
      <c r="M942" s="207"/>
      <c r="N942" s="207"/>
      <c r="O942" s="207"/>
      <c r="P942" s="207"/>
      <c r="Q942" s="207"/>
      <c r="R942" s="207"/>
      <c r="S942" s="207"/>
      <c r="T942" s="207"/>
      <c r="U942" s="207"/>
      <c r="V942" s="207"/>
      <c r="W942" s="208"/>
      <c r="X942" s="208"/>
      <c r="Y942" s="208"/>
      <c r="Z942" s="208"/>
      <c r="AA942" s="208"/>
      <c r="AB942" s="208"/>
      <c r="AC942" s="208"/>
      <c r="AD942" s="208"/>
      <c r="AE942" s="208"/>
      <c r="AF942" s="208"/>
      <c r="AG942" s="208"/>
      <c r="AH942" s="208"/>
      <c r="AI942" s="100"/>
      <c r="AJ942" s="100"/>
      <c r="AK942" s="100"/>
      <c r="AL942" s="100"/>
      <c r="AM942" s="100"/>
    </row>
    <row r="943" ht="14.25" customHeight="1">
      <c r="A943" s="100"/>
      <c r="B943" s="100"/>
      <c r="C943" s="100"/>
      <c r="D943" s="100"/>
      <c r="E943" s="100"/>
      <c r="F943" s="206"/>
      <c r="G943" s="206"/>
      <c r="H943" s="207"/>
      <c r="I943" s="207"/>
      <c r="J943" s="207"/>
      <c r="K943" s="207"/>
      <c r="L943" s="207"/>
      <c r="M943" s="207"/>
      <c r="N943" s="207"/>
      <c r="O943" s="207"/>
      <c r="P943" s="207"/>
      <c r="Q943" s="207"/>
      <c r="R943" s="207"/>
      <c r="S943" s="207"/>
      <c r="T943" s="207"/>
      <c r="U943" s="207"/>
      <c r="V943" s="207"/>
      <c r="W943" s="208"/>
      <c r="X943" s="208"/>
      <c r="Y943" s="208"/>
      <c r="Z943" s="208"/>
      <c r="AA943" s="208"/>
      <c r="AB943" s="208"/>
      <c r="AC943" s="208"/>
      <c r="AD943" s="208"/>
      <c r="AE943" s="208"/>
      <c r="AF943" s="208"/>
      <c r="AG943" s="208"/>
      <c r="AH943" s="208"/>
      <c r="AI943" s="100"/>
      <c r="AJ943" s="100"/>
      <c r="AK943" s="100"/>
      <c r="AL943" s="100"/>
      <c r="AM943" s="100"/>
    </row>
    <row r="944" ht="14.25" customHeight="1">
      <c r="A944" s="100"/>
      <c r="B944" s="100"/>
      <c r="C944" s="100"/>
      <c r="D944" s="100"/>
      <c r="E944" s="100"/>
      <c r="F944" s="206"/>
      <c r="G944" s="206"/>
      <c r="H944" s="207"/>
      <c r="I944" s="207"/>
      <c r="J944" s="207"/>
      <c r="K944" s="207"/>
      <c r="L944" s="207"/>
      <c r="M944" s="207"/>
      <c r="N944" s="207"/>
      <c r="O944" s="207"/>
      <c r="P944" s="207"/>
      <c r="Q944" s="207"/>
      <c r="R944" s="207"/>
      <c r="S944" s="207"/>
      <c r="T944" s="207"/>
      <c r="U944" s="207"/>
      <c r="V944" s="207"/>
      <c r="W944" s="208"/>
      <c r="X944" s="208"/>
      <c r="Y944" s="208"/>
      <c r="Z944" s="208"/>
      <c r="AA944" s="208"/>
      <c r="AB944" s="208"/>
      <c r="AC944" s="208"/>
      <c r="AD944" s="208"/>
      <c r="AE944" s="208"/>
      <c r="AF944" s="208"/>
      <c r="AG944" s="208"/>
      <c r="AH944" s="208"/>
      <c r="AI944" s="100"/>
      <c r="AJ944" s="100"/>
      <c r="AK944" s="100"/>
      <c r="AL944" s="100"/>
      <c r="AM944" s="100"/>
    </row>
    <row r="945" ht="14.25" customHeight="1">
      <c r="A945" s="100"/>
      <c r="B945" s="100"/>
      <c r="C945" s="100"/>
      <c r="D945" s="100"/>
      <c r="E945" s="100"/>
      <c r="F945" s="206"/>
      <c r="G945" s="206"/>
      <c r="H945" s="207"/>
      <c r="I945" s="207"/>
      <c r="J945" s="207"/>
      <c r="K945" s="207"/>
      <c r="L945" s="207"/>
      <c r="M945" s="207"/>
      <c r="N945" s="207"/>
      <c r="O945" s="207"/>
      <c r="P945" s="207"/>
      <c r="Q945" s="207"/>
      <c r="R945" s="207"/>
      <c r="S945" s="207"/>
      <c r="T945" s="207"/>
      <c r="U945" s="207"/>
      <c r="V945" s="207"/>
      <c r="W945" s="208"/>
      <c r="X945" s="208"/>
      <c r="Y945" s="208"/>
      <c r="Z945" s="208"/>
      <c r="AA945" s="208"/>
      <c r="AB945" s="208"/>
      <c r="AC945" s="208"/>
      <c r="AD945" s="208"/>
      <c r="AE945" s="208"/>
      <c r="AF945" s="208"/>
      <c r="AG945" s="208"/>
      <c r="AH945" s="208"/>
      <c r="AI945" s="100"/>
      <c r="AJ945" s="100"/>
      <c r="AK945" s="100"/>
      <c r="AL945" s="100"/>
      <c r="AM945" s="100"/>
    </row>
    <row r="946" ht="14.25" customHeight="1">
      <c r="A946" s="100"/>
      <c r="B946" s="100"/>
      <c r="C946" s="100"/>
      <c r="D946" s="100"/>
      <c r="E946" s="100"/>
      <c r="F946" s="206"/>
      <c r="G946" s="206"/>
      <c r="H946" s="207"/>
      <c r="I946" s="207"/>
      <c r="J946" s="207"/>
      <c r="K946" s="207"/>
      <c r="L946" s="207"/>
      <c r="M946" s="207"/>
      <c r="N946" s="207"/>
      <c r="O946" s="207"/>
      <c r="P946" s="207"/>
      <c r="Q946" s="207"/>
      <c r="R946" s="207"/>
      <c r="S946" s="207"/>
      <c r="T946" s="207"/>
      <c r="U946" s="207"/>
      <c r="V946" s="207"/>
      <c r="W946" s="208"/>
      <c r="X946" s="208"/>
      <c r="Y946" s="208"/>
      <c r="Z946" s="208"/>
      <c r="AA946" s="208"/>
      <c r="AB946" s="208"/>
      <c r="AC946" s="208"/>
      <c r="AD946" s="208"/>
      <c r="AE946" s="208"/>
      <c r="AF946" s="208"/>
      <c r="AG946" s="208"/>
      <c r="AH946" s="208"/>
      <c r="AI946" s="100"/>
      <c r="AJ946" s="100"/>
      <c r="AK946" s="100"/>
      <c r="AL946" s="100"/>
      <c r="AM946" s="100"/>
    </row>
    <row r="947" ht="14.25" customHeight="1">
      <c r="A947" s="100"/>
      <c r="B947" s="100"/>
      <c r="C947" s="100"/>
      <c r="D947" s="100"/>
      <c r="E947" s="100"/>
      <c r="F947" s="206"/>
      <c r="G947" s="206"/>
      <c r="H947" s="207"/>
      <c r="I947" s="207"/>
      <c r="J947" s="207"/>
      <c r="K947" s="207"/>
      <c r="L947" s="207"/>
      <c r="M947" s="207"/>
      <c r="N947" s="207"/>
      <c r="O947" s="207"/>
      <c r="P947" s="207"/>
      <c r="Q947" s="207"/>
      <c r="R947" s="207"/>
      <c r="S947" s="207"/>
      <c r="T947" s="207"/>
      <c r="U947" s="207"/>
      <c r="V947" s="207"/>
      <c r="W947" s="208"/>
      <c r="X947" s="208"/>
      <c r="Y947" s="208"/>
      <c r="Z947" s="208"/>
      <c r="AA947" s="208"/>
      <c r="AB947" s="208"/>
      <c r="AC947" s="208"/>
      <c r="AD947" s="208"/>
      <c r="AE947" s="208"/>
      <c r="AF947" s="208"/>
      <c r="AG947" s="208"/>
      <c r="AH947" s="208"/>
      <c r="AI947" s="100"/>
      <c r="AJ947" s="100"/>
      <c r="AK947" s="100"/>
      <c r="AL947" s="100"/>
      <c r="AM947" s="100"/>
    </row>
    <row r="948" ht="14.25" customHeight="1">
      <c r="A948" s="100"/>
      <c r="B948" s="100"/>
      <c r="C948" s="100"/>
      <c r="D948" s="100"/>
      <c r="E948" s="100"/>
      <c r="F948" s="206"/>
      <c r="G948" s="206"/>
      <c r="H948" s="207"/>
      <c r="I948" s="207"/>
      <c r="J948" s="207"/>
      <c r="K948" s="207"/>
      <c r="L948" s="207"/>
      <c r="M948" s="207"/>
      <c r="N948" s="207"/>
      <c r="O948" s="207"/>
      <c r="P948" s="207"/>
      <c r="Q948" s="207"/>
      <c r="R948" s="207"/>
      <c r="S948" s="207"/>
      <c r="T948" s="207"/>
      <c r="U948" s="207"/>
      <c r="V948" s="207"/>
      <c r="W948" s="208"/>
      <c r="X948" s="208"/>
      <c r="Y948" s="208"/>
      <c r="Z948" s="208"/>
      <c r="AA948" s="208"/>
      <c r="AB948" s="208"/>
      <c r="AC948" s="208"/>
      <c r="AD948" s="208"/>
      <c r="AE948" s="208"/>
      <c r="AF948" s="208"/>
      <c r="AG948" s="208"/>
      <c r="AH948" s="208"/>
      <c r="AI948" s="100"/>
      <c r="AJ948" s="100"/>
      <c r="AK948" s="100"/>
      <c r="AL948" s="100"/>
      <c r="AM948" s="100"/>
    </row>
    <row r="949" ht="14.25" customHeight="1">
      <c r="A949" s="100"/>
      <c r="B949" s="100"/>
      <c r="C949" s="100"/>
      <c r="D949" s="100"/>
      <c r="E949" s="100"/>
      <c r="F949" s="206"/>
      <c r="G949" s="206"/>
      <c r="H949" s="207"/>
      <c r="I949" s="207"/>
      <c r="J949" s="207"/>
      <c r="K949" s="207"/>
      <c r="L949" s="207"/>
      <c r="M949" s="207"/>
      <c r="N949" s="207"/>
      <c r="O949" s="207"/>
      <c r="P949" s="207"/>
      <c r="Q949" s="207"/>
      <c r="R949" s="207"/>
      <c r="S949" s="207"/>
      <c r="T949" s="207"/>
      <c r="U949" s="207"/>
      <c r="V949" s="207"/>
      <c r="W949" s="208"/>
      <c r="X949" s="208"/>
      <c r="Y949" s="208"/>
      <c r="Z949" s="208"/>
      <c r="AA949" s="208"/>
      <c r="AB949" s="208"/>
      <c r="AC949" s="208"/>
      <c r="AD949" s="208"/>
      <c r="AE949" s="208"/>
      <c r="AF949" s="208"/>
      <c r="AG949" s="208"/>
      <c r="AH949" s="208"/>
      <c r="AI949" s="100"/>
      <c r="AJ949" s="100"/>
      <c r="AK949" s="100"/>
      <c r="AL949" s="100"/>
      <c r="AM949" s="100"/>
    </row>
    <row r="950" ht="14.25" customHeight="1">
      <c r="A950" s="100"/>
      <c r="B950" s="100"/>
      <c r="C950" s="100"/>
      <c r="D950" s="100"/>
      <c r="E950" s="100"/>
      <c r="F950" s="206"/>
      <c r="G950" s="206"/>
      <c r="H950" s="207"/>
      <c r="I950" s="207"/>
      <c r="J950" s="207"/>
      <c r="K950" s="207"/>
      <c r="L950" s="207"/>
      <c r="M950" s="207"/>
      <c r="N950" s="207"/>
      <c r="O950" s="207"/>
      <c r="P950" s="207"/>
      <c r="Q950" s="207"/>
      <c r="R950" s="207"/>
      <c r="S950" s="207"/>
      <c r="T950" s="207"/>
      <c r="U950" s="207"/>
      <c r="V950" s="207"/>
      <c r="W950" s="208"/>
      <c r="X950" s="208"/>
      <c r="Y950" s="208"/>
      <c r="Z950" s="208"/>
      <c r="AA950" s="208"/>
      <c r="AB950" s="208"/>
      <c r="AC950" s="208"/>
      <c r="AD950" s="208"/>
      <c r="AE950" s="208"/>
      <c r="AF950" s="208"/>
      <c r="AG950" s="208"/>
      <c r="AH950" s="208"/>
      <c r="AI950" s="100"/>
      <c r="AJ950" s="100"/>
      <c r="AK950" s="100"/>
      <c r="AL950" s="100"/>
      <c r="AM950" s="100"/>
    </row>
    <row r="951" ht="14.25" customHeight="1">
      <c r="A951" s="100"/>
      <c r="B951" s="100"/>
      <c r="C951" s="100"/>
      <c r="D951" s="100"/>
      <c r="E951" s="100"/>
      <c r="F951" s="206"/>
      <c r="G951" s="206"/>
      <c r="H951" s="207"/>
      <c r="I951" s="207"/>
      <c r="J951" s="207"/>
      <c r="K951" s="207"/>
      <c r="L951" s="207"/>
      <c r="M951" s="207"/>
      <c r="N951" s="207"/>
      <c r="O951" s="207"/>
      <c r="P951" s="207"/>
      <c r="Q951" s="207"/>
      <c r="R951" s="207"/>
      <c r="S951" s="207"/>
      <c r="T951" s="207"/>
      <c r="U951" s="207"/>
      <c r="V951" s="207"/>
      <c r="W951" s="208"/>
      <c r="X951" s="208"/>
      <c r="Y951" s="208"/>
      <c r="Z951" s="208"/>
      <c r="AA951" s="208"/>
      <c r="AB951" s="208"/>
      <c r="AC951" s="208"/>
      <c r="AD951" s="208"/>
      <c r="AE951" s="208"/>
      <c r="AF951" s="208"/>
      <c r="AG951" s="208"/>
      <c r="AH951" s="208"/>
      <c r="AI951" s="100"/>
      <c r="AJ951" s="100"/>
      <c r="AK951" s="100"/>
      <c r="AL951" s="100"/>
      <c r="AM951" s="100"/>
    </row>
    <row r="952" ht="14.25" customHeight="1">
      <c r="A952" s="100"/>
      <c r="B952" s="100"/>
      <c r="C952" s="100"/>
      <c r="D952" s="100"/>
      <c r="E952" s="100"/>
      <c r="F952" s="206"/>
      <c r="G952" s="206"/>
      <c r="H952" s="207"/>
      <c r="I952" s="207"/>
      <c r="J952" s="207"/>
      <c r="K952" s="207"/>
      <c r="L952" s="207"/>
      <c r="M952" s="207"/>
      <c r="N952" s="207"/>
      <c r="O952" s="207"/>
      <c r="P952" s="207"/>
      <c r="Q952" s="207"/>
      <c r="R952" s="207"/>
      <c r="S952" s="207"/>
      <c r="T952" s="207"/>
      <c r="U952" s="207"/>
      <c r="V952" s="207"/>
      <c r="W952" s="208"/>
      <c r="X952" s="208"/>
      <c r="Y952" s="208"/>
      <c r="Z952" s="208"/>
      <c r="AA952" s="208"/>
      <c r="AB952" s="208"/>
      <c r="AC952" s="208"/>
      <c r="AD952" s="208"/>
      <c r="AE952" s="208"/>
      <c r="AF952" s="208"/>
      <c r="AG952" s="208"/>
      <c r="AH952" s="208"/>
      <c r="AI952" s="100"/>
      <c r="AJ952" s="100"/>
      <c r="AK952" s="100"/>
      <c r="AL952" s="100"/>
      <c r="AM952" s="100"/>
    </row>
    <row r="953" ht="14.25" customHeight="1">
      <c r="A953" s="100"/>
      <c r="B953" s="100"/>
      <c r="C953" s="100"/>
      <c r="D953" s="100"/>
      <c r="E953" s="100"/>
      <c r="F953" s="206"/>
      <c r="G953" s="206"/>
      <c r="H953" s="207"/>
      <c r="I953" s="207"/>
      <c r="J953" s="207"/>
      <c r="K953" s="207"/>
      <c r="L953" s="207"/>
      <c r="M953" s="207"/>
      <c r="N953" s="207"/>
      <c r="O953" s="207"/>
      <c r="P953" s="207"/>
      <c r="Q953" s="207"/>
      <c r="R953" s="207"/>
      <c r="S953" s="207"/>
      <c r="T953" s="207"/>
      <c r="U953" s="207"/>
      <c r="V953" s="207"/>
      <c r="W953" s="208"/>
      <c r="X953" s="208"/>
      <c r="Y953" s="208"/>
      <c r="Z953" s="208"/>
      <c r="AA953" s="208"/>
      <c r="AB953" s="208"/>
      <c r="AC953" s="208"/>
      <c r="AD953" s="208"/>
      <c r="AE953" s="208"/>
      <c r="AF953" s="208"/>
      <c r="AG953" s="208"/>
      <c r="AH953" s="208"/>
      <c r="AI953" s="100"/>
      <c r="AJ953" s="100"/>
      <c r="AK953" s="100"/>
      <c r="AL953" s="100"/>
      <c r="AM953" s="100"/>
    </row>
    <row r="954" ht="14.25" customHeight="1">
      <c r="A954" s="100"/>
      <c r="B954" s="100"/>
      <c r="C954" s="100"/>
      <c r="D954" s="100"/>
      <c r="E954" s="100"/>
      <c r="F954" s="206"/>
      <c r="G954" s="206"/>
      <c r="H954" s="207"/>
      <c r="I954" s="207"/>
      <c r="J954" s="207"/>
      <c r="K954" s="207"/>
      <c r="L954" s="207"/>
      <c r="M954" s="207"/>
      <c r="N954" s="207"/>
      <c r="O954" s="207"/>
      <c r="P954" s="207"/>
      <c r="Q954" s="207"/>
      <c r="R954" s="207"/>
      <c r="S954" s="207"/>
      <c r="T954" s="207"/>
      <c r="U954" s="207"/>
      <c r="V954" s="207"/>
      <c r="W954" s="208"/>
      <c r="X954" s="208"/>
      <c r="Y954" s="208"/>
      <c r="Z954" s="208"/>
      <c r="AA954" s="208"/>
      <c r="AB954" s="208"/>
      <c r="AC954" s="208"/>
      <c r="AD954" s="208"/>
      <c r="AE954" s="208"/>
      <c r="AF954" s="208"/>
      <c r="AG954" s="208"/>
      <c r="AH954" s="208"/>
      <c r="AI954" s="100"/>
      <c r="AJ954" s="100"/>
      <c r="AK954" s="100"/>
      <c r="AL954" s="100"/>
      <c r="AM954" s="100"/>
    </row>
    <row r="955" ht="14.25" customHeight="1">
      <c r="A955" s="100"/>
      <c r="B955" s="100"/>
      <c r="C955" s="100"/>
      <c r="D955" s="100"/>
      <c r="E955" s="100"/>
      <c r="F955" s="206"/>
      <c r="G955" s="206"/>
      <c r="H955" s="207"/>
      <c r="I955" s="207"/>
      <c r="J955" s="207"/>
      <c r="K955" s="207"/>
      <c r="L955" s="207"/>
      <c r="M955" s="207"/>
      <c r="N955" s="207"/>
      <c r="O955" s="207"/>
      <c r="P955" s="207"/>
      <c r="Q955" s="207"/>
      <c r="R955" s="207"/>
      <c r="S955" s="207"/>
      <c r="T955" s="207"/>
      <c r="U955" s="207"/>
      <c r="V955" s="207"/>
      <c r="W955" s="208"/>
      <c r="X955" s="208"/>
      <c r="Y955" s="208"/>
      <c r="Z955" s="208"/>
      <c r="AA955" s="208"/>
      <c r="AB955" s="208"/>
      <c r="AC955" s="208"/>
      <c r="AD955" s="208"/>
      <c r="AE955" s="208"/>
      <c r="AF955" s="208"/>
      <c r="AG955" s="208"/>
      <c r="AH955" s="208"/>
      <c r="AI955" s="100"/>
      <c r="AJ955" s="100"/>
      <c r="AK955" s="100"/>
      <c r="AL955" s="100"/>
      <c r="AM955" s="100"/>
    </row>
    <row r="956" ht="14.25" customHeight="1">
      <c r="A956" s="100"/>
      <c r="B956" s="100"/>
      <c r="C956" s="100"/>
      <c r="D956" s="100"/>
      <c r="E956" s="100"/>
      <c r="F956" s="206"/>
      <c r="G956" s="206"/>
      <c r="H956" s="207"/>
      <c r="I956" s="207"/>
      <c r="J956" s="207"/>
      <c r="K956" s="207"/>
      <c r="L956" s="207"/>
      <c r="M956" s="207"/>
      <c r="N956" s="207"/>
      <c r="O956" s="207"/>
      <c r="P956" s="207"/>
      <c r="Q956" s="207"/>
      <c r="R956" s="207"/>
      <c r="S956" s="207"/>
      <c r="T956" s="207"/>
      <c r="U956" s="207"/>
      <c r="V956" s="207"/>
      <c r="W956" s="208"/>
      <c r="X956" s="208"/>
      <c r="Y956" s="208"/>
      <c r="Z956" s="208"/>
      <c r="AA956" s="208"/>
      <c r="AB956" s="208"/>
      <c r="AC956" s="208"/>
      <c r="AD956" s="208"/>
      <c r="AE956" s="208"/>
      <c r="AF956" s="208"/>
      <c r="AG956" s="208"/>
      <c r="AH956" s="208"/>
      <c r="AI956" s="100"/>
      <c r="AJ956" s="100"/>
      <c r="AK956" s="100"/>
      <c r="AL956" s="100"/>
      <c r="AM956" s="100"/>
    </row>
    <row r="957" ht="14.25" customHeight="1">
      <c r="A957" s="100"/>
      <c r="B957" s="100"/>
      <c r="C957" s="100"/>
      <c r="D957" s="100"/>
      <c r="E957" s="100"/>
      <c r="F957" s="206"/>
      <c r="G957" s="206"/>
      <c r="H957" s="207"/>
      <c r="I957" s="207"/>
      <c r="J957" s="207"/>
      <c r="K957" s="207"/>
      <c r="L957" s="207"/>
      <c r="M957" s="207"/>
      <c r="N957" s="207"/>
      <c r="O957" s="207"/>
      <c r="P957" s="207"/>
      <c r="Q957" s="207"/>
      <c r="R957" s="207"/>
      <c r="S957" s="207"/>
      <c r="T957" s="207"/>
      <c r="U957" s="207"/>
      <c r="V957" s="207"/>
      <c r="W957" s="208"/>
      <c r="X957" s="208"/>
      <c r="Y957" s="208"/>
      <c r="Z957" s="208"/>
      <c r="AA957" s="208"/>
      <c r="AB957" s="208"/>
      <c r="AC957" s="208"/>
      <c r="AD957" s="208"/>
      <c r="AE957" s="208"/>
      <c r="AF957" s="208"/>
      <c r="AG957" s="208"/>
      <c r="AH957" s="208"/>
      <c r="AI957" s="100"/>
      <c r="AJ957" s="100"/>
      <c r="AK957" s="100"/>
      <c r="AL957" s="100"/>
      <c r="AM957" s="100"/>
    </row>
    <row r="958" ht="14.25" customHeight="1">
      <c r="A958" s="100"/>
      <c r="B958" s="100"/>
      <c r="C958" s="100"/>
      <c r="D958" s="100"/>
      <c r="E958" s="100"/>
      <c r="F958" s="206"/>
      <c r="G958" s="206"/>
      <c r="H958" s="207"/>
      <c r="I958" s="207"/>
      <c r="J958" s="207"/>
      <c r="K958" s="207"/>
      <c r="L958" s="207"/>
      <c r="M958" s="207"/>
      <c r="N958" s="207"/>
      <c r="O958" s="207"/>
      <c r="P958" s="207"/>
      <c r="Q958" s="207"/>
      <c r="R958" s="207"/>
      <c r="S958" s="207"/>
      <c r="T958" s="207"/>
      <c r="U958" s="207"/>
      <c r="V958" s="207"/>
      <c r="W958" s="208"/>
      <c r="X958" s="208"/>
      <c r="Y958" s="208"/>
      <c r="Z958" s="208"/>
      <c r="AA958" s="208"/>
      <c r="AB958" s="208"/>
      <c r="AC958" s="208"/>
      <c r="AD958" s="208"/>
      <c r="AE958" s="208"/>
      <c r="AF958" s="208"/>
      <c r="AG958" s="208"/>
      <c r="AH958" s="208"/>
      <c r="AI958" s="100"/>
      <c r="AJ958" s="100"/>
      <c r="AK958" s="100"/>
      <c r="AL958" s="100"/>
      <c r="AM958" s="100"/>
    </row>
    <row r="959" ht="14.25" customHeight="1">
      <c r="A959" s="100"/>
      <c r="B959" s="100"/>
      <c r="C959" s="100"/>
      <c r="D959" s="100"/>
      <c r="E959" s="100"/>
      <c r="F959" s="206"/>
      <c r="G959" s="206"/>
      <c r="H959" s="207"/>
      <c r="I959" s="207"/>
      <c r="J959" s="207"/>
      <c r="K959" s="207"/>
      <c r="L959" s="207"/>
      <c r="M959" s="207"/>
      <c r="N959" s="207"/>
      <c r="O959" s="207"/>
      <c r="P959" s="207"/>
      <c r="Q959" s="207"/>
      <c r="R959" s="207"/>
      <c r="S959" s="207"/>
      <c r="T959" s="207"/>
      <c r="U959" s="207"/>
      <c r="V959" s="207"/>
      <c r="W959" s="208"/>
      <c r="X959" s="208"/>
      <c r="Y959" s="208"/>
      <c r="Z959" s="208"/>
      <c r="AA959" s="208"/>
      <c r="AB959" s="208"/>
      <c r="AC959" s="208"/>
      <c r="AD959" s="208"/>
      <c r="AE959" s="208"/>
      <c r="AF959" s="208"/>
      <c r="AG959" s="208"/>
      <c r="AH959" s="208"/>
      <c r="AI959" s="100"/>
      <c r="AJ959" s="100"/>
      <c r="AK959" s="100"/>
      <c r="AL959" s="100"/>
      <c r="AM959" s="100"/>
    </row>
    <row r="960" ht="14.25" customHeight="1">
      <c r="A960" s="100"/>
      <c r="B960" s="100"/>
      <c r="C960" s="100"/>
      <c r="D960" s="100"/>
      <c r="E960" s="100"/>
      <c r="F960" s="206"/>
      <c r="G960" s="206"/>
      <c r="H960" s="207"/>
      <c r="I960" s="207"/>
      <c r="J960" s="207"/>
      <c r="K960" s="207"/>
      <c r="L960" s="207"/>
      <c r="M960" s="207"/>
      <c r="N960" s="207"/>
      <c r="O960" s="207"/>
      <c r="P960" s="207"/>
      <c r="Q960" s="207"/>
      <c r="R960" s="207"/>
      <c r="S960" s="207"/>
      <c r="T960" s="207"/>
      <c r="U960" s="207"/>
      <c r="V960" s="207"/>
      <c r="W960" s="208"/>
      <c r="X960" s="208"/>
      <c r="Y960" s="208"/>
      <c r="Z960" s="208"/>
      <c r="AA960" s="208"/>
      <c r="AB960" s="208"/>
      <c r="AC960" s="208"/>
      <c r="AD960" s="208"/>
      <c r="AE960" s="208"/>
      <c r="AF960" s="208"/>
      <c r="AG960" s="208"/>
      <c r="AH960" s="208"/>
      <c r="AI960" s="100"/>
      <c r="AJ960" s="100"/>
      <c r="AK960" s="100"/>
      <c r="AL960" s="100"/>
      <c r="AM960" s="100"/>
    </row>
    <row r="961" ht="14.25" customHeight="1">
      <c r="A961" s="100"/>
      <c r="B961" s="100"/>
      <c r="C961" s="100"/>
      <c r="D961" s="100"/>
      <c r="E961" s="100"/>
      <c r="F961" s="206"/>
      <c r="G961" s="206"/>
      <c r="H961" s="207"/>
      <c r="I961" s="207"/>
      <c r="J961" s="207"/>
      <c r="K961" s="207"/>
      <c r="L961" s="207"/>
      <c r="M961" s="207"/>
      <c r="N961" s="207"/>
      <c r="O961" s="207"/>
      <c r="P961" s="207"/>
      <c r="Q961" s="207"/>
      <c r="R961" s="207"/>
      <c r="S961" s="207"/>
      <c r="T961" s="207"/>
      <c r="U961" s="207"/>
      <c r="V961" s="207"/>
      <c r="W961" s="208"/>
      <c r="X961" s="208"/>
      <c r="Y961" s="208"/>
      <c r="Z961" s="208"/>
      <c r="AA961" s="208"/>
      <c r="AB961" s="208"/>
      <c r="AC961" s="208"/>
      <c r="AD961" s="208"/>
      <c r="AE961" s="208"/>
      <c r="AF961" s="208"/>
      <c r="AG961" s="208"/>
      <c r="AH961" s="208"/>
      <c r="AI961" s="100"/>
      <c r="AJ961" s="100"/>
      <c r="AK961" s="100"/>
      <c r="AL961" s="100"/>
      <c r="AM961" s="100"/>
    </row>
    <row r="962" ht="14.25" customHeight="1">
      <c r="A962" s="100"/>
      <c r="B962" s="100"/>
      <c r="C962" s="100"/>
      <c r="D962" s="100"/>
      <c r="E962" s="100"/>
      <c r="F962" s="206"/>
      <c r="G962" s="206"/>
      <c r="H962" s="207"/>
      <c r="I962" s="207"/>
      <c r="J962" s="207"/>
      <c r="K962" s="207"/>
      <c r="L962" s="207"/>
      <c r="M962" s="207"/>
      <c r="N962" s="207"/>
      <c r="O962" s="207"/>
      <c r="P962" s="207"/>
      <c r="Q962" s="207"/>
      <c r="R962" s="207"/>
      <c r="S962" s="207"/>
      <c r="T962" s="207"/>
      <c r="U962" s="207"/>
      <c r="V962" s="207"/>
      <c r="W962" s="208"/>
      <c r="X962" s="208"/>
      <c r="Y962" s="208"/>
      <c r="Z962" s="208"/>
      <c r="AA962" s="208"/>
      <c r="AB962" s="208"/>
      <c r="AC962" s="208"/>
      <c r="AD962" s="208"/>
      <c r="AE962" s="208"/>
      <c r="AF962" s="208"/>
      <c r="AG962" s="208"/>
      <c r="AH962" s="208"/>
      <c r="AI962" s="100"/>
      <c r="AJ962" s="100"/>
      <c r="AK962" s="100"/>
      <c r="AL962" s="100"/>
      <c r="AM962" s="100"/>
    </row>
    <row r="963" ht="14.25" customHeight="1">
      <c r="A963" s="100"/>
      <c r="B963" s="100"/>
      <c r="C963" s="100"/>
      <c r="D963" s="100"/>
      <c r="E963" s="100"/>
      <c r="F963" s="206"/>
      <c r="G963" s="206"/>
      <c r="H963" s="207"/>
      <c r="I963" s="207"/>
      <c r="J963" s="207"/>
      <c r="K963" s="207"/>
      <c r="L963" s="207"/>
      <c r="M963" s="207"/>
      <c r="N963" s="207"/>
      <c r="O963" s="207"/>
      <c r="P963" s="207"/>
      <c r="Q963" s="207"/>
      <c r="R963" s="207"/>
      <c r="S963" s="207"/>
      <c r="T963" s="207"/>
      <c r="U963" s="207"/>
      <c r="V963" s="207"/>
      <c r="W963" s="208"/>
      <c r="X963" s="208"/>
      <c r="Y963" s="208"/>
      <c r="Z963" s="208"/>
      <c r="AA963" s="208"/>
      <c r="AB963" s="208"/>
      <c r="AC963" s="208"/>
      <c r="AD963" s="208"/>
      <c r="AE963" s="208"/>
      <c r="AF963" s="208"/>
      <c r="AG963" s="208"/>
      <c r="AH963" s="208"/>
      <c r="AI963" s="100"/>
      <c r="AJ963" s="100"/>
      <c r="AK963" s="100"/>
      <c r="AL963" s="100"/>
      <c r="AM963" s="100"/>
    </row>
    <row r="964" ht="14.25" customHeight="1">
      <c r="A964" s="100"/>
      <c r="B964" s="100"/>
      <c r="C964" s="100"/>
      <c r="D964" s="100"/>
      <c r="E964" s="100"/>
      <c r="F964" s="206"/>
      <c r="G964" s="206"/>
      <c r="H964" s="207"/>
      <c r="I964" s="207"/>
      <c r="J964" s="207"/>
      <c r="K964" s="207"/>
      <c r="L964" s="207"/>
      <c r="M964" s="207"/>
      <c r="N964" s="207"/>
      <c r="O964" s="207"/>
      <c r="P964" s="207"/>
      <c r="Q964" s="207"/>
      <c r="R964" s="207"/>
      <c r="S964" s="207"/>
      <c r="T964" s="207"/>
      <c r="U964" s="207"/>
      <c r="V964" s="207"/>
      <c r="W964" s="208"/>
      <c r="X964" s="208"/>
      <c r="Y964" s="208"/>
      <c r="Z964" s="208"/>
      <c r="AA964" s="208"/>
      <c r="AB964" s="208"/>
      <c r="AC964" s="208"/>
      <c r="AD964" s="208"/>
      <c r="AE964" s="208"/>
      <c r="AF964" s="208"/>
      <c r="AG964" s="208"/>
      <c r="AH964" s="208"/>
      <c r="AI964" s="100"/>
      <c r="AJ964" s="100"/>
      <c r="AK964" s="100"/>
      <c r="AL964" s="100"/>
      <c r="AM964" s="100"/>
    </row>
    <row r="965" ht="14.25" customHeight="1">
      <c r="A965" s="100"/>
      <c r="B965" s="100"/>
      <c r="C965" s="100"/>
      <c r="D965" s="100"/>
      <c r="E965" s="100"/>
      <c r="F965" s="206"/>
      <c r="G965" s="206"/>
      <c r="H965" s="207"/>
      <c r="I965" s="207"/>
      <c r="J965" s="207"/>
      <c r="K965" s="207"/>
      <c r="L965" s="207"/>
      <c r="M965" s="207"/>
      <c r="N965" s="207"/>
      <c r="O965" s="207"/>
      <c r="P965" s="207"/>
      <c r="Q965" s="207"/>
      <c r="R965" s="207"/>
      <c r="S965" s="207"/>
      <c r="T965" s="207"/>
      <c r="U965" s="207"/>
      <c r="V965" s="207"/>
      <c r="W965" s="208"/>
      <c r="X965" s="208"/>
      <c r="Y965" s="208"/>
      <c r="Z965" s="208"/>
      <c r="AA965" s="208"/>
      <c r="AB965" s="208"/>
      <c r="AC965" s="208"/>
      <c r="AD965" s="208"/>
      <c r="AE965" s="208"/>
      <c r="AF965" s="208"/>
      <c r="AG965" s="208"/>
      <c r="AH965" s="208"/>
      <c r="AI965" s="100"/>
      <c r="AJ965" s="100"/>
      <c r="AK965" s="100"/>
      <c r="AL965" s="100"/>
      <c r="AM965" s="100"/>
    </row>
    <row r="966" ht="14.25" customHeight="1">
      <c r="A966" s="100"/>
      <c r="B966" s="100"/>
      <c r="C966" s="100"/>
      <c r="D966" s="100"/>
      <c r="E966" s="100"/>
      <c r="F966" s="206"/>
      <c r="G966" s="206"/>
      <c r="H966" s="207"/>
      <c r="I966" s="207"/>
      <c r="J966" s="207"/>
      <c r="K966" s="207"/>
      <c r="L966" s="207"/>
      <c r="M966" s="207"/>
      <c r="N966" s="207"/>
      <c r="O966" s="207"/>
      <c r="P966" s="207"/>
      <c r="Q966" s="207"/>
      <c r="R966" s="207"/>
      <c r="S966" s="207"/>
      <c r="T966" s="207"/>
      <c r="U966" s="207"/>
      <c r="V966" s="207"/>
      <c r="W966" s="208"/>
      <c r="X966" s="208"/>
      <c r="Y966" s="208"/>
      <c r="Z966" s="208"/>
      <c r="AA966" s="208"/>
      <c r="AB966" s="208"/>
      <c r="AC966" s="208"/>
      <c r="AD966" s="208"/>
      <c r="AE966" s="208"/>
      <c r="AF966" s="208"/>
      <c r="AG966" s="208"/>
      <c r="AH966" s="208"/>
      <c r="AI966" s="100"/>
      <c r="AJ966" s="100"/>
      <c r="AK966" s="100"/>
      <c r="AL966" s="100"/>
      <c r="AM966" s="100"/>
    </row>
    <row r="967" ht="14.25" customHeight="1">
      <c r="A967" s="100"/>
      <c r="B967" s="100"/>
      <c r="C967" s="100"/>
      <c r="D967" s="100"/>
      <c r="E967" s="100"/>
      <c r="F967" s="206"/>
      <c r="G967" s="206"/>
      <c r="H967" s="207"/>
      <c r="I967" s="207"/>
      <c r="J967" s="207"/>
      <c r="K967" s="207"/>
      <c r="L967" s="207"/>
      <c r="M967" s="207"/>
      <c r="N967" s="207"/>
      <c r="O967" s="207"/>
      <c r="P967" s="207"/>
      <c r="Q967" s="207"/>
      <c r="R967" s="207"/>
      <c r="S967" s="207"/>
      <c r="T967" s="207"/>
      <c r="U967" s="207"/>
      <c r="V967" s="207"/>
      <c r="W967" s="208"/>
      <c r="X967" s="208"/>
      <c r="Y967" s="208"/>
      <c r="Z967" s="208"/>
      <c r="AA967" s="208"/>
      <c r="AB967" s="208"/>
      <c r="AC967" s="208"/>
      <c r="AD967" s="208"/>
      <c r="AE967" s="208"/>
      <c r="AF967" s="208"/>
      <c r="AG967" s="208"/>
      <c r="AH967" s="208"/>
      <c r="AI967" s="100"/>
      <c r="AJ967" s="100"/>
      <c r="AK967" s="100"/>
      <c r="AL967" s="100"/>
      <c r="AM967" s="100"/>
    </row>
    <row r="968" ht="14.25" customHeight="1">
      <c r="A968" s="100"/>
      <c r="B968" s="100"/>
      <c r="C968" s="100"/>
      <c r="D968" s="100"/>
      <c r="E968" s="100"/>
      <c r="F968" s="206"/>
      <c r="G968" s="206"/>
      <c r="H968" s="207"/>
      <c r="I968" s="207"/>
      <c r="J968" s="207"/>
      <c r="K968" s="207"/>
      <c r="L968" s="207"/>
      <c r="M968" s="207"/>
      <c r="N968" s="207"/>
      <c r="O968" s="207"/>
      <c r="P968" s="207"/>
      <c r="Q968" s="207"/>
      <c r="R968" s="207"/>
      <c r="S968" s="207"/>
      <c r="T968" s="207"/>
      <c r="U968" s="207"/>
      <c r="V968" s="207"/>
      <c r="W968" s="208"/>
      <c r="X968" s="208"/>
      <c r="Y968" s="208"/>
      <c r="Z968" s="208"/>
      <c r="AA968" s="208"/>
      <c r="AB968" s="208"/>
      <c r="AC968" s="208"/>
      <c r="AD968" s="208"/>
      <c r="AE968" s="208"/>
      <c r="AF968" s="208"/>
      <c r="AG968" s="208"/>
      <c r="AH968" s="208"/>
      <c r="AI968" s="100"/>
      <c r="AJ968" s="100"/>
      <c r="AK968" s="100"/>
      <c r="AL968" s="100"/>
      <c r="AM968" s="100"/>
    </row>
    <row r="969" ht="14.25" customHeight="1">
      <c r="A969" s="100"/>
      <c r="B969" s="100"/>
      <c r="C969" s="100"/>
      <c r="D969" s="100"/>
      <c r="E969" s="100"/>
      <c r="F969" s="206"/>
      <c r="G969" s="206"/>
      <c r="H969" s="207"/>
      <c r="I969" s="207"/>
      <c r="J969" s="207"/>
      <c r="K969" s="207"/>
      <c r="L969" s="207"/>
      <c r="M969" s="207"/>
      <c r="N969" s="207"/>
      <c r="O969" s="207"/>
      <c r="P969" s="207"/>
      <c r="Q969" s="207"/>
      <c r="R969" s="207"/>
      <c r="S969" s="207"/>
      <c r="T969" s="207"/>
      <c r="U969" s="207"/>
      <c r="V969" s="207"/>
      <c r="W969" s="208"/>
      <c r="X969" s="208"/>
      <c r="Y969" s="208"/>
      <c r="Z969" s="208"/>
      <c r="AA969" s="208"/>
      <c r="AB969" s="208"/>
      <c r="AC969" s="208"/>
      <c r="AD969" s="208"/>
      <c r="AE969" s="208"/>
      <c r="AF969" s="208"/>
      <c r="AG969" s="208"/>
      <c r="AH969" s="208"/>
      <c r="AI969" s="100"/>
      <c r="AJ969" s="100"/>
      <c r="AK969" s="100"/>
      <c r="AL969" s="100"/>
      <c r="AM969" s="100"/>
    </row>
    <row r="970" ht="14.25" customHeight="1">
      <c r="A970" s="100"/>
      <c r="B970" s="100"/>
      <c r="C970" s="100"/>
      <c r="D970" s="100"/>
      <c r="E970" s="100"/>
      <c r="F970" s="206"/>
      <c r="G970" s="206"/>
      <c r="H970" s="207"/>
      <c r="I970" s="207"/>
      <c r="J970" s="207"/>
      <c r="K970" s="207"/>
      <c r="L970" s="207"/>
      <c r="M970" s="207"/>
      <c r="N970" s="207"/>
      <c r="O970" s="207"/>
      <c r="P970" s="207"/>
      <c r="Q970" s="207"/>
      <c r="R970" s="207"/>
      <c r="S970" s="207"/>
      <c r="T970" s="207"/>
      <c r="U970" s="207"/>
      <c r="V970" s="207"/>
      <c r="W970" s="208"/>
      <c r="X970" s="208"/>
      <c r="Y970" s="208"/>
      <c r="Z970" s="208"/>
      <c r="AA970" s="208"/>
      <c r="AB970" s="208"/>
      <c r="AC970" s="208"/>
      <c r="AD970" s="208"/>
      <c r="AE970" s="208"/>
      <c r="AF970" s="208"/>
      <c r="AG970" s="208"/>
      <c r="AH970" s="208"/>
      <c r="AI970" s="100"/>
      <c r="AJ970" s="100"/>
      <c r="AK970" s="100"/>
      <c r="AL970" s="100"/>
      <c r="AM970" s="100"/>
    </row>
    <row r="971" ht="14.25" customHeight="1">
      <c r="A971" s="100"/>
      <c r="B971" s="100"/>
      <c r="C971" s="100"/>
      <c r="D971" s="100"/>
      <c r="E971" s="100"/>
      <c r="F971" s="206"/>
      <c r="G971" s="206"/>
      <c r="H971" s="207"/>
      <c r="I971" s="207"/>
      <c r="J971" s="207"/>
      <c r="K971" s="207"/>
      <c r="L971" s="207"/>
      <c r="M971" s="207"/>
      <c r="N971" s="207"/>
      <c r="O971" s="207"/>
      <c r="P971" s="207"/>
      <c r="Q971" s="207"/>
      <c r="R971" s="207"/>
      <c r="S971" s="207"/>
      <c r="T971" s="207"/>
      <c r="U971" s="207"/>
      <c r="V971" s="207"/>
      <c r="W971" s="208"/>
      <c r="X971" s="208"/>
      <c r="Y971" s="208"/>
      <c r="Z971" s="208"/>
      <c r="AA971" s="208"/>
      <c r="AB971" s="208"/>
      <c r="AC971" s="208"/>
      <c r="AD971" s="208"/>
      <c r="AE971" s="208"/>
      <c r="AF971" s="208"/>
      <c r="AG971" s="208"/>
      <c r="AH971" s="208"/>
      <c r="AI971" s="100"/>
      <c r="AJ971" s="100"/>
      <c r="AK971" s="100"/>
      <c r="AL971" s="100"/>
      <c r="AM971" s="100"/>
    </row>
    <row r="972" ht="14.25" customHeight="1">
      <c r="A972" s="100"/>
      <c r="B972" s="100"/>
      <c r="C972" s="100"/>
      <c r="D972" s="100"/>
      <c r="E972" s="100"/>
      <c r="F972" s="206"/>
      <c r="G972" s="206"/>
      <c r="H972" s="207"/>
      <c r="I972" s="207"/>
      <c r="J972" s="207"/>
      <c r="K972" s="207"/>
      <c r="L972" s="207"/>
      <c r="M972" s="207"/>
      <c r="N972" s="207"/>
      <c r="O972" s="207"/>
      <c r="P972" s="207"/>
      <c r="Q972" s="207"/>
      <c r="R972" s="207"/>
      <c r="S972" s="207"/>
      <c r="T972" s="207"/>
      <c r="U972" s="207"/>
      <c r="V972" s="207"/>
      <c r="W972" s="208"/>
      <c r="X972" s="208"/>
      <c r="Y972" s="208"/>
      <c r="Z972" s="208"/>
      <c r="AA972" s="208"/>
      <c r="AB972" s="208"/>
      <c r="AC972" s="208"/>
      <c r="AD972" s="208"/>
      <c r="AE972" s="208"/>
      <c r="AF972" s="208"/>
      <c r="AG972" s="208"/>
      <c r="AH972" s="208"/>
      <c r="AI972" s="100"/>
      <c r="AJ972" s="100"/>
      <c r="AK972" s="100"/>
      <c r="AL972" s="100"/>
      <c r="AM972" s="100"/>
    </row>
    <row r="973" ht="14.25" customHeight="1">
      <c r="A973" s="100"/>
      <c r="B973" s="100"/>
      <c r="C973" s="100"/>
      <c r="D973" s="100"/>
      <c r="E973" s="100"/>
      <c r="F973" s="206"/>
      <c r="G973" s="206"/>
      <c r="H973" s="207"/>
      <c r="I973" s="207"/>
      <c r="J973" s="207"/>
      <c r="K973" s="207"/>
      <c r="L973" s="207"/>
      <c r="M973" s="207"/>
      <c r="N973" s="207"/>
      <c r="O973" s="207"/>
      <c r="P973" s="207"/>
      <c r="Q973" s="207"/>
      <c r="R973" s="207"/>
      <c r="S973" s="207"/>
      <c r="T973" s="207"/>
      <c r="U973" s="207"/>
      <c r="V973" s="207"/>
      <c r="W973" s="208"/>
      <c r="X973" s="208"/>
      <c r="Y973" s="208"/>
      <c r="Z973" s="208"/>
      <c r="AA973" s="208"/>
      <c r="AB973" s="208"/>
      <c r="AC973" s="208"/>
      <c r="AD973" s="208"/>
      <c r="AE973" s="208"/>
      <c r="AF973" s="208"/>
      <c r="AG973" s="208"/>
      <c r="AH973" s="208"/>
      <c r="AI973" s="100"/>
      <c r="AJ973" s="100"/>
      <c r="AK973" s="100"/>
      <c r="AL973" s="100"/>
      <c r="AM973" s="100"/>
    </row>
    <row r="974" ht="14.25" customHeight="1">
      <c r="A974" s="100"/>
      <c r="B974" s="100"/>
      <c r="C974" s="100"/>
      <c r="D974" s="100"/>
      <c r="E974" s="100"/>
      <c r="F974" s="206"/>
      <c r="G974" s="206"/>
      <c r="H974" s="207"/>
      <c r="I974" s="207"/>
      <c r="J974" s="207"/>
      <c r="K974" s="207"/>
      <c r="L974" s="207"/>
      <c r="M974" s="207"/>
      <c r="N974" s="207"/>
      <c r="O974" s="207"/>
      <c r="P974" s="207"/>
      <c r="Q974" s="207"/>
      <c r="R974" s="207"/>
      <c r="S974" s="207"/>
      <c r="T974" s="207"/>
      <c r="U974" s="207"/>
      <c r="V974" s="207"/>
      <c r="W974" s="208"/>
      <c r="X974" s="208"/>
      <c r="Y974" s="208"/>
      <c r="Z974" s="208"/>
      <c r="AA974" s="208"/>
      <c r="AB974" s="208"/>
      <c r="AC974" s="208"/>
      <c r="AD974" s="208"/>
      <c r="AE974" s="208"/>
      <c r="AF974" s="208"/>
      <c r="AG974" s="208"/>
      <c r="AH974" s="208"/>
      <c r="AI974" s="100"/>
      <c r="AJ974" s="100"/>
      <c r="AK974" s="100"/>
      <c r="AL974" s="100"/>
      <c r="AM974" s="100"/>
    </row>
    <row r="975" ht="14.25" customHeight="1">
      <c r="A975" s="100"/>
      <c r="B975" s="100"/>
      <c r="C975" s="100"/>
      <c r="D975" s="100"/>
      <c r="E975" s="100"/>
      <c r="F975" s="206"/>
      <c r="G975" s="206"/>
      <c r="H975" s="207"/>
      <c r="I975" s="207"/>
      <c r="J975" s="207"/>
      <c r="K975" s="207"/>
      <c r="L975" s="207"/>
      <c r="M975" s="207"/>
      <c r="N975" s="207"/>
      <c r="O975" s="207"/>
      <c r="P975" s="207"/>
      <c r="Q975" s="207"/>
      <c r="R975" s="207"/>
      <c r="S975" s="207"/>
      <c r="T975" s="207"/>
      <c r="U975" s="207"/>
      <c r="V975" s="207"/>
      <c r="W975" s="208"/>
      <c r="X975" s="208"/>
      <c r="Y975" s="208"/>
      <c r="Z975" s="208"/>
      <c r="AA975" s="208"/>
      <c r="AB975" s="208"/>
      <c r="AC975" s="208"/>
      <c r="AD975" s="208"/>
      <c r="AE975" s="208"/>
      <c r="AF975" s="208"/>
      <c r="AG975" s="208"/>
      <c r="AH975" s="208"/>
      <c r="AI975" s="100"/>
      <c r="AJ975" s="100"/>
      <c r="AK975" s="100"/>
      <c r="AL975" s="100"/>
      <c r="AM975" s="100"/>
    </row>
    <row r="976" ht="14.25" customHeight="1">
      <c r="A976" s="100"/>
      <c r="B976" s="100"/>
      <c r="C976" s="100"/>
      <c r="D976" s="100"/>
      <c r="E976" s="100"/>
      <c r="F976" s="206"/>
      <c r="G976" s="206"/>
      <c r="H976" s="207"/>
      <c r="I976" s="207"/>
      <c r="J976" s="207"/>
      <c r="K976" s="207"/>
      <c r="L976" s="207"/>
      <c r="M976" s="207"/>
      <c r="N976" s="207"/>
      <c r="O976" s="207"/>
      <c r="P976" s="207"/>
      <c r="Q976" s="207"/>
      <c r="R976" s="207"/>
      <c r="S976" s="207"/>
      <c r="T976" s="207"/>
      <c r="U976" s="207"/>
      <c r="V976" s="207"/>
      <c r="W976" s="208"/>
      <c r="X976" s="208"/>
      <c r="Y976" s="208"/>
      <c r="Z976" s="208"/>
      <c r="AA976" s="208"/>
      <c r="AB976" s="208"/>
      <c r="AC976" s="208"/>
      <c r="AD976" s="208"/>
      <c r="AE976" s="208"/>
      <c r="AF976" s="208"/>
      <c r="AG976" s="208"/>
      <c r="AH976" s="208"/>
      <c r="AI976" s="100"/>
      <c r="AJ976" s="100"/>
      <c r="AK976" s="100"/>
      <c r="AL976" s="100"/>
      <c r="AM976" s="100"/>
    </row>
    <row r="977" ht="14.25" customHeight="1">
      <c r="A977" s="100"/>
      <c r="B977" s="100"/>
      <c r="C977" s="100"/>
      <c r="D977" s="100"/>
      <c r="E977" s="100"/>
      <c r="F977" s="206"/>
      <c r="G977" s="206"/>
      <c r="H977" s="207"/>
      <c r="I977" s="207"/>
      <c r="J977" s="207"/>
      <c r="K977" s="207"/>
      <c r="L977" s="207"/>
      <c r="M977" s="207"/>
      <c r="N977" s="207"/>
      <c r="O977" s="207"/>
      <c r="P977" s="207"/>
      <c r="Q977" s="207"/>
      <c r="R977" s="207"/>
      <c r="S977" s="207"/>
      <c r="T977" s="207"/>
      <c r="U977" s="207"/>
      <c r="V977" s="207"/>
      <c r="W977" s="208"/>
      <c r="X977" s="208"/>
      <c r="Y977" s="208"/>
      <c r="Z977" s="208"/>
      <c r="AA977" s="208"/>
      <c r="AB977" s="208"/>
      <c r="AC977" s="208"/>
      <c r="AD977" s="208"/>
      <c r="AE977" s="208"/>
      <c r="AF977" s="208"/>
      <c r="AG977" s="208"/>
      <c r="AH977" s="208"/>
      <c r="AI977" s="100"/>
      <c r="AJ977" s="100"/>
      <c r="AK977" s="100"/>
      <c r="AL977" s="100"/>
      <c r="AM977" s="100"/>
    </row>
    <row r="978" ht="14.25" customHeight="1">
      <c r="A978" s="100"/>
      <c r="B978" s="100"/>
      <c r="C978" s="100"/>
      <c r="D978" s="100"/>
      <c r="E978" s="100"/>
      <c r="F978" s="206"/>
      <c r="G978" s="206"/>
      <c r="H978" s="207"/>
      <c r="I978" s="207"/>
      <c r="J978" s="207"/>
      <c r="K978" s="207"/>
      <c r="L978" s="207"/>
      <c r="M978" s="207"/>
      <c r="N978" s="207"/>
      <c r="O978" s="207"/>
      <c r="P978" s="207"/>
      <c r="Q978" s="207"/>
      <c r="R978" s="207"/>
      <c r="S978" s="207"/>
      <c r="T978" s="207"/>
      <c r="U978" s="207"/>
      <c r="V978" s="207"/>
      <c r="W978" s="208"/>
      <c r="X978" s="208"/>
      <c r="Y978" s="208"/>
      <c r="Z978" s="208"/>
      <c r="AA978" s="208"/>
      <c r="AB978" s="208"/>
      <c r="AC978" s="208"/>
      <c r="AD978" s="208"/>
      <c r="AE978" s="208"/>
      <c r="AF978" s="208"/>
      <c r="AG978" s="208"/>
      <c r="AH978" s="208"/>
      <c r="AI978" s="100"/>
      <c r="AJ978" s="100"/>
      <c r="AK978" s="100"/>
      <c r="AL978" s="100"/>
      <c r="AM978" s="100"/>
    </row>
    <row r="979" ht="14.25" customHeight="1">
      <c r="A979" s="100"/>
      <c r="B979" s="100"/>
      <c r="C979" s="100"/>
      <c r="D979" s="100"/>
      <c r="E979" s="100"/>
      <c r="F979" s="206"/>
      <c r="G979" s="206"/>
      <c r="H979" s="207"/>
      <c r="I979" s="207"/>
      <c r="J979" s="207"/>
      <c r="K979" s="207"/>
      <c r="L979" s="207"/>
      <c r="M979" s="207"/>
      <c r="N979" s="207"/>
      <c r="O979" s="207"/>
      <c r="P979" s="207"/>
      <c r="Q979" s="207"/>
      <c r="R979" s="207"/>
      <c r="S979" s="207"/>
      <c r="T979" s="207"/>
      <c r="U979" s="207"/>
      <c r="V979" s="207"/>
      <c r="W979" s="208"/>
      <c r="X979" s="208"/>
      <c r="Y979" s="208"/>
      <c r="Z979" s="208"/>
      <c r="AA979" s="208"/>
      <c r="AB979" s="208"/>
      <c r="AC979" s="208"/>
      <c r="AD979" s="208"/>
      <c r="AE979" s="208"/>
      <c r="AF979" s="208"/>
      <c r="AG979" s="208"/>
      <c r="AH979" s="208"/>
      <c r="AI979" s="100"/>
      <c r="AJ979" s="100"/>
      <c r="AK979" s="100"/>
      <c r="AL979" s="100"/>
      <c r="AM979" s="100"/>
    </row>
    <row r="980" ht="14.25" customHeight="1">
      <c r="A980" s="100"/>
      <c r="B980" s="100"/>
      <c r="C980" s="100"/>
      <c r="D980" s="100"/>
      <c r="E980" s="100"/>
      <c r="F980" s="206"/>
      <c r="G980" s="206"/>
      <c r="H980" s="207"/>
      <c r="I980" s="207"/>
      <c r="J980" s="207"/>
      <c r="K980" s="207"/>
      <c r="L980" s="207"/>
      <c r="M980" s="207"/>
      <c r="N980" s="207"/>
      <c r="O980" s="207"/>
      <c r="P980" s="207"/>
      <c r="Q980" s="207"/>
      <c r="R980" s="207"/>
      <c r="S980" s="207"/>
      <c r="T980" s="207"/>
      <c r="U980" s="207"/>
      <c r="V980" s="207"/>
      <c r="W980" s="208"/>
      <c r="X980" s="208"/>
      <c r="Y980" s="208"/>
      <c r="Z980" s="208"/>
      <c r="AA980" s="208"/>
      <c r="AB980" s="208"/>
      <c r="AC980" s="208"/>
      <c r="AD980" s="208"/>
      <c r="AE980" s="208"/>
      <c r="AF980" s="208"/>
      <c r="AG980" s="208"/>
      <c r="AH980" s="208"/>
      <c r="AI980" s="100"/>
      <c r="AJ980" s="100"/>
      <c r="AK980" s="100"/>
      <c r="AL980" s="100"/>
      <c r="AM980" s="100"/>
    </row>
    <row r="981" ht="14.25" customHeight="1">
      <c r="A981" s="100"/>
      <c r="B981" s="100"/>
      <c r="C981" s="100"/>
      <c r="D981" s="100"/>
      <c r="E981" s="100"/>
      <c r="F981" s="206"/>
      <c r="G981" s="206"/>
      <c r="H981" s="207"/>
      <c r="I981" s="207"/>
      <c r="J981" s="207"/>
      <c r="K981" s="207"/>
      <c r="L981" s="207"/>
      <c r="M981" s="207"/>
      <c r="N981" s="207"/>
      <c r="O981" s="207"/>
      <c r="P981" s="207"/>
      <c r="Q981" s="207"/>
      <c r="R981" s="207"/>
      <c r="S981" s="207"/>
      <c r="T981" s="207"/>
      <c r="U981" s="207"/>
      <c r="V981" s="207"/>
      <c r="W981" s="208"/>
      <c r="X981" s="208"/>
      <c r="Y981" s="208"/>
      <c r="Z981" s="208"/>
      <c r="AA981" s="208"/>
      <c r="AB981" s="208"/>
      <c r="AC981" s="208"/>
      <c r="AD981" s="208"/>
      <c r="AE981" s="208"/>
      <c r="AF981" s="208"/>
      <c r="AG981" s="208"/>
      <c r="AH981" s="208"/>
      <c r="AI981" s="100"/>
      <c r="AJ981" s="100"/>
      <c r="AK981" s="100"/>
      <c r="AL981" s="100"/>
      <c r="AM981" s="100"/>
    </row>
    <row r="982" ht="14.25" customHeight="1">
      <c r="A982" s="100"/>
      <c r="B982" s="100"/>
      <c r="C982" s="100"/>
      <c r="D982" s="100"/>
      <c r="E982" s="100"/>
      <c r="F982" s="206"/>
      <c r="G982" s="206"/>
      <c r="H982" s="207"/>
      <c r="I982" s="207"/>
      <c r="J982" s="207"/>
      <c r="K982" s="207"/>
      <c r="L982" s="207"/>
      <c r="M982" s="207"/>
      <c r="N982" s="207"/>
      <c r="O982" s="207"/>
      <c r="P982" s="207"/>
      <c r="Q982" s="207"/>
      <c r="R982" s="207"/>
      <c r="S982" s="207"/>
      <c r="T982" s="207"/>
      <c r="U982" s="207"/>
      <c r="V982" s="207"/>
      <c r="W982" s="208"/>
      <c r="X982" s="208"/>
      <c r="Y982" s="208"/>
      <c r="Z982" s="208"/>
      <c r="AA982" s="208"/>
      <c r="AB982" s="208"/>
      <c r="AC982" s="208"/>
      <c r="AD982" s="208"/>
      <c r="AE982" s="208"/>
      <c r="AF982" s="208"/>
      <c r="AG982" s="208"/>
      <c r="AH982" s="208"/>
      <c r="AI982" s="100"/>
      <c r="AJ982" s="100"/>
      <c r="AK982" s="100"/>
      <c r="AL982" s="100"/>
      <c r="AM982" s="100"/>
    </row>
    <row r="983" ht="14.25" customHeight="1">
      <c r="A983" s="100"/>
      <c r="B983" s="100"/>
      <c r="C983" s="100"/>
      <c r="D983" s="100"/>
      <c r="E983" s="100"/>
      <c r="F983" s="206"/>
      <c r="G983" s="206"/>
      <c r="H983" s="207"/>
      <c r="I983" s="207"/>
      <c r="J983" s="207"/>
      <c r="K983" s="207"/>
      <c r="L983" s="207"/>
      <c r="M983" s="207"/>
      <c r="N983" s="207"/>
      <c r="O983" s="207"/>
      <c r="P983" s="207"/>
      <c r="Q983" s="207"/>
      <c r="R983" s="207"/>
      <c r="S983" s="207"/>
      <c r="T983" s="207"/>
      <c r="U983" s="207"/>
      <c r="V983" s="207"/>
      <c r="W983" s="208"/>
      <c r="X983" s="208"/>
      <c r="Y983" s="208"/>
      <c r="Z983" s="208"/>
      <c r="AA983" s="208"/>
      <c r="AB983" s="208"/>
      <c r="AC983" s="208"/>
      <c r="AD983" s="208"/>
      <c r="AE983" s="208"/>
      <c r="AF983" s="208"/>
      <c r="AG983" s="208"/>
      <c r="AH983" s="208"/>
      <c r="AI983" s="100"/>
      <c r="AJ983" s="100"/>
      <c r="AK983" s="100"/>
      <c r="AL983" s="100"/>
      <c r="AM983" s="100"/>
    </row>
    <row r="984" ht="14.25" customHeight="1">
      <c r="A984" s="100"/>
      <c r="B984" s="100"/>
      <c r="C984" s="100"/>
      <c r="D984" s="100"/>
      <c r="E984" s="100"/>
      <c r="F984" s="206"/>
      <c r="G984" s="206"/>
      <c r="H984" s="207"/>
      <c r="I984" s="207"/>
      <c r="J984" s="207"/>
      <c r="K984" s="207"/>
      <c r="L984" s="207"/>
      <c r="M984" s="207"/>
      <c r="N984" s="207"/>
      <c r="O984" s="207"/>
      <c r="P984" s="207"/>
      <c r="Q984" s="207"/>
      <c r="R984" s="207"/>
      <c r="S984" s="207"/>
      <c r="T984" s="207"/>
      <c r="U984" s="207"/>
      <c r="V984" s="207"/>
      <c r="W984" s="208"/>
      <c r="X984" s="208"/>
      <c r="Y984" s="208"/>
      <c r="Z984" s="208"/>
      <c r="AA984" s="208"/>
      <c r="AB984" s="208"/>
      <c r="AC984" s="208"/>
      <c r="AD984" s="208"/>
      <c r="AE984" s="208"/>
      <c r="AF984" s="208"/>
      <c r="AG984" s="208"/>
      <c r="AH984" s="208"/>
      <c r="AI984" s="100"/>
      <c r="AJ984" s="100"/>
      <c r="AK984" s="100"/>
      <c r="AL984" s="100"/>
      <c r="AM984" s="100"/>
    </row>
    <row r="985" ht="14.25" customHeight="1">
      <c r="A985" s="100"/>
      <c r="B985" s="100"/>
      <c r="C985" s="100"/>
      <c r="D985" s="100"/>
      <c r="E985" s="100"/>
      <c r="F985" s="206"/>
      <c r="G985" s="206"/>
      <c r="H985" s="207"/>
      <c r="I985" s="207"/>
      <c r="J985" s="207"/>
      <c r="K985" s="207"/>
      <c r="L985" s="207"/>
      <c r="M985" s="207"/>
      <c r="N985" s="207"/>
      <c r="O985" s="207"/>
      <c r="P985" s="207"/>
      <c r="Q985" s="207"/>
      <c r="R985" s="207"/>
      <c r="S985" s="207"/>
      <c r="T985" s="207"/>
      <c r="U985" s="207"/>
      <c r="V985" s="207"/>
      <c r="W985" s="208"/>
      <c r="X985" s="208"/>
      <c r="Y985" s="208"/>
      <c r="Z985" s="208"/>
      <c r="AA985" s="208"/>
      <c r="AB985" s="208"/>
      <c r="AC985" s="208"/>
      <c r="AD985" s="208"/>
      <c r="AE985" s="208"/>
      <c r="AF985" s="208"/>
      <c r="AG985" s="208"/>
      <c r="AH985" s="208"/>
      <c r="AI985" s="100"/>
      <c r="AJ985" s="100"/>
      <c r="AK985" s="100"/>
      <c r="AL985" s="100"/>
      <c r="AM985" s="100"/>
    </row>
    <row r="986" ht="14.25" customHeight="1">
      <c r="A986" s="100"/>
      <c r="B986" s="100"/>
      <c r="C986" s="100"/>
      <c r="D986" s="100"/>
      <c r="E986" s="100"/>
      <c r="F986" s="206"/>
      <c r="G986" s="206"/>
      <c r="H986" s="207"/>
      <c r="I986" s="207"/>
      <c r="J986" s="207"/>
      <c r="K986" s="207"/>
      <c r="L986" s="207"/>
      <c r="M986" s="207"/>
      <c r="N986" s="207"/>
      <c r="O986" s="207"/>
      <c r="P986" s="207"/>
      <c r="Q986" s="207"/>
      <c r="R986" s="207"/>
      <c r="S986" s="207"/>
      <c r="T986" s="207"/>
      <c r="U986" s="207"/>
      <c r="V986" s="207"/>
      <c r="W986" s="208"/>
      <c r="X986" s="208"/>
      <c r="Y986" s="208"/>
      <c r="Z986" s="208"/>
      <c r="AA986" s="208"/>
      <c r="AB986" s="208"/>
      <c r="AC986" s="208"/>
      <c r="AD986" s="208"/>
      <c r="AE986" s="208"/>
      <c r="AF986" s="208"/>
      <c r="AG986" s="208"/>
      <c r="AH986" s="208"/>
      <c r="AI986" s="100"/>
      <c r="AJ986" s="100"/>
      <c r="AK986" s="100"/>
      <c r="AL986" s="100"/>
      <c r="AM986" s="100"/>
    </row>
    <row r="987" ht="14.25" customHeight="1">
      <c r="A987" s="100"/>
      <c r="B987" s="100"/>
      <c r="C987" s="100"/>
      <c r="D987" s="100"/>
      <c r="E987" s="100"/>
      <c r="F987" s="206"/>
      <c r="G987" s="206"/>
      <c r="H987" s="207"/>
      <c r="I987" s="207"/>
      <c r="J987" s="207"/>
      <c r="K987" s="207"/>
      <c r="L987" s="207"/>
      <c r="M987" s="207"/>
      <c r="N987" s="207"/>
      <c r="O987" s="207"/>
      <c r="P987" s="207"/>
      <c r="Q987" s="207"/>
      <c r="R987" s="207"/>
      <c r="S987" s="207"/>
      <c r="T987" s="207"/>
      <c r="U987" s="207"/>
      <c r="V987" s="207"/>
      <c r="W987" s="208"/>
      <c r="X987" s="208"/>
      <c r="Y987" s="208"/>
      <c r="Z987" s="208"/>
      <c r="AA987" s="208"/>
      <c r="AB987" s="208"/>
      <c r="AC987" s="208"/>
      <c r="AD987" s="208"/>
      <c r="AE987" s="208"/>
      <c r="AF987" s="208"/>
      <c r="AG987" s="208"/>
      <c r="AH987" s="208"/>
      <c r="AI987" s="100"/>
      <c r="AJ987" s="100"/>
      <c r="AK987" s="100"/>
      <c r="AL987" s="100"/>
      <c r="AM987" s="100"/>
    </row>
    <row r="988" ht="14.25" customHeight="1">
      <c r="A988" s="100"/>
      <c r="B988" s="100"/>
      <c r="C988" s="100"/>
      <c r="D988" s="100"/>
      <c r="E988" s="100"/>
      <c r="F988" s="206"/>
      <c r="G988" s="206"/>
      <c r="H988" s="207"/>
      <c r="I988" s="207"/>
      <c r="J988" s="207"/>
      <c r="K988" s="207"/>
      <c r="L988" s="207"/>
      <c r="M988" s="207"/>
      <c r="N988" s="207"/>
      <c r="O988" s="207"/>
      <c r="P988" s="207"/>
      <c r="Q988" s="207"/>
      <c r="R988" s="207"/>
      <c r="S988" s="207"/>
      <c r="T988" s="207"/>
      <c r="U988" s="207"/>
      <c r="V988" s="207"/>
      <c r="W988" s="208"/>
      <c r="X988" s="208"/>
      <c r="Y988" s="208"/>
      <c r="Z988" s="208"/>
      <c r="AA988" s="208"/>
      <c r="AB988" s="208"/>
      <c r="AC988" s="208"/>
      <c r="AD988" s="208"/>
      <c r="AE988" s="208"/>
      <c r="AF988" s="208"/>
      <c r="AG988" s="208"/>
      <c r="AH988" s="208"/>
      <c r="AI988" s="100"/>
      <c r="AJ988" s="100"/>
      <c r="AK988" s="100"/>
      <c r="AL988" s="100"/>
      <c r="AM988" s="100"/>
    </row>
    <row r="989" ht="14.25" customHeight="1">
      <c r="A989" s="100"/>
      <c r="B989" s="100"/>
      <c r="C989" s="100"/>
      <c r="D989" s="100"/>
      <c r="E989" s="100"/>
      <c r="F989" s="206"/>
      <c r="G989" s="206"/>
      <c r="H989" s="207"/>
      <c r="I989" s="207"/>
      <c r="J989" s="207"/>
      <c r="K989" s="207"/>
      <c r="L989" s="207"/>
      <c r="M989" s="207"/>
      <c r="N989" s="207"/>
      <c r="O989" s="207"/>
      <c r="P989" s="207"/>
      <c r="Q989" s="207"/>
      <c r="R989" s="207"/>
      <c r="S989" s="207"/>
      <c r="T989" s="207"/>
      <c r="U989" s="207"/>
      <c r="V989" s="207"/>
      <c r="W989" s="208"/>
      <c r="X989" s="208"/>
      <c r="Y989" s="208"/>
      <c r="Z989" s="208"/>
      <c r="AA989" s="208"/>
      <c r="AB989" s="208"/>
      <c r="AC989" s="208"/>
      <c r="AD989" s="208"/>
      <c r="AE989" s="208"/>
      <c r="AF989" s="208"/>
      <c r="AG989" s="208"/>
      <c r="AH989" s="208"/>
      <c r="AI989" s="100"/>
      <c r="AJ989" s="100"/>
      <c r="AK989" s="100"/>
      <c r="AL989" s="100"/>
      <c r="AM989" s="100"/>
    </row>
    <row r="990" ht="14.25" customHeight="1">
      <c r="A990" s="100"/>
      <c r="B990" s="100"/>
      <c r="C990" s="100"/>
      <c r="D990" s="100"/>
      <c r="E990" s="100"/>
      <c r="F990" s="206"/>
      <c r="G990" s="206"/>
      <c r="H990" s="207"/>
      <c r="I990" s="207"/>
      <c r="J990" s="207"/>
      <c r="K990" s="207"/>
      <c r="L990" s="207"/>
      <c r="M990" s="207"/>
      <c r="N990" s="207"/>
      <c r="O990" s="207"/>
      <c r="P990" s="207"/>
      <c r="Q990" s="207"/>
      <c r="R990" s="207"/>
      <c r="S990" s="207"/>
      <c r="T990" s="207"/>
      <c r="U990" s="207"/>
      <c r="V990" s="207"/>
      <c r="W990" s="208"/>
      <c r="X990" s="208"/>
      <c r="Y990" s="208"/>
      <c r="Z990" s="208"/>
      <c r="AA990" s="208"/>
      <c r="AB990" s="208"/>
      <c r="AC990" s="208"/>
      <c r="AD990" s="208"/>
      <c r="AE990" s="208"/>
      <c r="AF990" s="208"/>
      <c r="AG990" s="208"/>
      <c r="AH990" s="208"/>
      <c r="AI990" s="100"/>
      <c r="AJ990" s="100"/>
      <c r="AK990" s="100"/>
      <c r="AL990" s="100"/>
      <c r="AM990" s="100"/>
    </row>
    <row r="991" ht="14.25" customHeight="1">
      <c r="A991" s="100"/>
      <c r="B991" s="100"/>
      <c r="C991" s="100"/>
      <c r="D991" s="100"/>
      <c r="E991" s="100"/>
      <c r="F991" s="206"/>
      <c r="G991" s="206"/>
      <c r="H991" s="207"/>
      <c r="I991" s="207"/>
      <c r="J991" s="207"/>
      <c r="K991" s="207"/>
      <c r="L991" s="207"/>
      <c r="M991" s="207"/>
      <c r="N991" s="207"/>
      <c r="O991" s="207"/>
      <c r="P991" s="207"/>
      <c r="Q991" s="207"/>
      <c r="R991" s="207"/>
      <c r="S991" s="207"/>
      <c r="T991" s="207"/>
      <c r="U991" s="207"/>
      <c r="V991" s="207"/>
      <c r="W991" s="208"/>
      <c r="X991" s="208"/>
      <c r="Y991" s="208"/>
      <c r="Z991" s="208"/>
      <c r="AA991" s="208"/>
      <c r="AB991" s="208"/>
      <c r="AC991" s="208"/>
      <c r="AD991" s="208"/>
      <c r="AE991" s="208"/>
      <c r="AF991" s="208"/>
      <c r="AG991" s="208"/>
      <c r="AH991" s="208"/>
      <c r="AI991" s="100"/>
      <c r="AJ991" s="100"/>
      <c r="AK991" s="100"/>
      <c r="AL991" s="100"/>
      <c r="AM991" s="100"/>
    </row>
    <row r="992" ht="14.25" customHeight="1">
      <c r="A992" s="100"/>
      <c r="B992" s="100"/>
      <c r="C992" s="100"/>
      <c r="D992" s="100"/>
      <c r="E992" s="100"/>
      <c r="F992" s="206"/>
      <c r="G992" s="206"/>
      <c r="H992" s="207"/>
      <c r="I992" s="207"/>
      <c r="J992" s="207"/>
      <c r="K992" s="207"/>
      <c r="L992" s="207"/>
      <c r="M992" s="207"/>
      <c r="N992" s="207"/>
      <c r="O992" s="207"/>
      <c r="P992" s="207"/>
      <c r="Q992" s="207"/>
      <c r="R992" s="207"/>
      <c r="S992" s="207"/>
      <c r="T992" s="207"/>
      <c r="U992" s="207"/>
      <c r="V992" s="207"/>
      <c r="W992" s="208"/>
      <c r="X992" s="208"/>
      <c r="Y992" s="208"/>
      <c r="Z992" s="208"/>
      <c r="AA992" s="208"/>
      <c r="AB992" s="208"/>
      <c r="AC992" s="208"/>
      <c r="AD992" s="208"/>
      <c r="AE992" s="208"/>
      <c r="AF992" s="208"/>
      <c r="AG992" s="208"/>
      <c r="AH992" s="208"/>
      <c r="AI992" s="100"/>
      <c r="AJ992" s="100"/>
      <c r="AK992" s="100"/>
      <c r="AL992" s="100"/>
      <c r="AM992" s="100"/>
    </row>
    <row r="993" ht="14.25" customHeight="1">
      <c r="A993" s="100"/>
      <c r="B993" s="100"/>
      <c r="C993" s="100"/>
      <c r="D993" s="100"/>
      <c r="E993" s="100"/>
      <c r="F993" s="206"/>
      <c r="G993" s="206"/>
      <c r="H993" s="207"/>
      <c r="I993" s="207"/>
      <c r="J993" s="207"/>
      <c r="K993" s="207"/>
      <c r="L993" s="207"/>
      <c r="M993" s="207"/>
      <c r="N993" s="207"/>
      <c r="O993" s="207"/>
      <c r="P993" s="207"/>
      <c r="Q993" s="207"/>
      <c r="R993" s="207"/>
      <c r="S993" s="207"/>
      <c r="T993" s="207"/>
      <c r="U993" s="207"/>
      <c r="V993" s="207"/>
      <c r="W993" s="208"/>
      <c r="X993" s="208"/>
      <c r="Y993" s="208"/>
      <c r="Z993" s="208"/>
      <c r="AA993" s="208"/>
      <c r="AB993" s="208"/>
      <c r="AC993" s="208"/>
      <c r="AD993" s="208"/>
      <c r="AE993" s="208"/>
      <c r="AF993" s="208"/>
      <c r="AG993" s="208"/>
      <c r="AH993" s="208"/>
      <c r="AI993" s="100"/>
      <c r="AJ993" s="100"/>
      <c r="AK993" s="100"/>
      <c r="AL993" s="100"/>
      <c r="AM993" s="100"/>
    </row>
    <row r="994" ht="14.25" customHeight="1">
      <c r="A994" s="100"/>
      <c r="B994" s="100"/>
      <c r="C994" s="100"/>
      <c r="D994" s="100"/>
      <c r="E994" s="100"/>
      <c r="F994" s="206"/>
      <c r="G994" s="206"/>
      <c r="H994" s="207"/>
      <c r="I994" s="207"/>
      <c r="J994" s="207"/>
      <c r="K994" s="207"/>
      <c r="L994" s="207"/>
      <c r="M994" s="207"/>
      <c r="N994" s="207"/>
      <c r="O994" s="207"/>
      <c r="P994" s="207"/>
      <c r="Q994" s="207"/>
      <c r="R994" s="207"/>
      <c r="S994" s="207"/>
      <c r="T994" s="207"/>
      <c r="U994" s="207"/>
      <c r="V994" s="207"/>
      <c r="W994" s="208"/>
      <c r="X994" s="208"/>
      <c r="Y994" s="208"/>
      <c r="Z994" s="208"/>
      <c r="AA994" s="208"/>
      <c r="AB994" s="208"/>
      <c r="AC994" s="208"/>
      <c r="AD994" s="208"/>
      <c r="AE994" s="208"/>
      <c r="AF994" s="208"/>
      <c r="AG994" s="208"/>
      <c r="AH994" s="208"/>
      <c r="AI994" s="100"/>
      <c r="AJ994" s="100"/>
      <c r="AK994" s="100"/>
      <c r="AL994" s="100"/>
      <c r="AM994" s="100"/>
    </row>
    <row r="995" ht="14.25" customHeight="1">
      <c r="A995" s="100"/>
      <c r="B995" s="100"/>
      <c r="C995" s="100"/>
      <c r="D995" s="100"/>
      <c r="E995" s="100"/>
      <c r="F995" s="206"/>
      <c r="G995" s="206"/>
      <c r="H995" s="207"/>
      <c r="I995" s="207"/>
      <c r="J995" s="207"/>
      <c r="K995" s="207"/>
      <c r="L995" s="207"/>
      <c r="M995" s="207"/>
      <c r="N995" s="207"/>
      <c r="O995" s="207"/>
      <c r="P995" s="207"/>
      <c r="Q995" s="207"/>
      <c r="R995" s="207"/>
      <c r="S995" s="207"/>
      <c r="T995" s="207"/>
      <c r="U995" s="207"/>
      <c r="V995" s="207"/>
      <c r="W995" s="208"/>
      <c r="X995" s="208"/>
      <c r="Y995" s="208"/>
      <c r="Z995" s="208"/>
      <c r="AA995" s="208"/>
      <c r="AB995" s="208"/>
      <c r="AC995" s="208"/>
      <c r="AD995" s="208"/>
      <c r="AE995" s="208"/>
      <c r="AF995" s="208"/>
      <c r="AG995" s="208"/>
      <c r="AH995" s="208"/>
      <c r="AI995" s="100"/>
      <c r="AJ995" s="100"/>
      <c r="AK995" s="100"/>
      <c r="AL995" s="100"/>
      <c r="AM995" s="100"/>
    </row>
    <row r="996" ht="14.25" customHeight="1">
      <c r="A996" s="100"/>
      <c r="B996" s="100"/>
      <c r="C996" s="100"/>
      <c r="D996" s="100"/>
      <c r="E996" s="100"/>
      <c r="F996" s="206"/>
      <c r="G996" s="206"/>
      <c r="H996" s="207"/>
      <c r="I996" s="207"/>
      <c r="J996" s="207"/>
      <c r="K996" s="207"/>
      <c r="L996" s="207"/>
      <c r="M996" s="207"/>
      <c r="N996" s="207"/>
      <c r="O996" s="207"/>
      <c r="P996" s="207"/>
      <c r="Q996" s="207"/>
      <c r="R996" s="207"/>
      <c r="S996" s="207"/>
      <c r="T996" s="207"/>
      <c r="U996" s="207"/>
      <c r="V996" s="207"/>
      <c r="W996" s="208"/>
      <c r="X996" s="208"/>
      <c r="Y996" s="208"/>
      <c r="Z996" s="208"/>
      <c r="AA996" s="208"/>
      <c r="AB996" s="208"/>
      <c r="AC996" s="208"/>
      <c r="AD996" s="208"/>
      <c r="AE996" s="208"/>
      <c r="AF996" s="208"/>
      <c r="AG996" s="208"/>
      <c r="AH996" s="208"/>
      <c r="AI996" s="100"/>
      <c r="AJ996" s="100"/>
      <c r="AK996" s="100"/>
      <c r="AL996" s="100"/>
      <c r="AM996" s="100"/>
    </row>
    <row r="997" ht="14.25" customHeight="1">
      <c r="A997" s="100"/>
      <c r="B997" s="100"/>
      <c r="C997" s="100"/>
      <c r="D997" s="100"/>
      <c r="E997" s="100"/>
      <c r="F997" s="206"/>
      <c r="G997" s="206"/>
      <c r="H997" s="207"/>
      <c r="I997" s="207"/>
      <c r="J997" s="207"/>
      <c r="K997" s="207"/>
      <c r="L997" s="207"/>
      <c r="M997" s="207"/>
      <c r="N997" s="207"/>
      <c r="O997" s="207"/>
      <c r="P997" s="207"/>
      <c r="Q997" s="207"/>
      <c r="R997" s="207"/>
      <c r="S997" s="207"/>
      <c r="T997" s="207"/>
      <c r="U997" s="207"/>
      <c r="V997" s="207"/>
      <c r="W997" s="208"/>
      <c r="X997" s="208"/>
      <c r="Y997" s="208"/>
      <c r="Z997" s="208"/>
      <c r="AA997" s="208"/>
      <c r="AB997" s="208"/>
      <c r="AC997" s="208"/>
      <c r="AD997" s="208"/>
      <c r="AE997" s="208"/>
      <c r="AF997" s="208"/>
      <c r="AG997" s="208"/>
      <c r="AH997" s="208"/>
      <c r="AI997" s="100"/>
      <c r="AJ997" s="100"/>
      <c r="AK997" s="100"/>
      <c r="AL997" s="100"/>
      <c r="AM997" s="100"/>
    </row>
    <row r="998" ht="14.25" customHeight="1">
      <c r="A998" s="100"/>
      <c r="B998" s="100"/>
      <c r="C998" s="100"/>
      <c r="D998" s="100"/>
      <c r="E998" s="100"/>
      <c r="F998" s="206"/>
      <c r="G998" s="206"/>
      <c r="H998" s="207"/>
      <c r="I998" s="207"/>
      <c r="J998" s="207"/>
      <c r="K998" s="207"/>
      <c r="L998" s="207"/>
      <c r="M998" s="207"/>
      <c r="N998" s="207"/>
      <c r="O998" s="207"/>
      <c r="P998" s="207"/>
      <c r="Q998" s="207"/>
      <c r="R998" s="207"/>
      <c r="S998" s="207"/>
      <c r="T998" s="207"/>
      <c r="U998" s="207"/>
      <c r="V998" s="207"/>
      <c r="W998" s="208"/>
      <c r="X998" s="208"/>
      <c r="Y998" s="208"/>
      <c r="Z998" s="208"/>
      <c r="AA998" s="208"/>
      <c r="AB998" s="208"/>
      <c r="AC998" s="208"/>
      <c r="AD998" s="208"/>
      <c r="AE998" s="208"/>
      <c r="AF998" s="208"/>
      <c r="AG998" s="208"/>
      <c r="AH998" s="208"/>
      <c r="AI998" s="100"/>
      <c r="AJ998" s="100"/>
      <c r="AK998" s="100"/>
      <c r="AL998" s="100"/>
      <c r="AM998" s="100"/>
    </row>
    <row r="999" ht="14.25" customHeight="1">
      <c r="A999" s="100"/>
      <c r="B999" s="100"/>
      <c r="C999" s="100"/>
      <c r="D999" s="100"/>
      <c r="E999" s="100"/>
      <c r="F999" s="206"/>
      <c r="G999" s="206"/>
      <c r="H999" s="207"/>
      <c r="I999" s="207"/>
      <c r="J999" s="207"/>
      <c r="K999" s="207"/>
      <c r="L999" s="207"/>
      <c r="M999" s="207"/>
      <c r="N999" s="207"/>
      <c r="O999" s="207"/>
      <c r="P999" s="207"/>
      <c r="Q999" s="207"/>
      <c r="R999" s="207"/>
      <c r="S999" s="207"/>
      <c r="T999" s="207"/>
      <c r="U999" s="207"/>
      <c r="V999" s="207"/>
      <c r="W999" s="208"/>
      <c r="X999" s="208"/>
      <c r="Y999" s="208"/>
      <c r="Z999" s="208"/>
      <c r="AA999" s="208"/>
      <c r="AB999" s="208"/>
      <c r="AC999" s="208"/>
      <c r="AD999" s="208"/>
      <c r="AE999" s="208"/>
      <c r="AF999" s="208"/>
      <c r="AG999" s="208"/>
      <c r="AH999" s="208"/>
      <c r="AI999" s="100"/>
      <c r="AJ999" s="100"/>
      <c r="AK999" s="100"/>
      <c r="AL999" s="100"/>
      <c r="AM999" s="100"/>
    </row>
    <row r="1000" ht="14.25" customHeight="1">
      <c r="A1000" s="100"/>
      <c r="B1000" s="100"/>
      <c r="C1000" s="100"/>
      <c r="D1000" s="100"/>
      <c r="E1000" s="100"/>
      <c r="F1000" s="206"/>
      <c r="G1000" s="206"/>
      <c r="H1000" s="207"/>
      <c r="I1000" s="207"/>
      <c r="J1000" s="207"/>
      <c r="K1000" s="207"/>
      <c r="L1000" s="207"/>
      <c r="M1000" s="207"/>
      <c r="N1000" s="207"/>
      <c r="O1000" s="207"/>
      <c r="P1000" s="207"/>
      <c r="Q1000" s="207"/>
      <c r="R1000" s="207"/>
      <c r="S1000" s="207"/>
      <c r="T1000" s="207"/>
      <c r="U1000" s="207"/>
      <c r="V1000" s="207"/>
      <c r="W1000" s="208"/>
      <c r="X1000" s="208"/>
      <c r="Y1000" s="208"/>
      <c r="Z1000" s="208"/>
      <c r="AA1000" s="208"/>
      <c r="AB1000" s="208"/>
      <c r="AC1000" s="208"/>
      <c r="AD1000" s="208"/>
      <c r="AE1000" s="208"/>
      <c r="AF1000" s="208"/>
      <c r="AG1000" s="208"/>
      <c r="AH1000" s="208"/>
      <c r="AI1000" s="100"/>
      <c r="AJ1000" s="100"/>
      <c r="AK1000" s="100"/>
      <c r="AL1000" s="100"/>
      <c r="AM1000" s="100"/>
    </row>
  </sheetData>
  <mergeCells count="1">
    <mergeCell ref="A1:E1"/>
  </mergeCells>
  <conditionalFormatting sqref="A109">
    <cfRule type="expression" dxfId="0" priority="1">
      <formula>NOT(ISERROR(SEARCH("Missing",A109)))</formula>
    </cfRule>
  </conditionalFormatting>
  <conditionalFormatting sqref="A109">
    <cfRule type="expression" dxfId="0" priority="2">
      <formula>NOT(ISERROR(SEARCH("Warning",A109)))</formula>
    </cfRule>
  </conditionalFormatting>
  <conditionalFormatting sqref="A1:AI21 A33:AI108 A114:G114 A120:AI1000 B109:AI109 E22:AI22 I114:AI114">
    <cfRule type="expression" dxfId="0" priority="3">
      <formula>NOT(ISERROR(SEARCH("warning",A1)))</formula>
    </cfRule>
  </conditionalFormatting>
  <conditionalFormatting sqref="A23:AI23 A24:V25 A26:W26 A27:V27 A28:W28 A29:V32 AB24:AI28 AB30:AI32">
    <cfRule type="expression" dxfId="0" priority="4">
      <formula>NOT(ISERROR(SEARCH("warning",A23)))</formula>
    </cfRule>
  </conditionalFormatting>
  <conditionalFormatting sqref="A116:AI116">
    <cfRule type="expression" dxfId="0" priority="5">
      <formula>NOT(ISERROR(SEARCH("warning",A116)))</formula>
    </cfRule>
  </conditionalFormatting>
  <conditionalFormatting sqref="E27:F32">
    <cfRule type="expression" dxfId="0" priority="6">
      <formula>NOT(ISERROR(SEARCH("warning",E27)))</formula>
    </cfRule>
  </conditionalFormatting>
  <conditionalFormatting sqref="E115:F115">
    <cfRule type="expression" dxfId="0" priority="7">
      <formula>NOT(ISERROR(SEARCH("warning",E115)))</formula>
    </cfRule>
  </conditionalFormatting>
  <conditionalFormatting sqref="E117:F119">
    <cfRule type="expression" dxfId="0" priority="8">
      <formula>NOT(ISERROR(SEARCH("warning",E117)))</formula>
    </cfRule>
  </conditionalFormatting>
  <conditionalFormatting sqref="E110:G110">
    <cfRule type="expression" dxfId="0" priority="9">
      <formula>NOT(ISERROR(SEARCH("warning",E110)))</formula>
    </cfRule>
  </conditionalFormatting>
  <conditionalFormatting sqref="E112:G114">
    <cfRule type="expression" dxfId="0" priority="10">
      <formula>NOT(ISERROR(SEARCH("warning",E112)))</formula>
    </cfRule>
  </conditionalFormatting>
  <conditionalFormatting sqref="F45">
    <cfRule type="expression" dxfId="0" priority="11">
      <formula>$F$45="Use of partner's results"</formula>
    </cfRule>
  </conditionalFormatting>
  <conditionalFormatting sqref="F57">
    <cfRule type="expression" dxfId="0" priority="12">
      <formula>$F$57="Use of partner's results"</formula>
    </cfRule>
  </conditionalFormatting>
  <conditionalFormatting sqref="G117 G119">
    <cfRule type="expression" dxfId="0" priority="13">
      <formula>NOT(ISERROR(SEARCH("warning",G117)))</formula>
    </cfRule>
  </conditionalFormatting>
  <conditionalFormatting sqref="H35:AH43">
    <cfRule type="cellIs" dxfId="0" priority="14" operator="greaterThanOrEqual">
      <formula>0.05</formula>
    </cfRule>
  </conditionalFormatting>
  <conditionalFormatting sqref="H35:AH43">
    <cfRule type="cellIs" dxfId="0" priority="15" operator="lessThanOrEqual">
      <formula>-0.05</formula>
    </cfRule>
  </conditionalFormatting>
  <conditionalFormatting sqref="H61:AH61">
    <cfRule type="cellIs" dxfId="0" priority="16" operator="greaterThanOrEqual">
      <formula>0.05</formula>
    </cfRule>
  </conditionalFormatting>
  <conditionalFormatting sqref="H61:AH61">
    <cfRule type="cellIs" dxfId="0" priority="17" operator="lessThanOrEqual">
      <formula>-0.05</formula>
    </cfRule>
  </conditionalFormatting>
  <conditionalFormatting sqref="H99:AH107">
    <cfRule type="cellIs" dxfId="0" priority="18" operator="greaterThanOrEqual">
      <formula>0.05</formula>
    </cfRule>
  </conditionalFormatting>
  <conditionalFormatting sqref="H99:AH107">
    <cfRule type="cellIs" dxfId="0" priority="19" operator="lessThanOrEqual">
      <formula>-0.05</formula>
    </cfRule>
  </conditionalFormatting>
  <conditionalFormatting sqref="W30">
    <cfRule type="expression" dxfId="0" priority="20">
      <formula>NOT(ISERROR(SEARCH("warning",W30)))</formula>
    </cfRule>
  </conditionalFormatting>
  <conditionalFormatting sqref="W32 AB32:AH32">
    <cfRule type="expression" dxfId="0" priority="21">
      <formula>NOT(ISERROR(SEARCH("warning",W32)))</formula>
    </cfRule>
  </conditionalFormatting>
  <conditionalFormatting sqref="AB29:AH29 AI27:AI29 AI31:AI32">
    <cfRule type="expression" dxfId="0" priority="22">
      <formula>NOT(ISERROR(SEARCH("warning",AB27)))</formula>
    </cfRule>
  </conditionalFormatting>
  <dataValidations>
    <dataValidation type="list" allowBlank="1" showErrorMessage="1" sqref="F34">
      <formula1>Tertiary!$G$65:$G$66</formula1>
    </dataValidation>
  </dataValidations>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BE5D6"/>
    <pageSetUpPr/>
  </sheetPr>
  <sheetViews>
    <sheetView showGridLines="0" workbookViewId="0"/>
  </sheetViews>
  <sheetFormatPr customHeight="1" defaultColWidth="14.43" defaultRowHeight="15.0"/>
  <cols>
    <col customWidth="1" min="1" max="1" width="29.43"/>
    <col customWidth="1" min="2" max="26" width="10.57"/>
  </cols>
  <sheetData>
    <row r="1" ht="14.25" customHeight="1">
      <c r="A1" s="340" t="s">
        <v>1234</v>
      </c>
      <c r="B1" s="62">
        <f>ReferenceYear</f>
        <v>2015</v>
      </c>
      <c r="C1" s="62">
        <f>IFERROR(IF(B1+5&lt;=TargetYear,B1+5,""),"")</f>
        <v>2020</v>
      </c>
      <c r="D1" s="62">
        <f>IFERROR(IF(C1+5&lt;=TargetYear,C1+5,""),"")</f>
        <v>2025</v>
      </c>
      <c r="E1" s="62">
        <f>IFERROR(IF(D1+5&lt;=TargetYear,D1+5,""),"")</f>
        <v>2030</v>
      </c>
      <c r="F1" s="62">
        <f>IFERROR(IF(E1+5&lt;=TargetYear,E1+5,""),"")</f>
        <v>2035</v>
      </c>
      <c r="G1" s="62">
        <f>IFERROR(IF(F1+5&lt;=TargetYear,F1+5,""),"")</f>
        <v>2040</v>
      </c>
      <c r="H1" s="62">
        <f>IFERROR(IF(G1+5&lt;=TargetYear,G1+5,""),"")</f>
        <v>2045</v>
      </c>
      <c r="I1" s="62">
        <f>IFERROR(IF(H1+5&lt;=TargetYear,H1+5,""),"")</f>
        <v>2050</v>
      </c>
      <c r="J1" s="341" t="s">
        <v>812</v>
      </c>
      <c r="L1" s="342" t="s">
        <v>248</v>
      </c>
      <c r="M1" s="1">
        <f>MATCH($L$1,$A$2:$A$10,0)</f>
        <v>1</v>
      </c>
    </row>
    <row r="2" ht="14.25" customHeight="1">
      <c r="A2" s="343" t="s">
        <v>248</v>
      </c>
      <c r="B2" s="274">
        <f>SUMPRODUCT(caltoccfter*(Years=B$1))</f>
        <v>64.64514641</v>
      </c>
      <c r="C2" s="274">
        <f>SUMPRODUCT(caltoccfter*(Years=C$1))</f>
        <v>0</v>
      </c>
      <c r="D2" s="274">
        <f>SUMPRODUCT(caltoccfter*(Years=D$1))</f>
        <v>0</v>
      </c>
      <c r="E2" s="274">
        <f>SUMPRODUCT(caltoccfter*(Years=E$1))</f>
        <v>0</v>
      </c>
      <c r="F2" s="274">
        <f>SUMPRODUCT(caltoccfter*(Years=F$1))</f>
        <v>0</v>
      </c>
      <c r="G2" s="274">
        <f>SUMPRODUCT(caltoccfter*(Years=G$1))</f>
        <v>0</v>
      </c>
      <c r="H2" s="274">
        <f>SUMPRODUCT(caltoccfter*(Years=H$1))</f>
        <v>0</v>
      </c>
      <c r="I2" s="274">
        <f>SUMPRODUCT(caltoccfter*(Years=I$1))</f>
        <v>0</v>
      </c>
      <c r="J2" s="344">
        <f t="shared" ref="J2:J10" si="1">(I2-B2)/B2</f>
        <v>-1</v>
      </c>
      <c r="M2" s="1">
        <v>1.0</v>
      </c>
      <c r="N2" s="1">
        <v>2.0</v>
      </c>
      <c r="O2" s="1">
        <v>3.0</v>
      </c>
      <c r="P2" s="1">
        <v>4.0</v>
      </c>
      <c r="Q2" s="1">
        <v>5.0</v>
      </c>
      <c r="R2" s="1">
        <v>6.0</v>
      </c>
      <c r="S2" s="1">
        <v>7.0</v>
      </c>
      <c r="T2" s="1">
        <v>8.0</v>
      </c>
    </row>
    <row r="3" ht="14.25" customHeight="1">
      <c r="A3" s="345" t="s">
        <v>813</v>
      </c>
      <c r="B3" s="274">
        <f>SUMPRODUCT(calcmscfter*(Years=B$1))</f>
        <v>0</v>
      </c>
      <c r="C3" s="274">
        <f>SUMPRODUCT(calcmscfter*(Years=C$1))</f>
        <v>0</v>
      </c>
      <c r="D3" s="274">
        <f>SUMPRODUCT(calcmscfter*(Years=D$1))</f>
        <v>0</v>
      </c>
      <c r="E3" s="274">
        <f>SUMPRODUCT(calcmscfter*(Years=E$1))</f>
        <v>0</v>
      </c>
      <c r="F3" s="274">
        <f>SUMPRODUCT(calcmscfter*(Years=F$1))</f>
        <v>0</v>
      </c>
      <c r="G3" s="274">
        <f>SUMPRODUCT(calcmscfter*(Years=G$1))</f>
        <v>0</v>
      </c>
      <c r="H3" s="274">
        <f>SUMPRODUCT(calcmscfter*(Years=H$1))</f>
        <v>0</v>
      </c>
      <c r="I3" s="274">
        <f>SUMPRODUCT(calcmscfter*(Years=I$1))</f>
        <v>0</v>
      </c>
      <c r="J3" s="344" t="str">
        <f t="shared" si="1"/>
        <v>#DIV/0!</v>
      </c>
      <c r="L3" s="1" t="s">
        <v>814</v>
      </c>
      <c r="M3" s="346">
        <f t="shared" ref="M3:T3" si="2">INDEX($B$2:$I$10,$M$1,M$2)</f>
        <v>64.64514641</v>
      </c>
      <c r="N3" s="346">
        <f t="shared" si="2"/>
        <v>0</v>
      </c>
      <c r="O3" s="346">
        <f t="shared" si="2"/>
        <v>0</v>
      </c>
      <c r="P3" s="346">
        <f t="shared" si="2"/>
        <v>0</v>
      </c>
      <c r="Q3" s="346">
        <f t="shared" si="2"/>
        <v>0</v>
      </c>
      <c r="R3" s="346">
        <f t="shared" si="2"/>
        <v>0</v>
      </c>
      <c r="S3" s="346">
        <f t="shared" si="2"/>
        <v>0</v>
      </c>
      <c r="T3" s="346">
        <f t="shared" si="2"/>
        <v>0</v>
      </c>
    </row>
    <row r="4" ht="14.25" customHeight="1">
      <c r="A4" s="345" t="s">
        <v>175</v>
      </c>
      <c r="B4" s="274">
        <f>SUMPRODUCT(calenccfter*(Years=B$1))</f>
        <v>0.2066885639</v>
      </c>
      <c r="C4" s="274">
        <f>SUMPRODUCT(calenccfter*(Years=C$1))</f>
        <v>0</v>
      </c>
      <c r="D4" s="274">
        <f>SUMPRODUCT(calenccfter*(Years=D$1))</f>
        <v>0</v>
      </c>
      <c r="E4" s="274">
        <f>SUMPRODUCT(calenccfter*(Years=E$1))</f>
        <v>0</v>
      </c>
      <c r="F4" s="274">
        <f>SUMPRODUCT(calenccfter*(Years=F$1))</f>
        <v>0</v>
      </c>
      <c r="G4" s="274">
        <f>SUMPRODUCT(calenccfter*(Years=G$1))</f>
        <v>0</v>
      </c>
      <c r="H4" s="274">
        <f>SUMPRODUCT(calenccfter*(Years=H$1))</f>
        <v>0</v>
      </c>
      <c r="I4" s="274">
        <f>SUMPRODUCT(calenccfter*(Years=I$1))</f>
        <v>0</v>
      </c>
      <c r="J4" s="344">
        <f t="shared" si="1"/>
        <v>-1</v>
      </c>
      <c r="L4" s="1" t="s">
        <v>815</v>
      </c>
      <c r="M4" s="346">
        <f t="shared" ref="M4:T4" si="3">INDEX($B$12:$I$20,$M$1,M$2)</f>
        <v>55.0635</v>
      </c>
      <c r="N4" s="346">
        <f t="shared" si="3"/>
        <v>55.59482149</v>
      </c>
      <c r="O4" s="346">
        <f t="shared" si="3"/>
        <v>48.51471139</v>
      </c>
      <c r="P4" s="346">
        <f t="shared" si="3"/>
        <v>40.0947928</v>
      </c>
      <c r="Q4" s="346">
        <f t="shared" si="3"/>
        <v>32.51033514</v>
      </c>
      <c r="R4" s="346">
        <f t="shared" si="3"/>
        <v>24.64305974</v>
      </c>
      <c r="S4" s="346">
        <f t="shared" si="3"/>
        <v>23.48677814</v>
      </c>
      <c r="T4" s="346">
        <f t="shared" si="3"/>
        <v>22.23297646</v>
      </c>
    </row>
    <row r="5" ht="14.25" customHeight="1">
      <c r="A5" s="345" t="s">
        <v>187</v>
      </c>
      <c r="B5" s="274">
        <f>SUMPRODUCT(calpetcfter*(Years=B$1))</f>
        <v>10.30055069</v>
      </c>
      <c r="C5" s="274">
        <f>SUMPRODUCT(calpetcfter*(Years=C$1))</f>
        <v>0</v>
      </c>
      <c r="D5" s="274">
        <f>SUMPRODUCT(calpetcfter*(Years=D$1))</f>
        <v>0</v>
      </c>
      <c r="E5" s="274">
        <f>SUMPRODUCT(calpetcfter*(Years=E$1))</f>
        <v>0</v>
      </c>
      <c r="F5" s="274">
        <f>SUMPRODUCT(calpetcfter*(Years=F$1))</f>
        <v>0</v>
      </c>
      <c r="G5" s="274">
        <f>SUMPRODUCT(calpetcfter*(Years=G$1))</f>
        <v>0</v>
      </c>
      <c r="H5" s="274">
        <f>SUMPRODUCT(calpetcfter*(Years=H$1))</f>
        <v>0</v>
      </c>
      <c r="I5" s="274">
        <f>SUMPRODUCT(calpetcfter*(Years=I$1))</f>
        <v>0</v>
      </c>
      <c r="J5" s="344">
        <f t="shared" si="1"/>
        <v>-1</v>
      </c>
    </row>
    <row r="6" ht="14.25" customHeight="1">
      <c r="A6" s="345" t="s">
        <v>816</v>
      </c>
      <c r="B6" s="274">
        <f>SUMPRODUCT(calgazcfter*(Years=B$1))</f>
        <v>19.92832716</v>
      </c>
      <c r="C6" s="274">
        <f>SUMPRODUCT(calgazcfter*(Years=C$1))</f>
        <v>0</v>
      </c>
      <c r="D6" s="274">
        <f>SUMPRODUCT(calgazcfter*(Years=D$1))</f>
        <v>0</v>
      </c>
      <c r="E6" s="274">
        <f>SUMPRODUCT(calgazcfter*(Years=E$1))</f>
        <v>0</v>
      </c>
      <c r="F6" s="274">
        <f>SUMPRODUCT(calgazcfter*(Years=F$1))</f>
        <v>0</v>
      </c>
      <c r="G6" s="274">
        <f>SUMPRODUCT(calgazcfter*(Years=G$1))</f>
        <v>0</v>
      </c>
      <c r="H6" s="274">
        <f>SUMPRODUCT(calgazcfter*(Years=H$1))</f>
        <v>0</v>
      </c>
      <c r="I6" s="274">
        <f>SUMPRODUCT(calgazcfter*(Years=I$1))</f>
        <v>0</v>
      </c>
      <c r="J6" s="344">
        <f t="shared" si="1"/>
        <v>-1</v>
      </c>
    </row>
    <row r="7" ht="14.25" customHeight="1">
      <c r="A7" s="345" t="s">
        <v>817</v>
      </c>
      <c r="B7" s="274">
        <f>SUMPRODUCT(calelccfter*(Years=B$1))</f>
        <v>31.21328016</v>
      </c>
      <c r="C7" s="274">
        <f>SUMPRODUCT(calelccfter*(Years=C$1))</f>
        <v>0</v>
      </c>
      <c r="D7" s="274">
        <f>SUMPRODUCT(calelccfter*(Years=D$1))</f>
        <v>0</v>
      </c>
      <c r="E7" s="274">
        <f>SUMPRODUCT(calelccfter*(Years=E$1))</f>
        <v>0</v>
      </c>
      <c r="F7" s="274">
        <f>SUMPRODUCT(calelccfter*(Years=F$1))</f>
        <v>0</v>
      </c>
      <c r="G7" s="274">
        <f>SUMPRODUCT(calelccfter*(Years=G$1))</f>
        <v>0</v>
      </c>
      <c r="H7" s="274">
        <f>SUMPRODUCT(calelccfter*(Years=H$1))</f>
        <v>0</v>
      </c>
      <c r="I7" s="274">
        <f>SUMPRODUCT(calelccfter*(Years=I$1))</f>
        <v>0</v>
      </c>
      <c r="J7" s="344">
        <f t="shared" si="1"/>
        <v>-1</v>
      </c>
    </row>
    <row r="8" ht="14.25" customHeight="1">
      <c r="A8" s="345" t="s">
        <v>818</v>
      </c>
      <c r="B8" s="274">
        <f>SUMPRODUCT(calvapcfter*(Years=B$1))</f>
        <v>0.7705568844</v>
      </c>
      <c r="C8" s="274">
        <f>SUMPRODUCT(calvapcfter*(Years=C$1))</f>
        <v>0</v>
      </c>
      <c r="D8" s="274">
        <f>SUMPRODUCT(calvapcfter*(Years=D$1))</f>
        <v>0</v>
      </c>
      <c r="E8" s="274">
        <f>SUMPRODUCT(calvapcfter*(Years=E$1))</f>
        <v>0</v>
      </c>
      <c r="F8" s="274">
        <f>SUMPRODUCT(calvapcfter*(Years=F$1))</f>
        <v>0</v>
      </c>
      <c r="G8" s="274">
        <f>SUMPRODUCT(calvapcfter*(Years=G$1))</f>
        <v>0</v>
      </c>
      <c r="H8" s="274">
        <f>SUMPRODUCT(calvapcfter*(Years=H$1))</f>
        <v>0</v>
      </c>
      <c r="I8" s="274">
        <f>SUMPRODUCT(calvapcfter*(Years=I$1))</f>
        <v>0</v>
      </c>
      <c r="J8" s="344">
        <f t="shared" si="1"/>
        <v>-1</v>
      </c>
    </row>
    <row r="9" ht="14.25" customHeight="1">
      <c r="A9" s="345" t="s">
        <v>819</v>
      </c>
      <c r="B9" s="274">
        <f>SUMPRODUCT(calpaccfter*(Years=B$1))</f>
        <v>2.215743133</v>
      </c>
      <c r="C9" s="274">
        <f>SUMPRODUCT(calpaccfter*(Years=C$1))</f>
        <v>0</v>
      </c>
      <c r="D9" s="274">
        <f>SUMPRODUCT(calpaccfter*(Years=D$1))</f>
        <v>0</v>
      </c>
      <c r="E9" s="274">
        <f>SUMPRODUCT(calpaccfter*(Years=E$1))</f>
        <v>0</v>
      </c>
      <c r="F9" s="274">
        <f>SUMPRODUCT(calpaccfter*(Years=F$1))</f>
        <v>0</v>
      </c>
      <c r="G9" s="274">
        <f>SUMPRODUCT(calpaccfter*(Years=G$1))</f>
        <v>0</v>
      </c>
      <c r="H9" s="274">
        <f>SUMPRODUCT(calpaccfter*(Years=H$1))</f>
        <v>0</v>
      </c>
      <c r="I9" s="274">
        <f>SUMPRODUCT(calpaccfter*(Years=I$1))</f>
        <v>0</v>
      </c>
      <c r="J9" s="344">
        <f t="shared" si="1"/>
        <v>-1</v>
      </c>
    </row>
    <row r="10" ht="14.25" customHeight="1">
      <c r="A10" s="345" t="s">
        <v>820</v>
      </c>
      <c r="B10" s="274">
        <f>SUMPRODUCT(calsthcfter*(Years=B$1))</f>
        <v>0.009999820025</v>
      </c>
      <c r="C10" s="274">
        <f>SUMPRODUCT(calsthcfter*(Years=C$1))</f>
        <v>0</v>
      </c>
      <c r="D10" s="274">
        <f>SUMPRODUCT(calsthcfter*(Years=D$1))</f>
        <v>0</v>
      </c>
      <c r="E10" s="274">
        <f>SUMPRODUCT(calsthcfter*(Years=E$1))</f>
        <v>0</v>
      </c>
      <c r="F10" s="274">
        <f>SUMPRODUCT(calsthcfter*(Years=F$1))</f>
        <v>0</v>
      </c>
      <c r="G10" s="274">
        <f>SUMPRODUCT(calsthcfter*(Years=G$1))</f>
        <v>0</v>
      </c>
      <c r="H10" s="274">
        <f>SUMPRODUCT(calsthcfter*(Years=H$1))</f>
        <v>0</v>
      </c>
      <c r="I10" s="274">
        <f>SUMPRODUCT(calsthcfter*(Years=I$1))</f>
        <v>0</v>
      </c>
      <c r="J10" s="344">
        <f t="shared" si="1"/>
        <v>-1</v>
      </c>
    </row>
    <row r="11" ht="14.25" customHeight="1">
      <c r="A11" s="347" t="s">
        <v>821</v>
      </c>
      <c r="B11" s="67"/>
      <c r="C11" s="67"/>
      <c r="D11" s="67"/>
      <c r="E11" s="67"/>
      <c r="F11" s="67"/>
      <c r="G11" s="67"/>
      <c r="H11" s="67"/>
      <c r="I11" s="67"/>
      <c r="J11" s="68"/>
    </row>
    <row r="12" ht="14.25" customHeight="1">
      <c r="A12" s="180" t="s">
        <v>822</v>
      </c>
      <c r="B12" s="348">
        <f>SUMPRODUCT(toccfter*(Years=B$1))</f>
        <v>55.0635</v>
      </c>
      <c r="C12" s="348">
        <f>SUMPRODUCT(toccfter*(Years=C$1))</f>
        <v>55.59482149</v>
      </c>
      <c r="D12" s="348">
        <f>SUMPRODUCT(toccfter*(Years=D$1))</f>
        <v>48.51471139</v>
      </c>
      <c r="E12" s="348">
        <f>SUMPRODUCT(toccfter*(Years=E$1))</f>
        <v>40.0947928</v>
      </c>
      <c r="F12" s="348">
        <f>SUMPRODUCT(toccfter*(Years=F$1))</f>
        <v>32.51033514</v>
      </c>
      <c r="G12" s="348">
        <f>SUMPRODUCT(toccfter*(Years=G$1))</f>
        <v>24.64305974</v>
      </c>
      <c r="H12" s="348">
        <f>SUMPRODUCT(toccfter*(Years=H$1))</f>
        <v>23.48677814</v>
      </c>
      <c r="I12" s="348">
        <f>SUMPRODUCT(toccfter*(Years=I$1))</f>
        <v>22.23297646</v>
      </c>
      <c r="J12" s="349">
        <f t="shared" ref="J12:J20" si="4">(I12-B12)/B12</f>
        <v>-0.5962302348</v>
      </c>
    </row>
    <row r="13" ht="14.25" customHeight="1">
      <c r="A13" s="122" t="s">
        <v>823</v>
      </c>
      <c r="B13" s="348">
        <f>SUMPRODUCT(cmscfter*(Years=B$1))</f>
        <v>0</v>
      </c>
      <c r="C13" s="348">
        <f>SUMPRODUCT(cmscfter*(Years=C$1))</f>
        <v>0</v>
      </c>
      <c r="D13" s="348">
        <f>SUMPRODUCT(cmscfter*(Years=D$1))</f>
        <v>0</v>
      </c>
      <c r="E13" s="348">
        <f>SUMPRODUCT(cmscfter*(Years=E$1))</f>
        <v>0</v>
      </c>
      <c r="F13" s="348">
        <f>SUMPRODUCT(cmscfter*(Years=F$1))</f>
        <v>0</v>
      </c>
      <c r="G13" s="348">
        <f>SUMPRODUCT(cmscfter*(Years=G$1))</f>
        <v>0</v>
      </c>
      <c r="H13" s="348">
        <f>SUMPRODUCT(cmscfter*(Years=H$1))</f>
        <v>0</v>
      </c>
      <c r="I13" s="348">
        <f>SUMPRODUCT(cmscfter*(Years=I$1))</f>
        <v>0</v>
      </c>
      <c r="J13" s="349" t="str">
        <f t="shared" si="4"/>
        <v>#DIV/0!</v>
      </c>
    </row>
    <row r="14" ht="14.25" customHeight="1">
      <c r="A14" s="122" t="s">
        <v>824</v>
      </c>
      <c r="B14" s="348">
        <f>SUMPRODUCT(enccfter*(Years=B$1))</f>
        <v>0.2292641858</v>
      </c>
      <c r="C14" s="348">
        <f>SUMPRODUCT(enccfter*(Years=C$1))</f>
        <v>0.2314764133</v>
      </c>
      <c r="D14" s="348">
        <f>SUMPRODUCT(enccfter*(Years=D$1))</f>
        <v>0.5283726634</v>
      </c>
      <c r="E14" s="348">
        <f>SUMPRODUCT(enccfter*(Years=E$1))</f>
        <v>0.7064030395</v>
      </c>
      <c r="F14" s="348">
        <f>SUMPRODUCT(enccfter*(Years=F$1))</f>
        <v>0.7914858674</v>
      </c>
      <c r="G14" s="348">
        <f>SUMPRODUCT(enccfter*(Years=G$1))</f>
        <v>0.7657341606</v>
      </c>
      <c r="H14" s="348">
        <f>SUMPRODUCT(enccfter*(Years=H$1))</f>
        <v>1.000668443</v>
      </c>
      <c r="I14" s="348">
        <f>SUMPRODUCT(enccfter*(Years=I$1))</f>
        <v>0.9472494619</v>
      </c>
      <c r="J14" s="349">
        <f t="shared" si="4"/>
        <v>3.131694004</v>
      </c>
    </row>
    <row r="15" ht="14.25" customHeight="1">
      <c r="A15" s="122" t="s">
        <v>825</v>
      </c>
      <c r="B15" s="348">
        <f>SUMPRODUCT(petcfter*(Years=B$1))</f>
        <v>9.103625585</v>
      </c>
      <c r="C15" s="348">
        <f>SUMPRODUCT(petcfter*(Years=C$1))</f>
        <v>9.191468745</v>
      </c>
      <c r="D15" s="348">
        <f>SUMPRODUCT(petcfter*(Years=D$1))</f>
        <v>6.617256594</v>
      </c>
      <c r="E15" s="348">
        <f>SUMPRODUCT(petcfter*(Years=E$1))</f>
        <v>4.308756036</v>
      </c>
      <c r="F15" s="348">
        <f>SUMPRODUCT(petcfter*(Years=F$1))</f>
        <v>2.553087098</v>
      </c>
      <c r="G15" s="348">
        <f>SUMPRODUCT(petcfter*(Years=G$1))</f>
        <v>1.222268049</v>
      </c>
      <c r="H15" s="348">
        <f>SUMPRODUCT(petcfter*(Years=H$1))</f>
        <v>0</v>
      </c>
      <c r="I15" s="348">
        <f>SUMPRODUCT(petcfter*(Years=I$1))</f>
        <v>0</v>
      </c>
      <c r="J15" s="349">
        <f t="shared" si="4"/>
        <v>-1</v>
      </c>
    </row>
    <row r="16" ht="14.25" customHeight="1">
      <c r="A16" s="122" t="s">
        <v>826</v>
      </c>
      <c r="B16" s="348">
        <f>SUMPRODUCT(gazcfter*(Years=B$1))</f>
        <v>22.3929687</v>
      </c>
      <c r="C16" s="348">
        <f>SUMPRODUCT(gazcfter*(Years=C$1))</f>
        <v>22.60904405</v>
      </c>
      <c r="D16" s="348">
        <f>SUMPRODUCT(gazcfter*(Years=D$1))</f>
        <v>16.27703363</v>
      </c>
      <c r="E16" s="348">
        <f>SUMPRODUCT(gazcfter*(Years=E$1))</f>
        <v>10.5986168</v>
      </c>
      <c r="F16" s="348">
        <f>SUMPRODUCT(gazcfter*(Years=F$1))</f>
        <v>6.28004732</v>
      </c>
      <c r="G16" s="348">
        <f>SUMPRODUCT(gazcfter*(Years=G$1))</f>
        <v>3.006517559</v>
      </c>
      <c r="H16" s="348">
        <f>SUMPRODUCT(gazcfter*(Years=H$1))</f>
        <v>0</v>
      </c>
      <c r="I16" s="348">
        <f>SUMPRODUCT(gazcfter*(Years=I$1))</f>
        <v>0</v>
      </c>
      <c r="J16" s="349">
        <f t="shared" si="4"/>
        <v>-1</v>
      </c>
    </row>
    <row r="17" ht="14.25" customHeight="1">
      <c r="A17" s="122" t="s">
        <v>827</v>
      </c>
      <c r="B17" s="348">
        <f>SUMPRODUCT(elccfter*(Years=B$1))</f>
        <v>22.63152469</v>
      </c>
      <c r="C17" s="348">
        <f>SUMPRODUCT(elccfter*(Years=C$1))</f>
        <v>22.84990193</v>
      </c>
      <c r="D17" s="348">
        <f>SUMPRODUCT(elccfter*(Years=D$1))</f>
        <v>22.01039582</v>
      </c>
      <c r="E17" s="348">
        <f>SUMPRODUCT(elccfter*(Years=E$1))</f>
        <v>19.90154029</v>
      </c>
      <c r="F17" s="348">
        <f>SUMPRODUCT(elccfter*(Years=F$1))</f>
        <v>17.52435342</v>
      </c>
      <c r="G17" s="348">
        <f>SUMPRODUCT(elccfter*(Years=G$1))</f>
        <v>14.33527931</v>
      </c>
      <c r="H17" s="348">
        <f>SUMPRODUCT(elccfter*(Years=H$1))</f>
        <v>15.38096673</v>
      </c>
      <c r="I17" s="348">
        <f>SUMPRODUCT(elccfter*(Years=I$1))</f>
        <v>14.55988</v>
      </c>
      <c r="J17" s="349">
        <f t="shared" si="4"/>
        <v>-0.3566549224</v>
      </c>
    </row>
    <row r="18" ht="14.25" customHeight="1">
      <c r="A18" s="122" t="s">
        <v>828</v>
      </c>
      <c r="B18" s="348">
        <f>SUMPRODUCT(vapcfter*(Years=B$1))</f>
        <v>0.5776113604</v>
      </c>
      <c r="C18" s="348">
        <f>SUMPRODUCT(vapcfter*(Years=C$1))</f>
        <v>0.583184877</v>
      </c>
      <c r="D18" s="348">
        <f>SUMPRODUCT(vapcfter*(Years=D$1))</f>
        <v>1.436740891</v>
      </c>
      <c r="E18" s="348">
        <f>SUMPRODUCT(vapcfter*(Years=E$1))</f>
        <v>1.954186825</v>
      </c>
      <c r="F18" s="348">
        <f>SUMPRODUCT(vapcfter*(Years=F$1))</f>
        <v>2.206274704</v>
      </c>
      <c r="G18" s="348">
        <f>SUMPRODUCT(vapcfter*(Years=G$1))</f>
        <v>2.143660868</v>
      </c>
      <c r="H18" s="348">
        <f>SUMPRODUCT(vapcfter*(Years=H$1))</f>
        <v>2.813093534</v>
      </c>
      <c r="I18" s="348">
        <f>SUMPRODUCT(vapcfter*(Years=I$1))</f>
        <v>2.662921324</v>
      </c>
      <c r="J18" s="349">
        <f t="shared" si="4"/>
        <v>3.610230177</v>
      </c>
    </row>
    <row r="19" ht="14.25" customHeight="1">
      <c r="A19" s="122" t="s">
        <v>829</v>
      </c>
      <c r="B19" s="348">
        <f>SUMPRODUCT(paccfter*(Years=B$1))</f>
        <v>0.1134361286</v>
      </c>
      <c r="C19" s="348">
        <f>SUMPRODUCT(paccfter*(Years=C$1))</f>
        <v>0.1145307022</v>
      </c>
      <c r="D19" s="348">
        <f>SUMPRODUCT(paccfter*(Years=D$1))</f>
        <v>1.589310572</v>
      </c>
      <c r="E19" s="348">
        <f>SUMPRODUCT(paccfter*(Years=E$1))</f>
        <v>2.544359821</v>
      </c>
      <c r="F19" s="348">
        <f>SUMPRODUCT(paccfter*(Years=F$1))</f>
        <v>3.061103805</v>
      </c>
      <c r="G19" s="348">
        <f>SUMPRODUCT(paccfter*(Years=G$1))</f>
        <v>3.076861553</v>
      </c>
      <c r="H19" s="348">
        <f>SUMPRODUCT(paccfter*(Years=H$1))</f>
        <v>4.168537213</v>
      </c>
      <c r="I19" s="348">
        <f>SUMPRODUCT(paccfter*(Years=I$1))</f>
        <v>3.94600695</v>
      </c>
      <c r="J19" s="349">
        <f t="shared" si="4"/>
        <v>33.78615675</v>
      </c>
    </row>
    <row r="20" ht="14.25" customHeight="1">
      <c r="A20" s="122" t="s">
        <v>830</v>
      </c>
      <c r="B20" s="348">
        <f>SUMPRODUCT(sthcfter*(Years=B$1))</f>
        <v>0.01506935814</v>
      </c>
      <c r="C20" s="348">
        <f>SUMPRODUCT(sthcfter*(Years=C$1))</f>
        <v>0.01521476615</v>
      </c>
      <c r="D20" s="348">
        <f>SUMPRODUCT(sthcfter*(Years=D$1))</f>
        <v>0.05560122076</v>
      </c>
      <c r="E20" s="348">
        <f>SUMPRODUCT(sthcfter*(Years=E$1))</f>
        <v>0.08092998462</v>
      </c>
      <c r="F20" s="348">
        <f>SUMPRODUCT(sthcfter*(Years=F$1))</f>
        <v>0.09398292951</v>
      </c>
      <c r="G20" s="348">
        <f>SUMPRODUCT(sthcfter*(Years=G$1))</f>
        <v>0.0927382426</v>
      </c>
      <c r="H20" s="348">
        <f>SUMPRODUCT(sthcfter*(Years=H$1))</f>
        <v>0.1235122137</v>
      </c>
      <c r="I20" s="348">
        <f>SUMPRODUCT(sthcfter*(Years=I$1))</f>
        <v>0.1169187244</v>
      </c>
      <c r="J20" s="349">
        <f t="shared" si="4"/>
        <v>6.758706332</v>
      </c>
    </row>
    <row r="21" ht="14.25" customHeight="1"/>
    <row r="22" ht="14.25" customHeight="1"/>
    <row r="23" ht="14.25" customHeight="1">
      <c r="A23" s="340" t="s">
        <v>1235</v>
      </c>
      <c r="B23" s="62">
        <f>ReferenceYear</f>
        <v>2015</v>
      </c>
      <c r="C23" s="62">
        <f>IFERROR(IF(B23+5&lt;=TargetYear,B23+5,""),"")</f>
        <v>2020</v>
      </c>
      <c r="D23" s="62">
        <f>IFERROR(IF(C23+5&lt;=TargetYear,C23+5,""),"")</f>
        <v>2025</v>
      </c>
      <c r="E23" s="62">
        <f>IFERROR(IF(D23+5&lt;=TargetYear,D23+5,""),"")</f>
        <v>2030</v>
      </c>
      <c r="F23" s="62">
        <f>IFERROR(IF(E23+5&lt;=TargetYear,E23+5,""),"")</f>
        <v>2035</v>
      </c>
      <c r="G23" s="62">
        <f>IFERROR(IF(F23+5&lt;=TargetYear,F23+5,""),"")</f>
        <v>2040</v>
      </c>
      <c r="H23" s="62">
        <f>IFERROR(IF(G23+5&lt;=TargetYear,G23+5,""),"")</f>
        <v>2045</v>
      </c>
      <c r="I23" s="62">
        <f>IFERROR(IF(H23+5&lt;=TargetYear,H23+5,""),"")</f>
        <v>2050</v>
      </c>
      <c r="J23" s="341" t="s">
        <v>812</v>
      </c>
    </row>
    <row r="24" ht="14.25" customHeight="1">
      <c r="A24" s="343" t="s">
        <v>248</v>
      </c>
      <c r="B24" s="274">
        <f>SUMPRODUCT(caltoccfter*(Years=B$1))</f>
        <v>64.64514641</v>
      </c>
      <c r="C24" s="274">
        <f>SUMPRODUCT(caltoccfter*(Years=C$1))</f>
        <v>0</v>
      </c>
      <c r="D24" s="274">
        <f>SUMPRODUCT(caltoccfter*(Years=D$1))</f>
        <v>0</v>
      </c>
      <c r="E24" s="274">
        <f>SUMPRODUCT(caltoccfter*(Years=E$1))</f>
        <v>0</v>
      </c>
      <c r="F24" s="274">
        <f>SUMPRODUCT(caltoccfter*(Years=F$1))</f>
        <v>0</v>
      </c>
      <c r="G24" s="274">
        <f>SUMPRODUCT(caltoccfter*(Years=G$1))</f>
        <v>0</v>
      </c>
      <c r="H24" s="274">
        <f>SUMPRODUCT(caltoccfter*(Years=H$1))</f>
        <v>0</v>
      </c>
      <c r="I24" s="274">
        <f>SUMPRODUCT(caltoccfter*(Years=I$1))</f>
        <v>0</v>
      </c>
      <c r="J24" s="344">
        <f t="shared" ref="J24:J29" si="5">(I24-B24)/B24</f>
        <v>-1</v>
      </c>
    </row>
    <row r="25" ht="14.25" customHeight="1">
      <c r="A25" s="345" t="s">
        <v>647</v>
      </c>
      <c r="B25" s="330">
        <f>SUMPRODUCT(IF(crdaliterchf=1,IF('EDCM - Tertiary'!$F$34="toccfterchf",toccfterchf,toccfterchc),caltoccfterchf)*(Years=B$1))</f>
        <v>0</v>
      </c>
      <c r="C25" s="330">
        <f>SUMPRODUCT(IF(crdaliterchf=1,IF('EDCM - Tertiary'!$F$34="toccfterchf",toccfterchf,toccfterchc),caltoccfterchf)*(Years=C$1))</f>
        <v>0</v>
      </c>
      <c r="D25" s="330">
        <f>SUMPRODUCT(IF(crdaliterchf=1,IF('EDCM - Tertiary'!$F$34="toccfterchf",toccfterchf,toccfterchc),caltoccfterchf)*(Years=D$1))</f>
        <v>0</v>
      </c>
      <c r="E25" s="330">
        <f>SUMPRODUCT(IF(crdaliterchf=1,IF('EDCM - Tertiary'!$F$34="toccfterchf",toccfterchf,toccfterchc),caltoccfterchf)*(Years=E$1))</f>
        <v>0</v>
      </c>
      <c r="F25" s="330">
        <f>SUMPRODUCT(IF(crdaliterchf=1,IF('EDCM - Tertiary'!$F$34="toccfterchf",toccfterchf,toccfterchc),caltoccfterchf)*(Years=F$1))</f>
        <v>0</v>
      </c>
      <c r="G25" s="330">
        <f>SUMPRODUCT(IF(crdaliterchf=1,IF('EDCM - Tertiary'!$F$34="toccfterchf",toccfterchf,toccfterchc),caltoccfterchf)*(Years=G$1))</f>
        <v>0</v>
      </c>
      <c r="H25" s="330">
        <f>SUMPRODUCT(IF(crdaliterchf=1,IF('EDCM - Tertiary'!$F$34="toccfterchf",toccfterchf,toccfterchc),caltoccfterchf)*(Years=H$1))</f>
        <v>0</v>
      </c>
      <c r="I25" s="330">
        <f>SUMPRODUCT(IF(crdaliterchf=1,IF('EDCM - Tertiary'!$F$34="toccfterchf",toccfterchf,toccfterchc),caltoccfterchf)*(Years=I$1))</f>
        <v>0</v>
      </c>
      <c r="J25" s="344" t="str">
        <f t="shared" si="5"/>
        <v>#DIV/0!</v>
      </c>
    </row>
    <row r="26" ht="14.25" customHeight="1">
      <c r="A26" s="345" t="s">
        <v>696</v>
      </c>
      <c r="B26" s="274">
        <f>SUMPRODUCT(caltoccftercli*(Years=B$1))</f>
        <v>0.92284156</v>
      </c>
      <c r="C26" s="274">
        <f>SUMPRODUCT(caltoccftercli*(Years=C$1))</f>
        <v>0</v>
      </c>
      <c r="D26" s="274">
        <f>SUMPRODUCT(caltoccftercli*(Years=D$1))</f>
        <v>0</v>
      </c>
      <c r="E26" s="274">
        <f>SUMPRODUCT(caltoccftercli*(Years=E$1))</f>
        <v>0</v>
      </c>
      <c r="F26" s="274">
        <f>SUMPRODUCT(caltoccftercli*(Years=F$1))</f>
        <v>0</v>
      </c>
      <c r="G26" s="274">
        <f>SUMPRODUCT(caltoccftercli*(Years=G$1))</f>
        <v>0</v>
      </c>
      <c r="H26" s="274">
        <f>SUMPRODUCT(caltoccftercli*(Years=H$1))</f>
        <v>0</v>
      </c>
      <c r="I26" s="274">
        <f>SUMPRODUCT(caltoccftercli*(Years=I$1))</f>
        <v>0</v>
      </c>
      <c r="J26" s="344">
        <f t="shared" si="5"/>
        <v>-1</v>
      </c>
    </row>
    <row r="27" ht="14.25" customHeight="1">
      <c r="A27" s="345" t="s">
        <v>727</v>
      </c>
      <c r="B27" s="274">
        <f>SUMPRODUCT(toccfterecs*(Years=B$1))</f>
        <v>4.67541944</v>
      </c>
      <c r="C27" s="274">
        <f>SUMPRODUCT(toccfterecs*(Years=C$1))</f>
        <v>0</v>
      </c>
      <c r="D27" s="274">
        <f>SUMPRODUCT(toccfterecs*(Years=D$1))</f>
        <v>0</v>
      </c>
      <c r="E27" s="274">
        <f>SUMPRODUCT(toccfterecs*(Years=E$1))</f>
        <v>0</v>
      </c>
      <c r="F27" s="274">
        <f>SUMPRODUCT(toccfterecs*(Years=F$1))</f>
        <v>0</v>
      </c>
      <c r="G27" s="274">
        <f>SUMPRODUCT(toccfterecs*(Years=G$1))</f>
        <v>0</v>
      </c>
      <c r="H27" s="274">
        <f>SUMPRODUCT(toccfterecs*(Years=H$1))</f>
        <v>0</v>
      </c>
      <c r="I27" s="274">
        <f>SUMPRODUCT(toccfterecs*(Years=I$1))</f>
        <v>0</v>
      </c>
      <c r="J27" s="344">
        <f t="shared" si="5"/>
        <v>-1</v>
      </c>
    </row>
    <row r="28" ht="14.25" customHeight="1">
      <c r="A28" s="345" t="s">
        <v>731</v>
      </c>
      <c r="B28" s="274">
        <f>SUMPRODUCT(toccftercui*(Years=B$1))</f>
        <v>4.434409645</v>
      </c>
      <c r="C28" s="274">
        <f>SUMPRODUCT(toccftercui*(Years=C$1))</f>
        <v>0</v>
      </c>
      <c r="D28" s="274">
        <f>SUMPRODUCT(toccftercui*(Years=D$1))</f>
        <v>0</v>
      </c>
      <c r="E28" s="274">
        <f>SUMPRODUCT(toccftercui*(Years=E$1))</f>
        <v>0</v>
      </c>
      <c r="F28" s="274">
        <f>SUMPRODUCT(toccftercui*(Years=F$1))</f>
        <v>0</v>
      </c>
      <c r="G28" s="274">
        <f>SUMPRODUCT(toccftercui*(Years=G$1))</f>
        <v>0</v>
      </c>
      <c r="H28" s="274">
        <f>SUMPRODUCT(toccftercui*(Years=H$1))</f>
        <v>0</v>
      </c>
      <c r="I28" s="274">
        <f>SUMPRODUCT(toccftercui*(Years=I$1))</f>
        <v>0</v>
      </c>
      <c r="J28" s="344">
        <f t="shared" si="5"/>
        <v>-1</v>
      </c>
    </row>
    <row r="29" ht="14.25" customHeight="1">
      <c r="A29" s="345" t="s">
        <v>832</v>
      </c>
      <c r="B29" s="274">
        <f>SUMPRODUCT(caltocelscfter*(Years=B$1))</f>
        <v>23.33804889</v>
      </c>
      <c r="C29" s="274">
        <f>SUMPRODUCT(caltocelscfter*(Years=C$1))</f>
        <v>0</v>
      </c>
      <c r="D29" s="274">
        <f>SUMPRODUCT(caltocelscfter*(Years=D$1))</f>
        <v>0</v>
      </c>
      <c r="E29" s="274">
        <f>SUMPRODUCT(caltocelscfter*(Years=E$1))</f>
        <v>0</v>
      </c>
      <c r="F29" s="274">
        <f>SUMPRODUCT(caltocelscfter*(Years=F$1))</f>
        <v>0</v>
      </c>
      <c r="G29" s="274">
        <f>SUMPRODUCT(caltocelscfter*(Years=G$1))</f>
        <v>0</v>
      </c>
      <c r="H29" s="274">
        <f>SUMPRODUCT(caltocelscfter*(Years=H$1))</f>
        <v>0</v>
      </c>
      <c r="I29" s="274">
        <f>SUMPRODUCT(caltocelscfter*(Years=I$1))</f>
        <v>0</v>
      </c>
      <c r="J29" s="344">
        <f t="shared" si="5"/>
        <v>-1</v>
      </c>
    </row>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11:J11"/>
  </mergeCells>
  <dataValidations>
    <dataValidation type="list" allowBlank="1" showErrorMessage="1" sqref="L1">
      <formula1>$A$2:$A$10</formula1>
    </dataValidation>
  </dataValidation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BE5D6"/>
    <pageSetUpPr/>
  </sheetPr>
  <sheetViews>
    <sheetView showGridLines="0" workbookViewId="0"/>
  </sheetViews>
  <sheetFormatPr customHeight="1" defaultColWidth="14.43" defaultRowHeight="15.0"/>
  <cols>
    <col customWidth="1" min="1" max="26" width="10.57"/>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6BD3"/>
    <pageSetUpPr/>
  </sheetPr>
  <sheetViews>
    <sheetView showGridLines="0" workbookViewId="0"/>
  </sheetViews>
  <sheetFormatPr customHeight="1" defaultColWidth="14.43" defaultRowHeight="15.0" outlineLevelCol="1" outlineLevelRow="6"/>
  <cols>
    <col customWidth="1" min="1" max="4" width="2.43"/>
    <col customWidth="1" min="5" max="5" width="78.43"/>
    <col customWidth="1" min="6" max="6" width="17.43"/>
    <col customWidth="1" min="7" max="7" width="14.57"/>
    <col customWidth="1" hidden="1" min="8" max="22" width="10.57" outlineLevel="1"/>
    <col customWidth="1" min="23" max="23" width="10.57"/>
    <col customWidth="1" hidden="1" min="24" max="27" width="11.57" outlineLevel="1"/>
    <col customWidth="1" min="28" max="37" width="10.57"/>
    <col customWidth="1" min="38" max="38" width="70.14"/>
    <col customWidth="1" min="39" max="39" width="105.43"/>
    <col customWidth="1" hidden="1" min="40" max="40" width="10.57"/>
    <col customWidth="1" min="41" max="41" width="6.43"/>
  </cols>
  <sheetData>
    <row r="1" ht="14.25" customHeight="1">
      <c r="A1" s="147" t="s">
        <v>49</v>
      </c>
      <c r="B1" s="148"/>
      <c r="C1" s="148"/>
      <c r="D1" s="148"/>
      <c r="E1" s="149"/>
      <c r="F1" s="114" t="s">
        <v>50</v>
      </c>
      <c r="G1" s="114" t="s">
        <v>51</v>
      </c>
      <c r="H1" s="114">
        <v>2000.0</v>
      </c>
      <c r="I1" s="114">
        <v>2001.0</v>
      </c>
      <c r="J1" s="114">
        <v>2002.0</v>
      </c>
      <c r="K1" s="114">
        <v>2003.0</v>
      </c>
      <c r="L1" s="114">
        <v>2004.0</v>
      </c>
      <c r="M1" s="114">
        <v>2005.0</v>
      </c>
      <c r="N1" s="114">
        <v>2006.0</v>
      </c>
      <c r="O1" s="114">
        <v>2007.0</v>
      </c>
      <c r="P1" s="114">
        <v>2008.0</v>
      </c>
      <c r="Q1" s="114">
        <v>2009.0</v>
      </c>
      <c r="R1" s="114">
        <v>2010.0</v>
      </c>
      <c r="S1" s="114">
        <v>2011.0</v>
      </c>
      <c r="T1" s="114">
        <v>2012.0</v>
      </c>
      <c r="U1" s="114">
        <v>2013.0</v>
      </c>
      <c r="V1" s="114">
        <v>2014.0</v>
      </c>
      <c r="W1" s="114">
        <f>ReferenceYear</f>
        <v>2015</v>
      </c>
      <c r="X1" s="114">
        <v>2016.0</v>
      </c>
      <c r="Y1" s="114">
        <v>2017.0</v>
      </c>
      <c r="Z1" s="114">
        <v>2018.0</v>
      </c>
      <c r="AA1" s="114">
        <v>2019.0</v>
      </c>
      <c r="AB1" s="114">
        <f>IFERROR(IF(W1+5&lt;=TargetYear,W1+5,""),"")</f>
        <v>2020</v>
      </c>
      <c r="AC1" s="114">
        <f>IFERROR(IF(AB1+5&lt;=TargetYear,AB1+5,""),"")</f>
        <v>2025</v>
      </c>
      <c r="AD1" s="114">
        <f>IFERROR(IF(AC1+5&lt;=TargetYear,AC1+5,""),"")</f>
        <v>2030</v>
      </c>
      <c r="AE1" s="114">
        <f>IFERROR(IF(AD1+5&lt;=TargetYear,AD1+5,""),"")</f>
        <v>2035</v>
      </c>
      <c r="AF1" s="114">
        <f>IFERROR(IF(AE1+5&lt;=TargetYear,AE1+5,""),"")</f>
        <v>2040</v>
      </c>
      <c r="AG1" s="114">
        <f>IFERROR(IF(AF1+5&lt;=TargetYear,AF1+5,""),"")</f>
        <v>2045</v>
      </c>
      <c r="AH1" s="114">
        <f>IFERROR(IF(AG1+5&lt;=TargetYear,AG1+5,""),"")</f>
        <v>2050</v>
      </c>
      <c r="AI1" s="114" t="s">
        <v>52</v>
      </c>
      <c r="AJ1" s="114" t="s">
        <v>53</v>
      </c>
      <c r="AK1" s="114" t="s">
        <v>54</v>
      </c>
      <c r="AL1" s="114" t="s">
        <v>55</v>
      </c>
      <c r="AM1" s="114" t="s">
        <v>56</v>
      </c>
      <c r="AN1" s="115" t="s">
        <v>127</v>
      </c>
      <c r="AO1" s="150"/>
    </row>
    <row r="2" ht="14.25" customHeight="1">
      <c r="A2" s="220" t="s">
        <v>252</v>
      </c>
      <c r="B2" s="221"/>
      <c r="C2" s="221"/>
      <c r="D2" s="221"/>
      <c r="E2" s="221"/>
      <c r="F2" s="221"/>
      <c r="G2" s="221"/>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6"/>
      <c r="AJ2" s="386"/>
      <c r="AK2" s="386"/>
      <c r="AL2" s="386"/>
      <c r="AM2" s="221"/>
      <c r="AN2" s="100" t="b">
        <f t="shared" ref="AN2:AN95" si="1">_xlfn.ISFORMULA(H2)</f>
        <v>0</v>
      </c>
      <c r="AO2" s="102"/>
    </row>
    <row r="3" ht="9.75" customHeight="1">
      <c r="A3" s="166"/>
      <c r="B3" s="167"/>
      <c r="C3" s="167"/>
      <c r="D3" s="167"/>
      <c r="E3" s="167"/>
      <c r="F3" s="168"/>
      <c r="G3" s="168"/>
      <c r="H3" s="169"/>
      <c r="I3" s="169"/>
      <c r="J3" s="169"/>
      <c r="K3" s="169"/>
      <c r="L3" s="169"/>
      <c r="M3" s="169"/>
      <c r="N3" s="169"/>
      <c r="O3" s="169"/>
      <c r="P3" s="169"/>
      <c r="Q3" s="169"/>
      <c r="R3" s="169"/>
      <c r="S3" s="169"/>
      <c r="T3" s="169"/>
      <c r="U3" s="169"/>
      <c r="V3" s="169"/>
      <c r="W3" s="169"/>
      <c r="X3" s="169"/>
      <c r="Y3" s="169"/>
      <c r="Z3" s="169"/>
      <c r="AA3" s="169"/>
      <c r="AB3" s="169"/>
      <c r="AC3" s="169"/>
      <c r="AD3" s="169"/>
      <c r="AE3" s="169"/>
      <c r="AF3" s="169"/>
      <c r="AG3" s="169"/>
      <c r="AH3" s="169"/>
      <c r="AI3" s="383"/>
      <c r="AJ3" s="383"/>
      <c r="AK3" s="383"/>
      <c r="AL3" s="383"/>
      <c r="AM3" s="167"/>
      <c r="AN3" s="100" t="b">
        <f t="shared" si="1"/>
        <v>0</v>
      </c>
      <c r="AO3" s="102"/>
    </row>
    <row r="4" ht="14.25" customHeight="1">
      <c r="A4" s="387" t="s">
        <v>28</v>
      </c>
      <c r="B4" s="388"/>
      <c r="C4" s="388"/>
      <c r="D4" s="388"/>
      <c r="E4" s="388"/>
      <c r="F4" s="388"/>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8"/>
      <c r="AJ4" s="388"/>
      <c r="AK4" s="388"/>
      <c r="AL4" s="388"/>
      <c r="AM4" s="388"/>
      <c r="AN4" s="100" t="b">
        <f t="shared" si="1"/>
        <v>0</v>
      </c>
      <c r="AO4" s="102"/>
    </row>
    <row r="5" ht="14.25" customHeight="1" outlineLevel="1">
      <c r="A5" s="390" t="s">
        <v>1236</v>
      </c>
      <c r="B5" s="162"/>
      <c r="C5" s="162"/>
      <c r="D5" s="100"/>
      <c r="E5" s="162"/>
      <c r="F5" s="162"/>
      <c r="G5" s="162"/>
      <c r="H5" s="178"/>
      <c r="I5" s="178"/>
      <c r="J5" s="178"/>
      <c r="K5" s="178"/>
      <c r="L5" s="178"/>
      <c r="M5" s="178"/>
      <c r="N5" s="178"/>
      <c r="O5" s="178"/>
      <c r="P5" s="178"/>
      <c r="Q5" s="178"/>
      <c r="R5" s="178"/>
      <c r="S5" s="178"/>
      <c r="T5" s="178"/>
      <c r="U5" s="178"/>
      <c r="V5" s="178"/>
      <c r="W5" s="178"/>
      <c r="X5" s="178"/>
      <c r="Y5" s="178"/>
      <c r="Z5" s="178"/>
      <c r="AA5" s="178"/>
      <c r="AB5" s="178"/>
      <c r="AC5" s="178"/>
      <c r="AD5" s="178"/>
      <c r="AE5" s="178"/>
      <c r="AF5" s="178"/>
      <c r="AG5" s="178"/>
      <c r="AH5" s="178"/>
      <c r="AI5" s="100"/>
      <c r="AJ5" s="100"/>
      <c r="AK5" s="100"/>
      <c r="AL5" s="100"/>
      <c r="AM5" s="100"/>
      <c r="AN5" s="100" t="b">
        <f t="shared" si="1"/>
        <v>0</v>
      </c>
      <c r="AO5" s="102"/>
    </row>
    <row r="6" ht="14.25" customHeight="1" outlineLevel="2">
      <c r="A6" s="390"/>
      <c r="B6" s="391"/>
      <c r="C6" s="391"/>
      <c r="D6" s="391"/>
      <c r="E6" s="392" t="s">
        <v>1237</v>
      </c>
      <c r="F6" s="249" t="s">
        <v>1238</v>
      </c>
      <c r="G6" s="249" t="s">
        <v>110</v>
      </c>
      <c r="H6" s="260">
        <v>149.933089277934</v>
      </c>
      <c r="I6" s="181">
        <v>150.74498400295</v>
      </c>
      <c r="J6" s="181">
        <v>147.735790982582</v>
      </c>
      <c r="K6" s="181">
        <v>148.828311839421</v>
      </c>
      <c r="L6" s="181">
        <v>153.30392006377</v>
      </c>
      <c r="M6" s="181">
        <v>154.098272438028</v>
      </c>
      <c r="N6" s="181">
        <v>156.081256364795</v>
      </c>
      <c r="O6" s="181">
        <v>162.24646147266</v>
      </c>
      <c r="P6" s="181">
        <v>164.791040284696</v>
      </c>
      <c r="Q6" s="181">
        <v>168.697929226687</v>
      </c>
      <c r="R6" s="181">
        <v>170.310538989138</v>
      </c>
      <c r="S6" s="181">
        <v>173.609430819717</v>
      </c>
      <c r="T6" s="181">
        <v>167.865348283835</v>
      </c>
      <c r="U6" s="181">
        <v>159.135866996172</v>
      </c>
      <c r="V6" s="181">
        <v>164.583105345461</v>
      </c>
      <c r="W6" s="182">
        <v>164.782469221875</v>
      </c>
      <c r="X6" s="181"/>
      <c r="Y6" s="181"/>
      <c r="Z6" s="181"/>
      <c r="AA6" s="181"/>
      <c r="AB6" s="182">
        <v>184.3968616</v>
      </c>
      <c r="AC6" s="182">
        <v>181.339369854684</v>
      </c>
      <c r="AD6" s="182">
        <v>171.286059254684</v>
      </c>
      <c r="AE6" s="182">
        <v>170.220971254684</v>
      </c>
      <c r="AF6" s="182">
        <v>161.981291954684</v>
      </c>
      <c r="AG6" s="182">
        <v>157.404738454684</v>
      </c>
      <c r="AH6" s="184">
        <v>152.994095342609</v>
      </c>
      <c r="AI6" s="318"/>
      <c r="AJ6" s="318"/>
      <c r="AK6" s="318"/>
      <c r="AL6" s="318"/>
      <c r="AM6" s="251"/>
      <c r="AN6" s="100" t="b">
        <f t="shared" si="1"/>
        <v>0</v>
      </c>
      <c r="AO6" s="102"/>
    </row>
    <row r="7" ht="14.25" customHeight="1" outlineLevel="2">
      <c r="A7" s="390"/>
      <c r="B7" s="391"/>
      <c r="C7" s="391"/>
      <c r="D7" s="391"/>
      <c r="E7" s="392" t="s">
        <v>1239</v>
      </c>
      <c r="F7" s="249" t="s">
        <v>1238</v>
      </c>
      <c r="G7" s="249" t="s">
        <v>1240</v>
      </c>
      <c r="H7" s="260">
        <v>124.5013</v>
      </c>
      <c r="I7" s="181">
        <v>126.1701</v>
      </c>
      <c r="J7" s="181">
        <v>128.9864</v>
      </c>
      <c r="K7" s="181">
        <v>128.1354</v>
      </c>
      <c r="L7" s="181">
        <v>130.2838</v>
      </c>
      <c r="M7" s="181">
        <v>129.7417</v>
      </c>
      <c r="N7" s="181">
        <v>130.6003</v>
      </c>
      <c r="O7" s="181">
        <v>133.6653</v>
      </c>
      <c r="P7" s="181">
        <v>136.8019</v>
      </c>
      <c r="Q7" s="181">
        <v>137.0604</v>
      </c>
      <c r="R7" s="181">
        <v>138.522</v>
      </c>
      <c r="S7" s="181">
        <v>139.5758</v>
      </c>
      <c r="T7" s="181">
        <v>139.6963</v>
      </c>
      <c r="U7" s="181">
        <v>132.81</v>
      </c>
      <c r="V7" s="181">
        <v>135.7172</v>
      </c>
      <c r="W7" s="182">
        <v>133.0838</v>
      </c>
      <c r="X7" s="181">
        <v>130.793</v>
      </c>
      <c r="Y7" s="181">
        <v>132.0105</v>
      </c>
      <c r="Z7" s="181"/>
      <c r="AA7" s="181"/>
      <c r="AB7" s="182">
        <v>151.8968616</v>
      </c>
      <c r="AC7" s="182">
        <v>154.0281856</v>
      </c>
      <c r="AD7" s="182">
        <v>146.974875</v>
      </c>
      <c r="AE7" s="182">
        <v>147.409787</v>
      </c>
      <c r="AF7" s="182">
        <v>139.1701077</v>
      </c>
      <c r="AG7" s="182">
        <v>134.5935542</v>
      </c>
      <c r="AH7" s="184">
        <v>130.182911087925</v>
      </c>
      <c r="AI7" s="318"/>
      <c r="AJ7" s="318"/>
      <c r="AK7" s="318"/>
      <c r="AL7" s="318"/>
      <c r="AM7" s="251"/>
      <c r="AN7" s="100" t="b">
        <f t="shared" si="1"/>
        <v>0</v>
      </c>
      <c r="AO7" s="102"/>
    </row>
    <row r="8" ht="14.25" customHeight="1" outlineLevel="2">
      <c r="A8" s="390"/>
      <c r="B8" s="391"/>
      <c r="C8" s="391"/>
      <c r="D8" s="391"/>
      <c r="E8" s="252" t="s">
        <v>1241</v>
      </c>
      <c r="F8" s="123" t="s">
        <v>261</v>
      </c>
      <c r="G8" s="123" t="s">
        <v>1242</v>
      </c>
      <c r="H8" s="253"/>
      <c r="I8" s="254"/>
      <c r="J8" s="254"/>
      <c r="K8" s="254"/>
      <c r="L8" s="254"/>
      <c r="M8" s="254"/>
      <c r="N8" s="254"/>
      <c r="O8" s="254"/>
      <c r="P8" s="254"/>
      <c r="Q8" s="254"/>
      <c r="R8" s="254"/>
      <c r="S8" s="254"/>
      <c r="T8" s="254"/>
      <c r="U8" s="254"/>
      <c r="V8" s="254"/>
      <c r="W8" s="256"/>
      <c r="X8" s="254"/>
      <c r="Y8" s="254"/>
      <c r="Z8" s="254"/>
      <c r="AA8" s="254"/>
      <c r="AB8" s="256"/>
      <c r="AC8" s="256"/>
      <c r="AD8" s="256"/>
      <c r="AE8" s="256"/>
      <c r="AF8" s="256"/>
      <c r="AG8" s="256"/>
      <c r="AH8" s="257"/>
      <c r="AI8" s="318"/>
      <c r="AJ8" s="318"/>
      <c r="AK8" s="318"/>
      <c r="AL8" s="318"/>
      <c r="AM8" s="251"/>
      <c r="AN8" s="100" t="b">
        <f t="shared" si="1"/>
        <v>0</v>
      </c>
      <c r="AO8" s="102"/>
    </row>
    <row r="9" ht="14.25" customHeight="1" outlineLevel="2">
      <c r="A9" s="390"/>
      <c r="B9" s="393" t="s">
        <v>1243</v>
      </c>
      <c r="C9" s="393"/>
      <c r="D9" s="394"/>
      <c r="E9" s="162"/>
      <c r="F9" s="162"/>
      <c r="G9" s="162"/>
      <c r="H9" s="178"/>
      <c r="I9" s="178"/>
      <c r="J9" s="178"/>
      <c r="K9" s="178"/>
      <c r="L9" s="178"/>
      <c r="M9" s="178"/>
      <c r="N9" s="178"/>
      <c r="O9" s="178"/>
      <c r="P9" s="178"/>
      <c r="Q9" s="178"/>
      <c r="R9" s="178"/>
      <c r="S9" s="178"/>
      <c r="T9" s="178"/>
      <c r="U9" s="178"/>
      <c r="V9" s="178"/>
      <c r="W9" s="178"/>
      <c r="X9" s="178"/>
      <c r="Y9" s="178"/>
      <c r="Z9" s="178"/>
      <c r="AA9" s="178"/>
      <c r="AB9" s="178"/>
      <c r="AC9" s="178"/>
      <c r="AD9" s="178"/>
      <c r="AE9" s="178"/>
      <c r="AF9" s="178"/>
      <c r="AG9" s="178"/>
      <c r="AH9" s="178"/>
      <c r="AI9" s="100"/>
      <c r="AJ9" s="100"/>
      <c r="AK9" s="100"/>
      <c r="AL9" s="100"/>
      <c r="AM9" s="100"/>
      <c r="AN9" s="100" t="b">
        <f t="shared" si="1"/>
        <v>0</v>
      </c>
      <c r="AO9" s="102"/>
    </row>
    <row r="10" ht="14.25" customHeight="1" outlineLevel="3">
      <c r="A10" s="390"/>
      <c r="B10" s="391"/>
      <c r="C10" s="391"/>
      <c r="D10" s="391"/>
      <c r="E10" s="252" t="s">
        <v>1244</v>
      </c>
      <c r="F10" s="249" t="s">
        <v>1238</v>
      </c>
      <c r="G10" s="249" t="s">
        <v>1245</v>
      </c>
      <c r="H10" s="260"/>
      <c r="I10" s="181"/>
      <c r="J10" s="181"/>
      <c r="K10" s="181"/>
      <c r="L10" s="181"/>
      <c r="M10" s="181"/>
      <c r="N10" s="181"/>
      <c r="O10" s="181"/>
      <c r="P10" s="181"/>
      <c r="Q10" s="181"/>
      <c r="R10" s="181"/>
      <c r="S10" s="181"/>
      <c r="T10" s="181"/>
      <c r="U10" s="181"/>
      <c r="V10" s="181"/>
      <c r="W10" s="182"/>
      <c r="X10" s="181"/>
      <c r="Y10" s="181"/>
      <c r="Z10" s="181"/>
      <c r="AA10" s="181"/>
      <c r="AB10" s="182"/>
      <c r="AC10" s="182"/>
      <c r="AD10" s="182"/>
      <c r="AE10" s="182"/>
      <c r="AF10" s="182"/>
      <c r="AG10" s="182"/>
      <c r="AH10" s="184"/>
      <c r="AI10" s="318"/>
      <c r="AJ10" s="318"/>
      <c r="AK10" s="318"/>
      <c r="AL10" s="318"/>
      <c r="AM10" s="251"/>
      <c r="AN10" s="100" t="b">
        <f t="shared" si="1"/>
        <v>0</v>
      </c>
      <c r="AO10" s="102"/>
    </row>
    <row r="11" ht="14.25" customHeight="1" outlineLevel="3">
      <c r="A11" s="390"/>
      <c r="B11" s="391"/>
      <c r="C11" s="391"/>
      <c r="D11" s="391"/>
      <c r="E11" s="252" t="s">
        <v>1246</v>
      </c>
      <c r="F11" s="123" t="s">
        <v>1238</v>
      </c>
      <c r="G11" s="123" t="s">
        <v>1247</v>
      </c>
      <c r="H11" s="260"/>
      <c r="I11" s="181"/>
      <c r="J11" s="181"/>
      <c r="K11" s="181"/>
      <c r="L11" s="181"/>
      <c r="M11" s="181"/>
      <c r="N11" s="181"/>
      <c r="O11" s="181"/>
      <c r="P11" s="181"/>
      <c r="Q11" s="181"/>
      <c r="R11" s="181"/>
      <c r="S11" s="181"/>
      <c r="T11" s="181"/>
      <c r="U11" s="181"/>
      <c r="V11" s="181"/>
      <c r="W11" s="182"/>
      <c r="X11" s="181"/>
      <c r="Y11" s="181"/>
      <c r="Z11" s="181"/>
      <c r="AA11" s="181"/>
      <c r="AB11" s="182"/>
      <c r="AC11" s="182"/>
      <c r="AD11" s="182"/>
      <c r="AE11" s="182"/>
      <c r="AF11" s="182"/>
      <c r="AG11" s="182"/>
      <c r="AH11" s="184"/>
      <c r="AI11" s="318"/>
      <c r="AJ11" s="318"/>
      <c r="AK11" s="318"/>
      <c r="AL11" s="318"/>
      <c r="AM11" s="251"/>
      <c r="AN11" s="100" t="b">
        <f t="shared" si="1"/>
        <v>0</v>
      </c>
      <c r="AO11" s="102"/>
    </row>
    <row r="12" ht="14.25" customHeight="1" outlineLevel="1">
      <c r="A12" s="390" t="s">
        <v>1248</v>
      </c>
      <c r="B12" s="394"/>
      <c r="C12" s="394"/>
      <c r="D12" s="394"/>
      <c r="E12" s="162"/>
      <c r="F12" s="162"/>
      <c r="G12" s="162"/>
      <c r="H12" s="178"/>
      <c r="I12" s="178"/>
      <c r="J12" s="178"/>
      <c r="K12" s="178"/>
      <c r="L12" s="178"/>
      <c r="M12" s="178"/>
      <c r="N12" s="178"/>
      <c r="O12" s="178"/>
      <c r="P12" s="178"/>
      <c r="Q12" s="178"/>
      <c r="R12" s="178"/>
      <c r="S12" s="178"/>
      <c r="T12" s="178"/>
      <c r="U12" s="178"/>
      <c r="V12" s="178"/>
      <c r="W12" s="178"/>
      <c r="X12" s="178"/>
      <c r="Y12" s="178"/>
      <c r="Z12" s="178"/>
      <c r="AA12" s="178"/>
      <c r="AB12" s="178"/>
      <c r="AC12" s="178"/>
      <c r="AD12" s="178"/>
      <c r="AE12" s="178"/>
      <c r="AF12" s="178"/>
      <c r="AG12" s="178"/>
      <c r="AH12" s="178"/>
      <c r="AI12" s="100"/>
      <c r="AJ12" s="100"/>
      <c r="AK12" s="100"/>
      <c r="AL12" s="100"/>
      <c r="AM12" s="100"/>
      <c r="AN12" s="100" t="b">
        <f t="shared" si="1"/>
        <v>0</v>
      </c>
      <c r="AO12" s="102"/>
    </row>
    <row r="13" ht="14.25" customHeight="1" outlineLevel="2">
      <c r="A13" s="390"/>
      <c r="B13" s="394"/>
      <c r="C13" s="394"/>
      <c r="D13" s="394"/>
      <c r="E13" s="252" t="s">
        <v>1249</v>
      </c>
      <c r="F13" s="123" t="s">
        <v>261</v>
      </c>
      <c r="G13" s="123" t="s">
        <v>1250</v>
      </c>
      <c r="H13" s="253">
        <v>0.176359</v>
      </c>
      <c r="I13" s="254">
        <v>0.18015</v>
      </c>
      <c r="J13" s="254">
        <v>0.187175</v>
      </c>
      <c r="K13" s="254">
        <v>0.200105</v>
      </c>
      <c r="L13" s="254">
        <v>0.209157</v>
      </c>
      <c r="M13" s="254">
        <v>0.207623</v>
      </c>
      <c r="N13" s="254">
        <v>0.213941</v>
      </c>
      <c r="O13" s="254">
        <v>0.21767</v>
      </c>
      <c r="P13" s="254">
        <v>0.210955</v>
      </c>
      <c r="Q13" s="254">
        <v>0.211488</v>
      </c>
      <c r="R13" s="254">
        <v>0.210322</v>
      </c>
      <c r="S13" s="254">
        <v>0.212002</v>
      </c>
      <c r="T13" s="254">
        <v>0.211454</v>
      </c>
      <c r="U13" s="254">
        <v>0.20719</v>
      </c>
      <c r="V13" s="254">
        <v>0.203412</v>
      </c>
      <c r="W13" s="256">
        <v>0.195982</v>
      </c>
      <c r="X13" s="254">
        <v>0.189808</v>
      </c>
      <c r="Y13" s="254">
        <v>0.18991</v>
      </c>
      <c r="Z13" s="254"/>
      <c r="AA13" s="254"/>
      <c r="AB13" s="256">
        <v>0.1725</v>
      </c>
      <c r="AC13" s="256">
        <v>0.1845</v>
      </c>
      <c r="AD13" s="256">
        <v>0.21</v>
      </c>
      <c r="AE13" s="256">
        <v>0.245</v>
      </c>
      <c r="AF13" s="256">
        <v>0.291</v>
      </c>
      <c r="AG13" s="256">
        <v>0.3165</v>
      </c>
      <c r="AH13" s="257">
        <v>0.332</v>
      </c>
      <c r="AI13" s="318"/>
      <c r="AJ13" s="318"/>
      <c r="AK13" s="318"/>
      <c r="AL13" s="318"/>
      <c r="AM13" s="251"/>
      <c r="AN13" s="100" t="b">
        <f t="shared" si="1"/>
        <v>0</v>
      </c>
      <c r="AO13" s="102"/>
    </row>
    <row r="14" ht="14.25" customHeight="1" outlineLevel="2">
      <c r="A14" s="390"/>
      <c r="B14" s="393" t="s">
        <v>1251</v>
      </c>
      <c r="C14" s="394"/>
      <c r="D14" s="394"/>
      <c r="E14" s="162"/>
      <c r="F14" s="162"/>
      <c r="G14" s="162"/>
      <c r="H14" s="178"/>
      <c r="I14" s="178"/>
      <c r="J14" s="178"/>
      <c r="K14" s="178"/>
      <c r="L14" s="178"/>
      <c r="M14" s="178"/>
      <c r="N14" s="178"/>
      <c r="O14" s="178"/>
      <c r="P14" s="178"/>
      <c r="Q14" s="178"/>
      <c r="R14" s="178"/>
      <c r="S14" s="178"/>
      <c r="T14" s="178"/>
      <c r="U14" s="178"/>
      <c r="V14" s="178"/>
      <c r="W14" s="178"/>
      <c r="X14" s="178"/>
      <c r="Y14" s="178"/>
      <c r="Z14" s="178"/>
      <c r="AA14" s="178"/>
      <c r="AB14" s="178"/>
      <c r="AC14" s="178"/>
      <c r="AD14" s="178"/>
      <c r="AE14" s="178"/>
      <c r="AF14" s="178"/>
      <c r="AG14" s="178"/>
      <c r="AH14" s="178"/>
      <c r="AI14" s="100"/>
      <c r="AJ14" s="100"/>
      <c r="AK14" s="100"/>
      <c r="AL14" s="100"/>
      <c r="AM14" s="100"/>
      <c r="AN14" s="100" t="b">
        <f t="shared" si="1"/>
        <v>0</v>
      </c>
      <c r="AO14" s="102"/>
    </row>
    <row r="15" ht="14.25" customHeight="1" outlineLevel="3">
      <c r="A15" s="390"/>
      <c r="B15" s="394"/>
      <c r="C15" s="394"/>
      <c r="D15" s="394"/>
      <c r="E15" s="392" t="s">
        <v>1252</v>
      </c>
      <c r="F15" s="123" t="s">
        <v>1238</v>
      </c>
      <c r="G15" s="123" t="s">
        <v>1253</v>
      </c>
      <c r="H15" s="260">
        <v>117.433008861259</v>
      </c>
      <c r="I15" s="181">
        <v>118.891302583966</v>
      </c>
      <c r="J15" s="181">
        <v>121.560930377111</v>
      </c>
      <c r="K15" s="181">
        <v>120.815234453928</v>
      </c>
      <c r="L15" s="181">
        <v>122.048707233026</v>
      </c>
      <c r="M15" s="181">
        <v>122.135054529986</v>
      </c>
      <c r="N15" s="181">
        <v>122.613893130478</v>
      </c>
      <c r="O15" s="181">
        <v>125.254507437667</v>
      </c>
      <c r="P15" s="181">
        <v>127.50837232649</v>
      </c>
      <c r="Q15" s="181">
        <v>127.628382289429</v>
      </c>
      <c r="R15" s="181">
        <v>128.60238350455</v>
      </c>
      <c r="S15" s="181">
        <v>129.472548952414</v>
      </c>
      <c r="T15" s="181">
        <v>129.821342428409</v>
      </c>
      <c r="U15" s="181">
        <v>123.225045612932</v>
      </c>
      <c r="V15" s="181">
        <v>125.761454898047</v>
      </c>
      <c r="W15" s="182">
        <v>123.997018608429</v>
      </c>
      <c r="X15" s="181"/>
      <c r="Y15" s="181"/>
      <c r="Z15" s="181"/>
      <c r="AA15" s="181"/>
      <c r="AB15" s="182"/>
      <c r="AC15" s="182"/>
      <c r="AD15" s="182"/>
      <c r="AE15" s="182"/>
      <c r="AF15" s="182"/>
      <c r="AG15" s="182"/>
      <c r="AH15" s="184"/>
      <c r="AI15" s="318"/>
      <c r="AJ15" s="318"/>
      <c r="AK15" s="318"/>
      <c r="AL15" s="318"/>
      <c r="AM15" s="251"/>
      <c r="AN15" s="100" t="b">
        <f t="shared" si="1"/>
        <v>0</v>
      </c>
      <c r="AO15" s="102"/>
    </row>
    <row r="16" ht="14.25" customHeight="1" outlineLevel="3">
      <c r="A16" s="390"/>
      <c r="B16" s="394"/>
      <c r="C16" s="393" t="s">
        <v>1254</v>
      </c>
      <c r="D16" s="394"/>
      <c r="E16" s="162"/>
      <c r="F16" s="162"/>
      <c r="G16" s="162"/>
      <c r="H16" s="178"/>
      <c r="I16" s="178"/>
      <c r="J16" s="178"/>
      <c r="K16" s="178"/>
      <c r="L16" s="178"/>
      <c r="M16" s="178"/>
      <c r="N16" s="178"/>
      <c r="O16" s="178"/>
      <c r="P16" s="178"/>
      <c r="Q16" s="178"/>
      <c r="R16" s="178"/>
      <c r="S16" s="178"/>
      <c r="T16" s="178"/>
      <c r="U16" s="178"/>
      <c r="V16" s="178"/>
      <c r="W16" s="178"/>
      <c r="X16" s="178"/>
      <c r="Y16" s="178"/>
      <c r="Z16" s="178"/>
      <c r="AA16" s="178"/>
      <c r="AB16" s="178"/>
      <c r="AC16" s="178"/>
      <c r="AD16" s="178"/>
      <c r="AE16" s="178"/>
      <c r="AF16" s="178"/>
      <c r="AG16" s="178"/>
      <c r="AH16" s="178"/>
      <c r="AI16" s="100"/>
      <c r="AJ16" s="100"/>
      <c r="AK16" s="100"/>
      <c r="AL16" s="100"/>
      <c r="AM16" s="100"/>
      <c r="AN16" s="100" t="b">
        <f t="shared" si="1"/>
        <v>0</v>
      </c>
      <c r="AO16" s="102"/>
    </row>
    <row r="17" ht="14.25" customHeight="1" outlineLevel="4">
      <c r="A17" s="390"/>
      <c r="B17" s="394"/>
      <c r="C17" s="393"/>
      <c r="D17" s="395" t="s">
        <v>1255</v>
      </c>
      <c r="E17" s="162"/>
      <c r="F17" s="162"/>
      <c r="G17" s="162"/>
      <c r="H17" s="178"/>
      <c r="I17" s="178"/>
      <c r="J17" s="178"/>
      <c r="K17" s="178"/>
      <c r="L17" s="178"/>
      <c r="M17" s="178"/>
      <c r="N17" s="178"/>
      <c r="O17" s="178"/>
      <c r="P17" s="178"/>
      <c r="Q17" s="178"/>
      <c r="R17" s="178"/>
      <c r="S17" s="178"/>
      <c r="T17" s="178"/>
      <c r="U17" s="178"/>
      <c r="V17" s="178"/>
      <c r="W17" s="178"/>
      <c r="X17" s="178"/>
      <c r="Y17" s="178"/>
      <c r="Z17" s="178"/>
      <c r="AA17" s="178"/>
      <c r="AB17" s="178"/>
      <c r="AC17" s="178"/>
      <c r="AD17" s="178"/>
      <c r="AE17" s="178"/>
      <c r="AF17" s="178"/>
      <c r="AG17" s="178"/>
      <c r="AH17" s="178"/>
      <c r="AI17" s="100"/>
      <c r="AJ17" s="100"/>
      <c r="AK17" s="100"/>
      <c r="AL17" s="100"/>
      <c r="AM17" s="100"/>
      <c r="AN17" s="100" t="b">
        <f t="shared" si="1"/>
        <v>0</v>
      </c>
      <c r="AO17" s="102"/>
    </row>
    <row r="18" ht="14.25" customHeight="1" outlineLevel="6">
      <c r="A18" s="390"/>
      <c r="B18" s="394"/>
      <c r="C18" s="393"/>
      <c r="D18" s="394"/>
      <c r="E18" s="252" t="s">
        <v>1256</v>
      </c>
      <c r="F18" s="249" t="s">
        <v>1238</v>
      </c>
      <c r="G18" s="249" t="s">
        <v>1257</v>
      </c>
      <c r="H18" s="260"/>
      <c r="I18" s="181"/>
      <c r="J18" s="181"/>
      <c r="K18" s="181"/>
      <c r="L18" s="181"/>
      <c r="M18" s="181"/>
      <c r="N18" s="181"/>
      <c r="O18" s="181"/>
      <c r="P18" s="181"/>
      <c r="Q18" s="181"/>
      <c r="R18" s="181"/>
      <c r="S18" s="181"/>
      <c r="T18" s="181"/>
      <c r="U18" s="181"/>
      <c r="V18" s="181"/>
      <c r="W18" s="286">
        <v>9.0930524</v>
      </c>
      <c r="X18" s="181">
        <v>8.9166146</v>
      </c>
      <c r="Y18" s="181"/>
      <c r="Z18" s="181"/>
      <c r="AA18" s="181"/>
      <c r="AB18" s="286">
        <v>10.1770897272</v>
      </c>
      <c r="AC18" s="286">
        <v>11.3980857344</v>
      </c>
      <c r="AD18" s="286">
        <v>13.81563825</v>
      </c>
      <c r="AE18" s="286">
        <v>16.362486357</v>
      </c>
      <c r="AF18" s="286">
        <v>17.5354335702</v>
      </c>
      <c r="AG18" s="286">
        <v>18.7085040338</v>
      </c>
      <c r="AH18" s="286">
        <v>19.5274366631888</v>
      </c>
      <c r="AI18" s="318"/>
      <c r="AJ18" s="318"/>
      <c r="AK18" s="318"/>
      <c r="AL18" s="318"/>
      <c r="AM18" s="251"/>
      <c r="AN18" s="100" t="b">
        <f t="shared" si="1"/>
        <v>0</v>
      </c>
      <c r="AO18" s="102"/>
    </row>
    <row r="19" ht="14.25" customHeight="1" outlineLevel="6">
      <c r="A19" s="390"/>
      <c r="B19" s="394"/>
      <c r="C19" s="393"/>
      <c r="D19" s="394"/>
      <c r="E19" s="396" t="s">
        <v>1258</v>
      </c>
      <c r="F19" s="249" t="s">
        <v>1238</v>
      </c>
      <c r="G19" s="249" t="s">
        <v>1259</v>
      </c>
      <c r="H19" s="260"/>
      <c r="I19" s="181"/>
      <c r="J19" s="181"/>
      <c r="K19" s="181"/>
      <c r="L19" s="181"/>
      <c r="M19" s="181"/>
      <c r="N19" s="181"/>
      <c r="O19" s="181"/>
      <c r="P19" s="181"/>
      <c r="Q19" s="181"/>
      <c r="R19" s="181"/>
      <c r="S19" s="181"/>
      <c r="T19" s="181"/>
      <c r="U19" s="181"/>
      <c r="V19" s="181"/>
      <c r="W19" s="182">
        <v>2.714344</v>
      </c>
      <c r="X19" s="181">
        <v>2.661676</v>
      </c>
      <c r="Y19" s="181"/>
      <c r="Z19" s="181"/>
      <c r="AA19" s="181"/>
      <c r="AB19" s="182">
        <v>3.037937232</v>
      </c>
      <c r="AC19" s="182">
        <v>3.3886200832</v>
      </c>
      <c r="AD19" s="182">
        <v>3.527397</v>
      </c>
      <c r="AE19" s="182">
        <v>3.832654462</v>
      </c>
      <c r="AF19" s="182">
        <v>3.8967630156</v>
      </c>
      <c r="AG19" s="182">
        <v>3.9032130718</v>
      </c>
      <c r="AH19" s="184">
        <v>3.90548733263776</v>
      </c>
      <c r="AI19" s="318"/>
      <c r="AJ19" s="318"/>
      <c r="AK19" s="318"/>
      <c r="AL19" s="318"/>
      <c r="AM19" s="251"/>
      <c r="AN19" s="100" t="b">
        <f t="shared" si="1"/>
        <v>0</v>
      </c>
      <c r="AO19" s="102"/>
    </row>
    <row r="20" ht="14.25" customHeight="1" outlineLevel="6">
      <c r="A20" s="390"/>
      <c r="B20" s="394"/>
      <c r="C20" s="393"/>
      <c r="D20" s="394"/>
      <c r="E20" s="396" t="s">
        <v>1260</v>
      </c>
      <c r="F20" s="249" t="s">
        <v>1238</v>
      </c>
      <c r="G20" s="249" t="s">
        <v>1261</v>
      </c>
      <c r="H20" s="260"/>
      <c r="I20" s="181"/>
      <c r="J20" s="181"/>
      <c r="K20" s="181"/>
      <c r="L20" s="181"/>
      <c r="M20" s="181"/>
      <c r="N20" s="181"/>
      <c r="O20" s="181"/>
      <c r="P20" s="181"/>
      <c r="Q20" s="181"/>
      <c r="R20" s="181"/>
      <c r="S20" s="181"/>
      <c r="T20" s="181"/>
      <c r="U20" s="181"/>
      <c r="V20" s="181"/>
      <c r="W20" s="182">
        <v>6.3787084</v>
      </c>
      <c r="X20" s="181">
        <v>6.2549386</v>
      </c>
      <c r="Y20" s="181">
        <v>5.6764515</v>
      </c>
      <c r="Z20" s="181"/>
      <c r="AA20" s="181"/>
      <c r="AB20" s="182">
        <v>7.1391524952</v>
      </c>
      <c r="AC20" s="182">
        <v>8.0094656512</v>
      </c>
      <c r="AD20" s="182">
        <v>10.28824125</v>
      </c>
      <c r="AE20" s="182">
        <v>12.529831895</v>
      </c>
      <c r="AF20" s="182">
        <v>13.6386705546</v>
      </c>
      <c r="AG20" s="182">
        <v>14.805290962</v>
      </c>
      <c r="AH20" s="184">
        <v>15.621949330551</v>
      </c>
      <c r="AI20" s="318"/>
      <c r="AJ20" s="318"/>
      <c r="AK20" s="318"/>
      <c r="AL20" s="318"/>
      <c r="AM20" s="251"/>
      <c r="AN20" s="100" t="b">
        <f t="shared" si="1"/>
        <v>0</v>
      </c>
      <c r="AO20" s="102"/>
    </row>
    <row r="21" ht="14.25" customHeight="1" outlineLevel="5">
      <c r="A21" s="390"/>
      <c r="B21" s="394"/>
      <c r="C21" s="393"/>
      <c r="D21" s="394"/>
      <c r="E21" s="397" t="s">
        <v>1262</v>
      </c>
      <c r="F21" s="69" t="s">
        <v>261</v>
      </c>
      <c r="G21" s="69" t="s">
        <v>1263</v>
      </c>
      <c r="H21" s="253"/>
      <c r="I21" s="254"/>
      <c r="J21" s="254"/>
      <c r="K21" s="254"/>
      <c r="L21" s="254"/>
      <c r="M21" s="254"/>
      <c r="N21" s="254"/>
      <c r="O21" s="254"/>
      <c r="P21" s="254"/>
      <c r="Q21" s="254"/>
      <c r="R21" s="254"/>
      <c r="S21" s="254"/>
      <c r="T21" s="254"/>
      <c r="U21" s="254"/>
      <c r="V21" s="254"/>
      <c r="W21" s="256">
        <v>0.05</v>
      </c>
      <c r="X21" s="254"/>
      <c r="Y21" s="254">
        <v>0.209302325581395</v>
      </c>
      <c r="Z21" s="254"/>
      <c r="AA21" s="254"/>
      <c r="AB21" s="256">
        <v>0.25</v>
      </c>
      <c r="AC21" s="256">
        <v>0.27</v>
      </c>
      <c r="AD21" s="256">
        <v>0.3</v>
      </c>
      <c r="AE21" s="256">
        <v>0.33</v>
      </c>
      <c r="AF21" s="256">
        <v>0.36</v>
      </c>
      <c r="AG21" s="256">
        <v>0.4</v>
      </c>
      <c r="AH21" s="257">
        <v>0.4</v>
      </c>
      <c r="AI21" s="318"/>
      <c r="AJ21" s="318"/>
      <c r="AK21" s="318"/>
      <c r="AL21" s="318"/>
      <c r="AM21" s="251"/>
      <c r="AN21" s="100" t="b">
        <f t="shared" si="1"/>
        <v>0</v>
      </c>
      <c r="AO21" s="102"/>
    </row>
    <row r="22" ht="14.25" customHeight="1" outlineLevel="4">
      <c r="A22" s="390"/>
      <c r="B22" s="394"/>
      <c r="C22" s="393"/>
      <c r="D22" s="395" t="s">
        <v>1264</v>
      </c>
      <c r="E22" s="162"/>
      <c r="F22" s="162"/>
      <c r="G22" s="162"/>
      <c r="H22" s="178"/>
      <c r="I22" s="178"/>
      <c r="J22" s="178"/>
      <c r="K22" s="178"/>
      <c r="L22" s="178"/>
      <c r="M22" s="178"/>
      <c r="N22" s="178"/>
      <c r="O22" s="178"/>
      <c r="P22" s="178"/>
      <c r="Q22" s="178"/>
      <c r="R22" s="178"/>
      <c r="S22" s="178"/>
      <c r="T22" s="178"/>
      <c r="U22" s="178"/>
      <c r="V22" s="178"/>
      <c r="W22" s="178"/>
      <c r="X22" s="178"/>
      <c r="Y22" s="178"/>
      <c r="Z22" s="178"/>
      <c r="AA22" s="178"/>
      <c r="AB22" s="178"/>
      <c r="AC22" s="178"/>
      <c r="AD22" s="178"/>
      <c r="AE22" s="178"/>
      <c r="AF22" s="178"/>
      <c r="AG22" s="178"/>
      <c r="AH22" s="178"/>
      <c r="AI22" s="100"/>
      <c r="AJ22" s="100"/>
      <c r="AK22" s="100"/>
      <c r="AL22" s="100"/>
      <c r="AM22" s="100"/>
      <c r="AN22" s="100" t="b">
        <f t="shared" si="1"/>
        <v>0</v>
      </c>
      <c r="AO22" s="102"/>
    </row>
    <row r="23" ht="14.25" customHeight="1" outlineLevel="5">
      <c r="A23" s="390"/>
      <c r="B23" s="394"/>
      <c r="C23" s="393"/>
      <c r="D23" s="394"/>
      <c r="E23" s="248" t="s">
        <v>1265</v>
      </c>
      <c r="F23" s="249" t="s">
        <v>1266</v>
      </c>
      <c r="G23" s="249" t="s">
        <v>1267</v>
      </c>
      <c r="H23" s="260">
        <v>1.34467048902677</v>
      </c>
      <c r="I23" s="181">
        <v>1.30809317517006</v>
      </c>
      <c r="J23" s="181">
        <v>1.32521137137772</v>
      </c>
      <c r="K23" s="181">
        <v>1.25326763824505</v>
      </c>
      <c r="L23" s="181">
        <v>1.24852275669248</v>
      </c>
      <c r="M23" s="181">
        <v>1.28988362414348</v>
      </c>
      <c r="N23" s="181">
        <v>1.25027159612927</v>
      </c>
      <c r="O23" s="181">
        <v>1.21942945150925</v>
      </c>
      <c r="P23" s="181">
        <v>1.22784559783385</v>
      </c>
      <c r="Q23" s="181">
        <v>1.22222348974017</v>
      </c>
      <c r="R23" s="181">
        <v>1.23861179280626</v>
      </c>
      <c r="S23" s="181">
        <v>1.23523837064093</v>
      </c>
      <c r="T23" s="181">
        <v>1.25086195562944</v>
      </c>
      <c r="U23" s="181">
        <v>1.21891926984425</v>
      </c>
      <c r="V23" s="181">
        <v>1.20731356357396</v>
      </c>
      <c r="W23" s="398">
        <v>1.15877297222242</v>
      </c>
      <c r="X23" s="399"/>
      <c r="Y23" s="399">
        <v>1.21</v>
      </c>
      <c r="Z23" s="399"/>
      <c r="AA23" s="399"/>
      <c r="AB23" s="398">
        <v>1.25</v>
      </c>
      <c r="AC23" s="398">
        <v>1.4</v>
      </c>
      <c r="AD23" s="398">
        <v>1.72</v>
      </c>
      <c r="AE23" s="398">
        <v>1.82</v>
      </c>
      <c r="AF23" s="398">
        <v>1.9</v>
      </c>
      <c r="AG23" s="398">
        <v>1.95</v>
      </c>
      <c r="AH23" s="400">
        <v>2.0</v>
      </c>
      <c r="AI23" s="318"/>
      <c r="AJ23" s="318"/>
      <c r="AK23" s="318"/>
      <c r="AL23" s="318"/>
      <c r="AM23" s="251"/>
      <c r="AN23" s="100" t="b">
        <f t="shared" si="1"/>
        <v>0</v>
      </c>
      <c r="AO23" s="102"/>
    </row>
    <row r="24" ht="14.25" customHeight="1" outlineLevel="5">
      <c r="A24" s="390"/>
      <c r="B24" s="394"/>
      <c r="C24" s="393"/>
      <c r="D24" s="394"/>
      <c r="E24" s="287" t="s">
        <v>1268</v>
      </c>
      <c r="F24" s="249" t="s">
        <v>1238</v>
      </c>
      <c r="G24" s="249" t="s">
        <v>1269</v>
      </c>
      <c r="H24" s="260">
        <v>102.5444</v>
      </c>
      <c r="I24" s="181">
        <v>103.4406</v>
      </c>
      <c r="J24" s="181">
        <v>104.8434</v>
      </c>
      <c r="K24" s="181">
        <v>102.4949</v>
      </c>
      <c r="L24" s="181">
        <v>103.034</v>
      </c>
      <c r="M24" s="181">
        <v>102.8043</v>
      </c>
      <c r="N24" s="181">
        <v>102.6596</v>
      </c>
      <c r="O24" s="181">
        <v>104.5704</v>
      </c>
      <c r="P24" s="181">
        <v>107.9429</v>
      </c>
      <c r="Q24" s="181">
        <v>108.0738</v>
      </c>
      <c r="R24" s="181">
        <v>109.3878</v>
      </c>
      <c r="S24" s="181">
        <v>109.9854</v>
      </c>
      <c r="T24" s="181">
        <v>110.1569</v>
      </c>
      <c r="U24" s="181">
        <v>105.2931</v>
      </c>
      <c r="V24" s="181">
        <v>108.1107</v>
      </c>
      <c r="W24" s="182">
        <v>107.0018</v>
      </c>
      <c r="X24" s="181">
        <v>105.9674</v>
      </c>
      <c r="Y24" s="181">
        <v>106.9404</v>
      </c>
      <c r="Z24" s="181"/>
      <c r="AA24" s="181"/>
      <c r="AB24" s="182">
        <v>113.542904046</v>
      </c>
      <c r="AC24" s="182">
        <v>111.7474486528</v>
      </c>
      <c r="AD24" s="182">
        <v>99.501990375</v>
      </c>
      <c r="AE24" s="182">
        <v>88.0</v>
      </c>
      <c r="AF24" s="182">
        <v>77.5177499889</v>
      </c>
      <c r="AG24" s="182">
        <v>69.2483836359</v>
      </c>
      <c r="AH24" s="184">
        <v>62.8783460554679</v>
      </c>
      <c r="AI24" s="318"/>
      <c r="AJ24" s="318"/>
      <c r="AK24" s="318"/>
      <c r="AL24" s="318"/>
      <c r="AM24" s="251"/>
      <c r="AN24" s="100" t="b">
        <f t="shared" si="1"/>
        <v>0</v>
      </c>
      <c r="AO24" s="102"/>
    </row>
    <row r="25" ht="14.25" customHeight="1" outlineLevel="5">
      <c r="A25" s="390"/>
      <c r="B25" s="394"/>
      <c r="C25" s="393"/>
      <c r="D25" s="394"/>
      <c r="E25" s="270" t="s">
        <v>1270</v>
      </c>
      <c r="F25" s="249" t="s">
        <v>1238</v>
      </c>
      <c r="G25" s="249" t="s">
        <v>1271</v>
      </c>
      <c r="H25" s="260">
        <v>101.54724026577</v>
      </c>
      <c r="I25" s="181">
        <v>102.276429678567</v>
      </c>
      <c r="J25" s="181">
        <v>103.651118941792</v>
      </c>
      <c r="K25" s="181">
        <v>101.443776881072</v>
      </c>
      <c r="L25" s="181">
        <v>102.054974960019</v>
      </c>
      <c r="M25" s="181">
        <v>101.906948046431</v>
      </c>
      <c r="N25" s="181">
        <v>101.857455643547</v>
      </c>
      <c r="O25" s="181">
        <v>103.86872258161</v>
      </c>
      <c r="P25" s="181">
        <v>107.289622654689</v>
      </c>
      <c r="Q25" s="181">
        <v>107.483293483474</v>
      </c>
      <c r="R25" s="181">
        <v>108.847656518803</v>
      </c>
      <c r="S25" s="181">
        <v>109.365680223969</v>
      </c>
      <c r="T25" s="181">
        <v>109.498643005274</v>
      </c>
      <c r="U25" s="181">
        <v>104.774188475994</v>
      </c>
      <c r="V25" s="181">
        <v>107.484873475249</v>
      </c>
      <c r="W25" s="182">
        <v>106.084432519248</v>
      </c>
      <c r="X25" s="181"/>
      <c r="Y25" s="181"/>
      <c r="Z25" s="181"/>
      <c r="AA25" s="181"/>
      <c r="AB25" s="182">
        <v>111.044960156988</v>
      </c>
      <c r="AC25" s="182">
        <v>92.6386349331712</v>
      </c>
      <c r="AD25" s="182">
        <v>58.70617432125</v>
      </c>
      <c r="AE25" s="182">
        <v>24.75599962878</v>
      </c>
      <c r="AF25" s="182">
        <v>7.75177499889</v>
      </c>
      <c r="AG25" s="182">
        <v>2.769935345436</v>
      </c>
      <c r="AH25" s="182">
        <v>0.31439173027733947</v>
      </c>
      <c r="AI25" s="318"/>
      <c r="AJ25" s="318"/>
      <c r="AK25" s="318"/>
      <c r="AL25" s="318"/>
      <c r="AM25" s="251"/>
      <c r="AN25" s="100" t="b">
        <f t="shared" si="1"/>
        <v>0</v>
      </c>
      <c r="AO25" s="102"/>
    </row>
    <row r="26" ht="14.25" customHeight="1" outlineLevel="5">
      <c r="A26" s="390"/>
      <c r="B26" s="394"/>
      <c r="C26" s="393"/>
      <c r="D26" s="394"/>
      <c r="E26" s="270" t="s">
        <v>1272</v>
      </c>
      <c r="F26" s="249" t="s">
        <v>1238</v>
      </c>
      <c r="G26" s="249" t="s">
        <v>1273</v>
      </c>
      <c r="H26" s="260">
        <v>0.997145038119958</v>
      </c>
      <c r="I26" s="181">
        <v>1.16413260814539</v>
      </c>
      <c r="J26" s="181">
        <v>1.19231965722399</v>
      </c>
      <c r="K26" s="181">
        <v>1.05110263756228</v>
      </c>
      <c r="L26" s="181">
        <v>0.979050450112428</v>
      </c>
      <c r="M26" s="181">
        <v>0.897316414258229</v>
      </c>
      <c r="N26" s="181">
        <v>0.802142366948326</v>
      </c>
      <c r="O26" s="181">
        <v>0.701674452482694</v>
      </c>
      <c r="P26" s="181">
        <v>0.653247674090643</v>
      </c>
      <c r="Q26" s="181">
        <v>0.59048394992508</v>
      </c>
      <c r="R26" s="181">
        <v>0.535514150659585</v>
      </c>
      <c r="S26" s="181">
        <v>0.594620328218451</v>
      </c>
      <c r="T26" s="181">
        <v>0.615759430179652</v>
      </c>
      <c r="U26" s="181">
        <v>0.546083594338447</v>
      </c>
      <c r="V26" s="181">
        <v>0.618535107931902</v>
      </c>
      <c r="W26" s="182">
        <v>0.83746587778075</v>
      </c>
      <c r="X26" s="181"/>
      <c r="Y26" s="181"/>
      <c r="Z26" s="181"/>
      <c r="AA26" s="181"/>
      <c r="AB26" s="182">
        <v>0.227085808092</v>
      </c>
      <c r="AC26" s="182">
        <v>0.0</v>
      </c>
      <c r="AD26" s="182">
        <v>0.0</v>
      </c>
      <c r="AE26" s="182">
        <v>0.0</v>
      </c>
      <c r="AF26" s="182">
        <v>0.0</v>
      </c>
      <c r="AG26" s="182">
        <v>0.0</v>
      </c>
      <c r="AH26" s="184">
        <v>0.0</v>
      </c>
      <c r="AI26" s="318"/>
      <c r="AJ26" s="318"/>
      <c r="AK26" s="318"/>
      <c r="AL26" s="318"/>
      <c r="AM26" s="251"/>
      <c r="AN26" s="100" t="b">
        <f t="shared" si="1"/>
        <v>0</v>
      </c>
      <c r="AO26" s="102"/>
    </row>
    <row r="27" ht="14.25" customHeight="1" outlineLevel="5">
      <c r="A27" s="390"/>
      <c r="B27" s="394"/>
      <c r="C27" s="393"/>
      <c r="D27" s="394"/>
      <c r="E27" s="248" t="s">
        <v>1274</v>
      </c>
      <c r="F27" s="249" t="s">
        <v>1238</v>
      </c>
      <c r="G27" s="249" t="s">
        <v>1275</v>
      </c>
      <c r="H27" s="260">
        <v>0.0</v>
      </c>
      <c r="I27" s="181">
        <v>0.0</v>
      </c>
      <c r="J27" s="181">
        <v>0.0</v>
      </c>
      <c r="K27" s="181">
        <v>0.0</v>
      </c>
      <c r="L27" s="181">
        <v>0.0</v>
      </c>
      <c r="M27" s="181">
        <v>0.0</v>
      </c>
      <c r="N27" s="181">
        <v>0.0</v>
      </c>
      <c r="O27" s="181">
        <v>0.0</v>
      </c>
      <c r="P27" s="181">
        <v>0.0</v>
      </c>
      <c r="Q27" s="181">
        <v>0.0</v>
      </c>
      <c r="R27" s="181">
        <v>0.00366560320903075</v>
      </c>
      <c r="S27" s="181">
        <v>0.00356445366835505</v>
      </c>
      <c r="T27" s="181">
        <v>0.00770630541434106</v>
      </c>
      <c r="U27" s="181">
        <v>0.0116974864008208</v>
      </c>
      <c r="V27" s="181">
        <v>0.0310961541296613</v>
      </c>
      <c r="W27" s="398">
        <v>0.0479249476645758</v>
      </c>
      <c r="X27" s="399"/>
      <c r="Y27" s="399"/>
      <c r="Z27" s="399"/>
      <c r="AA27" s="399"/>
      <c r="AB27" s="398">
        <v>0.340628712138</v>
      </c>
      <c r="AC27" s="398">
        <f>AB27</f>
        <v>0.3406287121</v>
      </c>
      <c r="AD27" s="398">
        <f t="shared" ref="AD27:AE27" si="2">AC27/2</f>
        <v>0.1703143561</v>
      </c>
      <c r="AE27" s="398">
        <f t="shared" si="2"/>
        <v>0.08515717803</v>
      </c>
      <c r="AF27" s="398">
        <v>0.0</v>
      </c>
      <c r="AG27" s="398">
        <v>0.0</v>
      </c>
      <c r="AH27" s="400">
        <v>0.0</v>
      </c>
      <c r="AI27" s="318"/>
      <c r="AJ27" s="318"/>
      <c r="AK27" s="318"/>
      <c r="AL27" s="318"/>
      <c r="AM27" s="401"/>
      <c r="AN27" s="100" t="b">
        <f t="shared" si="1"/>
        <v>0</v>
      </c>
      <c r="AO27" s="402"/>
    </row>
    <row r="28" ht="14.25" customHeight="1" outlineLevel="5">
      <c r="A28" s="390"/>
      <c r="B28" s="394"/>
      <c r="C28" s="393"/>
      <c r="D28" s="394"/>
      <c r="E28" s="248" t="s">
        <v>1276</v>
      </c>
      <c r="F28" s="249" t="s">
        <v>1238</v>
      </c>
      <c r="G28" s="249" t="s">
        <v>1277</v>
      </c>
      <c r="H28" s="260"/>
      <c r="I28" s="181"/>
      <c r="J28" s="181"/>
      <c r="K28" s="181"/>
      <c r="L28" s="181"/>
      <c r="M28" s="181"/>
      <c r="N28" s="181"/>
      <c r="O28" s="181"/>
      <c r="P28" s="181"/>
      <c r="Q28" s="181"/>
      <c r="R28" s="181"/>
      <c r="S28" s="181"/>
      <c r="T28" s="181"/>
      <c r="U28" s="181"/>
      <c r="V28" s="181"/>
      <c r="W28" s="182"/>
      <c r="X28" s="181"/>
      <c r="Y28" s="181"/>
      <c r="Z28" s="181"/>
      <c r="AA28" s="181"/>
      <c r="AB28" s="182">
        <v>0.0</v>
      </c>
      <c r="AC28" s="182">
        <v>0.0</v>
      </c>
      <c r="AD28" s="182">
        <v>0.0</v>
      </c>
      <c r="AE28" s="182">
        <v>0.0</v>
      </c>
      <c r="AF28" s="182">
        <v>0.0</v>
      </c>
      <c r="AG28" s="182">
        <v>0.0</v>
      </c>
      <c r="AH28" s="184">
        <v>0.0</v>
      </c>
      <c r="AI28" s="318"/>
      <c r="AJ28" s="318"/>
      <c r="AK28" s="318"/>
      <c r="AL28" s="318"/>
      <c r="AM28" s="401"/>
      <c r="AN28" s="100" t="b">
        <f t="shared" si="1"/>
        <v>0</v>
      </c>
      <c r="AO28" s="402"/>
    </row>
    <row r="29" ht="14.25" customHeight="1" outlineLevel="5">
      <c r="A29" s="390"/>
      <c r="B29" s="394"/>
      <c r="C29" s="393"/>
      <c r="D29" s="394"/>
      <c r="E29" s="248" t="s">
        <v>1278</v>
      </c>
      <c r="F29" s="249" t="s">
        <v>1238</v>
      </c>
      <c r="G29" s="249" t="s">
        <v>1279</v>
      </c>
      <c r="H29" s="260">
        <v>0.0</v>
      </c>
      <c r="I29" s="181">
        <v>0.0</v>
      </c>
      <c r="J29" s="181">
        <v>0.0</v>
      </c>
      <c r="K29" s="181">
        <v>0.0</v>
      </c>
      <c r="L29" s="181">
        <v>0.0</v>
      </c>
      <c r="M29" s="181">
        <v>0.0</v>
      </c>
      <c r="N29" s="181">
        <v>0.0</v>
      </c>
      <c r="O29" s="181">
        <v>0.0</v>
      </c>
      <c r="P29" s="181">
        <v>0.0</v>
      </c>
      <c r="Q29" s="181">
        <v>0.0</v>
      </c>
      <c r="R29" s="181">
        <v>9.23946382892581E-4</v>
      </c>
      <c r="S29" s="181">
        <v>0.00566779510545462</v>
      </c>
      <c r="T29" s="181">
        <v>0.0151820154147466</v>
      </c>
      <c r="U29" s="181">
        <v>0.0226906329292284</v>
      </c>
      <c r="V29" s="181">
        <v>0.0414084652923852</v>
      </c>
      <c r="W29" s="182">
        <v>0.0603697235318552</v>
      </c>
      <c r="X29" s="181"/>
      <c r="Y29" s="181"/>
      <c r="Z29" s="181"/>
      <c r="AA29" s="181"/>
      <c r="AB29" s="182">
        <v>0.56771452023</v>
      </c>
      <c r="AC29" s="182">
        <f t="shared" ref="AC29:AH29" si="3">AC24-AC25-AC26-AC27-AC28-AC30-AC31-AC32</f>
        <v>7.481692694</v>
      </c>
      <c r="AD29" s="182">
        <f t="shared" si="3"/>
        <v>20.72510362</v>
      </c>
      <c r="AE29" s="182">
        <f t="shared" si="3"/>
        <v>31.06773256</v>
      </c>
      <c r="AF29" s="182">
        <f t="shared" si="3"/>
        <v>46.51064999</v>
      </c>
      <c r="AG29" s="182">
        <f t="shared" si="3"/>
        <v>56.78367458</v>
      </c>
      <c r="AH29" s="182">
        <f t="shared" si="3"/>
        <v>61.62077913</v>
      </c>
      <c r="AI29" s="318"/>
      <c r="AJ29" s="318"/>
      <c r="AK29" s="318"/>
      <c r="AL29" s="318"/>
      <c r="AM29" s="401"/>
      <c r="AN29" s="100" t="b">
        <f t="shared" si="1"/>
        <v>0</v>
      </c>
      <c r="AO29" s="402"/>
    </row>
    <row r="30" ht="14.25" customHeight="1" outlineLevel="5">
      <c r="A30" s="390"/>
      <c r="B30" s="394"/>
      <c r="C30" s="393"/>
      <c r="D30" s="394"/>
      <c r="E30" s="248" t="s">
        <v>1280</v>
      </c>
      <c r="F30" s="249" t="s">
        <v>1238</v>
      </c>
      <c r="G30" s="249" t="s">
        <v>1281</v>
      </c>
      <c r="H30" s="260">
        <v>0.0</v>
      </c>
      <c r="I30" s="181">
        <v>0.0</v>
      </c>
      <c r="J30" s="181">
        <v>0.0</v>
      </c>
      <c r="K30" s="181">
        <v>0.0</v>
      </c>
      <c r="L30" s="181">
        <v>0.0</v>
      </c>
      <c r="M30" s="181">
        <v>0.0</v>
      </c>
      <c r="N30" s="181">
        <v>0.0</v>
      </c>
      <c r="O30" s="181">
        <v>0.0</v>
      </c>
      <c r="P30" s="181">
        <v>0.0</v>
      </c>
      <c r="Q30" s="181">
        <v>0.0</v>
      </c>
      <c r="R30" s="181">
        <v>0.0</v>
      </c>
      <c r="S30" s="181">
        <v>0.0</v>
      </c>
      <c r="T30" s="181">
        <v>0.0037675256518102</v>
      </c>
      <c r="U30" s="181">
        <v>0.00537938680002808</v>
      </c>
      <c r="V30" s="181">
        <v>0.0142496674717522</v>
      </c>
      <c r="W30" s="182">
        <v>0.0404665766603835</v>
      </c>
      <c r="X30" s="181"/>
      <c r="Y30" s="181"/>
      <c r="Z30" s="181"/>
      <c r="AA30" s="181"/>
      <c r="AB30" s="182">
        <v>1.2489719445060001</v>
      </c>
      <c r="AC30" s="398">
        <v>11.17474486528</v>
      </c>
      <c r="AD30" s="398">
        <v>19.900398075000002</v>
      </c>
      <c r="AE30" s="398">
        <v>32.0911106299</v>
      </c>
      <c r="AF30" s="398">
        <v>23.25532499667</v>
      </c>
      <c r="AG30" s="398">
        <v>9.694773709026</v>
      </c>
      <c r="AH30" s="398">
        <v>0.9431751908320184</v>
      </c>
      <c r="AI30" s="318"/>
      <c r="AJ30" s="318"/>
      <c r="AK30" s="318"/>
      <c r="AL30" s="318"/>
      <c r="AM30" s="401"/>
      <c r="AN30" s="100" t="b">
        <f t="shared" si="1"/>
        <v>0</v>
      </c>
      <c r="AO30" s="402"/>
    </row>
    <row r="31" ht="14.25" customHeight="1" outlineLevel="5">
      <c r="A31" s="390"/>
      <c r="B31" s="394"/>
      <c r="C31" s="393"/>
      <c r="D31" s="394"/>
      <c r="E31" s="248" t="s">
        <v>1282</v>
      </c>
      <c r="F31" s="249" t="s">
        <v>1238</v>
      </c>
      <c r="G31" s="249" t="s">
        <v>1283</v>
      </c>
      <c r="H31" s="260"/>
      <c r="I31" s="181"/>
      <c r="J31" s="181"/>
      <c r="K31" s="181"/>
      <c r="L31" s="181"/>
      <c r="M31" s="181"/>
      <c r="N31" s="181"/>
      <c r="O31" s="181"/>
      <c r="P31" s="181"/>
      <c r="Q31" s="181"/>
      <c r="R31" s="181"/>
      <c r="S31" s="181"/>
      <c r="T31" s="181"/>
      <c r="U31" s="181"/>
      <c r="V31" s="181"/>
      <c r="W31" s="182"/>
      <c r="X31" s="181"/>
      <c r="Y31" s="181"/>
      <c r="Z31" s="181"/>
      <c r="AA31" s="181"/>
      <c r="AB31" s="182">
        <v>0.113542904046</v>
      </c>
      <c r="AC31" s="182">
        <v>0.1117474486528</v>
      </c>
      <c r="AD31" s="182">
        <v>0.0</v>
      </c>
      <c r="AE31" s="182">
        <v>0.0</v>
      </c>
      <c r="AF31" s="182">
        <v>0.0</v>
      </c>
      <c r="AG31" s="182">
        <v>0.0</v>
      </c>
      <c r="AH31" s="184">
        <v>0.0</v>
      </c>
      <c r="AI31" s="318"/>
      <c r="AJ31" s="318"/>
      <c r="AK31" s="318"/>
      <c r="AL31" s="318"/>
      <c r="AM31" s="401"/>
      <c r="AN31" s="100" t="b">
        <f t="shared" si="1"/>
        <v>0</v>
      </c>
      <c r="AO31" s="402"/>
    </row>
    <row r="32" ht="14.25" customHeight="1" outlineLevel="5">
      <c r="A32" s="390"/>
      <c r="B32" s="394"/>
      <c r="C32" s="393"/>
      <c r="D32" s="394"/>
      <c r="E32" s="368" t="s">
        <v>1284</v>
      </c>
      <c r="F32" s="123" t="s">
        <v>1238</v>
      </c>
      <c r="G32" s="123" t="s">
        <v>1285</v>
      </c>
      <c r="H32" s="260"/>
      <c r="I32" s="181"/>
      <c r="J32" s="181"/>
      <c r="K32" s="181"/>
      <c r="L32" s="181"/>
      <c r="M32" s="181"/>
      <c r="N32" s="181"/>
      <c r="O32" s="181"/>
      <c r="P32" s="181"/>
      <c r="Q32" s="181"/>
      <c r="R32" s="181"/>
      <c r="S32" s="181"/>
      <c r="T32" s="181"/>
      <c r="U32" s="181"/>
      <c r="V32" s="181"/>
      <c r="W32" s="182"/>
      <c r="X32" s="181"/>
      <c r="Y32" s="181"/>
      <c r="Z32" s="181"/>
      <c r="AA32" s="181"/>
      <c r="AB32" s="182">
        <v>0.0</v>
      </c>
      <c r="AC32" s="182">
        <v>0.0</v>
      </c>
      <c r="AD32" s="182">
        <v>0.0</v>
      </c>
      <c r="AE32" s="182">
        <v>0.0</v>
      </c>
      <c r="AF32" s="182">
        <v>0.0</v>
      </c>
      <c r="AG32" s="182">
        <v>0.0</v>
      </c>
      <c r="AH32" s="182">
        <v>0.0</v>
      </c>
      <c r="AI32" s="318"/>
      <c r="AJ32" s="318"/>
      <c r="AK32" s="318"/>
      <c r="AL32" s="318"/>
      <c r="AM32" s="401"/>
      <c r="AN32" s="100" t="b">
        <f t="shared" si="1"/>
        <v>0</v>
      </c>
      <c r="AO32" s="402"/>
    </row>
    <row r="33" ht="14.25" customHeight="1" outlineLevel="4">
      <c r="A33" s="390"/>
      <c r="B33" s="394"/>
      <c r="C33" s="394"/>
      <c r="D33" s="395" t="s">
        <v>1286</v>
      </c>
      <c r="E33" s="162"/>
      <c r="F33" s="162"/>
      <c r="G33" s="162"/>
      <c r="H33" s="178"/>
      <c r="I33" s="178"/>
      <c r="J33" s="178"/>
      <c r="K33" s="178"/>
      <c r="L33" s="178"/>
      <c r="M33" s="178"/>
      <c r="N33" s="178"/>
      <c r="O33" s="178"/>
      <c r="P33" s="178"/>
      <c r="Q33" s="178"/>
      <c r="R33" s="178"/>
      <c r="S33" s="178"/>
      <c r="T33" s="178"/>
      <c r="U33" s="178"/>
      <c r="V33" s="178"/>
      <c r="W33" s="178"/>
      <c r="X33" s="178"/>
      <c r="Y33" s="178"/>
      <c r="Z33" s="178"/>
      <c r="AA33" s="178"/>
      <c r="AB33" s="178"/>
      <c r="AC33" s="178"/>
      <c r="AD33" s="178"/>
      <c r="AE33" s="178"/>
      <c r="AF33" s="178"/>
      <c r="AG33" s="178"/>
      <c r="AH33" s="178"/>
      <c r="AI33" s="100"/>
      <c r="AJ33" s="100"/>
      <c r="AK33" s="100"/>
      <c r="AL33" s="100"/>
      <c r="AM33" s="100"/>
      <c r="AN33" s="100" t="b">
        <f t="shared" si="1"/>
        <v>0</v>
      </c>
      <c r="AO33" s="402"/>
    </row>
    <row r="34" ht="14.25" customHeight="1" outlineLevel="5">
      <c r="A34" s="390"/>
      <c r="B34" s="394"/>
      <c r="C34" s="393"/>
      <c r="D34" s="394"/>
      <c r="E34" s="403" t="s">
        <v>1287</v>
      </c>
      <c r="F34" s="249" t="s">
        <v>1238</v>
      </c>
      <c r="G34" s="249" t="s">
        <v>1288</v>
      </c>
      <c r="H34" s="260">
        <v>1.59036238883032</v>
      </c>
      <c r="I34" s="181">
        <v>1.66540201788487</v>
      </c>
      <c r="J34" s="181">
        <v>1.75806794925124</v>
      </c>
      <c r="K34" s="181">
        <v>1.83678291751782</v>
      </c>
      <c r="L34" s="181">
        <v>1.87168981875479</v>
      </c>
      <c r="M34" s="181">
        <v>1.81574201381478</v>
      </c>
      <c r="N34" s="181">
        <v>1.87628977864613</v>
      </c>
      <c r="O34" s="181">
        <v>1.95447340547103</v>
      </c>
      <c r="P34" s="181">
        <v>1.95550199771117</v>
      </c>
      <c r="Q34" s="181">
        <v>1.92460485602953</v>
      </c>
      <c r="R34" s="181">
        <v>1.83462328549498</v>
      </c>
      <c r="S34" s="181">
        <v>1.83301615145241</v>
      </c>
      <c r="T34" s="181">
        <v>1.77028414647431</v>
      </c>
      <c r="U34" s="181">
        <v>1.690611027021</v>
      </c>
      <c r="V34" s="181">
        <v>1.78186078743711</v>
      </c>
      <c r="W34" s="182">
        <v>1.76029159243268</v>
      </c>
      <c r="X34" s="181"/>
      <c r="Y34" s="181"/>
      <c r="Z34" s="181"/>
      <c r="AA34" s="181"/>
      <c r="AB34" s="182">
        <v>1.9746592008</v>
      </c>
      <c r="AC34" s="182">
        <v>2.4644509696</v>
      </c>
      <c r="AD34" s="182">
        <v>2.792522625</v>
      </c>
      <c r="AE34" s="182">
        <v>3.243015314</v>
      </c>
      <c r="AF34" s="182">
        <v>3.6184228002</v>
      </c>
      <c r="AG34" s="182">
        <v>4.037806626</v>
      </c>
      <c r="AH34" s="184">
        <v>4.55640188807738</v>
      </c>
      <c r="AI34" s="318"/>
      <c r="AJ34" s="318"/>
      <c r="AK34" s="318"/>
      <c r="AL34" s="318"/>
      <c r="AM34" s="251"/>
      <c r="AN34" s="100" t="b">
        <f t="shared" si="1"/>
        <v>0</v>
      </c>
      <c r="AO34" s="102"/>
    </row>
    <row r="35" ht="14.25" customHeight="1" outlineLevel="5">
      <c r="A35" s="390"/>
      <c r="B35" s="394"/>
      <c r="C35" s="393"/>
      <c r="D35" s="394"/>
      <c r="E35" s="248" t="s">
        <v>1289</v>
      </c>
      <c r="F35" s="249" t="s">
        <v>1238</v>
      </c>
      <c r="G35" s="249" t="s">
        <v>1290</v>
      </c>
      <c r="H35" s="260"/>
      <c r="I35" s="181"/>
      <c r="J35" s="181"/>
      <c r="K35" s="181"/>
      <c r="L35" s="181"/>
      <c r="M35" s="181"/>
      <c r="N35" s="181"/>
      <c r="O35" s="181"/>
      <c r="P35" s="181"/>
      <c r="Q35" s="181"/>
      <c r="R35" s="181"/>
      <c r="S35" s="181"/>
      <c r="T35" s="181"/>
      <c r="U35" s="181"/>
      <c r="V35" s="181"/>
      <c r="W35" s="182">
        <v>1.75677100924781</v>
      </c>
      <c r="X35" s="181"/>
      <c r="Y35" s="181"/>
      <c r="Z35" s="181"/>
      <c r="AA35" s="181"/>
      <c r="AB35" s="182">
        <v>1.9707098823984</v>
      </c>
      <c r="AC35" s="182">
        <v>2.34122842112</v>
      </c>
      <c r="AD35" s="182">
        <v>1.9547658375</v>
      </c>
      <c r="AE35" s="182">
        <v>1.4593568913</v>
      </c>
      <c r="AF35" s="182">
        <v>0.72368456004</v>
      </c>
      <c r="AG35" s="182">
        <v>0.8075613252</v>
      </c>
      <c r="AH35" s="184">
        <v>0.683460283211607</v>
      </c>
      <c r="AI35" s="318"/>
      <c r="AJ35" s="318"/>
      <c r="AK35" s="318"/>
      <c r="AL35" s="318"/>
      <c r="AM35" s="401"/>
      <c r="AN35" s="100" t="b">
        <f t="shared" si="1"/>
        <v>0</v>
      </c>
      <c r="AO35" s="402"/>
    </row>
    <row r="36" ht="14.25" customHeight="1" outlineLevel="5">
      <c r="A36" s="390"/>
      <c r="B36" s="394"/>
      <c r="C36" s="393"/>
      <c r="D36" s="394"/>
      <c r="E36" s="248" t="s">
        <v>1291</v>
      </c>
      <c r="F36" s="249" t="s">
        <v>1238</v>
      </c>
      <c r="G36" s="249" t="s">
        <v>1292</v>
      </c>
      <c r="H36" s="260"/>
      <c r="I36" s="181"/>
      <c r="J36" s="181"/>
      <c r="K36" s="181"/>
      <c r="L36" s="181"/>
      <c r="M36" s="181"/>
      <c r="N36" s="181"/>
      <c r="O36" s="181"/>
      <c r="P36" s="181"/>
      <c r="Q36" s="181"/>
      <c r="R36" s="181"/>
      <c r="S36" s="181"/>
      <c r="T36" s="181"/>
      <c r="U36" s="181"/>
      <c r="V36" s="181"/>
      <c r="W36" s="182">
        <v>0.0</v>
      </c>
      <c r="X36" s="181"/>
      <c r="Y36" s="181"/>
      <c r="Z36" s="181"/>
      <c r="AA36" s="181"/>
      <c r="AB36" s="182">
        <v>0.0</v>
      </c>
      <c r="AC36" s="398">
        <v>0.0</v>
      </c>
      <c r="AD36" s="398">
        <v>0.0</v>
      </c>
      <c r="AE36" s="398">
        <v>0.0</v>
      </c>
      <c r="AF36" s="398">
        <v>0.0</v>
      </c>
      <c r="AG36" s="398">
        <v>0.0</v>
      </c>
      <c r="AH36" s="398">
        <v>0.0</v>
      </c>
      <c r="AI36" s="318"/>
      <c r="AJ36" s="318"/>
      <c r="AK36" s="318"/>
      <c r="AL36" s="318"/>
      <c r="AM36" s="401"/>
      <c r="AN36" s="100" t="b">
        <f t="shared" si="1"/>
        <v>0</v>
      </c>
      <c r="AO36" s="402"/>
    </row>
    <row r="37" ht="14.25" customHeight="1" outlineLevel="5">
      <c r="A37" s="390"/>
      <c r="B37" s="394"/>
      <c r="C37" s="393"/>
      <c r="D37" s="394"/>
      <c r="E37" s="368" t="s">
        <v>1293</v>
      </c>
      <c r="F37" s="123" t="s">
        <v>1238</v>
      </c>
      <c r="G37" s="123" t="s">
        <v>1294</v>
      </c>
      <c r="H37" s="260"/>
      <c r="I37" s="181"/>
      <c r="J37" s="181"/>
      <c r="K37" s="181"/>
      <c r="L37" s="181"/>
      <c r="M37" s="181"/>
      <c r="N37" s="181"/>
      <c r="O37" s="181"/>
      <c r="P37" s="181"/>
      <c r="Q37" s="181"/>
      <c r="R37" s="181"/>
      <c r="S37" s="181"/>
      <c r="T37" s="181"/>
      <c r="U37" s="181"/>
      <c r="V37" s="181"/>
      <c r="W37" s="182">
        <v>0.00281646654789229</v>
      </c>
      <c r="X37" s="181"/>
      <c r="Y37" s="181"/>
      <c r="Z37" s="181"/>
      <c r="AA37" s="181"/>
      <c r="AB37" s="182">
        <v>0.0039493184016</v>
      </c>
      <c r="AC37" s="398">
        <v>0.12322254848</v>
      </c>
      <c r="AD37" s="398">
        <v>0.8377567875</v>
      </c>
      <c r="AE37" s="398">
        <v>1.7836584227</v>
      </c>
      <c r="AF37" s="398">
        <v>2.53289596014</v>
      </c>
      <c r="AG37" s="398">
        <v>3.2302453008</v>
      </c>
      <c r="AH37" s="400">
        <v>3.87294160486578</v>
      </c>
      <c r="AI37" s="318"/>
      <c r="AJ37" s="318"/>
      <c r="AK37" s="318"/>
      <c r="AL37" s="318"/>
      <c r="AM37" s="401"/>
      <c r="AN37" s="100" t="b">
        <f t="shared" si="1"/>
        <v>0</v>
      </c>
      <c r="AO37" s="402"/>
    </row>
    <row r="38" ht="14.25" customHeight="1" outlineLevel="4">
      <c r="A38" s="390"/>
      <c r="B38" s="394"/>
      <c r="C38" s="393"/>
      <c r="D38" s="395" t="s">
        <v>1295</v>
      </c>
      <c r="E38" s="162"/>
      <c r="F38" s="162"/>
      <c r="G38" s="162"/>
      <c r="H38" s="178"/>
      <c r="I38" s="178"/>
      <c r="J38" s="178"/>
      <c r="K38" s="178"/>
      <c r="L38" s="178"/>
      <c r="M38" s="178"/>
      <c r="N38" s="178"/>
      <c r="O38" s="178"/>
      <c r="P38" s="178"/>
      <c r="Q38" s="178"/>
      <c r="R38" s="178"/>
      <c r="S38" s="178"/>
      <c r="T38" s="178"/>
      <c r="U38" s="178"/>
      <c r="V38" s="178"/>
      <c r="W38" s="178"/>
      <c r="X38" s="178"/>
      <c r="Y38" s="178"/>
      <c r="Z38" s="178"/>
      <c r="AA38" s="178"/>
      <c r="AB38" s="178"/>
      <c r="AC38" s="178"/>
      <c r="AD38" s="178"/>
      <c r="AE38" s="178"/>
      <c r="AF38" s="178"/>
      <c r="AG38" s="178"/>
      <c r="AH38" s="178"/>
      <c r="AI38" s="100"/>
      <c r="AJ38" s="100"/>
      <c r="AK38" s="100"/>
      <c r="AL38" s="100"/>
      <c r="AM38" s="100"/>
      <c r="AN38" s="100" t="b">
        <f t="shared" si="1"/>
        <v>0</v>
      </c>
      <c r="AO38" s="102"/>
    </row>
    <row r="39" ht="14.25" customHeight="1" outlineLevel="5">
      <c r="A39" s="390"/>
      <c r="B39" s="394"/>
      <c r="C39" s="393"/>
      <c r="D39" s="394"/>
      <c r="E39" s="248" t="s">
        <v>1296</v>
      </c>
      <c r="F39" s="249" t="s">
        <v>1297</v>
      </c>
      <c r="G39" s="249" t="s">
        <v>1298</v>
      </c>
      <c r="H39" s="404">
        <v>20.0843027325715</v>
      </c>
      <c r="I39" s="405">
        <v>20.5751317602524</v>
      </c>
      <c r="J39" s="405">
        <v>21.9991526894767</v>
      </c>
      <c r="K39" s="405">
        <v>23.6317251070012</v>
      </c>
      <c r="L39" s="405">
        <v>24.4879942819117</v>
      </c>
      <c r="M39" s="405">
        <v>25.2856169352047</v>
      </c>
      <c r="N39" s="405">
        <v>26.6023154104349</v>
      </c>
      <c r="O39" s="405">
        <v>27.6900538763367</v>
      </c>
      <c r="P39" s="405">
        <v>25.5359467314766</v>
      </c>
      <c r="Q39" s="405">
        <v>25.8313837465304</v>
      </c>
      <c r="R39" s="405">
        <v>25.5711546815729</v>
      </c>
      <c r="S39" s="405">
        <v>26.6046796770089</v>
      </c>
      <c r="T39" s="405">
        <v>27.4942348466088</v>
      </c>
      <c r="U39" s="405">
        <v>25.5519668395711</v>
      </c>
      <c r="V39" s="405">
        <v>24.441844025596</v>
      </c>
      <c r="W39" s="406">
        <v>23.0137592884839</v>
      </c>
      <c r="X39" s="405"/>
      <c r="Y39" s="405"/>
      <c r="Z39" s="405"/>
      <c r="AA39" s="405"/>
      <c r="AB39" s="406">
        <v>25.0</v>
      </c>
      <c r="AC39" s="406">
        <v>25.0</v>
      </c>
      <c r="AD39" s="406">
        <v>25.0</v>
      </c>
      <c r="AE39" s="406">
        <v>25.0</v>
      </c>
      <c r="AF39" s="406">
        <v>25.0</v>
      </c>
      <c r="AG39" s="406">
        <v>25.0</v>
      </c>
      <c r="AH39" s="407">
        <v>25.0</v>
      </c>
      <c r="AI39" s="318"/>
      <c r="AJ39" s="318"/>
      <c r="AK39" s="318"/>
      <c r="AL39" s="318"/>
      <c r="AM39" s="251"/>
      <c r="AN39" s="100" t="b">
        <f t="shared" si="1"/>
        <v>0</v>
      </c>
      <c r="AO39" s="102"/>
    </row>
    <row r="40" ht="14.25" customHeight="1" outlineLevel="5">
      <c r="A40" s="390"/>
      <c r="B40" s="394"/>
      <c r="C40" s="393"/>
      <c r="D40" s="394"/>
      <c r="E40" s="403" t="s">
        <v>1299</v>
      </c>
      <c r="F40" s="249" t="s">
        <v>1238</v>
      </c>
      <c r="G40" s="249" t="s">
        <v>1300</v>
      </c>
      <c r="H40" s="260">
        <v>13.3529</v>
      </c>
      <c r="I40" s="181">
        <v>13.8155</v>
      </c>
      <c r="J40" s="181">
        <v>14.993</v>
      </c>
      <c r="K40" s="181">
        <v>16.4755</v>
      </c>
      <c r="L40" s="181">
        <v>17.1148</v>
      </c>
      <c r="M40" s="181">
        <v>17.4974</v>
      </c>
      <c r="N40" s="181">
        <v>18.0267</v>
      </c>
      <c r="O40" s="181">
        <v>18.7219</v>
      </c>
      <c r="P40" s="181">
        <v>17.72</v>
      </c>
      <c r="Q40" s="181">
        <v>17.7496</v>
      </c>
      <c r="R40" s="181">
        <v>17.5002</v>
      </c>
      <c r="S40" s="181">
        <v>17.7884</v>
      </c>
      <c r="T40" s="181">
        <v>18.0204</v>
      </c>
      <c r="U40" s="181">
        <v>15.7664</v>
      </c>
      <c r="V40" s="181">
        <v>15.4046</v>
      </c>
      <c r="W40" s="182">
        <v>15.1660673711109</v>
      </c>
      <c r="X40" s="181">
        <v>13.5329</v>
      </c>
      <c r="Y40" s="181">
        <v>13.3098</v>
      </c>
      <c r="Z40" s="181"/>
      <c r="AA40" s="181"/>
      <c r="AB40" s="182">
        <v>13.670717544</v>
      </c>
      <c r="AC40" s="182">
        <v>13.862536704</v>
      </c>
      <c r="AD40" s="182">
        <v>14.6974875</v>
      </c>
      <c r="AE40" s="182">
        <v>17.68917444</v>
      </c>
      <c r="AF40" s="182">
        <v>20.875516155</v>
      </c>
      <c r="AG40" s="182">
        <v>22.880904214</v>
      </c>
      <c r="AH40" s="184">
        <v>23.4329239958265</v>
      </c>
      <c r="AI40" s="318"/>
      <c r="AJ40" s="318"/>
      <c r="AK40" s="318"/>
      <c r="AL40" s="318"/>
      <c r="AM40" s="251"/>
      <c r="AN40" s="100" t="b">
        <f t="shared" si="1"/>
        <v>0</v>
      </c>
      <c r="AO40" s="102"/>
    </row>
    <row r="41" ht="14.25" customHeight="1" outlineLevel="5">
      <c r="A41" s="390"/>
      <c r="B41" s="394"/>
      <c r="C41" s="393"/>
      <c r="D41" s="394"/>
      <c r="E41" s="248" t="s">
        <v>1301</v>
      </c>
      <c r="F41" s="249" t="s">
        <v>1238</v>
      </c>
      <c r="G41" s="249" t="s">
        <v>1302</v>
      </c>
      <c r="H41" s="260">
        <v>13.2966130476496</v>
      </c>
      <c r="I41" s="181">
        <v>13.7836488892874</v>
      </c>
      <c r="J41" s="181">
        <v>14.957618054484</v>
      </c>
      <c r="K41" s="181">
        <v>16.4816318701968</v>
      </c>
      <c r="L41" s="181">
        <v>17.1409805079214</v>
      </c>
      <c r="M41" s="181">
        <v>17.4932234213613</v>
      </c>
      <c r="N41" s="181">
        <v>18.0550393321653</v>
      </c>
      <c r="O41" s="181">
        <v>18.7068610856748</v>
      </c>
      <c r="P41" s="181">
        <v>17.590044268139</v>
      </c>
      <c r="Q41" s="181">
        <v>17.6098070771703</v>
      </c>
      <c r="R41" s="181">
        <v>17.3610579565778</v>
      </c>
      <c r="S41" s="181">
        <v>17.6513746253894</v>
      </c>
      <c r="T41" s="181">
        <v>17.8918722837401</v>
      </c>
      <c r="U41" s="181">
        <v>16.157538255192</v>
      </c>
      <c r="V41" s="181">
        <v>15.7712850914879</v>
      </c>
      <c r="W41" s="182">
        <v>15.1508735406455</v>
      </c>
      <c r="X41" s="181"/>
      <c r="Y41" s="181"/>
      <c r="Z41" s="181"/>
      <c r="AA41" s="181"/>
      <c r="AB41" s="182">
        <v>13.643376108912</v>
      </c>
      <c r="AC41" s="182">
        <v>13.58528596992</v>
      </c>
      <c r="AD41" s="182">
        <v>13.81563825</v>
      </c>
      <c r="AE41" s="182">
        <v>14.5051230408</v>
      </c>
      <c r="AF41" s="182">
        <v>12.31655453145</v>
      </c>
      <c r="AG41" s="182">
        <v>8.0083164749</v>
      </c>
      <c r="AH41" s="184">
        <v>2.34329239958265</v>
      </c>
      <c r="AI41" s="318"/>
      <c r="AJ41" s="318"/>
      <c r="AK41" s="318"/>
      <c r="AL41" s="318"/>
      <c r="AM41" s="401"/>
      <c r="AN41" s="100" t="b">
        <f t="shared" si="1"/>
        <v>0</v>
      </c>
      <c r="AO41" s="402"/>
    </row>
    <row r="42" ht="14.25" customHeight="1" outlineLevel="5">
      <c r="A42" s="390"/>
      <c r="B42" s="394"/>
      <c r="C42" s="393"/>
      <c r="D42" s="394"/>
      <c r="E42" s="248" t="s">
        <v>1303</v>
      </c>
      <c r="F42" s="249" t="s">
        <v>1238</v>
      </c>
      <c r="G42" s="249" t="s">
        <v>1304</v>
      </c>
      <c r="H42" s="260"/>
      <c r="I42" s="181"/>
      <c r="J42" s="181"/>
      <c r="K42" s="181"/>
      <c r="L42" s="181"/>
      <c r="M42" s="181"/>
      <c r="N42" s="181"/>
      <c r="O42" s="181"/>
      <c r="P42" s="181"/>
      <c r="Q42" s="181"/>
      <c r="R42" s="181"/>
      <c r="S42" s="181"/>
      <c r="T42" s="181"/>
      <c r="U42" s="181"/>
      <c r="V42" s="181"/>
      <c r="W42" s="182"/>
      <c r="X42" s="181"/>
      <c r="Y42" s="181"/>
      <c r="Z42" s="181"/>
      <c r="AA42" s="181"/>
      <c r="AB42" s="182">
        <v>0.0</v>
      </c>
      <c r="AC42" s="182">
        <v>0.0</v>
      </c>
      <c r="AD42" s="182">
        <v>0.0</v>
      </c>
      <c r="AE42" s="182">
        <v>0.0</v>
      </c>
      <c r="AF42" s="182">
        <v>0.0</v>
      </c>
      <c r="AG42" s="182">
        <v>0.0</v>
      </c>
      <c r="AH42" s="184">
        <v>0.0</v>
      </c>
      <c r="AI42" s="318"/>
      <c r="AJ42" s="318"/>
      <c r="AK42" s="318"/>
      <c r="AL42" s="318"/>
      <c r="AM42" s="401"/>
      <c r="AN42" s="100" t="b">
        <f t="shared" si="1"/>
        <v>0</v>
      </c>
      <c r="AO42" s="402"/>
    </row>
    <row r="43" ht="14.25" customHeight="1" outlineLevel="5">
      <c r="A43" s="390"/>
      <c r="B43" s="394"/>
      <c r="C43" s="393"/>
      <c r="D43" s="394"/>
      <c r="E43" s="248" t="s">
        <v>1305</v>
      </c>
      <c r="F43" s="249" t="s">
        <v>1238</v>
      </c>
      <c r="G43" s="249" t="s">
        <v>1306</v>
      </c>
      <c r="H43" s="260">
        <v>0.0</v>
      </c>
      <c r="I43" s="181">
        <v>0.0</v>
      </c>
      <c r="J43" s="181">
        <v>0.0</v>
      </c>
      <c r="K43" s="181">
        <v>0.0</v>
      </c>
      <c r="L43" s="181">
        <v>0.0</v>
      </c>
      <c r="M43" s="181">
        <v>0.0</v>
      </c>
      <c r="N43" s="181">
        <v>0.0</v>
      </c>
      <c r="O43" s="181">
        <v>0.0</v>
      </c>
      <c r="P43" s="181">
        <v>0.0</v>
      </c>
      <c r="Q43" s="181">
        <v>0.0</v>
      </c>
      <c r="R43" s="181">
        <v>0.0</v>
      </c>
      <c r="S43" s="181">
        <v>0.0</v>
      </c>
      <c r="T43" s="181">
        <v>0.0</v>
      </c>
      <c r="U43" s="181">
        <v>0.0</v>
      </c>
      <c r="V43" s="181">
        <v>0.0</v>
      </c>
      <c r="W43" s="182">
        <v>0.0</v>
      </c>
      <c r="X43" s="181"/>
      <c r="Y43" s="181"/>
      <c r="Z43" s="181"/>
      <c r="AA43" s="181"/>
      <c r="AB43" s="182">
        <v>0.0</v>
      </c>
      <c r="AC43" s="182">
        <v>0.0</v>
      </c>
      <c r="AD43" s="182">
        <v>0.0</v>
      </c>
      <c r="AE43" s="182">
        <v>0.0</v>
      </c>
      <c r="AF43" s="182">
        <v>0.0</v>
      </c>
      <c r="AG43" s="182">
        <v>0.0</v>
      </c>
      <c r="AH43" s="182">
        <v>0.0</v>
      </c>
      <c r="AI43" s="318"/>
      <c r="AJ43" s="318"/>
      <c r="AK43" s="318"/>
      <c r="AL43" s="318"/>
      <c r="AM43" s="401"/>
      <c r="AN43" s="100" t="b">
        <f t="shared" si="1"/>
        <v>0</v>
      </c>
      <c r="AO43" s="402"/>
    </row>
    <row r="44" ht="14.25" customHeight="1" outlineLevel="5">
      <c r="A44" s="390"/>
      <c r="B44" s="394"/>
      <c r="C44" s="393"/>
      <c r="D44" s="394"/>
      <c r="E44" s="248" t="s">
        <v>1307</v>
      </c>
      <c r="F44" s="249" t="s">
        <v>1238</v>
      </c>
      <c r="G44" s="249" t="s">
        <v>1308</v>
      </c>
      <c r="H44" s="260"/>
      <c r="I44" s="181"/>
      <c r="J44" s="181"/>
      <c r="K44" s="181"/>
      <c r="L44" s="181"/>
      <c r="M44" s="181"/>
      <c r="N44" s="181"/>
      <c r="O44" s="181"/>
      <c r="P44" s="181"/>
      <c r="Q44" s="181"/>
      <c r="R44" s="181"/>
      <c r="S44" s="181"/>
      <c r="T44" s="181"/>
      <c r="U44" s="181"/>
      <c r="V44" s="181"/>
      <c r="W44" s="182"/>
      <c r="X44" s="181"/>
      <c r="Y44" s="181"/>
      <c r="Z44" s="181"/>
      <c r="AA44" s="181"/>
      <c r="AB44" s="182">
        <v>0.0</v>
      </c>
      <c r="AC44" s="182">
        <v>0.0</v>
      </c>
      <c r="AD44" s="182">
        <v>0.0</v>
      </c>
      <c r="AE44" s="182">
        <v>0.0</v>
      </c>
      <c r="AF44" s="182">
        <v>0.0</v>
      </c>
      <c r="AG44" s="182">
        <v>0.0</v>
      </c>
      <c r="AH44" s="182">
        <v>0.0</v>
      </c>
      <c r="AI44" s="318"/>
      <c r="AJ44" s="318"/>
      <c r="AK44" s="318"/>
      <c r="AL44" s="318"/>
      <c r="AM44" s="401"/>
      <c r="AN44" s="100" t="b">
        <f t="shared" si="1"/>
        <v>0</v>
      </c>
      <c r="AO44" s="402"/>
    </row>
    <row r="45" ht="14.25" customHeight="1" outlineLevel="5">
      <c r="A45" s="390"/>
      <c r="B45" s="394"/>
      <c r="C45" s="393"/>
      <c r="D45" s="394"/>
      <c r="E45" s="368" t="s">
        <v>1309</v>
      </c>
      <c r="F45" s="69" t="s">
        <v>1238</v>
      </c>
      <c r="G45" s="123" t="s">
        <v>1310</v>
      </c>
      <c r="H45" s="260">
        <v>0.00164812088888688</v>
      </c>
      <c r="I45" s="181">
        <v>0.00168939008165726</v>
      </c>
      <c r="J45" s="181">
        <v>0.00180577436022106</v>
      </c>
      <c r="K45" s="181">
        <v>0.00194014757916887</v>
      </c>
      <c r="L45" s="181">
        <v>0.00201149621787504</v>
      </c>
      <c r="M45" s="181">
        <v>0.0218246341212435</v>
      </c>
      <c r="N45" s="181">
        <v>0.0229660091715014</v>
      </c>
      <c r="O45" s="181">
        <v>0.0227759124285058</v>
      </c>
      <c r="P45" s="181">
        <v>0.0199557318610129</v>
      </c>
      <c r="Q45" s="181">
        <v>0.0201929228296912</v>
      </c>
      <c r="R45" s="181">
        <v>0.0189420434222448</v>
      </c>
      <c r="S45" s="181">
        <v>0.0186253746106129</v>
      </c>
      <c r="T45" s="181">
        <v>0.0181277162598755</v>
      </c>
      <c r="U45" s="181">
        <v>0.016856754256495</v>
      </c>
      <c r="V45" s="181">
        <v>0.0181461490471378</v>
      </c>
      <c r="W45" s="182">
        <v>0.0151938304653612</v>
      </c>
      <c r="X45" s="181"/>
      <c r="Y45" s="181"/>
      <c r="Z45" s="181"/>
      <c r="AA45" s="181"/>
      <c r="AB45" s="182">
        <f t="shared" ref="AB45:AH45" si="4">AB40-AB41-AB42-AB43-AB44</f>
        <v>0.02734143509</v>
      </c>
      <c r="AC45" s="182">
        <f t="shared" si="4"/>
        <v>0.2772507341</v>
      </c>
      <c r="AD45" s="182">
        <f t="shared" si="4"/>
        <v>0.88184925</v>
      </c>
      <c r="AE45" s="182">
        <f t="shared" si="4"/>
        <v>3.184051399</v>
      </c>
      <c r="AF45" s="182">
        <f t="shared" si="4"/>
        <v>8.558961624</v>
      </c>
      <c r="AG45" s="182">
        <f t="shared" si="4"/>
        <v>14.87258774</v>
      </c>
      <c r="AH45" s="182">
        <f t="shared" si="4"/>
        <v>21.0896316</v>
      </c>
      <c r="AI45" s="318"/>
      <c r="AJ45" s="318"/>
      <c r="AK45" s="318"/>
      <c r="AL45" s="318"/>
      <c r="AM45" s="401"/>
      <c r="AN45" s="100" t="b">
        <f t="shared" si="1"/>
        <v>0</v>
      </c>
      <c r="AO45" s="402"/>
    </row>
    <row r="46" ht="14.25" customHeight="1" outlineLevel="3">
      <c r="A46" s="390"/>
      <c r="B46" s="394"/>
      <c r="C46" s="408" t="s">
        <v>1311</v>
      </c>
      <c r="D46" s="394"/>
      <c r="E46" s="162"/>
      <c r="F46" s="162"/>
      <c r="G46" s="162"/>
      <c r="H46" s="178"/>
      <c r="I46" s="178"/>
      <c r="J46" s="178"/>
      <c r="K46" s="178"/>
      <c r="L46" s="178"/>
      <c r="M46" s="178"/>
      <c r="N46" s="178"/>
      <c r="O46" s="178"/>
      <c r="P46" s="178"/>
      <c r="Q46" s="178"/>
      <c r="R46" s="178"/>
      <c r="S46" s="178"/>
      <c r="T46" s="178"/>
      <c r="U46" s="178"/>
      <c r="V46" s="178"/>
      <c r="W46" s="178"/>
      <c r="X46" s="178"/>
      <c r="Y46" s="178"/>
      <c r="Z46" s="178"/>
      <c r="AA46" s="178"/>
      <c r="AB46" s="178"/>
      <c r="AC46" s="178"/>
      <c r="AD46" s="178"/>
      <c r="AE46" s="178"/>
      <c r="AF46" s="178"/>
      <c r="AG46" s="178"/>
      <c r="AH46" s="178"/>
      <c r="AI46" s="100"/>
      <c r="AJ46" s="100"/>
      <c r="AK46" s="100"/>
      <c r="AL46" s="100"/>
      <c r="AM46" s="100"/>
      <c r="AN46" s="100" t="b">
        <f t="shared" si="1"/>
        <v>0</v>
      </c>
      <c r="AO46" s="102"/>
    </row>
    <row r="47" ht="14.25" customHeight="1" outlineLevel="4">
      <c r="A47" s="390"/>
      <c r="B47" s="394"/>
      <c r="C47" s="393"/>
      <c r="D47" s="395" t="s">
        <v>1312</v>
      </c>
      <c r="E47" s="162"/>
      <c r="F47" s="162"/>
      <c r="G47" s="162"/>
      <c r="H47" s="178"/>
      <c r="I47" s="178"/>
      <c r="J47" s="178"/>
      <c r="K47" s="178"/>
      <c r="L47" s="178"/>
      <c r="M47" s="178"/>
      <c r="N47" s="178"/>
      <c r="O47" s="178"/>
      <c r="P47" s="178"/>
      <c r="Q47" s="178"/>
      <c r="R47" s="178"/>
      <c r="S47" s="178"/>
      <c r="T47" s="178"/>
      <c r="U47" s="178"/>
      <c r="V47" s="178"/>
      <c r="W47" s="178"/>
      <c r="X47" s="178"/>
      <c r="Y47" s="178"/>
      <c r="Z47" s="178"/>
      <c r="AA47" s="178"/>
      <c r="AB47" s="178"/>
      <c r="AC47" s="178"/>
      <c r="AD47" s="178"/>
      <c r="AE47" s="178"/>
      <c r="AF47" s="178"/>
      <c r="AG47" s="178"/>
      <c r="AH47" s="178"/>
      <c r="AI47" s="100"/>
      <c r="AJ47" s="100"/>
      <c r="AK47" s="100"/>
      <c r="AL47" s="100"/>
      <c r="AM47" s="100"/>
      <c r="AN47" s="100" t="b">
        <f t="shared" si="1"/>
        <v>0</v>
      </c>
      <c r="AO47" s="102"/>
    </row>
    <row r="48" ht="14.25" customHeight="1" outlineLevel="5">
      <c r="A48" s="390"/>
      <c r="B48" s="394"/>
      <c r="C48" s="393"/>
      <c r="D48" s="394"/>
      <c r="E48" s="409" t="s">
        <v>1313</v>
      </c>
      <c r="F48" s="410" t="s">
        <v>1314</v>
      </c>
      <c r="G48" s="410" t="s">
        <v>1315</v>
      </c>
      <c r="H48" s="260">
        <v>15032.0</v>
      </c>
      <c r="I48" s="181">
        <v>15029.0</v>
      </c>
      <c r="J48" s="181">
        <v>15069.0</v>
      </c>
      <c r="K48" s="181">
        <v>15039.0</v>
      </c>
      <c r="L48" s="181">
        <v>15077.0</v>
      </c>
      <c r="M48" s="181">
        <v>14956.0</v>
      </c>
      <c r="N48" s="181">
        <v>15024.0</v>
      </c>
      <c r="O48" s="181">
        <v>15741.0</v>
      </c>
      <c r="P48" s="181">
        <v>15690.0</v>
      </c>
      <c r="Q48" s="181">
        <v>15867.0</v>
      </c>
      <c r="R48" s="181">
        <v>15649.0</v>
      </c>
      <c r="S48" s="181">
        <v>15489.0</v>
      </c>
      <c r="T48" s="181">
        <v>15346.0</v>
      </c>
      <c r="U48" s="181">
        <v>15284.0</v>
      </c>
      <c r="V48" s="181">
        <v>15096.0</v>
      </c>
      <c r="W48" s="286">
        <v>15151.0</v>
      </c>
      <c r="X48" s="181">
        <v>14999.0</v>
      </c>
      <c r="Y48" s="181">
        <v>14770.0</v>
      </c>
      <c r="Z48" s="181"/>
      <c r="AA48" s="181"/>
      <c r="AB48" s="286"/>
      <c r="AC48" s="286"/>
      <c r="AD48" s="286"/>
      <c r="AE48" s="286"/>
      <c r="AF48" s="286"/>
      <c r="AG48" s="286"/>
      <c r="AH48" s="286"/>
      <c r="AI48" s="318"/>
      <c r="AJ48" s="318"/>
      <c r="AK48" s="318"/>
      <c r="AL48" s="318"/>
      <c r="AM48" s="251"/>
      <c r="AN48" s="100" t="b">
        <f t="shared" si="1"/>
        <v>0</v>
      </c>
      <c r="AO48" s="102"/>
    </row>
    <row r="49" ht="14.25" customHeight="1" outlineLevel="5">
      <c r="A49" s="390"/>
      <c r="B49" s="394"/>
      <c r="C49" s="393"/>
      <c r="D49" s="394"/>
      <c r="E49" s="409" t="s">
        <v>1316</v>
      </c>
      <c r="F49" s="410" t="s">
        <v>1314</v>
      </c>
      <c r="G49" s="410" t="s">
        <v>1317</v>
      </c>
      <c r="H49" s="260">
        <v>11197.0</v>
      </c>
      <c r="I49" s="181"/>
      <c r="J49" s="181"/>
      <c r="K49" s="181"/>
      <c r="L49" s="181"/>
      <c r="M49" s="181">
        <v>10466.0</v>
      </c>
      <c r="N49" s="181">
        <v>10060.0</v>
      </c>
      <c r="O49" s="181">
        <v>9595.0</v>
      </c>
      <c r="P49" s="181">
        <v>9181.0</v>
      </c>
      <c r="Q49" s="181">
        <v>9133.0</v>
      </c>
      <c r="R49" s="181">
        <v>8983.0</v>
      </c>
      <c r="S49" s="181">
        <v>8791.0</v>
      </c>
      <c r="T49" s="181">
        <v>8754.0</v>
      </c>
      <c r="U49" s="181">
        <v>8870.0</v>
      </c>
      <c r="V49" s="181">
        <v>8962.0</v>
      </c>
      <c r="W49" s="286">
        <v>9259.0</v>
      </c>
      <c r="X49" s="181">
        <v>9570.0</v>
      </c>
      <c r="Y49" s="181">
        <v>9861.0</v>
      </c>
      <c r="Z49" s="181"/>
      <c r="AA49" s="181"/>
      <c r="AB49" s="286"/>
      <c r="AC49" s="286"/>
      <c r="AD49" s="286"/>
      <c r="AE49" s="286"/>
      <c r="AF49" s="286"/>
      <c r="AG49" s="286"/>
      <c r="AH49" s="286"/>
      <c r="AI49" s="318"/>
      <c r="AJ49" s="318"/>
      <c r="AK49" s="318"/>
      <c r="AL49" s="318"/>
      <c r="AM49" s="251"/>
      <c r="AN49" s="100" t="b">
        <f t="shared" si="1"/>
        <v>0</v>
      </c>
      <c r="AO49" s="102"/>
    </row>
    <row r="50" ht="14.25" customHeight="1" outlineLevel="5">
      <c r="A50" s="390"/>
      <c r="B50" s="394"/>
      <c r="C50" s="393"/>
      <c r="D50" s="394"/>
      <c r="E50" s="411" t="s">
        <v>1318</v>
      </c>
      <c r="F50" s="69" t="s">
        <v>1314</v>
      </c>
      <c r="G50" s="69" t="s">
        <v>1319</v>
      </c>
      <c r="H50" s="260">
        <v>22955.0</v>
      </c>
      <c r="I50" s="181"/>
      <c r="J50" s="181"/>
      <c r="K50" s="181"/>
      <c r="L50" s="181"/>
      <c r="M50" s="181">
        <v>20278.0</v>
      </c>
      <c r="N50" s="181">
        <v>20087.0</v>
      </c>
      <c r="O50" s="181">
        <v>20376.0</v>
      </c>
      <c r="P50" s="181">
        <v>20233.0</v>
      </c>
      <c r="Q50" s="181">
        <v>20254.0</v>
      </c>
      <c r="R50" s="181">
        <v>19991.0</v>
      </c>
      <c r="S50" s="181">
        <v>19595.0</v>
      </c>
      <c r="T50" s="181">
        <v>19211.0</v>
      </c>
      <c r="U50" s="181">
        <v>19118.0</v>
      </c>
      <c r="V50" s="181">
        <v>18841.0</v>
      </c>
      <c r="W50" s="286">
        <v>18884.0</v>
      </c>
      <c r="X50" s="181">
        <v>18721.0</v>
      </c>
      <c r="Y50" s="181">
        <v>18480.0</v>
      </c>
      <c r="Z50" s="181"/>
      <c r="AA50" s="181"/>
      <c r="AB50" s="286"/>
      <c r="AC50" s="286"/>
      <c r="AD50" s="286"/>
      <c r="AE50" s="286"/>
      <c r="AF50" s="286"/>
      <c r="AG50" s="286"/>
      <c r="AH50" s="286"/>
      <c r="AI50" s="318"/>
      <c r="AJ50" s="318"/>
      <c r="AK50" s="318"/>
      <c r="AL50" s="318"/>
      <c r="AM50" s="251"/>
      <c r="AN50" s="100" t="b">
        <f t="shared" si="1"/>
        <v>0</v>
      </c>
      <c r="AO50" s="102"/>
    </row>
    <row r="51" ht="14.25" customHeight="1" outlineLevel="4">
      <c r="A51" s="390"/>
      <c r="B51" s="394"/>
      <c r="C51" s="393"/>
      <c r="D51" s="395" t="s">
        <v>1320</v>
      </c>
      <c r="E51" s="162"/>
      <c r="F51" s="162"/>
      <c r="G51" s="162"/>
      <c r="H51" s="178"/>
      <c r="I51" s="178"/>
      <c r="J51" s="178"/>
      <c r="K51" s="178"/>
      <c r="L51" s="178"/>
      <c r="M51" s="178"/>
      <c r="N51" s="178"/>
      <c r="O51" s="178"/>
      <c r="P51" s="178"/>
      <c r="Q51" s="178"/>
      <c r="R51" s="178"/>
      <c r="S51" s="178"/>
      <c r="T51" s="178"/>
      <c r="U51" s="178"/>
      <c r="V51" s="178"/>
      <c r="W51" s="178"/>
      <c r="X51" s="178"/>
      <c r="Y51" s="178"/>
      <c r="Z51" s="178"/>
      <c r="AA51" s="178"/>
      <c r="AB51" s="178"/>
      <c r="AC51" s="178"/>
      <c r="AD51" s="178"/>
      <c r="AE51" s="178"/>
      <c r="AF51" s="178"/>
      <c r="AG51" s="178"/>
      <c r="AH51" s="178"/>
      <c r="AI51" s="100"/>
      <c r="AJ51" s="100"/>
      <c r="AK51" s="100"/>
      <c r="AL51" s="100"/>
      <c r="AM51" s="100"/>
      <c r="AN51" s="100" t="b">
        <f t="shared" si="1"/>
        <v>0</v>
      </c>
      <c r="AO51" s="102"/>
    </row>
    <row r="52" ht="14.25" customHeight="1" outlineLevel="5">
      <c r="A52" s="390"/>
      <c r="B52" s="394"/>
      <c r="C52" s="393"/>
      <c r="D52" s="394"/>
      <c r="E52" s="409" t="s">
        <v>1321</v>
      </c>
      <c r="F52" s="410" t="s">
        <v>1314</v>
      </c>
      <c r="G52" s="410" t="s">
        <v>1322</v>
      </c>
      <c r="H52" s="260">
        <v>4956.80345572354</v>
      </c>
      <c r="I52" s="181">
        <v>4911.44414168937</v>
      </c>
      <c r="J52" s="181">
        <v>4983.63338788871</v>
      </c>
      <c r="K52" s="181">
        <v>4976.52582159624</v>
      </c>
      <c r="L52" s="181">
        <v>4867.78846153846</v>
      </c>
      <c r="M52" s="181">
        <v>4542.30436038117</v>
      </c>
      <c r="N52" s="181">
        <v>4516.39799888827</v>
      </c>
      <c r="O52" s="181">
        <v>4510.27488657593</v>
      </c>
      <c r="P52" s="181">
        <v>4352.30491887716</v>
      </c>
      <c r="Q52" s="181">
        <v>4116.11785095321</v>
      </c>
      <c r="R52" s="181">
        <v>3789.68727619957</v>
      </c>
      <c r="S52" s="181">
        <v>3657.83410138249</v>
      </c>
      <c r="T52" s="181">
        <v>3480.62542488103</v>
      </c>
      <c r="U52" s="181">
        <v>3255.54569653948</v>
      </c>
      <c r="V52" s="181">
        <v>3387.18510405257</v>
      </c>
      <c r="W52" s="286">
        <v>3279.30442249893</v>
      </c>
      <c r="X52" s="181"/>
      <c r="Y52" s="181"/>
      <c r="Z52" s="181"/>
      <c r="AA52" s="181"/>
      <c r="AB52" s="286"/>
      <c r="AC52" s="286"/>
      <c r="AD52" s="286"/>
      <c r="AE52" s="286"/>
      <c r="AF52" s="286"/>
      <c r="AG52" s="286"/>
      <c r="AH52" s="286"/>
      <c r="AI52" s="318"/>
      <c r="AJ52" s="318"/>
      <c r="AK52" s="318"/>
      <c r="AL52" s="318"/>
      <c r="AM52" s="251"/>
      <c r="AN52" s="100" t="b">
        <f t="shared" si="1"/>
        <v>0</v>
      </c>
      <c r="AO52" s="102"/>
    </row>
    <row r="53" ht="14.25" customHeight="1" outlineLevel="5">
      <c r="A53" s="390"/>
      <c r="B53" s="394"/>
      <c r="C53" s="393"/>
      <c r="D53" s="394"/>
      <c r="E53" s="411" t="s">
        <v>1323</v>
      </c>
      <c r="F53" s="69" t="s">
        <v>1314</v>
      </c>
      <c r="G53" s="69" t="s">
        <v>1324</v>
      </c>
      <c r="H53" s="260">
        <v>17300.6385</v>
      </c>
      <c r="I53" s="181">
        <v>18690.3789</v>
      </c>
      <c r="J53" s="181">
        <v>20983.1404</v>
      </c>
      <c r="K53" s="181">
        <v>21839.3094</v>
      </c>
      <c r="L53" s="181">
        <v>22494.7808</v>
      </c>
      <c r="M53" s="181">
        <v>22675.5896</v>
      </c>
      <c r="N53" s="181">
        <v>23093.4829</v>
      </c>
      <c r="O53" s="181"/>
      <c r="P53" s="181"/>
      <c r="Q53" s="181">
        <v>39364.0</v>
      </c>
      <c r="R53" s="181">
        <v>38573.0</v>
      </c>
      <c r="S53" s="181">
        <v>39454.0</v>
      </c>
      <c r="T53" s="181">
        <v>39903.0</v>
      </c>
      <c r="U53" s="181">
        <v>39235.0</v>
      </c>
      <c r="V53" s="181">
        <v>38505.0</v>
      </c>
      <c r="W53" s="286">
        <v>38846.0</v>
      </c>
      <c r="X53" s="181">
        <v>38271.0</v>
      </c>
      <c r="Y53" s="181">
        <v>38133.0</v>
      </c>
      <c r="Z53" s="181"/>
      <c r="AA53" s="181"/>
      <c r="AB53" s="286"/>
      <c r="AC53" s="286"/>
      <c r="AD53" s="286"/>
      <c r="AE53" s="286"/>
      <c r="AF53" s="286"/>
      <c r="AG53" s="286"/>
      <c r="AH53" s="286"/>
      <c r="AI53" s="318"/>
      <c r="AJ53" s="318"/>
      <c r="AK53" s="318"/>
      <c r="AL53" s="318"/>
      <c r="AM53" s="251"/>
      <c r="AN53" s="100" t="b">
        <f t="shared" si="1"/>
        <v>0</v>
      </c>
      <c r="AO53" s="102"/>
    </row>
    <row r="54" ht="14.25" customHeight="1" outlineLevel="3">
      <c r="A54" s="390"/>
      <c r="B54" s="394"/>
      <c r="C54" s="408" t="s">
        <v>1325</v>
      </c>
      <c r="D54" s="394"/>
      <c r="E54" s="162"/>
      <c r="F54" s="162"/>
      <c r="G54" s="162"/>
      <c r="H54" s="178"/>
      <c r="I54" s="178"/>
      <c r="J54" s="178"/>
      <c r="K54" s="178"/>
      <c r="L54" s="178"/>
      <c r="M54" s="178"/>
      <c r="N54" s="178"/>
      <c r="O54" s="178"/>
      <c r="P54" s="178"/>
      <c r="Q54" s="178"/>
      <c r="R54" s="178"/>
      <c r="S54" s="178"/>
      <c r="T54" s="178"/>
      <c r="U54" s="178"/>
      <c r="V54" s="178"/>
      <c r="W54" s="178"/>
      <c r="X54" s="178"/>
      <c r="Y54" s="178"/>
      <c r="Z54" s="178"/>
      <c r="AA54" s="178"/>
      <c r="AB54" s="178"/>
      <c r="AC54" s="178"/>
      <c r="AD54" s="178"/>
      <c r="AE54" s="178"/>
      <c r="AF54" s="178"/>
      <c r="AG54" s="178"/>
      <c r="AH54" s="178"/>
      <c r="AI54" s="100"/>
      <c r="AJ54" s="100"/>
      <c r="AK54" s="100"/>
      <c r="AL54" s="100"/>
      <c r="AM54" s="100"/>
      <c r="AN54" s="100" t="b">
        <f t="shared" si="1"/>
        <v>0</v>
      </c>
      <c r="AO54" s="102"/>
    </row>
    <row r="55" ht="14.25" customHeight="1" outlineLevel="4">
      <c r="A55" s="390"/>
      <c r="B55" s="394"/>
      <c r="C55" s="393"/>
      <c r="D55" s="395" t="s">
        <v>1326</v>
      </c>
      <c r="E55" s="162"/>
      <c r="F55" s="162"/>
      <c r="G55" s="162"/>
      <c r="H55" s="178"/>
      <c r="I55" s="178"/>
      <c r="J55" s="178"/>
      <c r="K55" s="178"/>
      <c r="L55" s="178"/>
      <c r="M55" s="178"/>
      <c r="N55" s="178"/>
      <c r="O55" s="178"/>
      <c r="P55" s="178"/>
      <c r="Q55" s="178"/>
      <c r="R55" s="178"/>
      <c r="S55" s="178"/>
      <c r="T55" s="178"/>
      <c r="U55" s="178"/>
      <c r="V55" s="178"/>
      <c r="W55" s="178"/>
      <c r="X55" s="178"/>
      <c r="Y55" s="178"/>
      <c r="Z55" s="178"/>
      <c r="AA55" s="178"/>
      <c r="AB55" s="178"/>
      <c r="AC55" s="178"/>
      <c r="AD55" s="178"/>
      <c r="AE55" s="178"/>
      <c r="AF55" s="178"/>
      <c r="AG55" s="178"/>
      <c r="AH55" s="178"/>
      <c r="AI55" s="100"/>
      <c r="AJ55" s="100"/>
      <c r="AK55" s="100"/>
      <c r="AL55" s="100"/>
      <c r="AM55" s="100"/>
      <c r="AN55" s="100" t="b">
        <f t="shared" si="1"/>
        <v>0</v>
      </c>
      <c r="AO55" s="102"/>
    </row>
    <row r="56" ht="14.25" customHeight="1" outlineLevel="5">
      <c r="A56" s="390"/>
      <c r="B56" s="394"/>
      <c r="C56" s="393"/>
      <c r="D56" s="394"/>
      <c r="E56" s="287" t="s">
        <v>1327</v>
      </c>
      <c r="F56" s="249" t="s">
        <v>1328</v>
      </c>
      <c r="G56" s="249" t="s">
        <v>1329</v>
      </c>
      <c r="H56" s="260">
        <v>4.6784</v>
      </c>
      <c r="I56" s="181">
        <v>4.7399</v>
      </c>
      <c r="J56" s="181">
        <v>4.7874</v>
      </c>
      <c r="K56" s="181">
        <v>4.8209</v>
      </c>
      <c r="L56" s="181">
        <v>4.8744</v>
      </c>
      <c r="M56" s="181">
        <v>4.9185</v>
      </c>
      <c r="N56" s="181">
        <v>4.9934</v>
      </c>
      <c r="O56" s="181">
        <v>5.0699</v>
      </c>
      <c r="P56" s="181">
        <v>5.1385</v>
      </c>
      <c r="Q56" s="181">
        <v>5.2137</v>
      </c>
      <c r="R56" s="181">
        <v>5.3392</v>
      </c>
      <c r="S56" s="181">
        <v>5.4154</v>
      </c>
      <c r="T56" s="181">
        <v>5.4539</v>
      </c>
      <c r="U56" s="181">
        <v>5.5048</v>
      </c>
      <c r="V56" s="181">
        <v>5.5726</v>
      </c>
      <c r="W56" s="286">
        <v>5.6617</v>
      </c>
      <c r="X56" s="181">
        <v>5.731</v>
      </c>
      <c r="Y56" s="181">
        <v>5.7986</v>
      </c>
      <c r="Z56" s="181">
        <v>5.853782</v>
      </c>
      <c r="AA56" s="181">
        <v>5.88921</v>
      </c>
      <c r="AB56" s="286"/>
      <c r="AC56" s="286"/>
      <c r="AD56" s="286"/>
      <c r="AE56" s="286"/>
      <c r="AF56" s="286"/>
      <c r="AG56" s="286"/>
      <c r="AH56" s="286"/>
      <c r="AI56" s="318"/>
      <c r="AJ56" s="318"/>
      <c r="AK56" s="318"/>
      <c r="AL56" s="318"/>
      <c r="AM56" s="251"/>
      <c r="AN56" s="100" t="b">
        <f t="shared" si="1"/>
        <v>0</v>
      </c>
      <c r="AO56" s="102"/>
    </row>
    <row r="57" ht="14.25" customHeight="1" outlineLevel="5">
      <c r="A57" s="390"/>
      <c r="B57" s="394"/>
      <c r="C57" s="393"/>
      <c r="D57" s="394"/>
      <c r="E57" s="270" t="s">
        <v>1330</v>
      </c>
      <c r="F57" s="249" t="s">
        <v>1328</v>
      </c>
      <c r="G57" s="249" t="s">
        <v>1331</v>
      </c>
      <c r="H57" s="260">
        <v>2.7324</v>
      </c>
      <c r="I57" s="181">
        <v>2.6775</v>
      </c>
      <c r="J57" s="181">
        <v>2.6203</v>
      </c>
      <c r="K57" s="181">
        <v>2.5571</v>
      </c>
      <c r="L57" s="181">
        <v>2.4896</v>
      </c>
      <c r="M57" s="181">
        <v>2.4223</v>
      </c>
      <c r="N57" s="181">
        <v>2.3305</v>
      </c>
      <c r="O57" s="181">
        <v>2.2478</v>
      </c>
      <c r="P57" s="181">
        <v>2.1618</v>
      </c>
      <c r="Q57" s="181">
        <v>2.0925</v>
      </c>
      <c r="R57" s="181">
        <v>2.0356</v>
      </c>
      <c r="S57" s="181">
        <v>2.0055</v>
      </c>
      <c r="T57" s="181">
        <v>1.9819</v>
      </c>
      <c r="U57" s="181">
        <v>1.9924</v>
      </c>
      <c r="V57" s="181">
        <v>2.0297</v>
      </c>
      <c r="W57" s="286">
        <v>2.0913</v>
      </c>
      <c r="X57" s="181">
        <v>2.199</v>
      </c>
      <c r="Y57" s="181">
        <v>2.3353</v>
      </c>
      <c r="Z57" s="181"/>
      <c r="AA57" s="181"/>
      <c r="AB57" s="286"/>
      <c r="AC57" s="286"/>
      <c r="AD57" s="286"/>
      <c r="AE57" s="286"/>
      <c r="AF57" s="286"/>
      <c r="AG57" s="286"/>
      <c r="AH57" s="286"/>
      <c r="AI57" s="318"/>
      <c r="AJ57" s="318"/>
      <c r="AK57" s="318"/>
      <c r="AL57" s="318"/>
      <c r="AM57" s="251"/>
      <c r="AN57" s="100" t="b">
        <f t="shared" si="1"/>
        <v>0</v>
      </c>
      <c r="AO57" s="102"/>
    </row>
    <row r="58" ht="14.25" customHeight="1" outlineLevel="5">
      <c r="A58" s="390"/>
      <c r="B58" s="394"/>
      <c r="C58" s="393"/>
      <c r="D58" s="394"/>
      <c r="E58" s="270" t="s">
        <v>1332</v>
      </c>
      <c r="F58" s="249" t="s">
        <v>1328</v>
      </c>
      <c r="G58" s="249" t="s">
        <v>1333</v>
      </c>
      <c r="H58" s="260">
        <v>1.8674</v>
      </c>
      <c r="I58" s="181">
        <v>1.9711</v>
      </c>
      <c r="J58" s="181">
        <v>2.0738</v>
      </c>
      <c r="K58" s="181">
        <v>2.1737</v>
      </c>
      <c r="L58" s="181">
        <v>2.3005</v>
      </c>
      <c r="M58" s="181">
        <v>2.4168</v>
      </c>
      <c r="N58" s="181">
        <v>2.5707</v>
      </c>
      <c r="O58" s="181">
        <v>2.731</v>
      </c>
      <c r="P58" s="181">
        <v>2.9032</v>
      </c>
      <c r="Q58" s="181">
        <v>3.0385</v>
      </c>
      <c r="R58" s="181">
        <v>3.1814</v>
      </c>
      <c r="S58" s="181">
        <v>3.3415</v>
      </c>
      <c r="T58" s="181">
        <v>3.4006</v>
      </c>
      <c r="U58" s="181">
        <v>3.438</v>
      </c>
      <c r="V58" s="181">
        <v>3.4584</v>
      </c>
      <c r="W58" s="286">
        <v>3.4575</v>
      </c>
      <c r="X58" s="181">
        <v>3.4246</v>
      </c>
      <c r="Y58" s="181">
        <v>3.339</v>
      </c>
      <c r="Z58" s="181"/>
      <c r="AA58" s="181"/>
      <c r="AB58" s="286"/>
      <c r="AC58" s="286"/>
      <c r="AD58" s="286"/>
      <c r="AE58" s="286"/>
      <c r="AF58" s="286"/>
      <c r="AG58" s="286"/>
      <c r="AH58" s="286"/>
      <c r="AI58" s="318"/>
      <c r="AJ58" s="318"/>
      <c r="AK58" s="318"/>
      <c r="AL58" s="318"/>
      <c r="AM58" s="251"/>
      <c r="AN58" s="100" t="b">
        <f t="shared" si="1"/>
        <v>0</v>
      </c>
      <c r="AO58" s="102"/>
    </row>
    <row r="59" ht="14.25" customHeight="1" outlineLevel="5">
      <c r="A59" s="390"/>
      <c r="B59" s="394"/>
      <c r="C59" s="393"/>
      <c r="D59" s="394"/>
      <c r="E59" s="270" t="s">
        <v>1334</v>
      </c>
      <c r="F59" s="249" t="s">
        <v>1328</v>
      </c>
      <c r="G59" s="249" t="s">
        <v>1335</v>
      </c>
      <c r="H59" s="260">
        <v>0.0591</v>
      </c>
      <c r="I59" s="181">
        <v>0.0721</v>
      </c>
      <c r="J59" s="181">
        <v>0.0742</v>
      </c>
      <c r="K59" s="181">
        <v>0.071</v>
      </c>
      <c r="L59" s="181">
        <v>0.0653</v>
      </c>
      <c r="M59" s="181">
        <v>0.0604</v>
      </c>
      <c r="N59" s="181">
        <v>0.0562</v>
      </c>
      <c r="O59" s="181">
        <v>0.051</v>
      </c>
      <c r="P59" s="181">
        <v>0.0466</v>
      </c>
      <c r="Q59" s="181">
        <v>0.0425</v>
      </c>
      <c r="R59" s="181">
        <v>0.0375</v>
      </c>
      <c r="S59" s="181">
        <v>0.0336</v>
      </c>
      <c r="T59" s="181">
        <v>0.0295</v>
      </c>
      <c r="U59" s="181">
        <v>0.0254</v>
      </c>
      <c r="V59" s="181">
        <v>0.0221</v>
      </c>
      <c r="W59" s="286">
        <v>0.019</v>
      </c>
      <c r="X59" s="181">
        <v>0.0172</v>
      </c>
      <c r="Y59" s="181">
        <v>0.016</v>
      </c>
      <c r="Z59" s="181">
        <v>0.0155</v>
      </c>
      <c r="AA59" s="181">
        <v>0.014924</v>
      </c>
      <c r="AB59" s="286">
        <v>0.014957</v>
      </c>
      <c r="AC59" s="286"/>
      <c r="AD59" s="286"/>
      <c r="AE59" s="286"/>
      <c r="AF59" s="286"/>
      <c r="AG59" s="286"/>
      <c r="AH59" s="286"/>
      <c r="AI59" s="318"/>
      <c r="AJ59" s="318"/>
      <c r="AK59" s="318"/>
      <c r="AL59" s="318"/>
      <c r="AM59" s="251"/>
      <c r="AN59" s="100" t="b">
        <f t="shared" si="1"/>
        <v>0</v>
      </c>
      <c r="AO59" s="102"/>
    </row>
    <row r="60" ht="14.25" customHeight="1" outlineLevel="5">
      <c r="A60" s="390"/>
      <c r="B60" s="394"/>
      <c r="C60" s="393"/>
      <c r="D60" s="394"/>
      <c r="E60" s="270" t="s">
        <v>1336</v>
      </c>
      <c r="F60" s="249" t="s">
        <v>1328</v>
      </c>
      <c r="G60" s="249" t="s">
        <v>1337</v>
      </c>
      <c r="H60" s="260"/>
      <c r="I60" s="181"/>
      <c r="J60" s="181"/>
      <c r="K60" s="181"/>
      <c r="L60" s="181"/>
      <c r="M60" s="181"/>
      <c r="N60" s="181"/>
      <c r="O60" s="181"/>
      <c r="P60" s="181"/>
      <c r="Q60" s="181"/>
      <c r="R60" s="181"/>
      <c r="S60" s="181"/>
      <c r="T60" s="181"/>
      <c r="U60" s="181"/>
      <c r="V60" s="181"/>
      <c r="W60" s="286"/>
      <c r="X60" s="181"/>
      <c r="Y60" s="181"/>
      <c r="Z60" s="181"/>
      <c r="AA60" s="181"/>
      <c r="AB60" s="286"/>
      <c r="AC60" s="286"/>
      <c r="AD60" s="286"/>
      <c r="AE60" s="286"/>
      <c r="AF60" s="286"/>
      <c r="AG60" s="286"/>
      <c r="AH60" s="286"/>
      <c r="AI60" s="318"/>
      <c r="AJ60" s="318"/>
      <c r="AK60" s="318"/>
      <c r="AL60" s="318"/>
      <c r="AM60" s="251"/>
      <c r="AN60" s="100" t="b">
        <f t="shared" si="1"/>
        <v>0</v>
      </c>
      <c r="AO60" s="102"/>
    </row>
    <row r="61" ht="14.25" customHeight="1" outlineLevel="5">
      <c r="A61" s="390"/>
      <c r="B61" s="394"/>
      <c r="C61" s="393"/>
      <c r="D61" s="394"/>
      <c r="E61" s="270" t="s">
        <v>1338</v>
      </c>
      <c r="F61" s="249" t="s">
        <v>1328</v>
      </c>
      <c r="G61" s="249" t="s">
        <v>1339</v>
      </c>
      <c r="H61" s="260"/>
      <c r="I61" s="181"/>
      <c r="J61" s="181"/>
      <c r="K61" s="181"/>
      <c r="L61" s="181"/>
      <c r="M61" s="181"/>
      <c r="N61" s="181"/>
      <c r="O61" s="181"/>
      <c r="P61" s="181"/>
      <c r="Q61" s="181"/>
      <c r="R61" s="181"/>
      <c r="S61" s="181"/>
      <c r="T61" s="181"/>
      <c r="U61" s="181"/>
      <c r="V61" s="181"/>
      <c r="W61" s="286"/>
      <c r="X61" s="181"/>
      <c r="Y61" s="181"/>
      <c r="Z61" s="181"/>
      <c r="AA61" s="181"/>
      <c r="AB61" s="286"/>
      <c r="AC61" s="286"/>
      <c r="AD61" s="286"/>
      <c r="AE61" s="286"/>
      <c r="AF61" s="286"/>
      <c r="AG61" s="286"/>
      <c r="AH61" s="286"/>
      <c r="AI61" s="318"/>
      <c r="AJ61" s="318"/>
      <c r="AK61" s="318"/>
      <c r="AL61" s="318"/>
      <c r="AM61" s="251"/>
      <c r="AN61" s="100" t="b">
        <f t="shared" si="1"/>
        <v>0</v>
      </c>
      <c r="AO61" s="102"/>
    </row>
    <row r="62" ht="14.25" customHeight="1" outlineLevel="5">
      <c r="A62" s="390"/>
      <c r="B62" s="394"/>
      <c r="C62" s="393"/>
      <c r="D62" s="394"/>
      <c r="E62" s="270" t="s">
        <v>1340</v>
      </c>
      <c r="F62" s="249" t="s">
        <v>1328</v>
      </c>
      <c r="G62" s="249" t="s">
        <v>1341</v>
      </c>
      <c r="H62" s="260">
        <v>1.0E-4</v>
      </c>
      <c r="I62" s="181">
        <v>1.0E-4</v>
      </c>
      <c r="J62" s="181">
        <v>1.0E-4</v>
      </c>
      <c r="K62" s="181">
        <v>1.0E-4</v>
      </c>
      <c r="L62" s="181">
        <v>0.0</v>
      </c>
      <c r="M62" s="181">
        <v>0.0</v>
      </c>
      <c r="N62" s="181">
        <v>0.0</v>
      </c>
      <c r="O62" s="181">
        <v>0.0</v>
      </c>
      <c r="P62" s="181">
        <v>0.0</v>
      </c>
      <c r="Q62" s="181">
        <v>0.0</v>
      </c>
      <c r="R62" s="181">
        <v>0.0</v>
      </c>
      <c r="S62" s="181">
        <v>2.0E-4</v>
      </c>
      <c r="T62" s="181">
        <v>6.0E-4</v>
      </c>
      <c r="U62" s="181">
        <v>9.0E-4</v>
      </c>
      <c r="V62" s="181">
        <v>0.0018</v>
      </c>
      <c r="W62" s="286">
        <v>0.0029</v>
      </c>
      <c r="X62" s="181">
        <v>0.0044</v>
      </c>
      <c r="Y62" s="181">
        <v>0.0066</v>
      </c>
      <c r="Z62" s="181">
        <v>0.009244</v>
      </c>
      <c r="AA62" s="181">
        <v>0.015338</v>
      </c>
      <c r="AB62" s="286">
        <v>0.023983</v>
      </c>
      <c r="AC62" s="286"/>
      <c r="AD62" s="286"/>
      <c r="AE62" s="286"/>
      <c r="AF62" s="286"/>
      <c r="AG62" s="286"/>
      <c r="AH62" s="286"/>
      <c r="AI62" s="318"/>
      <c r="AJ62" s="318"/>
      <c r="AK62" s="318"/>
      <c r="AL62" s="318"/>
      <c r="AM62" s="251"/>
      <c r="AN62" s="100" t="b">
        <f t="shared" si="1"/>
        <v>0</v>
      </c>
      <c r="AO62" s="102"/>
    </row>
    <row r="63" ht="14.25" customHeight="1" outlineLevel="5">
      <c r="A63" s="390"/>
      <c r="B63" s="394"/>
      <c r="C63" s="393"/>
      <c r="D63" s="394"/>
      <c r="E63" s="411" t="s">
        <v>1342</v>
      </c>
      <c r="F63" s="69" t="s">
        <v>1328</v>
      </c>
      <c r="G63" s="69" t="s">
        <v>1343</v>
      </c>
      <c r="H63" s="260"/>
      <c r="I63" s="181"/>
      <c r="J63" s="181"/>
      <c r="K63" s="181"/>
      <c r="L63" s="181"/>
      <c r="M63" s="181"/>
      <c r="N63" s="181"/>
      <c r="O63" s="181"/>
      <c r="P63" s="181"/>
      <c r="Q63" s="181"/>
      <c r="R63" s="181"/>
      <c r="S63" s="181"/>
      <c r="T63" s="181"/>
      <c r="U63" s="181"/>
      <c r="V63" s="181"/>
      <c r="W63" s="286"/>
      <c r="X63" s="181"/>
      <c r="Y63" s="181"/>
      <c r="Z63" s="181"/>
      <c r="AA63" s="181"/>
      <c r="AB63" s="286"/>
      <c r="AC63" s="286"/>
      <c r="AD63" s="286"/>
      <c r="AE63" s="286"/>
      <c r="AF63" s="286"/>
      <c r="AG63" s="286"/>
      <c r="AH63" s="286"/>
      <c r="AI63" s="318"/>
      <c r="AJ63" s="318"/>
      <c r="AK63" s="318"/>
      <c r="AL63" s="318"/>
      <c r="AM63" s="251"/>
      <c r="AN63" s="100" t="b">
        <f t="shared" si="1"/>
        <v>0</v>
      </c>
      <c r="AO63" s="102"/>
    </row>
    <row r="64" ht="14.25" customHeight="1" outlineLevel="5">
      <c r="A64" s="390"/>
      <c r="B64" s="394"/>
      <c r="C64" s="393"/>
      <c r="D64" s="394"/>
      <c r="E64" s="270" t="s">
        <v>1344</v>
      </c>
      <c r="F64" s="249" t="s">
        <v>1328</v>
      </c>
      <c r="G64" s="249" t="s">
        <v>1345</v>
      </c>
      <c r="H64" s="260"/>
      <c r="I64" s="181"/>
      <c r="J64" s="181"/>
      <c r="K64" s="181"/>
      <c r="L64" s="181"/>
      <c r="M64" s="181"/>
      <c r="N64" s="181"/>
      <c r="O64" s="181"/>
      <c r="P64" s="181"/>
      <c r="Q64" s="181"/>
      <c r="R64" s="181"/>
      <c r="S64" s="181"/>
      <c r="T64" s="181"/>
      <c r="U64" s="181"/>
      <c r="V64" s="181"/>
      <c r="W64" s="286"/>
      <c r="X64" s="181"/>
      <c r="Y64" s="181"/>
      <c r="Z64" s="181"/>
      <c r="AA64" s="181"/>
      <c r="AB64" s="286"/>
      <c r="AC64" s="286"/>
      <c r="AD64" s="286"/>
      <c r="AE64" s="286"/>
      <c r="AF64" s="286"/>
      <c r="AG64" s="286"/>
      <c r="AH64" s="286"/>
      <c r="AI64" s="318"/>
      <c r="AJ64" s="318"/>
      <c r="AK64" s="318"/>
      <c r="AL64" s="318"/>
      <c r="AM64" s="251"/>
      <c r="AN64" s="100" t="b">
        <f t="shared" si="1"/>
        <v>0</v>
      </c>
      <c r="AO64" s="102"/>
    </row>
    <row r="65" ht="14.25" customHeight="1" outlineLevel="5">
      <c r="A65" s="390"/>
      <c r="B65" s="394"/>
      <c r="C65" s="393"/>
      <c r="D65" s="394"/>
      <c r="E65" s="122" t="s">
        <v>1346</v>
      </c>
      <c r="F65" s="123" t="s">
        <v>1328</v>
      </c>
      <c r="G65" s="292" t="s">
        <v>1347</v>
      </c>
      <c r="H65" s="260"/>
      <c r="I65" s="181"/>
      <c r="J65" s="181"/>
      <c r="K65" s="181"/>
      <c r="L65" s="181"/>
      <c r="M65" s="181"/>
      <c r="N65" s="181"/>
      <c r="O65" s="181"/>
      <c r="P65" s="181"/>
      <c r="Q65" s="181"/>
      <c r="R65" s="181"/>
      <c r="S65" s="181"/>
      <c r="T65" s="181"/>
      <c r="U65" s="181"/>
      <c r="V65" s="181"/>
      <c r="W65" s="286"/>
      <c r="X65" s="181"/>
      <c r="Y65" s="181"/>
      <c r="Z65" s="181"/>
      <c r="AA65" s="181"/>
      <c r="AB65" s="286"/>
      <c r="AC65" s="286"/>
      <c r="AD65" s="286"/>
      <c r="AE65" s="286"/>
      <c r="AF65" s="286"/>
      <c r="AG65" s="286"/>
      <c r="AH65" s="286"/>
      <c r="AI65" s="318"/>
      <c r="AJ65" s="318"/>
      <c r="AK65" s="318"/>
      <c r="AL65" s="318"/>
      <c r="AM65" s="251"/>
      <c r="AN65" s="100" t="b">
        <f t="shared" si="1"/>
        <v>0</v>
      </c>
      <c r="AO65" s="102"/>
    </row>
    <row r="66" ht="14.25" customHeight="1" outlineLevel="5">
      <c r="A66" s="390"/>
      <c r="B66" s="394"/>
      <c r="C66" s="393"/>
      <c r="D66" s="394"/>
      <c r="E66" s="393" t="s">
        <v>1348</v>
      </c>
      <c r="F66" s="395"/>
      <c r="G66" s="178"/>
      <c r="H66" s="178"/>
      <c r="I66" s="178"/>
      <c r="J66" s="178"/>
      <c r="K66" s="178"/>
      <c r="L66" s="178"/>
      <c r="M66" s="178"/>
      <c r="N66" s="178"/>
      <c r="O66" s="178"/>
      <c r="P66" s="178"/>
      <c r="Q66" s="178"/>
      <c r="R66" s="178"/>
      <c r="S66" s="178"/>
      <c r="T66" s="178"/>
      <c r="U66" s="178"/>
      <c r="V66" s="178"/>
      <c r="W66" s="178"/>
      <c r="X66" s="178"/>
      <c r="Y66" s="178"/>
      <c r="Z66" s="178"/>
      <c r="AA66" s="178"/>
      <c r="AB66" s="178"/>
      <c r="AC66" s="178"/>
      <c r="AD66" s="178"/>
      <c r="AE66" s="178"/>
      <c r="AF66" s="178"/>
      <c r="AG66" s="178"/>
      <c r="AH66" s="178"/>
      <c r="AI66" s="100"/>
      <c r="AJ66" s="100"/>
      <c r="AK66" s="100"/>
      <c r="AL66" s="100"/>
      <c r="AM66" s="100"/>
      <c r="AN66" s="100" t="b">
        <f t="shared" si="1"/>
        <v>0</v>
      </c>
      <c r="AO66" s="102"/>
    </row>
    <row r="67" ht="14.25" customHeight="1" outlineLevel="5">
      <c r="A67" s="390"/>
      <c r="B67" s="394"/>
      <c r="C67" s="393"/>
      <c r="D67" s="394"/>
      <c r="E67" s="287" t="s">
        <v>1349</v>
      </c>
      <c r="F67" s="249" t="s">
        <v>1328</v>
      </c>
      <c r="G67" s="262" t="s">
        <v>1350</v>
      </c>
      <c r="H67" s="260">
        <v>0.5152</v>
      </c>
      <c r="I67" s="181">
        <v>0.4887</v>
      </c>
      <c r="J67" s="181">
        <v>0.4676</v>
      </c>
      <c r="K67" s="181">
        <v>0.4588</v>
      </c>
      <c r="L67" s="181">
        <v>0.4848</v>
      </c>
      <c r="M67" s="181">
        <v>0.4798</v>
      </c>
      <c r="N67" s="181">
        <v>0.5259</v>
      </c>
      <c r="O67" s="181">
        <v>0.5248</v>
      </c>
      <c r="P67" s="181">
        <v>0.5359</v>
      </c>
      <c r="Q67" s="181">
        <v>0.4762</v>
      </c>
      <c r="R67" s="181">
        <v>0.5473</v>
      </c>
      <c r="S67" s="181">
        <v>0.5722</v>
      </c>
      <c r="T67" s="181">
        <v>0.4867</v>
      </c>
      <c r="U67" s="181">
        <v>0.4861</v>
      </c>
      <c r="V67" s="181">
        <v>0.4829</v>
      </c>
      <c r="W67" s="286">
        <v>0.5063</v>
      </c>
      <c r="X67" s="181">
        <v>0.5461</v>
      </c>
      <c r="Y67" s="181">
        <v>0.5537</v>
      </c>
      <c r="Z67" s="181">
        <v>0.5533</v>
      </c>
      <c r="AA67" s="181"/>
      <c r="AB67" s="286"/>
      <c r="AC67" s="286"/>
      <c r="AD67" s="286"/>
      <c r="AE67" s="286"/>
      <c r="AF67" s="286"/>
      <c r="AG67" s="286"/>
      <c r="AH67" s="286"/>
      <c r="AI67" s="318"/>
      <c r="AJ67" s="318"/>
      <c r="AK67" s="318"/>
      <c r="AL67" s="318"/>
      <c r="AM67" s="251"/>
      <c r="AN67" s="100" t="b">
        <f t="shared" si="1"/>
        <v>0</v>
      </c>
      <c r="AO67" s="102"/>
    </row>
    <row r="68" ht="14.25" customHeight="1" outlineLevel="5">
      <c r="A68" s="390"/>
      <c r="B68" s="394"/>
      <c r="C68" s="393"/>
      <c r="D68" s="394"/>
      <c r="E68" s="270" t="s">
        <v>1351</v>
      </c>
      <c r="F68" s="249" t="s">
        <v>1328</v>
      </c>
      <c r="G68" s="262" t="s">
        <v>1352</v>
      </c>
      <c r="H68" s="260">
        <v>0.224</v>
      </c>
      <c r="I68" s="181">
        <v>0.1827</v>
      </c>
      <c r="J68" s="181">
        <v>0.167</v>
      </c>
      <c r="K68" s="181">
        <v>0.1454</v>
      </c>
      <c r="L68" s="181">
        <v>0.1452</v>
      </c>
      <c r="M68" s="181">
        <v>0.1303</v>
      </c>
      <c r="N68" s="181">
        <v>0.1322</v>
      </c>
      <c r="O68" s="181">
        <v>0.1188</v>
      </c>
      <c r="P68" s="181">
        <v>0.111</v>
      </c>
      <c r="Q68" s="181">
        <v>0.1156</v>
      </c>
      <c r="R68" s="181">
        <v>0.1274</v>
      </c>
      <c r="S68" s="181">
        <v>0.1347</v>
      </c>
      <c r="T68" s="181">
        <v>0.1456</v>
      </c>
      <c r="U68" s="181">
        <v>0.1642</v>
      </c>
      <c r="V68" s="181">
        <v>0.1732</v>
      </c>
      <c r="W68" s="286">
        <v>0.1899</v>
      </c>
      <c r="X68" s="181">
        <v>0.2404</v>
      </c>
      <c r="Y68" s="181">
        <v>0.265</v>
      </c>
      <c r="Z68" s="181"/>
      <c r="AA68" s="181"/>
      <c r="AB68" s="286"/>
      <c r="AC68" s="286"/>
      <c r="AD68" s="286"/>
      <c r="AE68" s="286"/>
      <c r="AF68" s="286"/>
      <c r="AG68" s="286"/>
      <c r="AH68" s="286"/>
      <c r="AI68" s="318"/>
      <c r="AJ68" s="318"/>
      <c r="AK68" s="318"/>
      <c r="AL68" s="318"/>
      <c r="AM68" s="251"/>
      <c r="AN68" s="100" t="b">
        <f t="shared" si="1"/>
        <v>0</v>
      </c>
      <c r="AO68" s="102"/>
    </row>
    <row r="69" ht="14.25" customHeight="1" outlineLevel="5">
      <c r="A69" s="390"/>
      <c r="B69" s="394"/>
      <c r="C69" s="393"/>
      <c r="D69" s="394"/>
      <c r="E69" s="270" t="s">
        <v>1353</v>
      </c>
      <c r="F69" s="249" t="s">
        <v>1328</v>
      </c>
      <c r="G69" s="262" t="s">
        <v>1354</v>
      </c>
      <c r="H69" s="260">
        <v>0.2903</v>
      </c>
      <c r="I69" s="181">
        <v>0.3058</v>
      </c>
      <c r="J69" s="181">
        <v>0.3004</v>
      </c>
      <c r="K69" s="181">
        <v>0.3132</v>
      </c>
      <c r="L69" s="181">
        <v>0.3393</v>
      </c>
      <c r="M69" s="181">
        <v>0.3486</v>
      </c>
      <c r="N69" s="181">
        <v>0.3923</v>
      </c>
      <c r="O69" s="181">
        <v>0.4043</v>
      </c>
      <c r="P69" s="181">
        <v>0.4227</v>
      </c>
      <c r="Q69" s="181">
        <v>0.3584</v>
      </c>
      <c r="R69" s="181">
        <v>0.4157</v>
      </c>
      <c r="S69" s="181">
        <v>0.4311</v>
      </c>
      <c r="T69" s="181">
        <v>0.3355</v>
      </c>
      <c r="U69" s="181">
        <v>0.3152</v>
      </c>
      <c r="V69" s="181">
        <v>0.2992</v>
      </c>
      <c r="W69" s="286">
        <v>0.3033</v>
      </c>
      <c r="X69" s="181">
        <v>0.2844</v>
      </c>
      <c r="Y69" s="181">
        <v>0.259</v>
      </c>
      <c r="Z69" s="181"/>
      <c r="AA69" s="181"/>
      <c r="AB69" s="286"/>
      <c r="AC69" s="286"/>
      <c r="AD69" s="286"/>
      <c r="AE69" s="286"/>
      <c r="AF69" s="286"/>
      <c r="AG69" s="286"/>
      <c r="AH69" s="286"/>
      <c r="AI69" s="318"/>
      <c r="AJ69" s="318"/>
      <c r="AK69" s="318"/>
      <c r="AL69" s="318"/>
      <c r="AM69" s="251"/>
      <c r="AN69" s="100" t="b">
        <f t="shared" si="1"/>
        <v>0</v>
      </c>
      <c r="AO69" s="102"/>
    </row>
    <row r="70" ht="14.25" customHeight="1" outlineLevel="5">
      <c r="A70" s="390"/>
      <c r="B70" s="394"/>
      <c r="C70" s="393"/>
      <c r="D70" s="394"/>
      <c r="E70" s="270" t="s">
        <v>1355</v>
      </c>
      <c r="F70" s="249" t="s">
        <v>1328</v>
      </c>
      <c r="G70" s="262" t="s">
        <v>1356</v>
      </c>
      <c r="H70" s="260">
        <v>9.0E-4</v>
      </c>
      <c r="I70" s="181">
        <v>1.0E-4</v>
      </c>
      <c r="J70" s="181">
        <v>1.0E-4</v>
      </c>
      <c r="K70" s="181">
        <v>2.0E-4</v>
      </c>
      <c r="L70" s="181">
        <v>3.0E-4</v>
      </c>
      <c r="M70" s="181">
        <v>3.0E-4</v>
      </c>
      <c r="N70" s="181">
        <v>5.0E-4</v>
      </c>
      <c r="O70" s="181">
        <v>4.0E-4</v>
      </c>
      <c r="P70" s="181">
        <v>4.0E-4</v>
      </c>
      <c r="Q70" s="181">
        <v>3.0E-4</v>
      </c>
      <c r="R70" s="181">
        <v>2.0E-4</v>
      </c>
      <c r="S70" s="181">
        <v>2.0E-4</v>
      </c>
      <c r="T70" s="181">
        <v>2.0E-4</v>
      </c>
      <c r="U70" s="181">
        <v>2.0E-4</v>
      </c>
      <c r="V70" s="181">
        <v>1.0E-4</v>
      </c>
      <c r="W70" s="286">
        <v>1.0E-4</v>
      </c>
      <c r="X70" s="181">
        <v>2.0E-4</v>
      </c>
      <c r="Y70" s="181">
        <v>2.0E-4</v>
      </c>
      <c r="Z70" s="181"/>
      <c r="AA70" s="181"/>
      <c r="AB70" s="286"/>
      <c r="AC70" s="286"/>
      <c r="AD70" s="286"/>
      <c r="AE70" s="286"/>
      <c r="AF70" s="286"/>
      <c r="AG70" s="286"/>
      <c r="AH70" s="286"/>
      <c r="AI70" s="318"/>
      <c r="AJ70" s="318"/>
      <c r="AK70" s="318"/>
      <c r="AL70" s="318"/>
      <c r="AM70" s="251"/>
      <c r="AN70" s="100" t="b">
        <f t="shared" si="1"/>
        <v>0</v>
      </c>
      <c r="AO70" s="102"/>
    </row>
    <row r="71" ht="14.25" customHeight="1" outlineLevel="5">
      <c r="A71" s="390"/>
      <c r="B71" s="394"/>
      <c r="C71" s="393"/>
      <c r="D71" s="394"/>
      <c r="E71" s="122" t="s">
        <v>1357</v>
      </c>
      <c r="F71" s="123" t="s">
        <v>1328</v>
      </c>
      <c r="G71" s="292" t="s">
        <v>1358</v>
      </c>
      <c r="H71" s="260"/>
      <c r="I71" s="181"/>
      <c r="J71" s="181"/>
      <c r="K71" s="181"/>
      <c r="L71" s="181"/>
      <c r="M71" s="181"/>
      <c r="N71" s="181"/>
      <c r="O71" s="181"/>
      <c r="P71" s="181">
        <v>0.0</v>
      </c>
      <c r="Q71" s="181">
        <v>0.0</v>
      </c>
      <c r="R71" s="181">
        <v>0.0</v>
      </c>
      <c r="S71" s="181">
        <v>0.0</v>
      </c>
      <c r="T71" s="181">
        <v>1.0E-4</v>
      </c>
      <c r="U71" s="181">
        <v>1.0E-4</v>
      </c>
      <c r="V71" s="181">
        <v>9.0E-4</v>
      </c>
      <c r="W71" s="286">
        <v>7.0E-4</v>
      </c>
      <c r="X71" s="181">
        <v>0.0021</v>
      </c>
      <c r="Y71" s="181">
        <v>0.0025</v>
      </c>
      <c r="Z71" s="181">
        <v>0.004</v>
      </c>
      <c r="AA71" s="181"/>
      <c r="AB71" s="286"/>
      <c r="AC71" s="286"/>
      <c r="AD71" s="286"/>
      <c r="AE71" s="286"/>
      <c r="AF71" s="286"/>
      <c r="AG71" s="286"/>
      <c r="AH71" s="286"/>
      <c r="AI71" s="318"/>
      <c r="AJ71" s="318"/>
      <c r="AK71" s="318"/>
      <c r="AL71" s="318"/>
      <c r="AM71" s="251"/>
      <c r="AN71" s="100" t="b">
        <f t="shared" si="1"/>
        <v>0</v>
      </c>
      <c r="AO71" s="102"/>
    </row>
    <row r="72" ht="14.25" customHeight="1" outlineLevel="5">
      <c r="A72" s="390"/>
      <c r="B72" s="394"/>
      <c r="C72" s="393"/>
      <c r="D72" s="394"/>
      <c r="E72" s="270" t="s">
        <v>1359</v>
      </c>
      <c r="F72" s="249" t="s">
        <v>1328</v>
      </c>
      <c r="G72" s="262" t="s">
        <v>1360</v>
      </c>
      <c r="H72" s="260">
        <v>0.0</v>
      </c>
      <c r="I72" s="181">
        <v>0.0</v>
      </c>
      <c r="J72" s="181">
        <v>0.0</v>
      </c>
      <c r="K72" s="181">
        <v>0.0</v>
      </c>
      <c r="L72" s="181">
        <v>0.0</v>
      </c>
      <c r="M72" s="181">
        <v>0.0</v>
      </c>
      <c r="N72" s="181">
        <v>0.0</v>
      </c>
      <c r="O72" s="181">
        <v>0.0</v>
      </c>
      <c r="P72" s="181">
        <v>0.0</v>
      </c>
      <c r="Q72" s="181">
        <v>0.0</v>
      </c>
      <c r="R72" s="181">
        <v>0.0</v>
      </c>
      <c r="S72" s="181">
        <v>3.0E-4</v>
      </c>
      <c r="T72" s="181">
        <v>6.0E-4</v>
      </c>
      <c r="U72" s="181">
        <v>5.0E-4</v>
      </c>
      <c r="V72" s="181">
        <v>0.0012</v>
      </c>
      <c r="W72" s="286">
        <v>0.0014</v>
      </c>
      <c r="X72" s="181">
        <v>0.0021</v>
      </c>
      <c r="Y72" s="181">
        <v>0.0027</v>
      </c>
      <c r="Z72" s="181">
        <v>0.002</v>
      </c>
      <c r="AA72" s="181"/>
      <c r="AB72" s="286"/>
      <c r="AC72" s="286"/>
      <c r="AD72" s="286"/>
      <c r="AE72" s="286"/>
      <c r="AF72" s="286"/>
      <c r="AG72" s="286"/>
      <c r="AH72" s="286"/>
      <c r="AI72" s="318"/>
      <c r="AJ72" s="318"/>
      <c r="AK72" s="318"/>
      <c r="AL72" s="318"/>
      <c r="AM72" s="251"/>
      <c r="AN72" s="100" t="b">
        <f t="shared" si="1"/>
        <v>0</v>
      </c>
      <c r="AO72" s="102"/>
    </row>
    <row r="73" ht="14.25" customHeight="1" outlineLevel="5">
      <c r="A73" s="390"/>
      <c r="B73" s="394"/>
      <c r="C73" s="393"/>
      <c r="D73" s="394"/>
      <c r="E73" s="270" t="s">
        <v>1361</v>
      </c>
      <c r="F73" s="249" t="s">
        <v>1328</v>
      </c>
      <c r="G73" s="262" t="s">
        <v>1362</v>
      </c>
      <c r="H73" s="260"/>
      <c r="I73" s="181"/>
      <c r="J73" s="181"/>
      <c r="K73" s="181"/>
      <c r="L73" s="181"/>
      <c r="M73" s="181"/>
      <c r="N73" s="181"/>
      <c r="O73" s="181"/>
      <c r="P73" s="181"/>
      <c r="Q73" s="181"/>
      <c r="R73" s="181"/>
      <c r="S73" s="181"/>
      <c r="T73" s="181">
        <v>3.0E-4</v>
      </c>
      <c r="U73" s="181">
        <v>3.0E-4</v>
      </c>
      <c r="V73" s="181">
        <v>9.0E-4</v>
      </c>
      <c r="W73" s="286">
        <v>0.0025</v>
      </c>
      <c r="X73" s="181">
        <v>0.0072</v>
      </c>
      <c r="Y73" s="181">
        <v>0.012</v>
      </c>
      <c r="Z73" s="181">
        <v>0.0098</v>
      </c>
      <c r="AA73" s="181"/>
      <c r="AB73" s="286"/>
      <c r="AC73" s="286"/>
      <c r="AD73" s="286"/>
      <c r="AE73" s="286"/>
      <c r="AF73" s="286"/>
      <c r="AG73" s="286"/>
      <c r="AH73" s="286"/>
      <c r="AI73" s="318"/>
      <c r="AJ73" s="318"/>
      <c r="AK73" s="318"/>
      <c r="AL73" s="318"/>
      <c r="AM73" s="251"/>
      <c r="AN73" s="100" t="b">
        <f t="shared" si="1"/>
        <v>0</v>
      </c>
      <c r="AO73" s="102"/>
    </row>
    <row r="74" ht="14.25" customHeight="1" outlineLevel="5">
      <c r="A74" s="390"/>
      <c r="B74" s="394"/>
      <c r="C74" s="393"/>
      <c r="D74" s="394"/>
      <c r="E74" s="122" t="s">
        <v>1363</v>
      </c>
      <c r="F74" s="123" t="s">
        <v>1328</v>
      </c>
      <c r="G74" s="292" t="s">
        <v>1364</v>
      </c>
      <c r="H74" s="260"/>
      <c r="I74" s="181"/>
      <c r="J74" s="181"/>
      <c r="K74" s="181"/>
      <c r="L74" s="181"/>
      <c r="M74" s="181"/>
      <c r="N74" s="181"/>
      <c r="O74" s="181"/>
      <c r="P74" s="181"/>
      <c r="Q74" s="181"/>
      <c r="R74" s="181"/>
      <c r="S74" s="181"/>
      <c r="T74" s="181"/>
      <c r="U74" s="181"/>
      <c r="V74" s="181"/>
      <c r="W74" s="286"/>
      <c r="X74" s="181"/>
      <c r="Y74" s="181"/>
      <c r="Z74" s="181">
        <v>0.0</v>
      </c>
      <c r="AA74" s="181"/>
      <c r="AB74" s="286"/>
      <c r="AC74" s="286"/>
      <c r="AD74" s="286"/>
      <c r="AE74" s="286"/>
      <c r="AF74" s="286"/>
      <c r="AG74" s="286"/>
      <c r="AH74" s="286"/>
      <c r="AI74" s="318"/>
      <c r="AJ74" s="318"/>
      <c r="AK74" s="318"/>
      <c r="AL74" s="318"/>
      <c r="AM74" s="251"/>
      <c r="AN74" s="100" t="b">
        <f t="shared" si="1"/>
        <v>0</v>
      </c>
      <c r="AO74" s="102"/>
    </row>
    <row r="75" ht="14.25" customHeight="1" outlineLevel="4">
      <c r="A75" s="390"/>
      <c r="B75" s="394"/>
      <c r="C75" s="394"/>
      <c r="D75" s="395" t="s">
        <v>1365</v>
      </c>
      <c r="E75" s="162"/>
      <c r="F75" s="162"/>
      <c r="G75" s="162"/>
      <c r="H75" s="178"/>
      <c r="I75" s="178"/>
      <c r="J75" s="178"/>
      <c r="K75" s="178"/>
      <c r="L75" s="178"/>
      <c r="M75" s="178"/>
      <c r="N75" s="178"/>
      <c r="O75" s="178"/>
      <c r="P75" s="178"/>
      <c r="Q75" s="178"/>
      <c r="R75" s="178"/>
      <c r="S75" s="178"/>
      <c r="T75" s="178"/>
      <c r="U75" s="178"/>
      <c r="V75" s="178"/>
      <c r="W75" s="178"/>
      <c r="X75" s="178"/>
      <c r="Y75" s="178"/>
      <c r="Z75" s="178"/>
      <c r="AA75" s="178"/>
      <c r="AB75" s="178"/>
      <c r="AC75" s="178"/>
      <c r="AD75" s="178"/>
      <c r="AE75" s="178"/>
      <c r="AF75" s="178"/>
      <c r="AG75" s="178"/>
      <c r="AH75" s="178"/>
      <c r="AI75" s="100"/>
      <c r="AJ75" s="100"/>
      <c r="AK75" s="100"/>
      <c r="AL75" s="100"/>
      <c r="AM75" s="100"/>
      <c r="AN75" s="100" t="b">
        <f t="shared" si="1"/>
        <v>0</v>
      </c>
      <c r="AO75" s="402"/>
    </row>
    <row r="76" ht="14.25" customHeight="1" outlineLevel="5">
      <c r="A76" s="390"/>
      <c r="B76" s="394"/>
      <c r="C76" s="393"/>
      <c r="D76" s="394"/>
      <c r="E76" s="287" t="s">
        <v>1366</v>
      </c>
      <c r="F76" s="249" t="s">
        <v>1328</v>
      </c>
      <c r="G76" s="249" t="s">
        <v>1367</v>
      </c>
      <c r="H76" s="260">
        <v>0.2778</v>
      </c>
      <c r="I76" s="181">
        <v>0.2936</v>
      </c>
      <c r="J76" s="181">
        <v>0.3055</v>
      </c>
      <c r="K76" s="181">
        <v>0.3195</v>
      </c>
      <c r="L76" s="181">
        <v>0.3328</v>
      </c>
      <c r="M76" s="181">
        <v>0.3463</v>
      </c>
      <c r="N76" s="181">
        <v>0.3598</v>
      </c>
      <c r="O76" s="181">
        <v>0.3747</v>
      </c>
      <c r="P76" s="181">
        <v>0.3883</v>
      </c>
      <c r="Q76" s="181">
        <v>0.4039</v>
      </c>
      <c r="R76" s="181">
        <v>0.4189</v>
      </c>
      <c r="S76" s="181">
        <v>0.434</v>
      </c>
      <c r="T76" s="181">
        <v>0.4413</v>
      </c>
      <c r="U76" s="181">
        <v>0.4508</v>
      </c>
      <c r="V76" s="181">
        <v>0.4565</v>
      </c>
      <c r="W76" s="286">
        <v>0.4658</v>
      </c>
      <c r="X76" s="181">
        <v>0.4733</v>
      </c>
      <c r="Y76" s="181">
        <v>0.482</v>
      </c>
      <c r="Z76" s="181"/>
      <c r="AA76" s="181"/>
      <c r="AB76" s="286"/>
      <c r="AC76" s="286"/>
      <c r="AD76" s="286"/>
      <c r="AE76" s="286"/>
      <c r="AF76" s="286"/>
      <c r="AG76" s="286"/>
      <c r="AH76" s="286"/>
      <c r="AI76" s="318"/>
      <c r="AJ76" s="318"/>
      <c r="AK76" s="318"/>
      <c r="AL76" s="318"/>
      <c r="AM76" s="251"/>
      <c r="AN76" s="100" t="b">
        <f t="shared" si="1"/>
        <v>0</v>
      </c>
      <c r="AO76" s="402"/>
    </row>
    <row r="77" ht="14.25" customHeight="1" outlineLevel="5">
      <c r="A77" s="390"/>
      <c r="B77" s="394"/>
      <c r="C77" s="393"/>
      <c r="D77" s="394"/>
      <c r="E77" s="270" t="s">
        <v>1368</v>
      </c>
      <c r="F77" s="249" t="s">
        <v>1328</v>
      </c>
      <c r="G77" s="249" t="s">
        <v>1369</v>
      </c>
      <c r="H77" s="260"/>
      <c r="I77" s="181"/>
      <c r="J77" s="181"/>
      <c r="K77" s="181"/>
      <c r="L77" s="181"/>
      <c r="M77" s="181"/>
      <c r="N77" s="181"/>
      <c r="O77" s="181"/>
      <c r="P77" s="181"/>
      <c r="Q77" s="181"/>
      <c r="R77" s="181"/>
      <c r="S77" s="181"/>
      <c r="T77" s="181"/>
      <c r="U77" s="181"/>
      <c r="V77" s="181"/>
      <c r="W77" s="286"/>
      <c r="X77" s="181"/>
      <c r="Y77" s="181"/>
      <c r="Z77" s="181"/>
      <c r="AA77" s="181"/>
      <c r="AB77" s="286"/>
      <c r="AC77" s="286"/>
      <c r="AD77" s="286"/>
      <c r="AE77" s="286"/>
      <c r="AF77" s="286"/>
      <c r="AG77" s="286"/>
      <c r="AH77" s="286"/>
      <c r="AI77" s="318"/>
      <c r="AJ77" s="318"/>
      <c r="AK77" s="318"/>
      <c r="AL77" s="318"/>
      <c r="AM77" s="251"/>
      <c r="AN77" s="100" t="b">
        <f t="shared" si="1"/>
        <v>0</v>
      </c>
      <c r="AO77" s="402"/>
    </row>
    <row r="78" ht="14.25" customHeight="1" outlineLevel="5">
      <c r="A78" s="390"/>
      <c r="B78" s="394"/>
      <c r="C78" s="393"/>
      <c r="D78" s="394"/>
      <c r="E78" s="270" t="s">
        <v>1370</v>
      </c>
      <c r="F78" s="249" t="s">
        <v>1328</v>
      </c>
      <c r="G78" s="249" t="s">
        <v>1371</v>
      </c>
      <c r="H78" s="260"/>
      <c r="I78" s="181"/>
      <c r="J78" s="181"/>
      <c r="K78" s="181"/>
      <c r="L78" s="181"/>
      <c r="M78" s="181"/>
      <c r="N78" s="181"/>
      <c r="O78" s="181"/>
      <c r="P78" s="181"/>
      <c r="Q78" s="181"/>
      <c r="R78" s="181"/>
      <c r="S78" s="181"/>
      <c r="T78" s="181"/>
      <c r="U78" s="181"/>
      <c r="V78" s="181"/>
      <c r="W78" s="286"/>
      <c r="X78" s="181"/>
      <c r="Y78" s="181"/>
      <c r="Z78" s="181"/>
      <c r="AA78" s="181"/>
      <c r="AB78" s="286"/>
      <c r="AC78" s="286"/>
      <c r="AD78" s="286"/>
      <c r="AE78" s="286"/>
      <c r="AF78" s="286"/>
      <c r="AG78" s="286"/>
      <c r="AH78" s="286"/>
      <c r="AI78" s="318"/>
      <c r="AJ78" s="318"/>
      <c r="AK78" s="318"/>
      <c r="AL78" s="318"/>
      <c r="AM78" s="251"/>
      <c r="AN78" s="100" t="b">
        <f t="shared" si="1"/>
        <v>0</v>
      </c>
      <c r="AO78" s="402"/>
    </row>
    <row r="79" ht="14.25" customHeight="1" outlineLevel="5">
      <c r="A79" s="390"/>
      <c r="B79" s="394"/>
      <c r="C79" s="393"/>
      <c r="D79" s="394"/>
      <c r="E79" s="122" t="s">
        <v>1372</v>
      </c>
      <c r="F79" s="123" t="s">
        <v>1328</v>
      </c>
      <c r="G79" s="123" t="s">
        <v>1373</v>
      </c>
      <c r="H79" s="260"/>
      <c r="I79" s="181"/>
      <c r="J79" s="181"/>
      <c r="K79" s="181"/>
      <c r="L79" s="181"/>
      <c r="M79" s="181"/>
      <c r="N79" s="181"/>
      <c r="O79" s="181"/>
      <c r="P79" s="181"/>
      <c r="Q79" s="181"/>
      <c r="R79" s="181"/>
      <c r="S79" s="181"/>
      <c r="T79" s="181"/>
      <c r="U79" s="181"/>
      <c r="V79" s="181"/>
      <c r="W79" s="286"/>
      <c r="X79" s="181"/>
      <c r="Y79" s="181"/>
      <c r="Z79" s="181"/>
      <c r="AA79" s="181"/>
      <c r="AB79" s="286"/>
      <c r="AC79" s="286"/>
      <c r="AD79" s="286"/>
      <c r="AE79" s="286"/>
      <c r="AF79" s="286"/>
      <c r="AG79" s="286"/>
      <c r="AH79" s="286"/>
      <c r="AI79" s="318"/>
      <c r="AJ79" s="318"/>
      <c r="AK79" s="318"/>
      <c r="AL79" s="318"/>
      <c r="AM79" s="251"/>
      <c r="AN79" s="100" t="b">
        <f t="shared" si="1"/>
        <v>0</v>
      </c>
      <c r="AO79" s="402"/>
    </row>
    <row r="80" ht="14.25" customHeight="1" outlineLevel="4">
      <c r="A80" s="390"/>
      <c r="B80" s="394"/>
      <c r="C80" s="394"/>
      <c r="D80" s="395" t="s">
        <v>1374</v>
      </c>
      <c r="E80" s="162"/>
      <c r="F80" s="162"/>
      <c r="G80" s="162"/>
      <c r="H80" s="178"/>
      <c r="I80" s="178"/>
      <c r="J80" s="178"/>
      <c r="K80" s="178"/>
      <c r="L80" s="178"/>
      <c r="M80" s="178"/>
      <c r="N80" s="178"/>
      <c r="O80" s="178"/>
      <c r="P80" s="178"/>
      <c r="Q80" s="178"/>
      <c r="R80" s="178"/>
      <c r="S80" s="178"/>
      <c r="T80" s="178"/>
      <c r="U80" s="178"/>
      <c r="V80" s="178"/>
      <c r="W80" s="178"/>
      <c r="X80" s="178"/>
      <c r="Y80" s="178"/>
      <c r="Z80" s="178"/>
      <c r="AA80" s="178"/>
      <c r="AB80" s="178"/>
      <c r="AC80" s="178"/>
      <c r="AD80" s="178"/>
      <c r="AE80" s="178"/>
      <c r="AF80" s="178"/>
      <c r="AG80" s="178"/>
      <c r="AH80" s="178"/>
      <c r="AI80" s="100"/>
      <c r="AJ80" s="100"/>
      <c r="AK80" s="100"/>
      <c r="AL80" s="100"/>
      <c r="AM80" s="100"/>
      <c r="AN80" s="100" t="b">
        <f t="shared" si="1"/>
        <v>0</v>
      </c>
      <c r="AO80" s="402"/>
    </row>
    <row r="81" ht="14.25" customHeight="1" outlineLevel="5">
      <c r="A81" s="390"/>
      <c r="B81" s="394"/>
      <c r="C81" s="393"/>
      <c r="D81" s="394"/>
      <c r="E81" s="287" t="s">
        <v>1375</v>
      </c>
      <c r="F81" s="249" t="s">
        <v>1328</v>
      </c>
      <c r="G81" s="249" t="s">
        <v>1376</v>
      </c>
      <c r="H81" s="260">
        <v>0.0147</v>
      </c>
      <c r="I81" s="181">
        <v>0.0147</v>
      </c>
      <c r="J81" s="181">
        <v>0.0148</v>
      </c>
      <c r="K81" s="181">
        <v>0.0151</v>
      </c>
      <c r="L81" s="181">
        <v>0.0153</v>
      </c>
      <c r="M81" s="181">
        <v>0.0154</v>
      </c>
      <c r="N81" s="181">
        <v>0.0153</v>
      </c>
      <c r="O81" s="181">
        <v>0.0155</v>
      </c>
      <c r="P81" s="181">
        <v>0.016</v>
      </c>
      <c r="Q81" s="181">
        <v>0.0161</v>
      </c>
      <c r="R81" s="181">
        <v>0.0162</v>
      </c>
      <c r="S81" s="181">
        <v>0.0161</v>
      </c>
      <c r="T81" s="181">
        <v>0.016</v>
      </c>
      <c r="U81" s="181">
        <v>0.0158</v>
      </c>
      <c r="V81" s="181">
        <v>0.016</v>
      </c>
      <c r="W81" s="286">
        <v>0.0161</v>
      </c>
      <c r="X81" s="181">
        <v>0.016</v>
      </c>
      <c r="Y81" s="181">
        <v>0.0161</v>
      </c>
      <c r="Z81" s="181"/>
      <c r="AA81" s="181"/>
      <c r="AB81" s="286"/>
      <c r="AC81" s="286"/>
      <c r="AD81" s="286"/>
      <c r="AE81" s="286"/>
      <c r="AF81" s="286"/>
      <c r="AG81" s="286"/>
      <c r="AH81" s="286"/>
      <c r="AI81" s="318"/>
      <c r="AJ81" s="318"/>
      <c r="AK81" s="318"/>
      <c r="AL81" s="318"/>
      <c r="AM81" s="251"/>
      <c r="AN81" s="100" t="b">
        <f t="shared" si="1"/>
        <v>0</v>
      </c>
      <c r="AO81" s="102"/>
    </row>
    <row r="82" ht="14.25" customHeight="1" outlineLevel="5">
      <c r="A82" s="390"/>
      <c r="B82" s="394"/>
      <c r="C82" s="393"/>
      <c r="D82" s="394"/>
      <c r="E82" s="270" t="s">
        <v>1377</v>
      </c>
      <c r="F82" s="249" t="s">
        <v>1328</v>
      </c>
      <c r="G82" s="249" t="s">
        <v>1378</v>
      </c>
      <c r="H82" s="260">
        <v>2.0E-4</v>
      </c>
      <c r="I82" s="181">
        <v>2.0E-4</v>
      </c>
      <c r="J82" s="181">
        <v>2.0E-4</v>
      </c>
      <c r="K82" s="181">
        <v>2.0E-4</v>
      </c>
      <c r="L82" s="181">
        <v>2.0E-4</v>
      </c>
      <c r="M82" s="181">
        <v>2.0E-4</v>
      </c>
      <c r="N82" s="181">
        <v>2.0E-4</v>
      </c>
      <c r="O82" s="181">
        <v>2.0E-4</v>
      </c>
      <c r="P82" s="181">
        <v>2.0E-4</v>
      </c>
      <c r="Q82" s="181">
        <v>1.0E-4</v>
      </c>
      <c r="R82" s="181">
        <v>1.0E-4</v>
      </c>
      <c r="S82" s="181">
        <v>1.0E-4</v>
      </c>
      <c r="T82" s="181">
        <v>1.0E-4</v>
      </c>
      <c r="U82" s="181">
        <v>1.0E-4</v>
      </c>
      <c r="V82" s="181">
        <v>1.0E-4</v>
      </c>
      <c r="W82" s="286">
        <v>1.0E-4</v>
      </c>
      <c r="X82" s="181">
        <v>1.0E-4</v>
      </c>
      <c r="Y82" s="181">
        <v>1.0E-4</v>
      </c>
      <c r="Z82" s="181"/>
      <c r="AA82" s="181"/>
      <c r="AB82" s="286"/>
      <c r="AC82" s="286"/>
      <c r="AD82" s="286"/>
      <c r="AE82" s="286"/>
      <c r="AF82" s="286"/>
      <c r="AG82" s="286"/>
      <c r="AH82" s="286"/>
      <c r="AI82" s="318"/>
      <c r="AJ82" s="318"/>
      <c r="AK82" s="318"/>
      <c r="AL82" s="318"/>
      <c r="AM82" s="251"/>
      <c r="AN82" s="100" t="b">
        <f t="shared" si="1"/>
        <v>0</v>
      </c>
      <c r="AO82" s="102"/>
    </row>
    <row r="83" ht="14.25" customHeight="1" outlineLevel="5">
      <c r="A83" s="390"/>
      <c r="B83" s="394"/>
      <c r="C83" s="393"/>
      <c r="D83" s="394"/>
      <c r="E83" s="270" t="s">
        <v>1379</v>
      </c>
      <c r="F83" s="249" t="s">
        <v>1328</v>
      </c>
      <c r="G83" s="249" t="s">
        <v>1380</v>
      </c>
      <c r="H83" s="260">
        <v>0.0143</v>
      </c>
      <c r="I83" s="181">
        <v>0.0143</v>
      </c>
      <c r="J83" s="181">
        <v>0.0144</v>
      </c>
      <c r="K83" s="181">
        <v>0.0148</v>
      </c>
      <c r="L83" s="181">
        <v>0.015</v>
      </c>
      <c r="M83" s="181">
        <v>0.0151</v>
      </c>
      <c r="N83" s="181">
        <v>0.015</v>
      </c>
      <c r="O83" s="181">
        <v>0.0152</v>
      </c>
      <c r="P83" s="181">
        <v>0.0157</v>
      </c>
      <c r="Q83" s="181">
        <v>0.0158</v>
      </c>
      <c r="R83" s="181">
        <v>0.016</v>
      </c>
      <c r="S83" s="181">
        <v>0.0158</v>
      </c>
      <c r="T83" s="181">
        <v>0.0158</v>
      </c>
      <c r="U83" s="181">
        <v>0.0155</v>
      </c>
      <c r="V83" s="181">
        <v>0.0157</v>
      </c>
      <c r="W83" s="286">
        <v>0.0157</v>
      </c>
      <c r="X83" s="181">
        <v>0.0156</v>
      </c>
      <c r="Y83" s="181">
        <v>0.0156</v>
      </c>
      <c r="Z83" s="181"/>
      <c r="AA83" s="181"/>
      <c r="AB83" s="286"/>
      <c r="AC83" s="286"/>
      <c r="AD83" s="286"/>
      <c r="AE83" s="286"/>
      <c r="AF83" s="286"/>
      <c r="AG83" s="286"/>
      <c r="AH83" s="286"/>
      <c r="AI83" s="318"/>
      <c r="AJ83" s="318"/>
      <c r="AK83" s="318"/>
      <c r="AL83" s="318"/>
      <c r="AM83" s="251"/>
      <c r="AN83" s="100" t="b">
        <f t="shared" si="1"/>
        <v>0</v>
      </c>
      <c r="AO83" s="102"/>
    </row>
    <row r="84" ht="14.25" customHeight="1" outlineLevel="5">
      <c r="A84" s="390"/>
      <c r="B84" s="394"/>
      <c r="C84" s="393"/>
      <c r="D84" s="394"/>
      <c r="E84" s="270" t="s">
        <v>1381</v>
      </c>
      <c r="F84" s="249" t="s">
        <v>1328</v>
      </c>
      <c r="G84" s="249" t="s">
        <v>1382</v>
      </c>
      <c r="H84" s="260"/>
      <c r="I84" s="181"/>
      <c r="J84" s="181"/>
      <c r="K84" s="181"/>
      <c r="L84" s="181"/>
      <c r="M84" s="181"/>
      <c r="N84" s="181"/>
      <c r="O84" s="181"/>
      <c r="P84" s="181"/>
      <c r="Q84" s="181"/>
      <c r="R84" s="181"/>
      <c r="S84" s="181"/>
      <c r="T84" s="181"/>
      <c r="U84" s="181"/>
      <c r="V84" s="181"/>
      <c r="W84" s="286"/>
      <c r="X84" s="181"/>
      <c r="Y84" s="181"/>
      <c r="Z84" s="181"/>
      <c r="AA84" s="181"/>
      <c r="AB84" s="286"/>
      <c r="AC84" s="286"/>
      <c r="AD84" s="286"/>
      <c r="AE84" s="286"/>
      <c r="AF84" s="286"/>
      <c r="AG84" s="286"/>
      <c r="AH84" s="286"/>
      <c r="AI84" s="318"/>
      <c r="AJ84" s="318"/>
      <c r="AK84" s="318"/>
      <c r="AL84" s="318"/>
      <c r="AM84" s="251"/>
      <c r="AN84" s="100" t="b">
        <f t="shared" si="1"/>
        <v>0</v>
      </c>
      <c r="AO84" s="102"/>
    </row>
    <row r="85" ht="14.25" customHeight="1" outlineLevel="5">
      <c r="A85" s="390"/>
      <c r="B85" s="394"/>
      <c r="C85" s="393"/>
      <c r="D85" s="394"/>
      <c r="E85" s="270" t="s">
        <v>1383</v>
      </c>
      <c r="F85" s="249" t="s">
        <v>1328</v>
      </c>
      <c r="G85" s="249" t="s">
        <v>1384</v>
      </c>
      <c r="H85" s="260"/>
      <c r="I85" s="181"/>
      <c r="J85" s="181"/>
      <c r="K85" s="181"/>
      <c r="L85" s="181"/>
      <c r="M85" s="181"/>
      <c r="N85" s="181"/>
      <c r="O85" s="181"/>
      <c r="P85" s="181"/>
      <c r="Q85" s="181"/>
      <c r="R85" s="181"/>
      <c r="S85" s="181"/>
      <c r="T85" s="181"/>
      <c r="U85" s="181"/>
      <c r="V85" s="181"/>
      <c r="W85" s="286"/>
      <c r="X85" s="181"/>
      <c r="Y85" s="181"/>
      <c r="Z85" s="181"/>
      <c r="AA85" s="181"/>
      <c r="AB85" s="286"/>
      <c r="AC85" s="286"/>
      <c r="AD85" s="286"/>
      <c r="AE85" s="286"/>
      <c r="AF85" s="286"/>
      <c r="AG85" s="286"/>
      <c r="AH85" s="286"/>
      <c r="AI85" s="318"/>
      <c r="AJ85" s="318"/>
      <c r="AK85" s="318"/>
      <c r="AL85" s="318"/>
      <c r="AM85" s="251"/>
      <c r="AN85" s="100" t="b">
        <f t="shared" si="1"/>
        <v>0</v>
      </c>
      <c r="AO85" s="102"/>
    </row>
    <row r="86" ht="14.25" customHeight="1" outlineLevel="5">
      <c r="A86" s="390"/>
      <c r="B86" s="394"/>
      <c r="C86" s="393"/>
      <c r="D86" s="394"/>
      <c r="E86" s="122" t="s">
        <v>1385</v>
      </c>
      <c r="F86" s="123" t="s">
        <v>1328</v>
      </c>
      <c r="G86" s="123" t="s">
        <v>1386</v>
      </c>
      <c r="H86" s="260"/>
      <c r="I86" s="181"/>
      <c r="J86" s="181"/>
      <c r="K86" s="181"/>
      <c r="L86" s="181"/>
      <c r="M86" s="181"/>
      <c r="N86" s="181"/>
      <c r="O86" s="181"/>
      <c r="P86" s="181"/>
      <c r="Q86" s="181"/>
      <c r="R86" s="181"/>
      <c r="S86" s="181"/>
      <c r="T86" s="181"/>
      <c r="U86" s="181"/>
      <c r="V86" s="181"/>
      <c r="W86" s="286"/>
      <c r="X86" s="181"/>
      <c r="Y86" s="181"/>
      <c r="Z86" s="181"/>
      <c r="AA86" s="181"/>
      <c r="AB86" s="286"/>
      <c r="AC86" s="286"/>
      <c r="AD86" s="286"/>
      <c r="AE86" s="286"/>
      <c r="AF86" s="286"/>
      <c r="AG86" s="286"/>
      <c r="AH86" s="286"/>
      <c r="AI86" s="318"/>
      <c r="AJ86" s="318"/>
      <c r="AK86" s="318"/>
      <c r="AL86" s="318"/>
      <c r="AM86" s="251"/>
      <c r="AN86" s="100" t="b">
        <f t="shared" si="1"/>
        <v>0</v>
      </c>
      <c r="AO86" s="102"/>
    </row>
    <row r="87" ht="14.25" customHeight="1" outlineLevel="5">
      <c r="A87" s="390"/>
      <c r="B87" s="394"/>
      <c r="C87" s="393"/>
      <c r="D87" s="394"/>
      <c r="E87" s="411" t="s">
        <v>1387</v>
      </c>
      <c r="F87" s="69" t="s">
        <v>1328</v>
      </c>
      <c r="G87" s="69" t="s">
        <v>1388</v>
      </c>
      <c r="H87" s="260">
        <v>0.0</v>
      </c>
      <c r="I87" s="181">
        <v>0.0</v>
      </c>
      <c r="J87" s="181">
        <v>0.0</v>
      </c>
      <c r="K87" s="181">
        <v>0.0</v>
      </c>
      <c r="L87" s="181">
        <v>0.0</v>
      </c>
      <c r="M87" s="181">
        <v>0.0</v>
      </c>
      <c r="N87" s="181">
        <v>0.0</v>
      </c>
      <c r="O87" s="181">
        <v>0.0</v>
      </c>
      <c r="P87" s="181">
        <v>0.0</v>
      </c>
      <c r="Q87" s="181">
        <v>0.0</v>
      </c>
      <c r="R87" s="181">
        <v>0.0</v>
      </c>
      <c r="S87" s="181">
        <v>0.0</v>
      </c>
      <c r="T87" s="181">
        <v>0.0</v>
      </c>
      <c r="U87" s="181">
        <v>0.0</v>
      </c>
      <c r="V87" s="181">
        <v>0.0</v>
      </c>
      <c r="W87" s="286">
        <v>0.0</v>
      </c>
      <c r="X87" s="181">
        <v>0.0</v>
      </c>
      <c r="Y87" s="181">
        <v>0.0</v>
      </c>
      <c r="Z87" s="181"/>
      <c r="AA87" s="181"/>
      <c r="AB87" s="286"/>
      <c r="AC87" s="286"/>
      <c r="AD87" s="286"/>
      <c r="AE87" s="286"/>
      <c r="AF87" s="286"/>
      <c r="AG87" s="286"/>
      <c r="AH87" s="286"/>
      <c r="AI87" s="318"/>
      <c r="AJ87" s="318"/>
      <c r="AK87" s="318"/>
      <c r="AL87" s="318"/>
      <c r="AM87" s="251"/>
      <c r="AN87" s="100" t="b">
        <f t="shared" si="1"/>
        <v>0</v>
      </c>
      <c r="AO87" s="102"/>
    </row>
    <row r="88" ht="14.25" customHeight="1" outlineLevel="3">
      <c r="A88" s="390"/>
      <c r="B88" s="394"/>
      <c r="C88" s="393" t="s">
        <v>1389</v>
      </c>
      <c r="D88" s="394"/>
      <c r="E88" s="162"/>
      <c r="F88" s="162"/>
      <c r="G88" s="162"/>
      <c r="H88" s="178"/>
      <c r="I88" s="178"/>
      <c r="J88" s="178"/>
      <c r="K88" s="178"/>
      <c r="L88" s="178"/>
      <c r="M88" s="178"/>
      <c r="N88" s="178"/>
      <c r="O88" s="178"/>
      <c r="P88" s="178"/>
      <c r="Q88" s="178"/>
      <c r="R88" s="178"/>
      <c r="S88" s="178"/>
      <c r="T88" s="178"/>
      <c r="U88" s="178"/>
      <c r="V88" s="178"/>
      <c r="W88" s="178"/>
      <c r="X88" s="178"/>
      <c r="Y88" s="178"/>
      <c r="Z88" s="178"/>
      <c r="AA88" s="178"/>
      <c r="AB88" s="178"/>
      <c r="AC88" s="178"/>
      <c r="AD88" s="178"/>
      <c r="AE88" s="178"/>
      <c r="AF88" s="178"/>
      <c r="AG88" s="178"/>
      <c r="AH88" s="178"/>
      <c r="AI88" s="100"/>
      <c r="AJ88" s="100"/>
      <c r="AK88" s="100"/>
      <c r="AL88" s="100"/>
      <c r="AM88" s="100"/>
      <c r="AN88" s="100" t="b">
        <f t="shared" si="1"/>
        <v>0</v>
      </c>
      <c r="AO88" s="102"/>
    </row>
    <row r="89" ht="14.25" customHeight="1" outlineLevel="4">
      <c r="A89" s="390"/>
      <c r="B89" s="394"/>
      <c r="C89" s="394"/>
      <c r="D89" s="395" t="s">
        <v>1390</v>
      </c>
      <c r="E89" s="162"/>
      <c r="F89" s="162"/>
      <c r="G89" s="162"/>
      <c r="H89" s="178"/>
      <c r="I89" s="178"/>
      <c r="J89" s="178"/>
      <c r="K89" s="178"/>
      <c r="L89" s="178"/>
      <c r="M89" s="178"/>
      <c r="N89" s="178"/>
      <c r="O89" s="178"/>
      <c r="P89" s="178"/>
      <c r="Q89" s="178"/>
      <c r="R89" s="178"/>
      <c r="S89" s="178"/>
      <c r="T89" s="178"/>
      <c r="U89" s="178"/>
      <c r="V89" s="178"/>
      <c r="W89" s="178"/>
      <c r="X89" s="178"/>
      <c r="Y89" s="178"/>
      <c r="Z89" s="178"/>
      <c r="AA89" s="178"/>
      <c r="AB89" s="178"/>
      <c r="AC89" s="178"/>
      <c r="AD89" s="178"/>
      <c r="AE89" s="178"/>
      <c r="AF89" s="178"/>
      <c r="AG89" s="178"/>
      <c r="AH89" s="178"/>
      <c r="AI89" s="100"/>
      <c r="AJ89" s="100"/>
      <c r="AK89" s="100"/>
      <c r="AL89" s="100"/>
      <c r="AM89" s="100"/>
      <c r="AN89" s="100" t="b">
        <f t="shared" si="1"/>
        <v>0</v>
      </c>
      <c r="AO89" s="402"/>
    </row>
    <row r="90" ht="14.25" customHeight="1" outlineLevel="5">
      <c r="A90" s="390"/>
      <c r="B90" s="394"/>
      <c r="C90" s="393"/>
      <c r="D90" s="394"/>
      <c r="E90" s="412" t="s">
        <v>1391</v>
      </c>
      <c r="F90" s="123" t="s">
        <v>1392</v>
      </c>
      <c r="G90" s="123" t="s">
        <v>1393</v>
      </c>
      <c r="H90" s="260"/>
      <c r="I90" s="181"/>
      <c r="J90" s="181"/>
      <c r="K90" s="181"/>
      <c r="L90" s="181"/>
      <c r="M90" s="181"/>
      <c r="N90" s="181"/>
      <c r="O90" s="181"/>
      <c r="P90" s="181"/>
      <c r="Q90" s="181"/>
      <c r="R90" s="181"/>
      <c r="S90" s="181"/>
      <c r="T90" s="181"/>
      <c r="U90" s="181"/>
      <c r="V90" s="181"/>
      <c r="W90" s="202">
        <v>0.93</v>
      </c>
      <c r="X90" s="181">
        <v>0.93</v>
      </c>
      <c r="Y90" s="181">
        <v>0.93</v>
      </c>
      <c r="Z90" s="181">
        <v>0.93</v>
      </c>
      <c r="AA90" s="181">
        <v>0.93</v>
      </c>
      <c r="AB90" s="202">
        <v>0.93</v>
      </c>
      <c r="AC90" s="202">
        <v>0.969</v>
      </c>
      <c r="AD90" s="202">
        <v>1.008</v>
      </c>
      <c r="AE90" s="202">
        <v>1.047</v>
      </c>
      <c r="AF90" s="202">
        <v>1.085</v>
      </c>
      <c r="AG90" s="202">
        <v>1.124</v>
      </c>
      <c r="AH90" s="203">
        <v>1.163</v>
      </c>
      <c r="AI90" s="318"/>
      <c r="AJ90" s="318"/>
      <c r="AK90" s="318"/>
      <c r="AL90" s="318"/>
      <c r="AM90" s="251"/>
      <c r="AN90" s="100" t="b">
        <f t="shared" si="1"/>
        <v>0</v>
      </c>
      <c r="AO90" s="102"/>
    </row>
    <row r="91" ht="14.25" customHeight="1" outlineLevel="4">
      <c r="A91" s="390"/>
      <c r="B91" s="394"/>
      <c r="C91" s="394"/>
      <c r="D91" s="395" t="s">
        <v>1394</v>
      </c>
      <c r="E91" s="162"/>
      <c r="F91" s="162"/>
      <c r="G91" s="162"/>
      <c r="H91" s="178"/>
      <c r="I91" s="178"/>
      <c r="J91" s="178"/>
      <c r="K91" s="178"/>
      <c r="L91" s="178"/>
      <c r="M91" s="178"/>
      <c r="N91" s="178"/>
      <c r="O91" s="178"/>
      <c r="P91" s="178"/>
      <c r="Q91" s="178"/>
      <c r="R91" s="178"/>
      <c r="S91" s="178"/>
      <c r="T91" s="178"/>
      <c r="U91" s="178"/>
      <c r="V91" s="178"/>
      <c r="W91" s="178"/>
      <c r="X91" s="178"/>
      <c r="Y91" s="178"/>
      <c r="Z91" s="178"/>
      <c r="AA91" s="178"/>
      <c r="AB91" s="178"/>
      <c r="AC91" s="178"/>
      <c r="AD91" s="178"/>
      <c r="AE91" s="178"/>
      <c r="AF91" s="178"/>
      <c r="AG91" s="178"/>
      <c r="AH91" s="178"/>
      <c r="AI91" s="100"/>
      <c r="AJ91" s="100"/>
      <c r="AK91" s="100"/>
      <c r="AL91" s="100"/>
      <c r="AM91" s="100"/>
      <c r="AN91" s="100" t="b">
        <f t="shared" si="1"/>
        <v>0</v>
      </c>
      <c r="AO91" s="402"/>
    </row>
    <row r="92" ht="14.25" customHeight="1" outlineLevel="5">
      <c r="A92" s="390"/>
      <c r="B92" s="394"/>
      <c r="C92" s="393"/>
      <c r="D92" s="394"/>
      <c r="E92" s="396" t="s">
        <v>1395</v>
      </c>
      <c r="F92" s="249" t="s">
        <v>432</v>
      </c>
      <c r="G92" s="249" t="s">
        <v>1396</v>
      </c>
      <c r="H92" s="260"/>
      <c r="I92" s="181"/>
      <c r="J92" s="181"/>
      <c r="K92" s="181"/>
      <c r="L92" s="181"/>
      <c r="M92" s="181"/>
      <c r="N92" s="181">
        <v>1395.0</v>
      </c>
      <c r="O92" s="181">
        <v>1405.0</v>
      </c>
      <c r="P92" s="181">
        <v>1414.0</v>
      </c>
      <c r="Q92" s="181">
        <v>1424.0</v>
      </c>
      <c r="R92" s="181"/>
      <c r="S92" s="181"/>
      <c r="T92" s="181"/>
      <c r="U92" s="181"/>
      <c r="V92" s="181"/>
      <c r="W92" s="182">
        <v>100.0</v>
      </c>
      <c r="X92" s="181"/>
      <c r="Y92" s="181"/>
      <c r="Z92" s="181"/>
      <c r="AA92" s="181"/>
      <c r="AB92" s="182"/>
      <c r="AC92" s="182"/>
      <c r="AD92" s="182"/>
      <c r="AE92" s="182"/>
      <c r="AF92" s="182"/>
      <c r="AG92" s="182"/>
      <c r="AH92" s="184"/>
      <c r="AI92" s="318"/>
      <c r="AJ92" s="318"/>
      <c r="AK92" s="318"/>
      <c r="AL92" s="318"/>
      <c r="AM92" s="251"/>
      <c r="AN92" s="100" t="b">
        <f t="shared" si="1"/>
        <v>0</v>
      </c>
      <c r="AO92" s="102"/>
    </row>
    <row r="93" ht="15.0" customHeight="1" outlineLevel="5">
      <c r="A93" s="390"/>
      <c r="B93" s="394"/>
      <c r="C93" s="393"/>
      <c r="D93" s="394"/>
      <c r="E93" s="413" t="s">
        <v>1397</v>
      </c>
      <c r="F93" s="249" t="s">
        <v>1398</v>
      </c>
      <c r="G93" s="249" t="s">
        <v>1399</v>
      </c>
      <c r="H93" s="260"/>
      <c r="I93" s="181"/>
      <c r="J93" s="181"/>
      <c r="K93" s="181"/>
      <c r="L93" s="181"/>
      <c r="M93" s="181"/>
      <c r="N93" s="181"/>
      <c r="O93" s="181"/>
      <c r="P93" s="181"/>
      <c r="Q93" s="181"/>
      <c r="R93" s="181"/>
      <c r="S93" s="181"/>
      <c r="T93" s="181"/>
      <c r="U93" s="181"/>
      <c r="V93" s="181"/>
      <c r="W93" s="202">
        <v>6.491586404141</v>
      </c>
      <c r="X93" s="181"/>
      <c r="Y93" s="181"/>
      <c r="Z93" s="181"/>
      <c r="AA93" s="181"/>
      <c r="AB93" s="202">
        <v>6.49004816212555</v>
      </c>
      <c r="AC93" s="202">
        <v>5.99825011340223</v>
      </c>
      <c r="AD93" s="202">
        <v>5.25061535378671</v>
      </c>
      <c r="AE93" s="202">
        <v>4.4545395293767</v>
      </c>
      <c r="AF93" s="202">
        <v>4.4545395293767</v>
      </c>
      <c r="AG93" s="202">
        <v>4.4545395293767</v>
      </c>
      <c r="AH93" s="202">
        <v>4.4545395293767</v>
      </c>
      <c r="AI93" s="318"/>
      <c r="AJ93" s="318"/>
      <c r="AK93" s="318"/>
      <c r="AL93" s="318"/>
      <c r="AM93" s="251"/>
      <c r="AN93" s="100" t="b">
        <f t="shared" si="1"/>
        <v>0</v>
      </c>
      <c r="AO93" s="102"/>
    </row>
    <row r="94" ht="15.0" customHeight="1" outlineLevel="5">
      <c r="A94" s="390"/>
      <c r="B94" s="394"/>
      <c r="C94" s="393"/>
      <c r="D94" s="394"/>
      <c r="E94" s="270" t="s">
        <v>1400</v>
      </c>
      <c r="F94" s="249" t="s">
        <v>1398</v>
      </c>
      <c r="G94" s="249" t="s">
        <v>1401</v>
      </c>
      <c r="H94" s="260"/>
      <c r="I94" s="181"/>
      <c r="J94" s="181"/>
      <c r="K94" s="181"/>
      <c r="L94" s="181"/>
      <c r="M94" s="181"/>
      <c r="N94" s="181"/>
      <c r="O94" s="181"/>
      <c r="P94" s="181"/>
      <c r="Q94" s="181"/>
      <c r="R94" s="181"/>
      <c r="S94" s="181"/>
      <c r="T94" s="181"/>
      <c r="U94" s="181"/>
      <c r="V94" s="181"/>
      <c r="W94" s="202">
        <v>7.15230201492998</v>
      </c>
      <c r="X94" s="181"/>
      <c r="Y94" s="181"/>
      <c r="Z94" s="181"/>
      <c r="AA94" s="181"/>
      <c r="AB94" s="202">
        <v>7.15060721018094</v>
      </c>
      <c r="AC94" s="202">
        <v>6.60875380858737</v>
      </c>
      <c r="AD94" s="202">
        <v>5.78502455895144</v>
      </c>
      <c r="AE94" s="202">
        <v>4.90792389842065</v>
      </c>
      <c r="AF94" s="202">
        <v>4.90792389842065</v>
      </c>
      <c r="AG94" s="202">
        <v>4.90792389842065</v>
      </c>
      <c r="AH94" s="203">
        <v>4.90792389842065</v>
      </c>
      <c r="AI94" s="318"/>
      <c r="AJ94" s="318"/>
      <c r="AK94" s="318"/>
      <c r="AL94" s="318"/>
      <c r="AM94" s="251"/>
      <c r="AN94" s="100" t="b">
        <f t="shared" si="1"/>
        <v>0</v>
      </c>
      <c r="AO94" s="102"/>
    </row>
    <row r="95" ht="15.0" customHeight="1" outlineLevel="5">
      <c r="A95" s="390"/>
      <c r="B95" s="394"/>
      <c r="C95" s="393"/>
      <c r="D95" s="394"/>
      <c r="E95" s="270" t="s">
        <v>1402</v>
      </c>
      <c r="F95" s="249" t="s">
        <v>1398</v>
      </c>
      <c r="G95" s="249" t="s">
        <v>1403</v>
      </c>
      <c r="H95" s="260"/>
      <c r="I95" s="181"/>
      <c r="J95" s="181"/>
      <c r="K95" s="181"/>
      <c r="L95" s="181"/>
      <c r="M95" s="181"/>
      <c r="N95" s="181"/>
      <c r="O95" s="181"/>
      <c r="P95" s="181"/>
      <c r="Q95" s="181"/>
      <c r="R95" s="181"/>
      <c r="S95" s="181"/>
      <c r="T95" s="181"/>
      <c r="U95" s="181"/>
      <c r="V95" s="181"/>
      <c r="W95" s="202">
        <v>5.94811374816095</v>
      </c>
      <c r="X95" s="181"/>
      <c r="Y95" s="181"/>
      <c r="Z95" s="181"/>
      <c r="AA95" s="181"/>
      <c r="AB95" s="202">
        <v>5.94670428706617</v>
      </c>
      <c r="AC95" s="202">
        <v>5.49607934690303</v>
      </c>
      <c r="AD95" s="202">
        <v>4.81103622871617</v>
      </c>
      <c r="AE95" s="202">
        <v>4.08160750960813</v>
      </c>
      <c r="AF95" s="202">
        <v>4.08160750960813</v>
      </c>
      <c r="AG95" s="202">
        <v>4.08160750960813</v>
      </c>
      <c r="AH95" s="203">
        <v>4.08160750960813</v>
      </c>
      <c r="AI95" s="318"/>
      <c r="AJ95" s="318"/>
      <c r="AK95" s="318"/>
      <c r="AL95" s="318"/>
      <c r="AM95" s="251"/>
      <c r="AN95" s="100" t="b">
        <f t="shared" si="1"/>
        <v>0</v>
      </c>
      <c r="AO95" s="102"/>
    </row>
    <row r="96" ht="14.25" customHeight="1" outlineLevel="5">
      <c r="A96" s="98"/>
      <c r="B96" s="98"/>
      <c r="C96" s="98"/>
      <c r="D96" s="98"/>
      <c r="E96" s="413" t="s">
        <v>1404</v>
      </c>
      <c r="F96" s="249" t="s">
        <v>1398</v>
      </c>
      <c r="G96" s="249" t="s">
        <v>1405</v>
      </c>
      <c r="H96" s="260"/>
      <c r="I96" s="181"/>
      <c r="J96" s="181"/>
      <c r="K96" s="181"/>
      <c r="L96" s="181"/>
      <c r="M96" s="181"/>
      <c r="N96" s="181"/>
      <c r="O96" s="181"/>
      <c r="P96" s="181"/>
      <c r="Q96" s="181"/>
      <c r="R96" s="181"/>
      <c r="S96" s="181"/>
      <c r="T96" s="181"/>
      <c r="U96" s="181"/>
      <c r="V96" s="181"/>
      <c r="W96" s="202">
        <v>9.4042832124137</v>
      </c>
      <c r="X96" s="181"/>
      <c r="Y96" s="181"/>
      <c r="Z96" s="181"/>
      <c r="AA96" s="181"/>
      <c r="AB96" s="202">
        <v>9.40205477969141</v>
      </c>
      <c r="AC96" s="202">
        <v>8.68959285658488</v>
      </c>
      <c r="AD96" s="202">
        <v>7.60650336487232</v>
      </c>
      <c r="AE96" s="202">
        <v>6.45323788472223</v>
      </c>
      <c r="AF96" s="202">
        <v>6.45323788472223</v>
      </c>
      <c r="AG96" s="202">
        <v>6.45323788472223</v>
      </c>
      <c r="AH96" s="202">
        <v>6.45323788472223</v>
      </c>
      <c r="AI96" s="318"/>
      <c r="AJ96" s="318"/>
      <c r="AK96" s="318"/>
      <c r="AL96" s="318"/>
      <c r="AM96" s="251"/>
      <c r="AN96" s="100"/>
      <c r="AO96" s="102"/>
    </row>
    <row r="97" ht="14.25" customHeight="1" outlineLevel="5">
      <c r="A97" s="98"/>
      <c r="B97" s="98"/>
      <c r="C97" s="98"/>
      <c r="D97" s="98"/>
      <c r="E97" s="413" t="s">
        <v>1406</v>
      </c>
      <c r="F97" s="249" t="s">
        <v>1407</v>
      </c>
      <c r="G97" s="249" t="s">
        <v>1408</v>
      </c>
      <c r="H97" s="260"/>
      <c r="I97" s="181"/>
      <c r="J97" s="181"/>
      <c r="K97" s="181"/>
      <c r="L97" s="181"/>
      <c r="M97" s="181"/>
      <c r="N97" s="181"/>
      <c r="O97" s="181"/>
      <c r="P97" s="181"/>
      <c r="Q97" s="181"/>
      <c r="R97" s="181"/>
      <c r="S97" s="181"/>
      <c r="T97" s="181"/>
      <c r="U97" s="181"/>
      <c r="V97" s="181"/>
      <c r="W97" s="202">
        <v>4.18234122593494</v>
      </c>
      <c r="X97" s="181"/>
      <c r="Y97" s="181"/>
      <c r="Z97" s="181"/>
      <c r="AA97" s="181"/>
      <c r="AB97" s="202">
        <v>4.18234122593494</v>
      </c>
      <c r="AC97" s="202">
        <v>4.05870936922036</v>
      </c>
      <c r="AD97" s="202">
        <v>4.03687847305895</v>
      </c>
      <c r="AE97" s="202">
        <v>4.01504757689754</v>
      </c>
      <c r="AF97" s="202">
        <v>4.01504757689754</v>
      </c>
      <c r="AG97" s="202">
        <v>4.01504757689754</v>
      </c>
      <c r="AH97" s="202">
        <v>4.01504757689754</v>
      </c>
      <c r="AI97" s="318"/>
      <c r="AJ97" s="318"/>
      <c r="AK97" s="318"/>
      <c r="AL97" s="318"/>
      <c r="AM97" s="251"/>
      <c r="AN97" s="100"/>
      <c r="AO97" s="102"/>
    </row>
    <row r="98" ht="14.25" customHeight="1" outlineLevel="5">
      <c r="A98" s="98"/>
      <c r="B98" s="98"/>
      <c r="C98" s="98"/>
      <c r="D98" s="98"/>
      <c r="E98" s="413" t="s">
        <v>1409</v>
      </c>
      <c r="F98" s="249" t="s">
        <v>1407</v>
      </c>
      <c r="G98" s="249" t="s">
        <v>1410</v>
      </c>
      <c r="H98" s="260"/>
      <c r="I98" s="181"/>
      <c r="J98" s="181"/>
      <c r="K98" s="181"/>
      <c r="L98" s="181"/>
      <c r="M98" s="181"/>
      <c r="N98" s="181"/>
      <c r="O98" s="181"/>
      <c r="P98" s="181"/>
      <c r="Q98" s="181"/>
      <c r="R98" s="181"/>
      <c r="S98" s="181"/>
      <c r="T98" s="181"/>
      <c r="U98" s="181"/>
      <c r="V98" s="181"/>
      <c r="W98" s="202">
        <v>1.12678646003319</v>
      </c>
      <c r="X98" s="181"/>
      <c r="Y98" s="181"/>
      <c r="Z98" s="181"/>
      <c r="AA98" s="181"/>
      <c r="AB98" s="202">
        <v>1.12678646003319</v>
      </c>
      <c r="AC98" s="202">
        <v>1.09243243243243</v>
      </c>
      <c r="AD98" s="202">
        <v>0.973168168168168</v>
      </c>
      <c r="AE98" s="202">
        <v>0.823351351351351</v>
      </c>
      <c r="AF98" s="202">
        <v>0.741033033033033</v>
      </c>
      <c r="AG98" s="202">
        <v>0.654654654654655</v>
      </c>
      <c r="AH98" s="202">
        <v>0.654654654654655</v>
      </c>
      <c r="AI98" s="318"/>
      <c r="AJ98" s="318"/>
      <c r="AK98" s="318"/>
      <c r="AL98" s="318"/>
      <c r="AM98" s="251"/>
      <c r="AN98" s="100"/>
      <c r="AO98" s="102"/>
    </row>
    <row r="99" ht="14.25" customHeight="1" outlineLevel="5">
      <c r="A99" s="98"/>
      <c r="B99" s="98"/>
      <c r="C99" s="98"/>
      <c r="D99" s="98"/>
      <c r="E99" s="412" t="s">
        <v>1411</v>
      </c>
      <c r="F99" s="123" t="s">
        <v>1412</v>
      </c>
      <c r="G99" s="123" t="s">
        <v>1413</v>
      </c>
      <c r="H99" s="260"/>
      <c r="I99" s="181"/>
      <c r="J99" s="181"/>
      <c r="K99" s="181"/>
      <c r="L99" s="181"/>
      <c r="M99" s="181"/>
      <c r="N99" s="181"/>
      <c r="O99" s="181"/>
      <c r="P99" s="181"/>
      <c r="Q99" s="181"/>
      <c r="R99" s="181"/>
      <c r="S99" s="181"/>
      <c r="T99" s="181"/>
      <c r="U99" s="181"/>
      <c r="V99" s="181"/>
      <c r="W99" s="202">
        <v>0.220090220414389</v>
      </c>
      <c r="X99" s="181"/>
      <c r="Y99" s="181"/>
      <c r="Z99" s="181"/>
      <c r="AA99" s="181"/>
      <c r="AB99" s="202">
        <v>0.220090220414389</v>
      </c>
      <c r="AC99" s="202">
        <v>0.21338</v>
      </c>
      <c r="AD99" s="202">
        <v>0.190115</v>
      </c>
      <c r="AE99" s="202">
        <v>0.160896</v>
      </c>
      <c r="AF99" s="202">
        <v>0.144844</v>
      </c>
      <c r="AG99" s="202">
        <v>0.128</v>
      </c>
      <c r="AH99" s="202">
        <v>0.128</v>
      </c>
      <c r="AI99" s="318"/>
      <c r="AJ99" s="318"/>
      <c r="AK99" s="318"/>
      <c r="AL99" s="318"/>
      <c r="AM99" s="251"/>
      <c r="AN99" s="100"/>
      <c r="AO99" s="102"/>
    </row>
    <row r="100" ht="14.25" customHeight="1" outlineLevel="5">
      <c r="A100" s="390"/>
      <c r="B100" s="394"/>
      <c r="C100" s="393"/>
      <c r="D100" s="394"/>
      <c r="E100" s="368" t="s">
        <v>1414</v>
      </c>
      <c r="F100" s="123" t="s">
        <v>261</v>
      </c>
      <c r="G100" s="123" t="s">
        <v>1415</v>
      </c>
      <c r="H100" s="253"/>
      <c r="I100" s="254"/>
      <c r="J100" s="254"/>
      <c r="K100" s="254"/>
      <c r="L100" s="254"/>
      <c r="M100" s="254"/>
      <c r="N100" s="254"/>
      <c r="O100" s="254"/>
      <c r="P100" s="254"/>
      <c r="Q100" s="254"/>
      <c r="R100" s="254"/>
      <c r="S100" s="254"/>
      <c r="T100" s="254"/>
      <c r="U100" s="254"/>
      <c r="V100" s="254"/>
      <c r="W100" s="256">
        <v>0.7</v>
      </c>
      <c r="X100" s="254">
        <v>0.7</v>
      </c>
      <c r="Y100" s="254">
        <v>0.7</v>
      </c>
      <c r="Z100" s="254">
        <v>0.7</v>
      </c>
      <c r="AA100" s="254">
        <v>0.7</v>
      </c>
      <c r="AB100" s="256">
        <v>0.7</v>
      </c>
      <c r="AC100" s="256">
        <v>0.7</v>
      </c>
      <c r="AD100" s="256">
        <v>0.7</v>
      </c>
      <c r="AE100" s="256">
        <v>0.7</v>
      </c>
      <c r="AF100" s="256">
        <v>0.7</v>
      </c>
      <c r="AG100" s="256">
        <v>0.7</v>
      </c>
      <c r="AH100" s="257">
        <v>0.7</v>
      </c>
      <c r="AI100" s="318"/>
      <c r="AJ100" s="318"/>
      <c r="AK100" s="318"/>
      <c r="AL100" s="318"/>
      <c r="AM100" s="401"/>
      <c r="AN100" s="100" t="b">
        <f t="shared" ref="AN100:AN102" si="5">_xlfn.ISFORMULA(H100)</f>
        <v>0</v>
      </c>
      <c r="AO100" s="402"/>
    </row>
    <row r="101" ht="14.25" customHeight="1" outlineLevel="4">
      <c r="A101" s="390"/>
      <c r="B101" s="394"/>
      <c r="C101" s="394"/>
      <c r="D101" s="395" t="s">
        <v>1416</v>
      </c>
      <c r="E101" s="162"/>
      <c r="F101" s="162"/>
      <c r="G101" s="162"/>
      <c r="H101" s="178"/>
      <c r="I101" s="178"/>
      <c r="J101" s="178"/>
      <c r="K101" s="178"/>
      <c r="L101" s="178"/>
      <c r="M101" s="178"/>
      <c r="N101" s="178"/>
      <c r="O101" s="178"/>
      <c r="P101" s="178"/>
      <c r="Q101" s="178"/>
      <c r="R101" s="178"/>
      <c r="S101" s="178"/>
      <c r="T101" s="178"/>
      <c r="U101" s="178"/>
      <c r="V101" s="178"/>
      <c r="W101" s="178"/>
      <c r="X101" s="178"/>
      <c r="Y101" s="178"/>
      <c r="Z101" s="178"/>
      <c r="AA101" s="178"/>
      <c r="AB101" s="178"/>
      <c r="AC101" s="178"/>
      <c r="AD101" s="178"/>
      <c r="AE101" s="178"/>
      <c r="AF101" s="178"/>
      <c r="AG101" s="178"/>
      <c r="AH101" s="178"/>
      <c r="AI101" s="100"/>
      <c r="AJ101" s="100"/>
      <c r="AK101" s="100"/>
      <c r="AL101" s="100"/>
      <c r="AM101" s="100"/>
      <c r="AN101" s="100" t="b">
        <f t="shared" si="5"/>
        <v>0</v>
      </c>
      <c r="AO101" s="402"/>
    </row>
    <row r="102" ht="14.25" customHeight="1" outlineLevel="5">
      <c r="A102" s="390"/>
      <c r="B102" s="394"/>
      <c r="C102" s="393"/>
      <c r="D102" s="394"/>
      <c r="E102" s="413" t="s">
        <v>1417</v>
      </c>
      <c r="F102" s="249" t="s">
        <v>1398</v>
      </c>
      <c r="G102" s="249" t="s">
        <v>1418</v>
      </c>
      <c r="H102" s="260"/>
      <c r="I102" s="181"/>
      <c r="J102" s="181"/>
      <c r="K102" s="181"/>
      <c r="L102" s="181"/>
      <c r="M102" s="181"/>
      <c r="N102" s="181"/>
      <c r="O102" s="181"/>
      <c r="P102" s="181"/>
      <c r="Q102" s="181"/>
      <c r="R102" s="181"/>
      <c r="S102" s="181"/>
      <c r="T102" s="181"/>
      <c r="U102" s="181"/>
      <c r="V102" s="181"/>
      <c r="W102" s="202">
        <v>3.43370755389454</v>
      </c>
      <c r="X102" s="181"/>
      <c r="Y102" s="181"/>
      <c r="Z102" s="181"/>
      <c r="AA102" s="181"/>
      <c r="AB102" s="202">
        <v>3.29635925173876</v>
      </c>
      <c r="AC102" s="202">
        <v>2.98045815678046</v>
      </c>
      <c r="AD102" s="202">
        <v>2.66455706182216</v>
      </c>
      <c r="AE102" s="202">
        <v>2.34865596686386</v>
      </c>
      <c r="AF102" s="202">
        <v>2.03275487190557</v>
      </c>
      <c r="AG102" s="202">
        <v>1.71685377694727</v>
      </c>
      <c r="AH102" s="202">
        <v>1.71685377694727</v>
      </c>
      <c r="AI102" s="318"/>
      <c r="AJ102" s="318"/>
      <c r="AK102" s="318"/>
      <c r="AL102" s="318"/>
      <c r="AM102" s="251"/>
      <c r="AN102" s="100" t="b">
        <f t="shared" si="5"/>
        <v>0</v>
      </c>
      <c r="AO102" s="102"/>
    </row>
    <row r="103" ht="14.25" customHeight="1" outlineLevel="5">
      <c r="A103" s="98"/>
      <c r="B103" s="98"/>
      <c r="C103" s="98"/>
      <c r="D103" s="98"/>
      <c r="E103" s="412" t="s">
        <v>1419</v>
      </c>
      <c r="F103" s="249" t="s">
        <v>1407</v>
      </c>
      <c r="G103" s="123" t="s">
        <v>1420</v>
      </c>
      <c r="H103" s="260"/>
      <c r="I103" s="181"/>
      <c r="J103" s="181"/>
      <c r="K103" s="181"/>
      <c r="L103" s="181"/>
      <c r="M103" s="181"/>
      <c r="N103" s="181"/>
      <c r="O103" s="181"/>
      <c r="P103" s="181"/>
      <c r="Q103" s="181"/>
      <c r="R103" s="181"/>
      <c r="S103" s="181"/>
      <c r="T103" s="181"/>
      <c r="U103" s="181"/>
      <c r="V103" s="181"/>
      <c r="W103" s="202">
        <v>3.09493250719186</v>
      </c>
      <c r="X103" s="181"/>
      <c r="Y103" s="181"/>
      <c r="Z103" s="181"/>
      <c r="AA103" s="181"/>
      <c r="AB103" s="202">
        <v>2.97113520690418</v>
      </c>
      <c r="AC103" s="202">
        <v>2.68640141624253</v>
      </c>
      <c r="AD103" s="202">
        <v>2.40166762558088</v>
      </c>
      <c r="AE103" s="202">
        <v>2.11693383491923</v>
      </c>
      <c r="AF103" s="202">
        <v>1.83220004425758</v>
      </c>
      <c r="AG103" s="202">
        <v>1.54746625359593</v>
      </c>
      <c r="AH103" s="202">
        <v>1.54746625359593</v>
      </c>
      <c r="AI103" s="318"/>
      <c r="AJ103" s="318"/>
      <c r="AK103" s="318"/>
      <c r="AL103" s="318"/>
      <c r="AM103" s="251"/>
      <c r="AN103" s="100"/>
      <c r="AO103" s="102"/>
    </row>
    <row r="104" ht="14.25" customHeight="1" outlineLevel="5">
      <c r="A104" s="98"/>
      <c r="B104" s="98"/>
      <c r="C104" s="98"/>
      <c r="D104" s="98"/>
      <c r="E104" s="412" t="s">
        <v>1421</v>
      </c>
      <c r="F104" s="123" t="s">
        <v>1412</v>
      </c>
      <c r="G104" s="123" t="s">
        <v>1422</v>
      </c>
      <c r="H104" s="260"/>
      <c r="I104" s="181"/>
      <c r="J104" s="181"/>
      <c r="K104" s="181"/>
      <c r="L104" s="181"/>
      <c r="M104" s="181"/>
      <c r="N104" s="181"/>
      <c r="O104" s="181"/>
      <c r="P104" s="181"/>
      <c r="Q104" s="181"/>
      <c r="R104" s="181"/>
      <c r="S104" s="181"/>
      <c r="T104" s="181"/>
      <c r="U104" s="181"/>
      <c r="V104" s="181"/>
      <c r="W104" s="202">
        <v>0.081</v>
      </c>
      <c r="X104" s="181"/>
      <c r="Y104" s="181"/>
      <c r="Z104" s="181"/>
      <c r="AA104" s="181"/>
      <c r="AB104" s="202">
        <v>0.07776</v>
      </c>
      <c r="AC104" s="202">
        <v>0.070308</v>
      </c>
      <c r="AD104" s="202">
        <v>0.062856</v>
      </c>
      <c r="AE104" s="202">
        <v>0.055404</v>
      </c>
      <c r="AF104" s="202">
        <v>0.047952</v>
      </c>
      <c r="AG104" s="202">
        <v>0.0405</v>
      </c>
      <c r="AH104" s="202">
        <v>0.0405</v>
      </c>
      <c r="AI104" s="318"/>
      <c r="AJ104" s="318"/>
      <c r="AK104" s="318"/>
      <c r="AL104" s="318"/>
      <c r="AM104" s="251"/>
      <c r="AN104" s="100"/>
      <c r="AO104" s="102"/>
    </row>
    <row r="105" ht="14.25" customHeight="1" outlineLevel="4">
      <c r="A105" s="390"/>
      <c r="B105" s="394"/>
      <c r="C105" s="394"/>
      <c r="D105" s="395" t="s">
        <v>1423</v>
      </c>
      <c r="E105" s="162"/>
      <c r="F105" s="162"/>
      <c r="G105" s="162"/>
      <c r="H105" s="178"/>
      <c r="I105" s="178"/>
      <c r="J105" s="178"/>
      <c r="K105" s="178"/>
      <c r="L105" s="178"/>
      <c r="M105" s="178"/>
      <c r="N105" s="178"/>
      <c r="O105" s="178"/>
      <c r="P105" s="178"/>
      <c r="Q105" s="178"/>
      <c r="R105" s="178"/>
      <c r="S105" s="178"/>
      <c r="T105" s="178"/>
      <c r="U105" s="178"/>
      <c r="V105" s="178"/>
      <c r="W105" s="178"/>
      <c r="X105" s="178"/>
      <c r="Y105" s="178"/>
      <c r="Z105" s="178"/>
      <c r="AA105" s="178"/>
      <c r="AB105" s="178"/>
      <c r="AC105" s="178"/>
      <c r="AD105" s="178"/>
      <c r="AE105" s="178"/>
      <c r="AF105" s="178"/>
      <c r="AG105" s="178"/>
      <c r="AH105" s="178"/>
      <c r="AI105" s="100"/>
      <c r="AJ105" s="100"/>
      <c r="AK105" s="100"/>
      <c r="AL105" s="100"/>
      <c r="AM105" s="100"/>
      <c r="AN105" s="100" t="b">
        <f t="shared" ref="AN105:AN106" si="6">_xlfn.ISFORMULA(H105)</f>
        <v>0</v>
      </c>
      <c r="AO105" s="402"/>
    </row>
    <row r="106" ht="14.25" customHeight="1" outlineLevel="5">
      <c r="A106" s="390"/>
      <c r="B106" s="394"/>
      <c r="C106" s="393"/>
      <c r="D106" s="394"/>
      <c r="E106" s="412" t="s">
        <v>1424</v>
      </c>
      <c r="F106" s="123" t="s">
        <v>1398</v>
      </c>
      <c r="G106" s="123" t="s">
        <v>1425</v>
      </c>
      <c r="H106" s="260"/>
      <c r="I106" s="181"/>
      <c r="J106" s="181"/>
      <c r="K106" s="181"/>
      <c r="L106" s="181"/>
      <c r="M106" s="181"/>
      <c r="N106" s="181"/>
      <c r="O106" s="181"/>
      <c r="P106" s="181"/>
      <c r="Q106" s="181"/>
      <c r="R106" s="181"/>
      <c r="S106" s="181"/>
      <c r="T106" s="181"/>
      <c r="U106" s="181"/>
      <c r="V106" s="181"/>
      <c r="W106" s="202">
        <v>34.8320243755428</v>
      </c>
      <c r="X106" s="181"/>
      <c r="Y106" s="181"/>
      <c r="Z106" s="181"/>
      <c r="AA106" s="181"/>
      <c r="AB106" s="202">
        <v>33.7870636442765</v>
      </c>
      <c r="AC106" s="202">
        <v>32.3937826692548</v>
      </c>
      <c r="AD106" s="202">
        <v>31.0005016942331</v>
      </c>
      <c r="AE106" s="202">
        <v>29.6072207192114</v>
      </c>
      <c r="AF106" s="202">
        <v>29.6072207192114</v>
      </c>
      <c r="AG106" s="202">
        <v>29.6072207192114</v>
      </c>
      <c r="AH106" s="202">
        <v>29.6072207192114</v>
      </c>
      <c r="AI106" s="318"/>
      <c r="AJ106" s="318"/>
      <c r="AK106" s="318"/>
      <c r="AL106" s="318"/>
      <c r="AM106" s="251"/>
      <c r="AN106" s="100" t="b">
        <f t="shared" si="6"/>
        <v>0</v>
      </c>
      <c r="AO106" s="102"/>
    </row>
    <row r="107" ht="14.25" customHeight="1" outlineLevel="5">
      <c r="A107" s="98"/>
      <c r="B107" s="98"/>
      <c r="C107" s="98"/>
      <c r="D107" s="98"/>
      <c r="E107" s="412" t="s">
        <v>1426</v>
      </c>
      <c r="F107" s="249" t="s">
        <v>1398</v>
      </c>
      <c r="G107" s="123" t="s">
        <v>1427</v>
      </c>
      <c r="H107" s="260"/>
      <c r="I107" s="181"/>
      <c r="J107" s="181"/>
      <c r="K107" s="181"/>
      <c r="L107" s="181"/>
      <c r="M107" s="181"/>
      <c r="N107" s="181"/>
      <c r="O107" s="181"/>
      <c r="P107" s="181"/>
      <c r="Q107" s="181"/>
      <c r="R107" s="181"/>
      <c r="S107" s="181"/>
      <c r="T107" s="181"/>
      <c r="U107" s="181"/>
      <c r="V107" s="181"/>
      <c r="W107" s="202">
        <v>50.4607351263697</v>
      </c>
      <c r="X107" s="181"/>
      <c r="Y107" s="181"/>
      <c r="Z107" s="181"/>
      <c r="AA107" s="181"/>
      <c r="AB107" s="202">
        <v>48.9469130725786</v>
      </c>
      <c r="AC107" s="202">
        <v>46.9284836675238</v>
      </c>
      <c r="AD107" s="202">
        <v>44.910054262469</v>
      </c>
      <c r="AE107" s="202">
        <v>42.8916248574142</v>
      </c>
      <c r="AF107" s="202">
        <v>42.8916248574142</v>
      </c>
      <c r="AG107" s="202">
        <v>42.8916248574142</v>
      </c>
      <c r="AH107" s="202">
        <v>42.8916248574142</v>
      </c>
      <c r="AI107" s="318"/>
      <c r="AJ107" s="318"/>
      <c r="AK107" s="318"/>
      <c r="AL107" s="318"/>
      <c r="AM107" s="251"/>
      <c r="AN107" s="100"/>
      <c r="AO107" s="102"/>
    </row>
    <row r="108" ht="14.25" customHeight="1" outlineLevel="5">
      <c r="A108" s="98"/>
      <c r="B108" s="98"/>
      <c r="C108" s="98"/>
      <c r="D108" s="98"/>
      <c r="E108" s="412" t="s">
        <v>1428</v>
      </c>
      <c r="F108" s="249" t="s">
        <v>1407</v>
      </c>
      <c r="G108" s="123" t="s">
        <v>1429</v>
      </c>
      <c r="H108" s="260"/>
      <c r="I108" s="181"/>
      <c r="J108" s="181"/>
      <c r="K108" s="181"/>
      <c r="L108" s="181"/>
      <c r="M108" s="181"/>
      <c r="N108" s="181"/>
      <c r="O108" s="181"/>
      <c r="P108" s="181"/>
      <c r="Q108" s="181"/>
      <c r="R108" s="181"/>
      <c r="S108" s="181"/>
      <c r="T108" s="181"/>
      <c r="U108" s="181"/>
      <c r="V108" s="181"/>
      <c r="W108" s="202">
        <v>27.9568931179465</v>
      </c>
      <c r="X108" s="181"/>
      <c r="Y108" s="181"/>
      <c r="Z108" s="181"/>
      <c r="AA108" s="181"/>
      <c r="AB108" s="202">
        <v>27.1181863244081</v>
      </c>
      <c r="AC108" s="202">
        <v>26.7267898207568</v>
      </c>
      <c r="AD108" s="202">
        <v>26.3353933171056</v>
      </c>
      <c r="AE108" s="202">
        <v>25.9439968134543</v>
      </c>
      <c r="AF108" s="202">
        <v>25.5526003098031</v>
      </c>
      <c r="AG108" s="202">
        <v>25.1612038061518</v>
      </c>
      <c r="AH108" s="202">
        <v>25.1612038061518</v>
      </c>
      <c r="AI108" s="318"/>
      <c r="AJ108" s="318"/>
      <c r="AK108" s="318"/>
      <c r="AL108" s="318"/>
      <c r="AM108" s="251"/>
      <c r="AN108" s="100"/>
      <c r="AO108" s="102"/>
    </row>
    <row r="109" ht="14.25" customHeight="1" outlineLevel="5">
      <c r="A109" s="98"/>
      <c r="B109" s="98"/>
      <c r="C109" s="98"/>
      <c r="D109" s="98"/>
      <c r="E109" s="412" t="s">
        <v>1430</v>
      </c>
      <c r="F109" s="249" t="s">
        <v>1407</v>
      </c>
      <c r="G109" s="123" t="s">
        <v>1431</v>
      </c>
      <c r="H109" s="260"/>
      <c r="I109" s="181"/>
      <c r="J109" s="181"/>
      <c r="K109" s="181"/>
      <c r="L109" s="181"/>
      <c r="M109" s="181"/>
      <c r="N109" s="181"/>
      <c r="O109" s="181"/>
      <c r="P109" s="181"/>
      <c r="Q109" s="181"/>
      <c r="R109" s="181"/>
      <c r="S109" s="181"/>
      <c r="T109" s="181"/>
      <c r="U109" s="181"/>
      <c r="V109" s="181"/>
      <c r="W109" s="202">
        <v>9.00900900900901</v>
      </c>
      <c r="X109" s="181"/>
      <c r="Y109" s="181"/>
      <c r="Z109" s="181"/>
      <c r="AA109" s="181"/>
      <c r="AB109" s="202">
        <v>8.73873873873874</v>
      </c>
      <c r="AC109" s="202">
        <v>8.61261261261262</v>
      </c>
      <c r="AD109" s="202">
        <v>8.48648648648649</v>
      </c>
      <c r="AE109" s="202">
        <v>8.36036036036036</v>
      </c>
      <c r="AF109" s="202">
        <v>8.23423423423424</v>
      </c>
      <c r="AG109" s="202">
        <v>8.10810810810811</v>
      </c>
      <c r="AH109" s="202">
        <v>8.10810810810811</v>
      </c>
      <c r="AI109" s="318"/>
      <c r="AJ109" s="318"/>
      <c r="AK109" s="318"/>
      <c r="AL109" s="318"/>
      <c r="AM109" s="251"/>
      <c r="AN109" s="100"/>
      <c r="AO109" s="102"/>
    </row>
    <row r="110" ht="14.25" customHeight="1" outlineLevel="5">
      <c r="A110" s="98"/>
      <c r="B110" s="98"/>
      <c r="C110" s="98"/>
      <c r="D110" s="98"/>
      <c r="E110" s="412" t="s">
        <v>1432</v>
      </c>
      <c r="F110" s="123" t="s">
        <v>1412</v>
      </c>
      <c r="G110" s="123" t="s">
        <v>1433</v>
      </c>
      <c r="H110" s="260"/>
      <c r="I110" s="181"/>
      <c r="J110" s="181"/>
      <c r="K110" s="181"/>
      <c r="L110" s="181"/>
      <c r="M110" s="181"/>
      <c r="N110" s="181"/>
      <c r="O110" s="181"/>
      <c r="P110" s="181"/>
      <c r="Q110" s="181"/>
      <c r="R110" s="181"/>
      <c r="S110" s="181"/>
      <c r="T110" s="181"/>
      <c r="U110" s="181"/>
      <c r="V110" s="181"/>
      <c r="W110" s="202">
        <v>2.35</v>
      </c>
      <c r="X110" s="181"/>
      <c r="Y110" s="181"/>
      <c r="Z110" s="181"/>
      <c r="AA110" s="181"/>
      <c r="AB110" s="202">
        <v>2.2795</v>
      </c>
      <c r="AC110" s="202">
        <v>2.2466</v>
      </c>
      <c r="AD110" s="202">
        <v>2.2137</v>
      </c>
      <c r="AE110" s="202">
        <v>2.1808</v>
      </c>
      <c r="AF110" s="202">
        <v>2.1479</v>
      </c>
      <c r="AG110" s="202">
        <v>2.115</v>
      </c>
      <c r="AH110" s="202">
        <v>2.115</v>
      </c>
      <c r="AI110" s="318"/>
      <c r="AJ110" s="318"/>
      <c r="AK110" s="318"/>
      <c r="AL110" s="318"/>
      <c r="AM110" s="251"/>
      <c r="AN110" s="100"/>
      <c r="AO110" s="102"/>
    </row>
    <row r="111" ht="13.5" customHeight="1" outlineLevel="3">
      <c r="A111" s="247"/>
      <c r="B111" s="302"/>
      <c r="C111" s="244" t="s">
        <v>1434</v>
      </c>
      <c r="D111" s="201"/>
      <c r="E111" s="162"/>
      <c r="F111" s="162"/>
      <c r="G111" s="162"/>
      <c r="H111" s="178"/>
      <c r="I111" s="178"/>
      <c r="J111" s="178"/>
      <c r="K111" s="178"/>
      <c r="L111" s="178"/>
      <c r="M111" s="178"/>
      <c r="N111" s="178"/>
      <c r="O111" s="178"/>
      <c r="P111" s="178"/>
      <c r="Q111" s="178"/>
      <c r="R111" s="178"/>
      <c r="S111" s="178"/>
      <c r="T111" s="178"/>
      <c r="U111" s="178"/>
      <c r="V111" s="178"/>
      <c r="W111" s="178"/>
      <c r="X111" s="178"/>
      <c r="Y111" s="178"/>
      <c r="Z111" s="178"/>
      <c r="AA111" s="178"/>
      <c r="AB111" s="178"/>
      <c r="AC111" s="178"/>
      <c r="AD111" s="178"/>
      <c r="AE111" s="178"/>
      <c r="AF111" s="178"/>
      <c r="AG111" s="178"/>
      <c r="AH111" s="178"/>
      <c r="AI111" s="336"/>
      <c r="AJ111" s="244"/>
      <c r="AK111" s="244"/>
      <c r="AL111" s="244"/>
      <c r="AM111" s="162"/>
      <c r="AN111" s="100" t="b">
        <f t="shared" ref="AN111:AN225" si="8">_xlfn.ISFORMULA(H111)</f>
        <v>0</v>
      </c>
      <c r="AO111" s="102"/>
    </row>
    <row r="112" ht="14.25" customHeight="1" outlineLevel="4">
      <c r="A112" s="98"/>
      <c r="B112" s="98"/>
      <c r="C112" s="98"/>
      <c r="D112" s="98"/>
      <c r="E112" s="299" t="s">
        <v>1435</v>
      </c>
      <c r="F112" s="123" t="s">
        <v>135</v>
      </c>
      <c r="G112" s="123" t="s">
        <v>1436</v>
      </c>
      <c r="H112" s="274">
        <f t="shared" ref="H112:AH112" si="7">SUM(H113:H116)</f>
        <v>0</v>
      </c>
      <c r="I112" s="274">
        <f t="shared" si="7"/>
        <v>0</v>
      </c>
      <c r="J112" s="274">
        <f t="shared" si="7"/>
        <v>0</v>
      </c>
      <c r="K112" s="274">
        <f t="shared" si="7"/>
        <v>0</v>
      </c>
      <c r="L112" s="274">
        <f t="shared" si="7"/>
        <v>0</v>
      </c>
      <c r="M112" s="274">
        <f t="shared" si="7"/>
        <v>0</v>
      </c>
      <c r="N112" s="274">
        <f t="shared" si="7"/>
        <v>0</v>
      </c>
      <c r="O112" s="274">
        <f t="shared" si="7"/>
        <v>0</v>
      </c>
      <c r="P112" s="274">
        <f t="shared" si="7"/>
        <v>0</v>
      </c>
      <c r="Q112" s="274">
        <f t="shared" si="7"/>
        <v>0</v>
      </c>
      <c r="R112" s="274">
        <f t="shared" si="7"/>
        <v>0</v>
      </c>
      <c r="S112" s="274">
        <f t="shared" si="7"/>
        <v>0</v>
      </c>
      <c r="T112" s="274">
        <f t="shared" si="7"/>
        <v>0</v>
      </c>
      <c r="U112" s="274">
        <f t="shared" si="7"/>
        <v>0</v>
      </c>
      <c r="V112" s="274">
        <f t="shared" si="7"/>
        <v>0</v>
      </c>
      <c r="W112" s="274">
        <f t="shared" si="7"/>
        <v>61.02187997</v>
      </c>
      <c r="X112" s="274">
        <f t="shared" si="7"/>
        <v>0</v>
      </c>
      <c r="Y112" s="274">
        <f t="shared" si="7"/>
        <v>0</v>
      </c>
      <c r="Z112" s="274">
        <f t="shared" si="7"/>
        <v>0</v>
      </c>
      <c r="AA112" s="274">
        <f t="shared" si="7"/>
        <v>0</v>
      </c>
      <c r="AB112" s="274">
        <f t="shared" si="7"/>
        <v>59.09485615</v>
      </c>
      <c r="AC112" s="274">
        <f t="shared" si="7"/>
        <v>44.81015055</v>
      </c>
      <c r="AD112" s="274">
        <f t="shared" si="7"/>
        <v>25.37543275</v>
      </c>
      <c r="AE112" s="274">
        <f t="shared" si="7"/>
        <v>15.35397518</v>
      </c>
      <c r="AF112" s="274">
        <f t="shared" si="7"/>
        <v>10.61097388</v>
      </c>
      <c r="AG112" s="274">
        <f t="shared" si="7"/>
        <v>7.911923578</v>
      </c>
      <c r="AH112" s="274">
        <f t="shared" si="7"/>
        <v>6.446289519</v>
      </c>
      <c r="AI112" s="125"/>
      <c r="AJ112" s="125"/>
      <c r="AK112" s="125"/>
      <c r="AL112" s="125"/>
      <c r="AM112" s="251"/>
      <c r="AN112" s="100" t="b">
        <f t="shared" si="8"/>
        <v>1</v>
      </c>
      <c r="AO112" s="102"/>
    </row>
    <row r="113" ht="14.25" customHeight="1" outlineLevel="4">
      <c r="A113" s="98"/>
      <c r="B113" s="98"/>
      <c r="C113" s="98"/>
      <c r="D113" s="98"/>
      <c r="E113" s="273" t="s">
        <v>1437</v>
      </c>
      <c r="F113" s="123" t="s">
        <v>135</v>
      </c>
      <c r="G113" s="123" t="s">
        <v>1438</v>
      </c>
      <c r="H113" s="274">
        <f t="array" ref="H113:AH113">calcflqfvpc+calcfgplvpc+calcfhybgzlvpc+calcfhybessvpc+calcflqfmot+calcflqfbus+calcfgplbus</f>
        <v>0</v>
      </c>
      <c r="I113" s="274">
        <v>0.0</v>
      </c>
      <c r="J113" s="274">
        <v>0.0</v>
      </c>
      <c r="K113" s="274">
        <v>0.0</v>
      </c>
      <c r="L113" s="274">
        <v>0.0</v>
      </c>
      <c r="M113" s="274">
        <v>0.0</v>
      </c>
      <c r="N113" s="274">
        <v>0.0</v>
      </c>
      <c r="O113" s="274">
        <v>0.0</v>
      </c>
      <c r="P113" s="274">
        <v>0.0</v>
      </c>
      <c r="Q113" s="274">
        <v>0.0</v>
      </c>
      <c r="R113" s="274">
        <v>0.0</v>
      </c>
      <c r="S113" s="274">
        <v>0.0</v>
      </c>
      <c r="T113" s="274">
        <v>0.0</v>
      </c>
      <c r="U113" s="274">
        <v>0.0</v>
      </c>
      <c r="V113" s="274">
        <v>0.0</v>
      </c>
      <c r="W113" s="274">
        <v>60.98371209566246</v>
      </c>
      <c r="X113" s="274">
        <v>0.0</v>
      </c>
      <c r="Y113" s="274">
        <v>0.0</v>
      </c>
      <c r="Z113" s="274">
        <v>0.0</v>
      </c>
      <c r="AA113" s="274">
        <v>0.0</v>
      </c>
      <c r="AB113" s="274">
        <v>58.70059522229613</v>
      </c>
      <c r="AC113" s="274">
        <v>42.32552260079914</v>
      </c>
      <c r="AD113" s="274">
        <v>21.369001137395763</v>
      </c>
      <c r="AE113" s="274">
        <v>10.223757615809134</v>
      </c>
      <c r="AF113" s="274">
        <v>4.967499126402861</v>
      </c>
      <c r="AG113" s="274">
        <v>2.35007665899425</v>
      </c>
      <c r="AH113" s="274">
        <v>0.5192684375432588</v>
      </c>
      <c r="AI113" s="125"/>
      <c r="AJ113" s="125"/>
      <c r="AK113" s="125"/>
      <c r="AL113" s="125"/>
      <c r="AM113" s="251"/>
      <c r="AN113" s="100" t="b">
        <f t="shared" si="8"/>
        <v>1</v>
      </c>
      <c r="AO113" s="102"/>
    </row>
    <row r="114" ht="14.25" customHeight="1" outlineLevel="4">
      <c r="A114" s="98"/>
      <c r="B114" s="98"/>
      <c r="C114" s="98"/>
      <c r="D114" s="98"/>
      <c r="E114" s="273" t="s">
        <v>1439</v>
      </c>
      <c r="F114" s="123" t="s">
        <v>135</v>
      </c>
      <c r="G114" s="123" t="s">
        <v>1440</v>
      </c>
      <c r="H114" s="274">
        <f t="array" ref="H114:AH114">calcfngvvpc+calcfhybgazvpc+calcfngvmot+calcfngvbus</f>
        <v>0</v>
      </c>
      <c r="I114" s="274">
        <v>0.0</v>
      </c>
      <c r="J114" s="274">
        <v>0.0</v>
      </c>
      <c r="K114" s="274">
        <v>0.0</v>
      </c>
      <c r="L114" s="274">
        <v>0.0</v>
      </c>
      <c r="M114" s="274">
        <v>0.0</v>
      </c>
      <c r="N114" s="274">
        <v>0.0</v>
      </c>
      <c r="O114" s="274">
        <v>0.0</v>
      </c>
      <c r="P114" s="274">
        <v>0.0</v>
      </c>
      <c r="Q114" s="274">
        <v>0.0</v>
      </c>
      <c r="R114" s="274">
        <v>0.0</v>
      </c>
      <c r="S114" s="274">
        <v>0.0</v>
      </c>
      <c r="T114" s="274">
        <v>0.0</v>
      </c>
      <c r="U114" s="274">
        <v>0.0</v>
      </c>
      <c r="V114" s="274">
        <v>0.0</v>
      </c>
      <c r="W114" s="274">
        <v>0.01954182425232262</v>
      </c>
      <c r="X114" s="274">
        <v>0.0</v>
      </c>
      <c r="Y114" s="274">
        <v>0.0</v>
      </c>
      <c r="Z114" s="274">
        <v>0.0</v>
      </c>
      <c r="AA114" s="274">
        <v>0.0</v>
      </c>
      <c r="AB114" s="274">
        <v>0.12875765318816396</v>
      </c>
      <c r="AC114" s="274">
        <v>0.11156385714592973</v>
      </c>
      <c r="AD114" s="274">
        <v>0.045159677882281715</v>
      </c>
      <c r="AE114" s="274">
        <v>0.021223788987059976</v>
      </c>
      <c r="AF114" s="274">
        <v>0.0</v>
      </c>
      <c r="AG114" s="274">
        <v>0.0</v>
      </c>
      <c r="AH114" s="274">
        <v>0.0</v>
      </c>
      <c r="AI114" s="125"/>
      <c r="AJ114" s="318"/>
      <c r="AK114" s="318"/>
      <c r="AL114" s="318"/>
      <c r="AM114" s="251"/>
      <c r="AN114" s="100" t="b">
        <f t="shared" si="8"/>
        <v>1</v>
      </c>
      <c r="AO114" s="102"/>
    </row>
    <row r="115" ht="14.25" customHeight="1" outlineLevel="4">
      <c r="A115" s="98"/>
      <c r="B115" s="98"/>
      <c r="C115" s="98"/>
      <c r="D115" s="98"/>
      <c r="E115" s="273" t="s">
        <v>1441</v>
      </c>
      <c r="F115" s="123" t="s">
        <v>135</v>
      </c>
      <c r="G115" s="123" t="s">
        <v>1442</v>
      </c>
      <c r="H115" s="274">
        <f t="array" ref="H115:AH115">calcfhydvpc+calcfhydbus</f>
        <v>0</v>
      </c>
      <c r="I115" s="274">
        <v>0.0</v>
      </c>
      <c r="J115" s="274">
        <v>0.0</v>
      </c>
      <c r="K115" s="274">
        <v>0.0</v>
      </c>
      <c r="L115" s="274">
        <v>0.0</v>
      </c>
      <c r="M115" s="274">
        <v>0.0</v>
      </c>
      <c r="N115" s="274">
        <v>0.0</v>
      </c>
      <c r="O115" s="274">
        <v>0.0</v>
      </c>
      <c r="P115" s="274">
        <v>0.0</v>
      </c>
      <c r="Q115" s="274">
        <v>0.0</v>
      </c>
      <c r="R115" s="274">
        <v>0.0</v>
      </c>
      <c r="S115" s="274">
        <v>0.0</v>
      </c>
      <c r="T115" s="274">
        <v>0.0</v>
      </c>
      <c r="U115" s="274">
        <v>0.0</v>
      </c>
      <c r="V115" s="274">
        <v>0.0</v>
      </c>
      <c r="W115" s="274">
        <v>0.0</v>
      </c>
      <c r="X115" s="274">
        <v>0.0</v>
      </c>
      <c r="Y115" s="274">
        <v>0.0</v>
      </c>
      <c r="Z115" s="274">
        <v>0.0</v>
      </c>
      <c r="AA115" s="274">
        <v>0.0</v>
      </c>
      <c r="AB115" s="274">
        <v>0.0</v>
      </c>
      <c r="AC115" s="274">
        <v>0.0</v>
      </c>
      <c r="AD115" s="274">
        <v>0.0</v>
      </c>
      <c r="AE115" s="274">
        <v>0.0</v>
      </c>
      <c r="AF115" s="274">
        <v>0.0</v>
      </c>
      <c r="AG115" s="274">
        <v>0.0</v>
      </c>
      <c r="AH115" s="274">
        <v>0.0</v>
      </c>
      <c r="AI115" s="125"/>
      <c r="AJ115" s="318"/>
      <c r="AK115" s="318"/>
      <c r="AL115" s="318"/>
      <c r="AM115" s="251"/>
      <c r="AN115" s="100" t="b">
        <f t="shared" si="8"/>
        <v>1</v>
      </c>
      <c r="AO115" s="102"/>
    </row>
    <row r="116" ht="14.25" customHeight="1" outlineLevel="4">
      <c r="A116" s="98"/>
      <c r="B116" s="98"/>
      <c r="C116" s="98"/>
      <c r="D116" s="98"/>
      <c r="E116" s="273" t="s">
        <v>1443</v>
      </c>
      <c r="F116" s="123" t="s">
        <v>135</v>
      </c>
      <c r="G116" s="123" t="s">
        <v>1444</v>
      </c>
      <c r="H116" s="274">
        <f t="array" ref="H116:AH116">calcfelevpc+calcfelehybvpc+calcfelemot+calcfelebus</f>
        <v>0</v>
      </c>
      <c r="I116" s="274">
        <v>0.0</v>
      </c>
      <c r="J116" s="274">
        <v>0.0</v>
      </c>
      <c r="K116" s="274">
        <v>0.0</v>
      </c>
      <c r="L116" s="274">
        <v>0.0</v>
      </c>
      <c r="M116" s="274">
        <v>0.0</v>
      </c>
      <c r="N116" s="274">
        <v>0.0</v>
      </c>
      <c r="O116" s="274">
        <v>0.0</v>
      </c>
      <c r="P116" s="274">
        <v>0.0</v>
      </c>
      <c r="Q116" s="274">
        <v>0.0</v>
      </c>
      <c r="R116" s="274">
        <v>0.0</v>
      </c>
      <c r="S116" s="274">
        <v>0.0</v>
      </c>
      <c r="T116" s="274">
        <v>0.0</v>
      </c>
      <c r="U116" s="274">
        <v>0.0</v>
      </c>
      <c r="V116" s="274">
        <v>0.0</v>
      </c>
      <c r="W116" s="274">
        <v>0.018626054315707637</v>
      </c>
      <c r="X116" s="274">
        <v>0.0</v>
      </c>
      <c r="Y116" s="274">
        <v>0.0</v>
      </c>
      <c r="Z116" s="274">
        <v>0.0</v>
      </c>
      <c r="AA116" s="274">
        <v>0.0</v>
      </c>
      <c r="AB116" s="274">
        <v>0.26550327443283955</v>
      </c>
      <c r="AC116" s="274">
        <v>2.3730640936354326</v>
      </c>
      <c r="AD116" s="274">
        <v>3.961271935725284</v>
      </c>
      <c r="AE116" s="274">
        <v>5.1089937706196125</v>
      </c>
      <c r="AF116" s="274">
        <v>5.643474749354665</v>
      </c>
      <c r="AG116" s="274">
        <v>5.56184691933477</v>
      </c>
      <c r="AH116" s="274">
        <v>5.927021081187515</v>
      </c>
      <c r="AI116" s="125"/>
      <c r="AJ116" s="318"/>
      <c r="AK116" s="318"/>
      <c r="AL116" s="318"/>
      <c r="AM116" s="251"/>
      <c r="AN116" s="100" t="b">
        <f t="shared" si="8"/>
        <v>1</v>
      </c>
      <c r="AO116" s="102"/>
    </row>
    <row r="117" ht="14.25" customHeight="1" outlineLevel="2">
      <c r="A117" s="390"/>
      <c r="B117" s="393" t="s">
        <v>1445</v>
      </c>
      <c r="C117" s="394"/>
      <c r="D117" s="394"/>
      <c r="E117" s="162"/>
      <c r="F117" s="162"/>
      <c r="G117" s="162"/>
      <c r="H117" s="178"/>
      <c r="I117" s="178"/>
      <c r="J117" s="178"/>
      <c r="K117" s="178"/>
      <c r="L117" s="178"/>
      <c r="M117" s="178"/>
      <c r="N117" s="178"/>
      <c r="O117" s="178"/>
      <c r="P117" s="178"/>
      <c r="Q117" s="178"/>
      <c r="R117" s="178"/>
      <c r="S117" s="178"/>
      <c r="T117" s="178"/>
      <c r="U117" s="178"/>
      <c r="V117" s="178"/>
      <c r="W117" s="178"/>
      <c r="X117" s="178"/>
      <c r="Y117" s="178"/>
      <c r="Z117" s="178"/>
      <c r="AA117" s="178"/>
      <c r="AB117" s="178"/>
      <c r="AC117" s="178"/>
      <c r="AD117" s="178"/>
      <c r="AE117" s="178"/>
      <c r="AF117" s="178"/>
      <c r="AG117" s="178"/>
      <c r="AH117" s="178"/>
      <c r="AI117" s="100"/>
      <c r="AJ117" s="100"/>
      <c r="AK117" s="100"/>
      <c r="AL117" s="100"/>
      <c r="AM117" s="100"/>
      <c r="AN117" s="100" t="b">
        <f t="shared" si="8"/>
        <v>0</v>
      </c>
      <c r="AO117" s="102"/>
    </row>
    <row r="118" ht="14.25" customHeight="1" outlineLevel="3">
      <c r="A118" s="390"/>
      <c r="B118" s="394"/>
      <c r="C118" s="393" t="s">
        <v>1254</v>
      </c>
      <c r="D118" s="394"/>
      <c r="E118" s="162"/>
      <c r="F118" s="162"/>
      <c r="G118" s="162"/>
      <c r="H118" s="178"/>
      <c r="I118" s="178"/>
      <c r="J118" s="178"/>
      <c r="K118" s="178"/>
      <c r="L118" s="178"/>
      <c r="M118" s="178"/>
      <c r="N118" s="178"/>
      <c r="O118" s="178"/>
      <c r="P118" s="178"/>
      <c r="Q118" s="178"/>
      <c r="R118" s="178"/>
      <c r="S118" s="178"/>
      <c r="T118" s="178"/>
      <c r="U118" s="178"/>
      <c r="V118" s="178"/>
      <c r="W118" s="178"/>
      <c r="X118" s="178"/>
      <c r="Y118" s="178"/>
      <c r="Z118" s="178"/>
      <c r="AA118" s="178"/>
      <c r="AB118" s="178"/>
      <c r="AC118" s="178"/>
      <c r="AD118" s="178"/>
      <c r="AE118" s="178"/>
      <c r="AF118" s="178"/>
      <c r="AG118" s="178"/>
      <c r="AH118" s="178"/>
      <c r="AI118" s="100"/>
      <c r="AJ118" s="100"/>
      <c r="AK118" s="100"/>
      <c r="AL118" s="100"/>
      <c r="AM118" s="100"/>
      <c r="AN118" s="100" t="b">
        <f t="shared" si="8"/>
        <v>0</v>
      </c>
      <c r="AO118" s="102"/>
    </row>
    <row r="119" ht="14.25" customHeight="1" outlineLevel="4">
      <c r="A119" s="390"/>
      <c r="B119" s="394"/>
      <c r="C119" s="393"/>
      <c r="D119" s="394"/>
      <c r="E119" s="270" t="s">
        <v>1446</v>
      </c>
      <c r="F119" s="249" t="s">
        <v>1238</v>
      </c>
      <c r="G119" s="249" t="s">
        <v>1447</v>
      </c>
      <c r="H119" s="260">
        <v>7.734</v>
      </c>
      <c r="I119" s="181">
        <v>8.038</v>
      </c>
      <c r="J119" s="181">
        <v>8.26</v>
      </c>
      <c r="K119" s="181">
        <v>8.265</v>
      </c>
      <c r="L119" s="181">
        <v>9.225</v>
      </c>
      <c r="M119" s="181">
        <v>8.51</v>
      </c>
      <c r="N119" s="181">
        <v>8.964</v>
      </c>
      <c r="O119" s="181">
        <v>9.403</v>
      </c>
      <c r="P119" s="181">
        <v>10.139</v>
      </c>
      <c r="Q119" s="181">
        <v>10.237</v>
      </c>
      <c r="R119" s="181">
        <v>10.564</v>
      </c>
      <c r="S119" s="181">
        <v>10.669</v>
      </c>
      <c r="T119" s="181">
        <v>10.3</v>
      </c>
      <c r="U119" s="181">
        <v>10.511</v>
      </c>
      <c r="V119" s="181">
        <v>10.974</v>
      </c>
      <c r="W119" s="250">
        <v>10.3325</v>
      </c>
      <c r="X119" s="181">
        <v>10.0254</v>
      </c>
      <c r="Y119" s="181">
        <v>10.3643</v>
      </c>
      <c r="Z119" s="181">
        <v>10.7098</v>
      </c>
      <c r="AA119" s="181"/>
      <c r="AB119" s="182">
        <v>11.0884708968</v>
      </c>
      <c r="AC119" s="182">
        <v>13.092395776</v>
      </c>
      <c r="AD119" s="182">
        <v>14.6974875</v>
      </c>
      <c r="AE119" s="182">
        <v>16.952125505</v>
      </c>
      <c r="AF119" s="182">
        <v>18.092114001</v>
      </c>
      <c r="AG119" s="182">
        <v>18.170129817</v>
      </c>
      <c r="AH119" s="184">
        <v>18.2256075523095</v>
      </c>
      <c r="AI119" s="318"/>
      <c r="AJ119" s="318"/>
      <c r="AK119" s="318"/>
      <c r="AL119" s="318"/>
      <c r="AM119" s="251"/>
      <c r="AN119" s="100" t="b">
        <f t="shared" si="8"/>
        <v>0</v>
      </c>
      <c r="AO119" s="102"/>
    </row>
    <row r="120" ht="14.25" customHeight="1" outlineLevel="4">
      <c r="A120" s="390"/>
      <c r="B120" s="394"/>
      <c r="C120" s="393"/>
      <c r="D120" s="394"/>
      <c r="E120" s="122" t="s">
        <v>1448</v>
      </c>
      <c r="F120" s="123" t="s">
        <v>1238</v>
      </c>
      <c r="G120" s="123" t="s">
        <v>1449</v>
      </c>
      <c r="H120" s="260">
        <v>0.87</v>
      </c>
      <c r="I120" s="181">
        <v>0.876</v>
      </c>
      <c r="J120" s="181">
        <v>0.89</v>
      </c>
      <c r="K120" s="181">
        <v>0.9</v>
      </c>
      <c r="L120" s="181">
        <v>0.91</v>
      </c>
      <c r="M120" s="181">
        <v>0.93</v>
      </c>
      <c r="N120" s="181">
        <v>0.95</v>
      </c>
      <c r="O120" s="181">
        <v>0.97</v>
      </c>
      <c r="P120" s="181">
        <v>1.0</v>
      </c>
      <c r="Q120" s="181">
        <v>1.0</v>
      </c>
      <c r="R120" s="181">
        <v>1.07</v>
      </c>
      <c r="S120" s="181">
        <v>1.133</v>
      </c>
      <c r="T120" s="181">
        <v>1.219</v>
      </c>
      <c r="U120" s="181">
        <v>1.2395</v>
      </c>
      <c r="V120" s="181">
        <v>1.2279</v>
      </c>
      <c r="W120" s="250">
        <v>1.2423</v>
      </c>
      <c r="X120" s="181">
        <v>1.2673</v>
      </c>
      <c r="Y120" s="181">
        <v>1.396</v>
      </c>
      <c r="Z120" s="181"/>
      <c r="AA120" s="181"/>
      <c r="AB120" s="182">
        <v>1.4430201852</v>
      </c>
      <c r="AC120" s="182">
        <v>1.4632677632</v>
      </c>
      <c r="AD120" s="182">
        <v>1.46974875</v>
      </c>
      <c r="AE120" s="182">
        <v>1.47409787</v>
      </c>
      <c r="AF120" s="182">
        <v>1.5308711847</v>
      </c>
      <c r="AG120" s="182">
        <v>1.5478258733</v>
      </c>
      <c r="AH120" s="182">
        <v>1.5621949330551</v>
      </c>
      <c r="AI120" s="318"/>
      <c r="AJ120" s="318"/>
      <c r="AK120" s="318"/>
      <c r="AL120" s="318"/>
      <c r="AM120" s="251"/>
      <c r="AN120" s="100" t="b">
        <f t="shared" si="8"/>
        <v>0</v>
      </c>
      <c r="AO120" s="102"/>
    </row>
    <row r="121" ht="14.25" customHeight="1" outlineLevel="4">
      <c r="A121" s="390"/>
      <c r="B121" s="394"/>
      <c r="C121" s="394"/>
      <c r="D121" s="395" t="str">
        <f>IF(COUNTIF(H121:AH121,"warning")&gt;0,"&gt; Disaggregation by fuel type &gt;&gt; WARNING: For some years, the total is different from 100%!","&gt; Disaggregation by fuel type")</f>
        <v>&gt; Disaggregation by fuel type</v>
      </c>
      <c r="E121" s="162"/>
      <c r="F121" s="162"/>
      <c r="G121" s="162"/>
      <c r="H121" s="178" t="str">
        <f t="shared" ref="H121:AH121" si="9">IF(COUNTA(H122:H125)=0,"",IF(ABS(SUM(H122:H125)-100%)&gt;10^-4,"Warning",""))</f>
        <v/>
      </c>
      <c r="I121" s="178" t="str">
        <f t="shared" si="9"/>
        <v/>
      </c>
      <c r="J121" s="178" t="str">
        <f t="shared" si="9"/>
        <v/>
      </c>
      <c r="K121" s="178" t="str">
        <f t="shared" si="9"/>
        <v/>
      </c>
      <c r="L121" s="178" t="str">
        <f t="shared" si="9"/>
        <v/>
      </c>
      <c r="M121" s="178" t="str">
        <f t="shared" si="9"/>
        <v/>
      </c>
      <c r="N121" s="178" t="str">
        <f t="shared" si="9"/>
        <v/>
      </c>
      <c r="O121" s="178" t="str">
        <f t="shared" si="9"/>
        <v/>
      </c>
      <c r="P121" s="178" t="str">
        <f t="shared" si="9"/>
        <v/>
      </c>
      <c r="Q121" s="178" t="str">
        <f t="shared" si="9"/>
        <v/>
      </c>
      <c r="R121" s="178" t="str">
        <f t="shared" si="9"/>
        <v/>
      </c>
      <c r="S121" s="178" t="str">
        <f t="shared" si="9"/>
        <v/>
      </c>
      <c r="T121" s="178" t="str">
        <f t="shared" si="9"/>
        <v/>
      </c>
      <c r="U121" s="178" t="str">
        <f t="shared" si="9"/>
        <v/>
      </c>
      <c r="V121" s="178" t="str">
        <f t="shared" si="9"/>
        <v/>
      </c>
      <c r="W121" s="178" t="str">
        <f t="shared" si="9"/>
        <v/>
      </c>
      <c r="X121" s="178" t="str">
        <f t="shared" si="9"/>
        <v/>
      </c>
      <c r="Y121" s="178" t="str">
        <f t="shared" si="9"/>
        <v/>
      </c>
      <c r="Z121" s="178" t="str">
        <f t="shared" si="9"/>
        <v/>
      </c>
      <c r="AA121" s="178" t="str">
        <f t="shared" si="9"/>
        <v/>
      </c>
      <c r="AB121" s="178" t="str">
        <f t="shared" si="9"/>
        <v/>
      </c>
      <c r="AC121" s="178" t="str">
        <f t="shared" si="9"/>
        <v/>
      </c>
      <c r="AD121" s="178" t="str">
        <f t="shared" si="9"/>
        <v/>
      </c>
      <c r="AE121" s="178" t="str">
        <f t="shared" si="9"/>
        <v/>
      </c>
      <c r="AF121" s="178" t="str">
        <f t="shared" si="9"/>
        <v/>
      </c>
      <c r="AG121" s="178" t="str">
        <f t="shared" si="9"/>
        <v/>
      </c>
      <c r="AH121" s="178" t="str">
        <f t="shared" si="9"/>
        <v/>
      </c>
      <c r="AI121" s="100"/>
      <c r="AJ121" s="100"/>
      <c r="AK121" s="100"/>
      <c r="AL121" s="100"/>
      <c r="AM121" s="100"/>
      <c r="AN121" s="100" t="b">
        <f t="shared" si="8"/>
        <v>1</v>
      </c>
      <c r="AO121" s="102"/>
    </row>
    <row r="122" ht="14.25" customHeight="1" outlineLevel="4">
      <c r="A122" s="390"/>
      <c r="B122" s="394"/>
      <c r="C122" s="393"/>
      <c r="D122" s="394"/>
      <c r="E122" s="270" t="s">
        <v>1450</v>
      </c>
      <c r="F122" s="249" t="s">
        <v>261</v>
      </c>
      <c r="G122" s="249" t="s">
        <v>1451</v>
      </c>
      <c r="H122" s="253">
        <v>0.0661028318536364</v>
      </c>
      <c r="I122" s="254">
        <v>0.0670135755701472</v>
      </c>
      <c r="J122" s="254">
        <v>0.0357987099388088</v>
      </c>
      <c r="K122" s="254">
        <v>0.0425771120571468</v>
      </c>
      <c r="L122" s="254">
        <v>0.0429546045267971</v>
      </c>
      <c r="M122" s="254">
        <v>0.04527819089706</v>
      </c>
      <c r="N122" s="254">
        <v>0.051887448151023</v>
      </c>
      <c r="O122" s="254">
        <v>0.0250565738755753</v>
      </c>
      <c r="P122" s="254">
        <v>0.0472904527655296</v>
      </c>
      <c r="Q122" s="254">
        <v>0.0548498306514818</v>
      </c>
      <c r="R122" s="254">
        <v>0.0469908612830621</v>
      </c>
      <c r="S122" s="254">
        <v>0.0875864502785491</v>
      </c>
      <c r="T122" s="254">
        <v>0.0855667998063744</v>
      </c>
      <c r="U122" s="254">
        <v>0.0959199796134996</v>
      </c>
      <c r="V122" s="254">
        <v>0.0705136758677877</v>
      </c>
      <c r="W122" s="256">
        <v>0.102586446123341</v>
      </c>
      <c r="X122" s="254"/>
      <c r="Y122" s="254"/>
      <c r="Z122" s="254"/>
      <c r="AA122" s="254"/>
      <c r="AB122" s="256">
        <v>0.1</v>
      </c>
      <c r="AC122" s="256">
        <v>0.1</v>
      </c>
      <c r="AD122" s="256">
        <v>0.08</v>
      </c>
      <c r="AE122" s="256">
        <v>0.02</v>
      </c>
      <c r="AF122" s="256">
        <v>0.0</v>
      </c>
      <c r="AG122" s="256">
        <v>0.0</v>
      </c>
      <c r="AH122" s="257">
        <v>0.0</v>
      </c>
      <c r="AI122" s="318"/>
      <c r="AJ122" s="318"/>
      <c r="AK122" s="318"/>
      <c r="AL122" s="318"/>
      <c r="AM122" s="251"/>
      <c r="AN122" s="100" t="b">
        <f t="shared" si="8"/>
        <v>0</v>
      </c>
      <c r="AO122" s="102"/>
    </row>
    <row r="123" ht="14.25" customHeight="1" outlineLevel="4">
      <c r="A123" s="390"/>
      <c r="B123" s="394"/>
      <c r="C123" s="393"/>
      <c r="D123" s="394"/>
      <c r="E123" s="248" t="s">
        <v>1452</v>
      </c>
      <c r="F123" s="249" t="s">
        <v>261</v>
      </c>
      <c r="G123" s="249" t="s">
        <v>1453</v>
      </c>
      <c r="H123" s="253"/>
      <c r="I123" s="254"/>
      <c r="J123" s="254"/>
      <c r="K123" s="254"/>
      <c r="L123" s="254"/>
      <c r="M123" s="254"/>
      <c r="N123" s="254"/>
      <c r="O123" s="254"/>
      <c r="P123" s="254"/>
      <c r="Q123" s="254"/>
      <c r="R123" s="254"/>
      <c r="S123" s="254"/>
      <c r="T123" s="254"/>
      <c r="U123" s="254"/>
      <c r="V123" s="254"/>
      <c r="W123" s="256"/>
      <c r="X123" s="254"/>
      <c r="Y123" s="254"/>
      <c r="Z123" s="254"/>
      <c r="AA123" s="254"/>
      <c r="AB123" s="256"/>
      <c r="AC123" s="256"/>
      <c r="AD123" s="256"/>
      <c r="AE123" s="256"/>
      <c r="AF123" s="256">
        <v>0.0</v>
      </c>
      <c r="AG123" s="256">
        <v>0.0</v>
      </c>
      <c r="AH123" s="257">
        <v>0.0</v>
      </c>
      <c r="AI123" s="318"/>
      <c r="AJ123" s="318"/>
      <c r="AK123" s="318"/>
      <c r="AL123" s="318"/>
      <c r="AM123" s="251"/>
      <c r="AN123" s="100" t="b">
        <f t="shared" si="8"/>
        <v>0</v>
      </c>
      <c r="AO123" s="102"/>
    </row>
    <row r="124" ht="14.25" customHeight="1" outlineLevel="4">
      <c r="A124" s="390"/>
      <c r="B124" s="394"/>
      <c r="C124" s="393"/>
      <c r="D124" s="394"/>
      <c r="E124" s="248" t="s">
        <v>1454</v>
      </c>
      <c r="F124" s="249" t="s">
        <v>261</v>
      </c>
      <c r="G124" s="249" t="s">
        <v>1455</v>
      </c>
      <c r="H124" s="253"/>
      <c r="I124" s="254"/>
      <c r="J124" s="254"/>
      <c r="K124" s="254"/>
      <c r="L124" s="254"/>
      <c r="M124" s="254"/>
      <c r="N124" s="254"/>
      <c r="O124" s="254"/>
      <c r="P124" s="254"/>
      <c r="Q124" s="254"/>
      <c r="R124" s="254"/>
      <c r="S124" s="254"/>
      <c r="T124" s="254"/>
      <c r="U124" s="254"/>
      <c r="V124" s="254"/>
      <c r="W124" s="256"/>
      <c r="X124" s="254"/>
      <c r="Y124" s="254"/>
      <c r="Z124" s="254"/>
      <c r="AA124" s="254"/>
      <c r="AB124" s="256"/>
      <c r="AC124" s="256"/>
      <c r="AD124" s="256"/>
      <c r="AE124" s="256"/>
      <c r="AF124" s="256">
        <v>0.0</v>
      </c>
      <c r="AG124" s="256">
        <v>0.0</v>
      </c>
      <c r="AH124" s="257">
        <v>0.0</v>
      </c>
      <c r="AI124" s="318"/>
      <c r="AJ124" s="318"/>
      <c r="AK124" s="318"/>
      <c r="AL124" s="318"/>
      <c r="AM124" s="251"/>
      <c r="AN124" s="100" t="b">
        <f t="shared" si="8"/>
        <v>0</v>
      </c>
      <c r="AO124" s="102"/>
    </row>
    <row r="125" ht="14.25" customHeight="1" outlineLevel="4">
      <c r="A125" s="390"/>
      <c r="B125" s="394"/>
      <c r="C125" s="393"/>
      <c r="D125" s="394"/>
      <c r="E125" s="368" t="s">
        <v>1456</v>
      </c>
      <c r="F125" s="123" t="s">
        <v>261</v>
      </c>
      <c r="G125" s="123" t="s">
        <v>1457</v>
      </c>
      <c r="H125" s="253">
        <v>0.933897168146364</v>
      </c>
      <c r="I125" s="254">
        <v>0.932986424429853</v>
      </c>
      <c r="J125" s="254">
        <v>0.964201290061191</v>
      </c>
      <c r="K125" s="254">
        <v>0.957422887942853</v>
      </c>
      <c r="L125" s="254">
        <v>0.957045395473203</v>
      </c>
      <c r="M125" s="254">
        <v>0.95472180910294</v>
      </c>
      <c r="N125" s="254">
        <v>0.948112551848977</v>
      </c>
      <c r="O125" s="254">
        <v>0.974943426124425</v>
      </c>
      <c r="P125" s="254">
        <v>0.952709547234471</v>
      </c>
      <c r="Q125" s="254">
        <v>0.945150169348518</v>
      </c>
      <c r="R125" s="254">
        <v>0.953009138716938</v>
      </c>
      <c r="S125" s="254">
        <v>0.912413549721451</v>
      </c>
      <c r="T125" s="254">
        <v>0.914433200193626</v>
      </c>
      <c r="U125" s="254">
        <v>0.9040800203865</v>
      </c>
      <c r="V125" s="254">
        <v>0.929486324132212</v>
      </c>
      <c r="W125" s="256">
        <v>0.897413553876659</v>
      </c>
      <c r="X125" s="254"/>
      <c r="Y125" s="254"/>
      <c r="Z125" s="254"/>
      <c r="AA125" s="254"/>
      <c r="AB125" s="256">
        <v>0.9</v>
      </c>
      <c r="AC125" s="256">
        <v>0.9</v>
      </c>
      <c r="AD125" s="256">
        <v>0.92</v>
      </c>
      <c r="AE125" s="256">
        <v>0.98</v>
      </c>
      <c r="AF125" s="256">
        <v>1.0</v>
      </c>
      <c r="AG125" s="256">
        <v>1.0</v>
      </c>
      <c r="AH125" s="257">
        <v>1.0</v>
      </c>
      <c r="AI125" s="318"/>
      <c r="AJ125" s="318"/>
      <c r="AK125" s="318"/>
      <c r="AL125" s="318"/>
      <c r="AM125" s="251"/>
      <c r="AN125" s="100" t="b">
        <f t="shared" si="8"/>
        <v>0</v>
      </c>
      <c r="AO125" s="102"/>
    </row>
    <row r="126" ht="14.25" customHeight="1" outlineLevel="3">
      <c r="A126" s="390"/>
      <c r="B126" s="394"/>
      <c r="C126" s="393" t="s">
        <v>1458</v>
      </c>
      <c r="D126" s="394"/>
      <c r="E126" s="162"/>
      <c r="F126" s="162"/>
      <c r="G126" s="162"/>
      <c r="H126" s="178"/>
      <c r="I126" s="178"/>
      <c r="J126" s="178"/>
      <c r="K126" s="178"/>
      <c r="L126" s="178"/>
      <c r="M126" s="178"/>
      <c r="N126" s="178"/>
      <c r="O126" s="178"/>
      <c r="P126" s="178"/>
      <c r="Q126" s="178"/>
      <c r="R126" s="178"/>
      <c r="S126" s="178"/>
      <c r="T126" s="178"/>
      <c r="U126" s="178"/>
      <c r="V126" s="178"/>
      <c r="W126" s="178"/>
      <c r="X126" s="178"/>
      <c r="Y126" s="178"/>
      <c r="Z126" s="178"/>
      <c r="AA126" s="178"/>
      <c r="AB126" s="178"/>
      <c r="AC126" s="178"/>
      <c r="AD126" s="178"/>
      <c r="AE126" s="178"/>
      <c r="AF126" s="178"/>
      <c r="AG126" s="178"/>
      <c r="AH126" s="178"/>
      <c r="AI126" s="100"/>
      <c r="AJ126" s="100"/>
      <c r="AK126" s="100"/>
      <c r="AL126" s="100"/>
      <c r="AM126" s="100"/>
      <c r="AN126" s="100" t="b">
        <f t="shared" si="8"/>
        <v>0</v>
      </c>
      <c r="AO126" s="102"/>
    </row>
    <row r="127" ht="14.25" customHeight="1" outlineLevel="4">
      <c r="A127" s="390"/>
      <c r="B127" s="394"/>
      <c r="C127" s="393"/>
      <c r="D127" s="394"/>
      <c r="E127" s="412" t="s">
        <v>1459</v>
      </c>
      <c r="F127" s="123" t="s">
        <v>1460</v>
      </c>
      <c r="G127" s="123" t="s">
        <v>1461</v>
      </c>
      <c r="H127" s="260"/>
      <c r="I127" s="181"/>
      <c r="J127" s="181"/>
      <c r="K127" s="181"/>
      <c r="L127" s="181"/>
      <c r="M127" s="181"/>
      <c r="N127" s="181"/>
      <c r="O127" s="181"/>
      <c r="P127" s="181"/>
      <c r="Q127" s="181"/>
      <c r="R127" s="181"/>
      <c r="S127" s="181"/>
      <c r="T127" s="181"/>
      <c r="U127" s="181"/>
      <c r="V127" s="181"/>
      <c r="W127" s="202">
        <v>10.035</v>
      </c>
      <c r="X127" s="181">
        <v>10.032</v>
      </c>
      <c r="Y127" s="181">
        <v>9.984</v>
      </c>
      <c r="Z127" s="181">
        <v>9.966</v>
      </c>
      <c r="AA127" s="181">
        <v>9.945</v>
      </c>
      <c r="AB127" s="202">
        <v>9.927</v>
      </c>
      <c r="AC127" s="202">
        <v>9.61</v>
      </c>
      <c r="AD127" s="202">
        <v>9.31</v>
      </c>
      <c r="AE127" s="202">
        <v>9.07</v>
      </c>
      <c r="AF127" s="202">
        <v>8.871</v>
      </c>
      <c r="AG127" s="202">
        <v>8.696</v>
      </c>
      <c r="AH127" s="202">
        <v>8.516</v>
      </c>
      <c r="AI127" s="318"/>
      <c r="AJ127" s="318"/>
      <c r="AK127" s="318"/>
      <c r="AL127" s="318"/>
      <c r="AM127" s="251"/>
      <c r="AN127" s="100" t="b">
        <f t="shared" si="8"/>
        <v>0</v>
      </c>
      <c r="AO127" s="102"/>
    </row>
    <row r="128" ht="13.5" customHeight="1" outlineLevel="3">
      <c r="A128" s="414"/>
      <c r="B128" s="302"/>
      <c r="C128" s="302" t="s">
        <v>1462</v>
      </c>
      <c r="D128" s="283"/>
      <c r="E128" s="162"/>
      <c r="F128" s="162"/>
      <c r="G128" s="162"/>
      <c r="H128" s="178"/>
      <c r="I128" s="178"/>
      <c r="J128" s="178"/>
      <c r="K128" s="178"/>
      <c r="L128" s="178"/>
      <c r="M128" s="178"/>
      <c r="N128" s="178"/>
      <c r="O128" s="178"/>
      <c r="P128" s="178"/>
      <c r="Q128" s="178"/>
      <c r="R128" s="178"/>
      <c r="S128" s="178"/>
      <c r="T128" s="178"/>
      <c r="U128" s="178"/>
      <c r="V128" s="178"/>
      <c r="W128" s="178"/>
      <c r="X128" s="178"/>
      <c r="Y128" s="178"/>
      <c r="Z128" s="178"/>
      <c r="AA128" s="178"/>
      <c r="AB128" s="178"/>
      <c r="AC128" s="178"/>
      <c r="AD128" s="178"/>
      <c r="AE128" s="178"/>
      <c r="AF128" s="178"/>
      <c r="AG128" s="178"/>
      <c r="AH128" s="178"/>
      <c r="AI128" s="336"/>
      <c r="AJ128" s="244"/>
      <c r="AK128" s="244"/>
      <c r="AL128" s="244"/>
      <c r="AM128" s="162"/>
      <c r="AN128" s="100" t="b">
        <f t="shared" si="8"/>
        <v>0</v>
      </c>
      <c r="AO128" s="102"/>
    </row>
    <row r="129" ht="14.25" customHeight="1" outlineLevel="4">
      <c r="A129" s="98"/>
      <c r="B129" s="98"/>
      <c r="C129" s="98"/>
      <c r="D129" s="98"/>
      <c r="E129" s="299" t="s">
        <v>1463</v>
      </c>
      <c r="F129" s="123" t="s">
        <v>135</v>
      </c>
      <c r="G129" s="123" t="s">
        <v>1464</v>
      </c>
      <c r="H129" s="274">
        <f t="shared" ref="H129:AH129" si="10">SUM(H130:H133)</f>
        <v>0</v>
      </c>
      <c r="I129" s="274">
        <f t="shared" si="10"/>
        <v>0</v>
      </c>
      <c r="J129" s="274">
        <f t="shared" si="10"/>
        <v>0</v>
      </c>
      <c r="K129" s="274">
        <f t="shared" si="10"/>
        <v>0</v>
      </c>
      <c r="L129" s="274">
        <f t="shared" si="10"/>
        <v>0</v>
      </c>
      <c r="M129" s="274">
        <f t="shared" si="10"/>
        <v>0</v>
      </c>
      <c r="N129" s="274">
        <f t="shared" si="10"/>
        <v>0</v>
      </c>
      <c r="O129" s="274">
        <f t="shared" si="10"/>
        <v>0</v>
      </c>
      <c r="P129" s="274">
        <f t="shared" si="10"/>
        <v>0</v>
      </c>
      <c r="Q129" s="274">
        <f t="shared" si="10"/>
        <v>0</v>
      </c>
      <c r="R129" s="274">
        <f t="shared" si="10"/>
        <v>0</v>
      </c>
      <c r="S129" s="274">
        <f t="shared" si="10"/>
        <v>0</v>
      </c>
      <c r="T129" s="274">
        <f t="shared" si="10"/>
        <v>0</v>
      </c>
      <c r="U129" s="274">
        <f t="shared" si="10"/>
        <v>0</v>
      </c>
      <c r="V129" s="274">
        <f t="shared" si="10"/>
        <v>0</v>
      </c>
      <c r="W129" s="274">
        <f t="shared" si="10"/>
        <v>1.16153118</v>
      </c>
      <c r="X129" s="274">
        <f t="shared" si="10"/>
        <v>0</v>
      </c>
      <c r="Y129" s="274">
        <f t="shared" si="10"/>
        <v>0</v>
      </c>
      <c r="Z129" s="274">
        <f t="shared" si="10"/>
        <v>0</v>
      </c>
      <c r="AA129" s="274">
        <f t="shared" si="10"/>
        <v>0</v>
      </c>
      <c r="AB129" s="274">
        <f t="shared" si="10"/>
        <v>1.24400112</v>
      </c>
      <c r="AC129" s="274">
        <f t="shared" si="10"/>
        <v>1.398799266</v>
      </c>
      <c r="AD129" s="274">
        <f t="shared" si="10"/>
        <v>1.505169695</v>
      </c>
      <c r="AE129" s="274">
        <f t="shared" si="10"/>
        <v>1.67125846</v>
      </c>
      <c r="AF129" s="274">
        <f t="shared" si="10"/>
        <v>1.740755016</v>
      </c>
      <c r="AG129" s="274">
        <f t="shared" si="10"/>
        <v>1.714673427</v>
      </c>
      <c r="AH129" s="274">
        <f t="shared" si="10"/>
        <v>1.68512926</v>
      </c>
      <c r="AI129" s="125"/>
      <c r="AJ129" s="125"/>
      <c r="AK129" s="125"/>
      <c r="AL129" s="125"/>
      <c r="AM129" s="251"/>
      <c r="AN129" s="100" t="b">
        <f t="shared" si="8"/>
        <v>1</v>
      </c>
      <c r="AO129" s="102"/>
    </row>
    <row r="130" ht="14.25" customHeight="1" outlineLevel="4">
      <c r="A130" s="195"/>
      <c r="B130" s="201"/>
      <c r="C130" s="201"/>
      <c r="D130" s="201"/>
      <c r="E130" s="273" t="s">
        <v>1465</v>
      </c>
      <c r="F130" s="249" t="s">
        <v>135</v>
      </c>
      <c r="G130" s="123" t="s">
        <v>1466</v>
      </c>
      <c r="H130" s="274">
        <f t="array" ref="H130:AH130">calcflqfmobfer</f>
        <v>0</v>
      </c>
      <c r="I130" s="274">
        <v>0.0</v>
      </c>
      <c r="J130" s="274">
        <v>0.0</v>
      </c>
      <c r="K130" s="274">
        <v>0.0</v>
      </c>
      <c r="L130" s="274">
        <v>0.0</v>
      </c>
      <c r="M130" s="274">
        <v>0.0</v>
      </c>
      <c r="N130" s="274">
        <v>0.0</v>
      </c>
      <c r="O130" s="274">
        <v>0.0</v>
      </c>
      <c r="P130" s="274">
        <v>0.0</v>
      </c>
      <c r="Q130" s="274">
        <v>0.0</v>
      </c>
      <c r="R130" s="274">
        <v>0.0</v>
      </c>
      <c r="S130" s="274">
        <v>0.0</v>
      </c>
      <c r="T130" s="274">
        <v>0.0</v>
      </c>
      <c r="U130" s="274">
        <v>0.0</v>
      </c>
      <c r="V130" s="274">
        <v>0.0</v>
      </c>
      <c r="W130" s="274">
        <v>0.11915735581765068</v>
      </c>
      <c r="X130" s="274">
        <v>0.0</v>
      </c>
      <c r="Y130" s="274">
        <v>0.0</v>
      </c>
      <c r="Z130" s="274">
        <v>0.0</v>
      </c>
      <c r="AA130" s="274">
        <v>0.0</v>
      </c>
      <c r="AB130" s="274">
        <v>0.12440011197101401</v>
      </c>
      <c r="AC130" s="274">
        <v>0.139879926611712</v>
      </c>
      <c r="AD130" s="274">
        <v>0.12041357558999999</v>
      </c>
      <c r="AE130" s="274">
        <v>0.033425169202250006</v>
      </c>
      <c r="AF130" s="274">
        <v>0.0</v>
      </c>
      <c r="AG130" s="274">
        <v>0.0</v>
      </c>
      <c r="AH130" s="274">
        <v>0.0</v>
      </c>
      <c r="AI130" s="318"/>
      <c r="AJ130" s="125"/>
      <c r="AK130" s="125"/>
      <c r="AL130" s="125"/>
      <c r="AM130" s="251"/>
      <c r="AN130" s="100" t="b">
        <f t="shared" si="8"/>
        <v>1</v>
      </c>
      <c r="AO130" s="102"/>
    </row>
    <row r="131" ht="14.25" customHeight="1" outlineLevel="4">
      <c r="A131" s="195"/>
      <c r="B131" s="201"/>
      <c r="C131" s="201"/>
      <c r="D131" s="201"/>
      <c r="E131" s="273" t="s">
        <v>1467</v>
      </c>
      <c r="F131" s="123" t="s">
        <v>135</v>
      </c>
      <c r="G131" s="123" t="s">
        <v>1468</v>
      </c>
      <c r="H131" s="274">
        <f t="array" ref="H131:AH131">calcfngvmobfer</f>
        <v>0</v>
      </c>
      <c r="I131" s="274">
        <v>0.0</v>
      </c>
      <c r="J131" s="274">
        <v>0.0</v>
      </c>
      <c r="K131" s="274">
        <v>0.0</v>
      </c>
      <c r="L131" s="274">
        <v>0.0</v>
      </c>
      <c r="M131" s="274">
        <v>0.0</v>
      </c>
      <c r="N131" s="274">
        <v>0.0</v>
      </c>
      <c r="O131" s="274">
        <v>0.0</v>
      </c>
      <c r="P131" s="274">
        <v>0.0</v>
      </c>
      <c r="Q131" s="274">
        <v>0.0</v>
      </c>
      <c r="R131" s="274">
        <v>0.0</v>
      </c>
      <c r="S131" s="274">
        <v>0.0</v>
      </c>
      <c r="T131" s="274">
        <v>0.0</v>
      </c>
      <c r="U131" s="274">
        <v>0.0</v>
      </c>
      <c r="V131" s="274">
        <v>0.0</v>
      </c>
      <c r="W131" s="274">
        <v>0.0</v>
      </c>
      <c r="X131" s="274">
        <v>0.0</v>
      </c>
      <c r="Y131" s="274">
        <v>0.0</v>
      </c>
      <c r="Z131" s="274">
        <v>0.0</v>
      </c>
      <c r="AA131" s="274">
        <v>0.0</v>
      </c>
      <c r="AB131" s="274">
        <v>0.0</v>
      </c>
      <c r="AC131" s="274">
        <v>0.0</v>
      </c>
      <c r="AD131" s="274">
        <v>0.0</v>
      </c>
      <c r="AE131" s="274">
        <v>0.0</v>
      </c>
      <c r="AF131" s="274">
        <v>0.0</v>
      </c>
      <c r="AG131" s="274">
        <v>0.0</v>
      </c>
      <c r="AH131" s="274">
        <v>0.0</v>
      </c>
      <c r="AI131" s="318"/>
      <c r="AJ131" s="125"/>
      <c r="AK131" s="125"/>
      <c r="AL131" s="125"/>
      <c r="AM131" s="251"/>
      <c r="AN131" s="100" t="b">
        <f t="shared" si="8"/>
        <v>1</v>
      </c>
      <c r="AO131" s="102"/>
    </row>
    <row r="132" ht="14.25" customHeight="1" outlineLevel="4">
      <c r="A132" s="195"/>
      <c r="B132" s="201"/>
      <c r="C132" s="201"/>
      <c r="D132" s="201"/>
      <c r="E132" s="273" t="s">
        <v>1469</v>
      </c>
      <c r="F132" s="123" t="s">
        <v>135</v>
      </c>
      <c r="G132" s="123" t="s">
        <v>1470</v>
      </c>
      <c r="H132" s="274">
        <f t="array" ref="H132:AH132">calcfhydmobfer</f>
        <v>0</v>
      </c>
      <c r="I132" s="274">
        <v>0.0</v>
      </c>
      <c r="J132" s="274">
        <v>0.0</v>
      </c>
      <c r="K132" s="274">
        <v>0.0</v>
      </c>
      <c r="L132" s="274">
        <v>0.0</v>
      </c>
      <c r="M132" s="274">
        <v>0.0</v>
      </c>
      <c r="N132" s="274">
        <v>0.0</v>
      </c>
      <c r="O132" s="274">
        <v>0.0</v>
      </c>
      <c r="P132" s="274">
        <v>0.0</v>
      </c>
      <c r="Q132" s="274">
        <v>0.0</v>
      </c>
      <c r="R132" s="274">
        <v>0.0</v>
      </c>
      <c r="S132" s="274">
        <v>0.0</v>
      </c>
      <c r="T132" s="274">
        <v>0.0</v>
      </c>
      <c r="U132" s="274">
        <v>0.0</v>
      </c>
      <c r="V132" s="274">
        <v>0.0</v>
      </c>
      <c r="W132" s="274">
        <v>0.0</v>
      </c>
      <c r="X132" s="274">
        <v>0.0</v>
      </c>
      <c r="Y132" s="274">
        <v>0.0</v>
      </c>
      <c r="Z132" s="274">
        <v>0.0</v>
      </c>
      <c r="AA132" s="274">
        <v>0.0</v>
      </c>
      <c r="AB132" s="274">
        <v>0.0</v>
      </c>
      <c r="AC132" s="274">
        <v>0.0</v>
      </c>
      <c r="AD132" s="274">
        <v>0.0</v>
      </c>
      <c r="AE132" s="274">
        <v>0.0</v>
      </c>
      <c r="AF132" s="274">
        <v>0.0</v>
      </c>
      <c r="AG132" s="274">
        <v>0.0</v>
      </c>
      <c r="AH132" s="274">
        <v>0.0</v>
      </c>
      <c r="AI132" s="318"/>
      <c r="AJ132" s="125"/>
      <c r="AK132" s="125"/>
      <c r="AL132" s="125"/>
      <c r="AM132" s="251"/>
      <c r="AN132" s="100" t="b">
        <f t="shared" si="8"/>
        <v>1</v>
      </c>
      <c r="AO132" s="102"/>
    </row>
    <row r="133" ht="14.25" customHeight="1" outlineLevel="4">
      <c r="A133" s="195"/>
      <c r="B133" s="201"/>
      <c r="C133" s="201"/>
      <c r="D133" s="201"/>
      <c r="E133" s="273" t="s">
        <v>1471</v>
      </c>
      <c r="F133" s="123" t="s">
        <v>135</v>
      </c>
      <c r="G133" s="123" t="s">
        <v>1472</v>
      </c>
      <c r="H133" s="274">
        <f t="array" ref="H133:AH133">calcfelemobfer</f>
        <v>0</v>
      </c>
      <c r="I133" s="274">
        <v>0.0</v>
      </c>
      <c r="J133" s="274">
        <v>0.0</v>
      </c>
      <c r="K133" s="274">
        <v>0.0</v>
      </c>
      <c r="L133" s="274">
        <v>0.0</v>
      </c>
      <c r="M133" s="274">
        <v>0.0</v>
      </c>
      <c r="N133" s="274">
        <v>0.0</v>
      </c>
      <c r="O133" s="274">
        <v>0.0</v>
      </c>
      <c r="P133" s="274">
        <v>0.0</v>
      </c>
      <c r="Q133" s="274">
        <v>0.0</v>
      </c>
      <c r="R133" s="274">
        <v>0.0</v>
      </c>
      <c r="S133" s="274">
        <v>0.0</v>
      </c>
      <c r="T133" s="274">
        <v>0.0</v>
      </c>
      <c r="U133" s="274">
        <v>0.0</v>
      </c>
      <c r="V133" s="274">
        <v>0.0</v>
      </c>
      <c r="W133" s="274">
        <v>1.0423738241823495</v>
      </c>
      <c r="X133" s="274">
        <v>0.0</v>
      </c>
      <c r="Y133" s="274">
        <v>0.0</v>
      </c>
      <c r="Z133" s="274">
        <v>0.0</v>
      </c>
      <c r="AA133" s="274">
        <v>0.0</v>
      </c>
      <c r="AB133" s="274">
        <v>1.119601007739126</v>
      </c>
      <c r="AC133" s="274">
        <v>1.2589193395054077</v>
      </c>
      <c r="AD133" s="274">
        <v>1.3847561192849998</v>
      </c>
      <c r="AE133" s="274">
        <v>1.6378332909102502</v>
      </c>
      <c r="AF133" s="274">
        <v>1.7407550158234473</v>
      </c>
      <c r="AG133" s="274">
        <v>1.7146734268284878</v>
      </c>
      <c r="AH133" s="274">
        <v>1.6851292596536493</v>
      </c>
      <c r="AI133" s="318"/>
      <c r="AJ133" s="125"/>
      <c r="AK133" s="125"/>
      <c r="AL133" s="125"/>
      <c r="AM133" s="251"/>
      <c r="AN133" s="100" t="b">
        <f t="shared" si="8"/>
        <v>1</v>
      </c>
      <c r="AO133" s="102"/>
    </row>
    <row r="134" ht="14.25" customHeight="1" outlineLevel="2">
      <c r="A134" s="390"/>
      <c r="B134" s="393" t="s">
        <v>1473</v>
      </c>
      <c r="C134" s="394"/>
      <c r="D134" s="394"/>
      <c r="E134" s="162"/>
      <c r="F134" s="162"/>
      <c r="G134" s="162"/>
      <c r="H134" s="178"/>
      <c r="I134" s="178"/>
      <c r="J134" s="178"/>
      <c r="K134" s="178"/>
      <c r="L134" s="178"/>
      <c r="M134" s="178"/>
      <c r="N134" s="178"/>
      <c r="O134" s="178"/>
      <c r="P134" s="178"/>
      <c r="Q134" s="178"/>
      <c r="R134" s="178"/>
      <c r="S134" s="178"/>
      <c r="T134" s="178"/>
      <c r="U134" s="178"/>
      <c r="V134" s="178"/>
      <c r="W134" s="178"/>
      <c r="X134" s="178"/>
      <c r="Y134" s="178"/>
      <c r="Z134" s="178"/>
      <c r="AA134" s="178"/>
      <c r="AB134" s="178"/>
      <c r="AC134" s="178"/>
      <c r="AD134" s="178"/>
      <c r="AE134" s="178"/>
      <c r="AF134" s="178"/>
      <c r="AG134" s="178"/>
      <c r="AH134" s="178"/>
      <c r="AI134" s="100"/>
      <c r="AJ134" s="100"/>
      <c r="AK134" s="100"/>
      <c r="AL134" s="100"/>
      <c r="AM134" s="100"/>
      <c r="AN134" s="100" t="b">
        <f t="shared" si="8"/>
        <v>0</v>
      </c>
      <c r="AO134" s="102"/>
    </row>
    <row r="135" ht="14.25" customHeight="1" outlineLevel="3">
      <c r="A135" s="390"/>
      <c r="B135" s="394"/>
      <c r="C135" s="393" t="s">
        <v>1474</v>
      </c>
      <c r="D135" s="394"/>
      <c r="E135" s="162"/>
      <c r="F135" s="162"/>
      <c r="G135" s="162"/>
      <c r="H135" s="178"/>
      <c r="I135" s="178"/>
      <c r="J135" s="178"/>
      <c r="K135" s="178"/>
      <c r="L135" s="178"/>
      <c r="M135" s="178"/>
      <c r="N135" s="178"/>
      <c r="O135" s="178"/>
      <c r="P135" s="178"/>
      <c r="Q135" s="178"/>
      <c r="R135" s="178"/>
      <c r="S135" s="178"/>
      <c r="T135" s="178"/>
      <c r="U135" s="178"/>
      <c r="V135" s="178"/>
      <c r="W135" s="178"/>
      <c r="X135" s="178"/>
      <c r="Y135" s="178"/>
      <c r="Z135" s="178"/>
      <c r="AA135" s="178"/>
      <c r="AB135" s="178"/>
      <c r="AC135" s="178"/>
      <c r="AD135" s="178"/>
      <c r="AE135" s="178"/>
      <c r="AF135" s="178"/>
      <c r="AG135" s="178"/>
      <c r="AH135" s="178"/>
      <c r="AI135" s="100"/>
      <c r="AJ135" s="100"/>
      <c r="AK135" s="100"/>
      <c r="AL135" s="100"/>
      <c r="AM135" s="100"/>
      <c r="AN135" s="100" t="b">
        <f t="shared" si="8"/>
        <v>0</v>
      </c>
      <c r="AO135" s="102"/>
    </row>
    <row r="136" ht="14.25" customHeight="1" outlineLevel="4">
      <c r="A136" s="390"/>
      <c r="B136" s="394"/>
      <c r="C136" s="393"/>
      <c r="D136" s="394"/>
      <c r="E136" s="270" t="s">
        <v>1475</v>
      </c>
      <c r="F136" s="249" t="s">
        <v>1238</v>
      </c>
      <c r="G136" s="249" t="s">
        <v>1476</v>
      </c>
      <c r="H136" s="260"/>
      <c r="I136" s="181"/>
      <c r="J136" s="181"/>
      <c r="K136" s="181"/>
      <c r="L136" s="181"/>
      <c r="M136" s="181"/>
      <c r="N136" s="181"/>
      <c r="O136" s="181"/>
      <c r="P136" s="181"/>
      <c r="Q136" s="181"/>
      <c r="R136" s="181"/>
      <c r="S136" s="181"/>
      <c r="T136" s="181"/>
      <c r="U136" s="181"/>
      <c r="V136" s="181"/>
      <c r="W136" s="182"/>
      <c r="X136" s="181"/>
      <c r="Y136" s="181"/>
      <c r="Z136" s="181"/>
      <c r="AA136" s="181"/>
      <c r="AB136" s="182">
        <v>0.0</v>
      </c>
      <c r="AC136" s="182">
        <v>0.0</v>
      </c>
      <c r="AD136" s="182">
        <v>0.0</v>
      </c>
      <c r="AE136" s="182">
        <v>0.0</v>
      </c>
      <c r="AF136" s="182">
        <v>0.0</v>
      </c>
      <c r="AG136" s="182">
        <v>0.0</v>
      </c>
      <c r="AH136" s="184">
        <v>0.0</v>
      </c>
      <c r="AI136" s="318"/>
      <c r="AJ136" s="318"/>
      <c r="AK136" s="318"/>
      <c r="AL136" s="318"/>
      <c r="AM136" s="251"/>
      <c r="AN136" s="100" t="b">
        <f t="shared" si="8"/>
        <v>0</v>
      </c>
      <c r="AO136" s="102"/>
    </row>
    <row r="137" ht="14.25" customHeight="1" outlineLevel="4">
      <c r="A137" s="390"/>
      <c r="B137" s="394"/>
      <c r="C137" s="393"/>
      <c r="D137" s="394"/>
      <c r="E137" s="270" t="s">
        <v>1477</v>
      </c>
      <c r="F137" s="249" t="s">
        <v>1238</v>
      </c>
      <c r="G137" s="249" t="s">
        <v>1478</v>
      </c>
      <c r="H137" s="260"/>
      <c r="I137" s="181"/>
      <c r="J137" s="181"/>
      <c r="K137" s="181"/>
      <c r="L137" s="181"/>
      <c r="M137" s="181"/>
      <c r="N137" s="181"/>
      <c r="O137" s="181"/>
      <c r="P137" s="181"/>
      <c r="Q137" s="181"/>
      <c r="R137" s="181"/>
      <c r="S137" s="181"/>
      <c r="T137" s="181"/>
      <c r="U137" s="181"/>
      <c r="V137" s="181"/>
      <c r="W137" s="286">
        <f t="shared" ref="W137:AA137" si="11">W138+W139</f>
        <v>29.21014187</v>
      </c>
      <c r="X137" s="286">
        <f t="shared" si="11"/>
        <v>0</v>
      </c>
      <c r="Y137" s="286">
        <f t="shared" si="11"/>
        <v>0</v>
      </c>
      <c r="Z137" s="286">
        <f t="shared" si="11"/>
        <v>0</v>
      </c>
      <c r="AA137" s="286">
        <f t="shared" si="11"/>
        <v>0</v>
      </c>
      <c r="AB137" s="415">
        <f>SUM(AB138:AB139)</f>
        <v>36.983</v>
      </c>
      <c r="AC137" s="286">
        <f t="shared" ref="AC137:AD137" si="12">AC138+AC139</f>
        <v>34.43244828</v>
      </c>
      <c r="AD137" s="286">
        <f t="shared" si="12"/>
        <v>26.7807931</v>
      </c>
      <c r="AE137" s="286">
        <v>15.0</v>
      </c>
      <c r="AF137" s="286">
        <f t="shared" ref="AF137:AH137" si="13">AF138+AF139</f>
        <v>19.12913793</v>
      </c>
      <c r="AG137" s="286">
        <f t="shared" si="13"/>
        <v>19.12913793</v>
      </c>
      <c r="AH137" s="286">
        <f t="shared" si="13"/>
        <v>19.12913793</v>
      </c>
      <c r="AI137" s="318"/>
      <c r="AJ137" s="318"/>
      <c r="AK137" s="318"/>
      <c r="AL137" s="318"/>
      <c r="AM137" s="251"/>
      <c r="AN137" s="100" t="b">
        <f t="shared" si="8"/>
        <v>0</v>
      </c>
      <c r="AO137" s="102"/>
    </row>
    <row r="138" ht="14.25" customHeight="1" outlineLevel="4">
      <c r="A138" s="390"/>
      <c r="B138" s="394"/>
      <c r="C138" s="393"/>
      <c r="D138" s="394"/>
      <c r="E138" s="252" t="s">
        <v>1479</v>
      </c>
      <c r="F138" s="249" t="s">
        <v>1238</v>
      </c>
      <c r="G138" s="249" t="s">
        <v>1480</v>
      </c>
      <c r="H138" s="260">
        <v>8.41363997383252</v>
      </c>
      <c r="I138" s="181">
        <v>8.34089033775341</v>
      </c>
      <c r="J138" s="181">
        <v>6.68295470665857</v>
      </c>
      <c r="K138" s="181">
        <v>7.53079120315494</v>
      </c>
      <c r="L138" s="181">
        <v>7.71548958718299</v>
      </c>
      <c r="M138" s="181">
        <v>7.62035122860057</v>
      </c>
      <c r="N138" s="181">
        <v>8.13058761777516</v>
      </c>
      <c r="O138" s="181">
        <v>8.58228746330769</v>
      </c>
      <c r="P138" s="181">
        <v>8.57545669228299</v>
      </c>
      <c r="Q138" s="181">
        <v>8.53122344792617</v>
      </c>
      <c r="R138" s="181">
        <v>8.89039545828985</v>
      </c>
      <c r="S138" s="181">
        <v>9.89184444114387</v>
      </c>
      <c r="T138" s="181">
        <v>10.0692011811717</v>
      </c>
      <c r="U138" s="181">
        <v>10.3761261254366</v>
      </c>
      <c r="V138" s="181">
        <v>11.5417372411845</v>
      </c>
      <c r="W138" s="202">
        <v>12.6223685093677</v>
      </c>
      <c r="X138" s="181"/>
      <c r="Y138" s="181"/>
      <c r="Z138" s="181"/>
      <c r="AA138" s="181"/>
      <c r="AB138" s="202">
        <v>15.311</v>
      </c>
      <c r="AC138" s="202">
        <v>15.303310344827588</v>
      </c>
      <c r="AD138" s="202">
        <v>12.752758620689658</v>
      </c>
      <c r="AE138" s="202">
        <v>8.92693103448276</v>
      </c>
      <c r="AF138" s="202">
        <v>8.92693103448276</v>
      </c>
      <c r="AG138" s="202">
        <v>8.92693103448276</v>
      </c>
      <c r="AH138" s="202">
        <v>8.92693103448276</v>
      </c>
      <c r="AI138" s="318"/>
      <c r="AJ138" s="318"/>
      <c r="AK138" s="318"/>
      <c r="AL138" s="318"/>
      <c r="AM138" s="318">
        <f t="shared" ref="AM138:AM139" si="14">AG138*$AI$137</f>
        <v>0</v>
      </c>
      <c r="AN138" s="100" t="b">
        <f t="shared" si="8"/>
        <v>0</v>
      </c>
      <c r="AO138" s="102"/>
    </row>
    <row r="139" ht="14.25" customHeight="1" outlineLevel="4">
      <c r="A139" s="390"/>
      <c r="B139" s="394"/>
      <c r="C139" s="393"/>
      <c r="D139" s="394"/>
      <c r="E139" s="252" t="s">
        <v>1481</v>
      </c>
      <c r="F139" s="123" t="s">
        <v>1238</v>
      </c>
      <c r="G139" s="123" t="s">
        <v>1482</v>
      </c>
      <c r="H139" s="260">
        <v>15.4824404428423</v>
      </c>
      <c r="I139" s="181">
        <v>14.5987910812306</v>
      </c>
      <c r="J139" s="181">
        <v>10.3419058988117</v>
      </c>
      <c r="K139" s="181">
        <v>11.3172861823381</v>
      </c>
      <c r="L139" s="181">
        <v>13.4047232435611</v>
      </c>
      <c r="M139" s="181">
        <v>14.902866679441</v>
      </c>
      <c r="N139" s="181">
        <v>15.4227756165416</v>
      </c>
      <c r="O139" s="181">
        <v>18.0366665716854</v>
      </c>
      <c r="P139" s="181">
        <v>17.5682112659227</v>
      </c>
      <c r="Q139" s="181">
        <v>21.3013234893315</v>
      </c>
      <c r="R139" s="181">
        <v>21.1837600262984</v>
      </c>
      <c r="S139" s="181">
        <v>22.4431972464419</v>
      </c>
      <c r="T139" s="181">
        <v>15.8992514922882</v>
      </c>
      <c r="U139" s="181">
        <v>13.4091807252306</v>
      </c>
      <c r="V139" s="181">
        <v>15.0779959278902</v>
      </c>
      <c r="W139" s="202">
        <v>16.5877733566929</v>
      </c>
      <c r="X139" s="181"/>
      <c r="Y139" s="181"/>
      <c r="Z139" s="181"/>
      <c r="AA139" s="181"/>
      <c r="AB139" s="202">
        <v>21.672</v>
      </c>
      <c r="AC139" s="202">
        <v>19.129137931034485</v>
      </c>
      <c r="AD139" s="202">
        <v>14.028034482758622</v>
      </c>
      <c r="AE139" s="202">
        <v>10.202206896551726</v>
      </c>
      <c r="AF139" s="202">
        <v>10.202206896551726</v>
      </c>
      <c r="AG139" s="202">
        <v>10.202206896551726</v>
      </c>
      <c r="AH139" s="202">
        <v>10.202206896551726</v>
      </c>
      <c r="AI139" s="318"/>
      <c r="AJ139" s="318"/>
      <c r="AK139" s="318"/>
      <c r="AL139" s="318"/>
      <c r="AM139" s="318">
        <f t="shared" si="14"/>
        <v>0</v>
      </c>
      <c r="AN139" s="100" t="b">
        <f t="shared" si="8"/>
        <v>0</v>
      </c>
      <c r="AO139" s="102"/>
    </row>
    <row r="140" ht="14.25" customHeight="1" outlineLevel="3">
      <c r="A140" s="390"/>
      <c r="B140" s="393"/>
      <c r="C140" s="393" t="s">
        <v>1483</v>
      </c>
      <c r="D140" s="394"/>
      <c r="E140" s="162"/>
      <c r="F140" s="162"/>
      <c r="G140" s="162"/>
      <c r="H140" s="178"/>
      <c r="I140" s="178"/>
      <c r="J140" s="178"/>
      <c r="K140" s="178"/>
      <c r="L140" s="178"/>
      <c r="M140" s="178"/>
      <c r="N140" s="178"/>
      <c r="O140" s="178"/>
      <c r="P140" s="178"/>
      <c r="Q140" s="178"/>
      <c r="R140" s="178"/>
      <c r="S140" s="178"/>
      <c r="T140" s="178"/>
      <c r="U140" s="178"/>
      <c r="V140" s="178"/>
      <c r="W140" s="178"/>
      <c r="X140" s="178"/>
      <c r="Y140" s="178"/>
      <c r="Z140" s="178"/>
      <c r="AA140" s="178"/>
      <c r="AB140" s="178"/>
      <c r="AC140" s="178"/>
      <c r="AD140" s="178"/>
      <c r="AE140" s="178"/>
      <c r="AF140" s="178"/>
      <c r="AG140" s="178"/>
      <c r="AH140" s="178"/>
      <c r="AI140" s="100"/>
      <c r="AJ140" s="100"/>
      <c r="AK140" s="100"/>
      <c r="AL140" s="100"/>
      <c r="AM140" s="100"/>
      <c r="AN140" s="100" t="b">
        <f t="shared" si="8"/>
        <v>0</v>
      </c>
      <c r="AO140" s="102"/>
    </row>
    <row r="141" ht="14.25" customHeight="1" outlineLevel="4">
      <c r="A141" s="390"/>
      <c r="B141" s="394"/>
      <c r="C141" s="393"/>
      <c r="D141" s="394"/>
      <c r="E141" s="412" t="s">
        <v>1484</v>
      </c>
      <c r="F141" s="123" t="s">
        <v>1460</v>
      </c>
      <c r="G141" s="292" t="s">
        <v>1485</v>
      </c>
      <c r="H141" s="260"/>
      <c r="I141" s="181"/>
      <c r="J141" s="181"/>
      <c r="K141" s="181"/>
      <c r="L141" s="181"/>
      <c r="M141" s="181"/>
      <c r="N141" s="181"/>
      <c r="O141" s="181"/>
      <c r="P141" s="181"/>
      <c r="Q141" s="181"/>
      <c r="R141" s="181"/>
      <c r="S141" s="181"/>
      <c r="T141" s="181"/>
      <c r="U141" s="181"/>
      <c r="V141" s="181"/>
      <c r="W141" s="202">
        <v>37.672</v>
      </c>
      <c r="X141" s="181">
        <v>37.218</v>
      </c>
      <c r="Y141" s="181">
        <v>36.903</v>
      </c>
      <c r="Z141" s="181">
        <v>36.594</v>
      </c>
      <c r="AA141" s="181">
        <v>36.3</v>
      </c>
      <c r="AB141" s="202">
        <v>37.3</v>
      </c>
      <c r="AC141" s="202">
        <v>34.471</v>
      </c>
      <c r="AD141" s="202">
        <v>32.817</v>
      </c>
      <c r="AE141" s="202">
        <v>31.016</v>
      </c>
      <c r="AF141" s="202">
        <v>29.068</v>
      </c>
      <c r="AG141" s="202">
        <v>27.373</v>
      </c>
      <c r="AH141" s="203">
        <v>25.916</v>
      </c>
      <c r="AI141" s="318"/>
      <c r="AJ141" s="416"/>
      <c r="AK141" s="318"/>
      <c r="AL141" s="318"/>
      <c r="AM141" s="251"/>
      <c r="AN141" s="100" t="b">
        <f t="shared" si="8"/>
        <v>0</v>
      </c>
      <c r="AO141" s="102"/>
    </row>
    <row r="142" ht="14.25" customHeight="1" outlineLevel="4">
      <c r="A142" s="390"/>
      <c r="B142" s="394"/>
      <c r="C142" s="393"/>
      <c r="D142" s="394"/>
      <c r="E142" s="412" t="s">
        <v>1486</v>
      </c>
      <c r="F142" s="123" t="s">
        <v>1460</v>
      </c>
      <c r="G142" s="292" t="s">
        <v>1487</v>
      </c>
      <c r="H142" s="260"/>
      <c r="I142" s="181"/>
      <c r="J142" s="181"/>
      <c r="K142" s="181"/>
      <c r="L142" s="181"/>
      <c r="M142" s="181"/>
      <c r="N142" s="181"/>
      <c r="O142" s="181"/>
      <c r="P142" s="181"/>
      <c r="Q142" s="181"/>
      <c r="R142" s="181"/>
      <c r="S142" s="181"/>
      <c r="T142" s="181"/>
      <c r="U142" s="181"/>
      <c r="V142" s="181"/>
      <c r="W142" s="202"/>
      <c r="X142" s="181"/>
      <c r="Y142" s="181"/>
      <c r="Z142" s="181"/>
      <c r="AA142" s="181"/>
      <c r="AB142" s="202"/>
      <c r="AC142" s="202"/>
      <c r="AD142" s="202"/>
      <c r="AE142" s="202"/>
      <c r="AF142" s="202"/>
      <c r="AG142" s="202"/>
      <c r="AH142" s="203"/>
      <c r="AI142" s="318"/>
      <c r="AJ142" s="318"/>
      <c r="AK142" s="318"/>
      <c r="AL142" s="318"/>
      <c r="AM142" s="251"/>
      <c r="AN142" s="100" t="b">
        <f t="shared" si="8"/>
        <v>0</v>
      </c>
      <c r="AO142" s="102"/>
    </row>
    <row r="143" ht="14.25" customHeight="1" outlineLevel="4">
      <c r="A143" s="390"/>
      <c r="B143" s="394"/>
      <c r="C143" s="393"/>
      <c r="D143" s="394"/>
      <c r="E143" s="412" t="s">
        <v>1488</v>
      </c>
      <c r="F143" s="123" t="s">
        <v>1460</v>
      </c>
      <c r="G143" s="292" t="s">
        <v>1489</v>
      </c>
      <c r="H143" s="260"/>
      <c r="I143" s="181"/>
      <c r="J143" s="181"/>
      <c r="K143" s="181"/>
      <c r="L143" s="181"/>
      <c r="M143" s="181"/>
      <c r="N143" s="181"/>
      <c r="O143" s="181"/>
      <c r="P143" s="181"/>
      <c r="Q143" s="181"/>
      <c r="R143" s="181"/>
      <c r="S143" s="181"/>
      <c r="T143" s="181"/>
      <c r="U143" s="181"/>
      <c r="V143" s="181"/>
      <c r="W143" s="202"/>
      <c r="X143" s="181"/>
      <c r="Y143" s="181"/>
      <c r="Z143" s="181"/>
      <c r="AA143" s="181"/>
      <c r="AB143" s="202"/>
      <c r="AC143" s="202"/>
      <c r="AD143" s="202"/>
      <c r="AE143" s="202"/>
      <c r="AF143" s="202"/>
      <c r="AG143" s="202"/>
      <c r="AH143" s="203"/>
      <c r="AI143" s="318"/>
      <c r="AJ143" s="318"/>
      <c r="AK143" s="318"/>
      <c r="AL143" s="318"/>
      <c r="AM143" s="251"/>
      <c r="AN143" s="100" t="b">
        <f t="shared" si="8"/>
        <v>0</v>
      </c>
      <c r="AO143" s="102"/>
    </row>
    <row r="144" ht="14.25" customHeight="1" outlineLevel="3">
      <c r="A144" s="390"/>
      <c r="B144" s="393"/>
      <c r="C144" s="393" t="s">
        <v>1490</v>
      </c>
      <c r="D144" s="394"/>
      <c r="E144" s="162"/>
      <c r="F144" s="162"/>
      <c r="G144" s="162"/>
      <c r="H144" s="178"/>
      <c r="I144" s="178"/>
      <c r="J144" s="178"/>
      <c r="K144" s="178"/>
      <c r="L144" s="178"/>
      <c r="M144" s="178"/>
      <c r="N144" s="178"/>
      <c r="O144" s="178"/>
      <c r="P144" s="178"/>
      <c r="Q144" s="178"/>
      <c r="R144" s="178"/>
      <c r="S144" s="178"/>
      <c r="T144" s="178"/>
      <c r="U144" s="178"/>
      <c r="V144" s="178"/>
      <c r="W144" s="178"/>
      <c r="X144" s="178"/>
      <c r="Y144" s="178"/>
      <c r="Z144" s="178"/>
      <c r="AA144" s="178"/>
      <c r="AB144" s="178"/>
      <c r="AC144" s="178"/>
      <c r="AD144" s="178"/>
      <c r="AE144" s="178"/>
      <c r="AF144" s="178"/>
      <c r="AG144" s="178"/>
      <c r="AH144" s="178"/>
      <c r="AI144" s="100"/>
      <c r="AJ144" s="100"/>
      <c r="AK144" s="100"/>
      <c r="AL144" s="100"/>
      <c r="AM144" s="100"/>
      <c r="AN144" s="100" t="b">
        <f t="shared" si="8"/>
        <v>0</v>
      </c>
      <c r="AO144" s="102"/>
    </row>
    <row r="145" ht="14.25" customHeight="1" outlineLevel="4">
      <c r="A145" s="417"/>
      <c r="B145" s="418"/>
      <c r="C145" s="395"/>
      <c r="D145" s="418"/>
      <c r="E145" s="392" t="s">
        <v>1491</v>
      </c>
      <c r="F145" s="123" t="s">
        <v>135</v>
      </c>
      <c r="G145" s="249" t="s">
        <v>1492</v>
      </c>
      <c r="H145" s="260"/>
      <c r="I145" s="181"/>
      <c r="J145" s="181"/>
      <c r="K145" s="181"/>
      <c r="L145" s="181"/>
      <c r="M145" s="181"/>
      <c r="N145" s="181"/>
      <c r="O145" s="181"/>
      <c r="P145" s="181"/>
      <c r="Q145" s="181"/>
      <c r="R145" s="181"/>
      <c r="S145" s="181"/>
      <c r="T145" s="181"/>
      <c r="U145" s="181"/>
      <c r="V145" s="181"/>
      <c r="W145" s="202"/>
      <c r="X145" s="181"/>
      <c r="Y145" s="181"/>
      <c r="Z145" s="181"/>
      <c r="AA145" s="181"/>
      <c r="AB145" s="202"/>
      <c r="AC145" s="202"/>
      <c r="AD145" s="202"/>
      <c r="AE145" s="202"/>
      <c r="AF145" s="202"/>
      <c r="AG145" s="202"/>
      <c r="AH145" s="202"/>
      <c r="AI145" s="125"/>
      <c r="AJ145" s="125"/>
      <c r="AK145" s="125"/>
      <c r="AL145" s="125"/>
      <c r="AM145" s="251"/>
      <c r="AN145" s="100" t="b">
        <f t="shared" si="8"/>
        <v>0</v>
      </c>
      <c r="AO145" s="102"/>
    </row>
    <row r="146" ht="14.25" customHeight="1" outlineLevel="4">
      <c r="A146" s="417"/>
      <c r="B146" s="418"/>
      <c r="C146" s="395"/>
      <c r="D146" s="418"/>
      <c r="E146" s="252" t="s">
        <v>1493</v>
      </c>
      <c r="F146" s="123" t="s">
        <v>135</v>
      </c>
      <c r="G146" s="249" t="s">
        <v>1494</v>
      </c>
      <c r="H146" s="260"/>
      <c r="I146" s="181"/>
      <c r="J146" s="181"/>
      <c r="K146" s="181"/>
      <c r="L146" s="181"/>
      <c r="M146" s="181"/>
      <c r="N146" s="181"/>
      <c r="O146" s="181"/>
      <c r="P146" s="181"/>
      <c r="Q146" s="181"/>
      <c r="R146" s="181"/>
      <c r="S146" s="181"/>
      <c r="T146" s="181"/>
      <c r="U146" s="181"/>
      <c r="V146" s="181"/>
      <c r="W146" s="202"/>
      <c r="X146" s="181"/>
      <c r="Y146" s="181"/>
      <c r="Z146" s="181"/>
      <c r="AA146" s="181"/>
      <c r="AB146" s="202"/>
      <c r="AC146" s="202"/>
      <c r="AD146" s="202"/>
      <c r="AE146" s="202"/>
      <c r="AF146" s="202"/>
      <c r="AG146" s="202"/>
      <c r="AH146" s="202"/>
      <c r="AI146" s="125"/>
      <c r="AJ146" s="125"/>
      <c r="AK146" s="125"/>
      <c r="AL146" s="125"/>
      <c r="AM146" s="251"/>
      <c r="AN146" s="100" t="b">
        <f t="shared" si="8"/>
        <v>0</v>
      </c>
      <c r="AO146" s="102"/>
    </row>
    <row r="147" ht="14.25" customHeight="1" outlineLevel="4">
      <c r="A147" s="417"/>
      <c r="B147" s="418"/>
      <c r="C147" s="395"/>
      <c r="D147" s="418"/>
      <c r="E147" s="252" t="s">
        <v>1495</v>
      </c>
      <c r="F147" s="123" t="s">
        <v>135</v>
      </c>
      <c r="G147" s="123" t="s">
        <v>1496</v>
      </c>
      <c r="H147" s="260"/>
      <c r="I147" s="181"/>
      <c r="J147" s="181"/>
      <c r="K147" s="181"/>
      <c r="L147" s="181"/>
      <c r="M147" s="181"/>
      <c r="N147" s="181"/>
      <c r="O147" s="181"/>
      <c r="P147" s="181"/>
      <c r="Q147" s="181"/>
      <c r="R147" s="181"/>
      <c r="S147" s="181"/>
      <c r="T147" s="181"/>
      <c r="U147" s="181"/>
      <c r="V147" s="181"/>
      <c r="W147" s="202"/>
      <c r="X147" s="181"/>
      <c r="Y147" s="181"/>
      <c r="Z147" s="181"/>
      <c r="AA147" s="181"/>
      <c r="AB147" s="202"/>
      <c r="AC147" s="202"/>
      <c r="AD147" s="202"/>
      <c r="AE147" s="202"/>
      <c r="AF147" s="202"/>
      <c r="AG147" s="202"/>
      <c r="AH147" s="202"/>
      <c r="AI147" s="125"/>
      <c r="AJ147" s="125"/>
      <c r="AK147" s="125"/>
      <c r="AL147" s="125"/>
      <c r="AM147" s="251"/>
      <c r="AN147" s="100" t="b">
        <f t="shared" si="8"/>
        <v>0</v>
      </c>
      <c r="AO147" s="102"/>
    </row>
    <row r="148" ht="13.5" customHeight="1" outlineLevel="3">
      <c r="A148" s="414"/>
      <c r="B148" s="302"/>
      <c r="C148" s="302" t="s">
        <v>1497</v>
      </c>
      <c r="D148" s="283"/>
      <c r="E148" s="162"/>
      <c r="F148" s="162"/>
      <c r="G148" s="162"/>
      <c r="H148" s="178"/>
      <c r="I148" s="178"/>
      <c r="J148" s="178"/>
      <c r="K148" s="178"/>
      <c r="L148" s="178"/>
      <c r="M148" s="178"/>
      <c r="N148" s="178"/>
      <c r="O148" s="178"/>
      <c r="P148" s="178"/>
      <c r="Q148" s="178"/>
      <c r="R148" s="178"/>
      <c r="S148" s="178"/>
      <c r="T148" s="178"/>
      <c r="U148" s="178"/>
      <c r="V148" s="178"/>
      <c r="W148" s="178"/>
      <c r="X148" s="178"/>
      <c r="Y148" s="178"/>
      <c r="Z148" s="178"/>
      <c r="AA148" s="178"/>
      <c r="AB148" s="178"/>
      <c r="AC148" s="178"/>
      <c r="AD148" s="178"/>
      <c r="AE148" s="178"/>
      <c r="AF148" s="178"/>
      <c r="AG148" s="178"/>
      <c r="AH148" s="178"/>
      <c r="AI148" s="336"/>
      <c r="AJ148" s="244"/>
      <c r="AK148" s="244"/>
      <c r="AL148" s="244"/>
      <c r="AM148" s="162"/>
      <c r="AN148" s="100" t="b">
        <f t="shared" si="8"/>
        <v>0</v>
      </c>
      <c r="AO148" s="102"/>
    </row>
    <row r="149" ht="13.5" customHeight="1" outlineLevel="4">
      <c r="A149" s="419"/>
      <c r="B149" s="302"/>
      <c r="C149" s="302"/>
      <c r="D149" s="283"/>
      <c r="E149" s="299" t="s">
        <v>1498</v>
      </c>
      <c r="F149" s="123" t="s">
        <v>135</v>
      </c>
      <c r="G149" s="123" t="s">
        <v>1499</v>
      </c>
      <c r="H149" s="274">
        <f t="shared" ref="H149:AH149" si="15">H150+H151</f>
        <v>0</v>
      </c>
      <c r="I149" s="274">
        <f t="shared" si="15"/>
        <v>0</v>
      </c>
      <c r="J149" s="274">
        <f t="shared" si="15"/>
        <v>0</v>
      </c>
      <c r="K149" s="274">
        <f t="shared" si="15"/>
        <v>0</v>
      </c>
      <c r="L149" s="274">
        <f t="shared" si="15"/>
        <v>0</v>
      </c>
      <c r="M149" s="274">
        <f t="shared" si="15"/>
        <v>0</v>
      </c>
      <c r="N149" s="274">
        <f t="shared" si="15"/>
        <v>0</v>
      </c>
      <c r="O149" s="274">
        <f t="shared" si="15"/>
        <v>0</v>
      </c>
      <c r="P149" s="274">
        <f t="shared" si="15"/>
        <v>0</v>
      </c>
      <c r="Q149" s="274">
        <f t="shared" si="15"/>
        <v>0</v>
      </c>
      <c r="R149" s="274">
        <f t="shared" si="15"/>
        <v>0</v>
      </c>
      <c r="S149" s="274">
        <f t="shared" si="15"/>
        <v>0</v>
      </c>
      <c r="T149" s="274">
        <f t="shared" si="15"/>
        <v>0</v>
      </c>
      <c r="U149" s="274">
        <f t="shared" si="15"/>
        <v>0</v>
      </c>
      <c r="V149" s="274">
        <f t="shared" si="15"/>
        <v>0</v>
      </c>
      <c r="W149" s="274">
        <f t="shared" si="15"/>
        <v>11.00404464</v>
      </c>
      <c r="X149" s="274">
        <f t="shared" si="15"/>
        <v>0</v>
      </c>
      <c r="Y149" s="274">
        <f t="shared" si="15"/>
        <v>0</v>
      </c>
      <c r="Z149" s="274">
        <f t="shared" si="15"/>
        <v>0</v>
      </c>
      <c r="AA149" s="274">
        <f t="shared" si="15"/>
        <v>0</v>
      </c>
      <c r="AB149" s="274">
        <f t="shared" si="15"/>
        <v>13.794659</v>
      </c>
      <c r="AC149" s="274">
        <f t="shared" si="15"/>
        <v>11.86920925</v>
      </c>
      <c r="AD149" s="274">
        <f t="shared" si="15"/>
        <v>8.788652873</v>
      </c>
      <c r="AE149" s="274" t="str">
        <f t="shared" si="15"/>
        <v>#NAME?</v>
      </c>
      <c r="AF149" s="274">
        <f t="shared" si="15"/>
        <v>5.560457814</v>
      </c>
      <c r="AG149" s="274">
        <f t="shared" si="15"/>
        <v>5.236218926</v>
      </c>
      <c r="AH149" s="274">
        <f t="shared" si="15"/>
        <v>4.957507386</v>
      </c>
      <c r="AI149" s="125"/>
      <c r="AJ149" s="125"/>
      <c r="AK149" s="125"/>
      <c r="AL149" s="125"/>
      <c r="AM149" s="251"/>
      <c r="AN149" s="100" t="b">
        <f t="shared" si="8"/>
        <v>1</v>
      </c>
      <c r="AO149" s="102"/>
    </row>
    <row r="150" ht="13.5" customHeight="1" outlineLevel="4">
      <c r="A150" s="419"/>
      <c r="B150" s="302"/>
      <c r="C150" s="302"/>
      <c r="D150" s="283"/>
      <c r="E150" s="273" t="s">
        <v>1493</v>
      </c>
      <c r="F150" s="123" t="s">
        <v>135</v>
      </c>
      <c r="G150" s="123" t="s">
        <v>1500</v>
      </c>
      <c r="H150" s="274">
        <f t="array" ref="H150:AH150">calcflqfmobavd</f>
        <v>0</v>
      </c>
      <c r="I150" s="274">
        <v>0.0</v>
      </c>
      <c r="J150" s="274">
        <v>0.0</v>
      </c>
      <c r="K150" s="274">
        <v>0.0</v>
      </c>
      <c r="L150" s="274">
        <v>0.0</v>
      </c>
      <c r="M150" s="274">
        <v>0.0</v>
      </c>
      <c r="N150" s="274">
        <v>0.0</v>
      </c>
      <c r="O150" s="274">
        <v>0.0</v>
      </c>
      <c r="P150" s="274">
        <v>0.0</v>
      </c>
      <c r="Q150" s="274">
        <v>0.0</v>
      </c>
      <c r="R150" s="274">
        <v>0.0</v>
      </c>
      <c r="S150" s="274">
        <v>0.0</v>
      </c>
      <c r="T150" s="274">
        <v>0.0</v>
      </c>
      <c r="U150" s="274">
        <v>0.0</v>
      </c>
      <c r="V150" s="274">
        <v>0.0</v>
      </c>
      <c r="W150" s="274">
        <v>0.0</v>
      </c>
      <c r="X150" s="274">
        <v>0.0</v>
      </c>
      <c r="Y150" s="274">
        <v>0.0</v>
      </c>
      <c r="Z150" s="274">
        <v>0.0</v>
      </c>
      <c r="AA150" s="274">
        <v>0.0</v>
      </c>
      <c r="AB150" s="274">
        <v>0.0</v>
      </c>
      <c r="AC150" s="274">
        <v>0.0</v>
      </c>
      <c r="AD150" s="274">
        <v>0.0</v>
      </c>
      <c r="AE150" s="274">
        <v>0.0</v>
      </c>
      <c r="AF150" s="274">
        <v>0.0</v>
      </c>
      <c r="AG150" s="274">
        <v>0.0</v>
      </c>
      <c r="AH150" s="274">
        <v>0.0</v>
      </c>
      <c r="AI150" s="125"/>
      <c r="AJ150" s="125"/>
      <c r="AK150" s="125"/>
      <c r="AL150" s="125"/>
      <c r="AM150" s="251"/>
      <c r="AN150" s="100" t="b">
        <f t="shared" si="8"/>
        <v>1</v>
      </c>
      <c r="AO150" s="102"/>
    </row>
    <row r="151" ht="14.25" customHeight="1" outlineLevel="4">
      <c r="A151" s="98"/>
      <c r="B151" s="98"/>
      <c r="C151" s="98"/>
      <c r="D151" s="98"/>
      <c r="E151" s="273" t="s">
        <v>1495</v>
      </c>
      <c r="F151" s="123" t="s">
        <v>135</v>
      </c>
      <c r="G151" s="123" t="s">
        <v>1501</v>
      </c>
      <c r="H151" s="274">
        <f t="array" ref="H151:AH151">calcflqfmobavi</f>
        <v>0</v>
      </c>
      <c r="I151" s="274">
        <v>0.0</v>
      </c>
      <c r="J151" s="274">
        <v>0.0</v>
      </c>
      <c r="K151" s="274">
        <v>0.0</v>
      </c>
      <c r="L151" s="274">
        <v>0.0</v>
      </c>
      <c r="M151" s="274">
        <v>0.0</v>
      </c>
      <c r="N151" s="274">
        <v>0.0</v>
      </c>
      <c r="O151" s="274">
        <v>0.0</v>
      </c>
      <c r="P151" s="274">
        <v>0.0</v>
      </c>
      <c r="Q151" s="274">
        <v>0.0</v>
      </c>
      <c r="R151" s="274">
        <v>0.0</v>
      </c>
      <c r="S151" s="274">
        <v>0.0</v>
      </c>
      <c r="T151" s="274">
        <v>0.0</v>
      </c>
      <c r="U151" s="274">
        <v>0.0</v>
      </c>
      <c r="V151" s="274">
        <v>0.0</v>
      </c>
      <c r="W151" s="274">
        <v>11.004044643782347</v>
      </c>
      <c r="X151" s="274">
        <v>0.0</v>
      </c>
      <c r="Y151" s="274">
        <v>0.0</v>
      </c>
      <c r="Z151" s="274">
        <v>0.0</v>
      </c>
      <c r="AA151" s="274">
        <v>0.0</v>
      </c>
      <c r="AB151" s="274">
        <v>13.794659000000001</v>
      </c>
      <c r="AC151" s="274">
        <v>11.869209245172412</v>
      </c>
      <c r="AD151" s="274">
        <v>8.788652872758624</v>
      </c>
      <c r="AE151" s="274" t="e">
        <v>#NAME?</v>
      </c>
      <c r="AF151" s="274">
        <v>5.560457813793104</v>
      </c>
      <c r="AG151" s="274">
        <v>5.23621892586207</v>
      </c>
      <c r="AH151" s="274">
        <v>4.957507386206897</v>
      </c>
      <c r="AI151" s="125"/>
      <c r="AJ151" s="125"/>
      <c r="AK151" s="125"/>
      <c r="AL151" s="125"/>
      <c r="AM151" s="251"/>
      <c r="AN151" s="100" t="b">
        <f t="shared" si="8"/>
        <v>1</v>
      </c>
      <c r="AO151" s="102"/>
    </row>
    <row r="152" ht="14.25" customHeight="1" outlineLevel="2">
      <c r="A152" s="390"/>
      <c r="B152" s="393" t="s">
        <v>1502</v>
      </c>
      <c r="C152" s="394"/>
      <c r="D152" s="394"/>
      <c r="E152" s="162"/>
      <c r="F152" s="162"/>
      <c r="G152" s="162"/>
      <c r="H152" s="178"/>
      <c r="I152" s="178"/>
      <c r="J152" s="178"/>
      <c r="K152" s="178"/>
      <c r="L152" s="178"/>
      <c r="M152" s="178"/>
      <c r="N152" s="178"/>
      <c r="O152" s="178"/>
      <c r="P152" s="178"/>
      <c r="Q152" s="178"/>
      <c r="R152" s="178"/>
      <c r="S152" s="178"/>
      <c r="T152" s="178"/>
      <c r="U152" s="178"/>
      <c r="V152" s="178"/>
      <c r="W152" s="178"/>
      <c r="X152" s="178"/>
      <c r="Y152" s="178"/>
      <c r="Z152" s="178"/>
      <c r="AA152" s="178"/>
      <c r="AB152" s="178"/>
      <c r="AC152" s="178"/>
      <c r="AD152" s="178"/>
      <c r="AE152" s="178"/>
      <c r="AF152" s="178"/>
      <c r="AG152" s="178"/>
      <c r="AH152" s="178"/>
      <c r="AI152" s="100"/>
      <c r="AJ152" s="100"/>
      <c r="AK152" s="100"/>
      <c r="AL152" s="100"/>
      <c r="AM152" s="100"/>
      <c r="AN152" s="100" t="b">
        <f t="shared" si="8"/>
        <v>0</v>
      </c>
      <c r="AO152" s="102"/>
    </row>
    <row r="153" ht="14.25" customHeight="1" outlineLevel="3">
      <c r="A153" s="390"/>
      <c r="B153" s="394"/>
      <c r="C153" s="393" t="s">
        <v>1474</v>
      </c>
      <c r="D153" s="394"/>
      <c r="E153" s="162"/>
      <c r="F153" s="162"/>
      <c r="G153" s="162"/>
      <c r="H153" s="178"/>
      <c r="I153" s="178"/>
      <c r="J153" s="178"/>
      <c r="K153" s="178"/>
      <c r="L153" s="178"/>
      <c r="M153" s="178"/>
      <c r="N153" s="178"/>
      <c r="O153" s="178"/>
      <c r="P153" s="178"/>
      <c r="Q153" s="178"/>
      <c r="R153" s="178"/>
      <c r="S153" s="178"/>
      <c r="T153" s="178"/>
      <c r="U153" s="178"/>
      <c r="V153" s="178"/>
      <c r="W153" s="178"/>
      <c r="X153" s="178"/>
      <c r="Y153" s="178"/>
      <c r="Z153" s="178"/>
      <c r="AA153" s="178"/>
      <c r="AB153" s="178"/>
      <c r="AC153" s="178"/>
      <c r="AD153" s="178"/>
      <c r="AE153" s="178"/>
      <c r="AF153" s="178"/>
      <c r="AG153" s="178"/>
      <c r="AH153" s="178"/>
      <c r="AI153" s="100"/>
      <c r="AJ153" s="100"/>
      <c r="AK153" s="100"/>
      <c r="AL153" s="100"/>
      <c r="AM153" s="100"/>
      <c r="AN153" s="100" t="b">
        <f t="shared" si="8"/>
        <v>0</v>
      </c>
      <c r="AO153" s="102"/>
    </row>
    <row r="154" ht="14.25" customHeight="1" outlineLevel="4">
      <c r="A154" s="98"/>
      <c r="B154" s="98"/>
      <c r="C154" s="98"/>
      <c r="D154" s="98"/>
      <c r="E154" s="122" t="s">
        <v>1503</v>
      </c>
      <c r="F154" s="123" t="s">
        <v>1238</v>
      </c>
      <c r="G154" s="123" t="s">
        <v>1504</v>
      </c>
      <c r="H154" s="260">
        <v>0.0</v>
      </c>
      <c r="I154" s="181">
        <v>0.0</v>
      </c>
      <c r="J154" s="181">
        <v>0.0</v>
      </c>
      <c r="K154" s="181">
        <v>0.0</v>
      </c>
      <c r="L154" s="181">
        <v>0.0</v>
      </c>
      <c r="M154" s="181">
        <v>0.0</v>
      </c>
      <c r="N154" s="181">
        <v>0.0</v>
      </c>
      <c r="O154" s="181">
        <v>0.0</v>
      </c>
      <c r="P154" s="181">
        <v>0.0</v>
      </c>
      <c r="Q154" s="181">
        <v>0.0</v>
      </c>
      <c r="R154" s="181">
        <v>0.0</v>
      </c>
      <c r="S154" s="181">
        <v>0.0</v>
      </c>
      <c r="T154" s="181">
        <v>0.0</v>
      </c>
      <c r="U154" s="181">
        <v>0.0</v>
      </c>
      <c r="V154" s="181">
        <v>0.0</v>
      </c>
      <c r="W154" s="182">
        <v>0.0</v>
      </c>
      <c r="X154" s="181">
        <v>0.0</v>
      </c>
      <c r="Y154" s="181">
        <v>0.0</v>
      </c>
      <c r="Z154" s="181">
        <v>0.0</v>
      </c>
      <c r="AA154" s="181">
        <v>0.0</v>
      </c>
      <c r="AB154" s="182">
        <v>0.0</v>
      </c>
      <c r="AC154" s="182">
        <v>0.0</v>
      </c>
      <c r="AD154" s="182">
        <v>0.0</v>
      </c>
      <c r="AE154" s="182">
        <v>0.0</v>
      </c>
      <c r="AF154" s="182">
        <v>0.0</v>
      </c>
      <c r="AG154" s="182">
        <v>0.0</v>
      </c>
      <c r="AH154" s="184">
        <v>0.0</v>
      </c>
      <c r="AI154" s="318"/>
      <c r="AJ154" s="318"/>
      <c r="AK154" s="318"/>
      <c r="AL154" s="318"/>
      <c r="AM154" s="251"/>
      <c r="AN154" s="100" t="b">
        <f t="shared" si="8"/>
        <v>0</v>
      </c>
      <c r="AO154" s="102"/>
    </row>
    <row r="155" ht="14.25" customHeight="1" outlineLevel="3">
      <c r="A155" s="390"/>
      <c r="B155" s="394"/>
      <c r="C155" s="393" t="s">
        <v>1458</v>
      </c>
      <c r="D155" s="394"/>
      <c r="E155" s="162"/>
      <c r="F155" s="162"/>
      <c r="G155" s="162"/>
      <c r="H155" s="178"/>
      <c r="I155" s="178"/>
      <c r="J155" s="178"/>
      <c r="K155" s="178"/>
      <c r="L155" s="178"/>
      <c r="M155" s="178"/>
      <c r="N155" s="178"/>
      <c r="O155" s="178"/>
      <c r="P155" s="178"/>
      <c r="Q155" s="178"/>
      <c r="R155" s="178"/>
      <c r="S155" s="178"/>
      <c r="T155" s="178"/>
      <c r="U155" s="178"/>
      <c r="V155" s="178"/>
      <c r="W155" s="178"/>
      <c r="X155" s="178"/>
      <c r="Y155" s="178"/>
      <c r="Z155" s="178"/>
      <c r="AA155" s="178"/>
      <c r="AB155" s="178"/>
      <c r="AC155" s="178"/>
      <c r="AD155" s="178"/>
      <c r="AE155" s="178"/>
      <c r="AF155" s="178"/>
      <c r="AG155" s="178"/>
      <c r="AH155" s="178"/>
      <c r="AI155" s="100"/>
      <c r="AJ155" s="100"/>
      <c r="AK155" s="100"/>
      <c r="AL155" s="100"/>
      <c r="AM155" s="100"/>
      <c r="AN155" s="100" t="b">
        <f t="shared" si="8"/>
        <v>0</v>
      </c>
      <c r="AO155" s="102"/>
    </row>
    <row r="156" ht="14.25" customHeight="1" outlineLevel="4">
      <c r="A156" s="390"/>
      <c r="B156" s="394"/>
      <c r="C156" s="393"/>
      <c r="D156" s="394"/>
      <c r="E156" s="412" t="s">
        <v>1505</v>
      </c>
      <c r="F156" s="123" t="s">
        <v>1460</v>
      </c>
      <c r="G156" s="123" t="s">
        <v>1506</v>
      </c>
      <c r="H156" s="260"/>
      <c r="I156" s="181"/>
      <c r="J156" s="181"/>
      <c r="K156" s="181"/>
      <c r="L156" s="181"/>
      <c r="M156" s="181"/>
      <c r="N156" s="181"/>
      <c r="O156" s="181"/>
      <c r="P156" s="181"/>
      <c r="Q156" s="181"/>
      <c r="R156" s="181"/>
      <c r="S156" s="181"/>
      <c r="T156" s="181"/>
      <c r="U156" s="181"/>
      <c r="V156" s="181"/>
      <c r="W156" s="202">
        <v>0.0</v>
      </c>
      <c r="X156" s="181"/>
      <c r="Y156" s="181"/>
      <c r="Z156" s="181"/>
      <c r="AA156" s="181"/>
      <c r="AB156" s="202"/>
      <c r="AC156" s="202"/>
      <c r="AD156" s="202"/>
      <c r="AE156" s="202"/>
      <c r="AF156" s="202"/>
      <c r="AG156" s="202"/>
      <c r="AH156" s="202"/>
      <c r="AI156" s="318"/>
      <c r="AJ156" s="318"/>
      <c r="AK156" s="318"/>
      <c r="AL156" s="318"/>
      <c r="AM156" s="251"/>
      <c r="AN156" s="100" t="b">
        <f t="shared" si="8"/>
        <v>0</v>
      </c>
      <c r="AO156" s="102"/>
    </row>
    <row r="157" ht="13.5" customHeight="1" outlineLevel="3">
      <c r="A157" s="414"/>
      <c r="B157" s="302"/>
      <c r="C157" s="302" t="s">
        <v>1507</v>
      </c>
      <c r="D157" s="283"/>
      <c r="E157" s="162"/>
      <c r="F157" s="162"/>
      <c r="G157" s="162"/>
      <c r="H157" s="178"/>
      <c r="I157" s="178"/>
      <c r="J157" s="178"/>
      <c r="K157" s="178"/>
      <c r="L157" s="178"/>
      <c r="M157" s="178"/>
      <c r="N157" s="178"/>
      <c r="O157" s="178"/>
      <c r="P157" s="178"/>
      <c r="Q157" s="178"/>
      <c r="R157" s="178"/>
      <c r="S157" s="178"/>
      <c r="T157" s="178"/>
      <c r="U157" s="178"/>
      <c r="V157" s="178"/>
      <c r="W157" s="178"/>
      <c r="X157" s="178"/>
      <c r="Y157" s="178"/>
      <c r="Z157" s="178"/>
      <c r="AA157" s="178"/>
      <c r="AB157" s="178"/>
      <c r="AC157" s="178"/>
      <c r="AD157" s="178"/>
      <c r="AE157" s="178"/>
      <c r="AF157" s="178"/>
      <c r="AG157" s="178"/>
      <c r="AH157" s="178"/>
      <c r="AI157" s="336"/>
      <c r="AJ157" s="244"/>
      <c r="AK157" s="244"/>
      <c r="AL157" s="244"/>
      <c r="AM157" s="162"/>
      <c r="AN157" s="100" t="b">
        <f t="shared" si="8"/>
        <v>0</v>
      </c>
      <c r="AO157" s="102"/>
    </row>
    <row r="158" ht="14.25" customHeight="1" outlineLevel="4">
      <c r="A158" s="98"/>
      <c r="B158" s="98"/>
      <c r="C158" s="98"/>
      <c r="D158" s="98"/>
      <c r="E158" s="273" t="s">
        <v>1508</v>
      </c>
      <c r="F158" s="123" t="s">
        <v>135</v>
      </c>
      <c r="G158" s="123" t="s">
        <v>1509</v>
      </c>
      <c r="H158" s="274">
        <f t="array" ref="H158:AH158">calcflqfmobwat</f>
        <v>0</v>
      </c>
      <c r="I158" s="274">
        <v>0.0</v>
      </c>
      <c r="J158" s="274">
        <v>0.0</v>
      </c>
      <c r="K158" s="274">
        <v>0.0</v>
      </c>
      <c r="L158" s="274">
        <v>0.0</v>
      </c>
      <c r="M158" s="274">
        <v>0.0</v>
      </c>
      <c r="N158" s="274">
        <v>0.0</v>
      </c>
      <c r="O158" s="274">
        <v>0.0</v>
      </c>
      <c r="P158" s="274">
        <v>0.0</v>
      </c>
      <c r="Q158" s="274">
        <v>0.0</v>
      </c>
      <c r="R158" s="274">
        <v>0.0</v>
      </c>
      <c r="S158" s="274">
        <v>0.0</v>
      </c>
      <c r="T158" s="274">
        <v>0.0</v>
      </c>
      <c r="U158" s="274">
        <v>0.0</v>
      </c>
      <c r="V158" s="274">
        <v>0.0</v>
      </c>
      <c r="W158" s="274">
        <v>0.0</v>
      </c>
      <c r="X158" s="274">
        <v>0.0</v>
      </c>
      <c r="Y158" s="274">
        <v>0.0</v>
      </c>
      <c r="Z158" s="274">
        <v>0.0</v>
      </c>
      <c r="AA158" s="274">
        <v>0.0</v>
      </c>
      <c r="AB158" s="274">
        <v>0.0</v>
      </c>
      <c r="AC158" s="274">
        <v>0.0</v>
      </c>
      <c r="AD158" s="274">
        <v>0.0</v>
      </c>
      <c r="AE158" s="274">
        <v>0.0</v>
      </c>
      <c r="AF158" s="274">
        <v>0.0</v>
      </c>
      <c r="AG158" s="274">
        <v>0.0</v>
      </c>
      <c r="AH158" s="274">
        <v>0.0</v>
      </c>
      <c r="AI158" s="125"/>
      <c r="AJ158" s="125"/>
      <c r="AK158" s="125"/>
      <c r="AL158" s="125"/>
      <c r="AM158" s="251"/>
      <c r="AN158" s="100" t="b">
        <f t="shared" si="8"/>
        <v>1</v>
      </c>
      <c r="AO158" s="102"/>
    </row>
    <row r="159" ht="14.25" customHeight="1">
      <c r="A159" s="390" t="s">
        <v>1510</v>
      </c>
      <c r="B159" s="246"/>
      <c r="C159" s="246"/>
      <c r="D159" s="201"/>
      <c r="E159" s="162"/>
      <c r="F159" s="162"/>
      <c r="G159" s="162"/>
      <c r="H159" s="178"/>
      <c r="I159" s="178"/>
      <c r="J159" s="178"/>
      <c r="K159" s="178"/>
      <c r="L159" s="178"/>
      <c r="M159" s="178"/>
      <c r="N159" s="178"/>
      <c r="O159" s="178"/>
      <c r="P159" s="178"/>
      <c r="Q159" s="178"/>
      <c r="R159" s="178"/>
      <c r="S159" s="178"/>
      <c r="T159" s="178"/>
      <c r="U159" s="178"/>
      <c r="V159" s="178"/>
      <c r="W159" s="178"/>
      <c r="X159" s="178"/>
      <c r="Y159" s="178"/>
      <c r="Z159" s="178"/>
      <c r="AA159" s="178"/>
      <c r="AB159" s="178"/>
      <c r="AC159" s="178"/>
      <c r="AD159" s="178"/>
      <c r="AE159" s="178"/>
      <c r="AF159" s="178"/>
      <c r="AG159" s="178"/>
      <c r="AH159" s="178"/>
      <c r="AI159" s="162"/>
      <c r="AJ159" s="162"/>
      <c r="AK159" s="162"/>
      <c r="AL159" s="162"/>
      <c r="AM159" s="162"/>
      <c r="AN159" s="100" t="b">
        <f t="shared" si="8"/>
        <v>0</v>
      </c>
      <c r="AO159" s="102"/>
    </row>
    <row r="160" ht="14.25" customHeight="1" outlineLevel="1">
      <c r="A160" s="390"/>
      <c r="B160" s="393" t="str">
        <f>IF(COUNTIF(H160:AH160,"warning")&gt;0,"• Optional input values &gt;&gt; WARNING: For some years, Total FEC ≠ ∑ FEC by final energy carrier!","• Optional input values")</f>
        <v>• Optional input values</v>
      </c>
      <c r="C160" s="246"/>
      <c r="D160" s="201"/>
      <c r="E160" s="162"/>
      <c r="F160" s="162"/>
      <c r="G160" s="162"/>
      <c r="H160" s="290" t="str">
        <f t="shared" ref="H160:V160" si="16">IF(OR(ISBLANK(H161),SUM(H162:H165)=0,COUNTA(H162:H165)=0),"",IF(ABS(H161-SUM(H162:H165))/H161&lt;10^-3,"","Warning"))</f>
        <v/>
      </c>
      <c r="I160" s="290" t="str">
        <f t="shared" si="16"/>
        <v/>
      </c>
      <c r="J160" s="290" t="str">
        <f t="shared" si="16"/>
        <v/>
      </c>
      <c r="K160" s="290" t="str">
        <f t="shared" si="16"/>
        <v/>
      </c>
      <c r="L160" s="290" t="str">
        <f t="shared" si="16"/>
        <v/>
      </c>
      <c r="M160" s="290" t="str">
        <f t="shared" si="16"/>
        <v/>
      </c>
      <c r="N160" s="290" t="str">
        <f t="shared" si="16"/>
        <v/>
      </c>
      <c r="O160" s="290" t="str">
        <f t="shared" si="16"/>
        <v/>
      </c>
      <c r="P160" s="290" t="str">
        <f t="shared" si="16"/>
        <v/>
      </c>
      <c r="Q160" s="290" t="str">
        <f t="shared" si="16"/>
        <v/>
      </c>
      <c r="R160" s="290" t="str">
        <f t="shared" si="16"/>
        <v/>
      </c>
      <c r="S160" s="290" t="str">
        <f t="shared" si="16"/>
        <v/>
      </c>
      <c r="T160" s="290" t="str">
        <f t="shared" si="16"/>
        <v/>
      </c>
      <c r="U160" s="290" t="str">
        <f t="shared" si="16"/>
        <v/>
      </c>
      <c r="V160" s="290" t="str">
        <f t="shared" si="16"/>
        <v/>
      </c>
      <c r="W160" s="420">
        <v>103.089884435914</v>
      </c>
      <c r="X160" s="290" t="str">
        <f t="shared" ref="X160:AB160" si="17">IF(OR(ISBLANK(X161),SUM(X162:X165)=0,COUNTA(X162:X165)=0),"",IF(ABS(X161-SUM(X162:X165))/X161&lt;10^-3,"","Warning"))</f>
        <v>#DIV/0!</v>
      </c>
      <c r="Y160" s="290" t="str">
        <f t="shared" si="17"/>
        <v>#DIV/0!</v>
      </c>
      <c r="Z160" s="290" t="str">
        <f t="shared" si="17"/>
        <v>#DIV/0!</v>
      </c>
      <c r="AA160" s="290" t="str">
        <f t="shared" si="17"/>
        <v>#DIV/0!</v>
      </c>
      <c r="AB160" s="290" t="str">
        <f t="shared" si="17"/>
        <v/>
      </c>
      <c r="AC160" s="290" t="str">
        <f t="shared" ref="AC160:AH160" si="18">IF(OR(ISBLANK(AC161),COUNTA(AC162:AC165)=0),"",IF(ABS(AC161-SUM(AC162:AC165))/AC161&lt;10^-3,"","Warning"))</f>
        <v/>
      </c>
      <c r="AD160" s="290" t="str">
        <f t="shared" si="18"/>
        <v/>
      </c>
      <c r="AE160" s="290" t="str">
        <f t="shared" si="18"/>
        <v/>
      </c>
      <c r="AF160" s="290" t="str">
        <f t="shared" si="18"/>
        <v/>
      </c>
      <c r="AG160" s="290" t="str">
        <f t="shared" si="18"/>
        <v/>
      </c>
      <c r="AH160" s="290" t="str">
        <f t="shared" si="18"/>
        <v/>
      </c>
      <c r="AI160" s="162"/>
      <c r="AJ160" s="162"/>
      <c r="AK160" s="162"/>
      <c r="AL160" s="162"/>
      <c r="AM160" s="162"/>
      <c r="AN160" s="100" t="b">
        <f t="shared" si="8"/>
        <v>1</v>
      </c>
      <c r="AO160" s="102"/>
    </row>
    <row r="161" ht="14.25" customHeight="1" outlineLevel="6">
      <c r="A161" s="390"/>
      <c r="B161" s="394"/>
      <c r="C161" s="393"/>
      <c r="D161" s="394"/>
      <c r="E161" s="180" t="s">
        <v>1511</v>
      </c>
      <c r="F161" s="123" t="s">
        <v>135</v>
      </c>
      <c r="G161" s="123" t="s">
        <v>1512</v>
      </c>
      <c r="H161" s="260">
        <v>78.3595936703417</v>
      </c>
      <c r="I161" s="181">
        <v>76.5137385414416</v>
      </c>
      <c r="J161" s="181">
        <v>75.7432502112649</v>
      </c>
      <c r="K161" s="181">
        <v>79.707895528813</v>
      </c>
      <c r="L161" s="181">
        <v>78.863044891318</v>
      </c>
      <c r="M161" s="181">
        <v>74.6251004121533</v>
      </c>
      <c r="N161" s="181">
        <v>73.5244659194179</v>
      </c>
      <c r="O161" s="181">
        <v>75.6684468101269</v>
      </c>
      <c r="P161" s="181">
        <v>78.3331794082361</v>
      </c>
      <c r="Q161" s="181">
        <v>78.6689250177381</v>
      </c>
      <c r="R161" s="181">
        <v>78.0032973434049</v>
      </c>
      <c r="S161" s="181">
        <v>78.3909422433215</v>
      </c>
      <c r="T161" s="181">
        <v>75.3901575577406</v>
      </c>
      <c r="U161" s="181">
        <v>72.4218960787248</v>
      </c>
      <c r="V161" s="181">
        <v>74.2617871051502</v>
      </c>
      <c r="W161" s="182">
        <v>59.3054603903575</v>
      </c>
      <c r="X161" s="181"/>
      <c r="Y161" s="181"/>
      <c r="Z161" s="181"/>
      <c r="AA161" s="181"/>
      <c r="AB161" s="182">
        <v>58.8503114224678</v>
      </c>
      <c r="AC161" s="202"/>
      <c r="AD161" s="202"/>
      <c r="AE161" s="202"/>
      <c r="AF161" s="202"/>
      <c r="AG161" s="202"/>
      <c r="AH161" s="203"/>
      <c r="AI161" s="125"/>
      <c r="AJ161" s="125"/>
      <c r="AK161" s="125"/>
      <c r="AL161" s="125"/>
      <c r="AM161" s="251"/>
      <c r="AN161" s="100" t="b">
        <f t="shared" si="8"/>
        <v>0</v>
      </c>
      <c r="AO161" s="102"/>
    </row>
    <row r="162" ht="14.25" customHeight="1" outlineLevel="4">
      <c r="A162" s="390"/>
      <c r="B162" s="394"/>
      <c r="C162" s="393"/>
      <c r="D162" s="394"/>
      <c r="E162" s="122" t="s">
        <v>1513</v>
      </c>
      <c r="F162" s="123" t="s">
        <v>135</v>
      </c>
      <c r="G162" s="123" t="s">
        <v>1514</v>
      </c>
      <c r="H162" s="260"/>
      <c r="I162" s="260"/>
      <c r="J162" s="181"/>
      <c r="K162" s="181"/>
      <c r="L162" s="181"/>
      <c r="M162" s="181"/>
      <c r="N162" s="181"/>
      <c r="O162" s="181"/>
      <c r="P162" s="181"/>
      <c r="Q162" s="181"/>
      <c r="R162" s="181"/>
      <c r="S162" s="181"/>
      <c r="T162" s="181"/>
      <c r="U162" s="181"/>
      <c r="V162" s="181"/>
      <c r="W162" s="182">
        <v>58.1030169105079</v>
      </c>
      <c r="X162" s="181" t="str">
        <f t="shared" ref="X162:AA162" si="19">#DIV/0!</f>
        <v>#DIV/0!</v>
      </c>
      <c r="Y162" s="181" t="str">
        <f t="shared" si="19"/>
        <v>#DIV/0!</v>
      </c>
      <c r="Z162" s="181" t="str">
        <f t="shared" si="19"/>
        <v>#DIV/0!</v>
      </c>
      <c r="AA162" s="181" t="str">
        <f t="shared" si="19"/>
        <v>#DIV/0!</v>
      </c>
      <c r="AB162" s="182">
        <v>57.3617710802568</v>
      </c>
      <c r="AC162" s="202"/>
      <c r="AD162" s="202"/>
      <c r="AE162" s="202"/>
      <c r="AF162" s="202"/>
      <c r="AG162" s="202"/>
      <c r="AH162" s="203"/>
      <c r="AI162" s="125"/>
      <c r="AJ162" s="125"/>
      <c r="AK162" s="125"/>
      <c r="AL162" s="125"/>
      <c r="AM162" s="251"/>
      <c r="AN162" s="100" t="b">
        <f t="shared" si="8"/>
        <v>0</v>
      </c>
      <c r="AO162" s="102"/>
    </row>
    <row r="163" ht="14.25" customHeight="1" outlineLevel="4">
      <c r="A163" s="390"/>
      <c r="B163" s="394"/>
      <c r="C163" s="393"/>
      <c r="D163" s="394"/>
      <c r="E163" s="122" t="s">
        <v>1515</v>
      </c>
      <c r="F163" s="123" t="s">
        <v>135</v>
      </c>
      <c r="G163" s="123" t="s">
        <v>1516</v>
      </c>
      <c r="H163" s="260"/>
      <c r="I163" s="260"/>
      <c r="J163" s="181"/>
      <c r="K163" s="181"/>
      <c r="L163" s="181"/>
      <c r="M163" s="181"/>
      <c r="N163" s="181"/>
      <c r="O163" s="181"/>
      <c r="P163" s="181"/>
      <c r="Q163" s="181"/>
      <c r="R163" s="181"/>
      <c r="S163" s="181"/>
      <c r="T163" s="181"/>
      <c r="U163" s="181"/>
      <c r="V163" s="181"/>
      <c r="W163" s="182">
        <v>0.0317243571278785</v>
      </c>
      <c r="X163" s="181" t="str">
        <f t="shared" ref="X163:AA163" si="20">#DIV/0!</f>
        <v>#DIV/0!</v>
      </c>
      <c r="Y163" s="181" t="str">
        <f t="shared" si="20"/>
        <v>#DIV/0!</v>
      </c>
      <c r="Z163" s="181" t="str">
        <f t="shared" si="20"/>
        <v>#DIV/0!</v>
      </c>
      <c r="AA163" s="181" t="str">
        <f t="shared" si="20"/>
        <v>#DIV/0!</v>
      </c>
      <c r="AB163" s="182">
        <v>0.130025633658371</v>
      </c>
      <c r="AC163" s="202"/>
      <c r="AD163" s="202"/>
      <c r="AE163" s="202"/>
      <c r="AF163" s="202"/>
      <c r="AG163" s="202"/>
      <c r="AH163" s="203"/>
      <c r="AI163" s="125"/>
      <c r="AJ163" s="318"/>
      <c r="AK163" s="318"/>
      <c r="AL163" s="318"/>
      <c r="AM163" s="251"/>
      <c r="AN163" s="100" t="b">
        <f t="shared" si="8"/>
        <v>0</v>
      </c>
      <c r="AO163" s="102"/>
    </row>
    <row r="164" ht="14.25" customHeight="1" outlineLevel="4">
      <c r="A164" s="390"/>
      <c r="B164" s="394"/>
      <c r="C164" s="393"/>
      <c r="D164" s="394"/>
      <c r="E164" s="122" t="s">
        <v>1517</v>
      </c>
      <c r="F164" s="123" t="s">
        <v>135</v>
      </c>
      <c r="G164" s="123" t="s">
        <v>1518</v>
      </c>
      <c r="H164" s="260"/>
      <c r="I164" s="260"/>
      <c r="J164" s="181"/>
      <c r="K164" s="181"/>
      <c r="L164" s="181"/>
      <c r="M164" s="181"/>
      <c r="N164" s="181"/>
      <c r="O164" s="181"/>
      <c r="P164" s="181"/>
      <c r="Q164" s="181"/>
      <c r="R164" s="181"/>
      <c r="S164" s="181"/>
      <c r="T164" s="181"/>
      <c r="U164" s="181"/>
      <c r="V164" s="181"/>
      <c r="W164" s="182">
        <v>0.0</v>
      </c>
      <c r="X164" s="181" t="str">
        <f t="shared" ref="X164:AA164" si="21">#DIV/0!</f>
        <v>#DIV/0!</v>
      </c>
      <c r="Y164" s="181" t="str">
        <f t="shared" si="21"/>
        <v>#DIV/0!</v>
      </c>
      <c r="Z164" s="181" t="str">
        <f t="shared" si="21"/>
        <v>#DIV/0!</v>
      </c>
      <c r="AA164" s="181" t="str">
        <f t="shared" si="21"/>
        <v>#DIV/0!</v>
      </c>
      <c r="AB164" s="182">
        <v>0.0</v>
      </c>
      <c r="AC164" s="202"/>
      <c r="AD164" s="202"/>
      <c r="AE164" s="202"/>
      <c r="AF164" s="202"/>
      <c r="AG164" s="202"/>
      <c r="AH164" s="203"/>
      <c r="AI164" s="125"/>
      <c r="AJ164" s="318"/>
      <c r="AK164" s="318"/>
      <c r="AL164" s="318"/>
      <c r="AM164" s="251"/>
      <c r="AN164" s="100" t="b">
        <f t="shared" si="8"/>
        <v>0</v>
      </c>
      <c r="AO164" s="102"/>
    </row>
    <row r="165" ht="14.25" customHeight="1" outlineLevel="4">
      <c r="A165" s="390"/>
      <c r="B165" s="394"/>
      <c r="C165" s="393"/>
      <c r="D165" s="394"/>
      <c r="E165" s="122" t="s">
        <v>1519</v>
      </c>
      <c r="F165" s="123" t="s">
        <v>135</v>
      </c>
      <c r="G165" s="123" t="s">
        <v>1520</v>
      </c>
      <c r="H165" s="260"/>
      <c r="I165" s="260"/>
      <c r="J165" s="181"/>
      <c r="K165" s="181"/>
      <c r="L165" s="181"/>
      <c r="M165" s="181"/>
      <c r="N165" s="181"/>
      <c r="O165" s="181"/>
      <c r="P165" s="181"/>
      <c r="Q165" s="181"/>
      <c r="R165" s="181"/>
      <c r="S165" s="181"/>
      <c r="T165" s="181"/>
      <c r="U165" s="181"/>
      <c r="V165" s="181"/>
      <c r="W165" s="182">
        <v>1.17071912272173</v>
      </c>
      <c r="X165" s="181" t="str">
        <f t="shared" ref="X165:AA165" si="22">#DIV/0!</f>
        <v>#DIV/0!</v>
      </c>
      <c r="Y165" s="181" t="str">
        <f t="shared" si="22"/>
        <v>#DIV/0!</v>
      </c>
      <c r="Z165" s="181" t="str">
        <f t="shared" si="22"/>
        <v>#DIV/0!</v>
      </c>
      <c r="AA165" s="181" t="str">
        <f t="shared" si="22"/>
        <v>#DIV/0!</v>
      </c>
      <c r="AB165" s="182">
        <v>1.35851470855264</v>
      </c>
      <c r="AC165" s="202"/>
      <c r="AD165" s="202"/>
      <c r="AE165" s="202"/>
      <c r="AF165" s="202"/>
      <c r="AG165" s="202"/>
      <c r="AH165" s="203"/>
      <c r="AI165" s="125"/>
      <c r="AJ165" s="318"/>
      <c r="AK165" s="318"/>
      <c r="AL165" s="318"/>
      <c r="AM165" s="251"/>
      <c r="AN165" s="100" t="b">
        <f t="shared" si="8"/>
        <v>0</v>
      </c>
      <c r="AO165" s="102"/>
    </row>
    <row r="166" ht="13.5" customHeight="1" outlineLevel="1">
      <c r="A166" s="247"/>
      <c r="B166" s="302" t="s">
        <v>1521</v>
      </c>
      <c r="C166" s="162"/>
      <c r="D166" s="201"/>
      <c r="E166" s="162"/>
      <c r="F166" s="162"/>
      <c r="G166" s="162"/>
      <c r="H166" s="178"/>
      <c r="I166" s="178"/>
      <c r="J166" s="178"/>
      <c r="K166" s="178"/>
      <c r="L166" s="178"/>
      <c r="M166" s="178"/>
      <c r="N166" s="178"/>
      <c r="O166" s="178"/>
      <c r="P166" s="178"/>
      <c r="Q166" s="178"/>
      <c r="R166" s="178"/>
      <c r="S166" s="178"/>
      <c r="T166" s="178"/>
      <c r="U166" s="178"/>
      <c r="V166" s="178"/>
      <c r="W166" s="178"/>
      <c r="X166" s="178"/>
      <c r="Y166" s="178"/>
      <c r="Z166" s="178"/>
      <c r="AA166" s="178"/>
      <c r="AB166" s="178"/>
      <c r="AC166" s="178"/>
      <c r="AD166" s="178"/>
      <c r="AE166" s="178"/>
      <c r="AF166" s="178"/>
      <c r="AG166" s="178"/>
      <c r="AH166" s="178"/>
      <c r="AI166" s="336"/>
      <c r="AJ166" s="244"/>
      <c r="AK166" s="244"/>
      <c r="AL166" s="244"/>
      <c r="AM166" s="162"/>
      <c r="AN166" s="100" t="b">
        <f t="shared" si="8"/>
        <v>0</v>
      </c>
      <c r="AO166" s="102"/>
    </row>
    <row r="167" ht="14.25" customHeight="1" outlineLevel="3">
      <c r="A167" s="390"/>
      <c r="B167" s="394"/>
      <c r="C167" s="393"/>
      <c r="D167" s="394"/>
      <c r="E167" s="299" t="s">
        <v>1522</v>
      </c>
      <c r="F167" s="123" t="s">
        <v>135</v>
      </c>
      <c r="G167" s="123" t="s">
        <v>1523</v>
      </c>
      <c r="H167" s="274">
        <f t="array" ref="H167:AH167">recaltoccfmob</f>
        <v>0</v>
      </c>
      <c r="I167" s="274">
        <v>0.0</v>
      </c>
      <c r="J167" s="274">
        <v>0.0</v>
      </c>
      <c r="K167" s="274">
        <v>0.0</v>
      </c>
      <c r="L167" s="274">
        <v>0.0</v>
      </c>
      <c r="M167" s="274">
        <v>0.0</v>
      </c>
      <c r="N167" s="274">
        <v>0.0</v>
      </c>
      <c r="O167" s="274">
        <v>0.0</v>
      </c>
      <c r="P167" s="274">
        <v>0.0</v>
      </c>
      <c r="Q167" s="274">
        <v>0.0</v>
      </c>
      <c r="R167" s="274">
        <v>0.0</v>
      </c>
      <c r="S167" s="274">
        <v>0.0</v>
      </c>
      <c r="T167" s="274">
        <v>0.0</v>
      </c>
      <c r="U167" s="274">
        <v>0.0</v>
      </c>
      <c r="V167" s="274">
        <v>0.0</v>
      </c>
      <c r="W167" s="274">
        <v>59.3054603903575</v>
      </c>
      <c r="X167" s="274" t="e">
        <v>#DIV/0!</v>
      </c>
      <c r="Y167" s="274" t="e">
        <v>#DIV/0!</v>
      </c>
      <c r="Z167" s="274" t="e">
        <v>#DIV/0!</v>
      </c>
      <c r="AA167" s="274" t="e">
        <v>#DIV/0!</v>
      </c>
      <c r="AB167" s="274">
        <v>58.85031142246781</v>
      </c>
      <c r="AC167" s="274">
        <v>45.3652625143788</v>
      </c>
      <c r="AD167" s="274">
        <v>26.562245566416742</v>
      </c>
      <c r="AE167" s="274">
        <v>16.929121725876158</v>
      </c>
      <c r="AF167" s="274">
        <v>12.351728891580972</v>
      </c>
      <c r="AG167" s="274">
        <v>9.626597005157507</v>
      </c>
      <c r="AH167" s="274">
        <v>8.131418778384424</v>
      </c>
      <c r="AI167" s="125"/>
      <c r="AJ167" s="125"/>
      <c r="AK167" s="125"/>
      <c r="AL167" s="125"/>
      <c r="AM167" s="251"/>
      <c r="AN167" s="100" t="b">
        <f t="shared" si="8"/>
        <v>1</v>
      </c>
      <c r="AO167" s="102"/>
    </row>
    <row r="168" ht="14.25" customHeight="1" outlineLevel="3">
      <c r="A168" s="390"/>
      <c r="B168" s="394"/>
      <c r="C168" s="393"/>
      <c r="D168" s="394"/>
      <c r="E168" s="273" t="s">
        <v>1513</v>
      </c>
      <c r="F168" s="123" t="s">
        <v>135</v>
      </c>
      <c r="G168" s="123" t="s">
        <v>1524</v>
      </c>
      <c r="H168" s="274">
        <f t="array" ref="H168:AH168">recallqfcfmob</f>
        <v>0</v>
      </c>
      <c r="I168" s="274">
        <v>0.0</v>
      </c>
      <c r="J168" s="274">
        <v>0.0</v>
      </c>
      <c r="K168" s="274">
        <v>0.0</v>
      </c>
      <c r="L168" s="274">
        <v>0.0</v>
      </c>
      <c r="M168" s="274">
        <v>0.0</v>
      </c>
      <c r="N168" s="274">
        <v>0.0</v>
      </c>
      <c r="O168" s="274">
        <v>0.0</v>
      </c>
      <c r="P168" s="274">
        <v>0.0</v>
      </c>
      <c r="Q168" s="274">
        <v>0.0</v>
      </c>
      <c r="R168" s="274">
        <v>0.0</v>
      </c>
      <c r="S168" s="274">
        <v>0.0</v>
      </c>
      <c r="T168" s="274">
        <v>0.0</v>
      </c>
      <c r="U168" s="274">
        <v>0.0</v>
      </c>
      <c r="V168" s="274">
        <v>0.0</v>
      </c>
      <c r="W168" s="274">
        <v>58.1030169105079</v>
      </c>
      <c r="X168" s="274" t="e">
        <v>#DIV/0!</v>
      </c>
      <c r="Y168" s="274" t="e">
        <v>#DIV/0!</v>
      </c>
      <c r="Z168" s="274" t="e">
        <v>#DIV/0!</v>
      </c>
      <c r="AA168" s="274" t="e">
        <v>#DIV/0!</v>
      </c>
      <c r="AB168" s="274">
        <v>57.3617710802568</v>
      </c>
      <c r="AC168" s="274">
        <v>41.673183081646314</v>
      </c>
      <c r="AD168" s="274">
        <v>21.22214879452839</v>
      </c>
      <c r="AE168" s="274">
        <v>10.193398000399156</v>
      </c>
      <c r="AF168" s="274">
        <v>4.967499126402861</v>
      </c>
      <c r="AG168" s="274">
        <v>2.35007665899425</v>
      </c>
      <c r="AH168" s="274">
        <v>0.5192684375432588</v>
      </c>
      <c r="AI168" s="125"/>
      <c r="AJ168" s="125"/>
      <c r="AK168" s="125"/>
      <c r="AL168" s="125"/>
      <c r="AM168" s="251"/>
      <c r="AN168" s="100" t="b">
        <f t="shared" si="8"/>
        <v>1</v>
      </c>
      <c r="AO168" s="102"/>
    </row>
    <row r="169" ht="14.25" customHeight="1" outlineLevel="3">
      <c r="A169" s="390"/>
      <c r="B169" s="394"/>
      <c r="C169" s="393"/>
      <c r="D169" s="394"/>
      <c r="E169" s="273" t="s">
        <v>1525</v>
      </c>
      <c r="F169" s="123" t="s">
        <v>135</v>
      </c>
      <c r="G169" s="123" t="s">
        <v>1526</v>
      </c>
      <c r="H169" s="274">
        <f t="array" ref="H169:AH169">recalgazcfmob</f>
        <v>0</v>
      </c>
      <c r="I169" s="274">
        <v>0.0</v>
      </c>
      <c r="J169" s="274">
        <v>0.0</v>
      </c>
      <c r="K169" s="274">
        <v>0.0</v>
      </c>
      <c r="L169" s="274">
        <v>0.0</v>
      </c>
      <c r="M169" s="274">
        <v>0.0</v>
      </c>
      <c r="N169" s="274">
        <v>0.0</v>
      </c>
      <c r="O169" s="274">
        <v>0.0</v>
      </c>
      <c r="P169" s="274">
        <v>0.0</v>
      </c>
      <c r="Q169" s="274">
        <v>0.0</v>
      </c>
      <c r="R169" s="274">
        <v>0.0</v>
      </c>
      <c r="S169" s="274">
        <v>0.0</v>
      </c>
      <c r="T169" s="274">
        <v>0.0</v>
      </c>
      <c r="U169" s="274">
        <v>0.0</v>
      </c>
      <c r="V169" s="274">
        <v>0.0</v>
      </c>
      <c r="W169" s="274">
        <v>0.0317243571278785</v>
      </c>
      <c r="X169" s="274" t="e">
        <v>#DIV/0!</v>
      </c>
      <c r="Y169" s="274" t="e">
        <v>#DIV/0!</v>
      </c>
      <c r="Z169" s="274" t="e">
        <v>#DIV/0!</v>
      </c>
      <c r="AA169" s="274" t="e">
        <v>#DIV/0!</v>
      </c>
      <c r="AB169" s="274">
        <v>0.130025633658371</v>
      </c>
      <c r="AC169" s="274">
        <v>0.11238785161464265</v>
      </c>
      <c r="AD169" s="274">
        <v>0.04538203976981897</v>
      </c>
      <c r="AE169" s="274">
        <v>0.021276040929513566</v>
      </c>
      <c r="AF169" s="274">
        <v>0.0</v>
      </c>
      <c r="AG169" s="274">
        <v>0.0</v>
      </c>
      <c r="AH169" s="274">
        <v>0.0</v>
      </c>
      <c r="AI169" s="125"/>
      <c r="AJ169" s="318"/>
      <c r="AK169" s="318"/>
      <c r="AL169" s="318"/>
      <c r="AM169" s="251"/>
      <c r="AN169" s="100" t="b">
        <f t="shared" si="8"/>
        <v>1</v>
      </c>
      <c r="AO169" s="102"/>
    </row>
    <row r="170" ht="14.25" customHeight="1" outlineLevel="3">
      <c r="A170" s="390"/>
      <c r="B170" s="394"/>
      <c r="C170" s="393"/>
      <c r="D170" s="394"/>
      <c r="E170" s="273" t="s">
        <v>1527</v>
      </c>
      <c r="F170" s="123" t="s">
        <v>135</v>
      </c>
      <c r="G170" s="123" t="s">
        <v>1528</v>
      </c>
      <c r="H170" s="274">
        <f t="array" ref="H170:AH170">recalhydcfmob</f>
        <v>0</v>
      </c>
      <c r="I170" s="274">
        <v>0.0</v>
      </c>
      <c r="J170" s="274">
        <v>0.0</v>
      </c>
      <c r="K170" s="274">
        <v>0.0</v>
      </c>
      <c r="L170" s="274">
        <v>0.0</v>
      </c>
      <c r="M170" s="274">
        <v>0.0</v>
      </c>
      <c r="N170" s="274">
        <v>0.0</v>
      </c>
      <c r="O170" s="274">
        <v>0.0</v>
      </c>
      <c r="P170" s="274">
        <v>0.0</v>
      </c>
      <c r="Q170" s="274">
        <v>0.0</v>
      </c>
      <c r="R170" s="274">
        <v>0.0</v>
      </c>
      <c r="S170" s="274">
        <v>0.0</v>
      </c>
      <c r="T170" s="274">
        <v>0.0</v>
      </c>
      <c r="U170" s="274">
        <v>0.0</v>
      </c>
      <c r="V170" s="274">
        <v>0.0</v>
      </c>
      <c r="W170" s="274">
        <v>0.0</v>
      </c>
      <c r="X170" s="274" t="e">
        <v>#DIV/0!</v>
      </c>
      <c r="Y170" s="274" t="e">
        <v>#DIV/0!</v>
      </c>
      <c r="Z170" s="274" t="e">
        <v>#DIV/0!</v>
      </c>
      <c r="AA170" s="274" t="e">
        <v>#DIV/0!</v>
      </c>
      <c r="AB170" s="274">
        <v>0.0</v>
      </c>
      <c r="AC170" s="274">
        <v>0.0</v>
      </c>
      <c r="AD170" s="274">
        <v>0.0</v>
      </c>
      <c r="AE170" s="274">
        <v>0.0</v>
      </c>
      <c r="AF170" s="274">
        <v>0.0</v>
      </c>
      <c r="AG170" s="274">
        <v>0.0</v>
      </c>
      <c r="AH170" s="274">
        <v>0.0</v>
      </c>
      <c r="AI170" s="125"/>
      <c r="AJ170" s="318"/>
      <c r="AK170" s="318"/>
      <c r="AL170" s="318"/>
      <c r="AM170" s="251"/>
      <c r="AN170" s="100" t="b">
        <f t="shared" si="8"/>
        <v>1</v>
      </c>
      <c r="AO170" s="102"/>
    </row>
    <row r="171" ht="14.25" customHeight="1" outlineLevel="3">
      <c r="A171" s="390"/>
      <c r="B171" s="394"/>
      <c r="C171" s="393"/>
      <c r="D171" s="394"/>
      <c r="E171" s="273" t="s">
        <v>1529</v>
      </c>
      <c r="F171" s="123" t="s">
        <v>135</v>
      </c>
      <c r="G171" s="123" t="s">
        <v>1530</v>
      </c>
      <c r="H171" s="274">
        <f t="array" ref="H171:AH171">recalelccfmob</f>
        <v>0</v>
      </c>
      <c r="I171" s="274">
        <v>0.0</v>
      </c>
      <c r="J171" s="274">
        <v>0.0</v>
      </c>
      <c r="K171" s="274">
        <v>0.0</v>
      </c>
      <c r="L171" s="274">
        <v>0.0</v>
      </c>
      <c r="M171" s="274">
        <v>0.0</v>
      </c>
      <c r="N171" s="274">
        <v>0.0</v>
      </c>
      <c r="O171" s="274">
        <v>0.0</v>
      </c>
      <c r="P171" s="274">
        <v>0.0</v>
      </c>
      <c r="Q171" s="274">
        <v>0.0</v>
      </c>
      <c r="R171" s="274">
        <v>0.0</v>
      </c>
      <c r="S171" s="274">
        <v>0.0</v>
      </c>
      <c r="T171" s="274">
        <v>0.0</v>
      </c>
      <c r="U171" s="274">
        <v>0.0</v>
      </c>
      <c r="V171" s="274">
        <v>0.0</v>
      </c>
      <c r="W171" s="274">
        <v>1.17071912272173</v>
      </c>
      <c r="X171" s="274" t="e">
        <v>#DIV/0!</v>
      </c>
      <c r="Y171" s="274" t="e">
        <v>#DIV/0!</v>
      </c>
      <c r="Z171" s="274" t="e">
        <v>#DIV/0!</v>
      </c>
      <c r="AA171" s="274" t="e">
        <v>#DIV/0!</v>
      </c>
      <c r="AB171" s="274">
        <v>1.35851470855264</v>
      </c>
      <c r="AC171" s="274">
        <v>3.579691581117846</v>
      </c>
      <c r="AD171" s="274">
        <v>5.294714732118532</v>
      </c>
      <c r="AE171" s="274">
        <v>6.714447684547485</v>
      </c>
      <c r="AF171" s="274">
        <v>7.384229765178112</v>
      </c>
      <c r="AG171" s="274">
        <v>7.276520346163258</v>
      </c>
      <c r="AH171" s="274">
        <v>7.612150340841165</v>
      </c>
      <c r="AI171" s="125"/>
      <c r="AJ171" s="318"/>
      <c r="AK171" s="318"/>
      <c r="AL171" s="318"/>
      <c r="AM171" s="251"/>
      <c r="AN171" s="100" t="b">
        <f t="shared" si="8"/>
        <v>1</v>
      </c>
      <c r="AO171" s="102"/>
    </row>
    <row r="172" ht="9.75" customHeight="1">
      <c r="A172" s="421"/>
      <c r="B172" s="422"/>
      <c r="C172" s="422"/>
      <c r="D172" s="422"/>
      <c r="E172" s="167"/>
      <c r="F172" s="168"/>
      <c r="G172" s="168"/>
      <c r="H172" s="169"/>
      <c r="I172" s="169"/>
      <c r="J172" s="169"/>
      <c r="K172" s="169"/>
      <c r="L172" s="169"/>
      <c r="M172" s="169"/>
      <c r="N172" s="169"/>
      <c r="O172" s="169"/>
      <c r="P172" s="169"/>
      <c r="Q172" s="169"/>
      <c r="R172" s="169"/>
      <c r="S172" s="169"/>
      <c r="T172" s="169"/>
      <c r="U172" s="169"/>
      <c r="V172" s="169"/>
      <c r="W172" s="169"/>
      <c r="X172" s="169"/>
      <c r="Y172" s="169"/>
      <c r="Z172" s="169"/>
      <c r="AA172" s="169"/>
      <c r="AB172" s="169"/>
      <c r="AC172" s="169"/>
      <c r="AD172" s="169"/>
      <c r="AE172" s="169"/>
      <c r="AF172" s="169"/>
      <c r="AG172" s="169"/>
      <c r="AH172" s="169"/>
      <c r="AI172" s="383"/>
      <c r="AJ172" s="383"/>
      <c r="AK172" s="383"/>
      <c r="AL172" s="383"/>
      <c r="AM172" s="167"/>
      <c r="AN172" s="100" t="b">
        <f t="shared" si="8"/>
        <v>0</v>
      </c>
      <c r="AO172" s="102"/>
    </row>
    <row r="173" ht="14.25" customHeight="1">
      <c r="A173" s="387" t="s">
        <v>29</v>
      </c>
      <c r="B173" s="423"/>
      <c r="C173" s="423"/>
      <c r="D173" s="423"/>
      <c r="E173" s="388"/>
      <c r="F173" s="388"/>
      <c r="G173" s="388"/>
      <c r="H173" s="389"/>
      <c r="I173" s="389"/>
      <c r="J173" s="389"/>
      <c r="K173" s="389"/>
      <c r="L173" s="389"/>
      <c r="M173" s="389"/>
      <c r="N173" s="389"/>
      <c r="O173" s="389"/>
      <c r="P173" s="389"/>
      <c r="Q173" s="389"/>
      <c r="R173" s="389"/>
      <c r="S173" s="389"/>
      <c r="T173" s="389"/>
      <c r="U173" s="389"/>
      <c r="V173" s="389"/>
      <c r="W173" s="389"/>
      <c r="X173" s="389"/>
      <c r="Y173" s="389"/>
      <c r="Z173" s="389"/>
      <c r="AA173" s="389"/>
      <c r="AB173" s="389"/>
      <c r="AC173" s="389"/>
      <c r="AD173" s="389"/>
      <c r="AE173" s="389"/>
      <c r="AF173" s="389"/>
      <c r="AG173" s="389"/>
      <c r="AH173" s="389"/>
      <c r="AI173" s="388"/>
      <c r="AJ173" s="388"/>
      <c r="AK173" s="388"/>
      <c r="AL173" s="388"/>
      <c r="AM173" s="388"/>
      <c r="AN173" s="100" t="b">
        <f t="shared" si="8"/>
        <v>0</v>
      </c>
      <c r="AO173" s="102"/>
    </row>
    <row r="174" ht="13.5" customHeight="1" outlineLevel="1">
      <c r="A174" s="390" t="s">
        <v>1236</v>
      </c>
      <c r="B174" s="393"/>
      <c r="C174" s="393"/>
      <c r="D174" s="394"/>
      <c r="E174" s="162"/>
      <c r="F174" s="162"/>
      <c r="G174" s="162"/>
      <c r="H174" s="178"/>
      <c r="I174" s="178"/>
      <c r="J174" s="178"/>
      <c r="K174" s="178"/>
      <c r="L174" s="178"/>
      <c r="M174" s="178"/>
      <c r="N174" s="178"/>
      <c r="O174" s="178"/>
      <c r="P174" s="178"/>
      <c r="Q174" s="178"/>
      <c r="R174" s="178"/>
      <c r="S174" s="178"/>
      <c r="T174" s="178"/>
      <c r="U174" s="178"/>
      <c r="V174" s="178"/>
      <c r="W174" s="178"/>
      <c r="X174" s="178"/>
      <c r="Y174" s="178"/>
      <c r="Z174" s="178"/>
      <c r="AA174" s="178"/>
      <c r="AB174" s="178"/>
      <c r="AC174" s="178"/>
      <c r="AD174" s="178"/>
      <c r="AE174" s="178"/>
      <c r="AF174" s="178"/>
      <c r="AG174" s="178"/>
      <c r="AH174" s="178"/>
      <c r="AI174" s="100"/>
      <c r="AJ174" s="100"/>
      <c r="AK174" s="100"/>
      <c r="AL174" s="100"/>
      <c r="AM174" s="100"/>
      <c r="AN174" s="100" t="b">
        <f t="shared" si="8"/>
        <v>0</v>
      </c>
      <c r="AO174" s="102"/>
    </row>
    <row r="175" ht="13.5" customHeight="1" outlineLevel="2">
      <c r="A175" s="390"/>
      <c r="B175" s="394"/>
      <c r="C175" s="393"/>
      <c r="D175" s="394"/>
      <c r="E175" s="180" t="s">
        <v>1531</v>
      </c>
      <c r="F175" s="123" t="s">
        <v>1532</v>
      </c>
      <c r="G175" s="123" t="s">
        <v>112</v>
      </c>
      <c r="H175" s="260">
        <v>65.106</v>
      </c>
      <c r="I175" s="181">
        <v>66.565</v>
      </c>
      <c r="J175" s="181">
        <v>66.486</v>
      </c>
      <c r="K175" s="181">
        <v>65.495</v>
      </c>
      <c r="L175" s="181">
        <v>68.689</v>
      </c>
      <c r="M175" s="181">
        <v>64.699</v>
      </c>
      <c r="N175" s="181">
        <v>67.386</v>
      </c>
      <c r="O175" s="181">
        <v>68.978</v>
      </c>
      <c r="P175" s="181">
        <v>68.695</v>
      </c>
      <c r="Q175" s="181">
        <v>61.036</v>
      </c>
      <c r="R175" s="181">
        <v>65.536</v>
      </c>
      <c r="S175" s="181">
        <v>65.599</v>
      </c>
      <c r="T175" s="181">
        <v>70.492</v>
      </c>
      <c r="U175" s="181">
        <v>73.403</v>
      </c>
      <c r="V175" s="181">
        <v>73.985</v>
      </c>
      <c r="W175" s="182">
        <v>73.548</v>
      </c>
      <c r="X175" s="181">
        <v>72.583</v>
      </c>
      <c r="Y175" s="181">
        <v>77.347</v>
      </c>
      <c r="Z175" s="181"/>
      <c r="AA175" s="181"/>
      <c r="AB175" s="182">
        <v>75.0</v>
      </c>
      <c r="AC175" s="182">
        <v>75.0</v>
      </c>
      <c r="AD175" s="182">
        <v>75.0</v>
      </c>
      <c r="AE175" s="182">
        <v>75.0</v>
      </c>
      <c r="AF175" s="182">
        <v>70.0</v>
      </c>
      <c r="AG175" s="182">
        <v>70.0</v>
      </c>
      <c r="AH175" s="184">
        <v>70.0</v>
      </c>
      <c r="AI175" s="318"/>
      <c r="AJ175" s="318"/>
      <c r="AK175" s="318"/>
      <c r="AL175" s="318"/>
      <c r="AM175" s="251"/>
      <c r="AN175" s="100" t="b">
        <f t="shared" si="8"/>
        <v>0</v>
      </c>
      <c r="AO175" s="102"/>
    </row>
    <row r="176" ht="13.5" customHeight="1" outlineLevel="1">
      <c r="A176" s="390" t="s">
        <v>1533</v>
      </c>
      <c r="B176" s="393"/>
      <c r="C176" s="393"/>
      <c r="D176" s="394"/>
      <c r="E176" s="162"/>
      <c r="F176" s="162"/>
      <c r="G176" s="162"/>
      <c r="H176" s="178"/>
      <c r="I176" s="178"/>
      <c r="J176" s="178"/>
      <c r="K176" s="178"/>
      <c r="L176" s="178"/>
      <c r="M176" s="178"/>
      <c r="N176" s="178"/>
      <c r="O176" s="178"/>
      <c r="P176" s="178"/>
      <c r="Q176" s="178"/>
      <c r="R176" s="178"/>
      <c r="S176" s="178"/>
      <c r="T176" s="178"/>
      <c r="U176" s="178"/>
      <c r="V176" s="178"/>
      <c r="W176" s="178"/>
      <c r="X176" s="178"/>
      <c r="Y176" s="178"/>
      <c r="Z176" s="178"/>
      <c r="AA176" s="178"/>
      <c r="AB176" s="178"/>
      <c r="AC176" s="178"/>
      <c r="AD176" s="178"/>
      <c r="AE176" s="178"/>
      <c r="AF176" s="178"/>
      <c r="AG176" s="178"/>
      <c r="AH176" s="178"/>
      <c r="AI176" s="100"/>
      <c r="AJ176" s="100"/>
      <c r="AK176" s="100"/>
      <c r="AL176" s="100"/>
      <c r="AM176" s="100"/>
      <c r="AN176" s="100" t="b">
        <f t="shared" si="8"/>
        <v>0</v>
      </c>
      <c r="AO176" s="102"/>
    </row>
    <row r="177" ht="13.5" customHeight="1" outlineLevel="2">
      <c r="A177" s="390"/>
      <c r="B177" s="393" t="s">
        <v>1534</v>
      </c>
      <c r="C177" s="393"/>
      <c r="D177" s="394"/>
      <c r="E177" s="162"/>
      <c r="F177" s="162"/>
      <c r="G177" s="162"/>
      <c r="H177" s="178"/>
      <c r="I177" s="178"/>
      <c r="J177" s="178"/>
      <c r="K177" s="178"/>
      <c r="L177" s="178"/>
      <c r="M177" s="178"/>
      <c r="N177" s="178"/>
      <c r="O177" s="178"/>
      <c r="P177" s="178"/>
      <c r="Q177" s="178"/>
      <c r="R177" s="178"/>
      <c r="S177" s="178"/>
      <c r="T177" s="178"/>
      <c r="U177" s="178"/>
      <c r="V177" s="178"/>
      <c r="W177" s="178"/>
      <c r="X177" s="178"/>
      <c r="Y177" s="178"/>
      <c r="Z177" s="178"/>
      <c r="AA177" s="178"/>
      <c r="AB177" s="178"/>
      <c r="AC177" s="178"/>
      <c r="AD177" s="178"/>
      <c r="AE177" s="178"/>
      <c r="AF177" s="178"/>
      <c r="AG177" s="178"/>
      <c r="AH177" s="178"/>
      <c r="AI177" s="100"/>
      <c r="AJ177" s="100"/>
      <c r="AK177" s="100"/>
      <c r="AL177" s="100"/>
      <c r="AM177" s="100"/>
      <c r="AN177" s="100" t="b">
        <f t="shared" si="8"/>
        <v>0</v>
      </c>
      <c r="AO177" s="102"/>
    </row>
    <row r="178" ht="13.5" customHeight="1" outlineLevel="3">
      <c r="A178" s="390"/>
      <c r="B178" s="394"/>
      <c r="C178" s="393"/>
      <c r="D178" s="394"/>
      <c r="E178" s="180" t="s">
        <v>1535</v>
      </c>
      <c r="F178" s="249" t="s">
        <v>1532</v>
      </c>
      <c r="G178" s="249" t="s">
        <v>1536</v>
      </c>
      <c r="H178" s="260">
        <v>50.217</v>
      </c>
      <c r="I178" s="181">
        <v>51.829</v>
      </c>
      <c r="J178" s="181">
        <v>51.115</v>
      </c>
      <c r="K178" s="181">
        <v>49.972</v>
      </c>
      <c r="L178" s="181">
        <v>52.603</v>
      </c>
      <c r="M178" s="181">
        <v>48.003</v>
      </c>
      <c r="N178" s="181">
        <v>49.906</v>
      </c>
      <c r="O178" s="181">
        <v>50.714</v>
      </c>
      <c r="P178" s="181">
        <v>51.022</v>
      </c>
      <c r="Q178" s="181">
        <v>47.575</v>
      </c>
      <c r="R178" s="181">
        <v>48.99</v>
      </c>
      <c r="S178" s="181">
        <v>48.854</v>
      </c>
      <c r="T178" s="181">
        <v>52.792</v>
      </c>
      <c r="U178" s="181">
        <v>55.758</v>
      </c>
      <c r="V178" s="181">
        <v>56.234</v>
      </c>
      <c r="W178" s="182">
        <v>55.822</v>
      </c>
      <c r="X178" s="181">
        <v>54.952</v>
      </c>
      <c r="Y178" s="181">
        <v>58.949</v>
      </c>
      <c r="Z178" s="181"/>
      <c r="AA178" s="181"/>
      <c r="AB178" s="182">
        <v>56.25</v>
      </c>
      <c r="AC178" s="182">
        <v>54.0</v>
      </c>
      <c r="AD178" s="182">
        <v>51.0</v>
      </c>
      <c r="AE178" s="182">
        <v>47.25</v>
      </c>
      <c r="AF178" s="182">
        <v>41.3</v>
      </c>
      <c r="AG178" s="182">
        <v>40.6</v>
      </c>
      <c r="AH178" s="184">
        <v>40.6</v>
      </c>
      <c r="AI178" s="318"/>
      <c r="AJ178" s="318"/>
      <c r="AK178" s="318"/>
      <c r="AL178" s="318"/>
      <c r="AM178" s="251"/>
      <c r="AN178" s="100" t="b">
        <f t="shared" si="8"/>
        <v>0</v>
      </c>
      <c r="AO178" s="102"/>
    </row>
    <row r="179" ht="13.5" customHeight="1" outlineLevel="3">
      <c r="A179" s="98"/>
      <c r="B179" s="98"/>
      <c r="C179" s="98"/>
      <c r="D179" s="98"/>
      <c r="E179" s="122" t="s">
        <v>1537</v>
      </c>
      <c r="F179" s="123" t="s">
        <v>261</v>
      </c>
      <c r="G179" s="123" t="s">
        <v>1538</v>
      </c>
      <c r="H179" s="253"/>
      <c r="I179" s="254"/>
      <c r="J179" s="254"/>
      <c r="K179" s="254"/>
      <c r="L179" s="254"/>
      <c r="M179" s="254"/>
      <c r="N179" s="254"/>
      <c r="O179" s="254"/>
      <c r="P179" s="254"/>
      <c r="Q179" s="254"/>
      <c r="R179" s="254"/>
      <c r="S179" s="254"/>
      <c r="T179" s="254"/>
      <c r="U179" s="254"/>
      <c r="V179" s="254"/>
      <c r="W179" s="256"/>
      <c r="X179" s="254"/>
      <c r="Y179" s="254"/>
      <c r="Z179" s="254"/>
      <c r="AA179" s="254"/>
      <c r="AB179" s="256"/>
      <c r="AC179" s="256"/>
      <c r="AD179" s="256"/>
      <c r="AE179" s="256"/>
      <c r="AF179" s="256"/>
      <c r="AG179" s="256"/>
      <c r="AH179" s="257"/>
      <c r="AI179" s="318"/>
      <c r="AJ179" s="98"/>
      <c r="AK179" s="318"/>
      <c r="AL179" s="318"/>
      <c r="AM179" s="190"/>
      <c r="AN179" s="100" t="b">
        <f t="shared" si="8"/>
        <v>0</v>
      </c>
      <c r="AO179" s="102"/>
    </row>
    <row r="180" ht="13.5" customHeight="1" outlineLevel="3">
      <c r="A180" s="390"/>
      <c r="B180" s="394"/>
      <c r="C180" s="393" t="s">
        <v>1539</v>
      </c>
      <c r="D180" s="394"/>
      <c r="E180" s="162"/>
      <c r="F180" s="162"/>
      <c r="G180" s="162"/>
      <c r="H180" s="178"/>
      <c r="I180" s="178"/>
      <c r="J180" s="178"/>
      <c r="K180" s="178"/>
      <c r="L180" s="178"/>
      <c r="M180" s="178"/>
      <c r="N180" s="178"/>
      <c r="O180" s="178"/>
      <c r="P180" s="178"/>
      <c r="Q180" s="178"/>
      <c r="R180" s="178"/>
      <c r="S180" s="178"/>
      <c r="T180" s="178"/>
      <c r="U180" s="178"/>
      <c r="V180" s="178"/>
      <c r="W180" s="178"/>
      <c r="X180" s="178"/>
      <c r="Y180" s="178"/>
      <c r="Z180" s="178"/>
      <c r="AA180" s="178"/>
      <c r="AB180" s="178"/>
      <c r="AC180" s="178"/>
      <c r="AD180" s="178"/>
      <c r="AE180" s="178"/>
      <c r="AF180" s="178"/>
      <c r="AG180" s="178"/>
      <c r="AH180" s="178"/>
      <c r="AI180" s="100"/>
      <c r="AJ180" s="100"/>
      <c r="AK180" s="100"/>
      <c r="AL180" s="100"/>
      <c r="AM180" s="100"/>
      <c r="AN180" s="100" t="b">
        <f t="shared" si="8"/>
        <v>0</v>
      </c>
      <c r="AO180" s="102"/>
    </row>
    <row r="181" ht="13.5" customHeight="1" outlineLevel="4">
      <c r="A181" s="390"/>
      <c r="B181" s="394"/>
      <c r="C181" s="393"/>
      <c r="D181" s="394"/>
      <c r="E181" s="252" t="s">
        <v>1540</v>
      </c>
      <c r="F181" s="249" t="s">
        <v>1541</v>
      </c>
      <c r="G181" s="249" t="s">
        <v>1542</v>
      </c>
      <c r="H181" s="260">
        <v>23539.1</v>
      </c>
      <c r="I181" s="181">
        <v>24680.9</v>
      </c>
      <c r="J181" s="181">
        <v>24490.6</v>
      </c>
      <c r="K181" s="181">
        <v>23038.5</v>
      </c>
      <c r="L181" s="181">
        <v>23199.7</v>
      </c>
      <c r="M181" s="181">
        <v>23372.5</v>
      </c>
      <c r="N181" s="181">
        <v>24016.6</v>
      </c>
      <c r="O181" s="181">
        <v>24076.6</v>
      </c>
      <c r="P181" s="181">
        <v>22525.2</v>
      </c>
      <c r="Q181" s="181">
        <v>21966.4</v>
      </c>
      <c r="R181" s="181">
        <v>22555.2</v>
      </c>
      <c r="S181" s="181">
        <v>22463.5</v>
      </c>
      <c r="T181" s="181">
        <v>22871.7</v>
      </c>
      <c r="U181" s="181">
        <v>24752.6</v>
      </c>
      <c r="V181" s="181">
        <v>24947.7</v>
      </c>
      <c r="W181" s="182">
        <v>24657.4</v>
      </c>
      <c r="X181" s="181">
        <v>25222.0</v>
      </c>
      <c r="Y181" s="181">
        <v>27425.3</v>
      </c>
      <c r="Z181" s="181"/>
      <c r="AA181" s="181"/>
      <c r="AB181" s="182">
        <v>26250.0</v>
      </c>
      <c r="AC181" s="182">
        <v>25500.0</v>
      </c>
      <c r="AD181" s="182">
        <v>24000.0</v>
      </c>
      <c r="AE181" s="182">
        <v>21750.0</v>
      </c>
      <c r="AF181" s="182">
        <v>18550.0</v>
      </c>
      <c r="AG181" s="182">
        <v>18900.0</v>
      </c>
      <c r="AH181" s="184">
        <v>18900.0</v>
      </c>
      <c r="AI181" s="318"/>
      <c r="AJ181" s="318"/>
      <c r="AK181" s="318"/>
      <c r="AL181" s="318"/>
      <c r="AM181" s="165"/>
      <c r="AN181" s="100" t="b">
        <f t="shared" si="8"/>
        <v>0</v>
      </c>
      <c r="AO181" s="102"/>
    </row>
    <row r="182" ht="13.5" customHeight="1" outlineLevel="4">
      <c r="A182" s="390"/>
      <c r="B182" s="394"/>
      <c r="C182" s="393"/>
      <c r="D182" s="394"/>
      <c r="E182" s="252" t="s">
        <v>1543</v>
      </c>
      <c r="F182" s="123" t="s">
        <v>1541</v>
      </c>
      <c r="G182" s="123" t="s">
        <v>1544</v>
      </c>
      <c r="H182" s="260">
        <v>26677.9</v>
      </c>
      <c r="I182" s="181">
        <v>27148.1</v>
      </c>
      <c r="J182" s="181">
        <v>26624.4</v>
      </c>
      <c r="K182" s="181">
        <v>26933.5</v>
      </c>
      <c r="L182" s="181">
        <v>29403.3</v>
      </c>
      <c r="M182" s="181">
        <v>24630.5</v>
      </c>
      <c r="N182" s="181">
        <v>25889.4</v>
      </c>
      <c r="O182" s="181">
        <v>26637.4</v>
      </c>
      <c r="P182" s="181">
        <v>28496.8</v>
      </c>
      <c r="Q182" s="181">
        <v>25608.6</v>
      </c>
      <c r="R182" s="181">
        <v>26434.8</v>
      </c>
      <c r="S182" s="181">
        <v>26390.5</v>
      </c>
      <c r="T182" s="181">
        <v>29920.3</v>
      </c>
      <c r="U182" s="181">
        <v>31005.4</v>
      </c>
      <c r="V182" s="181">
        <v>31286.3</v>
      </c>
      <c r="W182" s="182">
        <v>31164.6</v>
      </c>
      <c r="X182" s="181">
        <v>29730.0</v>
      </c>
      <c r="Y182" s="181">
        <v>31523.7</v>
      </c>
      <c r="Z182" s="181"/>
      <c r="AA182" s="181"/>
      <c r="AB182" s="182">
        <v>30000.0</v>
      </c>
      <c r="AC182" s="182">
        <v>28500.0</v>
      </c>
      <c r="AD182" s="182">
        <v>27000.0</v>
      </c>
      <c r="AE182" s="182">
        <v>25500.0</v>
      </c>
      <c r="AF182" s="182">
        <v>22750.0</v>
      </c>
      <c r="AG182" s="182">
        <v>21700.0</v>
      </c>
      <c r="AH182" s="184">
        <v>21700.0</v>
      </c>
      <c r="AI182" s="318"/>
      <c r="AJ182" s="318"/>
      <c r="AK182" s="318"/>
      <c r="AL182" s="318"/>
      <c r="AM182" s="424"/>
      <c r="AN182" s="100" t="b">
        <f t="shared" si="8"/>
        <v>0</v>
      </c>
      <c r="AO182" s="102"/>
    </row>
    <row r="183" ht="14.25" customHeight="1" outlineLevel="3">
      <c r="A183" s="390"/>
      <c r="B183" s="394"/>
      <c r="C183" s="393" t="s">
        <v>1545</v>
      </c>
      <c r="D183" s="394"/>
      <c r="E183" s="162"/>
      <c r="F183" s="162"/>
      <c r="G183" s="162"/>
      <c r="H183" s="178"/>
      <c r="I183" s="178"/>
      <c r="J183" s="178"/>
      <c r="K183" s="178"/>
      <c r="L183" s="178"/>
      <c r="M183" s="178"/>
      <c r="N183" s="178"/>
      <c r="O183" s="178"/>
      <c r="P183" s="178"/>
      <c r="Q183" s="178"/>
      <c r="R183" s="178"/>
      <c r="S183" s="178"/>
      <c r="T183" s="178"/>
      <c r="U183" s="178"/>
      <c r="V183" s="178"/>
      <c r="W183" s="178"/>
      <c r="X183" s="178"/>
      <c r="Y183" s="178"/>
      <c r="Z183" s="178"/>
      <c r="AA183" s="178"/>
      <c r="AB183" s="178"/>
      <c r="AC183" s="178"/>
      <c r="AD183" s="178"/>
      <c r="AE183" s="178"/>
      <c r="AF183" s="178"/>
      <c r="AG183" s="178"/>
      <c r="AH183" s="178"/>
      <c r="AI183" s="100"/>
      <c r="AJ183" s="100"/>
      <c r="AK183" s="100"/>
      <c r="AL183" s="100"/>
      <c r="AM183" s="425"/>
      <c r="AN183" s="100" t="b">
        <f t="shared" si="8"/>
        <v>0</v>
      </c>
      <c r="AO183" s="102"/>
    </row>
    <row r="184" ht="14.25" customHeight="1" outlineLevel="4">
      <c r="A184" s="390"/>
      <c r="B184" s="394"/>
      <c r="C184" s="394"/>
      <c r="D184" s="395" t="s">
        <v>1546</v>
      </c>
      <c r="E184" s="162"/>
      <c r="F184" s="162"/>
      <c r="G184" s="162"/>
      <c r="H184" s="178"/>
      <c r="I184" s="178"/>
      <c r="J184" s="178"/>
      <c r="K184" s="178"/>
      <c r="L184" s="178"/>
      <c r="M184" s="178"/>
      <c r="N184" s="178"/>
      <c r="O184" s="178"/>
      <c r="P184" s="178"/>
      <c r="Q184" s="178"/>
      <c r="R184" s="178"/>
      <c r="S184" s="178"/>
      <c r="T184" s="178"/>
      <c r="U184" s="178"/>
      <c r="V184" s="178"/>
      <c r="W184" s="178"/>
      <c r="X184" s="178"/>
      <c r="Y184" s="178"/>
      <c r="Z184" s="178"/>
      <c r="AA184" s="178"/>
      <c r="AB184" s="178"/>
      <c r="AC184" s="178"/>
      <c r="AD184" s="178"/>
      <c r="AE184" s="178"/>
      <c r="AF184" s="178"/>
      <c r="AG184" s="178"/>
      <c r="AH184" s="178"/>
      <c r="AI184" s="100"/>
      <c r="AJ184" s="100"/>
      <c r="AK184" s="100"/>
      <c r="AL184" s="100"/>
      <c r="AM184" s="100"/>
      <c r="AN184" s="100" t="b">
        <f t="shared" si="8"/>
        <v>0</v>
      </c>
      <c r="AO184" s="402"/>
    </row>
    <row r="185" ht="14.25" customHeight="1" outlineLevel="5">
      <c r="A185" s="390"/>
      <c r="B185" s="394"/>
      <c r="C185" s="393"/>
      <c r="D185" s="394"/>
      <c r="E185" s="252" t="s">
        <v>1547</v>
      </c>
      <c r="F185" s="249" t="s">
        <v>432</v>
      </c>
      <c r="G185" s="249" t="s">
        <v>1548</v>
      </c>
      <c r="H185" s="260">
        <v>100.028908693265</v>
      </c>
      <c r="I185" s="181">
        <v>99.728201307374</v>
      </c>
      <c r="J185" s="181">
        <v>97.4582690868956</v>
      </c>
      <c r="K185" s="181">
        <v>97.4433377019564</v>
      </c>
      <c r="L185" s="181">
        <v>96.52665988749</v>
      </c>
      <c r="M185" s="181">
        <v>96.6478190996487</v>
      </c>
      <c r="N185" s="181">
        <v>96.6457223034977</v>
      </c>
      <c r="O185" s="181">
        <v>96.2636635367683</v>
      </c>
      <c r="P185" s="181">
        <v>96.4097616791694</v>
      </c>
      <c r="Q185" s="181">
        <v>97.0026017289898</v>
      </c>
      <c r="R185" s="181">
        <v>97.7020990009851</v>
      </c>
      <c r="S185" s="181">
        <v>98.4031001053404</v>
      </c>
      <c r="T185" s="181">
        <v>99.282266721871</v>
      </c>
      <c r="U185" s="181">
        <v>101.07313527578</v>
      </c>
      <c r="V185" s="181">
        <v>100.88651248773</v>
      </c>
      <c r="W185" s="182">
        <v>100.0</v>
      </c>
      <c r="X185" s="181"/>
      <c r="Y185" s="181"/>
      <c r="Z185" s="181"/>
      <c r="AA185" s="181"/>
      <c r="AB185" s="182">
        <v>100.0</v>
      </c>
      <c r="AC185" s="182">
        <v>102.0</v>
      </c>
      <c r="AD185" s="182">
        <v>103.0</v>
      </c>
      <c r="AE185" s="182">
        <v>104.0</v>
      </c>
      <c r="AF185" s="182">
        <v>106.0</v>
      </c>
      <c r="AG185" s="182">
        <v>108.0</v>
      </c>
      <c r="AH185" s="182">
        <v>110.0</v>
      </c>
      <c r="AI185" s="318"/>
      <c r="AJ185" s="318"/>
      <c r="AK185" s="318"/>
      <c r="AL185" s="318"/>
      <c r="AM185" s="251"/>
      <c r="AN185" s="100" t="b">
        <f t="shared" si="8"/>
        <v>0</v>
      </c>
      <c r="AO185" s="402"/>
    </row>
    <row r="186" ht="15.0" customHeight="1" outlineLevel="5">
      <c r="A186" s="98"/>
      <c r="B186" s="98"/>
      <c r="C186" s="98"/>
      <c r="D186" s="98"/>
      <c r="E186" s="287" t="s">
        <v>1549</v>
      </c>
      <c r="F186" s="249" t="s">
        <v>1550</v>
      </c>
      <c r="G186" s="249" t="s">
        <v>1551</v>
      </c>
      <c r="H186" s="260">
        <v>7591.09975780393</v>
      </c>
      <c r="I186" s="181">
        <v>8149.38665850537</v>
      </c>
      <c r="J186" s="181">
        <v>8725.37708420783</v>
      </c>
      <c r="K186" s="181">
        <v>9200.17964102102</v>
      </c>
      <c r="L186" s="181">
        <v>10271.1934818967</v>
      </c>
      <c r="M186" s="181">
        <v>10779.6623052498</v>
      </c>
      <c r="N186" s="181">
        <v>11221.2696110144</v>
      </c>
      <c r="O186" s="181">
        <v>11926.1950811361</v>
      </c>
      <c r="P186" s="181">
        <v>12233.4323226976</v>
      </c>
      <c r="Q186" s="181">
        <v>12261.5244268537</v>
      </c>
      <c r="R186" s="181">
        <v>12322.5352655455</v>
      </c>
      <c r="S186" s="181">
        <v>12184.6212754834</v>
      </c>
      <c r="T186" s="181">
        <v>12000.1301975017</v>
      </c>
      <c r="U186" s="181">
        <v>11406.8525965399</v>
      </c>
      <c r="V186" s="181">
        <v>11869.8788167273</v>
      </c>
      <c r="W186" s="182">
        <v>12705.4861782226</v>
      </c>
      <c r="X186" s="181"/>
      <c r="Y186" s="181"/>
      <c r="Z186" s="181"/>
      <c r="AA186" s="181"/>
      <c r="AB186" s="182">
        <v>12802.9020372795</v>
      </c>
      <c r="AC186" s="182">
        <v>12551.8647424309</v>
      </c>
      <c r="AD186" s="182">
        <v>12430.0019779413</v>
      </c>
      <c r="AE186" s="182">
        <v>12310.4827281534</v>
      </c>
      <c r="AF186" s="182">
        <v>12024.5285381578</v>
      </c>
      <c r="AG186" s="182">
        <v>11801.8520837474</v>
      </c>
      <c r="AH186" s="184">
        <v>11587.272954952</v>
      </c>
      <c r="AI186" s="318"/>
      <c r="AJ186" s="318"/>
      <c r="AK186" s="318"/>
      <c r="AL186" s="318"/>
      <c r="AM186" s="251"/>
      <c r="AN186" s="100" t="b">
        <f t="shared" si="8"/>
        <v>0</v>
      </c>
      <c r="AO186" s="102"/>
    </row>
    <row r="187" ht="14.25" customHeight="1" outlineLevel="5">
      <c r="A187" s="390"/>
      <c r="B187" s="394"/>
      <c r="C187" s="393"/>
      <c r="D187" s="394"/>
      <c r="E187" s="270" t="s">
        <v>1552</v>
      </c>
      <c r="F187" s="249" t="s">
        <v>1550</v>
      </c>
      <c r="G187" s="249" t="s">
        <v>1553</v>
      </c>
      <c r="H187" s="260">
        <v>7376.58831045406</v>
      </c>
      <c r="I187" s="181">
        <v>7911.5618635859</v>
      </c>
      <c r="J187" s="181">
        <v>8474.85634899351</v>
      </c>
      <c r="K187" s="181">
        <v>8966.88087976699</v>
      </c>
      <c r="L187" s="181">
        <v>10029.050405538</v>
      </c>
      <c r="M187" s="181">
        <v>10545.6930841277</v>
      </c>
      <c r="N187" s="181">
        <v>10991.6069946914</v>
      </c>
      <c r="O187" s="181">
        <v>11713.5863389153</v>
      </c>
      <c r="P187" s="181">
        <v>12033.7463988925</v>
      </c>
      <c r="Q187" s="181">
        <v>12079.4652753129</v>
      </c>
      <c r="R187" s="181">
        <v>12158.5231533071</v>
      </c>
      <c r="S187" s="181">
        <v>12020.0469511464</v>
      </c>
      <c r="T187" s="181">
        <v>11842.8113250413</v>
      </c>
      <c r="U187" s="181">
        <v>11279.6213527536</v>
      </c>
      <c r="V187" s="181">
        <v>11753.0428520534</v>
      </c>
      <c r="W187" s="182">
        <v>12567.5606944713</v>
      </c>
      <c r="X187" s="181"/>
      <c r="Y187" s="181"/>
      <c r="Z187" s="181"/>
      <c r="AA187" s="181"/>
      <c r="AB187" s="398">
        <v>12508.4352904221</v>
      </c>
      <c r="AC187" s="398">
        <v>12049.7901527337</v>
      </c>
      <c r="AD187" s="398">
        <v>9508.95151312509</v>
      </c>
      <c r="AE187" s="398">
        <v>6524.5558459213</v>
      </c>
      <c r="AF187" s="398">
        <v>4000.0</v>
      </c>
      <c r="AG187" s="398">
        <v>1750.0</v>
      </c>
      <c r="AH187" s="400">
        <v>0.0</v>
      </c>
      <c r="AI187" s="318"/>
      <c r="AJ187" s="318"/>
      <c r="AK187" s="318"/>
      <c r="AL187" s="318"/>
      <c r="AM187" s="401"/>
      <c r="AN187" s="100" t="b">
        <f t="shared" si="8"/>
        <v>0</v>
      </c>
      <c r="AO187" s="402"/>
    </row>
    <row r="188" ht="14.25" customHeight="1" outlineLevel="5">
      <c r="A188" s="390"/>
      <c r="B188" s="394"/>
      <c r="C188" s="393"/>
      <c r="D188" s="394"/>
      <c r="E188" s="270" t="s">
        <v>1554</v>
      </c>
      <c r="F188" s="249" t="s">
        <v>1550</v>
      </c>
      <c r="G188" s="249" t="s">
        <v>1555</v>
      </c>
      <c r="H188" s="260">
        <v>214.51144734987</v>
      </c>
      <c r="I188" s="181">
        <v>237.824794919479</v>
      </c>
      <c r="J188" s="181">
        <v>250.520735214324</v>
      </c>
      <c r="K188" s="181">
        <v>233.298761254026</v>
      </c>
      <c r="L188" s="181">
        <v>242.143076358674</v>
      </c>
      <c r="M188" s="181">
        <v>233.969221122129</v>
      </c>
      <c r="N188" s="181">
        <v>229.662616322905</v>
      </c>
      <c r="O188" s="181">
        <v>212.608742220789</v>
      </c>
      <c r="P188" s="181">
        <v>199.685923805082</v>
      </c>
      <c r="Q188" s="181">
        <v>182.059151540782</v>
      </c>
      <c r="R188" s="181">
        <v>163.799366520523</v>
      </c>
      <c r="S188" s="181">
        <v>164.367704884267</v>
      </c>
      <c r="T188" s="181">
        <v>153.133048042052</v>
      </c>
      <c r="U188" s="181">
        <v>122.827253194231</v>
      </c>
      <c r="V188" s="181">
        <v>110.004536831604</v>
      </c>
      <c r="W188" s="182">
        <v>127.857133794697</v>
      </c>
      <c r="X188" s="181"/>
      <c r="Y188" s="181"/>
      <c r="Z188" s="181"/>
      <c r="AA188" s="181"/>
      <c r="AB188" s="398">
        <v>192.043530559193</v>
      </c>
      <c r="AC188" s="398">
        <v>125.518647424309</v>
      </c>
      <c r="AD188" s="398">
        <v>62.1500098897065</v>
      </c>
      <c r="AE188" s="398">
        <v>0.0</v>
      </c>
      <c r="AF188" s="398">
        <v>0.0</v>
      </c>
      <c r="AG188" s="398">
        <v>0.0</v>
      </c>
      <c r="AH188" s="400">
        <v>0.0</v>
      </c>
      <c r="AI188" s="318"/>
      <c r="AJ188" s="318"/>
      <c r="AK188" s="318"/>
      <c r="AL188" s="318"/>
      <c r="AM188" s="401"/>
      <c r="AN188" s="100" t="b">
        <f t="shared" si="8"/>
        <v>0</v>
      </c>
      <c r="AO188" s="402"/>
    </row>
    <row r="189" ht="14.25" customHeight="1" outlineLevel="5">
      <c r="A189" s="390"/>
      <c r="B189" s="394"/>
      <c r="C189" s="393"/>
      <c r="D189" s="394"/>
      <c r="E189" s="248" t="s">
        <v>1556</v>
      </c>
      <c r="F189" s="249" t="s">
        <v>1550</v>
      </c>
      <c r="G189" s="249" t="s">
        <v>1557</v>
      </c>
      <c r="H189" s="260">
        <v>0.0</v>
      </c>
      <c r="I189" s="181">
        <v>0.0</v>
      </c>
      <c r="J189" s="181">
        <v>0.0</v>
      </c>
      <c r="K189" s="181">
        <v>0.0</v>
      </c>
      <c r="L189" s="181">
        <v>0.0</v>
      </c>
      <c r="M189" s="181">
        <v>0.0</v>
      </c>
      <c r="N189" s="181">
        <v>0.0</v>
      </c>
      <c r="O189" s="181">
        <v>0.0</v>
      </c>
      <c r="P189" s="181">
        <v>0.0</v>
      </c>
      <c r="Q189" s="181">
        <v>0.0</v>
      </c>
      <c r="R189" s="181">
        <v>0.212745717884243</v>
      </c>
      <c r="S189" s="181">
        <v>0.206619452859638</v>
      </c>
      <c r="T189" s="181">
        <v>0.689492618657629</v>
      </c>
      <c r="U189" s="181">
        <v>1.11166622167316</v>
      </c>
      <c r="V189" s="181">
        <v>2.99699918616577</v>
      </c>
      <c r="W189" s="182">
        <v>5.93264440691141</v>
      </c>
      <c r="X189" s="181"/>
      <c r="Y189" s="181"/>
      <c r="Z189" s="181"/>
      <c r="AA189" s="181"/>
      <c r="AB189" s="398">
        <v>76.8174122236773</v>
      </c>
      <c r="AC189" s="398">
        <f>AB189</f>
        <v>76.81741222</v>
      </c>
      <c r="AD189" s="398">
        <f t="shared" ref="AD189:AE189" si="23">AC189/2</f>
        <v>38.40870611</v>
      </c>
      <c r="AE189" s="398">
        <f t="shared" si="23"/>
        <v>19.20435306</v>
      </c>
      <c r="AF189" s="398">
        <f>AE189/4</f>
        <v>4.801088264</v>
      </c>
      <c r="AG189" s="398">
        <v>0.0</v>
      </c>
      <c r="AH189" s="400">
        <v>0.0</v>
      </c>
      <c r="AI189" s="318"/>
      <c r="AJ189" s="318"/>
      <c r="AK189" s="318"/>
      <c r="AL189" s="318"/>
      <c r="AM189" s="401"/>
      <c r="AN189" s="100" t="b">
        <f t="shared" si="8"/>
        <v>0</v>
      </c>
      <c r="AO189" s="402"/>
    </row>
    <row r="190" ht="14.25" customHeight="1" outlineLevel="5">
      <c r="A190" s="390"/>
      <c r="B190" s="394"/>
      <c r="C190" s="393"/>
      <c r="D190" s="394"/>
      <c r="E190" s="248" t="s">
        <v>1558</v>
      </c>
      <c r="F190" s="249" t="s">
        <v>1550</v>
      </c>
      <c r="G190" s="249" t="s">
        <v>1559</v>
      </c>
      <c r="H190" s="260"/>
      <c r="I190" s="181"/>
      <c r="J190" s="181"/>
      <c r="K190" s="181"/>
      <c r="L190" s="181"/>
      <c r="M190" s="181"/>
      <c r="N190" s="181"/>
      <c r="O190" s="181"/>
      <c r="P190" s="181"/>
      <c r="Q190" s="181"/>
      <c r="R190" s="181"/>
      <c r="S190" s="181"/>
      <c r="T190" s="181"/>
      <c r="U190" s="181"/>
      <c r="V190" s="181"/>
      <c r="W190" s="182"/>
      <c r="X190" s="181"/>
      <c r="Y190" s="181"/>
      <c r="Z190" s="181"/>
      <c r="AA190" s="181"/>
      <c r="AB190" s="398">
        <v>0.0</v>
      </c>
      <c r="AC190" s="398">
        <v>0.0</v>
      </c>
      <c r="AD190" s="398">
        <v>0.0</v>
      </c>
      <c r="AE190" s="398">
        <v>123.104827281534</v>
      </c>
      <c r="AF190" s="398">
        <v>480.981141526312</v>
      </c>
      <c r="AG190" s="398">
        <v>1416.22225004969</v>
      </c>
      <c r="AH190" s="400">
        <v>2317.45459099041</v>
      </c>
      <c r="AI190" s="318"/>
      <c r="AJ190" s="318"/>
      <c r="AK190" s="318"/>
      <c r="AL190" s="318"/>
      <c r="AM190" s="401"/>
      <c r="AN190" s="100" t="b">
        <f t="shared" si="8"/>
        <v>0</v>
      </c>
      <c r="AO190" s="402"/>
    </row>
    <row r="191" ht="14.25" customHeight="1" outlineLevel="5">
      <c r="A191" s="390"/>
      <c r="B191" s="394"/>
      <c r="C191" s="393"/>
      <c r="D191" s="394"/>
      <c r="E191" s="248" t="s">
        <v>1560</v>
      </c>
      <c r="F191" s="249" t="s">
        <v>1550</v>
      </c>
      <c r="G191" s="249" t="s">
        <v>1561</v>
      </c>
      <c r="H191" s="260">
        <v>0.0</v>
      </c>
      <c r="I191" s="181">
        <v>0.0</v>
      </c>
      <c r="J191" s="181">
        <v>0.0</v>
      </c>
      <c r="K191" s="181">
        <v>0.0</v>
      </c>
      <c r="L191" s="181">
        <v>0.0</v>
      </c>
      <c r="M191" s="181">
        <v>0.0</v>
      </c>
      <c r="N191" s="181">
        <v>0.0</v>
      </c>
      <c r="O191" s="181">
        <v>0.0</v>
      </c>
      <c r="P191" s="181">
        <v>0.0</v>
      </c>
      <c r="Q191" s="181">
        <v>0.0</v>
      </c>
      <c r="R191" s="181">
        <v>0.0</v>
      </c>
      <c r="S191" s="181">
        <v>0.0</v>
      </c>
      <c r="T191" s="181">
        <v>3.49633179971309</v>
      </c>
      <c r="U191" s="181">
        <v>3.29232437041581</v>
      </c>
      <c r="V191" s="181">
        <v>3.83442865610994</v>
      </c>
      <c r="W191" s="182">
        <v>4.13570554966082</v>
      </c>
      <c r="X191" s="181"/>
      <c r="Y191" s="181"/>
      <c r="Z191" s="181"/>
      <c r="AA191" s="181"/>
      <c r="AB191" s="398">
        <v>25.6058040745591</v>
      </c>
      <c r="AC191" s="398">
        <f t="shared" ref="AC191:AH191" si="24">AC186-AC187-AC188-AC189-AC190-AC192-AC193-AC194</f>
        <v>174.2198826</v>
      </c>
      <c r="AD191" s="398">
        <f t="shared" si="24"/>
        <v>1620.491749</v>
      </c>
      <c r="AE191" s="398">
        <f t="shared" si="24"/>
        <v>3843.617702</v>
      </c>
      <c r="AF191" s="398">
        <f t="shared" si="24"/>
        <v>5338.746308</v>
      </c>
      <c r="AG191" s="398">
        <f t="shared" si="24"/>
        <v>6185.629834</v>
      </c>
      <c r="AH191" s="398">
        <f t="shared" si="24"/>
        <v>6769.818364</v>
      </c>
      <c r="AI191" s="318"/>
      <c r="AJ191" s="318"/>
      <c r="AK191" s="318"/>
      <c r="AL191" s="318"/>
      <c r="AM191" s="401"/>
      <c r="AN191" s="100" t="b">
        <f t="shared" si="8"/>
        <v>0</v>
      </c>
      <c r="AO191" s="402"/>
    </row>
    <row r="192" ht="14.25" customHeight="1" outlineLevel="5">
      <c r="A192" s="390"/>
      <c r="B192" s="394"/>
      <c r="C192" s="393"/>
      <c r="D192" s="394"/>
      <c r="E192" s="270" t="s">
        <v>1562</v>
      </c>
      <c r="F192" s="249" t="s">
        <v>1550</v>
      </c>
      <c r="G192" s="249" t="s">
        <v>1563</v>
      </c>
      <c r="H192" s="260"/>
      <c r="I192" s="181"/>
      <c r="J192" s="181"/>
      <c r="K192" s="181"/>
      <c r="L192" s="181"/>
      <c r="M192" s="181"/>
      <c r="N192" s="181"/>
      <c r="O192" s="181"/>
      <c r="P192" s="181"/>
      <c r="Q192" s="181"/>
      <c r="R192" s="181"/>
      <c r="S192" s="181"/>
      <c r="T192" s="181"/>
      <c r="U192" s="181"/>
      <c r="V192" s="181"/>
      <c r="W192" s="182"/>
      <c r="X192" s="181"/>
      <c r="Y192" s="181"/>
      <c r="Z192" s="181"/>
      <c r="AA192" s="181"/>
      <c r="AB192" s="398">
        <v>0.0</v>
      </c>
      <c r="AC192" s="398">
        <v>0.0</v>
      </c>
      <c r="AD192" s="398">
        <v>0.0</v>
      </c>
      <c r="AE192" s="398">
        <v>0.0</v>
      </c>
      <c r="AF192" s="398">
        <v>0.0</v>
      </c>
      <c r="AG192" s="398">
        <v>0.0</v>
      </c>
      <c r="AH192" s="400">
        <v>0.0</v>
      </c>
      <c r="AI192" s="318"/>
      <c r="AJ192" s="318"/>
      <c r="AK192" s="318"/>
      <c r="AL192" s="318"/>
      <c r="AM192" s="401"/>
      <c r="AN192" s="100" t="b">
        <f t="shared" si="8"/>
        <v>0</v>
      </c>
      <c r="AO192" s="402"/>
    </row>
    <row r="193" ht="14.25" customHeight="1" outlineLevel="5">
      <c r="A193" s="390"/>
      <c r="B193" s="394"/>
      <c r="C193" s="393"/>
      <c r="D193" s="394"/>
      <c r="E193" s="270" t="s">
        <v>1564</v>
      </c>
      <c r="F193" s="249" t="s">
        <v>1550</v>
      </c>
      <c r="G193" s="249" t="s">
        <v>1565</v>
      </c>
      <c r="H193" s="260"/>
      <c r="I193" s="181"/>
      <c r="J193" s="181"/>
      <c r="K193" s="181"/>
      <c r="L193" s="181"/>
      <c r="M193" s="181"/>
      <c r="N193" s="181"/>
      <c r="O193" s="181"/>
      <c r="P193" s="181"/>
      <c r="Q193" s="181"/>
      <c r="R193" s="181"/>
      <c r="S193" s="181"/>
      <c r="T193" s="181"/>
      <c r="U193" s="181"/>
      <c r="V193" s="181"/>
      <c r="W193" s="182"/>
      <c r="X193" s="181"/>
      <c r="Y193" s="181"/>
      <c r="Z193" s="181"/>
      <c r="AA193" s="181"/>
      <c r="AB193" s="398">
        <v>0.0</v>
      </c>
      <c r="AC193" s="398">
        <v>125.518647424309</v>
      </c>
      <c r="AD193" s="398">
        <v>1000.0</v>
      </c>
      <c r="AE193" s="398">
        <v>1200.0</v>
      </c>
      <c r="AF193" s="398">
        <v>1000.0</v>
      </c>
      <c r="AG193" s="398">
        <v>650.0</v>
      </c>
      <c r="AH193" s="400">
        <v>0.0</v>
      </c>
      <c r="AI193" s="318"/>
      <c r="AJ193" s="318"/>
      <c r="AK193" s="318"/>
      <c r="AL193" s="318"/>
      <c r="AM193" s="401"/>
      <c r="AN193" s="100" t="b">
        <f t="shared" si="8"/>
        <v>0</v>
      </c>
      <c r="AO193" s="402"/>
    </row>
    <row r="194" ht="14.25" customHeight="1" outlineLevel="5">
      <c r="A194" s="390"/>
      <c r="B194" s="394"/>
      <c r="C194" s="393"/>
      <c r="D194" s="394"/>
      <c r="E194" s="368" t="s">
        <v>1566</v>
      </c>
      <c r="F194" s="123" t="s">
        <v>1550</v>
      </c>
      <c r="G194" s="123" t="s">
        <v>1567</v>
      </c>
      <c r="H194" s="260"/>
      <c r="I194" s="181"/>
      <c r="J194" s="181"/>
      <c r="K194" s="181"/>
      <c r="L194" s="181"/>
      <c r="M194" s="181"/>
      <c r="N194" s="181"/>
      <c r="O194" s="181"/>
      <c r="P194" s="181"/>
      <c r="Q194" s="181"/>
      <c r="R194" s="181"/>
      <c r="S194" s="181"/>
      <c r="T194" s="181"/>
      <c r="U194" s="181"/>
      <c r="V194" s="181"/>
      <c r="W194" s="182"/>
      <c r="X194" s="181"/>
      <c r="Y194" s="181"/>
      <c r="Z194" s="181"/>
      <c r="AA194" s="181"/>
      <c r="AB194" s="398">
        <v>0.0</v>
      </c>
      <c r="AC194" s="398">
        <v>0.0</v>
      </c>
      <c r="AD194" s="398">
        <v>200.0</v>
      </c>
      <c r="AE194" s="398">
        <v>600.0</v>
      </c>
      <c r="AF194" s="398">
        <v>1200.0</v>
      </c>
      <c r="AG194" s="398">
        <v>1800.0</v>
      </c>
      <c r="AH194" s="400">
        <v>2500.0</v>
      </c>
      <c r="AI194" s="318"/>
      <c r="AJ194" s="318"/>
      <c r="AK194" s="318"/>
      <c r="AL194" s="318"/>
      <c r="AM194" s="401"/>
      <c r="AN194" s="100" t="b">
        <f t="shared" si="8"/>
        <v>0</v>
      </c>
      <c r="AO194" s="402"/>
    </row>
    <row r="195" ht="14.25" customHeight="1" outlineLevel="4">
      <c r="A195" s="390"/>
      <c r="B195" s="394"/>
      <c r="C195" s="394"/>
      <c r="D195" s="395" t="s">
        <v>1568</v>
      </c>
      <c r="E195" s="162"/>
      <c r="F195" s="162"/>
      <c r="G195" s="162"/>
      <c r="H195" s="178"/>
      <c r="I195" s="178"/>
      <c r="J195" s="178"/>
      <c r="K195" s="178"/>
      <c r="L195" s="178"/>
      <c r="M195" s="178"/>
      <c r="N195" s="178"/>
      <c r="O195" s="178"/>
      <c r="P195" s="178"/>
      <c r="Q195" s="178"/>
      <c r="R195" s="178"/>
      <c r="S195" s="178"/>
      <c r="T195" s="178"/>
      <c r="U195" s="178"/>
      <c r="V195" s="178"/>
      <c r="W195" s="178"/>
      <c r="X195" s="178"/>
      <c r="Y195" s="178"/>
      <c r="Z195" s="178"/>
      <c r="AA195" s="178"/>
      <c r="AB195" s="178"/>
      <c r="AC195" s="178"/>
      <c r="AD195" s="178"/>
      <c r="AE195" s="178"/>
      <c r="AF195" s="178"/>
      <c r="AG195" s="178"/>
      <c r="AH195" s="178"/>
      <c r="AI195" s="100"/>
      <c r="AJ195" s="100"/>
      <c r="AK195" s="100"/>
      <c r="AL195" s="100"/>
      <c r="AM195" s="100"/>
      <c r="AN195" s="100" t="b">
        <f t="shared" si="8"/>
        <v>0</v>
      </c>
      <c r="AO195" s="402"/>
    </row>
    <row r="196" ht="14.25" customHeight="1" outlineLevel="5">
      <c r="A196" s="390"/>
      <c r="B196" s="394"/>
      <c r="C196" s="393"/>
      <c r="D196" s="394"/>
      <c r="E196" s="270" t="s">
        <v>1569</v>
      </c>
      <c r="F196" s="249" t="s">
        <v>432</v>
      </c>
      <c r="G196" s="249" t="s">
        <v>1570</v>
      </c>
      <c r="H196" s="260">
        <v>94.1084061946416</v>
      </c>
      <c r="I196" s="181">
        <v>91.9080256770206</v>
      </c>
      <c r="J196" s="181">
        <v>91.4390030775687</v>
      </c>
      <c r="K196" s="181">
        <v>93.886594261848</v>
      </c>
      <c r="L196" s="181">
        <v>92.6968126005107</v>
      </c>
      <c r="M196" s="181">
        <v>96.4182652879068</v>
      </c>
      <c r="N196" s="181">
        <v>97.3596636187432</v>
      </c>
      <c r="O196" s="181">
        <v>98.8007694127644</v>
      </c>
      <c r="P196" s="181">
        <v>104.296910112765</v>
      </c>
      <c r="Q196" s="181">
        <v>103.044797522428</v>
      </c>
      <c r="R196" s="181">
        <v>105.663003885852</v>
      </c>
      <c r="S196" s="181">
        <v>104.092090444416</v>
      </c>
      <c r="T196" s="181">
        <v>104.960449650923</v>
      </c>
      <c r="U196" s="181">
        <v>105.200771620088</v>
      </c>
      <c r="V196" s="181">
        <v>104.022549863291</v>
      </c>
      <c r="W196" s="286">
        <v>100.0</v>
      </c>
      <c r="X196" s="181">
        <v>100.0</v>
      </c>
      <c r="Y196" s="181">
        <v>100.0</v>
      </c>
      <c r="Z196" s="181">
        <v>100.0</v>
      </c>
      <c r="AA196" s="181">
        <v>100.0</v>
      </c>
      <c r="AB196" s="286">
        <v>100.0</v>
      </c>
      <c r="AC196" s="415">
        <f t="shared" ref="AC196:AG196" si="25">AB196+10/6</f>
        <v>101.6666667</v>
      </c>
      <c r="AD196" s="415">
        <f t="shared" si="25"/>
        <v>103.3333333</v>
      </c>
      <c r="AE196" s="415">
        <f t="shared" si="25"/>
        <v>105</v>
      </c>
      <c r="AF196" s="415">
        <f t="shared" si="25"/>
        <v>106.6666667</v>
      </c>
      <c r="AG196" s="415">
        <f t="shared" si="25"/>
        <v>108.3333333</v>
      </c>
      <c r="AH196" s="415">
        <v>110.0</v>
      </c>
      <c r="AI196" s="318"/>
      <c r="AJ196" s="318"/>
      <c r="AK196" s="318"/>
      <c r="AL196" s="318"/>
      <c r="AM196" s="251"/>
      <c r="AN196" s="100" t="b">
        <f t="shared" si="8"/>
        <v>0</v>
      </c>
      <c r="AO196" s="402"/>
    </row>
    <row r="197" ht="14.25" customHeight="1" outlineLevel="5">
      <c r="A197" s="390"/>
      <c r="B197" s="394"/>
      <c r="C197" s="393"/>
      <c r="D197" s="394"/>
      <c r="E197" s="270" t="s">
        <v>1571</v>
      </c>
      <c r="F197" s="123" t="s">
        <v>1572</v>
      </c>
      <c r="G197" s="249" t="s">
        <v>1573</v>
      </c>
      <c r="H197" s="426">
        <f t="shared" ref="H197:V197" si="26">$W197*H196/$W196</f>
        <v>9.521663045</v>
      </c>
      <c r="I197" s="427">
        <f t="shared" si="26"/>
        <v>9.299033817</v>
      </c>
      <c r="J197" s="427">
        <f t="shared" si="26"/>
        <v>9.251579234</v>
      </c>
      <c r="K197" s="427">
        <f t="shared" si="26"/>
        <v>9.499220645</v>
      </c>
      <c r="L197" s="427">
        <f t="shared" si="26"/>
        <v>9.378841388</v>
      </c>
      <c r="M197" s="427">
        <f t="shared" si="26"/>
        <v>9.755369054</v>
      </c>
      <c r="N197" s="427">
        <f t="shared" si="26"/>
        <v>9.850617481</v>
      </c>
      <c r="O197" s="427">
        <f t="shared" si="26"/>
        <v>9.996425112</v>
      </c>
      <c r="P197" s="427">
        <f t="shared" si="26"/>
        <v>10.55251146</v>
      </c>
      <c r="Q197" s="427">
        <f t="shared" si="26"/>
        <v>10.42582571</v>
      </c>
      <c r="R197" s="427">
        <f t="shared" si="26"/>
        <v>10.69072955</v>
      </c>
      <c r="S197" s="427">
        <f t="shared" si="26"/>
        <v>10.5317883</v>
      </c>
      <c r="T197" s="427">
        <f t="shared" si="26"/>
        <v>10.6196468</v>
      </c>
      <c r="U197" s="427">
        <f t="shared" si="26"/>
        <v>10.643962</v>
      </c>
      <c r="V197" s="427">
        <f t="shared" si="26"/>
        <v>10.52475235</v>
      </c>
      <c r="W197" s="428">
        <f>AVERAGE(8.78775958043124,11.4477611988641)</f>
        <v>10.11776039</v>
      </c>
      <c r="X197" s="427">
        <f t="shared" ref="X197:AH197" si="27">$W197*X196/$W196</f>
        <v>10.11776039</v>
      </c>
      <c r="Y197" s="427">
        <f t="shared" si="27"/>
        <v>10.11776039</v>
      </c>
      <c r="Z197" s="427">
        <f t="shared" si="27"/>
        <v>10.11776039</v>
      </c>
      <c r="AA197" s="427">
        <f t="shared" si="27"/>
        <v>10.11776039</v>
      </c>
      <c r="AB197" s="428">
        <f t="shared" si="27"/>
        <v>10.11776039</v>
      </c>
      <c r="AC197" s="428">
        <f t="shared" si="27"/>
        <v>10.28638973</v>
      </c>
      <c r="AD197" s="428">
        <f t="shared" si="27"/>
        <v>10.45501907</v>
      </c>
      <c r="AE197" s="428">
        <f t="shared" si="27"/>
        <v>10.62364841</v>
      </c>
      <c r="AF197" s="428">
        <f t="shared" si="27"/>
        <v>10.79227775</v>
      </c>
      <c r="AG197" s="428">
        <f t="shared" si="27"/>
        <v>10.96090709</v>
      </c>
      <c r="AH197" s="429">
        <f t="shared" si="27"/>
        <v>11.12953643</v>
      </c>
      <c r="AI197" s="318"/>
      <c r="AJ197" s="318"/>
      <c r="AK197" s="318"/>
      <c r="AL197" s="318"/>
      <c r="AM197" s="251"/>
      <c r="AN197" s="100" t="b">
        <f t="shared" si="8"/>
        <v>1</v>
      </c>
      <c r="AO197" s="402"/>
    </row>
    <row r="198" ht="13.5" customHeight="1" outlineLevel="5">
      <c r="A198" s="390"/>
      <c r="B198" s="394"/>
      <c r="C198" s="393"/>
      <c r="D198" s="394"/>
      <c r="E198" s="270" t="s">
        <v>1574</v>
      </c>
      <c r="F198" s="249" t="s">
        <v>1532</v>
      </c>
      <c r="G198" s="249" t="s">
        <v>1575</v>
      </c>
      <c r="H198" s="260"/>
      <c r="I198" s="181"/>
      <c r="J198" s="181"/>
      <c r="K198" s="181"/>
      <c r="L198" s="181"/>
      <c r="M198" s="181"/>
      <c r="N198" s="181"/>
      <c r="O198" s="181"/>
      <c r="P198" s="181"/>
      <c r="Q198" s="181"/>
      <c r="R198" s="181"/>
      <c r="S198" s="181"/>
      <c r="T198" s="181"/>
      <c r="U198" s="181"/>
      <c r="V198" s="181"/>
      <c r="W198" s="182">
        <v>54.54144332</v>
      </c>
      <c r="X198" s="181"/>
      <c r="Y198" s="181"/>
      <c r="Z198" s="181"/>
      <c r="AA198" s="181"/>
      <c r="AB198" s="182">
        <v>54.739125</v>
      </c>
      <c r="AC198" s="182">
        <v>51.8175</v>
      </c>
      <c r="AD198" s="182">
        <v>45.885</v>
      </c>
      <c r="AE198" s="182">
        <v>35.51625</v>
      </c>
      <c r="AF198" s="182">
        <v>19.6882</v>
      </c>
      <c r="AG198" s="182">
        <v>6.3168</v>
      </c>
      <c r="AH198" s="184">
        <v>0.0</v>
      </c>
      <c r="AI198" s="318"/>
      <c r="AJ198" s="318"/>
      <c r="AK198" s="318"/>
      <c r="AL198" s="318"/>
      <c r="AM198" s="251"/>
      <c r="AN198" s="100" t="b">
        <f t="shared" si="8"/>
        <v>0</v>
      </c>
      <c r="AO198" s="102"/>
    </row>
    <row r="199" ht="13.5" customHeight="1" outlineLevel="5">
      <c r="A199" s="390"/>
      <c r="B199" s="394"/>
      <c r="C199" s="393"/>
      <c r="D199" s="394"/>
      <c r="E199" s="270" t="s">
        <v>1576</v>
      </c>
      <c r="F199" s="249" t="s">
        <v>1532</v>
      </c>
      <c r="G199" s="249" t="s">
        <v>1577</v>
      </c>
      <c r="H199" s="260"/>
      <c r="I199" s="181"/>
      <c r="J199" s="181"/>
      <c r="K199" s="181"/>
      <c r="L199" s="181"/>
      <c r="M199" s="181"/>
      <c r="N199" s="181"/>
      <c r="O199" s="181"/>
      <c r="P199" s="181"/>
      <c r="Q199" s="181"/>
      <c r="R199" s="181"/>
      <c r="S199" s="181"/>
      <c r="T199" s="181"/>
      <c r="U199" s="181"/>
      <c r="V199" s="181"/>
      <c r="W199" s="182">
        <v>0.16411668</v>
      </c>
      <c r="X199" s="181"/>
      <c r="Y199" s="181"/>
      <c r="Z199" s="181"/>
      <c r="AA199" s="181"/>
      <c r="AB199" s="182">
        <v>0.055125</v>
      </c>
      <c r="AC199" s="182">
        <v>0.0</v>
      </c>
      <c r="AD199" s="182">
        <v>0.0</v>
      </c>
      <c r="AE199" s="182">
        <v>0.0</v>
      </c>
      <c r="AF199" s="182">
        <v>0.0</v>
      </c>
      <c r="AG199" s="182">
        <v>0.0</v>
      </c>
      <c r="AH199" s="184">
        <v>0.0</v>
      </c>
      <c r="AI199" s="318"/>
      <c r="AJ199" s="318"/>
      <c r="AK199" s="318"/>
      <c r="AL199" s="318"/>
      <c r="AM199" s="251"/>
      <c r="AN199" s="100" t="b">
        <f t="shared" si="8"/>
        <v>0</v>
      </c>
      <c r="AO199" s="102"/>
    </row>
    <row r="200" ht="13.5" customHeight="1" outlineLevel="5">
      <c r="A200" s="390"/>
      <c r="B200" s="394"/>
      <c r="C200" s="393"/>
      <c r="D200" s="394"/>
      <c r="E200" s="248" t="s">
        <v>1578</v>
      </c>
      <c r="F200" s="249" t="s">
        <v>1532</v>
      </c>
      <c r="G200" s="249" t="s">
        <v>1579</v>
      </c>
      <c r="H200" s="260"/>
      <c r="I200" s="181"/>
      <c r="J200" s="181"/>
      <c r="K200" s="181"/>
      <c r="L200" s="181"/>
      <c r="M200" s="181"/>
      <c r="N200" s="181"/>
      <c r="O200" s="181"/>
      <c r="P200" s="181"/>
      <c r="Q200" s="181"/>
      <c r="R200" s="181"/>
      <c r="S200" s="181"/>
      <c r="T200" s="181"/>
      <c r="U200" s="181"/>
      <c r="V200" s="181"/>
      <c r="W200" s="182">
        <v>0.0</v>
      </c>
      <c r="X200" s="181"/>
      <c r="Y200" s="181"/>
      <c r="Z200" s="181"/>
      <c r="AA200" s="181"/>
      <c r="AB200" s="182">
        <v>0.33075</v>
      </c>
      <c r="AC200" s="182">
        <v>0.793125</v>
      </c>
      <c r="AD200" s="182">
        <v>1.49625</v>
      </c>
      <c r="AE200" s="182">
        <v>3.69</v>
      </c>
      <c r="AF200" s="182">
        <v>6.4288</v>
      </c>
      <c r="AG200" s="398">
        <f>9.4752+1</f>
        <v>10.4752</v>
      </c>
      <c r="AH200" s="400">
        <f>11.844+3</f>
        <v>14.844</v>
      </c>
      <c r="AI200" s="318"/>
      <c r="AJ200" s="318"/>
      <c r="AK200" s="318"/>
      <c r="AL200" s="318"/>
      <c r="AM200" s="251"/>
      <c r="AN200" s="100" t="b">
        <f t="shared" si="8"/>
        <v>0</v>
      </c>
      <c r="AO200" s="102"/>
    </row>
    <row r="201" ht="13.5" customHeight="1" outlineLevel="5">
      <c r="A201" s="390"/>
      <c r="B201" s="394"/>
      <c r="C201" s="393"/>
      <c r="D201" s="394"/>
      <c r="E201" s="248" t="s">
        <v>1580</v>
      </c>
      <c r="F201" s="249" t="s">
        <v>1532</v>
      </c>
      <c r="G201" s="249" t="s">
        <v>1581</v>
      </c>
      <c r="H201" s="260"/>
      <c r="I201" s="181"/>
      <c r="J201" s="181"/>
      <c r="K201" s="181"/>
      <c r="L201" s="181"/>
      <c r="M201" s="181"/>
      <c r="N201" s="181"/>
      <c r="O201" s="181"/>
      <c r="P201" s="181"/>
      <c r="Q201" s="181"/>
      <c r="R201" s="181"/>
      <c r="S201" s="181"/>
      <c r="T201" s="181"/>
      <c r="U201" s="181"/>
      <c r="V201" s="181"/>
      <c r="W201" s="182">
        <v>0.0</v>
      </c>
      <c r="X201" s="181"/>
      <c r="Y201" s="181"/>
      <c r="Z201" s="181"/>
      <c r="AA201" s="181"/>
      <c r="AB201" s="182">
        <v>0.0</v>
      </c>
      <c r="AC201" s="182">
        <v>0.0</v>
      </c>
      <c r="AD201" s="182">
        <v>0.49875</v>
      </c>
      <c r="AE201" s="182">
        <v>2.30625</v>
      </c>
      <c r="AF201" s="182">
        <v>6.027</v>
      </c>
      <c r="AG201" s="398">
        <f>11.844-1</f>
        <v>10.844</v>
      </c>
      <c r="AH201" s="400">
        <f>15.792-3</f>
        <v>12.792</v>
      </c>
      <c r="AI201" s="318"/>
      <c r="AJ201" s="318"/>
      <c r="AK201" s="318"/>
      <c r="AL201" s="318"/>
      <c r="AM201" s="251"/>
      <c r="AN201" s="100" t="b">
        <f t="shared" si="8"/>
        <v>0</v>
      </c>
      <c r="AO201" s="102"/>
    </row>
    <row r="202" ht="13.5" customHeight="1" outlineLevel="5">
      <c r="A202" s="390"/>
      <c r="B202" s="394"/>
      <c r="C202" s="393"/>
      <c r="D202" s="394"/>
      <c r="E202" s="368" t="s">
        <v>1582</v>
      </c>
      <c r="F202" s="123" t="s">
        <v>1532</v>
      </c>
      <c r="G202" s="123" t="s">
        <v>1583</v>
      </c>
      <c r="H202" s="260"/>
      <c r="I202" s="181"/>
      <c r="J202" s="181"/>
      <c r="K202" s="181"/>
      <c r="L202" s="181"/>
      <c r="M202" s="181"/>
      <c r="N202" s="181"/>
      <c r="O202" s="181"/>
      <c r="P202" s="181"/>
      <c r="Q202" s="181"/>
      <c r="R202" s="181"/>
      <c r="S202" s="181"/>
      <c r="T202" s="181"/>
      <c r="U202" s="181"/>
      <c r="V202" s="181"/>
      <c r="W202" s="182">
        <v>0.0</v>
      </c>
      <c r="X202" s="181"/>
      <c r="Y202" s="181"/>
      <c r="Z202" s="181"/>
      <c r="AA202" s="181"/>
      <c r="AB202" s="182">
        <v>0.0</v>
      </c>
      <c r="AC202" s="182">
        <v>0.264375</v>
      </c>
      <c r="AD202" s="182">
        <v>1.995</v>
      </c>
      <c r="AE202" s="182">
        <v>4.6125</v>
      </c>
      <c r="AF202" s="182">
        <v>8.036</v>
      </c>
      <c r="AG202" s="182">
        <v>11.844</v>
      </c>
      <c r="AH202" s="182">
        <v>11.844</v>
      </c>
      <c r="AI202" s="318"/>
      <c r="AJ202" s="318"/>
      <c r="AK202" s="318"/>
      <c r="AL202" s="318"/>
      <c r="AM202" s="251"/>
      <c r="AN202" s="100" t="b">
        <f t="shared" si="8"/>
        <v>0</v>
      </c>
      <c r="AO202" s="102"/>
    </row>
    <row r="203" ht="14.25" customHeight="1" outlineLevel="3">
      <c r="A203" s="390"/>
      <c r="B203" s="394"/>
      <c r="C203" s="408" t="s">
        <v>1584</v>
      </c>
      <c r="D203" s="394"/>
      <c r="E203" s="162"/>
      <c r="F203" s="162"/>
      <c r="G203" s="162"/>
      <c r="H203" s="178"/>
      <c r="I203" s="178"/>
      <c r="J203" s="178"/>
      <c r="K203" s="178"/>
      <c r="L203" s="178"/>
      <c r="M203" s="178"/>
      <c r="N203" s="178"/>
      <c r="O203" s="178"/>
      <c r="P203" s="178"/>
      <c r="Q203" s="178"/>
      <c r="R203" s="178"/>
      <c r="S203" s="178"/>
      <c r="T203" s="178"/>
      <c r="U203" s="178"/>
      <c r="V203" s="178"/>
      <c r="W203" s="178"/>
      <c r="X203" s="178"/>
      <c r="Y203" s="178"/>
      <c r="Z203" s="178"/>
      <c r="AA203" s="178"/>
      <c r="AB203" s="178"/>
      <c r="AC203" s="178"/>
      <c r="AD203" s="178"/>
      <c r="AE203" s="178"/>
      <c r="AF203" s="178"/>
      <c r="AG203" s="178"/>
      <c r="AH203" s="178"/>
      <c r="AI203" s="100"/>
      <c r="AJ203" s="100"/>
      <c r="AK203" s="100"/>
      <c r="AL203" s="100"/>
      <c r="AM203" s="100"/>
      <c r="AN203" s="100" t="b">
        <f t="shared" si="8"/>
        <v>0</v>
      </c>
      <c r="AO203" s="102"/>
    </row>
    <row r="204" ht="14.25" customHeight="1" outlineLevel="4">
      <c r="A204" s="390"/>
      <c r="B204" s="394"/>
      <c r="C204" s="393"/>
      <c r="D204" s="394"/>
      <c r="E204" s="409" t="s">
        <v>1585</v>
      </c>
      <c r="F204" s="410" t="s">
        <v>1314</v>
      </c>
      <c r="G204" s="410" t="s">
        <v>1586</v>
      </c>
      <c r="H204" s="260"/>
      <c r="I204" s="181"/>
      <c r="J204" s="181"/>
      <c r="K204" s="181"/>
      <c r="L204" s="181"/>
      <c r="M204" s="181"/>
      <c r="N204" s="181"/>
      <c r="O204" s="181"/>
      <c r="P204" s="181"/>
      <c r="Q204" s="181"/>
      <c r="R204" s="181"/>
      <c r="S204" s="181"/>
      <c r="T204" s="181"/>
      <c r="U204" s="181">
        <v>16812.0</v>
      </c>
      <c r="V204" s="181">
        <v>16848.0</v>
      </c>
      <c r="W204" s="286">
        <v>16865.0</v>
      </c>
      <c r="X204" s="181">
        <v>16974.0</v>
      </c>
      <c r="Y204" s="181">
        <v>16798.0</v>
      </c>
      <c r="Z204" s="181"/>
      <c r="AA204" s="181"/>
      <c r="AB204" s="286"/>
      <c r="AC204" s="286"/>
      <c r="AD204" s="286"/>
      <c r="AE204" s="286"/>
      <c r="AF204" s="286"/>
      <c r="AG204" s="286"/>
      <c r="AH204" s="286"/>
      <c r="AI204" s="318"/>
      <c r="AJ204" s="318"/>
      <c r="AK204" s="318"/>
      <c r="AL204" s="318"/>
      <c r="AM204" s="251"/>
      <c r="AN204" s="100" t="b">
        <f t="shared" si="8"/>
        <v>0</v>
      </c>
      <c r="AO204" s="102"/>
    </row>
    <row r="205" ht="14.25" customHeight="1" outlineLevel="4">
      <c r="A205" s="390"/>
      <c r="B205" s="394"/>
      <c r="C205" s="393"/>
      <c r="D205" s="394"/>
      <c r="E205" s="411" t="s">
        <v>1587</v>
      </c>
      <c r="F205" s="69" t="s">
        <v>1314</v>
      </c>
      <c r="G205" s="69" t="s">
        <v>1588</v>
      </c>
      <c r="H205" s="260"/>
      <c r="I205" s="181"/>
      <c r="J205" s="181"/>
      <c r="K205" s="181"/>
      <c r="L205" s="181"/>
      <c r="M205" s="181"/>
      <c r="N205" s="181"/>
      <c r="O205" s="181"/>
      <c r="P205" s="181"/>
      <c r="Q205" s="181"/>
      <c r="R205" s="181"/>
      <c r="S205" s="181"/>
      <c r="T205" s="181"/>
      <c r="U205" s="181">
        <v>43910.0</v>
      </c>
      <c r="V205" s="181">
        <v>43968.0</v>
      </c>
      <c r="W205" s="286">
        <v>44793.0</v>
      </c>
      <c r="X205" s="181">
        <v>42013.0</v>
      </c>
      <c r="Y205" s="181">
        <v>43235.0</v>
      </c>
      <c r="Z205" s="181"/>
      <c r="AA205" s="181"/>
      <c r="AB205" s="286"/>
      <c r="AC205" s="286"/>
      <c r="AD205" s="286"/>
      <c r="AE205" s="286"/>
      <c r="AF205" s="286"/>
      <c r="AG205" s="286"/>
      <c r="AH205" s="286"/>
      <c r="AI205" s="318"/>
      <c r="AJ205" s="318"/>
      <c r="AK205" s="318"/>
      <c r="AL205" s="318"/>
      <c r="AM205" s="251"/>
      <c r="AN205" s="100" t="b">
        <f t="shared" si="8"/>
        <v>0</v>
      </c>
      <c r="AO205" s="102"/>
    </row>
    <row r="206" ht="14.25" customHeight="1" outlineLevel="3">
      <c r="A206" s="390"/>
      <c r="B206" s="394"/>
      <c r="C206" s="408" t="s">
        <v>1325</v>
      </c>
      <c r="D206" s="394"/>
      <c r="E206" s="162"/>
      <c r="F206" s="162"/>
      <c r="G206" s="162"/>
      <c r="H206" s="178"/>
      <c r="I206" s="178"/>
      <c r="J206" s="178"/>
      <c r="K206" s="178"/>
      <c r="L206" s="178"/>
      <c r="M206" s="178"/>
      <c r="N206" s="178"/>
      <c r="O206" s="178"/>
      <c r="P206" s="178"/>
      <c r="Q206" s="178"/>
      <c r="R206" s="178"/>
      <c r="S206" s="178"/>
      <c r="T206" s="178"/>
      <c r="U206" s="178"/>
      <c r="V206" s="178"/>
      <c r="W206" s="178"/>
      <c r="X206" s="178"/>
      <c r="Y206" s="178"/>
      <c r="Z206" s="178"/>
      <c r="AA206" s="178"/>
      <c r="AB206" s="178"/>
      <c r="AC206" s="178"/>
      <c r="AD206" s="178"/>
      <c r="AE206" s="178"/>
      <c r="AF206" s="178"/>
      <c r="AG206" s="178"/>
      <c r="AH206" s="178"/>
      <c r="AI206" s="100"/>
      <c r="AJ206" s="100"/>
      <c r="AK206" s="100"/>
      <c r="AL206" s="100"/>
      <c r="AM206" s="100"/>
      <c r="AN206" s="100" t="b">
        <f t="shared" si="8"/>
        <v>0</v>
      </c>
      <c r="AO206" s="102"/>
    </row>
    <row r="207" ht="14.25" customHeight="1" outlineLevel="4">
      <c r="A207" s="390"/>
      <c r="B207" s="394"/>
      <c r="C207" s="393"/>
      <c r="D207" s="394"/>
      <c r="E207" s="287" t="s">
        <v>1589</v>
      </c>
      <c r="F207" s="249" t="s">
        <v>1328</v>
      </c>
      <c r="G207" s="249" t="s">
        <v>1590</v>
      </c>
      <c r="H207" s="260">
        <v>0.5888</v>
      </c>
      <c r="I207" s="181">
        <v>0.615</v>
      </c>
      <c r="J207" s="181">
        <v>0.5914</v>
      </c>
      <c r="K207" s="181">
        <v>0.6103</v>
      </c>
      <c r="L207" s="181">
        <v>0.6373</v>
      </c>
      <c r="M207" s="181">
        <v>0.6623</v>
      </c>
      <c r="N207" s="181">
        <v>0.6786</v>
      </c>
      <c r="O207" s="181">
        <v>0.699</v>
      </c>
      <c r="P207" s="181">
        <v>0.7176</v>
      </c>
      <c r="Q207" s="181">
        <v>0.729</v>
      </c>
      <c r="R207" s="181">
        <v>0.7473</v>
      </c>
      <c r="S207" s="181">
        <v>0.7643</v>
      </c>
      <c r="T207" s="181">
        <v>0.7787</v>
      </c>
      <c r="U207" s="181">
        <v>0.7915</v>
      </c>
      <c r="V207" s="181">
        <v>0.8074</v>
      </c>
      <c r="W207" s="286">
        <v>0.8316</v>
      </c>
      <c r="X207" s="181">
        <v>0.8598</v>
      </c>
      <c r="Y207" s="181">
        <v>0.8925</v>
      </c>
      <c r="Z207" s="181"/>
      <c r="AA207" s="181"/>
      <c r="AB207" s="286"/>
      <c r="AC207" s="286"/>
      <c r="AD207" s="286"/>
      <c r="AE207" s="286"/>
      <c r="AF207" s="286"/>
      <c r="AG207" s="286"/>
      <c r="AH207" s="286"/>
      <c r="AI207" s="318"/>
      <c r="AJ207" s="318"/>
      <c r="AK207" s="318"/>
      <c r="AL207" s="318"/>
      <c r="AM207" s="251"/>
      <c r="AN207" s="100" t="b">
        <f t="shared" si="8"/>
        <v>0</v>
      </c>
      <c r="AO207" s="102"/>
    </row>
    <row r="208" ht="14.25" customHeight="1" outlineLevel="4">
      <c r="A208" s="390"/>
      <c r="B208" s="394"/>
      <c r="C208" s="393"/>
      <c r="D208" s="394"/>
      <c r="E208" s="270" t="s">
        <v>1591</v>
      </c>
      <c r="F208" s="249" t="s">
        <v>1328</v>
      </c>
      <c r="G208" s="249" t="s">
        <v>1592</v>
      </c>
      <c r="H208" s="260">
        <v>0.0589</v>
      </c>
      <c r="I208" s="181">
        <v>0.0543</v>
      </c>
      <c r="J208" s="181">
        <v>0.0502</v>
      </c>
      <c r="K208" s="181">
        <v>0.0469</v>
      </c>
      <c r="L208" s="181">
        <v>0.0448</v>
      </c>
      <c r="M208" s="181">
        <v>0.0428</v>
      </c>
      <c r="N208" s="181">
        <v>0.0398</v>
      </c>
      <c r="O208" s="181">
        <v>0.0371</v>
      </c>
      <c r="P208" s="181">
        <v>0.0348</v>
      </c>
      <c r="Q208" s="181">
        <v>0.0331</v>
      </c>
      <c r="R208" s="181">
        <v>0.0318</v>
      </c>
      <c r="S208" s="181">
        <v>0.0309</v>
      </c>
      <c r="T208" s="181">
        <v>0.0303</v>
      </c>
      <c r="U208" s="181">
        <v>0.031</v>
      </c>
      <c r="V208" s="181">
        <v>0.0318</v>
      </c>
      <c r="W208" s="286">
        <v>0.0333</v>
      </c>
      <c r="X208" s="181">
        <v>0.0363</v>
      </c>
      <c r="Y208" s="181">
        <v>0.0401</v>
      </c>
      <c r="Z208" s="181"/>
      <c r="AA208" s="181"/>
      <c r="AB208" s="286"/>
      <c r="AC208" s="286"/>
      <c r="AD208" s="286"/>
      <c r="AE208" s="286"/>
      <c r="AF208" s="286"/>
      <c r="AG208" s="286"/>
      <c r="AH208" s="286"/>
      <c r="AI208" s="318"/>
      <c r="AJ208" s="318"/>
      <c r="AK208" s="318"/>
      <c r="AL208" s="318"/>
      <c r="AM208" s="251"/>
      <c r="AN208" s="100" t="b">
        <f t="shared" si="8"/>
        <v>0</v>
      </c>
      <c r="AO208" s="102"/>
    </row>
    <row r="209" ht="14.25" customHeight="1" outlineLevel="4">
      <c r="A209" s="390"/>
      <c r="B209" s="394"/>
      <c r="C209" s="393"/>
      <c r="D209" s="394"/>
      <c r="E209" s="122" t="s">
        <v>1593</v>
      </c>
      <c r="F209" s="123" t="s">
        <v>1328</v>
      </c>
      <c r="G209" s="123" t="s">
        <v>1594</v>
      </c>
      <c r="H209" s="260">
        <v>0.4686</v>
      </c>
      <c r="I209" s="181">
        <v>0.4972</v>
      </c>
      <c r="J209" s="181">
        <v>0.5161</v>
      </c>
      <c r="K209" s="181">
        <v>0.5356</v>
      </c>
      <c r="L209" s="181">
        <v>0.5599</v>
      </c>
      <c r="M209" s="181">
        <v>0.5884</v>
      </c>
      <c r="N209" s="181">
        <v>0.6095</v>
      </c>
      <c r="O209" s="181">
        <v>0.6327</v>
      </c>
      <c r="P209" s="181">
        <v>0.6561</v>
      </c>
      <c r="Q209" s="181">
        <v>0.6697</v>
      </c>
      <c r="R209" s="181">
        <v>0.6845</v>
      </c>
      <c r="S209" s="181">
        <v>0.7091</v>
      </c>
      <c r="T209" s="181">
        <v>0.7214</v>
      </c>
      <c r="U209" s="181">
        <v>0.739</v>
      </c>
      <c r="V209" s="181">
        <v>0.7537</v>
      </c>
      <c r="W209" s="286">
        <v>0.7761</v>
      </c>
      <c r="X209" s="181">
        <v>0.8001</v>
      </c>
      <c r="Y209" s="181">
        <v>0.8279</v>
      </c>
      <c r="Z209" s="181"/>
      <c r="AA209" s="181"/>
      <c r="AB209" s="286"/>
      <c r="AC209" s="286"/>
      <c r="AD209" s="286"/>
      <c r="AE209" s="286"/>
      <c r="AF209" s="286"/>
      <c r="AG209" s="286"/>
      <c r="AH209" s="286"/>
      <c r="AI209" s="318"/>
      <c r="AJ209" s="318"/>
      <c r="AK209" s="318"/>
      <c r="AL209" s="318"/>
      <c r="AM209" s="251"/>
      <c r="AN209" s="100" t="b">
        <f t="shared" si="8"/>
        <v>0</v>
      </c>
      <c r="AO209" s="102"/>
    </row>
    <row r="210" ht="14.25" customHeight="1" outlineLevel="4">
      <c r="A210" s="390"/>
      <c r="B210" s="394"/>
      <c r="C210" s="393"/>
      <c r="D210" s="395" t="s">
        <v>1595</v>
      </c>
      <c r="E210" s="162"/>
      <c r="F210" s="162"/>
      <c r="G210" s="162"/>
      <c r="H210" s="178"/>
      <c r="I210" s="178"/>
      <c r="J210" s="178"/>
      <c r="K210" s="178"/>
      <c r="L210" s="178"/>
      <c r="M210" s="178"/>
      <c r="N210" s="178"/>
      <c r="O210" s="178"/>
      <c r="P210" s="178"/>
      <c r="Q210" s="178"/>
      <c r="R210" s="178"/>
      <c r="S210" s="178"/>
      <c r="T210" s="178"/>
      <c r="U210" s="178"/>
      <c r="V210" s="178"/>
      <c r="W210" s="178"/>
      <c r="X210" s="178"/>
      <c r="Y210" s="178"/>
      <c r="Z210" s="178"/>
      <c r="AA210" s="178"/>
      <c r="AB210" s="178"/>
      <c r="AC210" s="178"/>
      <c r="AD210" s="178"/>
      <c r="AE210" s="178"/>
      <c r="AF210" s="178"/>
      <c r="AG210" s="178"/>
      <c r="AH210" s="178"/>
      <c r="AI210" s="100"/>
      <c r="AJ210" s="100"/>
      <c r="AK210" s="100"/>
      <c r="AL210" s="100"/>
      <c r="AM210" s="100"/>
      <c r="AN210" s="100" t="b">
        <f t="shared" si="8"/>
        <v>0</v>
      </c>
      <c r="AO210" s="102"/>
    </row>
    <row r="211" ht="14.25" customHeight="1" outlineLevel="5">
      <c r="A211" s="390"/>
      <c r="B211" s="394"/>
      <c r="C211" s="393"/>
      <c r="D211" s="394"/>
      <c r="E211" s="287" t="s">
        <v>1596</v>
      </c>
      <c r="F211" s="249" t="s">
        <v>1328</v>
      </c>
      <c r="G211" s="249" t="s">
        <v>1597</v>
      </c>
      <c r="H211" s="260">
        <v>0.4247</v>
      </c>
      <c r="I211" s="181">
        <v>0.4489</v>
      </c>
      <c r="J211" s="181">
        <v>0.4373</v>
      </c>
      <c r="K211" s="181">
        <v>0.457</v>
      </c>
      <c r="L211" s="181">
        <v>0.4839</v>
      </c>
      <c r="M211" s="181">
        <v>0.5085</v>
      </c>
      <c r="N211" s="181">
        <v>0.5247</v>
      </c>
      <c r="O211" s="181">
        <v>0.5441</v>
      </c>
      <c r="P211" s="181">
        <v>0.5622</v>
      </c>
      <c r="Q211" s="181">
        <v>0.5769</v>
      </c>
      <c r="R211" s="181">
        <v>0.5959</v>
      </c>
      <c r="S211" s="181">
        <v>0.6139</v>
      </c>
      <c r="T211" s="181">
        <v>0.6285</v>
      </c>
      <c r="U211" s="181">
        <v>0.6412</v>
      </c>
      <c r="V211" s="181">
        <v>0.6574</v>
      </c>
      <c r="W211" s="286">
        <v>0.6808</v>
      </c>
      <c r="X211" s="181">
        <v>0.7098</v>
      </c>
      <c r="Y211" s="181">
        <v>0.741</v>
      </c>
      <c r="Z211" s="181"/>
      <c r="AA211" s="181"/>
      <c r="AB211" s="286"/>
      <c r="AC211" s="286"/>
      <c r="AD211" s="286"/>
      <c r="AE211" s="286"/>
      <c r="AF211" s="286"/>
      <c r="AG211" s="286"/>
      <c r="AH211" s="286"/>
      <c r="AI211" s="318"/>
      <c r="AJ211" s="318"/>
      <c r="AK211" s="318"/>
      <c r="AL211" s="318"/>
      <c r="AM211" s="251"/>
      <c r="AN211" s="100" t="b">
        <f t="shared" si="8"/>
        <v>0</v>
      </c>
      <c r="AO211" s="102"/>
    </row>
    <row r="212" ht="14.25" customHeight="1" outlineLevel="5">
      <c r="A212" s="390"/>
      <c r="B212" s="394"/>
      <c r="C212" s="393"/>
      <c r="D212" s="394"/>
      <c r="E212" s="270" t="s">
        <v>1598</v>
      </c>
      <c r="F212" s="249" t="s">
        <v>1328</v>
      </c>
      <c r="G212" s="249" t="s">
        <v>1599</v>
      </c>
      <c r="H212" s="260">
        <v>0.0586</v>
      </c>
      <c r="I212" s="181">
        <v>0.0542</v>
      </c>
      <c r="J212" s="181"/>
      <c r="K212" s="181"/>
      <c r="L212" s="181">
        <v>0.0415</v>
      </c>
      <c r="M212" s="181">
        <v>0.0391</v>
      </c>
      <c r="N212" s="181">
        <v>0.036</v>
      </c>
      <c r="O212" s="181">
        <v>0.0335</v>
      </c>
      <c r="P212" s="181">
        <v>0.0314</v>
      </c>
      <c r="Q212" s="181">
        <v>0.0299</v>
      </c>
      <c r="R212" s="181">
        <v>0.0287</v>
      </c>
      <c r="S212" s="181">
        <v>0.0278</v>
      </c>
      <c r="T212" s="181">
        <v>0.0277</v>
      </c>
      <c r="U212" s="181">
        <v>0.0285</v>
      </c>
      <c r="V212" s="181">
        <v>0.0292</v>
      </c>
      <c r="W212" s="286">
        <v>0.0307</v>
      </c>
      <c r="X212" s="181">
        <v>0.0335</v>
      </c>
      <c r="Y212" s="181">
        <v>0.0373</v>
      </c>
      <c r="Z212" s="181"/>
      <c r="AA212" s="181"/>
      <c r="AB212" s="286"/>
      <c r="AC212" s="286"/>
      <c r="AD212" s="286"/>
      <c r="AE212" s="286"/>
      <c r="AF212" s="286"/>
      <c r="AG212" s="286"/>
      <c r="AH212" s="286"/>
      <c r="AI212" s="318"/>
      <c r="AJ212" s="318"/>
      <c r="AK212" s="318"/>
      <c r="AL212" s="318"/>
      <c r="AM212" s="251"/>
      <c r="AN212" s="100" t="b">
        <f t="shared" si="8"/>
        <v>0</v>
      </c>
      <c r="AO212" s="102"/>
    </row>
    <row r="213" ht="14.25" customHeight="1" outlineLevel="5">
      <c r="A213" s="390"/>
      <c r="B213" s="394"/>
      <c r="C213" s="393"/>
      <c r="D213" s="394"/>
      <c r="E213" s="270" t="s">
        <v>1600</v>
      </c>
      <c r="F213" s="249" t="s">
        <v>1328</v>
      </c>
      <c r="G213" s="249" t="s">
        <v>1601</v>
      </c>
      <c r="H213" s="260">
        <v>0.3533</v>
      </c>
      <c r="I213" s="181">
        <v>0.3815</v>
      </c>
      <c r="J213" s="181"/>
      <c r="K213" s="181"/>
      <c r="L213" s="181">
        <v>0.4294</v>
      </c>
      <c r="M213" s="181">
        <v>0.4561</v>
      </c>
      <c r="N213" s="181">
        <v>0.4755</v>
      </c>
      <c r="O213" s="181">
        <v>0.4976</v>
      </c>
      <c r="P213" s="181">
        <v>0.5176</v>
      </c>
      <c r="Q213" s="181">
        <v>0.5336</v>
      </c>
      <c r="R213" s="181">
        <v>0.5538</v>
      </c>
      <c r="S213" s="181">
        <v>0.5728</v>
      </c>
      <c r="T213" s="181">
        <v>0.5874</v>
      </c>
      <c r="U213" s="181">
        <v>0.5994</v>
      </c>
      <c r="V213" s="181">
        <v>0.6144</v>
      </c>
      <c r="W213" s="286">
        <v>0.6359</v>
      </c>
      <c r="X213" s="181">
        <v>0.6615</v>
      </c>
      <c r="Y213" s="181">
        <v>0.6878</v>
      </c>
      <c r="Z213" s="181"/>
      <c r="AA213" s="181"/>
      <c r="AB213" s="286"/>
      <c r="AC213" s="286"/>
      <c r="AD213" s="286"/>
      <c r="AE213" s="286"/>
      <c r="AF213" s="286"/>
      <c r="AG213" s="286"/>
      <c r="AH213" s="286"/>
      <c r="AI213" s="318"/>
      <c r="AJ213" s="318"/>
      <c r="AK213" s="318"/>
      <c r="AL213" s="318"/>
      <c r="AM213" s="251"/>
      <c r="AN213" s="100" t="b">
        <f t="shared" si="8"/>
        <v>0</v>
      </c>
      <c r="AO213" s="102"/>
    </row>
    <row r="214" ht="14.25" customHeight="1" outlineLevel="5">
      <c r="A214" s="390"/>
      <c r="B214" s="394"/>
      <c r="C214" s="393"/>
      <c r="D214" s="394"/>
      <c r="E214" s="270" t="s">
        <v>1602</v>
      </c>
      <c r="F214" s="249" t="s">
        <v>1328</v>
      </c>
      <c r="G214" s="249" t="s">
        <v>1603</v>
      </c>
      <c r="H214" s="260"/>
      <c r="I214" s="181"/>
      <c r="J214" s="181"/>
      <c r="K214" s="181"/>
      <c r="L214" s="181"/>
      <c r="M214" s="181"/>
      <c r="N214" s="181"/>
      <c r="O214" s="181"/>
      <c r="P214" s="181"/>
      <c r="Q214" s="181"/>
      <c r="R214" s="181"/>
      <c r="S214" s="181"/>
      <c r="T214" s="181"/>
      <c r="U214" s="181"/>
      <c r="V214" s="181"/>
      <c r="W214" s="286"/>
      <c r="X214" s="181"/>
      <c r="Y214" s="181"/>
      <c r="Z214" s="181"/>
      <c r="AA214" s="181"/>
      <c r="AB214" s="286"/>
      <c r="AC214" s="286"/>
      <c r="AD214" s="286"/>
      <c r="AE214" s="286"/>
      <c r="AF214" s="286"/>
      <c r="AG214" s="286"/>
      <c r="AH214" s="286"/>
      <c r="AI214" s="318"/>
      <c r="AJ214" s="318"/>
      <c r="AK214" s="318"/>
      <c r="AL214" s="318"/>
      <c r="AM214" s="251"/>
      <c r="AN214" s="100" t="b">
        <f t="shared" si="8"/>
        <v>0</v>
      </c>
      <c r="AO214" s="102"/>
    </row>
    <row r="215" ht="14.25" customHeight="1" outlineLevel="5">
      <c r="A215" s="390"/>
      <c r="B215" s="394"/>
      <c r="C215" s="393"/>
      <c r="D215" s="394"/>
      <c r="E215" s="122" t="s">
        <v>1604</v>
      </c>
      <c r="F215" s="123" t="s">
        <v>1328</v>
      </c>
      <c r="G215" s="123" t="s">
        <v>1605</v>
      </c>
      <c r="H215" s="260"/>
      <c r="I215" s="181"/>
      <c r="J215" s="181"/>
      <c r="K215" s="181"/>
      <c r="L215" s="181"/>
      <c r="M215" s="181"/>
      <c r="N215" s="181"/>
      <c r="O215" s="181"/>
      <c r="P215" s="181"/>
      <c r="Q215" s="181"/>
      <c r="R215" s="181"/>
      <c r="S215" s="181"/>
      <c r="T215" s="181"/>
      <c r="U215" s="181">
        <v>3.0E-4</v>
      </c>
      <c r="V215" s="181">
        <v>4.0E-4</v>
      </c>
      <c r="W215" s="286">
        <v>7.0E-4</v>
      </c>
      <c r="X215" s="181">
        <v>0.0012</v>
      </c>
      <c r="Y215" s="181">
        <v>0.0018</v>
      </c>
      <c r="Z215" s="181"/>
      <c r="AA215" s="181"/>
      <c r="AB215" s="286"/>
      <c r="AC215" s="286"/>
      <c r="AD215" s="286"/>
      <c r="AE215" s="286"/>
      <c r="AF215" s="286"/>
      <c r="AG215" s="286"/>
      <c r="AH215" s="286"/>
      <c r="AI215" s="318"/>
      <c r="AJ215" s="318"/>
      <c r="AK215" s="318"/>
      <c r="AL215" s="318"/>
      <c r="AM215" s="251"/>
      <c r="AN215" s="100" t="b">
        <f t="shared" si="8"/>
        <v>0</v>
      </c>
      <c r="AO215" s="102"/>
    </row>
    <row r="216" ht="14.25" customHeight="1" outlineLevel="5">
      <c r="A216" s="390"/>
      <c r="B216" s="394"/>
      <c r="C216" s="393"/>
      <c r="D216" s="394"/>
      <c r="E216" s="122" t="s">
        <v>1606</v>
      </c>
      <c r="F216" s="123" t="s">
        <v>1328</v>
      </c>
      <c r="G216" s="123" t="s">
        <v>1607</v>
      </c>
      <c r="H216" s="260"/>
      <c r="I216" s="181"/>
      <c r="J216" s="181"/>
      <c r="K216" s="181"/>
      <c r="L216" s="181"/>
      <c r="M216" s="181"/>
      <c r="N216" s="181"/>
      <c r="O216" s="181"/>
      <c r="P216" s="181"/>
      <c r="Q216" s="181"/>
      <c r="R216" s="181"/>
      <c r="S216" s="181"/>
      <c r="T216" s="181"/>
      <c r="U216" s="181"/>
      <c r="V216" s="181"/>
      <c r="W216" s="286"/>
      <c r="X216" s="181"/>
      <c r="Y216" s="181"/>
      <c r="Z216" s="181"/>
      <c r="AA216" s="181"/>
      <c r="AB216" s="286"/>
      <c r="AC216" s="286"/>
      <c r="AD216" s="286"/>
      <c r="AE216" s="286"/>
      <c r="AF216" s="286"/>
      <c r="AG216" s="286"/>
      <c r="AH216" s="286"/>
      <c r="AI216" s="318"/>
      <c r="AJ216" s="318"/>
      <c r="AK216" s="318"/>
      <c r="AL216" s="318"/>
      <c r="AM216" s="251"/>
      <c r="AN216" s="100" t="b">
        <f t="shared" si="8"/>
        <v>0</v>
      </c>
      <c r="AO216" s="102"/>
    </row>
    <row r="217" ht="14.25" customHeight="1" outlineLevel="5">
      <c r="A217" s="390"/>
      <c r="B217" s="394"/>
      <c r="C217" s="393"/>
      <c r="D217" s="394"/>
      <c r="E217" s="122" t="s">
        <v>1608</v>
      </c>
      <c r="F217" s="123" t="s">
        <v>1328</v>
      </c>
      <c r="G217" s="123" t="s">
        <v>1609</v>
      </c>
      <c r="H217" s="260">
        <v>1.0E-4</v>
      </c>
      <c r="I217" s="181">
        <v>1.0E-4</v>
      </c>
      <c r="J217" s="181"/>
      <c r="K217" s="181"/>
      <c r="L217" s="181">
        <v>1.0E-4</v>
      </c>
      <c r="M217" s="181">
        <v>1.0E-4</v>
      </c>
      <c r="N217" s="181">
        <v>1.0E-4</v>
      </c>
      <c r="O217" s="181">
        <v>0.0</v>
      </c>
      <c r="P217" s="181">
        <v>1.0E-4</v>
      </c>
      <c r="Q217" s="181">
        <v>1.0E-4</v>
      </c>
      <c r="R217" s="181">
        <v>1.0E-4</v>
      </c>
      <c r="S217" s="181">
        <v>1.0E-4</v>
      </c>
      <c r="T217" s="181">
        <v>3.0E-4</v>
      </c>
      <c r="U217" s="181">
        <v>4.0E-4</v>
      </c>
      <c r="V217" s="181">
        <v>5.0E-4</v>
      </c>
      <c r="W217" s="286">
        <v>6.0E-4</v>
      </c>
      <c r="X217" s="181">
        <v>7.0E-4</v>
      </c>
      <c r="Y217" s="181">
        <v>8.0E-4</v>
      </c>
      <c r="Z217" s="181"/>
      <c r="AA217" s="181"/>
      <c r="AB217" s="286"/>
      <c r="AC217" s="286"/>
      <c r="AD217" s="286"/>
      <c r="AE217" s="286"/>
      <c r="AF217" s="286"/>
      <c r="AG217" s="286"/>
      <c r="AH217" s="286"/>
      <c r="AI217" s="318"/>
      <c r="AJ217" s="318"/>
      <c r="AK217" s="318"/>
      <c r="AL217" s="318"/>
      <c r="AM217" s="251"/>
      <c r="AN217" s="100" t="b">
        <f t="shared" si="8"/>
        <v>0</v>
      </c>
      <c r="AO217" s="102"/>
    </row>
    <row r="218" ht="14.25" customHeight="1" outlineLevel="5">
      <c r="A218" s="390"/>
      <c r="B218" s="394"/>
      <c r="C218" s="393"/>
      <c r="D218" s="394"/>
      <c r="E218" s="122" t="s">
        <v>1610</v>
      </c>
      <c r="F218" s="123" t="s">
        <v>1328</v>
      </c>
      <c r="G218" s="123" t="s">
        <v>1611</v>
      </c>
      <c r="H218" s="260"/>
      <c r="I218" s="181"/>
      <c r="J218" s="181"/>
      <c r="K218" s="181"/>
      <c r="L218" s="181"/>
      <c r="M218" s="181"/>
      <c r="N218" s="181"/>
      <c r="O218" s="181"/>
      <c r="P218" s="181"/>
      <c r="Q218" s="181"/>
      <c r="R218" s="181"/>
      <c r="S218" s="181"/>
      <c r="T218" s="181"/>
      <c r="U218" s="181"/>
      <c r="V218" s="181"/>
      <c r="W218" s="286"/>
      <c r="X218" s="181"/>
      <c r="Y218" s="181"/>
      <c r="Z218" s="181"/>
      <c r="AA218" s="181"/>
      <c r="AB218" s="286"/>
      <c r="AC218" s="286"/>
      <c r="AD218" s="286"/>
      <c r="AE218" s="286"/>
      <c r="AF218" s="286"/>
      <c r="AG218" s="286"/>
      <c r="AH218" s="286"/>
      <c r="AI218" s="318"/>
      <c r="AJ218" s="318"/>
      <c r="AK218" s="318"/>
      <c r="AL218" s="318"/>
      <c r="AM218" s="251"/>
      <c r="AN218" s="100" t="b">
        <f t="shared" si="8"/>
        <v>0</v>
      </c>
      <c r="AO218" s="102"/>
    </row>
    <row r="219" ht="14.25" customHeight="1" outlineLevel="5">
      <c r="A219" s="390"/>
      <c r="B219" s="394"/>
      <c r="C219" s="393"/>
      <c r="D219" s="394"/>
      <c r="E219" s="122" t="s">
        <v>1612</v>
      </c>
      <c r="F219" s="123" t="s">
        <v>1328</v>
      </c>
      <c r="G219" s="123" t="s">
        <v>1613</v>
      </c>
      <c r="H219" s="260"/>
      <c r="I219" s="181"/>
      <c r="J219" s="181"/>
      <c r="K219" s="181"/>
      <c r="L219" s="181"/>
      <c r="M219" s="181"/>
      <c r="N219" s="181"/>
      <c r="O219" s="181"/>
      <c r="P219" s="181"/>
      <c r="Q219" s="181"/>
      <c r="R219" s="181"/>
      <c r="S219" s="181"/>
      <c r="T219" s="181"/>
      <c r="U219" s="181"/>
      <c r="V219" s="181"/>
      <c r="W219" s="286"/>
      <c r="X219" s="181"/>
      <c r="Y219" s="181"/>
      <c r="Z219" s="181"/>
      <c r="AA219" s="181"/>
      <c r="AB219" s="286"/>
      <c r="AC219" s="286"/>
      <c r="AD219" s="286"/>
      <c r="AE219" s="286"/>
      <c r="AF219" s="286"/>
      <c r="AG219" s="286"/>
      <c r="AH219" s="286"/>
      <c r="AI219" s="318"/>
      <c r="AJ219" s="318"/>
      <c r="AK219" s="318"/>
      <c r="AL219" s="318"/>
      <c r="AM219" s="251"/>
      <c r="AN219" s="100" t="b">
        <f t="shared" si="8"/>
        <v>0</v>
      </c>
      <c r="AO219" s="102"/>
    </row>
    <row r="220" ht="14.25" customHeight="1" outlineLevel="5">
      <c r="A220" s="390"/>
      <c r="B220" s="394"/>
      <c r="C220" s="393"/>
      <c r="D220" s="394"/>
      <c r="E220" s="122" t="s">
        <v>1614</v>
      </c>
      <c r="F220" s="123" t="s">
        <v>1328</v>
      </c>
      <c r="G220" s="123" t="s">
        <v>1615</v>
      </c>
      <c r="H220" s="260"/>
      <c r="I220" s="181"/>
      <c r="J220" s="181"/>
      <c r="K220" s="181"/>
      <c r="L220" s="181"/>
      <c r="M220" s="181"/>
      <c r="N220" s="181"/>
      <c r="O220" s="181"/>
      <c r="P220" s="181"/>
      <c r="Q220" s="181"/>
      <c r="R220" s="181"/>
      <c r="S220" s="181"/>
      <c r="T220" s="181"/>
      <c r="U220" s="181"/>
      <c r="V220" s="181"/>
      <c r="W220" s="286"/>
      <c r="X220" s="181"/>
      <c r="Y220" s="181"/>
      <c r="Z220" s="181"/>
      <c r="AA220" s="181"/>
      <c r="AB220" s="286"/>
      <c r="AC220" s="286"/>
      <c r="AD220" s="286"/>
      <c r="AE220" s="286"/>
      <c r="AF220" s="286"/>
      <c r="AG220" s="286"/>
      <c r="AH220" s="286"/>
      <c r="AI220" s="318"/>
      <c r="AJ220" s="318"/>
      <c r="AK220" s="318"/>
      <c r="AL220" s="318"/>
      <c r="AM220" s="251"/>
      <c r="AN220" s="100" t="b">
        <f t="shared" si="8"/>
        <v>0</v>
      </c>
      <c r="AO220" s="102"/>
    </row>
    <row r="221" ht="14.25" customHeight="1" outlineLevel="4">
      <c r="A221" s="390"/>
      <c r="B221" s="394"/>
      <c r="C221" s="393"/>
      <c r="D221" s="395" t="s">
        <v>1568</v>
      </c>
      <c r="E221" s="162"/>
      <c r="F221" s="162"/>
      <c r="G221" s="162"/>
      <c r="H221" s="178"/>
      <c r="I221" s="178"/>
      <c r="J221" s="178"/>
      <c r="K221" s="178"/>
      <c r="L221" s="178"/>
      <c r="M221" s="178"/>
      <c r="N221" s="178"/>
      <c r="O221" s="178"/>
      <c r="P221" s="178"/>
      <c r="Q221" s="178"/>
      <c r="R221" s="178"/>
      <c r="S221" s="178"/>
      <c r="T221" s="178"/>
      <c r="U221" s="178"/>
      <c r="V221" s="178"/>
      <c r="W221" s="178"/>
      <c r="X221" s="178"/>
      <c r="Y221" s="178"/>
      <c r="Z221" s="178"/>
      <c r="AA221" s="178"/>
      <c r="AB221" s="178"/>
      <c r="AC221" s="178"/>
      <c r="AD221" s="178"/>
      <c r="AE221" s="178"/>
      <c r="AF221" s="178"/>
      <c r="AG221" s="178"/>
      <c r="AH221" s="178"/>
      <c r="AI221" s="100"/>
      <c r="AJ221" s="100"/>
      <c r="AK221" s="100"/>
      <c r="AL221" s="100"/>
      <c r="AM221" s="100"/>
      <c r="AN221" s="100" t="b">
        <f t="shared" si="8"/>
        <v>0</v>
      </c>
      <c r="AO221" s="102"/>
    </row>
    <row r="222" ht="14.25" customHeight="1" outlineLevel="5">
      <c r="A222" s="390"/>
      <c r="B222" s="394"/>
      <c r="C222" s="393"/>
      <c r="D222" s="394"/>
      <c r="E222" s="122" t="s">
        <v>1616</v>
      </c>
      <c r="F222" s="123" t="s">
        <v>1328</v>
      </c>
      <c r="G222" s="123" t="s">
        <v>1617</v>
      </c>
      <c r="H222" s="260">
        <v>0.1642</v>
      </c>
      <c r="I222" s="181">
        <v>0.1661</v>
      </c>
      <c r="J222" s="181">
        <v>0.1541</v>
      </c>
      <c r="K222" s="181">
        <v>0.1533</v>
      </c>
      <c r="L222" s="181">
        <v>0.1533</v>
      </c>
      <c r="M222" s="181">
        <v>0.1539</v>
      </c>
      <c r="N222" s="181">
        <v>0.1539</v>
      </c>
      <c r="O222" s="181">
        <v>0.1549</v>
      </c>
      <c r="P222" s="181">
        <v>0.1555</v>
      </c>
      <c r="Q222" s="181">
        <v>0.1521</v>
      </c>
      <c r="R222" s="181">
        <v>0.1514</v>
      </c>
      <c r="S222" s="181">
        <v>0.1503</v>
      </c>
      <c r="T222" s="181">
        <v>0.1502</v>
      </c>
      <c r="U222" s="181">
        <v>0.1502</v>
      </c>
      <c r="V222" s="181">
        <v>0.15</v>
      </c>
      <c r="W222" s="286">
        <v>0.1508</v>
      </c>
      <c r="X222" s="181">
        <v>0.1499</v>
      </c>
      <c r="Y222" s="181">
        <v>0.1514</v>
      </c>
      <c r="Z222" s="181"/>
      <c r="AA222" s="181"/>
      <c r="AB222" s="286"/>
      <c r="AC222" s="286"/>
      <c r="AD222" s="286"/>
      <c r="AE222" s="286"/>
      <c r="AF222" s="286"/>
      <c r="AG222" s="286"/>
      <c r="AH222" s="286"/>
      <c r="AI222" s="318"/>
      <c r="AJ222" s="318"/>
      <c r="AK222" s="318"/>
      <c r="AL222" s="318"/>
      <c r="AM222" s="251"/>
      <c r="AN222" s="100" t="b">
        <f t="shared" si="8"/>
        <v>0</v>
      </c>
      <c r="AO222" s="102"/>
    </row>
    <row r="223" ht="13.5" customHeight="1" outlineLevel="3">
      <c r="A223" s="390"/>
      <c r="B223" s="393"/>
      <c r="C223" s="393" t="s">
        <v>1389</v>
      </c>
      <c r="D223" s="394"/>
      <c r="E223" s="162"/>
      <c r="F223" s="162"/>
      <c r="G223" s="162"/>
      <c r="H223" s="178"/>
      <c r="I223" s="178"/>
      <c r="J223" s="178"/>
      <c r="K223" s="178"/>
      <c r="L223" s="178"/>
      <c r="M223" s="178"/>
      <c r="N223" s="178"/>
      <c r="O223" s="178"/>
      <c r="P223" s="178"/>
      <c r="Q223" s="178"/>
      <c r="R223" s="178"/>
      <c r="S223" s="178"/>
      <c r="T223" s="178"/>
      <c r="U223" s="178"/>
      <c r="V223" s="178"/>
      <c r="W223" s="178"/>
      <c r="X223" s="178"/>
      <c r="Y223" s="178"/>
      <c r="Z223" s="178"/>
      <c r="AA223" s="178"/>
      <c r="AB223" s="178"/>
      <c r="AC223" s="178"/>
      <c r="AD223" s="178"/>
      <c r="AE223" s="178"/>
      <c r="AF223" s="178"/>
      <c r="AG223" s="178"/>
      <c r="AH223" s="178"/>
      <c r="AI223" s="100"/>
      <c r="AJ223" s="100"/>
      <c r="AK223" s="100"/>
      <c r="AL223" s="100"/>
      <c r="AM223" s="100"/>
      <c r="AN223" s="100" t="b">
        <f t="shared" si="8"/>
        <v>0</v>
      </c>
      <c r="AO223" s="102"/>
    </row>
    <row r="224" ht="14.25" customHeight="1" outlineLevel="4">
      <c r="A224" s="390"/>
      <c r="B224" s="394"/>
      <c r="C224" s="394"/>
      <c r="D224" s="395" t="s">
        <v>1618</v>
      </c>
      <c r="E224" s="162"/>
      <c r="F224" s="162"/>
      <c r="G224" s="162"/>
      <c r="H224" s="178"/>
      <c r="I224" s="178"/>
      <c r="J224" s="178"/>
      <c r="K224" s="178"/>
      <c r="L224" s="178"/>
      <c r="M224" s="178"/>
      <c r="N224" s="178"/>
      <c r="O224" s="178"/>
      <c r="P224" s="178"/>
      <c r="Q224" s="178"/>
      <c r="R224" s="178"/>
      <c r="S224" s="178"/>
      <c r="T224" s="178"/>
      <c r="U224" s="178"/>
      <c r="V224" s="178"/>
      <c r="W224" s="178"/>
      <c r="X224" s="178"/>
      <c r="Y224" s="178"/>
      <c r="Z224" s="178"/>
      <c r="AA224" s="178"/>
      <c r="AB224" s="178"/>
      <c r="AC224" s="178"/>
      <c r="AD224" s="178"/>
      <c r="AE224" s="178"/>
      <c r="AF224" s="178"/>
      <c r="AG224" s="178"/>
      <c r="AH224" s="178"/>
      <c r="AI224" s="100"/>
      <c r="AJ224" s="100"/>
      <c r="AK224" s="100"/>
      <c r="AL224" s="100"/>
      <c r="AM224" s="100"/>
      <c r="AN224" s="100" t="b">
        <f t="shared" si="8"/>
        <v>0</v>
      </c>
      <c r="AO224" s="402"/>
    </row>
    <row r="225" ht="14.25" customHeight="1" outlineLevel="5">
      <c r="A225" s="390"/>
      <c r="B225" s="394"/>
      <c r="C225" s="393"/>
      <c r="D225" s="394"/>
      <c r="E225" s="412" t="s">
        <v>1619</v>
      </c>
      <c r="F225" s="249" t="s">
        <v>1398</v>
      </c>
      <c r="G225" s="249" t="s">
        <v>1620</v>
      </c>
      <c r="H225" s="260"/>
      <c r="I225" s="181"/>
      <c r="J225" s="181"/>
      <c r="K225" s="181"/>
      <c r="L225" s="181"/>
      <c r="M225" s="181"/>
      <c r="N225" s="181"/>
      <c r="O225" s="181"/>
      <c r="P225" s="181"/>
      <c r="Q225" s="181"/>
      <c r="R225" s="181"/>
      <c r="S225" s="181"/>
      <c r="T225" s="181"/>
      <c r="U225" s="181"/>
      <c r="V225" s="181"/>
      <c r="W225" s="202">
        <v>9.07947503738921</v>
      </c>
      <c r="X225" s="181"/>
      <c r="Y225" s="181"/>
      <c r="Z225" s="181"/>
      <c r="AA225" s="181"/>
      <c r="AB225" s="202">
        <v>9.07732357099698</v>
      </c>
      <c r="AC225" s="202">
        <v>8.67924193069293</v>
      </c>
      <c r="AD225" s="202">
        <v>7.68726426480608</v>
      </c>
      <c r="AE225" s="202">
        <v>6.69528659891922</v>
      </c>
      <c r="AF225" s="202">
        <v>6.69528659891922</v>
      </c>
      <c r="AG225" s="202">
        <v>6.69528659891922</v>
      </c>
      <c r="AH225" s="202">
        <v>6.69528659891922</v>
      </c>
      <c r="AI225" s="318"/>
      <c r="AJ225" s="318"/>
      <c r="AK225" s="318"/>
      <c r="AL225" s="318"/>
      <c r="AM225" s="251"/>
      <c r="AN225" s="100" t="b">
        <f t="shared" si="8"/>
        <v>0</v>
      </c>
      <c r="AO225" s="102"/>
    </row>
    <row r="226" ht="14.25" customHeight="1" outlineLevel="5">
      <c r="A226" s="98"/>
      <c r="B226" s="98"/>
      <c r="C226" s="98"/>
      <c r="D226" s="98"/>
      <c r="E226" s="413" t="s">
        <v>1621</v>
      </c>
      <c r="F226" s="249" t="s">
        <v>1398</v>
      </c>
      <c r="G226" s="249" t="s">
        <v>1622</v>
      </c>
      <c r="H226" s="260"/>
      <c r="I226" s="181"/>
      <c r="J226" s="181"/>
      <c r="K226" s="181"/>
      <c r="L226" s="181"/>
      <c r="M226" s="181"/>
      <c r="N226" s="181"/>
      <c r="O226" s="181"/>
      <c r="P226" s="181"/>
      <c r="Q226" s="181"/>
      <c r="R226" s="181"/>
      <c r="S226" s="181"/>
      <c r="T226" s="181"/>
      <c r="U226" s="181"/>
      <c r="V226" s="181"/>
      <c r="W226" s="202">
        <v>13.1533263759966</v>
      </c>
      <c r="X226" s="181"/>
      <c r="Y226" s="181"/>
      <c r="Z226" s="181"/>
      <c r="AA226" s="181"/>
      <c r="AB226" s="202">
        <v>13.1502095724889</v>
      </c>
      <c r="AC226" s="202">
        <v>12.5735134840423</v>
      </c>
      <c r="AD226" s="202">
        <v>11.1364473603536</v>
      </c>
      <c r="AE226" s="202">
        <v>9.69938123666494</v>
      </c>
      <c r="AF226" s="202">
        <v>9.69938123666494</v>
      </c>
      <c r="AG226" s="202">
        <v>9.69938123666494</v>
      </c>
      <c r="AH226" s="202">
        <v>9.69938123666494</v>
      </c>
      <c r="AI226" s="318"/>
      <c r="AJ226" s="318"/>
      <c r="AK226" s="318"/>
      <c r="AL226" s="318"/>
      <c r="AM226" s="251"/>
      <c r="AN226" s="100"/>
      <c r="AO226" s="102"/>
    </row>
    <row r="227" ht="14.25" customHeight="1" outlineLevel="5">
      <c r="A227" s="98"/>
      <c r="B227" s="98"/>
      <c r="C227" s="98"/>
      <c r="D227" s="98"/>
      <c r="E227" s="413" t="s">
        <v>1623</v>
      </c>
      <c r="F227" s="249" t="s">
        <v>1407</v>
      </c>
      <c r="G227" s="249" t="s">
        <v>1624</v>
      </c>
      <c r="H227" s="260"/>
      <c r="I227" s="181"/>
      <c r="J227" s="181"/>
      <c r="K227" s="181"/>
      <c r="L227" s="181"/>
      <c r="M227" s="181"/>
      <c r="N227" s="181"/>
      <c r="O227" s="181"/>
      <c r="P227" s="181"/>
      <c r="Q227" s="181"/>
      <c r="R227" s="181"/>
      <c r="S227" s="181"/>
      <c r="T227" s="181"/>
      <c r="U227" s="181"/>
      <c r="V227" s="181"/>
      <c r="W227" s="202">
        <v>6.32208654825031</v>
      </c>
      <c r="X227" s="181"/>
      <c r="Y227" s="181"/>
      <c r="Z227" s="181"/>
      <c r="AA227" s="181"/>
      <c r="AB227" s="202">
        <v>6.28210322456776</v>
      </c>
      <c r="AC227" s="202">
        <v>6.20288902961223</v>
      </c>
      <c r="AD227" s="202">
        <v>6.07463624556549</v>
      </c>
      <c r="AE227" s="202">
        <v>5.94638346151875</v>
      </c>
      <c r="AF227" s="202">
        <v>5.81813067747202</v>
      </c>
      <c r="AG227" s="202">
        <v>5.68987789342528</v>
      </c>
      <c r="AH227" s="202">
        <v>5.68987789342528</v>
      </c>
      <c r="AI227" s="318"/>
      <c r="AJ227" s="318"/>
      <c r="AK227" s="318"/>
      <c r="AL227" s="318"/>
      <c r="AM227" s="251"/>
      <c r="AN227" s="100"/>
      <c r="AO227" s="102"/>
    </row>
    <row r="228" ht="14.25" customHeight="1" outlineLevel="5">
      <c r="A228" s="98"/>
      <c r="B228" s="98"/>
      <c r="C228" s="98"/>
      <c r="D228" s="98"/>
      <c r="E228" s="413" t="s">
        <v>1625</v>
      </c>
      <c r="F228" s="249" t="s">
        <v>1407</v>
      </c>
      <c r="G228" s="249" t="s">
        <v>1626</v>
      </c>
      <c r="H228" s="260"/>
      <c r="I228" s="181"/>
      <c r="J228" s="181"/>
      <c r="K228" s="181"/>
      <c r="L228" s="181"/>
      <c r="M228" s="181"/>
      <c r="N228" s="181"/>
      <c r="O228" s="181"/>
      <c r="P228" s="181"/>
      <c r="Q228" s="181"/>
      <c r="R228" s="181"/>
      <c r="S228" s="181"/>
      <c r="T228" s="181"/>
      <c r="U228" s="181"/>
      <c r="V228" s="181"/>
      <c r="W228" s="202">
        <v>2.01201201201201</v>
      </c>
      <c r="X228" s="181"/>
      <c r="Y228" s="181"/>
      <c r="Z228" s="181"/>
      <c r="AA228" s="181"/>
      <c r="AB228" s="202">
        <v>1.93153153153153</v>
      </c>
      <c r="AC228" s="202">
        <v>1.90738738738739</v>
      </c>
      <c r="AD228" s="202">
        <v>1.88324324324324</v>
      </c>
      <c r="AE228" s="202">
        <v>1.8590990990991</v>
      </c>
      <c r="AF228" s="202">
        <v>1.83495495495496</v>
      </c>
      <c r="AG228" s="202">
        <v>1.81081081081081</v>
      </c>
      <c r="AH228" s="202">
        <v>1.81081081081081</v>
      </c>
      <c r="AI228" s="318"/>
      <c r="AJ228" s="318"/>
      <c r="AK228" s="318"/>
      <c r="AL228" s="318"/>
      <c r="AM228" s="251"/>
      <c r="AN228" s="100"/>
      <c r="AO228" s="102"/>
    </row>
    <row r="229" ht="14.25" customHeight="1" outlineLevel="5">
      <c r="A229" s="98"/>
      <c r="B229" s="98"/>
      <c r="C229" s="98"/>
      <c r="D229" s="98"/>
      <c r="E229" s="412" t="s">
        <v>1627</v>
      </c>
      <c r="F229" s="123" t="s">
        <v>1412</v>
      </c>
      <c r="G229" s="123" t="s">
        <v>1628</v>
      </c>
      <c r="H229" s="260"/>
      <c r="I229" s="181"/>
      <c r="J229" s="181"/>
      <c r="K229" s="181"/>
      <c r="L229" s="181"/>
      <c r="M229" s="181"/>
      <c r="N229" s="181"/>
      <c r="O229" s="181"/>
      <c r="P229" s="181"/>
      <c r="Q229" s="181"/>
      <c r="R229" s="181"/>
      <c r="S229" s="181"/>
      <c r="T229" s="181"/>
      <c r="U229" s="181"/>
      <c r="V229" s="181"/>
      <c r="W229" s="202">
        <v>0.3464</v>
      </c>
      <c r="X229" s="181"/>
      <c r="Y229" s="181"/>
      <c r="Z229" s="181"/>
      <c r="AA229" s="181"/>
      <c r="AB229" s="202">
        <v>0.332544</v>
      </c>
      <c r="AC229" s="202">
        <v>0.3283872</v>
      </c>
      <c r="AD229" s="202">
        <v>0.3242304</v>
      </c>
      <c r="AE229" s="202">
        <v>0.3200736</v>
      </c>
      <c r="AF229" s="202">
        <v>0.3159168</v>
      </c>
      <c r="AG229" s="202">
        <v>0.31176</v>
      </c>
      <c r="AH229" s="202">
        <v>0.31176</v>
      </c>
      <c r="AI229" s="318"/>
      <c r="AJ229" s="318"/>
      <c r="AK229" s="318"/>
      <c r="AL229" s="318"/>
      <c r="AM229" s="251"/>
      <c r="AN229" s="100"/>
      <c r="AO229" s="102"/>
    </row>
    <row r="230" ht="14.25" customHeight="1" outlineLevel="5">
      <c r="A230" s="390"/>
      <c r="B230" s="394"/>
      <c r="C230" s="393"/>
      <c r="D230" s="394"/>
      <c r="E230" s="122" t="s">
        <v>1629</v>
      </c>
      <c r="F230" s="123" t="s">
        <v>261</v>
      </c>
      <c r="G230" s="123" t="s">
        <v>1630</v>
      </c>
      <c r="H230" s="253"/>
      <c r="I230" s="254"/>
      <c r="J230" s="254"/>
      <c r="K230" s="254"/>
      <c r="L230" s="254"/>
      <c r="M230" s="254"/>
      <c r="N230" s="254"/>
      <c r="O230" s="254"/>
      <c r="P230" s="254"/>
      <c r="Q230" s="254"/>
      <c r="R230" s="254"/>
      <c r="S230" s="254"/>
      <c r="T230" s="254"/>
      <c r="U230" s="254"/>
      <c r="V230" s="254"/>
      <c r="W230" s="256">
        <v>0.25</v>
      </c>
      <c r="X230" s="254">
        <v>0.25</v>
      </c>
      <c r="Y230" s="254">
        <v>0.25</v>
      </c>
      <c r="Z230" s="254">
        <v>0.25</v>
      </c>
      <c r="AA230" s="254">
        <v>0.25</v>
      </c>
      <c r="AB230" s="256">
        <v>0.25</v>
      </c>
      <c r="AC230" s="256">
        <v>0.25</v>
      </c>
      <c r="AD230" s="256">
        <v>0.25</v>
      </c>
      <c r="AE230" s="256">
        <v>0.25</v>
      </c>
      <c r="AF230" s="256">
        <v>0.25</v>
      </c>
      <c r="AG230" s="256">
        <v>0.25</v>
      </c>
      <c r="AH230" s="257">
        <v>0.25</v>
      </c>
      <c r="AI230" s="318"/>
      <c r="AJ230" s="318"/>
      <c r="AK230" s="318"/>
      <c r="AL230" s="318"/>
      <c r="AM230" s="401"/>
      <c r="AN230" s="100" t="b">
        <f t="shared" ref="AN230:AN232" si="28">_xlfn.ISFORMULA(H230)</f>
        <v>0</v>
      </c>
      <c r="AO230" s="402"/>
    </row>
    <row r="231" ht="14.25" customHeight="1" outlineLevel="4">
      <c r="A231" s="390"/>
      <c r="B231" s="394"/>
      <c r="C231" s="393"/>
      <c r="D231" s="395" t="s">
        <v>1568</v>
      </c>
      <c r="E231" s="162"/>
      <c r="F231" s="162"/>
      <c r="G231" s="162"/>
      <c r="H231" s="178"/>
      <c r="I231" s="178"/>
      <c r="J231" s="178"/>
      <c r="K231" s="178"/>
      <c r="L231" s="178"/>
      <c r="M231" s="178"/>
      <c r="N231" s="178"/>
      <c r="O231" s="178"/>
      <c r="P231" s="178"/>
      <c r="Q231" s="178"/>
      <c r="R231" s="178"/>
      <c r="S231" s="178"/>
      <c r="T231" s="178"/>
      <c r="U231" s="178"/>
      <c r="V231" s="178"/>
      <c r="W231" s="178"/>
      <c r="X231" s="178"/>
      <c r="Y231" s="178"/>
      <c r="Z231" s="178"/>
      <c r="AA231" s="178"/>
      <c r="AB231" s="178"/>
      <c r="AC231" s="178"/>
      <c r="AD231" s="178"/>
      <c r="AE231" s="178"/>
      <c r="AF231" s="178"/>
      <c r="AG231" s="178"/>
      <c r="AH231" s="178"/>
      <c r="AI231" s="100"/>
      <c r="AJ231" s="100"/>
      <c r="AK231" s="100"/>
      <c r="AL231" s="100"/>
      <c r="AM231" s="100"/>
      <c r="AN231" s="100" t="b">
        <f t="shared" si="28"/>
        <v>0</v>
      </c>
      <c r="AO231" s="102"/>
    </row>
    <row r="232" ht="13.5" customHeight="1" outlineLevel="5">
      <c r="A232" s="390"/>
      <c r="B232" s="394"/>
      <c r="C232" s="393"/>
      <c r="D232" s="394"/>
      <c r="E232" s="412" t="s">
        <v>1631</v>
      </c>
      <c r="F232" s="123" t="s">
        <v>1398</v>
      </c>
      <c r="G232" s="123" t="s">
        <v>1632</v>
      </c>
      <c r="H232" s="260"/>
      <c r="I232" s="181"/>
      <c r="J232" s="181"/>
      <c r="K232" s="181"/>
      <c r="L232" s="181"/>
      <c r="M232" s="181"/>
      <c r="N232" s="181"/>
      <c r="O232" s="181"/>
      <c r="P232" s="181"/>
      <c r="Q232" s="181"/>
      <c r="R232" s="181"/>
      <c r="S232" s="181"/>
      <c r="T232" s="181"/>
      <c r="U232" s="181"/>
      <c r="V232" s="181"/>
      <c r="W232" s="202">
        <v>42.9044844169557</v>
      </c>
      <c r="X232" s="181"/>
      <c r="Y232" s="181"/>
      <c r="Z232" s="181"/>
      <c r="AA232" s="181"/>
      <c r="AB232" s="202">
        <v>41.617349884447</v>
      </c>
      <c r="AC232" s="202">
        <v>40.7592601961079</v>
      </c>
      <c r="AD232" s="202">
        <v>39.9011705077688</v>
      </c>
      <c r="AE232" s="202">
        <v>39.0430808194297</v>
      </c>
      <c r="AF232" s="202">
        <v>39.0430808194297</v>
      </c>
      <c r="AG232" s="202">
        <v>39.0430808194297</v>
      </c>
      <c r="AH232" s="202">
        <v>39.0430808194297</v>
      </c>
      <c r="AI232" s="318"/>
      <c r="AJ232" s="318"/>
      <c r="AK232" s="318"/>
      <c r="AL232" s="318"/>
      <c r="AM232" s="251"/>
      <c r="AN232" s="100" t="b">
        <f t="shared" si="28"/>
        <v>0</v>
      </c>
      <c r="AO232" s="102"/>
    </row>
    <row r="233" ht="14.25" customHeight="1" outlineLevel="5">
      <c r="A233" s="98"/>
      <c r="B233" s="98"/>
      <c r="C233" s="98"/>
      <c r="D233" s="98"/>
      <c r="E233" s="412" t="s">
        <v>1633</v>
      </c>
      <c r="F233" s="249" t="s">
        <v>1398</v>
      </c>
      <c r="G233" s="123" t="s">
        <v>1634</v>
      </c>
      <c r="H233" s="260"/>
      <c r="I233" s="181"/>
      <c r="J233" s="181"/>
      <c r="K233" s="181"/>
      <c r="L233" s="181"/>
      <c r="M233" s="181"/>
      <c r="N233" s="181"/>
      <c r="O233" s="181"/>
      <c r="P233" s="181"/>
      <c r="Q233" s="181"/>
      <c r="R233" s="181"/>
      <c r="S233" s="181"/>
      <c r="T233" s="181"/>
      <c r="U233" s="181"/>
      <c r="V233" s="181"/>
      <c r="W233" s="202">
        <v>65.1740409480583</v>
      </c>
      <c r="X233" s="181"/>
      <c r="Y233" s="181"/>
      <c r="Z233" s="181"/>
      <c r="AA233" s="181"/>
      <c r="AB233" s="202">
        <v>63.2188197196166</v>
      </c>
      <c r="AC233" s="202">
        <v>61.9153389006554</v>
      </c>
      <c r="AD233" s="202">
        <v>60.6118580816942</v>
      </c>
      <c r="AE233" s="202">
        <v>59.3083772627331</v>
      </c>
      <c r="AF233" s="202">
        <v>59.3083772627331</v>
      </c>
      <c r="AG233" s="202">
        <v>59.3083772627331</v>
      </c>
      <c r="AH233" s="202">
        <v>59.3083772627331</v>
      </c>
      <c r="AI233" s="318"/>
      <c r="AJ233" s="318"/>
      <c r="AK233" s="318"/>
      <c r="AL233" s="318"/>
      <c r="AM233" s="251"/>
      <c r="AN233" s="100"/>
      <c r="AO233" s="102"/>
    </row>
    <row r="234" ht="14.25" customHeight="1" outlineLevel="5">
      <c r="A234" s="98"/>
      <c r="B234" s="98"/>
      <c r="C234" s="98"/>
      <c r="D234" s="98"/>
      <c r="E234" s="412" t="s">
        <v>1635</v>
      </c>
      <c r="F234" s="249" t="s">
        <v>1407</v>
      </c>
      <c r="G234" s="123" t="s">
        <v>1636</v>
      </c>
      <c r="H234" s="260"/>
      <c r="I234" s="181"/>
      <c r="J234" s="181"/>
      <c r="K234" s="181"/>
      <c r="L234" s="181"/>
      <c r="M234" s="181"/>
      <c r="N234" s="181"/>
      <c r="O234" s="181"/>
      <c r="P234" s="181"/>
      <c r="Q234" s="181"/>
      <c r="R234" s="181"/>
      <c r="S234" s="181"/>
      <c r="T234" s="181"/>
      <c r="U234" s="181"/>
      <c r="V234" s="181"/>
      <c r="W234" s="202">
        <v>38.6573828724155</v>
      </c>
      <c r="X234" s="181"/>
      <c r="Y234" s="181"/>
      <c r="Z234" s="181"/>
      <c r="AA234" s="181"/>
      <c r="AB234" s="202">
        <v>37.497661386243</v>
      </c>
      <c r="AC234" s="202">
        <v>36.9564580260292</v>
      </c>
      <c r="AD234" s="202">
        <v>36.4152546658154</v>
      </c>
      <c r="AE234" s="202">
        <v>35.8740513056016</v>
      </c>
      <c r="AF234" s="202">
        <v>35.3328479453877</v>
      </c>
      <c r="AG234" s="202">
        <v>34.7916445851739</v>
      </c>
      <c r="AH234" s="202">
        <v>34.7916445851739</v>
      </c>
      <c r="AI234" s="318"/>
      <c r="AJ234" s="318"/>
      <c r="AK234" s="318"/>
      <c r="AL234" s="318"/>
      <c r="AM234" s="251"/>
      <c r="AN234" s="100"/>
      <c r="AO234" s="102"/>
    </row>
    <row r="235" ht="14.25" customHeight="1" outlineLevel="5">
      <c r="A235" s="98"/>
      <c r="B235" s="98"/>
      <c r="C235" s="98"/>
      <c r="D235" s="98"/>
      <c r="E235" s="412" t="s">
        <v>1637</v>
      </c>
      <c r="F235" s="249" t="s">
        <v>1407</v>
      </c>
      <c r="G235" s="123" t="s">
        <v>1638</v>
      </c>
      <c r="H235" s="260"/>
      <c r="I235" s="181"/>
      <c r="J235" s="181"/>
      <c r="K235" s="181"/>
      <c r="L235" s="181"/>
      <c r="M235" s="181"/>
      <c r="N235" s="181"/>
      <c r="O235" s="181"/>
      <c r="P235" s="181"/>
      <c r="Q235" s="181"/>
      <c r="R235" s="181"/>
      <c r="S235" s="181"/>
      <c r="T235" s="181"/>
      <c r="U235" s="181"/>
      <c r="V235" s="181"/>
      <c r="W235" s="202">
        <v>8.003003003003</v>
      </c>
      <c r="X235" s="181"/>
      <c r="Y235" s="181"/>
      <c r="Z235" s="181"/>
      <c r="AA235" s="181"/>
      <c r="AB235" s="202">
        <v>7.76291291291291</v>
      </c>
      <c r="AC235" s="202">
        <v>7.65087087087087</v>
      </c>
      <c r="AD235" s="202">
        <v>7.53882882882883</v>
      </c>
      <c r="AE235" s="202">
        <v>7.42678678678679</v>
      </c>
      <c r="AF235" s="202">
        <v>7.31474474474475</v>
      </c>
      <c r="AG235" s="202">
        <v>7.2027027027027</v>
      </c>
      <c r="AH235" s="202">
        <v>7.2027027027027</v>
      </c>
      <c r="AI235" s="318"/>
      <c r="AJ235" s="318"/>
      <c r="AK235" s="318"/>
      <c r="AL235" s="318"/>
      <c r="AM235" s="251"/>
      <c r="AN235" s="100"/>
      <c r="AO235" s="102"/>
    </row>
    <row r="236" ht="14.25" customHeight="1" outlineLevel="5">
      <c r="A236" s="98"/>
      <c r="B236" s="98"/>
      <c r="C236" s="98"/>
      <c r="D236" s="98"/>
      <c r="E236" s="412" t="s">
        <v>1639</v>
      </c>
      <c r="F236" s="123" t="s">
        <v>1412</v>
      </c>
      <c r="G236" s="123" t="s">
        <v>1640</v>
      </c>
      <c r="H236" s="260"/>
      <c r="I236" s="181"/>
      <c r="J236" s="181"/>
      <c r="K236" s="181"/>
      <c r="L236" s="181"/>
      <c r="M236" s="181"/>
      <c r="N236" s="181"/>
      <c r="O236" s="181"/>
      <c r="P236" s="181"/>
      <c r="Q236" s="181"/>
      <c r="R236" s="181"/>
      <c r="S236" s="181"/>
      <c r="T236" s="181"/>
      <c r="U236" s="181"/>
      <c r="V236" s="181"/>
      <c r="W236" s="202">
        <v>1.83</v>
      </c>
      <c r="X236" s="181"/>
      <c r="Y236" s="181"/>
      <c r="Z236" s="181"/>
      <c r="AA236" s="181"/>
      <c r="AB236" s="202">
        <v>1.7751</v>
      </c>
      <c r="AC236" s="202">
        <v>1.74948</v>
      </c>
      <c r="AD236" s="202">
        <v>1.72386</v>
      </c>
      <c r="AE236" s="202">
        <v>1.69824</v>
      </c>
      <c r="AF236" s="202">
        <v>1.67262</v>
      </c>
      <c r="AG236" s="202">
        <v>1.647</v>
      </c>
      <c r="AH236" s="202">
        <v>1.647</v>
      </c>
      <c r="AI236" s="318"/>
      <c r="AJ236" s="318"/>
      <c r="AK236" s="318"/>
      <c r="AL236" s="318"/>
      <c r="AM236" s="251"/>
      <c r="AN236" s="100"/>
      <c r="AO236" s="102"/>
    </row>
    <row r="237" ht="13.5" customHeight="1" outlineLevel="3">
      <c r="A237" s="247"/>
      <c r="B237" s="302"/>
      <c r="C237" s="393" t="s">
        <v>1641</v>
      </c>
      <c r="D237" s="394"/>
      <c r="E237" s="162"/>
      <c r="F237" s="162"/>
      <c r="G237" s="162"/>
      <c r="H237" s="178"/>
      <c r="I237" s="178"/>
      <c r="J237" s="178"/>
      <c r="K237" s="178"/>
      <c r="L237" s="178"/>
      <c r="M237" s="178"/>
      <c r="N237" s="178"/>
      <c r="O237" s="178"/>
      <c r="P237" s="178"/>
      <c r="Q237" s="178"/>
      <c r="R237" s="178"/>
      <c r="S237" s="178"/>
      <c r="T237" s="178"/>
      <c r="U237" s="178"/>
      <c r="V237" s="178"/>
      <c r="W237" s="178"/>
      <c r="X237" s="178"/>
      <c r="Y237" s="178"/>
      <c r="Z237" s="178"/>
      <c r="AA237" s="178"/>
      <c r="AB237" s="178"/>
      <c r="AC237" s="178"/>
      <c r="AD237" s="178"/>
      <c r="AE237" s="178"/>
      <c r="AF237" s="178"/>
      <c r="AG237" s="178"/>
      <c r="AH237" s="178"/>
      <c r="AI237" s="100"/>
      <c r="AJ237" s="100"/>
      <c r="AK237" s="100"/>
      <c r="AL237" s="100"/>
      <c r="AM237" s="100"/>
      <c r="AN237" s="100" t="b">
        <f t="shared" ref="AN237:AN301" si="29">_xlfn.ISFORMULA(H237)</f>
        <v>0</v>
      </c>
      <c r="AO237" s="102"/>
    </row>
    <row r="238" ht="14.25" customHeight="1" outlineLevel="4">
      <c r="A238" s="98"/>
      <c r="B238" s="98"/>
      <c r="C238" s="395"/>
      <c r="D238" s="418"/>
      <c r="E238" s="430" t="s">
        <v>1642</v>
      </c>
      <c r="F238" s="123" t="s">
        <v>135</v>
      </c>
      <c r="G238" s="123" t="s">
        <v>1643</v>
      </c>
      <c r="H238" s="260"/>
      <c r="I238" s="181"/>
      <c r="J238" s="181"/>
      <c r="K238" s="181"/>
      <c r="L238" s="181"/>
      <c r="M238" s="181"/>
      <c r="N238" s="181"/>
      <c r="O238" s="181"/>
      <c r="P238" s="181"/>
      <c r="Q238" s="181"/>
      <c r="R238" s="181"/>
      <c r="S238" s="181"/>
      <c r="T238" s="181"/>
      <c r="U238" s="181"/>
      <c r="V238" s="181"/>
      <c r="W238" s="202"/>
      <c r="X238" s="181"/>
      <c r="Y238" s="181"/>
      <c r="Z238" s="181"/>
      <c r="AA238" s="181"/>
      <c r="AB238" s="202"/>
      <c r="AC238" s="202"/>
      <c r="AD238" s="202"/>
      <c r="AE238" s="202"/>
      <c r="AF238" s="202"/>
      <c r="AG238" s="202"/>
      <c r="AH238" s="202"/>
      <c r="AI238" s="125"/>
      <c r="AJ238" s="125"/>
      <c r="AK238" s="125"/>
      <c r="AL238" s="125"/>
      <c r="AM238" s="251"/>
      <c r="AN238" s="100" t="b">
        <f t="shared" si="29"/>
        <v>0</v>
      </c>
      <c r="AO238" s="102"/>
    </row>
    <row r="239" ht="14.25" customHeight="1" outlineLevel="4">
      <c r="A239" s="98"/>
      <c r="B239" s="98"/>
      <c r="C239" s="98"/>
      <c r="D239" s="98"/>
      <c r="E239" s="252" t="s">
        <v>1644</v>
      </c>
      <c r="F239" s="123" t="s">
        <v>135</v>
      </c>
      <c r="G239" s="123" t="s">
        <v>1645</v>
      </c>
      <c r="H239" s="260"/>
      <c r="I239" s="181"/>
      <c r="J239" s="181"/>
      <c r="K239" s="181"/>
      <c r="L239" s="181"/>
      <c r="M239" s="181"/>
      <c r="N239" s="181"/>
      <c r="O239" s="181"/>
      <c r="P239" s="181"/>
      <c r="Q239" s="181"/>
      <c r="R239" s="181"/>
      <c r="S239" s="181"/>
      <c r="T239" s="181"/>
      <c r="U239" s="181"/>
      <c r="V239" s="181"/>
      <c r="W239" s="202"/>
      <c r="X239" s="181"/>
      <c r="Y239" s="181"/>
      <c r="Z239" s="181"/>
      <c r="AA239" s="181"/>
      <c r="AB239" s="202"/>
      <c r="AC239" s="202"/>
      <c r="AD239" s="202"/>
      <c r="AE239" s="202"/>
      <c r="AF239" s="202"/>
      <c r="AG239" s="202"/>
      <c r="AH239" s="202"/>
      <c r="AI239" s="125"/>
      <c r="AJ239" s="125"/>
      <c r="AK239" s="125"/>
      <c r="AL239" s="125"/>
      <c r="AM239" s="251"/>
      <c r="AN239" s="100" t="b">
        <f t="shared" si="29"/>
        <v>0</v>
      </c>
      <c r="AO239" s="102"/>
    </row>
    <row r="240" ht="14.25" customHeight="1" outlineLevel="4">
      <c r="A240" s="98"/>
      <c r="B240" s="98"/>
      <c r="C240" s="98"/>
      <c r="D240" s="98"/>
      <c r="E240" s="252" t="s">
        <v>1646</v>
      </c>
      <c r="F240" s="123" t="s">
        <v>135</v>
      </c>
      <c r="G240" s="123" t="s">
        <v>1647</v>
      </c>
      <c r="H240" s="260"/>
      <c r="I240" s="181"/>
      <c r="J240" s="181"/>
      <c r="K240" s="181"/>
      <c r="L240" s="181"/>
      <c r="M240" s="181"/>
      <c r="N240" s="181"/>
      <c r="O240" s="181"/>
      <c r="P240" s="181"/>
      <c r="Q240" s="181"/>
      <c r="R240" s="181"/>
      <c r="S240" s="181"/>
      <c r="T240" s="181"/>
      <c r="U240" s="181"/>
      <c r="V240" s="181"/>
      <c r="W240" s="202"/>
      <c r="X240" s="181"/>
      <c r="Y240" s="181"/>
      <c r="Z240" s="181"/>
      <c r="AA240" s="181"/>
      <c r="AB240" s="202"/>
      <c r="AC240" s="202"/>
      <c r="AD240" s="202"/>
      <c r="AE240" s="202"/>
      <c r="AF240" s="202"/>
      <c r="AG240" s="202"/>
      <c r="AH240" s="202"/>
      <c r="AI240" s="125"/>
      <c r="AJ240" s="318"/>
      <c r="AK240" s="318"/>
      <c r="AL240" s="318"/>
      <c r="AM240" s="251"/>
      <c r="AN240" s="100" t="b">
        <f t="shared" si="29"/>
        <v>0</v>
      </c>
      <c r="AO240" s="102"/>
    </row>
    <row r="241" ht="14.25" customHeight="1" outlineLevel="4">
      <c r="A241" s="98"/>
      <c r="B241" s="98"/>
      <c r="C241" s="98"/>
      <c r="D241" s="98"/>
      <c r="E241" s="252" t="s">
        <v>1648</v>
      </c>
      <c r="F241" s="123" t="s">
        <v>135</v>
      </c>
      <c r="G241" s="123" t="s">
        <v>1649</v>
      </c>
      <c r="H241" s="260"/>
      <c r="I241" s="181"/>
      <c r="J241" s="181"/>
      <c r="K241" s="181"/>
      <c r="L241" s="181"/>
      <c r="M241" s="181"/>
      <c r="N241" s="181"/>
      <c r="O241" s="181"/>
      <c r="P241" s="181"/>
      <c r="Q241" s="181"/>
      <c r="R241" s="181"/>
      <c r="S241" s="181"/>
      <c r="T241" s="181"/>
      <c r="U241" s="181"/>
      <c r="V241" s="181"/>
      <c r="W241" s="202"/>
      <c r="X241" s="181"/>
      <c r="Y241" s="181"/>
      <c r="Z241" s="181"/>
      <c r="AA241" s="181"/>
      <c r="AB241" s="202"/>
      <c r="AC241" s="202"/>
      <c r="AD241" s="202"/>
      <c r="AE241" s="202"/>
      <c r="AF241" s="202"/>
      <c r="AG241" s="202"/>
      <c r="AH241" s="202"/>
      <c r="AI241" s="125"/>
      <c r="AJ241" s="318"/>
      <c r="AK241" s="318"/>
      <c r="AL241" s="318"/>
      <c r="AM241" s="251"/>
      <c r="AN241" s="100" t="b">
        <f t="shared" si="29"/>
        <v>0</v>
      </c>
      <c r="AO241" s="102"/>
    </row>
    <row r="242" ht="14.25" customHeight="1" outlineLevel="4">
      <c r="A242" s="98"/>
      <c r="B242" s="98"/>
      <c r="C242" s="98"/>
      <c r="D242" s="98"/>
      <c r="E242" s="252" t="s">
        <v>1650</v>
      </c>
      <c r="F242" s="123" t="s">
        <v>135</v>
      </c>
      <c r="G242" s="123" t="s">
        <v>1651</v>
      </c>
      <c r="H242" s="260"/>
      <c r="I242" s="181"/>
      <c r="J242" s="181"/>
      <c r="K242" s="181"/>
      <c r="L242" s="181"/>
      <c r="M242" s="181"/>
      <c r="N242" s="181"/>
      <c r="O242" s="181"/>
      <c r="P242" s="181"/>
      <c r="Q242" s="181"/>
      <c r="R242" s="181"/>
      <c r="S242" s="181"/>
      <c r="T242" s="181"/>
      <c r="U242" s="181"/>
      <c r="V242" s="181"/>
      <c r="W242" s="202"/>
      <c r="X242" s="181"/>
      <c r="Y242" s="181"/>
      <c r="Z242" s="181"/>
      <c r="AA242" s="181"/>
      <c r="AB242" s="202"/>
      <c r="AC242" s="202"/>
      <c r="AD242" s="202"/>
      <c r="AE242" s="202"/>
      <c r="AF242" s="202"/>
      <c r="AG242" s="202"/>
      <c r="AH242" s="202"/>
      <c r="AI242" s="125"/>
      <c r="AJ242" s="318"/>
      <c r="AK242" s="318"/>
      <c r="AL242" s="318"/>
      <c r="AM242" s="251"/>
      <c r="AN242" s="100" t="b">
        <f t="shared" si="29"/>
        <v>0</v>
      </c>
      <c r="AO242" s="102"/>
    </row>
    <row r="243" ht="13.5" customHeight="1" outlineLevel="3">
      <c r="A243" s="247"/>
      <c r="B243" s="302"/>
      <c r="C243" s="244" t="s">
        <v>1652</v>
      </c>
      <c r="D243" s="201"/>
      <c r="E243" s="162"/>
      <c r="F243" s="162"/>
      <c r="G243" s="162"/>
      <c r="H243" s="178"/>
      <c r="I243" s="178"/>
      <c r="J243" s="178"/>
      <c r="K243" s="178"/>
      <c r="L243" s="178"/>
      <c r="M243" s="178"/>
      <c r="N243" s="178"/>
      <c r="O243" s="178"/>
      <c r="P243" s="178"/>
      <c r="Q243" s="178"/>
      <c r="R243" s="178"/>
      <c r="S243" s="178"/>
      <c r="T243" s="178"/>
      <c r="U243" s="178"/>
      <c r="V243" s="178"/>
      <c r="W243" s="178"/>
      <c r="X243" s="178"/>
      <c r="Y243" s="178"/>
      <c r="Z243" s="178"/>
      <c r="AA243" s="178"/>
      <c r="AB243" s="178"/>
      <c r="AC243" s="178"/>
      <c r="AD243" s="178"/>
      <c r="AE243" s="178"/>
      <c r="AF243" s="178"/>
      <c r="AG243" s="178"/>
      <c r="AH243" s="178"/>
      <c r="AI243" s="336"/>
      <c r="AJ243" s="244"/>
      <c r="AK243" s="244"/>
      <c r="AL243" s="244"/>
      <c r="AM243" s="162"/>
      <c r="AN243" s="100" t="b">
        <f t="shared" si="29"/>
        <v>0</v>
      </c>
      <c r="AO243" s="102"/>
    </row>
    <row r="244" ht="14.25" customHeight="1" outlineLevel="4">
      <c r="A244" s="98"/>
      <c r="B244" s="98"/>
      <c r="C244" s="98"/>
      <c r="D244" s="98"/>
      <c r="E244" s="299" t="s">
        <v>1653</v>
      </c>
      <c r="F244" s="123" t="s">
        <v>135</v>
      </c>
      <c r="G244" s="123" t="s">
        <v>1654</v>
      </c>
      <c r="H244" s="274">
        <f t="shared" ref="H244:AH244" si="30">SUM(H245:H248)</f>
        <v>0</v>
      </c>
      <c r="I244" s="274">
        <f t="shared" si="30"/>
        <v>0</v>
      </c>
      <c r="J244" s="274">
        <f t="shared" si="30"/>
        <v>0</v>
      </c>
      <c r="K244" s="274">
        <f t="shared" si="30"/>
        <v>0</v>
      </c>
      <c r="L244" s="274">
        <f t="shared" si="30"/>
        <v>0</v>
      </c>
      <c r="M244" s="274">
        <f t="shared" si="30"/>
        <v>0</v>
      </c>
      <c r="N244" s="274">
        <f t="shared" si="30"/>
        <v>0</v>
      </c>
      <c r="O244" s="274">
        <f t="shared" si="30"/>
        <v>0</v>
      </c>
      <c r="P244" s="274">
        <f t="shared" si="30"/>
        <v>0</v>
      </c>
      <c r="Q244" s="274">
        <f t="shared" si="30"/>
        <v>0</v>
      </c>
      <c r="R244" s="274">
        <f t="shared" si="30"/>
        <v>0</v>
      </c>
      <c r="S244" s="274">
        <f t="shared" si="30"/>
        <v>0</v>
      </c>
      <c r="T244" s="274">
        <f t="shared" si="30"/>
        <v>0</v>
      </c>
      <c r="U244" s="274">
        <f t="shared" si="30"/>
        <v>0</v>
      </c>
      <c r="V244" s="274">
        <f t="shared" si="30"/>
        <v>0</v>
      </c>
      <c r="W244" s="274">
        <f t="shared" si="30"/>
        <v>34.77429443</v>
      </c>
      <c r="X244" s="274">
        <f t="shared" si="30"/>
        <v>0</v>
      </c>
      <c r="Y244" s="274">
        <f t="shared" si="30"/>
        <v>0</v>
      </c>
      <c r="Z244" s="274">
        <f t="shared" si="30"/>
        <v>0</v>
      </c>
      <c r="AA244" s="274">
        <f t="shared" si="30"/>
        <v>0</v>
      </c>
      <c r="AB244" s="274">
        <f t="shared" si="30"/>
        <v>34.30134719</v>
      </c>
      <c r="AC244" s="274">
        <f t="shared" si="30"/>
        <v>31.69494697</v>
      </c>
      <c r="AD244" s="274">
        <f t="shared" si="30"/>
        <v>27.29169647</v>
      </c>
      <c r="AE244" s="274">
        <f t="shared" si="30"/>
        <v>22.54163425</v>
      </c>
      <c r="AF244" s="274">
        <f t="shared" si="30"/>
        <v>18.05967899</v>
      </c>
      <c r="AG244" s="274">
        <f t="shared" si="30"/>
        <v>15.49110236</v>
      </c>
      <c r="AH244" s="274">
        <f t="shared" si="30"/>
        <v>14.6600254</v>
      </c>
      <c r="AI244" s="125"/>
      <c r="AJ244" s="125"/>
      <c r="AK244" s="125"/>
      <c r="AL244" s="125"/>
      <c r="AM244" s="251"/>
      <c r="AN244" s="100" t="b">
        <f t="shared" si="29"/>
        <v>1</v>
      </c>
      <c r="AO244" s="102"/>
    </row>
    <row r="245" ht="14.25" customHeight="1" outlineLevel="4">
      <c r="A245" s="98"/>
      <c r="B245" s="98"/>
      <c r="C245" s="98"/>
      <c r="D245" s="98"/>
      <c r="E245" s="273" t="s">
        <v>1644</v>
      </c>
      <c r="F245" s="123" t="s">
        <v>135</v>
      </c>
      <c r="G245" s="123" t="s">
        <v>1655</v>
      </c>
      <c r="H245" s="274">
        <f t="array" ref="H245:AH245">(calcflqfvlr+calcfgplvlr+calcfhybessvlr+calcfhybgzlvlr)+(calcflqfcam+calcfgplcam)</f>
        <v>0</v>
      </c>
      <c r="I245" s="274">
        <v>0.0</v>
      </c>
      <c r="J245" s="274">
        <v>0.0</v>
      </c>
      <c r="K245" s="274">
        <v>0.0</v>
      </c>
      <c r="L245" s="274">
        <v>0.0</v>
      </c>
      <c r="M245" s="274">
        <v>0.0</v>
      </c>
      <c r="N245" s="274">
        <v>0.0</v>
      </c>
      <c r="O245" s="274">
        <v>0.0</v>
      </c>
      <c r="P245" s="274">
        <v>0.0</v>
      </c>
      <c r="Q245" s="274">
        <v>0.0</v>
      </c>
      <c r="R245" s="274">
        <v>0.0</v>
      </c>
      <c r="S245" s="274">
        <v>0.0</v>
      </c>
      <c r="T245" s="274">
        <v>0.0</v>
      </c>
      <c r="U245" s="274">
        <v>0.0</v>
      </c>
      <c r="V245" s="274">
        <v>0.0</v>
      </c>
      <c r="W245" s="274">
        <v>34.76862450620568</v>
      </c>
      <c r="X245" s="274">
        <v>0.0</v>
      </c>
      <c r="Y245" s="274">
        <v>0.0</v>
      </c>
      <c r="Z245" s="274">
        <v>0.0</v>
      </c>
      <c r="AA245" s="274">
        <v>0.0</v>
      </c>
      <c r="AB245" s="274">
        <v>34.09982846600367</v>
      </c>
      <c r="AC245" s="274">
        <v>31.206712599103213</v>
      </c>
      <c r="AD245" s="274">
        <v>25.502243004335657</v>
      </c>
      <c r="AE245" s="274">
        <v>18.094012916598665</v>
      </c>
      <c r="AF245" s="274">
        <v>10.32715044908269</v>
      </c>
      <c r="AG245" s="274">
        <v>3.74091257616179</v>
      </c>
      <c r="AH245" s="274">
        <v>0.0</v>
      </c>
      <c r="AI245" s="125"/>
      <c r="AJ245" s="125"/>
      <c r="AK245" s="125"/>
      <c r="AL245" s="125"/>
      <c r="AM245" s="251"/>
      <c r="AN245" s="100" t="b">
        <f t="shared" si="29"/>
        <v>1</v>
      </c>
      <c r="AO245" s="102"/>
    </row>
    <row r="246" ht="14.25" customHeight="1" outlineLevel="4">
      <c r="A246" s="98"/>
      <c r="B246" s="98"/>
      <c r="C246" s="98"/>
      <c r="D246" s="98"/>
      <c r="E246" s="273" t="s">
        <v>1646</v>
      </c>
      <c r="F246" s="123" t="s">
        <v>135</v>
      </c>
      <c r="G246" s="123" t="s">
        <v>1656</v>
      </c>
      <c r="H246" s="274">
        <f t="array" ref="H246:AH246">(calcfngvvlr+calcfhybgazvlr)+calcfngvcam</f>
        <v>0</v>
      </c>
      <c r="I246" s="274">
        <v>0.0</v>
      </c>
      <c r="J246" s="274">
        <v>0.0</v>
      </c>
      <c r="K246" s="274">
        <v>0.0</v>
      </c>
      <c r="L246" s="274">
        <v>0.0</v>
      </c>
      <c r="M246" s="274">
        <v>0.0</v>
      </c>
      <c r="N246" s="274">
        <v>0.0</v>
      </c>
      <c r="O246" s="274">
        <v>0.0</v>
      </c>
      <c r="P246" s="274">
        <v>0.0</v>
      </c>
      <c r="Q246" s="274">
        <v>0.0</v>
      </c>
      <c r="R246" s="274">
        <v>0.0</v>
      </c>
      <c r="S246" s="274">
        <v>0.0</v>
      </c>
      <c r="T246" s="274">
        <v>0.0</v>
      </c>
      <c r="U246" s="274">
        <v>0.0</v>
      </c>
      <c r="V246" s="274">
        <v>0.0</v>
      </c>
      <c r="W246" s="274">
        <v>0.0042373184609700255</v>
      </c>
      <c r="X246" s="274">
        <v>0.0</v>
      </c>
      <c r="Y246" s="274">
        <v>0.0</v>
      </c>
      <c r="Z246" s="274">
        <v>0.0</v>
      </c>
      <c r="AA246" s="274">
        <v>0.0</v>
      </c>
      <c r="AB246" s="274">
        <v>0.19300366493227944</v>
      </c>
      <c r="AC246" s="274">
        <v>0.37575396231512465</v>
      </c>
      <c r="AD246" s="274">
        <v>0.7180706452010801</v>
      </c>
      <c r="AE246" s="274">
        <v>1.7229253587464677</v>
      </c>
      <c r="AF246" s="274">
        <v>2.9725422932027317</v>
      </c>
      <c r="AG246" s="274">
        <v>4.624210113086217</v>
      </c>
      <c r="AH246" s="274">
        <v>6.447688520916042</v>
      </c>
      <c r="AI246" s="125"/>
      <c r="AJ246" s="318"/>
      <c r="AK246" s="318"/>
      <c r="AL246" s="318"/>
      <c r="AM246" s="251"/>
      <c r="AN246" s="100" t="b">
        <f t="shared" si="29"/>
        <v>1</v>
      </c>
      <c r="AO246" s="102"/>
    </row>
    <row r="247" ht="14.25" customHeight="1" outlineLevel="4">
      <c r="A247" s="98"/>
      <c r="B247" s="98"/>
      <c r="C247" s="98"/>
      <c r="D247" s="98"/>
      <c r="E247" s="273" t="s">
        <v>1648</v>
      </c>
      <c r="F247" s="123" t="s">
        <v>135</v>
      </c>
      <c r="G247" s="123" t="s">
        <v>1657</v>
      </c>
      <c r="H247" s="274">
        <f t="array" ref="H247:AH247">calcfhydvlr+calcfhydcam</f>
        <v>0</v>
      </c>
      <c r="I247" s="274">
        <v>0.0</v>
      </c>
      <c r="J247" s="274">
        <v>0.0</v>
      </c>
      <c r="K247" s="274">
        <v>0.0</v>
      </c>
      <c r="L247" s="274">
        <v>0.0</v>
      </c>
      <c r="M247" s="274">
        <v>0.0</v>
      </c>
      <c r="N247" s="274">
        <v>0.0</v>
      </c>
      <c r="O247" s="274">
        <v>0.0</v>
      </c>
      <c r="P247" s="274">
        <v>0.0</v>
      </c>
      <c r="Q247" s="274">
        <v>0.0</v>
      </c>
      <c r="R247" s="274">
        <v>0.0</v>
      </c>
      <c r="S247" s="274">
        <v>0.0</v>
      </c>
      <c r="T247" s="274">
        <v>0.0</v>
      </c>
      <c r="U247" s="274">
        <v>0.0</v>
      </c>
      <c r="V247" s="274">
        <v>0.0</v>
      </c>
      <c r="W247" s="274">
        <v>0.0</v>
      </c>
      <c r="X247" s="274">
        <v>0.0</v>
      </c>
      <c r="Y247" s="274">
        <v>0.0</v>
      </c>
      <c r="Z247" s="274">
        <v>0.0</v>
      </c>
      <c r="AA247" s="274">
        <v>0.0</v>
      </c>
      <c r="AB247" s="274">
        <v>0.0</v>
      </c>
      <c r="AC247" s="274">
        <v>0.0</v>
      </c>
      <c r="AD247" s="274">
        <v>0.11975845803823298</v>
      </c>
      <c r="AE247" s="274">
        <v>0.6130925499516402</v>
      </c>
      <c r="AF247" s="274">
        <v>1.6541886584238332</v>
      </c>
      <c r="AG247" s="274">
        <v>3.22690004165879</v>
      </c>
      <c r="AH247" s="274">
        <v>4.154198699800668</v>
      </c>
      <c r="AI247" s="125"/>
      <c r="AJ247" s="318"/>
      <c r="AK247" s="318"/>
      <c r="AL247" s="318"/>
      <c r="AM247" s="251"/>
      <c r="AN247" s="100" t="b">
        <f t="shared" si="29"/>
        <v>1</v>
      </c>
      <c r="AO247" s="102"/>
    </row>
    <row r="248" ht="14.25" customHeight="1" outlineLevel="4">
      <c r="A248" s="98"/>
      <c r="B248" s="98"/>
      <c r="C248" s="98"/>
      <c r="D248" s="98"/>
      <c r="E248" s="273" t="s">
        <v>1650</v>
      </c>
      <c r="F248" s="123" t="s">
        <v>135</v>
      </c>
      <c r="G248" s="123" t="s">
        <v>1658</v>
      </c>
      <c r="H248" s="274">
        <f t="array" ref="H248:AH248">calcfelevlr+calcfelehybvlr+calcfelecam</f>
        <v>0</v>
      </c>
      <c r="I248" s="274">
        <v>0.0</v>
      </c>
      <c r="J248" s="274">
        <v>0.0</v>
      </c>
      <c r="K248" s="274">
        <v>0.0</v>
      </c>
      <c r="L248" s="274">
        <v>0.0</v>
      </c>
      <c r="M248" s="274">
        <v>0.0</v>
      </c>
      <c r="N248" s="274">
        <v>0.0</v>
      </c>
      <c r="O248" s="274">
        <v>0.0</v>
      </c>
      <c r="P248" s="274">
        <v>0.0</v>
      </c>
      <c r="Q248" s="274">
        <v>0.0</v>
      </c>
      <c r="R248" s="274">
        <v>0.0</v>
      </c>
      <c r="S248" s="274">
        <v>0.0</v>
      </c>
      <c r="T248" s="274">
        <v>0.0</v>
      </c>
      <c r="U248" s="274">
        <v>0.0</v>
      </c>
      <c r="V248" s="274">
        <v>0.0</v>
      </c>
      <c r="W248" s="274">
        <v>0.001432608402402508</v>
      </c>
      <c r="X248" s="274">
        <v>0.0</v>
      </c>
      <c r="Y248" s="274">
        <v>0.0</v>
      </c>
      <c r="Z248" s="274">
        <v>0.0</v>
      </c>
      <c r="AA248" s="274">
        <v>0.0</v>
      </c>
      <c r="AB248" s="274">
        <v>0.008515056510170182</v>
      </c>
      <c r="AC248" s="274">
        <v>0.11248040914610734</v>
      </c>
      <c r="AD248" s="274">
        <v>0.9516243643275857</v>
      </c>
      <c r="AE248" s="274">
        <v>2.1116034224602034</v>
      </c>
      <c r="AF248" s="274">
        <v>3.1057975887237523</v>
      </c>
      <c r="AG248" s="274">
        <v>3.8990796338621645</v>
      </c>
      <c r="AH248" s="274">
        <v>4.058138179194982</v>
      </c>
      <c r="AI248" s="125"/>
      <c r="AJ248" s="318"/>
      <c r="AK248" s="318"/>
      <c r="AL248" s="318"/>
      <c r="AM248" s="251"/>
      <c r="AN248" s="100" t="b">
        <f t="shared" si="29"/>
        <v>1</v>
      </c>
      <c r="AO248" s="102"/>
    </row>
    <row r="249" ht="13.5" customHeight="1" outlineLevel="2">
      <c r="A249" s="390"/>
      <c r="B249" s="393" t="s">
        <v>1659</v>
      </c>
      <c r="C249" s="394"/>
      <c r="D249" s="394"/>
      <c r="E249" s="162"/>
      <c r="F249" s="162"/>
      <c r="G249" s="162"/>
      <c r="H249" s="178"/>
      <c r="I249" s="178"/>
      <c r="J249" s="178"/>
      <c r="K249" s="178"/>
      <c r="L249" s="178"/>
      <c r="M249" s="178"/>
      <c r="N249" s="178"/>
      <c r="O249" s="178"/>
      <c r="P249" s="178"/>
      <c r="Q249" s="178"/>
      <c r="R249" s="178"/>
      <c r="S249" s="178"/>
      <c r="T249" s="178"/>
      <c r="U249" s="178"/>
      <c r="V249" s="178"/>
      <c r="W249" s="178"/>
      <c r="X249" s="178"/>
      <c r="Y249" s="178"/>
      <c r="Z249" s="178"/>
      <c r="AA249" s="178"/>
      <c r="AB249" s="178"/>
      <c r="AC249" s="178"/>
      <c r="AD249" s="178"/>
      <c r="AE249" s="178"/>
      <c r="AF249" s="178"/>
      <c r="AG249" s="178"/>
      <c r="AH249" s="178"/>
      <c r="AI249" s="100"/>
      <c r="AJ249" s="100"/>
      <c r="AK249" s="100"/>
      <c r="AL249" s="100"/>
      <c r="AM249" s="100"/>
      <c r="AN249" s="100" t="b">
        <f t="shared" si="29"/>
        <v>0</v>
      </c>
      <c r="AO249" s="102"/>
    </row>
    <row r="250" ht="13.5" customHeight="1" outlineLevel="3">
      <c r="A250" s="390"/>
      <c r="B250" s="394"/>
      <c r="C250" s="393" t="s">
        <v>1660</v>
      </c>
      <c r="D250" s="394"/>
      <c r="E250" s="162"/>
      <c r="F250" s="162"/>
      <c r="G250" s="162"/>
      <c r="H250" s="178"/>
      <c r="I250" s="178"/>
      <c r="J250" s="178"/>
      <c r="K250" s="178"/>
      <c r="L250" s="178"/>
      <c r="M250" s="178"/>
      <c r="N250" s="178"/>
      <c r="O250" s="178"/>
      <c r="P250" s="178"/>
      <c r="Q250" s="178"/>
      <c r="R250" s="178"/>
      <c r="S250" s="178"/>
      <c r="T250" s="178"/>
      <c r="U250" s="178"/>
      <c r="V250" s="178"/>
      <c r="W250" s="178"/>
      <c r="X250" s="178"/>
      <c r="Y250" s="178"/>
      <c r="Z250" s="178"/>
      <c r="AA250" s="178"/>
      <c r="AB250" s="178"/>
      <c r="AC250" s="178"/>
      <c r="AD250" s="178"/>
      <c r="AE250" s="178"/>
      <c r="AF250" s="178"/>
      <c r="AG250" s="178"/>
      <c r="AH250" s="178"/>
      <c r="AI250" s="100"/>
      <c r="AJ250" s="100"/>
      <c r="AK250" s="100"/>
      <c r="AL250" s="100"/>
      <c r="AM250" s="100"/>
      <c r="AN250" s="100" t="b">
        <f t="shared" si="29"/>
        <v>0</v>
      </c>
      <c r="AO250" s="102"/>
    </row>
    <row r="251" ht="13.5" customHeight="1" outlineLevel="4">
      <c r="A251" s="390"/>
      <c r="B251" s="394"/>
      <c r="C251" s="393"/>
      <c r="D251" s="394"/>
      <c r="E251" s="368" t="s">
        <v>1661</v>
      </c>
      <c r="F251" s="123" t="s">
        <v>1532</v>
      </c>
      <c r="G251" s="123" t="s">
        <v>1662</v>
      </c>
      <c r="H251" s="260">
        <v>7.674</v>
      </c>
      <c r="I251" s="181">
        <v>7.081</v>
      </c>
      <c r="J251" s="181">
        <v>7.298</v>
      </c>
      <c r="K251" s="181">
        <v>7.293</v>
      </c>
      <c r="L251" s="181">
        <v>7.694</v>
      </c>
      <c r="M251" s="181">
        <v>8.13</v>
      </c>
      <c r="N251" s="181">
        <v>8.572</v>
      </c>
      <c r="O251" s="181">
        <v>9.258</v>
      </c>
      <c r="P251" s="181">
        <v>8.927</v>
      </c>
      <c r="Q251" s="181">
        <v>6.374</v>
      </c>
      <c r="R251" s="181">
        <v>7.476</v>
      </c>
      <c r="S251" s="181">
        <v>7.593</v>
      </c>
      <c r="T251" s="181">
        <v>7.28</v>
      </c>
      <c r="U251" s="181">
        <v>7.28</v>
      </c>
      <c r="V251" s="181">
        <v>7.3</v>
      </c>
      <c r="W251" s="182">
        <v>7.3</v>
      </c>
      <c r="X251" s="181">
        <v>7.3</v>
      </c>
      <c r="Y251" s="181">
        <v>7.3</v>
      </c>
      <c r="Z251" s="181"/>
      <c r="AA251" s="181"/>
      <c r="AB251" s="182">
        <v>7.5</v>
      </c>
      <c r="AC251" s="182">
        <v>9.0</v>
      </c>
      <c r="AD251" s="182">
        <v>10.5</v>
      </c>
      <c r="AE251" s="182">
        <v>12.75</v>
      </c>
      <c r="AF251" s="182">
        <v>13.3</v>
      </c>
      <c r="AG251" s="182">
        <v>13.3</v>
      </c>
      <c r="AH251" s="184">
        <v>13.3</v>
      </c>
      <c r="AI251" s="431"/>
      <c r="AJ251" s="431"/>
      <c r="AK251" s="431"/>
      <c r="AL251" s="431"/>
      <c r="AM251" s="186"/>
      <c r="AN251" s="100" t="b">
        <f t="shared" si="29"/>
        <v>0</v>
      </c>
      <c r="AO251" s="176"/>
    </row>
    <row r="252" ht="13.5" customHeight="1" outlineLevel="4">
      <c r="A252" s="390"/>
      <c r="B252" s="393"/>
      <c r="C252" s="393"/>
      <c r="D252" s="395" t="str">
        <f>IF(COUNTIF(H252:AH252,"warning")&gt;0,"&gt; Disaggregation by fuel type &gt;&gt; WARNING: For some years, the total is different from 100%!","&gt; Disaggregation by fuel type")</f>
        <v>&gt; Disaggregation by fuel type</v>
      </c>
      <c r="E252" s="162"/>
      <c r="F252" s="162"/>
      <c r="G252" s="162"/>
      <c r="H252" s="178" t="str">
        <f t="shared" ref="H252:AH252" si="31">IF(COUNTA(H253:H256)=0,"",IF(ABS(SUM(H253:H256)-100%)&gt;10^-4,"Warning",""))</f>
        <v/>
      </c>
      <c r="I252" s="178" t="str">
        <f t="shared" si="31"/>
        <v/>
      </c>
      <c r="J252" s="178" t="str">
        <f t="shared" si="31"/>
        <v/>
      </c>
      <c r="K252" s="178" t="str">
        <f t="shared" si="31"/>
        <v/>
      </c>
      <c r="L252" s="178" t="str">
        <f t="shared" si="31"/>
        <v/>
      </c>
      <c r="M252" s="178" t="str">
        <f t="shared" si="31"/>
        <v/>
      </c>
      <c r="N252" s="178" t="str">
        <f t="shared" si="31"/>
        <v/>
      </c>
      <c r="O252" s="178" t="str">
        <f t="shared" si="31"/>
        <v/>
      </c>
      <c r="P252" s="178" t="str">
        <f t="shared" si="31"/>
        <v/>
      </c>
      <c r="Q252" s="178" t="str">
        <f t="shared" si="31"/>
        <v/>
      </c>
      <c r="R252" s="178" t="str">
        <f t="shared" si="31"/>
        <v/>
      </c>
      <c r="S252" s="178" t="str">
        <f t="shared" si="31"/>
        <v/>
      </c>
      <c r="T252" s="178" t="str">
        <f t="shared" si="31"/>
        <v/>
      </c>
      <c r="U252" s="178" t="str">
        <f t="shared" si="31"/>
        <v/>
      </c>
      <c r="V252" s="178" t="str">
        <f t="shared" si="31"/>
        <v/>
      </c>
      <c r="W252" s="178" t="str">
        <f t="shared" si="31"/>
        <v/>
      </c>
      <c r="X252" s="178" t="str">
        <f t="shared" si="31"/>
        <v/>
      </c>
      <c r="Y252" s="178" t="str">
        <f t="shared" si="31"/>
        <v/>
      </c>
      <c r="Z252" s="178" t="str">
        <f t="shared" si="31"/>
        <v/>
      </c>
      <c r="AA252" s="178" t="str">
        <f t="shared" si="31"/>
        <v/>
      </c>
      <c r="AB252" s="178" t="str">
        <f t="shared" si="31"/>
        <v/>
      </c>
      <c r="AC252" s="178" t="str">
        <f t="shared" si="31"/>
        <v/>
      </c>
      <c r="AD252" s="178" t="str">
        <f t="shared" si="31"/>
        <v/>
      </c>
      <c r="AE252" s="178" t="str">
        <f t="shared" si="31"/>
        <v/>
      </c>
      <c r="AF252" s="178" t="str">
        <f t="shared" si="31"/>
        <v/>
      </c>
      <c r="AG252" s="178" t="str">
        <f t="shared" si="31"/>
        <v/>
      </c>
      <c r="AH252" s="178" t="str">
        <f t="shared" si="31"/>
        <v/>
      </c>
      <c r="AI252" s="100"/>
      <c r="AJ252" s="100"/>
      <c r="AK252" s="100"/>
      <c r="AL252" s="100"/>
      <c r="AM252" s="100"/>
      <c r="AN252" s="100" t="b">
        <f t="shared" si="29"/>
        <v>1</v>
      </c>
      <c r="AO252" s="176"/>
    </row>
    <row r="253" ht="13.5" customHeight="1" outlineLevel="4">
      <c r="A253" s="390"/>
      <c r="B253" s="394"/>
      <c r="C253" s="393"/>
      <c r="D253" s="394"/>
      <c r="E253" s="270" t="s">
        <v>1663</v>
      </c>
      <c r="F253" s="249" t="s">
        <v>261</v>
      </c>
      <c r="G253" s="249" t="s">
        <v>1664</v>
      </c>
      <c r="H253" s="253">
        <v>0.29862151949505</v>
      </c>
      <c r="I253" s="254">
        <v>0.279079690166732</v>
      </c>
      <c r="J253" s="254">
        <v>0.165307091513435</v>
      </c>
      <c r="K253" s="254">
        <v>0.256020727661471</v>
      </c>
      <c r="L253" s="254">
        <v>0.235279237752607</v>
      </c>
      <c r="M253" s="254">
        <v>0.250615552438834</v>
      </c>
      <c r="N253" s="254">
        <v>0.242316317108561</v>
      </c>
      <c r="O253" s="254">
        <v>0.250665967343446</v>
      </c>
      <c r="P253" s="254">
        <v>0.230002232308952</v>
      </c>
      <c r="Q253" s="254">
        <v>0.192176609659492</v>
      </c>
      <c r="R253" s="254">
        <v>0.186542201410779</v>
      </c>
      <c r="S253" s="254">
        <v>0.290941130958076</v>
      </c>
      <c r="T253" s="254">
        <v>0.281531616480078</v>
      </c>
      <c r="U253" s="254">
        <v>0.25027491889188</v>
      </c>
      <c r="V253" s="254">
        <v>0.229906569159526</v>
      </c>
      <c r="W253" s="256">
        <v>0.253323931039982</v>
      </c>
      <c r="X253" s="254"/>
      <c r="Y253" s="254"/>
      <c r="Z253" s="254"/>
      <c r="AA253" s="254"/>
      <c r="AB253" s="256">
        <v>0.25</v>
      </c>
      <c r="AC253" s="256">
        <v>0.25</v>
      </c>
      <c r="AD253" s="256">
        <v>0.24</v>
      </c>
      <c r="AE253" s="256">
        <v>0.23</v>
      </c>
      <c r="AF253" s="256">
        <v>0.2</v>
      </c>
      <c r="AG253" s="256">
        <v>0.15</v>
      </c>
      <c r="AH253" s="257">
        <v>0.1</v>
      </c>
      <c r="AI253" s="431"/>
      <c r="AJ253" s="431"/>
      <c r="AK253" s="431"/>
      <c r="AL253" s="431"/>
      <c r="AM253" s="251"/>
      <c r="AN253" s="100" t="b">
        <f t="shared" si="29"/>
        <v>0</v>
      </c>
      <c r="AO253" s="176"/>
    </row>
    <row r="254" ht="13.5" customHeight="1" outlineLevel="4">
      <c r="A254" s="390"/>
      <c r="B254" s="394"/>
      <c r="C254" s="393"/>
      <c r="D254" s="394"/>
      <c r="E254" s="248" t="s">
        <v>1665</v>
      </c>
      <c r="F254" s="249" t="s">
        <v>261</v>
      </c>
      <c r="G254" s="249" t="s">
        <v>1666</v>
      </c>
      <c r="H254" s="253"/>
      <c r="I254" s="254"/>
      <c r="J254" s="254"/>
      <c r="K254" s="254"/>
      <c r="L254" s="254"/>
      <c r="M254" s="254"/>
      <c r="N254" s="254"/>
      <c r="O254" s="254"/>
      <c r="P254" s="254"/>
      <c r="Q254" s="254"/>
      <c r="R254" s="254"/>
      <c r="S254" s="254"/>
      <c r="T254" s="254"/>
      <c r="U254" s="254"/>
      <c r="V254" s="254"/>
      <c r="W254" s="256"/>
      <c r="X254" s="254"/>
      <c r="Y254" s="254"/>
      <c r="Z254" s="254"/>
      <c r="AA254" s="254"/>
      <c r="AB254" s="256">
        <v>0.0</v>
      </c>
      <c r="AC254" s="256">
        <v>0.0</v>
      </c>
      <c r="AD254" s="256">
        <v>0.0</v>
      </c>
      <c r="AE254" s="256">
        <v>0.0</v>
      </c>
      <c r="AF254" s="256">
        <v>0.0</v>
      </c>
      <c r="AG254" s="256">
        <v>0.0</v>
      </c>
      <c r="AH254" s="257">
        <v>0.0</v>
      </c>
      <c r="AI254" s="431"/>
      <c r="AJ254" s="431"/>
      <c r="AK254" s="431"/>
      <c r="AL254" s="431"/>
      <c r="AM254" s="251"/>
      <c r="AN254" s="100" t="b">
        <f t="shared" si="29"/>
        <v>0</v>
      </c>
      <c r="AO254" s="176"/>
    </row>
    <row r="255" ht="13.5" customHeight="1" outlineLevel="4">
      <c r="A255" s="390"/>
      <c r="B255" s="394"/>
      <c r="C255" s="393"/>
      <c r="D255" s="394"/>
      <c r="E255" s="248" t="s">
        <v>1667</v>
      </c>
      <c r="F255" s="249" t="s">
        <v>261</v>
      </c>
      <c r="G255" s="249" t="s">
        <v>1668</v>
      </c>
      <c r="H255" s="253"/>
      <c r="I255" s="254"/>
      <c r="J255" s="254"/>
      <c r="K255" s="254"/>
      <c r="L255" s="254"/>
      <c r="M255" s="254"/>
      <c r="N255" s="254"/>
      <c r="O255" s="254"/>
      <c r="P255" s="254"/>
      <c r="Q255" s="254"/>
      <c r="R255" s="254"/>
      <c r="S255" s="254"/>
      <c r="T255" s="254"/>
      <c r="U255" s="254"/>
      <c r="V255" s="254"/>
      <c r="W255" s="256"/>
      <c r="X255" s="254"/>
      <c r="Y255" s="254"/>
      <c r="Z255" s="254"/>
      <c r="AA255" s="254"/>
      <c r="AB255" s="256">
        <v>0.0</v>
      </c>
      <c r="AC255" s="256">
        <v>0.0</v>
      </c>
      <c r="AD255" s="256">
        <v>0.0</v>
      </c>
      <c r="AE255" s="256">
        <v>0.0</v>
      </c>
      <c r="AF255" s="256">
        <v>0.0</v>
      </c>
      <c r="AG255" s="256">
        <v>0.0</v>
      </c>
      <c r="AH255" s="257">
        <v>0.0</v>
      </c>
      <c r="AI255" s="431"/>
      <c r="AJ255" s="431"/>
      <c r="AK255" s="431"/>
      <c r="AL255" s="431"/>
      <c r="AM255" s="251"/>
      <c r="AN255" s="100" t="b">
        <f t="shared" si="29"/>
        <v>0</v>
      </c>
      <c r="AO255" s="176"/>
    </row>
    <row r="256" ht="13.5" customHeight="1" outlineLevel="4">
      <c r="A256" s="390"/>
      <c r="B256" s="394"/>
      <c r="C256" s="393"/>
      <c r="D256" s="394"/>
      <c r="E256" s="368" t="s">
        <v>1669</v>
      </c>
      <c r="F256" s="123" t="s">
        <v>261</v>
      </c>
      <c r="G256" s="123" t="s">
        <v>1670</v>
      </c>
      <c r="H256" s="253">
        <v>0.70137848050495</v>
      </c>
      <c r="I256" s="254">
        <v>0.720920309833268</v>
      </c>
      <c r="J256" s="254">
        <v>0.834692908486565</v>
      </c>
      <c r="K256" s="254">
        <v>0.743979272338529</v>
      </c>
      <c r="L256" s="254">
        <v>0.764720762247393</v>
      </c>
      <c r="M256" s="254">
        <v>0.749384447561166</v>
      </c>
      <c r="N256" s="254">
        <v>0.757683682891439</v>
      </c>
      <c r="O256" s="254">
        <v>0.749334032656554</v>
      </c>
      <c r="P256" s="254">
        <v>0.769997767691048</v>
      </c>
      <c r="Q256" s="254">
        <v>0.807823390340508</v>
      </c>
      <c r="R256" s="254">
        <v>0.813457798589221</v>
      </c>
      <c r="S256" s="254">
        <v>0.709058869041924</v>
      </c>
      <c r="T256" s="254">
        <v>0.718468383519922</v>
      </c>
      <c r="U256" s="254">
        <v>0.74972508110812</v>
      </c>
      <c r="V256" s="254">
        <v>0.770093430840474</v>
      </c>
      <c r="W256" s="256">
        <v>0.746676068960018</v>
      </c>
      <c r="X256" s="254"/>
      <c r="Y256" s="254"/>
      <c r="Z256" s="254"/>
      <c r="AA256" s="254"/>
      <c r="AB256" s="256">
        <v>0.75</v>
      </c>
      <c r="AC256" s="256">
        <v>0.75</v>
      </c>
      <c r="AD256" s="256">
        <v>0.76</v>
      </c>
      <c r="AE256" s="256">
        <v>0.77</v>
      </c>
      <c r="AF256" s="256">
        <v>0.8</v>
      </c>
      <c r="AG256" s="256">
        <v>0.85</v>
      </c>
      <c r="AH256" s="257">
        <v>0.9</v>
      </c>
      <c r="AI256" s="431"/>
      <c r="AJ256" s="431"/>
      <c r="AK256" s="431"/>
      <c r="AL256" s="431"/>
      <c r="AM256" s="251"/>
      <c r="AN256" s="100" t="b">
        <f t="shared" si="29"/>
        <v>0</v>
      </c>
      <c r="AO256" s="176"/>
    </row>
    <row r="257" ht="13.5" customHeight="1" outlineLevel="3">
      <c r="A257" s="390"/>
      <c r="B257" s="394"/>
      <c r="C257" s="393" t="s">
        <v>1458</v>
      </c>
      <c r="D257" s="432"/>
      <c r="E257" s="162"/>
      <c r="F257" s="162"/>
      <c r="G257" s="162"/>
      <c r="H257" s="178"/>
      <c r="I257" s="178"/>
      <c r="J257" s="178"/>
      <c r="K257" s="178"/>
      <c r="L257" s="178"/>
      <c r="M257" s="178"/>
      <c r="N257" s="178"/>
      <c r="O257" s="178"/>
      <c r="P257" s="178"/>
      <c r="Q257" s="178"/>
      <c r="R257" s="178"/>
      <c r="S257" s="178"/>
      <c r="T257" s="178"/>
      <c r="U257" s="178"/>
      <c r="V257" s="178"/>
      <c r="W257" s="178"/>
      <c r="X257" s="178"/>
      <c r="Y257" s="178"/>
      <c r="Z257" s="178"/>
      <c r="AA257" s="178"/>
      <c r="AB257" s="178"/>
      <c r="AC257" s="178"/>
      <c r="AD257" s="178"/>
      <c r="AE257" s="178"/>
      <c r="AF257" s="178"/>
      <c r="AG257" s="178"/>
      <c r="AH257" s="178"/>
      <c r="AI257" s="100"/>
      <c r="AJ257" s="100"/>
      <c r="AK257" s="100"/>
      <c r="AL257" s="100"/>
      <c r="AM257" s="100"/>
      <c r="AN257" s="100" t="b">
        <f t="shared" si="29"/>
        <v>0</v>
      </c>
      <c r="AO257" s="176"/>
    </row>
    <row r="258" ht="13.5" customHeight="1" outlineLevel="4">
      <c r="A258" s="390"/>
      <c r="B258" s="394"/>
      <c r="C258" s="393"/>
      <c r="D258" s="394"/>
      <c r="E258" s="412" t="s">
        <v>1671</v>
      </c>
      <c r="F258" s="123" t="s">
        <v>1672</v>
      </c>
      <c r="G258" s="123" t="s">
        <v>1673</v>
      </c>
      <c r="H258" s="260"/>
      <c r="I258" s="181"/>
      <c r="J258" s="181"/>
      <c r="K258" s="181"/>
      <c r="L258" s="181"/>
      <c r="M258" s="181"/>
      <c r="N258" s="181"/>
      <c r="O258" s="181"/>
      <c r="P258" s="181"/>
      <c r="Q258" s="181"/>
      <c r="R258" s="181"/>
      <c r="S258" s="181"/>
      <c r="T258" s="181"/>
      <c r="U258" s="181"/>
      <c r="V258" s="181"/>
      <c r="W258" s="202">
        <v>6.55759467032967</v>
      </c>
      <c r="X258" s="181"/>
      <c r="Y258" s="181"/>
      <c r="Z258" s="181"/>
      <c r="AA258" s="181"/>
      <c r="AB258" s="202">
        <v>6.15792259026688</v>
      </c>
      <c r="AC258" s="202">
        <v>5.56010002808163</v>
      </c>
      <c r="AD258" s="202">
        <v>4.99885657735636</v>
      </c>
      <c r="AE258" s="202">
        <v>4.47419223809105</v>
      </c>
      <c r="AF258" s="202">
        <v>3.98610701028571</v>
      </c>
      <c r="AG258" s="202">
        <v>3.609024928</v>
      </c>
      <c r="AH258" s="202">
        <v>3.22692456</v>
      </c>
      <c r="AI258" s="431"/>
      <c r="AJ258" s="431"/>
      <c r="AK258" s="431"/>
      <c r="AL258" s="431"/>
      <c r="AM258" s="186"/>
      <c r="AN258" s="100" t="b">
        <f t="shared" si="29"/>
        <v>0</v>
      </c>
      <c r="AO258" s="176"/>
    </row>
    <row r="259" ht="13.5" customHeight="1" outlineLevel="3">
      <c r="A259" s="414"/>
      <c r="B259" s="302"/>
      <c r="C259" s="302" t="s">
        <v>1674</v>
      </c>
      <c r="D259" s="283"/>
      <c r="E259" s="162"/>
      <c r="F259" s="162"/>
      <c r="G259" s="162"/>
      <c r="H259" s="178"/>
      <c r="I259" s="178"/>
      <c r="J259" s="178"/>
      <c r="K259" s="178"/>
      <c r="L259" s="178"/>
      <c r="M259" s="178"/>
      <c r="N259" s="178"/>
      <c r="O259" s="178"/>
      <c r="P259" s="178"/>
      <c r="Q259" s="178"/>
      <c r="R259" s="178"/>
      <c r="S259" s="178"/>
      <c r="T259" s="178"/>
      <c r="U259" s="178"/>
      <c r="V259" s="178"/>
      <c r="W259" s="178"/>
      <c r="X259" s="178"/>
      <c r="Y259" s="178"/>
      <c r="Z259" s="178"/>
      <c r="AA259" s="178"/>
      <c r="AB259" s="178"/>
      <c r="AC259" s="178"/>
      <c r="AD259" s="178"/>
      <c r="AE259" s="178"/>
      <c r="AF259" s="178"/>
      <c r="AG259" s="178"/>
      <c r="AH259" s="178"/>
      <c r="AI259" s="336"/>
      <c r="AJ259" s="244"/>
      <c r="AK259" s="244"/>
      <c r="AL259" s="244"/>
      <c r="AM259" s="162"/>
      <c r="AN259" s="100" t="b">
        <f t="shared" si="29"/>
        <v>0</v>
      </c>
      <c r="AO259" s="102"/>
    </row>
    <row r="260" ht="14.25" customHeight="1" outlineLevel="4">
      <c r="A260" s="98"/>
      <c r="B260" s="98"/>
      <c r="C260" s="98"/>
      <c r="D260" s="98"/>
      <c r="E260" s="299" t="s">
        <v>1675</v>
      </c>
      <c r="F260" s="123" t="s">
        <v>135</v>
      </c>
      <c r="G260" s="123" t="s">
        <v>1676</v>
      </c>
      <c r="H260" s="274">
        <f t="shared" ref="H260:AH260" si="32">SUM(H261:H264)</f>
        <v>0</v>
      </c>
      <c r="I260" s="274">
        <f t="shared" si="32"/>
        <v>0</v>
      </c>
      <c r="J260" s="274">
        <f t="shared" si="32"/>
        <v>0</v>
      </c>
      <c r="K260" s="274">
        <f t="shared" si="32"/>
        <v>0</v>
      </c>
      <c r="L260" s="274">
        <f t="shared" si="32"/>
        <v>0</v>
      </c>
      <c r="M260" s="274">
        <f t="shared" si="32"/>
        <v>0</v>
      </c>
      <c r="N260" s="274">
        <f t="shared" si="32"/>
        <v>0</v>
      </c>
      <c r="O260" s="274">
        <f t="shared" si="32"/>
        <v>0</v>
      </c>
      <c r="P260" s="274">
        <f t="shared" si="32"/>
        <v>0</v>
      </c>
      <c r="Q260" s="274">
        <f t="shared" si="32"/>
        <v>0</v>
      </c>
      <c r="R260" s="274">
        <f t="shared" si="32"/>
        <v>0</v>
      </c>
      <c r="S260" s="274">
        <f t="shared" si="32"/>
        <v>0</v>
      </c>
      <c r="T260" s="274">
        <f t="shared" si="32"/>
        <v>0</v>
      </c>
      <c r="U260" s="274">
        <f t="shared" si="32"/>
        <v>0</v>
      </c>
      <c r="V260" s="274">
        <f t="shared" si="32"/>
        <v>0</v>
      </c>
      <c r="W260" s="274">
        <f t="shared" si="32"/>
        <v>0.4787044109</v>
      </c>
      <c r="X260" s="274">
        <f t="shared" si="32"/>
        <v>0</v>
      </c>
      <c r="Y260" s="274">
        <f t="shared" si="32"/>
        <v>0</v>
      </c>
      <c r="Z260" s="274">
        <f t="shared" si="32"/>
        <v>0</v>
      </c>
      <c r="AA260" s="274">
        <f t="shared" si="32"/>
        <v>0</v>
      </c>
      <c r="AB260" s="274">
        <f t="shared" si="32"/>
        <v>0.4618441943</v>
      </c>
      <c r="AC260" s="274">
        <f t="shared" si="32"/>
        <v>0.5004090025</v>
      </c>
      <c r="AD260" s="274">
        <f t="shared" si="32"/>
        <v>0.5248799406</v>
      </c>
      <c r="AE260" s="274">
        <f t="shared" si="32"/>
        <v>0.5704595104</v>
      </c>
      <c r="AF260" s="274">
        <f t="shared" si="32"/>
        <v>0.5301522324</v>
      </c>
      <c r="AG260" s="274">
        <f t="shared" si="32"/>
        <v>0.4800003154</v>
      </c>
      <c r="AH260" s="274">
        <f t="shared" si="32"/>
        <v>0.4291809665</v>
      </c>
      <c r="AI260" s="125"/>
      <c r="AJ260" s="125"/>
      <c r="AK260" s="125"/>
      <c r="AL260" s="125"/>
      <c r="AM260" s="251"/>
      <c r="AN260" s="100" t="b">
        <f t="shared" si="29"/>
        <v>1</v>
      </c>
      <c r="AO260" s="102"/>
    </row>
    <row r="261" ht="14.25" customHeight="1" outlineLevel="4">
      <c r="A261" s="195"/>
      <c r="B261" s="201"/>
      <c r="C261" s="201"/>
      <c r="D261" s="201"/>
      <c r="E261" s="273" t="s">
        <v>1677</v>
      </c>
      <c r="F261" s="249" t="s">
        <v>135</v>
      </c>
      <c r="G261" s="123" t="s">
        <v>1678</v>
      </c>
      <c r="H261" s="274">
        <f t="array" ref="H261:AH261">calcflqffrefer</f>
        <v>0</v>
      </c>
      <c r="I261" s="274">
        <v>0.0</v>
      </c>
      <c r="J261" s="274">
        <v>0.0</v>
      </c>
      <c r="K261" s="274">
        <v>0.0</v>
      </c>
      <c r="L261" s="274">
        <v>0.0</v>
      </c>
      <c r="M261" s="274">
        <v>0.0</v>
      </c>
      <c r="N261" s="274">
        <v>0.0</v>
      </c>
      <c r="O261" s="274">
        <v>0.0</v>
      </c>
      <c r="P261" s="274">
        <v>0.0</v>
      </c>
      <c r="Q261" s="274">
        <v>0.0</v>
      </c>
      <c r="R261" s="274">
        <v>0.0</v>
      </c>
      <c r="S261" s="274">
        <v>0.0</v>
      </c>
      <c r="T261" s="274">
        <v>0.0</v>
      </c>
      <c r="U261" s="274">
        <v>0.0</v>
      </c>
      <c r="V261" s="274">
        <v>0.0</v>
      </c>
      <c r="W261" s="274">
        <v>0.12126728318399652</v>
      </c>
      <c r="X261" s="274">
        <v>0.0</v>
      </c>
      <c r="Y261" s="274">
        <v>0.0</v>
      </c>
      <c r="Z261" s="274">
        <v>0.0</v>
      </c>
      <c r="AA261" s="274">
        <v>0.0</v>
      </c>
      <c r="AB261" s="274">
        <v>0.115461048567504</v>
      </c>
      <c r="AC261" s="274">
        <v>0.12510225063183666</v>
      </c>
      <c r="AD261" s="274">
        <v>0.1259711857493803</v>
      </c>
      <c r="AE261" s="274">
        <v>0.13120568738202007</v>
      </c>
      <c r="AF261" s="274">
        <v>0.10603044647359988</v>
      </c>
      <c r="AG261" s="274">
        <v>0.0720000473136</v>
      </c>
      <c r="AH261" s="274">
        <v>0.042918096648</v>
      </c>
      <c r="AI261" s="318"/>
      <c r="AJ261" s="125"/>
      <c r="AK261" s="125"/>
      <c r="AL261" s="125"/>
      <c r="AM261" s="251"/>
      <c r="AN261" s="100" t="b">
        <f t="shared" si="29"/>
        <v>1</v>
      </c>
      <c r="AO261" s="102"/>
    </row>
    <row r="262" ht="14.25" customHeight="1" outlineLevel="4">
      <c r="A262" s="195"/>
      <c r="B262" s="201"/>
      <c r="C262" s="201"/>
      <c r="D262" s="201"/>
      <c r="E262" s="273" t="s">
        <v>1679</v>
      </c>
      <c r="F262" s="123" t="s">
        <v>135</v>
      </c>
      <c r="G262" s="123" t="s">
        <v>1680</v>
      </c>
      <c r="H262" s="274">
        <f t="array" ref="H262:AH262">calcfngvfrefer</f>
        <v>0</v>
      </c>
      <c r="I262" s="274">
        <v>0.0</v>
      </c>
      <c r="J262" s="274">
        <v>0.0</v>
      </c>
      <c r="K262" s="274">
        <v>0.0</v>
      </c>
      <c r="L262" s="274">
        <v>0.0</v>
      </c>
      <c r="M262" s="274">
        <v>0.0</v>
      </c>
      <c r="N262" s="274">
        <v>0.0</v>
      </c>
      <c r="O262" s="274">
        <v>0.0</v>
      </c>
      <c r="P262" s="274">
        <v>0.0</v>
      </c>
      <c r="Q262" s="274">
        <v>0.0</v>
      </c>
      <c r="R262" s="274">
        <v>0.0</v>
      </c>
      <c r="S262" s="274">
        <v>0.0</v>
      </c>
      <c r="T262" s="274">
        <v>0.0</v>
      </c>
      <c r="U262" s="274">
        <v>0.0</v>
      </c>
      <c r="V262" s="274">
        <v>0.0</v>
      </c>
      <c r="W262" s="274">
        <v>0.0</v>
      </c>
      <c r="X262" s="274">
        <v>0.0</v>
      </c>
      <c r="Y262" s="274">
        <v>0.0</v>
      </c>
      <c r="Z262" s="274">
        <v>0.0</v>
      </c>
      <c r="AA262" s="274">
        <v>0.0</v>
      </c>
      <c r="AB262" s="274">
        <v>0.0</v>
      </c>
      <c r="AC262" s="274">
        <v>0.0</v>
      </c>
      <c r="AD262" s="274">
        <v>0.0</v>
      </c>
      <c r="AE262" s="274">
        <v>0.0</v>
      </c>
      <c r="AF262" s="274">
        <v>0.0</v>
      </c>
      <c r="AG262" s="274">
        <v>0.0</v>
      </c>
      <c r="AH262" s="274">
        <v>0.0</v>
      </c>
      <c r="AI262" s="318"/>
      <c r="AJ262" s="125"/>
      <c r="AK262" s="125"/>
      <c r="AL262" s="125"/>
      <c r="AM262" s="251"/>
      <c r="AN262" s="100" t="b">
        <f t="shared" si="29"/>
        <v>1</v>
      </c>
      <c r="AO262" s="102"/>
    </row>
    <row r="263" ht="14.25" customHeight="1" outlineLevel="4">
      <c r="A263" s="195"/>
      <c r="B263" s="201"/>
      <c r="C263" s="201"/>
      <c r="D263" s="201"/>
      <c r="E263" s="273" t="s">
        <v>1681</v>
      </c>
      <c r="F263" s="123" t="s">
        <v>135</v>
      </c>
      <c r="G263" s="123" t="s">
        <v>1682</v>
      </c>
      <c r="H263" s="274">
        <f t="array" ref="H263:AH263">calcfhydfrefer</f>
        <v>0</v>
      </c>
      <c r="I263" s="274">
        <v>0.0</v>
      </c>
      <c r="J263" s="274">
        <v>0.0</v>
      </c>
      <c r="K263" s="274">
        <v>0.0</v>
      </c>
      <c r="L263" s="274">
        <v>0.0</v>
      </c>
      <c r="M263" s="274">
        <v>0.0</v>
      </c>
      <c r="N263" s="274">
        <v>0.0</v>
      </c>
      <c r="O263" s="274">
        <v>0.0</v>
      </c>
      <c r="P263" s="274">
        <v>0.0</v>
      </c>
      <c r="Q263" s="274">
        <v>0.0</v>
      </c>
      <c r="R263" s="274">
        <v>0.0</v>
      </c>
      <c r="S263" s="274">
        <v>0.0</v>
      </c>
      <c r="T263" s="274">
        <v>0.0</v>
      </c>
      <c r="U263" s="274">
        <v>0.0</v>
      </c>
      <c r="V263" s="274">
        <v>0.0</v>
      </c>
      <c r="W263" s="274">
        <v>0.0</v>
      </c>
      <c r="X263" s="274">
        <v>0.0</v>
      </c>
      <c r="Y263" s="274">
        <v>0.0</v>
      </c>
      <c r="Z263" s="274">
        <v>0.0</v>
      </c>
      <c r="AA263" s="274">
        <v>0.0</v>
      </c>
      <c r="AB263" s="274">
        <v>0.0</v>
      </c>
      <c r="AC263" s="274">
        <v>0.0</v>
      </c>
      <c r="AD263" s="274">
        <v>0.0</v>
      </c>
      <c r="AE263" s="274">
        <v>0.0</v>
      </c>
      <c r="AF263" s="274">
        <v>0.0</v>
      </c>
      <c r="AG263" s="274">
        <v>0.0</v>
      </c>
      <c r="AH263" s="274">
        <v>0.0</v>
      </c>
      <c r="AI263" s="318"/>
      <c r="AJ263" s="125"/>
      <c r="AK263" s="125"/>
      <c r="AL263" s="125"/>
      <c r="AM263" s="251"/>
      <c r="AN263" s="100" t="b">
        <f t="shared" si="29"/>
        <v>1</v>
      </c>
      <c r="AO263" s="102"/>
    </row>
    <row r="264" ht="14.25" customHeight="1" outlineLevel="4">
      <c r="A264" s="195"/>
      <c r="B264" s="201"/>
      <c r="C264" s="201"/>
      <c r="D264" s="201"/>
      <c r="E264" s="273" t="s">
        <v>1683</v>
      </c>
      <c r="F264" s="123" t="s">
        <v>135</v>
      </c>
      <c r="G264" s="123" t="s">
        <v>1684</v>
      </c>
      <c r="H264" s="274">
        <f t="array" ref="H264:AH264">calcfelefrefer</f>
        <v>0</v>
      </c>
      <c r="I264" s="274">
        <v>0.0</v>
      </c>
      <c r="J264" s="274">
        <v>0.0</v>
      </c>
      <c r="K264" s="274">
        <v>0.0</v>
      </c>
      <c r="L264" s="274">
        <v>0.0</v>
      </c>
      <c r="M264" s="274">
        <v>0.0</v>
      </c>
      <c r="N264" s="274">
        <v>0.0</v>
      </c>
      <c r="O264" s="274">
        <v>0.0</v>
      </c>
      <c r="P264" s="274">
        <v>0.0</v>
      </c>
      <c r="Q264" s="274">
        <v>0.0</v>
      </c>
      <c r="R264" s="274">
        <v>0.0</v>
      </c>
      <c r="S264" s="274">
        <v>0.0</v>
      </c>
      <c r="T264" s="274">
        <v>0.0</v>
      </c>
      <c r="U264" s="274">
        <v>0.0</v>
      </c>
      <c r="V264" s="274">
        <v>0.0</v>
      </c>
      <c r="W264" s="274">
        <v>0.35743712775006947</v>
      </c>
      <c r="X264" s="274">
        <v>0.0</v>
      </c>
      <c r="Y264" s="274">
        <v>0.0</v>
      </c>
      <c r="Z264" s="274">
        <v>0.0</v>
      </c>
      <c r="AA264" s="274">
        <v>0.0</v>
      </c>
      <c r="AB264" s="274">
        <v>0.34638314570251194</v>
      </c>
      <c r="AC264" s="274">
        <v>0.37530675189551</v>
      </c>
      <c r="AD264" s="274">
        <v>0.39890875487303745</v>
      </c>
      <c r="AE264" s="274">
        <v>0.4392538229745889</v>
      </c>
      <c r="AF264" s="274">
        <v>0.42412178589439953</v>
      </c>
      <c r="AG264" s="274">
        <v>0.4080002681104</v>
      </c>
      <c r="AH264" s="274">
        <v>0.386262869832</v>
      </c>
      <c r="AI264" s="318"/>
      <c r="AJ264" s="125"/>
      <c r="AK264" s="125"/>
      <c r="AL264" s="125"/>
      <c r="AM264" s="251"/>
      <c r="AN264" s="100" t="b">
        <f t="shared" si="29"/>
        <v>1</v>
      </c>
      <c r="AO264" s="102"/>
    </row>
    <row r="265" ht="13.5" customHeight="1" outlineLevel="2">
      <c r="A265" s="390"/>
      <c r="B265" s="393" t="s">
        <v>1685</v>
      </c>
      <c r="C265" s="393"/>
      <c r="D265" s="394"/>
      <c r="E265" s="162"/>
      <c r="F265" s="162"/>
      <c r="G265" s="162"/>
      <c r="H265" s="178"/>
      <c r="I265" s="178"/>
      <c r="J265" s="178"/>
      <c r="K265" s="178"/>
      <c r="L265" s="178"/>
      <c r="M265" s="178"/>
      <c r="N265" s="178"/>
      <c r="O265" s="178"/>
      <c r="P265" s="178"/>
      <c r="Q265" s="178"/>
      <c r="R265" s="178"/>
      <c r="S265" s="178"/>
      <c r="T265" s="178"/>
      <c r="U265" s="178"/>
      <c r="V265" s="178"/>
      <c r="W265" s="178"/>
      <c r="X265" s="178"/>
      <c r="Y265" s="178"/>
      <c r="Z265" s="178"/>
      <c r="AA265" s="178"/>
      <c r="AB265" s="178"/>
      <c r="AC265" s="178"/>
      <c r="AD265" s="178"/>
      <c r="AE265" s="178"/>
      <c r="AF265" s="178"/>
      <c r="AG265" s="178"/>
      <c r="AH265" s="178"/>
      <c r="AI265" s="100"/>
      <c r="AJ265" s="100"/>
      <c r="AK265" s="100"/>
      <c r="AL265" s="100"/>
      <c r="AM265" s="100"/>
      <c r="AN265" s="100" t="b">
        <f t="shared" si="29"/>
        <v>0</v>
      </c>
      <c r="AO265" s="102"/>
    </row>
    <row r="266" ht="13.5" customHeight="1" outlineLevel="3">
      <c r="A266" s="390"/>
      <c r="B266" s="394"/>
      <c r="C266" s="393" t="s">
        <v>1660</v>
      </c>
      <c r="D266" s="394"/>
      <c r="E266" s="162"/>
      <c r="F266" s="162"/>
      <c r="G266" s="162"/>
      <c r="H266" s="178"/>
      <c r="I266" s="178"/>
      <c r="J266" s="178"/>
      <c r="K266" s="178"/>
      <c r="L266" s="178"/>
      <c r="M266" s="178"/>
      <c r="N266" s="178"/>
      <c r="O266" s="178"/>
      <c r="P266" s="178"/>
      <c r="Q266" s="178"/>
      <c r="R266" s="178"/>
      <c r="S266" s="178"/>
      <c r="T266" s="178"/>
      <c r="U266" s="178"/>
      <c r="V266" s="178"/>
      <c r="W266" s="178"/>
      <c r="X266" s="178"/>
      <c r="Y266" s="178"/>
      <c r="Z266" s="178"/>
      <c r="AA266" s="178"/>
      <c r="AB266" s="178"/>
      <c r="AC266" s="178"/>
      <c r="AD266" s="178"/>
      <c r="AE266" s="178"/>
      <c r="AF266" s="178"/>
      <c r="AG266" s="178"/>
      <c r="AH266" s="178"/>
      <c r="AI266" s="100"/>
      <c r="AJ266" s="100"/>
      <c r="AK266" s="100"/>
      <c r="AL266" s="100"/>
      <c r="AM266" s="100"/>
      <c r="AN266" s="100" t="b">
        <f t="shared" si="29"/>
        <v>0</v>
      </c>
      <c r="AO266" s="102"/>
    </row>
    <row r="267" ht="13.5" customHeight="1" outlineLevel="4">
      <c r="A267" s="390"/>
      <c r="B267" s="394"/>
      <c r="C267" s="393"/>
      <c r="D267" s="394"/>
      <c r="E267" s="412" t="s">
        <v>1686</v>
      </c>
      <c r="F267" s="123" t="s">
        <v>1532</v>
      </c>
      <c r="G267" s="123" t="s">
        <v>1687</v>
      </c>
      <c r="H267" s="260">
        <v>7.215</v>
      </c>
      <c r="I267" s="181">
        <v>7.655</v>
      </c>
      <c r="J267" s="181">
        <v>8.073</v>
      </c>
      <c r="K267" s="181">
        <v>8.23</v>
      </c>
      <c r="L267" s="181">
        <v>8.392</v>
      </c>
      <c r="M267" s="181">
        <v>8.566</v>
      </c>
      <c r="N267" s="181">
        <v>8.908</v>
      </c>
      <c r="O267" s="181">
        <v>9.006</v>
      </c>
      <c r="P267" s="181">
        <v>8.746</v>
      </c>
      <c r="Q267" s="181">
        <v>7.087</v>
      </c>
      <c r="R267" s="181">
        <v>9.07</v>
      </c>
      <c r="S267" s="181">
        <v>9.152</v>
      </c>
      <c r="T267" s="181">
        <v>10.42</v>
      </c>
      <c r="U267" s="181">
        <v>10.365</v>
      </c>
      <c r="V267" s="181">
        <v>10.451</v>
      </c>
      <c r="W267" s="202">
        <v>10.426</v>
      </c>
      <c r="X267" s="181">
        <v>10.331</v>
      </c>
      <c r="Y267" s="181">
        <v>11.098</v>
      </c>
      <c r="Z267" s="181"/>
      <c r="AA267" s="181"/>
      <c r="AB267" s="202">
        <v>11.25</v>
      </c>
      <c r="AC267" s="202">
        <v>12.0</v>
      </c>
      <c r="AD267" s="202">
        <v>13.5</v>
      </c>
      <c r="AE267" s="202">
        <v>15.0</v>
      </c>
      <c r="AF267" s="202">
        <v>15.4</v>
      </c>
      <c r="AG267" s="202">
        <v>16.1</v>
      </c>
      <c r="AH267" s="203">
        <v>16.1</v>
      </c>
      <c r="AI267" s="318"/>
      <c r="AJ267" s="318"/>
      <c r="AK267" s="318"/>
      <c r="AL267" s="318"/>
      <c r="AM267" s="251"/>
      <c r="AN267" s="100" t="b">
        <f t="shared" si="29"/>
        <v>0</v>
      </c>
      <c r="AO267" s="102"/>
    </row>
    <row r="268" ht="13.5" customHeight="1" outlineLevel="4">
      <c r="A268" s="390"/>
      <c r="B268" s="394"/>
      <c r="C268" s="394"/>
      <c r="D268" s="395" t="s">
        <v>1688</v>
      </c>
      <c r="E268" s="162"/>
      <c r="F268" s="162"/>
      <c r="G268" s="162"/>
      <c r="H268" s="178"/>
      <c r="I268" s="178"/>
      <c r="J268" s="178"/>
      <c r="K268" s="178"/>
      <c r="L268" s="178"/>
      <c r="M268" s="178"/>
      <c r="N268" s="178"/>
      <c r="O268" s="178"/>
      <c r="P268" s="178"/>
      <c r="Q268" s="178"/>
      <c r="R268" s="178"/>
      <c r="S268" s="178"/>
      <c r="T268" s="178"/>
      <c r="U268" s="178"/>
      <c r="V268" s="178"/>
      <c r="W268" s="178"/>
      <c r="X268" s="178"/>
      <c r="Y268" s="178"/>
      <c r="Z268" s="178"/>
      <c r="AA268" s="178"/>
      <c r="AB268" s="178"/>
      <c r="AC268" s="178"/>
      <c r="AD268" s="178"/>
      <c r="AE268" s="178"/>
      <c r="AF268" s="178"/>
      <c r="AG268" s="178"/>
      <c r="AH268" s="178"/>
      <c r="AI268" s="100"/>
      <c r="AJ268" s="100"/>
      <c r="AK268" s="100"/>
      <c r="AL268" s="100"/>
      <c r="AM268" s="100"/>
      <c r="AN268" s="100" t="b">
        <f t="shared" si="29"/>
        <v>0</v>
      </c>
      <c r="AO268" s="102"/>
    </row>
    <row r="269" ht="13.5" customHeight="1" outlineLevel="4">
      <c r="A269" s="390"/>
      <c r="B269" s="394"/>
      <c r="C269" s="393"/>
      <c r="D269" s="394"/>
      <c r="E269" s="270" t="s">
        <v>1689</v>
      </c>
      <c r="F269" s="249" t="s">
        <v>1532</v>
      </c>
      <c r="G269" s="249" t="s">
        <v>1690</v>
      </c>
      <c r="H269" s="260"/>
      <c r="I269" s="181"/>
      <c r="J269" s="181"/>
      <c r="K269" s="181"/>
      <c r="L269" s="181"/>
      <c r="M269" s="181"/>
      <c r="N269" s="181"/>
      <c r="O269" s="181"/>
      <c r="P269" s="181"/>
      <c r="Q269" s="181"/>
      <c r="R269" s="181"/>
      <c r="S269" s="181"/>
      <c r="T269" s="181"/>
      <c r="U269" s="181"/>
      <c r="V269" s="181"/>
      <c r="W269" s="182">
        <v>10.426</v>
      </c>
      <c r="X269" s="181">
        <v>10.331</v>
      </c>
      <c r="Y269" s="181">
        <v>11.098</v>
      </c>
      <c r="Z269" s="181">
        <v>0.0</v>
      </c>
      <c r="AA269" s="181">
        <v>0.0</v>
      </c>
      <c r="AB269" s="182">
        <v>11.25</v>
      </c>
      <c r="AC269" s="182">
        <v>12.0</v>
      </c>
      <c r="AD269" s="182">
        <v>13.5</v>
      </c>
      <c r="AE269" s="182">
        <v>15.0</v>
      </c>
      <c r="AF269" s="182">
        <v>15.4</v>
      </c>
      <c r="AG269" s="182">
        <v>16.1</v>
      </c>
      <c r="AH269" s="184">
        <v>16.1</v>
      </c>
      <c r="AI269" s="318"/>
      <c r="AJ269" s="318"/>
      <c r="AK269" s="318"/>
      <c r="AL269" s="318"/>
      <c r="AM269" s="251"/>
      <c r="AN269" s="100" t="b">
        <f t="shared" si="29"/>
        <v>0</v>
      </c>
      <c r="AO269" s="102"/>
    </row>
    <row r="270" ht="13.5" customHeight="1" outlineLevel="4">
      <c r="A270" s="98"/>
      <c r="B270" s="98"/>
      <c r="C270" s="98"/>
      <c r="D270" s="98"/>
      <c r="E270" s="368" t="s">
        <v>1691</v>
      </c>
      <c r="F270" s="123" t="s">
        <v>1532</v>
      </c>
      <c r="G270" s="123" t="s">
        <v>1692</v>
      </c>
      <c r="H270" s="260"/>
      <c r="I270" s="181"/>
      <c r="J270" s="181"/>
      <c r="K270" s="181"/>
      <c r="L270" s="181"/>
      <c r="M270" s="181"/>
      <c r="N270" s="181"/>
      <c r="O270" s="181"/>
      <c r="P270" s="181"/>
      <c r="Q270" s="181"/>
      <c r="R270" s="181"/>
      <c r="S270" s="181"/>
      <c r="T270" s="181"/>
      <c r="U270" s="181"/>
      <c r="V270" s="181"/>
      <c r="W270" s="182">
        <v>2177.30415</v>
      </c>
      <c r="X270" s="181">
        <v>2206.23279178674</v>
      </c>
      <c r="Y270" s="181">
        <v>1976.61327398256</v>
      </c>
      <c r="Z270" s="181">
        <v>2089.80021994135</v>
      </c>
      <c r="AA270" s="181">
        <v>2163.32747781065</v>
      </c>
      <c r="AB270" s="182">
        <f t="shared" ref="AB270:AH270" si="33">SUM(AB281:AB282)/AB276*100</f>
        <v>2490.375164</v>
      </c>
      <c r="AC270" s="182">
        <f t="shared" si="33"/>
        <v>2607.1115</v>
      </c>
      <c r="AD270" s="182">
        <f t="shared" si="33"/>
        <v>2379.737186</v>
      </c>
      <c r="AE270" s="182">
        <f t="shared" si="33"/>
        <v>2128.84139</v>
      </c>
      <c r="AF270" s="182">
        <f t="shared" si="33"/>
        <v>1850.575145</v>
      </c>
      <c r="AG270" s="182">
        <f t="shared" si="33"/>
        <v>1540.201255</v>
      </c>
      <c r="AH270" s="182">
        <f t="shared" si="33"/>
        <v>1191.8224</v>
      </c>
      <c r="AI270" s="318"/>
      <c r="AJ270" s="318"/>
      <c r="AK270" s="318"/>
      <c r="AL270" s="318"/>
      <c r="AM270" s="251"/>
      <c r="AN270" s="100" t="b">
        <f t="shared" si="29"/>
        <v>0</v>
      </c>
      <c r="AO270" s="102"/>
    </row>
    <row r="271" ht="13.5" customHeight="1" outlineLevel="4">
      <c r="A271" s="390"/>
      <c r="B271" s="393"/>
      <c r="C271" s="393"/>
      <c r="D271" s="395" t="str">
        <f>IF(COUNTIF(H271:AH271,"warning")&gt;0,"&gt; Disaggregation by fuel type &gt;&gt; WARNING: For some years, the total is different from 100%!","&gt; Disaggregation by fuel type")</f>
        <v>&gt; Disaggregation by fuel type</v>
      </c>
      <c r="E271" s="162"/>
      <c r="F271" s="162"/>
      <c r="G271" s="162"/>
      <c r="H271" s="178" t="str">
        <f t="shared" ref="H271:AH271" si="34">IF(COUNTA(H272:H273)=0,"",IF(ABS(SUM(H272:H273)-100%)&gt;10^-4,"Warning",""))</f>
        <v/>
      </c>
      <c r="I271" s="178" t="str">
        <f t="shared" si="34"/>
        <v/>
      </c>
      <c r="J271" s="178" t="str">
        <f t="shared" si="34"/>
        <v/>
      </c>
      <c r="K271" s="178" t="str">
        <f t="shared" si="34"/>
        <v/>
      </c>
      <c r="L271" s="178" t="str">
        <f t="shared" si="34"/>
        <v/>
      </c>
      <c r="M271" s="178" t="str">
        <f t="shared" si="34"/>
        <v/>
      </c>
      <c r="N271" s="178" t="str">
        <f t="shared" si="34"/>
        <v/>
      </c>
      <c r="O271" s="178" t="str">
        <f t="shared" si="34"/>
        <v/>
      </c>
      <c r="P271" s="178" t="str">
        <f t="shared" si="34"/>
        <v/>
      </c>
      <c r="Q271" s="178" t="str">
        <f t="shared" si="34"/>
        <v/>
      </c>
      <c r="R271" s="178" t="str">
        <f t="shared" si="34"/>
        <v/>
      </c>
      <c r="S271" s="178" t="str">
        <f t="shared" si="34"/>
        <v/>
      </c>
      <c r="T271" s="178" t="str">
        <f t="shared" si="34"/>
        <v/>
      </c>
      <c r="U271" s="178" t="str">
        <f t="shared" si="34"/>
        <v/>
      </c>
      <c r="V271" s="178" t="str">
        <f t="shared" si="34"/>
        <v/>
      </c>
      <c r="W271" s="178" t="str">
        <f t="shared" si="34"/>
        <v/>
      </c>
      <c r="X271" s="178" t="str">
        <f t="shared" si="34"/>
        <v/>
      </c>
      <c r="Y271" s="178" t="str">
        <f t="shared" si="34"/>
        <v/>
      </c>
      <c r="Z271" s="178" t="str">
        <f t="shared" si="34"/>
        <v/>
      </c>
      <c r="AA271" s="178" t="str">
        <f t="shared" si="34"/>
        <v/>
      </c>
      <c r="AB271" s="178" t="str">
        <f t="shared" si="34"/>
        <v/>
      </c>
      <c r="AC271" s="178" t="str">
        <f t="shared" si="34"/>
        <v/>
      </c>
      <c r="AD271" s="178" t="str">
        <f t="shared" si="34"/>
        <v/>
      </c>
      <c r="AE271" s="178" t="str">
        <f t="shared" si="34"/>
        <v/>
      </c>
      <c r="AF271" s="178" t="str">
        <f t="shared" si="34"/>
        <v/>
      </c>
      <c r="AG271" s="178" t="str">
        <f t="shared" si="34"/>
        <v/>
      </c>
      <c r="AH271" s="178" t="str">
        <f t="shared" si="34"/>
        <v/>
      </c>
      <c r="AI271" s="100"/>
      <c r="AJ271" s="100"/>
      <c r="AK271" s="100"/>
      <c r="AL271" s="100"/>
      <c r="AM271" s="100"/>
      <c r="AN271" s="100" t="b">
        <f t="shared" si="29"/>
        <v>1</v>
      </c>
      <c r="AO271" s="176"/>
    </row>
    <row r="272" ht="13.5" customHeight="1" outlineLevel="4">
      <c r="A272" s="390"/>
      <c r="B272" s="394"/>
      <c r="C272" s="393"/>
      <c r="D272" s="394"/>
      <c r="E272" s="270" t="s">
        <v>1693</v>
      </c>
      <c r="F272" s="249" t="s">
        <v>261</v>
      </c>
      <c r="G272" s="249" t="s">
        <v>1694</v>
      </c>
      <c r="H272" s="253">
        <v>1.0</v>
      </c>
      <c r="I272" s="254">
        <v>1.0</v>
      </c>
      <c r="J272" s="254">
        <v>1.0</v>
      </c>
      <c r="K272" s="254">
        <v>1.0</v>
      </c>
      <c r="L272" s="254">
        <v>1.0</v>
      </c>
      <c r="M272" s="254">
        <v>1.0</v>
      </c>
      <c r="N272" s="254">
        <v>1.0</v>
      </c>
      <c r="O272" s="254">
        <v>1.0</v>
      </c>
      <c r="P272" s="254">
        <v>1.0</v>
      </c>
      <c r="Q272" s="254">
        <v>1.0</v>
      </c>
      <c r="R272" s="254">
        <v>1.0</v>
      </c>
      <c r="S272" s="254">
        <v>1.0</v>
      </c>
      <c r="T272" s="254">
        <v>1.0</v>
      </c>
      <c r="U272" s="254">
        <v>1.0</v>
      </c>
      <c r="V272" s="254">
        <v>1.0</v>
      </c>
      <c r="W272" s="256">
        <v>1.0</v>
      </c>
      <c r="X272" s="254">
        <v>1.0</v>
      </c>
      <c r="Y272" s="254">
        <v>1.0</v>
      </c>
      <c r="Z272" s="254">
        <v>1.0</v>
      </c>
      <c r="AA272" s="254">
        <v>1.0</v>
      </c>
      <c r="AB272" s="256">
        <f t="shared" ref="AB272:AH272" si="35">AB281/SUM(AB$281:AB$282)</f>
        <v>1</v>
      </c>
      <c r="AC272" s="256">
        <f t="shared" si="35"/>
        <v>0.9166666667</v>
      </c>
      <c r="AD272" s="256">
        <f t="shared" si="35"/>
        <v>0.8333333333</v>
      </c>
      <c r="AE272" s="256">
        <f t="shared" si="35"/>
        <v>0.75</v>
      </c>
      <c r="AF272" s="256">
        <f t="shared" si="35"/>
        <v>0.6666666667</v>
      </c>
      <c r="AG272" s="256">
        <f t="shared" si="35"/>
        <v>0.5833333333</v>
      </c>
      <c r="AH272" s="256">
        <f t="shared" si="35"/>
        <v>0.5</v>
      </c>
      <c r="AI272" s="431"/>
      <c r="AJ272" s="431"/>
      <c r="AK272" s="431"/>
      <c r="AL272" s="431"/>
      <c r="AM272" s="251"/>
      <c r="AN272" s="100" t="b">
        <f t="shared" si="29"/>
        <v>0</v>
      </c>
      <c r="AO272" s="176"/>
    </row>
    <row r="273" ht="13.5" customHeight="1" outlineLevel="4">
      <c r="A273" s="390"/>
      <c r="B273" s="394"/>
      <c r="C273" s="393"/>
      <c r="D273" s="394"/>
      <c r="E273" s="368" t="s">
        <v>1695</v>
      </c>
      <c r="F273" s="123" t="s">
        <v>261</v>
      </c>
      <c r="G273" s="123" t="s">
        <v>1696</v>
      </c>
      <c r="H273" s="253"/>
      <c r="I273" s="254"/>
      <c r="J273" s="254"/>
      <c r="K273" s="254"/>
      <c r="L273" s="254"/>
      <c r="M273" s="254"/>
      <c r="N273" s="254"/>
      <c r="O273" s="254"/>
      <c r="P273" s="254"/>
      <c r="Q273" s="254"/>
      <c r="R273" s="254"/>
      <c r="S273" s="254"/>
      <c r="T273" s="254"/>
      <c r="U273" s="254"/>
      <c r="V273" s="254"/>
      <c r="W273" s="256"/>
      <c r="X273" s="254"/>
      <c r="Y273" s="254"/>
      <c r="Z273" s="254"/>
      <c r="AA273" s="254"/>
      <c r="AB273" s="256">
        <f t="shared" ref="AB273:AH273" si="36">AB282/SUM(AB$281:AB$282)</f>
        <v>0</v>
      </c>
      <c r="AC273" s="256">
        <f t="shared" si="36"/>
        <v>0.08333333333</v>
      </c>
      <c r="AD273" s="256">
        <f t="shared" si="36"/>
        <v>0.1666666667</v>
      </c>
      <c r="AE273" s="256">
        <f t="shared" si="36"/>
        <v>0.25</v>
      </c>
      <c r="AF273" s="256">
        <f t="shared" si="36"/>
        <v>0.3333333333</v>
      </c>
      <c r="AG273" s="256">
        <f t="shared" si="36"/>
        <v>0.4166666667</v>
      </c>
      <c r="AH273" s="256">
        <f t="shared" si="36"/>
        <v>0.5</v>
      </c>
      <c r="AI273" s="431"/>
      <c r="AJ273" s="431"/>
      <c r="AK273" s="431"/>
      <c r="AL273" s="431"/>
      <c r="AM273" s="251"/>
      <c r="AN273" s="100" t="b">
        <f t="shared" si="29"/>
        <v>0</v>
      </c>
      <c r="AO273" s="176"/>
    </row>
    <row r="274" ht="13.5" customHeight="1" outlineLevel="3">
      <c r="A274" s="390"/>
      <c r="B274" s="394"/>
      <c r="C274" s="393" t="s">
        <v>1458</v>
      </c>
      <c r="D274" s="394"/>
      <c r="E274" s="162"/>
      <c r="F274" s="162"/>
      <c r="G274" s="162"/>
      <c r="H274" s="178"/>
      <c r="I274" s="178"/>
      <c r="J274" s="178"/>
      <c r="K274" s="178"/>
      <c r="L274" s="178"/>
      <c r="M274" s="178"/>
      <c r="N274" s="178"/>
      <c r="O274" s="178"/>
      <c r="P274" s="178"/>
      <c r="Q274" s="178"/>
      <c r="R274" s="178"/>
      <c r="S274" s="178"/>
      <c r="T274" s="178"/>
      <c r="U274" s="178"/>
      <c r="V274" s="178"/>
      <c r="W274" s="178"/>
      <c r="X274" s="178"/>
      <c r="Y274" s="178"/>
      <c r="Z274" s="178"/>
      <c r="AA274" s="178"/>
      <c r="AB274" s="178"/>
      <c r="AC274" s="178"/>
      <c r="AD274" s="178"/>
      <c r="AE274" s="178"/>
      <c r="AF274" s="178"/>
      <c r="AG274" s="178"/>
      <c r="AH274" s="178"/>
      <c r="AI274" s="100"/>
      <c r="AJ274" s="100"/>
      <c r="AK274" s="100"/>
      <c r="AL274" s="100"/>
      <c r="AM274" s="100"/>
      <c r="AN274" s="100" t="b">
        <f t="shared" si="29"/>
        <v>0</v>
      </c>
      <c r="AO274" s="102"/>
    </row>
    <row r="275" ht="13.5" customHeight="1" outlineLevel="4">
      <c r="A275" s="390"/>
      <c r="B275" s="394"/>
      <c r="C275" s="393"/>
      <c r="D275" s="394"/>
      <c r="E275" s="412" t="s">
        <v>1697</v>
      </c>
      <c r="F275" s="123" t="s">
        <v>1672</v>
      </c>
      <c r="G275" s="123" t="s">
        <v>1698</v>
      </c>
      <c r="H275" s="260"/>
      <c r="I275" s="181"/>
      <c r="J275" s="181"/>
      <c r="K275" s="181"/>
      <c r="L275" s="181"/>
      <c r="M275" s="181"/>
      <c r="N275" s="181"/>
      <c r="O275" s="181"/>
      <c r="P275" s="181"/>
      <c r="Q275" s="181"/>
      <c r="R275" s="181"/>
      <c r="S275" s="181"/>
      <c r="T275" s="181"/>
      <c r="U275" s="181"/>
      <c r="V275" s="181"/>
      <c r="W275" s="202">
        <v>7.753</v>
      </c>
      <c r="X275" s="181">
        <v>7.753</v>
      </c>
      <c r="Y275" s="181">
        <v>7.753</v>
      </c>
      <c r="Z275" s="181">
        <v>7.753</v>
      </c>
      <c r="AA275" s="181">
        <v>7.753</v>
      </c>
      <c r="AB275" s="202">
        <v>7.753</v>
      </c>
      <c r="AC275" s="202">
        <v>7.727</v>
      </c>
      <c r="AD275" s="202">
        <v>7.495</v>
      </c>
      <c r="AE275" s="202">
        <v>7.366</v>
      </c>
      <c r="AF275" s="202">
        <v>7.236</v>
      </c>
      <c r="AG275" s="202">
        <v>7.107</v>
      </c>
      <c r="AH275" s="203">
        <v>6.978</v>
      </c>
      <c r="AI275" s="318"/>
      <c r="AJ275" s="318"/>
      <c r="AK275" s="318"/>
      <c r="AL275" s="318"/>
      <c r="AM275" s="251"/>
      <c r="AN275" s="100" t="b">
        <f t="shared" si="29"/>
        <v>0</v>
      </c>
      <c r="AO275" s="102"/>
    </row>
    <row r="276" ht="13.5" customHeight="1" outlineLevel="4">
      <c r="A276" s="390"/>
      <c r="B276" s="394"/>
      <c r="C276" s="393"/>
      <c r="D276" s="394"/>
      <c r="E276" s="412" t="s">
        <v>1699</v>
      </c>
      <c r="F276" s="123" t="s">
        <v>1672</v>
      </c>
      <c r="G276" s="123" t="s">
        <v>1700</v>
      </c>
      <c r="H276" s="260"/>
      <c r="I276" s="181"/>
      <c r="J276" s="181"/>
      <c r="K276" s="181"/>
      <c r="L276" s="181"/>
      <c r="M276" s="181"/>
      <c r="N276" s="181"/>
      <c r="O276" s="181"/>
      <c r="P276" s="181"/>
      <c r="Q276" s="181"/>
      <c r="R276" s="181"/>
      <c r="S276" s="181"/>
      <c r="T276" s="181"/>
      <c r="U276" s="181"/>
      <c r="V276" s="181"/>
      <c r="W276" s="202">
        <v>4.0</v>
      </c>
      <c r="X276" s="181">
        <v>3.96571428571429</v>
      </c>
      <c r="Y276" s="181">
        <v>3.93142857142857</v>
      </c>
      <c r="Z276" s="181">
        <v>3.89714285714286</v>
      </c>
      <c r="AA276" s="181">
        <v>3.86285714285714</v>
      </c>
      <c r="AB276" s="202">
        <v>3.82857142857143</v>
      </c>
      <c r="AC276" s="202">
        <v>3.65714285714286</v>
      </c>
      <c r="AD276" s="202">
        <v>3.48571428571429</v>
      </c>
      <c r="AE276" s="202">
        <v>3.31428571428571</v>
      </c>
      <c r="AF276" s="202">
        <v>3.14285714285714</v>
      </c>
      <c r="AG276" s="202">
        <v>2.97142857142857</v>
      </c>
      <c r="AH276" s="203">
        <v>2.8</v>
      </c>
      <c r="AI276" s="318"/>
      <c r="AJ276" s="318"/>
      <c r="AK276" s="318"/>
      <c r="AL276" s="318"/>
      <c r="AM276" s="251"/>
      <c r="AN276" s="100" t="b">
        <f t="shared" si="29"/>
        <v>0</v>
      </c>
      <c r="AO276" s="102"/>
    </row>
    <row r="277" ht="14.25" customHeight="1" outlineLevel="3">
      <c r="A277" s="390"/>
      <c r="B277" s="393"/>
      <c r="C277" s="393" t="s">
        <v>1701</v>
      </c>
      <c r="D277" s="394"/>
      <c r="E277" s="162"/>
      <c r="F277" s="162"/>
      <c r="G277" s="162"/>
      <c r="H277" s="178"/>
      <c r="I277" s="178"/>
      <c r="J277" s="178"/>
      <c r="K277" s="178"/>
      <c r="L277" s="178"/>
      <c r="M277" s="178"/>
      <c r="N277" s="178"/>
      <c r="O277" s="178"/>
      <c r="P277" s="178"/>
      <c r="Q277" s="178"/>
      <c r="R277" s="178"/>
      <c r="S277" s="178"/>
      <c r="T277" s="178"/>
      <c r="U277" s="178"/>
      <c r="V277" s="178"/>
      <c r="W277" s="178"/>
      <c r="X277" s="178"/>
      <c r="Y277" s="178"/>
      <c r="Z277" s="178"/>
      <c r="AA277" s="178"/>
      <c r="AB277" s="178"/>
      <c r="AC277" s="178"/>
      <c r="AD277" s="178"/>
      <c r="AE277" s="178"/>
      <c r="AF277" s="178"/>
      <c r="AG277" s="178"/>
      <c r="AH277" s="178"/>
      <c r="AI277" s="100"/>
      <c r="AJ277" s="100"/>
      <c r="AK277" s="100"/>
      <c r="AL277" s="100"/>
      <c r="AM277" s="100"/>
      <c r="AN277" s="100" t="b">
        <f t="shared" si="29"/>
        <v>0</v>
      </c>
      <c r="AO277" s="102"/>
    </row>
    <row r="278" ht="14.25" customHeight="1" outlineLevel="4">
      <c r="A278" s="417"/>
      <c r="B278" s="418"/>
      <c r="C278" s="395"/>
      <c r="D278" s="418"/>
      <c r="E278" s="430" t="s">
        <v>1702</v>
      </c>
      <c r="F278" s="123" t="s">
        <v>135</v>
      </c>
      <c r="G278" s="249" t="s">
        <v>1703</v>
      </c>
      <c r="H278" s="260"/>
      <c r="I278" s="181"/>
      <c r="J278" s="181"/>
      <c r="K278" s="181"/>
      <c r="L278" s="181"/>
      <c r="M278" s="181"/>
      <c r="N278" s="181"/>
      <c r="O278" s="181"/>
      <c r="P278" s="181"/>
      <c r="Q278" s="181"/>
      <c r="R278" s="181"/>
      <c r="S278" s="181"/>
      <c r="T278" s="181"/>
      <c r="U278" s="181"/>
      <c r="V278" s="181"/>
      <c r="W278" s="202"/>
      <c r="X278" s="181"/>
      <c r="Y278" s="181"/>
      <c r="Z278" s="181"/>
      <c r="AA278" s="181"/>
      <c r="AB278" s="202"/>
      <c r="AC278" s="202"/>
      <c r="AD278" s="202"/>
      <c r="AE278" s="202"/>
      <c r="AF278" s="202"/>
      <c r="AG278" s="202"/>
      <c r="AH278" s="202"/>
      <c r="AI278" s="125"/>
      <c r="AJ278" s="125"/>
      <c r="AK278" s="125"/>
      <c r="AL278" s="125"/>
      <c r="AM278" s="251"/>
      <c r="AN278" s="100" t="b">
        <f t="shared" si="29"/>
        <v>0</v>
      </c>
      <c r="AO278" s="102"/>
    </row>
    <row r="279" ht="14.25" customHeight="1" outlineLevel="4">
      <c r="A279" s="417"/>
      <c r="B279" s="418"/>
      <c r="C279" s="395"/>
      <c r="D279" s="418"/>
      <c r="E279" s="252" t="s">
        <v>1704</v>
      </c>
      <c r="F279" s="123" t="s">
        <v>135</v>
      </c>
      <c r="G279" s="249" t="s">
        <v>1705</v>
      </c>
      <c r="H279" s="260"/>
      <c r="I279" s="181"/>
      <c r="J279" s="181"/>
      <c r="K279" s="181"/>
      <c r="L279" s="181"/>
      <c r="M279" s="181"/>
      <c r="N279" s="181"/>
      <c r="O279" s="181"/>
      <c r="P279" s="181"/>
      <c r="Q279" s="181"/>
      <c r="R279" s="181"/>
      <c r="S279" s="181"/>
      <c r="T279" s="181"/>
      <c r="U279" s="181"/>
      <c r="V279" s="181"/>
      <c r="W279" s="202"/>
      <c r="X279" s="181"/>
      <c r="Y279" s="181"/>
      <c r="Z279" s="181"/>
      <c r="AA279" s="181"/>
      <c r="AB279" s="202"/>
      <c r="AC279" s="202"/>
      <c r="AD279" s="202"/>
      <c r="AE279" s="202"/>
      <c r="AF279" s="202"/>
      <c r="AG279" s="202"/>
      <c r="AH279" s="202"/>
      <c r="AI279" s="125"/>
      <c r="AJ279" s="125"/>
      <c r="AK279" s="125"/>
      <c r="AL279" s="125"/>
      <c r="AM279" s="251"/>
      <c r="AN279" s="100" t="b">
        <f t="shared" si="29"/>
        <v>0</v>
      </c>
      <c r="AO279" s="102"/>
    </row>
    <row r="280" ht="14.25" customHeight="1" outlineLevel="4">
      <c r="A280" s="417"/>
      <c r="B280" s="418"/>
      <c r="C280" s="395"/>
      <c r="D280" s="418"/>
      <c r="E280" s="252" t="s">
        <v>1706</v>
      </c>
      <c r="F280" s="123" t="s">
        <v>135</v>
      </c>
      <c r="G280" s="249" t="s">
        <v>1707</v>
      </c>
      <c r="H280" s="260"/>
      <c r="I280" s="181"/>
      <c r="J280" s="181"/>
      <c r="K280" s="181"/>
      <c r="L280" s="181"/>
      <c r="M280" s="181"/>
      <c r="N280" s="181"/>
      <c r="O280" s="181"/>
      <c r="P280" s="181"/>
      <c r="Q280" s="181"/>
      <c r="R280" s="181"/>
      <c r="S280" s="181"/>
      <c r="T280" s="181"/>
      <c r="U280" s="181"/>
      <c r="V280" s="181"/>
      <c r="W280" s="202"/>
      <c r="X280" s="181"/>
      <c r="Y280" s="181"/>
      <c r="Z280" s="181"/>
      <c r="AA280" s="181"/>
      <c r="AB280" s="202"/>
      <c r="AC280" s="202"/>
      <c r="AD280" s="202"/>
      <c r="AE280" s="202"/>
      <c r="AF280" s="202"/>
      <c r="AG280" s="202"/>
      <c r="AH280" s="202"/>
      <c r="AI280" s="125"/>
      <c r="AJ280" s="125"/>
      <c r="AK280" s="125"/>
      <c r="AL280" s="125"/>
      <c r="AM280" s="251"/>
      <c r="AN280" s="100" t="b">
        <f t="shared" si="29"/>
        <v>0</v>
      </c>
      <c r="AO280" s="102"/>
    </row>
    <row r="281" ht="14.25" customHeight="1" outlineLevel="4">
      <c r="A281" s="417"/>
      <c r="B281" s="418"/>
      <c r="C281" s="395"/>
      <c r="D281" s="418"/>
      <c r="E281" s="252" t="s">
        <v>1708</v>
      </c>
      <c r="F281" s="123" t="s">
        <v>135</v>
      </c>
      <c r="G281" s="123" t="s">
        <v>1709</v>
      </c>
      <c r="H281" s="260"/>
      <c r="I281" s="181"/>
      <c r="J281" s="181"/>
      <c r="K281" s="181"/>
      <c r="L281" s="181"/>
      <c r="M281" s="181"/>
      <c r="N281" s="181"/>
      <c r="O281" s="181"/>
      <c r="P281" s="181"/>
      <c r="Q281" s="181"/>
      <c r="R281" s="181"/>
      <c r="S281" s="181"/>
      <c r="T281" s="181"/>
      <c r="U281" s="181"/>
      <c r="V281" s="181"/>
      <c r="W281" s="202">
        <v>67.701667</v>
      </c>
      <c r="X281" s="181"/>
      <c r="Y281" s="181"/>
      <c r="Z281" s="181"/>
      <c r="AA281" s="181"/>
      <c r="AB281" s="202">
        <v>95.345792</v>
      </c>
      <c r="AC281" s="202">
        <v>87.4003093333333</v>
      </c>
      <c r="AD281" s="202">
        <v>69.1256992</v>
      </c>
      <c r="AE281" s="202">
        <v>52.91691456</v>
      </c>
      <c r="AF281" s="202">
        <v>38.7739554133333</v>
      </c>
      <c r="AG281" s="202">
        <v>26.69682176</v>
      </c>
      <c r="AH281" s="202">
        <v>16.6855136</v>
      </c>
      <c r="AI281" s="125"/>
      <c r="AJ281" s="125"/>
      <c r="AK281" s="125"/>
      <c r="AL281" s="125"/>
      <c r="AM281" s="251"/>
      <c r="AN281" s="100" t="b">
        <f t="shared" si="29"/>
        <v>0</v>
      </c>
      <c r="AO281" s="102"/>
    </row>
    <row r="282" ht="14.25" customHeight="1" outlineLevel="4">
      <c r="A282" s="417"/>
      <c r="B282" s="418"/>
      <c r="C282" s="395"/>
      <c r="D282" s="418"/>
      <c r="E282" s="252" t="s">
        <v>1710</v>
      </c>
      <c r="F282" s="123" t="s">
        <v>135</v>
      </c>
      <c r="G282" s="123" t="s">
        <v>1711</v>
      </c>
      <c r="H282" s="260"/>
      <c r="I282" s="181"/>
      <c r="J282" s="181"/>
      <c r="K282" s="181"/>
      <c r="L282" s="181"/>
      <c r="M282" s="181"/>
      <c r="N282" s="181"/>
      <c r="O282" s="181"/>
      <c r="P282" s="181"/>
      <c r="Q282" s="181"/>
      <c r="R282" s="181"/>
      <c r="S282" s="181"/>
      <c r="T282" s="181"/>
      <c r="U282" s="181"/>
      <c r="V282" s="181"/>
      <c r="W282" s="202">
        <v>0.0</v>
      </c>
      <c r="X282" s="181"/>
      <c r="Y282" s="181"/>
      <c r="Z282" s="181"/>
      <c r="AA282" s="181"/>
      <c r="AB282" s="202">
        <v>0.0</v>
      </c>
      <c r="AC282" s="202">
        <v>7.94548266666667</v>
      </c>
      <c r="AD282" s="202">
        <v>13.82513984</v>
      </c>
      <c r="AE282" s="202">
        <v>17.63897152</v>
      </c>
      <c r="AF282" s="202">
        <v>19.3869777066667</v>
      </c>
      <c r="AG282" s="202">
        <v>19.0691584</v>
      </c>
      <c r="AH282" s="202">
        <v>16.6855136</v>
      </c>
      <c r="AI282" s="125"/>
      <c r="AJ282" s="125"/>
      <c r="AK282" s="125"/>
      <c r="AL282" s="125"/>
      <c r="AM282" s="251"/>
      <c r="AN282" s="100" t="b">
        <f t="shared" si="29"/>
        <v>0</v>
      </c>
      <c r="AO282" s="102"/>
    </row>
    <row r="283" ht="13.5" customHeight="1" outlineLevel="3">
      <c r="A283" s="414"/>
      <c r="B283" s="302"/>
      <c r="C283" s="302" t="s">
        <v>1712</v>
      </c>
      <c r="D283" s="283"/>
      <c r="E283" s="162"/>
      <c r="F283" s="162"/>
      <c r="G283" s="162"/>
      <c r="H283" s="178"/>
      <c r="I283" s="178"/>
      <c r="J283" s="178"/>
      <c r="K283" s="178"/>
      <c r="L283" s="178"/>
      <c r="M283" s="178"/>
      <c r="N283" s="178"/>
      <c r="O283" s="178"/>
      <c r="P283" s="178"/>
      <c r="Q283" s="178"/>
      <c r="R283" s="178"/>
      <c r="S283" s="178"/>
      <c r="T283" s="178"/>
      <c r="U283" s="178"/>
      <c r="V283" s="178"/>
      <c r="W283" s="178"/>
      <c r="X283" s="178"/>
      <c r="Y283" s="178"/>
      <c r="Z283" s="178"/>
      <c r="AA283" s="178"/>
      <c r="AB283" s="178"/>
      <c r="AC283" s="178"/>
      <c r="AD283" s="178"/>
      <c r="AE283" s="178"/>
      <c r="AF283" s="178"/>
      <c r="AG283" s="178"/>
      <c r="AH283" s="178"/>
      <c r="AI283" s="336"/>
      <c r="AJ283" s="244"/>
      <c r="AK283" s="244"/>
      <c r="AL283" s="244"/>
      <c r="AM283" s="162"/>
      <c r="AN283" s="100" t="b">
        <f t="shared" si="29"/>
        <v>0</v>
      </c>
      <c r="AO283" s="102"/>
    </row>
    <row r="284" ht="13.5" customHeight="1" outlineLevel="4">
      <c r="A284" s="419"/>
      <c r="B284" s="302"/>
      <c r="C284" s="302"/>
      <c r="D284" s="283"/>
      <c r="E284" s="299" t="s">
        <v>1713</v>
      </c>
      <c r="F284" s="123" t="s">
        <v>135</v>
      </c>
      <c r="G284" s="123" t="s">
        <v>1714</v>
      </c>
      <c r="H284" s="274">
        <f t="shared" ref="H284:AH284" si="37">H285+H287</f>
        <v>0</v>
      </c>
      <c r="I284" s="274">
        <f t="shared" si="37"/>
        <v>0</v>
      </c>
      <c r="J284" s="274">
        <f t="shared" si="37"/>
        <v>0</v>
      </c>
      <c r="K284" s="274">
        <f t="shared" si="37"/>
        <v>0</v>
      </c>
      <c r="L284" s="274">
        <f t="shared" si="37"/>
        <v>0</v>
      </c>
      <c r="M284" s="274">
        <f t="shared" si="37"/>
        <v>0</v>
      </c>
      <c r="N284" s="274">
        <f t="shared" si="37"/>
        <v>0</v>
      </c>
      <c r="O284" s="274">
        <f t="shared" si="37"/>
        <v>0</v>
      </c>
      <c r="P284" s="274">
        <f t="shared" si="37"/>
        <v>0</v>
      </c>
      <c r="Q284" s="274">
        <f t="shared" si="37"/>
        <v>0</v>
      </c>
      <c r="R284" s="274">
        <f t="shared" si="37"/>
        <v>0</v>
      </c>
      <c r="S284" s="274">
        <f t="shared" si="37"/>
        <v>0</v>
      </c>
      <c r="T284" s="274">
        <f t="shared" si="37"/>
        <v>0</v>
      </c>
      <c r="U284" s="274">
        <f t="shared" si="37"/>
        <v>0</v>
      </c>
      <c r="V284" s="274">
        <f t="shared" si="37"/>
        <v>0</v>
      </c>
      <c r="W284" s="274">
        <f t="shared" si="37"/>
        <v>87.90049378</v>
      </c>
      <c r="X284" s="274">
        <f t="shared" si="37"/>
        <v>88.29385143</v>
      </c>
      <c r="Y284" s="274">
        <f t="shared" si="37"/>
        <v>78.56956694</v>
      </c>
      <c r="Z284" s="274">
        <f t="shared" si="37"/>
        <v>81.4425</v>
      </c>
      <c r="AA284" s="274">
        <f t="shared" si="37"/>
        <v>83.56625</v>
      </c>
      <c r="AB284" s="274">
        <f t="shared" si="37"/>
        <v>96.2180045</v>
      </c>
      <c r="AC284" s="274">
        <f t="shared" si="37"/>
        <v>88.25027933</v>
      </c>
      <c r="AD284" s="274">
        <f t="shared" si="37"/>
        <v>69.9688867</v>
      </c>
      <c r="AE284" s="274">
        <f t="shared" si="37"/>
        <v>53.74558956</v>
      </c>
      <c r="AF284" s="274">
        <f t="shared" si="37"/>
        <v>39.51685141</v>
      </c>
      <c r="AG284" s="274">
        <f t="shared" si="37"/>
        <v>27.36428751</v>
      </c>
      <c r="AH284" s="274">
        <f t="shared" si="37"/>
        <v>17.2472426</v>
      </c>
      <c r="AI284" s="125"/>
      <c r="AJ284" s="125"/>
      <c r="AK284" s="125"/>
      <c r="AL284" s="125"/>
      <c r="AM284" s="251"/>
      <c r="AN284" s="100" t="b">
        <f t="shared" si="29"/>
        <v>1</v>
      </c>
      <c r="AO284" s="102"/>
    </row>
    <row r="285" ht="14.25" customHeight="1" outlineLevel="4">
      <c r="A285" s="98"/>
      <c r="B285" s="98"/>
      <c r="C285" s="98"/>
      <c r="D285" s="98"/>
      <c r="E285" s="273" t="s">
        <v>1715</v>
      </c>
      <c r="F285" s="123" t="s">
        <v>135</v>
      </c>
      <c r="G285" s="123" t="s">
        <v>1716</v>
      </c>
      <c r="H285" s="274">
        <f t="array" ref="H285:AH285">calcflqffrewatd</f>
        <v>0</v>
      </c>
      <c r="I285" s="274">
        <v>0.0</v>
      </c>
      <c r="J285" s="274">
        <v>0.0</v>
      </c>
      <c r="K285" s="274">
        <v>0.0</v>
      </c>
      <c r="L285" s="274">
        <v>0.0</v>
      </c>
      <c r="M285" s="274">
        <v>0.0</v>
      </c>
      <c r="N285" s="274">
        <v>0.0</v>
      </c>
      <c r="O285" s="274">
        <v>0.0</v>
      </c>
      <c r="P285" s="274">
        <v>0.0</v>
      </c>
      <c r="Q285" s="274">
        <v>0.0</v>
      </c>
      <c r="R285" s="274">
        <v>0.0</v>
      </c>
      <c r="S285" s="274">
        <v>0.0</v>
      </c>
      <c r="T285" s="274">
        <v>0.0</v>
      </c>
      <c r="U285" s="274">
        <v>0.0</v>
      </c>
      <c r="V285" s="274">
        <v>0.0</v>
      </c>
      <c r="W285" s="274">
        <v>0.80832778</v>
      </c>
      <c r="X285" s="274">
        <v>0.80096243</v>
      </c>
      <c r="Y285" s="274">
        <v>0.86042794</v>
      </c>
      <c r="Z285" s="274">
        <v>0.0</v>
      </c>
      <c r="AA285" s="274">
        <v>0.0</v>
      </c>
      <c r="AB285" s="274">
        <v>0.8722125</v>
      </c>
      <c r="AC285" s="274">
        <v>0.84997</v>
      </c>
      <c r="AD285" s="274">
        <v>0.8431874999999999</v>
      </c>
      <c r="AE285" s="274">
        <v>0.8286750000000002</v>
      </c>
      <c r="AF285" s="274">
        <v>0.7428959999999993</v>
      </c>
      <c r="AG285" s="274">
        <v>0.6674657500000001</v>
      </c>
      <c r="AH285" s="274">
        <v>0.561729</v>
      </c>
      <c r="AI285" s="125"/>
      <c r="AJ285" s="125"/>
      <c r="AK285" s="125"/>
      <c r="AL285" s="125"/>
      <c r="AM285" s="251"/>
      <c r="AN285" s="100" t="b">
        <f t="shared" si="29"/>
        <v>1</v>
      </c>
      <c r="AO285" s="102"/>
    </row>
    <row r="286" ht="14.25" customHeight="1" outlineLevel="4">
      <c r="A286" s="98"/>
      <c r="B286" s="98"/>
      <c r="C286" s="98"/>
      <c r="D286" s="98"/>
      <c r="E286" s="273" t="s">
        <v>1717</v>
      </c>
      <c r="F286" s="123" t="s">
        <v>135</v>
      </c>
      <c r="G286" s="123" t="s">
        <v>1718</v>
      </c>
      <c r="H286" s="274">
        <f t="array" ref="H286:AH286">calcfngvfrewatd</f>
        <v>0</v>
      </c>
      <c r="I286" s="274">
        <v>0.0</v>
      </c>
      <c r="J286" s="274">
        <v>0.0</v>
      </c>
      <c r="K286" s="274">
        <v>0.0</v>
      </c>
      <c r="L286" s="274">
        <v>0.0</v>
      </c>
      <c r="M286" s="274">
        <v>0.0</v>
      </c>
      <c r="N286" s="274">
        <v>0.0</v>
      </c>
      <c r="O286" s="274">
        <v>0.0</v>
      </c>
      <c r="P286" s="274">
        <v>0.0</v>
      </c>
      <c r="Q286" s="274">
        <v>0.0</v>
      </c>
      <c r="R286" s="274">
        <v>0.0</v>
      </c>
      <c r="S286" s="274">
        <v>0.0</v>
      </c>
      <c r="T286" s="274">
        <v>0.0</v>
      </c>
      <c r="U286" s="274">
        <v>0.0</v>
      </c>
      <c r="V286" s="274">
        <v>0.0</v>
      </c>
      <c r="W286" s="274">
        <v>0.0</v>
      </c>
      <c r="X286" s="274">
        <v>0.0</v>
      </c>
      <c r="Y286" s="274">
        <v>0.0</v>
      </c>
      <c r="Z286" s="274">
        <v>0.0</v>
      </c>
      <c r="AA286" s="274">
        <v>0.0</v>
      </c>
      <c r="AB286" s="274">
        <v>0.0</v>
      </c>
      <c r="AC286" s="274">
        <v>0.07727000000000006</v>
      </c>
      <c r="AD286" s="274">
        <v>0.1686375</v>
      </c>
      <c r="AE286" s="274">
        <v>0.276225</v>
      </c>
      <c r="AF286" s="274">
        <v>0.37144800000000067</v>
      </c>
      <c r="AG286" s="274">
        <v>0.4767612500000001</v>
      </c>
      <c r="AH286" s="274">
        <v>0.561729</v>
      </c>
      <c r="AI286" s="125"/>
      <c r="AJ286" s="125"/>
      <c r="AK286" s="125"/>
      <c r="AL286" s="125"/>
      <c r="AM286" s="251"/>
      <c r="AN286" s="100" t="b">
        <f t="shared" si="29"/>
        <v>1</v>
      </c>
      <c r="AO286" s="102"/>
    </row>
    <row r="287" ht="14.25" customHeight="1" outlineLevel="4">
      <c r="A287" s="98"/>
      <c r="B287" s="98"/>
      <c r="C287" s="98"/>
      <c r="D287" s="98"/>
      <c r="E287" s="273" t="s">
        <v>1719</v>
      </c>
      <c r="F287" s="123" t="s">
        <v>135</v>
      </c>
      <c r="G287" s="123" t="s">
        <v>1720</v>
      </c>
      <c r="H287" s="274">
        <f t="array" ref="H287:AH287">calcflqffrewati</f>
        <v>0</v>
      </c>
      <c r="I287" s="274">
        <v>0.0</v>
      </c>
      <c r="J287" s="274">
        <v>0.0</v>
      </c>
      <c r="K287" s="274">
        <v>0.0</v>
      </c>
      <c r="L287" s="274">
        <v>0.0</v>
      </c>
      <c r="M287" s="274">
        <v>0.0</v>
      </c>
      <c r="N287" s="274">
        <v>0.0</v>
      </c>
      <c r="O287" s="274">
        <v>0.0</v>
      </c>
      <c r="P287" s="274">
        <v>0.0</v>
      </c>
      <c r="Q287" s="274">
        <v>0.0</v>
      </c>
      <c r="R287" s="274">
        <v>0.0</v>
      </c>
      <c r="S287" s="274">
        <v>0.0</v>
      </c>
      <c r="T287" s="274">
        <v>0.0</v>
      </c>
      <c r="U287" s="274">
        <v>0.0</v>
      </c>
      <c r="V287" s="274">
        <v>0.0</v>
      </c>
      <c r="W287" s="274">
        <v>87.09216599999999</v>
      </c>
      <c r="X287" s="274">
        <v>87.49288899999996</v>
      </c>
      <c r="Y287" s="274">
        <v>77.70913900000005</v>
      </c>
      <c r="Z287" s="274">
        <v>81.4425000000001</v>
      </c>
      <c r="AA287" s="274">
        <v>83.56624999999991</v>
      </c>
      <c r="AB287" s="274">
        <v>95.345792</v>
      </c>
      <c r="AC287" s="274">
        <v>87.4003093333333</v>
      </c>
      <c r="AD287" s="274">
        <v>69.12569919999999</v>
      </c>
      <c r="AE287" s="274">
        <v>52.91691456</v>
      </c>
      <c r="AF287" s="274">
        <v>38.7739554133333</v>
      </c>
      <c r="AG287" s="274">
        <v>26.69682176</v>
      </c>
      <c r="AH287" s="274">
        <v>16.6855136</v>
      </c>
      <c r="AI287" s="125"/>
      <c r="AJ287" s="125"/>
      <c r="AK287" s="125"/>
      <c r="AL287" s="125"/>
      <c r="AM287" s="251"/>
      <c r="AN287" s="100" t="b">
        <f t="shared" si="29"/>
        <v>1</v>
      </c>
      <c r="AO287" s="102"/>
    </row>
    <row r="288" ht="14.25" customHeight="1" outlineLevel="4">
      <c r="A288" s="98"/>
      <c r="B288" s="98"/>
      <c r="C288" s="98"/>
      <c r="D288" s="98"/>
      <c r="E288" s="273" t="s">
        <v>1721</v>
      </c>
      <c r="F288" s="123" t="s">
        <v>135</v>
      </c>
      <c r="G288" s="123" t="s">
        <v>1722</v>
      </c>
      <c r="H288" s="274">
        <f t="array" ref="H288:AH288">calcfngvfrewati</f>
        <v>0</v>
      </c>
      <c r="I288" s="274">
        <v>0.0</v>
      </c>
      <c r="J288" s="274">
        <v>0.0</v>
      </c>
      <c r="K288" s="274">
        <v>0.0</v>
      </c>
      <c r="L288" s="274">
        <v>0.0</v>
      </c>
      <c r="M288" s="274">
        <v>0.0</v>
      </c>
      <c r="N288" s="274">
        <v>0.0</v>
      </c>
      <c r="O288" s="274">
        <v>0.0</v>
      </c>
      <c r="P288" s="274">
        <v>0.0</v>
      </c>
      <c r="Q288" s="274">
        <v>0.0</v>
      </c>
      <c r="R288" s="274">
        <v>0.0</v>
      </c>
      <c r="S288" s="274">
        <v>0.0</v>
      </c>
      <c r="T288" s="274">
        <v>0.0</v>
      </c>
      <c r="U288" s="274">
        <v>0.0</v>
      </c>
      <c r="V288" s="274">
        <v>0.0</v>
      </c>
      <c r="W288" s="274">
        <v>0.0</v>
      </c>
      <c r="X288" s="274">
        <v>0.0</v>
      </c>
      <c r="Y288" s="274">
        <v>0.0</v>
      </c>
      <c r="Z288" s="274">
        <v>0.0</v>
      </c>
      <c r="AA288" s="274">
        <v>0.0</v>
      </c>
      <c r="AB288" s="274">
        <v>0.0</v>
      </c>
      <c r="AC288" s="274">
        <v>7.94548266666667</v>
      </c>
      <c r="AD288" s="274">
        <v>13.825139839999999</v>
      </c>
      <c r="AE288" s="274">
        <v>17.63897152</v>
      </c>
      <c r="AF288" s="274">
        <v>19.386977706666702</v>
      </c>
      <c r="AG288" s="274">
        <v>19.0691584</v>
      </c>
      <c r="AH288" s="274">
        <v>16.6855136</v>
      </c>
      <c r="AI288" s="125"/>
      <c r="AJ288" s="125"/>
      <c r="AK288" s="125"/>
      <c r="AL288" s="125"/>
      <c r="AM288" s="251"/>
      <c r="AN288" s="100" t="b">
        <f t="shared" si="29"/>
        <v>1</v>
      </c>
      <c r="AO288" s="102"/>
    </row>
    <row r="289" ht="14.25" customHeight="1" outlineLevel="1">
      <c r="A289" s="390" t="s">
        <v>1723</v>
      </c>
      <c r="B289" s="246"/>
      <c r="C289" s="246"/>
      <c r="D289" s="201"/>
      <c r="E289" s="162"/>
      <c r="F289" s="162"/>
      <c r="G289" s="162"/>
      <c r="H289" s="178"/>
      <c r="I289" s="178"/>
      <c r="J289" s="178"/>
      <c r="K289" s="178"/>
      <c r="L289" s="178"/>
      <c r="M289" s="178"/>
      <c r="N289" s="178"/>
      <c r="O289" s="178"/>
      <c r="P289" s="178"/>
      <c r="Q289" s="178"/>
      <c r="R289" s="178"/>
      <c r="S289" s="178"/>
      <c r="T289" s="178"/>
      <c r="U289" s="178"/>
      <c r="V289" s="178"/>
      <c r="W289" s="178"/>
      <c r="X289" s="178"/>
      <c r="Y289" s="178"/>
      <c r="Z289" s="178"/>
      <c r="AA289" s="178"/>
      <c r="AB289" s="178"/>
      <c r="AC289" s="178"/>
      <c r="AD289" s="178"/>
      <c r="AE289" s="178"/>
      <c r="AF289" s="178"/>
      <c r="AG289" s="178"/>
      <c r="AH289" s="178"/>
      <c r="AI289" s="162"/>
      <c r="AJ289" s="162"/>
      <c r="AK289" s="162"/>
      <c r="AL289" s="162"/>
      <c r="AM289" s="162"/>
      <c r="AN289" s="100" t="b">
        <f t="shared" si="29"/>
        <v>0</v>
      </c>
      <c r="AO289" s="102"/>
    </row>
    <row r="290" ht="14.25" customHeight="1" outlineLevel="1">
      <c r="A290" s="390"/>
      <c r="B290" s="393" t="str">
        <f>IF(COUNTIF(H290:AH290,"warning")&gt;0,"• Optional input values &gt;&gt; WARNING: For some years, Total FEC ≠ ∑ FEC by final energy carrier!","• Optional input values")</f>
        <v>• Optional input values</v>
      </c>
      <c r="C290" s="246"/>
      <c r="D290" s="201"/>
      <c r="E290" s="162"/>
      <c r="F290" s="162"/>
      <c r="G290" s="162"/>
      <c r="H290" s="290" t="str">
        <f t="shared" ref="H290:AH290" si="38">IF(OR(ISBLANK(H291),SUM(H293:H295)=0,AND(ISBLANK(H292),COUNTA(H293:H295)=0)),"",IF(ABS(H291-H292-SUM(H293:H295))/H291&lt;10^-3,"","Warning"))</f>
        <v/>
      </c>
      <c r="I290" s="290" t="str">
        <f t="shared" si="38"/>
        <v/>
      </c>
      <c r="J290" s="290" t="str">
        <f t="shared" si="38"/>
        <v/>
      </c>
      <c r="K290" s="290" t="str">
        <f t="shared" si="38"/>
        <v/>
      </c>
      <c r="L290" s="290" t="str">
        <f t="shared" si="38"/>
        <v/>
      </c>
      <c r="M290" s="290" t="str">
        <f t="shared" si="38"/>
        <v/>
      </c>
      <c r="N290" s="290" t="str">
        <f t="shared" si="38"/>
        <v/>
      </c>
      <c r="O290" s="290" t="str">
        <f t="shared" si="38"/>
        <v/>
      </c>
      <c r="P290" s="290" t="str">
        <f t="shared" si="38"/>
        <v/>
      </c>
      <c r="Q290" s="290" t="str">
        <f t="shared" si="38"/>
        <v/>
      </c>
      <c r="R290" s="290" t="str">
        <f t="shared" si="38"/>
        <v/>
      </c>
      <c r="S290" s="290" t="str">
        <f t="shared" si="38"/>
        <v/>
      </c>
      <c r="T290" s="290" t="str">
        <f t="shared" si="38"/>
        <v/>
      </c>
      <c r="U290" s="290" t="str">
        <f t="shared" si="38"/>
        <v/>
      </c>
      <c r="V290" s="290" t="str">
        <f t="shared" si="38"/>
        <v/>
      </c>
      <c r="W290" s="290" t="str">
        <f t="shared" si="38"/>
        <v/>
      </c>
      <c r="X290" s="290" t="str">
        <f t="shared" si="38"/>
        <v>#DIV/0!</v>
      </c>
      <c r="Y290" s="290" t="str">
        <f t="shared" si="38"/>
        <v>#DIV/0!</v>
      </c>
      <c r="Z290" s="290" t="str">
        <f t="shared" si="38"/>
        <v>#DIV/0!</v>
      </c>
      <c r="AA290" s="290" t="str">
        <f t="shared" si="38"/>
        <v>#DIV/0!</v>
      </c>
      <c r="AB290" s="290" t="str">
        <f t="shared" si="38"/>
        <v/>
      </c>
      <c r="AC290" s="290" t="str">
        <f t="shared" si="38"/>
        <v/>
      </c>
      <c r="AD290" s="290" t="str">
        <f t="shared" si="38"/>
        <v/>
      </c>
      <c r="AE290" s="290" t="str">
        <f t="shared" si="38"/>
        <v/>
      </c>
      <c r="AF290" s="290" t="str">
        <f t="shared" si="38"/>
        <v/>
      </c>
      <c r="AG290" s="290" t="str">
        <f t="shared" si="38"/>
        <v/>
      </c>
      <c r="AH290" s="290" t="str">
        <f t="shared" si="38"/>
        <v/>
      </c>
      <c r="AI290" s="162"/>
      <c r="AJ290" s="162"/>
      <c r="AK290" s="162"/>
      <c r="AL290" s="162"/>
      <c r="AM290" s="162"/>
      <c r="AN290" s="100" t="b">
        <f t="shared" si="29"/>
        <v>1</v>
      </c>
      <c r="AO290" s="102"/>
    </row>
    <row r="291" ht="14.25" customHeight="1" outlineLevel="3">
      <c r="A291" s="390"/>
      <c r="B291" s="394"/>
      <c r="C291" s="393"/>
      <c r="D291" s="394"/>
      <c r="E291" s="180" t="s">
        <v>1724</v>
      </c>
      <c r="F291" s="123" t="s">
        <v>135</v>
      </c>
      <c r="G291" s="123" t="s">
        <v>1725</v>
      </c>
      <c r="H291" s="260">
        <v>33.9907249841589</v>
      </c>
      <c r="I291" s="181">
        <v>34.4838818331968</v>
      </c>
      <c r="J291" s="181">
        <v>36.4278278166778</v>
      </c>
      <c r="K291" s="181">
        <v>38.1695141468729</v>
      </c>
      <c r="L291" s="181">
        <v>40.8030354430435</v>
      </c>
      <c r="M291" s="181">
        <v>41.0576940107764</v>
      </c>
      <c r="N291" s="181">
        <v>43.0556988524451</v>
      </c>
      <c r="O291" s="181">
        <v>45.3174980407125</v>
      </c>
      <c r="P291" s="181">
        <v>43.1573310625382</v>
      </c>
      <c r="Q291" s="181">
        <v>40.5505185636652</v>
      </c>
      <c r="R291" s="181">
        <v>41.2871168379871</v>
      </c>
      <c r="S291" s="181">
        <v>40.8266431991521</v>
      </c>
      <c r="T291" s="181">
        <v>39.2884118275098</v>
      </c>
      <c r="U291" s="181">
        <v>39.7056552186578</v>
      </c>
      <c r="V291" s="181">
        <v>40.5410025066811</v>
      </c>
      <c r="W291" s="202">
        <v>43.8993979752859</v>
      </c>
      <c r="X291" s="181"/>
      <c r="Y291" s="181"/>
      <c r="Z291" s="181"/>
      <c r="AA291" s="181"/>
      <c r="AB291" s="202">
        <v>43.562485226478</v>
      </c>
      <c r="AC291" s="202"/>
      <c r="AD291" s="202"/>
      <c r="AE291" s="202"/>
      <c r="AF291" s="202"/>
      <c r="AG291" s="202"/>
      <c r="AH291" s="203"/>
      <c r="AI291" s="125"/>
      <c r="AJ291" s="125"/>
      <c r="AK291" s="125"/>
      <c r="AL291" s="125"/>
      <c r="AM291" s="251"/>
      <c r="AN291" s="100" t="b">
        <f t="shared" si="29"/>
        <v>0</v>
      </c>
      <c r="AO291" s="102"/>
    </row>
    <row r="292" ht="14.25" customHeight="1" outlineLevel="2">
      <c r="A292" s="390"/>
      <c r="B292" s="394"/>
      <c r="C292" s="393"/>
      <c r="D292" s="394"/>
      <c r="E292" s="122" t="s">
        <v>1726</v>
      </c>
      <c r="F292" s="123" t="s">
        <v>135</v>
      </c>
      <c r="G292" s="123" t="s">
        <v>1727</v>
      </c>
      <c r="H292" s="260"/>
      <c r="I292" s="260"/>
      <c r="J292" s="181"/>
      <c r="K292" s="181"/>
      <c r="L292" s="181"/>
      <c r="M292" s="181"/>
      <c r="N292" s="181"/>
      <c r="O292" s="181"/>
      <c r="P292" s="181"/>
      <c r="Q292" s="181"/>
      <c r="R292" s="181"/>
      <c r="S292" s="181"/>
      <c r="T292" s="181"/>
      <c r="U292" s="181"/>
      <c r="V292" s="181"/>
      <c r="W292" s="202">
        <v>43.4965382006035</v>
      </c>
      <c r="X292" s="181" t="str">
        <f t="shared" ref="X292:AA292" si="39">#DIV/0!</f>
        <v>#DIV/0!</v>
      </c>
      <c r="Y292" s="181" t="str">
        <f t="shared" si="39"/>
        <v>#DIV/0!</v>
      </c>
      <c r="Z292" s="181" t="str">
        <f t="shared" si="39"/>
        <v>#DIV/0!</v>
      </c>
      <c r="AA292" s="181" t="str">
        <f t="shared" si="39"/>
        <v>#DIV/0!</v>
      </c>
      <c r="AB292" s="202">
        <v>43.019495607328</v>
      </c>
      <c r="AC292" s="202"/>
      <c r="AD292" s="202"/>
      <c r="AE292" s="202"/>
      <c r="AF292" s="202"/>
      <c r="AG292" s="202"/>
      <c r="AH292" s="203"/>
      <c r="AI292" s="125"/>
      <c r="AJ292" s="125"/>
      <c r="AK292" s="125"/>
      <c r="AL292" s="125"/>
      <c r="AM292" s="251"/>
      <c r="AN292" s="100" t="b">
        <f t="shared" si="29"/>
        <v>0</v>
      </c>
      <c r="AO292" s="102"/>
    </row>
    <row r="293" ht="14.25" customHeight="1" outlineLevel="2">
      <c r="A293" s="390"/>
      <c r="B293" s="394"/>
      <c r="C293" s="393"/>
      <c r="D293" s="394"/>
      <c r="E293" s="122" t="s">
        <v>1728</v>
      </c>
      <c r="F293" s="123" t="s">
        <v>135</v>
      </c>
      <c r="G293" s="123" t="s">
        <v>1729</v>
      </c>
      <c r="H293" s="260"/>
      <c r="I293" s="260"/>
      <c r="J293" s="181"/>
      <c r="K293" s="181"/>
      <c r="L293" s="181"/>
      <c r="M293" s="181"/>
      <c r="N293" s="181"/>
      <c r="O293" s="181"/>
      <c r="P293" s="181"/>
      <c r="Q293" s="181"/>
      <c r="R293" s="181"/>
      <c r="S293" s="181"/>
      <c r="T293" s="181"/>
      <c r="U293" s="181"/>
      <c r="V293" s="181"/>
      <c r="W293" s="202">
        <v>0.00687889740408388</v>
      </c>
      <c r="X293" s="181" t="str">
        <f t="shared" ref="X293:AA293" si="40">#DIV/0!</f>
        <v>#DIV/0!</v>
      </c>
      <c r="Y293" s="181" t="str">
        <f t="shared" si="40"/>
        <v>#DIV/0!</v>
      </c>
      <c r="Z293" s="181" t="str">
        <f t="shared" si="40"/>
        <v>#DIV/0!</v>
      </c>
      <c r="AA293" s="181" t="str">
        <f t="shared" si="40"/>
        <v>#DIV/0!</v>
      </c>
      <c r="AB293" s="202">
        <v>0.19490432770263</v>
      </c>
      <c r="AC293" s="202"/>
      <c r="AD293" s="202"/>
      <c r="AE293" s="202"/>
      <c r="AF293" s="202"/>
      <c r="AG293" s="202"/>
      <c r="AH293" s="203"/>
      <c r="AI293" s="125"/>
      <c r="AJ293" s="318"/>
      <c r="AK293" s="318"/>
      <c r="AL293" s="318"/>
      <c r="AM293" s="251"/>
      <c r="AN293" s="100" t="b">
        <f t="shared" si="29"/>
        <v>0</v>
      </c>
      <c r="AO293" s="102"/>
    </row>
    <row r="294" ht="14.25" customHeight="1" outlineLevel="2">
      <c r="A294" s="390"/>
      <c r="B294" s="394"/>
      <c r="C294" s="393"/>
      <c r="D294" s="394"/>
      <c r="E294" s="122" t="s">
        <v>1730</v>
      </c>
      <c r="F294" s="123" t="s">
        <v>135</v>
      </c>
      <c r="G294" s="123" t="s">
        <v>1731</v>
      </c>
      <c r="H294" s="260"/>
      <c r="I294" s="260"/>
      <c r="J294" s="181"/>
      <c r="K294" s="181"/>
      <c r="L294" s="181"/>
      <c r="M294" s="181"/>
      <c r="N294" s="181"/>
      <c r="O294" s="181"/>
      <c r="P294" s="181"/>
      <c r="Q294" s="181"/>
      <c r="R294" s="181"/>
      <c r="S294" s="181"/>
      <c r="T294" s="181"/>
      <c r="U294" s="181"/>
      <c r="V294" s="181"/>
      <c r="W294" s="202">
        <v>0.0</v>
      </c>
      <c r="X294" s="181"/>
      <c r="Y294" s="181"/>
      <c r="Z294" s="181"/>
      <c r="AA294" s="181"/>
      <c r="AB294" s="202">
        <v>0.0</v>
      </c>
      <c r="AC294" s="202"/>
      <c r="AD294" s="202"/>
      <c r="AE294" s="202"/>
      <c r="AF294" s="202"/>
      <c r="AG294" s="202"/>
      <c r="AH294" s="203"/>
      <c r="AI294" s="125"/>
      <c r="AJ294" s="318"/>
      <c r="AK294" s="318"/>
      <c r="AL294" s="318"/>
      <c r="AM294" s="251"/>
      <c r="AN294" s="100" t="b">
        <f t="shared" si="29"/>
        <v>0</v>
      </c>
      <c r="AO294" s="102"/>
    </row>
    <row r="295" ht="14.25" customHeight="1" outlineLevel="2">
      <c r="A295" s="390"/>
      <c r="B295" s="394"/>
      <c r="C295" s="393"/>
      <c r="D295" s="394"/>
      <c r="E295" s="122" t="s">
        <v>1732</v>
      </c>
      <c r="F295" s="123" t="s">
        <v>135</v>
      </c>
      <c r="G295" s="123" t="s">
        <v>1733</v>
      </c>
      <c r="H295" s="260"/>
      <c r="I295" s="260"/>
      <c r="J295" s="181"/>
      <c r="K295" s="181"/>
      <c r="L295" s="181"/>
      <c r="M295" s="181"/>
      <c r="N295" s="181"/>
      <c r="O295" s="181"/>
      <c r="P295" s="181"/>
      <c r="Q295" s="181"/>
      <c r="R295" s="181"/>
      <c r="S295" s="181"/>
      <c r="T295" s="181"/>
      <c r="U295" s="181"/>
      <c r="V295" s="181"/>
      <c r="W295" s="202">
        <v>0.395980877278273</v>
      </c>
      <c r="X295" s="181" t="str">
        <f t="shared" ref="X295:AA295" si="41">#DIV/0!</f>
        <v>#DIV/0!</v>
      </c>
      <c r="Y295" s="181" t="str">
        <f t="shared" si="41"/>
        <v>#DIV/0!</v>
      </c>
      <c r="Z295" s="181" t="str">
        <f t="shared" si="41"/>
        <v>#DIV/0!</v>
      </c>
      <c r="AA295" s="181" t="str">
        <f t="shared" si="41"/>
        <v>#DIV/0!</v>
      </c>
      <c r="AB295" s="202">
        <v>0.348085291447363</v>
      </c>
      <c r="AC295" s="202"/>
      <c r="AD295" s="202"/>
      <c r="AE295" s="202"/>
      <c r="AF295" s="202"/>
      <c r="AG295" s="202"/>
      <c r="AH295" s="203"/>
      <c r="AI295" s="125"/>
      <c r="AJ295" s="318"/>
      <c r="AK295" s="318"/>
      <c r="AL295" s="318"/>
      <c r="AM295" s="251"/>
      <c r="AN295" s="100" t="b">
        <f t="shared" si="29"/>
        <v>0</v>
      </c>
      <c r="AO295" s="102"/>
    </row>
    <row r="296" ht="13.5" customHeight="1" outlineLevel="1">
      <c r="A296" s="247"/>
      <c r="B296" s="302" t="s">
        <v>1734</v>
      </c>
      <c r="C296" s="162"/>
      <c r="D296" s="201"/>
      <c r="E296" s="162"/>
      <c r="F296" s="162"/>
      <c r="G296" s="162"/>
      <c r="H296" s="178"/>
      <c r="I296" s="178"/>
      <c r="J296" s="178"/>
      <c r="K296" s="178"/>
      <c r="L296" s="178"/>
      <c r="M296" s="178"/>
      <c r="N296" s="178"/>
      <c r="O296" s="178"/>
      <c r="P296" s="178"/>
      <c r="Q296" s="178"/>
      <c r="R296" s="178"/>
      <c r="S296" s="178"/>
      <c r="T296" s="178"/>
      <c r="U296" s="178"/>
      <c r="V296" s="178"/>
      <c r="W296" s="178"/>
      <c r="X296" s="178"/>
      <c r="Y296" s="178"/>
      <c r="Z296" s="178"/>
      <c r="AA296" s="178"/>
      <c r="AB296" s="178"/>
      <c r="AC296" s="178"/>
      <c r="AD296" s="178"/>
      <c r="AE296" s="178"/>
      <c r="AF296" s="178"/>
      <c r="AG296" s="178"/>
      <c r="AH296" s="178"/>
      <c r="AI296" s="336"/>
      <c r="AJ296" s="244"/>
      <c r="AK296" s="244"/>
      <c r="AL296" s="244"/>
      <c r="AM296" s="162"/>
      <c r="AN296" s="100" t="b">
        <f t="shared" si="29"/>
        <v>0</v>
      </c>
      <c r="AO296" s="102"/>
    </row>
    <row r="297" ht="14.25" customHeight="1" outlineLevel="3">
      <c r="A297" s="200"/>
      <c r="B297" s="201"/>
      <c r="C297" s="201"/>
      <c r="D297" s="201"/>
      <c r="E297" s="299" t="s">
        <v>1735</v>
      </c>
      <c r="F297" s="123" t="s">
        <v>135</v>
      </c>
      <c r="G297" s="123" t="s">
        <v>1736</v>
      </c>
      <c r="H297" s="274">
        <f t="array" ref="H297:AH297">recaltoccffre</f>
        <v>0</v>
      </c>
      <c r="I297" s="274">
        <v>0.0</v>
      </c>
      <c r="J297" s="274">
        <v>0.0</v>
      </c>
      <c r="K297" s="274">
        <v>0.0</v>
      </c>
      <c r="L297" s="274">
        <v>0.0</v>
      </c>
      <c r="M297" s="274">
        <v>0.0</v>
      </c>
      <c r="N297" s="274">
        <v>0.0</v>
      </c>
      <c r="O297" s="274">
        <v>0.0</v>
      </c>
      <c r="P297" s="274">
        <v>0.0</v>
      </c>
      <c r="Q297" s="274">
        <v>0.0</v>
      </c>
      <c r="R297" s="274">
        <v>0.0</v>
      </c>
      <c r="S297" s="274">
        <v>0.0</v>
      </c>
      <c r="T297" s="274">
        <v>0.0</v>
      </c>
      <c r="U297" s="274">
        <v>0.0</v>
      </c>
      <c r="V297" s="274">
        <v>0.0</v>
      </c>
      <c r="W297" s="274">
        <v>43.899397975285865</v>
      </c>
      <c r="X297" s="274" t="e">
        <v>#DIV/0!</v>
      </c>
      <c r="Y297" s="274" t="e">
        <v>#DIV/0!</v>
      </c>
      <c r="Z297" s="274" t="e">
        <v>#DIV/0!</v>
      </c>
      <c r="AA297" s="274" t="e">
        <v>#DIV/0!</v>
      </c>
      <c r="AB297" s="274">
        <v>43.56248522647799</v>
      </c>
      <c r="AC297" s="274">
        <v>38.575257343371305</v>
      </c>
      <c r="AD297" s="274">
        <v>31.811909635158727</v>
      </c>
      <c r="AE297" s="274">
        <v>25.28651961643454</v>
      </c>
      <c r="AF297" s="274">
        <v>19.70417522180101</v>
      </c>
      <c r="AG297" s="274">
        <v>17.11532968019296</v>
      </c>
      <c r="AH297" s="274">
        <v>16.212664366391692</v>
      </c>
      <c r="AI297" s="125"/>
      <c r="AJ297" s="125"/>
      <c r="AK297" s="125"/>
      <c r="AL297" s="125"/>
      <c r="AM297" s="251"/>
      <c r="AN297" s="100" t="b">
        <f t="shared" si="29"/>
        <v>1</v>
      </c>
      <c r="AO297" s="102"/>
    </row>
    <row r="298" ht="14.25" customHeight="1" outlineLevel="3">
      <c r="A298" s="200"/>
      <c r="B298" s="201"/>
      <c r="C298" s="201"/>
      <c r="D298" s="201"/>
      <c r="E298" s="273" t="s">
        <v>1726</v>
      </c>
      <c r="F298" s="123" t="s">
        <v>135</v>
      </c>
      <c r="G298" s="123" t="s">
        <v>1737</v>
      </c>
      <c r="H298" s="274">
        <f t="array" ref="H298:AH298">recallqfcffre</f>
        <v>0</v>
      </c>
      <c r="I298" s="274">
        <v>0.0</v>
      </c>
      <c r="J298" s="274">
        <v>0.0</v>
      </c>
      <c r="K298" s="274">
        <v>0.0</v>
      </c>
      <c r="L298" s="274">
        <v>0.0</v>
      </c>
      <c r="M298" s="274">
        <v>0.0</v>
      </c>
      <c r="N298" s="274">
        <v>0.0</v>
      </c>
      <c r="O298" s="274">
        <v>0.0</v>
      </c>
      <c r="P298" s="274">
        <v>0.0</v>
      </c>
      <c r="Q298" s="274">
        <v>0.0</v>
      </c>
      <c r="R298" s="274">
        <v>0.0</v>
      </c>
      <c r="S298" s="274">
        <v>0.0</v>
      </c>
      <c r="T298" s="274">
        <v>0.0</v>
      </c>
      <c r="U298" s="274">
        <v>0.0</v>
      </c>
      <c r="V298" s="274">
        <v>0.0</v>
      </c>
      <c r="W298" s="274">
        <v>43.4965382006035</v>
      </c>
      <c r="X298" s="274" t="e">
        <v>#DIV/0!</v>
      </c>
      <c r="Y298" s="274" t="e">
        <v>#DIV/0!</v>
      </c>
      <c r="Z298" s="274" t="e">
        <v>#DIV/0!</v>
      </c>
      <c r="AA298" s="274" t="e">
        <v>#DIV/0!</v>
      </c>
      <c r="AB298" s="274">
        <v>43.019495607328</v>
      </c>
      <c r="AC298" s="274">
        <v>37.63812321614762</v>
      </c>
      <c r="AD298" s="274">
        <v>29.46350680645738</v>
      </c>
      <c r="AE298" s="274">
        <v>20.130739726576426</v>
      </c>
      <c r="AF298" s="274">
        <v>11.17607689555629</v>
      </c>
      <c r="AG298" s="274">
        <v>4.48037837347539</v>
      </c>
      <c r="AH298" s="274">
        <v>0.604647096648</v>
      </c>
      <c r="AI298" s="125"/>
      <c r="AJ298" s="125"/>
      <c r="AK298" s="125"/>
      <c r="AL298" s="125"/>
      <c r="AM298" s="251"/>
      <c r="AN298" s="100" t="b">
        <f t="shared" si="29"/>
        <v>1</v>
      </c>
      <c r="AO298" s="102"/>
    </row>
    <row r="299" ht="14.25" customHeight="1" outlineLevel="3">
      <c r="A299" s="200"/>
      <c r="B299" s="201"/>
      <c r="C299" s="201"/>
      <c r="D299" s="201"/>
      <c r="E299" s="273" t="s">
        <v>1738</v>
      </c>
      <c r="F299" s="123" t="s">
        <v>135</v>
      </c>
      <c r="G299" s="123" t="s">
        <v>1739</v>
      </c>
      <c r="H299" s="274">
        <f t="array" ref="H299:AH299">recalgazcffre</f>
        <v>0</v>
      </c>
      <c r="I299" s="274">
        <v>0.0</v>
      </c>
      <c r="J299" s="274">
        <v>0.0</v>
      </c>
      <c r="K299" s="274">
        <v>0.0</v>
      </c>
      <c r="L299" s="274">
        <v>0.0</v>
      </c>
      <c r="M299" s="274">
        <v>0.0</v>
      </c>
      <c r="N299" s="274">
        <v>0.0</v>
      </c>
      <c r="O299" s="274">
        <v>0.0</v>
      </c>
      <c r="P299" s="274">
        <v>0.0</v>
      </c>
      <c r="Q299" s="274">
        <v>0.0</v>
      </c>
      <c r="R299" s="274">
        <v>0.0</v>
      </c>
      <c r="S299" s="274">
        <v>0.0</v>
      </c>
      <c r="T299" s="274">
        <v>0.0</v>
      </c>
      <c r="U299" s="274">
        <v>0.0</v>
      </c>
      <c r="V299" s="274">
        <v>0.0</v>
      </c>
      <c r="W299" s="274">
        <v>0.00687889740408388</v>
      </c>
      <c r="X299" s="274" t="e">
        <v>#DIV/0!</v>
      </c>
      <c r="Y299" s="274" t="e">
        <v>#DIV/0!</v>
      </c>
      <c r="Z299" s="274" t="e">
        <v>#DIV/0!</v>
      </c>
      <c r="AA299" s="274" t="e">
        <v>#DIV/0!</v>
      </c>
      <c r="AB299" s="274">
        <v>0.19490432770263</v>
      </c>
      <c r="AC299" s="274">
        <v>0.45636993159847167</v>
      </c>
      <c r="AD299" s="274">
        <v>0.8910742103748726</v>
      </c>
      <c r="AE299" s="274">
        <v>2.004072170283745</v>
      </c>
      <c r="AF299" s="274">
        <v>3.343990293202732</v>
      </c>
      <c r="AG299" s="274">
        <v>5.1009713630862175</v>
      </c>
      <c r="AH299" s="274">
        <v>7.009417520916042</v>
      </c>
      <c r="AI299" s="125"/>
      <c r="AJ299" s="318"/>
      <c r="AK299" s="318"/>
      <c r="AL299" s="318"/>
      <c r="AM299" s="251"/>
      <c r="AN299" s="100" t="b">
        <f t="shared" si="29"/>
        <v>1</v>
      </c>
      <c r="AO299" s="102"/>
    </row>
    <row r="300" ht="14.25" customHeight="1" outlineLevel="3">
      <c r="A300" s="200"/>
      <c r="B300" s="201"/>
      <c r="C300" s="201"/>
      <c r="D300" s="201"/>
      <c r="E300" s="273" t="s">
        <v>1740</v>
      </c>
      <c r="F300" s="123" t="s">
        <v>135</v>
      </c>
      <c r="G300" s="123" t="s">
        <v>1741</v>
      </c>
      <c r="H300" s="274">
        <f t="array" ref="H300:AH300">recalhydcffre</f>
        <v>0</v>
      </c>
      <c r="I300" s="274">
        <v>0.0</v>
      </c>
      <c r="J300" s="274">
        <v>0.0</v>
      </c>
      <c r="K300" s="274">
        <v>0.0</v>
      </c>
      <c r="L300" s="274">
        <v>0.0</v>
      </c>
      <c r="M300" s="274">
        <v>0.0</v>
      </c>
      <c r="N300" s="274">
        <v>0.0</v>
      </c>
      <c r="O300" s="274">
        <v>0.0</v>
      </c>
      <c r="P300" s="274">
        <v>0.0</v>
      </c>
      <c r="Q300" s="274">
        <v>0.0</v>
      </c>
      <c r="R300" s="274">
        <v>0.0</v>
      </c>
      <c r="S300" s="274">
        <v>0.0</v>
      </c>
      <c r="T300" s="274">
        <v>0.0</v>
      </c>
      <c r="U300" s="274">
        <v>0.0</v>
      </c>
      <c r="V300" s="274">
        <v>0.0</v>
      </c>
      <c r="W300" s="274">
        <v>0.0</v>
      </c>
      <c r="X300" s="274">
        <v>0.0</v>
      </c>
      <c r="Y300" s="274">
        <v>0.0</v>
      </c>
      <c r="Z300" s="274">
        <v>0.0</v>
      </c>
      <c r="AA300" s="274">
        <v>0.0</v>
      </c>
      <c r="AB300" s="274">
        <v>0.0</v>
      </c>
      <c r="AC300" s="274">
        <v>0.0</v>
      </c>
      <c r="AD300" s="274">
        <v>0.11975845803823298</v>
      </c>
      <c r="AE300" s="274">
        <v>0.6130925499516402</v>
      </c>
      <c r="AF300" s="274">
        <v>1.6541886584238332</v>
      </c>
      <c r="AG300" s="274">
        <v>3.22690004165879</v>
      </c>
      <c r="AH300" s="274">
        <v>4.154198699800668</v>
      </c>
      <c r="AI300" s="125"/>
      <c r="AJ300" s="318"/>
      <c r="AK300" s="318"/>
      <c r="AL300" s="318"/>
      <c r="AM300" s="251"/>
      <c r="AN300" s="100" t="b">
        <f t="shared" si="29"/>
        <v>1</v>
      </c>
      <c r="AO300" s="102"/>
    </row>
    <row r="301" ht="14.25" customHeight="1" outlineLevel="3">
      <c r="A301" s="200"/>
      <c r="B301" s="201"/>
      <c r="C301" s="201"/>
      <c r="D301" s="201"/>
      <c r="E301" s="273" t="s">
        <v>1742</v>
      </c>
      <c r="F301" s="123" t="s">
        <v>135</v>
      </c>
      <c r="G301" s="123" t="s">
        <v>1743</v>
      </c>
      <c r="H301" s="274">
        <f t="array" ref="H301:AH301">recalelccffre</f>
        <v>0</v>
      </c>
      <c r="I301" s="274">
        <v>0.0</v>
      </c>
      <c r="J301" s="274">
        <v>0.0</v>
      </c>
      <c r="K301" s="274">
        <v>0.0</v>
      </c>
      <c r="L301" s="274">
        <v>0.0</v>
      </c>
      <c r="M301" s="274">
        <v>0.0</v>
      </c>
      <c r="N301" s="274">
        <v>0.0</v>
      </c>
      <c r="O301" s="274">
        <v>0.0</v>
      </c>
      <c r="P301" s="274">
        <v>0.0</v>
      </c>
      <c r="Q301" s="274">
        <v>0.0</v>
      </c>
      <c r="R301" s="274">
        <v>0.0</v>
      </c>
      <c r="S301" s="274">
        <v>0.0</v>
      </c>
      <c r="T301" s="274">
        <v>0.0</v>
      </c>
      <c r="U301" s="274">
        <v>0.0</v>
      </c>
      <c r="V301" s="274">
        <v>0.0</v>
      </c>
      <c r="W301" s="274">
        <v>0.395980877278273</v>
      </c>
      <c r="X301" s="274" t="e">
        <v>#DIV/0!</v>
      </c>
      <c r="Y301" s="274" t="e">
        <v>#DIV/0!</v>
      </c>
      <c r="Z301" s="274" t="e">
        <v>#DIV/0!</v>
      </c>
      <c r="AA301" s="274" t="e">
        <v>#DIV/0!</v>
      </c>
      <c r="AB301" s="274">
        <v>0.348085291447363</v>
      </c>
      <c r="AC301" s="274">
        <v>0.48076419562521316</v>
      </c>
      <c r="AD301" s="274">
        <v>1.3375701602882417</v>
      </c>
      <c r="AE301" s="274">
        <v>2.5386151696227257</v>
      </c>
      <c r="AF301" s="274">
        <v>3.529919374618152</v>
      </c>
      <c r="AG301" s="274">
        <v>4.307079901972564</v>
      </c>
      <c r="AH301" s="274">
        <v>4.444401049026982</v>
      </c>
      <c r="AI301" s="125"/>
      <c r="AJ301" s="318"/>
      <c r="AK301" s="318"/>
      <c r="AL301" s="318"/>
      <c r="AM301" s="251"/>
      <c r="AN301" s="100" t="b">
        <f t="shared" si="29"/>
        <v>1</v>
      </c>
      <c r="AO301" s="102"/>
    </row>
    <row r="302" ht="9.75" customHeight="1">
      <c r="A302" s="421"/>
      <c r="B302" s="422"/>
      <c r="C302" s="422"/>
      <c r="D302" s="422"/>
      <c r="E302" s="167"/>
      <c r="F302" s="168"/>
      <c r="G302" s="168"/>
      <c r="H302" s="169"/>
      <c r="I302" s="169"/>
      <c r="J302" s="169"/>
      <c r="K302" s="169"/>
      <c r="L302" s="169"/>
      <c r="M302" s="169"/>
      <c r="N302" s="169"/>
      <c r="O302" s="169"/>
      <c r="P302" s="169"/>
      <c r="Q302" s="169"/>
      <c r="R302" s="169"/>
      <c r="S302" s="169"/>
      <c r="T302" s="169"/>
      <c r="U302" s="169"/>
      <c r="V302" s="169"/>
      <c r="W302" s="169"/>
      <c r="X302" s="169"/>
      <c r="Y302" s="169"/>
      <c r="Z302" s="169"/>
      <c r="AA302" s="169"/>
      <c r="AB302" s="169"/>
      <c r="AC302" s="169"/>
      <c r="AD302" s="169"/>
      <c r="AE302" s="169"/>
      <c r="AF302" s="169"/>
      <c r="AG302" s="169"/>
      <c r="AH302" s="169"/>
      <c r="AI302" s="383"/>
      <c r="AJ302" s="383"/>
      <c r="AK302" s="383"/>
      <c r="AL302" s="383"/>
      <c r="AM302" s="167"/>
      <c r="AN302" s="100"/>
      <c r="AO302" s="102"/>
    </row>
    <row r="303" ht="14.25" customHeight="1">
      <c r="A303" s="220" t="s">
        <v>1744</v>
      </c>
      <c r="B303" s="221"/>
      <c r="C303" s="221"/>
      <c r="D303" s="221"/>
      <c r="E303" s="221"/>
      <c r="F303" s="221"/>
      <c r="G303" s="221"/>
      <c r="H303" s="385"/>
      <c r="I303" s="385"/>
      <c r="J303" s="385"/>
      <c r="K303" s="385"/>
      <c r="L303" s="385"/>
      <c r="M303" s="385"/>
      <c r="N303" s="385"/>
      <c r="O303" s="385"/>
      <c r="P303" s="385"/>
      <c r="Q303" s="385"/>
      <c r="R303" s="385"/>
      <c r="S303" s="385"/>
      <c r="T303" s="385"/>
      <c r="U303" s="385"/>
      <c r="V303" s="385"/>
      <c r="W303" s="385"/>
      <c r="X303" s="385"/>
      <c r="Y303" s="385"/>
      <c r="Z303" s="385"/>
      <c r="AA303" s="385"/>
      <c r="AB303" s="385"/>
      <c r="AC303" s="385"/>
      <c r="AD303" s="385"/>
      <c r="AE303" s="385"/>
      <c r="AF303" s="385"/>
      <c r="AG303" s="385"/>
      <c r="AH303" s="385"/>
      <c r="AI303" s="386"/>
      <c r="AJ303" s="386"/>
      <c r="AK303" s="386"/>
      <c r="AL303" s="386"/>
      <c r="AM303" s="221"/>
      <c r="AN303" s="100" t="b">
        <f t="shared" ref="AN303:AN317" si="42">_xlfn.ISFORMULA(H303)</f>
        <v>0</v>
      </c>
      <c r="AO303" s="102"/>
    </row>
    <row r="304" ht="14.25" customHeight="1">
      <c r="A304" s="390" t="s">
        <v>1745</v>
      </c>
      <c r="B304" s="246"/>
      <c r="C304" s="246"/>
      <c r="D304" s="201"/>
      <c r="E304" s="162"/>
      <c r="F304" s="162"/>
      <c r="G304" s="162"/>
      <c r="H304" s="178"/>
      <c r="I304" s="178"/>
      <c r="J304" s="178"/>
      <c r="K304" s="178"/>
      <c r="L304" s="178"/>
      <c r="M304" s="178"/>
      <c r="N304" s="178"/>
      <c r="O304" s="178"/>
      <c r="P304" s="178"/>
      <c r="Q304" s="178"/>
      <c r="R304" s="178"/>
      <c r="S304" s="178"/>
      <c r="T304" s="178"/>
      <c r="U304" s="178"/>
      <c r="V304" s="178"/>
      <c r="W304" s="178"/>
      <c r="X304" s="178"/>
      <c r="Y304" s="178"/>
      <c r="Z304" s="178"/>
      <c r="AA304" s="178"/>
      <c r="AB304" s="178"/>
      <c r="AC304" s="178"/>
      <c r="AD304" s="178"/>
      <c r="AE304" s="178"/>
      <c r="AF304" s="178"/>
      <c r="AG304" s="178"/>
      <c r="AH304" s="178"/>
      <c r="AI304" s="162"/>
      <c r="AJ304" s="162"/>
      <c r="AK304" s="162"/>
      <c r="AL304" s="162"/>
      <c r="AM304" s="162"/>
      <c r="AN304" s="100" t="b">
        <f t="shared" si="42"/>
        <v>0</v>
      </c>
      <c r="AO304" s="102"/>
    </row>
    <row r="305" ht="13.5" customHeight="1">
      <c r="A305" s="247"/>
      <c r="B305" s="302" t="s">
        <v>599</v>
      </c>
      <c r="C305" s="162"/>
      <c r="D305" s="201"/>
      <c r="E305" s="162"/>
      <c r="F305" s="162"/>
      <c r="G305" s="162"/>
      <c r="H305" s="178"/>
      <c r="I305" s="178"/>
      <c r="J305" s="178"/>
      <c r="K305" s="178"/>
      <c r="L305" s="178"/>
      <c r="M305" s="178"/>
      <c r="N305" s="178"/>
      <c r="O305" s="178"/>
      <c r="P305" s="178"/>
      <c r="Q305" s="178"/>
      <c r="R305" s="178"/>
      <c r="S305" s="178"/>
      <c r="T305" s="178"/>
      <c r="U305" s="178"/>
      <c r="V305" s="178"/>
      <c r="W305" s="178"/>
      <c r="X305" s="178"/>
      <c r="Y305" s="178"/>
      <c r="Z305" s="178"/>
      <c r="AA305" s="178"/>
      <c r="AB305" s="178"/>
      <c r="AC305" s="178"/>
      <c r="AD305" s="178"/>
      <c r="AE305" s="178"/>
      <c r="AF305" s="178"/>
      <c r="AG305" s="178"/>
      <c r="AH305" s="178"/>
      <c r="AI305" s="336"/>
      <c r="AJ305" s="244"/>
      <c r="AK305" s="244"/>
      <c r="AL305" s="244"/>
      <c r="AM305" s="162"/>
      <c r="AN305" s="100" t="b">
        <f t="shared" si="42"/>
        <v>0</v>
      </c>
      <c r="AO305" s="102"/>
    </row>
    <row r="306" ht="14.25" customHeight="1" outlineLevel="1">
      <c r="A306" s="200"/>
      <c r="B306" s="201"/>
      <c r="C306" s="201"/>
      <c r="D306" s="201"/>
      <c r="E306" s="299" t="s">
        <v>1746</v>
      </c>
      <c r="F306" s="123" t="s">
        <v>135</v>
      </c>
      <c r="G306" s="123" t="s">
        <v>1747</v>
      </c>
      <c r="H306" s="274">
        <f>caltoccftra</f>
        <v>0</v>
      </c>
      <c r="I306" s="274">
        <f>caltoccftra</f>
        <v>0</v>
      </c>
      <c r="J306" s="274">
        <f>caltoccftra</f>
        <v>0</v>
      </c>
      <c r="K306" s="274">
        <f>caltoccftra</f>
        <v>0</v>
      </c>
      <c r="L306" s="274">
        <f>caltoccftra</f>
        <v>0</v>
      </c>
      <c r="M306" s="274">
        <f>caltoccftra</f>
        <v>0</v>
      </c>
      <c r="N306" s="274">
        <f>caltoccftra</f>
        <v>0</v>
      </c>
      <c r="O306" s="274">
        <f>caltoccftra</f>
        <v>0</v>
      </c>
      <c r="P306" s="274">
        <f>caltoccftra</f>
        <v>0</v>
      </c>
      <c r="Q306" s="274">
        <f>caltoccftra</f>
        <v>0</v>
      </c>
      <c r="R306" s="274">
        <f>caltoccftra</f>
        <v>0</v>
      </c>
      <c r="S306" s="274">
        <f>caltoccftra</f>
        <v>0</v>
      </c>
      <c r="T306" s="274">
        <f>caltoccftra</f>
        <v>0</v>
      </c>
      <c r="U306" s="274">
        <f>caltoccftra</f>
        <v>0</v>
      </c>
      <c r="V306" s="274">
        <f>caltoccftra</f>
        <v>0</v>
      </c>
      <c r="W306" s="274">
        <f>caltoccftra</f>
        <v>103.2048584</v>
      </c>
      <c r="X306" s="274" t="str">
        <f>caltoccftra</f>
        <v>#DIV/0!</v>
      </c>
      <c r="Y306" s="274" t="str">
        <f>caltoccftra</f>
        <v>#DIV/0!</v>
      </c>
      <c r="Z306" s="274" t="str">
        <f>caltoccftra</f>
        <v>#DIV/0!</v>
      </c>
      <c r="AA306" s="274" t="str">
        <f>caltoccftra</f>
        <v>#DIV/0!</v>
      </c>
      <c r="AB306" s="274">
        <f>caltoccftra</f>
        <v>102.4127966</v>
      </c>
      <c r="AC306" s="274">
        <f>caltoccftra</f>
        <v>83.94051986</v>
      </c>
      <c r="AD306" s="274">
        <f>caltoccftra</f>
        <v>58.3741552</v>
      </c>
      <c r="AE306" s="274">
        <f>caltoccftra</f>
        <v>42.21564134</v>
      </c>
      <c r="AF306" s="274">
        <f>caltoccftra</f>
        <v>32.05590411</v>
      </c>
      <c r="AG306" s="274">
        <f>caltoccftra</f>
        <v>26.74192669</v>
      </c>
      <c r="AH306" s="274">
        <f>caltoccftra</f>
        <v>24.34408314</v>
      </c>
      <c r="AI306" s="125"/>
      <c r="AJ306" s="125"/>
      <c r="AK306" s="125"/>
      <c r="AL306" s="125"/>
      <c r="AM306" s="251"/>
      <c r="AN306" s="100" t="b">
        <f t="shared" si="42"/>
        <v>1</v>
      </c>
      <c r="AO306" s="102"/>
    </row>
    <row r="307" ht="14.25" customHeight="1" outlineLevel="1">
      <c r="A307" s="200"/>
      <c r="B307" s="201"/>
      <c r="C307" s="201"/>
      <c r="D307" s="201"/>
      <c r="E307" s="273" t="s">
        <v>1748</v>
      </c>
      <c r="F307" s="123" t="s">
        <v>135</v>
      </c>
      <c r="G307" s="123" t="s">
        <v>1749</v>
      </c>
      <c r="H307" s="274">
        <f>callqfcftra</f>
        <v>0</v>
      </c>
      <c r="I307" s="274">
        <f>callqfcftra</f>
        <v>0</v>
      </c>
      <c r="J307" s="274">
        <f>callqfcftra</f>
        <v>0</v>
      </c>
      <c r="K307" s="274">
        <f>callqfcftra</f>
        <v>0</v>
      </c>
      <c r="L307" s="274">
        <f>callqfcftra</f>
        <v>0</v>
      </c>
      <c r="M307" s="274">
        <f>callqfcftra</f>
        <v>0</v>
      </c>
      <c r="N307" s="274">
        <f>callqfcftra</f>
        <v>0</v>
      </c>
      <c r="O307" s="274">
        <f>callqfcftra</f>
        <v>0</v>
      </c>
      <c r="P307" s="274">
        <f>callqfcftra</f>
        <v>0</v>
      </c>
      <c r="Q307" s="274">
        <f>callqfcftra</f>
        <v>0</v>
      </c>
      <c r="R307" s="274">
        <f>callqfcftra</f>
        <v>0</v>
      </c>
      <c r="S307" s="274">
        <f>callqfcftra</f>
        <v>0</v>
      </c>
      <c r="T307" s="274">
        <f>callqfcftra</f>
        <v>0</v>
      </c>
      <c r="U307" s="274">
        <f>callqfcftra</f>
        <v>0</v>
      </c>
      <c r="V307" s="274">
        <f>callqfcftra</f>
        <v>0</v>
      </c>
      <c r="W307" s="274">
        <f>callqfcftra</f>
        <v>101.5995551</v>
      </c>
      <c r="X307" s="274" t="str">
        <f>callqfcftra</f>
        <v>#DIV/0!</v>
      </c>
      <c r="Y307" s="274" t="str">
        <f>callqfcftra</f>
        <v>#DIV/0!</v>
      </c>
      <c r="Z307" s="274" t="str">
        <f>callqfcftra</f>
        <v>#DIV/0!</v>
      </c>
      <c r="AA307" s="274" t="str">
        <f>callqfcftra</f>
        <v>#DIV/0!</v>
      </c>
      <c r="AB307" s="274">
        <f>callqfcftra</f>
        <v>100.3812667</v>
      </c>
      <c r="AC307" s="274">
        <f>callqfcftra</f>
        <v>79.3113063</v>
      </c>
      <c r="AD307" s="274">
        <f>callqfcftra</f>
        <v>50.6856556</v>
      </c>
      <c r="AE307" s="274">
        <f>callqfcftra</f>
        <v>30.32413773</v>
      </c>
      <c r="AF307" s="274">
        <f>callqfcftra</f>
        <v>16.14357602</v>
      </c>
      <c r="AG307" s="274">
        <f>callqfcftra</f>
        <v>6.830455032</v>
      </c>
      <c r="AH307" s="274">
        <f>callqfcftra</f>
        <v>1.123915534</v>
      </c>
      <c r="AI307" s="125"/>
      <c r="AJ307" s="125"/>
      <c r="AK307" s="125"/>
      <c r="AL307" s="125"/>
      <c r="AM307" s="251"/>
      <c r="AN307" s="100" t="b">
        <f t="shared" si="42"/>
        <v>1</v>
      </c>
      <c r="AO307" s="102"/>
    </row>
    <row r="308" ht="14.25" customHeight="1" outlineLevel="1">
      <c r="A308" s="200"/>
      <c r="B308" s="201"/>
      <c r="C308" s="201"/>
      <c r="D308" s="201"/>
      <c r="E308" s="273" t="s">
        <v>1750</v>
      </c>
      <c r="F308" s="123" t="s">
        <v>135</v>
      </c>
      <c r="G308" s="123" t="s">
        <v>1751</v>
      </c>
      <c r="H308" s="274">
        <f>calgazcftra</f>
        <v>0</v>
      </c>
      <c r="I308" s="274">
        <f>calgazcftra</f>
        <v>0</v>
      </c>
      <c r="J308" s="274">
        <f>calgazcftra</f>
        <v>0</v>
      </c>
      <c r="K308" s="274">
        <f>calgazcftra</f>
        <v>0</v>
      </c>
      <c r="L308" s="274">
        <f>calgazcftra</f>
        <v>0</v>
      </c>
      <c r="M308" s="274">
        <f>calgazcftra</f>
        <v>0</v>
      </c>
      <c r="N308" s="274">
        <f>calgazcftra</f>
        <v>0</v>
      </c>
      <c r="O308" s="274">
        <f>calgazcftra</f>
        <v>0</v>
      </c>
      <c r="P308" s="274">
        <f>calgazcftra</f>
        <v>0</v>
      </c>
      <c r="Q308" s="274">
        <f>calgazcftra</f>
        <v>0</v>
      </c>
      <c r="R308" s="274">
        <f>calgazcftra</f>
        <v>0</v>
      </c>
      <c r="S308" s="274">
        <f>calgazcftra</f>
        <v>0</v>
      </c>
      <c r="T308" s="274">
        <f>calgazcftra</f>
        <v>0</v>
      </c>
      <c r="U308" s="274">
        <f>calgazcftra</f>
        <v>0</v>
      </c>
      <c r="V308" s="274">
        <f>calgazcftra</f>
        <v>0</v>
      </c>
      <c r="W308" s="274">
        <f>calgazcftra</f>
        <v>0.03860325453</v>
      </c>
      <c r="X308" s="274" t="str">
        <f>calgazcftra</f>
        <v>#DIV/0!</v>
      </c>
      <c r="Y308" s="274" t="str">
        <f>calgazcftra</f>
        <v>#DIV/0!</v>
      </c>
      <c r="Z308" s="274" t="str">
        <f>calgazcftra</f>
        <v>#DIV/0!</v>
      </c>
      <c r="AA308" s="274" t="str">
        <f>calgazcftra</f>
        <v>#DIV/0!</v>
      </c>
      <c r="AB308" s="274">
        <f>calgazcftra</f>
        <v>0.3249299614</v>
      </c>
      <c r="AC308" s="274">
        <f>calgazcftra</f>
        <v>0.5687577832</v>
      </c>
      <c r="AD308" s="274">
        <f>calgazcftra</f>
        <v>0.9364562501</v>
      </c>
      <c r="AE308" s="274">
        <f>calgazcftra</f>
        <v>2.025348211</v>
      </c>
      <c r="AF308" s="274">
        <f>calgazcftra</f>
        <v>3.343990293</v>
      </c>
      <c r="AG308" s="274">
        <f>calgazcftra</f>
        <v>5.100971363</v>
      </c>
      <c r="AH308" s="274">
        <f>calgazcftra</f>
        <v>7.009417521</v>
      </c>
      <c r="AI308" s="125"/>
      <c r="AJ308" s="318"/>
      <c r="AK308" s="318"/>
      <c r="AL308" s="318"/>
      <c r="AM308" s="251"/>
      <c r="AN308" s="100" t="b">
        <f t="shared" si="42"/>
        <v>1</v>
      </c>
      <c r="AO308" s="102"/>
    </row>
    <row r="309" ht="14.25" customHeight="1" outlineLevel="1">
      <c r="A309" s="200"/>
      <c r="B309" s="201"/>
      <c r="C309" s="201"/>
      <c r="D309" s="201"/>
      <c r="E309" s="273" t="s">
        <v>1752</v>
      </c>
      <c r="F309" s="123" t="s">
        <v>135</v>
      </c>
      <c r="G309" s="123" t="s">
        <v>1753</v>
      </c>
      <c r="H309" s="274">
        <f>calhydcftra</f>
        <v>0</v>
      </c>
      <c r="I309" s="274">
        <f>calhydcftra</f>
        <v>0</v>
      </c>
      <c r="J309" s="274">
        <f>calhydcftra</f>
        <v>0</v>
      </c>
      <c r="K309" s="274">
        <f>calhydcftra</f>
        <v>0</v>
      </c>
      <c r="L309" s="274">
        <f>calhydcftra</f>
        <v>0</v>
      </c>
      <c r="M309" s="274">
        <f>calhydcftra</f>
        <v>0</v>
      </c>
      <c r="N309" s="274">
        <f>calhydcftra</f>
        <v>0</v>
      </c>
      <c r="O309" s="274">
        <f>calhydcftra</f>
        <v>0</v>
      </c>
      <c r="P309" s="274">
        <f>calhydcftra</f>
        <v>0</v>
      </c>
      <c r="Q309" s="274">
        <f>calhydcftra</f>
        <v>0</v>
      </c>
      <c r="R309" s="274">
        <f>calhydcftra</f>
        <v>0</v>
      </c>
      <c r="S309" s="274">
        <f>calhydcftra</f>
        <v>0</v>
      </c>
      <c r="T309" s="274">
        <f>calhydcftra</f>
        <v>0</v>
      </c>
      <c r="U309" s="274">
        <f>calhydcftra</f>
        <v>0</v>
      </c>
      <c r="V309" s="274">
        <f>calhydcftra</f>
        <v>0</v>
      </c>
      <c r="W309" s="274">
        <f>calhydcftra</f>
        <v>0</v>
      </c>
      <c r="X309" s="274" t="str">
        <f>calhydcftra</f>
        <v>#DIV/0!</v>
      </c>
      <c r="Y309" s="274" t="str">
        <f>calhydcftra</f>
        <v>#DIV/0!</v>
      </c>
      <c r="Z309" s="274" t="str">
        <f>calhydcftra</f>
        <v>#DIV/0!</v>
      </c>
      <c r="AA309" s="274" t="str">
        <f>calhydcftra</f>
        <v>#DIV/0!</v>
      </c>
      <c r="AB309" s="274">
        <f>calhydcftra</f>
        <v>0</v>
      </c>
      <c r="AC309" s="274">
        <f>calhydcftra</f>
        <v>0</v>
      </c>
      <c r="AD309" s="274">
        <f>calhydcftra</f>
        <v>0.119758458</v>
      </c>
      <c r="AE309" s="274">
        <f>calhydcftra</f>
        <v>0.61309255</v>
      </c>
      <c r="AF309" s="274">
        <f>calhydcftra</f>
        <v>1.654188658</v>
      </c>
      <c r="AG309" s="274">
        <f>calhydcftra</f>
        <v>3.226900042</v>
      </c>
      <c r="AH309" s="274">
        <f>calhydcftra</f>
        <v>4.1541987</v>
      </c>
      <c r="AI309" s="125"/>
      <c r="AJ309" s="318"/>
      <c r="AK309" s="318"/>
      <c r="AL309" s="318"/>
      <c r="AM309" s="251"/>
      <c r="AN309" s="100" t="b">
        <f t="shared" si="42"/>
        <v>1</v>
      </c>
      <c r="AO309" s="102"/>
    </row>
    <row r="310" ht="14.25" customHeight="1" outlineLevel="1">
      <c r="A310" s="200"/>
      <c r="B310" s="201"/>
      <c r="C310" s="201"/>
      <c r="D310" s="201"/>
      <c r="E310" s="273" t="s">
        <v>1754</v>
      </c>
      <c r="F310" s="123" t="s">
        <v>135</v>
      </c>
      <c r="G310" s="123" t="s">
        <v>1755</v>
      </c>
      <c r="H310" s="274">
        <f>calelccftra</f>
        <v>0</v>
      </c>
      <c r="I310" s="274">
        <f>calelccftra</f>
        <v>0</v>
      </c>
      <c r="J310" s="274">
        <f>calelccftra</f>
        <v>0</v>
      </c>
      <c r="K310" s="274">
        <f>calelccftra</f>
        <v>0</v>
      </c>
      <c r="L310" s="274">
        <f>calelccftra</f>
        <v>0</v>
      </c>
      <c r="M310" s="274">
        <f>calelccftra</f>
        <v>0</v>
      </c>
      <c r="N310" s="274">
        <f>calelccftra</f>
        <v>0</v>
      </c>
      <c r="O310" s="274">
        <f>calelccftra</f>
        <v>0</v>
      </c>
      <c r="P310" s="274">
        <f>calelccftra</f>
        <v>0</v>
      </c>
      <c r="Q310" s="274">
        <f>calelccftra</f>
        <v>0</v>
      </c>
      <c r="R310" s="274">
        <f>calelccftra</f>
        <v>0</v>
      </c>
      <c r="S310" s="274">
        <f>calelccftra</f>
        <v>0</v>
      </c>
      <c r="T310" s="274">
        <f>calelccftra</f>
        <v>0</v>
      </c>
      <c r="U310" s="274">
        <f>calelccftra</f>
        <v>0</v>
      </c>
      <c r="V310" s="274">
        <f>calelccftra</f>
        <v>0</v>
      </c>
      <c r="W310" s="274">
        <f>calelccftra</f>
        <v>1.5667</v>
      </c>
      <c r="X310" s="274" t="str">
        <f>calelccftra</f>
        <v>#DIV/0!</v>
      </c>
      <c r="Y310" s="274" t="str">
        <f>calelccftra</f>
        <v>#DIV/0!</v>
      </c>
      <c r="Z310" s="274" t="str">
        <f>calelccftra</f>
        <v>#DIV/0!</v>
      </c>
      <c r="AA310" s="274" t="str">
        <f>calelccftra</f>
        <v>#DIV/0!</v>
      </c>
      <c r="AB310" s="274">
        <f>calelccftra</f>
        <v>1.7066</v>
      </c>
      <c r="AC310" s="274">
        <f>calelccftra</f>
        <v>4.060455777</v>
      </c>
      <c r="AD310" s="274">
        <f>calelccftra</f>
        <v>6.632284892</v>
      </c>
      <c r="AE310" s="274">
        <f>calelccftra</f>
        <v>9.253062854</v>
      </c>
      <c r="AF310" s="274">
        <f>calelccftra</f>
        <v>10.91414914</v>
      </c>
      <c r="AG310" s="274">
        <f>calelccftra</f>
        <v>11.58360025</v>
      </c>
      <c r="AH310" s="274">
        <f>calelccftra</f>
        <v>12.05655139</v>
      </c>
      <c r="AI310" s="125"/>
      <c r="AJ310" s="318"/>
      <c r="AK310" s="318"/>
      <c r="AL310" s="318"/>
      <c r="AM310" s="251"/>
      <c r="AN310" s="100" t="b">
        <f t="shared" si="42"/>
        <v>1</v>
      </c>
      <c r="AO310" s="102"/>
    </row>
    <row r="311" ht="14.25" customHeight="1">
      <c r="A311" s="390"/>
      <c r="B311" s="393" t="str">
        <f>IF(COUNTIF(H311:AH311,"warning")&gt;0,"• Optional input values &gt;&gt; WARNING: For some years, Total FEC ≠ ∑ FEC by final energy carrier!","• Optional input values")</f>
        <v>• Optional input values</v>
      </c>
      <c r="C311" s="246"/>
      <c r="D311" s="201"/>
      <c r="E311" s="162"/>
      <c r="F311" s="162"/>
      <c r="G311" s="162"/>
      <c r="H311" s="290" t="str">
        <f t="shared" ref="H311:AH311" si="43">IF(OR(ISBLANK(H312),AND(ISBLANK(H313),COUNTA(H314:H316)=0)),"",IF(ABS(H312-H313-SUM(H314:H316))/H312&lt;10^-3,"","Warning"))</f>
        <v/>
      </c>
      <c r="I311" s="290" t="str">
        <f t="shared" si="43"/>
        <v/>
      </c>
      <c r="J311" s="290" t="str">
        <f t="shared" si="43"/>
        <v/>
      </c>
      <c r="K311" s="290" t="str">
        <f t="shared" si="43"/>
        <v/>
      </c>
      <c r="L311" s="290" t="str">
        <f t="shared" si="43"/>
        <v/>
      </c>
      <c r="M311" s="290" t="str">
        <f t="shared" si="43"/>
        <v/>
      </c>
      <c r="N311" s="290" t="str">
        <f t="shared" si="43"/>
        <v/>
      </c>
      <c r="O311" s="290" t="str">
        <f t="shared" si="43"/>
        <v/>
      </c>
      <c r="P311" s="290" t="str">
        <f t="shared" si="43"/>
        <v/>
      </c>
      <c r="Q311" s="290" t="str">
        <f t="shared" si="43"/>
        <v/>
      </c>
      <c r="R311" s="290" t="str">
        <f t="shared" si="43"/>
        <v/>
      </c>
      <c r="S311" s="290" t="str">
        <f t="shared" si="43"/>
        <v/>
      </c>
      <c r="T311" s="290" t="str">
        <f t="shared" si="43"/>
        <v/>
      </c>
      <c r="U311" s="290" t="str">
        <f t="shared" si="43"/>
        <v/>
      </c>
      <c r="V311" s="290" t="str">
        <f t="shared" si="43"/>
        <v/>
      </c>
      <c r="W311" s="290" t="str">
        <f t="shared" si="43"/>
        <v/>
      </c>
      <c r="X311" s="290" t="str">
        <f t="shared" si="43"/>
        <v/>
      </c>
      <c r="Y311" s="290" t="str">
        <f t="shared" si="43"/>
        <v/>
      </c>
      <c r="Z311" s="290" t="str">
        <f t="shared" si="43"/>
        <v/>
      </c>
      <c r="AA311" s="290" t="str">
        <f t="shared" si="43"/>
        <v/>
      </c>
      <c r="AB311" s="290" t="str">
        <f t="shared" si="43"/>
        <v/>
      </c>
      <c r="AC311" s="290" t="str">
        <f t="shared" si="43"/>
        <v/>
      </c>
      <c r="AD311" s="290" t="str">
        <f t="shared" si="43"/>
        <v/>
      </c>
      <c r="AE311" s="290" t="str">
        <f t="shared" si="43"/>
        <v/>
      </c>
      <c r="AF311" s="290" t="str">
        <f t="shared" si="43"/>
        <v/>
      </c>
      <c r="AG311" s="290" t="str">
        <f t="shared" si="43"/>
        <v/>
      </c>
      <c r="AH311" s="290" t="str">
        <f t="shared" si="43"/>
        <v/>
      </c>
      <c r="AI311" s="162"/>
      <c r="AJ311" s="162"/>
      <c r="AK311" s="162"/>
      <c r="AL311" s="162"/>
      <c r="AM311" s="162"/>
      <c r="AN311" s="100" t="b">
        <f t="shared" si="42"/>
        <v>1</v>
      </c>
      <c r="AO311" s="102"/>
    </row>
    <row r="312" ht="14.25" customHeight="1" outlineLevel="3">
      <c r="A312" s="390"/>
      <c r="B312" s="394"/>
      <c r="C312" s="393"/>
      <c r="D312" s="394"/>
      <c r="E312" s="180" t="s">
        <v>1756</v>
      </c>
      <c r="F312" s="123" t="s">
        <v>135</v>
      </c>
      <c r="G312" s="123" t="s">
        <v>1757</v>
      </c>
      <c r="H312" s="260">
        <v>112.4328</v>
      </c>
      <c r="I312" s="181">
        <v>111.0595</v>
      </c>
      <c r="J312" s="181">
        <v>112.2845</v>
      </c>
      <c r="K312" s="181">
        <v>118.4517</v>
      </c>
      <c r="L312" s="181">
        <v>119.2802</v>
      </c>
      <c r="M312" s="181">
        <v>116.191</v>
      </c>
      <c r="N312" s="181">
        <v>118.3554</v>
      </c>
      <c r="O312" s="181">
        <v>121.0215</v>
      </c>
      <c r="P312" s="181">
        <v>120.4635</v>
      </c>
      <c r="Q312" s="181">
        <v>119.5796</v>
      </c>
      <c r="R312" s="181">
        <v>118.6724</v>
      </c>
      <c r="S312" s="181">
        <v>117.5324</v>
      </c>
      <c r="T312" s="181">
        <v>114.3657</v>
      </c>
      <c r="U312" s="181">
        <v>112.7119</v>
      </c>
      <c r="V312" s="181">
        <v>114.1761</v>
      </c>
      <c r="W312" s="202">
        <v>103.204858365643</v>
      </c>
      <c r="X312" s="181">
        <v>104.325761048866</v>
      </c>
      <c r="Y312" s="181">
        <v>102.619358597569</v>
      </c>
      <c r="Z312" s="181">
        <v>103.060044215633</v>
      </c>
      <c r="AA312" s="181">
        <v>102.412796648946</v>
      </c>
      <c r="AB312" s="202">
        <f t="shared" ref="AB312:AB317" si="44">AA312</f>
        <v>102.4127966</v>
      </c>
      <c r="AC312" s="202"/>
      <c r="AD312" s="202"/>
      <c r="AE312" s="202"/>
      <c r="AF312" s="202"/>
      <c r="AG312" s="202"/>
      <c r="AH312" s="203"/>
      <c r="AI312" s="125"/>
      <c r="AJ312" s="125"/>
      <c r="AK312" s="125"/>
      <c r="AL312" s="125"/>
      <c r="AM312" s="251"/>
      <c r="AN312" s="100" t="b">
        <f t="shared" si="42"/>
        <v>0</v>
      </c>
      <c r="AO312" s="102"/>
    </row>
    <row r="313" ht="14.25" customHeight="1" outlineLevel="1">
      <c r="A313" s="390"/>
      <c r="B313" s="394"/>
      <c r="C313" s="393"/>
      <c r="D313" s="394"/>
      <c r="E313" s="122" t="s">
        <v>1748</v>
      </c>
      <c r="F313" s="123" t="s">
        <v>135</v>
      </c>
      <c r="G313" s="123" t="s">
        <v>1758</v>
      </c>
      <c r="H313" s="181">
        <v>110.7507</v>
      </c>
      <c r="I313" s="260">
        <v>109.3862</v>
      </c>
      <c r="J313" s="181">
        <v>110.6673</v>
      </c>
      <c r="K313" s="181">
        <v>116.8096</v>
      </c>
      <c r="L313" s="181">
        <v>117.6139</v>
      </c>
      <c r="M313" s="181">
        <v>114.5252</v>
      </c>
      <c r="N313" s="181">
        <v>116.7197</v>
      </c>
      <c r="O313" s="181">
        <v>119.401</v>
      </c>
      <c r="P313" s="181">
        <v>118.8011</v>
      </c>
      <c r="Q313" s="181">
        <v>117.9778</v>
      </c>
      <c r="R313" s="181">
        <v>117.041</v>
      </c>
      <c r="S313" s="181">
        <v>115.9458</v>
      </c>
      <c r="T313" s="181">
        <v>112.8206</v>
      </c>
      <c r="U313" s="181">
        <v>111.1034</v>
      </c>
      <c r="V313" s="181">
        <v>112.6146</v>
      </c>
      <c r="W313" s="202">
        <v>101.599555111111</v>
      </c>
      <c r="X313" s="181">
        <v>102.676177527778</v>
      </c>
      <c r="Y313" s="181">
        <v>100.881778723689</v>
      </c>
      <c r="Z313" s="181">
        <v>101.219406612577</v>
      </c>
      <c r="AA313" s="181">
        <v>100.381266687585</v>
      </c>
      <c r="AB313" s="202">
        <f t="shared" si="44"/>
        <v>100.3812667</v>
      </c>
      <c r="AC313" s="202"/>
      <c r="AD313" s="202"/>
      <c r="AE313" s="202"/>
      <c r="AF313" s="202"/>
      <c r="AG313" s="202"/>
      <c r="AH313" s="203"/>
      <c r="AI313" s="125"/>
      <c r="AJ313" s="125"/>
      <c r="AK313" s="125"/>
      <c r="AL313" s="125"/>
      <c r="AM313" s="251"/>
      <c r="AN313" s="100" t="b">
        <f t="shared" si="42"/>
        <v>0</v>
      </c>
      <c r="AO313" s="102"/>
    </row>
    <row r="314" ht="14.25" customHeight="1" outlineLevel="1">
      <c r="A314" s="390"/>
      <c r="B314" s="394"/>
      <c r="C314" s="393"/>
      <c r="D314" s="394"/>
      <c r="E314" s="122" t="s">
        <v>1759</v>
      </c>
      <c r="F314" s="123" t="s">
        <v>135</v>
      </c>
      <c r="G314" s="123" t="s">
        <v>1760</v>
      </c>
      <c r="H314" s="181">
        <v>0.0058</v>
      </c>
      <c r="I314" s="260">
        <v>0.0058</v>
      </c>
      <c r="J314" s="181">
        <v>0.0058</v>
      </c>
      <c r="K314" s="181">
        <v>0.0058</v>
      </c>
      <c r="L314" s="181">
        <v>0.0058</v>
      </c>
      <c r="M314" s="181">
        <v>0.0</v>
      </c>
      <c r="N314" s="181">
        <v>0.0</v>
      </c>
      <c r="O314" s="181">
        <v>0.0</v>
      </c>
      <c r="P314" s="181">
        <v>0.0</v>
      </c>
      <c r="Q314" s="181">
        <v>0.0</v>
      </c>
      <c r="R314" s="181">
        <v>0.0025</v>
      </c>
      <c r="S314" s="181">
        <v>0.0025</v>
      </c>
      <c r="T314" s="181">
        <v>0.0058</v>
      </c>
      <c r="U314" s="181">
        <v>0.0092</v>
      </c>
      <c r="V314" s="181">
        <v>0.0203</v>
      </c>
      <c r="W314" s="202">
        <v>0.0386032545319624</v>
      </c>
      <c r="X314" s="181">
        <v>0.0627835210882326</v>
      </c>
      <c r="Y314" s="181">
        <v>0.099279873879728</v>
      </c>
      <c r="Z314" s="181">
        <v>0.169337603056491</v>
      </c>
      <c r="AA314" s="181">
        <v>0.324929961361001</v>
      </c>
      <c r="AB314" s="202">
        <f t="shared" si="44"/>
        <v>0.3249299614</v>
      </c>
      <c r="AC314" s="202"/>
      <c r="AD314" s="202"/>
      <c r="AE314" s="202"/>
      <c r="AF314" s="202"/>
      <c r="AG314" s="202"/>
      <c r="AH314" s="203"/>
      <c r="AI314" s="125"/>
      <c r="AJ314" s="318"/>
      <c r="AK314" s="125"/>
      <c r="AL314" s="318"/>
      <c r="AM314" s="251"/>
      <c r="AN314" s="100" t="b">
        <f t="shared" si="42"/>
        <v>0</v>
      </c>
      <c r="AO314" s="102"/>
    </row>
    <row r="315" ht="14.25" customHeight="1" outlineLevel="1">
      <c r="A315" s="390"/>
      <c r="B315" s="394"/>
      <c r="C315" s="393"/>
      <c r="D315" s="394"/>
      <c r="E315" s="122" t="s">
        <v>1761</v>
      </c>
      <c r="F315" s="123" t="s">
        <v>135</v>
      </c>
      <c r="G315" s="123" t="s">
        <v>1762</v>
      </c>
      <c r="H315" s="181"/>
      <c r="I315" s="260"/>
      <c r="J315" s="181"/>
      <c r="K315" s="181"/>
      <c r="L315" s="181"/>
      <c r="M315" s="181"/>
      <c r="N315" s="181"/>
      <c r="O315" s="181"/>
      <c r="P315" s="181"/>
      <c r="Q315" s="181"/>
      <c r="R315" s="181"/>
      <c r="S315" s="181"/>
      <c r="T315" s="181"/>
      <c r="U315" s="181"/>
      <c r="V315" s="181"/>
      <c r="W315" s="202">
        <v>0.0</v>
      </c>
      <c r="X315" s="181">
        <v>0.0</v>
      </c>
      <c r="Y315" s="181">
        <v>0.0</v>
      </c>
      <c r="Z315" s="181">
        <v>0.0</v>
      </c>
      <c r="AA315" s="181">
        <v>0.0</v>
      </c>
      <c r="AB315" s="202">
        <f t="shared" si="44"/>
        <v>0</v>
      </c>
      <c r="AC315" s="202"/>
      <c r="AD315" s="202"/>
      <c r="AE315" s="202"/>
      <c r="AF315" s="202"/>
      <c r="AG315" s="202"/>
      <c r="AH315" s="203"/>
      <c r="AI315" s="125"/>
      <c r="AJ315" s="318"/>
      <c r="AK315" s="125"/>
      <c r="AL315" s="318"/>
      <c r="AM315" s="251"/>
      <c r="AN315" s="100" t="b">
        <f t="shared" si="42"/>
        <v>0</v>
      </c>
      <c r="AO315" s="102"/>
    </row>
    <row r="316" ht="14.25" customHeight="1" outlineLevel="1">
      <c r="A316" s="390"/>
      <c r="B316" s="394"/>
      <c r="C316" s="393"/>
      <c r="D316" s="394"/>
      <c r="E316" s="122" t="s">
        <v>1763</v>
      </c>
      <c r="F316" s="123" t="s">
        <v>135</v>
      </c>
      <c r="G316" s="123" t="s">
        <v>1764</v>
      </c>
      <c r="H316" s="181">
        <v>1.6763</v>
      </c>
      <c r="I316" s="260">
        <v>1.6675</v>
      </c>
      <c r="J316" s="181">
        <v>1.6113</v>
      </c>
      <c r="K316" s="181">
        <v>1.6362</v>
      </c>
      <c r="L316" s="181">
        <v>1.6605</v>
      </c>
      <c r="M316" s="181">
        <v>1.6658</v>
      </c>
      <c r="N316" s="181">
        <v>1.6357</v>
      </c>
      <c r="O316" s="181">
        <v>1.6205</v>
      </c>
      <c r="P316" s="181">
        <v>1.6623</v>
      </c>
      <c r="Q316" s="181">
        <v>1.6018</v>
      </c>
      <c r="R316" s="181">
        <v>1.6289</v>
      </c>
      <c r="S316" s="181">
        <v>1.5841</v>
      </c>
      <c r="T316" s="181">
        <v>1.5393</v>
      </c>
      <c r="U316" s="181">
        <v>1.5993</v>
      </c>
      <c r="V316" s="181">
        <v>1.5412</v>
      </c>
      <c r="W316" s="202">
        <v>1.56670000000001</v>
      </c>
      <c r="X316" s="181">
        <v>1.58680000000001</v>
      </c>
      <c r="Y316" s="181">
        <v>1.63830000000001</v>
      </c>
      <c r="Z316" s="181">
        <v>1.6713</v>
      </c>
      <c r="AA316" s="181">
        <v>1.70660000000001</v>
      </c>
      <c r="AB316" s="202">
        <f t="shared" si="44"/>
        <v>1.7066</v>
      </c>
      <c r="AC316" s="202"/>
      <c r="AD316" s="202"/>
      <c r="AE316" s="202"/>
      <c r="AF316" s="202"/>
      <c r="AG316" s="202"/>
      <c r="AH316" s="203"/>
      <c r="AI316" s="125"/>
      <c r="AJ316" s="318"/>
      <c r="AK316" s="125"/>
      <c r="AL316" s="318"/>
      <c r="AM316" s="251"/>
      <c r="AN316" s="100" t="b">
        <f t="shared" si="42"/>
        <v>0</v>
      </c>
      <c r="AO316" s="102"/>
    </row>
    <row r="317" ht="14.25" customHeight="1" outlineLevel="1">
      <c r="A317" s="98"/>
      <c r="B317" s="98"/>
      <c r="C317" s="98"/>
      <c r="D317" s="98"/>
      <c r="E317" s="412" t="s">
        <v>1765</v>
      </c>
      <c r="F317" s="433" t="s">
        <v>261</v>
      </c>
      <c r="G317" s="123" t="s">
        <v>1766</v>
      </c>
      <c r="H317" s="254"/>
      <c r="I317" s="253"/>
      <c r="J317" s="254"/>
      <c r="K317" s="254"/>
      <c r="L317" s="254"/>
      <c r="M317" s="254"/>
      <c r="N317" s="254"/>
      <c r="O317" s="254"/>
      <c r="P317" s="254"/>
      <c r="Q317" s="254">
        <v>0.0133016550571379</v>
      </c>
      <c r="R317" s="254">
        <v>0.0363445288403209</v>
      </c>
      <c r="S317" s="254">
        <v>0.035539019093404</v>
      </c>
      <c r="T317" s="254">
        <v>0.0363089719430671</v>
      </c>
      <c r="U317" s="254">
        <v>0.0365875391752188</v>
      </c>
      <c r="V317" s="254">
        <v>0.043286572078576</v>
      </c>
      <c r="W317" s="364">
        <v>0.0308368569618871</v>
      </c>
      <c r="X317" s="254">
        <v>0.052588352079194</v>
      </c>
      <c r="Y317" s="254">
        <v>0.0583867034571572</v>
      </c>
      <c r="Z317" s="254">
        <v>0.0582014229602739</v>
      </c>
      <c r="AA317" s="254">
        <v>0.0595718483698868</v>
      </c>
      <c r="AB317" s="202">
        <f t="shared" si="44"/>
        <v>0.05957184837</v>
      </c>
      <c r="AC317" s="364"/>
      <c r="AD317" s="364"/>
      <c r="AE317" s="364"/>
      <c r="AF317" s="364"/>
      <c r="AG317" s="364"/>
      <c r="AH317" s="364"/>
      <c r="AI317" s="125"/>
      <c r="AJ317" s="318"/>
      <c r="AK317" s="125"/>
      <c r="AL317" s="318"/>
      <c r="AM317" s="251"/>
      <c r="AN317" s="100" t="b">
        <f t="shared" si="42"/>
        <v>0</v>
      </c>
      <c r="AO317" s="102"/>
    </row>
    <row r="318" ht="14.25" customHeight="1">
      <c r="A318" s="247"/>
      <c r="B318" s="100"/>
      <c r="C318" s="100"/>
      <c r="D318" s="100"/>
      <c r="E318" s="100"/>
      <c r="F318" s="206"/>
      <c r="G318" s="206"/>
      <c r="H318" s="207"/>
      <c r="I318" s="207"/>
      <c r="J318" s="207"/>
      <c r="K318" s="207"/>
      <c r="L318" s="207"/>
      <c r="M318" s="207"/>
      <c r="N318" s="207"/>
      <c r="O318" s="207"/>
      <c r="P318" s="207"/>
      <c r="Q318" s="207"/>
      <c r="R318" s="207"/>
      <c r="S318" s="207"/>
      <c r="T318" s="207"/>
      <c r="U318" s="207"/>
      <c r="V318" s="207"/>
      <c r="W318" s="208"/>
      <c r="X318" s="208"/>
      <c r="Y318" s="208"/>
      <c r="Z318" s="208"/>
      <c r="AA318" s="208"/>
      <c r="AB318" s="208"/>
      <c r="AC318" s="208"/>
      <c r="AD318" s="208"/>
      <c r="AE318" s="208"/>
      <c r="AF318" s="208"/>
      <c r="AG318" s="208"/>
      <c r="AH318" s="208"/>
      <c r="AI318" s="100"/>
      <c r="AJ318" s="100"/>
      <c r="AK318" s="100"/>
      <c r="AL318" s="100"/>
      <c r="AM318" s="100"/>
      <c r="AN318" s="100"/>
      <c r="AO318" s="102"/>
    </row>
    <row r="319" ht="14.25" customHeight="1">
      <c r="A319" s="247"/>
      <c r="B319" s="100"/>
      <c r="C319" s="100"/>
      <c r="D319" s="100"/>
      <c r="E319" s="100"/>
      <c r="F319" s="206"/>
      <c r="G319" s="206"/>
      <c r="H319" s="207"/>
      <c r="I319" s="207"/>
      <c r="J319" s="207"/>
      <c r="K319" s="207"/>
      <c r="L319" s="207"/>
      <c r="M319" s="207"/>
      <c r="N319" s="207"/>
      <c r="O319" s="207"/>
      <c r="P319" s="207"/>
      <c r="Q319" s="207"/>
      <c r="R319" s="207"/>
      <c r="S319" s="207"/>
      <c r="T319" s="207"/>
      <c r="U319" s="207"/>
      <c r="V319" s="207"/>
      <c r="W319" s="208"/>
      <c r="X319" s="208"/>
      <c r="Y319" s="208"/>
      <c r="Z319" s="208"/>
      <c r="AA319" s="208"/>
      <c r="AB319" s="208"/>
      <c r="AC319" s="208"/>
      <c r="AD319" s="208"/>
      <c r="AE319" s="208"/>
      <c r="AF319" s="208"/>
      <c r="AG319" s="208"/>
      <c r="AH319" s="208"/>
      <c r="AI319" s="100"/>
      <c r="AJ319" s="100"/>
      <c r="AK319" s="100"/>
      <c r="AL319" s="100"/>
      <c r="AM319" s="100"/>
      <c r="AN319" s="100"/>
      <c r="AO319" s="102"/>
    </row>
    <row r="320" ht="14.25" customHeight="1">
      <c r="A320" s="247"/>
      <c r="B320" s="100"/>
      <c r="C320" s="100"/>
      <c r="D320" s="100"/>
      <c r="E320" s="100"/>
      <c r="F320" s="206"/>
      <c r="G320" s="206"/>
      <c r="H320" s="207"/>
      <c r="I320" s="207"/>
      <c r="J320" s="207"/>
      <c r="K320" s="207"/>
      <c r="L320" s="207"/>
      <c r="M320" s="207"/>
      <c r="N320" s="207"/>
      <c r="O320" s="207"/>
      <c r="P320" s="207"/>
      <c r="Q320" s="207"/>
      <c r="R320" s="207"/>
      <c r="S320" s="207"/>
      <c r="T320" s="207"/>
      <c r="U320" s="207"/>
      <c r="V320" s="207"/>
      <c r="W320" s="208"/>
      <c r="X320" s="208"/>
      <c r="Y320" s="208"/>
      <c r="Z320" s="208"/>
      <c r="AA320" s="208"/>
      <c r="AB320" s="208"/>
      <c r="AC320" s="208"/>
      <c r="AD320" s="208"/>
      <c r="AE320" s="208"/>
      <c r="AF320" s="208"/>
      <c r="AG320" s="208"/>
      <c r="AH320" s="208"/>
      <c r="AI320" s="100"/>
      <c r="AJ320" s="100"/>
      <c r="AK320" s="100"/>
      <c r="AL320" s="100"/>
      <c r="AM320" s="100"/>
      <c r="AN320" s="100"/>
      <c r="AO320" s="102"/>
    </row>
    <row r="321" ht="14.25" customHeight="1">
      <c r="A321" s="247"/>
      <c r="B321" s="100"/>
      <c r="C321" s="100"/>
      <c r="D321" s="100"/>
      <c r="E321" s="434" t="s">
        <v>1767</v>
      </c>
      <c r="F321" s="206"/>
      <c r="G321" s="206"/>
      <c r="H321" s="207"/>
      <c r="I321" s="207"/>
      <c r="J321" s="207"/>
      <c r="K321" s="207"/>
      <c r="L321" s="207"/>
      <c r="M321" s="207"/>
      <c r="N321" s="207"/>
      <c r="O321" s="207"/>
      <c r="P321" s="207"/>
      <c r="Q321" s="207"/>
      <c r="R321" s="207"/>
      <c r="S321" s="207"/>
      <c r="T321" s="207"/>
      <c r="U321" s="207"/>
      <c r="V321" s="207"/>
      <c r="W321" s="208"/>
      <c r="X321" s="208"/>
      <c r="Y321" s="208"/>
      <c r="Z321" s="208"/>
      <c r="AA321" s="208"/>
      <c r="AB321" s="208"/>
      <c r="AC321" s="208"/>
      <c r="AD321" s="208"/>
      <c r="AE321" s="208"/>
      <c r="AF321" s="208"/>
      <c r="AG321" s="208"/>
      <c r="AH321" s="208"/>
      <c r="AI321" s="100"/>
      <c r="AJ321" s="100"/>
      <c r="AK321" s="100"/>
      <c r="AL321" s="100"/>
      <c r="AM321" s="100"/>
      <c r="AN321" s="100"/>
      <c r="AO321" s="102"/>
    </row>
    <row r="322" ht="60.0" customHeight="1">
      <c r="A322" s="247"/>
      <c r="B322" s="100"/>
      <c r="C322" s="100"/>
      <c r="D322" s="100"/>
      <c r="E322" s="304"/>
      <c r="F322" s="206"/>
      <c r="G322" s="206"/>
      <c r="H322" s="207"/>
      <c r="I322" s="207"/>
      <c r="J322" s="207"/>
      <c r="K322" s="207"/>
      <c r="L322" s="207"/>
      <c r="M322" s="207"/>
      <c r="N322" s="207"/>
      <c r="O322" s="207"/>
      <c r="P322" s="207"/>
      <c r="Q322" s="207"/>
      <c r="R322" s="207"/>
      <c r="S322" s="207"/>
      <c r="T322" s="207"/>
      <c r="U322" s="207"/>
      <c r="V322" s="207"/>
      <c r="W322" s="208"/>
      <c r="X322" s="208"/>
      <c r="Y322" s="208"/>
      <c r="Z322" s="208"/>
      <c r="AA322" s="208"/>
      <c r="AB322" s="208"/>
      <c r="AC322" s="208"/>
      <c r="AD322" s="208"/>
      <c r="AE322" s="208"/>
      <c r="AF322" s="208"/>
      <c r="AG322" s="208"/>
      <c r="AH322" s="208"/>
      <c r="AI322" s="100"/>
      <c r="AJ322" s="100"/>
      <c r="AK322" s="100"/>
      <c r="AL322" s="100"/>
      <c r="AM322" s="100"/>
      <c r="AN322" s="100"/>
      <c r="AO322" s="102"/>
    </row>
    <row r="323" ht="14.25" customHeight="1">
      <c r="A323" s="247"/>
      <c r="B323" s="100"/>
      <c r="C323" s="100"/>
      <c r="D323" s="100"/>
      <c r="E323" s="127"/>
      <c r="F323" s="206"/>
      <c r="G323" s="206"/>
      <c r="H323" s="207"/>
      <c r="I323" s="207"/>
      <c r="J323" s="207"/>
      <c r="K323" s="207"/>
      <c r="L323" s="207"/>
      <c r="M323" s="207"/>
      <c r="N323" s="207"/>
      <c r="O323" s="207"/>
      <c r="P323" s="207"/>
      <c r="Q323" s="207"/>
      <c r="R323" s="207"/>
      <c r="S323" s="207"/>
      <c r="T323" s="207"/>
      <c r="U323" s="207"/>
      <c r="V323" s="207"/>
      <c r="W323" s="208"/>
      <c r="X323" s="208"/>
      <c r="Y323" s="208"/>
      <c r="Z323" s="208"/>
      <c r="AA323" s="208"/>
      <c r="AB323" s="208"/>
      <c r="AC323" s="208"/>
      <c r="AD323" s="208"/>
      <c r="AE323" s="208"/>
      <c r="AF323" s="208"/>
      <c r="AG323" s="208"/>
      <c r="AH323" s="208"/>
      <c r="AI323" s="100"/>
      <c r="AJ323" s="100"/>
      <c r="AK323" s="100"/>
      <c r="AL323" s="100"/>
      <c r="AM323" s="100"/>
      <c r="AN323" s="100"/>
      <c r="AO323" s="102"/>
    </row>
    <row r="324" ht="14.25" customHeight="1">
      <c r="A324" s="247"/>
      <c r="B324" s="100"/>
      <c r="C324" s="100"/>
      <c r="D324" s="100"/>
      <c r="E324" s="434" t="s">
        <v>1768</v>
      </c>
      <c r="F324" s="206"/>
      <c r="G324" s="206"/>
      <c r="H324" s="207"/>
      <c r="I324" s="207"/>
      <c r="J324" s="207"/>
      <c r="K324" s="207"/>
      <c r="L324" s="207"/>
      <c r="M324" s="207"/>
      <c r="N324" s="207"/>
      <c r="O324" s="207"/>
      <c r="P324" s="207"/>
      <c r="Q324" s="207"/>
      <c r="R324" s="207"/>
      <c r="S324" s="207"/>
      <c r="T324" s="207"/>
      <c r="U324" s="207"/>
      <c r="V324" s="207"/>
      <c r="W324" s="208"/>
      <c r="X324" s="208"/>
      <c r="Y324" s="208"/>
      <c r="Z324" s="208"/>
      <c r="AA324" s="208"/>
      <c r="AB324" s="208"/>
      <c r="AC324" s="208"/>
      <c r="AD324" s="208"/>
      <c r="AE324" s="208"/>
      <c r="AF324" s="208"/>
      <c r="AG324" s="208"/>
      <c r="AH324" s="208"/>
      <c r="AI324" s="100"/>
      <c r="AJ324" s="100"/>
      <c r="AK324" s="100"/>
      <c r="AL324" s="100"/>
      <c r="AM324" s="100"/>
      <c r="AN324" s="100"/>
      <c r="AO324" s="102"/>
    </row>
    <row r="325" ht="60.0" customHeight="1">
      <c r="A325" s="247"/>
      <c r="B325" s="100"/>
      <c r="C325" s="100"/>
      <c r="D325" s="100"/>
      <c r="E325" s="304"/>
      <c r="F325" s="206"/>
      <c r="G325" s="206"/>
      <c r="H325" s="207"/>
      <c r="I325" s="207"/>
      <c r="J325" s="207"/>
      <c r="K325" s="207"/>
      <c r="L325" s="207"/>
      <c r="M325" s="207"/>
      <c r="N325" s="207"/>
      <c r="O325" s="207"/>
      <c r="P325" s="207"/>
      <c r="Q325" s="207"/>
      <c r="R325" s="207"/>
      <c r="S325" s="207"/>
      <c r="T325" s="207"/>
      <c r="U325" s="207"/>
      <c r="V325" s="207"/>
      <c r="W325" s="208"/>
      <c r="X325" s="208"/>
      <c r="Y325" s="208"/>
      <c r="Z325" s="208"/>
      <c r="AA325" s="208"/>
      <c r="AB325" s="208"/>
      <c r="AC325" s="208"/>
      <c r="AD325" s="208"/>
      <c r="AE325" s="208"/>
      <c r="AF325" s="208"/>
      <c r="AG325" s="208"/>
      <c r="AH325" s="208"/>
      <c r="AI325" s="100"/>
      <c r="AJ325" s="100"/>
      <c r="AK325" s="100"/>
      <c r="AL325" s="100"/>
      <c r="AM325" s="100"/>
      <c r="AN325" s="100"/>
      <c r="AO325" s="102"/>
    </row>
    <row r="326" ht="14.25" customHeight="1">
      <c r="A326" s="247"/>
      <c r="B326" s="100"/>
      <c r="C326" s="100"/>
      <c r="D326" s="100"/>
      <c r="E326" s="100"/>
      <c r="F326" s="206"/>
      <c r="G326" s="206"/>
      <c r="H326" s="207"/>
      <c r="I326" s="207"/>
      <c r="J326" s="207"/>
      <c r="K326" s="207"/>
      <c r="L326" s="207"/>
      <c r="M326" s="207"/>
      <c r="N326" s="207"/>
      <c r="O326" s="207"/>
      <c r="P326" s="207"/>
      <c r="Q326" s="207"/>
      <c r="R326" s="207"/>
      <c r="S326" s="207"/>
      <c r="T326" s="207"/>
      <c r="U326" s="207"/>
      <c r="V326" s="207"/>
      <c r="W326" s="208"/>
      <c r="X326" s="208"/>
      <c r="Y326" s="208"/>
      <c r="Z326" s="208"/>
      <c r="AA326" s="208"/>
      <c r="AB326" s="208"/>
      <c r="AC326" s="208"/>
      <c r="AD326" s="208"/>
      <c r="AE326" s="208"/>
      <c r="AF326" s="208"/>
      <c r="AG326" s="208"/>
      <c r="AH326" s="208"/>
      <c r="AI326" s="100"/>
      <c r="AJ326" s="100"/>
      <c r="AK326" s="100"/>
      <c r="AL326" s="100"/>
      <c r="AM326" s="100"/>
      <c r="AN326" s="100"/>
      <c r="AO326" s="102"/>
    </row>
    <row r="327" ht="14.25" customHeight="1">
      <c r="A327" s="247"/>
      <c r="B327" s="100"/>
      <c r="C327" s="100"/>
      <c r="D327" s="100"/>
      <c r="E327" s="100"/>
      <c r="F327" s="206"/>
      <c r="G327" s="206"/>
      <c r="H327" s="207"/>
      <c r="I327" s="207"/>
      <c r="J327" s="207"/>
      <c r="K327" s="207"/>
      <c r="L327" s="207"/>
      <c r="M327" s="207"/>
      <c r="N327" s="207"/>
      <c r="O327" s="207"/>
      <c r="P327" s="207"/>
      <c r="Q327" s="207"/>
      <c r="R327" s="207"/>
      <c r="S327" s="207"/>
      <c r="T327" s="207"/>
      <c r="U327" s="207"/>
      <c r="V327" s="207"/>
      <c r="W327" s="208"/>
      <c r="X327" s="208"/>
      <c r="Y327" s="208"/>
      <c r="Z327" s="208"/>
      <c r="AA327" s="208"/>
      <c r="AB327" s="208"/>
      <c r="AC327" s="208"/>
      <c r="AD327" s="208"/>
      <c r="AE327" s="208"/>
      <c r="AF327" s="208"/>
      <c r="AG327" s="208"/>
      <c r="AH327" s="208"/>
      <c r="AI327" s="100"/>
      <c r="AJ327" s="100"/>
      <c r="AK327" s="100"/>
      <c r="AL327" s="100"/>
      <c r="AM327" s="100"/>
      <c r="AN327" s="100"/>
      <c r="AO327" s="102"/>
    </row>
    <row r="328" ht="14.25" customHeight="1">
      <c r="A328" s="247"/>
      <c r="B328" s="100"/>
      <c r="C328" s="100"/>
      <c r="D328" s="100"/>
      <c r="E328" s="100"/>
      <c r="F328" s="206"/>
      <c r="G328" s="206"/>
      <c r="H328" s="207"/>
      <c r="I328" s="207"/>
      <c r="J328" s="207"/>
      <c r="K328" s="207"/>
      <c r="L328" s="207"/>
      <c r="M328" s="207"/>
      <c r="N328" s="207"/>
      <c r="O328" s="207"/>
      <c r="P328" s="207"/>
      <c r="Q328" s="207"/>
      <c r="R328" s="207"/>
      <c r="S328" s="207"/>
      <c r="T328" s="207"/>
      <c r="U328" s="207"/>
      <c r="V328" s="207"/>
      <c r="W328" s="208"/>
      <c r="X328" s="208"/>
      <c r="Y328" s="208"/>
      <c r="Z328" s="208"/>
      <c r="AA328" s="208"/>
      <c r="AB328" s="208"/>
      <c r="AC328" s="208"/>
      <c r="AD328" s="208"/>
      <c r="AE328" s="208"/>
      <c r="AF328" s="208"/>
      <c r="AG328" s="208"/>
      <c r="AH328" s="208"/>
      <c r="AI328" s="100"/>
      <c r="AJ328" s="100"/>
      <c r="AK328" s="100"/>
      <c r="AL328" s="100"/>
      <c r="AM328" s="100"/>
      <c r="AN328" s="100"/>
      <c r="AO328" s="102"/>
    </row>
    <row r="329" ht="14.25" customHeight="1">
      <c r="A329" s="136" t="s">
        <v>201</v>
      </c>
      <c r="B329" s="137"/>
      <c r="C329" s="137"/>
      <c r="D329" s="138"/>
      <c r="E329" s="137"/>
      <c r="F329" s="137"/>
      <c r="G329" s="137"/>
      <c r="H329" s="62">
        <v>2000.0</v>
      </c>
      <c r="I329" s="62">
        <v>2001.0</v>
      </c>
      <c r="J329" s="62">
        <v>2002.0</v>
      </c>
      <c r="K329" s="62">
        <v>2003.0</v>
      </c>
      <c r="L329" s="62">
        <v>2004.0</v>
      </c>
      <c r="M329" s="62">
        <v>2005.0</v>
      </c>
      <c r="N329" s="62">
        <v>2006.0</v>
      </c>
      <c r="O329" s="62">
        <v>2007.0</v>
      </c>
      <c r="P329" s="62">
        <v>2008.0</v>
      </c>
      <c r="Q329" s="62">
        <v>2009.0</v>
      </c>
      <c r="R329" s="62">
        <v>2010.0</v>
      </c>
      <c r="S329" s="62">
        <v>2011.0</v>
      </c>
      <c r="T329" s="62">
        <v>2012.0</v>
      </c>
      <c r="U329" s="62">
        <v>2013.0</v>
      </c>
      <c r="V329" s="62">
        <v>2014.0</v>
      </c>
      <c r="W329" s="62">
        <v>2015.0</v>
      </c>
      <c r="X329" s="62">
        <v>2016.0</v>
      </c>
      <c r="Y329" s="62">
        <v>2017.0</v>
      </c>
      <c r="Z329" s="62">
        <v>2018.0</v>
      </c>
      <c r="AA329" s="62">
        <v>2019.0</v>
      </c>
      <c r="AB329" s="62">
        <v>2020.0</v>
      </c>
      <c r="AC329" s="62">
        <v>2025.0</v>
      </c>
      <c r="AD329" s="62">
        <v>2030.0</v>
      </c>
      <c r="AE329" s="62">
        <v>2035.0</v>
      </c>
      <c r="AF329" s="62">
        <v>2040.0</v>
      </c>
      <c r="AG329" s="62">
        <v>2045.0</v>
      </c>
      <c r="AH329" s="62">
        <v>2050.0</v>
      </c>
      <c r="AI329" s="212" t="s">
        <v>243</v>
      </c>
      <c r="AJ329" s="212" t="s">
        <v>244</v>
      </c>
      <c r="AK329" s="212" t="s">
        <v>245</v>
      </c>
      <c r="AL329" s="212" t="s">
        <v>246</v>
      </c>
      <c r="AM329" s="435" t="s">
        <v>247</v>
      </c>
      <c r="AN329" s="100"/>
      <c r="AO329" s="102"/>
    </row>
    <row r="330" ht="14.25" customHeight="1">
      <c r="A330" s="220" t="s">
        <v>252</v>
      </c>
      <c r="B330" s="221"/>
      <c r="C330" s="221"/>
      <c r="D330" s="221"/>
      <c r="E330" s="221"/>
      <c r="F330" s="221"/>
      <c r="G330" s="221"/>
      <c r="H330" s="141">
        <f t="shared" ref="H330:AH330" si="45">AVERAGE(H331,H351,H364)</f>
        <v>0.5067926672</v>
      </c>
      <c r="I330" s="141">
        <f t="shared" si="45"/>
        <v>0.5051212522</v>
      </c>
      <c r="J330" s="141">
        <f t="shared" si="45"/>
        <v>0.5036967508</v>
      </c>
      <c r="K330" s="141">
        <f t="shared" si="45"/>
        <v>0.5036967508</v>
      </c>
      <c r="L330" s="141">
        <f t="shared" si="45"/>
        <v>0.5051212522</v>
      </c>
      <c r="M330" s="141">
        <f t="shared" si="45"/>
        <v>0.5067926672</v>
      </c>
      <c r="N330" s="141">
        <f t="shared" si="45"/>
        <v>0.5071894926</v>
      </c>
      <c r="O330" s="141">
        <f t="shared" si="45"/>
        <v>0.5067926672</v>
      </c>
      <c r="P330" s="141">
        <f t="shared" si="45"/>
        <v>0.5069469882</v>
      </c>
      <c r="Q330" s="141">
        <f t="shared" si="45"/>
        <v>0.5073438136</v>
      </c>
      <c r="R330" s="141">
        <f t="shared" si="45"/>
        <v>0.5069469882</v>
      </c>
      <c r="S330" s="141">
        <f t="shared" si="45"/>
        <v>0.5069469882</v>
      </c>
      <c r="T330" s="141">
        <f t="shared" si="45"/>
        <v>0.5071013092</v>
      </c>
      <c r="U330" s="141">
        <f t="shared" si="45"/>
        <v>0.5226521164</v>
      </c>
      <c r="V330" s="141">
        <f t="shared" si="45"/>
        <v>0.5226521164</v>
      </c>
      <c r="W330" s="141">
        <f t="shared" si="45"/>
        <v>0.8991656492</v>
      </c>
      <c r="X330" s="141">
        <f t="shared" si="45"/>
        <v>0.7145171958</v>
      </c>
      <c r="Y330" s="141">
        <f t="shared" si="45"/>
        <v>0.7131283069</v>
      </c>
      <c r="Z330" s="141">
        <f t="shared" si="45"/>
        <v>0.5752781169</v>
      </c>
      <c r="AA330" s="141">
        <f t="shared" si="45"/>
        <v>0.5698768824</v>
      </c>
      <c r="AB330" s="141">
        <f t="shared" si="45"/>
        <v>0.9040001357</v>
      </c>
      <c r="AC330" s="141">
        <f t="shared" si="45"/>
        <v>0.2927180844</v>
      </c>
      <c r="AD330" s="141">
        <f t="shared" si="45"/>
        <v>0.2927180844</v>
      </c>
      <c r="AE330" s="141">
        <f t="shared" si="45"/>
        <v>0.2927180844</v>
      </c>
      <c r="AF330" s="141">
        <f t="shared" si="45"/>
        <v>0.297347714</v>
      </c>
      <c r="AG330" s="141">
        <f t="shared" si="45"/>
        <v>0.297347714</v>
      </c>
      <c r="AH330" s="141">
        <f t="shared" si="45"/>
        <v>0.297347714</v>
      </c>
      <c r="AI330" s="141">
        <f t="shared" ref="AI330:AI362" si="47">AVERAGE(H330:AA330)</f>
        <v>0.5548879986</v>
      </c>
      <c r="AJ330" s="141">
        <f t="shared" ref="AJ330:AJ362" si="48">W330</f>
        <v>0.8991656492</v>
      </c>
      <c r="AK330" s="141">
        <f t="shared" ref="AK330:AK362" si="49">AVERAGE(AB330:AH330)</f>
        <v>0.3820282187</v>
      </c>
      <c r="AL330" s="141">
        <f t="shared" ref="AL330:AL362" si="50">AVERAGE(W330,AB330,AC330,AD330,AE330,AF330,AG330,AH330)</f>
        <v>0.4466703975</v>
      </c>
      <c r="AM330" s="215">
        <f t="shared" ref="AM330:AM362" si="51">AVERAGE(H330:AH330)</f>
        <v>0.5100725001</v>
      </c>
      <c r="AN330" s="100"/>
      <c r="AO330" s="102"/>
    </row>
    <row r="331" ht="13.5" customHeight="1">
      <c r="A331" s="387" t="s">
        <v>28</v>
      </c>
      <c r="B331" s="388"/>
      <c r="C331" s="388"/>
      <c r="D331" s="388"/>
      <c r="E331" s="388"/>
      <c r="F331" s="388"/>
      <c r="G331" s="389"/>
      <c r="H331" s="141">
        <f t="shared" ref="H331:AH331" si="46">AVERAGE(H332,H334,H350)</f>
        <v>0.3198082011</v>
      </c>
      <c r="I331" s="141">
        <f t="shared" si="46"/>
        <v>0.314793956</v>
      </c>
      <c r="J331" s="141">
        <f t="shared" si="46"/>
        <v>0.314793956</v>
      </c>
      <c r="K331" s="141">
        <f t="shared" si="46"/>
        <v>0.314793956</v>
      </c>
      <c r="L331" s="141">
        <f t="shared" si="46"/>
        <v>0.314793956</v>
      </c>
      <c r="M331" s="141">
        <f t="shared" si="46"/>
        <v>0.3198082011</v>
      </c>
      <c r="N331" s="141">
        <f t="shared" si="46"/>
        <v>0.3209986772</v>
      </c>
      <c r="O331" s="141">
        <f t="shared" si="46"/>
        <v>0.3198082011</v>
      </c>
      <c r="P331" s="141">
        <f t="shared" si="46"/>
        <v>0.320271164</v>
      </c>
      <c r="Q331" s="141">
        <f t="shared" si="46"/>
        <v>0.3214616402</v>
      </c>
      <c r="R331" s="141">
        <f t="shared" si="46"/>
        <v>0.320271164</v>
      </c>
      <c r="S331" s="141">
        <f t="shared" si="46"/>
        <v>0.320271164</v>
      </c>
      <c r="T331" s="141">
        <f t="shared" si="46"/>
        <v>0.320734127</v>
      </c>
      <c r="U331" s="141">
        <f t="shared" si="46"/>
        <v>0.320734127</v>
      </c>
      <c r="V331" s="141">
        <f t="shared" si="46"/>
        <v>0.320734127</v>
      </c>
      <c r="W331" s="141">
        <f t="shared" si="46"/>
        <v>0.7380952381</v>
      </c>
      <c r="X331" s="141">
        <f t="shared" si="46"/>
        <v>0.5161706349</v>
      </c>
      <c r="Y331" s="141">
        <f t="shared" si="46"/>
        <v>0.5120039683</v>
      </c>
      <c r="Z331" s="141">
        <f t="shared" si="46"/>
        <v>0.3977513228</v>
      </c>
      <c r="AA331" s="141">
        <f t="shared" si="46"/>
        <v>0.381547619</v>
      </c>
      <c r="AB331" s="141">
        <f t="shared" si="46"/>
        <v>0.7347924298</v>
      </c>
      <c r="AC331" s="141">
        <f t="shared" si="46"/>
        <v>0.4009462759</v>
      </c>
      <c r="AD331" s="141">
        <f t="shared" si="46"/>
        <v>0.4009462759</v>
      </c>
      <c r="AE331" s="141">
        <f t="shared" si="46"/>
        <v>0.4009462759</v>
      </c>
      <c r="AF331" s="141">
        <f t="shared" si="46"/>
        <v>0.4148351648</v>
      </c>
      <c r="AG331" s="141">
        <f t="shared" si="46"/>
        <v>0.4148351648</v>
      </c>
      <c r="AH331" s="141">
        <f t="shared" si="46"/>
        <v>0.4148351648</v>
      </c>
      <c r="AI331" s="141">
        <f t="shared" si="47"/>
        <v>0.36648227</v>
      </c>
      <c r="AJ331" s="141">
        <f t="shared" si="48"/>
        <v>0.7380952381</v>
      </c>
      <c r="AK331" s="141">
        <f t="shared" si="49"/>
        <v>0.4545909646</v>
      </c>
      <c r="AL331" s="141">
        <f t="shared" si="50"/>
        <v>0.4900289988</v>
      </c>
      <c r="AM331" s="215">
        <f t="shared" si="51"/>
        <v>0.3893252649</v>
      </c>
      <c r="AN331" s="100"/>
      <c r="AO331" s="102"/>
    </row>
    <row r="332" ht="14.25" customHeight="1">
      <c r="A332" s="390" t="s">
        <v>1236</v>
      </c>
      <c r="B332" s="162"/>
      <c r="C332" s="162"/>
      <c r="D332" s="100"/>
      <c r="E332" s="162"/>
      <c r="F332" s="162"/>
      <c r="G332" s="162"/>
      <c r="H332" s="141">
        <f t="shared" ref="H332:AH332" si="52">(COUNTA(H6:H11)-COUNTIF($AN$6:$AN$11,1))/(COUNTA($G$6:$G$11)-COUNTIF($AN$6:$AN$11,1))</f>
        <v>0.4</v>
      </c>
      <c r="I332" s="141">
        <f t="shared" si="52"/>
        <v>0.4</v>
      </c>
      <c r="J332" s="141">
        <f t="shared" si="52"/>
        <v>0.4</v>
      </c>
      <c r="K332" s="141">
        <f t="shared" si="52"/>
        <v>0.4</v>
      </c>
      <c r="L332" s="141">
        <f t="shared" si="52"/>
        <v>0.4</v>
      </c>
      <c r="M332" s="141">
        <f t="shared" si="52"/>
        <v>0.4</v>
      </c>
      <c r="N332" s="141">
        <f t="shared" si="52"/>
        <v>0.4</v>
      </c>
      <c r="O332" s="141">
        <f t="shared" si="52"/>
        <v>0.4</v>
      </c>
      <c r="P332" s="141">
        <f t="shared" si="52"/>
        <v>0.4</v>
      </c>
      <c r="Q332" s="141">
        <f t="shared" si="52"/>
        <v>0.4</v>
      </c>
      <c r="R332" s="141">
        <f t="shared" si="52"/>
        <v>0.4</v>
      </c>
      <c r="S332" s="141">
        <f t="shared" si="52"/>
        <v>0.4</v>
      </c>
      <c r="T332" s="141">
        <f t="shared" si="52"/>
        <v>0.4</v>
      </c>
      <c r="U332" s="141">
        <f t="shared" si="52"/>
        <v>0.4</v>
      </c>
      <c r="V332" s="141">
        <f t="shared" si="52"/>
        <v>0.4</v>
      </c>
      <c r="W332" s="141">
        <f t="shared" si="52"/>
        <v>0.4</v>
      </c>
      <c r="X332" s="141">
        <f t="shared" si="52"/>
        <v>0.2</v>
      </c>
      <c r="Y332" s="141">
        <f t="shared" si="52"/>
        <v>0.2</v>
      </c>
      <c r="Z332" s="141">
        <f t="shared" si="52"/>
        <v>0</v>
      </c>
      <c r="AA332" s="141">
        <f t="shared" si="52"/>
        <v>0</v>
      </c>
      <c r="AB332" s="141">
        <f t="shared" si="52"/>
        <v>0.4</v>
      </c>
      <c r="AC332" s="141">
        <f t="shared" si="52"/>
        <v>0.4</v>
      </c>
      <c r="AD332" s="141">
        <f t="shared" si="52"/>
        <v>0.4</v>
      </c>
      <c r="AE332" s="141">
        <f t="shared" si="52"/>
        <v>0.4</v>
      </c>
      <c r="AF332" s="141">
        <f t="shared" si="52"/>
        <v>0.4</v>
      </c>
      <c r="AG332" s="141">
        <f t="shared" si="52"/>
        <v>0.4</v>
      </c>
      <c r="AH332" s="141">
        <f t="shared" si="52"/>
        <v>0.4</v>
      </c>
      <c r="AI332" s="141">
        <f t="shared" si="47"/>
        <v>0.34</v>
      </c>
      <c r="AJ332" s="141">
        <f t="shared" si="48"/>
        <v>0.4</v>
      </c>
      <c r="AK332" s="141">
        <f t="shared" si="49"/>
        <v>0.4</v>
      </c>
      <c r="AL332" s="141">
        <f t="shared" si="50"/>
        <v>0.4</v>
      </c>
      <c r="AM332" s="215">
        <f t="shared" si="51"/>
        <v>0.3555555556</v>
      </c>
      <c r="AN332" s="100"/>
      <c r="AO332" s="102"/>
    </row>
    <row r="333" ht="14.25" customHeight="1">
      <c r="A333" s="245"/>
      <c r="B333" s="393" t="s">
        <v>1243</v>
      </c>
      <c r="C333" s="246"/>
      <c r="D333" s="201"/>
      <c r="E333" s="162"/>
      <c r="F333" s="162"/>
      <c r="G333" s="162"/>
      <c r="H333" s="141">
        <f t="shared" ref="H333:AH333" si="53">(COUNTA(H10:H11)-COUNTIF($AN$10:$AN$11,1))/(COUNTA($G$10:$G$11)-COUNTIF($AN$10:$AN$11,1))</f>
        <v>0</v>
      </c>
      <c r="I333" s="141">
        <f t="shared" si="53"/>
        <v>0</v>
      </c>
      <c r="J333" s="141">
        <f t="shared" si="53"/>
        <v>0</v>
      </c>
      <c r="K333" s="141">
        <f t="shared" si="53"/>
        <v>0</v>
      </c>
      <c r="L333" s="141">
        <f t="shared" si="53"/>
        <v>0</v>
      </c>
      <c r="M333" s="141">
        <f t="shared" si="53"/>
        <v>0</v>
      </c>
      <c r="N333" s="141">
        <f t="shared" si="53"/>
        <v>0</v>
      </c>
      <c r="O333" s="141">
        <f t="shared" si="53"/>
        <v>0</v>
      </c>
      <c r="P333" s="141">
        <f t="shared" si="53"/>
        <v>0</v>
      </c>
      <c r="Q333" s="141">
        <f t="shared" si="53"/>
        <v>0</v>
      </c>
      <c r="R333" s="141">
        <f t="shared" si="53"/>
        <v>0</v>
      </c>
      <c r="S333" s="141">
        <f t="shared" si="53"/>
        <v>0</v>
      </c>
      <c r="T333" s="141">
        <f t="shared" si="53"/>
        <v>0</v>
      </c>
      <c r="U333" s="141">
        <f t="shared" si="53"/>
        <v>0</v>
      </c>
      <c r="V333" s="141">
        <f t="shared" si="53"/>
        <v>0</v>
      </c>
      <c r="W333" s="141">
        <f t="shared" si="53"/>
        <v>0</v>
      </c>
      <c r="X333" s="141">
        <f t="shared" si="53"/>
        <v>0</v>
      </c>
      <c r="Y333" s="141">
        <f t="shared" si="53"/>
        <v>0</v>
      </c>
      <c r="Z333" s="141">
        <f t="shared" si="53"/>
        <v>0</v>
      </c>
      <c r="AA333" s="141">
        <f t="shared" si="53"/>
        <v>0</v>
      </c>
      <c r="AB333" s="141">
        <f t="shared" si="53"/>
        <v>0</v>
      </c>
      <c r="AC333" s="141">
        <f t="shared" si="53"/>
        <v>0</v>
      </c>
      <c r="AD333" s="141">
        <f t="shared" si="53"/>
        <v>0</v>
      </c>
      <c r="AE333" s="141">
        <f t="shared" si="53"/>
        <v>0</v>
      </c>
      <c r="AF333" s="141">
        <f t="shared" si="53"/>
        <v>0</v>
      </c>
      <c r="AG333" s="141">
        <f t="shared" si="53"/>
        <v>0</v>
      </c>
      <c r="AH333" s="141">
        <f t="shared" si="53"/>
        <v>0</v>
      </c>
      <c r="AI333" s="141">
        <f t="shared" si="47"/>
        <v>0</v>
      </c>
      <c r="AJ333" s="141">
        <f t="shared" si="48"/>
        <v>0</v>
      </c>
      <c r="AK333" s="141">
        <f t="shared" si="49"/>
        <v>0</v>
      </c>
      <c r="AL333" s="141">
        <f t="shared" si="50"/>
        <v>0</v>
      </c>
      <c r="AM333" s="215">
        <f t="shared" si="51"/>
        <v>0</v>
      </c>
      <c r="AN333" s="100"/>
      <c r="AO333" s="102"/>
    </row>
    <row r="334" ht="14.25" customHeight="1">
      <c r="A334" s="390" t="s">
        <v>1248</v>
      </c>
      <c r="B334" s="246"/>
      <c r="C334" s="246"/>
      <c r="D334" s="201"/>
      <c r="E334" s="162"/>
      <c r="F334" s="162"/>
      <c r="G334" s="162"/>
      <c r="H334" s="141">
        <f t="shared" ref="H334:AH334" si="54">AVERAGE(H335,H344,H348,H349)</f>
        <v>0.3594246032</v>
      </c>
      <c r="I334" s="141">
        <f t="shared" si="54"/>
        <v>0.3443818681</v>
      </c>
      <c r="J334" s="141">
        <f t="shared" si="54"/>
        <v>0.3443818681</v>
      </c>
      <c r="K334" s="141">
        <f t="shared" si="54"/>
        <v>0.3443818681</v>
      </c>
      <c r="L334" s="141">
        <f t="shared" si="54"/>
        <v>0.3443818681</v>
      </c>
      <c r="M334" s="141">
        <f t="shared" si="54"/>
        <v>0.3594246032</v>
      </c>
      <c r="N334" s="141">
        <f t="shared" si="54"/>
        <v>0.3629960317</v>
      </c>
      <c r="O334" s="141">
        <f t="shared" si="54"/>
        <v>0.3594246032</v>
      </c>
      <c r="P334" s="141">
        <f t="shared" si="54"/>
        <v>0.3608134921</v>
      </c>
      <c r="Q334" s="141">
        <f t="shared" si="54"/>
        <v>0.3643849206</v>
      </c>
      <c r="R334" s="141">
        <f t="shared" si="54"/>
        <v>0.3608134921</v>
      </c>
      <c r="S334" s="141">
        <f t="shared" si="54"/>
        <v>0.3608134921</v>
      </c>
      <c r="T334" s="141">
        <f t="shared" si="54"/>
        <v>0.362202381</v>
      </c>
      <c r="U334" s="141">
        <f t="shared" si="54"/>
        <v>0.362202381</v>
      </c>
      <c r="V334" s="141">
        <f t="shared" si="54"/>
        <v>0.362202381</v>
      </c>
      <c r="W334" s="141">
        <f t="shared" si="54"/>
        <v>0.8142857143</v>
      </c>
      <c r="X334" s="141">
        <f t="shared" si="54"/>
        <v>0.5485119048</v>
      </c>
      <c r="Y334" s="141">
        <f t="shared" si="54"/>
        <v>0.5360119048</v>
      </c>
      <c r="Z334" s="141">
        <f t="shared" si="54"/>
        <v>0.3932539683</v>
      </c>
      <c r="AA334" s="141">
        <f t="shared" si="54"/>
        <v>0.3446428571</v>
      </c>
      <c r="AB334" s="141">
        <f t="shared" si="54"/>
        <v>0.8043772894</v>
      </c>
      <c r="AC334" s="141">
        <f t="shared" si="54"/>
        <v>0.8028388278</v>
      </c>
      <c r="AD334" s="141">
        <f t="shared" si="54"/>
        <v>0.8028388278</v>
      </c>
      <c r="AE334" s="141">
        <f t="shared" si="54"/>
        <v>0.8028388278</v>
      </c>
      <c r="AF334" s="141">
        <f t="shared" si="54"/>
        <v>0.8445054945</v>
      </c>
      <c r="AG334" s="141">
        <f t="shared" si="54"/>
        <v>0.8445054945</v>
      </c>
      <c r="AH334" s="141">
        <f t="shared" si="54"/>
        <v>0.8445054945</v>
      </c>
      <c r="AI334" s="141">
        <f t="shared" si="47"/>
        <v>0.3994468101</v>
      </c>
      <c r="AJ334" s="141">
        <f t="shared" si="48"/>
        <v>0.8142857143</v>
      </c>
      <c r="AK334" s="141">
        <f t="shared" si="49"/>
        <v>0.8209157509</v>
      </c>
      <c r="AL334" s="141">
        <f t="shared" si="50"/>
        <v>0.8200869963</v>
      </c>
      <c r="AM334" s="215">
        <f t="shared" si="51"/>
        <v>0.5087165355</v>
      </c>
      <c r="AN334" s="100"/>
      <c r="AO334" s="102"/>
    </row>
    <row r="335" ht="14.25" customHeight="1">
      <c r="A335" s="247"/>
      <c r="B335" s="393" t="s">
        <v>1251</v>
      </c>
      <c r="C335" s="246"/>
      <c r="D335" s="201"/>
      <c r="E335" s="162"/>
      <c r="F335" s="162"/>
      <c r="G335" s="162"/>
      <c r="H335" s="141">
        <f t="shared" ref="H335:AH335" si="55">AVERAGE(H336:H339,H343)</f>
        <v>0.4376984127</v>
      </c>
      <c r="I335" s="141">
        <f t="shared" si="55"/>
        <v>0.3775274725</v>
      </c>
      <c r="J335" s="141">
        <f t="shared" si="55"/>
        <v>0.3775274725</v>
      </c>
      <c r="K335" s="141">
        <f t="shared" si="55"/>
        <v>0.3775274725</v>
      </c>
      <c r="L335" s="141">
        <f t="shared" si="55"/>
        <v>0.3775274725</v>
      </c>
      <c r="M335" s="141">
        <f t="shared" si="55"/>
        <v>0.4376984127</v>
      </c>
      <c r="N335" s="141">
        <f t="shared" si="55"/>
        <v>0.451984127</v>
      </c>
      <c r="O335" s="141">
        <f t="shared" si="55"/>
        <v>0.4376984127</v>
      </c>
      <c r="P335" s="141">
        <f t="shared" si="55"/>
        <v>0.4432539683</v>
      </c>
      <c r="Q335" s="141">
        <f t="shared" si="55"/>
        <v>0.4575396825</v>
      </c>
      <c r="R335" s="141">
        <f t="shared" si="55"/>
        <v>0.4432539683</v>
      </c>
      <c r="S335" s="141">
        <f t="shared" si="55"/>
        <v>0.4432539683</v>
      </c>
      <c r="T335" s="141">
        <f t="shared" si="55"/>
        <v>0.4488095238</v>
      </c>
      <c r="U335" s="141">
        <f t="shared" si="55"/>
        <v>0.4488095238</v>
      </c>
      <c r="V335" s="141">
        <f t="shared" si="55"/>
        <v>0.4488095238</v>
      </c>
      <c r="W335" s="141">
        <f t="shared" si="55"/>
        <v>0.9238095238</v>
      </c>
      <c r="X335" s="141">
        <f t="shared" si="55"/>
        <v>0.5273809524</v>
      </c>
      <c r="Y335" s="141">
        <f t="shared" si="55"/>
        <v>0.4773809524</v>
      </c>
      <c r="Z335" s="141">
        <f t="shared" si="55"/>
        <v>0.07301587302</v>
      </c>
      <c r="AA335" s="141">
        <f t="shared" si="55"/>
        <v>0.04523809524</v>
      </c>
      <c r="AB335" s="141">
        <f t="shared" si="55"/>
        <v>0.8841758242</v>
      </c>
      <c r="AC335" s="141">
        <f t="shared" si="55"/>
        <v>0.878021978</v>
      </c>
      <c r="AD335" s="141">
        <f t="shared" si="55"/>
        <v>0.878021978</v>
      </c>
      <c r="AE335" s="141">
        <f t="shared" si="55"/>
        <v>0.878021978</v>
      </c>
      <c r="AF335" s="141">
        <f t="shared" si="55"/>
        <v>0.878021978</v>
      </c>
      <c r="AG335" s="141">
        <f t="shared" si="55"/>
        <v>0.878021978</v>
      </c>
      <c r="AH335" s="141">
        <f t="shared" si="55"/>
        <v>0.878021978</v>
      </c>
      <c r="AI335" s="141">
        <f t="shared" si="47"/>
        <v>0.4227872405</v>
      </c>
      <c r="AJ335" s="141">
        <f t="shared" si="48"/>
        <v>0.9238095238</v>
      </c>
      <c r="AK335" s="141">
        <f t="shared" si="49"/>
        <v>0.8789010989</v>
      </c>
      <c r="AL335" s="141">
        <f t="shared" si="50"/>
        <v>0.884514652</v>
      </c>
      <c r="AM335" s="215">
        <f t="shared" si="51"/>
        <v>0.5410389816</v>
      </c>
      <c r="AN335" s="100"/>
      <c r="AO335" s="102"/>
    </row>
    <row r="336" ht="14.25" customHeight="1">
      <c r="A336" s="247"/>
      <c r="B336" s="393"/>
      <c r="C336" s="393"/>
      <c r="D336" s="393" t="s">
        <v>1769</v>
      </c>
      <c r="E336" s="162"/>
      <c r="F336" s="162"/>
      <c r="G336" s="162"/>
      <c r="H336" s="141">
        <f t="shared" ref="H336:AH336" si="56">(COUNTA(H18:H21)-COUNTIF($AN$18:$AN$21,1))/(COUNTA($G$18:$G$21)-COUNTIF($AN$18:$AN$21,1))</f>
        <v>0</v>
      </c>
      <c r="I336" s="141">
        <f t="shared" si="56"/>
        <v>0</v>
      </c>
      <c r="J336" s="141">
        <f t="shared" si="56"/>
        <v>0</v>
      </c>
      <c r="K336" s="141">
        <f t="shared" si="56"/>
        <v>0</v>
      </c>
      <c r="L336" s="141">
        <f t="shared" si="56"/>
        <v>0</v>
      </c>
      <c r="M336" s="141">
        <f t="shared" si="56"/>
        <v>0</v>
      </c>
      <c r="N336" s="141">
        <f t="shared" si="56"/>
        <v>0</v>
      </c>
      <c r="O336" s="141">
        <f t="shared" si="56"/>
        <v>0</v>
      </c>
      <c r="P336" s="141">
        <f t="shared" si="56"/>
        <v>0</v>
      </c>
      <c r="Q336" s="141">
        <f t="shared" si="56"/>
        <v>0</v>
      </c>
      <c r="R336" s="141">
        <f t="shared" si="56"/>
        <v>0</v>
      </c>
      <c r="S336" s="141">
        <f t="shared" si="56"/>
        <v>0</v>
      </c>
      <c r="T336" s="141">
        <f t="shared" si="56"/>
        <v>0</v>
      </c>
      <c r="U336" s="141">
        <f t="shared" si="56"/>
        <v>0</v>
      </c>
      <c r="V336" s="141">
        <f t="shared" si="56"/>
        <v>0</v>
      </c>
      <c r="W336" s="141">
        <f t="shared" si="56"/>
        <v>1</v>
      </c>
      <c r="X336" s="141">
        <f t="shared" si="56"/>
        <v>0.75</v>
      </c>
      <c r="Y336" s="141">
        <f t="shared" si="56"/>
        <v>0.5</v>
      </c>
      <c r="Z336" s="141">
        <f t="shared" si="56"/>
        <v>0</v>
      </c>
      <c r="AA336" s="141">
        <f t="shared" si="56"/>
        <v>0</v>
      </c>
      <c r="AB336" s="141">
        <f t="shared" si="56"/>
        <v>1</v>
      </c>
      <c r="AC336" s="141">
        <f t="shared" si="56"/>
        <v>1</v>
      </c>
      <c r="AD336" s="141">
        <f t="shared" si="56"/>
        <v>1</v>
      </c>
      <c r="AE336" s="141">
        <f t="shared" si="56"/>
        <v>1</v>
      </c>
      <c r="AF336" s="141">
        <f t="shared" si="56"/>
        <v>1</v>
      </c>
      <c r="AG336" s="141">
        <f t="shared" si="56"/>
        <v>1</v>
      </c>
      <c r="AH336" s="141">
        <f t="shared" si="56"/>
        <v>1</v>
      </c>
      <c r="AI336" s="141">
        <f t="shared" si="47"/>
        <v>0.1125</v>
      </c>
      <c r="AJ336" s="141">
        <f t="shared" si="48"/>
        <v>1</v>
      </c>
      <c r="AK336" s="141">
        <f t="shared" si="49"/>
        <v>1</v>
      </c>
      <c r="AL336" s="141">
        <f t="shared" si="50"/>
        <v>1</v>
      </c>
      <c r="AM336" s="215">
        <f t="shared" si="51"/>
        <v>0.3425925926</v>
      </c>
      <c r="AN336" s="100"/>
      <c r="AO336" s="102"/>
    </row>
    <row r="337" ht="14.25" customHeight="1">
      <c r="A337" s="247"/>
      <c r="B337" s="393"/>
      <c r="C337" s="393"/>
      <c r="D337" s="393" t="s">
        <v>1264</v>
      </c>
      <c r="E337" s="162"/>
      <c r="F337" s="162"/>
      <c r="G337" s="162"/>
      <c r="H337" s="436">
        <f t="shared" ref="H337:AH337" si="57">MAX((COUNTA(H23:H100)-COUNTIF($AN$23:$AN$100,1))/(COUNTA($G$23:$G$100)-COUNTIF($AN$23:$AN$100,1)),AVERAGE((COUNTA(H48:H50)-COUNTIF($AN$48:$AN$50,1))/(COUNTA($G$48:$G$50)-COUNTIF($AN$48:$AN$50,1)),(COUNTA(H56:H74)-COUNTIF($AN$56:$AN$74,1))/(COUNTA($G$56:$G$74)-COUNTIF($AN$56:$AN$74,1))))</f>
        <v>0.7777777778</v>
      </c>
      <c r="I337" s="436">
        <f t="shared" si="57"/>
        <v>0.4769230769</v>
      </c>
      <c r="J337" s="436">
        <f t="shared" si="57"/>
        <v>0.4769230769</v>
      </c>
      <c r="K337" s="436">
        <f t="shared" si="57"/>
        <v>0.4769230769</v>
      </c>
      <c r="L337" s="436">
        <f t="shared" si="57"/>
        <v>0.4769230769</v>
      </c>
      <c r="M337" s="436">
        <f t="shared" si="57"/>
        <v>0.7777777778</v>
      </c>
      <c r="N337" s="436">
        <f t="shared" si="57"/>
        <v>0.7777777778</v>
      </c>
      <c r="O337" s="436">
        <f t="shared" si="57"/>
        <v>0.7777777778</v>
      </c>
      <c r="P337" s="436">
        <f t="shared" si="57"/>
        <v>0.8055555556</v>
      </c>
      <c r="Q337" s="436">
        <f t="shared" si="57"/>
        <v>0.8055555556</v>
      </c>
      <c r="R337" s="436">
        <f t="shared" si="57"/>
        <v>0.8055555556</v>
      </c>
      <c r="S337" s="436">
        <f t="shared" si="57"/>
        <v>0.8055555556</v>
      </c>
      <c r="T337" s="436">
        <f t="shared" si="57"/>
        <v>0.8333333333</v>
      </c>
      <c r="U337" s="436">
        <f t="shared" si="57"/>
        <v>0.8333333333</v>
      </c>
      <c r="V337" s="436">
        <f t="shared" si="57"/>
        <v>0.8333333333</v>
      </c>
      <c r="W337" s="436">
        <f t="shared" si="57"/>
        <v>0.8333333333</v>
      </c>
      <c r="X337" s="436">
        <f t="shared" si="57"/>
        <v>0.8333333333</v>
      </c>
      <c r="Y337" s="436">
        <f t="shared" si="57"/>
        <v>0.8333333333</v>
      </c>
      <c r="Z337" s="436">
        <f t="shared" si="57"/>
        <v>0.2222222222</v>
      </c>
      <c r="AA337" s="436">
        <f t="shared" si="57"/>
        <v>0.08333333333</v>
      </c>
      <c r="AB337" s="436">
        <f t="shared" si="57"/>
        <v>0.4923076923</v>
      </c>
      <c r="AC337" s="436">
        <f t="shared" si="57"/>
        <v>0.4615384615</v>
      </c>
      <c r="AD337" s="436">
        <f t="shared" si="57"/>
        <v>0.4615384615</v>
      </c>
      <c r="AE337" s="436">
        <f t="shared" si="57"/>
        <v>0.4615384615</v>
      </c>
      <c r="AF337" s="436">
        <f t="shared" si="57"/>
        <v>0.4615384615</v>
      </c>
      <c r="AG337" s="436">
        <f t="shared" si="57"/>
        <v>0.4615384615</v>
      </c>
      <c r="AH337" s="436">
        <f t="shared" si="57"/>
        <v>0.4615384615</v>
      </c>
      <c r="AI337" s="141">
        <f t="shared" si="47"/>
        <v>0.6773290598</v>
      </c>
      <c r="AJ337" s="141">
        <f t="shared" si="48"/>
        <v>0.8333333333</v>
      </c>
      <c r="AK337" s="141">
        <f t="shared" si="49"/>
        <v>0.4659340659</v>
      </c>
      <c r="AL337" s="141">
        <f t="shared" si="50"/>
        <v>0.5118589744</v>
      </c>
      <c r="AM337" s="215">
        <f t="shared" si="51"/>
        <v>0.6225229503</v>
      </c>
      <c r="AN337" s="100"/>
      <c r="AO337" s="102"/>
    </row>
    <row r="338" ht="14.25" customHeight="1">
      <c r="A338" s="247"/>
      <c r="B338" s="393"/>
      <c r="C338" s="393"/>
      <c r="D338" s="393" t="s">
        <v>1286</v>
      </c>
      <c r="E338" s="162"/>
      <c r="F338" s="162"/>
      <c r="G338" s="162"/>
      <c r="H338" s="436">
        <f t="shared" ref="H338:AH338" si="58">MAX((COUNTA(H34:H37)-COUNTIF($AN$34:$AN$37,1))/(COUNTA($G$34:$G$37)-COUNTIF($AN$34:$AN$37,1)),AVERAGE(COUNTA(H52),(COUNTA(H76:H79)-COUNTIF($AN$76:$AN$79,1))/(COUNTA($G$76:$G$79)-COUNTIF($AN$76:$AN$79,1))))</f>
        <v>0.625</v>
      </c>
      <c r="I338" s="436">
        <f t="shared" si="58"/>
        <v>0.625</v>
      </c>
      <c r="J338" s="436">
        <f t="shared" si="58"/>
        <v>0.625</v>
      </c>
      <c r="K338" s="436">
        <f t="shared" si="58"/>
        <v>0.625</v>
      </c>
      <c r="L338" s="436">
        <f t="shared" si="58"/>
        <v>0.625</v>
      </c>
      <c r="M338" s="436">
        <f t="shared" si="58"/>
        <v>0.625</v>
      </c>
      <c r="N338" s="436">
        <f t="shared" si="58"/>
        <v>0.625</v>
      </c>
      <c r="O338" s="436">
        <f t="shared" si="58"/>
        <v>0.625</v>
      </c>
      <c r="P338" s="436">
        <f t="shared" si="58"/>
        <v>0.625</v>
      </c>
      <c r="Q338" s="436">
        <f t="shared" si="58"/>
        <v>0.625</v>
      </c>
      <c r="R338" s="436">
        <f t="shared" si="58"/>
        <v>0.625</v>
      </c>
      <c r="S338" s="436">
        <f t="shared" si="58"/>
        <v>0.625</v>
      </c>
      <c r="T338" s="436">
        <f t="shared" si="58"/>
        <v>0.625</v>
      </c>
      <c r="U338" s="436">
        <f t="shared" si="58"/>
        <v>0.625</v>
      </c>
      <c r="V338" s="436">
        <f t="shared" si="58"/>
        <v>0.625</v>
      </c>
      <c r="W338" s="436">
        <f t="shared" si="58"/>
        <v>1</v>
      </c>
      <c r="X338" s="436">
        <f t="shared" si="58"/>
        <v>0.125</v>
      </c>
      <c r="Y338" s="436">
        <f t="shared" si="58"/>
        <v>0.125</v>
      </c>
      <c r="Z338" s="436">
        <f t="shared" si="58"/>
        <v>0</v>
      </c>
      <c r="AA338" s="436">
        <f t="shared" si="58"/>
        <v>0</v>
      </c>
      <c r="AB338" s="436">
        <f t="shared" si="58"/>
        <v>1</v>
      </c>
      <c r="AC338" s="436">
        <f t="shared" si="58"/>
        <v>1</v>
      </c>
      <c r="AD338" s="436">
        <f t="shared" si="58"/>
        <v>1</v>
      </c>
      <c r="AE338" s="436">
        <f t="shared" si="58"/>
        <v>1</v>
      </c>
      <c r="AF338" s="436">
        <f t="shared" si="58"/>
        <v>1</v>
      </c>
      <c r="AG338" s="436">
        <f t="shared" si="58"/>
        <v>1</v>
      </c>
      <c r="AH338" s="436">
        <f t="shared" si="58"/>
        <v>1</v>
      </c>
      <c r="AI338" s="141">
        <f t="shared" si="47"/>
        <v>0.53125</v>
      </c>
      <c r="AJ338" s="141">
        <f t="shared" si="48"/>
        <v>1</v>
      </c>
      <c r="AK338" s="141">
        <f t="shared" si="49"/>
        <v>1</v>
      </c>
      <c r="AL338" s="141">
        <f t="shared" si="50"/>
        <v>1</v>
      </c>
      <c r="AM338" s="215">
        <f t="shared" si="51"/>
        <v>0.6527777778</v>
      </c>
      <c r="AN338" s="100"/>
      <c r="AO338" s="102"/>
    </row>
    <row r="339" ht="14.25" customHeight="1">
      <c r="A339" s="247"/>
      <c r="B339" s="393"/>
      <c r="C339" s="393"/>
      <c r="D339" s="395" t="s">
        <v>1295</v>
      </c>
      <c r="E339" s="162"/>
      <c r="F339" s="162"/>
      <c r="G339" s="162"/>
      <c r="H339" s="436">
        <f t="shared" ref="H339:AH339" si="59">MAX((COUNTA(H39:H45)-COUNTIF($AN$39:$AN$45,1))/(COUNTA($G$39:$G$45)-COUNTIF($AN$39:$AN$45,1)),AVERAGE(COUNTA(H53),(COUNTA(H81:H87)-COUNTIF($AN$81:$AN$87,1))/(COUNTA($G$81:$G$87)-COUNTIF($AN$81:$AN$87,1))))</f>
        <v>0.7857142857</v>
      </c>
      <c r="I339" s="436">
        <f t="shared" si="59"/>
        <v>0.7857142857</v>
      </c>
      <c r="J339" s="436">
        <f t="shared" si="59"/>
        <v>0.7857142857</v>
      </c>
      <c r="K339" s="436">
        <f t="shared" si="59"/>
        <v>0.7857142857</v>
      </c>
      <c r="L339" s="436">
        <f t="shared" si="59"/>
        <v>0.7857142857</v>
      </c>
      <c r="M339" s="436">
        <f t="shared" si="59"/>
        <v>0.7857142857</v>
      </c>
      <c r="N339" s="436">
        <f t="shared" si="59"/>
        <v>0.7857142857</v>
      </c>
      <c r="O339" s="436">
        <f t="shared" si="59"/>
        <v>0.7142857143</v>
      </c>
      <c r="P339" s="436">
        <f t="shared" si="59"/>
        <v>0.7142857143</v>
      </c>
      <c r="Q339" s="436">
        <f t="shared" si="59"/>
        <v>0.7857142857</v>
      </c>
      <c r="R339" s="436">
        <f t="shared" si="59"/>
        <v>0.7857142857</v>
      </c>
      <c r="S339" s="436">
        <f t="shared" si="59"/>
        <v>0.7857142857</v>
      </c>
      <c r="T339" s="436">
        <f t="shared" si="59"/>
        <v>0.7857142857</v>
      </c>
      <c r="U339" s="436">
        <f t="shared" si="59"/>
        <v>0.7857142857</v>
      </c>
      <c r="V339" s="436">
        <f t="shared" si="59"/>
        <v>0.7857142857</v>
      </c>
      <c r="W339" s="436">
        <f t="shared" si="59"/>
        <v>0.7857142857</v>
      </c>
      <c r="X339" s="436">
        <f t="shared" si="59"/>
        <v>0.7857142857</v>
      </c>
      <c r="Y339" s="436">
        <f t="shared" si="59"/>
        <v>0.7857142857</v>
      </c>
      <c r="Z339" s="436">
        <f t="shared" si="59"/>
        <v>0</v>
      </c>
      <c r="AA339" s="436">
        <f t="shared" si="59"/>
        <v>0</v>
      </c>
      <c r="AB339" s="436">
        <f t="shared" si="59"/>
        <v>1</v>
      </c>
      <c r="AC339" s="436">
        <f t="shared" si="59"/>
        <v>1</v>
      </c>
      <c r="AD339" s="436">
        <f t="shared" si="59"/>
        <v>1</v>
      </c>
      <c r="AE339" s="436">
        <f t="shared" si="59"/>
        <v>1</v>
      </c>
      <c r="AF339" s="436">
        <f t="shared" si="59"/>
        <v>1</v>
      </c>
      <c r="AG339" s="436">
        <f t="shared" si="59"/>
        <v>1</v>
      </c>
      <c r="AH339" s="436">
        <f t="shared" si="59"/>
        <v>1</v>
      </c>
      <c r="AI339" s="141">
        <f t="shared" si="47"/>
        <v>0.7</v>
      </c>
      <c r="AJ339" s="141">
        <f t="shared" si="48"/>
        <v>0.7857142857</v>
      </c>
      <c r="AK339" s="141">
        <f t="shared" si="49"/>
        <v>1</v>
      </c>
      <c r="AL339" s="141">
        <f t="shared" si="50"/>
        <v>0.9732142857</v>
      </c>
      <c r="AM339" s="215">
        <f t="shared" si="51"/>
        <v>0.7777777778</v>
      </c>
      <c r="AN339" s="100"/>
      <c r="AO339" s="102"/>
    </row>
    <row r="340" ht="14.25" customHeight="1">
      <c r="A340" s="247"/>
      <c r="B340" s="393"/>
      <c r="C340" s="393" t="s">
        <v>1254</v>
      </c>
      <c r="D340" s="201"/>
      <c r="E340" s="162"/>
      <c r="F340" s="162"/>
      <c r="G340" s="162"/>
      <c r="H340" s="141">
        <f t="shared" ref="H340:AH340" si="60">(COUNTA(H15:H45)-COUNTIF($AN$15:$AN$45,1))/(COUNTA($G$15:$G$45)-COUNTIF($AN$15:$AN$45,1))</f>
        <v>0.5384615385</v>
      </c>
      <c r="I340" s="141">
        <f t="shared" si="60"/>
        <v>0.5384615385</v>
      </c>
      <c r="J340" s="141">
        <f t="shared" si="60"/>
        <v>0.5384615385</v>
      </c>
      <c r="K340" s="141">
        <f t="shared" si="60"/>
        <v>0.5384615385</v>
      </c>
      <c r="L340" s="141">
        <f t="shared" si="60"/>
        <v>0.5384615385</v>
      </c>
      <c r="M340" s="141">
        <f t="shared" si="60"/>
        <v>0.5384615385</v>
      </c>
      <c r="N340" s="141">
        <f t="shared" si="60"/>
        <v>0.5384615385</v>
      </c>
      <c r="O340" s="141">
        <f t="shared" si="60"/>
        <v>0.5384615385</v>
      </c>
      <c r="P340" s="141">
        <f t="shared" si="60"/>
        <v>0.5384615385</v>
      </c>
      <c r="Q340" s="141">
        <f t="shared" si="60"/>
        <v>0.5384615385</v>
      </c>
      <c r="R340" s="141">
        <f t="shared" si="60"/>
        <v>0.5384615385</v>
      </c>
      <c r="S340" s="141">
        <f t="shared" si="60"/>
        <v>0.5384615385</v>
      </c>
      <c r="T340" s="141">
        <f t="shared" si="60"/>
        <v>0.5384615385</v>
      </c>
      <c r="U340" s="141">
        <f t="shared" si="60"/>
        <v>0.5384615385</v>
      </c>
      <c r="V340" s="141">
        <f t="shared" si="60"/>
        <v>0.5384615385</v>
      </c>
      <c r="W340" s="141">
        <f t="shared" si="60"/>
        <v>0.8076923077</v>
      </c>
      <c r="X340" s="141">
        <f t="shared" si="60"/>
        <v>0.1923076923</v>
      </c>
      <c r="Y340" s="141">
        <f t="shared" si="60"/>
        <v>0.1923076923</v>
      </c>
      <c r="Z340" s="141">
        <f t="shared" si="60"/>
        <v>0</v>
      </c>
      <c r="AA340" s="141">
        <f t="shared" si="60"/>
        <v>0</v>
      </c>
      <c r="AB340" s="141">
        <f t="shared" si="60"/>
        <v>0.9615384615</v>
      </c>
      <c r="AC340" s="141">
        <f t="shared" si="60"/>
        <v>0.9615384615</v>
      </c>
      <c r="AD340" s="141">
        <f t="shared" si="60"/>
        <v>0.9615384615</v>
      </c>
      <c r="AE340" s="141">
        <f t="shared" si="60"/>
        <v>0.9615384615</v>
      </c>
      <c r="AF340" s="141">
        <f t="shared" si="60"/>
        <v>0.9615384615</v>
      </c>
      <c r="AG340" s="141">
        <f t="shared" si="60"/>
        <v>0.9615384615</v>
      </c>
      <c r="AH340" s="141">
        <f t="shared" si="60"/>
        <v>0.9615384615</v>
      </c>
      <c r="AI340" s="141">
        <f t="shared" si="47"/>
        <v>0.4634615385</v>
      </c>
      <c r="AJ340" s="141">
        <f t="shared" si="48"/>
        <v>0.8076923077</v>
      </c>
      <c r="AK340" s="141">
        <f t="shared" si="49"/>
        <v>0.9615384615</v>
      </c>
      <c r="AL340" s="141">
        <f t="shared" si="50"/>
        <v>0.9423076923</v>
      </c>
      <c r="AM340" s="215">
        <f t="shared" si="51"/>
        <v>0.5925925926</v>
      </c>
      <c r="AN340" s="100"/>
      <c r="AO340" s="102"/>
    </row>
    <row r="341" ht="14.25" customHeight="1">
      <c r="A341" s="247"/>
      <c r="B341" s="393"/>
      <c r="C341" s="408" t="s">
        <v>1311</v>
      </c>
      <c r="D341" s="201"/>
      <c r="E341" s="162"/>
      <c r="F341" s="162"/>
      <c r="G341" s="162"/>
      <c r="H341" s="141">
        <f t="shared" ref="H341:AH341" si="61">(COUNTA(H48:H53)-COUNTIF($AN$48:$AN$53,1))/(COUNTA($G$48:$G$53)-COUNTIF($AN$48:$AN$53,1))</f>
        <v>1</v>
      </c>
      <c r="I341" s="141">
        <f t="shared" si="61"/>
        <v>0.6</v>
      </c>
      <c r="J341" s="141">
        <f t="shared" si="61"/>
        <v>0.6</v>
      </c>
      <c r="K341" s="141">
        <f t="shared" si="61"/>
        <v>0.6</v>
      </c>
      <c r="L341" s="141">
        <f t="shared" si="61"/>
        <v>0.6</v>
      </c>
      <c r="M341" s="141">
        <f t="shared" si="61"/>
        <v>1</v>
      </c>
      <c r="N341" s="141">
        <f t="shared" si="61"/>
        <v>1</v>
      </c>
      <c r="O341" s="141">
        <f t="shared" si="61"/>
        <v>0.8</v>
      </c>
      <c r="P341" s="141">
        <f t="shared" si="61"/>
        <v>0.8</v>
      </c>
      <c r="Q341" s="141">
        <f t="shared" si="61"/>
        <v>1</v>
      </c>
      <c r="R341" s="141">
        <f t="shared" si="61"/>
        <v>1</v>
      </c>
      <c r="S341" s="141">
        <f t="shared" si="61"/>
        <v>1</v>
      </c>
      <c r="T341" s="141">
        <f t="shared" si="61"/>
        <v>1</v>
      </c>
      <c r="U341" s="141">
        <f t="shared" si="61"/>
        <v>1</v>
      </c>
      <c r="V341" s="141">
        <f t="shared" si="61"/>
        <v>1</v>
      </c>
      <c r="W341" s="141">
        <f t="shared" si="61"/>
        <v>1</v>
      </c>
      <c r="X341" s="141">
        <f t="shared" si="61"/>
        <v>0.8</v>
      </c>
      <c r="Y341" s="141">
        <f t="shared" si="61"/>
        <v>0.8</v>
      </c>
      <c r="Z341" s="141">
        <f t="shared" si="61"/>
        <v>0</v>
      </c>
      <c r="AA341" s="141">
        <f t="shared" si="61"/>
        <v>0</v>
      </c>
      <c r="AB341" s="141">
        <f t="shared" si="61"/>
        <v>0</v>
      </c>
      <c r="AC341" s="141">
        <f t="shared" si="61"/>
        <v>0</v>
      </c>
      <c r="AD341" s="141">
        <f t="shared" si="61"/>
        <v>0</v>
      </c>
      <c r="AE341" s="141">
        <f t="shared" si="61"/>
        <v>0</v>
      </c>
      <c r="AF341" s="141">
        <f t="shared" si="61"/>
        <v>0</v>
      </c>
      <c r="AG341" s="141">
        <f t="shared" si="61"/>
        <v>0</v>
      </c>
      <c r="AH341" s="141">
        <f t="shared" si="61"/>
        <v>0</v>
      </c>
      <c r="AI341" s="141">
        <f t="shared" si="47"/>
        <v>0.78</v>
      </c>
      <c r="AJ341" s="141">
        <f t="shared" si="48"/>
        <v>1</v>
      </c>
      <c r="AK341" s="141">
        <f t="shared" si="49"/>
        <v>0</v>
      </c>
      <c r="AL341" s="141">
        <f t="shared" si="50"/>
        <v>0.125</v>
      </c>
      <c r="AM341" s="215">
        <f t="shared" si="51"/>
        <v>0.5777777778</v>
      </c>
      <c r="AN341" s="100"/>
      <c r="AO341" s="102"/>
    </row>
    <row r="342" ht="14.25" customHeight="1">
      <c r="A342" s="247"/>
      <c r="B342" s="393"/>
      <c r="C342" s="408" t="s">
        <v>1325</v>
      </c>
      <c r="D342" s="201"/>
      <c r="E342" s="162"/>
      <c r="F342" s="162"/>
      <c r="G342" s="162"/>
      <c r="H342" s="141">
        <f t="shared" ref="H342:AH342" si="62">(COUNTA(H56:H87)-COUNTIF($AN$56:$AN$87,1))/(COUNTA($G$56:$G$87)-COUNTIF($AN$56:$AN$87,1))</f>
        <v>0.5172413793</v>
      </c>
      <c r="I342" s="141">
        <f t="shared" si="62"/>
        <v>0.5172413793</v>
      </c>
      <c r="J342" s="141">
        <f t="shared" si="62"/>
        <v>0.5172413793</v>
      </c>
      <c r="K342" s="141">
        <f t="shared" si="62"/>
        <v>0.5172413793</v>
      </c>
      <c r="L342" s="141">
        <f t="shared" si="62"/>
        <v>0.5172413793</v>
      </c>
      <c r="M342" s="141">
        <f t="shared" si="62"/>
        <v>0.5172413793</v>
      </c>
      <c r="N342" s="141">
        <f t="shared" si="62"/>
        <v>0.5172413793</v>
      </c>
      <c r="O342" s="141">
        <f t="shared" si="62"/>
        <v>0.5172413793</v>
      </c>
      <c r="P342" s="141">
        <f t="shared" si="62"/>
        <v>0.5517241379</v>
      </c>
      <c r="Q342" s="141">
        <f t="shared" si="62"/>
        <v>0.5517241379</v>
      </c>
      <c r="R342" s="141">
        <f t="shared" si="62"/>
        <v>0.5517241379</v>
      </c>
      <c r="S342" s="141">
        <f t="shared" si="62"/>
        <v>0.5517241379</v>
      </c>
      <c r="T342" s="141">
        <f t="shared" si="62"/>
        <v>0.5862068966</v>
      </c>
      <c r="U342" s="141">
        <f t="shared" si="62"/>
        <v>0.5862068966</v>
      </c>
      <c r="V342" s="141">
        <f t="shared" si="62"/>
        <v>0.5862068966</v>
      </c>
      <c r="W342" s="141">
        <f t="shared" si="62"/>
        <v>0.5862068966</v>
      </c>
      <c r="X342" s="141">
        <f t="shared" si="62"/>
        <v>0.5862068966</v>
      </c>
      <c r="Y342" s="141">
        <f t="shared" si="62"/>
        <v>0.5862068966</v>
      </c>
      <c r="Z342" s="141">
        <f t="shared" si="62"/>
        <v>0.275862069</v>
      </c>
      <c r="AA342" s="141">
        <f t="shared" si="62"/>
        <v>0.1034482759</v>
      </c>
      <c r="AB342" s="141">
        <f t="shared" si="62"/>
        <v>0.06896551724</v>
      </c>
      <c r="AC342" s="141">
        <f t="shared" si="62"/>
        <v>0</v>
      </c>
      <c r="AD342" s="141">
        <f t="shared" si="62"/>
        <v>0</v>
      </c>
      <c r="AE342" s="141">
        <f t="shared" si="62"/>
        <v>0</v>
      </c>
      <c r="AF342" s="141">
        <f t="shared" si="62"/>
        <v>0</v>
      </c>
      <c r="AG342" s="141">
        <f t="shared" si="62"/>
        <v>0</v>
      </c>
      <c r="AH342" s="141">
        <f t="shared" si="62"/>
        <v>0</v>
      </c>
      <c r="AI342" s="141">
        <f t="shared" si="47"/>
        <v>0.5120689655</v>
      </c>
      <c r="AJ342" s="141">
        <f t="shared" si="48"/>
        <v>0.5862068966</v>
      </c>
      <c r="AK342" s="141">
        <f t="shared" si="49"/>
        <v>0.009852216749</v>
      </c>
      <c r="AL342" s="141">
        <f t="shared" si="50"/>
        <v>0.08189655172</v>
      </c>
      <c r="AM342" s="215">
        <f t="shared" si="51"/>
        <v>0.3818646232</v>
      </c>
      <c r="AN342" s="100"/>
      <c r="AO342" s="102"/>
    </row>
    <row r="343" ht="14.25" customHeight="1">
      <c r="A343" s="247"/>
      <c r="B343" s="393"/>
      <c r="C343" s="393" t="s">
        <v>1389</v>
      </c>
      <c r="D343" s="201"/>
      <c r="E343" s="162"/>
      <c r="F343" s="162"/>
      <c r="G343" s="162"/>
      <c r="H343" s="141">
        <f t="shared" ref="H343:AH343" si="63">(COUNTA(H90:H106)-COUNTIF($AN$90:$AN$106,1))/(COUNTA($G$90:$G$106)-COUNTIF($AN$90:$AN$106,1))</f>
        <v>0</v>
      </c>
      <c r="I343" s="141">
        <f t="shared" si="63"/>
        <v>0</v>
      </c>
      <c r="J343" s="141">
        <f t="shared" si="63"/>
        <v>0</v>
      </c>
      <c r="K343" s="141">
        <f t="shared" si="63"/>
        <v>0</v>
      </c>
      <c r="L343" s="141">
        <f t="shared" si="63"/>
        <v>0</v>
      </c>
      <c r="M343" s="141">
        <f t="shared" si="63"/>
        <v>0</v>
      </c>
      <c r="N343" s="141">
        <f t="shared" si="63"/>
        <v>0.07142857143</v>
      </c>
      <c r="O343" s="141">
        <f t="shared" si="63"/>
        <v>0.07142857143</v>
      </c>
      <c r="P343" s="141">
        <f t="shared" si="63"/>
        <v>0.07142857143</v>
      </c>
      <c r="Q343" s="141">
        <f t="shared" si="63"/>
        <v>0.07142857143</v>
      </c>
      <c r="R343" s="141">
        <f t="shared" si="63"/>
        <v>0</v>
      </c>
      <c r="S343" s="141">
        <f t="shared" si="63"/>
        <v>0</v>
      </c>
      <c r="T343" s="141">
        <f t="shared" si="63"/>
        <v>0</v>
      </c>
      <c r="U343" s="141">
        <f t="shared" si="63"/>
        <v>0</v>
      </c>
      <c r="V343" s="141">
        <f t="shared" si="63"/>
        <v>0</v>
      </c>
      <c r="W343" s="141">
        <f t="shared" si="63"/>
        <v>1</v>
      </c>
      <c r="X343" s="141">
        <f t="shared" si="63"/>
        <v>0.1428571429</v>
      </c>
      <c r="Y343" s="141">
        <f t="shared" si="63"/>
        <v>0.1428571429</v>
      </c>
      <c r="Z343" s="141">
        <f t="shared" si="63"/>
        <v>0.1428571429</v>
      </c>
      <c r="AA343" s="141">
        <f t="shared" si="63"/>
        <v>0.1428571429</v>
      </c>
      <c r="AB343" s="141">
        <f t="shared" si="63"/>
        <v>0.9285714286</v>
      </c>
      <c r="AC343" s="141">
        <f t="shared" si="63"/>
        <v>0.9285714286</v>
      </c>
      <c r="AD343" s="141">
        <f t="shared" si="63"/>
        <v>0.9285714286</v>
      </c>
      <c r="AE343" s="141">
        <f t="shared" si="63"/>
        <v>0.9285714286</v>
      </c>
      <c r="AF343" s="141">
        <f t="shared" si="63"/>
        <v>0.9285714286</v>
      </c>
      <c r="AG343" s="141">
        <f t="shared" si="63"/>
        <v>0.9285714286</v>
      </c>
      <c r="AH343" s="141">
        <f t="shared" si="63"/>
        <v>0.9285714286</v>
      </c>
      <c r="AI343" s="141">
        <f t="shared" si="47"/>
        <v>0.09285714286</v>
      </c>
      <c r="AJ343" s="141">
        <f t="shared" si="48"/>
        <v>1</v>
      </c>
      <c r="AK343" s="141">
        <f t="shared" si="49"/>
        <v>0.9285714286</v>
      </c>
      <c r="AL343" s="141">
        <f t="shared" si="50"/>
        <v>0.9375</v>
      </c>
      <c r="AM343" s="215">
        <f t="shared" si="51"/>
        <v>0.3095238095</v>
      </c>
      <c r="AN343" s="100"/>
      <c r="AO343" s="102"/>
    </row>
    <row r="344" ht="14.25" customHeight="1">
      <c r="A344" s="247"/>
      <c r="B344" s="393" t="s">
        <v>1445</v>
      </c>
      <c r="C344" s="246"/>
      <c r="D344" s="201"/>
      <c r="E344" s="162"/>
      <c r="F344" s="162"/>
      <c r="G344" s="162"/>
      <c r="H344" s="141">
        <f t="shared" ref="H344:AH344" si="64">AVERAGE(H345:H347)</f>
        <v>0.5</v>
      </c>
      <c r="I344" s="141">
        <f t="shared" si="64"/>
        <v>0.5</v>
      </c>
      <c r="J344" s="141">
        <f t="shared" si="64"/>
        <v>0.5</v>
      </c>
      <c r="K344" s="141">
        <f t="shared" si="64"/>
        <v>0.5</v>
      </c>
      <c r="L344" s="141">
        <f t="shared" si="64"/>
        <v>0.5</v>
      </c>
      <c r="M344" s="141">
        <f t="shared" si="64"/>
        <v>0.5</v>
      </c>
      <c r="N344" s="141">
        <f t="shared" si="64"/>
        <v>0.5</v>
      </c>
      <c r="O344" s="141">
        <f t="shared" si="64"/>
        <v>0.5</v>
      </c>
      <c r="P344" s="141">
        <f t="shared" si="64"/>
        <v>0.5</v>
      </c>
      <c r="Q344" s="141">
        <f t="shared" si="64"/>
        <v>0.5</v>
      </c>
      <c r="R344" s="141">
        <f t="shared" si="64"/>
        <v>0.5</v>
      </c>
      <c r="S344" s="141">
        <f t="shared" si="64"/>
        <v>0.5</v>
      </c>
      <c r="T344" s="141">
        <f t="shared" si="64"/>
        <v>0.5</v>
      </c>
      <c r="U344" s="141">
        <f t="shared" si="64"/>
        <v>0.5</v>
      </c>
      <c r="V344" s="141">
        <f t="shared" si="64"/>
        <v>0.5</v>
      </c>
      <c r="W344" s="141">
        <f t="shared" si="64"/>
        <v>0.8333333333</v>
      </c>
      <c r="X344" s="141">
        <f t="shared" si="64"/>
        <v>0.6666666667</v>
      </c>
      <c r="Y344" s="141">
        <f t="shared" si="64"/>
        <v>0.6666666667</v>
      </c>
      <c r="Z344" s="141">
        <f t="shared" si="64"/>
        <v>0.5</v>
      </c>
      <c r="AA344" s="141">
        <f t="shared" si="64"/>
        <v>0.3333333333</v>
      </c>
      <c r="AB344" s="141">
        <f t="shared" si="64"/>
        <v>0.8333333333</v>
      </c>
      <c r="AC344" s="141">
        <f t="shared" si="64"/>
        <v>0.8333333333</v>
      </c>
      <c r="AD344" s="141">
        <f t="shared" si="64"/>
        <v>0.8333333333</v>
      </c>
      <c r="AE344" s="141">
        <f t="shared" si="64"/>
        <v>0.8333333333</v>
      </c>
      <c r="AF344" s="141">
        <f t="shared" si="64"/>
        <v>1</v>
      </c>
      <c r="AG344" s="141">
        <f t="shared" si="64"/>
        <v>1</v>
      </c>
      <c r="AH344" s="141">
        <f t="shared" si="64"/>
        <v>1</v>
      </c>
      <c r="AI344" s="141">
        <f t="shared" si="47"/>
        <v>0.525</v>
      </c>
      <c r="AJ344" s="141">
        <f t="shared" si="48"/>
        <v>0.8333333333</v>
      </c>
      <c r="AK344" s="141">
        <f t="shared" si="49"/>
        <v>0.9047619048</v>
      </c>
      <c r="AL344" s="141">
        <f t="shared" si="50"/>
        <v>0.8958333333</v>
      </c>
      <c r="AM344" s="215">
        <f t="shared" si="51"/>
        <v>0.6234567901</v>
      </c>
      <c r="AN344" s="100"/>
      <c r="AO344" s="102"/>
    </row>
    <row r="345" ht="14.25" customHeight="1">
      <c r="A345" s="247"/>
      <c r="B345" s="201"/>
      <c r="C345" s="393" t="s">
        <v>1474</v>
      </c>
      <c r="D345" s="201"/>
      <c r="E345" s="162"/>
      <c r="F345" s="162"/>
      <c r="G345" s="162"/>
      <c r="H345" s="141">
        <f t="shared" ref="H345:AH345" si="65">(COUNTA(H119:H120)-COUNTIF($AN$119:$AN$120,1))/(COUNTA($G$119:$G$120)-COUNTIF($AN$119:$AN$120,1))</f>
        <v>1</v>
      </c>
      <c r="I345" s="141">
        <f t="shared" si="65"/>
        <v>1</v>
      </c>
      <c r="J345" s="141">
        <f t="shared" si="65"/>
        <v>1</v>
      </c>
      <c r="K345" s="141">
        <f t="shared" si="65"/>
        <v>1</v>
      </c>
      <c r="L345" s="141">
        <f t="shared" si="65"/>
        <v>1</v>
      </c>
      <c r="M345" s="141">
        <f t="shared" si="65"/>
        <v>1</v>
      </c>
      <c r="N345" s="141">
        <f t="shared" si="65"/>
        <v>1</v>
      </c>
      <c r="O345" s="141">
        <f t="shared" si="65"/>
        <v>1</v>
      </c>
      <c r="P345" s="141">
        <f t="shared" si="65"/>
        <v>1</v>
      </c>
      <c r="Q345" s="141">
        <f t="shared" si="65"/>
        <v>1</v>
      </c>
      <c r="R345" s="141">
        <f t="shared" si="65"/>
        <v>1</v>
      </c>
      <c r="S345" s="141">
        <f t="shared" si="65"/>
        <v>1</v>
      </c>
      <c r="T345" s="141">
        <f t="shared" si="65"/>
        <v>1</v>
      </c>
      <c r="U345" s="141">
        <f t="shared" si="65"/>
        <v>1</v>
      </c>
      <c r="V345" s="141">
        <f t="shared" si="65"/>
        <v>1</v>
      </c>
      <c r="W345" s="141">
        <f t="shared" si="65"/>
        <v>1</v>
      </c>
      <c r="X345" s="141">
        <f t="shared" si="65"/>
        <v>1</v>
      </c>
      <c r="Y345" s="141">
        <f t="shared" si="65"/>
        <v>1</v>
      </c>
      <c r="Z345" s="141">
        <f t="shared" si="65"/>
        <v>0.5</v>
      </c>
      <c r="AA345" s="141">
        <f t="shared" si="65"/>
        <v>0</v>
      </c>
      <c r="AB345" s="141">
        <f t="shared" si="65"/>
        <v>1</v>
      </c>
      <c r="AC345" s="141">
        <f t="shared" si="65"/>
        <v>1</v>
      </c>
      <c r="AD345" s="141">
        <f t="shared" si="65"/>
        <v>1</v>
      </c>
      <c r="AE345" s="141">
        <f t="shared" si="65"/>
        <v>1</v>
      </c>
      <c r="AF345" s="141">
        <f t="shared" si="65"/>
        <v>1</v>
      </c>
      <c r="AG345" s="141">
        <f t="shared" si="65"/>
        <v>1</v>
      </c>
      <c r="AH345" s="141">
        <f t="shared" si="65"/>
        <v>1</v>
      </c>
      <c r="AI345" s="141">
        <f t="shared" si="47"/>
        <v>0.925</v>
      </c>
      <c r="AJ345" s="141">
        <f t="shared" si="48"/>
        <v>1</v>
      </c>
      <c r="AK345" s="141">
        <f t="shared" si="49"/>
        <v>1</v>
      </c>
      <c r="AL345" s="141">
        <f t="shared" si="50"/>
        <v>1</v>
      </c>
      <c r="AM345" s="215">
        <f t="shared" si="51"/>
        <v>0.9444444444</v>
      </c>
      <c r="AN345" s="100"/>
      <c r="AO345" s="102"/>
    </row>
    <row r="346" ht="14.25" customHeight="1">
      <c r="A346" s="247"/>
      <c r="B346" s="201"/>
      <c r="C346" s="393" t="s">
        <v>1770</v>
      </c>
      <c r="D346" s="201"/>
      <c r="E346" s="162"/>
      <c r="F346" s="162"/>
      <c r="G346" s="162"/>
      <c r="H346" s="141">
        <f t="shared" ref="H346:AH346" si="66">(COUNTA(H122:H125)-COUNTIF($AN$122:$AN$125,1))/(COUNTA($G$122:$G$125)-COUNTIF($AN$122:$AN$125,1))</f>
        <v>0.5</v>
      </c>
      <c r="I346" s="141">
        <f t="shared" si="66"/>
        <v>0.5</v>
      </c>
      <c r="J346" s="141">
        <f t="shared" si="66"/>
        <v>0.5</v>
      </c>
      <c r="K346" s="141">
        <f t="shared" si="66"/>
        <v>0.5</v>
      </c>
      <c r="L346" s="141">
        <f t="shared" si="66"/>
        <v>0.5</v>
      </c>
      <c r="M346" s="141">
        <f t="shared" si="66"/>
        <v>0.5</v>
      </c>
      <c r="N346" s="141">
        <f t="shared" si="66"/>
        <v>0.5</v>
      </c>
      <c r="O346" s="141">
        <f t="shared" si="66"/>
        <v>0.5</v>
      </c>
      <c r="P346" s="141">
        <f t="shared" si="66"/>
        <v>0.5</v>
      </c>
      <c r="Q346" s="141">
        <f t="shared" si="66"/>
        <v>0.5</v>
      </c>
      <c r="R346" s="141">
        <f t="shared" si="66"/>
        <v>0.5</v>
      </c>
      <c r="S346" s="141">
        <f t="shared" si="66"/>
        <v>0.5</v>
      </c>
      <c r="T346" s="141">
        <f t="shared" si="66"/>
        <v>0.5</v>
      </c>
      <c r="U346" s="141">
        <f t="shared" si="66"/>
        <v>0.5</v>
      </c>
      <c r="V346" s="141">
        <f t="shared" si="66"/>
        <v>0.5</v>
      </c>
      <c r="W346" s="141">
        <f t="shared" si="66"/>
        <v>0.5</v>
      </c>
      <c r="X346" s="141">
        <f t="shared" si="66"/>
        <v>0</v>
      </c>
      <c r="Y346" s="141">
        <f t="shared" si="66"/>
        <v>0</v>
      </c>
      <c r="Z346" s="141">
        <f t="shared" si="66"/>
        <v>0</v>
      </c>
      <c r="AA346" s="141">
        <f t="shared" si="66"/>
        <v>0</v>
      </c>
      <c r="AB346" s="141">
        <f t="shared" si="66"/>
        <v>0.5</v>
      </c>
      <c r="AC346" s="141">
        <f t="shared" si="66"/>
        <v>0.5</v>
      </c>
      <c r="AD346" s="141">
        <f t="shared" si="66"/>
        <v>0.5</v>
      </c>
      <c r="AE346" s="141">
        <f t="shared" si="66"/>
        <v>0.5</v>
      </c>
      <c r="AF346" s="141">
        <f t="shared" si="66"/>
        <v>1</v>
      </c>
      <c r="AG346" s="141">
        <f t="shared" si="66"/>
        <v>1</v>
      </c>
      <c r="AH346" s="141">
        <f t="shared" si="66"/>
        <v>1</v>
      </c>
      <c r="AI346" s="141">
        <f t="shared" si="47"/>
        <v>0.4</v>
      </c>
      <c r="AJ346" s="141">
        <f t="shared" si="48"/>
        <v>0.5</v>
      </c>
      <c r="AK346" s="141">
        <f t="shared" si="49"/>
        <v>0.7142857143</v>
      </c>
      <c r="AL346" s="141">
        <f t="shared" si="50"/>
        <v>0.6875</v>
      </c>
      <c r="AM346" s="215">
        <f t="shared" si="51"/>
        <v>0.4814814815</v>
      </c>
      <c r="AN346" s="100"/>
      <c r="AO346" s="102"/>
    </row>
    <row r="347" ht="14.25" customHeight="1">
      <c r="A347" s="247"/>
      <c r="B347" s="100"/>
      <c r="C347" s="393" t="s">
        <v>1458</v>
      </c>
      <c r="D347" s="201"/>
      <c r="E347" s="162"/>
      <c r="F347" s="162"/>
      <c r="G347" s="162"/>
      <c r="H347" s="141">
        <f t="shared" ref="H347:AH347" si="67">COUNTA(H127)</f>
        <v>0</v>
      </c>
      <c r="I347" s="141">
        <f t="shared" si="67"/>
        <v>0</v>
      </c>
      <c r="J347" s="141">
        <f t="shared" si="67"/>
        <v>0</v>
      </c>
      <c r="K347" s="141">
        <f t="shared" si="67"/>
        <v>0</v>
      </c>
      <c r="L347" s="141">
        <f t="shared" si="67"/>
        <v>0</v>
      </c>
      <c r="M347" s="141">
        <f t="shared" si="67"/>
        <v>0</v>
      </c>
      <c r="N347" s="141">
        <f t="shared" si="67"/>
        <v>0</v>
      </c>
      <c r="O347" s="141">
        <f t="shared" si="67"/>
        <v>0</v>
      </c>
      <c r="P347" s="141">
        <f t="shared" si="67"/>
        <v>0</v>
      </c>
      <c r="Q347" s="141">
        <f t="shared" si="67"/>
        <v>0</v>
      </c>
      <c r="R347" s="141">
        <f t="shared" si="67"/>
        <v>0</v>
      </c>
      <c r="S347" s="141">
        <f t="shared" si="67"/>
        <v>0</v>
      </c>
      <c r="T347" s="141">
        <f t="shared" si="67"/>
        <v>0</v>
      </c>
      <c r="U347" s="141">
        <f t="shared" si="67"/>
        <v>0</v>
      </c>
      <c r="V347" s="141">
        <f t="shared" si="67"/>
        <v>0</v>
      </c>
      <c r="W347" s="141">
        <f t="shared" si="67"/>
        <v>1</v>
      </c>
      <c r="X347" s="141">
        <f t="shared" si="67"/>
        <v>1</v>
      </c>
      <c r="Y347" s="141">
        <f t="shared" si="67"/>
        <v>1</v>
      </c>
      <c r="Z347" s="141">
        <f t="shared" si="67"/>
        <v>1</v>
      </c>
      <c r="AA347" s="141">
        <f t="shared" si="67"/>
        <v>1</v>
      </c>
      <c r="AB347" s="141">
        <f t="shared" si="67"/>
        <v>1</v>
      </c>
      <c r="AC347" s="141">
        <f t="shared" si="67"/>
        <v>1</v>
      </c>
      <c r="AD347" s="141">
        <f t="shared" si="67"/>
        <v>1</v>
      </c>
      <c r="AE347" s="141">
        <f t="shared" si="67"/>
        <v>1</v>
      </c>
      <c r="AF347" s="141">
        <f t="shared" si="67"/>
        <v>1</v>
      </c>
      <c r="AG347" s="141">
        <f t="shared" si="67"/>
        <v>1</v>
      </c>
      <c r="AH347" s="141">
        <f t="shared" si="67"/>
        <v>1</v>
      </c>
      <c r="AI347" s="141">
        <f t="shared" si="47"/>
        <v>0.25</v>
      </c>
      <c r="AJ347" s="141">
        <f t="shared" si="48"/>
        <v>1</v>
      </c>
      <c r="AK347" s="141">
        <f t="shared" si="49"/>
        <v>1</v>
      </c>
      <c r="AL347" s="141">
        <f t="shared" si="50"/>
        <v>1</v>
      </c>
      <c r="AM347" s="215">
        <f t="shared" si="51"/>
        <v>0.4444444444</v>
      </c>
      <c r="AN347" s="100"/>
      <c r="AO347" s="102"/>
    </row>
    <row r="348" ht="13.5" customHeight="1">
      <c r="A348" s="247"/>
      <c r="B348" s="393" t="s">
        <v>1473</v>
      </c>
      <c r="C348" s="246"/>
      <c r="D348" s="201"/>
      <c r="E348" s="162"/>
      <c r="F348" s="162"/>
      <c r="G348" s="162"/>
      <c r="H348" s="141">
        <f t="shared" ref="H348:AH348" si="68">(COUNTA(H136:H137)-COUNTIF($AN136:$AN137,1))/(COUNTA($G136:$G137)-COUNTIF($AN136:$AN137,1))</f>
        <v>0</v>
      </c>
      <c r="I348" s="141">
        <f t="shared" si="68"/>
        <v>0</v>
      </c>
      <c r="J348" s="141">
        <f t="shared" si="68"/>
        <v>0</v>
      </c>
      <c r="K348" s="141">
        <f t="shared" si="68"/>
        <v>0</v>
      </c>
      <c r="L348" s="141">
        <f t="shared" si="68"/>
        <v>0</v>
      </c>
      <c r="M348" s="141">
        <f t="shared" si="68"/>
        <v>0</v>
      </c>
      <c r="N348" s="141">
        <f t="shared" si="68"/>
        <v>0</v>
      </c>
      <c r="O348" s="141">
        <f t="shared" si="68"/>
        <v>0</v>
      </c>
      <c r="P348" s="141">
        <f t="shared" si="68"/>
        <v>0</v>
      </c>
      <c r="Q348" s="141">
        <f t="shared" si="68"/>
        <v>0</v>
      </c>
      <c r="R348" s="141">
        <f t="shared" si="68"/>
        <v>0</v>
      </c>
      <c r="S348" s="141">
        <f t="shared" si="68"/>
        <v>0</v>
      </c>
      <c r="T348" s="141">
        <f t="shared" si="68"/>
        <v>0</v>
      </c>
      <c r="U348" s="141">
        <f t="shared" si="68"/>
        <v>0</v>
      </c>
      <c r="V348" s="141">
        <f t="shared" si="68"/>
        <v>0</v>
      </c>
      <c r="W348" s="141">
        <f t="shared" si="68"/>
        <v>0.5</v>
      </c>
      <c r="X348" s="141">
        <f t="shared" si="68"/>
        <v>0.5</v>
      </c>
      <c r="Y348" s="141">
        <f t="shared" si="68"/>
        <v>0.5</v>
      </c>
      <c r="Z348" s="141">
        <f t="shared" si="68"/>
        <v>0.5</v>
      </c>
      <c r="AA348" s="141">
        <f t="shared" si="68"/>
        <v>0.5</v>
      </c>
      <c r="AB348" s="141">
        <f t="shared" si="68"/>
        <v>1</v>
      </c>
      <c r="AC348" s="141">
        <f t="shared" si="68"/>
        <v>1</v>
      </c>
      <c r="AD348" s="141">
        <f t="shared" si="68"/>
        <v>1</v>
      </c>
      <c r="AE348" s="141">
        <f t="shared" si="68"/>
        <v>1</v>
      </c>
      <c r="AF348" s="141">
        <f t="shared" si="68"/>
        <v>1</v>
      </c>
      <c r="AG348" s="141">
        <f t="shared" si="68"/>
        <v>1</v>
      </c>
      <c r="AH348" s="141">
        <f t="shared" si="68"/>
        <v>1</v>
      </c>
      <c r="AI348" s="141">
        <f t="shared" si="47"/>
        <v>0.125</v>
      </c>
      <c r="AJ348" s="141">
        <f t="shared" si="48"/>
        <v>0.5</v>
      </c>
      <c r="AK348" s="141">
        <f t="shared" si="49"/>
        <v>1</v>
      </c>
      <c r="AL348" s="141">
        <f t="shared" si="50"/>
        <v>0.9375</v>
      </c>
      <c r="AM348" s="215">
        <f t="shared" si="51"/>
        <v>0.3518518519</v>
      </c>
      <c r="AN348" s="100"/>
      <c r="AO348" s="102"/>
    </row>
    <row r="349" ht="13.5" customHeight="1">
      <c r="A349" s="247"/>
      <c r="B349" s="393" t="s">
        <v>1502</v>
      </c>
      <c r="C349" s="331"/>
      <c r="D349" s="201"/>
      <c r="E349" s="162"/>
      <c r="F349" s="162"/>
      <c r="G349" s="162"/>
      <c r="H349" s="141">
        <f t="shared" ref="H349:AH349" si="69">(COUNTA(H154:H156)-COUNTIF($AN154:$AN156,1))/(COUNTA($G154:$G156)-COUNTIF($AN154:$AN156,1))</f>
        <v>0.5</v>
      </c>
      <c r="I349" s="141">
        <f t="shared" si="69"/>
        <v>0.5</v>
      </c>
      <c r="J349" s="141">
        <f t="shared" si="69"/>
        <v>0.5</v>
      </c>
      <c r="K349" s="141">
        <f t="shared" si="69"/>
        <v>0.5</v>
      </c>
      <c r="L349" s="141">
        <f t="shared" si="69"/>
        <v>0.5</v>
      </c>
      <c r="M349" s="141">
        <f t="shared" si="69"/>
        <v>0.5</v>
      </c>
      <c r="N349" s="141">
        <f t="shared" si="69"/>
        <v>0.5</v>
      </c>
      <c r="O349" s="141">
        <f t="shared" si="69"/>
        <v>0.5</v>
      </c>
      <c r="P349" s="141">
        <f t="shared" si="69"/>
        <v>0.5</v>
      </c>
      <c r="Q349" s="141">
        <f t="shared" si="69"/>
        <v>0.5</v>
      </c>
      <c r="R349" s="141">
        <f t="shared" si="69"/>
        <v>0.5</v>
      </c>
      <c r="S349" s="141">
        <f t="shared" si="69"/>
        <v>0.5</v>
      </c>
      <c r="T349" s="141">
        <f t="shared" si="69"/>
        <v>0.5</v>
      </c>
      <c r="U349" s="141">
        <f t="shared" si="69"/>
        <v>0.5</v>
      </c>
      <c r="V349" s="141">
        <f t="shared" si="69"/>
        <v>0.5</v>
      </c>
      <c r="W349" s="141">
        <f t="shared" si="69"/>
        <v>1</v>
      </c>
      <c r="X349" s="141">
        <f t="shared" si="69"/>
        <v>0.5</v>
      </c>
      <c r="Y349" s="141">
        <f t="shared" si="69"/>
        <v>0.5</v>
      </c>
      <c r="Z349" s="141">
        <f t="shared" si="69"/>
        <v>0.5</v>
      </c>
      <c r="AA349" s="141">
        <f t="shared" si="69"/>
        <v>0.5</v>
      </c>
      <c r="AB349" s="141">
        <f t="shared" si="69"/>
        <v>0.5</v>
      </c>
      <c r="AC349" s="141">
        <f t="shared" si="69"/>
        <v>0.5</v>
      </c>
      <c r="AD349" s="141">
        <f t="shared" si="69"/>
        <v>0.5</v>
      </c>
      <c r="AE349" s="141">
        <f t="shared" si="69"/>
        <v>0.5</v>
      </c>
      <c r="AF349" s="141">
        <f t="shared" si="69"/>
        <v>0.5</v>
      </c>
      <c r="AG349" s="141">
        <f t="shared" si="69"/>
        <v>0.5</v>
      </c>
      <c r="AH349" s="141">
        <f t="shared" si="69"/>
        <v>0.5</v>
      </c>
      <c r="AI349" s="141">
        <f t="shared" si="47"/>
        <v>0.525</v>
      </c>
      <c r="AJ349" s="141">
        <f t="shared" si="48"/>
        <v>1</v>
      </c>
      <c r="AK349" s="141">
        <f t="shared" si="49"/>
        <v>0.5</v>
      </c>
      <c r="AL349" s="141">
        <f t="shared" si="50"/>
        <v>0.5625</v>
      </c>
      <c r="AM349" s="215">
        <f t="shared" si="51"/>
        <v>0.5185185185</v>
      </c>
      <c r="AN349" s="100"/>
      <c r="AO349" s="102"/>
    </row>
    <row r="350" ht="14.25" customHeight="1">
      <c r="A350" s="390" t="s">
        <v>1771</v>
      </c>
      <c r="B350" s="100"/>
      <c r="C350" s="100"/>
      <c r="D350" s="100"/>
      <c r="E350" s="100"/>
      <c r="F350" s="206"/>
      <c r="G350" s="162"/>
      <c r="H350" s="141">
        <f t="shared" ref="H350:AH350" si="70">(COUNTA(H161:H165)-COUNTIF($AN161:$AN165,1))/(COUNTA($G161:$G165)-COUNTIF($AN161:$AN165,1))</f>
        <v>0.2</v>
      </c>
      <c r="I350" s="141">
        <f t="shared" si="70"/>
        <v>0.2</v>
      </c>
      <c r="J350" s="141">
        <f t="shared" si="70"/>
        <v>0.2</v>
      </c>
      <c r="K350" s="141">
        <f t="shared" si="70"/>
        <v>0.2</v>
      </c>
      <c r="L350" s="141">
        <f t="shared" si="70"/>
        <v>0.2</v>
      </c>
      <c r="M350" s="141">
        <f t="shared" si="70"/>
        <v>0.2</v>
      </c>
      <c r="N350" s="141">
        <f t="shared" si="70"/>
        <v>0.2</v>
      </c>
      <c r="O350" s="141">
        <f t="shared" si="70"/>
        <v>0.2</v>
      </c>
      <c r="P350" s="141">
        <f t="shared" si="70"/>
        <v>0.2</v>
      </c>
      <c r="Q350" s="141">
        <f t="shared" si="70"/>
        <v>0.2</v>
      </c>
      <c r="R350" s="141">
        <f t="shared" si="70"/>
        <v>0.2</v>
      </c>
      <c r="S350" s="141">
        <f t="shared" si="70"/>
        <v>0.2</v>
      </c>
      <c r="T350" s="141">
        <f t="shared" si="70"/>
        <v>0.2</v>
      </c>
      <c r="U350" s="141">
        <f t="shared" si="70"/>
        <v>0.2</v>
      </c>
      <c r="V350" s="141">
        <f t="shared" si="70"/>
        <v>0.2</v>
      </c>
      <c r="W350" s="141">
        <f t="shared" si="70"/>
        <v>1</v>
      </c>
      <c r="X350" s="141">
        <f t="shared" si="70"/>
        <v>0.8</v>
      </c>
      <c r="Y350" s="141">
        <f t="shared" si="70"/>
        <v>0.8</v>
      </c>
      <c r="Z350" s="141">
        <f t="shared" si="70"/>
        <v>0.8</v>
      </c>
      <c r="AA350" s="141">
        <f t="shared" si="70"/>
        <v>0.8</v>
      </c>
      <c r="AB350" s="141">
        <f t="shared" si="70"/>
        <v>1</v>
      </c>
      <c r="AC350" s="141">
        <f t="shared" si="70"/>
        <v>0</v>
      </c>
      <c r="AD350" s="141">
        <f t="shared" si="70"/>
        <v>0</v>
      </c>
      <c r="AE350" s="141">
        <f t="shared" si="70"/>
        <v>0</v>
      </c>
      <c r="AF350" s="141">
        <f t="shared" si="70"/>
        <v>0</v>
      </c>
      <c r="AG350" s="141">
        <f t="shared" si="70"/>
        <v>0</v>
      </c>
      <c r="AH350" s="141">
        <f t="shared" si="70"/>
        <v>0</v>
      </c>
      <c r="AI350" s="141">
        <f t="shared" si="47"/>
        <v>0.36</v>
      </c>
      <c r="AJ350" s="141">
        <f t="shared" si="48"/>
        <v>1</v>
      </c>
      <c r="AK350" s="141">
        <f t="shared" si="49"/>
        <v>0.1428571429</v>
      </c>
      <c r="AL350" s="141">
        <f t="shared" si="50"/>
        <v>0.25</v>
      </c>
      <c r="AM350" s="215">
        <f t="shared" si="51"/>
        <v>0.3037037037</v>
      </c>
      <c r="AN350" s="100"/>
      <c r="AO350" s="102"/>
    </row>
    <row r="351" ht="13.5" customHeight="1">
      <c r="A351" s="387" t="s">
        <v>29</v>
      </c>
      <c r="B351" s="423"/>
      <c r="C351" s="423"/>
      <c r="D351" s="423"/>
      <c r="E351" s="388"/>
      <c r="F351" s="388"/>
      <c r="G351" s="388"/>
      <c r="H351" s="141">
        <f t="shared" ref="H351:AH351" si="71">AVERAGE(H352,H362)</f>
        <v>0.4005698006</v>
      </c>
      <c r="I351" s="141">
        <f t="shared" si="71"/>
        <v>0.4005698006</v>
      </c>
      <c r="J351" s="141">
        <f t="shared" si="71"/>
        <v>0.3962962963</v>
      </c>
      <c r="K351" s="141">
        <f t="shared" si="71"/>
        <v>0.3962962963</v>
      </c>
      <c r="L351" s="141">
        <f t="shared" si="71"/>
        <v>0.4005698006</v>
      </c>
      <c r="M351" s="141">
        <f t="shared" si="71"/>
        <v>0.4005698006</v>
      </c>
      <c r="N351" s="141">
        <f t="shared" si="71"/>
        <v>0.4005698006</v>
      </c>
      <c r="O351" s="141">
        <f t="shared" si="71"/>
        <v>0.4005698006</v>
      </c>
      <c r="P351" s="141">
        <f t="shared" si="71"/>
        <v>0.4005698006</v>
      </c>
      <c r="Q351" s="141">
        <f t="shared" si="71"/>
        <v>0.4005698006</v>
      </c>
      <c r="R351" s="141">
        <f t="shared" si="71"/>
        <v>0.4005698006</v>
      </c>
      <c r="S351" s="141">
        <f t="shared" si="71"/>
        <v>0.4005698006</v>
      </c>
      <c r="T351" s="141">
        <f t="shared" si="71"/>
        <v>0.4005698006</v>
      </c>
      <c r="U351" s="141">
        <f t="shared" si="71"/>
        <v>0.4472222222</v>
      </c>
      <c r="V351" s="141">
        <f t="shared" si="71"/>
        <v>0.4472222222</v>
      </c>
      <c r="W351" s="141">
        <f t="shared" si="71"/>
        <v>0.9594017094</v>
      </c>
      <c r="X351" s="141">
        <f t="shared" si="71"/>
        <v>0.6273809524</v>
      </c>
      <c r="Y351" s="141">
        <f t="shared" si="71"/>
        <v>0.6273809524</v>
      </c>
      <c r="Z351" s="141">
        <f t="shared" si="71"/>
        <v>0.3280830281</v>
      </c>
      <c r="AA351" s="141">
        <f t="shared" si="71"/>
        <v>0.3280830281</v>
      </c>
      <c r="AB351" s="141">
        <f t="shared" si="71"/>
        <v>0.9772079772</v>
      </c>
      <c r="AC351" s="141">
        <f t="shared" si="71"/>
        <v>0.4772079772</v>
      </c>
      <c r="AD351" s="141">
        <f t="shared" si="71"/>
        <v>0.4772079772</v>
      </c>
      <c r="AE351" s="141">
        <f t="shared" si="71"/>
        <v>0.4772079772</v>
      </c>
      <c r="AF351" s="141">
        <f t="shared" si="71"/>
        <v>0.4772079772</v>
      </c>
      <c r="AG351" s="141">
        <f t="shared" si="71"/>
        <v>0.4772079772</v>
      </c>
      <c r="AH351" s="141">
        <f t="shared" si="71"/>
        <v>0.4772079772</v>
      </c>
      <c r="AI351" s="141">
        <f t="shared" si="47"/>
        <v>0.4481817257</v>
      </c>
      <c r="AJ351" s="141">
        <f t="shared" si="48"/>
        <v>0.9594017094</v>
      </c>
      <c r="AK351" s="141">
        <f t="shared" si="49"/>
        <v>0.5486365486</v>
      </c>
      <c r="AL351" s="141">
        <f t="shared" si="50"/>
        <v>0.5999821937</v>
      </c>
      <c r="AM351" s="215">
        <f t="shared" si="51"/>
        <v>0.4742255687</v>
      </c>
      <c r="AN351" s="100"/>
      <c r="AO351" s="102"/>
    </row>
    <row r="352" ht="13.5" customHeight="1">
      <c r="A352" s="390" t="s">
        <v>1533</v>
      </c>
      <c r="B352" s="331"/>
      <c r="C352" s="246"/>
      <c r="D352" s="201"/>
      <c r="E352" s="162"/>
      <c r="F352" s="162"/>
      <c r="G352" s="162"/>
      <c r="H352" s="141">
        <f t="shared" ref="H352:AH352" si="72">AVERAGE(H353,H357,H361)</f>
        <v>0.6011396011</v>
      </c>
      <c r="I352" s="141">
        <f t="shared" si="72"/>
        <v>0.6011396011</v>
      </c>
      <c r="J352" s="141">
        <f t="shared" si="72"/>
        <v>0.5925925926</v>
      </c>
      <c r="K352" s="141">
        <f t="shared" si="72"/>
        <v>0.5925925926</v>
      </c>
      <c r="L352" s="141">
        <f t="shared" si="72"/>
        <v>0.6011396011</v>
      </c>
      <c r="M352" s="141">
        <f t="shared" si="72"/>
        <v>0.6011396011</v>
      </c>
      <c r="N352" s="141">
        <f t="shared" si="72"/>
        <v>0.6011396011</v>
      </c>
      <c r="O352" s="141">
        <f t="shared" si="72"/>
        <v>0.6011396011</v>
      </c>
      <c r="P352" s="141">
        <f t="shared" si="72"/>
        <v>0.6011396011</v>
      </c>
      <c r="Q352" s="141">
        <f t="shared" si="72"/>
        <v>0.6011396011</v>
      </c>
      <c r="R352" s="141">
        <f t="shared" si="72"/>
        <v>0.6011396011</v>
      </c>
      <c r="S352" s="141">
        <f t="shared" si="72"/>
        <v>0.6011396011</v>
      </c>
      <c r="T352" s="141">
        <f t="shared" si="72"/>
        <v>0.6011396011</v>
      </c>
      <c r="U352" s="141">
        <f t="shared" si="72"/>
        <v>0.6944444444</v>
      </c>
      <c r="V352" s="141">
        <f t="shared" si="72"/>
        <v>0.6944444444</v>
      </c>
      <c r="W352" s="141">
        <f t="shared" si="72"/>
        <v>0.9188034188</v>
      </c>
      <c r="X352" s="141">
        <f t="shared" si="72"/>
        <v>0.6547619048</v>
      </c>
      <c r="Y352" s="141">
        <f t="shared" si="72"/>
        <v>0.6547619048</v>
      </c>
      <c r="Z352" s="141">
        <f t="shared" si="72"/>
        <v>0.05616605617</v>
      </c>
      <c r="AA352" s="141">
        <f t="shared" si="72"/>
        <v>0.05616605617</v>
      </c>
      <c r="AB352" s="141">
        <f t="shared" si="72"/>
        <v>0.9544159544</v>
      </c>
      <c r="AC352" s="141">
        <f t="shared" si="72"/>
        <v>0.9544159544</v>
      </c>
      <c r="AD352" s="141">
        <f t="shared" si="72"/>
        <v>0.9544159544</v>
      </c>
      <c r="AE352" s="141">
        <f t="shared" si="72"/>
        <v>0.9544159544</v>
      </c>
      <c r="AF352" s="141">
        <f t="shared" si="72"/>
        <v>0.9544159544</v>
      </c>
      <c r="AG352" s="141">
        <f t="shared" si="72"/>
        <v>0.9544159544</v>
      </c>
      <c r="AH352" s="141">
        <f t="shared" si="72"/>
        <v>0.9544159544</v>
      </c>
      <c r="AI352" s="141">
        <f t="shared" si="47"/>
        <v>0.5763634514</v>
      </c>
      <c r="AJ352" s="141">
        <f t="shared" si="48"/>
        <v>0.9188034188</v>
      </c>
      <c r="AK352" s="141">
        <f t="shared" si="49"/>
        <v>0.9544159544</v>
      </c>
      <c r="AL352" s="141">
        <f t="shared" si="50"/>
        <v>0.9499643875</v>
      </c>
      <c r="AM352" s="215">
        <f t="shared" si="51"/>
        <v>0.6743770633</v>
      </c>
      <c r="AN352" s="100"/>
      <c r="AO352" s="102"/>
    </row>
    <row r="353" ht="14.25" customHeight="1">
      <c r="A353" s="247"/>
      <c r="B353" s="393" t="s">
        <v>1534</v>
      </c>
      <c r="C353" s="246"/>
      <c r="D353" s="201"/>
      <c r="E353" s="162"/>
      <c r="F353" s="162"/>
      <c r="G353" s="162"/>
      <c r="H353" s="141">
        <f t="shared" ref="H353:AH353" si="73">AVERAGE(H354:H355,H356)</f>
        <v>0.3034188034</v>
      </c>
      <c r="I353" s="141">
        <f t="shared" si="73"/>
        <v>0.3034188034</v>
      </c>
      <c r="J353" s="141">
        <f t="shared" si="73"/>
        <v>0.2777777778</v>
      </c>
      <c r="K353" s="141">
        <f t="shared" si="73"/>
        <v>0.2777777778</v>
      </c>
      <c r="L353" s="141">
        <f t="shared" si="73"/>
        <v>0.3034188034</v>
      </c>
      <c r="M353" s="141">
        <f t="shared" si="73"/>
        <v>0.3034188034</v>
      </c>
      <c r="N353" s="141">
        <f t="shared" si="73"/>
        <v>0.3034188034</v>
      </c>
      <c r="O353" s="141">
        <f t="shared" si="73"/>
        <v>0.3034188034</v>
      </c>
      <c r="P353" s="141">
        <f t="shared" si="73"/>
        <v>0.3034188034</v>
      </c>
      <c r="Q353" s="141">
        <f t="shared" si="73"/>
        <v>0.3034188034</v>
      </c>
      <c r="R353" s="141">
        <f t="shared" si="73"/>
        <v>0.3034188034</v>
      </c>
      <c r="S353" s="141">
        <f t="shared" si="73"/>
        <v>0.3034188034</v>
      </c>
      <c r="T353" s="141">
        <f t="shared" si="73"/>
        <v>0.3034188034</v>
      </c>
      <c r="U353" s="141">
        <f t="shared" si="73"/>
        <v>0.5833333333</v>
      </c>
      <c r="V353" s="141">
        <f t="shared" si="73"/>
        <v>0.5833333333</v>
      </c>
      <c r="W353" s="141">
        <f t="shared" si="73"/>
        <v>0.9230769231</v>
      </c>
      <c r="X353" s="141">
        <f t="shared" si="73"/>
        <v>0.630952381</v>
      </c>
      <c r="Y353" s="141">
        <f t="shared" si="73"/>
        <v>0.630952381</v>
      </c>
      <c r="Z353" s="141">
        <f t="shared" si="73"/>
        <v>0.1684981685</v>
      </c>
      <c r="AA353" s="141">
        <f t="shared" si="73"/>
        <v>0.1684981685</v>
      </c>
      <c r="AB353" s="141">
        <f t="shared" si="73"/>
        <v>0.8632478632</v>
      </c>
      <c r="AC353" s="141">
        <f t="shared" si="73"/>
        <v>0.8632478632</v>
      </c>
      <c r="AD353" s="141">
        <f t="shared" si="73"/>
        <v>0.8632478632</v>
      </c>
      <c r="AE353" s="141">
        <f t="shared" si="73"/>
        <v>0.8632478632</v>
      </c>
      <c r="AF353" s="141">
        <f t="shared" si="73"/>
        <v>0.8632478632</v>
      </c>
      <c r="AG353" s="141">
        <f t="shared" si="73"/>
        <v>0.8632478632</v>
      </c>
      <c r="AH353" s="141">
        <f t="shared" si="73"/>
        <v>0.8632478632</v>
      </c>
      <c r="AI353" s="141">
        <f t="shared" si="47"/>
        <v>0.3790903541</v>
      </c>
      <c r="AJ353" s="141">
        <f t="shared" si="48"/>
        <v>0.9230769231</v>
      </c>
      <c r="AK353" s="141">
        <f t="shared" si="49"/>
        <v>0.8632478632</v>
      </c>
      <c r="AL353" s="141">
        <f t="shared" si="50"/>
        <v>0.8707264957</v>
      </c>
      <c r="AM353" s="215">
        <f t="shared" si="51"/>
        <v>0.5046126713</v>
      </c>
      <c r="AN353" s="100"/>
      <c r="AO353" s="102"/>
    </row>
    <row r="354" ht="14.25" customHeight="1">
      <c r="A354" s="247"/>
      <c r="B354" s="393"/>
      <c r="C354" s="393"/>
      <c r="D354" s="393" t="s">
        <v>1546</v>
      </c>
      <c r="E354" s="162"/>
      <c r="F354" s="162"/>
      <c r="G354" s="162"/>
      <c r="H354" s="436">
        <f t="shared" ref="H354:AH354" si="74">MAX((COUNTA(H185:H230)-COUNTIF($AN$185:$AN$230,1))/(COUNTA($G$185:$G$230)-COUNTIF($AN$185:$AN$230,1)),AVERAGE(COUNTA(H204),(COUNTA(H211:H220)-COUNTIF($AN$211:$AN$220,1))/(COUNTA($G$211:$G$220)-COUNTIF($AN$211:$AN$220,1))))</f>
        <v>0.4102564103</v>
      </c>
      <c r="I354" s="436">
        <f t="shared" si="74"/>
        <v>0.4102564103</v>
      </c>
      <c r="J354" s="436">
        <f t="shared" si="74"/>
        <v>0.3333333333</v>
      </c>
      <c r="K354" s="436">
        <f t="shared" si="74"/>
        <v>0.3333333333</v>
      </c>
      <c r="L354" s="436">
        <f t="shared" si="74"/>
        <v>0.4102564103</v>
      </c>
      <c r="M354" s="436">
        <f t="shared" si="74"/>
        <v>0.4102564103</v>
      </c>
      <c r="N354" s="436">
        <f t="shared" si="74"/>
        <v>0.4102564103</v>
      </c>
      <c r="O354" s="436">
        <f t="shared" si="74"/>
        <v>0.4102564103</v>
      </c>
      <c r="P354" s="436">
        <f t="shared" si="74"/>
        <v>0.4102564103</v>
      </c>
      <c r="Q354" s="436">
        <f t="shared" si="74"/>
        <v>0.4102564103</v>
      </c>
      <c r="R354" s="436">
        <f t="shared" si="74"/>
        <v>0.4102564103</v>
      </c>
      <c r="S354" s="436">
        <f t="shared" si="74"/>
        <v>0.4102564103</v>
      </c>
      <c r="T354" s="436">
        <f t="shared" si="74"/>
        <v>0.4102564103</v>
      </c>
      <c r="U354" s="436">
        <f t="shared" si="74"/>
        <v>0.75</v>
      </c>
      <c r="V354" s="436">
        <f t="shared" si="74"/>
        <v>0.75</v>
      </c>
      <c r="W354" s="436">
        <f t="shared" si="74"/>
        <v>0.7692307692</v>
      </c>
      <c r="X354" s="436">
        <f t="shared" si="74"/>
        <v>0.75</v>
      </c>
      <c r="Y354" s="436">
        <f t="shared" si="74"/>
        <v>0.75</v>
      </c>
      <c r="Z354" s="436">
        <f t="shared" si="74"/>
        <v>0.07692307692</v>
      </c>
      <c r="AA354" s="436">
        <f t="shared" si="74"/>
        <v>0.07692307692</v>
      </c>
      <c r="AB354" s="436">
        <f t="shared" si="74"/>
        <v>0.5897435897</v>
      </c>
      <c r="AC354" s="436">
        <f t="shared" si="74"/>
        <v>0.5897435897</v>
      </c>
      <c r="AD354" s="436">
        <f t="shared" si="74"/>
        <v>0.5897435897</v>
      </c>
      <c r="AE354" s="436">
        <f t="shared" si="74"/>
        <v>0.5897435897</v>
      </c>
      <c r="AF354" s="436">
        <f t="shared" si="74"/>
        <v>0.5897435897</v>
      </c>
      <c r="AG354" s="436">
        <f t="shared" si="74"/>
        <v>0.5897435897</v>
      </c>
      <c r="AH354" s="436">
        <f t="shared" si="74"/>
        <v>0.5897435897</v>
      </c>
      <c r="AI354" s="141">
        <f t="shared" si="47"/>
        <v>0.4551282051</v>
      </c>
      <c r="AJ354" s="141">
        <f t="shared" si="48"/>
        <v>0.7692307692</v>
      </c>
      <c r="AK354" s="141">
        <f t="shared" si="49"/>
        <v>0.5897435897</v>
      </c>
      <c r="AL354" s="141">
        <f t="shared" si="50"/>
        <v>0.6121794872</v>
      </c>
      <c r="AM354" s="215">
        <f t="shared" si="51"/>
        <v>0.49002849</v>
      </c>
      <c r="AN354" s="100"/>
      <c r="AO354" s="102"/>
    </row>
    <row r="355" ht="14.25" customHeight="1">
      <c r="A355" s="247"/>
      <c r="B355" s="393"/>
      <c r="C355" s="393"/>
      <c r="D355" s="393" t="s">
        <v>1568</v>
      </c>
      <c r="E355" s="162"/>
      <c r="F355" s="162"/>
      <c r="G355" s="162"/>
      <c r="H355" s="436">
        <f t="shared" ref="H355:AH355" si="75">MAX((COUNTA(H196:H202)-COUNTIF($AN$196:$AN$202,1))/(COUNTA($G$196:$G$202)-COUNTIF($AN$196:$AN$202,1)),AVERAGE(COUNTA(H205),COUNTA(H222)))</f>
        <v>0.5</v>
      </c>
      <c r="I355" s="436">
        <f t="shared" si="75"/>
        <v>0.5</v>
      </c>
      <c r="J355" s="436">
        <f t="shared" si="75"/>
        <v>0.5</v>
      </c>
      <c r="K355" s="436">
        <f t="shared" si="75"/>
        <v>0.5</v>
      </c>
      <c r="L355" s="436">
        <f t="shared" si="75"/>
        <v>0.5</v>
      </c>
      <c r="M355" s="436">
        <f t="shared" si="75"/>
        <v>0.5</v>
      </c>
      <c r="N355" s="436">
        <f t="shared" si="75"/>
        <v>0.5</v>
      </c>
      <c r="O355" s="436">
        <f t="shared" si="75"/>
        <v>0.5</v>
      </c>
      <c r="P355" s="436">
        <f t="shared" si="75"/>
        <v>0.5</v>
      </c>
      <c r="Q355" s="436">
        <f t="shared" si="75"/>
        <v>0.5</v>
      </c>
      <c r="R355" s="436">
        <f t="shared" si="75"/>
        <v>0.5</v>
      </c>
      <c r="S355" s="436">
        <f t="shared" si="75"/>
        <v>0.5</v>
      </c>
      <c r="T355" s="436">
        <f t="shared" si="75"/>
        <v>0.5</v>
      </c>
      <c r="U355" s="436">
        <f t="shared" si="75"/>
        <v>1</v>
      </c>
      <c r="V355" s="436">
        <f t="shared" si="75"/>
        <v>1</v>
      </c>
      <c r="W355" s="436">
        <f t="shared" si="75"/>
        <v>1</v>
      </c>
      <c r="X355" s="436">
        <f t="shared" si="75"/>
        <v>1</v>
      </c>
      <c r="Y355" s="436">
        <f t="shared" si="75"/>
        <v>1</v>
      </c>
      <c r="Z355" s="436">
        <f t="shared" si="75"/>
        <v>0.2857142857</v>
      </c>
      <c r="AA355" s="436">
        <f t="shared" si="75"/>
        <v>0.2857142857</v>
      </c>
      <c r="AB355" s="436">
        <f t="shared" si="75"/>
        <v>1</v>
      </c>
      <c r="AC355" s="436">
        <f t="shared" si="75"/>
        <v>1</v>
      </c>
      <c r="AD355" s="436">
        <f t="shared" si="75"/>
        <v>1</v>
      </c>
      <c r="AE355" s="436">
        <f t="shared" si="75"/>
        <v>1</v>
      </c>
      <c r="AF355" s="436">
        <f t="shared" si="75"/>
        <v>1</v>
      </c>
      <c r="AG355" s="436">
        <f t="shared" si="75"/>
        <v>1</v>
      </c>
      <c r="AH355" s="436">
        <f t="shared" si="75"/>
        <v>1</v>
      </c>
      <c r="AI355" s="141">
        <f t="shared" si="47"/>
        <v>0.6035714286</v>
      </c>
      <c r="AJ355" s="141">
        <f t="shared" si="48"/>
        <v>1</v>
      </c>
      <c r="AK355" s="141">
        <f t="shared" si="49"/>
        <v>1</v>
      </c>
      <c r="AL355" s="141">
        <f t="shared" si="50"/>
        <v>1</v>
      </c>
      <c r="AM355" s="215">
        <f t="shared" si="51"/>
        <v>0.7063492063</v>
      </c>
      <c r="AN355" s="100"/>
      <c r="AO355" s="102"/>
    </row>
    <row r="356" ht="14.25" customHeight="1">
      <c r="A356" s="247"/>
      <c r="B356" s="393"/>
      <c r="C356" s="393" t="s">
        <v>1389</v>
      </c>
      <c r="D356" s="201"/>
      <c r="E356" s="162"/>
      <c r="F356" s="162"/>
      <c r="G356" s="162"/>
      <c r="H356" s="141">
        <f t="shared" ref="H356:AH356" si="76">(COUNTA(H225:H232)-COUNTIF($AN$225:$AN$232,1))/(COUNTA($G$225:$G$232)-COUNTIF($AN$225:$AN$232,1))</f>
        <v>0</v>
      </c>
      <c r="I356" s="141">
        <f t="shared" si="76"/>
        <v>0</v>
      </c>
      <c r="J356" s="141">
        <f t="shared" si="76"/>
        <v>0</v>
      </c>
      <c r="K356" s="141">
        <f t="shared" si="76"/>
        <v>0</v>
      </c>
      <c r="L356" s="141">
        <f t="shared" si="76"/>
        <v>0</v>
      </c>
      <c r="M356" s="141">
        <f t="shared" si="76"/>
        <v>0</v>
      </c>
      <c r="N356" s="141">
        <f t="shared" si="76"/>
        <v>0</v>
      </c>
      <c r="O356" s="141">
        <f t="shared" si="76"/>
        <v>0</v>
      </c>
      <c r="P356" s="141">
        <f t="shared" si="76"/>
        <v>0</v>
      </c>
      <c r="Q356" s="141">
        <f t="shared" si="76"/>
        <v>0</v>
      </c>
      <c r="R356" s="141">
        <f t="shared" si="76"/>
        <v>0</v>
      </c>
      <c r="S356" s="141">
        <f t="shared" si="76"/>
        <v>0</v>
      </c>
      <c r="T356" s="141">
        <f t="shared" si="76"/>
        <v>0</v>
      </c>
      <c r="U356" s="141">
        <f t="shared" si="76"/>
        <v>0</v>
      </c>
      <c r="V356" s="141">
        <f t="shared" si="76"/>
        <v>0</v>
      </c>
      <c r="W356" s="141">
        <f t="shared" si="76"/>
        <v>1</v>
      </c>
      <c r="X356" s="141">
        <f t="shared" si="76"/>
        <v>0.1428571429</v>
      </c>
      <c r="Y356" s="141">
        <f t="shared" si="76"/>
        <v>0.1428571429</v>
      </c>
      <c r="Z356" s="141">
        <f t="shared" si="76"/>
        <v>0.1428571429</v>
      </c>
      <c r="AA356" s="141">
        <f t="shared" si="76"/>
        <v>0.1428571429</v>
      </c>
      <c r="AB356" s="141">
        <f t="shared" si="76"/>
        <v>1</v>
      </c>
      <c r="AC356" s="141">
        <f t="shared" si="76"/>
        <v>1</v>
      </c>
      <c r="AD356" s="141">
        <f t="shared" si="76"/>
        <v>1</v>
      </c>
      <c r="AE356" s="141">
        <f t="shared" si="76"/>
        <v>1</v>
      </c>
      <c r="AF356" s="141">
        <f t="shared" si="76"/>
        <v>1</v>
      </c>
      <c r="AG356" s="141">
        <f t="shared" si="76"/>
        <v>1</v>
      </c>
      <c r="AH356" s="141">
        <f t="shared" si="76"/>
        <v>1</v>
      </c>
      <c r="AI356" s="141">
        <f t="shared" si="47"/>
        <v>0.07857142857</v>
      </c>
      <c r="AJ356" s="141">
        <f t="shared" si="48"/>
        <v>1</v>
      </c>
      <c r="AK356" s="141">
        <f t="shared" si="49"/>
        <v>1</v>
      </c>
      <c r="AL356" s="141">
        <f t="shared" si="50"/>
        <v>1</v>
      </c>
      <c r="AM356" s="215">
        <f t="shared" si="51"/>
        <v>0.3174603175</v>
      </c>
      <c r="AN356" s="100"/>
      <c r="AO356" s="102"/>
    </row>
    <row r="357" ht="14.25" customHeight="1">
      <c r="A357" s="247"/>
      <c r="B357" s="393" t="s">
        <v>1659</v>
      </c>
      <c r="C357" s="246"/>
      <c r="D357" s="201"/>
      <c r="E357" s="162"/>
      <c r="F357" s="162"/>
      <c r="G357" s="162"/>
      <c r="H357" s="141">
        <f t="shared" ref="H357:AH357" si="77">AVERAGE(H358:H360)</f>
        <v>0.5</v>
      </c>
      <c r="I357" s="141">
        <f t="shared" si="77"/>
        <v>0.5</v>
      </c>
      <c r="J357" s="141">
        <f t="shared" si="77"/>
        <v>0.5</v>
      </c>
      <c r="K357" s="141">
        <f t="shared" si="77"/>
        <v>0.5</v>
      </c>
      <c r="L357" s="141">
        <f t="shared" si="77"/>
        <v>0.5</v>
      </c>
      <c r="M357" s="141">
        <f t="shared" si="77"/>
        <v>0.5</v>
      </c>
      <c r="N357" s="141">
        <f t="shared" si="77"/>
        <v>0.5</v>
      </c>
      <c r="O357" s="141">
        <f t="shared" si="77"/>
        <v>0.5</v>
      </c>
      <c r="P357" s="141">
        <f t="shared" si="77"/>
        <v>0.5</v>
      </c>
      <c r="Q357" s="141">
        <f t="shared" si="77"/>
        <v>0.5</v>
      </c>
      <c r="R357" s="141">
        <f t="shared" si="77"/>
        <v>0.5</v>
      </c>
      <c r="S357" s="141">
        <f t="shared" si="77"/>
        <v>0.5</v>
      </c>
      <c r="T357" s="141">
        <f t="shared" si="77"/>
        <v>0.5</v>
      </c>
      <c r="U357" s="141">
        <f t="shared" si="77"/>
        <v>0.5</v>
      </c>
      <c r="V357" s="141">
        <f t="shared" si="77"/>
        <v>0.5</v>
      </c>
      <c r="W357" s="141">
        <f t="shared" si="77"/>
        <v>0.8333333333</v>
      </c>
      <c r="X357" s="141">
        <f t="shared" si="77"/>
        <v>0.3333333333</v>
      </c>
      <c r="Y357" s="141">
        <f t="shared" si="77"/>
        <v>0.3333333333</v>
      </c>
      <c r="Z357" s="141">
        <f t="shared" si="77"/>
        <v>0</v>
      </c>
      <c r="AA357" s="141">
        <f t="shared" si="77"/>
        <v>0</v>
      </c>
      <c r="AB357" s="141">
        <f t="shared" si="77"/>
        <v>1</v>
      </c>
      <c r="AC357" s="141">
        <f t="shared" si="77"/>
        <v>1</v>
      </c>
      <c r="AD357" s="141">
        <f t="shared" si="77"/>
        <v>1</v>
      </c>
      <c r="AE357" s="141">
        <f t="shared" si="77"/>
        <v>1</v>
      </c>
      <c r="AF357" s="141">
        <f t="shared" si="77"/>
        <v>1</v>
      </c>
      <c r="AG357" s="141">
        <f t="shared" si="77"/>
        <v>1</v>
      </c>
      <c r="AH357" s="141">
        <f t="shared" si="77"/>
        <v>1</v>
      </c>
      <c r="AI357" s="141">
        <f t="shared" si="47"/>
        <v>0.45</v>
      </c>
      <c r="AJ357" s="141">
        <f t="shared" si="48"/>
        <v>0.8333333333</v>
      </c>
      <c r="AK357" s="141">
        <f t="shared" si="49"/>
        <v>1</v>
      </c>
      <c r="AL357" s="141">
        <f t="shared" si="50"/>
        <v>0.9791666667</v>
      </c>
      <c r="AM357" s="215">
        <f t="shared" si="51"/>
        <v>0.5925925926</v>
      </c>
      <c r="AN357" s="100"/>
      <c r="AO357" s="102"/>
    </row>
    <row r="358" ht="14.25" customHeight="1">
      <c r="A358" s="247"/>
      <c r="B358" s="201"/>
      <c r="C358" s="393" t="s">
        <v>1474</v>
      </c>
      <c r="D358" s="201"/>
      <c r="E358" s="162"/>
      <c r="F358" s="162"/>
      <c r="G358" s="162"/>
      <c r="H358" s="141">
        <f t="shared" ref="H358:AH358" si="78">COUNTA(H251)</f>
        <v>1</v>
      </c>
      <c r="I358" s="141">
        <f t="shared" si="78"/>
        <v>1</v>
      </c>
      <c r="J358" s="141">
        <f t="shared" si="78"/>
        <v>1</v>
      </c>
      <c r="K358" s="141">
        <f t="shared" si="78"/>
        <v>1</v>
      </c>
      <c r="L358" s="141">
        <f t="shared" si="78"/>
        <v>1</v>
      </c>
      <c r="M358" s="141">
        <f t="shared" si="78"/>
        <v>1</v>
      </c>
      <c r="N358" s="141">
        <f t="shared" si="78"/>
        <v>1</v>
      </c>
      <c r="O358" s="141">
        <f t="shared" si="78"/>
        <v>1</v>
      </c>
      <c r="P358" s="141">
        <f t="shared" si="78"/>
        <v>1</v>
      </c>
      <c r="Q358" s="141">
        <f t="shared" si="78"/>
        <v>1</v>
      </c>
      <c r="R358" s="141">
        <f t="shared" si="78"/>
        <v>1</v>
      </c>
      <c r="S358" s="141">
        <f t="shared" si="78"/>
        <v>1</v>
      </c>
      <c r="T358" s="141">
        <f t="shared" si="78"/>
        <v>1</v>
      </c>
      <c r="U358" s="141">
        <f t="shared" si="78"/>
        <v>1</v>
      </c>
      <c r="V358" s="141">
        <f t="shared" si="78"/>
        <v>1</v>
      </c>
      <c r="W358" s="141">
        <f t="shared" si="78"/>
        <v>1</v>
      </c>
      <c r="X358" s="141">
        <f t="shared" si="78"/>
        <v>1</v>
      </c>
      <c r="Y358" s="141">
        <f t="shared" si="78"/>
        <v>1</v>
      </c>
      <c r="Z358" s="141">
        <f t="shared" si="78"/>
        <v>0</v>
      </c>
      <c r="AA358" s="141">
        <f t="shared" si="78"/>
        <v>0</v>
      </c>
      <c r="AB358" s="141">
        <f t="shared" si="78"/>
        <v>1</v>
      </c>
      <c r="AC358" s="141">
        <f t="shared" si="78"/>
        <v>1</v>
      </c>
      <c r="AD358" s="141">
        <f t="shared" si="78"/>
        <v>1</v>
      </c>
      <c r="AE358" s="141">
        <f t="shared" si="78"/>
        <v>1</v>
      </c>
      <c r="AF358" s="141">
        <f t="shared" si="78"/>
        <v>1</v>
      </c>
      <c r="AG358" s="141">
        <f t="shared" si="78"/>
        <v>1</v>
      </c>
      <c r="AH358" s="141">
        <f t="shared" si="78"/>
        <v>1</v>
      </c>
      <c r="AI358" s="141">
        <f t="shared" si="47"/>
        <v>0.9</v>
      </c>
      <c r="AJ358" s="141">
        <f t="shared" si="48"/>
        <v>1</v>
      </c>
      <c r="AK358" s="141">
        <f t="shared" si="49"/>
        <v>1</v>
      </c>
      <c r="AL358" s="141">
        <f t="shared" si="50"/>
        <v>1</v>
      </c>
      <c r="AM358" s="215">
        <f t="shared" si="51"/>
        <v>0.9259259259</v>
      </c>
      <c r="AN358" s="100"/>
      <c r="AO358" s="102"/>
    </row>
    <row r="359" ht="14.25" customHeight="1">
      <c r="A359" s="247"/>
      <c r="B359" s="201"/>
      <c r="C359" s="393" t="s">
        <v>1770</v>
      </c>
      <c r="D359" s="201"/>
      <c r="E359" s="162"/>
      <c r="F359" s="162"/>
      <c r="G359" s="162"/>
      <c r="H359" s="141">
        <f t="shared" ref="H359:AH359" si="79">(COUNTA(H253:H256)-COUNTIF($AN$253:$AN$256,1))/(COUNTA($G$253:$G$256)-COUNTIF($AN$253:$AN$256,1))</f>
        <v>0.5</v>
      </c>
      <c r="I359" s="141">
        <f t="shared" si="79"/>
        <v>0.5</v>
      </c>
      <c r="J359" s="141">
        <f t="shared" si="79"/>
        <v>0.5</v>
      </c>
      <c r="K359" s="141">
        <f t="shared" si="79"/>
        <v>0.5</v>
      </c>
      <c r="L359" s="141">
        <f t="shared" si="79"/>
        <v>0.5</v>
      </c>
      <c r="M359" s="141">
        <f t="shared" si="79"/>
        <v>0.5</v>
      </c>
      <c r="N359" s="141">
        <f t="shared" si="79"/>
        <v>0.5</v>
      </c>
      <c r="O359" s="141">
        <f t="shared" si="79"/>
        <v>0.5</v>
      </c>
      <c r="P359" s="141">
        <f t="shared" si="79"/>
        <v>0.5</v>
      </c>
      <c r="Q359" s="141">
        <f t="shared" si="79"/>
        <v>0.5</v>
      </c>
      <c r="R359" s="141">
        <f t="shared" si="79"/>
        <v>0.5</v>
      </c>
      <c r="S359" s="141">
        <f t="shared" si="79"/>
        <v>0.5</v>
      </c>
      <c r="T359" s="141">
        <f t="shared" si="79"/>
        <v>0.5</v>
      </c>
      <c r="U359" s="141">
        <f t="shared" si="79"/>
        <v>0.5</v>
      </c>
      <c r="V359" s="141">
        <f t="shared" si="79"/>
        <v>0.5</v>
      </c>
      <c r="W359" s="141">
        <f t="shared" si="79"/>
        <v>0.5</v>
      </c>
      <c r="X359" s="141">
        <f t="shared" si="79"/>
        <v>0</v>
      </c>
      <c r="Y359" s="141">
        <f t="shared" si="79"/>
        <v>0</v>
      </c>
      <c r="Z359" s="141">
        <f t="shared" si="79"/>
        <v>0</v>
      </c>
      <c r="AA359" s="141">
        <f t="shared" si="79"/>
        <v>0</v>
      </c>
      <c r="AB359" s="141">
        <f t="shared" si="79"/>
        <v>1</v>
      </c>
      <c r="AC359" s="141">
        <f t="shared" si="79"/>
        <v>1</v>
      </c>
      <c r="AD359" s="141">
        <f t="shared" si="79"/>
        <v>1</v>
      </c>
      <c r="AE359" s="141">
        <f t="shared" si="79"/>
        <v>1</v>
      </c>
      <c r="AF359" s="141">
        <f t="shared" si="79"/>
        <v>1</v>
      </c>
      <c r="AG359" s="141">
        <f t="shared" si="79"/>
        <v>1</v>
      </c>
      <c r="AH359" s="141">
        <f t="shared" si="79"/>
        <v>1</v>
      </c>
      <c r="AI359" s="141">
        <f t="shared" si="47"/>
        <v>0.4</v>
      </c>
      <c r="AJ359" s="141">
        <f t="shared" si="48"/>
        <v>0.5</v>
      </c>
      <c r="AK359" s="141">
        <f t="shared" si="49"/>
        <v>1</v>
      </c>
      <c r="AL359" s="141">
        <f t="shared" si="50"/>
        <v>0.9375</v>
      </c>
      <c r="AM359" s="215">
        <f t="shared" si="51"/>
        <v>0.5555555556</v>
      </c>
      <c r="AN359" s="100"/>
      <c r="AO359" s="102"/>
    </row>
    <row r="360" ht="14.25" customHeight="1">
      <c r="A360" s="247"/>
      <c r="B360" s="100"/>
      <c r="C360" s="393" t="s">
        <v>1458</v>
      </c>
      <c r="D360" s="201"/>
      <c r="E360" s="162"/>
      <c r="F360" s="162"/>
      <c r="G360" s="162"/>
      <c r="H360" s="141">
        <f t="shared" ref="H360:AH360" si="80">COUNTA(H258)</f>
        <v>0</v>
      </c>
      <c r="I360" s="141">
        <f t="shared" si="80"/>
        <v>0</v>
      </c>
      <c r="J360" s="141">
        <f t="shared" si="80"/>
        <v>0</v>
      </c>
      <c r="K360" s="141">
        <f t="shared" si="80"/>
        <v>0</v>
      </c>
      <c r="L360" s="141">
        <f t="shared" si="80"/>
        <v>0</v>
      </c>
      <c r="M360" s="141">
        <f t="shared" si="80"/>
        <v>0</v>
      </c>
      <c r="N360" s="141">
        <f t="shared" si="80"/>
        <v>0</v>
      </c>
      <c r="O360" s="141">
        <f t="shared" si="80"/>
        <v>0</v>
      </c>
      <c r="P360" s="141">
        <f t="shared" si="80"/>
        <v>0</v>
      </c>
      <c r="Q360" s="141">
        <f t="shared" si="80"/>
        <v>0</v>
      </c>
      <c r="R360" s="141">
        <f t="shared" si="80"/>
        <v>0</v>
      </c>
      <c r="S360" s="141">
        <f t="shared" si="80"/>
        <v>0</v>
      </c>
      <c r="T360" s="141">
        <f t="shared" si="80"/>
        <v>0</v>
      </c>
      <c r="U360" s="141">
        <f t="shared" si="80"/>
        <v>0</v>
      </c>
      <c r="V360" s="141">
        <f t="shared" si="80"/>
        <v>0</v>
      </c>
      <c r="W360" s="141">
        <f t="shared" si="80"/>
        <v>1</v>
      </c>
      <c r="X360" s="141">
        <f t="shared" si="80"/>
        <v>0</v>
      </c>
      <c r="Y360" s="141">
        <f t="shared" si="80"/>
        <v>0</v>
      </c>
      <c r="Z360" s="141">
        <f t="shared" si="80"/>
        <v>0</v>
      </c>
      <c r="AA360" s="141">
        <f t="shared" si="80"/>
        <v>0</v>
      </c>
      <c r="AB360" s="141">
        <f t="shared" si="80"/>
        <v>1</v>
      </c>
      <c r="AC360" s="141">
        <f t="shared" si="80"/>
        <v>1</v>
      </c>
      <c r="AD360" s="141">
        <f t="shared" si="80"/>
        <v>1</v>
      </c>
      <c r="AE360" s="141">
        <f t="shared" si="80"/>
        <v>1</v>
      </c>
      <c r="AF360" s="141">
        <f t="shared" si="80"/>
        <v>1</v>
      </c>
      <c r="AG360" s="141">
        <f t="shared" si="80"/>
        <v>1</v>
      </c>
      <c r="AH360" s="141">
        <f t="shared" si="80"/>
        <v>1</v>
      </c>
      <c r="AI360" s="141">
        <f t="shared" si="47"/>
        <v>0.05</v>
      </c>
      <c r="AJ360" s="141">
        <f t="shared" si="48"/>
        <v>1</v>
      </c>
      <c r="AK360" s="141">
        <f t="shared" si="49"/>
        <v>1</v>
      </c>
      <c r="AL360" s="141">
        <f t="shared" si="50"/>
        <v>1</v>
      </c>
      <c r="AM360" s="215">
        <f t="shared" si="51"/>
        <v>0.2962962963</v>
      </c>
      <c r="AN360" s="100"/>
      <c r="AO360" s="102"/>
    </row>
    <row r="361" ht="13.5" customHeight="1">
      <c r="A361" s="247"/>
      <c r="B361" s="393" t="s">
        <v>1685</v>
      </c>
      <c r="C361" s="331"/>
      <c r="D361" s="201"/>
      <c r="E361" s="162"/>
      <c r="F361" s="162"/>
      <c r="G361" s="162"/>
      <c r="H361" s="141">
        <f t="shared" ref="H361:AH361" si="81">COUNTA(H267)</f>
        <v>1</v>
      </c>
      <c r="I361" s="141">
        <f t="shared" si="81"/>
        <v>1</v>
      </c>
      <c r="J361" s="141">
        <f t="shared" si="81"/>
        <v>1</v>
      </c>
      <c r="K361" s="141">
        <f t="shared" si="81"/>
        <v>1</v>
      </c>
      <c r="L361" s="141">
        <f t="shared" si="81"/>
        <v>1</v>
      </c>
      <c r="M361" s="141">
        <f t="shared" si="81"/>
        <v>1</v>
      </c>
      <c r="N361" s="141">
        <f t="shared" si="81"/>
        <v>1</v>
      </c>
      <c r="O361" s="141">
        <f t="shared" si="81"/>
        <v>1</v>
      </c>
      <c r="P361" s="141">
        <f t="shared" si="81"/>
        <v>1</v>
      </c>
      <c r="Q361" s="141">
        <f t="shared" si="81"/>
        <v>1</v>
      </c>
      <c r="R361" s="141">
        <f t="shared" si="81"/>
        <v>1</v>
      </c>
      <c r="S361" s="141">
        <f t="shared" si="81"/>
        <v>1</v>
      </c>
      <c r="T361" s="141">
        <f t="shared" si="81"/>
        <v>1</v>
      </c>
      <c r="U361" s="141">
        <f t="shared" si="81"/>
        <v>1</v>
      </c>
      <c r="V361" s="141">
        <f t="shared" si="81"/>
        <v>1</v>
      </c>
      <c r="W361" s="141">
        <f t="shared" si="81"/>
        <v>1</v>
      </c>
      <c r="X361" s="141">
        <f t="shared" si="81"/>
        <v>1</v>
      </c>
      <c r="Y361" s="141">
        <f t="shared" si="81"/>
        <v>1</v>
      </c>
      <c r="Z361" s="141">
        <f t="shared" si="81"/>
        <v>0</v>
      </c>
      <c r="AA361" s="141">
        <f t="shared" si="81"/>
        <v>0</v>
      </c>
      <c r="AB361" s="141">
        <f t="shared" si="81"/>
        <v>1</v>
      </c>
      <c r="AC361" s="141">
        <f t="shared" si="81"/>
        <v>1</v>
      </c>
      <c r="AD361" s="141">
        <f t="shared" si="81"/>
        <v>1</v>
      </c>
      <c r="AE361" s="141">
        <f t="shared" si="81"/>
        <v>1</v>
      </c>
      <c r="AF361" s="141">
        <f t="shared" si="81"/>
        <v>1</v>
      </c>
      <c r="AG361" s="141">
        <f t="shared" si="81"/>
        <v>1</v>
      </c>
      <c r="AH361" s="141">
        <f t="shared" si="81"/>
        <v>1</v>
      </c>
      <c r="AI361" s="141">
        <f t="shared" si="47"/>
        <v>0.9</v>
      </c>
      <c r="AJ361" s="141">
        <f t="shared" si="48"/>
        <v>1</v>
      </c>
      <c r="AK361" s="141">
        <f t="shared" si="49"/>
        <v>1</v>
      </c>
      <c r="AL361" s="141">
        <f t="shared" si="50"/>
        <v>1</v>
      </c>
      <c r="AM361" s="215">
        <f t="shared" si="51"/>
        <v>0.9259259259</v>
      </c>
      <c r="AN361" s="100"/>
      <c r="AO361" s="102"/>
    </row>
    <row r="362" ht="13.5" customHeight="1">
      <c r="A362" s="437" t="s">
        <v>1772</v>
      </c>
      <c r="B362" s="393"/>
      <c r="C362" s="331"/>
      <c r="D362" s="201"/>
      <c r="E362" s="162"/>
      <c r="F362" s="162"/>
      <c r="G362" s="162"/>
      <c r="H362" s="141">
        <f t="shared" ref="H362:AH362" si="82">(COUNTA(H291:H295)-COUNTIF($AN291:$AN295,1))/(COUNTA($G291:$G295)-COUNTIF($AN291:$AN295,1))</f>
        <v>0.2</v>
      </c>
      <c r="I362" s="141">
        <f t="shared" si="82"/>
        <v>0.2</v>
      </c>
      <c r="J362" s="141">
        <f t="shared" si="82"/>
        <v>0.2</v>
      </c>
      <c r="K362" s="141">
        <f t="shared" si="82"/>
        <v>0.2</v>
      </c>
      <c r="L362" s="141">
        <f t="shared" si="82"/>
        <v>0.2</v>
      </c>
      <c r="M362" s="141">
        <f t="shared" si="82"/>
        <v>0.2</v>
      </c>
      <c r="N362" s="141">
        <f t="shared" si="82"/>
        <v>0.2</v>
      </c>
      <c r="O362" s="141">
        <f t="shared" si="82"/>
        <v>0.2</v>
      </c>
      <c r="P362" s="141">
        <f t="shared" si="82"/>
        <v>0.2</v>
      </c>
      <c r="Q362" s="141">
        <f t="shared" si="82"/>
        <v>0.2</v>
      </c>
      <c r="R362" s="141">
        <f t="shared" si="82"/>
        <v>0.2</v>
      </c>
      <c r="S362" s="141">
        <f t="shared" si="82"/>
        <v>0.2</v>
      </c>
      <c r="T362" s="141">
        <f t="shared" si="82"/>
        <v>0.2</v>
      </c>
      <c r="U362" s="141">
        <f t="shared" si="82"/>
        <v>0.2</v>
      </c>
      <c r="V362" s="141">
        <f t="shared" si="82"/>
        <v>0.2</v>
      </c>
      <c r="W362" s="141">
        <f t="shared" si="82"/>
        <v>1</v>
      </c>
      <c r="X362" s="141">
        <f t="shared" si="82"/>
        <v>0.6</v>
      </c>
      <c r="Y362" s="141">
        <f t="shared" si="82"/>
        <v>0.6</v>
      </c>
      <c r="Z362" s="141">
        <f t="shared" si="82"/>
        <v>0.6</v>
      </c>
      <c r="AA362" s="141">
        <f t="shared" si="82"/>
        <v>0.6</v>
      </c>
      <c r="AB362" s="141">
        <f t="shared" si="82"/>
        <v>1</v>
      </c>
      <c r="AC362" s="141">
        <f t="shared" si="82"/>
        <v>0</v>
      </c>
      <c r="AD362" s="141">
        <f t="shared" si="82"/>
        <v>0</v>
      </c>
      <c r="AE362" s="141">
        <f t="shared" si="82"/>
        <v>0</v>
      </c>
      <c r="AF362" s="141">
        <f t="shared" si="82"/>
        <v>0</v>
      </c>
      <c r="AG362" s="141">
        <f t="shared" si="82"/>
        <v>0</v>
      </c>
      <c r="AH362" s="141">
        <f t="shared" si="82"/>
        <v>0</v>
      </c>
      <c r="AI362" s="141">
        <f t="shared" si="47"/>
        <v>0.32</v>
      </c>
      <c r="AJ362" s="141">
        <f t="shared" si="48"/>
        <v>1</v>
      </c>
      <c r="AK362" s="141">
        <f t="shared" si="49"/>
        <v>0.1428571429</v>
      </c>
      <c r="AL362" s="141">
        <f t="shared" si="50"/>
        <v>0.25</v>
      </c>
      <c r="AM362" s="215">
        <f t="shared" si="51"/>
        <v>0.2740740741</v>
      </c>
      <c r="AN362" s="100"/>
      <c r="AO362" s="102"/>
    </row>
    <row r="363" ht="13.5" customHeight="1">
      <c r="A363" s="220" t="s">
        <v>252</v>
      </c>
      <c r="B363" s="221"/>
      <c r="C363" s="221"/>
      <c r="D363" s="221"/>
      <c r="E363" s="221"/>
      <c r="F363" s="221"/>
      <c r="G363" s="221"/>
      <c r="H363" s="141"/>
      <c r="I363" s="141"/>
      <c r="J363" s="141"/>
      <c r="K363" s="141"/>
      <c r="L363" s="141"/>
      <c r="M363" s="141"/>
      <c r="N363" s="141"/>
      <c r="O363" s="141"/>
      <c r="P363" s="141"/>
      <c r="Q363" s="141"/>
      <c r="R363" s="141"/>
      <c r="S363" s="141"/>
      <c r="T363" s="141"/>
      <c r="U363" s="141"/>
      <c r="V363" s="141"/>
      <c r="W363" s="141"/>
      <c r="X363" s="141"/>
      <c r="Y363" s="141"/>
      <c r="Z363" s="141"/>
      <c r="AA363" s="141"/>
      <c r="AB363" s="141"/>
      <c r="AC363" s="141"/>
      <c r="AD363" s="141"/>
      <c r="AE363" s="141"/>
      <c r="AF363" s="141"/>
      <c r="AG363" s="141"/>
      <c r="AH363" s="141"/>
      <c r="AI363" s="141"/>
      <c r="AJ363" s="141"/>
      <c r="AK363" s="141"/>
      <c r="AL363" s="100"/>
      <c r="AM363" s="215"/>
      <c r="AN363" s="100"/>
      <c r="AO363" s="102"/>
    </row>
    <row r="364" ht="14.25" customHeight="1">
      <c r="A364" s="390" t="s">
        <v>1745</v>
      </c>
      <c r="B364" s="100"/>
      <c r="C364" s="100"/>
      <c r="D364" s="100"/>
      <c r="E364" s="100"/>
      <c r="F364" s="206"/>
      <c r="G364" s="162"/>
      <c r="H364" s="141">
        <f t="shared" ref="H364:AH364" si="83">(COUNTA(H312:H316)-COUNTIF($AN312:$AN316,1))/(COUNTA($G312:$G316)-COUNTIF($AN312:$AN316,1))</f>
        <v>0.8</v>
      </c>
      <c r="I364" s="141">
        <f t="shared" si="83"/>
        <v>0.8</v>
      </c>
      <c r="J364" s="141">
        <f t="shared" si="83"/>
        <v>0.8</v>
      </c>
      <c r="K364" s="141">
        <f t="shared" si="83"/>
        <v>0.8</v>
      </c>
      <c r="L364" s="141">
        <f t="shared" si="83"/>
        <v>0.8</v>
      </c>
      <c r="M364" s="141">
        <f t="shared" si="83"/>
        <v>0.8</v>
      </c>
      <c r="N364" s="141">
        <f t="shared" si="83"/>
        <v>0.8</v>
      </c>
      <c r="O364" s="141">
        <f t="shared" si="83"/>
        <v>0.8</v>
      </c>
      <c r="P364" s="141">
        <f t="shared" si="83"/>
        <v>0.8</v>
      </c>
      <c r="Q364" s="141">
        <f t="shared" si="83"/>
        <v>0.8</v>
      </c>
      <c r="R364" s="141">
        <f t="shared" si="83"/>
        <v>0.8</v>
      </c>
      <c r="S364" s="141">
        <f t="shared" si="83"/>
        <v>0.8</v>
      </c>
      <c r="T364" s="141">
        <f t="shared" si="83"/>
        <v>0.8</v>
      </c>
      <c r="U364" s="141">
        <f t="shared" si="83"/>
        <v>0.8</v>
      </c>
      <c r="V364" s="141">
        <f t="shared" si="83"/>
        <v>0.8</v>
      </c>
      <c r="W364" s="141">
        <f t="shared" si="83"/>
        <v>1</v>
      </c>
      <c r="X364" s="141">
        <f t="shared" si="83"/>
        <v>1</v>
      </c>
      <c r="Y364" s="141">
        <f t="shared" si="83"/>
        <v>1</v>
      </c>
      <c r="Z364" s="141">
        <f t="shared" si="83"/>
        <v>1</v>
      </c>
      <c r="AA364" s="141">
        <f t="shared" si="83"/>
        <v>1</v>
      </c>
      <c r="AB364" s="141">
        <f t="shared" si="83"/>
        <v>1</v>
      </c>
      <c r="AC364" s="141">
        <f t="shared" si="83"/>
        <v>0</v>
      </c>
      <c r="AD364" s="141">
        <f t="shared" si="83"/>
        <v>0</v>
      </c>
      <c r="AE364" s="141">
        <f t="shared" si="83"/>
        <v>0</v>
      </c>
      <c r="AF364" s="141">
        <f t="shared" si="83"/>
        <v>0</v>
      </c>
      <c r="AG364" s="141">
        <f t="shared" si="83"/>
        <v>0</v>
      </c>
      <c r="AH364" s="141">
        <f t="shared" si="83"/>
        <v>0</v>
      </c>
      <c r="AI364" s="141">
        <f>AVERAGE(H364:AA364)</f>
        <v>0.85</v>
      </c>
      <c r="AJ364" s="141">
        <f>W364</f>
        <v>1</v>
      </c>
      <c r="AK364" s="141">
        <f>AVERAGE(AB364:AH364)</f>
        <v>0.1428571429</v>
      </c>
      <c r="AL364" s="141">
        <f>AVERAGE(W364,AB364,AC364,AD364,AE364,AF364,AG364,AH364)</f>
        <v>0.25</v>
      </c>
      <c r="AM364" s="215">
        <f>AVERAGE(H364:AH364)</f>
        <v>0.6666666667</v>
      </c>
      <c r="AN364" s="100"/>
      <c r="AO364" s="102"/>
    </row>
    <row r="365" ht="14.25" customHeight="1">
      <c r="A365" s="247"/>
      <c r="B365" s="100"/>
      <c r="C365" s="100"/>
      <c r="D365" s="100"/>
      <c r="E365" s="100"/>
      <c r="F365" s="206"/>
      <c r="G365" s="206"/>
      <c r="H365" s="207"/>
      <c r="I365" s="207"/>
      <c r="J365" s="207"/>
      <c r="K365" s="207"/>
      <c r="L365" s="207"/>
      <c r="M365" s="207"/>
      <c r="N365" s="207"/>
      <c r="O365" s="207"/>
      <c r="P365" s="207"/>
      <c r="Q365" s="207"/>
      <c r="R365" s="207"/>
      <c r="S365" s="207"/>
      <c r="T365" s="207"/>
      <c r="U365" s="207"/>
      <c r="V365" s="207"/>
      <c r="W365" s="208"/>
      <c r="X365" s="208"/>
      <c r="Y365" s="208"/>
      <c r="Z365" s="208"/>
      <c r="AA365" s="208"/>
      <c r="AB365" s="208"/>
      <c r="AC365" s="208"/>
      <c r="AD365" s="208"/>
      <c r="AE365" s="208"/>
      <c r="AF365" s="208"/>
      <c r="AG365" s="208"/>
      <c r="AH365" s="208"/>
      <c r="AI365" s="100"/>
      <c r="AJ365" s="100"/>
      <c r="AK365" s="100"/>
      <c r="AL365" s="100"/>
      <c r="AM365" s="100"/>
      <c r="AN365" s="100"/>
      <c r="AO365" s="102"/>
    </row>
    <row r="366" ht="14.25" customHeight="1">
      <c r="A366" s="306"/>
      <c r="B366" s="230"/>
      <c r="C366" s="230"/>
      <c r="D366" s="230"/>
      <c r="E366" s="230"/>
      <c r="F366" s="231"/>
      <c r="G366" s="231"/>
      <c r="H366" s="232"/>
      <c r="I366" s="232"/>
      <c r="J366" s="232"/>
      <c r="K366" s="232"/>
      <c r="L366" s="232"/>
      <c r="M366" s="232"/>
      <c r="N366" s="232"/>
      <c r="O366" s="232"/>
      <c r="P366" s="232"/>
      <c r="Q366" s="232"/>
      <c r="R366" s="232"/>
      <c r="S366" s="232"/>
      <c r="T366" s="232"/>
      <c r="U366" s="232"/>
      <c r="V366" s="232"/>
      <c r="W366" s="233"/>
      <c r="X366" s="233"/>
      <c r="Y366" s="233"/>
      <c r="Z366" s="233"/>
      <c r="AA366" s="233"/>
      <c r="AB366" s="233"/>
      <c r="AC366" s="233"/>
      <c r="AD366" s="233"/>
      <c r="AE366" s="233"/>
      <c r="AF366" s="233"/>
      <c r="AG366" s="233"/>
      <c r="AH366" s="233"/>
      <c r="AI366" s="230"/>
      <c r="AJ366" s="230"/>
      <c r="AK366" s="230"/>
      <c r="AL366" s="230"/>
      <c r="AM366" s="230"/>
      <c r="AN366" s="230"/>
      <c r="AO366" s="234"/>
    </row>
    <row r="367" ht="14.25" customHeight="1">
      <c r="A367" s="179"/>
      <c r="B367" s="98"/>
      <c r="C367" s="98"/>
      <c r="D367" s="98"/>
      <c r="E367" s="98"/>
      <c r="F367" s="235"/>
      <c r="G367" s="235"/>
      <c r="H367" s="236"/>
      <c r="I367" s="236"/>
      <c r="J367" s="236"/>
      <c r="K367" s="236"/>
      <c r="L367" s="236"/>
      <c r="M367" s="236"/>
      <c r="N367" s="236"/>
      <c r="O367" s="236"/>
      <c r="P367" s="236"/>
      <c r="Q367" s="236"/>
      <c r="R367" s="236"/>
      <c r="S367" s="236"/>
      <c r="T367" s="236"/>
      <c r="U367" s="236"/>
      <c r="V367" s="236"/>
      <c r="W367" s="237"/>
      <c r="X367" s="237"/>
      <c r="Y367" s="237"/>
      <c r="Z367" s="237"/>
      <c r="AA367" s="237"/>
      <c r="AB367" s="237"/>
      <c r="AC367" s="237"/>
      <c r="AD367" s="237"/>
      <c r="AE367" s="237"/>
      <c r="AF367" s="237"/>
      <c r="AG367" s="237"/>
      <c r="AH367" s="237"/>
      <c r="AI367" s="98"/>
      <c r="AJ367" s="98"/>
      <c r="AK367" s="98"/>
      <c r="AL367" s="98"/>
      <c r="AM367" s="98"/>
      <c r="AN367" s="98"/>
      <c r="AO367" s="98"/>
    </row>
    <row r="368" ht="14.25" customHeight="1">
      <c r="A368" s="179"/>
      <c r="B368" s="98"/>
      <c r="C368" s="98"/>
      <c r="D368" s="98"/>
      <c r="E368" s="98"/>
      <c r="F368" s="235"/>
      <c r="G368" s="235"/>
      <c r="H368" s="236"/>
      <c r="I368" s="236"/>
      <c r="J368" s="236"/>
      <c r="K368" s="236"/>
      <c r="L368" s="236"/>
      <c r="M368" s="236"/>
      <c r="N368" s="236"/>
      <c r="O368" s="236"/>
      <c r="P368" s="236"/>
      <c r="Q368" s="236"/>
      <c r="R368" s="236"/>
      <c r="S368" s="236"/>
      <c r="T368" s="236"/>
      <c r="U368" s="236"/>
      <c r="V368" s="236"/>
      <c r="W368" s="237"/>
      <c r="X368" s="237"/>
      <c r="Y368" s="237"/>
      <c r="Z368" s="237"/>
      <c r="AA368" s="237"/>
      <c r="AB368" s="237"/>
      <c r="AC368" s="237"/>
      <c r="AD368" s="237"/>
      <c r="AE368" s="237"/>
      <c r="AF368" s="237"/>
      <c r="AG368" s="237"/>
      <c r="AH368" s="237"/>
      <c r="AI368" s="98"/>
      <c r="AJ368" s="98"/>
      <c r="AK368" s="98"/>
      <c r="AL368" s="98"/>
      <c r="AM368" s="98"/>
      <c r="AN368" s="98"/>
      <c r="AO368" s="98"/>
    </row>
    <row r="369" ht="14.25" customHeight="1">
      <c r="A369" s="179"/>
      <c r="B369" s="98"/>
      <c r="C369" s="98"/>
      <c r="D369" s="98"/>
      <c r="E369" s="98"/>
      <c r="F369" s="235"/>
      <c r="G369" s="235"/>
      <c r="H369" s="236"/>
      <c r="I369" s="236"/>
      <c r="J369" s="236"/>
      <c r="K369" s="236"/>
      <c r="L369" s="236"/>
      <c r="M369" s="236"/>
      <c r="N369" s="236"/>
      <c r="O369" s="236"/>
      <c r="P369" s="236"/>
      <c r="Q369" s="236"/>
      <c r="R369" s="236"/>
      <c r="S369" s="236"/>
      <c r="T369" s="236"/>
      <c r="U369" s="236"/>
      <c r="V369" s="236"/>
      <c r="W369" s="237"/>
      <c r="X369" s="237"/>
      <c r="Y369" s="237"/>
      <c r="Z369" s="237"/>
      <c r="AA369" s="237"/>
      <c r="AB369" s="237"/>
      <c r="AC369" s="237"/>
      <c r="AD369" s="237"/>
      <c r="AE369" s="237"/>
      <c r="AF369" s="237"/>
      <c r="AG369" s="237"/>
      <c r="AH369" s="237"/>
      <c r="AI369" s="98"/>
      <c r="AJ369" s="98"/>
      <c r="AK369" s="98"/>
      <c r="AL369" s="98"/>
      <c r="AM369" s="98"/>
      <c r="AN369" s="98"/>
      <c r="AO369" s="98"/>
    </row>
    <row r="370" ht="14.25" customHeight="1">
      <c r="A370" s="179"/>
      <c r="B370" s="98"/>
      <c r="C370" s="98"/>
      <c r="D370" s="98"/>
      <c r="E370" s="98"/>
      <c r="F370" s="235"/>
      <c r="G370" s="235"/>
      <c r="H370" s="236"/>
      <c r="I370" s="236"/>
      <c r="J370" s="236"/>
      <c r="K370" s="236"/>
      <c r="L370" s="236"/>
      <c r="M370" s="236"/>
      <c r="N370" s="236"/>
      <c r="O370" s="236"/>
      <c r="P370" s="236"/>
      <c r="Q370" s="236"/>
      <c r="R370" s="236"/>
      <c r="S370" s="236"/>
      <c r="T370" s="236"/>
      <c r="U370" s="236"/>
      <c r="V370" s="236"/>
      <c r="W370" s="237"/>
      <c r="X370" s="237"/>
      <c r="Y370" s="237"/>
      <c r="Z370" s="237"/>
      <c r="AA370" s="237"/>
      <c r="AB370" s="237"/>
      <c r="AC370" s="237"/>
      <c r="AD370" s="237"/>
      <c r="AE370" s="237"/>
      <c r="AF370" s="237"/>
      <c r="AG370" s="237"/>
      <c r="AH370" s="237"/>
      <c r="AI370" s="98"/>
      <c r="AJ370" s="98"/>
      <c r="AK370" s="98"/>
      <c r="AL370" s="98"/>
      <c r="AM370" s="98"/>
      <c r="AN370" s="98"/>
      <c r="AO370" s="98"/>
    </row>
    <row r="371" ht="14.25" customHeight="1">
      <c r="A371" s="179"/>
      <c r="B371" s="98"/>
      <c r="C371" s="98"/>
      <c r="D371" s="98"/>
      <c r="E371" s="98"/>
      <c r="F371" s="235"/>
      <c r="G371" s="235"/>
      <c r="H371" s="236"/>
      <c r="I371" s="236"/>
      <c r="J371" s="236"/>
      <c r="K371" s="236"/>
      <c r="L371" s="236"/>
      <c r="M371" s="236"/>
      <c r="N371" s="236"/>
      <c r="O371" s="236"/>
      <c r="P371" s="236"/>
      <c r="Q371" s="236"/>
      <c r="R371" s="236"/>
      <c r="S371" s="236"/>
      <c r="T371" s="236"/>
      <c r="U371" s="236"/>
      <c r="V371" s="236"/>
      <c r="W371" s="237"/>
      <c r="X371" s="237"/>
      <c r="Y371" s="237"/>
      <c r="Z371" s="237"/>
      <c r="AA371" s="237"/>
      <c r="AB371" s="237"/>
      <c r="AC371" s="237"/>
      <c r="AD371" s="237"/>
      <c r="AE371" s="237"/>
      <c r="AF371" s="237"/>
      <c r="AG371" s="237"/>
      <c r="AH371" s="237"/>
      <c r="AI371" s="98"/>
      <c r="AJ371" s="98"/>
      <c r="AK371" s="98"/>
      <c r="AL371" s="98"/>
      <c r="AM371" s="98"/>
      <c r="AN371" s="98"/>
      <c r="AO371" s="98"/>
    </row>
    <row r="372" ht="14.25" customHeight="1">
      <c r="A372" s="179"/>
      <c r="B372" s="98"/>
      <c r="C372" s="98"/>
      <c r="D372" s="98"/>
      <c r="E372" s="98"/>
      <c r="F372" s="235"/>
      <c r="G372" s="235"/>
      <c r="H372" s="236"/>
      <c r="I372" s="236"/>
      <c r="J372" s="236"/>
      <c r="K372" s="236"/>
      <c r="L372" s="236"/>
      <c r="M372" s="236"/>
      <c r="N372" s="236"/>
      <c r="O372" s="236"/>
      <c r="P372" s="236"/>
      <c r="Q372" s="236"/>
      <c r="R372" s="236"/>
      <c r="S372" s="236"/>
      <c r="T372" s="236"/>
      <c r="U372" s="236"/>
      <c r="V372" s="236"/>
      <c r="W372" s="237"/>
      <c r="X372" s="237"/>
      <c r="Y372" s="237"/>
      <c r="Z372" s="237"/>
      <c r="AA372" s="237"/>
      <c r="AB372" s="237"/>
      <c r="AC372" s="237"/>
      <c r="AD372" s="237"/>
      <c r="AE372" s="237"/>
      <c r="AF372" s="237"/>
      <c r="AG372" s="237"/>
      <c r="AH372" s="237"/>
      <c r="AI372" s="98"/>
      <c r="AJ372" s="98"/>
      <c r="AK372" s="98"/>
      <c r="AL372" s="98"/>
      <c r="AM372" s="98"/>
      <c r="AN372" s="98"/>
      <c r="AO372" s="98"/>
    </row>
    <row r="373" ht="14.25" customHeight="1">
      <c r="A373" s="179"/>
      <c r="B373" s="98"/>
      <c r="C373" s="98"/>
      <c r="D373" s="98"/>
      <c r="E373" s="98"/>
      <c r="F373" s="235"/>
      <c r="G373" s="235"/>
      <c r="H373" s="236"/>
      <c r="I373" s="236"/>
      <c r="J373" s="236"/>
      <c r="K373" s="236"/>
      <c r="L373" s="236"/>
      <c r="M373" s="236"/>
      <c r="N373" s="236"/>
      <c r="O373" s="236"/>
      <c r="P373" s="236"/>
      <c r="Q373" s="236"/>
      <c r="R373" s="236"/>
      <c r="S373" s="236"/>
      <c r="T373" s="236"/>
      <c r="U373" s="236"/>
      <c r="V373" s="236"/>
      <c r="W373" s="237"/>
      <c r="X373" s="237"/>
      <c r="Y373" s="237"/>
      <c r="Z373" s="237"/>
      <c r="AA373" s="237"/>
      <c r="AB373" s="237"/>
      <c r="AC373" s="237"/>
      <c r="AD373" s="237"/>
      <c r="AE373" s="237"/>
      <c r="AF373" s="237"/>
      <c r="AG373" s="237"/>
      <c r="AH373" s="237"/>
      <c r="AI373" s="98"/>
      <c r="AJ373" s="98"/>
      <c r="AK373" s="98"/>
      <c r="AL373" s="98"/>
      <c r="AM373" s="98"/>
      <c r="AN373" s="98"/>
      <c r="AO373" s="98"/>
    </row>
    <row r="374" ht="14.25" customHeight="1">
      <c r="A374" s="179"/>
      <c r="B374" s="98"/>
      <c r="C374" s="98"/>
      <c r="D374" s="98"/>
      <c r="E374" s="98"/>
      <c r="F374" s="235"/>
      <c r="G374" s="235"/>
      <c r="H374" s="236"/>
      <c r="I374" s="236"/>
      <c r="J374" s="236"/>
      <c r="K374" s="236"/>
      <c r="L374" s="236"/>
      <c r="M374" s="236"/>
      <c r="N374" s="236"/>
      <c r="O374" s="236"/>
      <c r="P374" s="236"/>
      <c r="Q374" s="236"/>
      <c r="R374" s="236"/>
      <c r="S374" s="236"/>
      <c r="T374" s="236"/>
      <c r="U374" s="236"/>
      <c r="V374" s="236"/>
      <c r="W374" s="237"/>
      <c r="X374" s="237"/>
      <c r="Y374" s="237"/>
      <c r="Z374" s="237"/>
      <c r="AA374" s="237"/>
      <c r="AB374" s="237"/>
      <c r="AC374" s="237"/>
      <c r="AD374" s="237"/>
      <c r="AE374" s="237"/>
      <c r="AF374" s="237"/>
      <c r="AG374" s="237"/>
      <c r="AH374" s="237"/>
      <c r="AI374" s="98"/>
      <c r="AJ374" s="98"/>
      <c r="AK374" s="98"/>
      <c r="AL374" s="98"/>
      <c r="AM374" s="98"/>
      <c r="AN374" s="98"/>
      <c r="AO374" s="98"/>
    </row>
    <row r="375" ht="14.25" customHeight="1">
      <c r="A375" s="179"/>
      <c r="B375" s="98"/>
      <c r="C375" s="98"/>
      <c r="D375" s="98"/>
      <c r="E375" s="98"/>
      <c r="F375" s="235"/>
      <c r="G375" s="235"/>
      <c r="H375" s="236"/>
      <c r="I375" s="236"/>
      <c r="J375" s="236"/>
      <c r="K375" s="236"/>
      <c r="L375" s="236"/>
      <c r="M375" s="236"/>
      <c r="N375" s="236"/>
      <c r="O375" s="236"/>
      <c r="P375" s="236"/>
      <c r="Q375" s="236"/>
      <c r="R375" s="236"/>
      <c r="S375" s="236"/>
      <c r="T375" s="236"/>
      <c r="U375" s="236"/>
      <c r="V375" s="236"/>
      <c r="W375" s="237"/>
      <c r="X375" s="237"/>
      <c r="Y375" s="237"/>
      <c r="Z375" s="237"/>
      <c r="AA375" s="237"/>
      <c r="AB375" s="237"/>
      <c r="AC375" s="237"/>
      <c r="AD375" s="237"/>
      <c r="AE375" s="237"/>
      <c r="AF375" s="237"/>
      <c r="AG375" s="237"/>
      <c r="AH375" s="237"/>
      <c r="AI375" s="98"/>
      <c r="AJ375" s="98"/>
      <c r="AK375" s="98"/>
      <c r="AL375" s="98"/>
      <c r="AM375" s="98"/>
      <c r="AN375" s="98"/>
      <c r="AO375" s="98"/>
    </row>
    <row r="376" ht="14.25" customHeight="1">
      <c r="A376" s="179"/>
      <c r="B376" s="98"/>
      <c r="C376" s="98"/>
      <c r="D376" s="98"/>
      <c r="E376" s="98"/>
      <c r="F376" s="235"/>
      <c r="G376" s="235"/>
      <c r="H376" s="236"/>
      <c r="I376" s="236"/>
      <c r="J376" s="236"/>
      <c r="K376" s="236"/>
      <c r="L376" s="236"/>
      <c r="M376" s="236"/>
      <c r="N376" s="236"/>
      <c r="O376" s="236"/>
      <c r="P376" s="236"/>
      <c r="Q376" s="236"/>
      <c r="R376" s="236"/>
      <c r="S376" s="236"/>
      <c r="T376" s="236"/>
      <c r="U376" s="236"/>
      <c r="V376" s="236"/>
      <c r="W376" s="237"/>
      <c r="X376" s="237"/>
      <c r="Y376" s="237"/>
      <c r="Z376" s="237"/>
      <c r="AA376" s="237"/>
      <c r="AB376" s="237"/>
      <c r="AC376" s="237"/>
      <c r="AD376" s="237"/>
      <c r="AE376" s="237"/>
      <c r="AF376" s="237"/>
      <c r="AG376" s="237"/>
      <c r="AH376" s="237"/>
      <c r="AI376" s="98"/>
      <c r="AJ376" s="98"/>
      <c r="AK376" s="98"/>
      <c r="AL376" s="98"/>
      <c r="AM376" s="98"/>
      <c r="AN376" s="98"/>
      <c r="AO376" s="98"/>
    </row>
    <row r="377" ht="14.25" customHeight="1">
      <c r="A377" s="179"/>
      <c r="B377" s="98"/>
      <c r="C377" s="98"/>
      <c r="D377" s="98"/>
      <c r="E377" s="98"/>
      <c r="F377" s="235"/>
      <c r="G377" s="235"/>
      <c r="H377" s="236"/>
      <c r="I377" s="236"/>
      <c r="J377" s="236"/>
      <c r="K377" s="236"/>
      <c r="L377" s="236"/>
      <c r="M377" s="236"/>
      <c r="N377" s="236"/>
      <c r="O377" s="236"/>
      <c r="P377" s="236"/>
      <c r="Q377" s="236"/>
      <c r="R377" s="236"/>
      <c r="S377" s="236"/>
      <c r="T377" s="236"/>
      <c r="U377" s="236"/>
      <c r="V377" s="236"/>
      <c r="W377" s="237"/>
      <c r="X377" s="237"/>
      <c r="Y377" s="237"/>
      <c r="Z377" s="237"/>
      <c r="AA377" s="237"/>
      <c r="AB377" s="237"/>
      <c r="AC377" s="237"/>
      <c r="AD377" s="237"/>
      <c r="AE377" s="237"/>
      <c r="AF377" s="237"/>
      <c r="AG377" s="237"/>
      <c r="AH377" s="237"/>
      <c r="AI377" s="98"/>
      <c r="AJ377" s="98"/>
      <c r="AK377" s="98"/>
      <c r="AL377" s="98"/>
      <c r="AM377" s="98"/>
      <c r="AN377" s="98"/>
      <c r="AO377" s="98"/>
    </row>
    <row r="378" ht="14.25" customHeight="1">
      <c r="A378" s="179"/>
      <c r="B378" s="98"/>
      <c r="C378" s="98"/>
      <c r="D378" s="98"/>
      <c r="E378" s="98"/>
      <c r="F378" s="235"/>
      <c r="G378" s="235"/>
      <c r="H378" s="236"/>
      <c r="I378" s="236"/>
      <c r="J378" s="236"/>
      <c r="K378" s="236"/>
      <c r="L378" s="236"/>
      <c r="M378" s="236"/>
      <c r="N378" s="236"/>
      <c r="O378" s="236"/>
      <c r="P378" s="236"/>
      <c r="Q378" s="236"/>
      <c r="R378" s="236"/>
      <c r="S378" s="236"/>
      <c r="T378" s="236"/>
      <c r="U378" s="236"/>
      <c r="V378" s="236"/>
      <c r="W378" s="237"/>
      <c r="X378" s="237"/>
      <c r="Y378" s="237"/>
      <c r="Z378" s="237"/>
      <c r="AA378" s="237"/>
      <c r="AB378" s="237"/>
      <c r="AC378" s="237"/>
      <c r="AD378" s="237"/>
      <c r="AE378" s="237"/>
      <c r="AF378" s="237"/>
      <c r="AG378" s="237"/>
      <c r="AH378" s="237"/>
      <c r="AI378" s="98"/>
      <c r="AJ378" s="98"/>
      <c r="AK378" s="98"/>
      <c r="AL378" s="98"/>
      <c r="AM378" s="98"/>
      <c r="AN378" s="98"/>
      <c r="AO378" s="98"/>
    </row>
    <row r="379" ht="14.25" customHeight="1">
      <c r="A379" s="179"/>
      <c r="B379" s="98"/>
      <c r="C379" s="98"/>
      <c r="D379" s="98"/>
      <c r="E379" s="98"/>
      <c r="F379" s="235"/>
      <c r="G379" s="235"/>
      <c r="H379" s="236"/>
      <c r="I379" s="236"/>
      <c r="J379" s="236"/>
      <c r="K379" s="236"/>
      <c r="L379" s="236"/>
      <c r="M379" s="236"/>
      <c r="N379" s="236"/>
      <c r="O379" s="236"/>
      <c r="P379" s="236"/>
      <c r="Q379" s="236"/>
      <c r="R379" s="236"/>
      <c r="S379" s="236"/>
      <c r="T379" s="236"/>
      <c r="U379" s="236"/>
      <c r="V379" s="236"/>
      <c r="W379" s="237"/>
      <c r="X379" s="237"/>
      <c r="Y379" s="237"/>
      <c r="Z379" s="237"/>
      <c r="AA379" s="237"/>
      <c r="AB379" s="237"/>
      <c r="AC379" s="237"/>
      <c r="AD379" s="237"/>
      <c r="AE379" s="237"/>
      <c r="AF379" s="237"/>
      <c r="AG379" s="237"/>
      <c r="AH379" s="237"/>
      <c r="AI379" s="98"/>
      <c r="AJ379" s="98"/>
      <c r="AK379" s="98"/>
      <c r="AL379" s="98"/>
      <c r="AM379" s="98"/>
      <c r="AN379" s="98"/>
      <c r="AO379" s="98"/>
    </row>
    <row r="380" ht="14.25" customHeight="1">
      <c r="A380" s="179"/>
      <c r="B380" s="98"/>
      <c r="C380" s="98"/>
      <c r="D380" s="98"/>
      <c r="E380" s="98"/>
      <c r="F380" s="235"/>
      <c r="G380" s="235"/>
      <c r="H380" s="236"/>
      <c r="I380" s="236"/>
      <c r="J380" s="236"/>
      <c r="K380" s="236"/>
      <c r="L380" s="236"/>
      <c r="M380" s="236"/>
      <c r="N380" s="236"/>
      <c r="O380" s="236"/>
      <c r="P380" s="236"/>
      <c r="Q380" s="236"/>
      <c r="R380" s="236"/>
      <c r="S380" s="236"/>
      <c r="T380" s="236"/>
      <c r="U380" s="236"/>
      <c r="V380" s="236"/>
      <c r="W380" s="237"/>
      <c r="X380" s="237"/>
      <c r="Y380" s="237"/>
      <c r="Z380" s="237"/>
      <c r="AA380" s="237"/>
      <c r="AB380" s="237"/>
      <c r="AC380" s="237"/>
      <c r="AD380" s="237"/>
      <c r="AE380" s="237"/>
      <c r="AF380" s="237"/>
      <c r="AG380" s="237"/>
      <c r="AH380" s="237"/>
      <c r="AI380" s="98"/>
      <c r="AJ380" s="98"/>
      <c r="AK380" s="98"/>
      <c r="AL380" s="98"/>
      <c r="AM380" s="98"/>
      <c r="AN380" s="98"/>
      <c r="AO380" s="98"/>
    </row>
    <row r="381" ht="14.25" customHeight="1">
      <c r="A381" s="179"/>
      <c r="B381" s="98"/>
      <c r="C381" s="98"/>
      <c r="D381" s="98"/>
      <c r="E381" s="98"/>
      <c r="F381" s="235"/>
      <c r="G381" s="235"/>
      <c r="H381" s="236"/>
      <c r="I381" s="236"/>
      <c r="J381" s="236"/>
      <c r="K381" s="236"/>
      <c r="L381" s="236"/>
      <c r="M381" s="236"/>
      <c r="N381" s="236"/>
      <c r="O381" s="236"/>
      <c r="P381" s="236"/>
      <c r="Q381" s="236"/>
      <c r="R381" s="236"/>
      <c r="S381" s="236"/>
      <c r="T381" s="236"/>
      <c r="U381" s="236"/>
      <c r="V381" s="236"/>
      <c r="W381" s="237"/>
      <c r="X381" s="237"/>
      <c r="Y381" s="237"/>
      <c r="Z381" s="237"/>
      <c r="AA381" s="237"/>
      <c r="AB381" s="237"/>
      <c r="AC381" s="237"/>
      <c r="AD381" s="237"/>
      <c r="AE381" s="237"/>
      <c r="AF381" s="237"/>
      <c r="AG381" s="237"/>
      <c r="AH381" s="237"/>
      <c r="AI381" s="98"/>
      <c r="AJ381" s="98"/>
      <c r="AK381" s="98"/>
      <c r="AL381" s="98"/>
      <c r="AM381" s="98"/>
      <c r="AN381" s="98"/>
      <c r="AO381" s="98"/>
    </row>
    <row r="382" ht="14.25" customHeight="1">
      <c r="A382" s="179"/>
      <c r="B382" s="98"/>
      <c r="C382" s="98"/>
      <c r="D382" s="98"/>
      <c r="E382" s="98"/>
      <c r="F382" s="235"/>
      <c r="G382" s="235"/>
      <c r="H382" s="236"/>
      <c r="I382" s="236"/>
      <c r="J382" s="236"/>
      <c r="K382" s="236"/>
      <c r="L382" s="236"/>
      <c r="M382" s="236"/>
      <c r="N382" s="236"/>
      <c r="O382" s="236"/>
      <c r="P382" s="236"/>
      <c r="Q382" s="236"/>
      <c r="R382" s="236"/>
      <c r="S382" s="236"/>
      <c r="T382" s="236"/>
      <c r="U382" s="236"/>
      <c r="V382" s="236"/>
      <c r="W382" s="237"/>
      <c r="X382" s="237"/>
      <c r="Y382" s="237"/>
      <c r="Z382" s="237"/>
      <c r="AA382" s="237"/>
      <c r="AB382" s="237"/>
      <c r="AC382" s="237"/>
      <c r="AD382" s="237"/>
      <c r="AE382" s="237"/>
      <c r="AF382" s="237"/>
      <c r="AG382" s="237"/>
      <c r="AH382" s="237"/>
      <c r="AI382" s="98"/>
      <c r="AJ382" s="98"/>
      <c r="AK382" s="98"/>
      <c r="AL382" s="98"/>
      <c r="AM382" s="98"/>
      <c r="AN382" s="98"/>
      <c r="AO382" s="98"/>
    </row>
    <row r="383" ht="14.25" customHeight="1">
      <c r="A383" s="179"/>
      <c r="B383" s="98"/>
      <c r="C383" s="98"/>
      <c r="D383" s="98"/>
      <c r="E383" s="98"/>
      <c r="F383" s="235"/>
      <c r="G383" s="235"/>
      <c r="H383" s="236"/>
      <c r="I383" s="236"/>
      <c r="J383" s="236"/>
      <c r="K383" s="236"/>
      <c r="L383" s="236"/>
      <c r="M383" s="236"/>
      <c r="N383" s="236"/>
      <c r="O383" s="236"/>
      <c r="P383" s="236"/>
      <c r="Q383" s="236"/>
      <c r="R383" s="236"/>
      <c r="S383" s="236"/>
      <c r="T383" s="236"/>
      <c r="U383" s="236"/>
      <c r="V383" s="236"/>
      <c r="W383" s="237"/>
      <c r="X383" s="237"/>
      <c r="Y383" s="237"/>
      <c r="Z383" s="237"/>
      <c r="AA383" s="237"/>
      <c r="AB383" s="237"/>
      <c r="AC383" s="237"/>
      <c r="AD383" s="237"/>
      <c r="AE383" s="237"/>
      <c r="AF383" s="237"/>
      <c r="AG383" s="237"/>
      <c r="AH383" s="237"/>
      <c r="AI383" s="98"/>
      <c r="AJ383" s="98"/>
      <c r="AK383" s="98"/>
      <c r="AL383" s="98"/>
      <c r="AM383" s="98"/>
      <c r="AN383" s="98"/>
      <c r="AO383" s="98"/>
    </row>
    <row r="384" ht="14.25" customHeight="1">
      <c r="A384" s="179"/>
      <c r="B384" s="98"/>
      <c r="C384" s="98"/>
      <c r="D384" s="98"/>
      <c r="E384" s="98"/>
      <c r="F384" s="235"/>
      <c r="G384" s="235"/>
      <c r="H384" s="236"/>
      <c r="I384" s="236"/>
      <c r="J384" s="236"/>
      <c r="K384" s="236"/>
      <c r="L384" s="236"/>
      <c r="M384" s="236"/>
      <c r="N384" s="236"/>
      <c r="O384" s="236"/>
      <c r="P384" s="236"/>
      <c r="Q384" s="236"/>
      <c r="R384" s="236"/>
      <c r="S384" s="236"/>
      <c r="T384" s="236"/>
      <c r="U384" s="236"/>
      <c r="V384" s="236"/>
      <c r="W384" s="237"/>
      <c r="X384" s="237"/>
      <c r="Y384" s="237"/>
      <c r="Z384" s="237"/>
      <c r="AA384" s="237"/>
      <c r="AB384" s="237"/>
      <c r="AC384" s="237"/>
      <c r="AD384" s="237"/>
      <c r="AE384" s="237"/>
      <c r="AF384" s="237"/>
      <c r="AG384" s="237"/>
      <c r="AH384" s="237"/>
      <c r="AI384" s="98"/>
      <c r="AJ384" s="98"/>
      <c r="AK384" s="98"/>
      <c r="AL384" s="98"/>
      <c r="AM384" s="98"/>
      <c r="AN384" s="98"/>
      <c r="AO384" s="98"/>
    </row>
    <row r="385" ht="14.25" customHeight="1">
      <c r="A385" s="179"/>
      <c r="B385" s="98"/>
      <c r="C385" s="98"/>
      <c r="D385" s="98"/>
      <c r="E385" s="98"/>
      <c r="F385" s="235"/>
      <c r="G385" s="235"/>
      <c r="H385" s="236"/>
      <c r="I385" s="236"/>
      <c r="J385" s="236"/>
      <c r="K385" s="236"/>
      <c r="L385" s="236"/>
      <c r="M385" s="236"/>
      <c r="N385" s="236"/>
      <c r="O385" s="236"/>
      <c r="P385" s="236"/>
      <c r="Q385" s="236"/>
      <c r="R385" s="236"/>
      <c r="S385" s="236"/>
      <c r="T385" s="236"/>
      <c r="U385" s="236"/>
      <c r="V385" s="236"/>
      <c r="W385" s="237"/>
      <c r="X385" s="237"/>
      <c r="Y385" s="237"/>
      <c r="Z385" s="237"/>
      <c r="AA385" s="237"/>
      <c r="AB385" s="237"/>
      <c r="AC385" s="237"/>
      <c r="AD385" s="237"/>
      <c r="AE385" s="237"/>
      <c r="AF385" s="237"/>
      <c r="AG385" s="237"/>
      <c r="AH385" s="237"/>
      <c r="AI385" s="98"/>
      <c r="AJ385" s="98"/>
      <c r="AK385" s="98"/>
      <c r="AL385" s="98"/>
      <c r="AM385" s="98"/>
      <c r="AN385" s="98"/>
      <c r="AO385" s="98"/>
    </row>
    <row r="386" ht="14.25" customHeight="1">
      <c r="A386" s="179"/>
      <c r="B386" s="98"/>
      <c r="C386" s="98"/>
      <c r="D386" s="98"/>
      <c r="E386" s="98"/>
      <c r="F386" s="235"/>
      <c r="G386" s="235"/>
      <c r="H386" s="236"/>
      <c r="I386" s="236"/>
      <c r="J386" s="236"/>
      <c r="K386" s="236"/>
      <c r="L386" s="236"/>
      <c r="M386" s="236"/>
      <c r="N386" s="236"/>
      <c r="O386" s="236"/>
      <c r="P386" s="236"/>
      <c r="Q386" s="236"/>
      <c r="R386" s="236"/>
      <c r="S386" s="236"/>
      <c r="T386" s="236"/>
      <c r="U386" s="236"/>
      <c r="V386" s="236"/>
      <c r="W386" s="237"/>
      <c r="X386" s="237"/>
      <c r="Y386" s="237"/>
      <c r="Z386" s="237"/>
      <c r="AA386" s="237"/>
      <c r="AB386" s="237"/>
      <c r="AC386" s="237"/>
      <c r="AD386" s="237"/>
      <c r="AE386" s="237"/>
      <c r="AF386" s="237"/>
      <c r="AG386" s="237"/>
      <c r="AH386" s="237"/>
      <c r="AI386" s="98"/>
      <c r="AJ386" s="98"/>
      <c r="AK386" s="98"/>
      <c r="AL386" s="98"/>
      <c r="AM386" s="98"/>
      <c r="AN386" s="98"/>
      <c r="AO386" s="98"/>
    </row>
    <row r="387" ht="14.25" customHeight="1">
      <c r="A387" s="179"/>
      <c r="B387" s="98"/>
      <c r="C387" s="98"/>
      <c r="D387" s="98"/>
      <c r="E387" s="98"/>
      <c r="F387" s="235"/>
      <c r="G387" s="235"/>
      <c r="H387" s="236"/>
      <c r="I387" s="236"/>
      <c r="J387" s="236"/>
      <c r="K387" s="236"/>
      <c r="L387" s="236"/>
      <c r="M387" s="236"/>
      <c r="N387" s="236"/>
      <c r="O387" s="236"/>
      <c r="P387" s="236"/>
      <c r="Q387" s="236"/>
      <c r="R387" s="236"/>
      <c r="S387" s="236"/>
      <c r="T387" s="236"/>
      <c r="U387" s="236"/>
      <c r="V387" s="236"/>
      <c r="W387" s="237"/>
      <c r="X387" s="237"/>
      <c r="Y387" s="237"/>
      <c r="Z387" s="237"/>
      <c r="AA387" s="237"/>
      <c r="AB387" s="237"/>
      <c r="AC387" s="237"/>
      <c r="AD387" s="237"/>
      <c r="AE387" s="237"/>
      <c r="AF387" s="237"/>
      <c r="AG387" s="237"/>
      <c r="AH387" s="237"/>
      <c r="AI387" s="98"/>
      <c r="AJ387" s="98"/>
      <c r="AK387" s="98"/>
      <c r="AL387" s="98"/>
      <c r="AM387" s="98"/>
      <c r="AN387" s="98"/>
      <c r="AO387" s="98"/>
    </row>
    <row r="388" ht="14.25" customHeight="1">
      <c r="A388" s="179"/>
      <c r="B388" s="98"/>
      <c r="C388" s="98"/>
      <c r="D388" s="98"/>
      <c r="E388" s="98"/>
      <c r="F388" s="235"/>
      <c r="G388" s="235"/>
      <c r="H388" s="236"/>
      <c r="I388" s="236"/>
      <c r="J388" s="236"/>
      <c r="K388" s="236"/>
      <c r="L388" s="236"/>
      <c r="M388" s="236"/>
      <c r="N388" s="236"/>
      <c r="O388" s="236"/>
      <c r="P388" s="236"/>
      <c r="Q388" s="236"/>
      <c r="R388" s="236"/>
      <c r="S388" s="236"/>
      <c r="T388" s="236"/>
      <c r="U388" s="236"/>
      <c r="V388" s="236"/>
      <c r="W388" s="237"/>
      <c r="X388" s="237"/>
      <c r="Y388" s="237"/>
      <c r="Z388" s="237"/>
      <c r="AA388" s="237"/>
      <c r="AB388" s="237"/>
      <c r="AC388" s="237"/>
      <c r="AD388" s="237"/>
      <c r="AE388" s="237"/>
      <c r="AF388" s="237"/>
      <c r="AG388" s="237"/>
      <c r="AH388" s="237"/>
      <c r="AI388" s="98"/>
      <c r="AJ388" s="98"/>
      <c r="AK388" s="98"/>
      <c r="AL388" s="98"/>
      <c r="AM388" s="98"/>
      <c r="AN388" s="98"/>
      <c r="AO388" s="98"/>
    </row>
    <row r="389" ht="14.25" customHeight="1">
      <c r="A389" s="179"/>
      <c r="B389" s="98"/>
      <c r="C389" s="98"/>
      <c r="D389" s="98"/>
      <c r="E389" s="98"/>
      <c r="F389" s="235"/>
      <c r="G389" s="235"/>
      <c r="H389" s="236"/>
      <c r="I389" s="236"/>
      <c r="J389" s="236"/>
      <c r="K389" s="236"/>
      <c r="L389" s="236"/>
      <c r="M389" s="236"/>
      <c r="N389" s="236"/>
      <c r="O389" s="236"/>
      <c r="P389" s="236"/>
      <c r="Q389" s="236"/>
      <c r="R389" s="236"/>
      <c r="S389" s="236"/>
      <c r="T389" s="236"/>
      <c r="U389" s="236"/>
      <c r="V389" s="236"/>
      <c r="W389" s="237"/>
      <c r="X389" s="237"/>
      <c r="Y389" s="237"/>
      <c r="Z389" s="237"/>
      <c r="AA389" s="237"/>
      <c r="AB389" s="237"/>
      <c r="AC389" s="237"/>
      <c r="AD389" s="237"/>
      <c r="AE389" s="237"/>
      <c r="AF389" s="237"/>
      <c r="AG389" s="237"/>
      <c r="AH389" s="237"/>
      <c r="AI389" s="98"/>
      <c r="AJ389" s="98"/>
      <c r="AK389" s="98"/>
      <c r="AL389" s="98"/>
      <c r="AM389" s="98"/>
      <c r="AN389" s="98"/>
      <c r="AO389" s="98"/>
    </row>
    <row r="390" ht="14.25" customHeight="1">
      <c r="A390" s="179"/>
      <c r="B390" s="98"/>
      <c r="C390" s="98"/>
      <c r="D390" s="98"/>
      <c r="E390" s="98"/>
      <c r="F390" s="235"/>
      <c r="G390" s="235"/>
      <c r="H390" s="236"/>
      <c r="I390" s="236"/>
      <c r="J390" s="236"/>
      <c r="K390" s="236"/>
      <c r="L390" s="236"/>
      <c r="M390" s="236"/>
      <c r="N390" s="236"/>
      <c r="O390" s="236"/>
      <c r="P390" s="236"/>
      <c r="Q390" s="236"/>
      <c r="R390" s="236"/>
      <c r="S390" s="236"/>
      <c r="T390" s="236"/>
      <c r="U390" s="236"/>
      <c r="V390" s="236"/>
      <c r="W390" s="237"/>
      <c r="X390" s="237"/>
      <c r="Y390" s="237"/>
      <c r="Z390" s="237"/>
      <c r="AA390" s="237"/>
      <c r="AB390" s="237"/>
      <c r="AC390" s="237"/>
      <c r="AD390" s="237"/>
      <c r="AE390" s="237"/>
      <c r="AF390" s="237"/>
      <c r="AG390" s="237"/>
      <c r="AH390" s="237"/>
      <c r="AI390" s="98"/>
      <c r="AJ390" s="98"/>
      <c r="AK390" s="98"/>
      <c r="AL390" s="98"/>
      <c r="AM390" s="98"/>
      <c r="AN390" s="98"/>
      <c r="AO390" s="98"/>
    </row>
    <row r="391" ht="14.25" customHeight="1">
      <c r="A391" s="179"/>
      <c r="B391" s="98"/>
      <c r="C391" s="98"/>
      <c r="D391" s="98"/>
      <c r="E391" s="98"/>
      <c r="F391" s="235"/>
      <c r="G391" s="235"/>
      <c r="H391" s="236"/>
      <c r="I391" s="236"/>
      <c r="J391" s="236"/>
      <c r="K391" s="236"/>
      <c r="L391" s="236"/>
      <c r="M391" s="236"/>
      <c r="N391" s="236"/>
      <c r="O391" s="236"/>
      <c r="P391" s="236"/>
      <c r="Q391" s="236"/>
      <c r="R391" s="236"/>
      <c r="S391" s="236"/>
      <c r="T391" s="236"/>
      <c r="U391" s="236"/>
      <c r="V391" s="236"/>
      <c r="W391" s="237"/>
      <c r="X391" s="237"/>
      <c r="Y391" s="237"/>
      <c r="Z391" s="237"/>
      <c r="AA391" s="237"/>
      <c r="AB391" s="237"/>
      <c r="AC391" s="237"/>
      <c r="AD391" s="237"/>
      <c r="AE391" s="237"/>
      <c r="AF391" s="237"/>
      <c r="AG391" s="237"/>
      <c r="AH391" s="237"/>
      <c r="AI391" s="98"/>
      <c r="AJ391" s="98"/>
      <c r="AK391" s="98"/>
      <c r="AL391" s="98"/>
      <c r="AM391" s="98"/>
      <c r="AN391" s="98"/>
      <c r="AO391" s="98"/>
    </row>
    <row r="392" ht="14.25" customHeight="1">
      <c r="A392" s="179"/>
      <c r="B392" s="98"/>
      <c r="C392" s="98"/>
      <c r="D392" s="98"/>
      <c r="E392" s="98"/>
      <c r="F392" s="235"/>
      <c r="G392" s="235"/>
      <c r="H392" s="236"/>
      <c r="I392" s="236"/>
      <c r="J392" s="236"/>
      <c r="K392" s="236"/>
      <c r="L392" s="236"/>
      <c r="M392" s="236"/>
      <c r="N392" s="236"/>
      <c r="O392" s="236"/>
      <c r="P392" s="236"/>
      <c r="Q392" s="236"/>
      <c r="R392" s="236"/>
      <c r="S392" s="236"/>
      <c r="T392" s="236"/>
      <c r="U392" s="236"/>
      <c r="V392" s="236"/>
      <c r="W392" s="237"/>
      <c r="X392" s="237"/>
      <c r="Y392" s="237"/>
      <c r="Z392" s="237"/>
      <c r="AA392" s="237"/>
      <c r="AB392" s="237"/>
      <c r="AC392" s="237"/>
      <c r="AD392" s="237"/>
      <c r="AE392" s="237"/>
      <c r="AF392" s="237"/>
      <c r="AG392" s="237"/>
      <c r="AH392" s="237"/>
      <c r="AI392" s="98"/>
      <c r="AJ392" s="98"/>
      <c r="AK392" s="98"/>
      <c r="AL392" s="98"/>
      <c r="AM392" s="98"/>
      <c r="AN392" s="98"/>
      <c r="AO392" s="98"/>
    </row>
    <row r="393" ht="14.25" customHeight="1">
      <c r="A393" s="179"/>
      <c r="B393" s="98"/>
      <c r="C393" s="98"/>
      <c r="D393" s="98"/>
      <c r="E393" s="98"/>
      <c r="F393" s="235"/>
      <c r="G393" s="235"/>
      <c r="H393" s="236"/>
      <c r="I393" s="236"/>
      <c r="J393" s="236"/>
      <c r="K393" s="236"/>
      <c r="L393" s="236"/>
      <c r="M393" s="236"/>
      <c r="N393" s="236"/>
      <c r="O393" s="236"/>
      <c r="P393" s="236"/>
      <c r="Q393" s="236"/>
      <c r="R393" s="236"/>
      <c r="S393" s="236"/>
      <c r="T393" s="236"/>
      <c r="U393" s="236"/>
      <c r="V393" s="236"/>
      <c r="W393" s="237"/>
      <c r="X393" s="237"/>
      <c r="Y393" s="237"/>
      <c r="Z393" s="237"/>
      <c r="AA393" s="237"/>
      <c r="AB393" s="237"/>
      <c r="AC393" s="237"/>
      <c r="AD393" s="237"/>
      <c r="AE393" s="237"/>
      <c r="AF393" s="237"/>
      <c r="AG393" s="237"/>
      <c r="AH393" s="237"/>
      <c r="AI393" s="98"/>
      <c r="AJ393" s="98"/>
      <c r="AK393" s="98"/>
      <c r="AL393" s="98"/>
      <c r="AM393" s="98"/>
      <c r="AN393" s="98"/>
      <c r="AO393" s="98"/>
    </row>
    <row r="394" ht="14.25" customHeight="1">
      <c r="A394" s="179"/>
      <c r="B394" s="98"/>
      <c r="C394" s="98"/>
      <c r="D394" s="98"/>
      <c r="E394" s="98"/>
      <c r="F394" s="235"/>
      <c r="G394" s="235"/>
      <c r="H394" s="236"/>
      <c r="I394" s="236"/>
      <c r="J394" s="236"/>
      <c r="K394" s="236"/>
      <c r="L394" s="236"/>
      <c r="M394" s="236"/>
      <c r="N394" s="236"/>
      <c r="O394" s="236"/>
      <c r="P394" s="236"/>
      <c r="Q394" s="236"/>
      <c r="R394" s="236"/>
      <c r="S394" s="236"/>
      <c r="T394" s="236"/>
      <c r="U394" s="236"/>
      <c r="V394" s="236"/>
      <c r="W394" s="237"/>
      <c r="X394" s="237"/>
      <c r="Y394" s="237"/>
      <c r="Z394" s="237"/>
      <c r="AA394" s="237"/>
      <c r="AB394" s="237"/>
      <c r="AC394" s="237"/>
      <c r="AD394" s="237"/>
      <c r="AE394" s="237"/>
      <c r="AF394" s="237"/>
      <c r="AG394" s="237"/>
      <c r="AH394" s="237"/>
      <c r="AI394" s="98"/>
      <c r="AJ394" s="98"/>
      <c r="AK394" s="98"/>
      <c r="AL394" s="98"/>
      <c r="AM394" s="98"/>
      <c r="AN394" s="98"/>
      <c r="AO394" s="98"/>
    </row>
    <row r="395" ht="14.25" customHeight="1">
      <c r="A395" s="179"/>
      <c r="B395" s="98"/>
      <c r="C395" s="98"/>
      <c r="D395" s="98"/>
      <c r="E395" s="98"/>
      <c r="F395" s="235"/>
      <c r="G395" s="235"/>
      <c r="H395" s="236"/>
      <c r="I395" s="236"/>
      <c r="J395" s="236"/>
      <c r="K395" s="236"/>
      <c r="L395" s="236"/>
      <c r="M395" s="236"/>
      <c r="N395" s="236"/>
      <c r="O395" s="236"/>
      <c r="P395" s="236"/>
      <c r="Q395" s="236"/>
      <c r="R395" s="236"/>
      <c r="S395" s="236"/>
      <c r="T395" s="236"/>
      <c r="U395" s="236"/>
      <c r="V395" s="236"/>
      <c r="W395" s="237"/>
      <c r="X395" s="237"/>
      <c r="Y395" s="237"/>
      <c r="Z395" s="237"/>
      <c r="AA395" s="237"/>
      <c r="AB395" s="237"/>
      <c r="AC395" s="237"/>
      <c r="AD395" s="237"/>
      <c r="AE395" s="237"/>
      <c r="AF395" s="237"/>
      <c r="AG395" s="237"/>
      <c r="AH395" s="237"/>
      <c r="AI395" s="98"/>
      <c r="AJ395" s="98"/>
      <c r="AK395" s="98"/>
      <c r="AL395" s="98"/>
      <c r="AM395" s="98"/>
      <c r="AN395" s="98"/>
      <c r="AO395" s="98"/>
    </row>
    <row r="396" ht="14.25" customHeight="1">
      <c r="A396" s="179"/>
      <c r="B396" s="98"/>
      <c r="C396" s="98"/>
      <c r="D396" s="98"/>
      <c r="E396" s="98"/>
      <c r="F396" s="235"/>
      <c r="G396" s="235"/>
      <c r="H396" s="236"/>
      <c r="I396" s="236"/>
      <c r="J396" s="236"/>
      <c r="K396" s="236"/>
      <c r="L396" s="236"/>
      <c r="M396" s="236"/>
      <c r="N396" s="236"/>
      <c r="O396" s="236"/>
      <c r="P396" s="236"/>
      <c r="Q396" s="236"/>
      <c r="R396" s="236"/>
      <c r="S396" s="236"/>
      <c r="T396" s="236"/>
      <c r="U396" s="236"/>
      <c r="V396" s="236"/>
      <c r="W396" s="237"/>
      <c r="X396" s="237"/>
      <c r="Y396" s="237"/>
      <c r="Z396" s="237"/>
      <c r="AA396" s="237"/>
      <c r="AB396" s="237"/>
      <c r="AC396" s="237"/>
      <c r="AD396" s="237"/>
      <c r="AE396" s="237"/>
      <c r="AF396" s="237"/>
      <c r="AG396" s="237"/>
      <c r="AH396" s="237"/>
      <c r="AI396" s="98"/>
      <c r="AJ396" s="98"/>
      <c r="AK396" s="98"/>
      <c r="AL396" s="98"/>
      <c r="AM396" s="98"/>
      <c r="AN396" s="98"/>
      <c r="AO396" s="98"/>
    </row>
    <row r="397" ht="14.25" customHeight="1">
      <c r="A397" s="179"/>
      <c r="B397" s="98"/>
      <c r="C397" s="98"/>
      <c r="D397" s="98"/>
      <c r="E397" s="98"/>
      <c r="F397" s="235"/>
      <c r="G397" s="235"/>
      <c r="H397" s="236"/>
      <c r="I397" s="236"/>
      <c r="J397" s="236"/>
      <c r="K397" s="236"/>
      <c r="L397" s="236"/>
      <c r="M397" s="236"/>
      <c r="N397" s="236"/>
      <c r="O397" s="236"/>
      <c r="P397" s="236"/>
      <c r="Q397" s="236"/>
      <c r="R397" s="236"/>
      <c r="S397" s="236"/>
      <c r="T397" s="236"/>
      <c r="U397" s="236"/>
      <c r="V397" s="236"/>
      <c r="W397" s="237"/>
      <c r="X397" s="237"/>
      <c r="Y397" s="237"/>
      <c r="Z397" s="237"/>
      <c r="AA397" s="237"/>
      <c r="AB397" s="237"/>
      <c r="AC397" s="237"/>
      <c r="AD397" s="237"/>
      <c r="AE397" s="237"/>
      <c r="AF397" s="237"/>
      <c r="AG397" s="237"/>
      <c r="AH397" s="237"/>
      <c r="AI397" s="98"/>
      <c r="AJ397" s="98"/>
      <c r="AK397" s="98"/>
      <c r="AL397" s="98"/>
      <c r="AM397" s="98"/>
      <c r="AN397" s="98"/>
      <c r="AO397" s="98"/>
    </row>
    <row r="398" ht="14.25" customHeight="1">
      <c r="A398" s="179"/>
      <c r="B398" s="98"/>
      <c r="C398" s="98"/>
      <c r="D398" s="98"/>
      <c r="E398" s="98"/>
      <c r="F398" s="235"/>
      <c r="G398" s="235"/>
      <c r="H398" s="236"/>
      <c r="I398" s="236"/>
      <c r="J398" s="236"/>
      <c r="K398" s="236"/>
      <c r="L398" s="236"/>
      <c r="M398" s="236"/>
      <c r="N398" s="236"/>
      <c r="O398" s="236"/>
      <c r="P398" s="236"/>
      <c r="Q398" s="236"/>
      <c r="R398" s="236"/>
      <c r="S398" s="236"/>
      <c r="T398" s="236"/>
      <c r="U398" s="236"/>
      <c r="V398" s="236"/>
      <c r="W398" s="237"/>
      <c r="X398" s="237"/>
      <c r="Y398" s="237"/>
      <c r="Z398" s="237"/>
      <c r="AA398" s="237"/>
      <c r="AB398" s="237"/>
      <c r="AC398" s="237"/>
      <c r="AD398" s="237"/>
      <c r="AE398" s="237"/>
      <c r="AF398" s="237"/>
      <c r="AG398" s="237"/>
      <c r="AH398" s="237"/>
      <c r="AI398" s="98"/>
      <c r="AJ398" s="98"/>
      <c r="AK398" s="98"/>
      <c r="AL398" s="98"/>
      <c r="AM398" s="98"/>
      <c r="AN398" s="98"/>
      <c r="AO398" s="98"/>
    </row>
    <row r="399" ht="14.25" customHeight="1">
      <c r="A399" s="179"/>
      <c r="B399" s="98"/>
      <c r="C399" s="98"/>
      <c r="D399" s="98"/>
      <c r="E399" s="98"/>
      <c r="F399" s="235"/>
      <c r="G399" s="235"/>
      <c r="H399" s="236"/>
      <c r="I399" s="236"/>
      <c r="J399" s="236"/>
      <c r="K399" s="236"/>
      <c r="L399" s="236"/>
      <c r="M399" s="236"/>
      <c r="N399" s="236"/>
      <c r="O399" s="236"/>
      <c r="P399" s="236"/>
      <c r="Q399" s="236"/>
      <c r="R399" s="236"/>
      <c r="S399" s="236"/>
      <c r="T399" s="236"/>
      <c r="U399" s="236"/>
      <c r="V399" s="236"/>
      <c r="W399" s="237"/>
      <c r="X399" s="237"/>
      <c r="Y399" s="237"/>
      <c r="Z399" s="237"/>
      <c r="AA399" s="237"/>
      <c r="AB399" s="237"/>
      <c r="AC399" s="237"/>
      <c r="AD399" s="237"/>
      <c r="AE399" s="237"/>
      <c r="AF399" s="237"/>
      <c r="AG399" s="237"/>
      <c r="AH399" s="237"/>
      <c r="AI399" s="98"/>
      <c r="AJ399" s="98"/>
      <c r="AK399" s="98"/>
      <c r="AL399" s="98"/>
      <c r="AM399" s="98"/>
      <c r="AN399" s="98"/>
      <c r="AO399" s="98"/>
    </row>
    <row r="400" ht="14.25" customHeight="1">
      <c r="A400" s="179"/>
      <c r="B400" s="98"/>
      <c r="C400" s="98"/>
      <c r="D400" s="98"/>
      <c r="E400" s="98"/>
      <c r="F400" s="235"/>
      <c r="G400" s="235"/>
      <c r="H400" s="236"/>
      <c r="I400" s="236"/>
      <c r="J400" s="236"/>
      <c r="K400" s="236"/>
      <c r="L400" s="236"/>
      <c r="M400" s="236"/>
      <c r="N400" s="236"/>
      <c r="O400" s="236"/>
      <c r="P400" s="236"/>
      <c r="Q400" s="236"/>
      <c r="R400" s="236"/>
      <c r="S400" s="236"/>
      <c r="T400" s="236"/>
      <c r="U400" s="236"/>
      <c r="V400" s="236"/>
      <c r="W400" s="237"/>
      <c r="X400" s="237"/>
      <c r="Y400" s="237"/>
      <c r="Z400" s="237"/>
      <c r="AA400" s="237"/>
      <c r="AB400" s="237"/>
      <c r="AC400" s="237"/>
      <c r="AD400" s="237"/>
      <c r="AE400" s="237"/>
      <c r="AF400" s="237"/>
      <c r="AG400" s="237"/>
      <c r="AH400" s="237"/>
      <c r="AI400" s="98"/>
      <c r="AJ400" s="98"/>
      <c r="AK400" s="98"/>
      <c r="AL400" s="98"/>
      <c r="AM400" s="98"/>
      <c r="AN400" s="98"/>
      <c r="AO400" s="98"/>
    </row>
    <row r="401" ht="14.25" customHeight="1">
      <c r="A401" s="179"/>
      <c r="B401" s="98"/>
      <c r="C401" s="98"/>
      <c r="D401" s="98"/>
      <c r="E401" s="98"/>
      <c r="F401" s="235"/>
      <c r="G401" s="235"/>
      <c r="H401" s="236"/>
      <c r="I401" s="236"/>
      <c r="J401" s="236"/>
      <c r="K401" s="236"/>
      <c r="L401" s="236"/>
      <c r="M401" s="236"/>
      <c r="N401" s="236"/>
      <c r="O401" s="236"/>
      <c r="P401" s="236"/>
      <c r="Q401" s="236"/>
      <c r="R401" s="236"/>
      <c r="S401" s="236"/>
      <c r="T401" s="236"/>
      <c r="U401" s="236"/>
      <c r="V401" s="236"/>
      <c r="W401" s="237"/>
      <c r="X401" s="237"/>
      <c r="Y401" s="237"/>
      <c r="Z401" s="237"/>
      <c r="AA401" s="237"/>
      <c r="AB401" s="237"/>
      <c r="AC401" s="237"/>
      <c r="AD401" s="237"/>
      <c r="AE401" s="237"/>
      <c r="AF401" s="237"/>
      <c r="AG401" s="237"/>
      <c r="AH401" s="237"/>
      <c r="AI401" s="98"/>
      <c r="AJ401" s="98"/>
      <c r="AK401" s="98"/>
      <c r="AL401" s="98"/>
      <c r="AM401" s="98"/>
      <c r="AN401" s="98"/>
      <c r="AO401" s="98"/>
    </row>
    <row r="402" ht="14.25" customHeight="1">
      <c r="A402" s="179"/>
      <c r="B402" s="98"/>
      <c r="C402" s="98"/>
      <c r="D402" s="98"/>
      <c r="E402" s="98"/>
      <c r="F402" s="235"/>
      <c r="G402" s="235"/>
      <c r="H402" s="236"/>
      <c r="I402" s="236"/>
      <c r="J402" s="236"/>
      <c r="K402" s="236"/>
      <c r="L402" s="236"/>
      <c r="M402" s="236"/>
      <c r="N402" s="236"/>
      <c r="O402" s="236"/>
      <c r="P402" s="236"/>
      <c r="Q402" s="236"/>
      <c r="R402" s="236"/>
      <c r="S402" s="236"/>
      <c r="T402" s="236"/>
      <c r="U402" s="236"/>
      <c r="V402" s="236"/>
      <c r="W402" s="237"/>
      <c r="X402" s="237"/>
      <c r="Y402" s="237"/>
      <c r="Z402" s="237"/>
      <c r="AA402" s="237"/>
      <c r="AB402" s="237"/>
      <c r="AC402" s="237"/>
      <c r="AD402" s="237"/>
      <c r="AE402" s="237"/>
      <c r="AF402" s="237"/>
      <c r="AG402" s="237"/>
      <c r="AH402" s="237"/>
      <c r="AI402" s="98"/>
      <c r="AJ402" s="98"/>
      <c r="AK402" s="98"/>
      <c r="AL402" s="98"/>
      <c r="AM402" s="98"/>
      <c r="AN402" s="98"/>
      <c r="AO402" s="98"/>
    </row>
    <row r="403" ht="14.25" customHeight="1">
      <c r="A403" s="179"/>
      <c r="B403" s="98"/>
      <c r="C403" s="98"/>
      <c r="D403" s="98"/>
      <c r="E403" s="98"/>
      <c r="F403" s="235"/>
      <c r="G403" s="235"/>
      <c r="H403" s="236"/>
      <c r="I403" s="236"/>
      <c r="J403" s="236"/>
      <c r="K403" s="236"/>
      <c r="L403" s="236"/>
      <c r="M403" s="236"/>
      <c r="N403" s="236"/>
      <c r="O403" s="236"/>
      <c r="P403" s="236"/>
      <c r="Q403" s="236"/>
      <c r="R403" s="236"/>
      <c r="S403" s="236"/>
      <c r="T403" s="236"/>
      <c r="U403" s="236"/>
      <c r="V403" s="236"/>
      <c r="W403" s="237"/>
      <c r="X403" s="237"/>
      <c r="Y403" s="237"/>
      <c r="Z403" s="237"/>
      <c r="AA403" s="237"/>
      <c r="AB403" s="237"/>
      <c r="AC403" s="237"/>
      <c r="AD403" s="237"/>
      <c r="AE403" s="237"/>
      <c r="AF403" s="237"/>
      <c r="AG403" s="237"/>
      <c r="AH403" s="237"/>
      <c r="AI403" s="98"/>
      <c r="AJ403" s="98"/>
      <c r="AK403" s="98"/>
      <c r="AL403" s="98"/>
      <c r="AM403" s="98"/>
      <c r="AN403" s="98"/>
      <c r="AO403" s="98"/>
    </row>
    <row r="404" ht="14.25" customHeight="1">
      <c r="A404" s="179"/>
      <c r="B404" s="98"/>
      <c r="C404" s="98"/>
      <c r="D404" s="98"/>
      <c r="E404" s="98"/>
      <c r="F404" s="235"/>
      <c r="G404" s="235"/>
      <c r="H404" s="236"/>
      <c r="I404" s="236"/>
      <c r="J404" s="236"/>
      <c r="K404" s="236"/>
      <c r="L404" s="236"/>
      <c r="M404" s="236"/>
      <c r="N404" s="236"/>
      <c r="O404" s="236"/>
      <c r="P404" s="236"/>
      <c r="Q404" s="236"/>
      <c r="R404" s="236"/>
      <c r="S404" s="236"/>
      <c r="T404" s="236"/>
      <c r="U404" s="236"/>
      <c r="V404" s="236"/>
      <c r="W404" s="237"/>
      <c r="X404" s="237"/>
      <c r="Y404" s="237"/>
      <c r="Z404" s="237"/>
      <c r="AA404" s="237"/>
      <c r="AB404" s="237"/>
      <c r="AC404" s="237"/>
      <c r="AD404" s="237"/>
      <c r="AE404" s="237"/>
      <c r="AF404" s="237"/>
      <c r="AG404" s="237"/>
      <c r="AH404" s="237"/>
      <c r="AI404" s="98"/>
      <c r="AJ404" s="98"/>
      <c r="AK404" s="98"/>
      <c r="AL404" s="98"/>
      <c r="AM404" s="98"/>
      <c r="AN404" s="98"/>
      <c r="AO404" s="98"/>
    </row>
    <row r="405" ht="14.25" customHeight="1">
      <c r="A405" s="179"/>
      <c r="B405" s="98"/>
      <c r="C405" s="98"/>
      <c r="D405" s="98"/>
      <c r="E405" s="98"/>
      <c r="F405" s="235"/>
      <c r="G405" s="235"/>
      <c r="H405" s="236"/>
      <c r="I405" s="236"/>
      <c r="J405" s="236"/>
      <c r="K405" s="236"/>
      <c r="L405" s="236"/>
      <c r="M405" s="236"/>
      <c r="N405" s="236"/>
      <c r="O405" s="236"/>
      <c r="P405" s="236"/>
      <c r="Q405" s="236"/>
      <c r="R405" s="236"/>
      <c r="S405" s="236"/>
      <c r="T405" s="236"/>
      <c r="U405" s="236"/>
      <c r="V405" s="236"/>
      <c r="W405" s="237"/>
      <c r="X405" s="237"/>
      <c r="Y405" s="237"/>
      <c r="Z405" s="237"/>
      <c r="AA405" s="237"/>
      <c r="AB405" s="237"/>
      <c r="AC405" s="237"/>
      <c r="AD405" s="237"/>
      <c r="AE405" s="237"/>
      <c r="AF405" s="237"/>
      <c r="AG405" s="237"/>
      <c r="AH405" s="237"/>
      <c r="AI405" s="98"/>
      <c r="AJ405" s="98"/>
      <c r="AK405" s="98"/>
      <c r="AL405" s="98"/>
      <c r="AM405" s="98"/>
      <c r="AN405" s="98"/>
      <c r="AO405" s="98"/>
    </row>
    <row r="406" ht="14.25" customHeight="1">
      <c r="A406" s="179"/>
      <c r="B406" s="98"/>
      <c r="C406" s="98"/>
      <c r="D406" s="98"/>
      <c r="E406" s="98"/>
      <c r="F406" s="235"/>
      <c r="G406" s="235"/>
      <c r="H406" s="236"/>
      <c r="I406" s="236"/>
      <c r="J406" s="236"/>
      <c r="K406" s="236"/>
      <c r="L406" s="236"/>
      <c r="M406" s="236"/>
      <c r="N406" s="236"/>
      <c r="O406" s="236"/>
      <c r="P406" s="236"/>
      <c r="Q406" s="236"/>
      <c r="R406" s="236"/>
      <c r="S406" s="236"/>
      <c r="T406" s="236"/>
      <c r="U406" s="236"/>
      <c r="V406" s="236"/>
      <c r="W406" s="237"/>
      <c r="X406" s="237"/>
      <c r="Y406" s="237"/>
      <c r="Z406" s="237"/>
      <c r="AA406" s="237"/>
      <c r="AB406" s="237"/>
      <c r="AC406" s="237"/>
      <c r="AD406" s="237"/>
      <c r="AE406" s="237"/>
      <c r="AF406" s="237"/>
      <c r="AG406" s="237"/>
      <c r="AH406" s="237"/>
      <c r="AI406" s="98"/>
      <c r="AJ406" s="98"/>
      <c r="AK406" s="98"/>
      <c r="AL406" s="98"/>
      <c r="AM406" s="98"/>
      <c r="AN406" s="98"/>
      <c r="AO406" s="98"/>
    </row>
    <row r="407" ht="14.25" customHeight="1">
      <c r="A407" s="179"/>
      <c r="B407" s="98"/>
      <c r="C407" s="98"/>
      <c r="D407" s="98"/>
      <c r="E407" s="98"/>
      <c r="F407" s="235"/>
      <c r="G407" s="235"/>
      <c r="H407" s="236"/>
      <c r="I407" s="236"/>
      <c r="J407" s="236"/>
      <c r="K407" s="236"/>
      <c r="L407" s="236"/>
      <c r="M407" s="236"/>
      <c r="N407" s="236"/>
      <c r="O407" s="236"/>
      <c r="P407" s="236"/>
      <c r="Q407" s="236"/>
      <c r="R407" s="236"/>
      <c r="S407" s="236"/>
      <c r="T407" s="236"/>
      <c r="U407" s="236"/>
      <c r="V407" s="236"/>
      <c r="W407" s="237"/>
      <c r="X407" s="237"/>
      <c r="Y407" s="237"/>
      <c r="Z407" s="237"/>
      <c r="AA407" s="237"/>
      <c r="AB407" s="237"/>
      <c r="AC407" s="237"/>
      <c r="AD407" s="237"/>
      <c r="AE407" s="237"/>
      <c r="AF407" s="237"/>
      <c r="AG407" s="237"/>
      <c r="AH407" s="237"/>
      <c r="AI407" s="98"/>
      <c r="AJ407" s="98"/>
      <c r="AK407" s="98"/>
      <c r="AL407" s="98"/>
      <c r="AM407" s="98"/>
      <c r="AN407" s="98"/>
      <c r="AO407" s="98"/>
    </row>
    <row r="408" ht="14.25" customHeight="1">
      <c r="A408" s="179"/>
      <c r="B408" s="98"/>
      <c r="C408" s="98"/>
      <c r="D408" s="98"/>
      <c r="E408" s="98"/>
      <c r="F408" s="235"/>
      <c r="G408" s="235"/>
      <c r="H408" s="236"/>
      <c r="I408" s="236"/>
      <c r="J408" s="236"/>
      <c r="K408" s="236"/>
      <c r="L408" s="236"/>
      <c r="M408" s="236"/>
      <c r="N408" s="236"/>
      <c r="O408" s="236"/>
      <c r="P408" s="236"/>
      <c r="Q408" s="236"/>
      <c r="R408" s="236"/>
      <c r="S408" s="236"/>
      <c r="T408" s="236"/>
      <c r="U408" s="236"/>
      <c r="V408" s="236"/>
      <c r="W408" s="237"/>
      <c r="X408" s="237"/>
      <c r="Y408" s="237"/>
      <c r="Z408" s="237"/>
      <c r="AA408" s="237"/>
      <c r="AB408" s="237"/>
      <c r="AC408" s="237"/>
      <c r="AD408" s="237"/>
      <c r="AE408" s="237"/>
      <c r="AF408" s="237"/>
      <c r="AG408" s="237"/>
      <c r="AH408" s="237"/>
      <c r="AI408" s="98"/>
      <c r="AJ408" s="98"/>
      <c r="AK408" s="98"/>
      <c r="AL408" s="98"/>
      <c r="AM408" s="98"/>
      <c r="AN408" s="98"/>
      <c r="AO408" s="98"/>
    </row>
    <row r="409" ht="14.25" customHeight="1">
      <c r="A409" s="179"/>
      <c r="B409" s="98"/>
      <c r="C409" s="98"/>
      <c r="D409" s="98"/>
      <c r="E409" s="98"/>
      <c r="F409" s="235"/>
      <c r="G409" s="235"/>
      <c r="H409" s="236"/>
      <c r="I409" s="236"/>
      <c r="J409" s="236"/>
      <c r="K409" s="236"/>
      <c r="L409" s="236"/>
      <c r="M409" s="236"/>
      <c r="N409" s="236"/>
      <c r="O409" s="236"/>
      <c r="P409" s="236"/>
      <c r="Q409" s="236"/>
      <c r="R409" s="236"/>
      <c r="S409" s="236"/>
      <c r="T409" s="236"/>
      <c r="U409" s="236"/>
      <c r="V409" s="236"/>
      <c r="W409" s="237"/>
      <c r="X409" s="237"/>
      <c r="Y409" s="237"/>
      <c r="Z409" s="237"/>
      <c r="AA409" s="237"/>
      <c r="AB409" s="237"/>
      <c r="AC409" s="237"/>
      <c r="AD409" s="237"/>
      <c r="AE409" s="237"/>
      <c r="AF409" s="237"/>
      <c r="AG409" s="237"/>
      <c r="AH409" s="237"/>
      <c r="AI409" s="98"/>
      <c r="AJ409" s="98"/>
      <c r="AK409" s="98"/>
      <c r="AL409" s="98"/>
      <c r="AM409" s="98"/>
      <c r="AN409" s="98"/>
      <c r="AO409" s="98"/>
    </row>
    <row r="410" ht="14.25" customHeight="1">
      <c r="A410" s="179"/>
      <c r="B410" s="98"/>
      <c r="C410" s="98"/>
      <c r="D410" s="98"/>
      <c r="E410" s="98"/>
      <c r="F410" s="235"/>
      <c r="G410" s="235"/>
      <c r="H410" s="236"/>
      <c r="I410" s="236"/>
      <c r="J410" s="236"/>
      <c r="K410" s="236"/>
      <c r="L410" s="236"/>
      <c r="M410" s="236"/>
      <c r="N410" s="236"/>
      <c r="O410" s="236"/>
      <c r="P410" s="236"/>
      <c r="Q410" s="236"/>
      <c r="R410" s="236"/>
      <c r="S410" s="236"/>
      <c r="T410" s="236"/>
      <c r="U410" s="236"/>
      <c r="V410" s="236"/>
      <c r="W410" s="237"/>
      <c r="X410" s="237"/>
      <c r="Y410" s="237"/>
      <c r="Z410" s="237"/>
      <c r="AA410" s="237"/>
      <c r="AB410" s="237"/>
      <c r="AC410" s="237"/>
      <c r="AD410" s="237"/>
      <c r="AE410" s="237"/>
      <c r="AF410" s="237"/>
      <c r="AG410" s="237"/>
      <c r="AH410" s="237"/>
      <c r="AI410" s="98"/>
      <c r="AJ410" s="98"/>
      <c r="AK410" s="98"/>
      <c r="AL410" s="98"/>
      <c r="AM410" s="98"/>
      <c r="AN410" s="98"/>
      <c r="AO410" s="98"/>
    </row>
    <row r="411" ht="14.25" customHeight="1">
      <c r="A411" s="179"/>
      <c r="B411" s="98"/>
      <c r="C411" s="98"/>
      <c r="D411" s="98"/>
      <c r="E411" s="98"/>
      <c r="F411" s="235"/>
      <c r="G411" s="235"/>
      <c r="H411" s="236"/>
      <c r="I411" s="236"/>
      <c r="J411" s="236"/>
      <c r="K411" s="236"/>
      <c r="L411" s="236"/>
      <c r="M411" s="236"/>
      <c r="N411" s="236"/>
      <c r="O411" s="236"/>
      <c r="P411" s="236"/>
      <c r="Q411" s="236"/>
      <c r="R411" s="236"/>
      <c r="S411" s="236"/>
      <c r="T411" s="236"/>
      <c r="U411" s="236"/>
      <c r="V411" s="236"/>
      <c r="W411" s="237"/>
      <c r="X411" s="237"/>
      <c r="Y411" s="237"/>
      <c r="Z411" s="237"/>
      <c r="AA411" s="237"/>
      <c r="AB411" s="237"/>
      <c r="AC411" s="237"/>
      <c r="AD411" s="237"/>
      <c r="AE411" s="237"/>
      <c r="AF411" s="237"/>
      <c r="AG411" s="237"/>
      <c r="AH411" s="237"/>
      <c r="AI411" s="98"/>
      <c r="AJ411" s="98"/>
      <c r="AK411" s="98"/>
      <c r="AL411" s="98"/>
      <c r="AM411" s="98"/>
      <c r="AN411" s="98"/>
      <c r="AO411" s="98"/>
    </row>
    <row r="412" ht="14.25" customHeight="1">
      <c r="A412" s="179"/>
      <c r="B412" s="98"/>
      <c r="C412" s="98"/>
      <c r="D412" s="98"/>
      <c r="E412" s="98"/>
      <c r="F412" s="235"/>
      <c r="G412" s="235"/>
      <c r="H412" s="236"/>
      <c r="I412" s="236"/>
      <c r="J412" s="236"/>
      <c r="K412" s="236"/>
      <c r="L412" s="236"/>
      <c r="M412" s="236"/>
      <c r="N412" s="236"/>
      <c r="O412" s="236"/>
      <c r="P412" s="236"/>
      <c r="Q412" s="236"/>
      <c r="R412" s="236"/>
      <c r="S412" s="236"/>
      <c r="T412" s="236"/>
      <c r="U412" s="236"/>
      <c r="V412" s="236"/>
      <c r="W412" s="237"/>
      <c r="X412" s="237"/>
      <c r="Y412" s="237"/>
      <c r="Z412" s="237"/>
      <c r="AA412" s="237"/>
      <c r="AB412" s="237"/>
      <c r="AC412" s="237"/>
      <c r="AD412" s="237"/>
      <c r="AE412" s="237"/>
      <c r="AF412" s="237"/>
      <c r="AG412" s="237"/>
      <c r="AH412" s="237"/>
      <c r="AI412" s="98"/>
      <c r="AJ412" s="98"/>
      <c r="AK412" s="98"/>
      <c r="AL412" s="98"/>
      <c r="AM412" s="98"/>
      <c r="AN412" s="98"/>
      <c r="AO412" s="98"/>
    </row>
    <row r="413" ht="14.25" customHeight="1">
      <c r="A413" s="179"/>
      <c r="B413" s="98"/>
      <c r="C413" s="98"/>
      <c r="D413" s="98"/>
      <c r="E413" s="98"/>
      <c r="F413" s="235"/>
      <c r="G413" s="235"/>
      <c r="H413" s="236"/>
      <c r="I413" s="236"/>
      <c r="J413" s="236"/>
      <c r="K413" s="236"/>
      <c r="L413" s="236"/>
      <c r="M413" s="236"/>
      <c r="N413" s="236"/>
      <c r="O413" s="236"/>
      <c r="P413" s="236"/>
      <c r="Q413" s="236"/>
      <c r="R413" s="236"/>
      <c r="S413" s="236"/>
      <c r="T413" s="236"/>
      <c r="U413" s="236"/>
      <c r="V413" s="236"/>
      <c r="W413" s="237"/>
      <c r="X413" s="237"/>
      <c r="Y413" s="237"/>
      <c r="Z413" s="237"/>
      <c r="AA413" s="237"/>
      <c r="AB413" s="237"/>
      <c r="AC413" s="237"/>
      <c r="AD413" s="237"/>
      <c r="AE413" s="237"/>
      <c r="AF413" s="237"/>
      <c r="AG413" s="237"/>
      <c r="AH413" s="237"/>
      <c r="AI413" s="98"/>
      <c r="AJ413" s="98"/>
      <c r="AK413" s="98"/>
      <c r="AL413" s="98"/>
      <c r="AM413" s="98"/>
      <c r="AN413" s="98"/>
      <c r="AO413" s="98"/>
    </row>
    <row r="414" ht="14.25" customHeight="1">
      <c r="A414" s="179"/>
      <c r="B414" s="98"/>
      <c r="C414" s="98"/>
      <c r="D414" s="98"/>
      <c r="E414" s="98"/>
      <c r="F414" s="235"/>
      <c r="G414" s="235"/>
      <c r="H414" s="236"/>
      <c r="I414" s="236"/>
      <c r="J414" s="236"/>
      <c r="K414" s="236"/>
      <c r="L414" s="236"/>
      <c r="M414" s="236"/>
      <c r="N414" s="236"/>
      <c r="O414" s="236"/>
      <c r="P414" s="236"/>
      <c r="Q414" s="236"/>
      <c r="R414" s="236"/>
      <c r="S414" s="236"/>
      <c r="T414" s="236"/>
      <c r="U414" s="236"/>
      <c r="V414" s="236"/>
      <c r="W414" s="237"/>
      <c r="X414" s="237"/>
      <c r="Y414" s="237"/>
      <c r="Z414" s="237"/>
      <c r="AA414" s="237"/>
      <c r="AB414" s="237"/>
      <c r="AC414" s="237"/>
      <c r="AD414" s="237"/>
      <c r="AE414" s="237"/>
      <c r="AF414" s="237"/>
      <c r="AG414" s="237"/>
      <c r="AH414" s="237"/>
      <c r="AI414" s="98"/>
      <c r="AJ414" s="98"/>
      <c r="AK414" s="98"/>
      <c r="AL414" s="98"/>
      <c r="AM414" s="98"/>
      <c r="AN414" s="98"/>
      <c r="AO414" s="98"/>
    </row>
    <row r="415" ht="14.25" customHeight="1">
      <c r="A415" s="179"/>
      <c r="B415" s="98"/>
      <c r="C415" s="98"/>
      <c r="D415" s="98"/>
      <c r="E415" s="98"/>
      <c r="F415" s="235"/>
      <c r="G415" s="235"/>
      <c r="H415" s="236"/>
      <c r="I415" s="236"/>
      <c r="J415" s="236"/>
      <c r="K415" s="236"/>
      <c r="L415" s="236"/>
      <c r="M415" s="236"/>
      <c r="N415" s="236"/>
      <c r="O415" s="236"/>
      <c r="P415" s="236"/>
      <c r="Q415" s="236"/>
      <c r="R415" s="236"/>
      <c r="S415" s="236"/>
      <c r="T415" s="236"/>
      <c r="U415" s="236"/>
      <c r="V415" s="236"/>
      <c r="W415" s="237"/>
      <c r="X415" s="237"/>
      <c r="Y415" s="237"/>
      <c r="Z415" s="237"/>
      <c r="AA415" s="237"/>
      <c r="AB415" s="237"/>
      <c r="AC415" s="237"/>
      <c r="AD415" s="237"/>
      <c r="AE415" s="237"/>
      <c r="AF415" s="237"/>
      <c r="AG415" s="237"/>
      <c r="AH415" s="237"/>
      <c r="AI415" s="98"/>
      <c r="AJ415" s="98"/>
      <c r="AK415" s="98"/>
      <c r="AL415" s="98"/>
      <c r="AM415" s="98"/>
      <c r="AN415" s="98"/>
      <c r="AO415" s="98"/>
    </row>
    <row r="416" ht="14.25" customHeight="1">
      <c r="A416" s="179"/>
      <c r="B416" s="98"/>
      <c r="C416" s="98"/>
      <c r="D416" s="98"/>
      <c r="E416" s="98"/>
      <c r="F416" s="235"/>
      <c r="G416" s="235"/>
      <c r="H416" s="236"/>
      <c r="I416" s="236"/>
      <c r="J416" s="236"/>
      <c r="K416" s="236"/>
      <c r="L416" s="236"/>
      <c r="M416" s="236"/>
      <c r="N416" s="236"/>
      <c r="O416" s="236"/>
      <c r="P416" s="236"/>
      <c r="Q416" s="236"/>
      <c r="R416" s="236"/>
      <c r="S416" s="236"/>
      <c r="T416" s="236"/>
      <c r="U416" s="236"/>
      <c r="V416" s="236"/>
      <c r="W416" s="237"/>
      <c r="X416" s="237"/>
      <c r="Y416" s="237"/>
      <c r="Z416" s="237"/>
      <c r="AA416" s="237"/>
      <c r="AB416" s="237"/>
      <c r="AC416" s="237"/>
      <c r="AD416" s="237"/>
      <c r="AE416" s="237"/>
      <c r="AF416" s="237"/>
      <c r="AG416" s="237"/>
      <c r="AH416" s="237"/>
      <c r="AI416" s="98"/>
      <c r="AJ416" s="98"/>
      <c r="AK416" s="98"/>
      <c r="AL416" s="98"/>
      <c r="AM416" s="98"/>
      <c r="AN416" s="98"/>
      <c r="AO416" s="98"/>
    </row>
    <row r="417" ht="14.25" customHeight="1">
      <c r="A417" s="179"/>
      <c r="B417" s="98"/>
      <c r="C417" s="98"/>
      <c r="D417" s="98"/>
      <c r="E417" s="98"/>
      <c r="F417" s="235"/>
      <c r="G417" s="235"/>
      <c r="H417" s="236"/>
      <c r="I417" s="236"/>
      <c r="J417" s="236"/>
      <c r="K417" s="236"/>
      <c r="L417" s="236"/>
      <c r="M417" s="236"/>
      <c r="N417" s="236"/>
      <c r="O417" s="236"/>
      <c r="P417" s="236"/>
      <c r="Q417" s="236"/>
      <c r="R417" s="236"/>
      <c r="S417" s="236"/>
      <c r="T417" s="236"/>
      <c r="U417" s="236"/>
      <c r="V417" s="236"/>
      <c r="W417" s="237"/>
      <c r="X417" s="237"/>
      <c r="Y417" s="237"/>
      <c r="Z417" s="237"/>
      <c r="AA417" s="237"/>
      <c r="AB417" s="237"/>
      <c r="AC417" s="237"/>
      <c r="AD417" s="237"/>
      <c r="AE417" s="237"/>
      <c r="AF417" s="237"/>
      <c r="AG417" s="237"/>
      <c r="AH417" s="237"/>
      <c r="AI417" s="98"/>
      <c r="AJ417" s="98"/>
      <c r="AK417" s="98"/>
      <c r="AL417" s="98"/>
      <c r="AM417" s="98"/>
      <c r="AN417" s="98"/>
      <c r="AO417" s="98"/>
    </row>
    <row r="418" ht="14.25" customHeight="1">
      <c r="A418" s="179"/>
      <c r="B418" s="98"/>
      <c r="C418" s="98"/>
      <c r="D418" s="98"/>
      <c r="E418" s="98"/>
      <c r="F418" s="235"/>
      <c r="G418" s="235"/>
      <c r="H418" s="236"/>
      <c r="I418" s="236"/>
      <c r="J418" s="236"/>
      <c r="K418" s="236"/>
      <c r="L418" s="236"/>
      <c r="M418" s="236"/>
      <c r="N418" s="236"/>
      <c r="O418" s="236"/>
      <c r="P418" s="236"/>
      <c r="Q418" s="236"/>
      <c r="R418" s="236"/>
      <c r="S418" s="236"/>
      <c r="T418" s="236"/>
      <c r="U418" s="236"/>
      <c r="V418" s="236"/>
      <c r="W418" s="237"/>
      <c r="X418" s="237"/>
      <c r="Y418" s="237"/>
      <c r="Z418" s="237"/>
      <c r="AA418" s="237"/>
      <c r="AB418" s="237"/>
      <c r="AC418" s="237"/>
      <c r="AD418" s="237"/>
      <c r="AE418" s="237"/>
      <c r="AF418" s="237"/>
      <c r="AG418" s="237"/>
      <c r="AH418" s="237"/>
      <c r="AI418" s="98"/>
      <c r="AJ418" s="98"/>
      <c r="AK418" s="98"/>
      <c r="AL418" s="98"/>
      <c r="AM418" s="98"/>
      <c r="AN418" s="98"/>
      <c r="AO418" s="98"/>
    </row>
    <row r="419" ht="14.25" customHeight="1">
      <c r="A419" s="179"/>
      <c r="B419" s="98"/>
      <c r="C419" s="98"/>
      <c r="D419" s="98"/>
      <c r="E419" s="98"/>
      <c r="F419" s="235"/>
      <c r="G419" s="235"/>
      <c r="H419" s="236"/>
      <c r="I419" s="236"/>
      <c r="J419" s="236"/>
      <c r="K419" s="236"/>
      <c r="L419" s="236"/>
      <c r="M419" s="236"/>
      <c r="N419" s="236"/>
      <c r="O419" s="236"/>
      <c r="P419" s="236"/>
      <c r="Q419" s="236"/>
      <c r="R419" s="236"/>
      <c r="S419" s="236"/>
      <c r="T419" s="236"/>
      <c r="U419" s="236"/>
      <c r="V419" s="236"/>
      <c r="W419" s="237"/>
      <c r="X419" s="237"/>
      <c r="Y419" s="237"/>
      <c r="Z419" s="237"/>
      <c r="AA419" s="237"/>
      <c r="AB419" s="237"/>
      <c r="AC419" s="237"/>
      <c r="AD419" s="237"/>
      <c r="AE419" s="237"/>
      <c r="AF419" s="237"/>
      <c r="AG419" s="237"/>
      <c r="AH419" s="237"/>
      <c r="AI419" s="98"/>
      <c r="AJ419" s="98"/>
      <c r="AK419" s="98"/>
      <c r="AL419" s="98"/>
      <c r="AM419" s="98"/>
      <c r="AN419" s="98"/>
      <c r="AO419" s="98"/>
    </row>
    <row r="420" ht="14.25" customHeight="1">
      <c r="A420" s="179"/>
      <c r="B420" s="98"/>
      <c r="C420" s="98"/>
      <c r="D420" s="98"/>
      <c r="E420" s="98"/>
      <c r="F420" s="235"/>
      <c r="G420" s="235"/>
      <c r="H420" s="236"/>
      <c r="I420" s="236"/>
      <c r="J420" s="236"/>
      <c r="K420" s="236"/>
      <c r="L420" s="236"/>
      <c r="M420" s="236"/>
      <c r="N420" s="236"/>
      <c r="O420" s="236"/>
      <c r="P420" s="236"/>
      <c r="Q420" s="236"/>
      <c r="R420" s="236"/>
      <c r="S420" s="236"/>
      <c r="T420" s="236"/>
      <c r="U420" s="236"/>
      <c r="V420" s="236"/>
      <c r="W420" s="237"/>
      <c r="X420" s="237"/>
      <c r="Y420" s="237"/>
      <c r="Z420" s="237"/>
      <c r="AA420" s="237"/>
      <c r="AB420" s="237"/>
      <c r="AC420" s="237"/>
      <c r="AD420" s="237"/>
      <c r="AE420" s="237"/>
      <c r="AF420" s="237"/>
      <c r="AG420" s="237"/>
      <c r="AH420" s="237"/>
      <c r="AI420" s="98"/>
      <c r="AJ420" s="98"/>
      <c r="AK420" s="98"/>
      <c r="AL420" s="98"/>
      <c r="AM420" s="98"/>
      <c r="AN420" s="98"/>
      <c r="AO420" s="98"/>
    </row>
    <row r="421" ht="14.25" customHeight="1">
      <c r="A421" s="179"/>
      <c r="B421" s="98"/>
      <c r="C421" s="98"/>
      <c r="D421" s="98"/>
      <c r="E421" s="98"/>
      <c r="F421" s="235"/>
      <c r="G421" s="235"/>
      <c r="H421" s="236"/>
      <c r="I421" s="236"/>
      <c r="J421" s="236"/>
      <c r="K421" s="236"/>
      <c r="L421" s="236"/>
      <c r="M421" s="236"/>
      <c r="N421" s="236"/>
      <c r="O421" s="236"/>
      <c r="P421" s="236"/>
      <c r="Q421" s="236"/>
      <c r="R421" s="236"/>
      <c r="S421" s="236"/>
      <c r="T421" s="236"/>
      <c r="U421" s="236"/>
      <c r="V421" s="236"/>
      <c r="W421" s="237"/>
      <c r="X421" s="237"/>
      <c r="Y421" s="237"/>
      <c r="Z421" s="237"/>
      <c r="AA421" s="237"/>
      <c r="AB421" s="237"/>
      <c r="AC421" s="237"/>
      <c r="AD421" s="237"/>
      <c r="AE421" s="237"/>
      <c r="AF421" s="237"/>
      <c r="AG421" s="237"/>
      <c r="AH421" s="237"/>
      <c r="AI421" s="98"/>
      <c r="AJ421" s="98"/>
      <c r="AK421" s="98"/>
      <c r="AL421" s="98"/>
      <c r="AM421" s="98"/>
      <c r="AN421" s="98"/>
      <c r="AO421" s="98"/>
    </row>
    <row r="422" ht="14.25" customHeight="1">
      <c r="A422" s="179"/>
      <c r="B422" s="98"/>
      <c r="C422" s="98"/>
      <c r="D422" s="98"/>
      <c r="E422" s="98"/>
      <c r="F422" s="235"/>
      <c r="G422" s="235"/>
      <c r="H422" s="236"/>
      <c r="I422" s="236"/>
      <c r="J422" s="236"/>
      <c r="K422" s="236"/>
      <c r="L422" s="236"/>
      <c r="M422" s="236"/>
      <c r="N422" s="236"/>
      <c r="O422" s="236"/>
      <c r="P422" s="236"/>
      <c r="Q422" s="236"/>
      <c r="R422" s="236"/>
      <c r="S422" s="236"/>
      <c r="T422" s="236"/>
      <c r="U422" s="236"/>
      <c r="V422" s="236"/>
      <c r="W422" s="237"/>
      <c r="X422" s="237"/>
      <c r="Y422" s="237"/>
      <c r="Z422" s="237"/>
      <c r="AA422" s="237"/>
      <c r="AB422" s="237"/>
      <c r="AC422" s="237"/>
      <c r="AD422" s="237"/>
      <c r="AE422" s="237"/>
      <c r="AF422" s="237"/>
      <c r="AG422" s="237"/>
      <c r="AH422" s="237"/>
      <c r="AI422" s="98"/>
      <c r="AJ422" s="98"/>
      <c r="AK422" s="98"/>
      <c r="AL422" s="98"/>
      <c r="AM422" s="98"/>
      <c r="AN422" s="98"/>
      <c r="AO422" s="98"/>
    </row>
    <row r="423" ht="14.25" customHeight="1">
      <c r="A423" s="179"/>
      <c r="B423" s="98"/>
      <c r="C423" s="98"/>
      <c r="D423" s="98"/>
      <c r="E423" s="98"/>
      <c r="F423" s="235"/>
      <c r="G423" s="235"/>
      <c r="H423" s="236"/>
      <c r="I423" s="236"/>
      <c r="J423" s="236"/>
      <c r="K423" s="236"/>
      <c r="L423" s="236"/>
      <c r="M423" s="236"/>
      <c r="N423" s="236"/>
      <c r="O423" s="236"/>
      <c r="P423" s="236"/>
      <c r="Q423" s="236"/>
      <c r="R423" s="236"/>
      <c r="S423" s="236"/>
      <c r="T423" s="236"/>
      <c r="U423" s="236"/>
      <c r="V423" s="236"/>
      <c r="W423" s="237"/>
      <c r="X423" s="237"/>
      <c r="Y423" s="237"/>
      <c r="Z423" s="237"/>
      <c r="AA423" s="237"/>
      <c r="AB423" s="237"/>
      <c r="AC423" s="237"/>
      <c r="AD423" s="237"/>
      <c r="AE423" s="237"/>
      <c r="AF423" s="237"/>
      <c r="AG423" s="237"/>
      <c r="AH423" s="237"/>
      <c r="AI423" s="98"/>
      <c r="AJ423" s="98"/>
      <c r="AK423" s="98"/>
      <c r="AL423" s="98"/>
      <c r="AM423" s="98"/>
      <c r="AN423" s="98"/>
      <c r="AO423" s="98"/>
    </row>
    <row r="424" ht="14.25" customHeight="1">
      <c r="A424" s="179"/>
      <c r="B424" s="98"/>
      <c r="C424" s="98"/>
      <c r="D424" s="98"/>
      <c r="E424" s="98"/>
      <c r="F424" s="235"/>
      <c r="G424" s="235"/>
      <c r="H424" s="236"/>
      <c r="I424" s="236"/>
      <c r="J424" s="236"/>
      <c r="K424" s="236"/>
      <c r="L424" s="236"/>
      <c r="M424" s="236"/>
      <c r="N424" s="236"/>
      <c r="O424" s="236"/>
      <c r="P424" s="236"/>
      <c r="Q424" s="236"/>
      <c r="R424" s="236"/>
      <c r="S424" s="236"/>
      <c r="T424" s="236"/>
      <c r="U424" s="236"/>
      <c r="V424" s="236"/>
      <c r="W424" s="237"/>
      <c r="X424" s="237"/>
      <c r="Y424" s="237"/>
      <c r="Z424" s="237"/>
      <c r="AA424" s="237"/>
      <c r="AB424" s="237"/>
      <c r="AC424" s="237"/>
      <c r="AD424" s="237"/>
      <c r="AE424" s="237"/>
      <c r="AF424" s="237"/>
      <c r="AG424" s="237"/>
      <c r="AH424" s="237"/>
      <c r="AI424" s="98"/>
      <c r="AJ424" s="98"/>
      <c r="AK424" s="98"/>
      <c r="AL424" s="98"/>
      <c r="AM424" s="98"/>
      <c r="AN424" s="98"/>
      <c r="AO424" s="98"/>
    </row>
    <row r="425" ht="14.25" customHeight="1">
      <c r="A425" s="179"/>
      <c r="B425" s="98"/>
      <c r="C425" s="98"/>
      <c r="D425" s="98"/>
      <c r="E425" s="98"/>
      <c r="F425" s="235"/>
      <c r="G425" s="235"/>
      <c r="H425" s="236"/>
      <c r="I425" s="236"/>
      <c r="J425" s="236"/>
      <c r="K425" s="236"/>
      <c r="L425" s="236"/>
      <c r="M425" s="236"/>
      <c r="N425" s="236"/>
      <c r="O425" s="236"/>
      <c r="P425" s="236"/>
      <c r="Q425" s="236"/>
      <c r="R425" s="236"/>
      <c r="S425" s="236"/>
      <c r="T425" s="236"/>
      <c r="U425" s="236"/>
      <c r="V425" s="236"/>
      <c r="W425" s="237"/>
      <c r="X425" s="237"/>
      <c r="Y425" s="237"/>
      <c r="Z425" s="237"/>
      <c r="AA425" s="237"/>
      <c r="AB425" s="237"/>
      <c r="AC425" s="237"/>
      <c r="AD425" s="237"/>
      <c r="AE425" s="237"/>
      <c r="AF425" s="237"/>
      <c r="AG425" s="237"/>
      <c r="AH425" s="237"/>
      <c r="AI425" s="98"/>
      <c r="AJ425" s="98"/>
      <c r="AK425" s="98"/>
      <c r="AL425" s="98"/>
      <c r="AM425" s="98"/>
      <c r="AN425" s="98"/>
      <c r="AO425" s="98"/>
    </row>
    <row r="426" ht="14.25" customHeight="1">
      <c r="A426" s="179"/>
      <c r="B426" s="98"/>
      <c r="C426" s="98"/>
      <c r="D426" s="98"/>
      <c r="E426" s="98"/>
      <c r="F426" s="235"/>
      <c r="G426" s="235"/>
      <c r="H426" s="236"/>
      <c r="I426" s="236"/>
      <c r="J426" s="236"/>
      <c r="K426" s="236"/>
      <c r="L426" s="236"/>
      <c r="M426" s="236"/>
      <c r="N426" s="236"/>
      <c r="O426" s="236"/>
      <c r="P426" s="236"/>
      <c r="Q426" s="236"/>
      <c r="R426" s="236"/>
      <c r="S426" s="236"/>
      <c r="T426" s="236"/>
      <c r="U426" s="236"/>
      <c r="V426" s="236"/>
      <c r="W426" s="237"/>
      <c r="X426" s="237"/>
      <c r="Y426" s="237"/>
      <c r="Z426" s="237"/>
      <c r="AA426" s="237"/>
      <c r="AB426" s="237"/>
      <c r="AC426" s="237"/>
      <c r="AD426" s="237"/>
      <c r="AE426" s="237"/>
      <c r="AF426" s="237"/>
      <c r="AG426" s="237"/>
      <c r="AH426" s="237"/>
      <c r="AI426" s="98"/>
      <c r="AJ426" s="98"/>
      <c r="AK426" s="98"/>
      <c r="AL426" s="98"/>
      <c r="AM426" s="98"/>
      <c r="AN426" s="98"/>
      <c r="AO426" s="98"/>
    </row>
    <row r="427" ht="14.25" customHeight="1">
      <c r="A427" s="179"/>
      <c r="B427" s="98"/>
      <c r="C427" s="98"/>
      <c r="D427" s="98"/>
      <c r="E427" s="98"/>
      <c r="F427" s="235"/>
      <c r="G427" s="235"/>
      <c r="H427" s="236"/>
      <c r="I427" s="236"/>
      <c r="J427" s="236"/>
      <c r="K427" s="236"/>
      <c r="L427" s="236"/>
      <c r="M427" s="236"/>
      <c r="N427" s="236"/>
      <c r="O427" s="236"/>
      <c r="P427" s="236"/>
      <c r="Q427" s="236"/>
      <c r="R427" s="236"/>
      <c r="S427" s="236"/>
      <c r="T427" s="236"/>
      <c r="U427" s="236"/>
      <c r="V427" s="236"/>
      <c r="W427" s="237"/>
      <c r="X427" s="237"/>
      <c r="Y427" s="237"/>
      <c r="Z427" s="237"/>
      <c r="AA427" s="237"/>
      <c r="AB427" s="237"/>
      <c r="AC427" s="237"/>
      <c r="AD427" s="237"/>
      <c r="AE427" s="237"/>
      <c r="AF427" s="237"/>
      <c r="AG427" s="237"/>
      <c r="AH427" s="237"/>
      <c r="AI427" s="98"/>
      <c r="AJ427" s="98"/>
      <c r="AK427" s="98"/>
      <c r="AL427" s="98"/>
      <c r="AM427" s="98"/>
      <c r="AN427" s="98"/>
      <c r="AO427" s="98"/>
    </row>
    <row r="428" ht="14.25" customHeight="1">
      <c r="A428" s="179"/>
      <c r="B428" s="98"/>
      <c r="C428" s="98"/>
      <c r="D428" s="98"/>
      <c r="E428" s="98"/>
      <c r="F428" s="235"/>
      <c r="G428" s="235"/>
      <c r="H428" s="236"/>
      <c r="I428" s="236"/>
      <c r="J428" s="236"/>
      <c r="K428" s="236"/>
      <c r="L428" s="236"/>
      <c r="M428" s="236"/>
      <c r="N428" s="236"/>
      <c r="O428" s="236"/>
      <c r="P428" s="236"/>
      <c r="Q428" s="236"/>
      <c r="R428" s="236"/>
      <c r="S428" s="236"/>
      <c r="T428" s="236"/>
      <c r="U428" s="236"/>
      <c r="V428" s="236"/>
      <c r="W428" s="237"/>
      <c r="X428" s="237"/>
      <c r="Y428" s="237"/>
      <c r="Z428" s="237"/>
      <c r="AA428" s="237"/>
      <c r="AB428" s="237"/>
      <c r="AC428" s="237"/>
      <c r="AD428" s="237"/>
      <c r="AE428" s="237"/>
      <c r="AF428" s="237"/>
      <c r="AG428" s="237"/>
      <c r="AH428" s="237"/>
      <c r="AI428" s="98"/>
      <c r="AJ428" s="98"/>
      <c r="AK428" s="98"/>
      <c r="AL428" s="98"/>
      <c r="AM428" s="98"/>
      <c r="AN428" s="98"/>
      <c r="AO428" s="98"/>
    </row>
    <row r="429" ht="14.25" customHeight="1">
      <c r="A429" s="179"/>
      <c r="B429" s="98"/>
      <c r="C429" s="98"/>
      <c r="D429" s="98"/>
      <c r="E429" s="98"/>
      <c r="F429" s="235"/>
      <c r="G429" s="235"/>
      <c r="H429" s="236"/>
      <c r="I429" s="236"/>
      <c r="J429" s="236"/>
      <c r="K429" s="236"/>
      <c r="L429" s="236"/>
      <c r="M429" s="236"/>
      <c r="N429" s="236"/>
      <c r="O429" s="236"/>
      <c r="P429" s="236"/>
      <c r="Q429" s="236"/>
      <c r="R429" s="236"/>
      <c r="S429" s="236"/>
      <c r="T429" s="236"/>
      <c r="U429" s="236"/>
      <c r="V429" s="236"/>
      <c r="W429" s="237"/>
      <c r="X429" s="237"/>
      <c r="Y429" s="237"/>
      <c r="Z429" s="237"/>
      <c r="AA429" s="237"/>
      <c r="AB429" s="237"/>
      <c r="AC429" s="237"/>
      <c r="AD429" s="237"/>
      <c r="AE429" s="237"/>
      <c r="AF429" s="237"/>
      <c r="AG429" s="237"/>
      <c r="AH429" s="237"/>
      <c r="AI429" s="98"/>
      <c r="AJ429" s="98"/>
      <c r="AK429" s="98"/>
      <c r="AL429" s="98"/>
      <c r="AM429" s="98"/>
      <c r="AN429" s="98"/>
      <c r="AO429" s="98"/>
    </row>
    <row r="430" ht="14.25" customHeight="1">
      <c r="A430" s="179"/>
      <c r="B430" s="98"/>
      <c r="C430" s="98"/>
      <c r="D430" s="98"/>
      <c r="E430" s="98"/>
      <c r="F430" s="235"/>
      <c r="G430" s="235"/>
      <c r="H430" s="236"/>
      <c r="I430" s="236"/>
      <c r="J430" s="236"/>
      <c r="K430" s="236"/>
      <c r="L430" s="236"/>
      <c r="M430" s="236"/>
      <c r="N430" s="236"/>
      <c r="O430" s="236"/>
      <c r="P430" s="236"/>
      <c r="Q430" s="236"/>
      <c r="R430" s="236"/>
      <c r="S430" s="236"/>
      <c r="T430" s="236"/>
      <c r="U430" s="236"/>
      <c r="V430" s="236"/>
      <c r="W430" s="237"/>
      <c r="X430" s="237"/>
      <c r="Y430" s="237"/>
      <c r="Z430" s="237"/>
      <c r="AA430" s="237"/>
      <c r="AB430" s="237"/>
      <c r="AC430" s="237"/>
      <c r="AD430" s="237"/>
      <c r="AE430" s="237"/>
      <c r="AF430" s="237"/>
      <c r="AG430" s="237"/>
      <c r="AH430" s="237"/>
      <c r="AI430" s="98"/>
      <c r="AJ430" s="98"/>
      <c r="AK430" s="98"/>
      <c r="AL430" s="98"/>
      <c r="AM430" s="98"/>
      <c r="AN430" s="98"/>
      <c r="AO430" s="98"/>
    </row>
    <row r="431" ht="14.25" customHeight="1">
      <c r="A431" s="179"/>
      <c r="B431" s="98"/>
      <c r="C431" s="98"/>
      <c r="D431" s="98"/>
      <c r="E431" s="98"/>
      <c r="F431" s="235"/>
      <c r="G431" s="235"/>
      <c r="H431" s="236"/>
      <c r="I431" s="236"/>
      <c r="J431" s="236"/>
      <c r="K431" s="236"/>
      <c r="L431" s="236"/>
      <c r="M431" s="236"/>
      <c r="N431" s="236"/>
      <c r="O431" s="236"/>
      <c r="P431" s="236"/>
      <c r="Q431" s="236"/>
      <c r="R431" s="236"/>
      <c r="S431" s="236"/>
      <c r="T431" s="236"/>
      <c r="U431" s="236"/>
      <c r="V431" s="236"/>
      <c r="W431" s="237"/>
      <c r="X431" s="237"/>
      <c r="Y431" s="237"/>
      <c r="Z431" s="237"/>
      <c r="AA431" s="237"/>
      <c r="AB431" s="237"/>
      <c r="AC431" s="237"/>
      <c r="AD431" s="237"/>
      <c r="AE431" s="237"/>
      <c r="AF431" s="237"/>
      <c r="AG431" s="237"/>
      <c r="AH431" s="237"/>
      <c r="AI431" s="98"/>
      <c r="AJ431" s="98"/>
      <c r="AK431" s="98"/>
      <c r="AL431" s="98"/>
      <c r="AM431" s="98"/>
      <c r="AN431" s="98"/>
      <c r="AO431" s="98"/>
    </row>
    <row r="432" ht="14.25" customHeight="1">
      <c r="A432" s="179"/>
      <c r="B432" s="98"/>
      <c r="C432" s="98"/>
      <c r="D432" s="98"/>
      <c r="E432" s="98"/>
      <c r="F432" s="235"/>
      <c r="G432" s="235"/>
      <c r="H432" s="236"/>
      <c r="I432" s="236"/>
      <c r="J432" s="236"/>
      <c r="K432" s="236"/>
      <c r="L432" s="236"/>
      <c r="M432" s="236"/>
      <c r="N432" s="236"/>
      <c r="O432" s="236"/>
      <c r="P432" s="236"/>
      <c r="Q432" s="236"/>
      <c r="R432" s="236"/>
      <c r="S432" s="236"/>
      <c r="T432" s="236"/>
      <c r="U432" s="236"/>
      <c r="V432" s="236"/>
      <c r="W432" s="237"/>
      <c r="X432" s="237"/>
      <c r="Y432" s="237"/>
      <c r="Z432" s="237"/>
      <c r="AA432" s="237"/>
      <c r="AB432" s="237"/>
      <c r="AC432" s="237"/>
      <c r="AD432" s="237"/>
      <c r="AE432" s="237"/>
      <c r="AF432" s="237"/>
      <c r="AG432" s="237"/>
      <c r="AH432" s="237"/>
      <c r="AI432" s="98"/>
      <c r="AJ432" s="98"/>
      <c r="AK432" s="98"/>
      <c r="AL432" s="98"/>
      <c r="AM432" s="98"/>
      <c r="AN432" s="98"/>
      <c r="AO432" s="98"/>
    </row>
    <row r="433" ht="14.25" customHeight="1">
      <c r="A433" s="179"/>
      <c r="B433" s="98"/>
      <c r="C433" s="98"/>
      <c r="D433" s="98"/>
      <c r="E433" s="98"/>
      <c r="F433" s="235"/>
      <c r="G433" s="235"/>
      <c r="H433" s="236"/>
      <c r="I433" s="236"/>
      <c r="J433" s="236"/>
      <c r="K433" s="236"/>
      <c r="L433" s="236"/>
      <c r="M433" s="236"/>
      <c r="N433" s="236"/>
      <c r="O433" s="236"/>
      <c r="P433" s="236"/>
      <c r="Q433" s="236"/>
      <c r="R433" s="236"/>
      <c r="S433" s="236"/>
      <c r="T433" s="236"/>
      <c r="U433" s="236"/>
      <c r="V433" s="236"/>
      <c r="W433" s="237"/>
      <c r="X433" s="237"/>
      <c r="Y433" s="237"/>
      <c r="Z433" s="237"/>
      <c r="AA433" s="237"/>
      <c r="AB433" s="237"/>
      <c r="AC433" s="237"/>
      <c r="AD433" s="237"/>
      <c r="AE433" s="237"/>
      <c r="AF433" s="237"/>
      <c r="AG433" s="237"/>
      <c r="AH433" s="237"/>
      <c r="AI433" s="98"/>
      <c r="AJ433" s="98"/>
      <c r="AK433" s="98"/>
      <c r="AL433" s="98"/>
      <c r="AM433" s="98"/>
      <c r="AN433" s="98"/>
      <c r="AO433" s="98"/>
    </row>
    <row r="434" ht="14.25" customHeight="1">
      <c r="A434" s="179"/>
      <c r="B434" s="98"/>
      <c r="C434" s="98"/>
      <c r="D434" s="98"/>
      <c r="E434" s="98"/>
      <c r="F434" s="235"/>
      <c r="G434" s="235"/>
      <c r="H434" s="236"/>
      <c r="I434" s="236"/>
      <c r="J434" s="236"/>
      <c r="K434" s="236"/>
      <c r="L434" s="236"/>
      <c r="M434" s="236"/>
      <c r="N434" s="236"/>
      <c r="O434" s="236"/>
      <c r="P434" s="236"/>
      <c r="Q434" s="236"/>
      <c r="R434" s="236"/>
      <c r="S434" s="236"/>
      <c r="T434" s="236"/>
      <c r="U434" s="236"/>
      <c r="V434" s="236"/>
      <c r="W434" s="237"/>
      <c r="X434" s="237"/>
      <c r="Y434" s="237"/>
      <c r="Z434" s="237"/>
      <c r="AA434" s="237"/>
      <c r="AB434" s="237"/>
      <c r="AC434" s="237"/>
      <c r="AD434" s="237"/>
      <c r="AE434" s="237"/>
      <c r="AF434" s="237"/>
      <c r="AG434" s="237"/>
      <c r="AH434" s="237"/>
      <c r="AI434" s="98"/>
      <c r="AJ434" s="98"/>
      <c r="AK434" s="98"/>
      <c r="AL434" s="98"/>
      <c r="AM434" s="98"/>
      <c r="AN434" s="98"/>
      <c r="AO434" s="98"/>
    </row>
    <row r="435" ht="14.25" customHeight="1">
      <c r="A435" s="179"/>
      <c r="B435" s="98"/>
      <c r="C435" s="98"/>
      <c r="D435" s="98"/>
      <c r="E435" s="98"/>
      <c r="F435" s="235"/>
      <c r="G435" s="235"/>
      <c r="H435" s="236"/>
      <c r="I435" s="236"/>
      <c r="J435" s="236"/>
      <c r="K435" s="236"/>
      <c r="L435" s="236"/>
      <c r="M435" s="236"/>
      <c r="N435" s="236"/>
      <c r="O435" s="236"/>
      <c r="P435" s="236"/>
      <c r="Q435" s="236"/>
      <c r="R435" s="236"/>
      <c r="S435" s="236"/>
      <c r="T435" s="236"/>
      <c r="U435" s="236"/>
      <c r="V435" s="236"/>
      <c r="W435" s="237"/>
      <c r="X435" s="237"/>
      <c r="Y435" s="237"/>
      <c r="Z435" s="237"/>
      <c r="AA435" s="237"/>
      <c r="AB435" s="237"/>
      <c r="AC435" s="237"/>
      <c r="AD435" s="237"/>
      <c r="AE435" s="237"/>
      <c r="AF435" s="237"/>
      <c r="AG435" s="237"/>
      <c r="AH435" s="237"/>
      <c r="AI435" s="98"/>
      <c r="AJ435" s="98"/>
      <c r="AK435" s="98"/>
      <c r="AL435" s="98"/>
      <c r="AM435" s="98"/>
      <c r="AN435" s="98"/>
      <c r="AO435" s="98"/>
    </row>
    <row r="436" ht="14.25" customHeight="1">
      <c r="A436" s="179"/>
      <c r="B436" s="98"/>
      <c r="C436" s="98"/>
      <c r="D436" s="98"/>
      <c r="E436" s="98"/>
      <c r="F436" s="235"/>
      <c r="G436" s="235"/>
      <c r="H436" s="236"/>
      <c r="I436" s="236"/>
      <c r="J436" s="236"/>
      <c r="K436" s="236"/>
      <c r="L436" s="236"/>
      <c r="M436" s="236"/>
      <c r="N436" s="236"/>
      <c r="O436" s="236"/>
      <c r="P436" s="236"/>
      <c r="Q436" s="236"/>
      <c r="R436" s="236"/>
      <c r="S436" s="236"/>
      <c r="T436" s="236"/>
      <c r="U436" s="236"/>
      <c r="V436" s="236"/>
      <c r="W436" s="237"/>
      <c r="X436" s="237"/>
      <c r="Y436" s="237"/>
      <c r="Z436" s="237"/>
      <c r="AA436" s="237"/>
      <c r="AB436" s="237"/>
      <c r="AC436" s="237"/>
      <c r="AD436" s="237"/>
      <c r="AE436" s="237"/>
      <c r="AF436" s="237"/>
      <c r="AG436" s="237"/>
      <c r="AH436" s="237"/>
      <c r="AI436" s="98"/>
      <c r="AJ436" s="98"/>
      <c r="AK436" s="98"/>
      <c r="AL436" s="98"/>
      <c r="AM436" s="98"/>
      <c r="AN436" s="98"/>
      <c r="AO436" s="98"/>
    </row>
    <row r="437" ht="14.25" customHeight="1">
      <c r="A437" s="179"/>
      <c r="B437" s="98"/>
      <c r="C437" s="98"/>
      <c r="D437" s="98"/>
      <c r="E437" s="98"/>
      <c r="F437" s="235"/>
      <c r="G437" s="235"/>
      <c r="H437" s="236"/>
      <c r="I437" s="236"/>
      <c r="J437" s="236"/>
      <c r="K437" s="236"/>
      <c r="L437" s="236"/>
      <c r="M437" s="236"/>
      <c r="N437" s="236"/>
      <c r="O437" s="236"/>
      <c r="P437" s="236"/>
      <c r="Q437" s="236"/>
      <c r="R437" s="236"/>
      <c r="S437" s="236"/>
      <c r="T437" s="236"/>
      <c r="U437" s="236"/>
      <c r="V437" s="236"/>
      <c r="W437" s="237"/>
      <c r="X437" s="237"/>
      <c r="Y437" s="237"/>
      <c r="Z437" s="237"/>
      <c r="AA437" s="237"/>
      <c r="AB437" s="237"/>
      <c r="AC437" s="237"/>
      <c r="AD437" s="237"/>
      <c r="AE437" s="237"/>
      <c r="AF437" s="237"/>
      <c r="AG437" s="237"/>
      <c r="AH437" s="237"/>
      <c r="AI437" s="98"/>
      <c r="AJ437" s="98"/>
      <c r="AK437" s="98"/>
      <c r="AL437" s="98"/>
      <c r="AM437" s="98"/>
      <c r="AN437" s="98"/>
      <c r="AO437" s="98"/>
    </row>
    <row r="438" ht="14.25" customHeight="1">
      <c r="A438" s="179"/>
      <c r="B438" s="98"/>
      <c r="C438" s="98"/>
      <c r="D438" s="98"/>
      <c r="E438" s="98"/>
      <c r="F438" s="235"/>
      <c r="G438" s="235"/>
      <c r="H438" s="236"/>
      <c r="I438" s="236"/>
      <c r="J438" s="236"/>
      <c r="K438" s="236"/>
      <c r="L438" s="236"/>
      <c r="M438" s="236"/>
      <c r="N438" s="236"/>
      <c r="O438" s="236"/>
      <c r="P438" s="236"/>
      <c r="Q438" s="236"/>
      <c r="R438" s="236"/>
      <c r="S438" s="236"/>
      <c r="T438" s="236"/>
      <c r="U438" s="236"/>
      <c r="V438" s="236"/>
      <c r="W438" s="237"/>
      <c r="X438" s="237"/>
      <c r="Y438" s="237"/>
      <c r="Z438" s="237"/>
      <c r="AA438" s="237"/>
      <c r="AB438" s="237"/>
      <c r="AC438" s="237"/>
      <c r="AD438" s="237"/>
      <c r="AE438" s="237"/>
      <c r="AF438" s="237"/>
      <c r="AG438" s="237"/>
      <c r="AH438" s="237"/>
      <c r="AI438" s="98"/>
      <c r="AJ438" s="98"/>
      <c r="AK438" s="98"/>
      <c r="AL438" s="98"/>
      <c r="AM438" s="98"/>
      <c r="AN438" s="98"/>
      <c r="AO438" s="98"/>
    </row>
    <row r="439" ht="14.25" customHeight="1">
      <c r="A439" s="179"/>
      <c r="B439" s="98"/>
      <c r="C439" s="98"/>
      <c r="D439" s="98"/>
      <c r="E439" s="98"/>
      <c r="F439" s="235"/>
      <c r="G439" s="235"/>
      <c r="H439" s="236"/>
      <c r="I439" s="236"/>
      <c r="J439" s="236"/>
      <c r="K439" s="236"/>
      <c r="L439" s="236"/>
      <c r="M439" s="236"/>
      <c r="N439" s="236"/>
      <c r="O439" s="236"/>
      <c r="P439" s="236"/>
      <c r="Q439" s="236"/>
      <c r="R439" s="236"/>
      <c r="S439" s="236"/>
      <c r="T439" s="236"/>
      <c r="U439" s="236"/>
      <c r="V439" s="236"/>
      <c r="W439" s="237"/>
      <c r="X439" s="237"/>
      <c r="Y439" s="237"/>
      <c r="Z439" s="237"/>
      <c r="AA439" s="237"/>
      <c r="AB439" s="237"/>
      <c r="AC439" s="237"/>
      <c r="AD439" s="237"/>
      <c r="AE439" s="237"/>
      <c r="AF439" s="237"/>
      <c r="AG439" s="237"/>
      <c r="AH439" s="237"/>
      <c r="AI439" s="98"/>
      <c r="AJ439" s="98"/>
      <c r="AK439" s="98"/>
      <c r="AL439" s="98"/>
      <c r="AM439" s="98"/>
      <c r="AN439" s="98"/>
      <c r="AO439" s="98"/>
    </row>
    <row r="440" ht="14.25" customHeight="1">
      <c r="A440" s="179"/>
      <c r="B440" s="98"/>
      <c r="C440" s="98"/>
      <c r="D440" s="98"/>
      <c r="E440" s="98"/>
      <c r="F440" s="235"/>
      <c r="G440" s="235"/>
      <c r="H440" s="236"/>
      <c r="I440" s="236"/>
      <c r="J440" s="236"/>
      <c r="K440" s="236"/>
      <c r="L440" s="236"/>
      <c r="M440" s="236"/>
      <c r="N440" s="236"/>
      <c r="O440" s="236"/>
      <c r="P440" s="236"/>
      <c r="Q440" s="236"/>
      <c r="R440" s="236"/>
      <c r="S440" s="236"/>
      <c r="T440" s="236"/>
      <c r="U440" s="236"/>
      <c r="V440" s="236"/>
      <c r="W440" s="237"/>
      <c r="X440" s="237"/>
      <c r="Y440" s="237"/>
      <c r="Z440" s="237"/>
      <c r="AA440" s="237"/>
      <c r="AB440" s="237"/>
      <c r="AC440" s="237"/>
      <c r="AD440" s="237"/>
      <c r="AE440" s="237"/>
      <c r="AF440" s="237"/>
      <c r="AG440" s="237"/>
      <c r="AH440" s="237"/>
      <c r="AI440" s="98"/>
      <c r="AJ440" s="98"/>
      <c r="AK440" s="98"/>
      <c r="AL440" s="98"/>
      <c r="AM440" s="98"/>
      <c r="AN440" s="98"/>
      <c r="AO440" s="98"/>
    </row>
    <row r="441" ht="14.25" customHeight="1">
      <c r="A441" s="179"/>
      <c r="B441" s="98"/>
      <c r="C441" s="98"/>
      <c r="D441" s="98"/>
      <c r="E441" s="98"/>
      <c r="F441" s="235"/>
      <c r="G441" s="235"/>
      <c r="H441" s="236"/>
      <c r="I441" s="236"/>
      <c r="J441" s="236"/>
      <c r="K441" s="236"/>
      <c r="L441" s="236"/>
      <c r="M441" s="236"/>
      <c r="N441" s="236"/>
      <c r="O441" s="236"/>
      <c r="P441" s="236"/>
      <c r="Q441" s="236"/>
      <c r="R441" s="236"/>
      <c r="S441" s="236"/>
      <c r="T441" s="236"/>
      <c r="U441" s="236"/>
      <c r="V441" s="236"/>
      <c r="W441" s="237"/>
      <c r="X441" s="237"/>
      <c r="Y441" s="237"/>
      <c r="Z441" s="237"/>
      <c r="AA441" s="237"/>
      <c r="AB441" s="237"/>
      <c r="AC441" s="237"/>
      <c r="AD441" s="237"/>
      <c r="AE441" s="237"/>
      <c r="AF441" s="237"/>
      <c r="AG441" s="237"/>
      <c r="AH441" s="237"/>
      <c r="AI441" s="98"/>
      <c r="AJ441" s="98"/>
      <c r="AK441" s="98"/>
      <c r="AL441" s="98"/>
      <c r="AM441" s="98"/>
      <c r="AN441" s="98"/>
      <c r="AO441" s="98"/>
    </row>
    <row r="442" ht="14.25" customHeight="1">
      <c r="A442" s="179"/>
      <c r="B442" s="98"/>
      <c r="C442" s="98"/>
      <c r="D442" s="98"/>
      <c r="E442" s="98"/>
      <c r="F442" s="235"/>
      <c r="G442" s="235"/>
      <c r="H442" s="236"/>
      <c r="I442" s="236"/>
      <c r="J442" s="236"/>
      <c r="K442" s="236"/>
      <c r="L442" s="236"/>
      <c r="M442" s="236"/>
      <c r="N442" s="236"/>
      <c r="O442" s="236"/>
      <c r="P442" s="236"/>
      <c r="Q442" s="236"/>
      <c r="R442" s="236"/>
      <c r="S442" s="236"/>
      <c r="T442" s="236"/>
      <c r="U442" s="236"/>
      <c r="V442" s="236"/>
      <c r="W442" s="237"/>
      <c r="X442" s="237"/>
      <c r="Y442" s="237"/>
      <c r="Z442" s="237"/>
      <c r="AA442" s="237"/>
      <c r="AB442" s="237"/>
      <c r="AC442" s="237"/>
      <c r="AD442" s="237"/>
      <c r="AE442" s="237"/>
      <c r="AF442" s="237"/>
      <c r="AG442" s="237"/>
      <c r="AH442" s="237"/>
      <c r="AI442" s="98"/>
      <c r="AJ442" s="98"/>
      <c r="AK442" s="98"/>
      <c r="AL442" s="98"/>
      <c r="AM442" s="98"/>
      <c r="AN442" s="98"/>
      <c r="AO442" s="98"/>
    </row>
    <row r="443" ht="14.25" customHeight="1">
      <c r="A443" s="179"/>
      <c r="B443" s="98"/>
      <c r="C443" s="98"/>
      <c r="D443" s="98"/>
      <c r="E443" s="98"/>
      <c r="F443" s="235"/>
      <c r="G443" s="235"/>
      <c r="H443" s="236"/>
      <c r="I443" s="236"/>
      <c r="J443" s="236"/>
      <c r="K443" s="236"/>
      <c r="L443" s="236"/>
      <c r="M443" s="236"/>
      <c r="N443" s="236"/>
      <c r="O443" s="236"/>
      <c r="P443" s="236"/>
      <c r="Q443" s="236"/>
      <c r="R443" s="236"/>
      <c r="S443" s="236"/>
      <c r="T443" s="236"/>
      <c r="U443" s="236"/>
      <c r="V443" s="236"/>
      <c r="W443" s="237"/>
      <c r="X443" s="237"/>
      <c r="Y443" s="237"/>
      <c r="Z443" s="237"/>
      <c r="AA443" s="237"/>
      <c r="AB443" s="237"/>
      <c r="AC443" s="237"/>
      <c r="AD443" s="237"/>
      <c r="AE443" s="237"/>
      <c r="AF443" s="237"/>
      <c r="AG443" s="237"/>
      <c r="AH443" s="237"/>
      <c r="AI443" s="98"/>
      <c r="AJ443" s="98"/>
      <c r="AK443" s="98"/>
      <c r="AL443" s="98"/>
      <c r="AM443" s="98"/>
      <c r="AN443" s="98"/>
      <c r="AO443" s="98"/>
    </row>
    <row r="444" ht="14.25" customHeight="1">
      <c r="A444" s="179"/>
      <c r="B444" s="98"/>
      <c r="C444" s="98"/>
      <c r="D444" s="98"/>
      <c r="E444" s="98"/>
      <c r="F444" s="235"/>
      <c r="G444" s="235"/>
      <c r="H444" s="236"/>
      <c r="I444" s="236"/>
      <c r="J444" s="236"/>
      <c r="K444" s="236"/>
      <c r="L444" s="236"/>
      <c r="M444" s="236"/>
      <c r="N444" s="236"/>
      <c r="O444" s="236"/>
      <c r="P444" s="236"/>
      <c r="Q444" s="236"/>
      <c r="R444" s="236"/>
      <c r="S444" s="236"/>
      <c r="T444" s="236"/>
      <c r="U444" s="236"/>
      <c r="V444" s="236"/>
      <c r="W444" s="237"/>
      <c r="X444" s="237"/>
      <c r="Y444" s="237"/>
      <c r="Z444" s="237"/>
      <c r="AA444" s="237"/>
      <c r="AB444" s="237"/>
      <c r="AC444" s="237"/>
      <c r="AD444" s="237"/>
      <c r="AE444" s="237"/>
      <c r="AF444" s="237"/>
      <c r="AG444" s="237"/>
      <c r="AH444" s="237"/>
      <c r="AI444" s="98"/>
      <c r="AJ444" s="98"/>
      <c r="AK444" s="98"/>
      <c r="AL444" s="98"/>
      <c r="AM444" s="98"/>
      <c r="AN444" s="98"/>
      <c r="AO444" s="98"/>
    </row>
    <row r="445" ht="14.25" customHeight="1">
      <c r="A445" s="179"/>
      <c r="B445" s="98"/>
      <c r="C445" s="98"/>
      <c r="D445" s="98"/>
      <c r="E445" s="98"/>
      <c r="F445" s="235"/>
      <c r="G445" s="235"/>
      <c r="H445" s="236"/>
      <c r="I445" s="236"/>
      <c r="J445" s="236"/>
      <c r="K445" s="236"/>
      <c r="L445" s="236"/>
      <c r="M445" s="236"/>
      <c r="N445" s="236"/>
      <c r="O445" s="236"/>
      <c r="P445" s="236"/>
      <c r="Q445" s="236"/>
      <c r="R445" s="236"/>
      <c r="S445" s="236"/>
      <c r="T445" s="236"/>
      <c r="U445" s="236"/>
      <c r="V445" s="236"/>
      <c r="W445" s="237"/>
      <c r="X445" s="237"/>
      <c r="Y445" s="237"/>
      <c r="Z445" s="237"/>
      <c r="AA445" s="237"/>
      <c r="AB445" s="237"/>
      <c r="AC445" s="237"/>
      <c r="AD445" s="237"/>
      <c r="AE445" s="237"/>
      <c r="AF445" s="237"/>
      <c r="AG445" s="237"/>
      <c r="AH445" s="237"/>
      <c r="AI445" s="98"/>
      <c r="AJ445" s="98"/>
      <c r="AK445" s="98"/>
      <c r="AL445" s="98"/>
      <c r="AM445" s="98"/>
      <c r="AN445" s="98"/>
      <c r="AO445" s="98"/>
    </row>
    <row r="446" ht="14.25" customHeight="1">
      <c r="A446" s="179"/>
      <c r="B446" s="98"/>
      <c r="C446" s="98"/>
      <c r="D446" s="98"/>
      <c r="E446" s="98"/>
      <c r="F446" s="235"/>
      <c r="G446" s="235"/>
      <c r="H446" s="236"/>
      <c r="I446" s="236"/>
      <c r="J446" s="236"/>
      <c r="K446" s="236"/>
      <c r="L446" s="236"/>
      <c r="M446" s="236"/>
      <c r="N446" s="236"/>
      <c r="O446" s="236"/>
      <c r="P446" s="236"/>
      <c r="Q446" s="236"/>
      <c r="R446" s="236"/>
      <c r="S446" s="236"/>
      <c r="T446" s="236"/>
      <c r="U446" s="236"/>
      <c r="V446" s="236"/>
      <c r="W446" s="237"/>
      <c r="X446" s="237"/>
      <c r="Y446" s="237"/>
      <c r="Z446" s="237"/>
      <c r="AA446" s="237"/>
      <c r="AB446" s="237"/>
      <c r="AC446" s="237"/>
      <c r="AD446" s="237"/>
      <c r="AE446" s="237"/>
      <c r="AF446" s="237"/>
      <c r="AG446" s="237"/>
      <c r="AH446" s="237"/>
      <c r="AI446" s="98"/>
      <c r="AJ446" s="98"/>
      <c r="AK446" s="98"/>
      <c r="AL446" s="98"/>
      <c r="AM446" s="98"/>
      <c r="AN446" s="98"/>
      <c r="AO446" s="98"/>
    </row>
    <row r="447" ht="14.25" customHeight="1">
      <c r="A447" s="179"/>
      <c r="B447" s="98"/>
      <c r="C447" s="98"/>
      <c r="D447" s="98"/>
      <c r="E447" s="98"/>
      <c r="F447" s="235"/>
      <c r="G447" s="235"/>
      <c r="H447" s="236"/>
      <c r="I447" s="236"/>
      <c r="J447" s="236"/>
      <c r="K447" s="236"/>
      <c r="L447" s="236"/>
      <c r="M447" s="236"/>
      <c r="N447" s="236"/>
      <c r="O447" s="236"/>
      <c r="P447" s="236"/>
      <c r="Q447" s="236"/>
      <c r="R447" s="236"/>
      <c r="S447" s="236"/>
      <c r="T447" s="236"/>
      <c r="U447" s="236"/>
      <c r="V447" s="236"/>
      <c r="W447" s="237"/>
      <c r="X447" s="237"/>
      <c r="Y447" s="237"/>
      <c r="Z447" s="237"/>
      <c r="AA447" s="237"/>
      <c r="AB447" s="237"/>
      <c r="AC447" s="237"/>
      <c r="AD447" s="237"/>
      <c r="AE447" s="237"/>
      <c r="AF447" s="237"/>
      <c r="AG447" s="237"/>
      <c r="AH447" s="237"/>
      <c r="AI447" s="98"/>
      <c r="AJ447" s="98"/>
      <c r="AK447" s="98"/>
      <c r="AL447" s="98"/>
      <c r="AM447" s="98"/>
      <c r="AN447" s="98"/>
      <c r="AO447" s="98"/>
    </row>
    <row r="448" ht="14.25" customHeight="1">
      <c r="A448" s="179"/>
      <c r="B448" s="98"/>
      <c r="C448" s="98"/>
      <c r="D448" s="98"/>
      <c r="E448" s="98"/>
      <c r="F448" s="235"/>
      <c r="G448" s="235"/>
      <c r="H448" s="236"/>
      <c r="I448" s="236"/>
      <c r="J448" s="236"/>
      <c r="K448" s="236"/>
      <c r="L448" s="236"/>
      <c r="M448" s="236"/>
      <c r="N448" s="236"/>
      <c r="O448" s="236"/>
      <c r="P448" s="236"/>
      <c r="Q448" s="236"/>
      <c r="R448" s="236"/>
      <c r="S448" s="236"/>
      <c r="T448" s="236"/>
      <c r="U448" s="236"/>
      <c r="V448" s="236"/>
      <c r="W448" s="237"/>
      <c r="X448" s="237"/>
      <c r="Y448" s="237"/>
      <c r="Z448" s="237"/>
      <c r="AA448" s="237"/>
      <c r="AB448" s="237"/>
      <c r="AC448" s="237"/>
      <c r="AD448" s="237"/>
      <c r="AE448" s="237"/>
      <c r="AF448" s="237"/>
      <c r="AG448" s="237"/>
      <c r="AH448" s="237"/>
      <c r="AI448" s="98"/>
      <c r="AJ448" s="98"/>
      <c r="AK448" s="98"/>
      <c r="AL448" s="98"/>
      <c r="AM448" s="98"/>
      <c r="AN448" s="98"/>
      <c r="AO448" s="98"/>
    </row>
    <row r="449" ht="14.25" customHeight="1">
      <c r="A449" s="179"/>
      <c r="B449" s="98"/>
      <c r="C449" s="98"/>
      <c r="D449" s="98"/>
      <c r="E449" s="98"/>
      <c r="F449" s="235"/>
      <c r="G449" s="235"/>
      <c r="H449" s="236"/>
      <c r="I449" s="236"/>
      <c r="J449" s="236"/>
      <c r="K449" s="236"/>
      <c r="L449" s="236"/>
      <c r="M449" s="236"/>
      <c r="N449" s="236"/>
      <c r="O449" s="236"/>
      <c r="P449" s="236"/>
      <c r="Q449" s="236"/>
      <c r="R449" s="236"/>
      <c r="S449" s="236"/>
      <c r="T449" s="236"/>
      <c r="U449" s="236"/>
      <c r="V449" s="236"/>
      <c r="W449" s="237"/>
      <c r="X449" s="237"/>
      <c r="Y449" s="237"/>
      <c r="Z449" s="237"/>
      <c r="AA449" s="237"/>
      <c r="AB449" s="237"/>
      <c r="AC449" s="237"/>
      <c r="AD449" s="237"/>
      <c r="AE449" s="237"/>
      <c r="AF449" s="237"/>
      <c r="AG449" s="237"/>
      <c r="AH449" s="237"/>
      <c r="AI449" s="98"/>
      <c r="AJ449" s="98"/>
      <c r="AK449" s="98"/>
      <c r="AL449" s="98"/>
      <c r="AM449" s="98"/>
      <c r="AN449" s="98"/>
      <c r="AO449" s="98"/>
    </row>
    <row r="450" ht="14.25" customHeight="1">
      <c r="A450" s="179"/>
      <c r="B450" s="98"/>
      <c r="C450" s="98"/>
      <c r="D450" s="98"/>
      <c r="E450" s="98"/>
      <c r="F450" s="235"/>
      <c r="G450" s="235"/>
      <c r="H450" s="236"/>
      <c r="I450" s="236"/>
      <c r="J450" s="236"/>
      <c r="K450" s="236"/>
      <c r="L450" s="236"/>
      <c r="M450" s="236"/>
      <c r="N450" s="236"/>
      <c r="O450" s="236"/>
      <c r="P450" s="236"/>
      <c r="Q450" s="236"/>
      <c r="R450" s="236"/>
      <c r="S450" s="236"/>
      <c r="T450" s="236"/>
      <c r="U450" s="236"/>
      <c r="V450" s="236"/>
      <c r="W450" s="237"/>
      <c r="X450" s="237"/>
      <c r="Y450" s="237"/>
      <c r="Z450" s="237"/>
      <c r="AA450" s="237"/>
      <c r="AB450" s="237"/>
      <c r="AC450" s="237"/>
      <c r="AD450" s="237"/>
      <c r="AE450" s="237"/>
      <c r="AF450" s="237"/>
      <c r="AG450" s="237"/>
      <c r="AH450" s="237"/>
      <c r="AI450" s="98"/>
      <c r="AJ450" s="98"/>
      <c r="AK450" s="98"/>
      <c r="AL450" s="98"/>
      <c r="AM450" s="98"/>
      <c r="AN450" s="98"/>
      <c r="AO450" s="98"/>
    </row>
    <row r="451" ht="14.25" customHeight="1">
      <c r="A451" s="179"/>
      <c r="B451" s="98"/>
      <c r="C451" s="98"/>
      <c r="D451" s="98"/>
      <c r="E451" s="98"/>
      <c r="F451" s="235"/>
      <c r="G451" s="235"/>
      <c r="H451" s="236"/>
      <c r="I451" s="236"/>
      <c r="J451" s="236"/>
      <c r="K451" s="236"/>
      <c r="L451" s="236"/>
      <c r="M451" s="236"/>
      <c r="N451" s="236"/>
      <c r="O451" s="236"/>
      <c r="P451" s="236"/>
      <c r="Q451" s="236"/>
      <c r="R451" s="236"/>
      <c r="S451" s="236"/>
      <c r="T451" s="236"/>
      <c r="U451" s="236"/>
      <c r="V451" s="236"/>
      <c r="W451" s="237"/>
      <c r="X451" s="237"/>
      <c r="Y451" s="237"/>
      <c r="Z451" s="237"/>
      <c r="AA451" s="237"/>
      <c r="AB451" s="237"/>
      <c r="AC451" s="237"/>
      <c r="AD451" s="237"/>
      <c r="AE451" s="237"/>
      <c r="AF451" s="237"/>
      <c r="AG451" s="237"/>
      <c r="AH451" s="237"/>
      <c r="AI451" s="98"/>
      <c r="AJ451" s="98"/>
      <c r="AK451" s="98"/>
      <c r="AL451" s="98"/>
      <c r="AM451" s="98"/>
      <c r="AN451" s="98"/>
      <c r="AO451" s="98"/>
    </row>
    <row r="452" ht="14.25" customHeight="1">
      <c r="A452" s="179"/>
      <c r="B452" s="98"/>
      <c r="C452" s="98"/>
      <c r="D452" s="98"/>
      <c r="E452" s="98"/>
      <c r="F452" s="235"/>
      <c r="G452" s="235"/>
      <c r="H452" s="236"/>
      <c r="I452" s="236"/>
      <c r="J452" s="236"/>
      <c r="K452" s="236"/>
      <c r="L452" s="236"/>
      <c r="M452" s="236"/>
      <c r="N452" s="236"/>
      <c r="O452" s="236"/>
      <c r="P452" s="236"/>
      <c r="Q452" s="236"/>
      <c r="R452" s="236"/>
      <c r="S452" s="236"/>
      <c r="T452" s="236"/>
      <c r="U452" s="236"/>
      <c r="V452" s="236"/>
      <c r="W452" s="237"/>
      <c r="X452" s="237"/>
      <c r="Y452" s="237"/>
      <c r="Z452" s="237"/>
      <c r="AA452" s="237"/>
      <c r="AB452" s="237"/>
      <c r="AC452" s="237"/>
      <c r="AD452" s="237"/>
      <c r="AE452" s="237"/>
      <c r="AF452" s="237"/>
      <c r="AG452" s="237"/>
      <c r="AH452" s="237"/>
      <c r="AI452" s="98"/>
      <c r="AJ452" s="98"/>
      <c r="AK452" s="98"/>
      <c r="AL452" s="98"/>
      <c r="AM452" s="98"/>
      <c r="AN452" s="98"/>
      <c r="AO452" s="98"/>
    </row>
    <row r="453" ht="14.25" customHeight="1">
      <c r="A453" s="179"/>
      <c r="B453" s="98"/>
      <c r="C453" s="98"/>
      <c r="D453" s="98"/>
      <c r="E453" s="98"/>
      <c r="F453" s="235"/>
      <c r="G453" s="235"/>
      <c r="H453" s="236"/>
      <c r="I453" s="236"/>
      <c r="J453" s="236"/>
      <c r="K453" s="236"/>
      <c r="L453" s="236"/>
      <c r="M453" s="236"/>
      <c r="N453" s="236"/>
      <c r="O453" s="236"/>
      <c r="P453" s="236"/>
      <c r="Q453" s="236"/>
      <c r="R453" s="236"/>
      <c r="S453" s="236"/>
      <c r="T453" s="236"/>
      <c r="U453" s="236"/>
      <c r="V453" s="236"/>
      <c r="W453" s="237"/>
      <c r="X453" s="237"/>
      <c r="Y453" s="237"/>
      <c r="Z453" s="237"/>
      <c r="AA453" s="237"/>
      <c r="AB453" s="237"/>
      <c r="AC453" s="237"/>
      <c r="AD453" s="237"/>
      <c r="AE453" s="237"/>
      <c r="AF453" s="237"/>
      <c r="AG453" s="237"/>
      <c r="AH453" s="237"/>
      <c r="AI453" s="98"/>
      <c r="AJ453" s="98"/>
      <c r="AK453" s="98"/>
      <c r="AL453" s="98"/>
      <c r="AM453" s="98"/>
      <c r="AN453" s="98"/>
      <c r="AO453" s="98"/>
    </row>
    <row r="454" ht="14.25" customHeight="1">
      <c r="A454" s="179"/>
      <c r="B454" s="98"/>
      <c r="C454" s="98"/>
      <c r="D454" s="98"/>
      <c r="E454" s="98"/>
      <c r="F454" s="235"/>
      <c r="G454" s="235"/>
      <c r="H454" s="236"/>
      <c r="I454" s="236"/>
      <c r="J454" s="236"/>
      <c r="K454" s="236"/>
      <c r="L454" s="236"/>
      <c r="M454" s="236"/>
      <c r="N454" s="236"/>
      <c r="O454" s="236"/>
      <c r="P454" s="236"/>
      <c r="Q454" s="236"/>
      <c r="R454" s="236"/>
      <c r="S454" s="236"/>
      <c r="T454" s="236"/>
      <c r="U454" s="236"/>
      <c r="V454" s="236"/>
      <c r="W454" s="237"/>
      <c r="X454" s="237"/>
      <c r="Y454" s="237"/>
      <c r="Z454" s="237"/>
      <c r="AA454" s="237"/>
      <c r="AB454" s="237"/>
      <c r="AC454" s="237"/>
      <c r="AD454" s="237"/>
      <c r="AE454" s="237"/>
      <c r="AF454" s="237"/>
      <c r="AG454" s="237"/>
      <c r="AH454" s="237"/>
      <c r="AI454" s="98"/>
      <c r="AJ454" s="98"/>
      <c r="AK454" s="98"/>
      <c r="AL454" s="98"/>
      <c r="AM454" s="98"/>
      <c r="AN454" s="98"/>
      <c r="AO454" s="98"/>
    </row>
    <row r="455" ht="14.25" customHeight="1">
      <c r="A455" s="179"/>
      <c r="B455" s="98"/>
      <c r="C455" s="98"/>
      <c r="D455" s="98"/>
      <c r="E455" s="98"/>
      <c r="F455" s="235"/>
      <c r="G455" s="235"/>
      <c r="H455" s="236"/>
      <c r="I455" s="236"/>
      <c r="J455" s="236"/>
      <c r="K455" s="236"/>
      <c r="L455" s="236"/>
      <c r="M455" s="236"/>
      <c r="N455" s="236"/>
      <c r="O455" s="236"/>
      <c r="P455" s="236"/>
      <c r="Q455" s="236"/>
      <c r="R455" s="236"/>
      <c r="S455" s="236"/>
      <c r="T455" s="236"/>
      <c r="U455" s="236"/>
      <c r="V455" s="236"/>
      <c r="W455" s="237"/>
      <c r="X455" s="237"/>
      <c r="Y455" s="237"/>
      <c r="Z455" s="237"/>
      <c r="AA455" s="237"/>
      <c r="AB455" s="237"/>
      <c r="AC455" s="237"/>
      <c r="AD455" s="237"/>
      <c r="AE455" s="237"/>
      <c r="AF455" s="237"/>
      <c r="AG455" s="237"/>
      <c r="AH455" s="237"/>
      <c r="AI455" s="98"/>
      <c r="AJ455" s="98"/>
      <c r="AK455" s="98"/>
      <c r="AL455" s="98"/>
      <c r="AM455" s="98"/>
      <c r="AN455" s="98"/>
      <c r="AO455" s="98"/>
    </row>
    <row r="456" ht="14.25" customHeight="1">
      <c r="A456" s="179"/>
      <c r="B456" s="98"/>
      <c r="C456" s="98"/>
      <c r="D456" s="98"/>
      <c r="E456" s="98"/>
      <c r="F456" s="235"/>
      <c r="G456" s="235"/>
      <c r="H456" s="236"/>
      <c r="I456" s="236"/>
      <c r="J456" s="236"/>
      <c r="K456" s="236"/>
      <c r="L456" s="236"/>
      <c r="M456" s="236"/>
      <c r="N456" s="236"/>
      <c r="O456" s="236"/>
      <c r="P456" s="236"/>
      <c r="Q456" s="236"/>
      <c r="R456" s="236"/>
      <c r="S456" s="236"/>
      <c r="T456" s="236"/>
      <c r="U456" s="236"/>
      <c r="V456" s="236"/>
      <c r="W456" s="237"/>
      <c r="X456" s="237"/>
      <c r="Y456" s="237"/>
      <c r="Z456" s="237"/>
      <c r="AA456" s="237"/>
      <c r="AB456" s="237"/>
      <c r="AC456" s="237"/>
      <c r="AD456" s="237"/>
      <c r="AE456" s="237"/>
      <c r="AF456" s="237"/>
      <c r="AG456" s="237"/>
      <c r="AH456" s="237"/>
      <c r="AI456" s="98"/>
      <c r="AJ456" s="98"/>
      <c r="AK456" s="98"/>
      <c r="AL456" s="98"/>
      <c r="AM456" s="98"/>
      <c r="AN456" s="98"/>
      <c r="AO456" s="98"/>
    </row>
    <row r="457" ht="14.25" customHeight="1">
      <c r="A457" s="179"/>
      <c r="B457" s="98"/>
      <c r="C457" s="98"/>
      <c r="D457" s="98"/>
      <c r="E457" s="98"/>
      <c r="F457" s="235"/>
      <c r="G457" s="235"/>
      <c r="H457" s="236"/>
      <c r="I457" s="236"/>
      <c r="J457" s="236"/>
      <c r="K457" s="236"/>
      <c r="L457" s="236"/>
      <c r="M457" s="236"/>
      <c r="N457" s="236"/>
      <c r="O457" s="236"/>
      <c r="P457" s="236"/>
      <c r="Q457" s="236"/>
      <c r="R457" s="236"/>
      <c r="S457" s="236"/>
      <c r="T457" s="236"/>
      <c r="U457" s="236"/>
      <c r="V457" s="236"/>
      <c r="W457" s="237"/>
      <c r="X457" s="237"/>
      <c r="Y457" s="237"/>
      <c r="Z457" s="237"/>
      <c r="AA457" s="237"/>
      <c r="AB457" s="237"/>
      <c r="AC457" s="237"/>
      <c r="AD457" s="237"/>
      <c r="AE457" s="237"/>
      <c r="AF457" s="237"/>
      <c r="AG457" s="237"/>
      <c r="AH457" s="237"/>
      <c r="AI457" s="98"/>
      <c r="AJ457" s="98"/>
      <c r="AK457" s="98"/>
      <c r="AL457" s="98"/>
      <c r="AM457" s="98"/>
      <c r="AN457" s="98"/>
      <c r="AO457" s="98"/>
    </row>
    <row r="458" ht="14.25" customHeight="1">
      <c r="A458" s="179"/>
      <c r="B458" s="98"/>
      <c r="C458" s="98"/>
      <c r="D458" s="98"/>
      <c r="E458" s="98"/>
      <c r="F458" s="235"/>
      <c r="G458" s="235"/>
      <c r="H458" s="236"/>
      <c r="I458" s="236"/>
      <c r="J458" s="236"/>
      <c r="K458" s="236"/>
      <c r="L458" s="236"/>
      <c r="M458" s="236"/>
      <c r="N458" s="236"/>
      <c r="O458" s="236"/>
      <c r="P458" s="236"/>
      <c r="Q458" s="236"/>
      <c r="R458" s="236"/>
      <c r="S458" s="236"/>
      <c r="T458" s="236"/>
      <c r="U458" s="236"/>
      <c r="V458" s="236"/>
      <c r="W458" s="237"/>
      <c r="X458" s="237"/>
      <c r="Y458" s="237"/>
      <c r="Z458" s="237"/>
      <c r="AA458" s="237"/>
      <c r="AB458" s="237"/>
      <c r="AC458" s="237"/>
      <c r="AD458" s="237"/>
      <c r="AE458" s="237"/>
      <c r="AF458" s="237"/>
      <c r="AG458" s="237"/>
      <c r="AH458" s="237"/>
      <c r="AI458" s="98"/>
      <c r="AJ458" s="98"/>
      <c r="AK458" s="98"/>
      <c r="AL458" s="98"/>
      <c r="AM458" s="98"/>
      <c r="AN458" s="98"/>
      <c r="AO458" s="98"/>
    </row>
    <row r="459" ht="14.25" customHeight="1">
      <c r="A459" s="179"/>
      <c r="B459" s="98"/>
      <c r="C459" s="98"/>
      <c r="D459" s="98"/>
      <c r="E459" s="98"/>
      <c r="F459" s="235"/>
      <c r="G459" s="235"/>
      <c r="H459" s="236"/>
      <c r="I459" s="236"/>
      <c r="J459" s="236"/>
      <c r="K459" s="236"/>
      <c r="L459" s="236"/>
      <c r="M459" s="236"/>
      <c r="N459" s="236"/>
      <c r="O459" s="236"/>
      <c r="P459" s="236"/>
      <c r="Q459" s="236"/>
      <c r="R459" s="236"/>
      <c r="S459" s="236"/>
      <c r="T459" s="236"/>
      <c r="U459" s="236"/>
      <c r="V459" s="236"/>
      <c r="W459" s="237"/>
      <c r="X459" s="237"/>
      <c r="Y459" s="237"/>
      <c r="Z459" s="237"/>
      <c r="AA459" s="237"/>
      <c r="AB459" s="237"/>
      <c r="AC459" s="237"/>
      <c r="AD459" s="237"/>
      <c r="AE459" s="237"/>
      <c r="AF459" s="237"/>
      <c r="AG459" s="237"/>
      <c r="AH459" s="237"/>
      <c r="AI459" s="98"/>
      <c r="AJ459" s="98"/>
      <c r="AK459" s="98"/>
      <c r="AL459" s="98"/>
      <c r="AM459" s="98"/>
      <c r="AN459" s="98"/>
      <c r="AO459" s="98"/>
    </row>
    <row r="460" ht="14.25" customHeight="1">
      <c r="A460" s="179"/>
      <c r="B460" s="98"/>
      <c r="C460" s="98"/>
      <c r="D460" s="98"/>
      <c r="E460" s="98"/>
      <c r="F460" s="235"/>
      <c r="G460" s="235"/>
      <c r="H460" s="236"/>
      <c r="I460" s="236"/>
      <c r="J460" s="236"/>
      <c r="K460" s="236"/>
      <c r="L460" s="236"/>
      <c r="M460" s="236"/>
      <c r="N460" s="236"/>
      <c r="O460" s="236"/>
      <c r="P460" s="236"/>
      <c r="Q460" s="236"/>
      <c r="R460" s="236"/>
      <c r="S460" s="236"/>
      <c r="T460" s="236"/>
      <c r="U460" s="236"/>
      <c r="V460" s="236"/>
      <c r="W460" s="237"/>
      <c r="X460" s="237"/>
      <c r="Y460" s="237"/>
      <c r="Z460" s="237"/>
      <c r="AA460" s="237"/>
      <c r="AB460" s="237"/>
      <c r="AC460" s="237"/>
      <c r="AD460" s="237"/>
      <c r="AE460" s="237"/>
      <c r="AF460" s="237"/>
      <c r="AG460" s="237"/>
      <c r="AH460" s="237"/>
      <c r="AI460" s="98"/>
      <c r="AJ460" s="98"/>
      <c r="AK460" s="98"/>
      <c r="AL460" s="98"/>
      <c r="AM460" s="98"/>
      <c r="AN460" s="98"/>
      <c r="AO460" s="98"/>
    </row>
    <row r="461" ht="14.25" customHeight="1">
      <c r="A461" s="179"/>
      <c r="B461" s="98"/>
      <c r="C461" s="98"/>
      <c r="D461" s="98"/>
      <c r="E461" s="98"/>
      <c r="F461" s="235"/>
      <c r="G461" s="235"/>
      <c r="H461" s="236"/>
      <c r="I461" s="236"/>
      <c r="J461" s="236"/>
      <c r="K461" s="236"/>
      <c r="L461" s="236"/>
      <c r="M461" s="236"/>
      <c r="N461" s="236"/>
      <c r="O461" s="236"/>
      <c r="P461" s="236"/>
      <c r="Q461" s="236"/>
      <c r="R461" s="236"/>
      <c r="S461" s="236"/>
      <c r="T461" s="236"/>
      <c r="U461" s="236"/>
      <c r="V461" s="236"/>
      <c r="W461" s="237"/>
      <c r="X461" s="237"/>
      <c r="Y461" s="237"/>
      <c r="Z461" s="237"/>
      <c r="AA461" s="237"/>
      <c r="AB461" s="237"/>
      <c r="AC461" s="237"/>
      <c r="AD461" s="237"/>
      <c r="AE461" s="237"/>
      <c r="AF461" s="237"/>
      <c r="AG461" s="237"/>
      <c r="AH461" s="237"/>
      <c r="AI461" s="98"/>
      <c r="AJ461" s="98"/>
      <c r="AK461" s="98"/>
      <c r="AL461" s="98"/>
      <c r="AM461" s="98"/>
      <c r="AN461" s="98"/>
      <c r="AO461" s="98"/>
    </row>
    <row r="462" ht="14.25" customHeight="1">
      <c r="A462" s="179"/>
      <c r="B462" s="98"/>
      <c r="C462" s="98"/>
      <c r="D462" s="98"/>
      <c r="E462" s="98"/>
      <c r="F462" s="235"/>
      <c r="G462" s="235"/>
      <c r="H462" s="236"/>
      <c r="I462" s="236"/>
      <c r="J462" s="236"/>
      <c r="K462" s="236"/>
      <c r="L462" s="236"/>
      <c r="M462" s="236"/>
      <c r="N462" s="236"/>
      <c r="O462" s="236"/>
      <c r="P462" s="236"/>
      <c r="Q462" s="236"/>
      <c r="R462" s="236"/>
      <c r="S462" s="236"/>
      <c r="T462" s="236"/>
      <c r="U462" s="236"/>
      <c r="V462" s="236"/>
      <c r="W462" s="237"/>
      <c r="X462" s="237"/>
      <c r="Y462" s="237"/>
      <c r="Z462" s="237"/>
      <c r="AA462" s="237"/>
      <c r="AB462" s="237"/>
      <c r="AC462" s="237"/>
      <c r="AD462" s="237"/>
      <c r="AE462" s="237"/>
      <c r="AF462" s="237"/>
      <c r="AG462" s="237"/>
      <c r="AH462" s="237"/>
      <c r="AI462" s="98"/>
      <c r="AJ462" s="98"/>
      <c r="AK462" s="98"/>
      <c r="AL462" s="98"/>
      <c r="AM462" s="98"/>
      <c r="AN462" s="98"/>
      <c r="AO462" s="98"/>
    </row>
    <row r="463" ht="14.25" customHeight="1">
      <c r="A463" s="179"/>
      <c r="B463" s="98"/>
      <c r="C463" s="98"/>
      <c r="D463" s="98"/>
      <c r="E463" s="98"/>
      <c r="F463" s="235"/>
      <c r="G463" s="235"/>
      <c r="H463" s="236"/>
      <c r="I463" s="236"/>
      <c r="J463" s="236"/>
      <c r="K463" s="236"/>
      <c r="L463" s="236"/>
      <c r="M463" s="236"/>
      <c r="N463" s="236"/>
      <c r="O463" s="236"/>
      <c r="P463" s="236"/>
      <c r="Q463" s="236"/>
      <c r="R463" s="236"/>
      <c r="S463" s="236"/>
      <c r="T463" s="236"/>
      <c r="U463" s="236"/>
      <c r="V463" s="236"/>
      <c r="W463" s="237"/>
      <c r="X463" s="237"/>
      <c r="Y463" s="237"/>
      <c r="Z463" s="237"/>
      <c r="AA463" s="237"/>
      <c r="AB463" s="237"/>
      <c r="AC463" s="237"/>
      <c r="AD463" s="237"/>
      <c r="AE463" s="237"/>
      <c r="AF463" s="237"/>
      <c r="AG463" s="237"/>
      <c r="AH463" s="237"/>
      <c r="AI463" s="98"/>
      <c r="AJ463" s="98"/>
      <c r="AK463" s="98"/>
      <c r="AL463" s="98"/>
      <c r="AM463" s="98"/>
      <c r="AN463" s="98"/>
      <c r="AO463" s="98"/>
    </row>
    <row r="464" ht="14.25" customHeight="1">
      <c r="A464" s="179"/>
      <c r="B464" s="98"/>
      <c r="C464" s="98"/>
      <c r="D464" s="98"/>
      <c r="E464" s="98"/>
      <c r="F464" s="235"/>
      <c r="G464" s="235"/>
      <c r="H464" s="236"/>
      <c r="I464" s="236"/>
      <c r="J464" s="236"/>
      <c r="K464" s="236"/>
      <c r="L464" s="236"/>
      <c r="M464" s="236"/>
      <c r="N464" s="236"/>
      <c r="O464" s="236"/>
      <c r="P464" s="236"/>
      <c r="Q464" s="236"/>
      <c r="R464" s="236"/>
      <c r="S464" s="236"/>
      <c r="T464" s="236"/>
      <c r="U464" s="236"/>
      <c r="V464" s="236"/>
      <c r="W464" s="237"/>
      <c r="X464" s="237"/>
      <c r="Y464" s="237"/>
      <c r="Z464" s="237"/>
      <c r="AA464" s="237"/>
      <c r="AB464" s="237"/>
      <c r="AC464" s="237"/>
      <c r="AD464" s="237"/>
      <c r="AE464" s="237"/>
      <c r="AF464" s="237"/>
      <c r="AG464" s="237"/>
      <c r="AH464" s="237"/>
      <c r="AI464" s="98"/>
      <c r="AJ464" s="98"/>
      <c r="AK464" s="98"/>
      <c r="AL464" s="98"/>
      <c r="AM464" s="98"/>
      <c r="AN464" s="98"/>
      <c r="AO464" s="98"/>
    </row>
    <row r="465" ht="14.25" customHeight="1">
      <c r="A465" s="179"/>
      <c r="B465" s="98"/>
      <c r="C465" s="98"/>
      <c r="D465" s="98"/>
      <c r="E465" s="98"/>
      <c r="F465" s="235"/>
      <c r="G465" s="235"/>
      <c r="H465" s="236"/>
      <c r="I465" s="236"/>
      <c r="J465" s="236"/>
      <c r="K465" s="236"/>
      <c r="L465" s="236"/>
      <c r="M465" s="236"/>
      <c r="N465" s="236"/>
      <c r="O465" s="236"/>
      <c r="P465" s="236"/>
      <c r="Q465" s="236"/>
      <c r="R465" s="236"/>
      <c r="S465" s="236"/>
      <c r="T465" s="236"/>
      <c r="U465" s="236"/>
      <c r="V465" s="236"/>
      <c r="W465" s="237"/>
      <c r="X465" s="237"/>
      <c r="Y465" s="237"/>
      <c r="Z465" s="237"/>
      <c r="AA465" s="237"/>
      <c r="AB465" s="237"/>
      <c r="AC465" s="237"/>
      <c r="AD465" s="237"/>
      <c r="AE465" s="237"/>
      <c r="AF465" s="237"/>
      <c r="AG465" s="237"/>
      <c r="AH465" s="237"/>
      <c r="AI465" s="98"/>
      <c r="AJ465" s="98"/>
      <c r="AK465" s="98"/>
      <c r="AL465" s="98"/>
      <c r="AM465" s="98"/>
      <c r="AN465" s="98"/>
      <c r="AO465" s="98"/>
    </row>
    <row r="466" ht="14.25" customHeight="1">
      <c r="A466" s="179"/>
      <c r="B466" s="98"/>
      <c r="C466" s="98"/>
      <c r="D466" s="98"/>
      <c r="E466" s="98"/>
      <c r="F466" s="235"/>
      <c r="G466" s="235"/>
      <c r="H466" s="236"/>
      <c r="I466" s="236"/>
      <c r="J466" s="236"/>
      <c r="K466" s="236"/>
      <c r="L466" s="236"/>
      <c r="M466" s="236"/>
      <c r="N466" s="236"/>
      <c r="O466" s="236"/>
      <c r="P466" s="236"/>
      <c r="Q466" s="236"/>
      <c r="R466" s="236"/>
      <c r="S466" s="236"/>
      <c r="T466" s="236"/>
      <c r="U466" s="236"/>
      <c r="V466" s="236"/>
      <c r="W466" s="237"/>
      <c r="X466" s="237"/>
      <c r="Y466" s="237"/>
      <c r="Z466" s="237"/>
      <c r="AA466" s="237"/>
      <c r="AB466" s="237"/>
      <c r="AC466" s="237"/>
      <c r="AD466" s="237"/>
      <c r="AE466" s="237"/>
      <c r="AF466" s="237"/>
      <c r="AG466" s="237"/>
      <c r="AH466" s="237"/>
      <c r="AI466" s="98"/>
      <c r="AJ466" s="98"/>
      <c r="AK466" s="98"/>
      <c r="AL466" s="98"/>
      <c r="AM466" s="98"/>
      <c r="AN466" s="98"/>
      <c r="AO466" s="98"/>
    </row>
    <row r="467" ht="14.25" customHeight="1">
      <c r="A467" s="179"/>
      <c r="B467" s="98"/>
      <c r="C467" s="98"/>
      <c r="D467" s="98"/>
      <c r="E467" s="98"/>
      <c r="F467" s="235"/>
      <c r="G467" s="235"/>
      <c r="H467" s="236"/>
      <c r="I467" s="236"/>
      <c r="J467" s="236"/>
      <c r="K467" s="236"/>
      <c r="L467" s="236"/>
      <c r="M467" s="236"/>
      <c r="N467" s="236"/>
      <c r="O467" s="236"/>
      <c r="P467" s="236"/>
      <c r="Q467" s="236"/>
      <c r="R467" s="236"/>
      <c r="S467" s="236"/>
      <c r="T467" s="236"/>
      <c r="U467" s="236"/>
      <c r="V467" s="236"/>
      <c r="W467" s="237"/>
      <c r="X467" s="237"/>
      <c r="Y467" s="237"/>
      <c r="Z467" s="237"/>
      <c r="AA467" s="237"/>
      <c r="AB467" s="237"/>
      <c r="AC467" s="237"/>
      <c r="AD467" s="237"/>
      <c r="AE467" s="237"/>
      <c r="AF467" s="237"/>
      <c r="AG467" s="237"/>
      <c r="AH467" s="237"/>
      <c r="AI467" s="98"/>
      <c r="AJ467" s="98"/>
      <c r="AK467" s="98"/>
      <c r="AL467" s="98"/>
      <c r="AM467" s="98"/>
      <c r="AN467" s="98"/>
      <c r="AO467" s="98"/>
    </row>
    <row r="468" ht="14.25" customHeight="1">
      <c r="A468" s="179"/>
      <c r="B468" s="98"/>
      <c r="C468" s="98"/>
      <c r="D468" s="98"/>
      <c r="E468" s="98"/>
      <c r="F468" s="235"/>
      <c r="G468" s="235"/>
      <c r="H468" s="236"/>
      <c r="I468" s="236"/>
      <c r="J468" s="236"/>
      <c r="K468" s="236"/>
      <c r="L468" s="236"/>
      <c r="M468" s="236"/>
      <c r="N468" s="236"/>
      <c r="O468" s="236"/>
      <c r="P468" s="236"/>
      <c r="Q468" s="236"/>
      <c r="R468" s="236"/>
      <c r="S468" s="236"/>
      <c r="T468" s="236"/>
      <c r="U468" s="236"/>
      <c r="V468" s="236"/>
      <c r="W468" s="237"/>
      <c r="X468" s="237"/>
      <c r="Y468" s="237"/>
      <c r="Z468" s="237"/>
      <c r="AA468" s="237"/>
      <c r="AB468" s="237"/>
      <c r="AC468" s="237"/>
      <c r="AD468" s="237"/>
      <c r="AE468" s="237"/>
      <c r="AF468" s="237"/>
      <c r="AG468" s="237"/>
      <c r="AH468" s="237"/>
      <c r="AI468" s="98"/>
      <c r="AJ468" s="98"/>
      <c r="AK468" s="98"/>
      <c r="AL468" s="98"/>
      <c r="AM468" s="98"/>
      <c r="AN468" s="98"/>
      <c r="AO468" s="98"/>
    </row>
    <row r="469" ht="14.25" customHeight="1">
      <c r="A469" s="179"/>
      <c r="B469" s="98"/>
      <c r="C469" s="98"/>
      <c r="D469" s="98"/>
      <c r="E469" s="98"/>
      <c r="F469" s="235"/>
      <c r="G469" s="235"/>
      <c r="H469" s="236"/>
      <c r="I469" s="236"/>
      <c r="J469" s="236"/>
      <c r="K469" s="236"/>
      <c r="L469" s="236"/>
      <c r="M469" s="236"/>
      <c r="N469" s="236"/>
      <c r="O469" s="236"/>
      <c r="P469" s="236"/>
      <c r="Q469" s="236"/>
      <c r="R469" s="236"/>
      <c r="S469" s="236"/>
      <c r="T469" s="236"/>
      <c r="U469" s="236"/>
      <c r="V469" s="236"/>
      <c r="W469" s="237"/>
      <c r="X469" s="237"/>
      <c r="Y469" s="237"/>
      <c r="Z469" s="237"/>
      <c r="AA469" s="237"/>
      <c r="AB469" s="237"/>
      <c r="AC469" s="237"/>
      <c r="AD469" s="237"/>
      <c r="AE469" s="237"/>
      <c r="AF469" s="237"/>
      <c r="AG469" s="237"/>
      <c r="AH469" s="237"/>
      <c r="AI469" s="98"/>
      <c r="AJ469" s="98"/>
      <c r="AK469" s="98"/>
      <c r="AL469" s="98"/>
      <c r="AM469" s="98"/>
      <c r="AN469" s="98"/>
      <c r="AO469" s="98"/>
    </row>
    <row r="470" ht="14.25" customHeight="1">
      <c r="A470" s="179"/>
      <c r="B470" s="98"/>
      <c r="C470" s="98"/>
      <c r="D470" s="98"/>
      <c r="E470" s="98"/>
      <c r="F470" s="235"/>
      <c r="G470" s="235"/>
      <c r="H470" s="236"/>
      <c r="I470" s="236"/>
      <c r="J470" s="236"/>
      <c r="K470" s="236"/>
      <c r="L470" s="236"/>
      <c r="M470" s="236"/>
      <c r="N470" s="236"/>
      <c r="O470" s="236"/>
      <c r="P470" s="236"/>
      <c r="Q470" s="236"/>
      <c r="R470" s="236"/>
      <c r="S470" s="236"/>
      <c r="T470" s="236"/>
      <c r="U470" s="236"/>
      <c r="V470" s="236"/>
      <c r="W470" s="237"/>
      <c r="X470" s="237"/>
      <c r="Y470" s="237"/>
      <c r="Z470" s="237"/>
      <c r="AA470" s="237"/>
      <c r="AB470" s="237"/>
      <c r="AC470" s="237"/>
      <c r="AD470" s="237"/>
      <c r="AE470" s="237"/>
      <c r="AF470" s="237"/>
      <c r="AG470" s="237"/>
      <c r="AH470" s="237"/>
      <c r="AI470" s="98"/>
      <c r="AJ470" s="98"/>
      <c r="AK470" s="98"/>
      <c r="AL470" s="98"/>
      <c r="AM470" s="98"/>
      <c r="AN470" s="98"/>
      <c r="AO470" s="98"/>
    </row>
    <row r="471" ht="14.25" customHeight="1">
      <c r="A471" s="179"/>
      <c r="B471" s="98"/>
      <c r="C471" s="98"/>
      <c r="D471" s="98"/>
      <c r="E471" s="98"/>
      <c r="F471" s="235"/>
      <c r="G471" s="235"/>
      <c r="H471" s="236"/>
      <c r="I471" s="236"/>
      <c r="J471" s="236"/>
      <c r="K471" s="236"/>
      <c r="L471" s="236"/>
      <c r="M471" s="236"/>
      <c r="N471" s="236"/>
      <c r="O471" s="236"/>
      <c r="P471" s="236"/>
      <c r="Q471" s="236"/>
      <c r="R471" s="236"/>
      <c r="S471" s="236"/>
      <c r="T471" s="236"/>
      <c r="U471" s="236"/>
      <c r="V471" s="236"/>
      <c r="W471" s="237"/>
      <c r="X471" s="237"/>
      <c r="Y471" s="237"/>
      <c r="Z471" s="237"/>
      <c r="AA471" s="237"/>
      <c r="AB471" s="237"/>
      <c r="AC471" s="237"/>
      <c r="AD471" s="237"/>
      <c r="AE471" s="237"/>
      <c r="AF471" s="237"/>
      <c r="AG471" s="237"/>
      <c r="AH471" s="237"/>
      <c r="AI471" s="98"/>
      <c r="AJ471" s="98"/>
      <c r="AK471" s="98"/>
      <c r="AL471" s="98"/>
      <c r="AM471" s="98"/>
      <c r="AN471" s="98"/>
      <c r="AO471" s="98"/>
    </row>
    <row r="472" ht="14.25" customHeight="1">
      <c r="A472" s="179"/>
      <c r="B472" s="98"/>
      <c r="C472" s="98"/>
      <c r="D472" s="98"/>
      <c r="E472" s="98"/>
      <c r="F472" s="235"/>
      <c r="G472" s="235"/>
      <c r="H472" s="236"/>
      <c r="I472" s="236"/>
      <c r="J472" s="236"/>
      <c r="K472" s="236"/>
      <c r="L472" s="236"/>
      <c r="M472" s="236"/>
      <c r="N472" s="236"/>
      <c r="O472" s="236"/>
      <c r="P472" s="236"/>
      <c r="Q472" s="236"/>
      <c r="R472" s="236"/>
      <c r="S472" s="236"/>
      <c r="T472" s="236"/>
      <c r="U472" s="236"/>
      <c r="V472" s="236"/>
      <c r="W472" s="237"/>
      <c r="X472" s="237"/>
      <c r="Y472" s="237"/>
      <c r="Z472" s="237"/>
      <c r="AA472" s="237"/>
      <c r="AB472" s="237"/>
      <c r="AC472" s="237"/>
      <c r="AD472" s="237"/>
      <c r="AE472" s="237"/>
      <c r="AF472" s="237"/>
      <c r="AG472" s="237"/>
      <c r="AH472" s="237"/>
      <c r="AI472" s="98"/>
      <c r="AJ472" s="98"/>
      <c r="AK472" s="98"/>
      <c r="AL472" s="98"/>
      <c r="AM472" s="98"/>
      <c r="AN472" s="98"/>
      <c r="AO472" s="98"/>
    </row>
    <row r="473" ht="14.25" customHeight="1">
      <c r="A473" s="179"/>
      <c r="B473" s="98"/>
      <c r="C473" s="98"/>
      <c r="D473" s="98"/>
      <c r="E473" s="98"/>
      <c r="F473" s="235"/>
      <c r="G473" s="235"/>
      <c r="H473" s="236"/>
      <c r="I473" s="236"/>
      <c r="J473" s="236"/>
      <c r="K473" s="236"/>
      <c r="L473" s="236"/>
      <c r="M473" s="236"/>
      <c r="N473" s="236"/>
      <c r="O473" s="236"/>
      <c r="P473" s="236"/>
      <c r="Q473" s="236"/>
      <c r="R473" s="236"/>
      <c r="S473" s="236"/>
      <c r="T473" s="236"/>
      <c r="U473" s="236"/>
      <c r="V473" s="236"/>
      <c r="W473" s="237"/>
      <c r="X473" s="237"/>
      <c r="Y473" s="237"/>
      <c r="Z473" s="237"/>
      <c r="AA473" s="237"/>
      <c r="AB473" s="237"/>
      <c r="AC473" s="237"/>
      <c r="AD473" s="237"/>
      <c r="AE473" s="237"/>
      <c r="AF473" s="237"/>
      <c r="AG473" s="237"/>
      <c r="AH473" s="237"/>
      <c r="AI473" s="98"/>
      <c r="AJ473" s="98"/>
      <c r="AK473" s="98"/>
      <c r="AL473" s="98"/>
      <c r="AM473" s="98"/>
      <c r="AN473" s="98"/>
      <c r="AO473" s="98"/>
    </row>
    <row r="474" ht="14.25" customHeight="1">
      <c r="A474" s="179"/>
      <c r="B474" s="98"/>
      <c r="C474" s="98"/>
      <c r="D474" s="98"/>
      <c r="E474" s="98"/>
      <c r="F474" s="235"/>
      <c r="G474" s="235"/>
      <c r="H474" s="236"/>
      <c r="I474" s="236"/>
      <c r="J474" s="236"/>
      <c r="K474" s="236"/>
      <c r="L474" s="236"/>
      <c r="M474" s="236"/>
      <c r="N474" s="236"/>
      <c r="O474" s="236"/>
      <c r="P474" s="236"/>
      <c r="Q474" s="236"/>
      <c r="R474" s="236"/>
      <c r="S474" s="236"/>
      <c r="T474" s="236"/>
      <c r="U474" s="236"/>
      <c r="V474" s="236"/>
      <c r="W474" s="237"/>
      <c r="X474" s="237"/>
      <c r="Y474" s="237"/>
      <c r="Z474" s="237"/>
      <c r="AA474" s="237"/>
      <c r="AB474" s="237"/>
      <c r="AC474" s="237"/>
      <c r="AD474" s="237"/>
      <c r="AE474" s="237"/>
      <c r="AF474" s="237"/>
      <c r="AG474" s="237"/>
      <c r="AH474" s="237"/>
      <c r="AI474" s="98"/>
      <c r="AJ474" s="98"/>
      <c r="AK474" s="98"/>
      <c r="AL474" s="98"/>
      <c r="AM474" s="98"/>
      <c r="AN474" s="98"/>
      <c r="AO474" s="98"/>
    </row>
    <row r="475" ht="14.25" customHeight="1">
      <c r="A475" s="179"/>
      <c r="B475" s="98"/>
      <c r="C475" s="98"/>
      <c r="D475" s="98"/>
      <c r="E475" s="98"/>
      <c r="F475" s="235"/>
      <c r="G475" s="235"/>
      <c r="H475" s="236"/>
      <c r="I475" s="236"/>
      <c r="J475" s="236"/>
      <c r="K475" s="236"/>
      <c r="L475" s="236"/>
      <c r="M475" s="236"/>
      <c r="N475" s="236"/>
      <c r="O475" s="236"/>
      <c r="P475" s="236"/>
      <c r="Q475" s="236"/>
      <c r="R475" s="236"/>
      <c r="S475" s="236"/>
      <c r="T475" s="236"/>
      <c r="U475" s="236"/>
      <c r="V475" s="236"/>
      <c r="W475" s="237"/>
      <c r="X475" s="237"/>
      <c r="Y475" s="237"/>
      <c r="Z475" s="237"/>
      <c r="AA475" s="237"/>
      <c r="AB475" s="237"/>
      <c r="AC475" s="237"/>
      <c r="AD475" s="237"/>
      <c r="AE475" s="237"/>
      <c r="AF475" s="237"/>
      <c r="AG475" s="237"/>
      <c r="AH475" s="237"/>
      <c r="AI475" s="98"/>
      <c r="AJ475" s="98"/>
      <c r="AK475" s="98"/>
      <c r="AL475" s="98"/>
      <c r="AM475" s="98"/>
      <c r="AN475" s="98"/>
      <c r="AO475" s="98"/>
    </row>
    <row r="476" ht="14.25" customHeight="1">
      <c r="A476" s="179"/>
      <c r="B476" s="98"/>
      <c r="C476" s="98"/>
      <c r="D476" s="98"/>
      <c r="E476" s="98"/>
      <c r="F476" s="235"/>
      <c r="G476" s="235"/>
      <c r="H476" s="236"/>
      <c r="I476" s="236"/>
      <c r="J476" s="236"/>
      <c r="K476" s="236"/>
      <c r="L476" s="236"/>
      <c r="M476" s="236"/>
      <c r="N476" s="236"/>
      <c r="O476" s="236"/>
      <c r="P476" s="236"/>
      <c r="Q476" s="236"/>
      <c r="R476" s="236"/>
      <c r="S476" s="236"/>
      <c r="T476" s="236"/>
      <c r="U476" s="236"/>
      <c r="V476" s="236"/>
      <c r="W476" s="237"/>
      <c r="X476" s="237"/>
      <c r="Y476" s="237"/>
      <c r="Z476" s="237"/>
      <c r="AA476" s="237"/>
      <c r="AB476" s="237"/>
      <c r="AC476" s="237"/>
      <c r="AD476" s="237"/>
      <c r="AE476" s="237"/>
      <c r="AF476" s="237"/>
      <c r="AG476" s="237"/>
      <c r="AH476" s="237"/>
      <c r="AI476" s="98"/>
      <c r="AJ476" s="98"/>
      <c r="AK476" s="98"/>
      <c r="AL476" s="98"/>
      <c r="AM476" s="98"/>
      <c r="AN476" s="98"/>
      <c r="AO476" s="98"/>
    </row>
    <row r="477" ht="14.25" customHeight="1">
      <c r="A477" s="179"/>
      <c r="B477" s="98"/>
      <c r="C477" s="98"/>
      <c r="D477" s="98"/>
      <c r="E477" s="98"/>
      <c r="F477" s="235"/>
      <c r="G477" s="235"/>
      <c r="H477" s="236"/>
      <c r="I477" s="236"/>
      <c r="J477" s="236"/>
      <c r="K477" s="236"/>
      <c r="L477" s="236"/>
      <c r="M477" s="236"/>
      <c r="N477" s="236"/>
      <c r="O477" s="236"/>
      <c r="P477" s="236"/>
      <c r="Q477" s="236"/>
      <c r="R477" s="236"/>
      <c r="S477" s="236"/>
      <c r="T477" s="236"/>
      <c r="U477" s="236"/>
      <c r="V477" s="236"/>
      <c r="W477" s="237"/>
      <c r="X477" s="237"/>
      <c r="Y477" s="237"/>
      <c r="Z477" s="237"/>
      <c r="AA477" s="237"/>
      <c r="AB477" s="237"/>
      <c r="AC477" s="237"/>
      <c r="AD477" s="237"/>
      <c r="AE477" s="237"/>
      <c r="AF477" s="237"/>
      <c r="AG477" s="237"/>
      <c r="AH477" s="237"/>
      <c r="AI477" s="98"/>
      <c r="AJ477" s="98"/>
      <c r="AK477" s="98"/>
      <c r="AL477" s="98"/>
      <c r="AM477" s="98"/>
      <c r="AN477" s="98"/>
      <c r="AO477" s="98"/>
    </row>
    <row r="478" ht="14.25" customHeight="1">
      <c r="A478" s="179"/>
      <c r="B478" s="98"/>
      <c r="C478" s="98"/>
      <c r="D478" s="98"/>
      <c r="E478" s="98"/>
      <c r="F478" s="235"/>
      <c r="G478" s="235"/>
      <c r="H478" s="236"/>
      <c r="I478" s="236"/>
      <c r="J478" s="236"/>
      <c r="K478" s="236"/>
      <c r="L478" s="236"/>
      <c r="M478" s="236"/>
      <c r="N478" s="236"/>
      <c r="O478" s="236"/>
      <c r="P478" s="236"/>
      <c r="Q478" s="236"/>
      <c r="R478" s="236"/>
      <c r="S478" s="236"/>
      <c r="T478" s="236"/>
      <c r="U478" s="236"/>
      <c r="V478" s="236"/>
      <c r="W478" s="237"/>
      <c r="X478" s="237"/>
      <c r="Y478" s="237"/>
      <c r="Z478" s="237"/>
      <c r="AA478" s="237"/>
      <c r="AB478" s="237"/>
      <c r="AC478" s="237"/>
      <c r="AD478" s="237"/>
      <c r="AE478" s="237"/>
      <c r="AF478" s="237"/>
      <c r="AG478" s="237"/>
      <c r="AH478" s="237"/>
      <c r="AI478" s="98"/>
      <c r="AJ478" s="98"/>
      <c r="AK478" s="98"/>
      <c r="AL478" s="98"/>
      <c r="AM478" s="98"/>
      <c r="AN478" s="98"/>
      <c r="AO478" s="98"/>
    </row>
    <row r="479" ht="14.25" customHeight="1">
      <c r="A479" s="179"/>
      <c r="B479" s="98"/>
      <c r="C479" s="98"/>
      <c r="D479" s="98"/>
      <c r="E479" s="98"/>
      <c r="F479" s="235"/>
      <c r="G479" s="235"/>
      <c r="H479" s="236"/>
      <c r="I479" s="236"/>
      <c r="J479" s="236"/>
      <c r="K479" s="236"/>
      <c r="L479" s="236"/>
      <c r="M479" s="236"/>
      <c r="N479" s="236"/>
      <c r="O479" s="236"/>
      <c r="P479" s="236"/>
      <c r="Q479" s="236"/>
      <c r="R479" s="236"/>
      <c r="S479" s="236"/>
      <c r="T479" s="236"/>
      <c r="U479" s="236"/>
      <c r="V479" s="236"/>
      <c r="W479" s="237"/>
      <c r="X479" s="237"/>
      <c r="Y479" s="237"/>
      <c r="Z479" s="237"/>
      <c r="AA479" s="237"/>
      <c r="AB479" s="237"/>
      <c r="AC479" s="237"/>
      <c r="AD479" s="237"/>
      <c r="AE479" s="237"/>
      <c r="AF479" s="237"/>
      <c r="AG479" s="237"/>
      <c r="AH479" s="237"/>
      <c r="AI479" s="98"/>
      <c r="AJ479" s="98"/>
      <c r="AK479" s="98"/>
      <c r="AL479" s="98"/>
      <c r="AM479" s="98"/>
      <c r="AN479" s="98"/>
      <c r="AO479" s="98"/>
    </row>
    <row r="480" ht="14.25" customHeight="1">
      <c r="A480" s="179"/>
      <c r="B480" s="98"/>
      <c r="C480" s="98"/>
      <c r="D480" s="98"/>
      <c r="E480" s="98"/>
      <c r="F480" s="235"/>
      <c r="G480" s="235"/>
      <c r="H480" s="236"/>
      <c r="I480" s="236"/>
      <c r="J480" s="236"/>
      <c r="K480" s="236"/>
      <c r="L480" s="236"/>
      <c r="M480" s="236"/>
      <c r="N480" s="236"/>
      <c r="O480" s="236"/>
      <c r="P480" s="236"/>
      <c r="Q480" s="236"/>
      <c r="R480" s="236"/>
      <c r="S480" s="236"/>
      <c r="T480" s="236"/>
      <c r="U480" s="236"/>
      <c r="V480" s="236"/>
      <c r="W480" s="237"/>
      <c r="X480" s="237"/>
      <c r="Y480" s="237"/>
      <c r="Z480" s="237"/>
      <c r="AA480" s="237"/>
      <c r="AB480" s="237"/>
      <c r="AC480" s="237"/>
      <c r="AD480" s="237"/>
      <c r="AE480" s="237"/>
      <c r="AF480" s="237"/>
      <c r="AG480" s="237"/>
      <c r="AH480" s="237"/>
      <c r="AI480" s="98"/>
      <c r="AJ480" s="98"/>
      <c r="AK480" s="98"/>
      <c r="AL480" s="98"/>
      <c r="AM480" s="98"/>
      <c r="AN480" s="98"/>
      <c r="AO480" s="98"/>
    </row>
    <row r="481" ht="14.25" customHeight="1">
      <c r="A481" s="179"/>
      <c r="B481" s="98"/>
      <c r="C481" s="98"/>
      <c r="D481" s="98"/>
      <c r="E481" s="98"/>
      <c r="F481" s="235"/>
      <c r="G481" s="235"/>
      <c r="H481" s="236"/>
      <c r="I481" s="236"/>
      <c r="J481" s="236"/>
      <c r="K481" s="236"/>
      <c r="L481" s="236"/>
      <c r="M481" s="236"/>
      <c r="N481" s="236"/>
      <c r="O481" s="236"/>
      <c r="P481" s="236"/>
      <c r="Q481" s="236"/>
      <c r="R481" s="236"/>
      <c r="S481" s="236"/>
      <c r="T481" s="236"/>
      <c r="U481" s="236"/>
      <c r="V481" s="236"/>
      <c r="W481" s="237"/>
      <c r="X481" s="237"/>
      <c r="Y481" s="237"/>
      <c r="Z481" s="237"/>
      <c r="AA481" s="237"/>
      <c r="AB481" s="237"/>
      <c r="AC481" s="237"/>
      <c r="AD481" s="237"/>
      <c r="AE481" s="237"/>
      <c r="AF481" s="237"/>
      <c r="AG481" s="237"/>
      <c r="AH481" s="237"/>
      <c r="AI481" s="98"/>
      <c r="AJ481" s="98"/>
      <c r="AK481" s="98"/>
      <c r="AL481" s="98"/>
      <c r="AM481" s="98"/>
      <c r="AN481" s="98"/>
      <c r="AO481" s="98"/>
    </row>
    <row r="482" ht="14.25" customHeight="1">
      <c r="A482" s="179"/>
      <c r="B482" s="98"/>
      <c r="C482" s="98"/>
      <c r="D482" s="98"/>
      <c r="E482" s="98"/>
      <c r="F482" s="235"/>
      <c r="G482" s="235"/>
      <c r="H482" s="236"/>
      <c r="I482" s="236"/>
      <c r="J482" s="236"/>
      <c r="K482" s="236"/>
      <c r="L482" s="236"/>
      <c r="M482" s="236"/>
      <c r="N482" s="236"/>
      <c r="O482" s="236"/>
      <c r="P482" s="236"/>
      <c r="Q482" s="236"/>
      <c r="R482" s="236"/>
      <c r="S482" s="236"/>
      <c r="T482" s="236"/>
      <c r="U482" s="236"/>
      <c r="V482" s="236"/>
      <c r="W482" s="237"/>
      <c r="X482" s="237"/>
      <c r="Y482" s="237"/>
      <c r="Z482" s="237"/>
      <c r="AA482" s="237"/>
      <c r="AB482" s="237"/>
      <c r="AC482" s="237"/>
      <c r="AD482" s="237"/>
      <c r="AE482" s="237"/>
      <c r="AF482" s="237"/>
      <c r="AG482" s="237"/>
      <c r="AH482" s="237"/>
      <c r="AI482" s="98"/>
      <c r="AJ482" s="98"/>
      <c r="AK482" s="98"/>
      <c r="AL482" s="98"/>
      <c r="AM482" s="98"/>
      <c r="AN482" s="98"/>
      <c r="AO482" s="98"/>
    </row>
    <row r="483" ht="14.25" customHeight="1">
      <c r="A483" s="179"/>
      <c r="B483" s="98"/>
      <c r="C483" s="98"/>
      <c r="D483" s="98"/>
      <c r="E483" s="98"/>
      <c r="F483" s="235"/>
      <c r="G483" s="235"/>
      <c r="H483" s="236"/>
      <c r="I483" s="236"/>
      <c r="J483" s="236"/>
      <c r="K483" s="236"/>
      <c r="L483" s="236"/>
      <c r="M483" s="236"/>
      <c r="N483" s="236"/>
      <c r="O483" s="236"/>
      <c r="P483" s="236"/>
      <c r="Q483" s="236"/>
      <c r="R483" s="236"/>
      <c r="S483" s="236"/>
      <c r="T483" s="236"/>
      <c r="U483" s="236"/>
      <c r="V483" s="236"/>
      <c r="W483" s="237"/>
      <c r="X483" s="237"/>
      <c r="Y483" s="237"/>
      <c r="Z483" s="237"/>
      <c r="AA483" s="237"/>
      <c r="AB483" s="237"/>
      <c r="AC483" s="237"/>
      <c r="AD483" s="237"/>
      <c r="AE483" s="237"/>
      <c r="AF483" s="237"/>
      <c r="AG483" s="237"/>
      <c r="AH483" s="237"/>
      <c r="AI483" s="98"/>
      <c r="AJ483" s="98"/>
      <c r="AK483" s="98"/>
      <c r="AL483" s="98"/>
      <c r="AM483" s="98"/>
      <c r="AN483" s="98"/>
      <c r="AO483" s="98"/>
    </row>
    <row r="484" ht="14.25" customHeight="1">
      <c r="A484" s="179"/>
      <c r="B484" s="98"/>
      <c r="C484" s="98"/>
      <c r="D484" s="98"/>
      <c r="E484" s="98"/>
      <c r="F484" s="235"/>
      <c r="G484" s="235"/>
      <c r="H484" s="236"/>
      <c r="I484" s="236"/>
      <c r="J484" s="236"/>
      <c r="K484" s="236"/>
      <c r="L484" s="236"/>
      <c r="M484" s="236"/>
      <c r="N484" s="236"/>
      <c r="O484" s="236"/>
      <c r="P484" s="236"/>
      <c r="Q484" s="236"/>
      <c r="R484" s="236"/>
      <c r="S484" s="236"/>
      <c r="T484" s="236"/>
      <c r="U484" s="236"/>
      <c r="V484" s="236"/>
      <c r="W484" s="237"/>
      <c r="X484" s="237"/>
      <c r="Y484" s="237"/>
      <c r="Z484" s="237"/>
      <c r="AA484" s="237"/>
      <c r="AB484" s="237"/>
      <c r="AC484" s="237"/>
      <c r="AD484" s="237"/>
      <c r="AE484" s="237"/>
      <c r="AF484" s="237"/>
      <c r="AG484" s="237"/>
      <c r="AH484" s="237"/>
      <c r="AI484" s="98"/>
      <c r="AJ484" s="98"/>
      <c r="AK484" s="98"/>
      <c r="AL484" s="98"/>
      <c r="AM484" s="98"/>
      <c r="AN484" s="98"/>
      <c r="AO484" s="98"/>
    </row>
    <row r="485" ht="14.25" customHeight="1">
      <c r="A485" s="179"/>
      <c r="B485" s="98"/>
      <c r="C485" s="98"/>
      <c r="D485" s="98"/>
      <c r="E485" s="98"/>
      <c r="F485" s="235"/>
      <c r="G485" s="235"/>
      <c r="H485" s="236"/>
      <c r="I485" s="236"/>
      <c r="J485" s="236"/>
      <c r="K485" s="236"/>
      <c r="L485" s="236"/>
      <c r="M485" s="236"/>
      <c r="N485" s="236"/>
      <c r="O485" s="236"/>
      <c r="P485" s="236"/>
      <c r="Q485" s="236"/>
      <c r="R485" s="236"/>
      <c r="S485" s="236"/>
      <c r="T485" s="236"/>
      <c r="U485" s="236"/>
      <c r="V485" s="236"/>
      <c r="W485" s="237"/>
      <c r="X485" s="237"/>
      <c r="Y485" s="237"/>
      <c r="Z485" s="237"/>
      <c r="AA485" s="237"/>
      <c r="AB485" s="237"/>
      <c r="AC485" s="237"/>
      <c r="AD485" s="237"/>
      <c r="AE485" s="237"/>
      <c r="AF485" s="237"/>
      <c r="AG485" s="237"/>
      <c r="AH485" s="237"/>
      <c r="AI485" s="98"/>
      <c r="AJ485" s="98"/>
      <c r="AK485" s="98"/>
      <c r="AL485" s="98"/>
      <c r="AM485" s="98"/>
      <c r="AN485" s="98"/>
      <c r="AO485" s="98"/>
    </row>
    <row r="486" ht="14.25" customHeight="1">
      <c r="A486" s="179"/>
      <c r="B486" s="98"/>
      <c r="C486" s="98"/>
      <c r="D486" s="98"/>
      <c r="E486" s="98"/>
      <c r="F486" s="235"/>
      <c r="G486" s="235"/>
      <c r="H486" s="236"/>
      <c r="I486" s="236"/>
      <c r="J486" s="236"/>
      <c r="K486" s="236"/>
      <c r="L486" s="236"/>
      <c r="M486" s="236"/>
      <c r="N486" s="236"/>
      <c r="O486" s="236"/>
      <c r="P486" s="236"/>
      <c r="Q486" s="236"/>
      <c r="R486" s="236"/>
      <c r="S486" s="236"/>
      <c r="T486" s="236"/>
      <c r="U486" s="236"/>
      <c r="V486" s="236"/>
      <c r="W486" s="237"/>
      <c r="X486" s="237"/>
      <c r="Y486" s="237"/>
      <c r="Z486" s="237"/>
      <c r="AA486" s="237"/>
      <c r="AB486" s="237"/>
      <c r="AC486" s="237"/>
      <c r="AD486" s="237"/>
      <c r="AE486" s="237"/>
      <c r="AF486" s="237"/>
      <c r="AG486" s="237"/>
      <c r="AH486" s="237"/>
      <c r="AI486" s="98"/>
      <c r="AJ486" s="98"/>
      <c r="AK486" s="98"/>
      <c r="AL486" s="98"/>
      <c r="AM486" s="98"/>
      <c r="AN486" s="98"/>
      <c r="AO486" s="98"/>
    </row>
    <row r="487" ht="14.25" customHeight="1">
      <c r="A487" s="179"/>
      <c r="B487" s="98"/>
      <c r="C487" s="98"/>
      <c r="D487" s="98"/>
      <c r="E487" s="98"/>
      <c r="F487" s="235"/>
      <c r="G487" s="235"/>
      <c r="H487" s="236"/>
      <c r="I487" s="236"/>
      <c r="J487" s="236"/>
      <c r="K487" s="236"/>
      <c r="L487" s="236"/>
      <c r="M487" s="236"/>
      <c r="N487" s="236"/>
      <c r="O487" s="236"/>
      <c r="P487" s="236"/>
      <c r="Q487" s="236"/>
      <c r="R487" s="236"/>
      <c r="S487" s="236"/>
      <c r="T487" s="236"/>
      <c r="U487" s="236"/>
      <c r="V487" s="236"/>
      <c r="W487" s="237"/>
      <c r="X487" s="237"/>
      <c r="Y487" s="237"/>
      <c r="Z487" s="237"/>
      <c r="AA487" s="237"/>
      <c r="AB487" s="237"/>
      <c r="AC487" s="237"/>
      <c r="AD487" s="237"/>
      <c r="AE487" s="237"/>
      <c r="AF487" s="237"/>
      <c r="AG487" s="237"/>
      <c r="AH487" s="237"/>
      <c r="AI487" s="98"/>
      <c r="AJ487" s="98"/>
      <c r="AK487" s="98"/>
      <c r="AL487" s="98"/>
      <c r="AM487" s="98"/>
      <c r="AN487" s="98"/>
      <c r="AO487" s="98"/>
    </row>
    <row r="488" ht="14.25" customHeight="1">
      <c r="A488" s="179"/>
      <c r="B488" s="98"/>
      <c r="C488" s="98"/>
      <c r="D488" s="98"/>
      <c r="E488" s="98"/>
      <c r="F488" s="235"/>
      <c r="G488" s="235"/>
      <c r="H488" s="236"/>
      <c r="I488" s="236"/>
      <c r="J488" s="236"/>
      <c r="K488" s="236"/>
      <c r="L488" s="236"/>
      <c r="M488" s="236"/>
      <c r="N488" s="236"/>
      <c r="O488" s="236"/>
      <c r="P488" s="236"/>
      <c r="Q488" s="236"/>
      <c r="R488" s="236"/>
      <c r="S488" s="236"/>
      <c r="T488" s="236"/>
      <c r="U488" s="236"/>
      <c r="V488" s="236"/>
      <c r="W488" s="237"/>
      <c r="X488" s="237"/>
      <c r="Y488" s="237"/>
      <c r="Z488" s="237"/>
      <c r="AA488" s="237"/>
      <c r="AB488" s="237"/>
      <c r="AC488" s="237"/>
      <c r="AD488" s="237"/>
      <c r="AE488" s="237"/>
      <c r="AF488" s="237"/>
      <c r="AG488" s="237"/>
      <c r="AH488" s="237"/>
      <c r="AI488" s="98"/>
      <c r="AJ488" s="98"/>
      <c r="AK488" s="98"/>
      <c r="AL488" s="98"/>
      <c r="AM488" s="98"/>
      <c r="AN488" s="98"/>
      <c r="AO488" s="98"/>
    </row>
    <row r="489" ht="14.25" customHeight="1">
      <c r="A489" s="179"/>
      <c r="B489" s="98"/>
      <c r="C489" s="98"/>
      <c r="D489" s="98"/>
      <c r="E489" s="98"/>
      <c r="F489" s="235"/>
      <c r="G489" s="235"/>
      <c r="H489" s="236"/>
      <c r="I489" s="236"/>
      <c r="J489" s="236"/>
      <c r="K489" s="236"/>
      <c r="L489" s="236"/>
      <c r="M489" s="236"/>
      <c r="N489" s="236"/>
      <c r="O489" s="236"/>
      <c r="P489" s="236"/>
      <c r="Q489" s="236"/>
      <c r="R489" s="236"/>
      <c r="S489" s="236"/>
      <c r="T489" s="236"/>
      <c r="U489" s="236"/>
      <c r="V489" s="236"/>
      <c r="W489" s="237"/>
      <c r="X489" s="237"/>
      <c r="Y489" s="237"/>
      <c r="Z489" s="237"/>
      <c r="AA489" s="237"/>
      <c r="AB489" s="237"/>
      <c r="AC489" s="237"/>
      <c r="AD489" s="237"/>
      <c r="AE489" s="237"/>
      <c r="AF489" s="237"/>
      <c r="AG489" s="237"/>
      <c r="AH489" s="237"/>
      <c r="AI489" s="98"/>
      <c r="AJ489" s="98"/>
      <c r="AK489" s="98"/>
      <c r="AL489" s="98"/>
      <c r="AM489" s="98"/>
      <c r="AN489" s="98"/>
      <c r="AO489" s="98"/>
    </row>
    <row r="490" ht="14.25" customHeight="1">
      <c r="A490" s="179"/>
      <c r="B490" s="98"/>
      <c r="C490" s="98"/>
      <c r="D490" s="98"/>
      <c r="E490" s="98"/>
      <c r="F490" s="235"/>
      <c r="G490" s="235"/>
      <c r="H490" s="236"/>
      <c r="I490" s="236"/>
      <c r="J490" s="236"/>
      <c r="K490" s="236"/>
      <c r="L490" s="236"/>
      <c r="M490" s="236"/>
      <c r="N490" s="236"/>
      <c r="O490" s="236"/>
      <c r="P490" s="236"/>
      <c r="Q490" s="236"/>
      <c r="R490" s="236"/>
      <c r="S490" s="236"/>
      <c r="T490" s="236"/>
      <c r="U490" s="236"/>
      <c r="V490" s="236"/>
      <c r="W490" s="237"/>
      <c r="X490" s="237"/>
      <c r="Y490" s="237"/>
      <c r="Z490" s="237"/>
      <c r="AA490" s="237"/>
      <c r="AB490" s="237"/>
      <c r="AC490" s="237"/>
      <c r="AD490" s="237"/>
      <c r="AE490" s="237"/>
      <c r="AF490" s="237"/>
      <c r="AG490" s="237"/>
      <c r="AH490" s="237"/>
      <c r="AI490" s="98"/>
      <c r="AJ490" s="98"/>
      <c r="AK490" s="98"/>
      <c r="AL490" s="98"/>
      <c r="AM490" s="98"/>
      <c r="AN490" s="98"/>
      <c r="AO490" s="98"/>
    </row>
    <row r="491" ht="14.25" customHeight="1">
      <c r="A491" s="179"/>
      <c r="B491" s="98"/>
      <c r="C491" s="98"/>
      <c r="D491" s="98"/>
      <c r="E491" s="98"/>
      <c r="F491" s="235"/>
      <c r="G491" s="235"/>
      <c r="H491" s="236"/>
      <c r="I491" s="236"/>
      <c r="J491" s="236"/>
      <c r="K491" s="236"/>
      <c r="L491" s="236"/>
      <c r="M491" s="236"/>
      <c r="N491" s="236"/>
      <c r="O491" s="236"/>
      <c r="P491" s="236"/>
      <c r="Q491" s="236"/>
      <c r="R491" s="236"/>
      <c r="S491" s="236"/>
      <c r="T491" s="236"/>
      <c r="U491" s="236"/>
      <c r="V491" s="236"/>
      <c r="W491" s="237"/>
      <c r="X491" s="237"/>
      <c r="Y491" s="237"/>
      <c r="Z491" s="237"/>
      <c r="AA491" s="237"/>
      <c r="AB491" s="237"/>
      <c r="AC491" s="237"/>
      <c r="AD491" s="237"/>
      <c r="AE491" s="237"/>
      <c r="AF491" s="237"/>
      <c r="AG491" s="237"/>
      <c r="AH491" s="237"/>
      <c r="AI491" s="98"/>
      <c r="AJ491" s="98"/>
      <c r="AK491" s="98"/>
      <c r="AL491" s="98"/>
      <c r="AM491" s="98"/>
      <c r="AN491" s="98"/>
      <c r="AO491" s="98"/>
    </row>
    <row r="492" ht="14.25" customHeight="1">
      <c r="A492" s="179"/>
      <c r="B492" s="98"/>
      <c r="C492" s="98"/>
      <c r="D492" s="98"/>
      <c r="E492" s="98"/>
      <c r="F492" s="235"/>
      <c r="G492" s="235"/>
      <c r="H492" s="236"/>
      <c r="I492" s="236"/>
      <c r="J492" s="236"/>
      <c r="K492" s="236"/>
      <c r="L492" s="236"/>
      <c r="M492" s="236"/>
      <c r="N492" s="236"/>
      <c r="O492" s="236"/>
      <c r="P492" s="236"/>
      <c r="Q492" s="236"/>
      <c r="R492" s="236"/>
      <c r="S492" s="236"/>
      <c r="T492" s="236"/>
      <c r="U492" s="236"/>
      <c r="V492" s="236"/>
      <c r="W492" s="237"/>
      <c r="X492" s="237"/>
      <c r="Y492" s="237"/>
      <c r="Z492" s="237"/>
      <c r="AA492" s="237"/>
      <c r="AB492" s="237"/>
      <c r="AC492" s="237"/>
      <c r="AD492" s="237"/>
      <c r="AE492" s="237"/>
      <c r="AF492" s="237"/>
      <c r="AG492" s="237"/>
      <c r="AH492" s="237"/>
      <c r="AI492" s="98"/>
      <c r="AJ492" s="98"/>
      <c r="AK492" s="98"/>
      <c r="AL492" s="98"/>
      <c r="AM492" s="98"/>
      <c r="AN492" s="98"/>
      <c r="AO492" s="98"/>
    </row>
    <row r="493" ht="14.25" customHeight="1">
      <c r="A493" s="179"/>
      <c r="B493" s="98"/>
      <c r="C493" s="98"/>
      <c r="D493" s="98"/>
      <c r="E493" s="98"/>
      <c r="F493" s="235"/>
      <c r="G493" s="235"/>
      <c r="H493" s="236"/>
      <c r="I493" s="236"/>
      <c r="J493" s="236"/>
      <c r="K493" s="236"/>
      <c r="L493" s="236"/>
      <c r="M493" s="236"/>
      <c r="N493" s="236"/>
      <c r="O493" s="236"/>
      <c r="P493" s="236"/>
      <c r="Q493" s="236"/>
      <c r="R493" s="236"/>
      <c r="S493" s="236"/>
      <c r="T493" s="236"/>
      <c r="U493" s="236"/>
      <c r="V493" s="236"/>
      <c r="W493" s="237"/>
      <c r="X493" s="237"/>
      <c r="Y493" s="237"/>
      <c r="Z493" s="237"/>
      <c r="AA493" s="237"/>
      <c r="AB493" s="237"/>
      <c r="AC493" s="237"/>
      <c r="AD493" s="237"/>
      <c r="AE493" s="237"/>
      <c r="AF493" s="237"/>
      <c r="AG493" s="237"/>
      <c r="AH493" s="237"/>
      <c r="AI493" s="98"/>
      <c r="AJ493" s="98"/>
      <c r="AK493" s="98"/>
      <c r="AL493" s="98"/>
      <c r="AM493" s="98"/>
      <c r="AN493" s="98"/>
      <c r="AO493" s="98"/>
    </row>
    <row r="494" ht="14.25" customHeight="1">
      <c r="A494" s="179"/>
      <c r="B494" s="98"/>
      <c r="C494" s="98"/>
      <c r="D494" s="98"/>
      <c r="E494" s="98"/>
      <c r="F494" s="235"/>
      <c r="G494" s="235"/>
      <c r="H494" s="236"/>
      <c r="I494" s="236"/>
      <c r="J494" s="236"/>
      <c r="K494" s="236"/>
      <c r="L494" s="236"/>
      <c r="M494" s="236"/>
      <c r="N494" s="236"/>
      <c r="O494" s="236"/>
      <c r="P494" s="236"/>
      <c r="Q494" s="236"/>
      <c r="R494" s="236"/>
      <c r="S494" s="236"/>
      <c r="T494" s="236"/>
      <c r="U494" s="236"/>
      <c r="V494" s="236"/>
      <c r="W494" s="237"/>
      <c r="X494" s="237"/>
      <c r="Y494" s="237"/>
      <c r="Z494" s="237"/>
      <c r="AA494" s="237"/>
      <c r="AB494" s="237"/>
      <c r="AC494" s="237"/>
      <c r="AD494" s="237"/>
      <c r="AE494" s="237"/>
      <c r="AF494" s="237"/>
      <c r="AG494" s="237"/>
      <c r="AH494" s="237"/>
      <c r="AI494" s="98"/>
      <c r="AJ494" s="98"/>
      <c r="AK494" s="98"/>
      <c r="AL494" s="98"/>
      <c r="AM494" s="98"/>
      <c r="AN494" s="98"/>
      <c r="AO494" s="98"/>
    </row>
    <row r="495" ht="14.25" customHeight="1">
      <c r="A495" s="179"/>
      <c r="B495" s="98"/>
      <c r="C495" s="98"/>
      <c r="D495" s="98"/>
      <c r="E495" s="98"/>
      <c r="F495" s="235"/>
      <c r="G495" s="235"/>
      <c r="H495" s="236"/>
      <c r="I495" s="236"/>
      <c r="J495" s="236"/>
      <c r="K495" s="236"/>
      <c r="L495" s="236"/>
      <c r="M495" s="236"/>
      <c r="N495" s="236"/>
      <c r="O495" s="236"/>
      <c r="P495" s="236"/>
      <c r="Q495" s="236"/>
      <c r="R495" s="236"/>
      <c r="S495" s="236"/>
      <c r="T495" s="236"/>
      <c r="U495" s="236"/>
      <c r="V495" s="236"/>
      <c r="W495" s="237"/>
      <c r="X495" s="237"/>
      <c r="Y495" s="237"/>
      <c r="Z495" s="237"/>
      <c r="AA495" s="237"/>
      <c r="AB495" s="237"/>
      <c r="AC495" s="237"/>
      <c r="AD495" s="237"/>
      <c r="AE495" s="237"/>
      <c r="AF495" s="237"/>
      <c r="AG495" s="237"/>
      <c r="AH495" s="237"/>
      <c r="AI495" s="98"/>
      <c r="AJ495" s="98"/>
      <c r="AK495" s="98"/>
      <c r="AL495" s="98"/>
      <c r="AM495" s="98"/>
      <c r="AN495" s="98"/>
      <c r="AO495" s="98"/>
    </row>
    <row r="496" ht="14.25" customHeight="1">
      <c r="A496" s="179"/>
      <c r="B496" s="98"/>
      <c r="C496" s="98"/>
      <c r="D496" s="98"/>
      <c r="E496" s="98"/>
      <c r="F496" s="235"/>
      <c r="G496" s="235"/>
      <c r="H496" s="236"/>
      <c r="I496" s="236"/>
      <c r="J496" s="236"/>
      <c r="K496" s="236"/>
      <c r="L496" s="236"/>
      <c r="M496" s="236"/>
      <c r="N496" s="236"/>
      <c r="O496" s="236"/>
      <c r="P496" s="236"/>
      <c r="Q496" s="236"/>
      <c r="R496" s="236"/>
      <c r="S496" s="236"/>
      <c r="T496" s="236"/>
      <c r="U496" s="236"/>
      <c r="V496" s="236"/>
      <c r="W496" s="237"/>
      <c r="X496" s="237"/>
      <c r="Y496" s="237"/>
      <c r="Z496" s="237"/>
      <c r="AA496" s="237"/>
      <c r="AB496" s="237"/>
      <c r="AC496" s="237"/>
      <c r="AD496" s="237"/>
      <c r="AE496" s="237"/>
      <c r="AF496" s="237"/>
      <c r="AG496" s="237"/>
      <c r="AH496" s="237"/>
      <c r="AI496" s="98"/>
      <c r="AJ496" s="98"/>
      <c r="AK496" s="98"/>
      <c r="AL496" s="98"/>
      <c r="AM496" s="98"/>
      <c r="AN496" s="98"/>
      <c r="AO496" s="98"/>
    </row>
    <row r="497" ht="14.25" customHeight="1">
      <c r="A497" s="179"/>
      <c r="B497" s="98"/>
      <c r="C497" s="98"/>
      <c r="D497" s="98"/>
      <c r="E497" s="98"/>
      <c r="F497" s="235"/>
      <c r="G497" s="235"/>
      <c r="H497" s="236"/>
      <c r="I497" s="236"/>
      <c r="J497" s="236"/>
      <c r="K497" s="236"/>
      <c r="L497" s="236"/>
      <c r="M497" s="236"/>
      <c r="N497" s="236"/>
      <c r="O497" s="236"/>
      <c r="P497" s="236"/>
      <c r="Q497" s="236"/>
      <c r="R497" s="236"/>
      <c r="S497" s="236"/>
      <c r="T497" s="236"/>
      <c r="U497" s="236"/>
      <c r="V497" s="236"/>
      <c r="W497" s="237"/>
      <c r="X497" s="237"/>
      <c r="Y497" s="237"/>
      <c r="Z497" s="237"/>
      <c r="AA497" s="237"/>
      <c r="AB497" s="237"/>
      <c r="AC497" s="237"/>
      <c r="AD497" s="237"/>
      <c r="AE497" s="237"/>
      <c r="AF497" s="237"/>
      <c r="AG497" s="237"/>
      <c r="AH497" s="237"/>
      <c r="AI497" s="98"/>
      <c r="AJ497" s="98"/>
      <c r="AK497" s="98"/>
      <c r="AL497" s="98"/>
      <c r="AM497" s="98"/>
      <c r="AN497" s="98"/>
      <c r="AO497" s="98"/>
    </row>
    <row r="498" ht="14.25" customHeight="1">
      <c r="A498" s="179"/>
      <c r="B498" s="98"/>
      <c r="C498" s="98"/>
      <c r="D498" s="98"/>
      <c r="E498" s="98"/>
      <c r="F498" s="235"/>
      <c r="G498" s="235"/>
      <c r="H498" s="236"/>
      <c r="I498" s="236"/>
      <c r="J498" s="236"/>
      <c r="K498" s="236"/>
      <c r="L498" s="236"/>
      <c r="M498" s="236"/>
      <c r="N498" s="236"/>
      <c r="O498" s="236"/>
      <c r="P498" s="236"/>
      <c r="Q498" s="236"/>
      <c r="R498" s="236"/>
      <c r="S498" s="236"/>
      <c r="T498" s="236"/>
      <c r="U498" s="236"/>
      <c r="V498" s="236"/>
      <c r="W498" s="237"/>
      <c r="X498" s="237"/>
      <c r="Y498" s="237"/>
      <c r="Z498" s="237"/>
      <c r="AA498" s="237"/>
      <c r="AB498" s="237"/>
      <c r="AC498" s="237"/>
      <c r="AD498" s="237"/>
      <c r="AE498" s="237"/>
      <c r="AF498" s="237"/>
      <c r="AG498" s="237"/>
      <c r="AH498" s="237"/>
      <c r="AI498" s="98"/>
      <c r="AJ498" s="98"/>
      <c r="AK498" s="98"/>
      <c r="AL498" s="98"/>
      <c r="AM498" s="98"/>
      <c r="AN498" s="98"/>
      <c r="AO498" s="98"/>
    </row>
    <row r="499" ht="14.25" customHeight="1">
      <c r="A499" s="179"/>
      <c r="B499" s="98"/>
      <c r="C499" s="98"/>
      <c r="D499" s="98"/>
      <c r="E499" s="98"/>
      <c r="F499" s="235"/>
      <c r="G499" s="235"/>
      <c r="H499" s="236"/>
      <c r="I499" s="236"/>
      <c r="J499" s="236"/>
      <c r="K499" s="236"/>
      <c r="L499" s="236"/>
      <c r="M499" s="236"/>
      <c r="N499" s="236"/>
      <c r="O499" s="236"/>
      <c r="P499" s="236"/>
      <c r="Q499" s="236"/>
      <c r="R499" s="236"/>
      <c r="S499" s="236"/>
      <c r="T499" s="236"/>
      <c r="U499" s="236"/>
      <c r="V499" s="236"/>
      <c r="W499" s="237"/>
      <c r="X499" s="237"/>
      <c r="Y499" s="237"/>
      <c r="Z499" s="237"/>
      <c r="AA499" s="237"/>
      <c r="AB499" s="237"/>
      <c r="AC499" s="237"/>
      <c r="AD499" s="237"/>
      <c r="AE499" s="237"/>
      <c r="AF499" s="237"/>
      <c r="AG499" s="237"/>
      <c r="AH499" s="237"/>
      <c r="AI499" s="98"/>
      <c r="AJ499" s="98"/>
      <c r="AK499" s="98"/>
      <c r="AL499" s="98"/>
      <c r="AM499" s="98"/>
      <c r="AN499" s="98"/>
      <c r="AO499" s="98"/>
    </row>
    <row r="500" ht="14.25" customHeight="1">
      <c r="A500" s="179"/>
      <c r="B500" s="98"/>
      <c r="C500" s="98"/>
      <c r="D500" s="98"/>
      <c r="E500" s="98"/>
      <c r="F500" s="235"/>
      <c r="G500" s="235"/>
      <c r="H500" s="236"/>
      <c r="I500" s="236"/>
      <c r="J500" s="236"/>
      <c r="K500" s="236"/>
      <c r="L500" s="236"/>
      <c r="M500" s="236"/>
      <c r="N500" s="236"/>
      <c r="O500" s="236"/>
      <c r="P500" s="236"/>
      <c r="Q500" s="236"/>
      <c r="R500" s="236"/>
      <c r="S500" s="236"/>
      <c r="T500" s="236"/>
      <c r="U500" s="236"/>
      <c r="V500" s="236"/>
      <c r="W500" s="237"/>
      <c r="X500" s="237"/>
      <c r="Y500" s="237"/>
      <c r="Z500" s="237"/>
      <c r="AA500" s="237"/>
      <c r="AB500" s="237"/>
      <c r="AC500" s="237"/>
      <c r="AD500" s="237"/>
      <c r="AE500" s="237"/>
      <c r="AF500" s="237"/>
      <c r="AG500" s="237"/>
      <c r="AH500" s="237"/>
      <c r="AI500" s="98"/>
      <c r="AJ500" s="98"/>
      <c r="AK500" s="98"/>
      <c r="AL500" s="98"/>
      <c r="AM500" s="98"/>
      <c r="AN500" s="98"/>
      <c r="AO500" s="98"/>
    </row>
    <row r="501" ht="14.25" customHeight="1">
      <c r="A501" s="179"/>
      <c r="B501" s="98"/>
      <c r="C501" s="98"/>
      <c r="D501" s="98"/>
      <c r="E501" s="98"/>
      <c r="F501" s="235"/>
      <c r="G501" s="235"/>
      <c r="H501" s="236"/>
      <c r="I501" s="236"/>
      <c r="J501" s="236"/>
      <c r="K501" s="236"/>
      <c r="L501" s="236"/>
      <c r="M501" s="236"/>
      <c r="N501" s="236"/>
      <c r="O501" s="236"/>
      <c r="P501" s="236"/>
      <c r="Q501" s="236"/>
      <c r="R501" s="236"/>
      <c r="S501" s="236"/>
      <c r="T501" s="236"/>
      <c r="U501" s="236"/>
      <c r="V501" s="236"/>
      <c r="W501" s="237"/>
      <c r="X501" s="237"/>
      <c r="Y501" s="237"/>
      <c r="Z501" s="237"/>
      <c r="AA501" s="237"/>
      <c r="AB501" s="237"/>
      <c r="AC501" s="237"/>
      <c r="AD501" s="237"/>
      <c r="AE501" s="237"/>
      <c r="AF501" s="237"/>
      <c r="AG501" s="237"/>
      <c r="AH501" s="237"/>
      <c r="AI501" s="98"/>
      <c r="AJ501" s="98"/>
      <c r="AK501" s="98"/>
      <c r="AL501" s="98"/>
      <c r="AM501" s="98"/>
      <c r="AN501" s="98"/>
      <c r="AO501" s="98"/>
    </row>
    <row r="502" ht="14.25" customHeight="1">
      <c r="A502" s="179"/>
      <c r="B502" s="98"/>
      <c r="C502" s="98"/>
      <c r="D502" s="98"/>
      <c r="E502" s="98"/>
      <c r="F502" s="235"/>
      <c r="G502" s="235"/>
      <c r="H502" s="236"/>
      <c r="I502" s="236"/>
      <c r="J502" s="236"/>
      <c r="K502" s="236"/>
      <c r="L502" s="236"/>
      <c r="M502" s="236"/>
      <c r="N502" s="236"/>
      <c r="O502" s="236"/>
      <c r="P502" s="236"/>
      <c r="Q502" s="236"/>
      <c r="R502" s="236"/>
      <c r="S502" s="236"/>
      <c r="T502" s="236"/>
      <c r="U502" s="236"/>
      <c r="V502" s="236"/>
      <c r="W502" s="237"/>
      <c r="X502" s="237"/>
      <c r="Y502" s="237"/>
      <c r="Z502" s="237"/>
      <c r="AA502" s="237"/>
      <c r="AB502" s="237"/>
      <c r="AC502" s="237"/>
      <c r="AD502" s="237"/>
      <c r="AE502" s="237"/>
      <c r="AF502" s="237"/>
      <c r="AG502" s="237"/>
      <c r="AH502" s="237"/>
      <c r="AI502" s="98"/>
      <c r="AJ502" s="98"/>
      <c r="AK502" s="98"/>
      <c r="AL502" s="98"/>
      <c r="AM502" s="98"/>
      <c r="AN502" s="98"/>
      <c r="AO502" s="98"/>
    </row>
    <row r="503" ht="14.25" customHeight="1">
      <c r="A503" s="179"/>
      <c r="B503" s="98"/>
      <c r="C503" s="98"/>
      <c r="D503" s="98"/>
      <c r="E503" s="98"/>
      <c r="F503" s="235"/>
      <c r="G503" s="235"/>
      <c r="H503" s="236"/>
      <c r="I503" s="236"/>
      <c r="J503" s="236"/>
      <c r="K503" s="236"/>
      <c r="L503" s="236"/>
      <c r="M503" s="236"/>
      <c r="N503" s="236"/>
      <c r="O503" s="236"/>
      <c r="P503" s="236"/>
      <c r="Q503" s="236"/>
      <c r="R503" s="236"/>
      <c r="S503" s="236"/>
      <c r="T503" s="236"/>
      <c r="U503" s="236"/>
      <c r="V503" s="236"/>
      <c r="W503" s="237"/>
      <c r="X503" s="237"/>
      <c r="Y503" s="237"/>
      <c r="Z503" s="237"/>
      <c r="AA503" s="237"/>
      <c r="AB503" s="237"/>
      <c r="AC503" s="237"/>
      <c r="AD503" s="237"/>
      <c r="AE503" s="237"/>
      <c r="AF503" s="237"/>
      <c r="AG503" s="237"/>
      <c r="AH503" s="237"/>
      <c r="AI503" s="98"/>
      <c r="AJ503" s="98"/>
      <c r="AK503" s="98"/>
      <c r="AL503" s="98"/>
      <c r="AM503" s="98"/>
      <c r="AN503" s="98"/>
      <c r="AO503" s="98"/>
    </row>
    <row r="504" ht="14.25" customHeight="1">
      <c r="A504" s="179"/>
      <c r="B504" s="98"/>
      <c r="C504" s="98"/>
      <c r="D504" s="98"/>
      <c r="E504" s="98"/>
      <c r="F504" s="235"/>
      <c r="G504" s="235"/>
      <c r="H504" s="236"/>
      <c r="I504" s="236"/>
      <c r="J504" s="236"/>
      <c r="K504" s="236"/>
      <c r="L504" s="236"/>
      <c r="M504" s="236"/>
      <c r="N504" s="236"/>
      <c r="O504" s="236"/>
      <c r="P504" s="236"/>
      <c r="Q504" s="236"/>
      <c r="R504" s="236"/>
      <c r="S504" s="236"/>
      <c r="T504" s="236"/>
      <c r="U504" s="236"/>
      <c r="V504" s="236"/>
      <c r="W504" s="237"/>
      <c r="X504" s="237"/>
      <c r="Y504" s="237"/>
      <c r="Z504" s="237"/>
      <c r="AA504" s="237"/>
      <c r="AB504" s="237"/>
      <c r="AC504" s="237"/>
      <c r="AD504" s="237"/>
      <c r="AE504" s="237"/>
      <c r="AF504" s="237"/>
      <c r="AG504" s="237"/>
      <c r="AH504" s="237"/>
      <c r="AI504" s="98"/>
      <c r="AJ504" s="98"/>
      <c r="AK504" s="98"/>
      <c r="AL504" s="98"/>
      <c r="AM504" s="98"/>
      <c r="AN504" s="98"/>
      <c r="AO504" s="98"/>
    </row>
    <row r="505" ht="14.25" customHeight="1">
      <c r="A505" s="179"/>
      <c r="B505" s="98"/>
      <c r="C505" s="98"/>
      <c r="D505" s="98"/>
      <c r="E505" s="98"/>
      <c r="F505" s="235"/>
      <c r="G505" s="235"/>
      <c r="H505" s="236"/>
      <c r="I505" s="236"/>
      <c r="J505" s="236"/>
      <c r="K505" s="236"/>
      <c r="L505" s="236"/>
      <c r="M505" s="236"/>
      <c r="N505" s="236"/>
      <c r="O505" s="236"/>
      <c r="P505" s="236"/>
      <c r="Q505" s="236"/>
      <c r="R505" s="236"/>
      <c r="S505" s="236"/>
      <c r="T505" s="236"/>
      <c r="U505" s="236"/>
      <c r="V505" s="236"/>
      <c r="W505" s="237"/>
      <c r="X505" s="237"/>
      <c r="Y505" s="237"/>
      <c r="Z505" s="237"/>
      <c r="AA505" s="237"/>
      <c r="AB505" s="237"/>
      <c r="AC505" s="237"/>
      <c r="AD505" s="237"/>
      <c r="AE505" s="237"/>
      <c r="AF505" s="237"/>
      <c r="AG505" s="237"/>
      <c r="AH505" s="237"/>
      <c r="AI505" s="98"/>
      <c r="AJ505" s="98"/>
      <c r="AK505" s="98"/>
      <c r="AL505" s="98"/>
      <c r="AM505" s="98"/>
      <c r="AN505" s="98"/>
      <c r="AO505" s="98"/>
    </row>
    <row r="506" ht="14.25" customHeight="1">
      <c r="A506" s="179"/>
      <c r="B506" s="98"/>
      <c r="C506" s="98"/>
      <c r="D506" s="98"/>
      <c r="E506" s="98"/>
      <c r="F506" s="235"/>
      <c r="G506" s="235"/>
      <c r="H506" s="236"/>
      <c r="I506" s="236"/>
      <c r="J506" s="236"/>
      <c r="K506" s="236"/>
      <c r="L506" s="236"/>
      <c r="M506" s="236"/>
      <c r="N506" s="236"/>
      <c r="O506" s="236"/>
      <c r="P506" s="236"/>
      <c r="Q506" s="236"/>
      <c r="R506" s="236"/>
      <c r="S506" s="236"/>
      <c r="T506" s="236"/>
      <c r="U506" s="236"/>
      <c r="V506" s="236"/>
      <c r="W506" s="237"/>
      <c r="X506" s="237"/>
      <c r="Y506" s="237"/>
      <c r="Z506" s="237"/>
      <c r="AA506" s="237"/>
      <c r="AB506" s="237"/>
      <c r="AC506" s="237"/>
      <c r="AD506" s="237"/>
      <c r="AE506" s="237"/>
      <c r="AF506" s="237"/>
      <c r="AG506" s="237"/>
      <c r="AH506" s="237"/>
      <c r="AI506" s="98"/>
      <c r="AJ506" s="98"/>
      <c r="AK506" s="98"/>
      <c r="AL506" s="98"/>
      <c r="AM506" s="98"/>
      <c r="AN506" s="98"/>
      <c r="AO506" s="98"/>
    </row>
    <row r="507" ht="14.25" customHeight="1">
      <c r="A507" s="179"/>
      <c r="B507" s="98"/>
      <c r="C507" s="98"/>
      <c r="D507" s="98"/>
      <c r="E507" s="98"/>
      <c r="F507" s="235"/>
      <c r="G507" s="235"/>
      <c r="H507" s="236"/>
      <c r="I507" s="236"/>
      <c r="J507" s="236"/>
      <c r="K507" s="236"/>
      <c r="L507" s="236"/>
      <c r="M507" s="236"/>
      <c r="N507" s="236"/>
      <c r="O507" s="236"/>
      <c r="P507" s="236"/>
      <c r="Q507" s="236"/>
      <c r="R507" s="236"/>
      <c r="S507" s="236"/>
      <c r="T507" s="236"/>
      <c r="U507" s="236"/>
      <c r="V507" s="236"/>
      <c r="W507" s="237"/>
      <c r="X507" s="237"/>
      <c r="Y507" s="237"/>
      <c r="Z507" s="237"/>
      <c r="AA507" s="237"/>
      <c r="AB507" s="237"/>
      <c r="AC507" s="237"/>
      <c r="AD507" s="237"/>
      <c r="AE507" s="237"/>
      <c r="AF507" s="237"/>
      <c r="AG507" s="237"/>
      <c r="AH507" s="237"/>
      <c r="AI507" s="98"/>
      <c r="AJ507" s="98"/>
      <c r="AK507" s="98"/>
      <c r="AL507" s="98"/>
      <c r="AM507" s="98"/>
      <c r="AN507" s="98"/>
      <c r="AO507" s="98"/>
    </row>
    <row r="508" ht="14.25" customHeight="1">
      <c r="A508" s="179"/>
      <c r="B508" s="98"/>
      <c r="C508" s="98"/>
      <c r="D508" s="98"/>
      <c r="E508" s="98"/>
      <c r="F508" s="235"/>
      <c r="G508" s="235"/>
      <c r="H508" s="236"/>
      <c r="I508" s="236"/>
      <c r="J508" s="236"/>
      <c r="K508" s="236"/>
      <c r="L508" s="236"/>
      <c r="M508" s="236"/>
      <c r="N508" s="236"/>
      <c r="O508" s="236"/>
      <c r="P508" s="236"/>
      <c r="Q508" s="236"/>
      <c r="R508" s="236"/>
      <c r="S508" s="236"/>
      <c r="T508" s="236"/>
      <c r="U508" s="236"/>
      <c r="V508" s="236"/>
      <c r="W508" s="237"/>
      <c r="X508" s="237"/>
      <c r="Y508" s="237"/>
      <c r="Z508" s="237"/>
      <c r="AA508" s="237"/>
      <c r="AB508" s="237"/>
      <c r="AC508" s="237"/>
      <c r="AD508" s="237"/>
      <c r="AE508" s="237"/>
      <c r="AF508" s="237"/>
      <c r="AG508" s="237"/>
      <c r="AH508" s="237"/>
      <c r="AI508" s="98"/>
      <c r="AJ508" s="98"/>
      <c r="AK508" s="98"/>
      <c r="AL508" s="98"/>
      <c r="AM508" s="98"/>
      <c r="AN508" s="98"/>
      <c r="AO508" s="98"/>
    </row>
    <row r="509" ht="14.25" customHeight="1">
      <c r="A509" s="179"/>
      <c r="B509" s="98"/>
      <c r="C509" s="98"/>
      <c r="D509" s="98"/>
      <c r="E509" s="98"/>
      <c r="F509" s="235"/>
      <c r="G509" s="235"/>
      <c r="H509" s="236"/>
      <c r="I509" s="236"/>
      <c r="J509" s="236"/>
      <c r="K509" s="236"/>
      <c r="L509" s="236"/>
      <c r="M509" s="236"/>
      <c r="N509" s="236"/>
      <c r="O509" s="236"/>
      <c r="P509" s="236"/>
      <c r="Q509" s="236"/>
      <c r="R509" s="236"/>
      <c r="S509" s="236"/>
      <c r="T509" s="236"/>
      <c r="U509" s="236"/>
      <c r="V509" s="236"/>
      <c r="W509" s="237"/>
      <c r="X509" s="237"/>
      <c r="Y509" s="237"/>
      <c r="Z509" s="237"/>
      <c r="AA509" s="237"/>
      <c r="AB509" s="237"/>
      <c r="AC509" s="237"/>
      <c r="AD509" s="237"/>
      <c r="AE509" s="237"/>
      <c r="AF509" s="237"/>
      <c r="AG509" s="237"/>
      <c r="AH509" s="237"/>
      <c r="AI509" s="98"/>
      <c r="AJ509" s="98"/>
      <c r="AK509" s="98"/>
      <c r="AL509" s="98"/>
      <c r="AM509" s="98"/>
      <c r="AN509" s="98"/>
      <c r="AO509" s="98"/>
    </row>
    <row r="510" ht="14.25" customHeight="1">
      <c r="A510" s="179"/>
      <c r="B510" s="98"/>
      <c r="C510" s="98"/>
      <c r="D510" s="98"/>
      <c r="E510" s="98"/>
      <c r="F510" s="235"/>
      <c r="G510" s="235"/>
      <c r="H510" s="236"/>
      <c r="I510" s="236"/>
      <c r="J510" s="236"/>
      <c r="K510" s="236"/>
      <c r="L510" s="236"/>
      <c r="M510" s="236"/>
      <c r="N510" s="236"/>
      <c r="O510" s="236"/>
      <c r="P510" s="236"/>
      <c r="Q510" s="236"/>
      <c r="R510" s="236"/>
      <c r="S510" s="236"/>
      <c r="T510" s="236"/>
      <c r="U510" s="236"/>
      <c r="V510" s="236"/>
      <c r="W510" s="237"/>
      <c r="X510" s="237"/>
      <c r="Y510" s="237"/>
      <c r="Z510" s="237"/>
      <c r="AA510" s="237"/>
      <c r="AB510" s="237"/>
      <c r="AC510" s="237"/>
      <c r="AD510" s="237"/>
      <c r="AE510" s="237"/>
      <c r="AF510" s="237"/>
      <c r="AG510" s="237"/>
      <c r="AH510" s="237"/>
      <c r="AI510" s="98"/>
      <c r="AJ510" s="98"/>
      <c r="AK510" s="98"/>
      <c r="AL510" s="98"/>
      <c r="AM510" s="98"/>
      <c r="AN510" s="98"/>
      <c r="AO510" s="98"/>
    </row>
    <row r="511" ht="14.25" customHeight="1">
      <c r="A511" s="179"/>
      <c r="B511" s="98"/>
      <c r="C511" s="98"/>
      <c r="D511" s="98"/>
      <c r="E511" s="98"/>
      <c r="F511" s="235"/>
      <c r="G511" s="235"/>
      <c r="H511" s="236"/>
      <c r="I511" s="236"/>
      <c r="J511" s="236"/>
      <c r="K511" s="236"/>
      <c r="L511" s="236"/>
      <c r="M511" s="236"/>
      <c r="N511" s="236"/>
      <c r="O511" s="236"/>
      <c r="P511" s="236"/>
      <c r="Q511" s="236"/>
      <c r="R511" s="236"/>
      <c r="S511" s="236"/>
      <c r="T511" s="236"/>
      <c r="U511" s="236"/>
      <c r="V511" s="236"/>
      <c r="W511" s="237"/>
      <c r="X511" s="237"/>
      <c r="Y511" s="237"/>
      <c r="Z511" s="237"/>
      <c r="AA511" s="237"/>
      <c r="AB511" s="237"/>
      <c r="AC511" s="237"/>
      <c r="AD511" s="237"/>
      <c r="AE511" s="237"/>
      <c r="AF511" s="237"/>
      <c r="AG511" s="237"/>
      <c r="AH511" s="237"/>
      <c r="AI511" s="98"/>
      <c r="AJ511" s="98"/>
      <c r="AK511" s="98"/>
      <c r="AL511" s="98"/>
      <c r="AM511" s="98"/>
      <c r="AN511" s="98"/>
      <c r="AO511" s="98"/>
    </row>
    <row r="512" ht="14.25" customHeight="1">
      <c r="A512" s="179"/>
      <c r="B512" s="98"/>
      <c r="C512" s="98"/>
      <c r="D512" s="98"/>
      <c r="E512" s="98"/>
      <c r="F512" s="235"/>
      <c r="G512" s="235"/>
      <c r="H512" s="236"/>
      <c r="I512" s="236"/>
      <c r="J512" s="236"/>
      <c r="K512" s="236"/>
      <c r="L512" s="236"/>
      <c r="M512" s="236"/>
      <c r="N512" s="236"/>
      <c r="O512" s="236"/>
      <c r="P512" s="236"/>
      <c r="Q512" s="236"/>
      <c r="R512" s="236"/>
      <c r="S512" s="236"/>
      <c r="T512" s="236"/>
      <c r="U512" s="236"/>
      <c r="V512" s="236"/>
      <c r="W512" s="237"/>
      <c r="X512" s="237"/>
      <c r="Y512" s="237"/>
      <c r="Z512" s="237"/>
      <c r="AA512" s="237"/>
      <c r="AB512" s="237"/>
      <c r="AC512" s="237"/>
      <c r="AD512" s="237"/>
      <c r="AE512" s="237"/>
      <c r="AF512" s="237"/>
      <c r="AG512" s="237"/>
      <c r="AH512" s="237"/>
      <c r="AI512" s="98"/>
      <c r="AJ512" s="98"/>
      <c r="AK512" s="98"/>
      <c r="AL512" s="98"/>
      <c r="AM512" s="98"/>
      <c r="AN512" s="98"/>
      <c r="AO512" s="98"/>
    </row>
    <row r="513" ht="14.25" customHeight="1">
      <c r="A513" s="179"/>
      <c r="B513" s="98"/>
      <c r="C513" s="98"/>
      <c r="D513" s="98"/>
      <c r="E513" s="98"/>
      <c r="F513" s="235"/>
      <c r="G513" s="235"/>
      <c r="H513" s="236"/>
      <c r="I513" s="236"/>
      <c r="J513" s="236"/>
      <c r="K513" s="236"/>
      <c r="L513" s="236"/>
      <c r="M513" s="236"/>
      <c r="N513" s="236"/>
      <c r="O513" s="236"/>
      <c r="P513" s="236"/>
      <c r="Q513" s="236"/>
      <c r="R513" s="236"/>
      <c r="S513" s="236"/>
      <c r="T513" s="236"/>
      <c r="U513" s="236"/>
      <c r="V513" s="236"/>
      <c r="W513" s="237"/>
      <c r="X513" s="237"/>
      <c r="Y513" s="237"/>
      <c r="Z513" s="237"/>
      <c r="AA513" s="237"/>
      <c r="AB513" s="237"/>
      <c r="AC513" s="237"/>
      <c r="AD513" s="237"/>
      <c r="AE513" s="237"/>
      <c r="AF513" s="237"/>
      <c r="AG513" s="237"/>
      <c r="AH513" s="237"/>
      <c r="AI513" s="98"/>
      <c r="AJ513" s="98"/>
      <c r="AK513" s="98"/>
      <c r="AL513" s="98"/>
      <c r="AM513" s="98"/>
      <c r="AN513" s="98"/>
      <c r="AO513" s="98"/>
    </row>
    <row r="514" ht="14.25" customHeight="1">
      <c r="A514" s="179"/>
      <c r="B514" s="98"/>
      <c r="C514" s="98"/>
      <c r="D514" s="98"/>
      <c r="E514" s="98"/>
      <c r="F514" s="235"/>
      <c r="G514" s="235"/>
      <c r="H514" s="236"/>
      <c r="I514" s="236"/>
      <c r="J514" s="236"/>
      <c r="K514" s="236"/>
      <c r="L514" s="236"/>
      <c r="M514" s="236"/>
      <c r="N514" s="236"/>
      <c r="O514" s="236"/>
      <c r="P514" s="236"/>
      <c r="Q514" s="236"/>
      <c r="R514" s="236"/>
      <c r="S514" s="236"/>
      <c r="T514" s="236"/>
      <c r="U514" s="236"/>
      <c r="V514" s="236"/>
      <c r="W514" s="237"/>
      <c r="X514" s="237"/>
      <c r="Y514" s="237"/>
      <c r="Z514" s="237"/>
      <c r="AA514" s="237"/>
      <c r="AB514" s="237"/>
      <c r="AC514" s="237"/>
      <c r="AD514" s="237"/>
      <c r="AE514" s="237"/>
      <c r="AF514" s="237"/>
      <c r="AG514" s="237"/>
      <c r="AH514" s="237"/>
      <c r="AI514" s="98"/>
      <c r="AJ514" s="98"/>
      <c r="AK514" s="98"/>
      <c r="AL514" s="98"/>
      <c r="AM514" s="98"/>
      <c r="AN514" s="98"/>
      <c r="AO514" s="98"/>
    </row>
    <row r="515" ht="14.25" customHeight="1">
      <c r="A515" s="179"/>
      <c r="B515" s="98"/>
      <c r="C515" s="98"/>
      <c r="D515" s="98"/>
      <c r="E515" s="98"/>
      <c r="F515" s="235"/>
      <c r="G515" s="235"/>
      <c r="H515" s="236"/>
      <c r="I515" s="236"/>
      <c r="J515" s="236"/>
      <c r="K515" s="236"/>
      <c r="L515" s="236"/>
      <c r="M515" s="236"/>
      <c r="N515" s="236"/>
      <c r="O515" s="236"/>
      <c r="P515" s="236"/>
      <c r="Q515" s="236"/>
      <c r="R515" s="236"/>
      <c r="S515" s="236"/>
      <c r="T515" s="236"/>
      <c r="U515" s="236"/>
      <c r="V515" s="236"/>
      <c r="W515" s="237"/>
      <c r="X515" s="237"/>
      <c r="Y515" s="237"/>
      <c r="Z515" s="237"/>
      <c r="AA515" s="237"/>
      <c r="AB515" s="237"/>
      <c r="AC515" s="237"/>
      <c r="AD515" s="237"/>
      <c r="AE515" s="237"/>
      <c r="AF515" s="237"/>
      <c r="AG515" s="237"/>
      <c r="AH515" s="237"/>
      <c r="AI515" s="98"/>
      <c r="AJ515" s="98"/>
      <c r="AK515" s="98"/>
      <c r="AL515" s="98"/>
      <c r="AM515" s="98"/>
      <c r="AN515" s="98"/>
      <c r="AO515" s="98"/>
    </row>
    <row r="516" ht="14.25" customHeight="1">
      <c r="A516" s="179"/>
      <c r="B516" s="98"/>
      <c r="C516" s="98"/>
      <c r="D516" s="98"/>
      <c r="E516" s="98"/>
      <c r="F516" s="235"/>
      <c r="G516" s="235"/>
      <c r="H516" s="236"/>
      <c r="I516" s="236"/>
      <c r="J516" s="236"/>
      <c r="K516" s="236"/>
      <c r="L516" s="236"/>
      <c r="M516" s="236"/>
      <c r="N516" s="236"/>
      <c r="O516" s="236"/>
      <c r="P516" s="236"/>
      <c r="Q516" s="236"/>
      <c r="R516" s="236"/>
      <c r="S516" s="236"/>
      <c r="T516" s="236"/>
      <c r="U516" s="236"/>
      <c r="V516" s="236"/>
      <c r="W516" s="237"/>
      <c r="X516" s="237"/>
      <c r="Y516" s="237"/>
      <c r="Z516" s="237"/>
      <c r="AA516" s="237"/>
      <c r="AB516" s="237"/>
      <c r="AC516" s="237"/>
      <c r="AD516" s="237"/>
      <c r="AE516" s="237"/>
      <c r="AF516" s="237"/>
      <c r="AG516" s="237"/>
      <c r="AH516" s="237"/>
      <c r="AI516" s="98"/>
      <c r="AJ516" s="98"/>
      <c r="AK516" s="98"/>
      <c r="AL516" s="98"/>
      <c r="AM516" s="98"/>
      <c r="AN516" s="98"/>
      <c r="AO516" s="98"/>
    </row>
    <row r="517" ht="14.25" customHeight="1">
      <c r="A517" s="179"/>
      <c r="B517" s="98"/>
      <c r="C517" s="98"/>
      <c r="D517" s="98"/>
      <c r="E517" s="98"/>
      <c r="F517" s="235"/>
      <c r="G517" s="235"/>
      <c r="H517" s="236"/>
      <c r="I517" s="236"/>
      <c r="J517" s="236"/>
      <c r="K517" s="236"/>
      <c r="L517" s="236"/>
      <c r="M517" s="236"/>
      <c r="N517" s="236"/>
      <c r="O517" s="236"/>
      <c r="P517" s="236"/>
      <c r="Q517" s="236"/>
      <c r="R517" s="236"/>
      <c r="S517" s="236"/>
      <c r="T517" s="236"/>
      <c r="U517" s="236"/>
      <c r="V517" s="236"/>
      <c r="W517" s="237"/>
      <c r="X517" s="237"/>
      <c r="Y517" s="237"/>
      <c r="Z517" s="237"/>
      <c r="AA517" s="237"/>
      <c r="AB517" s="237"/>
      <c r="AC517" s="237"/>
      <c r="AD517" s="237"/>
      <c r="AE517" s="237"/>
      <c r="AF517" s="237"/>
      <c r="AG517" s="237"/>
      <c r="AH517" s="237"/>
      <c r="AI517" s="98"/>
      <c r="AJ517" s="98"/>
      <c r="AK517" s="98"/>
      <c r="AL517" s="98"/>
      <c r="AM517" s="98"/>
      <c r="AN517" s="98"/>
      <c r="AO517" s="98"/>
    </row>
    <row r="518" ht="14.25" customHeight="1">
      <c r="A518" s="179"/>
      <c r="B518" s="98"/>
      <c r="C518" s="98"/>
      <c r="D518" s="98"/>
      <c r="E518" s="98"/>
      <c r="F518" s="235"/>
      <c r="G518" s="235"/>
      <c r="H518" s="236"/>
      <c r="I518" s="236"/>
      <c r="J518" s="236"/>
      <c r="K518" s="236"/>
      <c r="L518" s="236"/>
      <c r="M518" s="236"/>
      <c r="N518" s="236"/>
      <c r="O518" s="236"/>
      <c r="P518" s="236"/>
      <c r="Q518" s="236"/>
      <c r="R518" s="236"/>
      <c r="S518" s="236"/>
      <c r="T518" s="236"/>
      <c r="U518" s="236"/>
      <c r="V518" s="236"/>
      <c r="W518" s="237"/>
      <c r="X518" s="237"/>
      <c r="Y518" s="237"/>
      <c r="Z518" s="237"/>
      <c r="AA518" s="237"/>
      <c r="AB518" s="237"/>
      <c r="AC518" s="237"/>
      <c r="AD518" s="237"/>
      <c r="AE518" s="237"/>
      <c r="AF518" s="237"/>
      <c r="AG518" s="237"/>
      <c r="AH518" s="237"/>
      <c r="AI518" s="98"/>
      <c r="AJ518" s="98"/>
      <c r="AK518" s="98"/>
      <c r="AL518" s="98"/>
      <c r="AM518" s="98"/>
      <c r="AN518" s="98"/>
      <c r="AO518" s="98"/>
    </row>
    <row r="519" ht="14.25" customHeight="1">
      <c r="A519" s="179"/>
      <c r="B519" s="98"/>
      <c r="C519" s="98"/>
      <c r="D519" s="98"/>
      <c r="E519" s="98"/>
      <c r="F519" s="235"/>
      <c r="G519" s="235"/>
      <c r="H519" s="236"/>
      <c r="I519" s="236"/>
      <c r="J519" s="236"/>
      <c r="K519" s="236"/>
      <c r="L519" s="236"/>
      <c r="M519" s="236"/>
      <c r="N519" s="236"/>
      <c r="O519" s="236"/>
      <c r="P519" s="236"/>
      <c r="Q519" s="236"/>
      <c r="R519" s="236"/>
      <c r="S519" s="236"/>
      <c r="T519" s="236"/>
      <c r="U519" s="236"/>
      <c r="V519" s="236"/>
      <c r="W519" s="237"/>
      <c r="X519" s="237"/>
      <c r="Y519" s="237"/>
      <c r="Z519" s="237"/>
      <c r="AA519" s="237"/>
      <c r="AB519" s="237"/>
      <c r="AC519" s="237"/>
      <c r="AD519" s="237"/>
      <c r="AE519" s="237"/>
      <c r="AF519" s="237"/>
      <c r="AG519" s="237"/>
      <c r="AH519" s="237"/>
      <c r="AI519" s="98"/>
      <c r="AJ519" s="98"/>
      <c r="AK519" s="98"/>
      <c r="AL519" s="98"/>
      <c r="AM519" s="98"/>
      <c r="AN519" s="98"/>
      <c r="AO519" s="98"/>
    </row>
    <row r="520" ht="14.25" customHeight="1">
      <c r="A520" s="179"/>
      <c r="B520" s="98"/>
      <c r="C520" s="98"/>
      <c r="D520" s="98"/>
      <c r="E520" s="98"/>
      <c r="F520" s="235"/>
      <c r="G520" s="235"/>
      <c r="H520" s="236"/>
      <c r="I520" s="236"/>
      <c r="J520" s="236"/>
      <c r="K520" s="236"/>
      <c r="L520" s="236"/>
      <c r="M520" s="236"/>
      <c r="N520" s="236"/>
      <c r="O520" s="236"/>
      <c r="P520" s="236"/>
      <c r="Q520" s="236"/>
      <c r="R520" s="236"/>
      <c r="S520" s="236"/>
      <c r="T520" s="236"/>
      <c r="U520" s="236"/>
      <c r="V520" s="236"/>
      <c r="W520" s="237"/>
      <c r="X520" s="237"/>
      <c r="Y520" s="237"/>
      <c r="Z520" s="237"/>
      <c r="AA520" s="237"/>
      <c r="AB520" s="237"/>
      <c r="AC520" s="237"/>
      <c r="AD520" s="237"/>
      <c r="AE520" s="237"/>
      <c r="AF520" s="237"/>
      <c r="AG520" s="237"/>
      <c r="AH520" s="237"/>
      <c r="AI520" s="98"/>
      <c r="AJ520" s="98"/>
      <c r="AK520" s="98"/>
      <c r="AL520" s="98"/>
      <c r="AM520" s="98"/>
      <c r="AN520" s="98"/>
      <c r="AO520" s="98"/>
    </row>
    <row r="521" ht="14.25" customHeight="1">
      <c r="A521" s="179"/>
      <c r="B521" s="98"/>
      <c r="C521" s="98"/>
      <c r="D521" s="98"/>
      <c r="E521" s="98"/>
      <c r="F521" s="235"/>
      <c r="G521" s="235"/>
      <c r="H521" s="236"/>
      <c r="I521" s="236"/>
      <c r="J521" s="236"/>
      <c r="K521" s="236"/>
      <c r="L521" s="236"/>
      <c r="M521" s="236"/>
      <c r="N521" s="236"/>
      <c r="O521" s="236"/>
      <c r="P521" s="236"/>
      <c r="Q521" s="236"/>
      <c r="R521" s="236"/>
      <c r="S521" s="236"/>
      <c r="T521" s="236"/>
      <c r="U521" s="236"/>
      <c r="V521" s="236"/>
      <c r="W521" s="237"/>
      <c r="X521" s="237"/>
      <c r="Y521" s="237"/>
      <c r="Z521" s="237"/>
      <c r="AA521" s="237"/>
      <c r="AB521" s="237"/>
      <c r="AC521" s="237"/>
      <c r="AD521" s="237"/>
      <c r="AE521" s="237"/>
      <c r="AF521" s="237"/>
      <c r="AG521" s="237"/>
      <c r="AH521" s="237"/>
      <c r="AI521" s="98"/>
      <c r="AJ521" s="98"/>
      <c r="AK521" s="98"/>
      <c r="AL521" s="98"/>
      <c r="AM521" s="98"/>
      <c r="AN521" s="98"/>
      <c r="AO521" s="98"/>
    </row>
    <row r="522" ht="14.25" customHeight="1">
      <c r="A522" s="179"/>
      <c r="B522" s="98"/>
      <c r="C522" s="98"/>
      <c r="D522" s="98"/>
      <c r="E522" s="98"/>
      <c r="F522" s="235"/>
      <c r="G522" s="235"/>
      <c r="H522" s="236"/>
      <c r="I522" s="236"/>
      <c r="J522" s="236"/>
      <c r="K522" s="236"/>
      <c r="L522" s="236"/>
      <c r="M522" s="236"/>
      <c r="N522" s="236"/>
      <c r="O522" s="236"/>
      <c r="P522" s="236"/>
      <c r="Q522" s="236"/>
      <c r="R522" s="236"/>
      <c r="S522" s="236"/>
      <c r="T522" s="236"/>
      <c r="U522" s="236"/>
      <c r="V522" s="236"/>
      <c r="W522" s="237"/>
      <c r="X522" s="237"/>
      <c r="Y522" s="237"/>
      <c r="Z522" s="237"/>
      <c r="AA522" s="237"/>
      <c r="AB522" s="237"/>
      <c r="AC522" s="237"/>
      <c r="AD522" s="237"/>
      <c r="AE522" s="237"/>
      <c r="AF522" s="237"/>
      <c r="AG522" s="237"/>
      <c r="AH522" s="237"/>
      <c r="AI522" s="98"/>
      <c r="AJ522" s="98"/>
      <c r="AK522" s="98"/>
      <c r="AL522" s="98"/>
      <c r="AM522" s="98"/>
      <c r="AN522" s="98"/>
      <c r="AO522" s="98"/>
    </row>
    <row r="523" ht="14.25" customHeight="1">
      <c r="A523" s="179"/>
      <c r="B523" s="98"/>
      <c r="C523" s="98"/>
      <c r="D523" s="98"/>
      <c r="E523" s="98"/>
      <c r="F523" s="235"/>
      <c r="G523" s="235"/>
      <c r="H523" s="236"/>
      <c r="I523" s="236"/>
      <c r="J523" s="236"/>
      <c r="K523" s="236"/>
      <c r="L523" s="236"/>
      <c r="M523" s="236"/>
      <c r="N523" s="236"/>
      <c r="O523" s="236"/>
      <c r="P523" s="236"/>
      <c r="Q523" s="236"/>
      <c r="R523" s="236"/>
      <c r="S523" s="236"/>
      <c r="T523" s="236"/>
      <c r="U523" s="236"/>
      <c r="V523" s="236"/>
      <c r="W523" s="237"/>
      <c r="X523" s="237"/>
      <c r="Y523" s="237"/>
      <c r="Z523" s="237"/>
      <c r="AA523" s="237"/>
      <c r="AB523" s="237"/>
      <c r="AC523" s="237"/>
      <c r="AD523" s="237"/>
      <c r="AE523" s="237"/>
      <c r="AF523" s="237"/>
      <c r="AG523" s="237"/>
      <c r="AH523" s="237"/>
      <c r="AI523" s="98"/>
      <c r="AJ523" s="98"/>
      <c r="AK523" s="98"/>
      <c r="AL523" s="98"/>
      <c r="AM523" s="98"/>
      <c r="AN523" s="98"/>
      <c r="AO523" s="98"/>
    </row>
    <row r="524" ht="14.25" customHeight="1">
      <c r="A524" s="179"/>
      <c r="B524" s="98"/>
      <c r="C524" s="98"/>
      <c r="D524" s="98"/>
      <c r="E524" s="98"/>
      <c r="F524" s="235"/>
      <c r="G524" s="235"/>
      <c r="H524" s="236"/>
      <c r="I524" s="236"/>
      <c r="J524" s="236"/>
      <c r="K524" s="236"/>
      <c r="L524" s="236"/>
      <c r="M524" s="236"/>
      <c r="N524" s="236"/>
      <c r="O524" s="236"/>
      <c r="P524" s="236"/>
      <c r="Q524" s="236"/>
      <c r="R524" s="236"/>
      <c r="S524" s="236"/>
      <c r="T524" s="236"/>
      <c r="U524" s="236"/>
      <c r="V524" s="236"/>
      <c r="W524" s="237"/>
      <c r="X524" s="237"/>
      <c r="Y524" s="237"/>
      <c r="Z524" s="237"/>
      <c r="AA524" s="237"/>
      <c r="AB524" s="237"/>
      <c r="AC524" s="237"/>
      <c r="AD524" s="237"/>
      <c r="AE524" s="237"/>
      <c r="AF524" s="237"/>
      <c r="AG524" s="237"/>
      <c r="AH524" s="237"/>
      <c r="AI524" s="98"/>
      <c r="AJ524" s="98"/>
      <c r="AK524" s="98"/>
      <c r="AL524" s="98"/>
      <c r="AM524" s="98"/>
      <c r="AN524" s="98"/>
      <c r="AO524" s="98"/>
    </row>
    <row r="525" ht="14.25" customHeight="1">
      <c r="A525" s="179"/>
      <c r="B525" s="98"/>
      <c r="C525" s="98"/>
      <c r="D525" s="98"/>
      <c r="E525" s="98"/>
      <c r="F525" s="235"/>
      <c r="G525" s="235"/>
      <c r="H525" s="236"/>
      <c r="I525" s="236"/>
      <c r="J525" s="236"/>
      <c r="K525" s="236"/>
      <c r="L525" s="236"/>
      <c r="M525" s="236"/>
      <c r="N525" s="236"/>
      <c r="O525" s="236"/>
      <c r="P525" s="236"/>
      <c r="Q525" s="236"/>
      <c r="R525" s="236"/>
      <c r="S525" s="236"/>
      <c r="T525" s="236"/>
      <c r="U525" s="236"/>
      <c r="V525" s="236"/>
      <c r="W525" s="237"/>
      <c r="X525" s="237"/>
      <c r="Y525" s="237"/>
      <c r="Z525" s="237"/>
      <c r="AA525" s="237"/>
      <c r="AB525" s="237"/>
      <c r="AC525" s="237"/>
      <c r="AD525" s="237"/>
      <c r="AE525" s="237"/>
      <c r="AF525" s="237"/>
      <c r="AG525" s="237"/>
      <c r="AH525" s="237"/>
      <c r="AI525" s="98"/>
      <c r="AJ525" s="98"/>
      <c r="AK525" s="98"/>
      <c r="AL525" s="98"/>
      <c r="AM525" s="98"/>
      <c r="AN525" s="98"/>
      <c r="AO525" s="98"/>
    </row>
    <row r="526" ht="14.25" customHeight="1">
      <c r="A526" s="179"/>
      <c r="B526" s="98"/>
      <c r="C526" s="98"/>
      <c r="D526" s="98"/>
      <c r="E526" s="98"/>
      <c r="F526" s="235"/>
      <c r="G526" s="235"/>
      <c r="H526" s="236"/>
      <c r="I526" s="236"/>
      <c r="J526" s="236"/>
      <c r="K526" s="236"/>
      <c r="L526" s="236"/>
      <c r="M526" s="236"/>
      <c r="N526" s="236"/>
      <c r="O526" s="236"/>
      <c r="P526" s="236"/>
      <c r="Q526" s="236"/>
      <c r="R526" s="236"/>
      <c r="S526" s="236"/>
      <c r="T526" s="236"/>
      <c r="U526" s="236"/>
      <c r="V526" s="236"/>
      <c r="W526" s="237"/>
      <c r="X526" s="237"/>
      <c r="Y526" s="237"/>
      <c r="Z526" s="237"/>
      <c r="AA526" s="237"/>
      <c r="AB526" s="237"/>
      <c r="AC526" s="237"/>
      <c r="AD526" s="237"/>
      <c r="AE526" s="237"/>
      <c r="AF526" s="237"/>
      <c r="AG526" s="237"/>
      <c r="AH526" s="237"/>
      <c r="AI526" s="98"/>
      <c r="AJ526" s="98"/>
      <c r="AK526" s="98"/>
      <c r="AL526" s="98"/>
      <c r="AM526" s="98"/>
      <c r="AN526" s="98"/>
      <c r="AO526" s="98"/>
    </row>
    <row r="527" ht="14.25" customHeight="1">
      <c r="A527" s="179"/>
      <c r="B527" s="98"/>
      <c r="C527" s="98"/>
      <c r="D527" s="98"/>
      <c r="E527" s="98"/>
      <c r="F527" s="235"/>
      <c r="G527" s="235"/>
      <c r="H527" s="236"/>
      <c r="I527" s="236"/>
      <c r="J527" s="236"/>
      <c r="K527" s="236"/>
      <c r="L527" s="236"/>
      <c r="M527" s="236"/>
      <c r="N527" s="236"/>
      <c r="O527" s="236"/>
      <c r="P527" s="236"/>
      <c r="Q527" s="236"/>
      <c r="R527" s="236"/>
      <c r="S527" s="236"/>
      <c r="T527" s="236"/>
      <c r="U527" s="236"/>
      <c r="V527" s="236"/>
      <c r="W527" s="237"/>
      <c r="X527" s="237"/>
      <c r="Y527" s="237"/>
      <c r="Z527" s="237"/>
      <c r="AA527" s="237"/>
      <c r="AB527" s="237"/>
      <c r="AC527" s="237"/>
      <c r="AD527" s="237"/>
      <c r="AE527" s="237"/>
      <c r="AF527" s="237"/>
      <c r="AG527" s="237"/>
      <c r="AH527" s="237"/>
      <c r="AI527" s="98"/>
      <c r="AJ527" s="98"/>
      <c r="AK527" s="98"/>
      <c r="AL527" s="98"/>
      <c r="AM527" s="98"/>
      <c r="AN527" s="98"/>
      <c r="AO527" s="98"/>
    </row>
    <row r="528" ht="14.25" customHeight="1">
      <c r="A528" s="179"/>
      <c r="B528" s="98"/>
      <c r="C528" s="98"/>
      <c r="D528" s="98"/>
      <c r="E528" s="98"/>
      <c r="F528" s="235"/>
      <c r="G528" s="235"/>
      <c r="H528" s="236"/>
      <c r="I528" s="236"/>
      <c r="J528" s="236"/>
      <c r="K528" s="236"/>
      <c r="L528" s="236"/>
      <c r="M528" s="236"/>
      <c r="N528" s="236"/>
      <c r="O528" s="236"/>
      <c r="P528" s="236"/>
      <c r="Q528" s="236"/>
      <c r="R528" s="236"/>
      <c r="S528" s="236"/>
      <c r="T528" s="236"/>
      <c r="U528" s="236"/>
      <c r="V528" s="236"/>
      <c r="W528" s="237"/>
      <c r="X528" s="237"/>
      <c r="Y528" s="237"/>
      <c r="Z528" s="237"/>
      <c r="AA528" s="237"/>
      <c r="AB528" s="237"/>
      <c r="AC528" s="237"/>
      <c r="AD528" s="237"/>
      <c r="AE528" s="237"/>
      <c r="AF528" s="237"/>
      <c r="AG528" s="237"/>
      <c r="AH528" s="237"/>
      <c r="AI528" s="98"/>
      <c r="AJ528" s="98"/>
      <c r="AK528" s="98"/>
      <c r="AL528" s="98"/>
      <c r="AM528" s="98"/>
      <c r="AN528" s="98"/>
      <c r="AO528" s="98"/>
    </row>
    <row r="529" ht="14.25" customHeight="1">
      <c r="A529" s="179"/>
      <c r="B529" s="98"/>
      <c r="C529" s="98"/>
      <c r="D529" s="98"/>
      <c r="E529" s="98"/>
      <c r="F529" s="235"/>
      <c r="G529" s="235"/>
      <c r="H529" s="236"/>
      <c r="I529" s="236"/>
      <c r="J529" s="236"/>
      <c r="K529" s="236"/>
      <c r="L529" s="236"/>
      <c r="M529" s="236"/>
      <c r="N529" s="236"/>
      <c r="O529" s="236"/>
      <c r="P529" s="236"/>
      <c r="Q529" s="236"/>
      <c r="R529" s="236"/>
      <c r="S529" s="236"/>
      <c r="T529" s="236"/>
      <c r="U529" s="236"/>
      <c r="V529" s="236"/>
      <c r="W529" s="237"/>
      <c r="X529" s="237"/>
      <c r="Y529" s="237"/>
      <c r="Z529" s="237"/>
      <c r="AA529" s="237"/>
      <c r="AB529" s="237"/>
      <c r="AC529" s="237"/>
      <c r="AD529" s="237"/>
      <c r="AE529" s="237"/>
      <c r="AF529" s="237"/>
      <c r="AG529" s="237"/>
      <c r="AH529" s="237"/>
      <c r="AI529" s="98"/>
      <c r="AJ529" s="98"/>
      <c r="AK529" s="98"/>
      <c r="AL529" s="98"/>
      <c r="AM529" s="98"/>
      <c r="AN529" s="98"/>
      <c r="AO529" s="98"/>
    </row>
    <row r="530" ht="14.25" customHeight="1">
      <c r="A530" s="179"/>
      <c r="B530" s="98"/>
      <c r="C530" s="98"/>
      <c r="D530" s="98"/>
      <c r="E530" s="98"/>
      <c r="F530" s="235"/>
      <c r="G530" s="235"/>
      <c r="H530" s="236"/>
      <c r="I530" s="236"/>
      <c r="J530" s="236"/>
      <c r="K530" s="236"/>
      <c r="L530" s="236"/>
      <c r="M530" s="236"/>
      <c r="N530" s="236"/>
      <c r="O530" s="236"/>
      <c r="P530" s="236"/>
      <c r="Q530" s="236"/>
      <c r="R530" s="236"/>
      <c r="S530" s="236"/>
      <c r="T530" s="236"/>
      <c r="U530" s="236"/>
      <c r="V530" s="236"/>
      <c r="W530" s="237"/>
      <c r="X530" s="237"/>
      <c r="Y530" s="237"/>
      <c r="Z530" s="237"/>
      <c r="AA530" s="237"/>
      <c r="AB530" s="237"/>
      <c r="AC530" s="237"/>
      <c r="AD530" s="237"/>
      <c r="AE530" s="237"/>
      <c r="AF530" s="237"/>
      <c r="AG530" s="237"/>
      <c r="AH530" s="237"/>
      <c r="AI530" s="98"/>
      <c r="AJ530" s="98"/>
      <c r="AK530" s="98"/>
      <c r="AL530" s="98"/>
      <c r="AM530" s="98"/>
      <c r="AN530" s="98"/>
      <c r="AO530" s="98"/>
    </row>
    <row r="531" ht="14.25" customHeight="1">
      <c r="A531" s="179"/>
      <c r="B531" s="98"/>
      <c r="C531" s="98"/>
      <c r="D531" s="98"/>
      <c r="E531" s="98"/>
      <c r="F531" s="235"/>
      <c r="G531" s="235"/>
      <c r="H531" s="236"/>
      <c r="I531" s="236"/>
      <c r="J531" s="236"/>
      <c r="K531" s="236"/>
      <c r="L531" s="236"/>
      <c r="M531" s="236"/>
      <c r="N531" s="236"/>
      <c r="O531" s="236"/>
      <c r="P531" s="236"/>
      <c r="Q531" s="236"/>
      <c r="R531" s="236"/>
      <c r="S531" s="236"/>
      <c r="T531" s="236"/>
      <c r="U531" s="236"/>
      <c r="V531" s="236"/>
      <c r="W531" s="237"/>
      <c r="X531" s="237"/>
      <c r="Y531" s="237"/>
      <c r="Z531" s="237"/>
      <c r="AA531" s="237"/>
      <c r="AB531" s="237"/>
      <c r="AC531" s="237"/>
      <c r="AD531" s="237"/>
      <c r="AE531" s="237"/>
      <c r="AF531" s="237"/>
      <c r="AG531" s="237"/>
      <c r="AH531" s="237"/>
      <c r="AI531" s="98"/>
      <c r="AJ531" s="98"/>
      <c r="AK531" s="98"/>
      <c r="AL531" s="98"/>
      <c r="AM531" s="98"/>
      <c r="AN531" s="98"/>
      <c r="AO531" s="98"/>
    </row>
    <row r="532" ht="14.25" customHeight="1">
      <c r="A532" s="179"/>
      <c r="B532" s="98"/>
      <c r="C532" s="98"/>
      <c r="D532" s="98"/>
      <c r="E532" s="98"/>
      <c r="F532" s="235"/>
      <c r="G532" s="235"/>
      <c r="H532" s="236"/>
      <c r="I532" s="236"/>
      <c r="J532" s="236"/>
      <c r="K532" s="236"/>
      <c r="L532" s="236"/>
      <c r="M532" s="236"/>
      <c r="N532" s="236"/>
      <c r="O532" s="236"/>
      <c r="P532" s="236"/>
      <c r="Q532" s="236"/>
      <c r="R532" s="236"/>
      <c r="S532" s="236"/>
      <c r="T532" s="236"/>
      <c r="U532" s="236"/>
      <c r="V532" s="236"/>
      <c r="W532" s="237"/>
      <c r="X532" s="237"/>
      <c r="Y532" s="237"/>
      <c r="Z532" s="237"/>
      <c r="AA532" s="237"/>
      <c r="AB532" s="237"/>
      <c r="AC532" s="237"/>
      <c r="AD532" s="237"/>
      <c r="AE532" s="237"/>
      <c r="AF532" s="237"/>
      <c r="AG532" s="237"/>
      <c r="AH532" s="237"/>
      <c r="AI532" s="98"/>
      <c r="AJ532" s="98"/>
      <c r="AK532" s="98"/>
      <c r="AL532" s="98"/>
      <c r="AM532" s="98"/>
      <c r="AN532" s="98"/>
      <c r="AO532" s="98"/>
    </row>
    <row r="533" ht="14.25" customHeight="1">
      <c r="A533" s="179"/>
      <c r="B533" s="98"/>
      <c r="C533" s="98"/>
      <c r="D533" s="98"/>
      <c r="E533" s="98"/>
      <c r="F533" s="235"/>
      <c r="G533" s="235"/>
      <c r="H533" s="236"/>
      <c r="I533" s="236"/>
      <c r="J533" s="236"/>
      <c r="K533" s="236"/>
      <c r="L533" s="236"/>
      <c r="M533" s="236"/>
      <c r="N533" s="236"/>
      <c r="O533" s="236"/>
      <c r="P533" s="236"/>
      <c r="Q533" s="236"/>
      <c r="R533" s="236"/>
      <c r="S533" s="236"/>
      <c r="T533" s="236"/>
      <c r="U533" s="236"/>
      <c r="V533" s="236"/>
      <c r="W533" s="237"/>
      <c r="X533" s="237"/>
      <c r="Y533" s="237"/>
      <c r="Z533" s="237"/>
      <c r="AA533" s="237"/>
      <c r="AB533" s="237"/>
      <c r="AC533" s="237"/>
      <c r="AD533" s="237"/>
      <c r="AE533" s="237"/>
      <c r="AF533" s="237"/>
      <c r="AG533" s="237"/>
      <c r="AH533" s="237"/>
      <c r="AI533" s="98"/>
      <c r="AJ533" s="98"/>
      <c r="AK533" s="98"/>
      <c r="AL533" s="98"/>
      <c r="AM533" s="98"/>
      <c r="AN533" s="98"/>
      <c r="AO533" s="98"/>
    </row>
    <row r="534" ht="14.25" customHeight="1">
      <c r="A534" s="179"/>
      <c r="B534" s="98"/>
      <c r="C534" s="98"/>
      <c r="D534" s="98"/>
      <c r="E534" s="98"/>
      <c r="F534" s="235"/>
      <c r="G534" s="235"/>
      <c r="H534" s="236"/>
      <c r="I534" s="236"/>
      <c r="J534" s="236"/>
      <c r="K534" s="236"/>
      <c r="L534" s="236"/>
      <c r="M534" s="236"/>
      <c r="N534" s="236"/>
      <c r="O534" s="236"/>
      <c r="P534" s="236"/>
      <c r="Q534" s="236"/>
      <c r="R534" s="236"/>
      <c r="S534" s="236"/>
      <c r="T534" s="236"/>
      <c r="U534" s="236"/>
      <c r="V534" s="236"/>
      <c r="W534" s="237"/>
      <c r="X534" s="237"/>
      <c r="Y534" s="237"/>
      <c r="Z534" s="237"/>
      <c r="AA534" s="237"/>
      <c r="AB534" s="237"/>
      <c r="AC534" s="237"/>
      <c r="AD534" s="237"/>
      <c r="AE534" s="237"/>
      <c r="AF534" s="237"/>
      <c r="AG534" s="237"/>
      <c r="AH534" s="237"/>
      <c r="AI534" s="98"/>
      <c r="AJ534" s="98"/>
      <c r="AK534" s="98"/>
      <c r="AL534" s="98"/>
      <c r="AM534" s="98"/>
      <c r="AN534" s="98"/>
      <c r="AO534" s="98"/>
    </row>
    <row r="535" ht="14.25" customHeight="1">
      <c r="A535" s="179"/>
      <c r="B535" s="98"/>
      <c r="C535" s="98"/>
      <c r="D535" s="98"/>
      <c r="E535" s="98"/>
      <c r="F535" s="235"/>
      <c r="G535" s="235"/>
      <c r="H535" s="236"/>
      <c r="I535" s="236"/>
      <c r="J535" s="236"/>
      <c r="K535" s="236"/>
      <c r="L535" s="236"/>
      <c r="M535" s="236"/>
      <c r="N535" s="236"/>
      <c r="O535" s="236"/>
      <c r="P535" s="236"/>
      <c r="Q535" s="236"/>
      <c r="R535" s="236"/>
      <c r="S535" s="236"/>
      <c r="T535" s="236"/>
      <c r="U535" s="236"/>
      <c r="V535" s="236"/>
      <c r="W535" s="237"/>
      <c r="X535" s="237"/>
      <c r="Y535" s="237"/>
      <c r="Z535" s="237"/>
      <c r="AA535" s="237"/>
      <c r="AB535" s="237"/>
      <c r="AC535" s="237"/>
      <c r="AD535" s="237"/>
      <c r="AE535" s="237"/>
      <c r="AF535" s="237"/>
      <c r="AG535" s="237"/>
      <c r="AH535" s="237"/>
      <c r="AI535" s="98"/>
      <c r="AJ535" s="98"/>
      <c r="AK535" s="98"/>
      <c r="AL535" s="98"/>
      <c r="AM535" s="98"/>
      <c r="AN535" s="98"/>
      <c r="AO535" s="98"/>
    </row>
    <row r="536" ht="14.25" customHeight="1">
      <c r="A536" s="179"/>
      <c r="B536" s="98"/>
      <c r="C536" s="98"/>
      <c r="D536" s="98"/>
      <c r="E536" s="98"/>
      <c r="F536" s="235"/>
      <c r="G536" s="235"/>
      <c r="H536" s="236"/>
      <c r="I536" s="236"/>
      <c r="J536" s="236"/>
      <c r="K536" s="236"/>
      <c r="L536" s="236"/>
      <c r="M536" s="236"/>
      <c r="N536" s="236"/>
      <c r="O536" s="236"/>
      <c r="P536" s="236"/>
      <c r="Q536" s="236"/>
      <c r="R536" s="236"/>
      <c r="S536" s="236"/>
      <c r="T536" s="236"/>
      <c r="U536" s="236"/>
      <c r="V536" s="236"/>
      <c r="W536" s="237"/>
      <c r="X536" s="237"/>
      <c r="Y536" s="237"/>
      <c r="Z536" s="237"/>
      <c r="AA536" s="237"/>
      <c r="AB536" s="237"/>
      <c r="AC536" s="237"/>
      <c r="AD536" s="237"/>
      <c r="AE536" s="237"/>
      <c r="AF536" s="237"/>
      <c r="AG536" s="237"/>
      <c r="AH536" s="237"/>
      <c r="AI536" s="98"/>
      <c r="AJ536" s="98"/>
      <c r="AK536" s="98"/>
      <c r="AL536" s="98"/>
      <c r="AM536" s="98"/>
      <c r="AN536" s="98"/>
      <c r="AO536" s="98"/>
    </row>
    <row r="537" ht="14.25" customHeight="1">
      <c r="A537" s="179"/>
      <c r="B537" s="98"/>
      <c r="C537" s="98"/>
      <c r="D537" s="98"/>
      <c r="E537" s="98"/>
      <c r="F537" s="235"/>
      <c r="G537" s="235"/>
      <c r="H537" s="236"/>
      <c r="I537" s="236"/>
      <c r="J537" s="236"/>
      <c r="K537" s="236"/>
      <c r="L537" s="236"/>
      <c r="M537" s="236"/>
      <c r="N537" s="236"/>
      <c r="O537" s="236"/>
      <c r="P537" s="236"/>
      <c r="Q537" s="236"/>
      <c r="R537" s="236"/>
      <c r="S537" s="236"/>
      <c r="T537" s="236"/>
      <c r="U537" s="236"/>
      <c r="V537" s="236"/>
      <c r="W537" s="237"/>
      <c r="X537" s="237"/>
      <c r="Y537" s="237"/>
      <c r="Z537" s="237"/>
      <c r="AA537" s="237"/>
      <c r="AB537" s="237"/>
      <c r="AC537" s="237"/>
      <c r="AD537" s="237"/>
      <c r="AE537" s="237"/>
      <c r="AF537" s="237"/>
      <c r="AG537" s="237"/>
      <c r="AH537" s="237"/>
      <c r="AI537" s="98"/>
      <c r="AJ537" s="98"/>
      <c r="AK537" s="98"/>
      <c r="AL537" s="98"/>
      <c r="AM537" s="98"/>
      <c r="AN537" s="98"/>
      <c r="AO537" s="98"/>
    </row>
    <row r="538" ht="14.25" customHeight="1">
      <c r="A538" s="179"/>
      <c r="B538" s="98"/>
      <c r="C538" s="98"/>
      <c r="D538" s="98"/>
      <c r="E538" s="98"/>
      <c r="F538" s="235"/>
      <c r="G538" s="235"/>
      <c r="H538" s="236"/>
      <c r="I538" s="236"/>
      <c r="J538" s="236"/>
      <c r="K538" s="236"/>
      <c r="L538" s="236"/>
      <c r="M538" s="236"/>
      <c r="N538" s="236"/>
      <c r="O538" s="236"/>
      <c r="P538" s="236"/>
      <c r="Q538" s="236"/>
      <c r="R538" s="236"/>
      <c r="S538" s="236"/>
      <c r="T538" s="236"/>
      <c r="U538" s="236"/>
      <c r="V538" s="236"/>
      <c r="W538" s="237"/>
      <c r="X538" s="237"/>
      <c r="Y538" s="237"/>
      <c r="Z538" s="237"/>
      <c r="AA538" s="237"/>
      <c r="AB538" s="237"/>
      <c r="AC538" s="237"/>
      <c r="AD538" s="237"/>
      <c r="AE538" s="237"/>
      <c r="AF538" s="237"/>
      <c r="AG538" s="237"/>
      <c r="AH538" s="237"/>
      <c r="AI538" s="98"/>
      <c r="AJ538" s="98"/>
      <c r="AK538" s="98"/>
      <c r="AL538" s="98"/>
      <c r="AM538" s="98"/>
      <c r="AN538" s="98"/>
      <c r="AO538" s="98"/>
    </row>
    <row r="539" ht="14.25" customHeight="1">
      <c r="A539" s="179"/>
      <c r="B539" s="98"/>
      <c r="C539" s="98"/>
      <c r="D539" s="98"/>
      <c r="E539" s="98"/>
      <c r="F539" s="235"/>
      <c r="G539" s="235"/>
      <c r="H539" s="236"/>
      <c r="I539" s="236"/>
      <c r="J539" s="236"/>
      <c r="K539" s="236"/>
      <c r="L539" s="236"/>
      <c r="M539" s="236"/>
      <c r="N539" s="236"/>
      <c r="O539" s="236"/>
      <c r="P539" s="236"/>
      <c r="Q539" s="236"/>
      <c r="R539" s="236"/>
      <c r="S539" s="236"/>
      <c r="T539" s="236"/>
      <c r="U539" s="236"/>
      <c r="V539" s="236"/>
      <c r="W539" s="237"/>
      <c r="X539" s="237"/>
      <c r="Y539" s="237"/>
      <c r="Z539" s="237"/>
      <c r="AA539" s="237"/>
      <c r="AB539" s="237"/>
      <c r="AC539" s="237"/>
      <c r="AD539" s="237"/>
      <c r="AE539" s="237"/>
      <c r="AF539" s="237"/>
      <c r="AG539" s="237"/>
      <c r="AH539" s="237"/>
      <c r="AI539" s="98"/>
      <c r="AJ539" s="98"/>
      <c r="AK539" s="98"/>
      <c r="AL539" s="98"/>
      <c r="AM539" s="98"/>
      <c r="AN539" s="98"/>
      <c r="AO539" s="98"/>
    </row>
    <row r="540" ht="14.25" customHeight="1">
      <c r="A540" s="179"/>
      <c r="B540" s="98"/>
      <c r="C540" s="98"/>
      <c r="D540" s="98"/>
      <c r="E540" s="98"/>
      <c r="F540" s="235"/>
      <c r="G540" s="235"/>
      <c r="H540" s="236"/>
      <c r="I540" s="236"/>
      <c r="J540" s="236"/>
      <c r="K540" s="236"/>
      <c r="L540" s="236"/>
      <c r="M540" s="236"/>
      <c r="N540" s="236"/>
      <c r="O540" s="236"/>
      <c r="P540" s="236"/>
      <c r="Q540" s="236"/>
      <c r="R540" s="236"/>
      <c r="S540" s="236"/>
      <c r="T540" s="236"/>
      <c r="U540" s="236"/>
      <c r="V540" s="236"/>
      <c r="W540" s="237"/>
      <c r="X540" s="237"/>
      <c r="Y540" s="237"/>
      <c r="Z540" s="237"/>
      <c r="AA540" s="237"/>
      <c r="AB540" s="237"/>
      <c r="AC540" s="237"/>
      <c r="AD540" s="237"/>
      <c r="AE540" s="237"/>
      <c r="AF540" s="237"/>
      <c r="AG540" s="237"/>
      <c r="AH540" s="237"/>
      <c r="AI540" s="98"/>
      <c r="AJ540" s="98"/>
      <c r="AK540" s="98"/>
      <c r="AL540" s="98"/>
      <c r="AM540" s="98"/>
      <c r="AN540" s="98"/>
      <c r="AO540" s="98"/>
    </row>
    <row r="541" ht="14.25" customHeight="1">
      <c r="A541" s="179"/>
      <c r="B541" s="98"/>
      <c r="C541" s="98"/>
      <c r="D541" s="98"/>
      <c r="E541" s="98"/>
      <c r="F541" s="235"/>
      <c r="G541" s="235"/>
      <c r="H541" s="236"/>
      <c r="I541" s="236"/>
      <c r="J541" s="236"/>
      <c r="K541" s="236"/>
      <c r="L541" s="236"/>
      <c r="M541" s="236"/>
      <c r="N541" s="236"/>
      <c r="O541" s="236"/>
      <c r="P541" s="236"/>
      <c r="Q541" s="236"/>
      <c r="R541" s="236"/>
      <c r="S541" s="236"/>
      <c r="T541" s="236"/>
      <c r="U541" s="236"/>
      <c r="V541" s="236"/>
      <c r="W541" s="237"/>
      <c r="X541" s="237"/>
      <c r="Y541" s="237"/>
      <c r="Z541" s="237"/>
      <c r="AA541" s="237"/>
      <c r="AB541" s="237"/>
      <c r="AC541" s="237"/>
      <c r="AD541" s="237"/>
      <c r="AE541" s="237"/>
      <c r="AF541" s="237"/>
      <c r="AG541" s="237"/>
      <c r="AH541" s="237"/>
      <c r="AI541" s="98"/>
      <c r="AJ541" s="98"/>
      <c r="AK541" s="98"/>
      <c r="AL541" s="98"/>
      <c r="AM541" s="98"/>
      <c r="AN541" s="98"/>
      <c r="AO541" s="98"/>
    </row>
    <row r="542" ht="14.25" customHeight="1">
      <c r="A542" s="179"/>
      <c r="B542" s="98"/>
      <c r="C542" s="98"/>
      <c r="D542" s="98"/>
      <c r="E542" s="98"/>
      <c r="F542" s="235"/>
      <c r="G542" s="235"/>
      <c r="H542" s="236"/>
      <c r="I542" s="236"/>
      <c r="J542" s="236"/>
      <c r="K542" s="236"/>
      <c r="L542" s="236"/>
      <c r="M542" s="236"/>
      <c r="N542" s="236"/>
      <c r="O542" s="236"/>
      <c r="P542" s="236"/>
      <c r="Q542" s="236"/>
      <c r="R542" s="236"/>
      <c r="S542" s="236"/>
      <c r="T542" s="236"/>
      <c r="U542" s="236"/>
      <c r="V542" s="236"/>
      <c r="W542" s="237"/>
      <c r="X542" s="237"/>
      <c r="Y542" s="237"/>
      <c r="Z542" s="237"/>
      <c r="AA542" s="237"/>
      <c r="AB542" s="237"/>
      <c r="AC542" s="237"/>
      <c r="AD542" s="237"/>
      <c r="AE542" s="237"/>
      <c r="AF542" s="237"/>
      <c r="AG542" s="237"/>
      <c r="AH542" s="237"/>
      <c r="AI542" s="98"/>
      <c r="AJ542" s="98"/>
      <c r="AK542" s="98"/>
      <c r="AL542" s="98"/>
      <c r="AM542" s="98"/>
      <c r="AN542" s="98"/>
      <c r="AO542" s="98"/>
    </row>
    <row r="543" ht="14.25" customHeight="1">
      <c r="A543" s="179"/>
      <c r="B543" s="98"/>
      <c r="C543" s="98"/>
      <c r="D543" s="98"/>
      <c r="E543" s="98"/>
      <c r="F543" s="235"/>
      <c r="G543" s="235"/>
      <c r="H543" s="236"/>
      <c r="I543" s="236"/>
      <c r="J543" s="236"/>
      <c r="K543" s="236"/>
      <c r="L543" s="236"/>
      <c r="M543" s="236"/>
      <c r="N543" s="236"/>
      <c r="O543" s="236"/>
      <c r="P543" s="236"/>
      <c r="Q543" s="236"/>
      <c r="R543" s="236"/>
      <c r="S543" s="236"/>
      <c r="T543" s="236"/>
      <c r="U543" s="236"/>
      <c r="V543" s="236"/>
      <c r="W543" s="237"/>
      <c r="X543" s="237"/>
      <c r="Y543" s="237"/>
      <c r="Z543" s="237"/>
      <c r="AA543" s="237"/>
      <c r="AB543" s="237"/>
      <c r="AC543" s="237"/>
      <c r="AD543" s="237"/>
      <c r="AE543" s="237"/>
      <c r="AF543" s="237"/>
      <c r="AG543" s="237"/>
      <c r="AH543" s="237"/>
      <c r="AI543" s="98"/>
      <c r="AJ543" s="98"/>
      <c r="AK543" s="98"/>
      <c r="AL543" s="98"/>
      <c r="AM543" s="98"/>
      <c r="AN543" s="98"/>
      <c r="AO543" s="98"/>
    </row>
    <row r="544" ht="14.25" customHeight="1">
      <c r="A544" s="179"/>
      <c r="B544" s="98"/>
      <c r="C544" s="98"/>
      <c r="D544" s="98"/>
      <c r="E544" s="98"/>
      <c r="F544" s="235"/>
      <c r="G544" s="235"/>
      <c r="H544" s="236"/>
      <c r="I544" s="236"/>
      <c r="J544" s="236"/>
      <c r="K544" s="236"/>
      <c r="L544" s="236"/>
      <c r="M544" s="236"/>
      <c r="N544" s="236"/>
      <c r="O544" s="236"/>
      <c r="P544" s="236"/>
      <c r="Q544" s="236"/>
      <c r="R544" s="236"/>
      <c r="S544" s="236"/>
      <c r="T544" s="236"/>
      <c r="U544" s="236"/>
      <c r="V544" s="236"/>
      <c r="W544" s="237"/>
      <c r="X544" s="237"/>
      <c r="Y544" s="237"/>
      <c r="Z544" s="237"/>
      <c r="AA544" s="237"/>
      <c r="AB544" s="237"/>
      <c r="AC544" s="237"/>
      <c r="AD544" s="237"/>
      <c r="AE544" s="237"/>
      <c r="AF544" s="237"/>
      <c r="AG544" s="237"/>
      <c r="AH544" s="237"/>
      <c r="AI544" s="98"/>
      <c r="AJ544" s="98"/>
      <c r="AK544" s="98"/>
      <c r="AL544" s="98"/>
      <c r="AM544" s="98"/>
      <c r="AN544" s="98"/>
      <c r="AO544" s="98"/>
    </row>
    <row r="545" ht="14.25" customHeight="1">
      <c r="A545" s="179"/>
      <c r="B545" s="98"/>
      <c r="C545" s="98"/>
      <c r="D545" s="98"/>
      <c r="E545" s="98"/>
      <c r="F545" s="235"/>
      <c r="G545" s="235"/>
      <c r="H545" s="236"/>
      <c r="I545" s="236"/>
      <c r="J545" s="236"/>
      <c r="K545" s="236"/>
      <c r="L545" s="236"/>
      <c r="M545" s="236"/>
      <c r="N545" s="236"/>
      <c r="O545" s="236"/>
      <c r="P545" s="236"/>
      <c r="Q545" s="236"/>
      <c r="R545" s="236"/>
      <c r="S545" s="236"/>
      <c r="T545" s="236"/>
      <c r="U545" s="236"/>
      <c r="V545" s="236"/>
      <c r="W545" s="237"/>
      <c r="X545" s="237"/>
      <c r="Y545" s="237"/>
      <c r="Z545" s="237"/>
      <c r="AA545" s="237"/>
      <c r="AB545" s="237"/>
      <c r="AC545" s="237"/>
      <c r="AD545" s="237"/>
      <c r="AE545" s="237"/>
      <c r="AF545" s="237"/>
      <c r="AG545" s="237"/>
      <c r="AH545" s="237"/>
      <c r="AI545" s="98"/>
      <c r="AJ545" s="98"/>
      <c r="AK545" s="98"/>
      <c r="AL545" s="98"/>
      <c r="AM545" s="98"/>
      <c r="AN545" s="98"/>
      <c r="AO545" s="98"/>
    </row>
    <row r="546" ht="14.25" customHeight="1">
      <c r="A546" s="179"/>
      <c r="B546" s="98"/>
      <c r="C546" s="98"/>
      <c r="D546" s="98"/>
      <c r="E546" s="98"/>
      <c r="F546" s="235"/>
      <c r="G546" s="235"/>
      <c r="H546" s="236"/>
      <c r="I546" s="236"/>
      <c r="J546" s="236"/>
      <c r="K546" s="236"/>
      <c r="L546" s="236"/>
      <c r="M546" s="236"/>
      <c r="N546" s="236"/>
      <c r="O546" s="236"/>
      <c r="P546" s="236"/>
      <c r="Q546" s="236"/>
      <c r="R546" s="236"/>
      <c r="S546" s="236"/>
      <c r="T546" s="236"/>
      <c r="U546" s="236"/>
      <c r="V546" s="236"/>
      <c r="W546" s="237"/>
      <c r="X546" s="237"/>
      <c r="Y546" s="237"/>
      <c r="Z546" s="237"/>
      <c r="AA546" s="237"/>
      <c r="AB546" s="237"/>
      <c r="AC546" s="237"/>
      <c r="AD546" s="237"/>
      <c r="AE546" s="237"/>
      <c r="AF546" s="237"/>
      <c r="AG546" s="237"/>
      <c r="AH546" s="237"/>
      <c r="AI546" s="98"/>
      <c r="AJ546" s="98"/>
      <c r="AK546" s="98"/>
      <c r="AL546" s="98"/>
      <c r="AM546" s="98"/>
      <c r="AN546" s="98"/>
      <c r="AO546" s="98"/>
    </row>
    <row r="547" ht="14.25" customHeight="1">
      <c r="A547" s="179"/>
      <c r="B547" s="98"/>
      <c r="C547" s="98"/>
      <c r="D547" s="98"/>
      <c r="E547" s="98"/>
      <c r="F547" s="235"/>
      <c r="G547" s="235"/>
      <c r="H547" s="236"/>
      <c r="I547" s="236"/>
      <c r="J547" s="236"/>
      <c r="K547" s="236"/>
      <c r="L547" s="236"/>
      <c r="M547" s="236"/>
      <c r="N547" s="236"/>
      <c r="O547" s="236"/>
      <c r="P547" s="236"/>
      <c r="Q547" s="236"/>
      <c r="R547" s="236"/>
      <c r="S547" s="236"/>
      <c r="T547" s="236"/>
      <c r="U547" s="236"/>
      <c r="V547" s="236"/>
      <c r="W547" s="237"/>
      <c r="X547" s="237"/>
      <c r="Y547" s="237"/>
      <c r="Z547" s="237"/>
      <c r="AA547" s="237"/>
      <c r="AB547" s="237"/>
      <c r="AC547" s="237"/>
      <c r="AD547" s="237"/>
      <c r="AE547" s="237"/>
      <c r="AF547" s="237"/>
      <c r="AG547" s="237"/>
      <c r="AH547" s="237"/>
      <c r="AI547" s="98"/>
      <c r="AJ547" s="98"/>
      <c r="AK547" s="98"/>
      <c r="AL547" s="98"/>
      <c r="AM547" s="98"/>
      <c r="AN547" s="98"/>
      <c r="AO547" s="98"/>
    </row>
    <row r="548" ht="14.25" customHeight="1">
      <c r="A548" s="179"/>
      <c r="B548" s="98"/>
      <c r="C548" s="98"/>
      <c r="D548" s="98"/>
      <c r="E548" s="98"/>
      <c r="F548" s="235"/>
      <c r="G548" s="235"/>
      <c r="H548" s="236"/>
      <c r="I548" s="236"/>
      <c r="J548" s="236"/>
      <c r="K548" s="236"/>
      <c r="L548" s="236"/>
      <c r="M548" s="236"/>
      <c r="N548" s="236"/>
      <c r="O548" s="236"/>
      <c r="P548" s="236"/>
      <c r="Q548" s="236"/>
      <c r="R548" s="236"/>
      <c r="S548" s="236"/>
      <c r="T548" s="236"/>
      <c r="U548" s="236"/>
      <c r="V548" s="236"/>
      <c r="W548" s="237"/>
      <c r="X548" s="237"/>
      <c r="Y548" s="237"/>
      <c r="Z548" s="237"/>
      <c r="AA548" s="237"/>
      <c r="AB548" s="237"/>
      <c r="AC548" s="237"/>
      <c r="AD548" s="237"/>
      <c r="AE548" s="237"/>
      <c r="AF548" s="237"/>
      <c r="AG548" s="237"/>
      <c r="AH548" s="237"/>
      <c r="AI548" s="98"/>
      <c r="AJ548" s="98"/>
      <c r="AK548" s="98"/>
      <c r="AL548" s="98"/>
      <c r="AM548" s="98"/>
      <c r="AN548" s="98"/>
      <c r="AO548" s="98"/>
    </row>
    <row r="549" ht="14.25" customHeight="1">
      <c r="A549" s="179"/>
      <c r="B549" s="98"/>
      <c r="C549" s="98"/>
      <c r="D549" s="98"/>
      <c r="E549" s="98"/>
      <c r="F549" s="235"/>
      <c r="G549" s="235"/>
      <c r="H549" s="236"/>
      <c r="I549" s="236"/>
      <c r="J549" s="236"/>
      <c r="K549" s="236"/>
      <c r="L549" s="236"/>
      <c r="M549" s="236"/>
      <c r="N549" s="236"/>
      <c r="O549" s="236"/>
      <c r="P549" s="236"/>
      <c r="Q549" s="236"/>
      <c r="R549" s="236"/>
      <c r="S549" s="236"/>
      <c r="T549" s="236"/>
      <c r="U549" s="236"/>
      <c r="V549" s="236"/>
      <c r="W549" s="237"/>
      <c r="X549" s="237"/>
      <c r="Y549" s="237"/>
      <c r="Z549" s="237"/>
      <c r="AA549" s="237"/>
      <c r="AB549" s="237"/>
      <c r="AC549" s="237"/>
      <c r="AD549" s="237"/>
      <c r="AE549" s="237"/>
      <c r="AF549" s="237"/>
      <c r="AG549" s="237"/>
      <c r="AH549" s="237"/>
      <c r="AI549" s="98"/>
      <c r="AJ549" s="98"/>
      <c r="AK549" s="98"/>
      <c r="AL549" s="98"/>
      <c r="AM549" s="98"/>
      <c r="AN549" s="98"/>
      <c r="AO549" s="98"/>
    </row>
    <row r="550" ht="14.25" customHeight="1">
      <c r="A550" s="179"/>
      <c r="B550" s="98"/>
      <c r="C550" s="98"/>
      <c r="D550" s="98"/>
      <c r="E550" s="98"/>
      <c r="F550" s="235"/>
      <c r="G550" s="235"/>
      <c r="H550" s="236"/>
      <c r="I550" s="236"/>
      <c r="J550" s="236"/>
      <c r="K550" s="236"/>
      <c r="L550" s="236"/>
      <c r="M550" s="236"/>
      <c r="N550" s="236"/>
      <c r="O550" s="236"/>
      <c r="P550" s="236"/>
      <c r="Q550" s="236"/>
      <c r="R550" s="236"/>
      <c r="S550" s="236"/>
      <c r="T550" s="236"/>
      <c r="U550" s="236"/>
      <c r="V550" s="236"/>
      <c r="W550" s="237"/>
      <c r="X550" s="237"/>
      <c r="Y550" s="237"/>
      <c r="Z550" s="237"/>
      <c r="AA550" s="237"/>
      <c r="AB550" s="237"/>
      <c r="AC550" s="237"/>
      <c r="AD550" s="237"/>
      <c r="AE550" s="237"/>
      <c r="AF550" s="237"/>
      <c r="AG550" s="237"/>
      <c r="AH550" s="237"/>
      <c r="AI550" s="98"/>
      <c r="AJ550" s="98"/>
      <c r="AK550" s="98"/>
      <c r="AL550" s="98"/>
      <c r="AM550" s="98"/>
      <c r="AN550" s="98"/>
      <c r="AO550" s="98"/>
    </row>
    <row r="551" ht="14.25" customHeight="1">
      <c r="A551" s="179"/>
      <c r="B551" s="98"/>
      <c r="C551" s="98"/>
      <c r="D551" s="98"/>
      <c r="E551" s="98"/>
      <c r="F551" s="235"/>
      <c r="G551" s="235"/>
      <c r="H551" s="236"/>
      <c r="I551" s="236"/>
      <c r="J551" s="236"/>
      <c r="K551" s="236"/>
      <c r="L551" s="236"/>
      <c r="M551" s="236"/>
      <c r="N551" s="236"/>
      <c r="O551" s="236"/>
      <c r="P551" s="236"/>
      <c r="Q551" s="236"/>
      <c r="R551" s="236"/>
      <c r="S551" s="236"/>
      <c r="T551" s="236"/>
      <c r="U551" s="236"/>
      <c r="V551" s="236"/>
      <c r="W551" s="237"/>
      <c r="X551" s="237"/>
      <c r="Y551" s="237"/>
      <c r="Z551" s="237"/>
      <c r="AA551" s="237"/>
      <c r="AB551" s="237"/>
      <c r="AC551" s="237"/>
      <c r="AD551" s="237"/>
      <c r="AE551" s="237"/>
      <c r="AF551" s="237"/>
      <c r="AG551" s="237"/>
      <c r="AH551" s="237"/>
      <c r="AI551" s="98"/>
      <c r="AJ551" s="98"/>
      <c r="AK551" s="98"/>
      <c r="AL551" s="98"/>
      <c r="AM551" s="98"/>
      <c r="AN551" s="98"/>
      <c r="AO551" s="98"/>
    </row>
    <row r="552" ht="14.25" customHeight="1">
      <c r="A552" s="179"/>
      <c r="B552" s="98"/>
      <c r="C552" s="98"/>
      <c r="D552" s="98"/>
      <c r="E552" s="98"/>
      <c r="F552" s="235"/>
      <c r="G552" s="235"/>
      <c r="H552" s="236"/>
      <c r="I552" s="236"/>
      <c r="J552" s="236"/>
      <c r="K552" s="236"/>
      <c r="L552" s="236"/>
      <c r="M552" s="236"/>
      <c r="N552" s="236"/>
      <c r="O552" s="236"/>
      <c r="P552" s="236"/>
      <c r="Q552" s="236"/>
      <c r="R552" s="236"/>
      <c r="S552" s="236"/>
      <c r="T552" s="236"/>
      <c r="U552" s="236"/>
      <c r="V552" s="236"/>
      <c r="W552" s="237"/>
      <c r="X552" s="237"/>
      <c r="Y552" s="237"/>
      <c r="Z552" s="237"/>
      <c r="AA552" s="237"/>
      <c r="AB552" s="237"/>
      <c r="AC552" s="237"/>
      <c r="AD552" s="237"/>
      <c r="AE552" s="237"/>
      <c r="AF552" s="237"/>
      <c r="AG552" s="237"/>
      <c r="AH552" s="237"/>
      <c r="AI552" s="98"/>
      <c r="AJ552" s="98"/>
      <c r="AK552" s="98"/>
      <c r="AL552" s="98"/>
      <c r="AM552" s="98"/>
      <c r="AN552" s="98"/>
      <c r="AO552" s="98"/>
    </row>
    <row r="553" ht="14.25" customHeight="1">
      <c r="A553" s="179"/>
      <c r="B553" s="98"/>
      <c r="C553" s="98"/>
      <c r="D553" s="98"/>
      <c r="E553" s="98"/>
      <c r="F553" s="235"/>
      <c r="G553" s="235"/>
      <c r="H553" s="236"/>
      <c r="I553" s="236"/>
      <c r="J553" s="236"/>
      <c r="K553" s="236"/>
      <c r="L553" s="236"/>
      <c r="M553" s="236"/>
      <c r="N553" s="236"/>
      <c r="O553" s="236"/>
      <c r="P553" s="236"/>
      <c r="Q553" s="236"/>
      <c r="R553" s="236"/>
      <c r="S553" s="236"/>
      <c r="T553" s="236"/>
      <c r="U553" s="236"/>
      <c r="V553" s="236"/>
      <c r="W553" s="237"/>
      <c r="X553" s="237"/>
      <c r="Y553" s="237"/>
      <c r="Z553" s="237"/>
      <c r="AA553" s="237"/>
      <c r="AB553" s="237"/>
      <c r="AC553" s="237"/>
      <c r="AD553" s="237"/>
      <c r="AE553" s="237"/>
      <c r="AF553" s="237"/>
      <c r="AG553" s="237"/>
      <c r="AH553" s="237"/>
      <c r="AI553" s="98"/>
      <c r="AJ553" s="98"/>
      <c r="AK553" s="98"/>
      <c r="AL553" s="98"/>
      <c r="AM553" s="98"/>
      <c r="AN553" s="98"/>
      <c r="AO553" s="98"/>
    </row>
    <row r="554" ht="14.25" customHeight="1">
      <c r="A554" s="179"/>
      <c r="B554" s="98"/>
      <c r="C554" s="98"/>
      <c r="D554" s="98"/>
      <c r="E554" s="98"/>
      <c r="F554" s="235"/>
      <c r="G554" s="235"/>
      <c r="H554" s="236"/>
      <c r="I554" s="236"/>
      <c r="J554" s="236"/>
      <c r="K554" s="236"/>
      <c r="L554" s="236"/>
      <c r="M554" s="236"/>
      <c r="N554" s="236"/>
      <c r="O554" s="236"/>
      <c r="P554" s="236"/>
      <c r="Q554" s="236"/>
      <c r="R554" s="236"/>
      <c r="S554" s="236"/>
      <c r="T554" s="236"/>
      <c r="U554" s="236"/>
      <c r="V554" s="236"/>
      <c r="W554" s="237"/>
      <c r="X554" s="237"/>
      <c r="Y554" s="237"/>
      <c r="Z554" s="237"/>
      <c r="AA554" s="237"/>
      <c r="AB554" s="237"/>
      <c r="AC554" s="237"/>
      <c r="AD554" s="237"/>
      <c r="AE554" s="237"/>
      <c r="AF554" s="237"/>
      <c r="AG554" s="237"/>
      <c r="AH554" s="237"/>
      <c r="AI554" s="98"/>
      <c r="AJ554" s="98"/>
      <c r="AK554" s="98"/>
      <c r="AL554" s="98"/>
      <c r="AM554" s="98"/>
      <c r="AN554" s="98"/>
      <c r="AO554" s="98"/>
    </row>
    <row r="555" ht="14.25" customHeight="1">
      <c r="A555" s="179"/>
      <c r="B555" s="98"/>
      <c r="C555" s="98"/>
      <c r="D555" s="98"/>
      <c r="E555" s="98"/>
      <c r="F555" s="235"/>
      <c r="G555" s="235"/>
      <c r="H555" s="236"/>
      <c r="I555" s="236"/>
      <c r="J555" s="236"/>
      <c r="K555" s="236"/>
      <c r="L555" s="236"/>
      <c r="M555" s="236"/>
      <c r="N555" s="236"/>
      <c r="O555" s="236"/>
      <c r="P555" s="236"/>
      <c r="Q555" s="236"/>
      <c r="R555" s="236"/>
      <c r="S555" s="236"/>
      <c r="T555" s="236"/>
      <c r="U555" s="236"/>
      <c r="V555" s="236"/>
      <c r="W555" s="237"/>
      <c r="X555" s="237"/>
      <c r="Y555" s="237"/>
      <c r="Z555" s="237"/>
      <c r="AA555" s="237"/>
      <c r="AB555" s="237"/>
      <c r="AC555" s="237"/>
      <c r="AD555" s="237"/>
      <c r="AE555" s="237"/>
      <c r="AF555" s="237"/>
      <c r="AG555" s="237"/>
      <c r="AH555" s="237"/>
      <c r="AI555" s="98"/>
      <c r="AJ555" s="98"/>
      <c r="AK555" s="98"/>
      <c r="AL555" s="98"/>
      <c r="AM555" s="98"/>
      <c r="AN555" s="98"/>
      <c r="AO555" s="98"/>
    </row>
    <row r="556" ht="14.25" customHeight="1">
      <c r="A556" s="179"/>
      <c r="B556" s="98"/>
      <c r="C556" s="98"/>
      <c r="D556" s="98"/>
      <c r="E556" s="98"/>
      <c r="F556" s="235"/>
      <c r="G556" s="235"/>
      <c r="H556" s="236"/>
      <c r="I556" s="236"/>
      <c r="J556" s="236"/>
      <c r="K556" s="236"/>
      <c r="L556" s="236"/>
      <c r="M556" s="236"/>
      <c r="N556" s="236"/>
      <c r="O556" s="236"/>
      <c r="P556" s="236"/>
      <c r="Q556" s="236"/>
      <c r="R556" s="236"/>
      <c r="S556" s="236"/>
      <c r="T556" s="236"/>
      <c r="U556" s="236"/>
      <c r="V556" s="236"/>
      <c r="W556" s="237"/>
      <c r="X556" s="237"/>
      <c r="Y556" s="237"/>
      <c r="Z556" s="237"/>
      <c r="AA556" s="237"/>
      <c r="AB556" s="237"/>
      <c r="AC556" s="237"/>
      <c r="AD556" s="237"/>
      <c r="AE556" s="237"/>
      <c r="AF556" s="237"/>
      <c r="AG556" s="237"/>
      <c r="AH556" s="237"/>
      <c r="AI556" s="98"/>
      <c r="AJ556" s="98"/>
      <c r="AK556" s="98"/>
      <c r="AL556" s="98"/>
      <c r="AM556" s="98"/>
      <c r="AN556" s="98"/>
      <c r="AO556" s="98"/>
    </row>
    <row r="557" ht="14.25" customHeight="1">
      <c r="A557" s="179"/>
      <c r="B557" s="98"/>
      <c r="C557" s="98"/>
      <c r="D557" s="98"/>
      <c r="E557" s="98"/>
      <c r="F557" s="235"/>
      <c r="G557" s="235"/>
      <c r="H557" s="236"/>
      <c r="I557" s="236"/>
      <c r="J557" s="236"/>
      <c r="K557" s="236"/>
      <c r="L557" s="236"/>
      <c r="M557" s="236"/>
      <c r="N557" s="236"/>
      <c r="O557" s="236"/>
      <c r="P557" s="236"/>
      <c r="Q557" s="236"/>
      <c r="R557" s="236"/>
      <c r="S557" s="236"/>
      <c r="T557" s="236"/>
      <c r="U557" s="236"/>
      <c r="V557" s="236"/>
      <c r="W557" s="237"/>
      <c r="X557" s="237"/>
      <c r="Y557" s="237"/>
      <c r="Z557" s="237"/>
      <c r="AA557" s="237"/>
      <c r="AB557" s="237"/>
      <c r="AC557" s="237"/>
      <c r="AD557" s="237"/>
      <c r="AE557" s="237"/>
      <c r="AF557" s="237"/>
      <c r="AG557" s="237"/>
      <c r="AH557" s="237"/>
      <c r="AI557" s="98"/>
      <c r="AJ557" s="98"/>
      <c r="AK557" s="98"/>
      <c r="AL557" s="98"/>
      <c r="AM557" s="98"/>
      <c r="AN557" s="98"/>
      <c r="AO557" s="98"/>
    </row>
    <row r="558" ht="14.25" customHeight="1">
      <c r="A558" s="179"/>
      <c r="B558" s="98"/>
      <c r="C558" s="98"/>
      <c r="D558" s="98"/>
      <c r="E558" s="98"/>
      <c r="F558" s="235"/>
      <c r="G558" s="235"/>
      <c r="H558" s="236"/>
      <c r="I558" s="236"/>
      <c r="J558" s="236"/>
      <c r="K558" s="236"/>
      <c r="L558" s="236"/>
      <c r="M558" s="236"/>
      <c r="N558" s="236"/>
      <c r="O558" s="236"/>
      <c r="P558" s="236"/>
      <c r="Q558" s="236"/>
      <c r="R558" s="236"/>
      <c r="S558" s="236"/>
      <c r="T558" s="236"/>
      <c r="U558" s="236"/>
      <c r="V558" s="236"/>
      <c r="W558" s="237"/>
      <c r="X558" s="237"/>
      <c r="Y558" s="237"/>
      <c r="Z558" s="237"/>
      <c r="AA558" s="237"/>
      <c r="AB558" s="237"/>
      <c r="AC558" s="237"/>
      <c r="AD558" s="237"/>
      <c r="AE558" s="237"/>
      <c r="AF558" s="237"/>
      <c r="AG558" s="237"/>
      <c r="AH558" s="237"/>
      <c r="AI558" s="98"/>
      <c r="AJ558" s="98"/>
      <c r="AK558" s="98"/>
      <c r="AL558" s="98"/>
      <c r="AM558" s="98"/>
      <c r="AN558" s="98"/>
      <c r="AO558" s="98"/>
    </row>
    <row r="559" ht="14.25" customHeight="1">
      <c r="A559" s="179"/>
      <c r="B559" s="98"/>
      <c r="C559" s="98"/>
      <c r="D559" s="98"/>
      <c r="E559" s="98"/>
      <c r="F559" s="235"/>
      <c r="G559" s="235"/>
      <c r="H559" s="236"/>
      <c r="I559" s="236"/>
      <c r="J559" s="236"/>
      <c r="K559" s="236"/>
      <c r="L559" s="236"/>
      <c r="M559" s="236"/>
      <c r="N559" s="236"/>
      <c r="O559" s="236"/>
      <c r="P559" s="236"/>
      <c r="Q559" s="236"/>
      <c r="R559" s="236"/>
      <c r="S559" s="236"/>
      <c r="T559" s="236"/>
      <c r="U559" s="236"/>
      <c r="V559" s="236"/>
      <c r="W559" s="237"/>
      <c r="X559" s="237"/>
      <c r="Y559" s="237"/>
      <c r="Z559" s="237"/>
      <c r="AA559" s="237"/>
      <c r="AB559" s="237"/>
      <c r="AC559" s="237"/>
      <c r="AD559" s="237"/>
      <c r="AE559" s="237"/>
      <c r="AF559" s="237"/>
      <c r="AG559" s="237"/>
      <c r="AH559" s="237"/>
      <c r="AI559" s="98"/>
      <c r="AJ559" s="98"/>
      <c r="AK559" s="98"/>
      <c r="AL559" s="98"/>
      <c r="AM559" s="98"/>
      <c r="AN559" s="98"/>
      <c r="AO559" s="98"/>
    </row>
    <row r="560" ht="14.25" customHeight="1">
      <c r="A560" s="179"/>
      <c r="B560" s="98"/>
      <c r="C560" s="98"/>
      <c r="D560" s="98"/>
      <c r="E560" s="98"/>
      <c r="F560" s="235"/>
      <c r="G560" s="235"/>
      <c r="H560" s="236"/>
      <c r="I560" s="236"/>
      <c r="J560" s="236"/>
      <c r="K560" s="236"/>
      <c r="L560" s="236"/>
      <c r="M560" s="236"/>
      <c r="N560" s="236"/>
      <c r="O560" s="236"/>
      <c r="P560" s="236"/>
      <c r="Q560" s="236"/>
      <c r="R560" s="236"/>
      <c r="S560" s="236"/>
      <c r="T560" s="236"/>
      <c r="U560" s="236"/>
      <c r="V560" s="236"/>
      <c r="W560" s="237"/>
      <c r="X560" s="237"/>
      <c r="Y560" s="237"/>
      <c r="Z560" s="237"/>
      <c r="AA560" s="237"/>
      <c r="AB560" s="237"/>
      <c r="AC560" s="237"/>
      <c r="AD560" s="237"/>
      <c r="AE560" s="237"/>
      <c r="AF560" s="237"/>
      <c r="AG560" s="237"/>
      <c r="AH560" s="237"/>
      <c r="AI560" s="98"/>
      <c r="AJ560" s="98"/>
      <c r="AK560" s="98"/>
      <c r="AL560" s="98"/>
      <c r="AM560" s="98"/>
      <c r="AN560" s="98"/>
      <c r="AO560" s="98"/>
    </row>
    <row r="561" ht="14.25" customHeight="1">
      <c r="A561" s="179"/>
      <c r="B561" s="98"/>
      <c r="C561" s="98"/>
      <c r="D561" s="98"/>
      <c r="E561" s="98"/>
      <c r="F561" s="235"/>
      <c r="G561" s="235"/>
      <c r="H561" s="236"/>
      <c r="I561" s="236"/>
      <c r="J561" s="236"/>
      <c r="K561" s="236"/>
      <c r="L561" s="236"/>
      <c r="M561" s="236"/>
      <c r="N561" s="236"/>
      <c r="O561" s="236"/>
      <c r="P561" s="236"/>
      <c r="Q561" s="236"/>
      <c r="R561" s="236"/>
      <c r="S561" s="236"/>
      <c r="T561" s="236"/>
      <c r="U561" s="236"/>
      <c r="V561" s="236"/>
      <c r="W561" s="237"/>
      <c r="X561" s="237"/>
      <c r="Y561" s="237"/>
      <c r="Z561" s="237"/>
      <c r="AA561" s="237"/>
      <c r="AB561" s="237"/>
      <c r="AC561" s="237"/>
      <c r="AD561" s="237"/>
      <c r="AE561" s="237"/>
      <c r="AF561" s="237"/>
      <c r="AG561" s="237"/>
      <c r="AH561" s="237"/>
      <c r="AI561" s="98"/>
      <c r="AJ561" s="98"/>
      <c r="AK561" s="98"/>
      <c r="AL561" s="98"/>
      <c r="AM561" s="98"/>
      <c r="AN561" s="98"/>
      <c r="AO561" s="98"/>
    </row>
    <row r="562" ht="14.25" customHeight="1">
      <c r="A562" s="179"/>
      <c r="B562" s="98"/>
      <c r="C562" s="98"/>
      <c r="D562" s="98"/>
      <c r="E562" s="98"/>
      <c r="F562" s="235"/>
      <c r="G562" s="235"/>
      <c r="H562" s="236"/>
      <c r="I562" s="236"/>
      <c r="J562" s="236"/>
      <c r="K562" s="236"/>
      <c r="L562" s="236"/>
      <c r="M562" s="236"/>
      <c r="N562" s="236"/>
      <c r="O562" s="236"/>
      <c r="P562" s="236"/>
      <c r="Q562" s="236"/>
      <c r="R562" s="236"/>
      <c r="S562" s="236"/>
      <c r="T562" s="236"/>
      <c r="U562" s="236"/>
      <c r="V562" s="236"/>
      <c r="W562" s="237"/>
      <c r="X562" s="237"/>
      <c r="Y562" s="237"/>
      <c r="Z562" s="237"/>
      <c r="AA562" s="237"/>
      <c r="AB562" s="237"/>
      <c r="AC562" s="237"/>
      <c r="AD562" s="237"/>
      <c r="AE562" s="237"/>
      <c r="AF562" s="237"/>
      <c r="AG562" s="237"/>
      <c r="AH562" s="237"/>
      <c r="AI562" s="98"/>
      <c r="AJ562" s="98"/>
      <c r="AK562" s="98"/>
      <c r="AL562" s="98"/>
      <c r="AM562" s="98"/>
      <c r="AN562" s="98"/>
      <c r="AO562" s="98"/>
    </row>
    <row r="563" ht="14.25" customHeight="1">
      <c r="A563" s="179"/>
      <c r="B563" s="98"/>
      <c r="C563" s="98"/>
      <c r="D563" s="98"/>
      <c r="E563" s="98"/>
      <c r="F563" s="235"/>
      <c r="G563" s="235"/>
      <c r="H563" s="236"/>
      <c r="I563" s="236"/>
      <c r="J563" s="236"/>
      <c r="K563" s="236"/>
      <c r="L563" s="236"/>
      <c r="M563" s="236"/>
      <c r="N563" s="236"/>
      <c r="O563" s="236"/>
      <c r="P563" s="236"/>
      <c r="Q563" s="236"/>
      <c r="R563" s="236"/>
      <c r="S563" s="236"/>
      <c r="T563" s="236"/>
      <c r="U563" s="236"/>
      <c r="V563" s="236"/>
      <c r="W563" s="237"/>
      <c r="X563" s="237"/>
      <c r="Y563" s="237"/>
      <c r="Z563" s="237"/>
      <c r="AA563" s="237"/>
      <c r="AB563" s="237"/>
      <c r="AC563" s="237"/>
      <c r="AD563" s="237"/>
      <c r="AE563" s="237"/>
      <c r="AF563" s="237"/>
      <c r="AG563" s="237"/>
      <c r="AH563" s="237"/>
      <c r="AI563" s="98"/>
      <c r="AJ563" s="98"/>
      <c r="AK563" s="98"/>
      <c r="AL563" s="98"/>
      <c r="AM563" s="98"/>
      <c r="AN563" s="98"/>
      <c r="AO563" s="98"/>
    </row>
    <row r="564" ht="14.25" customHeight="1">
      <c r="A564" s="179"/>
      <c r="B564" s="98"/>
      <c r="C564" s="98"/>
      <c r="D564" s="98"/>
      <c r="E564" s="98"/>
      <c r="F564" s="235"/>
      <c r="G564" s="235"/>
      <c r="H564" s="236"/>
      <c r="I564" s="236"/>
      <c r="J564" s="236"/>
      <c r="K564" s="236"/>
      <c r="L564" s="236"/>
      <c r="M564" s="236"/>
      <c r="N564" s="236"/>
      <c r="O564" s="236"/>
      <c r="P564" s="236"/>
      <c r="Q564" s="236"/>
      <c r="R564" s="236"/>
      <c r="S564" s="236"/>
      <c r="T564" s="236"/>
      <c r="U564" s="236"/>
      <c r="V564" s="236"/>
      <c r="W564" s="237"/>
      <c r="X564" s="237"/>
      <c r="Y564" s="237"/>
      <c r="Z564" s="237"/>
      <c r="AA564" s="237"/>
      <c r="AB564" s="237"/>
      <c r="AC564" s="237"/>
      <c r="AD564" s="237"/>
      <c r="AE564" s="237"/>
      <c r="AF564" s="237"/>
      <c r="AG564" s="237"/>
      <c r="AH564" s="237"/>
      <c r="AI564" s="98"/>
      <c r="AJ564" s="98"/>
      <c r="AK564" s="98"/>
      <c r="AL564" s="98"/>
      <c r="AM564" s="98"/>
      <c r="AN564" s="98"/>
      <c r="AO564" s="98"/>
    </row>
    <row r="565" ht="14.25" customHeight="1">
      <c r="A565" s="179"/>
      <c r="B565" s="98"/>
      <c r="C565" s="98"/>
      <c r="D565" s="98"/>
      <c r="E565" s="98"/>
      <c r="F565" s="235"/>
      <c r="G565" s="235"/>
      <c r="H565" s="236"/>
      <c r="I565" s="236"/>
      <c r="J565" s="236"/>
      <c r="K565" s="236"/>
      <c r="L565" s="236"/>
      <c r="M565" s="236"/>
      <c r="N565" s="236"/>
      <c r="O565" s="236"/>
      <c r="P565" s="236"/>
      <c r="Q565" s="236"/>
      <c r="R565" s="236"/>
      <c r="S565" s="236"/>
      <c r="T565" s="236"/>
      <c r="U565" s="236"/>
      <c r="V565" s="236"/>
      <c r="W565" s="237"/>
      <c r="X565" s="237"/>
      <c r="Y565" s="237"/>
      <c r="Z565" s="237"/>
      <c r="AA565" s="237"/>
      <c r="AB565" s="237"/>
      <c r="AC565" s="237"/>
      <c r="AD565" s="237"/>
      <c r="AE565" s="237"/>
      <c r="AF565" s="237"/>
      <c r="AG565" s="237"/>
      <c r="AH565" s="237"/>
      <c r="AI565" s="98"/>
      <c r="AJ565" s="98"/>
      <c r="AK565" s="98"/>
      <c r="AL565" s="98"/>
      <c r="AM565" s="98"/>
      <c r="AN565" s="98"/>
      <c r="AO565" s="98"/>
    </row>
    <row r="566" ht="14.25" customHeight="1">
      <c r="A566" s="179"/>
      <c r="B566" s="98"/>
      <c r="C566" s="98"/>
      <c r="D566" s="98"/>
      <c r="E566" s="98"/>
      <c r="F566" s="235"/>
      <c r="G566" s="235"/>
      <c r="H566" s="236"/>
      <c r="I566" s="236"/>
      <c r="J566" s="236"/>
      <c r="K566" s="236"/>
      <c r="L566" s="236"/>
      <c r="M566" s="236"/>
      <c r="N566" s="236"/>
      <c r="O566" s="236"/>
      <c r="P566" s="236"/>
      <c r="Q566" s="236"/>
      <c r="R566" s="236"/>
      <c r="S566" s="236"/>
      <c r="T566" s="236"/>
      <c r="U566" s="236"/>
      <c r="V566" s="236"/>
      <c r="W566" s="237"/>
      <c r="X566" s="237"/>
      <c r="Y566" s="237"/>
      <c r="Z566" s="237"/>
      <c r="AA566" s="237"/>
      <c r="AB566" s="237"/>
      <c r="AC566" s="237"/>
      <c r="AD566" s="237"/>
      <c r="AE566" s="237"/>
      <c r="AF566" s="237"/>
      <c r="AG566" s="237"/>
      <c r="AH566" s="237"/>
      <c r="AI566" s="98"/>
      <c r="AJ566" s="98"/>
      <c r="AK566" s="98"/>
      <c r="AL566" s="98"/>
      <c r="AM566" s="98"/>
      <c r="AN566" s="98"/>
      <c r="AO566" s="98"/>
    </row>
    <row r="567" ht="14.25" customHeight="1">
      <c r="A567" s="179"/>
      <c r="B567" s="98"/>
      <c r="C567" s="98"/>
      <c r="D567" s="98"/>
      <c r="E567" s="98"/>
      <c r="F567" s="235"/>
      <c r="G567" s="235"/>
      <c r="H567" s="236"/>
      <c r="I567" s="236"/>
      <c r="J567" s="236"/>
      <c r="K567" s="236"/>
      <c r="L567" s="236"/>
      <c r="M567" s="236"/>
      <c r="N567" s="236"/>
      <c r="O567" s="236"/>
      <c r="P567" s="236"/>
      <c r="Q567" s="236"/>
      <c r="R567" s="236"/>
      <c r="S567" s="236"/>
      <c r="T567" s="236"/>
      <c r="U567" s="236"/>
      <c r="V567" s="236"/>
      <c r="W567" s="237"/>
      <c r="X567" s="237"/>
      <c r="Y567" s="237"/>
      <c r="Z567" s="237"/>
      <c r="AA567" s="237"/>
      <c r="AB567" s="237"/>
      <c r="AC567" s="237"/>
      <c r="AD567" s="237"/>
      <c r="AE567" s="237"/>
      <c r="AF567" s="237"/>
      <c r="AG567" s="237"/>
      <c r="AH567" s="237"/>
      <c r="AI567" s="98"/>
      <c r="AJ567" s="98"/>
      <c r="AK567" s="98"/>
      <c r="AL567" s="98"/>
      <c r="AM567" s="98"/>
      <c r="AN567" s="98"/>
      <c r="AO567" s="98"/>
    </row>
    <row r="568" ht="14.25" customHeight="1">
      <c r="A568" s="179"/>
      <c r="B568" s="98"/>
      <c r="C568" s="98"/>
      <c r="D568" s="98"/>
      <c r="E568" s="98"/>
      <c r="F568" s="235"/>
      <c r="G568" s="235"/>
      <c r="H568" s="236"/>
      <c r="I568" s="236"/>
      <c r="J568" s="236"/>
      <c r="K568" s="236"/>
      <c r="L568" s="236"/>
      <c r="M568" s="236"/>
      <c r="N568" s="236"/>
      <c r="O568" s="236"/>
      <c r="P568" s="236"/>
      <c r="Q568" s="236"/>
      <c r="R568" s="236"/>
      <c r="S568" s="236"/>
      <c r="T568" s="236"/>
      <c r="U568" s="236"/>
      <c r="V568" s="236"/>
      <c r="W568" s="237"/>
      <c r="X568" s="237"/>
      <c r="Y568" s="237"/>
      <c r="Z568" s="237"/>
      <c r="AA568" s="237"/>
      <c r="AB568" s="237"/>
      <c r="AC568" s="237"/>
      <c r="AD568" s="237"/>
      <c r="AE568" s="237"/>
      <c r="AF568" s="237"/>
      <c r="AG568" s="237"/>
      <c r="AH568" s="237"/>
      <c r="AI568" s="98"/>
      <c r="AJ568" s="98"/>
      <c r="AK568" s="98"/>
      <c r="AL568" s="98"/>
      <c r="AM568" s="98"/>
      <c r="AN568" s="98"/>
      <c r="AO568" s="98"/>
    </row>
    <row r="569" ht="14.25" customHeight="1">
      <c r="A569" s="179"/>
      <c r="B569" s="98"/>
      <c r="C569" s="98"/>
      <c r="D569" s="98"/>
      <c r="E569" s="98"/>
      <c r="F569" s="235"/>
      <c r="G569" s="235"/>
      <c r="H569" s="236"/>
      <c r="I569" s="236"/>
      <c r="J569" s="236"/>
      <c r="K569" s="236"/>
      <c r="L569" s="236"/>
      <c r="M569" s="236"/>
      <c r="N569" s="236"/>
      <c r="O569" s="236"/>
      <c r="P569" s="236"/>
      <c r="Q569" s="236"/>
      <c r="R569" s="236"/>
      <c r="S569" s="236"/>
      <c r="T569" s="236"/>
      <c r="U569" s="236"/>
      <c r="V569" s="236"/>
      <c r="W569" s="237"/>
      <c r="X569" s="237"/>
      <c r="Y569" s="237"/>
      <c r="Z569" s="237"/>
      <c r="AA569" s="237"/>
      <c r="AB569" s="237"/>
      <c r="AC569" s="237"/>
      <c r="AD569" s="237"/>
      <c r="AE569" s="237"/>
      <c r="AF569" s="237"/>
      <c r="AG569" s="237"/>
      <c r="AH569" s="237"/>
      <c r="AI569" s="98"/>
      <c r="AJ569" s="98"/>
      <c r="AK569" s="98"/>
      <c r="AL569" s="98"/>
      <c r="AM569" s="98"/>
      <c r="AN569" s="98"/>
      <c r="AO569" s="98"/>
    </row>
    <row r="570" ht="14.25" customHeight="1">
      <c r="A570" s="179"/>
      <c r="B570" s="98"/>
      <c r="C570" s="98"/>
      <c r="D570" s="98"/>
      <c r="E570" s="98"/>
      <c r="F570" s="235"/>
      <c r="G570" s="235"/>
      <c r="H570" s="236"/>
      <c r="I570" s="236"/>
      <c r="J570" s="236"/>
      <c r="K570" s="236"/>
      <c r="L570" s="236"/>
      <c r="M570" s="236"/>
      <c r="N570" s="236"/>
      <c r="O570" s="236"/>
      <c r="P570" s="236"/>
      <c r="Q570" s="236"/>
      <c r="R570" s="236"/>
      <c r="S570" s="236"/>
      <c r="T570" s="236"/>
      <c r="U570" s="236"/>
      <c r="V570" s="236"/>
      <c r="W570" s="237"/>
      <c r="X570" s="237"/>
      <c r="Y570" s="237"/>
      <c r="Z570" s="237"/>
      <c r="AA570" s="237"/>
      <c r="AB570" s="237"/>
      <c r="AC570" s="237"/>
      <c r="AD570" s="237"/>
      <c r="AE570" s="237"/>
      <c r="AF570" s="237"/>
      <c r="AG570" s="237"/>
      <c r="AH570" s="237"/>
      <c r="AI570" s="98"/>
      <c r="AJ570" s="98"/>
      <c r="AK570" s="98"/>
      <c r="AL570" s="98"/>
      <c r="AM570" s="98"/>
      <c r="AN570" s="98"/>
      <c r="AO570" s="98"/>
    </row>
    <row r="571" ht="14.25" customHeight="1">
      <c r="A571" s="179"/>
      <c r="B571" s="98"/>
      <c r="C571" s="98"/>
      <c r="D571" s="98"/>
      <c r="E571" s="98"/>
      <c r="F571" s="235"/>
      <c r="G571" s="235"/>
      <c r="H571" s="236"/>
      <c r="I571" s="236"/>
      <c r="J571" s="236"/>
      <c r="K571" s="236"/>
      <c r="L571" s="236"/>
      <c r="M571" s="236"/>
      <c r="N571" s="236"/>
      <c r="O571" s="236"/>
      <c r="P571" s="236"/>
      <c r="Q571" s="236"/>
      <c r="R571" s="236"/>
      <c r="S571" s="236"/>
      <c r="T571" s="236"/>
      <c r="U571" s="236"/>
      <c r="V571" s="236"/>
      <c r="W571" s="237"/>
      <c r="X571" s="237"/>
      <c r="Y571" s="237"/>
      <c r="Z571" s="237"/>
      <c r="AA571" s="237"/>
      <c r="AB571" s="237"/>
      <c r="AC571" s="237"/>
      <c r="AD571" s="237"/>
      <c r="AE571" s="237"/>
      <c r="AF571" s="237"/>
      <c r="AG571" s="237"/>
      <c r="AH571" s="237"/>
      <c r="AI571" s="98"/>
      <c r="AJ571" s="98"/>
      <c r="AK571" s="98"/>
      <c r="AL571" s="98"/>
      <c r="AM571" s="98"/>
      <c r="AN571" s="98"/>
      <c r="AO571" s="98"/>
    </row>
    <row r="572" ht="14.25" customHeight="1">
      <c r="A572" s="179"/>
      <c r="B572" s="98"/>
      <c r="C572" s="98"/>
      <c r="D572" s="98"/>
      <c r="E572" s="98"/>
      <c r="F572" s="235"/>
      <c r="G572" s="235"/>
      <c r="H572" s="236"/>
      <c r="I572" s="236"/>
      <c r="J572" s="236"/>
      <c r="K572" s="236"/>
      <c r="L572" s="236"/>
      <c r="M572" s="236"/>
      <c r="N572" s="236"/>
      <c r="O572" s="236"/>
      <c r="P572" s="236"/>
      <c r="Q572" s="236"/>
      <c r="R572" s="236"/>
      <c r="S572" s="236"/>
      <c r="T572" s="236"/>
      <c r="U572" s="236"/>
      <c r="V572" s="236"/>
      <c r="W572" s="237"/>
      <c r="X572" s="237"/>
      <c r="Y572" s="237"/>
      <c r="Z572" s="237"/>
      <c r="AA572" s="237"/>
      <c r="AB572" s="237"/>
      <c r="AC572" s="237"/>
      <c r="AD572" s="237"/>
      <c r="AE572" s="237"/>
      <c r="AF572" s="237"/>
      <c r="AG572" s="237"/>
      <c r="AH572" s="237"/>
      <c r="AI572" s="98"/>
      <c r="AJ572" s="98"/>
      <c r="AK572" s="98"/>
      <c r="AL572" s="98"/>
      <c r="AM572" s="98"/>
      <c r="AN572" s="98"/>
      <c r="AO572" s="98"/>
    </row>
    <row r="573" ht="14.25" customHeight="1">
      <c r="A573" s="179"/>
      <c r="B573" s="98"/>
      <c r="C573" s="98"/>
      <c r="D573" s="98"/>
      <c r="E573" s="98"/>
      <c r="F573" s="235"/>
      <c r="G573" s="235"/>
      <c r="H573" s="236"/>
      <c r="I573" s="236"/>
      <c r="J573" s="236"/>
      <c r="K573" s="236"/>
      <c r="L573" s="236"/>
      <c r="M573" s="236"/>
      <c r="N573" s="236"/>
      <c r="O573" s="236"/>
      <c r="P573" s="236"/>
      <c r="Q573" s="236"/>
      <c r="R573" s="236"/>
      <c r="S573" s="236"/>
      <c r="T573" s="236"/>
      <c r="U573" s="236"/>
      <c r="V573" s="236"/>
      <c r="W573" s="237"/>
      <c r="X573" s="237"/>
      <c r="Y573" s="237"/>
      <c r="Z573" s="237"/>
      <c r="AA573" s="237"/>
      <c r="AB573" s="237"/>
      <c r="AC573" s="237"/>
      <c r="AD573" s="237"/>
      <c r="AE573" s="237"/>
      <c r="AF573" s="237"/>
      <c r="AG573" s="237"/>
      <c r="AH573" s="237"/>
      <c r="AI573" s="98"/>
      <c r="AJ573" s="98"/>
      <c r="AK573" s="98"/>
      <c r="AL573" s="98"/>
      <c r="AM573" s="98"/>
      <c r="AN573" s="98"/>
      <c r="AO573" s="98"/>
    </row>
    <row r="574" ht="14.25" customHeight="1">
      <c r="A574" s="179"/>
      <c r="B574" s="98"/>
      <c r="C574" s="98"/>
      <c r="D574" s="98"/>
      <c r="E574" s="98"/>
      <c r="F574" s="235"/>
      <c r="G574" s="235"/>
      <c r="H574" s="236"/>
      <c r="I574" s="236"/>
      <c r="J574" s="236"/>
      <c r="K574" s="236"/>
      <c r="L574" s="236"/>
      <c r="M574" s="236"/>
      <c r="N574" s="236"/>
      <c r="O574" s="236"/>
      <c r="P574" s="236"/>
      <c r="Q574" s="236"/>
      <c r="R574" s="236"/>
      <c r="S574" s="236"/>
      <c r="T574" s="236"/>
      <c r="U574" s="236"/>
      <c r="V574" s="236"/>
      <c r="W574" s="237"/>
      <c r="X574" s="237"/>
      <c r="Y574" s="237"/>
      <c r="Z574" s="237"/>
      <c r="AA574" s="237"/>
      <c r="AB574" s="237"/>
      <c r="AC574" s="237"/>
      <c r="AD574" s="237"/>
      <c r="AE574" s="237"/>
      <c r="AF574" s="237"/>
      <c r="AG574" s="237"/>
      <c r="AH574" s="237"/>
      <c r="AI574" s="98"/>
      <c r="AJ574" s="98"/>
      <c r="AK574" s="98"/>
      <c r="AL574" s="98"/>
      <c r="AM574" s="98"/>
      <c r="AN574" s="98"/>
      <c r="AO574" s="98"/>
    </row>
    <row r="575" ht="14.25" customHeight="1">
      <c r="A575" s="179"/>
      <c r="B575" s="98"/>
      <c r="C575" s="98"/>
      <c r="D575" s="98"/>
      <c r="E575" s="98"/>
      <c r="F575" s="235"/>
      <c r="G575" s="235"/>
      <c r="H575" s="236"/>
      <c r="I575" s="236"/>
      <c r="J575" s="236"/>
      <c r="K575" s="236"/>
      <c r="L575" s="236"/>
      <c r="M575" s="236"/>
      <c r="N575" s="236"/>
      <c r="O575" s="236"/>
      <c r="P575" s="236"/>
      <c r="Q575" s="236"/>
      <c r="R575" s="236"/>
      <c r="S575" s="236"/>
      <c r="T575" s="236"/>
      <c r="U575" s="236"/>
      <c r="V575" s="236"/>
      <c r="W575" s="237"/>
      <c r="X575" s="237"/>
      <c r="Y575" s="237"/>
      <c r="Z575" s="237"/>
      <c r="AA575" s="237"/>
      <c r="AB575" s="237"/>
      <c r="AC575" s="237"/>
      <c r="AD575" s="237"/>
      <c r="AE575" s="237"/>
      <c r="AF575" s="237"/>
      <c r="AG575" s="237"/>
      <c r="AH575" s="237"/>
      <c r="AI575" s="98"/>
      <c r="AJ575" s="98"/>
      <c r="AK575" s="98"/>
      <c r="AL575" s="98"/>
      <c r="AM575" s="98"/>
      <c r="AN575" s="98"/>
      <c r="AO575" s="98"/>
    </row>
    <row r="576" ht="14.25" customHeight="1">
      <c r="A576" s="179"/>
      <c r="B576" s="98"/>
      <c r="C576" s="98"/>
      <c r="D576" s="98"/>
      <c r="E576" s="98"/>
      <c r="F576" s="235"/>
      <c r="G576" s="235"/>
      <c r="H576" s="236"/>
      <c r="I576" s="236"/>
      <c r="J576" s="236"/>
      <c r="K576" s="236"/>
      <c r="L576" s="236"/>
      <c r="M576" s="236"/>
      <c r="N576" s="236"/>
      <c r="O576" s="236"/>
      <c r="P576" s="236"/>
      <c r="Q576" s="236"/>
      <c r="R576" s="236"/>
      <c r="S576" s="236"/>
      <c r="T576" s="236"/>
      <c r="U576" s="236"/>
      <c r="V576" s="236"/>
      <c r="W576" s="237"/>
      <c r="X576" s="237"/>
      <c r="Y576" s="237"/>
      <c r="Z576" s="237"/>
      <c r="AA576" s="237"/>
      <c r="AB576" s="237"/>
      <c r="AC576" s="237"/>
      <c r="AD576" s="237"/>
      <c r="AE576" s="237"/>
      <c r="AF576" s="237"/>
      <c r="AG576" s="237"/>
      <c r="AH576" s="237"/>
      <c r="AI576" s="98"/>
      <c r="AJ576" s="98"/>
      <c r="AK576" s="98"/>
      <c r="AL576" s="98"/>
      <c r="AM576" s="98"/>
      <c r="AN576" s="98"/>
      <c r="AO576" s="98"/>
    </row>
    <row r="577" ht="14.25" customHeight="1">
      <c r="A577" s="179"/>
      <c r="B577" s="98"/>
      <c r="C577" s="98"/>
      <c r="D577" s="98"/>
      <c r="E577" s="98"/>
      <c r="F577" s="235"/>
      <c r="G577" s="235"/>
      <c r="H577" s="236"/>
      <c r="I577" s="236"/>
      <c r="J577" s="236"/>
      <c r="K577" s="236"/>
      <c r="L577" s="236"/>
      <c r="M577" s="236"/>
      <c r="N577" s="236"/>
      <c r="O577" s="236"/>
      <c r="P577" s="236"/>
      <c r="Q577" s="236"/>
      <c r="R577" s="236"/>
      <c r="S577" s="236"/>
      <c r="T577" s="236"/>
      <c r="U577" s="236"/>
      <c r="V577" s="236"/>
      <c r="W577" s="237"/>
      <c r="X577" s="237"/>
      <c r="Y577" s="237"/>
      <c r="Z577" s="237"/>
      <c r="AA577" s="237"/>
      <c r="AB577" s="237"/>
      <c r="AC577" s="237"/>
      <c r="AD577" s="237"/>
      <c r="AE577" s="237"/>
      <c r="AF577" s="237"/>
      <c r="AG577" s="237"/>
      <c r="AH577" s="237"/>
      <c r="AI577" s="98"/>
      <c r="AJ577" s="98"/>
      <c r="AK577" s="98"/>
      <c r="AL577" s="98"/>
      <c r="AM577" s="98"/>
      <c r="AN577" s="98"/>
      <c r="AO577" s="98"/>
    </row>
    <row r="578" ht="14.25" customHeight="1">
      <c r="A578" s="179"/>
      <c r="B578" s="98"/>
      <c r="C578" s="98"/>
      <c r="D578" s="98"/>
      <c r="E578" s="98"/>
      <c r="F578" s="235"/>
      <c r="G578" s="235"/>
      <c r="H578" s="236"/>
      <c r="I578" s="236"/>
      <c r="J578" s="236"/>
      <c r="K578" s="236"/>
      <c r="L578" s="236"/>
      <c r="M578" s="236"/>
      <c r="N578" s="236"/>
      <c r="O578" s="236"/>
      <c r="P578" s="236"/>
      <c r="Q578" s="236"/>
      <c r="R578" s="236"/>
      <c r="S578" s="236"/>
      <c r="T578" s="236"/>
      <c r="U578" s="236"/>
      <c r="V578" s="236"/>
      <c r="W578" s="237"/>
      <c r="X578" s="237"/>
      <c r="Y578" s="237"/>
      <c r="Z578" s="237"/>
      <c r="AA578" s="237"/>
      <c r="AB578" s="237"/>
      <c r="AC578" s="237"/>
      <c r="AD578" s="237"/>
      <c r="AE578" s="237"/>
      <c r="AF578" s="237"/>
      <c r="AG578" s="237"/>
      <c r="AH578" s="237"/>
      <c r="AI578" s="98"/>
      <c r="AJ578" s="98"/>
      <c r="AK578" s="98"/>
      <c r="AL578" s="98"/>
      <c r="AM578" s="98"/>
      <c r="AN578" s="98"/>
      <c r="AO578" s="98"/>
    </row>
    <row r="579" ht="14.25" customHeight="1">
      <c r="A579" s="179"/>
      <c r="B579" s="98"/>
      <c r="C579" s="98"/>
      <c r="D579" s="98"/>
      <c r="E579" s="98"/>
      <c r="F579" s="235"/>
      <c r="G579" s="235"/>
      <c r="H579" s="236"/>
      <c r="I579" s="236"/>
      <c r="J579" s="236"/>
      <c r="K579" s="236"/>
      <c r="L579" s="236"/>
      <c r="M579" s="236"/>
      <c r="N579" s="236"/>
      <c r="O579" s="236"/>
      <c r="P579" s="236"/>
      <c r="Q579" s="236"/>
      <c r="R579" s="236"/>
      <c r="S579" s="236"/>
      <c r="T579" s="236"/>
      <c r="U579" s="236"/>
      <c r="V579" s="236"/>
      <c r="W579" s="237"/>
      <c r="X579" s="237"/>
      <c r="Y579" s="237"/>
      <c r="Z579" s="237"/>
      <c r="AA579" s="237"/>
      <c r="AB579" s="237"/>
      <c r="AC579" s="237"/>
      <c r="AD579" s="237"/>
      <c r="AE579" s="237"/>
      <c r="AF579" s="237"/>
      <c r="AG579" s="237"/>
      <c r="AH579" s="237"/>
      <c r="AI579" s="98"/>
      <c r="AJ579" s="98"/>
      <c r="AK579" s="98"/>
      <c r="AL579" s="98"/>
      <c r="AM579" s="98"/>
      <c r="AN579" s="98"/>
      <c r="AO579" s="98"/>
    </row>
    <row r="580" ht="14.25" customHeight="1">
      <c r="A580" s="179"/>
      <c r="B580" s="98"/>
      <c r="C580" s="98"/>
      <c r="D580" s="98"/>
      <c r="E580" s="98"/>
      <c r="F580" s="235"/>
      <c r="G580" s="235"/>
      <c r="H580" s="236"/>
      <c r="I580" s="236"/>
      <c r="J580" s="236"/>
      <c r="K580" s="236"/>
      <c r="L580" s="236"/>
      <c r="M580" s="236"/>
      <c r="N580" s="236"/>
      <c r="O580" s="236"/>
      <c r="P580" s="236"/>
      <c r="Q580" s="236"/>
      <c r="R580" s="236"/>
      <c r="S580" s="236"/>
      <c r="T580" s="236"/>
      <c r="U580" s="236"/>
      <c r="V580" s="236"/>
      <c r="W580" s="237"/>
      <c r="X580" s="237"/>
      <c r="Y580" s="237"/>
      <c r="Z580" s="237"/>
      <c r="AA580" s="237"/>
      <c r="AB580" s="237"/>
      <c r="AC580" s="237"/>
      <c r="AD580" s="237"/>
      <c r="AE580" s="237"/>
      <c r="AF580" s="237"/>
      <c r="AG580" s="237"/>
      <c r="AH580" s="237"/>
      <c r="AI580" s="98"/>
      <c r="AJ580" s="98"/>
      <c r="AK580" s="98"/>
      <c r="AL580" s="98"/>
      <c r="AM580" s="98"/>
      <c r="AN580" s="98"/>
      <c r="AO580" s="98"/>
    </row>
    <row r="581" ht="14.25" customHeight="1">
      <c r="A581" s="179"/>
      <c r="B581" s="98"/>
      <c r="C581" s="98"/>
      <c r="D581" s="98"/>
      <c r="E581" s="98"/>
      <c r="F581" s="235"/>
      <c r="G581" s="235"/>
      <c r="H581" s="236"/>
      <c r="I581" s="236"/>
      <c r="J581" s="236"/>
      <c r="K581" s="236"/>
      <c r="L581" s="236"/>
      <c r="M581" s="236"/>
      <c r="N581" s="236"/>
      <c r="O581" s="236"/>
      <c r="P581" s="236"/>
      <c r="Q581" s="236"/>
      <c r="R581" s="236"/>
      <c r="S581" s="236"/>
      <c r="T581" s="236"/>
      <c r="U581" s="236"/>
      <c r="V581" s="236"/>
      <c r="W581" s="237"/>
      <c r="X581" s="237"/>
      <c r="Y581" s="237"/>
      <c r="Z581" s="237"/>
      <c r="AA581" s="237"/>
      <c r="AB581" s="237"/>
      <c r="AC581" s="237"/>
      <c r="AD581" s="237"/>
      <c r="AE581" s="237"/>
      <c r="AF581" s="237"/>
      <c r="AG581" s="237"/>
      <c r="AH581" s="237"/>
      <c r="AI581" s="98"/>
      <c r="AJ581" s="98"/>
      <c r="AK581" s="98"/>
      <c r="AL581" s="98"/>
      <c r="AM581" s="98"/>
      <c r="AN581" s="98"/>
      <c r="AO581" s="98"/>
    </row>
    <row r="582" ht="14.25" customHeight="1">
      <c r="A582" s="179"/>
      <c r="B582" s="98"/>
      <c r="C582" s="98"/>
      <c r="D582" s="98"/>
      <c r="E582" s="98"/>
      <c r="F582" s="235"/>
      <c r="G582" s="235"/>
      <c r="H582" s="236"/>
      <c r="I582" s="236"/>
      <c r="J582" s="236"/>
      <c r="K582" s="236"/>
      <c r="L582" s="236"/>
      <c r="M582" s="236"/>
      <c r="N582" s="236"/>
      <c r="O582" s="236"/>
      <c r="P582" s="236"/>
      <c r="Q582" s="236"/>
      <c r="R582" s="236"/>
      <c r="S582" s="236"/>
      <c r="T582" s="236"/>
      <c r="U582" s="236"/>
      <c r="V582" s="236"/>
      <c r="W582" s="237"/>
      <c r="X582" s="237"/>
      <c r="Y582" s="237"/>
      <c r="Z582" s="237"/>
      <c r="AA582" s="237"/>
      <c r="AB582" s="237"/>
      <c r="AC582" s="237"/>
      <c r="AD582" s="237"/>
      <c r="AE582" s="237"/>
      <c r="AF582" s="237"/>
      <c r="AG582" s="237"/>
      <c r="AH582" s="237"/>
      <c r="AI582" s="98"/>
      <c r="AJ582" s="98"/>
      <c r="AK582" s="98"/>
      <c r="AL582" s="98"/>
      <c r="AM582" s="98"/>
      <c r="AN582" s="98"/>
      <c r="AO582" s="98"/>
    </row>
    <row r="583" ht="14.25" customHeight="1">
      <c r="A583" s="179"/>
      <c r="B583" s="98"/>
      <c r="C583" s="98"/>
      <c r="D583" s="98"/>
      <c r="E583" s="98"/>
      <c r="F583" s="235"/>
      <c r="G583" s="235"/>
      <c r="H583" s="236"/>
      <c r="I583" s="236"/>
      <c r="J583" s="236"/>
      <c r="K583" s="236"/>
      <c r="L583" s="236"/>
      <c r="M583" s="236"/>
      <c r="N583" s="236"/>
      <c r="O583" s="236"/>
      <c r="P583" s="236"/>
      <c r="Q583" s="236"/>
      <c r="R583" s="236"/>
      <c r="S583" s="236"/>
      <c r="T583" s="236"/>
      <c r="U583" s="236"/>
      <c r="V583" s="236"/>
      <c r="W583" s="237"/>
      <c r="X583" s="237"/>
      <c r="Y583" s="237"/>
      <c r="Z583" s="237"/>
      <c r="AA583" s="237"/>
      <c r="AB583" s="237"/>
      <c r="AC583" s="237"/>
      <c r="AD583" s="237"/>
      <c r="AE583" s="237"/>
      <c r="AF583" s="237"/>
      <c r="AG583" s="237"/>
      <c r="AH583" s="237"/>
      <c r="AI583" s="98"/>
      <c r="AJ583" s="98"/>
      <c r="AK583" s="98"/>
      <c r="AL583" s="98"/>
      <c r="AM583" s="98"/>
      <c r="AN583" s="98"/>
      <c r="AO583" s="98"/>
    </row>
    <row r="584" ht="14.25" customHeight="1">
      <c r="A584" s="179"/>
      <c r="B584" s="98"/>
      <c r="C584" s="98"/>
      <c r="D584" s="98"/>
      <c r="E584" s="98"/>
      <c r="F584" s="235"/>
      <c r="G584" s="235"/>
      <c r="H584" s="236"/>
      <c r="I584" s="236"/>
      <c r="J584" s="236"/>
      <c r="K584" s="236"/>
      <c r="L584" s="236"/>
      <c r="M584" s="236"/>
      <c r="N584" s="236"/>
      <c r="O584" s="236"/>
      <c r="P584" s="236"/>
      <c r="Q584" s="236"/>
      <c r="R584" s="236"/>
      <c r="S584" s="236"/>
      <c r="T584" s="236"/>
      <c r="U584" s="236"/>
      <c r="V584" s="236"/>
      <c r="W584" s="237"/>
      <c r="X584" s="237"/>
      <c r="Y584" s="237"/>
      <c r="Z584" s="237"/>
      <c r="AA584" s="237"/>
      <c r="AB584" s="237"/>
      <c r="AC584" s="237"/>
      <c r="AD584" s="237"/>
      <c r="AE584" s="237"/>
      <c r="AF584" s="237"/>
      <c r="AG584" s="237"/>
      <c r="AH584" s="237"/>
      <c r="AI584" s="98"/>
      <c r="AJ584" s="98"/>
      <c r="AK584" s="98"/>
      <c r="AL584" s="98"/>
      <c r="AM584" s="98"/>
      <c r="AN584" s="98"/>
      <c r="AO584" s="98"/>
    </row>
    <row r="585" ht="14.25" customHeight="1">
      <c r="A585" s="179"/>
      <c r="B585" s="98"/>
      <c r="C585" s="98"/>
      <c r="D585" s="98"/>
      <c r="E585" s="98"/>
      <c r="F585" s="235"/>
      <c r="G585" s="235"/>
      <c r="H585" s="236"/>
      <c r="I585" s="236"/>
      <c r="J585" s="236"/>
      <c r="K585" s="236"/>
      <c r="L585" s="236"/>
      <c r="M585" s="236"/>
      <c r="N585" s="236"/>
      <c r="O585" s="236"/>
      <c r="P585" s="236"/>
      <c r="Q585" s="236"/>
      <c r="R585" s="236"/>
      <c r="S585" s="236"/>
      <c r="T585" s="236"/>
      <c r="U585" s="236"/>
      <c r="V585" s="236"/>
      <c r="W585" s="237"/>
      <c r="X585" s="237"/>
      <c r="Y585" s="237"/>
      <c r="Z585" s="237"/>
      <c r="AA585" s="237"/>
      <c r="AB585" s="237"/>
      <c r="AC585" s="237"/>
      <c r="AD585" s="237"/>
      <c r="AE585" s="237"/>
      <c r="AF585" s="237"/>
      <c r="AG585" s="237"/>
      <c r="AH585" s="237"/>
      <c r="AI585" s="98"/>
      <c r="AJ585" s="98"/>
      <c r="AK585" s="98"/>
      <c r="AL585" s="98"/>
      <c r="AM585" s="98"/>
      <c r="AN585" s="98"/>
      <c r="AO585" s="98"/>
    </row>
    <row r="586" ht="14.25" customHeight="1">
      <c r="A586" s="179"/>
      <c r="B586" s="98"/>
      <c r="C586" s="98"/>
      <c r="D586" s="98"/>
      <c r="E586" s="98"/>
      <c r="F586" s="235"/>
      <c r="G586" s="235"/>
      <c r="H586" s="236"/>
      <c r="I586" s="236"/>
      <c r="J586" s="236"/>
      <c r="K586" s="236"/>
      <c r="L586" s="236"/>
      <c r="M586" s="236"/>
      <c r="N586" s="236"/>
      <c r="O586" s="236"/>
      <c r="P586" s="236"/>
      <c r="Q586" s="236"/>
      <c r="R586" s="236"/>
      <c r="S586" s="236"/>
      <c r="T586" s="236"/>
      <c r="U586" s="236"/>
      <c r="V586" s="236"/>
      <c r="W586" s="237"/>
      <c r="X586" s="237"/>
      <c r="Y586" s="237"/>
      <c r="Z586" s="237"/>
      <c r="AA586" s="237"/>
      <c r="AB586" s="237"/>
      <c r="AC586" s="237"/>
      <c r="AD586" s="237"/>
      <c r="AE586" s="237"/>
      <c r="AF586" s="237"/>
      <c r="AG586" s="237"/>
      <c r="AH586" s="237"/>
      <c r="AI586" s="98"/>
      <c r="AJ586" s="98"/>
      <c r="AK586" s="98"/>
      <c r="AL586" s="98"/>
      <c r="AM586" s="98"/>
      <c r="AN586" s="98"/>
      <c r="AO586" s="98"/>
    </row>
    <row r="587" ht="14.25" customHeight="1">
      <c r="A587" s="179"/>
      <c r="B587" s="98"/>
      <c r="C587" s="98"/>
      <c r="D587" s="98"/>
      <c r="E587" s="98"/>
      <c r="F587" s="235"/>
      <c r="G587" s="235"/>
      <c r="H587" s="236"/>
      <c r="I587" s="236"/>
      <c r="J587" s="236"/>
      <c r="K587" s="236"/>
      <c r="L587" s="236"/>
      <c r="M587" s="236"/>
      <c r="N587" s="236"/>
      <c r="O587" s="236"/>
      <c r="P587" s="236"/>
      <c r="Q587" s="236"/>
      <c r="R587" s="236"/>
      <c r="S587" s="236"/>
      <c r="T587" s="236"/>
      <c r="U587" s="236"/>
      <c r="V587" s="236"/>
      <c r="W587" s="237"/>
      <c r="X587" s="237"/>
      <c r="Y587" s="237"/>
      <c r="Z587" s="237"/>
      <c r="AA587" s="237"/>
      <c r="AB587" s="237"/>
      <c r="AC587" s="237"/>
      <c r="AD587" s="237"/>
      <c r="AE587" s="237"/>
      <c r="AF587" s="237"/>
      <c r="AG587" s="237"/>
      <c r="AH587" s="237"/>
      <c r="AI587" s="98"/>
      <c r="AJ587" s="98"/>
      <c r="AK587" s="98"/>
      <c r="AL587" s="98"/>
      <c r="AM587" s="98"/>
      <c r="AN587" s="98"/>
      <c r="AO587" s="98"/>
    </row>
    <row r="588" ht="14.25" customHeight="1">
      <c r="A588" s="179"/>
      <c r="B588" s="98"/>
      <c r="C588" s="98"/>
      <c r="D588" s="98"/>
      <c r="E588" s="98"/>
      <c r="F588" s="235"/>
      <c r="G588" s="235"/>
      <c r="H588" s="236"/>
      <c r="I588" s="236"/>
      <c r="J588" s="236"/>
      <c r="K588" s="236"/>
      <c r="L588" s="236"/>
      <c r="M588" s="236"/>
      <c r="N588" s="236"/>
      <c r="O588" s="236"/>
      <c r="P588" s="236"/>
      <c r="Q588" s="236"/>
      <c r="R588" s="236"/>
      <c r="S588" s="236"/>
      <c r="T588" s="236"/>
      <c r="U588" s="236"/>
      <c r="V588" s="236"/>
      <c r="W588" s="237"/>
      <c r="X588" s="237"/>
      <c r="Y588" s="237"/>
      <c r="Z588" s="237"/>
      <c r="AA588" s="237"/>
      <c r="AB588" s="237"/>
      <c r="AC588" s="237"/>
      <c r="AD588" s="237"/>
      <c r="AE588" s="237"/>
      <c r="AF588" s="237"/>
      <c r="AG588" s="237"/>
      <c r="AH588" s="237"/>
      <c r="AI588" s="98"/>
      <c r="AJ588" s="98"/>
      <c r="AK588" s="98"/>
      <c r="AL588" s="98"/>
      <c r="AM588" s="98"/>
      <c r="AN588" s="98"/>
      <c r="AO588" s="98"/>
    </row>
    <row r="589" ht="14.25" customHeight="1">
      <c r="A589" s="179"/>
      <c r="B589" s="98"/>
      <c r="C589" s="98"/>
      <c r="D589" s="98"/>
      <c r="E589" s="98"/>
      <c r="F589" s="235"/>
      <c r="G589" s="235"/>
      <c r="H589" s="236"/>
      <c r="I589" s="236"/>
      <c r="J589" s="236"/>
      <c r="K589" s="236"/>
      <c r="L589" s="236"/>
      <c r="M589" s="236"/>
      <c r="N589" s="236"/>
      <c r="O589" s="236"/>
      <c r="P589" s="236"/>
      <c r="Q589" s="236"/>
      <c r="R589" s="236"/>
      <c r="S589" s="236"/>
      <c r="T589" s="236"/>
      <c r="U589" s="236"/>
      <c r="V589" s="236"/>
      <c r="W589" s="237"/>
      <c r="X589" s="237"/>
      <c r="Y589" s="237"/>
      <c r="Z589" s="237"/>
      <c r="AA589" s="237"/>
      <c r="AB589" s="237"/>
      <c r="AC589" s="237"/>
      <c r="AD589" s="237"/>
      <c r="AE589" s="237"/>
      <c r="AF589" s="237"/>
      <c r="AG589" s="237"/>
      <c r="AH589" s="237"/>
      <c r="AI589" s="98"/>
      <c r="AJ589" s="98"/>
      <c r="AK589" s="98"/>
      <c r="AL589" s="98"/>
      <c r="AM589" s="98"/>
      <c r="AN589" s="98"/>
      <c r="AO589" s="98"/>
    </row>
    <row r="590" ht="14.25" customHeight="1">
      <c r="A590" s="179"/>
      <c r="B590" s="98"/>
      <c r="C590" s="98"/>
      <c r="D590" s="98"/>
      <c r="E590" s="98"/>
      <c r="F590" s="235"/>
      <c r="G590" s="235"/>
      <c r="H590" s="236"/>
      <c r="I590" s="236"/>
      <c r="J590" s="236"/>
      <c r="K590" s="236"/>
      <c r="L590" s="236"/>
      <c r="M590" s="236"/>
      <c r="N590" s="236"/>
      <c r="O590" s="236"/>
      <c r="P590" s="236"/>
      <c r="Q590" s="236"/>
      <c r="R590" s="236"/>
      <c r="S590" s="236"/>
      <c r="T590" s="236"/>
      <c r="U590" s="236"/>
      <c r="V590" s="236"/>
      <c r="W590" s="237"/>
      <c r="X590" s="237"/>
      <c r="Y590" s="237"/>
      <c r="Z590" s="237"/>
      <c r="AA590" s="237"/>
      <c r="AB590" s="237"/>
      <c r="AC590" s="237"/>
      <c r="AD590" s="237"/>
      <c r="AE590" s="237"/>
      <c r="AF590" s="237"/>
      <c r="AG590" s="237"/>
      <c r="AH590" s="237"/>
      <c r="AI590" s="98"/>
      <c r="AJ590" s="98"/>
      <c r="AK590" s="98"/>
      <c r="AL590" s="98"/>
      <c r="AM590" s="98"/>
      <c r="AN590" s="98"/>
      <c r="AO590" s="98"/>
    </row>
    <row r="591" ht="14.25" customHeight="1">
      <c r="A591" s="179"/>
      <c r="B591" s="98"/>
      <c r="C591" s="98"/>
      <c r="D591" s="98"/>
      <c r="E591" s="98"/>
      <c r="F591" s="235"/>
      <c r="G591" s="235"/>
      <c r="H591" s="236"/>
      <c r="I591" s="236"/>
      <c r="J591" s="236"/>
      <c r="K591" s="236"/>
      <c r="L591" s="236"/>
      <c r="M591" s="236"/>
      <c r="N591" s="236"/>
      <c r="O591" s="236"/>
      <c r="P591" s="236"/>
      <c r="Q591" s="236"/>
      <c r="R591" s="236"/>
      <c r="S591" s="236"/>
      <c r="T591" s="236"/>
      <c r="U591" s="236"/>
      <c r="V591" s="236"/>
      <c r="W591" s="237"/>
      <c r="X591" s="237"/>
      <c r="Y591" s="237"/>
      <c r="Z591" s="237"/>
      <c r="AA591" s="237"/>
      <c r="AB591" s="237"/>
      <c r="AC591" s="237"/>
      <c r="AD591" s="237"/>
      <c r="AE591" s="237"/>
      <c r="AF591" s="237"/>
      <c r="AG591" s="237"/>
      <c r="AH591" s="237"/>
      <c r="AI591" s="98"/>
      <c r="AJ591" s="98"/>
      <c r="AK591" s="98"/>
      <c r="AL591" s="98"/>
      <c r="AM591" s="98"/>
      <c r="AN591" s="98"/>
      <c r="AO591" s="98"/>
    </row>
    <row r="592" ht="14.25" customHeight="1">
      <c r="A592" s="179"/>
      <c r="B592" s="98"/>
      <c r="C592" s="98"/>
      <c r="D592" s="98"/>
      <c r="E592" s="98"/>
      <c r="F592" s="235"/>
      <c r="G592" s="235"/>
      <c r="H592" s="236"/>
      <c r="I592" s="236"/>
      <c r="J592" s="236"/>
      <c r="K592" s="236"/>
      <c r="L592" s="236"/>
      <c r="M592" s="236"/>
      <c r="N592" s="236"/>
      <c r="O592" s="236"/>
      <c r="P592" s="236"/>
      <c r="Q592" s="236"/>
      <c r="R592" s="236"/>
      <c r="S592" s="236"/>
      <c r="T592" s="236"/>
      <c r="U592" s="236"/>
      <c r="V592" s="236"/>
      <c r="W592" s="237"/>
      <c r="X592" s="237"/>
      <c r="Y592" s="237"/>
      <c r="Z592" s="237"/>
      <c r="AA592" s="237"/>
      <c r="AB592" s="237"/>
      <c r="AC592" s="237"/>
      <c r="AD592" s="237"/>
      <c r="AE592" s="237"/>
      <c r="AF592" s="237"/>
      <c r="AG592" s="237"/>
      <c r="AH592" s="237"/>
      <c r="AI592" s="98"/>
      <c r="AJ592" s="98"/>
      <c r="AK592" s="98"/>
      <c r="AL592" s="98"/>
      <c r="AM592" s="98"/>
      <c r="AN592" s="98"/>
      <c r="AO592" s="98"/>
    </row>
    <row r="593" ht="14.25" customHeight="1">
      <c r="A593" s="179"/>
      <c r="B593" s="98"/>
      <c r="C593" s="98"/>
      <c r="D593" s="98"/>
      <c r="E593" s="98"/>
      <c r="F593" s="235"/>
      <c r="G593" s="235"/>
      <c r="H593" s="236"/>
      <c r="I593" s="236"/>
      <c r="J593" s="236"/>
      <c r="K593" s="236"/>
      <c r="L593" s="236"/>
      <c r="M593" s="236"/>
      <c r="N593" s="236"/>
      <c r="O593" s="236"/>
      <c r="P593" s="236"/>
      <c r="Q593" s="236"/>
      <c r="R593" s="236"/>
      <c r="S593" s="236"/>
      <c r="T593" s="236"/>
      <c r="U593" s="236"/>
      <c r="V593" s="236"/>
      <c r="W593" s="237"/>
      <c r="X593" s="237"/>
      <c r="Y593" s="237"/>
      <c r="Z593" s="237"/>
      <c r="AA593" s="237"/>
      <c r="AB593" s="237"/>
      <c r="AC593" s="237"/>
      <c r="AD593" s="237"/>
      <c r="AE593" s="237"/>
      <c r="AF593" s="237"/>
      <c r="AG593" s="237"/>
      <c r="AH593" s="237"/>
      <c r="AI593" s="98"/>
      <c r="AJ593" s="98"/>
      <c r="AK593" s="98"/>
      <c r="AL593" s="98"/>
      <c r="AM593" s="98"/>
      <c r="AN593" s="98"/>
      <c r="AO593" s="98"/>
    </row>
    <row r="594" ht="14.25" customHeight="1">
      <c r="A594" s="179"/>
      <c r="B594" s="98"/>
      <c r="C594" s="98"/>
      <c r="D594" s="98"/>
      <c r="E594" s="98"/>
      <c r="F594" s="235"/>
      <c r="G594" s="235"/>
      <c r="H594" s="236"/>
      <c r="I594" s="236"/>
      <c r="J594" s="236"/>
      <c r="K594" s="236"/>
      <c r="L594" s="236"/>
      <c r="M594" s="236"/>
      <c r="N594" s="236"/>
      <c r="O594" s="236"/>
      <c r="P594" s="236"/>
      <c r="Q594" s="236"/>
      <c r="R594" s="236"/>
      <c r="S594" s="236"/>
      <c r="T594" s="236"/>
      <c r="U594" s="236"/>
      <c r="V594" s="236"/>
      <c r="W594" s="237"/>
      <c r="X594" s="237"/>
      <c r="Y594" s="237"/>
      <c r="Z594" s="237"/>
      <c r="AA594" s="237"/>
      <c r="AB594" s="237"/>
      <c r="AC594" s="237"/>
      <c r="AD594" s="237"/>
      <c r="AE594" s="237"/>
      <c r="AF594" s="237"/>
      <c r="AG594" s="237"/>
      <c r="AH594" s="237"/>
      <c r="AI594" s="98"/>
      <c r="AJ594" s="98"/>
      <c r="AK594" s="98"/>
      <c r="AL594" s="98"/>
      <c r="AM594" s="98"/>
      <c r="AN594" s="98"/>
      <c r="AO594" s="98"/>
    </row>
    <row r="595" ht="14.25" customHeight="1">
      <c r="A595" s="179"/>
      <c r="B595" s="98"/>
      <c r="C595" s="98"/>
      <c r="D595" s="98"/>
      <c r="E595" s="98"/>
      <c r="F595" s="235"/>
      <c r="G595" s="235"/>
      <c r="H595" s="236"/>
      <c r="I595" s="236"/>
      <c r="J595" s="236"/>
      <c r="K595" s="236"/>
      <c r="L595" s="236"/>
      <c r="M595" s="236"/>
      <c r="N595" s="236"/>
      <c r="O595" s="236"/>
      <c r="P595" s="236"/>
      <c r="Q595" s="236"/>
      <c r="R595" s="236"/>
      <c r="S595" s="236"/>
      <c r="T595" s="236"/>
      <c r="U595" s="236"/>
      <c r="V595" s="236"/>
      <c r="W595" s="237"/>
      <c r="X595" s="237"/>
      <c r="Y595" s="237"/>
      <c r="Z595" s="237"/>
      <c r="AA595" s="237"/>
      <c r="AB595" s="237"/>
      <c r="AC595" s="237"/>
      <c r="AD595" s="237"/>
      <c r="AE595" s="237"/>
      <c r="AF595" s="237"/>
      <c r="AG595" s="237"/>
      <c r="AH595" s="237"/>
      <c r="AI595" s="98"/>
      <c r="AJ595" s="98"/>
      <c r="AK595" s="98"/>
      <c r="AL595" s="98"/>
      <c r="AM595" s="98"/>
      <c r="AN595" s="98"/>
      <c r="AO595" s="98"/>
    </row>
    <row r="596" ht="14.25" customHeight="1">
      <c r="A596" s="179"/>
      <c r="B596" s="98"/>
      <c r="C596" s="98"/>
      <c r="D596" s="98"/>
      <c r="E596" s="98"/>
      <c r="F596" s="235"/>
      <c r="G596" s="235"/>
      <c r="H596" s="236"/>
      <c r="I596" s="236"/>
      <c r="J596" s="236"/>
      <c r="K596" s="236"/>
      <c r="L596" s="236"/>
      <c r="M596" s="236"/>
      <c r="N596" s="236"/>
      <c r="O596" s="236"/>
      <c r="P596" s="236"/>
      <c r="Q596" s="236"/>
      <c r="R596" s="236"/>
      <c r="S596" s="236"/>
      <c r="T596" s="236"/>
      <c r="U596" s="236"/>
      <c r="V596" s="236"/>
      <c r="W596" s="237"/>
      <c r="X596" s="237"/>
      <c r="Y596" s="237"/>
      <c r="Z596" s="237"/>
      <c r="AA596" s="237"/>
      <c r="AB596" s="237"/>
      <c r="AC596" s="237"/>
      <c r="AD596" s="237"/>
      <c r="AE596" s="237"/>
      <c r="AF596" s="237"/>
      <c r="AG596" s="237"/>
      <c r="AH596" s="237"/>
      <c r="AI596" s="98"/>
      <c r="AJ596" s="98"/>
      <c r="AK596" s="98"/>
      <c r="AL596" s="98"/>
      <c r="AM596" s="98"/>
      <c r="AN596" s="98"/>
      <c r="AO596" s="98"/>
    </row>
    <row r="597" ht="14.25" customHeight="1">
      <c r="A597" s="179"/>
      <c r="B597" s="98"/>
      <c r="C597" s="98"/>
      <c r="D597" s="98"/>
      <c r="E597" s="98"/>
      <c r="F597" s="235"/>
      <c r="G597" s="235"/>
      <c r="H597" s="236"/>
      <c r="I597" s="236"/>
      <c r="J597" s="236"/>
      <c r="K597" s="236"/>
      <c r="L597" s="236"/>
      <c r="M597" s="236"/>
      <c r="N597" s="236"/>
      <c r="O597" s="236"/>
      <c r="P597" s="236"/>
      <c r="Q597" s="236"/>
      <c r="R597" s="236"/>
      <c r="S597" s="236"/>
      <c r="T597" s="236"/>
      <c r="U597" s="236"/>
      <c r="V597" s="236"/>
      <c r="W597" s="237"/>
      <c r="X597" s="237"/>
      <c r="Y597" s="237"/>
      <c r="Z597" s="237"/>
      <c r="AA597" s="237"/>
      <c r="AB597" s="237"/>
      <c r="AC597" s="237"/>
      <c r="AD597" s="237"/>
      <c r="AE597" s="237"/>
      <c r="AF597" s="237"/>
      <c r="AG597" s="237"/>
      <c r="AH597" s="237"/>
      <c r="AI597" s="98"/>
      <c r="AJ597" s="98"/>
      <c r="AK597" s="98"/>
      <c r="AL597" s="98"/>
      <c r="AM597" s="98"/>
      <c r="AN597" s="98"/>
      <c r="AO597" s="98"/>
    </row>
    <row r="598" ht="14.25" customHeight="1">
      <c r="A598" s="179"/>
      <c r="B598" s="98"/>
      <c r="C598" s="98"/>
      <c r="D598" s="98"/>
      <c r="E598" s="98"/>
      <c r="F598" s="235"/>
      <c r="G598" s="235"/>
      <c r="H598" s="236"/>
      <c r="I598" s="236"/>
      <c r="J598" s="236"/>
      <c r="K598" s="236"/>
      <c r="L598" s="236"/>
      <c r="M598" s="236"/>
      <c r="N598" s="236"/>
      <c r="O598" s="236"/>
      <c r="P598" s="236"/>
      <c r="Q598" s="236"/>
      <c r="R598" s="236"/>
      <c r="S598" s="236"/>
      <c r="T598" s="236"/>
      <c r="U598" s="236"/>
      <c r="V598" s="236"/>
      <c r="W598" s="237"/>
      <c r="X598" s="237"/>
      <c r="Y598" s="237"/>
      <c r="Z598" s="237"/>
      <c r="AA598" s="237"/>
      <c r="AB598" s="237"/>
      <c r="AC598" s="237"/>
      <c r="AD598" s="237"/>
      <c r="AE598" s="237"/>
      <c r="AF598" s="237"/>
      <c r="AG598" s="237"/>
      <c r="AH598" s="237"/>
      <c r="AI598" s="98"/>
      <c r="AJ598" s="98"/>
      <c r="AK598" s="98"/>
      <c r="AL598" s="98"/>
      <c r="AM598" s="98"/>
      <c r="AN598" s="98"/>
      <c r="AO598" s="98"/>
    </row>
    <row r="599" ht="14.25" customHeight="1">
      <c r="A599" s="179"/>
      <c r="B599" s="98"/>
      <c r="C599" s="98"/>
      <c r="D599" s="98"/>
      <c r="E599" s="98"/>
      <c r="F599" s="235"/>
      <c r="G599" s="235"/>
      <c r="H599" s="236"/>
      <c r="I599" s="236"/>
      <c r="J599" s="236"/>
      <c r="K599" s="236"/>
      <c r="L599" s="236"/>
      <c r="M599" s="236"/>
      <c r="N599" s="236"/>
      <c r="O599" s="236"/>
      <c r="P599" s="236"/>
      <c r="Q599" s="236"/>
      <c r="R599" s="236"/>
      <c r="S599" s="236"/>
      <c r="T599" s="236"/>
      <c r="U599" s="236"/>
      <c r="V599" s="236"/>
      <c r="W599" s="237"/>
      <c r="X599" s="237"/>
      <c r="Y599" s="237"/>
      <c r="Z599" s="237"/>
      <c r="AA599" s="237"/>
      <c r="AB599" s="237"/>
      <c r="AC599" s="237"/>
      <c r="AD599" s="237"/>
      <c r="AE599" s="237"/>
      <c r="AF599" s="237"/>
      <c r="AG599" s="237"/>
      <c r="AH599" s="237"/>
      <c r="AI599" s="98"/>
      <c r="AJ599" s="98"/>
      <c r="AK599" s="98"/>
      <c r="AL599" s="98"/>
      <c r="AM599" s="98"/>
      <c r="AN599" s="98"/>
      <c r="AO599" s="98"/>
    </row>
    <row r="600" ht="14.25" customHeight="1">
      <c r="A600" s="179"/>
      <c r="B600" s="98"/>
      <c r="C600" s="98"/>
      <c r="D600" s="98"/>
      <c r="E600" s="98"/>
      <c r="F600" s="235"/>
      <c r="G600" s="235"/>
      <c r="H600" s="236"/>
      <c r="I600" s="236"/>
      <c r="J600" s="236"/>
      <c r="K600" s="236"/>
      <c r="L600" s="236"/>
      <c r="M600" s="236"/>
      <c r="N600" s="236"/>
      <c r="O600" s="236"/>
      <c r="P600" s="236"/>
      <c r="Q600" s="236"/>
      <c r="R600" s="236"/>
      <c r="S600" s="236"/>
      <c r="T600" s="236"/>
      <c r="U600" s="236"/>
      <c r="V600" s="236"/>
      <c r="W600" s="237"/>
      <c r="X600" s="237"/>
      <c r="Y600" s="237"/>
      <c r="Z600" s="237"/>
      <c r="AA600" s="237"/>
      <c r="AB600" s="237"/>
      <c r="AC600" s="237"/>
      <c r="AD600" s="237"/>
      <c r="AE600" s="237"/>
      <c r="AF600" s="237"/>
      <c r="AG600" s="237"/>
      <c r="AH600" s="237"/>
      <c r="AI600" s="98"/>
      <c r="AJ600" s="98"/>
      <c r="AK600" s="98"/>
      <c r="AL600" s="98"/>
      <c r="AM600" s="98"/>
      <c r="AN600" s="98"/>
      <c r="AO600" s="98"/>
    </row>
    <row r="601" ht="14.25" customHeight="1">
      <c r="A601" s="179"/>
      <c r="B601" s="98"/>
      <c r="C601" s="98"/>
      <c r="D601" s="98"/>
      <c r="E601" s="98"/>
      <c r="F601" s="235"/>
      <c r="G601" s="235"/>
      <c r="H601" s="236"/>
      <c r="I601" s="236"/>
      <c r="J601" s="236"/>
      <c r="K601" s="236"/>
      <c r="L601" s="236"/>
      <c r="M601" s="236"/>
      <c r="N601" s="236"/>
      <c r="O601" s="236"/>
      <c r="P601" s="236"/>
      <c r="Q601" s="236"/>
      <c r="R601" s="236"/>
      <c r="S601" s="236"/>
      <c r="T601" s="236"/>
      <c r="U601" s="236"/>
      <c r="V601" s="236"/>
      <c r="W601" s="237"/>
      <c r="X601" s="237"/>
      <c r="Y601" s="237"/>
      <c r="Z601" s="237"/>
      <c r="AA601" s="237"/>
      <c r="AB601" s="237"/>
      <c r="AC601" s="237"/>
      <c r="AD601" s="237"/>
      <c r="AE601" s="237"/>
      <c r="AF601" s="237"/>
      <c r="AG601" s="237"/>
      <c r="AH601" s="237"/>
      <c r="AI601" s="98"/>
      <c r="AJ601" s="98"/>
      <c r="AK601" s="98"/>
      <c r="AL601" s="98"/>
      <c r="AM601" s="98"/>
      <c r="AN601" s="98"/>
      <c r="AO601" s="98"/>
    </row>
    <row r="602" ht="14.25" customHeight="1">
      <c r="A602" s="179"/>
      <c r="B602" s="98"/>
      <c r="C602" s="98"/>
      <c r="D602" s="98"/>
      <c r="E602" s="98"/>
      <c r="F602" s="235"/>
      <c r="G602" s="235"/>
      <c r="H602" s="236"/>
      <c r="I602" s="236"/>
      <c r="J602" s="236"/>
      <c r="K602" s="236"/>
      <c r="L602" s="236"/>
      <c r="M602" s="236"/>
      <c r="N602" s="236"/>
      <c r="O602" s="236"/>
      <c r="P602" s="236"/>
      <c r="Q602" s="236"/>
      <c r="R602" s="236"/>
      <c r="S602" s="236"/>
      <c r="T602" s="236"/>
      <c r="U602" s="236"/>
      <c r="V602" s="236"/>
      <c r="W602" s="237"/>
      <c r="X602" s="237"/>
      <c r="Y602" s="237"/>
      <c r="Z602" s="237"/>
      <c r="AA602" s="237"/>
      <c r="AB602" s="237"/>
      <c r="AC602" s="237"/>
      <c r="AD602" s="237"/>
      <c r="AE602" s="237"/>
      <c r="AF602" s="237"/>
      <c r="AG602" s="237"/>
      <c r="AH602" s="237"/>
      <c r="AI602" s="98"/>
      <c r="AJ602" s="98"/>
      <c r="AK602" s="98"/>
      <c r="AL602" s="98"/>
      <c r="AM602" s="98"/>
      <c r="AN602" s="98"/>
      <c r="AO602" s="98"/>
    </row>
    <row r="603" ht="14.25" customHeight="1">
      <c r="A603" s="179"/>
      <c r="B603" s="98"/>
      <c r="C603" s="98"/>
      <c r="D603" s="98"/>
      <c r="E603" s="98"/>
      <c r="F603" s="235"/>
      <c r="G603" s="235"/>
      <c r="H603" s="236"/>
      <c r="I603" s="236"/>
      <c r="J603" s="236"/>
      <c r="K603" s="236"/>
      <c r="L603" s="236"/>
      <c r="M603" s="236"/>
      <c r="N603" s="236"/>
      <c r="O603" s="236"/>
      <c r="P603" s="236"/>
      <c r="Q603" s="236"/>
      <c r="R603" s="236"/>
      <c r="S603" s="236"/>
      <c r="T603" s="236"/>
      <c r="U603" s="236"/>
      <c r="V603" s="236"/>
      <c r="W603" s="237"/>
      <c r="X603" s="237"/>
      <c r="Y603" s="237"/>
      <c r="Z603" s="237"/>
      <c r="AA603" s="237"/>
      <c r="AB603" s="237"/>
      <c r="AC603" s="237"/>
      <c r="AD603" s="237"/>
      <c r="AE603" s="237"/>
      <c r="AF603" s="237"/>
      <c r="AG603" s="237"/>
      <c r="AH603" s="237"/>
      <c r="AI603" s="98"/>
      <c r="AJ603" s="98"/>
      <c r="AK603" s="98"/>
      <c r="AL603" s="98"/>
      <c r="AM603" s="98"/>
      <c r="AN603" s="98"/>
      <c r="AO603" s="98"/>
    </row>
    <row r="604" ht="14.25" customHeight="1">
      <c r="A604" s="179"/>
      <c r="B604" s="98"/>
      <c r="C604" s="98"/>
      <c r="D604" s="98"/>
      <c r="E604" s="98"/>
      <c r="F604" s="235"/>
      <c r="G604" s="235"/>
      <c r="H604" s="236"/>
      <c r="I604" s="236"/>
      <c r="J604" s="236"/>
      <c r="K604" s="236"/>
      <c r="L604" s="236"/>
      <c r="M604" s="236"/>
      <c r="N604" s="236"/>
      <c r="O604" s="236"/>
      <c r="P604" s="236"/>
      <c r="Q604" s="236"/>
      <c r="R604" s="236"/>
      <c r="S604" s="236"/>
      <c r="T604" s="236"/>
      <c r="U604" s="236"/>
      <c r="V604" s="236"/>
      <c r="W604" s="237"/>
      <c r="X604" s="237"/>
      <c r="Y604" s="237"/>
      <c r="Z604" s="237"/>
      <c r="AA604" s="237"/>
      <c r="AB604" s="237"/>
      <c r="AC604" s="237"/>
      <c r="AD604" s="237"/>
      <c r="AE604" s="237"/>
      <c r="AF604" s="237"/>
      <c r="AG604" s="237"/>
      <c r="AH604" s="237"/>
      <c r="AI604" s="98"/>
      <c r="AJ604" s="98"/>
      <c r="AK604" s="98"/>
      <c r="AL604" s="98"/>
      <c r="AM604" s="98"/>
      <c r="AN604" s="98"/>
      <c r="AO604" s="98"/>
    </row>
    <row r="605" ht="14.25" customHeight="1">
      <c r="A605" s="179"/>
      <c r="B605" s="98"/>
      <c r="C605" s="98"/>
      <c r="D605" s="98"/>
      <c r="E605" s="98"/>
      <c r="F605" s="235"/>
      <c r="G605" s="235"/>
      <c r="H605" s="236"/>
      <c r="I605" s="236"/>
      <c r="J605" s="236"/>
      <c r="K605" s="236"/>
      <c r="L605" s="236"/>
      <c r="M605" s="236"/>
      <c r="N605" s="236"/>
      <c r="O605" s="236"/>
      <c r="P605" s="236"/>
      <c r="Q605" s="236"/>
      <c r="R605" s="236"/>
      <c r="S605" s="236"/>
      <c r="T605" s="236"/>
      <c r="U605" s="236"/>
      <c r="V605" s="236"/>
      <c r="W605" s="237"/>
      <c r="X605" s="237"/>
      <c r="Y605" s="237"/>
      <c r="Z605" s="237"/>
      <c r="AA605" s="237"/>
      <c r="AB605" s="237"/>
      <c r="AC605" s="237"/>
      <c r="AD605" s="237"/>
      <c r="AE605" s="237"/>
      <c r="AF605" s="237"/>
      <c r="AG605" s="237"/>
      <c r="AH605" s="237"/>
      <c r="AI605" s="98"/>
      <c r="AJ605" s="98"/>
      <c r="AK605" s="98"/>
      <c r="AL605" s="98"/>
      <c r="AM605" s="98"/>
      <c r="AN605" s="98"/>
      <c r="AO605" s="98"/>
    </row>
    <row r="606" ht="14.25" customHeight="1">
      <c r="A606" s="179"/>
      <c r="B606" s="98"/>
      <c r="C606" s="98"/>
      <c r="D606" s="98"/>
      <c r="E606" s="98"/>
      <c r="F606" s="235"/>
      <c r="G606" s="235"/>
      <c r="H606" s="236"/>
      <c r="I606" s="236"/>
      <c r="J606" s="236"/>
      <c r="K606" s="236"/>
      <c r="L606" s="236"/>
      <c r="M606" s="236"/>
      <c r="N606" s="236"/>
      <c r="O606" s="236"/>
      <c r="P606" s="236"/>
      <c r="Q606" s="236"/>
      <c r="R606" s="236"/>
      <c r="S606" s="236"/>
      <c r="T606" s="236"/>
      <c r="U606" s="236"/>
      <c r="V606" s="236"/>
      <c r="W606" s="237"/>
      <c r="X606" s="237"/>
      <c r="Y606" s="237"/>
      <c r="Z606" s="237"/>
      <c r="AA606" s="237"/>
      <c r="AB606" s="237"/>
      <c r="AC606" s="237"/>
      <c r="AD606" s="237"/>
      <c r="AE606" s="237"/>
      <c r="AF606" s="237"/>
      <c r="AG606" s="237"/>
      <c r="AH606" s="237"/>
      <c r="AI606" s="98"/>
      <c r="AJ606" s="98"/>
      <c r="AK606" s="98"/>
      <c r="AL606" s="98"/>
      <c r="AM606" s="98"/>
      <c r="AN606" s="98"/>
      <c r="AO606" s="98"/>
    </row>
    <row r="607" ht="14.25" customHeight="1">
      <c r="A607" s="179"/>
      <c r="B607" s="98"/>
      <c r="C607" s="98"/>
      <c r="D607" s="98"/>
      <c r="E607" s="98"/>
      <c r="F607" s="235"/>
      <c r="G607" s="235"/>
      <c r="H607" s="236"/>
      <c r="I607" s="236"/>
      <c r="J607" s="236"/>
      <c r="K607" s="236"/>
      <c r="L607" s="236"/>
      <c r="M607" s="236"/>
      <c r="N607" s="236"/>
      <c r="O607" s="236"/>
      <c r="P607" s="236"/>
      <c r="Q607" s="236"/>
      <c r="R607" s="236"/>
      <c r="S607" s="236"/>
      <c r="T607" s="236"/>
      <c r="U607" s="236"/>
      <c r="V607" s="236"/>
      <c r="W607" s="237"/>
      <c r="X607" s="237"/>
      <c r="Y607" s="237"/>
      <c r="Z607" s="237"/>
      <c r="AA607" s="237"/>
      <c r="AB607" s="237"/>
      <c r="AC607" s="237"/>
      <c r="AD607" s="237"/>
      <c r="AE607" s="237"/>
      <c r="AF607" s="237"/>
      <c r="AG607" s="237"/>
      <c r="AH607" s="237"/>
      <c r="AI607" s="98"/>
      <c r="AJ607" s="98"/>
      <c r="AK607" s="98"/>
      <c r="AL607" s="98"/>
      <c r="AM607" s="98"/>
      <c r="AN607" s="98"/>
      <c r="AO607" s="98"/>
    </row>
    <row r="608" ht="14.25" customHeight="1">
      <c r="A608" s="179"/>
      <c r="B608" s="98"/>
      <c r="C608" s="98"/>
      <c r="D608" s="98"/>
      <c r="E608" s="98"/>
      <c r="F608" s="235"/>
      <c r="G608" s="235"/>
      <c r="H608" s="236"/>
      <c r="I608" s="236"/>
      <c r="J608" s="236"/>
      <c r="K608" s="236"/>
      <c r="L608" s="236"/>
      <c r="M608" s="236"/>
      <c r="N608" s="236"/>
      <c r="O608" s="236"/>
      <c r="P608" s="236"/>
      <c r="Q608" s="236"/>
      <c r="R608" s="236"/>
      <c r="S608" s="236"/>
      <c r="T608" s="236"/>
      <c r="U608" s="236"/>
      <c r="V608" s="236"/>
      <c r="W608" s="237"/>
      <c r="X608" s="237"/>
      <c r="Y608" s="237"/>
      <c r="Z608" s="237"/>
      <c r="AA608" s="237"/>
      <c r="AB608" s="237"/>
      <c r="AC608" s="237"/>
      <c r="AD608" s="237"/>
      <c r="AE608" s="237"/>
      <c r="AF608" s="237"/>
      <c r="AG608" s="237"/>
      <c r="AH608" s="237"/>
      <c r="AI608" s="98"/>
      <c r="AJ608" s="98"/>
      <c r="AK608" s="98"/>
      <c r="AL608" s="98"/>
      <c r="AM608" s="98"/>
      <c r="AN608" s="98"/>
      <c r="AO608" s="98"/>
    </row>
    <row r="609" ht="14.25" customHeight="1">
      <c r="A609" s="179"/>
      <c r="B609" s="98"/>
      <c r="C609" s="98"/>
      <c r="D609" s="98"/>
      <c r="E609" s="98"/>
      <c r="F609" s="235"/>
      <c r="G609" s="235"/>
      <c r="H609" s="236"/>
      <c r="I609" s="236"/>
      <c r="J609" s="236"/>
      <c r="K609" s="236"/>
      <c r="L609" s="236"/>
      <c r="M609" s="236"/>
      <c r="N609" s="236"/>
      <c r="O609" s="236"/>
      <c r="P609" s="236"/>
      <c r="Q609" s="236"/>
      <c r="R609" s="236"/>
      <c r="S609" s="236"/>
      <c r="T609" s="236"/>
      <c r="U609" s="236"/>
      <c r="V609" s="236"/>
      <c r="W609" s="237"/>
      <c r="X609" s="237"/>
      <c r="Y609" s="237"/>
      <c r="Z609" s="237"/>
      <c r="AA609" s="237"/>
      <c r="AB609" s="237"/>
      <c r="AC609" s="237"/>
      <c r="AD609" s="237"/>
      <c r="AE609" s="237"/>
      <c r="AF609" s="237"/>
      <c r="AG609" s="237"/>
      <c r="AH609" s="237"/>
      <c r="AI609" s="98"/>
      <c r="AJ609" s="98"/>
      <c r="AK609" s="98"/>
      <c r="AL609" s="98"/>
      <c r="AM609" s="98"/>
      <c r="AN609" s="98"/>
      <c r="AO609" s="98"/>
    </row>
    <row r="610" ht="14.25" customHeight="1">
      <c r="A610" s="179"/>
      <c r="B610" s="98"/>
      <c r="C610" s="98"/>
      <c r="D610" s="98"/>
      <c r="E610" s="98"/>
      <c r="F610" s="235"/>
      <c r="G610" s="235"/>
      <c r="H610" s="236"/>
      <c r="I610" s="236"/>
      <c r="J610" s="236"/>
      <c r="K610" s="236"/>
      <c r="L610" s="236"/>
      <c r="M610" s="236"/>
      <c r="N610" s="236"/>
      <c r="O610" s="236"/>
      <c r="P610" s="236"/>
      <c r="Q610" s="236"/>
      <c r="R610" s="236"/>
      <c r="S610" s="236"/>
      <c r="T610" s="236"/>
      <c r="U610" s="236"/>
      <c r="V610" s="236"/>
      <c r="W610" s="237"/>
      <c r="X610" s="237"/>
      <c r="Y610" s="237"/>
      <c r="Z610" s="237"/>
      <c r="AA610" s="237"/>
      <c r="AB610" s="237"/>
      <c r="AC610" s="237"/>
      <c r="AD610" s="237"/>
      <c r="AE610" s="237"/>
      <c r="AF610" s="237"/>
      <c r="AG610" s="237"/>
      <c r="AH610" s="237"/>
      <c r="AI610" s="98"/>
      <c r="AJ610" s="98"/>
      <c r="AK610" s="98"/>
      <c r="AL610" s="98"/>
      <c r="AM610" s="98"/>
      <c r="AN610" s="98"/>
      <c r="AO610" s="98"/>
    </row>
    <row r="611" ht="14.25" customHeight="1">
      <c r="A611" s="179"/>
      <c r="B611" s="98"/>
      <c r="C611" s="98"/>
      <c r="D611" s="98"/>
      <c r="E611" s="98"/>
      <c r="F611" s="235"/>
      <c r="G611" s="235"/>
      <c r="H611" s="236"/>
      <c r="I611" s="236"/>
      <c r="J611" s="236"/>
      <c r="K611" s="236"/>
      <c r="L611" s="236"/>
      <c r="M611" s="236"/>
      <c r="N611" s="236"/>
      <c r="O611" s="236"/>
      <c r="P611" s="236"/>
      <c r="Q611" s="236"/>
      <c r="R611" s="236"/>
      <c r="S611" s="236"/>
      <c r="T611" s="236"/>
      <c r="U611" s="236"/>
      <c r="V611" s="236"/>
      <c r="W611" s="237"/>
      <c r="X611" s="237"/>
      <c r="Y611" s="237"/>
      <c r="Z611" s="237"/>
      <c r="AA611" s="237"/>
      <c r="AB611" s="237"/>
      <c r="AC611" s="237"/>
      <c r="AD611" s="237"/>
      <c r="AE611" s="237"/>
      <c r="AF611" s="237"/>
      <c r="AG611" s="237"/>
      <c r="AH611" s="237"/>
      <c r="AI611" s="98"/>
      <c r="AJ611" s="98"/>
      <c r="AK611" s="98"/>
      <c r="AL611" s="98"/>
      <c r="AM611" s="98"/>
      <c r="AN611" s="98"/>
      <c r="AO611" s="98"/>
    </row>
    <row r="612" ht="14.25" customHeight="1">
      <c r="A612" s="179"/>
      <c r="B612" s="98"/>
      <c r="C612" s="98"/>
      <c r="D612" s="98"/>
      <c r="E612" s="98"/>
      <c r="F612" s="235"/>
      <c r="G612" s="235"/>
      <c r="H612" s="236"/>
      <c r="I612" s="236"/>
      <c r="J612" s="236"/>
      <c r="K612" s="236"/>
      <c r="L612" s="236"/>
      <c r="M612" s="236"/>
      <c r="N612" s="236"/>
      <c r="O612" s="236"/>
      <c r="P612" s="236"/>
      <c r="Q612" s="236"/>
      <c r="R612" s="236"/>
      <c r="S612" s="236"/>
      <c r="T612" s="236"/>
      <c r="U612" s="236"/>
      <c r="V612" s="236"/>
      <c r="W612" s="237"/>
      <c r="X612" s="237"/>
      <c r="Y612" s="237"/>
      <c r="Z612" s="237"/>
      <c r="AA612" s="237"/>
      <c r="AB612" s="237"/>
      <c r="AC612" s="237"/>
      <c r="AD612" s="237"/>
      <c r="AE612" s="237"/>
      <c r="AF612" s="237"/>
      <c r="AG612" s="237"/>
      <c r="AH612" s="237"/>
      <c r="AI612" s="98"/>
      <c r="AJ612" s="98"/>
      <c r="AK612" s="98"/>
      <c r="AL612" s="98"/>
      <c r="AM612" s="98"/>
      <c r="AN612" s="98"/>
      <c r="AO612" s="98"/>
    </row>
    <row r="613" ht="14.25" customHeight="1">
      <c r="A613" s="179"/>
      <c r="B613" s="98"/>
      <c r="C613" s="98"/>
      <c r="D613" s="98"/>
      <c r="E613" s="98"/>
      <c r="F613" s="235"/>
      <c r="G613" s="235"/>
      <c r="H613" s="236"/>
      <c r="I613" s="236"/>
      <c r="J613" s="236"/>
      <c r="K613" s="236"/>
      <c r="L613" s="236"/>
      <c r="M613" s="236"/>
      <c r="N613" s="236"/>
      <c r="O613" s="236"/>
      <c r="P613" s="236"/>
      <c r="Q613" s="236"/>
      <c r="R613" s="236"/>
      <c r="S613" s="236"/>
      <c r="T613" s="236"/>
      <c r="U613" s="236"/>
      <c r="V613" s="236"/>
      <c r="W613" s="237"/>
      <c r="X613" s="237"/>
      <c r="Y613" s="237"/>
      <c r="Z613" s="237"/>
      <c r="AA613" s="237"/>
      <c r="AB613" s="237"/>
      <c r="AC613" s="237"/>
      <c r="AD613" s="237"/>
      <c r="AE613" s="237"/>
      <c r="AF613" s="237"/>
      <c r="AG613" s="237"/>
      <c r="AH613" s="237"/>
      <c r="AI613" s="98"/>
      <c r="AJ613" s="98"/>
      <c r="AK613" s="98"/>
      <c r="AL613" s="98"/>
      <c r="AM613" s="98"/>
      <c r="AN613" s="98"/>
      <c r="AO613" s="98"/>
    </row>
    <row r="614" ht="14.25" customHeight="1">
      <c r="A614" s="179"/>
      <c r="B614" s="98"/>
      <c r="C614" s="98"/>
      <c r="D614" s="98"/>
      <c r="E614" s="98"/>
      <c r="F614" s="235"/>
      <c r="G614" s="235"/>
      <c r="H614" s="236"/>
      <c r="I614" s="236"/>
      <c r="J614" s="236"/>
      <c r="K614" s="236"/>
      <c r="L614" s="236"/>
      <c r="M614" s="236"/>
      <c r="N614" s="236"/>
      <c r="O614" s="236"/>
      <c r="P614" s="236"/>
      <c r="Q614" s="236"/>
      <c r="R614" s="236"/>
      <c r="S614" s="236"/>
      <c r="T614" s="236"/>
      <c r="U614" s="236"/>
      <c r="V614" s="236"/>
      <c r="W614" s="237"/>
      <c r="X614" s="237"/>
      <c r="Y614" s="237"/>
      <c r="Z614" s="237"/>
      <c r="AA614" s="237"/>
      <c r="AB614" s="237"/>
      <c r="AC614" s="237"/>
      <c r="AD614" s="237"/>
      <c r="AE614" s="237"/>
      <c r="AF614" s="237"/>
      <c r="AG614" s="237"/>
      <c r="AH614" s="237"/>
      <c r="AI614" s="98"/>
      <c r="AJ614" s="98"/>
      <c r="AK614" s="98"/>
      <c r="AL614" s="98"/>
      <c r="AM614" s="98"/>
      <c r="AN614" s="98"/>
      <c r="AO614" s="98"/>
    </row>
    <row r="615" ht="14.25" customHeight="1">
      <c r="A615" s="179"/>
      <c r="B615" s="98"/>
      <c r="C615" s="98"/>
      <c r="D615" s="98"/>
      <c r="E615" s="98"/>
      <c r="F615" s="235"/>
      <c r="G615" s="235"/>
      <c r="H615" s="236"/>
      <c r="I615" s="236"/>
      <c r="J615" s="236"/>
      <c r="K615" s="236"/>
      <c r="L615" s="236"/>
      <c r="M615" s="236"/>
      <c r="N615" s="236"/>
      <c r="O615" s="236"/>
      <c r="P615" s="236"/>
      <c r="Q615" s="236"/>
      <c r="R615" s="236"/>
      <c r="S615" s="236"/>
      <c r="T615" s="236"/>
      <c r="U615" s="236"/>
      <c r="V615" s="236"/>
      <c r="W615" s="237"/>
      <c r="X615" s="237"/>
      <c r="Y615" s="237"/>
      <c r="Z615" s="237"/>
      <c r="AA615" s="237"/>
      <c r="AB615" s="237"/>
      <c r="AC615" s="237"/>
      <c r="AD615" s="237"/>
      <c r="AE615" s="237"/>
      <c r="AF615" s="237"/>
      <c r="AG615" s="237"/>
      <c r="AH615" s="237"/>
      <c r="AI615" s="98"/>
      <c r="AJ615" s="98"/>
      <c r="AK615" s="98"/>
      <c r="AL615" s="98"/>
      <c r="AM615" s="98"/>
      <c r="AN615" s="98"/>
      <c r="AO615" s="98"/>
    </row>
    <row r="616" ht="14.25" customHeight="1">
      <c r="A616" s="179"/>
      <c r="B616" s="98"/>
      <c r="C616" s="98"/>
      <c r="D616" s="98"/>
      <c r="E616" s="98"/>
      <c r="F616" s="235"/>
      <c r="G616" s="235"/>
      <c r="H616" s="236"/>
      <c r="I616" s="236"/>
      <c r="J616" s="236"/>
      <c r="K616" s="236"/>
      <c r="L616" s="236"/>
      <c r="M616" s="236"/>
      <c r="N616" s="236"/>
      <c r="O616" s="236"/>
      <c r="P616" s="236"/>
      <c r="Q616" s="236"/>
      <c r="R616" s="236"/>
      <c r="S616" s="236"/>
      <c r="T616" s="236"/>
      <c r="U616" s="236"/>
      <c r="V616" s="236"/>
      <c r="W616" s="237"/>
      <c r="X616" s="237"/>
      <c r="Y616" s="237"/>
      <c r="Z616" s="237"/>
      <c r="AA616" s="237"/>
      <c r="AB616" s="237"/>
      <c r="AC616" s="237"/>
      <c r="AD616" s="237"/>
      <c r="AE616" s="237"/>
      <c r="AF616" s="237"/>
      <c r="AG616" s="237"/>
      <c r="AH616" s="237"/>
      <c r="AI616" s="98"/>
      <c r="AJ616" s="98"/>
      <c r="AK616" s="98"/>
      <c r="AL616" s="98"/>
      <c r="AM616" s="98"/>
      <c r="AN616" s="98"/>
      <c r="AO616" s="98"/>
    </row>
    <row r="617" ht="14.25" customHeight="1">
      <c r="A617" s="179"/>
      <c r="B617" s="98"/>
      <c r="C617" s="98"/>
      <c r="D617" s="98"/>
      <c r="E617" s="98"/>
      <c r="F617" s="235"/>
      <c r="G617" s="235"/>
      <c r="H617" s="236"/>
      <c r="I617" s="236"/>
      <c r="J617" s="236"/>
      <c r="K617" s="236"/>
      <c r="L617" s="236"/>
      <c r="M617" s="236"/>
      <c r="N617" s="236"/>
      <c r="O617" s="236"/>
      <c r="P617" s="236"/>
      <c r="Q617" s="236"/>
      <c r="R617" s="236"/>
      <c r="S617" s="236"/>
      <c r="T617" s="236"/>
      <c r="U617" s="236"/>
      <c r="V617" s="236"/>
      <c r="W617" s="237"/>
      <c r="X617" s="237"/>
      <c r="Y617" s="237"/>
      <c r="Z617" s="237"/>
      <c r="AA617" s="237"/>
      <c r="AB617" s="237"/>
      <c r="AC617" s="237"/>
      <c r="AD617" s="237"/>
      <c r="AE617" s="237"/>
      <c r="AF617" s="237"/>
      <c r="AG617" s="237"/>
      <c r="AH617" s="237"/>
      <c r="AI617" s="98"/>
      <c r="AJ617" s="98"/>
      <c r="AK617" s="98"/>
      <c r="AL617" s="98"/>
      <c r="AM617" s="98"/>
      <c r="AN617" s="98"/>
      <c r="AO617" s="98"/>
    </row>
    <row r="618" ht="14.25" customHeight="1">
      <c r="A618" s="179"/>
      <c r="B618" s="98"/>
      <c r="C618" s="98"/>
      <c r="D618" s="98"/>
      <c r="E618" s="98"/>
      <c r="F618" s="235"/>
      <c r="G618" s="235"/>
      <c r="H618" s="236"/>
      <c r="I618" s="236"/>
      <c r="J618" s="236"/>
      <c r="K618" s="236"/>
      <c r="L618" s="236"/>
      <c r="M618" s="236"/>
      <c r="N618" s="236"/>
      <c r="O618" s="236"/>
      <c r="P618" s="236"/>
      <c r="Q618" s="236"/>
      <c r="R618" s="236"/>
      <c r="S618" s="236"/>
      <c r="T618" s="236"/>
      <c r="U618" s="236"/>
      <c r="V618" s="236"/>
      <c r="W618" s="237"/>
      <c r="X618" s="237"/>
      <c r="Y618" s="237"/>
      <c r="Z618" s="237"/>
      <c r="AA618" s="237"/>
      <c r="AB618" s="237"/>
      <c r="AC618" s="237"/>
      <c r="AD618" s="237"/>
      <c r="AE618" s="237"/>
      <c r="AF618" s="237"/>
      <c r="AG618" s="237"/>
      <c r="AH618" s="237"/>
      <c r="AI618" s="98"/>
      <c r="AJ618" s="98"/>
      <c r="AK618" s="98"/>
      <c r="AL618" s="98"/>
      <c r="AM618" s="98"/>
      <c r="AN618" s="98"/>
      <c r="AO618" s="98"/>
    </row>
    <row r="619" ht="14.25" customHeight="1">
      <c r="A619" s="179"/>
      <c r="B619" s="98"/>
      <c r="C619" s="98"/>
      <c r="D619" s="98"/>
      <c r="E619" s="98"/>
      <c r="F619" s="235"/>
      <c r="G619" s="235"/>
      <c r="H619" s="236"/>
      <c r="I619" s="236"/>
      <c r="J619" s="236"/>
      <c r="K619" s="236"/>
      <c r="L619" s="236"/>
      <c r="M619" s="236"/>
      <c r="N619" s="236"/>
      <c r="O619" s="236"/>
      <c r="P619" s="236"/>
      <c r="Q619" s="236"/>
      <c r="R619" s="236"/>
      <c r="S619" s="236"/>
      <c r="T619" s="236"/>
      <c r="U619" s="236"/>
      <c r="V619" s="236"/>
      <c r="W619" s="237"/>
      <c r="X619" s="237"/>
      <c r="Y619" s="237"/>
      <c r="Z619" s="237"/>
      <c r="AA619" s="237"/>
      <c r="AB619" s="237"/>
      <c r="AC619" s="237"/>
      <c r="AD619" s="237"/>
      <c r="AE619" s="237"/>
      <c r="AF619" s="237"/>
      <c r="AG619" s="237"/>
      <c r="AH619" s="237"/>
      <c r="AI619" s="98"/>
      <c r="AJ619" s="98"/>
      <c r="AK619" s="98"/>
      <c r="AL619" s="98"/>
      <c r="AM619" s="98"/>
      <c r="AN619" s="98"/>
      <c r="AO619" s="98"/>
    </row>
    <row r="620" ht="14.25" customHeight="1">
      <c r="A620" s="179"/>
      <c r="B620" s="98"/>
      <c r="C620" s="98"/>
      <c r="D620" s="98"/>
      <c r="E620" s="98"/>
      <c r="F620" s="235"/>
      <c r="G620" s="235"/>
      <c r="H620" s="236"/>
      <c r="I620" s="236"/>
      <c r="J620" s="236"/>
      <c r="K620" s="236"/>
      <c r="L620" s="236"/>
      <c r="M620" s="236"/>
      <c r="N620" s="236"/>
      <c r="O620" s="236"/>
      <c r="P620" s="236"/>
      <c r="Q620" s="236"/>
      <c r="R620" s="236"/>
      <c r="S620" s="236"/>
      <c r="T620" s="236"/>
      <c r="U620" s="236"/>
      <c r="V620" s="236"/>
      <c r="W620" s="237"/>
      <c r="X620" s="237"/>
      <c r="Y620" s="237"/>
      <c r="Z620" s="237"/>
      <c r="AA620" s="237"/>
      <c r="AB620" s="237"/>
      <c r="AC620" s="237"/>
      <c r="AD620" s="237"/>
      <c r="AE620" s="237"/>
      <c r="AF620" s="237"/>
      <c r="AG620" s="237"/>
      <c r="AH620" s="237"/>
      <c r="AI620" s="98"/>
      <c r="AJ620" s="98"/>
      <c r="AK620" s="98"/>
      <c r="AL620" s="98"/>
      <c r="AM620" s="98"/>
      <c r="AN620" s="98"/>
      <c r="AO620" s="98"/>
    </row>
    <row r="621" ht="14.25" customHeight="1">
      <c r="A621" s="179"/>
      <c r="B621" s="98"/>
      <c r="C621" s="98"/>
      <c r="D621" s="98"/>
      <c r="E621" s="98"/>
      <c r="F621" s="235"/>
      <c r="G621" s="235"/>
      <c r="H621" s="236"/>
      <c r="I621" s="236"/>
      <c r="J621" s="236"/>
      <c r="K621" s="236"/>
      <c r="L621" s="236"/>
      <c r="M621" s="236"/>
      <c r="N621" s="236"/>
      <c r="O621" s="236"/>
      <c r="P621" s="236"/>
      <c r="Q621" s="236"/>
      <c r="R621" s="236"/>
      <c r="S621" s="236"/>
      <c r="T621" s="236"/>
      <c r="U621" s="236"/>
      <c r="V621" s="236"/>
      <c r="W621" s="237"/>
      <c r="X621" s="237"/>
      <c r="Y621" s="237"/>
      <c r="Z621" s="237"/>
      <c r="AA621" s="237"/>
      <c r="AB621" s="237"/>
      <c r="AC621" s="237"/>
      <c r="AD621" s="237"/>
      <c r="AE621" s="237"/>
      <c r="AF621" s="237"/>
      <c r="AG621" s="237"/>
      <c r="AH621" s="237"/>
      <c r="AI621" s="98"/>
      <c r="AJ621" s="98"/>
      <c r="AK621" s="98"/>
      <c r="AL621" s="98"/>
      <c r="AM621" s="98"/>
      <c r="AN621" s="98"/>
      <c r="AO621" s="98"/>
    </row>
    <row r="622" ht="14.25" customHeight="1">
      <c r="A622" s="179"/>
      <c r="B622" s="98"/>
      <c r="C622" s="98"/>
      <c r="D622" s="98"/>
      <c r="E622" s="98"/>
      <c r="F622" s="235"/>
      <c r="G622" s="235"/>
      <c r="H622" s="236"/>
      <c r="I622" s="236"/>
      <c r="J622" s="236"/>
      <c r="K622" s="236"/>
      <c r="L622" s="236"/>
      <c r="M622" s="236"/>
      <c r="N622" s="236"/>
      <c r="O622" s="236"/>
      <c r="P622" s="236"/>
      <c r="Q622" s="236"/>
      <c r="R622" s="236"/>
      <c r="S622" s="236"/>
      <c r="T622" s="236"/>
      <c r="U622" s="236"/>
      <c r="V622" s="236"/>
      <c r="W622" s="237"/>
      <c r="X622" s="237"/>
      <c r="Y622" s="237"/>
      <c r="Z622" s="237"/>
      <c r="AA622" s="237"/>
      <c r="AB622" s="237"/>
      <c r="AC622" s="237"/>
      <c r="AD622" s="237"/>
      <c r="AE622" s="237"/>
      <c r="AF622" s="237"/>
      <c r="AG622" s="237"/>
      <c r="AH622" s="237"/>
      <c r="AI622" s="98"/>
      <c r="AJ622" s="98"/>
      <c r="AK622" s="98"/>
      <c r="AL622" s="98"/>
      <c r="AM622" s="98"/>
      <c r="AN622" s="98"/>
      <c r="AO622" s="98"/>
    </row>
    <row r="623" ht="14.25" customHeight="1">
      <c r="A623" s="179"/>
      <c r="B623" s="98"/>
      <c r="C623" s="98"/>
      <c r="D623" s="98"/>
      <c r="E623" s="98"/>
      <c r="F623" s="235"/>
      <c r="G623" s="235"/>
      <c r="H623" s="236"/>
      <c r="I623" s="236"/>
      <c r="J623" s="236"/>
      <c r="K623" s="236"/>
      <c r="L623" s="236"/>
      <c r="M623" s="236"/>
      <c r="N623" s="236"/>
      <c r="O623" s="236"/>
      <c r="P623" s="236"/>
      <c r="Q623" s="236"/>
      <c r="R623" s="236"/>
      <c r="S623" s="236"/>
      <c r="T623" s="236"/>
      <c r="U623" s="236"/>
      <c r="V623" s="236"/>
      <c r="W623" s="237"/>
      <c r="X623" s="237"/>
      <c r="Y623" s="237"/>
      <c r="Z623" s="237"/>
      <c r="AA623" s="237"/>
      <c r="AB623" s="237"/>
      <c r="AC623" s="237"/>
      <c r="AD623" s="237"/>
      <c r="AE623" s="237"/>
      <c r="AF623" s="237"/>
      <c r="AG623" s="237"/>
      <c r="AH623" s="237"/>
      <c r="AI623" s="98"/>
      <c r="AJ623" s="98"/>
      <c r="AK623" s="98"/>
      <c r="AL623" s="98"/>
      <c r="AM623" s="98"/>
      <c r="AN623" s="98"/>
      <c r="AO623" s="98"/>
    </row>
    <row r="624" ht="14.25" customHeight="1">
      <c r="A624" s="179"/>
      <c r="B624" s="98"/>
      <c r="C624" s="98"/>
      <c r="D624" s="98"/>
      <c r="E624" s="98"/>
      <c r="F624" s="235"/>
      <c r="G624" s="235"/>
      <c r="H624" s="236"/>
      <c r="I624" s="236"/>
      <c r="J624" s="236"/>
      <c r="K624" s="236"/>
      <c r="L624" s="236"/>
      <c r="M624" s="236"/>
      <c r="N624" s="236"/>
      <c r="O624" s="236"/>
      <c r="P624" s="236"/>
      <c r="Q624" s="236"/>
      <c r="R624" s="236"/>
      <c r="S624" s="236"/>
      <c r="T624" s="236"/>
      <c r="U624" s="236"/>
      <c r="V624" s="236"/>
      <c r="W624" s="237"/>
      <c r="X624" s="237"/>
      <c r="Y624" s="237"/>
      <c r="Z624" s="237"/>
      <c r="AA624" s="237"/>
      <c r="AB624" s="237"/>
      <c r="AC624" s="237"/>
      <c r="AD624" s="237"/>
      <c r="AE624" s="237"/>
      <c r="AF624" s="237"/>
      <c r="AG624" s="237"/>
      <c r="AH624" s="237"/>
      <c r="AI624" s="98"/>
      <c r="AJ624" s="98"/>
      <c r="AK624" s="98"/>
      <c r="AL624" s="98"/>
      <c r="AM624" s="98"/>
      <c r="AN624" s="98"/>
      <c r="AO624" s="98"/>
    </row>
    <row r="625" ht="14.25" customHeight="1">
      <c r="A625" s="179"/>
      <c r="B625" s="98"/>
      <c r="C625" s="98"/>
      <c r="D625" s="98"/>
      <c r="E625" s="98"/>
      <c r="F625" s="235"/>
      <c r="G625" s="235"/>
      <c r="H625" s="236"/>
      <c r="I625" s="236"/>
      <c r="J625" s="236"/>
      <c r="K625" s="236"/>
      <c r="L625" s="236"/>
      <c r="M625" s="236"/>
      <c r="N625" s="236"/>
      <c r="O625" s="236"/>
      <c r="P625" s="236"/>
      <c r="Q625" s="236"/>
      <c r="R625" s="236"/>
      <c r="S625" s="236"/>
      <c r="T625" s="236"/>
      <c r="U625" s="236"/>
      <c r="V625" s="236"/>
      <c r="W625" s="237"/>
      <c r="X625" s="237"/>
      <c r="Y625" s="237"/>
      <c r="Z625" s="237"/>
      <c r="AA625" s="237"/>
      <c r="AB625" s="237"/>
      <c r="AC625" s="237"/>
      <c r="AD625" s="237"/>
      <c r="AE625" s="237"/>
      <c r="AF625" s="237"/>
      <c r="AG625" s="237"/>
      <c r="AH625" s="237"/>
      <c r="AI625" s="98"/>
      <c r="AJ625" s="98"/>
      <c r="AK625" s="98"/>
      <c r="AL625" s="98"/>
      <c r="AM625" s="98"/>
      <c r="AN625" s="98"/>
      <c r="AO625" s="98"/>
    </row>
    <row r="626" ht="14.25" customHeight="1">
      <c r="A626" s="179"/>
      <c r="B626" s="98"/>
      <c r="C626" s="98"/>
      <c r="D626" s="98"/>
      <c r="E626" s="98"/>
      <c r="F626" s="235"/>
      <c r="G626" s="235"/>
      <c r="H626" s="236"/>
      <c r="I626" s="236"/>
      <c r="J626" s="236"/>
      <c r="K626" s="236"/>
      <c r="L626" s="236"/>
      <c r="M626" s="236"/>
      <c r="N626" s="236"/>
      <c r="O626" s="236"/>
      <c r="P626" s="236"/>
      <c r="Q626" s="236"/>
      <c r="R626" s="236"/>
      <c r="S626" s="236"/>
      <c r="T626" s="236"/>
      <c r="U626" s="236"/>
      <c r="V626" s="236"/>
      <c r="W626" s="237"/>
      <c r="X626" s="237"/>
      <c r="Y626" s="237"/>
      <c r="Z626" s="237"/>
      <c r="AA626" s="237"/>
      <c r="AB626" s="237"/>
      <c r="AC626" s="237"/>
      <c r="AD626" s="237"/>
      <c r="AE626" s="237"/>
      <c r="AF626" s="237"/>
      <c r="AG626" s="237"/>
      <c r="AH626" s="237"/>
      <c r="AI626" s="98"/>
      <c r="AJ626" s="98"/>
      <c r="AK626" s="98"/>
      <c r="AL626" s="98"/>
      <c r="AM626" s="98"/>
      <c r="AN626" s="98"/>
      <c r="AO626" s="98"/>
    </row>
    <row r="627" ht="14.25" customHeight="1">
      <c r="A627" s="179"/>
      <c r="B627" s="98"/>
      <c r="C627" s="98"/>
      <c r="D627" s="98"/>
      <c r="E627" s="98"/>
      <c r="F627" s="235"/>
      <c r="G627" s="235"/>
      <c r="H627" s="236"/>
      <c r="I627" s="236"/>
      <c r="J627" s="236"/>
      <c r="K627" s="236"/>
      <c r="L627" s="236"/>
      <c r="M627" s="236"/>
      <c r="N627" s="236"/>
      <c r="O627" s="236"/>
      <c r="P627" s="236"/>
      <c r="Q627" s="236"/>
      <c r="R627" s="236"/>
      <c r="S627" s="236"/>
      <c r="T627" s="236"/>
      <c r="U627" s="236"/>
      <c r="V627" s="236"/>
      <c r="W627" s="237"/>
      <c r="X627" s="237"/>
      <c r="Y627" s="237"/>
      <c r="Z627" s="237"/>
      <c r="AA627" s="237"/>
      <c r="AB627" s="237"/>
      <c r="AC627" s="237"/>
      <c r="AD627" s="237"/>
      <c r="AE627" s="237"/>
      <c r="AF627" s="237"/>
      <c r="AG627" s="237"/>
      <c r="AH627" s="237"/>
      <c r="AI627" s="98"/>
      <c r="AJ627" s="98"/>
      <c r="AK627" s="98"/>
      <c r="AL627" s="98"/>
      <c r="AM627" s="98"/>
      <c r="AN627" s="98"/>
      <c r="AO627" s="98"/>
    </row>
    <row r="628" ht="14.25" customHeight="1">
      <c r="A628" s="179"/>
      <c r="B628" s="98"/>
      <c r="C628" s="98"/>
      <c r="D628" s="98"/>
      <c r="E628" s="98"/>
      <c r="F628" s="235"/>
      <c r="G628" s="235"/>
      <c r="H628" s="236"/>
      <c r="I628" s="236"/>
      <c r="J628" s="236"/>
      <c r="K628" s="236"/>
      <c r="L628" s="236"/>
      <c r="M628" s="236"/>
      <c r="N628" s="236"/>
      <c r="O628" s="236"/>
      <c r="P628" s="236"/>
      <c r="Q628" s="236"/>
      <c r="R628" s="236"/>
      <c r="S628" s="236"/>
      <c r="T628" s="236"/>
      <c r="U628" s="236"/>
      <c r="V628" s="236"/>
      <c r="W628" s="237"/>
      <c r="X628" s="237"/>
      <c r="Y628" s="237"/>
      <c r="Z628" s="237"/>
      <c r="AA628" s="237"/>
      <c r="AB628" s="237"/>
      <c r="AC628" s="237"/>
      <c r="AD628" s="237"/>
      <c r="AE628" s="237"/>
      <c r="AF628" s="237"/>
      <c r="AG628" s="237"/>
      <c r="AH628" s="237"/>
      <c r="AI628" s="98"/>
      <c r="AJ628" s="98"/>
      <c r="AK628" s="98"/>
      <c r="AL628" s="98"/>
      <c r="AM628" s="98"/>
      <c r="AN628" s="98"/>
      <c r="AO628" s="98"/>
    </row>
    <row r="629" ht="14.25" customHeight="1">
      <c r="A629" s="179"/>
      <c r="B629" s="98"/>
      <c r="C629" s="98"/>
      <c r="D629" s="98"/>
      <c r="E629" s="98"/>
      <c r="F629" s="235"/>
      <c r="G629" s="235"/>
      <c r="H629" s="236"/>
      <c r="I629" s="236"/>
      <c r="J629" s="236"/>
      <c r="K629" s="236"/>
      <c r="L629" s="236"/>
      <c r="M629" s="236"/>
      <c r="N629" s="236"/>
      <c r="O629" s="236"/>
      <c r="P629" s="236"/>
      <c r="Q629" s="236"/>
      <c r="R629" s="236"/>
      <c r="S629" s="236"/>
      <c r="T629" s="236"/>
      <c r="U629" s="236"/>
      <c r="V629" s="236"/>
      <c r="W629" s="237"/>
      <c r="X629" s="237"/>
      <c r="Y629" s="237"/>
      <c r="Z629" s="237"/>
      <c r="AA629" s="237"/>
      <c r="AB629" s="237"/>
      <c r="AC629" s="237"/>
      <c r="AD629" s="237"/>
      <c r="AE629" s="237"/>
      <c r="AF629" s="237"/>
      <c r="AG629" s="237"/>
      <c r="AH629" s="237"/>
      <c r="AI629" s="98"/>
      <c r="AJ629" s="98"/>
      <c r="AK629" s="98"/>
      <c r="AL629" s="98"/>
      <c r="AM629" s="98"/>
      <c r="AN629" s="98"/>
      <c r="AO629" s="98"/>
    </row>
    <row r="630" ht="14.25" customHeight="1">
      <c r="A630" s="179"/>
      <c r="B630" s="98"/>
      <c r="C630" s="98"/>
      <c r="D630" s="98"/>
      <c r="E630" s="98"/>
      <c r="F630" s="235"/>
      <c r="G630" s="235"/>
      <c r="H630" s="236"/>
      <c r="I630" s="236"/>
      <c r="J630" s="236"/>
      <c r="K630" s="236"/>
      <c r="L630" s="236"/>
      <c r="M630" s="236"/>
      <c r="N630" s="236"/>
      <c r="O630" s="236"/>
      <c r="P630" s="236"/>
      <c r="Q630" s="236"/>
      <c r="R630" s="236"/>
      <c r="S630" s="236"/>
      <c r="T630" s="236"/>
      <c r="U630" s="236"/>
      <c r="V630" s="236"/>
      <c r="W630" s="237"/>
      <c r="X630" s="237"/>
      <c r="Y630" s="237"/>
      <c r="Z630" s="237"/>
      <c r="AA630" s="237"/>
      <c r="AB630" s="237"/>
      <c r="AC630" s="237"/>
      <c r="AD630" s="237"/>
      <c r="AE630" s="237"/>
      <c r="AF630" s="237"/>
      <c r="AG630" s="237"/>
      <c r="AH630" s="237"/>
      <c r="AI630" s="98"/>
      <c r="AJ630" s="98"/>
      <c r="AK630" s="98"/>
      <c r="AL630" s="98"/>
      <c r="AM630" s="98"/>
      <c r="AN630" s="98"/>
      <c r="AO630" s="98"/>
    </row>
    <row r="631" ht="14.25" customHeight="1">
      <c r="A631" s="179"/>
      <c r="B631" s="98"/>
      <c r="C631" s="98"/>
      <c r="D631" s="98"/>
      <c r="E631" s="98"/>
      <c r="F631" s="235"/>
      <c r="G631" s="235"/>
      <c r="H631" s="236"/>
      <c r="I631" s="236"/>
      <c r="J631" s="236"/>
      <c r="K631" s="236"/>
      <c r="L631" s="236"/>
      <c r="M631" s="236"/>
      <c r="N631" s="236"/>
      <c r="O631" s="236"/>
      <c r="P631" s="236"/>
      <c r="Q631" s="236"/>
      <c r="R631" s="236"/>
      <c r="S631" s="236"/>
      <c r="T631" s="236"/>
      <c r="U631" s="236"/>
      <c r="V631" s="236"/>
      <c r="W631" s="237"/>
      <c r="X631" s="237"/>
      <c r="Y631" s="237"/>
      <c r="Z631" s="237"/>
      <c r="AA631" s="237"/>
      <c r="AB631" s="237"/>
      <c r="AC631" s="237"/>
      <c r="AD631" s="237"/>
      <c r="AE631" s="237"/>
      <c r="AF631" s="237"/>
      <c r="AG631" s="237"/>
      <c r="AH631" s="237"/>
      <c r="AI631" s="98"/>
      <c r="AJ631" s="98"/>
      <c r="AK631" s="98"/>
      <c r="AL631" s="98"/>
      <c r="AM631" s="98"/>
      <c r="AN631" s="98"/>
      <c r="AO631" s="98"/>
    </row>
    <row r="632" ht="14.25" customHeight="1">
      <c r="A632" s="179"/>
      <c r="B632" s="98"/>
      <c r="C632" s="98"/>
      <c r="D632" s="98"/>
      <c r="E632" s="98"/>
      <c r="F632" s="235"/>
      <c r="G632" s="235"/>
      <c r="H632" s="236"/>
      <c r="I632" s="236"/>
      <c r="J632" s="236"/>
      <c r="K632" s="236"/>
      <c r="L632" s="236"/>
      <c r="M632" s="236"/>
      <c r="N632" s="236"/>
      <c r="O632" s="236"/>
      <c r="P632" s="236"/>
      <c r="Q632" s="236"/>
      <c r="R632" s="236"/>
      <c r="S632" s="236"/>
      <c r="T632" s="236"/>
      <c r="U632" s="236"/>
      <c r="V632" s="236"/>
      <c r="W632" s="237"/>
      <c r="X632" s="237"/>
      <c r="Y632" s="237"/>
      <c r="Z632" s="237"/>
      <c r="AA632" s="237"/>
      <c r="AB632" s="237"/>
      <c r="AC632" s="237"/>
      <c r="AD632" s="237"/>
      <c r="AE632" s="237"/>
      <c r="AF632" s="237"/>
      <c r="AG632" s="237"/>
      <c r="AH632" s="237"/>
      <c r="AI632" s="98"/>
      <c r="AJ632" s="98"/>
      <c r="AK632" s="98"/>
      <c r="AL632" s="98"/>
      <c r="AM632" s="98"/>
      <c r="AN632" s="98"/>
      <c r="AO632" s="98"/>
    </row>
    <row r="633" ht="14.25" customHeight="1">
      <c r="A633" s="179"/>
      <c r="B633" s="98"/>
      <c r="C633" s="98"/>
      <c r="D633" s="98"/>
      <c r="E633" s="98"/>
      <c r="F633" s="235"/>
      <c r="G633" s="235"/>
      <c r="H633" s="236"/>
      <c r="I633" s="236"/>
      <c r="J633" s="236"/>
      <c r="K633" s="236"/>
      <c r="L633" s="236"/>
      <c r="M633" s="236"/>
      <c r="N633" s="236"/>
      <c r="O633" s="236"/>
      <c r="P633" s="236"/>
      <c r="Q633" s="236"/>
      <c r="R633" s="236"/>
      <c r="S633" s="236"/>
      <c r="T633" s="236"/>
      <c r="U633" s="236"/>
      <c r="V633" s="236"/>
      <c r="W633" s="237"/>
      <c r="X633" s="237"/>
      <c r="Y633" s="237"/>
      <c r="Z633" s="237"/>
      <c r="AA633" s="237"/>
      <c r="AB633" s="237"/>
      <c r="AC633" s="237"/>
      <c r="AD633" s="237"/>
      <c r="AE633" s="237"/>
      <c r="AF633" s="237"/>
      <c r="AG633" s="237"/>
      <c r="AH633" s="237"/>
      <c r="AI633" s="98"/>
      <c r="AJ633" s="98"/>
      <c r="AK633" s="98"/>
      <c r="AL633" s="98"/>
      <c r="AM633" s="98"/>
      <c r="AN633" s="98"/>
      <c r="AO633" s="98"/>
    </row>
    <row r="634" ht="14.25" customHeight="1">
      <c r="A634" s="179"/>
      <c r="B634" s="98"/>
      <c r="C634" s="98"/>
      <c r="D634" s="98"/>
      <c r="E634" s="98"/>
      <c r="F634" s="235"/>
      <c r="G634" s="235"/>
      <c r="H634" s="236"/>
      <c r="I634" s="236"/>
      <c r="J634" s="236"/>
      <c r="K634" s="236"/>
      <c r="L634" s="236"/>
      <c r="M634" s="236"/>
      <c r="N634" s="236"/>
      <c r="O634" s="236"/>
      <c r="P634" s="236"/>
      <c r="Q634" s="236"/>
      <c r="R634" s="236"/>
      <c r="S634" s="236"/>
      <c r="T634" s="236"/>
      <c r="U634" s="236"/>
      <c r="V634" s="236"/>
      <c r="W634" s="237"/>
      <c r="X634" s="237"/>
      <c r="Y634" s="237"/>
      <c r="Z634" s="237"/>
      <c r="AA634" s="237"/>
      <c r="AB634" s="237"/>
      <c r="AC634" s="237"/>
      <c r="AD634" s="237"/>
      <c r="AE634" s="237"/>
      <c r="AF634" s="237"/>
      <c r="AG634" s="237"/>
      <c r="AH634" s="237"/>
      <c r="AI634" s="98"/>
      <c r="AJ634" s="98"/>
      <c r="AK634" s="98"/>
      <c r="AL634" s="98"/>
      <c r="AM634" s="98"/>
      <c r="AN634" s="98"/>
      <c r="AO634" s="98"/>
    </row>
    <row r="635" ht="14.25" customHeight="1">
      <c r="A635" s="179"/>
      <c r="B635" s="98"/>
      <c r="C635" s="98"/>
      <c r="D635" s="98"/>
      <c r="E635" s="98"/>
      <c r="F635" s="235"/>
      <c r="G635" s="235"/>
      <c r="H635" s="236"/>
      <c r="I635" s="236"/>
      <c r="J635" s="236"/>
      <c r="K635" s="236"/>
      <c r="L635" s="236"/>
      <c r="M635" s="236"/>
      <c r="N635" s="236"/>
      <c r="O635" s="236"/>
      <c r="P635" s="236"/>
      <c r="Q635" s="236"/>
      <c r="R635" s="236"/>
      <c r="S635" s="236"/>
      <c r="T635" s="236"/>
      <c r="U635" s="236"/>
      <c r="V635" s="236"/>
      <c r="W635" s="237"/>
      <c r="X635" s="237"/>
      <c r="Y635" s="237"/>
      <c r="Z635" s="237"/>
      <c r="AA635" s="237"/>
      <c r="AB635" s="237"/>
      <c r="AC635" s="237"/>
      <c r="AD635" s="237"/>
      <c r="AE635" s="237"/>
      <c r="AF635" s="237"/>
      <c r="AG635" s="237"/>
      <c r="AH635" s="237"/>
      <c r="AI635" s="98"/>
      <c r="AJ635" s="98"/>
      <c r="AK635" s="98"/>
      <c r="AL635" s="98"/>
      <c r="AM635" s="98"/>
      <c r="AN635" s="98"/>
      <c r="AO635" s="98"/>
    </row>
    <row r="636" ht="14.25" customHeight="1">
      <c r="A636" s="179"/>
      <c r="B636" s="98"/>
      <c r="C636" s="98"/>
      <c r="D636" s="98"/>
      <c r="E636" s="98"/>
      <c r="F636" s="235"/>
      <c r="G636" s="235"/>
      <c r="H636" s="236"/>
      <c r="I636" s="236"/>
      <c r="J636" s="236"/>
      <c r="K636" s="236"/>
      <c r="L636" s="236"/>
      <c r="M636" s="236"/>
      <c r="N636" s="236"/>
      <c r="O636" s="236"/>
      <c r="P636" s="236"/>
      <c r="Q636" s="236"/>
      <c r="R636" s="236"/>
      <c r="S636" s="236"/>
      <c r="T636" s="236"/>
      <c r="U636" s="236"/>
      <c r="V636" s="236"/>
      <c r="W636" s="237"/>
      <c r="X636" s="237"/>
      <c r="Y636" s="237"/>
      <c r="Z636" s="237"/>
      <c r="AA636" s="237"/>
      <c r="AB636" s="237"/>
      <c r="AC636" s="237"/>
      <c r="AD636" s="237"/>
      <c r="AE636" s="237"/>
      <c r="AF636" s="237"/>
      <c r="AG636" s="237"/>
      <c r="AH636" s="237"/>
      <c r="AI636" s="98"/>
      <c r="AJ636" s="98"/>
      <c r="AK636" s="98"/>
      <c r="AL636" s="98"/>
      <c r="AM636" s="98"/>
      <c r="AN636" s="98"/>
      <c r="AO636" s="98"/>
    </row>
    <row r="637" ht="14.25" customHeight="1">
      <c r="A637" s="179"/>
      <c r="B637" s="98"/>
      <c r="C637" s="98"/>
      <c r="D637" s="98"/>
      <c r="E637" s="98"/>
      <c r="F637" s="235"/>
      <c r="G637" s="235"/>
      <c r="H637" s="236"/>
      <c r="I637" s="236"/>
      <c r="J637" s="236"/>
      <c r="K637" s="236"/>
      <c r="L637" s="236"/>
      <c r="M637" s="236"/>
      <c r="N637" s="236"/>
      <c r="O637" s="236"/>
      <c r="P637" s="236"/>
      <c r="Q637" s="236"/>
      <c r="R637" s="236"/>
      <c r="S637" s="236"/>
      <c r="T637" s="236"/>
      <c r="U637" s="236"/>
      <c r="V637" s="236"/>
      <c r="W637" s="237"/>
      <c r="X637" s="237"/>
      <c r="Y637" s="237"/>
      <c r="Z637" s="237"/>
      <c r="AA637" s="237"/>
      <c r="AB637" s="237"/>
      <c r="AC637" s="237"/>
      <c r="AD637" s="237"/>
      <c r="AE637" s="237"/>
      <c r="AF637" s="237"/>
      <c r="AG637" s="237"/>
      <c r="AH637" s="237"/>
      <c r="AI637" s="98"/>
      <c r="AJ637" s="98"/>
      <c r="AK637" s="98"/>
      <c r="AL637" s="98"/>
      <c r="AM637" s="98"/>
      <c r="AN637" s="98"/>
      <c r="AO637" s="98"/>
    </row>
    <row r="638" ht="14.25" customHeight="1">
      <c r="A638" s="179"/>
      <c r="B638" s="98"/>
      <c r="C638" s="98"/>
      <c r="D638" s="98"/>
      <c r="E638" s="98"/>
      <c r="F638" s="235"/>
      <c r="G638" s="235"/>
      <c r="H638" s="236"/>
      <c r="I638" s="236"/>
      <c r="J638" s="236"/>
      <c r="K638" s="236"/>
      <c r="L638" s="236"/>
      <c r="M638" s="236"/>
      <c r="N638" s="236"/>
      <c r="O638" s="236"/>
      <c r="P638" s="236"/>
      <c r="Q638" s="236"/>
      <c r="R638" s="236"/>
      <c r="S638" s="236"/>
      <c r="T638" s="236"/>
      <c r="U638" s="236"/>
      <c r="V638" s="236"/>
      <c r="W638" s="237"/>
      <c r="X638" s="237"/>
      <c r="Y638" s="237"/>
      <c r="Z638" s="237"/>
      <c r="AA638" s="237"/>
      <c r="AB638" s="237"/>
      <c r="AC638" s="237"/>
      <c r="AD638" s="237"/>
      <c r="AE638" s="237"/>
      <c r="AF638" s="237"/>
      <c r="AG638" s="237"/>
      <c r="AH638" s="237"/>
      <c r="AI638" s="98"/>
      <c r="AJ638" s="98"/>
      <c r="AK638" s="98"/>
      <c r="AL638" s="98"/>
      <c r="AM638" s="98"/>
      <c r="AN638" s="98"/>
      <c r="AO638" s="98"/>
    </row>
    <row r="639" ht="14.25" customHeight="1">
      <c r="A639" s="179"/>
      <c r="B639" s="98"/>
      <c r="C639" s="98"/>
      <c r="D639" s="98"/>
      <c r="E639" s="98"/>
      <c r="F639" s="235"/>
      <c r="G639" s="235"/>
      <c r="H639" s="236"/>
      <c r="I639" s="236"/>
      <c r="J639" s="236"/>
      <c r="K639" s="236"/>
      <c r="L639" s="236"/>
      <c r="M639" s="236"/>
      <c r="N639" s="236"/>
      <c r="O639" s="236"/>
      <c r="P639" s="236"/>
      <c r="Q639" s="236"/>
      <c r="R639" s="236"/>
      <c r="S639" s="236"/>
      <c r="T639" s="236"/>
      <c r="U639" s="236"/>
      <c r="V639" s="236"/>
      <c r="W639" s="237"/>
      <c r="X639" s="237"/>
      <c r="Y639" s="237"/>
      <c r="Z639" s="237"/>
      <c r="AA639" s="237"/>
      <c r="AB639" s="237"/>
      <c r="AC639" s="237"/>
      <c r="AD639" s="237"/>
      <c r="AE639" s="237"/>
      <c r="AF639" s="237"/>
      <c r="AG639" s="237"/>
      <c r="AH639" s="237"/>
      <c r="AI639" s="98"/>
      <c r="AJ639" s="98"/>
      <c r="AK639" s="98"/>
      <c r="AL639" s="98"/>
      <c r="AM639" s="98"/>
      <c r="AN639" s="98"/>
      <c r="AO639" s="98"/>
    </row>
    <row r="640" ht="14.25" customHeight="1">
      <c r="A640" s="179"/>
      <c r="B640" s="98"/>
      <c r="C640" s="98"/>
      <c r="D640" s="98"/>
      <c r="E640" s="98"/>
      <c r="F640" s="235"/>
      <c r="G640" s="235"/>
      <c r="H640" s="236"/>
      <c r="I640" s="236"/>
      <c r="J640" s="236"/>
      <c r="K640" s="236"/>
      <c r="L640" s="236"/>
      <c r="M640" s="236"/>
      <c r="N640" s="236"/>
      <c r="O640" s="236"/>
      <c r="P640" s="236"/>
      <c r="Q640" s="236"/>
      <c r="R640" s="236"/>
      <c r="S640" s="236"/>
      <c r="T640" s="236"/>
      <c r="U640" s="236"/>
      <c r="V640" s="236"/>
      <c r="W640" s="237"/>
      <c r="X640" s="237"/>
      <c r="Y640" s="237"/>
      <c r="Z640" s="237"/>
      <c r="AA640" s="237"/>
      <c r="AB640" s="237"/>
      <c r="AC640" s="237"/>
      <c r="AD640" s="237"/>
      <c r="AE640" s="237"/>
      <c r="AF640" s="237"/>
      <c r="AG640" s="237"/>
      <c r="AH640" s="237"/>
      <c r="AI640" s="98"/>
      <c r="AJ640" s="98"/>
      <c r="AK640" s="98"/>
      <c r="AL640" s="98"/>
      <c r="AM640" s="98"/>
      <c r="AN640" s="98"/>
      <c r="AO640" s="98"/>
    </row>
    <row r="641" ht="14.25" customHeight="1">
      <c r="A641" s="179"/>
      <c r="B641" s="98"/>
      <c r="C641" s="98"/>
      <c r="D641" s="98"/>
      <c r="E641" s="98"/>
      <c r="F641" s="235"/>
      <c r="G641" s="235"/>
      <c r="H641" s="236"/>
      <c r="I641" s="236"/>
      <c r="J641" s="236"/>
      <c r="K641" s="236"/>
      <c r="L641" s="236"/>
      <c r="M641" s="236"/>
      <c r="N641" s="236"/>
      <c r="O641" s="236"/>
      <c r="P641" s="236"/>
      <c r="Q641" s="236"/>
      <c r="R641" s="236"/>
      <c r="S641" s="236"/>
      <c r="T641" s="236"/>
      <c r="U641" s="236"/>
      <c r="V641" s="236"/>
      <c r="W641" s="237"/>
      <c r="X641" s="237"/>
      <c r="Y641" s="237"/>
      <c r="Z641" s="237"/>
      <c r="AA641" s="237"/>
      <c r="AB641" s="237"/>
      <c r="AC641" s="237"/>
      <c r="AD641" s="237"/>
      <c r="AE641" s="237"/>
      <c r="AF641" s="237"/>
      <c r="AG641" s="237"/>
      <c r="AH641" s="237"/>
      <c r="AI641" s="98"/>
      <c r="AJ641" s="98"/>
      <c r="AK641" s="98"/>
      <c r="AL641" s="98"/>
      <c r="AM641" s="98"/>
      <c r="AN641" s="98"/>
      <c r="AO641" s="98"/>
    </row>
    <row r="642" ht="14.25" customHeight="1">
      <c r="A642" s="179"/>
      <c r="B642" s="98"/>
      <c r="C642" s="98"/>
      <c r="D642" s="98"/>
      <c r="E642" s="98"/>
      <c r="F642" s="235"/>
      <c r="G642" s="235"/>
      <c r="H642" s="236"/>
      <c r="I642" s="236"/>
      <c r="J642" s="236"/>
      <c r="K642" s="236"/>
      <c r="L642" s="236"/>
      <c r="M642" s="236"/>
      <c r="N642" s="236"/>
      <c r="O642" s="236"/>
      <c r="P642" s="236"/>
      <c r="Q642" s="236"/>
      <c r="R642" s="236"/>
      <c r="S642" s="236"/>
      <c r="T642" s="236"/>
      <c r="U642" s="236"/>
      <c r="V642" s="236"/>
      <c r="W642" s="237"/>
      <c r="X642" s="237"/>
      <c r="Y642" s="237"/>
      <c r="Z642" s="237"/>
      <c r="AA642" s="237"/>
      <c r="AB642" s="237"/>
      <c r="AC642" s="237"/>
      <c r="AD642" s="237"/>
      <c r="AE642" s="237"/>
      <c r="AF642" s="237"/>
      <c r="AG642" s="237"/>
      <c r="AH642" s="237"/>
      <c r="AI642" s="98"/>
      <c r="AJ642" s="98"/>
      <c r="AK642" s="98"/>
      <c r="AL642" s="98"/>
      <c r="AM642" s="98"/>
      <c r="AN642" s="98"/>
      <c r="AO642" s="98"/>
    </row>
    <row r="643" ht="14.25" customHeight="1">
      <c r="A643" s="179"/>
      <c r="B643" s="98"/>
      <c r="C643" s="98"/>
      <c r="D643" s="98"/>
      <c r="E643" s="98"/>
      <c r="F643" s="235"/>
      <c r="G643" s="235"/>
      <c r="H643" s="236"/>
      <c r="I643" s="236"/>
      <c r="J643" s="236"/>
      <c r="K643" s="236"/>
      <c r="L643" s="236"/>
      <c r="M643" s="236"/>
      <c r="N643" s="236"/>
      <c r="O643" s="236"/>
      <c r="P643" s="236"/>
      <c r="Q643" s="236"/>
      <c r="R643" s="236"/>
      <c r="S643" s="236"/>
      <c r="T643" s="236"/>
      <c r="U643" s="236"/>
      <c r="V643" s="236"/>
      <c r="W643" s="237"/>
      <c r="X643" s="237"/>
      <c r="Y643" s="237"/>
      <c r="Z643" s="237"/>
      <c r="AA643" s="237"/>
      <c r="AB643" s="237"/>
      <c r="AC643" s="237"/>
      <c r="AD643" s="237"/>
      <c r="AE643" s="237"/>
      <c r="AF643" s="237"/>
      <c r="AG643" s="237"/>
      <c r="AH643" s="237"/>
      <c r="AI643" s="98"/>
      <c r="AJ643" s="98"/>
      <c r="AK643" s="98"/>
      <c r="AL643" s="98"/>
      <c r="AM643" s="98"/>
      <c r="AN643" s="98"/>
      <c r="AO643" s="98"/>
    </row>
    <row r="644" ht="14.25" customHeight="1">
      <c r="A644" s="179"/>
      <c r="B644" s="98"/>
      <c r="C644" s="98"/>
      <c r="D644" s="98"/>
      <c r="E644" s="98"/>
      <c r="F644" s="235"/>
      <c r="G644" s="235"/>
      <c r="H644" s="236"/>
      <c r="I644" s="236"/>
      <c r="J644" s="236"/>
      <c r="K644" s="236"/>
      <c r="L644" s="236"/>
      <c r="M644" s="236"/>
      <c r="N644" s="236"/>
      <c r="O644" s="236"/>
      <c r="P644" s="236"/>
      <c r="Q644" s="236"/>
      <c r="R644" s="236"/>
      <c r="S644" s="236"/>
      <c r="T644" s="236"/>
      <c r="U644" s="236"/>
      <c r="V644" s="236"/>
      <c r="W644" s="237"/>
      <c r="X644" s="237"/>
      <c r="Y644" s="237"/>
      <c r="Z644" s="237"/>
      <c r="AA644" s="237"/>
      <c r="AB644" s="237"/>
      <c r="AC644" s="237"/>
      <c r="AD644" s="237"/>
      <c r="AE644" s="237"/>
      <c r="AF644" s="237"/>
      <c r="AG644" s="237"/>
      <c r="AH644" s="237"/>
      <c r="AI644" s="98"/>
      <c r="AJ644" s="98"/>
      <c r="AK644" s="98"/>
      <c r="AL644" s="98"/>
      <c r="AM644" s="98"/>
      <c r="AN644" s="98"/>
      <c r="AO644" s="98"/>
    </row>
    <row r="645" ht="14.25" customHeight="1">
      <c r="A645" s="179"/>
      <c r="B645" s="98"/>
      <c r="C645" s="98"/>
      <c r="D645" s="98"/>
      <c r="E645" s="98"/>
      <c r="F645" s="235"/>
      <c r="G645" s="235"/>
      <c r="H645" s="236"/>
      <c r="I645" s="236"/>
      <c r="J645" s="236"/>
      <c r="K645" s="236"/>
      <c r="L645" s="236"/>
      <c r="M645" s="236"/>
      <c r="N645" s="236"/>
      <c r="O645" s="236"/>
      <c r="P645" s="236"/>
      <c r="Q645" s="236"/>
      <c r="R645" s="236"/>
      <c r="S645" s="236"/>
      <c r="T645" s="236"/>
      <c r="U645" s="236"/>
      <c r="V645" s="236"/>
      <c r="W645" s="237"/>
      <c r="X645" s="237"/>
      <c r="Y645" s="237"/>
      <c r="Z645" s="237"/>
      <c r="AA645" s="237"/>
      <c r="AB645" s="237"/>
      <c r="AC645" s="237"/>
      <c r="AD645" s="237"/>
      <c r="AE645" s="237"/>
      <c r="AF645" s="237"/>
      <c r="AG645" s="237"/>
      <c r="AH645" s="237"/>
      <c r="AI645" s="98"/>
      <c r="AJ645" s="98"/>
      <c r="AK645" s="98"/>
      <c r="AL645" s="98"/>
      <c r="AM645" s="98"/>
      <c r="AN645" s="98"/>
      <c r="AO645" s="98"/>
    </row>
    <row r="646" ht="14.25" customHeight="1">
      <c r="A646" s="179"/>
      <c r="B646" s="98"/>
      <c r="C646" s="98"/>
      <c r="D646" s="98"/>
      <c r="E646" s="98"/>
      <c r="F646" s="235"/>
      <c r="G646" s="235"/>
      <c r="H646" s="236"/>
      <c r="I646" s="236"/>
      <c r="J646" s="236"/>
      <c r="K646" s="236"/>
      <c r="L646" s="236"/>
      <c r="M646" s="236"/>
      <c r="N646" s="236"/>
      <c r="O646" s="236"/>
      <c r="P646" s="236"/>
      <c r="Q646" s="236"/>
      <c r="R646" s="236"/>
      <c r="S646" s="236"/>
      <c r="T646" s="236"/>
      <c r="U646" s="236"/>
      <c r="V646" s="236"/>
      <c r="W646" s="237"/>
      <c r="X646" s="237"/>
      <c r="Y646" s="237"/>
      <c r="Z646" s="237"/>
      <c r="AA646" s="237"/>
      <c r="AB646" s="237"/>
      <c r="AC646" s="237"/>
      <c r="AD646" s="237"/>
      <c r="AE646" s="237"/>
      <c r="AF646" s="237"/>
      <c r="AG646" s="237"/>
      <c r="AH646" s="237"/>
      <c r="AI646" s="98"/>
      <c r="AJ646" s="98"/>
      <c r="AK646" s="98"/>
      <c r="AL646" s="98"/>
      <c r="AM646" s="98"/>
      <c r="AN646" s="98"/>
      <c r="AO646" s="98"/>
    </row>
    <row r="647" ht="14.25" customHeight="1">
      <c r="A647" s="179"/>
      <c r="B647" s="98"/>
      <c r="C647" s="98"/>
      <c r="D647" s="98"/>
      <c r="E647" s="98"/>
      <c r="F647" s="235"/>
      <c r="G647" s="235"/>
      <c r="H647" s="236"/>
      <c r="I647" s="236"/>
      <c r="J647" s="236"/>
      <c r="K647" s="236"/>
      <c r="L647" s="236"/>
      <c r="M647" s="236"/>
      <c r="N647" s="236"/>
      <c r="O647" s="236"/>
      <c r="P647" s="236"/>
      <c r="Q647" s="236"/>
      <c r="R647" s="236"/>
      <c r="S647" s="236"/>
      <c r="T647" s="236"/>
      <c r="U647" s="236"/>
      <c r="V647" s="236"/>
      <c r="W647" s="237"/>
      <c r="X647" s="237"/>
      <c r="Y647" s="237"/>
      <c r="Z647" s="237"/>
      <c r="AA647" s="237"/>
      <c r="AB647" s="237"/>
      <c r="AC647" s="237"/>
      <c r="AD647" s="237"/>
      <c r="AE647" s="237"/>
      <c r="AF647" s="237"/>
      <c r="AG647" s="237"/>
      <c r="AH647" s="237"/>
      <c r="AI647" s="98"/>
      <c r="AJ647" s="98"/>
      <c r="AK647" s="98"/>
      <c r="AL647" s="98"/>
      <c r="AM647" s="98"/>
      <c r="AN647" s="98"/>
      <c r="AO647" s="98"/>
    </row>
    <row r="648" ht="14.25" customHeight="1">
      <c r="A648" s="179"/>
      <c r="B648" s="98"/>
      <c r="C648" s="98"/>
      <c r="D648" s="98"/>
      <c r="E648" s="98"/>
      <c r="F648" s="235"/>
      <c r="G648" s="235"/>
      <c r="H648" s="236"/>
      <c r="I648" s="236"/>
      <c r="J648" s="236"/>
      <c r="K648" s="236"/>
      <c r="L648" s="236"/>
      <c r="M648" s="236"/>
      <c r="N648" s="236"/>
      <c r="O648" s="236"/>
      <c r="P648" s="236"/>
      <c r="Q648" s="236"/>
      <c r="R648" s="236"/>
      <c r="S648" s="236"/>
      <c r="T648" s="236"/>
      <c r="U648" s="236"/>
      <c r="V648" s="236"/>
      <c r="W648" s="237"/>
      <c r="X648" s="237"/>
      <c r="Y648" s="237"/>
      <c r="Z648" s="237"/>
      <c r="AA648" s="237"/>
      <c r="AB648" s="237"/>
      <c r="AC648" s="237"/>
      <c r="AD648" s="237"/>
      <c r="AE648" s="237"/>
      <c r="AF648" s="237"/>
      <c r="AG648" s="237"/>
      <c r="AH648" s="237"/>
      <c r="AI648" s="98"/>
      <c r="AJ648" s="98"/>
      <c r="AK648" s="98"/>
      <c r="AL648" s="98"/>
      <c r="AM648" s="98"/>
      <c r="AN648" s="98"/>
      <c r="AO648" s="98"/>
    </row>
    <row r="649" ht="14.25" customHeight="1">
      <c r="A649" s="179"/>
      <c r="B649" s="98"/>
      <c r="C649" s="98"/>
      <c r="D649" s="98"/>
      <c r="E649" s="98"/>
      <c r="F649" s="235"/>
      <c r="G649" s="235"/>
      <c r="H649" s="236"/>
      <c r="I649" s="236"/>
      <c r="J649" s="236"/>
      <c r="K649" s="236"/>
      <c r="L649" s="236"/>
      <c r="M649" s="236"/>
      <c r="N649" s="236"/>
      <c r="O649" s="236"/>
      <c r="P649" s="236"/>
      <c r="Q649" s="236"/>
      <c r="R649" s="236"/>
      <c r="S649" s="236"/>
      <c r="T649" s="236"/>
      <c r="U649" s="236"/>
      <c r="V649" s="236"/>
      <c r="W649" s="237"/>
      <c r="X649" s="237"/>
      <c r="Y649" s="237"/>
      <c r="Z649" s="237"/>
      <c r="AA649" s="237"/>
      <c r="AB649" s="237"/>
      <c r="AC649" s="237"/>
      <c r="AD649" s="237"/>
      <c r="AE649" s="237"/>
      <c r="AF649" s="237"/>
      <c r="AG649" s="237"/>
      <c r="AH649" s="237"/>
      <c r="AI649" s="98"/>
      <c r="AJ649" s="98"/>
      <c r="AK649" s="98"/>
      <c r="AL649" s="98"/>
      <c r="AM649" s="98"/>
      <c r="AN649" s="98"/>
      <c r="AO649" s="98"/>
    </row>
    <row r="650" ht="14.25" customHeight="1">
      <c r="A650" s="179"/>
      <c r="B650" s="98"/>
      <c r="C650" s="98"/>
      <c r="D650" s="98"/>
      <c r="E650" s="98"/>
      <c r="F650" s="235"/>
      <c r="G650" s="235"/>
      <c r="H650" s="236"/>
      <c r="I650" s="236"/>
      <c r="J650" s="236"/>
      <c r="K650" s="236"/>
      <c r="L650" s="236"/>
      <c r="M650" s="236"/>
      <c r="N650" s="236"/>
      <c r="O650" s="236"/>
      <c r="P650" s="236"/>
      <c r="Q650" s="236"/>
      <c r="R650" s="236"/>
      <c r="S650" s="236"/>
      <c r="T650" s="236"/>
      <c r="U650" s="236"/>
      <c r="V650" s="236"/>
      <c r="W650" s="237"/>
      <c r="X650" s="237"/>
      <c r="Y650" s="237"/>
      <c r="Z650" s="237"/>
      <c r="AA650" s="237"/>
      <c r="AB650" s="237"/>
      <c r="AC650" s="237"/>
      <c r="AD650" s="237"/>
      <c r="AE650" s="237"/>
      <c r="AF650" s="237"/>
      <c r="AG650" s="237"/>
      <c r="AH650" s="237"/>
      <c r="AI650" s="98"/>
      <c r="AJ650" s="98"/>
      <c r="AK650" s="98"/>
      <c r="AL650" s="98"/>
      <c r="AM650" s="98"/>
      <c r="AN650" s="98"/>
      <c r="AO650" s="98"/>
    </row>
    <row r="651" ht="14.25" customHeight="1">
      <c r="A651" s="179"/>
      <c r="B651" s="98"/>
      <c r="C651" s="98"/>
      <c r="D651" s="98"/>
      <c r="E651" s="98"/>
      <c r="F651" s="235"/>
      <c r="G651" s="235"/>
      <c r="H651" s="236"/>
      <c r="I651" s="236"/>
      <c r="J651" s="236"/>
      <c r="K651" s="236"/>
      <c r="L651" s="236"/>
      <c r="M651" s="236"/>
      <c r="N651" s="236"/>
      <c r="O651" s="236"/>
      <c r="P651" s="236"/>
      <c r="Q651" s="236"/>
      <c r="R651" s="236"/>
      <c r="S651" s="236"/>
      <c r="T651" s="236"/>
      <c r="U651" s="236"/>
      <c r="V651" s="236"/>
      <c r="W651" s="237"/>
      <c r="X651" s="237"/>
      <c r="Y651" s="237"/>
      <c r="Z651" s="237"/>
      <c r="AA651" s="237"/>
      <c r="AB651" s="237"/>
      <c r="AC651" s="237"/>
      <c r="AD651" s="237"/>
      <c r="AE651" s="237"/>
      <c r="AF651" s="237"/>
      <c r="AG651" s="237"/>
      <c r="AH651" s="237"/>
      <c r="AI651" s="98"/>
      <c r="AJ651" s="98"/>
      <c r="AK651" s="98"/>
      <c r="AL651" s="98"/>
      <c r="AM651" s="98"/>
      <c r="AN651" s="98"/>
      <c r="AO651" s="98"/>
    </row>
    <row r="652" ht="14.25" customHeight="1">
      <c r="A652" s="179"/>
      <c r="B652" s="98"/>
      <c r="C652" s="98"/>
      <c r="D652" s="98"/>
      <c r="E652" s="98"/>
      <c r="F652" s="235"/>
      <c r="G652" s="235"/>
      <c r="H652" s="236"/>
      <c r="I652" s="236"/>
      <c r="J652" s="236"/>
      <c r="K652" s="236"/>
      <c r="L652" s="236"/>
      <c r="M652" s="236"/>
      <c r="N652" s="236"/>
      <c r="O652" s="236"/>
      <c r="P652" s="236"/>
      <c r="Q652" s="236"/>
      <c r="R652" s="236"/>
      <c r="S652" s="236"/>
      <c r="T652" s="236"/>
      <c r="U652" s="236"/>
      <c r="V652" s="236"/>
      <c r="W652" s="237"/>
      <c r="X652" s="237"/>
      <c r="Y652" s="237"/>
      <c r="Z652" s="237"/>
      <c r="AA652" s="237"/>
      <c r="AB652" s="237"/>
      <c r="AC652" s="237"/>
      <c r="AD652" s="237"/>
      <c r="AE652" s="237"/>
      <c r="AF652" s="237"/>
      <c r="AG652" s="237"/>
      <c r="AH652" s="237"/>
      <c r="AI652" s="98"/>
      <c r="AJ652" s="98"/>
      <c r="AK652" s="98"/>
      <c r="AL652" s="98"/>
      <c r="AM652" s="98"/>
      <c r="AN652" s="98"/>
      <c r="AO652" s="98"/>
    </row>
    <row r="653" ht="14.25" customHeight="1">
      <c r="A653" s="179"/>
      <c r="B653" s="98"/>
      <c r="C653" s="98"/>
      <c r="D653" s="98"/>
      <c r="E653" s="98"/>
      <c r="F653" s="235"/>
      <c r="G653" s="235"/>
      <c r="H653" s="236"/>
      <c r="I653" s="236"/>
      <c r="J653" s="236"/>
      <c r="K653" s="236"/>
      <c r="L653" s="236"/>
      <c r="M653" s="236"/>
      <c r="N653" s="236"/>
      <c r="O653" s="236"/>
      <c r="P653" s="236"/>
      <c r="Q653" s="236"/>
      <c r="R653" s="236"/>
      <c r="S653" s="236"/>
      <c r="T653" s="236"/>
      <c r="U653" s="236"/>
      <c r="V653" s="236"/>
      <c r="W653" s="237"/>
      <c r="X653" s="237"/>
      <c r="Y653" s="237"/>
      <c r="Z653" s="237"/>
      <c r="AA653" s="237"/>
      <c r="AB653" s="237"/>
      <c r="AC653" s="237"/>
      <c r="AD653" s="237"/>
      <c r="AE653" s="237"/>
      <c r="AF653" s="237"/>
      <c r="AG653" s="237"/>
      <c r="AH653" s="237"/>
      <c r="AI653" s="98"/>
      <c r="AJ653" s="98"/>
      <c r="AK653" s="98"/>
      <c r="AL653" s="98"/>
      <c r="AM653" s="98"/>
      <c r="AN653" s="98"/>
      <c r="AO653" s="98"/>
    </row>
    <row r="654" ht="14.25" customHeight="1">
      <c r="A654" s="179"/>
      <c r="B654" s="98"/>
      <c r="C654" s="98"/>
      <c r="D654" s="98"/>
      <c r="E654" s="98"/>
      <c r="F654" s="235"/>
      <c r="G654" s="235"/>
      <c r="H654" s="236"/>
      <c r="I654" s="236"/>
      <c r="J654" s="236"/>
      <c r="K654" s="236"/>
      <c r="L654" s="236"/>
      <c r="M654" s="236"/>
      <c r="N654" s="236"/>
      <c r="O654" s="236"/>
      <c r="P654" s="236"/>
      <c r="Q654" s="236"/>
      <c r="R654" s="236"/>
      <c r="S654" s="236"/>
      <c r="T654" s="236"/>
      <c r="U654" s="236"/>
      <c r="V654" s="236"/>
      <c r="W654" s="237"/>
      <c r="X654" s="237"/>
      <c r="Y654" s="237"/>
      <c r="Z654" s="237"/>
      <c r="AA654" s="237"/>
      <c r="AB654" s="237"/>
      <c r="AC654" s="237"/>
      <c r="AD654" s="237"/>
      <c r="AE654" s="237"/>
      <c r="AF654" s="237"/>
      <c r="AG654" s="237"/>
      <c r="AH654" s="237"/>
      <c r="AI654" s="98"/>
      <c r="AJ654" s="98"/>
      <c r="AK654" s="98"/>
      <c r="AL654" s="98"/>
      <c r="AM654" s="98"/>
      <c r="AN654" s="98"/>
      <c r="AO654" s="98"/>
    </row>
    <row r="655" ht="14.25" customHeight="1">
      <c r="A655" s="179"/>
      <c r="B655" s="98"/>
      <c r="C655" s="98"/>
      <c r="D655" s="98"/>
      <c r="E655" s="98"/>
      <c r="F655" s="235"/>
      <c r="G655" s="235"/>
      <c r="H655" s="236"/>
      <c r="I655" s="236"/>
      <c r="J655" s="236"/>
      <c r="K655" s="236"/>
      <c r="L655" s="236"/>
      <c r="M655" s="236"/>
      <c r="N655" s="236"/>
      <c r="O655" s="236"/>
      <c r="P655" s="236"/>
      <c r="Q655" s="236"/>
      <c r="R655" s="236"/>
      <c r="S655" s="236"/>
      <c r="T655" s="236"/>
      <c r="U655" s="236"/>
      <c r="V655" s="236"/>
      <c r="W655" s="237"/>
      <c r="X655" s="237"/>
      <c r="Y655" s="237"/>
      <c r="Z655" s="237"/>
      <c r="AA655" s="237"/>
      <c r="AB655" s="237"/>
      <c r="AC655" s="237"/>
      <c r="AD655" s="237"/>
      <c r="AE655" s="237"/>
      <c r="AF655" s="237"/>
      <c r="AG655" s="237"/>
      <c r="AH655" s="237"/>
      <c r="AI655" s="98"/>
      <c r="AJ655" s="98"/>
      <c r="AK655" s="98"/>
      <c r="AL655" s="98"/>
      <c r="AM655" s="98"/>
      <c r="AN655" s="98"/>
      <c r="AO655" s="98"/>
    </row>
    <row r="656" ht="14.25" customHeight="1">
      <c r="A656" s="179"/>
      <c r="B656" s="98"/>
      <c r="C656" s="98"/>
      <c r="D656" s="98"/>
      <c r="E656" s="98"/>
      <c r="F656" s="235"/>
      <c r="G656" s="235"/>
      <c r="H656" s="236"/>
      <c r="I656" s="236"/>
      <c r="J656" s="236"/>
      <c r="K656" s="236"/>
      <c r="L656" s="236"/>
      <c r="M656" s="236"/>
      <c r="N656" s="236"/>
      <c r="O656" s="236"/>
      <c r="P656" s="236"/>
      <c r="Q656" s="236"/>
      <c r="R656" s="236"/>
      <c r="S656" s="236"/>
      <c r="T656" s="236"/>
      <c r="U656" s="236"/>
      <c r="V656" s="236"/>
      <c r="W656" s="237"/>
      <c r="X656" s="237"/>
      <c r="Y656" s="237"/>
      <c r="Z656" s="237"/>
      <c r="AA656" s="237"/>
      <c r="AB656" s="237"/>
      <c r="AC656" s="237"/>
      <c r="AD656" s="237"/>
      <c r="AE656" s="237"/>
      <c r="AF656" s="237"/>
      <c r="AG656" s="237"/>
      <c r="AH656" s="237"/>
      <c r="AI656" s="98"/>
      <c r="AJ656" s="98"/>
      <c r="AK656" s="98"/>
      <c r="AL656" s="98"/>
      <c r="AM656" s="98"/>
      <c r="AN656" s="98"/>
      <c r="AO656" s="98"/>
    </row>
    <row r="657" ht="14.25" customHeight="1">
      <c r="A657" s="179"/>
      <c r="B657" s="98"/>
      <c r="C657" s="98"/>
      <c r="D657" s="98"/>
      <c r="E657" s="98"/>
      <c r="F657" s="235"/>
      <c r="G657" s="235"/>
      <c r="H657" s="236"/>
      <c r="I657" s="236"/>
      <c r="J657" s="236"/>
      <c r="K657" s="236"/>
      <c r="L657" s="236"/>
      <c r="M657" s="236"/>
      <c r="N657" s="236"/>
      <c r="O657" s="236"/>
      <c r="P657" s="236"/>
      <c r="Q657" s="236"/>
      <c r="R657" s="236"/>
      <c r="S657" s="236"/>
      <c r="T657" s="236"/>
      <c r="U657" s="236"/>
      <c r="V657" s="236"/>
      <c r="W657" s="237"/>
      <c r="X657" s="237"/>
      <c r="Y657" s="237"/>
      <c r="Z657" s="237"/>
      <c r="AA657" s="237"/>
      <c r="AB657" s="237"/>
      <c r="AC657" s="237"/>
      <c r="AD657" s="237"/>
      <c r="AE657" s="237"/>
      <c r="AF657" s="237"/>
      <c r="AG657" s="237"/>
      <c r="AH657" s="237"/>
      <c r="AI657" s="98"/>
      <c r="AJ657" s="98"/>
      <c r="AK657" s="98"/>
      <c r="AL657" s="98"/>
      <c r="AM657" s="98"/>
      <c r="AN657" s="98"/>
      <c r="AO657" s="98"/>
    </row>
    <row r="658" ht="14.25" customHeight="1">
      <c r="A658" s="179"/>
      <c r="B658" s="98"/>
      <c r="C658" s="98"/>
      <c r="D658" s="98"/>
      <c r="E658" s="98"/>
      <c r="F658" s="235"/>
      <c r="G658" s="235"/>
      <c r="H658" s="236"/>
      <c r="I658" s="236"/>
      <c r="J658" s="236"/>
      <c r="K658" s="236"/>
      <c r="L658" s="236"/>
      <c r="M658" s="236"/>
      <c r="N658" s="236"/>
      <c r="O658" s="236"/>
      <c r="P658" s="236"/>
      <c r="Q658" s="236"/>
      <c r="R658" s="236"/>
      <c r="S658" s="236"/>
      <c r="T658" s="236"/>
      <c r="U658" s="236"/>
      <c r="V658" s="236"/>
      <c r="W658" s="237"/>
      <c r="X658" s="237"/>
      <c r="Y658" s="237"/>
      <c r="Z658" s="237"/>
      <c r="AA658" s="237"/>
      <c r="AB658" s="237"/>
      <c r="AC658" s="237"/>
      <c r="AD658" s="237"/>
      <c r="AE658" s="237"/>
      <c r="AF658" s="237"/>
      <c r="AG658" s="237"/>
      <c r="AH658" s="237"/>
      <c r="AI658" s="98"/>
      <c r="AJ658" s="98"/>
      <c r="AK658" s="98"/>
      <c r="AL658" s="98"/>
      <c r="AM658" s="98"/>
      <c r="AN658" s="98"/>
      <c r="AO658" s="98"/>
    </row>
    <row r="659" ht="14.25" customHeight="1">
      <c r="A659" s="179"/>
      <c r="B659" s="98"/>
      <c r="C659" s="98"/>
      <c r="D659" s="98"/>
      <c r="E659" s="98"/>
      <c r="F659" s="235"/>
      <c r="G659" s="235"/>
      <c r="H659" s="236"/>
      <c r="I659" s="236"/>
      <c r="J659" s="236"/>
      <c r="K659" s="236"/>
      <c r="L659" s="236"/>
      <c r="M659" s="236"/>
      <c r="N659" s="236"/>
      <c r="O659" s="236"/>
      <c r="P659" s="236"/>
      <c r="Q659" s="236"/>
      <c r="R659" s="236"/>
      <c r="S659" s="236"/>
      <c r="T659" s="236"/>
      <c r="U659" s="236"/>
      <c r="V659" s="236"/>
      <c r="W659" s="237"/>
      <c r="X659" s="237"/>
      <c r="Y659" s="237"/>
      <c r="Z659" s="237"/>
      <c r="AA659" s="237"/>
      <c r="AB659" s="237"/>
      <c r="AC659" s="237"/>
      <c r="AD659" s="237"/>
      <c r="AE659" s="237"/>
      <c r="AF659" s="237"/>
      <c r="AG659" s="237"/>
      <c r="AH659" s="237"/>
      <c r="AI659" s="98"/>
      <c r="AJ659" s="98"/>
      <c r="AK659" s="98"/>
      <c r="AL659" s="98"/>
      <c r="AM659" s="98"/>
      <c r="AN659" s="98"/>
      <c r="AO659" s="98"/>
    </row>
    <row r="660" ht="14.25" customHeight="1">
      <c r="A660" s="179"/>
      <c r="B660" s="98"/>
      <c r="C660" s="98"/>
      <c r="D660" s="98"/>
      <c r="E660" s="98"/>
      <c r="F660" s="235"/>
      <c r="G660" s="235"/>
      <c r="H660" s="236"/>
      <c r="I660" s="236"/>
      <c r="J660" s="236"/>
      <c r="K660" s="236"/>
      <c r="L660" s="236"/>
      <c r="M660" s="236"/>
      <c r="N660" s="236"/>
      <c r="O660" s="236"/>
      <c r="P660" s="236"/>
      <c r="Q660" s="236"/>
      <c r="R660" s="236"/>
      <c r="S660" s="236"/>
      <c r="T660" s="236"/>
      <c r="U660" s="236"/>
      <c r="V660" s="236"/>
      <c r="W660" s="237"/>
      <c r="X660" s="237"/>
      <c r="Y660" s="237"/>
      <c r="Z660" s="237"/>
      <c r="AA660" s="237"/>
      <c r="AB660" s="237"/>
      <c r="AC660" s="237"/>
      <c r="AD660" s="237"/>
      <c r="AE660" s="237"/>
      <c r="AF660" s="237"/>
      <c r="AG660" s="237"/>
      <c r="AH660" s="237"/>
      <c r="AI660" s="98"/>
      <c r="AJ660" s="98"/>
      <c r="AK660" s="98"/>
      <c r="AL660" s="98"/>
      <c r="AM660" s="98"/>
      <c r="AN660" s="98"/>
      <c r="AO660" s="98"/>
    </row>
    <row r="661" ht="14.25" customHeight="1">
      <c r="A661" s="179"/>
      <c r="B661" s="98"/>
      <c r="C661" s="98"/>
      <c r="D661" s="98"/>
      <c r="E661" s="98"/>
      <c r="F661" s="235"/>
      <c r="G661" s="235"/>
      <c r="H661" s="236"/>
      <c r="I661" s="236"/>
      <c r="J661" s="236"/>
      <c r="K661" s="236"/>
      <c r="L661" s="236"/>
      <c r="M661" s="236"/>
      <c r="N661" s="236"/>
      <c r="O661" s="236"/>
      <c r="P661" s="236"/>
      <c r="Q661" s="236"/>
      <c r="R661" s="236"/>
      <c r="S661" s="236"/>
      <c r="T661" s="236"/>
      <c r="U661" s="236"/>
      <c r="V661" s="236"/>
      <c r="W661" s="237"/>
      <c r="X661" s="237"/>
      <c r="Y661" s="237"/>
      <c r="Z661" s="237"/>
      <c r="AA661" s="237"/>
      <c r="AB661" s="237"/>
      <c r="AC661" s="237"/>
      <c r="AD661" s="237"/>
      <c r="AE661" s="237"/>
      <c r="AF661" s="237"/>
      <c r="AG661" s="237"/>
      <c r="AH661" s="237"/>
      <c r="AI661" s="98"/>
      <c r="AJ661" s="98"/>
      <c r="AK661" s="98"/>
      <c r="AL661" s="98"/>
      <c r="AM661" s="98"/>
      <c r="AN661" s="98"/>
      <c r="AO661" s="98"/>
    </row>
    <row r="662" ht="14.25" customHeight="1">
      <c r="A662" s="179"/>
      <c r="B662" s="98"/>
      <c r="C662" s="98"/>
      <c r="D662" s="98"/>
      <c r="E662" s="98"/>
      <c r="F662" s="235"/>
      <c r="G662" s="235"/>
      <c r="H662" s="236"/>
      <c r="I662" s="236"/>
      <c r="J662" s="236"/>
      <c r="K662" s="236"/>
      <c r="L662" s="236"/>
      <c r="M662" s="236"/>
      <c r="N662" s="236"/>
      <c r="O662" s="236"/>
      <c r="P662" s="236"/>
      <c r="Q662" s="236"/>
      <c r="R662" s="236"/>
      <c r="S662" s="236"/>
      <c r="T662" s="236"/>
      <c r="U662" s="236"/>
      <c r="V662" s="236"/>
      <c r="W662" s="237"/>
      <c r="X662" s="237"/>
      <c r="Y662" s="237"/>
      <c r="Z662" s="237"/>
      <c r="AA662" s="237"/>
      <c r="AB662" s="237"/>
      <c r="AC662" s="237"/>
      <c r="AD662" s="237"/>
      <c r="AE662" s="237"/>
      <c r="AF662" s="237"/>
      <c r="AG662" s="237"/>
      <c r="AH662" s="237"/>
      <c r="AI662" s="98"/>
      <c r="AJ662" s="98"/>
      <c r="AK662" s="98"/>
      <c r="AL662" s="98"/>
      <c r="AM662" s="98"/>
      <c r="AN662" s="98"/>
      <c r="AO662" s="98"/>
    </row>
    <row r="663" ht="14.25" customHeight="1">
      <c r="A663" s="179"/>
      <c r="B663" s="98"/>
      <c r="C663" s="98"/>
      <c r="D663" s="98"/>
      <c r="E663" s="98"/>
      <c r="F663" s="235"/>
      <c r="G663" s="235"/>
      <c r="H663" s="236"/>
      <c r="I663" s="236"/>
      <c r="J663" s="236"/>
      <c r="K663" s="236"/>
      <c r="L663" s="236"/>
      <c r="M663" s="236"/>
      <c r="N663" s="236"/>
      <c r="O663" s="236"/>
      <c r="P663" s="236"/>
      <c r="Q663" s="236"/>
      <c r="R663" s="236"/>
      <c r="S663" s="236"/>
      <c r="T663" s="236"/>
      <c r="U663" s="236"/>
      <c r="V663" s="236"/>
      <c r="W663" s="237"/>
      <c r="X663" s="237"/>
      <c r="Y663" s="237"/>
      <c r="Z663" s="237"/>
      <c r="AA663" s="237"/>
      <c r="AB663" s="237"/>
      <c r="AC663" s="237"/>
      <c r="AD663" s="237"/>
      <c r="AE663" s="237"/>
      <c r="AF663" s="237"/>
      <c r="AG663" s="237"/>
      <c r="AH663" s="237"/>
      <c r="AI663" s="98"/>
      <c r="AJ663" s="98"/>
      <c r="AK663" s="98"/>
      <c r="AL663" s="98"/>
      <c r="AM663" s="98"/>
      <c r="AN663" s="98"/>
      <c r="AO663" s="98"/>
    </row>
    <row r="664" ht="14.25" customHeight="1">
      <c r="A664" s="179"/>
      <c r="B664" s="98"/>
      <c r="C664" s="98"/>
      <c r="D664" s="98"/>
      <c r="E664" s="98"/>
      <c r="F664" s="235"/>
      <c r="G664" s="235"/>
      <c r="H664" s="236"/>
      <c r="I664" s="236"/>
      <c r="J664" s="236"/>
      <c r="K664" s="236"/>
      <c r="L664" s="236"/>
      <c r="M664" s="236"/>
      <c r="N664" s="236"/>
      <c r="O664" s="236"/>
      <c r="P664" s="236"/>
      <c r="Q664" s="236"/>
      <c r="R664" s="236"/>
      <c r="S664" s="236"/>
      <c r="T664" s="236"/>
      <c r="U664" s="236"/>
      <c r="V664" s="236"/>
      <c r="W664" s="237"/>
      <c r="X664" s="237"/>
      <c r="Y664" s="237"/>
      <c r="Z664" s="237"/>
      <c r="AA664" s="237"/>
      <c r="AB664" s="237"/>
      <c r="AC664" s="237"/>
      <c r="AD664" s="237"/>
      <c r="AE664" s="237"/>
      <c r="AF664" s="237"/>
      <c r="AG664" s="237"/>
      <c r="AH664" s="237"/>
      <c r="AI664" s="98"/>
      <c r="AJ664" s="98"/>
      <c r="AK664" s="98"/>
      <c r="AL664" s="98"/>
      <c r="AM664" s="98"/>
      <c r="AN664" s="98"/>
      <c r="AO664" s="98"/>
    </row>
    <row r="665" ht="14.25" customHeight="1">
      <c r="A665" s="179"/>
      <c r="B665" s="98"/>
      <c r="C665" s="98"/>
      <c r="D665" s="98"/>
      <c r="E665" s="98"/>
      <c r="F665" s="235"/>
      <c r="G665" s="235"/>
      <c r="H665" s="236"/>
      <c r="I665" s="236"/>
      <c r="J665" s="236"/>
      <c r="K665" s="236"/>
      <c r="L665" s="236"/>
      <c r="M665" s="236"/>
      <c r="N665" s="236"/>
      <c r="O665" s="236"/>
      <c r="P665" s="236"/>
      <c r="Q665" s="236"/>
      <c r="R665" s="236"/>
      <c r="S665" s="236"/>
      <c r="T665" s="236"/>
      <c r="U665" s="236"/>
      <c r="V665" s="236"/>
      <c r="W665" s="237"/>
      <c r="X665" s="237"/>
      <c r="Y665" s="237"/>
      <c r="Z665" s="237"/>
      <c r="AA665" s="237"/>
      <c r="AB665" s="237"/>
      <c r="AC665" s="237"/>
      <c r="AD665" s="237"/>
      <c r="AE665" s="237"/>
      <c r="AF665" s="237"/>
      <c r="AG665" s="237"/>
      <c r="AH665" s="237"/>
      <c r="AI665" s="98"/>
      <c r="AJ665" s="98"/>
      <c r="AK665" s="98"/>
      <c r="AL665" s="98"/>
      <c r="AM665" s="98"/>
      <c r="AN665" s="98"/>
      <c r="AO665" s="98"/>
    </row>
    <row r="666" ht="14.25" customHeight="1">
      <c r="A666" s="179"/>
      <c r="B666" s="98"/>
      <c r="C666" s="98"/>
      <c r="D666" s="98"/>
      <c r="E666" s="98"/>
      <c r="F666" s="235"/>
      <c r="G666" s="235"/>
      <c r="H666" s="236"/>
      <c r="I666" s="236"/>
      <c r="J666" s="236"/>
      <c r="K666" s="236"/>
      <c r="L666" s="236"/>
      <c r="M666" s="236"/>
      <c r="N666" s="236"/>
      <c r="O666" s="236"/>
      <c r="P666" s="236"/>
      <c r="Q666" s="236"/>
      <c r="R666" s="236"/>
      <c r="S666" s="236"/>
      <c r="T666" s="236"/>
      <c r="U666" s="236"/>
      <c r="V666" s="236"/>
      <c r="W666" s="237"/>
      <c r="X666" s="237"/>
      <c r="Y666" s="237"/>
      <c r="Z666" s="237"/>
      <c r="AA666" s="237"/>
      <c r="AB666" s="237"/>
      <c r="AC666" s="237"/>
      <c r="AD666" s="237"/>
      <c r="AE666" s="237"/>
      <c r="AF666" s="237"/>
      <c r="AG666" s="237"/>
      <c r="AH666" s="237"/>
      <c r="AI666" s="98"/>
      <c r="AJ666" s="98"/>
      <c r="AK666" s="98"/>
      <c r="AL666" s="98"/>
      <c r="AM666" s="98"/>
      <c r="AN666" s="98"/>
      <c r="AO666" s="98"/>
    </row>
    <row r="667" ht="14.25" customHeight="1">
      <c r="A667" s="179"/>
      <c r="B667" s="98"/>
      <c r="C667" s="98"/>
      <c r="D667" s="98"/>
      <c r="E667" s="98"/>
      <c r="F667" s="235"/>
      <c r="G667" s="235"/>
      <c r="H667" s="236"/>
      <c r="I667" s="236"/>
      <c r="J667" s="236"/>
      <c r="K667" s="236"/>
      <c r="L667" s="236"/>
      <c r="M667" s="236"/>
      <c r="N667" s="236"/>
      <c r="O667" s="236"/>
      <c r="P667" s="236"/>
      <c r="Q667" s="236"/>
      <c r="R667" s="236"/>
      <c r="S667" s="236"/>
      <c r="T667" s="236"/>
      <c r="U667" s="236"/>
      <c r="V667" s="236"/>
      <c r="W667" s="237"/>
      <c r="X667" s="237"/>
      <c r="Y667" s="237"/>
      <c r="Z667" s="237"/>
      <c r="AA667" s="237"/>
      <c r="AB667" s="237"/>
      <c r="AC667" s="237"/>
      <c r="AD667" s="237"/>
      <c r="AE667" s="237"/>
      <c r="AF667" s="237"/>
      <c r="AG667" s="237"/>
      <c r="AH667" s="237"/>
      <c r="AI667" s="98"/>
      <c r="AJ667" s="98"/>
      <c r="AK667" s="98"/>
      <c r="AL667" s="98"/>
      <c r="AM667" s="98"/>
      <c r="AN667" s="98"/>
      <c r="AO667" s="98"/>
    </row>
    <row r="668" ht="14.25" customHeight="1">
      <c r="A668" s="179"/>
      <c r="B668" s="98"/>
      <c r="C668" s="98"/>
      <c r="D668" s="98"/>
      <c r="E668" s="98"/>
      <c r="F668" s="235"/>
      <c r="G668" s="235"/>
      <c r="H668" s="236"/>
      <c r="I668" s="236"/>
      <c r="J668" s="236"/>
      <c r="K668" s="236"/>
      <c r="L668" s="236"/>
      <c r="M668" s="236"/>
      <c r="N668" s="236"/>
      <c r="O668" s="236"/>
      <c r="P668" s="236"/>
      <c r="Q668" s="236"/>
      <c r="R668" s="236"/>
      <c r="S668" s="236"/>
      <c r="T668" s="236"/>
      <c r="U668" s="236"/>
      <c r="V668" s="236"/>
      <c r="W668" s="237"/>
      <c r="X668" s="237"/>
      <c r="Y668" s="237"/>
      <c r="Z668" s="237"/>
      <c r="AA668" s="237"/>
      <c r="AB668" s="237"/>
      <c r="AC668" s="237"/>
      <c r="AD668" s="237"/>
      <c r="AE668" s="237"/>
      <c r="AF668" s="237"/>
      <c r="AG668" s="237"/>
      <c r="AH668" s="237"/>
      <c r="AI668" s="98"/>
      <c r="AJ668" s="98"/>
      <c r="AK668" s="98"/>
      <c r="AL668" s="98"/>
      <c r="AM668" s="98"/>
      <c r="AN668" s="98"/>
      <c r="AO668" s="98"/>
    </row>
    <row r="669" ht="14.25" customHeight="1">
      <c r="A669" s="179"/>
      <c r="B669" s="98"/>
      <c r="C669" s="98"/>
      <c r="D669" s="98"/>
      <c r="E669" s="98"/>
      <c r="F669" s="235"/>
      <c r="G669" s="235"/>
      <c r="H669" s="236"/>
      <c r="I669" s="236"/>
      <c r="J669" s="236"/>
      <c r="K669" s="236"/>
      <c r="L669" s="236"/>
      <c r="M669" s="236"/>
      <c r="N669" s="236"/>
      <c r="O669" s="236"/>
      <c r="P669" s="236"/>
      <c r="Q669" s="236"/>
      <c r="R669" s="236"/>
      <c r="S669" s="236"/>
      <c r="T669" s="236"/>
      <c r="U669" s="236"/>
      <c r="V669" s="236"/>
      <c r="W669" s="237"/>
      <c r="X669" s="237"/>
      <c r="Y669" s="237"/>
      <c r="Z669" s="237"/>
      <c r="AA669" s="237"/>
      <c r="AB669" s="237"/>
      <c r="AC669" s="237"/>
      <c r="AD669" s="237"/>
      <c r="AE669" s="237"/>
      <c r="AF669" s="237"/>
      <c r="AG669" s="237"/>
      <c r="AH669" s="237"/>
      <c r="AI669" s="98"/>
      <c r="AJ669" s="98"/>
      <c r="AK669" s="98"/>
      <c r="AL669" s="98"/>
      <c r="AM669" s="98"/>
      <c r="AN669" s="98"/>
      <c r="AO669" s="98"/>
    </row>
    <row r="670" ht="14.25" customHeight="1">
      <c r="A670" s="179"/>
      <c r="B670" s="98"/>
      <c r="C670" s="98"/>
      <c r="D670" s="98"/>
      <c r="E670" s="98"/>
      <c r="F670" s="235"/>
      <c r="G670" s="235"/>
      <c r="H670" s="236"/>
      <c r="I670" s="236"/>
      <c r="J670" s="236"/>
      <c r="K670" s="236"/>
      <c r="L670" s="236"/>
      <c r="M670" s="236"/>
      <c r="N670" s="236"/>
      <c r="O670" s="236"/>
      <c r="P670" s="236"/>
      <c r="Q670" s="236"/>
      <c r="R670" s="236"/>
      <c r="S670" s="236"/>
      <c r="T670" s="236"/>
      <c r="U670" s="236"/>
      <c r="V670" s="236"/>
      <c r="W670" s="237"/>
      <c r="X670" s="237"/>
      <c r="Y670" s="237"/>
      <c r="Z670" s="237"/>
      <c r="AA670" s="237"/>
      <c r="AB670" s="237"/>
      <c r="AC670" s="237"/>
      <c r="AD670" s="237"/>
      <c r="AE670" s="237"/>
      <c r="AF670" s="237"/>
      <c r="AG670" s="237"/>
      <c r="AH670" s="237"/>
      <c r="AI670" s="98"/>
      <c r="AJ670" s="98"/>
      <c r="AK670" s="98"/>
      <c r="AL670" s="98"/>
      <c r="AM670" s="98"/>
      <c r="AN670" s="98"/>
      <c r="AO670" s="98"/>
    </row>
    <row r="671" ht="14.25" customHeight="1">
      <c r="A671" s="179"/>
      <c r="B671" s="98"/>
      <c r="C671" s="98"/>
      <c r="D671" s="98"/>
      <c r="E671" s="98"/>
      <c r="F671" s="235"/>
      <c r="G671" s="235"/>
      <c r="H671" s="236"/>
      <c r="I671" s="236"/>
      <c r="J671" s="236"/>
      <c r="K671" s="236"/>
      <c r="L671" s="236"/>
      <c r="M671" s="236"/>
      <c r="N671" s="236"/>
      <c r="O671" s="236"/>
      <c r="P671" s="236"/>
      <c r="Q671" s="236"/>
      <c r="R671" s="236"/>
      <c r="S671" s="236"/>
      <c r="T671" s="236"/>
      <c r="U671" s="236"/>
      <c r="V671" s="236"/>
      <c r="W671" s="237"/>
      <c r="X671" s="237"/>
      <c r="Y671" s="237"/>
      <c r="Z671" s="237"/>
      <c r="AA671" s="237"/>
      <c r="AB671" s="237"/>
      <c r="AC671" s="237"/>
      <c r="AD671" s="237"/>
      <c r="AE671" s="237"/>
      <c r="AF671" s="237"/>
      <c r="AG671" s="237"/>
      <c r="AH671" s="237"/>
      <c r="AI671" s="98"/>
      <c r="AJ671" s="98"/>
      <c r="AK671" s="98"/>
      <c r="AL671" s="98"/>
      <c r="AM671" s="98"/>
      <c r="AN671" s="98"/>
      <c r="AO671" s="98"/>
    </row>
    <row r="672" ht="14.25" customHeight="1">
      <c r="A672" s="179"/>
      <c r="B672" s="98"/>
      <c r="C672" s="98"/>
      <c r="D672" s="98"/>
      <c r="E672" s="98"/>
      <c r="F672" s="235"/>
      <c r="G672" s="235"/>
      <c r="H672" s="236"/>
      <c r="I672" s="236"/>
      <c r="J672" s="236"/>
      <c r="K672" s="236"/>
      <c r="L672" s="236"/>
      <c r="M672" s="236"/>
      <c r="N672" s="236"/>
      <c r="O672" s="236"/>
      <c r="P672" s="236"/>
      <c r="Q672" s="236"/>
      <c r="R672" s="236"/>
      <c r="S672" s="236"/>
      <c r="T672" s="236"/>
      <c r="U672" s="236"/>
      <c r="V672" s="236"/>
      <c r="W672" s="237"/>
      <c r="X672" s="237"/>
      <c r="Y672" s="237"/>
      <c r="Z672" s="237"/>
      <c r="AA672" s="237"/>
      <c r="AB672" s="237"/>
      <c r="AC672" s="237"/>
      <c r="AD672" s="237"/>
      <c r="AE672" s="237"/>
      <c r="AF672" s="237"/>
      <c r="AG672" s="237"/>
      <c r="AH672" s="237"/>
      <c r="AI672" s="98"/>
      <c r="AJ672" s="98"/>
      <c r="AK672" s="98"/>
      <c r="AL672" s="98"/>
      <c r="AM672" s="98"/>
      <c r="AN672" s="98"/>
      <c r="AO672" s="98"/>
    </row>
    <row r="673" ht="14.25" customHeight="1">
      <c r="A673" s="179"/>
      <c r="B673" s="98"/>
      <c r="C673" s="98"/>
      <c r="D673" s="98"/>
      <c r="E673" s="98"/>
      <c r="F673" s="235"/>
      <c r="G673" s="235"/>
      <c r="H673" s="236"/>
      <c r="I673" s="236"/>
      <c r="J673" s="236"/>
      <c r="K673" s="236"/>
      <c r="L673" s="236"/>
      <c r="M673" s="236"/>
      <c r="N673" s="236"/>
      <c r="O673" s="236"/>
      <c r="P673" s="236"/>
      <c r="Q673" s="236"/>
      <c r="R673" s="236"/>
      <c r="S673" s="236"/>
      <c r="T673" s="236"/>
      <c r="U673" s="236"/>
      <c r="V673" s="236"/>
      <c r="W673" s="237"/>
      <c r="X673" s="237"/>
      <c r="Y673" s="237"/>
      <c r="Z673" s="237"/>
      <c r="AA673" s="237"/>
      <c r="AB673" s="237"/>
      <c r="AC673" s="237"/>
      <c r="AD673" s="237"/>
      <c r="AE673" s="237"/>
      <c r="AF673" s="237"/>
      <c r="AG673" s="237"/>
      <c r="AH673" s="237"/>
      <c r="AI673" s="98"/>
      <c r="AJ673" s="98"/>
      <c r="AK673" s="98"/>
      <c r="AL673" s="98"/>
      <c r="AM673" s="98"/>
      <c r="AN673" s="98"/>
      <c r="AO673" s="98"/>
    </row>
    <row r="674" ht="14.25" customHeight="1">
      <c r="A674" s="179"/>
      <c r="B674" s="98"/>
      <c r="C674" s="98"/>
      <c r="D674" s="98"/>
      <c r="E674" s="98"/>
      <c r="F674" s="235"/>
      <c r="G674" s="235"/>
      <c r="H674" s="236"/>
      <c r="I674" s="236"/>
      <c r="J674" s="236"/>
      <c r="K674" s="236"/>
      <c r="L674" s="236"/>
      <c r="M674" s="236"/>
      <c r="N674" s="236"/>
      <c r="O674" s="236"/>
      <c r="P674" s="236"/>
      <c r="Q674" s="236"/>
      <c r="R674" s="236"/>
      <c r="S674" s="236"/>
      <c r="T674" s="236"/>
      <c r="U674" s="236"/>
      <c r="V674" s="236"/>
      <c r="W674" s="237"/>
      <c r="X674" s="237"/>
      <c r="Y674" s="237"/>
      <c r="Z674" s="237"/>
      <c r="AA674" s="237"/>
      <c r="AB674" s="237"/>
      <c r="AC674" s="237"/>
      <c r="AD674" s="237"/>
      <c r="AE674" s="237"/>
      <c r="AF674" s="237"/>
      <c r="AG674" s="237"/>
      <c r="AH674" s="237"/>
      <c r="AI674" s="98"/>
      <c r="AJ674" s="98"/>
      <c r="AK674" s="98"/>
      <c r="AL674" s="98"/>
      <c r="AM674" s="98"/>
      <c r="AN674" s="98"/>
      <c r="AO674" s="98"/>
    </row>
    <row r="675" ht="14.25" customHeight="1">
      <c r="A675" s="179"/>
      <c r="B675" s="98"/>
      <c r="C675" s="98"/>
      <c r="D675" s="98"/>
      <c r="E675" s="98"/>
      <c r="F675" s="235"/>
      <c r="G675" s="235"/>
      <c r="H675" s="236"/>
      <c r="I675" s="236"/>
      <c r="J675" s="236"/>
      <c r="K675" s="236"/>
      <c r="L675" s="236"/>
      <c r="M675" s="236"/>
      <c r="N675" s="236"/>
      <c r="O675" s="236"/>
      <c r="P675" s="236"/>
      <c r="Q675" s="236"/>
      <c r="R675" s="236"/>
      <c r="S675" s="236"/>
      <c r="T675" s="236"/>
      <c r="U675" s="236"/>
      <c r="V675" s="236"/>
      <c r="W675" s="237"/>
      <c r="X675" s="237"/>
      <c r="Y675" s="237"/>
      <c r="Z675" s="237"/>
      <c r="AA675" s="237"/>
      <c r="AB675" s="237"/>
      <c r="AC675" s="237"/>
      <c r="AD675" s="237"/>
      <c r="AE675" s="237"/>
      <c r="AF675" s="237"/>
      <c r="AG675" s="237"/>
      <c r="AH675" s="237"/>
      <c r="AI675" s="98"/>
      <c r="AJ675" s="98"/>
      <c r="AK675" s="98"/>
      <c r="AL675" s="98"/>
      <c r="AM675" s="98"/>
      <c r="AN675" s="98"/>
      <c r="AO675" s="98"/>
    </row>
    <row r="676" ht="14.25" customHeight="1">
      <c r="A676" s="179"/>
      <c r="B676" s="98"/>
      <c r="C676" s="98"/>
      <c r="D676" s="98"/>
      <c r="E676" s="98"/>
      <c r="F676" s="235"/>
      <c r="G676" s="235"/>
      <c r="H676" s="236"/>
      <c r="I676" s="236"/>
      <c r="J676" s="236"/>
      <c r="K676" s="236"/>
      <c r="L676" s="236"/>
      <c r="M676" s="236"/>
      <c r="N676" s="236"/>
      <c r="O676" s="236"/>
      <c r="P676" s="236"/>
      <c r="Q676" s="236"/>
      <c r="R676" s="236"/>
      <c r="S676" s="236"/>
      <c r="T676" s="236"/>
      <c r="U676" s="236"/>
      <c r="V676" s="236"/>
      <c r="W676" s="237"/>
      <c r="X676" s="237"/>
      <c r="Y676" s="237"/>
      <c r="Z676" s="237"/>
      <c r="AA676" s="237"/>
      <c r="AB676" s="237"/>
      <c r="AC676" s="237"/>
      <c r="AD676" s="237"/>
      <c r="AE676" s="237"/>
      <c r="AF676" s="237"/>
      <c r="AG676" s="237"/>
      <c r="AH676" s="237"/>
      <c r="AI676" s="98"/>
      <c r="AJ676" s="98"/>
      <c r="AK676" s="98"/>
      <c r="AL676" s="98"/>
      <c r="AM676" s="98"/>
      <c r="AN676" s="98"/>
      <c r="AO676" s="98"/>
    </row>
    <row r="677" ht="14.25" customHeight="1">
      <c r="A677" s="179"/>
      <c r="B677" s="98"/>
      <c r="C677" s="98"/>
      <c r="D677" s="98"/>
      <c r="E677" s="98"/>
      <c r="F677" s="235"/>
      <c r="G677" s="235"/>
      <c r="H677" s="236"/>
      <c r="I677" s="236"/>
      <c r="J677" s="236"/>
      <c r="K677" s="236"/>
      <c r="L677" s="236"/>
      <c r="M677" s="236"/>
      <c r="N677" s="236"/>
      <c r="O677" s="236"/>
      <c r="P677" s="236"/>
      <c r="Q677" s="236"/>
      <c r="R677" s="236"/>
      <c r="S677" s="236"/>
      <c r="T677" s="236"/>
      <c r="U677" s="236"/>
      <c r="V677" s="236"/>
      <c r="W677" s="237"/>
      <c r="X677" s="237"/>
      <c r="Y677" s="237"/>
      <c r="Z677" s="237"/>
      <c r="AA677" s="237"/>
      <c r="AB677" s="237"/>
      <c r="AC677" s="237"/>
      <c r="AD677" s="237"/>
      <c r="AE677" s="237"/>
      <c r="AF677" s="237"/>
      <c r="AG677" s="237"/>
      <c r="AH677" s="237"/>
      <c r="AI677" s="98"/>
      <c r="AJ677" s="98"/>
      <c r="AK677" s="98"/>
      <c r="AL677" s="98"/>
      <c r="AM677" s="98"/>
      <c r="AN677" s="98"/>
      <c r="AO677" s="98"/>
    </row>
    <row r="678" ht="14.25" customHeight="1">
      <c r="A678" s="179"/>
      <c r="B678" s="98"/>
      <c r="C678" s="98"/>
      <c r="D678" s="98"/>
      <c r="E678" s="98"/>
      <c r="F678" s="235"/>
      <c r="G678" s="235"/>
      <c r="H678" s="236"/>
      <c r="I678" s="236"/>
      <c r="J678" s="236"/>
      <c r="K678" s="236"/>
      <c r="L678" s="236"/>
      <c r="M678" s="236"/>
      <c r="N678" s="236"/>
      <c r="O678" s="236"/>
      <c r="P678" s="236"/>
      <c r="Q678" s="236"/>
      <c r="R678" s="236"/>
      <c r="S678" s="236"/>
      <c r="T678" s="236"/>
      <c r="U678" s="236"/>
      <c r="V678" s="236"/>
      <c r="W678" s="237"/>
      <c r="X678" s="237"/>
      <c r="Y678" s="237"/>
      <c r="Z678" s="237"/>
      <c r="AA678" s="237"/>
      <c r="AB678" s="237"/>
      <c r="AC678" s="237"/>
      <c r="AD678" s="237"/>
      <c r="AE678" s="237"/>
      <c r="AF678" s="237"/>
      <c r="AG678" s="237"/>
      <c r="AH678" s="237"/>
      <c r="AI678" s="98"/>
      <c r="AJ678" s="98"/>
      <c r="AK678" s="98"/>
      <c r="AL678" s="98"/>
      <c r="AM678" s="98"/>
      <c r="AN678" s="98"/>
      <c r="AO678" s="98"/>
    </row>
    <row r="679" ht="14.25" customHeight="1">
      <c r="A679" s="179"/>
      <c r="B679" s="98"/>
      <c r="C679" s="98"/>
      <c r="D679" s="98"/>
      <c r="E679" s="98"/>
      <c r="F679" s="235"/>
      <c r="G679" s="235"/>
      <c r="H679" s="236"/>
      <c r="I679" s="236"/>
      <c r="J679" s="236"/>
      <c r="K679" s="236"/>
      <c r="L679" s="236"/>
      <c r="M679" s="236"/>
      <c r="N679" s="236"/>
      <c r="O679" s="236"/>
      <c r="P679" s="236"/>
      <c r="Q679" s="236"/>
      <c r="R679" s="236"/>
      <c r="S679" s="236"/>
      <c r="T679" s="236"/>
      <c r="U679" s="236"/>
      <c r="V679" s="236"/>
      <c r="W679" s="237"/>
      <c r="X679" s="237"/>
      <c r="Y679" s="237"/>
      <c r="Z679" s="237"/>
      <c r="AA679" s="237"/>
      <c r="AB679" s="237"/>
      <c r="AC679" s="237"/>
      <c r="AD679" s="237"/>
      <c r="AE679" s="237"/>
      <c r="AF679" s="237"/>
      <c r="AG679" s="237"/>
      <c r="AH679" s="237"/>
      <c r="AI679" s="98"/>
      <c r="AJ679" s="98"/>
      <c r="AK679" s="98"/>
      <c r="AL679" s="98"/>
      <c r="AM679" s="98"/>
      <c r="AN679" s="98"/>
      <c r="AO679" s="98"/>
    </row>
    <row r="680" ht="14.25" customHeight="1">
      <c r="A680" s="179"/>
      <c r="B680" s="98"/>
      <c r="C680" s="98"/>
      <c r="D680" s="98"/>
      <c r="E680" s="98"/>
      <c r="F680" s="235"/>
      <c r="G680" s="235"/>
      <c r="H680" s="236"/>
      <c r="I680" s="236"/>
      <c r="J680" s="236"/>
      <c r="K680" s="236"/>
      <c r="L680" s="236"/>
      <c r="M680" s="236"/>
      <c r="N680" s="236"/>
      <c r="O680" s="236"/>
      <c r="P680" s="236"/>
      <c r="Q680" s="236"/>
      <c r="R680" s="236"/>
      <c r="S680" s="236"/>
      <c r="T680" s="236"/>
      <c r="U680" s="236"/>
      <c r="V680" s="236"/>
      <c r="W680" s="237"/>
      <c r="X680" s="237"/>
      <c r="Y680" s="237"/>
      <c r="Z680" s="237"/>
      <c r="AA680" s="237"/>
      <c r="AB680" s="237"/>
      <c r="AC680" s="237"/>
      <c r="AD680" s="237"/>
      <c r="AE680" s="237"/>
      <c r="AF680" s="237"/>
      <c r="AG680" s="237"/>
      <c r="AH680" s="237"/>
      <c r="AI680" s="98"/>
      <c r="AJ680" s="98"/>
      <c r="AK680" s="98"/>
      <c r="AL680" s="98"/>
      <c r="AM680" s="98"/>
      <c r="AN680" s="98"/>
      <c r="AO680" s="98"/>
    </row>
    <row r="681" ht="14.25" customHeight="1">
      <c r="A681" s="179"/>
      <c r="B681" s="98"/>
      <c r="C681" s="98"/>
      <c r="D681" s="98"/>
      <c r="E681" s="98"/>
      <c r="F681" s="235"/>
      <c r="G681" s="235"/>
      <c r="H681" s="236"/>
      <c r="I681" s="236"/>
      <c r="J681" s="236"/>
      <c r="K681" s="236"/>
      <c r="L681" s="236"/>
      <c r="M681" s="236"/>
      <c r="N681" s="236"/>
      <c r="O681" s="236"/>
      <c r="P681" s="236"/>
      <c r="Q681" s="236"/>
      <c r="R681" s="236"/>
      <c r="S681" s="236"/>
      <c r="T681" s="236"/>
      <c r="U681" s="236"/>
      <c r="V681" s="236"/>
      <c r="W681" s="237"/>
      <c r="X681" s="237"/>
      <c r="Y681" s="237"/>
      <c r="Z681" s="237"/>
      <c r="AA681" s="237"/>
      <c r="AB681" s="237"/>
      <c r="AC681" s="237"/>
      <c r="AD681" s="237"/>
      <c r="AE681" s="237"/>
      <c r="AF681" s="237"/>
      <c r="AG681" s="237"/>
      <c r="AH681" s="237"/>
      <c r="AI681" s="98"/>
      <c r="AJ681" s="98"/>
      <c r="AK681" s="98"/>
      <c r="AL681" s="98"/>
      <c r="AM681" s="98"/>
      <c r="AN681" s="98"/>
      <c r="AO681" s="98"/>
    </row>
    <row r="682" ht="14.25" customHeight="1">
      <c r="A682" s="179"/>
      <c r="B682" s="98"/>
      <c r="C682" s="98"/>
      <c r="D682" s="98"/>
      <c r="E682" s="98"/>
      <c r="F682" s="235"/>
      <c r="G682" s="235"/>
      <c r="H682" s="236"/>
      <c r="I682" s="236"/>
      <c r="J682" s="236"/>
      <c r="K682" s="236"/>
      <c r="L682" s="236"/>
      <c r="M682" s="236"/>
      <c r="N682" s="236"/>
      <c r="O682" s="236"/>
      <c r="P682" s="236"/>
      <c r="Q682" s="236"/>
      <c r="R682" s="236"/>
      <c r="S682" s="236"/>
      <c r="T682" s="236"/>
      <c r="U682" s="236"/>
      <c r="V682" s="236"/>
      <c r="W682" s="237"/>
      <c r="X682" s="237"/>
      <c r="Y682" s="237"/>
      <c r="Z682" s="237"/>
      <c r="AA682" s="237"/>
      <c r="AB682" s="237"/>
      <c r="AC682" s="237"/>
      <c r="AD682" s="237"/>
      <c r="AE682" s="237"/>
      <c r="AF682" s="237"/>
      <c r="AG682" s="237"/>
      <c r="AH682" s="237"/>
      <c r="AI682" s="98"/>
      <c r="AJ682" s="98"/>
      <c r="AK682" s="98"/>
      <c r="AL682" s="98"/>
      <c r="AM682" s="98"/>
      <c r="AN682" s="98"/>
      <c r="AO682" s="98"/>
    </row>
    <row r="683" ht="14.25" customHeight="1">
      <c r="A683" s="179"/>
      <c r="B683" s="98"/>
      <c r="C683" s="98"/>
      <c r="D683" s="98"/>
      <c r="E683" s="98"/>
      <c r="F683" s="235"/>
      <c r="G683" s="235"/>
      <c r="H683" s="236"/>
      <c r="I683" s="236"/>
      <c r="J683" s="236"/>
      <c r="K683" s="236"/>
      <c r="L683" s="236"/>
      <c r="M683" s="236"/>
      <c r="N683" s="236"/>
      <c r="O683" s="236"/>
      <c r="P683" s="236"/>
      <c r="Q683" s="236"/>
      <c r="R683" s="236"/>
      <c r="S683" s="236"/>
      <c r="T683" s="236"/>
      <c r="U683" s="236"/>
      <c r="V683" s="236"/>
      <c r="W683" s="237"/>
      <c r="X683" s="237"/>
      <c r="Y683" s="237"/>
      <c r="Z683" s="237"/>
      <c r="AA683" s="237"/>
      <c r="AB683" s="237"/>
      <c r="AC683" s="237"/>
      <c r="AD683" s="237"/>
      <c r="AE683" s="237"/>
      <c r="AF683" s="237"/>
      <c r="AG683" s="237"/>
      <c r="AH683" s="237"/>
      <c r="AI683" s="98"/>
      <c r="AJ683" s="98"/>
      <c r="AK683" s="98"/>
      <c r="AL683" s="98"/>
      <c r="AM683" s="98"/>
      <c r="AN683" s="98"/>
      <c r="AO683" s="98"/>
    </row>
    <row r="684" ht="14.25" customHeight="1">
      <c r="A684" s="179"/>
      <c r="B684" s="98"/>
      <c r="C684" s="98"/>
      <c r="D684" s="98"/>
      <c r="E684" s="98"/>
      <c r="F684" s="235"/>
      <c r="G684" s="235"/>
      <c r="H684" s="236"/>
      <c r="I684" s="236"/>
      <c r="J684" s="236"/>
      <c r="K684" s="236"/>
      <c r="L684" s="236"/>
      <c r="M684" s="236"/>
      <c r="N684" s="236"/>
      <c r="O684" s="236"/>
      <c r="P684" s="236"/>
      <c r="Q684" s="236"/>
      <c r="R684" s="236"/>
      <c r="S684" s="236"/>
      <c r="T684" s="236"/>
      <c r="U684" s="236"/>
      <c r="V684" s="236"/>
      <c r="W684" s="237"/>
      <c r="X684" s="237"/>
      <c r="Y684" s="237"/>
      <c r="Z684" s="237"/>
      <c r="AA684" s="237"/>
      <c r="AB684" s="237"/>
      <c r="AC684" s="237"/>
      <c r="AD684" s="237"/>
      <c r="AE684" s="237"/>
      <c r="AF684" s="237"/>
      <c r="AG684" s="237"/>
      <c r="AH684" s="237"/>
      <c r="AI684" s="98"/>
      <c r="AJ684" s="98"/>
      <c r="AK684" s="98"/>
      <c r="AL684" s="98"/>
      <c r="AM684" s="98"/>
      <c r="AN684" s="98"/>
      <c r="AO684" s="98"/>
    </row>
    <row r="685" ht="14.25" customHeight="1">
      <c r="A685" s="179"/>
      <c r="B685" s="98"/>
      <c r="C685" s="98"/>
      <c r="D685" s="98"/>
      <c r="E685" s="98"/>
      <c r="F685" s="235"/>
      <c r="G685" s="235"/>
      <c r="H685" s="236"/>
      <c r="I685" s="236"/>
      <c r="J685" s="236"/>
      <c r="K685" s="236"/>
      <c r="L685" s="236"/>
      <c r="M685" s="236"/>
      <c r="N685" s="236"/>
      <c r="O685" s="236"/>
      <c r="P685" s="236"/>
      <c r="Q685" s="236"/>
      <c r="R685" s="236"/>
      <c r="S685" s="236"/>
      <c r="T685" s="236"/>
      <c r="U685" s="236"/>
      <c r="V685" s="236"/>
      <c r="W685" s="237"/>
      <c r="X685" s="237"/>
      <c r="Y685" s="237"/>
      <c r="Z685" s="237"/>
      <c r="AA685" s="237"/>
      <c r="AB685" s="237"/>
      <c r="AC685" s="237"/>
      <c r="AD685" s="237"/>
      <c r="AE685" s="237"/>
      <c r="AF685" s="237"/>
      <c r="AG685" s="237"/>
      <c r="AH685" s="237"/>
      <c r="AI685" s="98"/>
      <c r="AJ685" s="98"/>
      <c r="AK685" s="98"/>
      <c r="AL685" s="98"/>
      <c r="AM685" s="98"/>
      <c r="AN685" s="98"/>
      <c r="AO685" s="98"/>
    </row>
    <row r="686" ht="14.25" customHeight="1">
      <c r="A686" s="179"/>
      <c r="B686" s="98"/>
      <c r="C686" s="98"/>
      <c r="D686" s="98"/>
      <c r="E686" s="98"/>
      <c r="F686" s="235"/>
      <c r="G686" s="235"/>
      <c r="H686" s="236"/>
      <c r="I686" s="236"/>
      <c r="J686" s="236"/>
      <c r="K686" s="236"/>
      <c r="L686" s="236"/>
      <c r="M686" s="236"/>
      <c r="N686" s="236"/>
      <c r="O686" s="236"/>
      <c r="P686" s="236"/>
      <c r="Q686" s="236"/>
      <c r="R686" s="236"/>
      <c r="S686" s="236"/>
      <c r="T686" s="236"/>
      <c r="U686" s="236"/>
      <c r="V686" s="236"/>
      <c r="W686" s="237"/>
      <c r="X686" s="237"/>
      <c r="Y686" s="237"/>
      <c r="Z686" s="237"/>
      <c r="AA686" s="237"/>
      <c r="AB686" s="237"/>
      <c r="AC686" s="237"/>
      <c r="AD686" s="237"/>
      <c r="AE686" s="237"/>
      <c r="AF686" s="237"/>
      <c r="AG686" s="237"/>
      <c r="AH686" s="237"/>
      <c r="AI686" s="98"/>
      <c r="AJ686" s="98"/>
      <c r="AK686" s="98"/>
      <c r="AL686" s="98"/>
      <c r="AM686" s="98"/>
      <c r="AN686" s="98"/>
      <c r="AO686" s="98"/>
    </row>
    <row r="687" ht="14.25" customHeight="1">
      <c r="A687" s="179"/>
      <c r="B687" s="98"/>
      <c r="C687" s="98"/>
      <c r="D687" s="98"/>
      <c r="E687" s="98"/>
      <c r="F687" s="235"/>
      <c r="G687" s="235"/>
      <c r="H687" s="236"/>
      <c r="I687" s="236"/>
      <c r="J687" s="236"/>
      <c r="K687" s="236"/>
      <c r="L687" s="236"/>
      <c r="M687" s="236"/>
      <c r="N687" s="236"/>
      <c r="O687" s="236"/>
      <c r="P687" s="236"/>
      <c r="Q687" s="236"/>
      <c r="R687" s="236"/>
      <c r="S687" s="236"/>
      <c r="T687" s="236"/>
      <c r="U687" s="236"/>
      <c r="V687" s="236"/>
      <c r="W687" s="237"/>
      <c r="X687" s="237"/>
      <c r="Y687" s="237"/>
      <c r="Z687" s="237"/>
      <c r="AA687" s="237"/>
      <c r="AB687" s="237"/>
      <c r="AC687" s="237"/>
      <c r="AD687" s="237"/>
      <c r="AE687" s="237"/>
      <c r="AF687" s="237"/>
      <c r="AG687" s="237"/>
      <c r="AH687" s="237"/>
      <c r="AI687" s="98"/>
      <c r="AJ687" s="98"/>
      <c r="AK687" s="98"/>
      <c r="AL687" s="98"/>
      <c r="AM687" s="98"/>
      <c r="AN687" s="98"/>
      <c r="AO687" s="98"/>
    </row>
    <row r="688" ht="14.25" customHeight="1">
      <c r="A688" s="179"/>
      <c r="B688" s="98"/>
      <c r="C688" s="98"/>
      <c r="D688" s="98"/>
      <c r="E688" s="98"/>
      <c r="F688" s="235"/>
      <c r="G688" s="235"/>
      <c r="H688" s="236"/>
      <c r="I688" s="236"/>
      <c r="J688" s="236"/>
      <c r="K688" s="236"/>
      <c r="L688" s="236"/>
      <c r="M688" s="236"/>
      <c r="N688" s="236"/>
      <c r="O688" s="236"/>
      <c r="P688" s="236"/>
      <c r="Q688" s="236"/>
      <c r="R688" s="236"/>
      <c r="S688" s="236"/>
      <c r="T688" s="236"/>
      <c r="U688" s="236"/>
      <c r="V688" s="236"/>
      <c r="W688" s="237"/>
      <c r="X688" s="237"/>
      <c r="Y688" s="237"/>
      <c r="Z688" s="237"/>
      <c r="AA688" s="237"/>
      <c r="AB688" s="237"/>
      <c r="AC688" s="237"/>
      <c r="AD688" s="237"/>
      <c r="AE688" s="237"/>
      <c r="AF688" s="237"/>
      <c r="AG688" s="237"/>
      <c r="AH688" s="237"/>
      <c r="AI688" s="98"/>
      <c r="AJ688" s="98"/>
      <c r="AK688" s="98"/>
      <c r="AL688" s="98"/>
      <c r="AM688" s="98"/>
      <c r="AN688" s="98"/>
      <c r="AO688" s="98"/>
    </row>
    <row r="689" ht="14.25" customHeight="1">
      <c r="A689" s="179"/>
      <c r="B689" s="98"/>
      <c r="C689" s="98"/>
      <c r="D689" s="98"/>
      <c r="E689" s="98"/>
      <c r="F689" s="235"/>
      <c r="G689" s="235"/>
      <c r="H689" s="236"/>
      <c r="I689" s="236"/>
      <c r="J689" s="236"/>
      <c r="K689" s="236"/>
      <c r="L689" s="236"/>
      <c r="M689" s="236"/>
      <c r="N689" s="236"/>
      <c r="O689" s="236"/>
      <c r="P689" s="236"/>
      <c r="Q689" s="236"/>
      <c r="R689" s="236"/>
      <c r="S689" s="236"/>
      <c r="T689" s="236"/>
      <c r="U689" s="236"/>
      <c r="V689" s="236"/>
      <c r="W689" s="237"/>
      <c r="X689" s="237"/>
      <c r="Y689" s="237"/>
      <c r="Z689" s="237"/>
      <c r="AA689" s="237"/>
      <c r="AB689" s="237"/>
      <c r="AC689" s="237"/>
      <c r="AD689" s="237"/>
      <c r="AE689" s="237"/>
      <c r="AF689" s="237"/>
      <c r="AG689" s="237"/>
      <c r="AH689" s="237"/>
      <c r="AI689" s="98"/>
      <c r="AJ689" s="98"/>
      <c r="AK689" s="98"/>
      <c r="AL689" s="98"/>
      <c r="AM689" s="98"/>
      <c r="AN689" s="98"/>
      <c r="AO689" s="98"/>
    </row>
    <row r="690" ht="14.25" customHeight="1">
      <c r="A690" s="179"/>
      <c r="B690" s="98"/>
      <c r="C690" s="98"/>
      <c r="D690" s="98"/>
      <c r="E690" s="98"/>
      <c r="F690" s="235"/>
      <c r="G690" s="235"/>
      <c r="H690" s="236"/>
      <c r="I690" s="236"/>
      <c r="J690" s="236"/>
      <c r="K690" s="236"/>
      <c r="L690" s="236"/>
      <c r="M690" s="236"/>
      <c r="N690" s="236"/>
      <c r="O690" s="236"/>
      <c r="P690" s="236"/>
      <c r="Q690" s="236"/>
      <c r="R690" s="236"/>
      <c r="S690" s="236"/>
      <c r="T690" s="236"/>
      <c r="U690" s="236"/>
      <c r="V690" s="236"/>
      <c r="W690" s="237"/>
      <c r="X690" s="237"/>
      <c r="Y690" s="237"/>
      <c r="Z690" s="237"/>
      <c r="AA690" s="237"/>
      <c r="AB690" s="237"/>
      <c r="AC690" s="237"/>
      <c r="AD690" s="237"/>
      <c r="AE690" s="237"/>
      <c r="AF690" s="237"/>
      <c r="AG690" s="237"/>
      <c r="AH690" s="237"/>
      <c r="AI690" s="98"/>
      <c r="AJ690" s="98"/>
      <c r="AK690" s="98"/>
      <c r="AL690" s="98"/>
      <c r="AM690" s="98"/>
      <c r="AN690" s="98"/>
      <c r="AO690" s="98"/>
    </row>
    <row r="691" ht="14.25" customHeight="1">
      <c r="A691" s="179"/>
      <c r="B691" s="98"/>
      <c r="C691" s="98"/>
      <c r="D691" s="98"/>
      <c r="E691" s="98"/>
      <c r="F691" s="235"/>
      <c r="G691" s="235"/>
      <c r="H691" s="236"/>
      <c r="I691" s="236"/>
      <c r="J691" s="236"/>
      <c r="K691" s="236"/>
      <c r="L691" s="236"/>
      <c r="M691" s="236"/>
      <c r="N691" s="236"/>
      <c r="O691" s="236"/>
      <c r="P691" s="236"/>
      <c r="Q691" s="236"/>
      <c r="R691" s="236"/>
      <c r="S691" s="236"/>
      <c r="T691" s="236"/>
      <c r="U691" s="236"/>
      <c r="V691" s="236"/>
      <c r="W691" s="237"/>
      <c r="X691" s="237"/>
      <c r="Y691" s="237"/>
      <c r="Z691" s="237"/>
      <c r="AA691" s="237"/>
      <c r="AB691" s="237"/>
      <c r="AC691" s="237"/>
      <c r="AD691" s="237"/>
      <c r="AE691" s="237"/>
      <c r="AF691" s="237"/>
      <c r="AG691" s="237"/>
      <c r="AH691" s="237"/>
      <c r="AI691" s="98"/>
      <c r="AJ691" s="98"/>
      <c r="AK691" s="98"/>
      <c r="AL691" s="98"/>
      <c r="AM691" s="98"/>
      <c r="AN691" s="98"/>
      <c r="AO691" s="98"/>
    </row>
    <row r="692" ht="14.25" customHeight="1">
      <c r="A692" s="179"/>
      <c r="B692" s="98"/>
      <c r="C692" s="98"/>
      <c r="D692" s="98"/>
      <c r="E692" s="98"/>
      <c r="F692" s="235"/>
      <c r="G692" s="235"/>
      <c r="H692" s="236"/>
      <c r="I692" s="236"/>
      <c r="J692" s="236"/>
      <c r="K692" s="236"/>
      <c r="L692" s="236"/>
      <c r="M692" s="236"/>
      <c r="N692" s="236"/>
      <c r="O692" s="236"/>
      <c r="P692" s="236"/>
      <c r="Q692" s="236"/>
      <c r="R692" s="236"/>
      <c r="S692" s="236"/>
      <c r="T692" s="236"/>
      <c r="U692" s="236"/>
      <c r="V692" s="236"/>
      <c r="W692" s="237"/>
      <c r="X692" s="237"/>
      <c r="Y692" s="237"/>
      <c r="Z692" s="237"/>
      <c r="AA692" s="237"/>
      <c r="AB692" s="237"/>
      <c r="AC692" s="237"/>
      <c r="AD692" s="237"/>
      <c r="AE692" s="237"/>
      <c r="AF692" s="237"/>
      <c r="AG692" s="237"/>
      <c r="AH692" s="237"/>
      <c r="AI692" s="98"/>
      <c r="AJ692" s="98"/>
      <c r="AK692" s="98"/>
      <c r="AL692" s="98"/>
      <c r="AM692" s="98"/>
      <c r="AN692" s="98"/>
      <c r="AO692" s="98"/>
    </row>
    <row r="693" ht="14.25" customHeight="1">
      <c r="A693" s="179"/>
      <c r="B693" s="98"/>
      <c r="C693" s="98"/>
      <c r="D693" s="98"/>
      <c r="E693" s="98"/>
      <c r="F693" s="235"/>
      <c r="G693" s="235"/>
      <c r="H693" s="236"/>
      <c r="I693" s="236"/>
      <c r="J693" s="236"/>
      <c r="K693" s="236"/>
      <c r="L693" s="236"/>
      <c r="M693" s="236"/>
      <c r="N693" s="236"/>
      <c r="O693" s="236"/>
      <c r="P693" s="236"/>
      <c r="Q693" s="236"/>
      <c r="R693" s="236"/>
      <c r="S693" s="236"/>
      <c r="T693" s="236"/>
      <c r="U693" s="236"/>
      <c r="V693" s="236"/>
      <c r="W693" s="237"/>
      <c r="X693" s="237"/>
      <c r="Y693" s="237"/>
      <c r="Z693" s="237"/>
      <c r="AA693" s="237"/>
      <c r="AB693" s="237"/>
      <c r="AC693" s="237"/>
      <c r="AD693" s="237"/>
      <c r="AE693" s="237"/>
      <c r="AF693" s="237"/>
      <c r="AG693" s="237"/>
      <c r="AH693" s="237"/>
      <c r="AI693" s="98"/>
      <c r="AJ693" s="98"/>
      <c r="AK693" s="98"/>
      <c r="AL693" s="98"/>
      <c r="AM693" s="98"/>
      <c r="AN693" s="98"/>
      <c r="AO693" s="98"/>
    </row>
    <row r="694" ht="14.25" customHeight="1">
      <c r="A694" s="179"/>
      <c r="B694" s="98"/>
      <c r="C694" s="98"/>
      <c r="D694" s="98"/>
      <c r="E694" s="98"/>
      <c r="F694" s="235"/>
      <c r="G694" s="235"/>
      <c r="H694" s="236"/>
      <c r="I694" s="236"/>
      <c r="J694" s="236"/>
      <c r="K694" s="236"/>
      <c r="L694" s="236"/>
      <c r="M694" s="236"/>
      <c r="N694" s="236"/>
      <c r="O694" s="236"/>
      <c r="P694" s="236"/>
      <c r="Q694" s="236"/>
      <c r="R694" s="236"/>
      <c r="S694" s="236"/>
      <c r="T694" s="236"/>
      <c r="U694" s="236"/>
      <c r="V694" s="236"/>
      <c r="W694" s="237"/>
      <c r="X694" s="237"/>
      <c r="Y694" s="237"/>
      <c r="Z694" s="237"/>
      <c r="AA694" s="237"/>
      <c r="AB694" s="237"/>
      <c r="AC694" s="237"/>
      <c r="AD694" s="237"/>
      <c r="AE694" s="237"/>
      <c r="AF694" s="237"/>
      <c r="AG694" s="237"/>
      <c r="AH694" s="237"/>
      <c r="AI694" s="98"/>
      <c r="AJ694" s="98"/>
      <c r="AK694" s="98"/>
      <c r="AL694" s="98"/>
      <c r="AM694" s="98"/>
      <c r="AN694" s="98"/>
      <c r="AO694" s="98"/>
    </row>
    <row r="695" ht="14.25" customHeight="1">
      <c r="A695" s="179"/>
      <c r="B695" s="98"/>
      <c r="C695" s="98"/>
      <c r="D695" s="98"/>
      <c r="E695" s="98"/>
      <c r="F695" s="235"/>
      <c r="G695" s="235"/>
      <c r="H695" s="236"/>
      <c r="I695" s="236"/>
      <c r="J695" s="236"/>
      <c r="K695" s="236"/>
      <c r="L695" s="236"/>
      <c r="M695" s="236"/>
      <c r="N695" s="236"/>
      <c r="O695" s="236"/>
      <c r="P695" s="236"/>
      <c r="Q695" s="236"/>
      <c r="R695" s="236"/>
      <c r="S695" s="236"/>
      <c r="T695" s="236"/>
      <c r="U695" s="236"/>
      <c r="V695" s="236"/>
      <c r="W695" s="237"/>
      <c r="X695" s="237"/>
      <c r="Y695" s="237"/>
      <c r="Z695" s="237"/>
      <c r="AA695" s="237"/>
      <c r="AB695" s="237"/>
      <c r="AC695" s="237"/>
      <c r="AD695" s="237"/>
      <c r="AE695" s="237"/>
      <c r="AF695" s="237"/>
      <c r="AG695" s="237"/>
      <c r="AH695" s="237"/>
      <c r="AI695" s="98"/>
      <c r="AJ695" s="98"/>
      <c r="AK695" s="98"/>
      <c r="AL695" s="98"/>
      <c r="AM695" s="98"/>
      <c r="AN695" s="98"/>
      <c r="AO695" s="98"/>
    </row>
    <row r="696" ht="14.25" customHeight="1">
      <c r="A696" s="179"/>
      <c r="B696" s="98"/>
      <c r="C696" s="98"/>
      <c r="D696" s="98"/>
      <c r="E696" s="98"/>
      <c r="F696" s="235"/>
      <c r="G696" s="235"/>
      <c r="H696" s="236"/>
      <c r="I696" s="236"/>
      <c r="J696" s="236"/>
      <c r="K696" s="236"/>
      <c r="L696" s="236"/>
      <c r="M696" s="236"/>
      <c r="N696" s="236"/>
      <c r="O696" s="236"/>
      <c r="P696" s="236"/>
      <c r="Q696" s="236"/>
      <c r="R696" s="236"/>
      <c r="S696" s="236"/>
      <c r="T696" s="236"/>
      <c r="U696" s="236"/>
      <c r="V696" s="236"/>
      <c r="W696" s="237"/>
      <c r="X696" s="237"/>
      <c r="Y696" s="237"/>
      <c r="Z696" s="237"/>
      <c r="AA696" s="237"/>
      <c r="AB696" s="237"/>
      <c r="AC696" s="237"/>
      <c r="AD696" s="237"/>
      <c r="AE696" s="237"/>
      <c r="AF696" s="237"/>
      <c r="AG696" s="237"/>
      <c r="AH696" s="237"/>
      <c r="AI696" s="98"/>
      <c r="AJ696" s="98"/>
      <c r="AK696" s="98"/>
      <c r="AL696" s="98"/>
      <c r="AM696" s="98"/>
      <c r="AN696" s="98"/>
      <c r="AO696" s="98"/>
    </row>
    <row r="697" ht="14.25" customHeight="1">
      <c r="A697" s="179"/>
      <c r="B697" s="98"/>
      <c r="C697" s="98"/>
      <c r="D697" s="98"/>
      <c r="E697" s="98"/>
      <c r="F697" s="235"/>
      <c r="G697" s="235"/>
      <c r="H697" s="236"/>
      <c r="I697" s="236"/>
      <c r="J697" s="236"/>
      <c r="K697" s="236"/>
      <c r="L697" s="236"/>
      <c r="M697" s="236"/>
      <c r="N697" s="236"/>
      <c r="O697" s="236"/>
      <c r="P697" s="236"/>
      <c r="Q697" s="236"/>
      <c r="R697" s="236"/>
      <c r="S697" s="236"/>
      <c r="T697" s="236"/>
      <c r="U697" s="236"/>
      <c r="V697" s="236"/>
      <c r="W697" s="237"/>
      <c r="X697" s="237"/>
      <c r="Y697" s="237"/>
      <c r="Z697" s="237"/>
      <c r="AA697" s="237"/>
      <c r="AB697" s="237"/>
      <c r="AC697" s="237"/>
      <c r="AD697" s="237"/>
      <c r="AE697" s="237"/>
      <c r="AF697" s="237"/>
      <c r="AG697" s="237"/>
      <c r="AH697" s="237"/>
      <c r="AI697" s="98"/>
      <c r="AJ697" s="98"/>
      <c r="AK697" s="98"/>
      <c r="AL697" s="98"/>
      <c r="AM697" s="98"/>
      <c r="AN697" s="98"/>
      <c r="AO697" s="98"/>
    </row>
    <row r="698" ht="14.25" customHeight="1">
      <c r="A698" s="179"/>
      <c r="B698" s="98"/>
      <c r="C698" s="98"/>
      <c r="D698" s="98"/>
      <c r="E698" s="98"/>
      <c r="F698" s="235"/>
      <c r="G698" s="235"/>
      <c r="H698" s="236"/>
      <c r="I698" s="236"/>
      <c r="J698" s="236"/>
      <c r="K698" s="236"/>
      <c r="L698" s="236"/>
      <c r="M698" s="236"/>
      <c r="N698" s="236"/>
      <c r="O698" s="236"/>
      <c r="P698" s="236"/>
      <c r="Q698" s="236"/>
      <c r="R698" s="236"/>
      <c r="S698" s="236"/>
      <c r="T698" s="236"/>
      <c r="U698" s="236"/>
      <c r="V698" s="236"/>
      <c r="W698" s="237"/>
      <c r="X698" s="237"/>
      <c r="Y698" s="237"/>
      <c r="Z698" s="237"/>
      <c r="AA698" s="237"/>
      <c r="AB698" s="237"/>
      <c r="AC698" s="237"/>
      <c r="AD698" s="237"/>
      <c r="AE698" s="237"/>
      <c r="AF698" s="237"/>
      <c r="AG698" s="237"/>
      <c r="AH698" s="237"/>
      <c r="AI698" s="98"/>
      <c r="AJ698" s="98"/>
      <c r="AK698" s="98"/>
      <c r="AL698" s="98"/>
      <c r="AM698" s="98"/>
      <c r="AN698" s="98"/>
      <c r="AO698" s="98"/>
    </row>
    <row r="699" ht="14.25" customHeight="1">
      <c r="A699" s="179"/>
      <c r="B699" s="98"/>
      <c r="C699" s="98"/>
      <c r="D699" s="98"/>
      <c r="E699" s="98"/>
      <c r="F699" s="235"/>
      <c r="G699" s="235"/>
      <c r="H699" s="236"/>
      <c r="I699" s="236"/>
      <c r="J699" s="236"/>
      <c r="K699" s="236"/>
      <c r="L699" s="236"/>
      <c r="M699" s="236"/>
      <c r="N699" s="236"/>
      <c r="O699" s="236"/>
      <c r="P699" s="236"/>
      <c r="Q699" s="236"/>
      <c r="R699" s="236"/>
      <c r="S699" s="236"/>
      <c r="T699" s="236"/>
      <c r="U699" s="236"/>
      <c r="V699" s="236"/>
      <c r="W699" s="237"/>
      <c r="X699" s="237"/>
      <c r="Y699" s="237"/>
      <c r="Z699" s="237"/>
      <c r="AA699" s="237"/>
      <c r="AB699" s="237"/>
      <c r="AC699" s="237"/>
      <c r="AD699" s="237"/>
      <c r="AE699" s="237"/>
      <c r="AF699" s="237"/>
      <c r="AG699" s="237"/>
      <c r="AH699" s="237"/>
      <c r="AI699" s="98"/>
      <c r="AJ699" s="98"/>
      <c r="AK699" s="98"/>
      <c r="AL699" s="98"/>
      <c r="AM699" s="98"/>
      <c r="AN699" s="98"/>
      <c r="AO699" s="98"/>
    </row>
    <row r="700" ht="14.25" customHeight="1">
      <c r="A700" s="179"/>
      <c r="B700" s="98"/>
      <c r="C700" s="98"/>
      <c r="D700" s="98"/>
      <c r="E700" s="98"/>
      <c r="F700" s="235"/>
      <c r="G700" s="235"/>
      <c r="H700" s="236"/>
      <c r="I700" s="236"/>
      <c r="J700" s="236"/>
      <c r="K700" s="236"/>
      <c r="L700" s="236"/>
      <c r="M700" s="236"/>
      <c r="N700" s="236"/>
      <c r="O700" s="236"/>
      <c r="P700" s="236"/>
      <c r="Q700" s="236"/>
      <c r="R700" s="236"/>
      <c r="S700" s="236"/>
      <c r="T700" s="236"/>
      <c r="U700" s="236"/>
      <c r="V700" s="236"/>
      <c r="W700" s="237"/>
      <c r="X700" s="237"/>
      <c r="Y700" s="237"/>
      <c r="Z700" s="237"/>
      <c r="AA700" s="237"/>
      <c r="AB700" s="237"/>
      <c r="AC700" s="237"/>
      <c r="AD700" s="237"/>
      <c r="AE700" s="237"/>
      <c r="AF700" s="237"/>
      <c r="AG700" s="237"/>
      <c r="AH700" s="237"/>
      <c r="AI700" s="98"/>
      <c r="AJ700" s="98"/>
      <c r="AK700" s="98"/>
      <c r="AL700" s="98"/>
      <c r="AM700" s="98"/>
      <c r="AN700" s="98"/>
      <c r="AO700" s="98"/>
    </row>
    <row r="701" ht="14.25" customHeight="1">
      <c r="A701" s="179"/>
      <c r="B701" s="98"/>
      <c r="C701" s="98"/>
      <c r="D701" s="98"/>
      <c r="E701" s="98"/>
      <c r="F701" s="235"/>
      <c r="G701" s="235"/>
      <c r="H701" s="236"/>
      <c r="I701" s="236"/>
      <c r="J701" s="236"/>
      <c r="K701" s="236"/>
      <c r="L701" s="236"/>
      <c r="M701" s="236"/>
      <c r="N701" s="236"/>
      <c r="O701" s="236"/>
      <c r="P701" s="236"/>
      <c r="Q701" s="236"/>
      <c r="R701" s="236"/>
      <c r="S701" s="236"/>
      <c r="T701" s="236"/>
      <c r="U701" s="236"/>
      <c r="V701" s="236"/>
      <c r="W701" s="237"/>
      <c r="X701" s="237"/>
      <c r="Y701" s="237"/>
      <c r="Z701" s="237"/>
      <c r="AA701" s="237"/>
      <c r="AB701" s="237"/>
      <c r="AC701" s="237"/>
      <c r="AD701" s="237"/>
      <c r="AE701" s="237"/>
      <c r="AF701" s="237"/>
      <c r="AG701" s="237"/>
      <c r="AH701" s="237"/>
      <c r="AI701" s="98"/>
      <c r="AJ701" s="98"/>
      <c r="AK701" s="98"/>
      <c r="AL701" s="98"/>
      <c r="AM701" s="98"/>
      <c r="AN701" s="98"/>
      <c r="AO701" s="98"/>
    </row>
    <row r="702" ht="14.25" customHeight="1">
      <c r="A702" s="179"/>
      <c r="B702" s="98"/>
      <c r="C702" s="98"/>
      <c r="D702" s="98"/>
      <c r="E702" s="98"/>
      <c r="F702" s="235"/>
      <c r="G702" s="235"/>
      <c r="H702" s="236"/>
      <c r="I702" s="236"/>
      <c r="J702" s="236"/>
      <c r="K702" s="236"/>
      <c r="L702" s="236"/>
      <c r="M702" s="236"/>
      <c r="N702" s="236"/>
      <c r="O702" s="236"/>
      <c r="P702" s="236"/>
      <c r="Q702" s="236"/>
      <c r="R702" s="236"/>
      <c r="S702" s="236"/>
      <c r="T702" s="236"/>
      <c r="U702" s="236"/>
      <c r="V702" s="236"/>
      <c r="W702" s="237"/>
      <c r="X702" s="237"/>
      <c r="Y702" s="237"/>
      <c r="Z702" s="237"/>
      <c r="AA702" s="237"/>
      <c r="AB702" s="237"/>
      <c r="AC702" s="237"/>
      <c r="AD702" s="237"/>
      <c r="AE702" s="237"/>
      <c r="AF702" s="237"/>
      <c r="AG702" s="237"/>
      <c r="AH702" s="237"/>
      <c r="AI702" s="98"/>
      <c r="AJ702" s="98"/>
      <c r="AK702" s="98"/>
      <c r="AL702" s="98"/>
      <c r="AM702" s="98"/>
      <c r="AN702" s="98"/>
      <c r="AO702" s="98"/>
    </row>
    <row r="703" ht="14.25" customHeight="1">
      <c r="A703" s="179"/>
      <c r="B703" s="98"/>
      <c r="C703" s="98"/>
      <c r="D703" s="98"/>
      <c r="E703" s="98"/>
      <c r="F703" s="235"/>
      <c r="G703" s="235"/>
      <c r="H703" s="236"/>
      <c r="I703" s="236"/>
      <c r="J703" s="236"/>
      <c r="K703" s="236"/>
      <c r="L703" s="236"/>
      <c r="M703" s="236"/>
      <c r="N703" s="236"/>
      <c r="O703" s="236"/>
      <c r="P703" s="236"/>
      <c r="Q703" s="236"/>
      <c r="R703" s="236"/>
      <c r="S703" s="236"/>
      <c r="T703" s="236"/>
      <c r="U703" s="236"/>
      <c r="V703" s="236"/>
      <c r="W703" s="237"/>
      <c r="X703" s="237"/>
      <c r="Y703" s="237"/>
      <c r="Z703" s="237"/>
      <c r="AA703" s="237"/>
      <c r="AB703" s="237"/>
      <c r="AC703" s="237"/>
      <c r="AD703" s="237"/>
      <c r="AE703" s="237"/>
      <c r="AF703" s="237"/>
      <c r="AG703" s="237"/>
      <c r="AH703" s="237"/>
      <c r="AI703" s="98"/>
      <c r="AJ703" s="98"/>
      <c r="AK703" s="98"/>
      <c r="AL703" s="98"/>
      <c r="AM703" s="98"/>
      <c r="AN703" s="98"/>
      <c r="AO703" s="98"/>
    </row>
    <row r="704" ht="14.25" customHeight="1">
      <c r="A704" s="179"/>
      <c r="B704" s="98"/>
      <c r="C704" s="98"/>
      <c r="D704" s="98"/>
      <c r="E704" s="98"/>
      <c r="F704" s="235"/>
      <c r="G704" s="235"/>
      <c r="H704" s="236"/>
      <c r="I704" s="236"/>
      <c r="J704" s="236"/>
      <c r="K704" s="236"/>
      <c r="L704" s="236"/>
      <c r="M704" s="236"/>
      <c r="N704" s="236"/>
      <c r="O704" s="236"/>
      <c r="P704" s="236"/>
      <c r="Q704" s="236"/>
      <c r="R704" s="236"/>
      <c r="S704" s="236"/>
      <c r="T704" s="236"/>
      <c r="U704" s="236"/>
      <c r="V704" s="236"/>
      <c r="W704" s="237"/>
      <c r="X704" s="237"/>
      <c r="Y704" s="237"/>
      <c r="Z704" s="237"/>
      <c r="AA704" s="237"/>
      <c r="AB704" s="237"/>
      <c r="AC704" s="237"/>
      <c r="AD704" s="237"/>
      <c r="AE704" s="237"/>
      <c r="AF704" s="237"/>
      <c r="AG704" s="237"/>
      <c r="AH704" s="237"/>
      <c r="AI704" s="98"/>
      <c r="AJ704" s="98"/>
      <c r="AK704" s="98"/>
      <c r="AL704" s="98"/>
      <c r="AM704" s="98"/>
      <c r="AN704" s="98"/>
      <c r="AO704" s="98"/>
    </row>
    <row r="705" ht="14.25" customHeight="1">
      <c r="A705" s="179"/>
      <c r="B705" s="98"/>
      <c r="C705" s="98"/>
      <c r="D705" s="98"/>
      <c r="E705" s="98"/>
      <c r="F705" s="235"/>
      <c r="G705" s="235"/>
      <c r="H705" s="236"/>
      <c r="I705" s="236"/>
      <c r="J705" s="236"/>
      <c r="K705" s="236"/>
      <c r="L705" s="236"/>
      <c r="M705" s="236"/>
      <c r="N705" s="236"/>
      <c r="O705" s="236"/>
      <c r="P705" s="236"/>
      <c r="Q705" s="236"/>
      <c r="R705" s="236"/>
      <c r="S705" s="236"/>
      <c r="T705" s="236"/>
      <c r="U705" s="236"/>
      <c r="V705" s="236"/>
      <c r="W705" s="237"/>
      <c r="X705" s="237"/>
      <c r="Y705" s="237"/>
      <c r="Z705" s="237"/>
      <c r="AA705" s="237"/>
      <c r="AB705" s="237"/>
      <c r="AC705" s="237"/>
      <c r="AD705" s="237"/>
      <c r="AE705" s="237"/>
      <c r="AF705" s="237"/>
      <c r="AG705" s="237"/>
      <c r="AH705" s="237"/>
      <c r="AI705" s="98"/>
      <c r="AJ705" s="98"/>
      <c r="AK705" s="98"/>
      <c r="AL705" s="98"/>
      <c r="AM705" s="98"/>
      <c r="AN705" s="98"/>
      <c r="AO705" s="98"/>
    </row>
    <row r="706" ht="14.25" customHeight="1">
      <c r="A706" s="179"/>
      <c r="B706" s="98"/>
      <c r="C706" s="98"/>
      <c r="D706" s="98"/>
      <c r="E706" s="98"/>
      <c r="F706" s="235"/>
      <c r="G706" s="235"/>
      <c r="H706" s="236"/>
      <c r="I706" s="236"/>
      <c r="J706" s="236"/>
      <c r="K706" s="236"/>
      <c r="L706" s="236"/>
      <c r="M706" s="236"/>
      <c r="N706" s="236"/>
      <c r="O706" s="236"/>
      <c r="P706" s="236"/>
      <c r="Q706" s="236"/>
      <c r="R706" s="236"/>
      <c r="S706" s="236"/>
      <c r="T706" s="236"/>
      <c r="U706" s="236"/>
      <c r="V706" s="236"/>
      <c r="W706" s="237"/>
      <c r="X706" s="237"/>
      <c r="Y706" s="237"/>
      <c r="Z706" s="237"/>
      <c r="AA706" s="237"/>
      <c r="AB706" s="237"/>
      <c r="AC706" s="237"/>
      <c r="AD706" s="237"/>
      <c r="AE706" s="237"/>
      <c r="AF706" s="237"/>
      <c r="AG706" s="237"/>
      <c r="AH706" s="237"/>
      <c r="AI706" s="98"/>
      <c r="AJ706" s="98"/>
      <c r="AK706" s="98"/>
      <c r="AL706" s="98"/>
      <c r="AM706" s="98"/>
      <c r="AN706" s="98"/>
      <c r="AO706" s="98"/>
    </row>
    <row r="707" ht="14.25" customHeight="1">
      <c r="A707" s="179"/>
      <c r="B707" s="98"/>
      <c r="C707" s="98"/>
      <c r="D707" s="98"/>
      <c r="E707" s="98"/>
      <c r="F707" s="235"/>
      <c r="G707" s="235"/>
      <c r="H707" s="236"/>
      <c r="I707" s="236"/>
      <c r="J707" s="236"/>
      <c r="K707" s="236"/>
      <c r="L707" s="236"/>
      <c r="M707" s="236"/>
      <c r="N707" s="236"/>
      <c r="O707" s="236"/>
      <c r="P707" s="236"/>
      <c r="Q707" s="236"/>
      <c r="R707" s="236"/>
      <c r="S707" s="236"/>
      <c r="T707" s="236"/>
      <c r="U707" s="236"/>
      <c r="V707" s="236"/>
      <c r="W707" s="237"/>
      <c r="X707" s="237"/>
      <c r="Y707" s="237"/>
      <c r="Z707" s="237"/>
      <c r="AA707" s="237"/>
      <c r="AB707" s="237"/>
      <c r="AC707" s="237"/>
      <c r="AD707" s="237"/>
      <c r="AE707" s="237"/>
      <c r="AF707" s="237"/>
      <c r="AG707" s="237"/>
      <c r="AH707" s="237"/>
      <c r="AI707" s="98"/>
      <c r="AJ707" s="98"/>
      <c r="AK707" s="98"/>
      <c r="AL707" s="98"/>
      <c r="AM707" s="98"/>
      <c r="AN707" s="98"/>
      <c r="AO707" s="98"/>
    </row>
    <row r="708" ht="14.25" customHeight="1">
      <c r="A708" s="179"/>
      <c r="B708" s="98"/>
      <c r="C708" s="98"/>
      <c r="D708" s="98"/>
      <c r="E708" s="98"/>
      <c r="F708" s="235"/>
      <c r="G708" s="235"/>
      <c r="H708" s="236"/>
      <c r="I708" s="236"/>
      <c r="J708" s="236"/>
      <c r="K708" s="236"/>
      <c r="L708" s="236"/>
      <c r="M708" s="236"/>
      <c r="N708" s="236"/>
      <c r="O708" s="236"/>
      <c r="P708" s="236"/>
      <c r="Q708" s="236"/>
      <c r="R708" s="236"/>
      <c r="S708" s="236"/>
      <c r="T708" s="236"/>
      <c r="U708" s="236"/>
      <c r="V708" s="236"/>
      <c r="W708" s="237"/>
      <c r="X708" s="237"/>
      <c r="Y708" s="237"/>
      <c r="Z708" s="237"/>
      <c r="AA708" s="237"/>
      <c r="AB708" s="237"/>
      <c r="AC708" s="237"/>
      <c r="AD708" s="237"/>
      <c r="AE708" s="237"/>
      <c r="AF708" s="237"/>
      <c r="AG708" s="237"/>
      <c r="AH708" s="237"/>
      <c r="AI708" s="98"/>
      <c r="AJ708" s="98"/>
      <c r="AK708" s="98"/>
      <c r="AL708" s="98"/>
      <c r="AM708" s="98"/>
      <c r="AN708" s="98"/>
      <c r="AO708" s="98"/>
    </row>
    <row r="709" ht="14.25" customHeight="1">
      <c r="A709" s="179"/>
      <c r="B709" s="98"/>
      <c r="C709" s="98"/>
      <c r="D709" s="98"/>
      <c r="E709" s="98"/>
      <c r="F709" s="235"/>
      <c r="G709" s="235"/>
      <c r="H709" s="236"/>
      <c r="I709" s="236"/>
      <c r="J709" s="236"/>
      <c r="K709" s="236"/>
      <c r="L709" s="236"/>
      <c r="M709" s="236"/>
      <c r="N709" s="236"/>
      <c r="O709" s="236"/>
      <c r="P709" s="236"/>
      <c r="Q709" s="236"/>
      <c r="R709" s="236"/>
      <c r="S709" s="236"/>
      <c r="T709" s="236"/>
      <c r="U709" s="236"/>
      <c r="V709" s="236"/>
      <c r="W709" s="237"/>
      <c r="X709" s="237"/>
      <c r="Y709" s="237"/>
      <c r="Z709" s="237"/>
      <c r="AA709" s="237"/>
      <c r="AB709" s="237"/>
      <c r="AC709" s="237"/>
      <c r="AD709" s="237"/>
      <c r="AE709" s="237"/>
      <c r="AF709" s="237"/>
      <c r="AG709" s="237"/>
      <c r="AH709" s="237"/>
      <c r="AI709" s="98"/>
      <c r="AJ709" s="98"/>
      <c r="AK709" s="98"/>
      <c r="AL709" s="98"/>
      <c r="AM709" s="98"/>
      <c r="AN709" s="98"/>
      <c r="AO709" s="98"/>
    </row>
    <row r="710" ht="14.25" customHeight="1">
      <c r="A710" s="179"/>
      <c r="B710" s="98"/>
      <c r="C710" s="98"/>
      <c r="D710" s="98"/>
      <c r="E710" s="98"/>
      <c r="F710" s="235"/>
      <c r="G710" s="235"/>
      <c r="H710" s="236"/>
      <c r="I710" s="236"/>
      <c r="J710" s="236"/>
      <c r="K710" s="236"/>
      <c r="L710" s="236"/>
      <c r="M710" s="236"/>
      <c r="N710" s="236"/>
      <c r="O710" s="236"/>
      <c r="P710" s="236"/>
      <c r="Q710" s="236"/>
      <c r="R710" s="236"/>
      <c r="S710" s="236"/>
      <c r="T710" s="236"/>
      <c r="U710" s="236"/>
      <c r="V710" s="236"/>
      <c r="W710" s="237"/>
      <c r="X710" s="237"/>
      <c r="Y710" s="237"/>
      <c r="Z710" s="237"/>
      <c r="AA710" s="237"/>
      <c r="AB710" s="237"/>
      <c r="AC710" s="237"/>
      <c r="AD710" s="237"/>
      <c r="AE710" s="237"/>
      <c r="AF710" s="237"/>
      <c r="AG710" s="237"/>
      <c r="AH710" s="237"/>
      <c r="AI710" s="98"/>
      <c r="AJ710" s="98"/>
      <c r="AK710" s="98"/>
      <c r="AL710" s="98"/>
      <c r="AM710" s="98"/>
      <c r="AN710" s="98"/>
      <c r="AO710" s="98"/>
    </row>
    <row r="711" ht="14.25" customHeight="1">
      <c r="A711" s="179"/>
      <c r="B711" s="98"/>
      <c r="C711" s="98"/>
      <c r="D711" s="98"/>
      <c r="E711" s="98"/>
      <c r="F711" s="235"/>
      <c r="G711" s="235"/>
      <c r="H711" s="236"/>
      <c r="I711" s="236"/>
      <c r="J711" s="236"/>
      <c r="K711" s="236"/>
      <c r="L711" s="236"/>
      <c r="M711" s="236"/>
      <c r="N711" s="236"/>
      <c r="O711" s="236"/>
      <c r="P711" s="236"/>
      <c r="Q711" s="236"/>
      <c r="R711" s="236"/>
      <c r="S711" s="236"/>
      <c r="T711" s="236"/>
      <c r="U711" s="236"/>
      <c r="V711" s="236"/>
      <c r="W711" s="237"/>
      <c r="X711" s="237"/>
      <c r="Y711" s="237"/>
      <c r="Z711" s="237"/>
      <c r="AA711" s="237"/>
      <c r="AB711" s="237"/>
      <c r="AC711" s="237"/>
      <c r="AD711" s="237"/>
      <c r="AE711" s="237"/>
      <c r="AF711" s="237"/>
      <c r="AG711" s="237"/>
      <c r="AH711" s="237"/>
      <c r="AI711" s="98"/>
      <c r="AJ711" s="98"/>
      <c r="AK711" s="98"/>
      <c r="AL711" s="98"/>
      <c r="AM711" s="98"/>
      <c r="AN711" s="98"/>
      <c r="AO711" s="98"/>
    </row>
    <row r="712" ht="14.25" customHeight="1">
      <c r="A712" s="179"/>
      <c r="B712" s="98"/>
      <c r="C712" s="98"/>
      <c r="D712" s="98"/>
      <c r="E712" s="98"/>
      <c r="F712" s="235"/>
      <c r="G712" s="235"/>
      <c r="H712" s="236"/>
      <c r="I712" s="236"/>
      <c r="J712" s="236"/>
      <c r="K712" s="236"/>
      <c r="L712" s="236"/>
      <c r="M712" s="236"/>
      <c r="N712" s="236"/>
      <c r="O712" s="236"/>
      <c r="P712" s="236"/>
      <c r="Q712" s="236"/>
      <c r="R712" s="236"/>
      <c r="S712" s="236"/>
      <c r="T712" s="236"/>
      <c r="U712" s="236"/>
      <c r="V712" s="236"/>
      <c r="W712" s="237"/>
      <c r="X712" s="237"/>
      <c r="Y712" s="237"/>
      <c r="Z712" s="237"/>
      <c r="AA712" s="237"/>
      <c r="AB712" s="237"/>
      <c r="AC712" s="237"/>
      <c r="AD712" s="237"/>
      <c r="AE712" s="237"/>
      <c r="AF712" s="237"/>
      <c r="AG712" s="237"/>
      <c r="AH712" s="237"/>
      <c r="AI712" s="98"/>
      <c r="AJ712" s="98"/>
      <c r="AK712" s="98"/>
      <c r="AL712" s="98"/>
      <c r="AM712" s="98"/>
      <c r="AN712" s="98"/>
      <c r="AO712" s="98"/>
    </row>
    <row r="713" ht="14.25" customHeight="1">
      <c r="A713" s="179"/>
      <c r="B713" s="98"/>
      <c r="C713" s="98"/>
      <c r="D713" s="98"/>
      <c r="E713" s="98"/>
      <c r="F713" s="235"/>
      <c r="G713" s="235"/>
      <c r="H713" s="236"/>
      <c r="I713" s="236"/>
      <c r="J713" s="236"/>
      <c r="K713" s="236"/>
      <c r="L713" s="236"/>
      <c r="M713" s="236"/>
      <c r="N713" s="236"/>
      <c r="O713" s="236"/>
      <c r="P713" s="236"/>
      <c r="Q713" s="236"/>
      <c r="R713" s="236"/>
      <c r="S713" s="236"/>
      <c r="T713" s="236"/>
      <c r="U713" s="236"/>
      <c r="V713" s="236"/>
      <c r="W713" s="237"/>
      <c r="X713" s="237"/>
      <c r="Y713" s="237"/>
      <c r="Z713" s="237"/>
      <c r="AA713" s="237"/>
      <c r="AB713" s="237"/>
      <c r="AC713" s="237"/>
      <c r="AD713" s="237"/>
      <c r="AE713" s="237"/>
      <c r="AF713" s="237"/>
      <c r="AG713" s="237"/>
      <c r="AH713" s="237"/>
      <c r="AI713" s="98"/>
      <c r="AJ713" s="98"/>
      <c r="AK713" s="98"/>
      <c r="AL713" s="98"/>
      <c r="AM713" s="98"/>
      <c r="AN713" s="98"/>
      <c r="AO713" s="98"/>
    </row>
    <row r="714" ht="14.25" customHeight="1">
      <c r="A714" s="179"/>
      <c r="B714" s="98"/>
      <c r="C714" s="98"/>
      <c r="D714" s="98"/>
      <c r="E714" s="98"/>
      <c r="F714" s="235"/>
      <c r="G714" s="235"/>
      <c r="H714" s="236"/>
      <c r="I714" s="236"/>
      <c r="J714" s="236"/>
      <c r="K714" s="236"/>
      <c r="L714" s="236"/>
      <c r="M714" s="236"/>
      <c r="N714" s="236"/>
      <c r="O714" s="236"/>
      <c r="P714" s="236"/>
      <c r="Q714" s="236"/>
      <c r="R714" s="236"/>
      <c r="S714" s="236"/>
      <c r="T714" s="236"/>
      <c r="U714" s="236"/>
      <c r="V714" s="236"/>
      <c r="W714" s="237"/>
      <c r="X714" s="237"/>
      <c r="Y714" s="237"/>
      <c r="Z714" s="237"/>
      <c r="AA714" s="237"/>
      <c r="AB714" s="237"/>
      <c r="AC714" s="237"/>
      <c r="AD714" s="237"/>
      <c r="AE714" s="237"/>
      <c r="AF714" s="237"/>
      <c r="AG714" s="237"/>
      <c r="AH714" s="237"/>
      <c r="AI714" s="98"/>
      <c r="AJ714" s="98"/>
      <c r="AK714" s="98"/>
      <c r="AL714" s="98"/>
      <c r="AM714" s="98"/>
      <c r="AN714" s="98"/>
      <c r="AO714" s="98"/>
    </row>
    <row r="715" ht="14.25" customHeight="1">
      <c r="A715" s="179"/>
      <c r="B715" s="98"/>
      <c r="C715" s="98"/>
      <c r="D715" s="98"/>
      <c r="E715" s="98"/>
      <c r="F715" s="235"/>
      <c r="G715" s="235"/>
      <c r="H715" s="236"/>
      <c r="I715" s="236"/>
      <c r="J715" s="236"/>
      <c r="K715" s="236"/>
      <c r="L715" s="236"/>
      <c r="M715" s="236"/>
      <c r="N715" s="236"/>
      <c r="O715" s="236"/>
      <c r="P715" s="236"/>
      <c r="Q715" s="236"/>
      <c r="R715" s="236"/>
      <c r="S715" s="236"/>
      <c r="T715" s="236"/>
      <c r="U715" s="236"/>
      <c r="V715" s="236"/>
      <c r="W715" s="237"/>
      <c r="X715" s="237"/>
      <c r="Y715" s="237"/>
      <c r="Z715" s="237"/>
      <c r="AA715" s="237"/>
      <c r="AB715" s="237"/>
      <c r="AC715" s="237"/>
      <c r="AD715" s="237"/>
      <c r="AE715" s="237"/>
      <c r="AF715" s="237"/>
      <c r="AG715" s="237"/>
      <c r="AH715" s="237"/>
      <c r="AI715" s="98"/>
      <c r="AJ715" s="98"/>
      <c r="AK715" s="98"/>
      <c r="AL715" s="98"/>
      <c r="AM715" s="98"/>
      <c r="AN715" s="98"/>
      <c r="AO715" s="98"/>
    </row>
    <row r="716" ht="14.25" customHeight="1">
      <c r="A716" s="179"/>
      <c r="B716" s="98"/>
      <c r="C716" s="98"/>
      <c r="D716" s="98"/>
      <c r="E716" s="98"/>
      <c r="F716" s="235"/>
      <c r="G716" s="235"/>
      <c r="H716" s="236"/>
      <c r="I716" s="236"/>
      <c r="J716" s="236"/>
      <c r="K716" s="236"/>
      <c r="L716" s="236"/>
      <c r="M716" s="236"/>
      <c r="N716" s="236"/>
      <c r="O716" s="236"/>
      <c r="P716" s="236"/>
      <c r="Q716" s="236"/>
      <c r="R716" s="236"/>
      <c r="S716" s="236"/>
      <c r="T716" s="236"/>
      <c r="U716" s="236"/>
      <c r="V716" s="236"/>
      <c r="W716" s="237"/>
      <c r="X716" s="237"/>
      <c r="Y716" s="237"/>
      <c r="Z716" s="237"/>
      <c r="AA716" s="237"/>
      <c r="AB716" s="237"/>
      <c r="AC716" s="237"/>
      <c r="AD716" s="237"/>
      <c r="AE716" s="237"/>
      <c r="AF716" s="237"/>
      <c r="AG716" s="237"/>
      <c r="AH716" s="237"/>
      <c r="AI716" s="98"/>
      <c r="AJ716" s="98"/>
      <c r="AK716" s="98"/>
      <c r="AL716" s="98"/>
      <c r="AM716" s="98"/>
      <c r="AN716" s="98"/>
      <c r="AO716" s="98"/>
    </row>
    <row r="717" ht="14.25" customHeight="1">
      <c r="A717" s="179"/>
      <c r="B717" s="98"/>
      <c r="C717" s="98"/>
      <c r="D717" s="98"/>
      <c r="E717" s="98"/>
      <c r="F717" s="235"/>
      <c r="G717" s="235"/>
      <c r="H717" s="236"/>
      <c r="I717" s="236"/>
      <c r="J717" s="236"/>
      <c r="K717" s="236"/>
      <c r="L717" s="236"/>
      <c r="M717" s="236"/>
      <c r="N717" s="236"/>
      <c r="O717" s="236"/>
      <c r="P717" s="236"/>
      <c r="Q717" s="236"/>
      <c r="R717" s="236"/>
      <c r="S717" s="236"/>
      <c r="T717" s="236"/>
      <c r="U717" s="236"/>
      <c r="V717" s="236"/>
      <c r="W717" s="237"/>
      <c r="X717" s="237"/>
      <c r="Y717" s="237"/>
      <c r="Z717" s="237"/>
      <c r="AA717" s="237"/>
      <c r="AB717" s="237"/>
      <c r="AC717" s="237"/>
      <c r="AD717" s="237"/>
      <c r="AE717" s="237"/>
      <c r="AF717" s="237"/>
      <c r="AG717" s="237"/>
      <c r="AH717" s="237"/>
      <c r="AI717" s="98"/>
      <c r="AJ717" s="98"/>
      <c r="AK717" s="98"/>
      <c r="AL717" s="98"/>
      <c r="AM717" s="98"/>
      <c r="AN717" s="98"/>
      <c r="AO717" s="98"/>
    </row>
    <row r="718" ht="14.25" customHeight="1">
      <c r="A718" s="179"/>
      <c r="B718" s="98"/>
      <c r="C718" s="98"/>
      <c r="D718" s="98"/>
      <c r="E718" s="98"/>
      <c r="F718" s="235"/>
      <c r="G718" s="235"/>
      <c r="H718" s="236"/>
      <c r="I718" s="236"/>
      <c r="J718" s="236"/>
      <c r="K718" s="236"/>
      <c r="L718" s="236"/>
      <c r="M718" s="236"/>
      <c r="N718" s="236"/>
      <c r="O718" s="236"/>
      <c r="P718" s="236"/>
      <c r="Q718" s="236"/>
      <c r="R718" s="236"/>
      <c r="S718" s="236"/>
      <c r="T718" s="236"/>
      <c r="U718" s="236"/>
      <c r="V718" s="236"/>
      <c r="W718" s="237"/>
      <c r="X718" s="237"/>
      <c r="Y718" s="237"/>
      <c r="Z718" s="237"/>
      <c r="AA718" s="237"/>
      <c r="AB718" s="237"/>
      <c r="AC718" s="237"/>
      <c r="AD718" s="237"/>
      <c r="AE718" s="237"/>
      <c r="AF718" s="237"/>
      <c r="AG718" s="237"/>
      <c r="AH718" s="237"/>
      <c r="AI718" s="98"/>
      <c r="AJ718" s="98"/>
      <c r="AK718" s="98"/>
      <c r="AL718" s="98"/>
      <c r="AM718" s="98"/>
      <c r="AN718" s="98"/>
      <c r="AO718" s="98"/>
    </row>
    <row r="719" ht="14.25" customHeight="1">
      <c r="A719" s="179"/>
      <c r="B719" s="98"/>
      <c r="C719" s="98"/>
      <c r="D719" s="98"/>
      <c r="E719" s="98"/>
      <c r="F719" s="235"/>
      <c r="G719" s="235"/>
      <c r="H719" s="236"/>
      <c r="I719" s="236"/>
      <c r="J719" s="236"/>
      <c r="K719" s="236"/>
      <c r="L719" s="236"/>
      <c r="M719" s="236"/>
      <c r="N719" s="236"/>
      <c r="O719" s="236"/>
      <c r="P719" s="236"/>
      <c r="Q719" s="236"/>
      <c r="R719" s="236"/>
      <c r="S719" s="236"/>
      <c r="T719" s="236"/>
      <c r="U719" s="236"/>
      <c r="V719" s="236"/>
      <c r="W719" s="237"/>
      <c r="X719" s="237"/>
      <c r="Y719" s="237"/>
      <c r="Z719" s="237"/>
      <c r="AA719" s="237"/>
      <c r="AB719" s="237"/>
      <c r="AC719" s="237"/>
      <c r="AD719" s="237"/>
      <c r="AE719" s="237"/>
      <c r="AF719" s="237"/>
      <c r="AG719" s="237"/>
      <c r="AH719" s="237"/>
      <c r="AI719" s="98"/>
      <c r="AJ719" s="98"/>
      <c r="AK719" s="98"/>
      <c r="AL719" s="98"/>
      <c r="AM719" s="98"/>
      <c r="AN719" s="98"/>
      <c r="AO719" s="98"/>
    </row>
    <row r="720" ht="14.25" customHeight="1">
      <c r="A720" s="179"/>
      <c r="B720" s="98"/>
      <c r="C720" s="98"/>
      <c r="D720" s="98"/>
      <c r="E720" s="98"/>
      <c r="F720" s="235"/>
      <c r="G720" s="235"/>
      <c r="H720" s="236"/>
      <c r="I720" s="236"/>
      <c r="J720" s="236"/>
      <c r="K720" s="236"/>
      <c r="L720" s="236"/>
      <c r="M720" s="236"/>
      <c r="N720" s="236"/>
      <c r="O720" s="236"/>
      <c r="P720" s="236"/>
      <c r="Q720" s="236"/>
      <c r="R720" s="236"/>
      <c r="S720" s="236"/>
      <c r="T720" s="236"/>
      <c r="U720" s="236"/>
      <c r="V720" s="236"/>
      <c r="W720" s="237"/>
      <c r="X720" s="237"/>
      <c r="Y720" s="237"/>
      <c r="Z720" s="237"/>
      <c r="AA720" s="237"/>
      <c r="AB720" s="237"/>
      <c r="AC720" s="237"/>
      <c r="AD720" s="237"/>
      <c r="AE720" s="237"/>
      <c r="AF720" s="237"/>
      <c r="AG720" s="237"/>
      <c r="AH720" s="237"/>
      <c r="AI720" s="98"/>
      <c r="AJ720" s="98"/>
      <c r="AK720" s="98"/>
      <c r="AL720" s="98"/>
      <c r="AM720" s="98"/>
      <c r="AN720" s="98"/>
      <c r="AO720" s="98"/>
    </row>
    <row r="721" ht="14.25" customHeight="1">
      <c r="A721" s="179"/>
      <c r="B721" s="98"/>
      <c r="C721" s="98"/>
      <c r="D721" s="98"/>
      <c r="E721" s="98"/>
      <c r="F721" s="235"/>
      <c r="G721" s="235"/>
      <c r="H721" s="236"/>
      <c r="I721" s="236"/>
      <c r="J721" s="236"/>
      <c r="K721" s="236"/>
      <c r="L721" s="236"/>
      <c r="M721" s="236"/>
      <c r="N721" s="236"/>
      <c r="O721" s="236"/>
      <c r="P721" s="236"/>
      <c r="Q721" s="236"/>
      <c r="R721" s="236"/>
      <c r="S721" s="236"/>
      <c r="T721" s="236"/>
      <c r="U721" s="236"/>
      <c r="V721" s="236"/>
      <c r="W721" s="237"/>
      <c r="X721" s="237"/>
      <c r="Y721" s="237"/>
      <c r="Z721" s="237"/>
      <c r="AA721" s="237"/>
      <c r="AB721" s="237"/>
      <c r="AC721" s="237"/>
      <c r="AD721" s="237"/>
      <c r="AE721" s="237"/>
      <c r="AF721" s="237"/>
      <c r="AG721" s="237"/>
      <c r="AH721" s="237"/>
      <c r="AI721" s="98"/>
      <c r="AJ721" s="98"/>
      <c r="AK721" s="98"/>
      <c r="AL721" s="98"/>
      <c r="AM721" s="98"/>
      <c r="AN721" s="98"/>
      <c r="AO721" s="98"/>
    </row>
    <row r="722" ht="14.25" customHeight="1">
      <c r="A722" s="179"/>
      <c r="B722" s="98"/>
      <c r="C722" s="98"/>
      <c r="D722" s="98"/>
      <c r="E722" s="98"/>
      <c r="F722" s="235"/>
      <c r="G722" s="235"/>
      <c r="H722" s="236"/>
      <c r="I722" s="236"/>
      <c r="J722" s="236"/>
      <c r="K722" s="236"/>
      <c r="L722" s="236"/>
      <c r="M722" s="236"/>
      <c r="N722" s="236"/>
      <c r="O722" s="236"/>
      <c r="P722" s="236"/>
      <c r="Q722" s="236"/>
      <c r="R722" s="236"/>
      <c r="S722" s="236"/>
      <c r="T722" s="236"/>
      <c r="U722" s="236"/>
      <c r="V722" s="236"/>
      <c r="W722" s="237"/>
      <c r="X722" s="237"/>
      <c r="Y722" s="237"/>
      <c r="Z722" s="237"/>
      <c r="AA722" s="237"/>
      <c r="AB722" s="237"/>
      <c r="AC722" s="237"/>
      <c r="AD722" s="237"/>
      <c r="AE722" s="237"/>
      <c r="AF722" s="237"/>
      <c r="AG722" s="237"/>
      <c r="AH722" s="237"/>
      <c r="AI722" s="98"/>
      <c r="AJ722" s="98"/>
      <c r="AK722" s="98"/>
      <c r="AL722" s="98"/>
      <c r="AM722" s="98"/>
      <c r="AN722" s="98"/>
      <c r="AO722" s="98"/>
    </row>
    <row r="723" ht="14.25" customHeight="1">
      <c r="A723" s="179"/>
      <c r="B723" s="98"/>
      <c r="C723" s="98"/>
      <c r="D723" s="98"/>
      <c r="E723" s="98"/>
      <c r="F723" s="235"/>
      <c r="G723" s="235"/>
      <c r="H723" s="236"/>
      <c r="I723" s="236"/>
      <c r="J723" s="236"/>
      <c r="K723" s="236"/>
      <c r="L723" s="236"/>
      <c r="M723" s="236"/>
      <c r="N723" s="236"/>
      <c r="O723" s="236"/>
      <c r="P723" s="236"/>
      <c r="Q723" s="236"/>
      <c r="R723" s="236"/>
      <c r="S723" s="236"/>
      <c r="T723" s="236"/>
      <c r="U723" s="236"/>
      <c r="V723" s="236"/>
      <c r="W723" s="237"/>
      <c r="X723" s="237"/>
      <c r="Y723" s="237"/>
      <c r="Z723" s="237"/>
      <c r="AA723" s="237"/>
      <c r="AB723" s="237"/>
      <c r="AC723" s="237"/>
      <c r="AD723" s="237"/>
      <c r="AE723" s="237"/>
      <c r="AF723" s="237"/>
      <c r="AG723" s="237"/>
      <c r="AH723" s="237"/>
      <c r="AI723" s="98"/>
      <c r="AJ723" s="98"/>
      <c r="AK723" s="98"/>
      <c r="AL723" s="98"/>
      <c r="AM723" s="98"/>
      <c r="AN723" s="98"/>
      <c r="AO723" s="98"/>
    </row>
    <row r="724" ht="14.25" customHeight="1">
      <c r="A724" s="179"/>
      <c r="B724" s="98"/>
      <c r="C724" s="98"/>
      <c r="D724" s="98"/>
      <c r="E724" s="98"/>
      <c r="F724" s="235"/>
      <c r="G724" s="235"/>
      <c r="H724" s="236"/>
      <c r="I724" s="236"/>
      <c r="J724" s="236"/>
      <c r="K724" s="236"/>
      <c r="L724" s="236"/>
      <c r="M724" s="236"/>
      <c r="N724" s="236"/>
      <c r="O724" s="236"/>
      <c r="P724" s="236"/>
      <c r="Q724" s="236"/>
      <c r="R724" s="236"/>
      <c r="S724" s="236"/>
      <c r="T724" s="236"/>
      <c r="U724" s="236"/>
      <c r="V724" s="236"/>
      <c r="W724" s="237"/>
      <c r="X724" s="237"/>
      <c r="Y724" s="237"/>
      <c r="Z724" s="237"/>
      <c r="AA724" s="237"/>
      <c r="AB724" s="237"/>
      <c r="AC724" s="237"/>
      <c r="AD724" s="237"/>
      <c r="AE724" s="237"/>
      <c r="AF724" s="237"/>
      <c r="AG724" s="237"/>
      <c r="AH724" s="237"/>
      <c r="AI724" s="98"/>
      <c r="AJ724" s="98"/>
      <c r="AK724" s="98"/>
      <c r="AL724" s="98"/>
      <c r="AM724" s="98"/>
      <c r="AN724" s="98"/>
      <c r="AO724" s="98"/>
    </row>
    <row r="725" ht="14.25" customHeight="1">
      <c r="A725" s="179"/>
      <c r="B725" s="98"/>
      <c r="C725" s="98"/>
      <c r="D725" s="98"/>
      <c r="E725" s="98"/>
      <c r="F725" s="235"/>
      <c r="G725" s="235"/>
      <c r="H725" s="236"/>
      <c r="I725" s="236"/>
      <c r="J725" s="236"/>
      <c r="K725" s="236"/>
      <c r="L725" s="236"/>
      <c r="M725" s="236"/>
      <c r="N725" s="236"/>
      <c r="O725" s="236"/>
      <c r="P725" s="236"/>
      <c r="Q725" s="236"/>
      <c r="R725" s="236"/>
      <c r="S725" s="236"/>
      <c r="T725" s="236"/>
      <c r="U725" s="236"/>
      <c r="V725" s="236"/>
      <c r="W725" s="237"/>
      <c r="X725" s="237"/>
      <c r="Y725" s="237"/>
      <c r="Z725" s="237"/>
      <c r="AA725" s="237"/>
      <c r="AB725" s="237"/>
      <c r="AC725" s="237"/>
      <c r="AD725" s="237"/>
      <c r="AE725" s="237"/>
      <c r="AF725" s="237"/>
      <c r="AG725" s="237"/>
      <c r="AH725" s="237"/>
      <c r="AI725" s="98"/>
      <c r="AJ725" s="98"/>
      <c r="AK725" s="98"/>
      <c r="AL725" s="98"/>
      <c r="AM725" s="98"/>
      <c r="AN725" s="98"/>
      <c r="AO725" s="98"/>
    </row>
    <row r="726" ht="14.25" customHeight="1">
      <c r="A726" s="179"/>
      <c r="B726" s="98"/>
      <c r="C726" s="98"/>
      <c r="D726" s="98"/>
      <c r="E726" s="98"/>
      <c r="F726" s="235"/>
      <c r="G726" s="235"/>
      <c r="H726" s="236"/>
      <c r="I726" s="236"/>
      <c r="J726" s="236"/>
      <c r="K726" s="236"/>
      <c r="L726" s="236"/>
      <c r="M726" s="236"/>
      <c r="N726" s="236"/>
      <c r="O726" s="236"/>
      <c r="P726" s="236"/>
      <c r="Q726" s="236"/>
      <c r="R726" s="236"/>
      <c r="S726" s="236"/>
      <c r="T726" s="236"/>
      <c r="U726" s="236"/>
      <c r="V726" s="236"/>
      <c r="W726" s="237"/>
      <c r="X726" s="237"/>
      <c r="Y726" s="237"/>
      <c r="Z726" s="237"/>
      <c r="AA726" s="237"/>
      <c r="AB726" s="237"/>
      <c r="AC726" s="237"/>
      <c r="AD726" s="237"/>
      <c r="AE726" s="237"/>
      <c r="AF726" s="237"/>
      <c r="AG726" s="237"/>
      <c r="AH726" s="237"/>
      <c r="AI726" s="98"/>
      <c r="AJ726" s="98"/>
      <c r="AK726" s="98"/>
      <c r="AL726" s="98"/>
      <c r="AM726" s="98"/>
      <c r="AN726" s="98"/>
      <c r="AO726" s="98"/>
    </row>
    <row r="727" ht="14.25" customHeight="1">
      <c r="A727" s="179"/>
      <c r="B727" s="98"/>
      <c r="C727" s="98"/>
      <c r="D727" s="98"/>
      <c r="E727" s="98"/>
      <c r="F727" s="235"/>
      <c r="G727" s="235"/>
      <c r="H727" s="236"/>
      <c r="I727" s="236"/>
      <c r="J727" s="236"/>
      <c r="K727" s="236"/>
      <c r="L727" s="236"/>
      <c r="M727" s="236"/>
      <c r="N727" s="236"/>
      <c r="O727" s="236"/>
      <c r="P727" s="236"/>
      <c r="Q727" s="236"/>
      <c r="R727" s="236"/>
      <c r="S727" s="236"/>
      <c r="T727" s="236"/>
      <c r="U727" s="236"/>
      <c r="V727" s="236"/>
      <c r="W727" s="237"/>
      <c r="X727" s="237"/>
      <c r="Y727" s="237"/>
      <c r="Z727" s="237"/>
      <c r="AA727" s="237"/>
      <c r="AB727" s="237"/>
      <c r="AC727" s="237"/>
      <c r="AD727" s="237"/>
      <c r="AE727" s="237"/>
      <c r="AF727" s="237"/>
      <c r="AG727" s="237"/>
      <c r="AH727" s="237"/>
      <c r="AI727" s="98"/>
      <c r="AJ727" s="98"/>
      <c r="AK727" s="98"/>
      <c r="AL727" s="98"/>
      <c r="AM727" s="98"/>
      <c r="AN727" s="98"/>
      <c r="AO727" s="98"/>
    </row>
    <row r="728" ht="14.25" customHeight="1">
      <c r="A728" s="179"/>
      <c r="B728" s="98"/>
      <c r="C728" s="98"/>
      <c r="D728" s="98"/>
      <c r="E728" s="98"/>
      <c r="F728" s="235"/>
      <c r="G728" s="235"/>
      <c r="H728" s="236"/>
      <c r="I728" s="236"/>
      <c r="J728" s="236"/>
      <c r="K728" s="236"/>
      <c r="L728" s="236"/>
      <c r="M728" s="236"/>
      <c r="N728" s="236"/>
      <c r="O728" s="236"/>
      <c r="P728" s="236"/>
      <c r="Q728" s="236"/>
      <c r="R728" s="236"/>
      <c r="S728" s="236"/>
      <c r="T728" s="236"/>
      <c r="U728" s="236"/>
      <c r="V728" s="236"/>
      <c r="W728" s="237"/>
      <c r="X728" s="237"/>
      <c r="Y728" s="237"/>
      <c r="Z728" s="237"/>
      <c r="AA728" s="237"/>
      <c r="AB728" s="237"/>
      <c r="AC728" s="237"/>
      <c r="AD728" s="237"/>
      <c r="AE728" s="237"/>
      <c r="AF728" s="237"/>
      <c r="AG728" s="237"/>
      <c r="AH728" s="237"/>
      <c r="AI728" s="98"/>
      <c r="AJ728" s="98"/>
      <c r="AK728" s="98"/>
      <c r="AL728" s="98"/>
      <c r="AM728" s="98"/>
      <c r="AN728" s="98"/>
      <c r="AO728" s="98"/>
    </row>
    <row r="729" ht="14.25" customHeight="1">
      <c r="A729" s="179"/>
      <c r="B729" s="98"/>
      <c r="C729" s="98"/>
      <c r="D729" s="98"/>
      <c r="E729" s="98"/>
      <c r="F729" s="235"/>
      <c r="G729" s="235"/>
      <c r="H729" s="236"/>
      <c r="I729" s="236"/>
      <c r="J729" s="236"/>
      <c r="K729" s="236"/>
      <c r="L729" s="236"/>
      <c r="M729" s="236"/>
      <c r="N729" s="236"/>
      <c r="O729" s="236"/>
      <c r="P729" s="236"/>
      <c r="Q729" s="236"/>
      <c r="R729" s="236"/>
      <c r="S729" s="236"/>
      <c r="T729" s="236"/>
      <c r="U729" s="236"/>
      <c r="V729" s="236"/>
      <c r="W729" s="237"/>
      <c r="X729" s="237"/>
      <c r="Y729" s="237"/>
      <c r="Z729" s="237"/>
      <c r="AA729" s="237"/>
      <c r="AB729" s="237"/>
      <c r="AC729" s="237"/>
      <c r="AD729" s="237"/>
      <c r="AE729" s="237"/>
      <c r="AF729" s="237"/>
      <c r="AG729" s="237"/>
      <c r="AH729" s="237"/>
      <c r="AI729" s="98"/>
      <c r="AJ729" s="98"/>
      <c r="AK729" s="98"/>
      <c r="AL729" s="98"/>
      <c r="AM729" s="98"/>
      <c r="AN729" s="98"/>
      <c r="AO729" s="98"/>
    </row>
    <row r="730" ht="14.25" customHeight="1">
      <c r="A730" s="179"/>
      <c r="B730" s="98"/>
      <c r="C730" s="98"/>
      <c r="D730" s="98"/>
      <c r="E730" s="98"/>
      <c r="F730" s="235"/>
      <c r="G730" s="235"/>
      <c r="H730" s="236"/>
      <c r="I730" s="236"/>
      <c r="J730" s="236"/>
      <c r="K730" s="236"/>
      <c r="L730" s="236"/>
      <c r="M730" s="236"/>
      <c r="N730" s="236"/>
      <c r="O730" s="236"/>
      <c r="P730" s="236"/>
      <c r="Q730" s="236"/>
      <c r="R730" s="236"/>
      <c r="S730" s="236"/>
      <c r="T730" s="236"/>
      <c r="U730" s="236"/>
      <c r="V730" s="236"/>
      <c r="W730" s="237"/>
      <c r="X730" s="237"/>
      <c r="Y730" s="237"/>
      <c r="Z730" s="237"/>
      <c r="AA730" s="237"/>
      <c r="AB730" s="237"/>
      <c r="AC730" s="237"/>
      <c r="AD730" s="237"/>
      <c r="AE730" s="237"/>
      <c r="AF730" s="237"/>
      <c r="AG730" s="237"/>
      <c r="AH730" s="237"/>
      <c r="AI730" s="98"/>
      <c r="AJ730" s="98"/>
      <c r="AK730" s="98"/>
      <c r="AL730" s="98"/>
      <c r="AM730" s="98"/>
      <c r="AN730" s="98"/>
      <c r="AO730" s="98"/>
    </row>
    <row r="731" ht="14.25" customHeight="1">
      <c r="A731" s="179"/>
      <c r="B731" s="98"/>
      <c r="C731" s="98"/>
      <c r="D731" s="98"/>
      <c r="E731" s="98"/>
      <c r="F731" s="235"/>
      <c r="G731" s="235"/>
      <c r="H731" s="236"/>
      <c r="I731" s="236"/>
      <c r="J731" s="236"/>
      <c r="K731" s="236"/>
      <c r="L731" s="236"/>
      <c r="M731" s="236"/>
      <c r="N731" s="236"/>
      <c r="O731" s="236"/>
      <c r="P731" s="236"/>
      <c r="Q731" s="236"/>
      <c r="R731" s="236"/>
      <c r="S731" s="236"/>
      <c r="T731" s="236"/>
      <c r="U731" s="236"/>
      <c r="V731" s="236"/>
      <c r="W731" s="237"/>
      <c r="X731" s="237"/>
      <c r="Y731" s="237"/>
      <c r="Z731" s="237"/>
      <c r="AA731" s="237"/>
      <c r="AB731" s="237"/>
      <c r="AC731" s="237"/>
      <c r="AD731" s="237"/>
      <c r="AE731" s="237"/>
      <c r="AF731" s="237"/>
      <c r="AG731" s="237"/>
      <c r="AH731" s="237"/>
      <c r="AI731" s="98"/>
      <c r="AJ731" s="98"/>
      <c r="AK731" s="98"/>
      <c r="AL731" s="98"/>
      <c r="AM731" s="98"/>
      <c r="AN731" s="98"/>
      <c r="AO731" s="98"/>
    </row>
    <row r="732" ht="14.25" customHeight="1">
      <c r="A732" s="179"/>
      <c r="B732" s="98"/>
      <c r="C732" s="98"/>
      <c r="D732" s="98"/>
      <c r="E732" s="98"/>
      <c r="F732" s="235"/>
      <c r="G732" s="235"/>
      <c r="H732" s="236"/>
      <c r="I732" s="236"/>
      <c r="J732" s="236"/>
      <c r="K732" s="236"/>
      <c r="L732" s="236"/>
      <c r="M732" s="236"/>
      <c r="N732" s="236"/>
      <c r="O732" s="236"/>
      <c r="P732" s="236"/>
      <c r="Q732" s="236"/>
      <c r="R732" s="236"/>
      <c r="S732" s="236"/>
      <c r="T732" s="236"/>
      <c r="U732" s="236"/>
      <c r="V732" s="236"/>
      <c r="W732" s="237"/>
      <c r="X732" s="237"/>
      <c r="Y732" s="237"/>
      <c r="Z732" s="237"/>
      <c r="AA732" s="237"/>
      <c r="AB732" s="237"/>
      <c r="AC732" s="237"/>
      <c r="AD732" s="237"/>
      <c r="AE732" s="237"/>
      <c r="AF732" s="237"/>
      <c r="AG732" s="237"/>
      <c r="AH732" s="237"/>
      <c r="AI732" s="98"/>
      <c r="AJ732" s="98"/>
      <c r="AK732" s="98"/>
      <c r="AL732" s="98"/>
      <c r="AM732" s="98"/>
      <c r="AN732" s="98"/>
      <c r="AO732" s="98"/>
    </row>
    <row r="733" ht="14.25" customHeight="1">
      <c r="A733" s="179"/>
      <c r="B733" s="98"/>
      <c r="C733" s="98"/>
      <c r="D733" s="98"/>
      <c r="E733" s="98"/>
      <c r="F733" s="235"/>
      <c r="G733" s="235"/>
      <c r="H733" s="236"/>
      <c r="I733" s="236"/>
      <c r="J733" s="236"/>
      <c r="K733" s="236"/>
      <c r="L733" s="236"/>
      <c r="M733" s="236"/>
      <c r="N733" s="236"/>
      <c r="O733" s="236"/>
      <c r="P733" s="236"/>
      <c r="Q733" s="236"/>
      <c r="R733" s="236"/>
      <c r="S733" s="236"/>
      <c r="T733" s="236"/>
      <c r="U733" s="236"/>
      <c r="V733" s="236"/>
      <c r="W733" s="237"/>
      <c r="X733" s="237"/>
      <c r="Y733" s="237"/>
      <c r="Z733" s="237"/>
      <c r="AA733" s="237"/>
      <c r="AB733" s="237"/>
      <c r="AC733" s="237"/>
      <c r="AD733" s="237"/>
      <c r="AE733" s="237"/>
      <c r="AF733" s="237"/>
      <c r="AG733" s="237"/>
      <c r="AH733" s="237"/>
      <c r="AI733" s="98"/>
      <c r="AJ733" s="98"/>
      <c r="AK733" s="98"/>
      <c r="AL733" s="98"/>
      <c r="AM733" s="98"/>
      <c r="AN733" s="98"/>
      <c r="AO733" s="98"/>
    </row>
    <row r="734" ht="14.25" customHeight="1">
      <c r="A734" s="179"/>
      <c r="B734" s="98"/>
      <c r="C734" s="98"/>
      <c r="D734" s="98"/>
      <c r="E734" s="98"/>
      <c r="F734" s="235"/>
      <c r="G734" s="235"/>
      <c r="H734" s="236"/>
      <c r="I734" s="236"/>
      <c r="J734" s="236"/>
      <c r="K734" s="236"/>
      <c r="L734" s="236"/>
      <c r="M734" s="236"/>
      <c r="N734" s="236"/>
      <c r="O734" s="236"/>
      <c r="P734" s="236"/>
      <c r="Q734" s="236"/>
      <c r="R734" s="236"/>
      <c r="S734" s="236"/>
      <c r="T734" s="236"/>
      <c r="U734" s="236"/>
      <c r="V734" s="236"/>
      <c r="W734" s="237"/>
      <c r="X734" s="237"/>
      <c r="Y734" s="237"/>
      <c r="Z734" s="237"/>
      <c r="AA734" s="237"/>
      <c r="AB734" s="237"/>
      <c r="AC734" s="237"/>
      <c r="AD734" s="237"/>
      <c r="AE734" s="237"/>
      <c r="AF734" s="237"/>
      <c r="AG734" s="237"/>
      <c r="AH734" s="237"/>
      <c r="AI734" s="98"/>
      <c r="AJ734" s="98"/>
      <c r="AK734" s="98"/>
      <c r="AL734" s="98"/>
      <c r="AM734" s="98"/>
      <c r="AN734" s="98"/>
      <c r="AO734" s="98"/>
    </row>
    <row r="735" ht="14.25" customHeight="1">
      <c r="A735" s="179"/>
      <c r="B735" s="98"/>
      <c r="C735" s="98"/>
      <c r="D735" s="98"/>
      <c r="E735" s="98"/>
      <c r="F735" s="235"/>
      <c r="G735" s="235"/>
      <c r="H735" s="236"/>
      <c r="I735" s="236"/>
      <c r="J735" s="236"/>
      <c r="K735" s="236"/>
      <c r="L735" s="236"/>
      <c r="M735" s="236"/>
      <c r="N735" s="236"/>
      <c r="O735" s="236"/>
      <c r="P735" s="236"/>
      <c r="Q735" s="236"/>
      <c r="R735" s="236"/>
      <c r="S735" s="236"/>
      <c r="T735" s="236"/>
      <c r="U735" s="236"/>
      <c r="V735" s="236"/>
      <c r="W735" s="237"/>
      <c r="X735" s="237"/>
      <c r="Y735" s="237"/>
      <c r="Z735" s="237"/>
      <c r="AA735" s="237"/>
      <c r="AB735" s="237"/>
      <c r="AC735" s="237"/>
      <c r="AD735" s="237"/>
      <c r="AE735" s="237"/>
      <c r="AF735" s="237"/>
      <c r="AG735" s="237"/>
      <c r="AH735" s="237"/>
      <c r="AI735" s="98"/>
      <c r="AJ735" s="98"/>
      <c r="AK735" s="98"/>
      <c r="AL735" s="98"/>
      <c r="AM735" s="98"/>
      <c r="AN735" s="98"/>
      <c r="AO735" s="98"/>
    </row>
    <row r="736" ht="14.25" customHeight="1">
      <c r="A736" s="179"/>
      <c r="B736" s="98"/>
      <c r="C736" s="98"/>
      <c r="D736" s="98"/>
      <c r="E736" s="98"/>
      <c r="F736" s="235"/>
      <c r="G736" s="235"/>
      <c r="H736" s="236"/>
      <c r="I736" s="236"/>
      <c r="J736" s="236"/>
      <c r="K736" s="236"/>
      <c r="L736" s="236"/>
      <c r="M736" s="236"/>
      <c r="N736" s="236"/>
      <c r="O736" s="236"/>
      <c r="P736" s="236"/>
      <c r="Q736" s="236"/>
      <c r="R736" s="236"/>
      <c r="S736" s="236"/>
      <c r="T736" s="236"/>
      <c r="U736" s="236"/>
      <c r="V736" s="236"/>
      <c r="W736" s="237"/>
      <c r="X736" s="237"/>
      <c r="Y736" s="237"/>
      <c r="Z736" s="237"/>
      <c r="AA736" s="237"/>
      <c r="AB736" s="237"/>
      <c r="AC736" s="237"/>
      <c r="AD736" s="237"/>
      <c r="AE736" s="237"/>
      <c r="AF736" s="237"/>
      <c r="AG736" s="237"/>
      <c r="AH736" s="237"/>
      <c r="AI736" s="98"/>
      <c r="AJ736" s="98"/>
      <c r="AK736" s="98"/>
      <c r="AL736" s="98"/>
      <c r="AM736" s="98"/>
      <c r="AN736" s="98"/>
      <c r="AO736" s="98"/>
    </row>
    <row r="737" ht="14.25" customHeight="1">
      <c r="A737" s="179"/>
      <c r="B737" s="98"/>
      <c r="C737" s="98"/>
      <c r="D737" s="98"/>
      <c r="E737" s="98"/>
      <c r="F737" s="235"/>
      <c r="G737" s="235"/>
      <c r="H737" s="236"/>
      <c r="I737" s="236"/>
      <c r="J737" s="236"/>
      <c r="K737" s="236"/>
      <c r="L737" s="236"/>
      <c r="M737" s="236"/>
      <c r="N737" s="236"/>
      <c r="O737" s="236"/>
      <c r="P737" s="236"/>
      <c r="Q737" s="236"/>
      <c r="R737" s="236"/>
      <c r="S737" s="236"/>
      <c r="T737" s="236"/>
      <c r="U737" s="236"/>
      <c r="V737" s="236"/>
      <c r="W737" s="237"/>
      <c r="X737" s="237"/>
      <c r="Y737" s="237"/>
      <c r="Z737" s="237"/>
      <c r="AA737" s="237"/>
      <c r="AB737" s="237"/>
      <c r="AC737" s="237"/>
      <c r="AD737" s="237"/>
      <c r="AE737" s="237"/>
      <c r="AF737" s="237"/>
      <c r="AG737" s="237"/>
      <c r="AH737" s="237"/>
      <c r="AI737" s="98"/>
      <c r="AJ737" s="98"/>
      <c r="AK737" s="98"/>
      <c r="AL737" s="98"/>
      <c r="AM737" s="98"/>
      <c r="AN737" s="98"/>
      <c r="AO737" s="98"/>
    </row>
    <row r="738" ht="14.25" customHeight="1">
      <c r="A738" s="179"/>
      <c r="B738" s="98"/>
      <c r="C738" s="98"/>
      <c r="D738" s="98"/>
      <c r="E738" s="98"/>
      <c r="F738" s="235"/>
      <c r="G738" s="235"/>
      <c r="H738" s="236"/>
      <c r="I738" s="236"/>
      <c r="J738" s="236"/>
      <c r="K738" s="236"/>
      <c r="L738" s="236"/>
      <c r="M738" s="236"/>
      <c r="N738" s="236"/>
      <c r="O738" s="236"/>
      <c r="P738" s="236"/>
      <c r="Q738" s="236"/>
      <c r="R738" s="236"/>
      <c r="S738" s="236"/>
      <c r="T738" s="236"/>
      <c r="U738" s="236"/>
      <c r="V738" s="236"/>
      <c r="W738" s="237"/>
      <c r="X738" s="237"/>
      <c r="Y738" s="237"/>
      <c r="Z738" s="237"/>
      <c r="AA738" s="237"/>
      <c r="AB738" s="237"/>
      <c r="AC738" s="237"/>
      <c r="AD738" s="237"/>
      <c r="AE738" s="237"/>
      <c r="AF738" s="237"/>
      <c r="AG738" s="237"/>
      <c r="AH738" s="237"/>
      <c r="AI738" s="98"/>
      <c r="AJ738" s="98"/>
      <c r="AK738" s="98"/>
      <c r="AL738" s="98"/>
      <c r="AM738" s="98"/>
      <c r="AN738" s="98"/>
      <c r="AO738" s="98"/>
    </row>
    <row r="739" ht="14.25" customHeight="1">
      <c r="A739" s="179"/>
      <c r="B739" s="98"/>
      <c r="C739" s="98"/>
      <c r="D739" s="98"/>
      <c r="E739" s="98"/>
      <c r="F739" s="235"/>
      <c r="G739" s="235"/>
      <c r="H739" s="236"/>
      <c r="I739" s="236"/>
      <c r="J739" s="236"/>
      <c r="K739" s="236"/>
      <c r="L739" s="236"/>
      <c r="M739" s="236"/>
      <c r="N739" s="236"/>
      <c r="O739" s="236"/>
      <c r="P739" s="236"/>
      <c r="Q739" s="236"/>
      <c r="R739" s="236"/>
      <c r="S739" s="236"/>
      <c r="T739" s="236"/>
      <c r="U739" s="236"/>
      <c r="V739" s="236"/>
      <c r="W739" s="237"/>
      <c r="X739" s="237"/>
      <c r="Y739" s="237"/>
      <c r="Z739" s="237"/>
      <c r="AA739" s="237"/>
      <c r="AB739" s="237"/>
      <c r="AC739" s="237"/>
      <c r="AD739" s="237"/>
      <c r="AE739" s="237"/>
      <c r="AF739" s="237"/>
      <c r="AG739" s="237"/>
      <c r="AH739" s="237"/>
      <c r="AI739" s="98"/>
      <c r="AJ739" s="98"/>
      <c r="AK739" s="98"/>
      <c r="AL739" s="98"/>
      <c r="AM739" s="98"/>
      <c r="AN739" s="98"/>
      <c r="AO739" s="98"/>
    </row>
    <row r="740" ht="14.25" customHeight="1">
      <c r="A740" s="179"/>
      <c r="B740" s="98"/>
      <c r="C740" s="98"/>
      <c r="D740" s="98"/>
      <c r="E740" s="98"/>
      <c r="F740" s="235"/>
      <c r="G740" s="235"/>
      <c r="H740" s="236"/>
      <c r="I740" s="236"/>
      <c r="J740" s="236"/>
      <c r="K740" s="236"/>
      <c r="L740" s="236"/>
      <c r="M740" s="236"/>
      <c r="N740" s="236"/>
      <c r="O740" s="236"/>
      <c r="P740" s="236"/>
      <c r="Q740" s="236"/>
      <c r="R740" s="236"/>
      <c r="S740" s="236"/>
      <c r="T740" s="236"/>
      <c r="U740" s="236"/>
      <c r="V740" s="236"/>
      <c r="W740" s="237"/>
      <c r="X740" s="237"/>
      <c r="Y740" s="237"/>
      <c r="Z740" s="237"/>
      <c r="AA740" s="237"/>
      <c r="AB740" s="237"/>
      <c r="AC740" s="237"/>
      <c r="AD740" s="237"/>
      <c r="AE740" s="237"/>
      <c r="AF740" s="237"/>
      <c r="AG740" s="237"/>
      <c r="AH740" s="237"/>
      <c r="AI740" s="98"/>
      <c r="AJ740" s="98"/>
      <c r="AK740" s="98"/>
      <c r="AL740" s="98"/>
      <c r="AM740" s="98"/>
      <c r="AN740" s="98"/>
      <c r="AO740" s="98"/>
    </row>
    <row r="741" ht="14.25" customHeight="1">
      <c r="A741" s="179"/>
      <c r="B741" s="98"/>
      <c r="C741" s="98"/>
      <c r="D741" s="98"/>
      <c r="E741" s="98"/>
      <c r="F741" s="235"/>
      <c r="G741" s="235"/>
      <c r="H741" s="236"/>
      <c r="I741" s="236"/>
      <c r="J741" s="236"/>
      <c r="K741" s="236"/>
      <c r="L741" s="236"/>
      <c r="M741" s="236"/>
      <c r="N741" s="236"/>
      <c r="O741" s="236"/>
      <c r="P741" s="236"/>
      <c r="Q741" s="236"/>
      <c r="R741" s="236"/>
      <c r="S741" s="236"/>
      <c r="T741" s="236"/>
      <c r="U741" s="236"/>
      <c r="V741" s="236"/>
      <c r="W741" s="237"/>
      <c r="X741" s="237"/>
      <c r="Y741" s="237"/>
      <c r="Z741" s="237"/>
      <c r="AA741" s="237"/>
      <c r="AB741" s="237"/>
      <c r="AC741" s="237"/>
      <c r="AD741" s="237"/>
      <c r="AE741" s="237"/>
      <c r="AF741" s="237"/>
      <c r="AG741" s="237"/>
      <c r="AH741" s="237"/>
      <c r="AI741" s="98"/>
      <c r="AJ741" s="98"/>
      <c r="AK741" s="98"/>
      <c r="AL741" s="98"/>
      <c r="AM741" s="98"/>
      <c r="AN741" s="98"/>
      <c r="AO741" s="98"/>
    </row>
    <row r="742" ht="14.25" customHeight="1">
      <c r="A742" s="179"/>
      <c r="B742" s="98"/>
      <c r="C742" s="98"/>
      <c r="D742" s="98"/>
      <c r="E742" s="98"/>
      <c r="F742" s="235"/>
      <c r="G742" s="235"/>
      <c r="H742" s="236"/>
      <c r="I742" s="236"/>
      <c r="J742" s="236"/>
      <c r="K742" s="236"/>
      <c r="L742" s="236"/>
      <c r="M742" s="236"/>
      <c r="N742" s="236"/>
      <c r="O742" s="236"/>
      <c r="P742" s="236"/>
      <c r="Q742" s="236"/>
      <c r="R742" s="236"/>
      <c r="S742" s="236"/>
      <c r="T742" s="236"/>
      <c r="U742" s="236"/>
      <c r="V742" s="236"/>
      <c r="W742" s="237"/>
      <c r="X742" s="237"/>
      <c r="Y742" s="237"/>
      <c r="Z742" s="237"/>
      <c r="AA742" s="237"/>
      <c r="AB742" s="237"/>
      <c r="AC742" s="237"/>
      <c r="AD742" s="237"/>
      <c r="AE742" s="237"/>
      <c r="AF742" s="237"/>
      <c r="AG742" s="237"/>
      <c r="AH742" s="237"/>
      <c r="AI742" s="98"/>
      <c r="AJ742" s="98"/>
      <c r="AK742" s="98"/>
      <c r="AL742" s="98"/>
      <c r="AM742" s="98"/>
      <c r="AN742" s="98"/>
      <c r="AO742" s="98"/>
    </row>
    <row r="743" ht="14.25" customHeight="1">
      <c r="A743" s="179"/>
      <c r="B743" s="98"/>
      <c r="C743" s="98"/>
      <c r="D743" s="98"/>
      <c r="E743" s="98"/>
      <c r="F743" s="235"/>
      <c r="G743" s="235"/>
      <c r="H743" s="236"/>
      <c r="I743" s="236"/>
      <c r="J743" s="236"/>
      <c r="K743" s="236"/>
      <c r="L743" s="236"/>
      <c r="M743" s="236"/>
      <c r="N743" s="236"/>
      <c r="O743" s="236"/>
      <c r="P743" s="236"/>
      <c r="Q743" s="236"/>
      <c r="R743" s="236"/>
      <c r="S743" s="236"/>
      <c r="T743" s="236"/>
      <c r="U743" s="236"/>
      <c r="V743" s="236"/>
      <c r="W743" s="237"/>
      <c r="X743" s="237"/>
      <c r="Y743" s="237"/>
      <c r="Z743" s="237"/>
      <c r="AA743" s="237"/>
      <c r="AB743" s="237"/>
      <c r="AC743" s="237"/>
      <c r="AD743" s="237"/>
      <c r="AE743" s="237"/>
      <c r="AF743" s="237"/>
      <c r="AG743" s="237"/>
      <c r="AH743" s="237"/>
      <c r="AI743" s="98"/>
      <c r="AJ743" s="98"/>
      <c r="AK743" s="98"/>
      <c r="AL743" s="98"/>
      <c r="AM743" s="98"/>
      <c r="AN743" s="98"/>
      <c r="AO743" s="98"/>
    </row>
    <row r="744" ht="14.25" customHeight="1">
      <c r="A744" s="179"/>
      <c r="B744" s="98"/>
      <c r="C744" s="98"/>
      <c r="D744" s="98"/>
      <c r="E744" s="98"/>
      <c r="F744" s="235"/>
      <c r="G744" s="235"/>
      <c r="H744" s="236"/>
      <c r="I744" s="236"/>
      <c r="J744" s="236"/>
      <c r="K744" s="236"/>
      <c r="L744" s="236"/>
      <c r="M744" s="236"/>
      <c r="N744" s="236"/>
      <c r="O744" s="236"/>
      <c r="P744" s="236"/>
      <c r="Q744" s="236"/>
      <c r="R744" s="236"/>
      <c r="S744" s="236"/>
      <c r="T744" s="236"/>
      <c r="U744" s="236"/>
      <c r="V744" s="236"/>
      <c r="W744" s="237"/>
      <c r="X744" s="237"/>
      <c r="Y744" s="237"/>
      <c r="Z744" s="237"/>
      <c r="AA744" s="237"/>
      <c r="AB744" s="237"/>
      <c r="AC744" s="237"/>
      <c r="AD744" s="237"/>
      <c r="AE744" s="237"/>
      <c r="AF744" s="237"/>
      <c r="AG744" s="237"/>
      <c r="AH744" s="237"/>
      <c r="AI744" s="98"/>
      <c r="AJ744" s="98"/>
      <c r="AK744" s="98"/>
      <c r="AL744" s="98"/>
      <c r="AM744" s="98"/>
      <c r="AN744" s="98"/>
      <c r="AO744" s="98"/>
    </row>
    <row r="745" ht="14.25" customHeight="1">
      <c r="A745" s="179"/>
      <c r="B745" s="98"/>
      <c r="C745" s="98"/>
      <c r="D745" s="98"/>
      <c r="E745" s="98"/>
      <c r="F745" s="235"/>
      <c r="G745" s="235"/>
      <c r="H745" s="236"/>
      <c r="I745" s="236"/>
      <c r="J745" s="236"/>
      <c r="K745" s="236"/>
      <c r="L745" s="236"/>
      <c r="M745" s="236"/>
      <c r="N745" s="236"/>
      <c r="O745" s="236"/>
      <c r="P745" s="236"/>
      <c r="Q745" s="236"/>
      <c r="R745" s="236"/>
      <c r="S745" s="236"/>
      <c r="T745" s="236"/>
      <c r="U745" s="236"/>
      <c r="V745" s="236"/>
      <c r="W745" s="237"/>
      <c r="X745" s="237"/>
      <c r="Y745" s="237"/>
      <c r="Z745" s="237"/>
      <c r="AA745" s="237"/>
      <c r="AB745" s="237"/>
      <c r="AC745" s="237"/>
      <c r="AD745" s="237"/>
      <c r="AE745" s="237"/>
      <c r="AF745" s="237"/>
      <c r="AG745" s="237"/>
      <c r="AH745" s="237"/>
      <c r="AI745" s="98"/>
      <c r="AJ745" s="98"/>
      <c r="AK745" s="98"/>
      <c r="AL745" s="98"/>
      <c r="AM745" s="98"/>
      <c r="AN745" s="98"/>
      <c r="AO745" s="98"/>
    </row>
    <row r="746" ht="14.25" customHeight="1">
      <c r="A746" s="179"/>
      <c r="B746" s="98"/>
      <c r="C746" s="98"/>
      <c r="D746" s="98"/>
      <c r="E746" s="98"/>
      <c r="F746" s="235"/>
      <c r="G746" s="235"/>
      <c r="H746" s="236"/>
      <c r="I746" s="236"/>
      <c r="J746" s="236"/>
      <c r="K746" s="236"/>
      <c r="L746" s="236"/>
      <c r="M746" s="236"/>
      <c r="N746" s="236"/>
      <c r="O746" s="236"/>
      <c r="P746" s="236"/>
      <c r="Q746" s="236"/>
      <c r="R746" s="236"/>
      <c r="S746" s="236"/>
      <c r="T746" s="236"/>
      <c r="U746" s="236"/>
      <c r="V746" s="236"/>
      <c r="W746" s="237"/>
      <c r="X746" s="237"/>
      <c r="Y746" s="237"/>
      <c r="Z746" s="237"/>
      <c r="AA746" s="237"/>
      <c r="AB746" s="237"/>
      <c r="AC746" s="237"/>
      <c r="AD746" s="237"/>
      <c r="AE746" s="237"/>
      <c r="AF746" s="237"/>
      <c r="AG746" s="237"/>
      <c r="AH746" s="237"/>
      <c r="AI746" s="98"/>
      <c r="AJ746" s="98"/>
      <c r="AK746" s="98"/>
      <c r="AL746" s="98"/>
      <c r="AM746" s="98"/>
      <c r="AN746" s="98"/>
      <c r="AO746" s="98"/>
    </row>
    <row r="747" ht="14.25" customHeight="1">
      <c r="A747" s="179"/>
      <c r="B747" s="98"/>
      <c r="C747" s="98"/>
      <c r="D747" s="98"/>
      <c r="E747" s="98"/>
      <c r="F747" s="235"/>
      <c r="G747" s="235"/>
      <c r="H747" s="236"/>
      <c r="I747" s="236"/>
      <c r="J747" s="236"/>
      <c r="K747" s="236"/>
      <c r="L747" s="236"/>
      <c r="M747" s="236"/>
      <c r="N747" s="236"/>
      <c r="O747" s="236"/>
      <c r="P747" s="236"/>
      <c r="Q747" s="236"/>
      <c r="R747" s="236"/>
      <c r="S747" s="236"/>
      <c r="T747" s="236"/>
      <c r="U747" s="236"/>
      <c r="V747" s="236"/>
      <c r="W747" s="237"/>
      <c r="X747" s="237"/>
      <c r="Y747" s="237"/>
      <c r="Z747" s="237"/>
      <c r="AA747" s="237"/>
      <c r="AB747" s="237"/>
      <c r="AC747" s="237"/>
      <c r="AD747" s="237"/>
      <c r="AE747" s="237"/>
      <c r="AF747" s="237"/>
      <c r="AG747" s="237"/>
      <c r="AH747" s="237"/>
      <c r="AI747" s="98"/>
      <c r="AJ747" s="98"/>
      <c r="AK747" s="98"/>
      <c r="AL747" s="98"/>
      <c r="AM747" s="98"/>
      <c r="AN747" s="98"/>
      <c r="AO747" s="98"/>
    </row>
    <row r="748" ht="14.25" customHeight="1">
      <c r="A748" s="179"/>
      <c r="B748" s="98"/>
      <c r="C748" s="98"/>
      <c r="D748" s="98"/>
      <c r="E748" s="98"/>
      <c r="F748" s="235"/>
      <c r="G748" s="235"/>
      <c r="H748" s="236"/>
      <c r="I748" s="236"/>
      <c r="J748" s="236"/>
      <c r="K748" s="236"/>
      <c r="L748" s="236"/>
      <c r="M748" s="236"/>
      <c r="N748" s="236"/>
      <c r="O748" s="236"/>
      <c r="P748" s="236"/>
      <c r="Q748" s="236"/>
      <c r="R748" s="236"/>
      <c r="S748" s="236"/>
      <c r="T748" s="236"/>
      <c r="U748" s="236"/>
      <c r="V748" s="236"/>
      <c r="W748" s="237"/>
      <c r="X748" s="237"/>
      <c r="Y748" s="237"/>
      <c r="Z748" s="237"/>
      <c r="AA748" s="237"/>
      <c r="AB748" s="237"/>
      <c r="AC748" s="237"/>
      <c r="AD748" s="237"/>
      <c r="AE748" s="237"/>
      <c r="AF748" s="237"/>
      <c r="AG748" s="237"/>
      <c r="AH748" s="237"/>
      <c r="AI748" s="98"/>
      <c r="AJ748" s="98"/>
      <c r="AK748" s="98"/>
      <c r="AL748" s="98"/>
      <c r="AM748" s="98"/>
      <c r="AN748" s="98"/>
      <c r="AO748" s="98"/>
    </row>
    <row r="749" ht="14.25" customHeight="1">
      <c r="A749" s="179"/>
      <c r="B749" s="98"/>
      <c r="C749" s="98"/>
      <c r="D749" s="98"/>
      <c r="E749" s="98"/>
      <c r="F749" s="235"/>
      <c r="G749" s="235"/>
      <c r="H749" s="236"/>
      <c r="I749" s="236"/>
      <c r="J749" s="236"/>
      <c r="K749" s="236"/>
      <c r="L749" s="236"/>
      <c r="M749" s="236"/>
      <c r="N749" s="236"/>
      <c r="O749" s="236"/>
      <c r="P749" s="236"/>
      <c r="Q749" s="236"/>
      <c r="R749" s="236"/>
      <c r="S749" s="236"/>
      <c r="T749" s="236"/>
      <c r="U749" s="236"/>
      <c r="V749" s="236"/>
      <c r="W749" s="237"/>
      <c r="X749" s="237"/>
      <c r="Y749" s="237"/>
      <c r="Z749" s="237"/>
      <c r="AA749" s="237"/>
      <c r="AB749" s="237"/>
      <c r="AC749" s="237"/>
      <c r="AD749" s="237"/>
      <c r="AE749" s="237"/>
      <c r="AF749" s="237"/>
      <c r="AG749" s="237"/>
      <c r="AH749" s="237"/>
      <c r="AI749" s="98"/>
      <c r="AJ749" s="98"/>
      <c r="AK749" s="98"/>
      <c r="AL749" s="98"/>
      <c r="AM749" s="98"/>
      <c r="AN749" s="98"/>
      <c r="AO749" s="98"/>
    </row>
    <row r="750" ht="14.25" customHeight="1">
      <c r="A750" s="179"/>
      <c r="B750" s="98"/>
      <c r="C750" s="98"/>
      <c r="D750" s="98"/>
      <c r="E750" s="98"/>
      <c r="F750" s="235"/>
      <c r="G750" s="235"/>
      <c r="H750" s="236"/>
      <c r="I750" s="236"/>
      <c r="J750" s="236"/>
      <c r="K750" s="236"/>
      <c r="L750" s="236"/>
      <c r="M750" s="236"/>
      <c r="N750" s="236"/>
      <c r="O750" s="236"/>
      <c r="P750" s="236"/>
      <c r="Q750" s="236"/>
      <c r="R750" s="236"/>
      <c r="S750" s="236"/>
      <c r="T750" s="236"/>
      <c r="U750" s="236"/>
      <c r="V750" s="236"/>
      <c r="W750" s="237"/>
      <c r="X750" s="237"/>
      <c r="Y750" s="237"/>
      <c r="Z750" s="237"/>
      <c r="AA750" s="237"/>
      <c r="AB750" s="237"/>
      <c r="AC750" s="237"/>
      <c r="AD750" s="237"/>
      <c r="AE750" s="237"/>
      <c r="AF750" s="237"/>
      <c r="AG750" s="237"/>
      <c r="AH750" s="237"/>
      <c r="AI750" s="98"/>
      <c r="AJ750" s="98"/>
      <c r="AK750" s="98"/>
      <c r="AL750" s="98"/>
      <c r="AM750" s="98"/>
      <c r="AN750" s="98"/>
      <c r="AO750" s="98"/>
    </row>
    <row r="751" ht="14.25" customHeight="1">
      <c r="A751" s="179"/>
      <c r="B751" s="98"/>
      <c r="C751" s="98"/>
      <c r="D751" s="98"/>
      <c r="E751" s="98"/>
      <c r="F751" s="235"/>
      <c r="G751" s="235"/>
      <c r="H751" s="236"/>
      <c r="I751" s="236"/>
      <c r="J751" s="236"/>
      <c r="K751" s="236"/>
      <c r="L751" s="236"/>
      <c r="M751" s="236"/>
      <c r="N751" s="236"/>
      <c r="O751" s="236"/>
      <c r="P751" s="236"/>
      <c r="Q751" s="236"/>
      <c r="R751" s="236"/>
      <c r="S751" s="236"/>
      <c r="T751" s="236"/>
      <c r="U751" s="236"/>
      <c r="V751" s="236"/>
      <c r="W751" s="237"/>
      <c r="X751" s="237"/>
      <c r="Y751" s="237"/>
      <c r="Z751" s="237"/>
      <c r="AA751" s="237"/>
      <c r="AB751" s="237"/>
      <c r="AC751" s="237"/>
      <c r="AD751" s="237"/>
      <c r="AE751" s="237"/>
      <c r="AF751" s="237"/>
      <c r="AG751" s="237"/>
      <c r="AH751" s="237"/>
      <c r="AI751" s="98"/>
      <c r="AJ751" s="98"/>
      <c r="AK751" s="98"/>
      <c r="AL751" s="98"/>
      <c r="AM751" s="98"/>
      <c r="AN751" s="98"/>
      <c r="AO751" s="98"/>
    </row>
    <row r="752" ht="14.25" customHeight="1">
      <c r="A752" s="179"/>
      <c r="B752" s="98"/>
      <c r="C752" s="98"/>
      <c r="D752" s="98"/>
      <c r="E752" s="98"/>
      <c r="F752" s="235"/>
      <c r="G752" s="235"/>
      <c r="H752" s="236"/>
      <c r="I752" s="236"/>
      <c r="J752" s="236"/>
      <c r="K752" s="236"/>
      <c r="L752" s="236"/>
      <c r="M752" s="236"/>
      <c r="N752" s="236"/>
      <c r="O752" s="236"/>
      <c r="P752" s="236"/>
      <c r="Q752" s="236"/>
      <c r="R752" s="236"/>
      <c r="S752" s="236"/>
      <c r="T752" s="236"/>
      <c r="U752" s="236"/>
      <c r="V752" s="236"/>
      <c r="W752" s="237"/>
      <c r="X752" s="237"/>
      <c r="Y752" s="237"/>
      <c r="Z752" s="237"/>
      <c r="AA752" s="237"/>
      <c r="AB752" s="237"/>
      <c r="AC752" s="237"/>
      <c r="AD752" s="237"/>
      <c r="AE752" s="237"/>
      <c r="AF752" s="237"/>
      <c r="AG752" s="237"/>
      <c r="AH752" s="237"/>
      <c r="AI752" s="98"/>
      <c r="AJ752" s="98"/>
      <c r="AK752" s="98"/>
      <c r="AL752" s="98"/>
      <c r="AM752" s="98"/>
      <c r="AN752" s="98"/>
      <c r="AO752" s="98"/>
    </row>
    <row r="753" ht="14.25" customHeight="1">
      <c r="A753" s="179"/>
      <c r="B753" s="98"/>
      <c r="C753" s="98"/>
      <c r="D753" s="98"/>
      <c r="E753" s="98"/>
      <c r="F753" s="235"/>
      <c r="G753" s="235"/>
      <c r="H753" s="236"/>
      <c r="I753" s="236"/>
      <c r="J753" s="236"/>
      <c r="K753" s="236"/>
      <c r="L753" s="236"/>
      <c r="M753" s="236"/>
      <c r="N753" s="236"/>
      <c r="O753" s="236"/>
      <c r="P753" s="236"/>
      <c r="Q753" s="236"/>
      <c r="R753" s="236"/>
      <c r="S753" s="236"/>
      <c r="T753" s="236"/>
      <c r="U753" s="236"/>
      <c r="V753" s="236"/>
      <c r="W753" s="237"/>
      <c r="X753" s="237"/>
      <c r="Y753" s="237"/>
      <c r="Z753" s="237"/>
      <c r="AA753" s="237"/>
      <c r="AB753" s="237"/>
      <c r="AC753" s="237"/>
      <c r="AD753" s="237"/>
      <c r="AE753" s="237"/>
      <c r="AF753" s="237"/>
      <c r="AG753" s="237"/>
      <c r="AH753" s="237"/>
      <c r="AI753" s="98"/>
      <c r="AJ753" s="98"/>
      <c r="AK753" s="98"/>
      <c r="AL753" s="98"/>
      <c r="AM753" s="98"/>
      <c r="AN753" s="98"/>
      <c r="AO753" s="98"/>
    </row>
    <row r="754" ht="14.25" customHeight="1">
      <c r="A754" s="179"/>
      <c r="B754" s="98"/>
      <c r="C754" s="98"/>
      <c r="D754" s="98"/>
      <c r="E754" s="98"/>
      <c r="F754" s="235"/>
      <c r="G754" s="235"/>
      <c r="H754" s="236"/>
      <c r="I754" s="236"/>
      <c r="J754" s="236"/>
      <c r="K754" s="236"/>
      <c r="L754" s="236"/>
      <c r="M754" s="236"/>
      <c r="N754" s="236"/>
      <c r="O754" s="236"/>
      <c r="P754" s="236"/>
      <c r="Q754" s="236"/>
      <c r="R754" s="236"/>
      <c r="S754" s="236"/>
      <c r="T754" s="236"/>
      <c r="U754" s="236"/>
      <c r="V754" s="236"/>
      <c r="W754" s="237"/>
      <c r="X754" s="237"/>
      <c r="Y754" s="237"/>
      <c r="Z754" s="237"/>
      <c r="AA754" s="237"/>
      <c r="AB754" s="237"/>
      <c r="AC754" s="237"/>
      <c r="AD754" s="237"/>
      <c r="AE754" s="237"/>
      <c r="AF754" s="237"/>
      <c r="AG754" s="237"/>
      <c r="AH754" s="237"/>
      <c r="AI754" s="98"/>
      <c r="AJ754" s="98"/>
      <c r="AK754" s="98"/>
      <c r="AL754" s="98"/>
      <c r="AM754" s="98"/>
      <c r="AN754" s="98"/>
      <c r="AO754" s="98"/>
    </row>
    <row r="755" ht="14.25" customHeight="1">
      <c r="A755" s="179"/>
      <c r="B755" s="98"/>
      <c r="C755" s="98"/>
      <c r="D755" s="98"/>
      <c r="E755" s="98"/>
      <c r="F755" s="235"/>
      <c r="G755" s="235"/>
      <c r="H755" s="236"/>
      <c r="I755" s="236"/>
      <c r="J755" s="236"/>
      <c r="K755" s="236"/>
      <c r="L755" s="236"/>
      <c r="M755" s="236"/>
      <c r="N755" s="236"/>
      <c r="O755" s="236"/>
      <c r="P755" s="236"/>
      <c r="Q755" s="236"/>
      <c r="R755" s="236"/>
      <c r="S755" s="236"/>
      <c r="T755" s="236"/>
      <c r="U755" s="236"/>
      <c r="V755" s="236"/>
      <c r="W755" s="237"/>
      <c r="X755" s="237"/>
      <c r="Y755" s="237"/>
      <c r="Z755" s="237"/>
      <c r="AA755" s="237"/>
      <c r="AB755" s="237"/>
      <c r="AC755" s="237"/>
      <c r="AD755" s="237"/>
      <c r="AE755" s="237"/>
      <c r="AF755" s="237"/>
      <c r="AG755" s="237"/>
      <c r="AH755" s="237"/>
      <c r="AI755" s="98"/>
      <c r="AJ755" s="98"/>
      <c r="AK755" s="98"/>
      <c r="AL755" s="98"/>
      <c r="AM755" s="98"/>
      <c r="AN755" s="98"/>
      <c r="AO755" s="98"/>
    </row>
    <row r="756" ht="14.25" customHeight="1">
      <c r="A756" s="179"/>
      <c r="B756" s="98"/>
      <c r="C756" s="98"/>
      <c r="D756" s="98"/>
      <c r="E756" s="98"/>
      <c r="F756" s="235"/>
      <c r="G756" s="235"/>
      <c r="H756" s="236"/>
      <c r="I756" s="236"/>
      <c r="J756" s="236"/>
      <c r="K756" s="236"/>
      <c r="L756" s="236"/>
      <c r="M756" s="236"/>
      <c r="N756" s="236"/>
      <c r="O756" s="236"/>
      <c r="P756" s="236"/>
      <c r="Q756" s="236"/>
      <c r="R756" s="236"/>
      <c r="S756" s="236"/>
      <c r="T756" s="236"/>
      <c r="U756" s="236"/>
      <c r="V756" s="236"/>
      <c r="W756" s="237"/>
      <c r="X756" s="237"/>
      <c r="Y756" s="237"/>
      <c r="Z756" s="237"/>
      <c r="AA756" s="237"/>
      <c r="AB756" s="237"/>
      <c r="AC756" s="237"/>
      <c r="AD756" s="237"/>
      <c r="AE756" s="237"/>
      <c r="AF756" s="237"/>
      <c r="AG756" s="237"/>
      <c r="AH756" s="237"/>
      <c r="AI756" s="98"/>
      <c r="AJ756" s="98"/>
      <c r="AK756" s="98"/>
      <c r="AL756" s="98"/>
      <c r="AM756" s="98"/>
      <c r="AN756" s="98"/>
      <c r="AO756" s="98"/>
    </row>
    <row r="757" ht="14.25" customHeight="1">
      <c r="A757" s="179"/>
      <c r="B757" s="98"/>
      <c r="C757" s="98"/>
      <c r="D757" s="98"/>
      <c r="E757" s="98"/>
      <c r="F757" s="235"/>
      <c r="G757" s="235"/>
      <c r="H757" s="236"/>
      <c r="I757" s="236"/>
      <c r="J757" s="236"/>
      <c r="K757" s="236"/>
      <c r="L757" s="236"/>
      <c r="M757" s="236"/>
      <c r="N757" s="236"/>
      <c r="O757" s="236"/>
      <c r="P757" s="236"/>
      <c r="Q757" s="236"/>
      <c r="R757" s="236"/>
      <c r="S757" s="236"/>
      <c r="T757" s="236"/>
      <c r="U757" s="236"/>
      <c r="V757" s="236"/>
      <c r="W757" s="237"/>
      <c r="X757" s="237"/>
      <c r="Y757" s="237"/>
      <c r="Z757" s="237"/>
      <c r="AA757" s="237"/>
      <c r="AB757" s="237"/>
      <c r="AC757" s="237"/>
      <c r="AD757" s="237"/>
      <c r="AE757" s="237"/>
      <c r="AF757" s="237"/>
      <c r="AG757" s="237"/>
      <c r="AH757" s="237"/>
      <c r="AI757" s="98"/>
      <c r="AJ757" s="98"/>
      <c r="AK757" s="98"/>
      <c r="AL757" s="98"/>
      <c r="AM757" s="98"/>
      <c r="AN757" s="98"/>
      <c r="AO757" s="98"/>
    </row>
    <row r="758" ht="14.25" customHeight="1">
      <c r="A758" s="179"/>
      <c r="B758" s="98"/>
      <c r="C758" s="98"/>
      <c r="D758" s="98"/>
      <c r="E758" s="98"/>
      <c r="F758" s="235"/>
      <c r="G758" s="235"/>
      <c r="H758" s="236"/>
      <c r="I758" s="236"/>
      <c r="J758" s="236"/>
      <c r="K758" s="236"/>
      <c r="L758" s="236"/>
      <c r="M758" s="236"/>
      <c r="N758" s="236"/>
      <c r="O758" s="236"/>
      <c r="P758" s="236"/>
      <c r="Q758" s="236"/>
      <c r="R758" s="236"/>
      <c r="S758" s="236"/>
      <c r="T758" s="236"/>
      <c r="U758" s="236"/>
      <c r="V758" s="236"/>
      <c r="W758" s="237"/>
      <c r="X758" s="237"/>
      <c r="Y758" s="237"/>
      <c r="Z758" s="237"/>
      <c r="AA758" s="237"/>
      <c r="AB758" s="237"/>
      <c r="AC758" s="237"/>
      <c r="AD758" s="237"/>
      <c r="AE758" s="237"/>
      <c r="AF758" s="237"/>
      <c r="AG758" s="237"/>
      <c r="AH758" s="237"/>
      <c r="AI758" s="98"/>
      <c r="AJ758" s="98"/>
      <c r="AK758" s="98"/>
      <c r="AL758" s="98"/>
      <c r="AM758" s="98"/>
      <c r="AN758" s="98"/>
      <c r="AO758" s="98"/>
    </row>
    <row r="759" ht="14.25" customHeight="1">
      <c r="A759" s="179"/>
      <c r="B759" s="98"/>
      <c r="C759" s="98"/>
      <c r="D759" s="98"/>
      <c r="E759" s="98"/>
      <c r="F759" s="235"/>
      <c r="G759" s="235"/>
      <c r="H759" s="236"/>
      <c r="I759" s="236"/>
      <c r="J759" s="236"/>
      <c r="K759" s="236"/>
      <c r="L759" s="236"/>
      <c r="M759" s="236"/>
      <c r="N759" s="236"/>
      <c r="O759" s="236"/>
      <c r="P759" s="236"/>
      <c r="Q759" s="236"/>
      <c r="R759" s="236"/>
      <c r="S759" s="236"/>
      <c r="T759" s="236"/>
      <c r="U759" s="236"/>
      <c r="V759" s="236"/>
      <c r="W759" s="237"/>
      <c r="X759" s="237"/>
      <c r="Y759" s="237"/>
      <c r="Z759" s="237"/>
      <c r="AA759" s="237"/>
      <c r="AB759" s="237"/>
      <c r="AC759" s="237"/>
      <c r="AD759" s="237"/>
      <c r="AE759" s="237"/>
      <c r="AF759" s="237"/>
      <c r="AG759" s="237"/>
      <c r="AH759" s="237"/>
      <c r="AI759" s="98"/>
      <c r="AJ759" s="98"/>
      <c r="AK759" s="98"/>
      <c r="AL759" s="98"/>
      <c r="AM759" s="98"/>
      <c r="AN759" s="98"/>
      <c r="AO759" s="98"/>
    </row>
    <row r="760" ht="14.25" customHeight="1">
      <c r="A760" s="179"/>
      <c r="B760" s="98"/>
      <c r="C760" s="98"/>
      <c r="D760" s="98"/>
      <c r="E760" s="98"/>
      <c r="F760" s="235"/>
      <c r="G760" s="235"/>
      <c r="H760" s="236"/>
      <c r="I760" s="236"/>
      <c r="J760" s="236"/>
      <c r="K760" s="236"/>
      <c r="L760" s="236"/>
      <c r="M760" s="236"/>
      <c r="N760" s="236"/>
      <c r="O760" s="236"/>
      <c r="P760" s="236"/>
      <c r="Q760" s="236"/>
      <c r="R760" s="236"/>
      <c r="S760" s="236"/>
      <c r="T760" s="236"/>
      <c r="U760" s="236"/>
      <c r="V760" s="236"/>
      <c r="W760" s="237"/>
      <c r="X760" s="237"/>
      <c r="Y760" s="237"/>
      <c r="Z760" s="237"/>
      <c r="AA760" s="237"/>
      <c r="AB760" s="237"/>
      <c r="AC760" s="237"/>
      <c r="AD760" s="237"/>
      <c r="AE760" s="237"/>
      <c r="AF760" s="237"/>
      <c r="AG760" s="237"/>
      <c r="AH760" s="237"/>
      <c r="AI760" s="98"/>
      <c r="AJ760" s="98"/>
      <c r="AK760" s="98"/>
      <c r="AL760" s="98"/>
      <c r="AM760" s="98"/>
      <c r="AN760" s="98"/>
      <c r="AO760" s="98"/>
    </row>
    <row r="761" ht="14.25" customHeight="1">
      <c r="A761" s="179"/>
      <c r="B761" s="98"/>
      <c r="C761" s="98"/>
      <c r="D761" s="98"/>
      <c r="E761" s="98"/>
      <c r="F761" s="235"/>
      <c r="G761" s="235"/>
      <c r="H761" s="236"/>
      <c r="I761" s="236"/>
      <c r="J761" s="236"/>
      <c r="K761" s="236"/>
      <c r="L761" s="236"/>
      <c r="M761" s="236"/>
      <c r="N761" s="236"/>
      <c r="O761" s="236"/>
      <c r="P761" s="236"/>
      <c r="Q761" s="236"/>
      <c r="R761" s="236"/>
      <c r="S761" s="236"/>
      <c r="T761" s="236"/>
      <c r="U761" s="236"/>
      <c r="V761" s="236"/>
      <c r="W761" s="237"/>
      <c r="X761" s="237"/>
      <c r="Y761" s="237"/>
      <c r="Z761" s="237"/>
      <c r="AA761" s="237"/>
      <c r="AB761" s="237"/>
      <c r="AC761" s="237"/>
      <c r="AD761" s="237"/>
      <c r="AE761" s="237"/>
      <c r="AF761" s="237"/>
      <c r="AG761" s="237"/>
      <c r="AH761" s="237"/>
      <c r="AI761" s="98"/>
      <c r="AJ761" s="98"/>
      <c r="AK761" s="98"/>
      <c r="AL761" s="98"/>
      <c r="AM761" s="98"/>
      <c r="AN761" s="98"/>
      <c r="AO761" s="98"/>
    </row>
    <row r="762" ht="14.25" customHeight="1">
      <c r="A762" s="179"/>
      <c r="B762" s="98"/>
      <c r="C762" s="98"/>
      <c r="D762" s="98"/>
      <c r="E762" s="98"/>
      <c r="F762" s="235"/>
      <c r="G762" s="235"/>
      <c r="H762" s="236"/>
      <c r="I762" s="236"/>
      <c r="J762" s="236"/>
      <c r="K762" s="236"/>
      <c r="L762" s="236"/>
      <c r="M762" s="236"/>
      <c r="N762" s="236"/>
      <c r="O762" s="236"/>
      <c r="P762" s="236"/>
      <c r="Q762" s="236"/>
      <c r="R762" s="236"/>
      <c r="S762" s="236"/>
      <c r="T762" s="236"/>
      <c r="U762" s="236"/>
      <c r="V762" s="236"/>
      <c r="W762" s="237"/>
      <c r="X762" s="237"/>
      <c r="Y762" s="237"/>
      <c r="Z762" s="237"/>
      <c r="AA762" s="237"/>
      <c r="AB762" s="237"/>
      <c r="AC762" s="237"/>
      <c r="AD762" s="237"/>
      <c r="AE762" s="237"/>
      <c r="AF762" s="237"/>
      <c r="AG762" s="237"/>
      <c r="AH762" s="237"/>
      <c r="AI762" s="98"/>
      <c r="AJ762" s="98"/>
      <c r="AK762" s="98"/>
      <c r="AL762" s="98"/>
      <c r="AM762" s="98"/>
      <c r="AN762" s="98"/>
      <c r="AO762" s="98"/>
    </row>
    <row r="763" ht="14.25" customHeight="1">
      <c r="A763" s="179"/>
      <c r="B763" s="98"/>
      <c r="C763" s="98"/>
      <c r="D763" s="98"/>
      <c r="E763" s="98"/>
      <c r="F763" s="235"/>
      <c r="G763" s="235"/>
      <c r="H763" s="236"/>
      <c r="I763" s="236"/>
      <c r="J763" s="236"/>
      <c r="K763" s="236"/>
      <c r="L763" s="236"/>
      <c r="M763" s="236"/>
      <c r="N763" s="236"/>
      <c r="O763" s="236"/>
      <c r="P763" s="236"/>
      <c r="Q763" s="236"/>
      <c r="R763" s="236"/>
      <c r="S763" s="236"/>
      <c r="T763" s="236"/>
      <c r="U763" s="236"/>
      <c r="V763" s="236"/>
      <c r="W763" s="237"/>
      <c r="X763" s="237"/>
      <c r="Y763" s="237"/>
      <c r="Z763" s="237"/>
      <c r="AA763" s="237"/>
      <c r="AB763" s="237"/>
      <c r="AC763" s="237"/>
      <c r="AD763" s="237"/>
      <c r="AE763" s="237"/>
      <c r="AF763" s="237"/>
      <c r="AG763" s="237"/>
      <c r="AH763" s="237"/>
      <c r="AI763" s="98"/>
      <c r="AJ763" s="98"/>
      <c r="AK763" s="98"/>
      <c r="AL763" s="98"/>
      <c r="AM763" s="98"/>
      <c r="AN763" s="98"/>
      <c r="AO763" s="98"/>
    </row>
    <row r="764" ht="14.25" customHeight="1">
      <c r="A764" s="179"/>
      <c r="B764" s="98"/>
      <c r="C764" s="98"/>
      <c r="D764" s="98"/>
      <c r="E764" s="98"/>
      <c r="F764" s="235"/>
      <c r="G764" s="235"/>
      <c r="H764" s="236"/>
      <c r="I764" s="236"/>
      <c r="J764" s="236"/>
      <c r="K764" s="236"/>
      <c r="L764" s="236"/>
      <c r="M764" s="236"/>
      <c r="N764" s="236"/>
      <c r="O764" s="236"/>
      <c r="P764" s="236"/>
      <c r="Q764" s="236"/>
      <c r="R764" s="236"/>
      <c r="S764" s="236"/>
      <c r="T764" s="236"/>
      <c r="U764" s="236"/>
      <c r="V764" s="236"/>
      <c r="W764" s="237"/>
      <c r="X764" s="237"/>
      <c r="Y764" s="237"/>
      <c r="Z764" s="237"/>
      <c r="AA764" s="237"/>
      <c r="AB764" s="237"/>
      <c r="AC764" s="237"/>
      <c r="AD764" s="237"/>
      <c r="AE764" s="237"/>
      <c r="AF764" s="237"/>
      <c r="AG764" s="237"/>
      <c r="AH764" s="237"/>
      <c r="AI764" s="98"/>
      <c r="AJ764" s="98"/>
      <c r="AK764" s="98"/>
      <c r="AL764" s="98"/>
      <c r="AM764" s="98"/>
      <c r="AN764" s="98"/>
      <c r="AO764" s="98"/>
    </row>
    <row r="765" ht="14.25" customHeight="1">
      <c r="A765" s="179"/>
      <c r="B765" s="98"/>
      <c r="C765" s="98"/>
      <c r="D765" s="98"/>
      <c r="E765" s="98"/>
      <c r="F765" s="235"/>
      <c r="G765" s="235"/>
      <c r="H765" s="236"/>
      <c r="I765" s="236"/>
      <c r="J765" s="236"/>
      <c r="K765" s="236"/>
      <c r="L765" s="236"/>
      <c r="M765" s="236"/>
      <c r="N765" s="236"/>
      <c r="O765" s="236"/>
      <c r="P765" s="236"/>
      <c r="Q765" s="236"/>
      <c r="R765" s="236"/>
      <c r="S765" s="236"/>
      <c r="T765" s="236"/>
      <c r="U765" s="236"/>
      <c r="V765" s="236"/>
      <c r="W765" s="237"/>
      <c r="X765" s="237"/>
      <c r="Y765" s="237"/>
      <c r="Z765" s="237"/>
      <c r="AA765" s="237"/>
      <c r="AB765" s="237"/>
      <c r="AC765" s="237"/>
      <c r="AD765" s="237"/>
      <c r="AE765" s="237"/>
      <c r="AF765" s="237"/>
      <c r="AG765" s="237"/>
      <c r="AH765" s="237"/>
      <c r="AI765" s="98"/>
      <c r="AJ765" s="98"/>
      <c r="AK765" s="98"/>
      <c r="AL765" s="98"/>
      <c r="AM765" s="98"/>
      <c r="AN765" s="98"/>
      <c r="AO765" s="98"/>
    </row>
    <row r="766" ht="14.25" customHeight="1">
      <c r="A766" s="179"/>
      <c r="B766" s="98"/>
      <c r="C766" s="98"/>
      <c r="D766" s="98"/>
      <c r="E766" s="98"/>
      <c r="F766" s="235"/>
      <c r="G766" s="235"/>
      <c r="H766" s="236"/>
      <c r="I766" s="236"/>
      <c r="J766" s="236"/>
      <c r="K766" s="236"/>
      <c r="L766" s="236"/>
      <c r="M766" s="236"/>
      <c r="N766" s="236"/>
      <c r="O766" s="236"/>
      <c r="P766" s="236"/>
      <c r="Q766" s="236"/>
      <c r="R766" s="236"/>
      <c r="S766" s="236"/>
      <c r="T766" s="236"/>
      <c r="U766" s="236"/>
      <c r="V766" s="236"/>
      <c r="W766" s="237"/>
      <c r="X766" s="237"/>
      <c r="Y766" s="237"/>
      <c r="Z766" s="237"/>
      <c r="AA766" s="237"/>
      <c r="AB766" s="237"/>
      <c r="AC766" s="237"/>
      <c r="AD766" s="237"/>
      <c r="AE766" s="237"/>
      <c r="AF766" s="237"/>
      <c r="AG766" s="237"/>
      <c r="AH766" s="237"/>
      <c r="AI766" s="98"/>
      <c r="AJ766" s="98"/>
      <c r="AK766" s="98"/>
      <c r="AL766" s="98"/>
      <c r="AM766" s="98"/>
      <c r="AN766" s="98"/>
      <c r="AO766" s="98"/>
    </row>
    <row r="767" ht="14.25" customHeight="1">
      <c r="A767" s="179"/>
      <c r="B767" s="98"/>
      <c r="C767" s="98"/>
      <c r="D767" s="98"/>
      <c r="E767" s="98"/>
      <c r="F767" s="235"/>
      <c r="G767" s="235"/>
      <c r="H767" s="236"/>
      <c r="I767" s="236"/>
      <c r="J767" s="236"/>
      <c r="K767" s="236"/>
      <c r="L767" s="236"/>
      <c r="M767" s="236"/>
      <c r="N767" s="236"/>
      <c r="O767" s="236"/>
      <c r="P767" s="236"/>
      <c r="Q767" s="236"/>
      <c r="R767" s="236"/>
      <c r="S767" s="236"/>
      <c r="T767" s="236"/>
      <c r="U767" s="236"/>
      <c r="V767" s="236"/>
      <c r="W767" s="237"/>
      <c r="X767" s="237"/>
      <c r="Y767" s="237"/>
      <c r="Z767" s="237"/>
      <c r="AA767" s="237"/>
      <c r="AB767" s="237"/>
      <c r="AC767" s="237"/>
      <c r="AD767" s="237"/>
      <c r="AE767" s="237"/>
      <c r="AF767" s="237"/>
      <c r="AG767" s="237"/>
      <c r="AH767" s="237"/>
      <c r="AI767" s="98"/>
      <c r="AJ767" s="98"/>
      <c r="AK767" s="98"/>
      <c r="AL767" s="98"/>
      <c r="AM767" s="98"/>
      <c r="AN767" s="98"/>
      <c r="AO767" s="98"/>
    </row>
    <row r="768" ht="14.25" customHeight="1">
      <c r="A768" s="179"/>
      <c r="B768" s="98"/>
      <c r="C768" s="98"/>
      <c r="D768" s="98"/>
      <c r="E768" s="98"/>
      <c r="F768" s="235"/>
      <c r="G768" s="235"/>
      <c r="H768" s="236"/>
      <c r="I768" s="236"/>
      <c r="J768" s="236"/>
      <c r="K768" s="236"/>
      <c r="L768" s="236"/>
      <c r="M768" s="236"/>
      <c r="N768" s="236"/>
      <c r="O768" s="236"/>
      <c r="P768" s="236"/>
      <c r="Q768" s="236"/>
      <c r="R768" s="236"/>
      <c r="S768" s="236"/>
      <c r="T768" s="236"/>
      <c r="U768" s="236"/>
      <c r="V768" s="236"/>
      <c r="W768" s="237"/>
      <c r="X768" s="237"/>
      <c r="Y768" s="237"/>
      <c r="Z768" s="237"/>
      <c r="AA768" s="237"/>
      <c r="AB768" s="237"/>
      <c r="AC768" s="237"/>
      <c r="AD768" s="237"/>
      <c r="AE768" s="237"/>
      <c r="AF768" s="237"/>
      <c r="AG768" s="237"/>
      <c r="AH768" s="237"/>
      <c r="AI768" s="98"/>
      <c r="AJ768" s="98"/>
      <c r="AK768" s="98"/>
      <c r="AL768" s="98"/>
      <c r="AM768" s="98"/>
      <c r="AN768" s="98"/>
      <c r="AO768" s="98"/>
    </row>
    <row r="769" ht="14.25" customHeight="1">
      <c r="A769" s="179"/>
      <c r="B769" s="98"/>
      <c r="C769" s="98"/>
      <c r="D769" s="98"/>
      <c r="E769" s="98"/>
      <c r="F769" s="235"/>
      <c r="G769" s="235"/>
      <c r="H769" s="236"/>
      <c r="I769" s="236"/>
      <c r="J769" s="236"/>
      <c r="K769" s="236"/>
      <c r="L769" s="236"/>
      <c r="M769" s="236"/>
      <c r="N769" s="236"/>
      <c r="O769" s="236"/>
      <c r="P769" s="236"/>
      <c r="Q769" s="236"/>
      <c r="R769" s="236"/>
      <c r="S769" s="236"/>
      <c r="T769" s="236"/>
      <c r="U769" s="236"/>
      <c r="V769" s="236"/>
      <c r="W769" s="237"/>
      <c r="X769" s="237"/>
      <c r="Y769" s="237"/>
      <c r="Z769" s="237"/>
      <c r="AA769" s="237"/>
      <c r="AB769" s="237"/>
      <c r="AC769" s="237"/>
      <c r="AD769" s="237"/>
      <c r="AE769" s="237"/>
      <c r="AF769" s="237"/>
      <c r="AG769" s="237"/>
      <c r="AH769" s="237"/>
      <c r="AI769" s="98"/>
      <c r="AJ769" s="98"/>
      <c r="AK769" s="98"/>
      <c r="AL769" s="98"/>
      <c r="AM769" s="98"/>
      <c r="AN769" s="98"/>
      <c r="AO769" s="98"/>
    </row>
    <row r="770" ht="14.25" customHeight="1">
      <c r="A770" s="179"/>
      <c r="B770" s="98"/>
      <c r="C770" s="98"/>
      <c r="D770" s="98"/>
      <c r="E770" s="98"/>
      <c r="F770" s="235"/>
      <c r="G770" s="235"/>
      <c r="H770" s="236"/>
      <c r="I770" s="236"/>
      <c r="J770" s="236"/>
      <c r="K770" s="236"/>
      <c r="L770" s="236"/>
      <c r="M770" s="236"/>
      <c r="N770" s="236"/>
      <c r="O770" s="236"/>
      <c r="P770" s="236"/>
      <c r="Q770" s="236"/>
      <c r="R770" s="236"/>
      <c r="S770" s="236"/>
      <c r="T770" s="236"/>
      <c r="U770" s="236"/>
      <c r="V770" s="236"/>
      <c r="W770" s="237"/>
      <c r="X770" s="237"/>
      <c r="Y770" s="237"/>
      <c r="Z770" s="237"/>
      <c r="AA770" s="237"/>
      <c r="AB770" s="237"/>
      <c r="AC770" s="237"/>
      <c r="AD770" s="237"/>
      <c r="AE770" s="237"/>
      <c r="AF770" s="237"/>
      <c r="AG770" s="237"/>
      <c r="AH770" s="237"/>
      <c r="AI770" s="98"/>
      <c r="AJ770" s="98"/>
      <c r="AK770" s="98"/>
      <c r="AL770" s="98"/>
      <c r="AM770" s="98"/>
      <c r="AN770" s="98"/>
      <c r="AO770" s="98"/>
    </row>
    <row r="771" ht="14.25" customHeight="1">
      <c r="A771" s="179"/>
      <c r="B771" s="98"/>
      <c r="C771" s="98"/>
      <c r="D771" s="98"/>
      <c r="E771" s="98"/>
      <c r="F771" s="235"/>
      <c r="G771" s="235"/>
      <c r="H771" s="236"/>
      <c r="I771" s="236"/>
      <c r="J771" s="236"/>
      <c r="K771" s="236"/>
      <c r="L771" s="236"/>
      <c r="M771" s="236"/>
      <c r="N771" s="236"/>
      <c r="O771" s="236"/>
      <c r="P771" s="236"/>
      <c r="Q771" s="236"/>
      <c r="R771" s="236"/>
      <c r="S771" s="236"/>
      <c r="T771" s="236"/>
      <c r="U771" s="236"/>
      <c r="V771" s="236"/>
      <c r="W771" s="237"/>
      <c r="X771" s="237"/>
      <c r="Y771" s="237"/>
      <c r="Z771" s="237"/>
      <c r="AA771" s="237"/>
      <c r="AB771" s="237"/>
      <c r="AC771" s="237"/>
      <c r="AD771" s="237"/>
      <c r="AE771" s="237"/>
      <c r="AF771" s="237"/>
      <c r="AG771" s="237"/>
      <c r="AH771" s="237"/>
      <c r="AI771" s="98"/>
      <c r="AJ771" s="98"/>
      <c r="AK771" s="98"/>
      <c r="AL771" s="98"/>
      <c r="AM771" s="98"/>
      <c r="AN771" s="98"/>
      <c r="AO771" s="98"/>
    </row>
    <row r="772" ht="14.25" customHeight="1">
      <c r="A772" s="179"/>
      <c r="B772" s="98"/>
      <c r="C772" s="98"/>
      <c r="D772" s="98"/>
      <c r="E772" s="98"/>
      <c r="F772" s="235"/>
      <c r="G772" s="235"/>
      <c r="H772" s="236"/>
      <c r="I772" s="236"/>
      <c r="J772" s="236"/>
      <c r="K772" s="236"/>
      <c r="L772" s="236"/>
      <c r="M772" s="236"/>
      <c r="N772" s="236"/>
      <c r="O772" s="236"/>
      <c r="P772" s="236"/>
      <c r="Q772" s="236"/>
      <c r="R772" s="236"/>
      <c r="S772" s="236"/>
      <c r="T772" s="236"/>
      <c r="U772" s="236"/>
      <c r="V772" s="236"/>
      <c r="W772" s="237"/>
      <c r="X772" s="237"/>
      <c r="Y772" s="237"/>
      <c r="Z772" s="237"/>
      <c r="AA772" s="237"/>
      <c r="AB772" s="237"/>
      <c r="AC772" s="237"/>
      <c r="AD772" s="237"/>
      <c r="AE772" s="237"/>
      <c r="AF772" s="237"/>
      <c r="AG772" s="237"/>
      <c r="AH772" s="237"/>
      <c r="AI772" s="98"/>
      <c r="AJ772" s="98"/>
      <c r="AK772" s="98"/>
      <c r="AL772" s="98"/>
      <c r="AM772" s="98"/>
      <c r="AN772" s="98"/>
      <c r="AO772" s="98"/>
    </row>
    <row r="773" ht="14.25" customHeight="1">
      <c r="A773" s="179"/>
      <c r="B773" s="98"/>
      <c r="C773" s="98"/>
      <c r="D773" s="98"/>
      <c r="E773" s="98"/>
      <c r="F773" s="235"/>
      <c r="G773" s="235"/>
      <c r="H773" s="236"/>
      <c r="I773" s="236"/>
      <c r="J773" s="236"/>
      <c r="K773" s="236"/>
      <c r="L773" s="236"/>
      <c r="M773" s="236"/>
      <c r="N773" s="236"/>
      <c r="O773" s="236"/>
      <c r="P773" s="236"/>
      <c r="Q773" s="236"/>
      <c r="R773" s="236"/>
      <c r="S773" s="236"/>
      <c r="T773" s="236"/>
      <c r="U773" s="236"/>
      <c r="V773" s="236"/>
      <c r="W773" s="237"/>
      <c r="X773" s="237"/>
      <c r="Y773" s="237"/>
      <c r="Z773" s="237"/>
      <c r="AA773" s="237"/>
      <c r="AB773" s="237"/>
      <c r="AC773" s="237"/>
      <c r="AD773" s="237"/>
      <c r="AE773" s="237"/>
      <c r="AF773" s="237"/>
      <c r="AG773" s="237"/>
      <c r="AH773" s="237"/>
      <c r="AI773" s="98"/>
      <c r="AJ773" s="98"/>
      <c r="AK773" s="98"/>
      <c r="AL773" s="98"/>
      <c r="AM773" s="98"/>
      <c r="AN773" s="98"/>
      <c r="AO773" s="98"/>
    </row>
    <row r="774" ht="14.25" customHeight="1">
      <c r="A774" s="179"/>
      <c r="B774" s="98"/>
      <c r="C774" s="98"/>
      <c r="D774" s="98"/>
      <c r="E774" s="98"/>
      <c r="F774" s="235"/>
      <c r="G774" s="235"/>
      <c r="H774" s="236"/>
      <c r="I774" s="236"/>
      <c r="J774" s="236"/>
      <c r="K774" s="236"/>
      <c r="L774" s="236"/>
      <c r="M774" s="236"/>
      <c r="N774" s="236"/>
      <c r="O774" s="236"/>
      <c r="P774" s="236"/>
      <c r="Q774" s="236"/>
      <c r="R774" s="236"/>
      <c r="S774" s="236"/>
      <c r="T774" s="236"/>
      <c r="U774" s="236"/>
      <c r="V774" s="236"/>
      <c r="W774" s="237"/>
      <c r="X774" s="237"/>
      <c r="Y774" s="237"/>
      <c r="Z774" s="237"/>
      <c r="AA774" s="237"/>
      <c r="AB774" s="237"/>
      <c r="AC774" s="237"/>
      <c r="AD774" s="237"/>
      <c r="AE774" s="237"/>
      <c r="AF774" s="237"/>
      <c r="AG774" s="237"/>
      <c r="AH774" s="237"/>
      <c r="AI774" s="98"/>
      <c r="AJ774" s="98"/>
      <c r="AK774" s="98"/>
      <c r="AL774" s="98"/>
      <c r="AM774" s="98"/>
      <c r="AN774" s="98"/>
      <c r="AO774" s="98"/>
    </row>
    <row r="775" ht="14.25" customHeight="1">
      <c r="A775" s="179"/>
      <c r="B775" s="98"/>
      <c r="C775" s="98"/>
      <c r="D775" s="98"/>
      <c r="E775" s="98"/>
      <c r="F775" s="235"/>
      <c r="G775" s="235"/>
      <c r="H775" s="236"/>
      <c r="I775" s="236"/>
      <c r="J775" s="236"/>
      <c r="K775" s="236"/>
      <c r="L775" s="236"/>
      <c r="M775" s="236"/>
      <c r="N775" s="236"/>
      <c r="O775" s="236"/>
      <c r="P775" s="236"/>
      <c r="Q775" s="236"/>
      <c r="R775" s="236"/>
      <c r="S775" s="236"/>
      <c r="T775" s="236"/>
      <c r="U775" s="236"/>
      <c r="V775" s="236"/>
      <c r="W775" s="237"/>
      <c r="X775" s="237"/>
      <c r="Y775" s="237"/>
      <c r="Z775" s="237"/>
      <c r="AA775" s="237"/>
      <c r="AB775" s="237"/>
      <c r="AC775" s="237"/>
      <c r="AD775" s="237"/>
      <c r="AE775" s="237"/>
      <c r="AF775" s="237"/>
      <c r="AG775" s="237"/>
      <c r="AH775" s="237"/>
      <c r="AI775" s="98"/>
      <c r="AJ775" s="98"/>
      <c r="AK775" s="98"/>
      <c r="AL775" s="98"/>
      <c r="AM775" s="98"/>
      <c r="AN775" s="98"/>
      <c r="AO775" s="98"/>
    </row>
    <row r="776" ht="14.25" customHeight="1">
      <c r="A776" s="179"/>
      <c r="B776" s="98"/>
      <c r="C776" s="98"/>
      <c r="D776" s="98"/>
      <c r="E776" s="98"/>
      <c r="F776" s="235"/>
      <c r="G776" s="235"/>
      <c r="H776" s="236"/>
      <c r="I776" s="236"/>
      <c r="J776" s="236"/>
      <c r="K776" s="236"/>
      <c r="L776" s="236"/>
      <c r="M776" s="236"/>
      <c r="N776" s="236"/>
      <c r="O776" s="236"/>
      <c r="P776" s="236"/>
      <c r="Q776" s="236"/>
      <c r="R776" s="236"/>
      <c r="S776" s="236"/>
      <c r="T776" s="236"/>
      <c r="U776" s="236"/>
      <c r="V776" s="236"/>
      <c r="W776" s="237"/>
      <c r="X776" s="237"/>
      <c r="Y776" s="237"/>
      <c r="Z776" s="237"/>
      <c r="AA776" s="237"/>
      <c r="AB776" s="237"/>
      <c r="AC776" s="237"/>
      <c r="AD776" s="237"/>
      <c r="AE776" s="237"/>
      <c r="AF776" s="237"/>
      <c r="AG776" s="237"/>
      <c r="AH776" s="237"/>
      <c r="AI776" s="98"/>
      <c r="AJ776" s="98"/>
      <c r="AK776" s="98"/>
      <c r="AL776" s="98"/>
      <c r="AM776" s="98"/>
      <c r="AN776" s="98"/>
      <c r="AO776" s="98"/>
    </row>
    <row r="777" ht="14.25" customHeight="1">
      <c r="A777" s="179"/>
      <c r="B777" s="98"/>
      <c r="C777" s="98"/>
      <c r="D777" s="98"/>
      <c r="E777" s="98"/>
      <c r="F777" s="235"/>
      <c r="G777" s="235"/>
      <c r="H777" s="236"/>
      <c r="I777" s="236"/>
      <c r="J777" s="236"/>
      <c r="K777" s="236"/>
      <c r="L777" s="236"/>
      <c r="M777" s="236"/>
      <c r="N777" s="236"/>
      <c r="O777" s="236"/>
      <c r="P777" s="236"/>
      <c r="Q777" s="236"/>
      <c r="R777" s="236"/>
      <c r="S777" s="236"/>
      <c r="T777" s="236"/>
      <c r="U777" s="236"/>
      <c r="V777" s="236"/>
      <c r="W777" s="237"/>
      <c r="X777" s="237"/>
      <c r="Y777" s="237"/>
      <c r="Z777" s="237"/>
      <c r="AA777" s="237"/>
      <c r="AB777" s="237"/>
      <c r="AC777" s="237"/>
      <c r="AD777" s="237"/>
      <c r="AE777" s="237"/>
      <c r="AF777" s="237"/>
      <c r="AG777" s="237"/>
      <c r="AH777" s="237"/>
      <c r="AI777" s="98"/>
      <c r="AJ777" s="98"/>
      <c r="AK777" s="98"/>
      <c r="AL777" s="98"/>
      <c r="AM777" s="98"/>
      <c r="AN777" s="98"/>
      <c r="AO777" s="98"/>
    </row>
    <row r="778" ht="14.25" customHeight="1">
      <c r="A778" s="179"/>
      <c r="B778" s="98"/>
      <c r="C778" s="98"/>
      <c r="D778" s="98"/>
      <c r="E778" s="98"/>
      <c r="F778" s="235"/>
      <c r="G778" s="235"/>
      <c r="H778" s="236"/>
      <c r="I778" s="236"/>
      <c r="J778" s="236"/>
      <c r="K778" s="236"/>
      <c r="L778" s="236"/>
      <c r="M778" s="236"/>
      <c r="N778" s="236"/>
      <c r="O778" s="236"/>
      <c r="P778" s="236"/>
      <c r="Q778" s="236"/>
      <c r="R778" s="236"/>
      <c r="S778" s="236"/>
      <c r="T778" s="236"/>
      <c r="U778" s="236"/>
      <c r="V778" s="236"/>
      <c r="W778" s="237"/>
      <c r="X778" s="237"/>
      <c r="Y778" s="237"/>
      <c r="Z778" s="237"/>
      <c r="AA778" s="237"/>
      <c r="AB778" s="237"/>
      <c r="AC778" s="237"/>
      <c r="AD778" s="237"/>
      <c r="AE778" s="237"/>
      <c r="AF778" s="237"/>
      <c r="AG778" s="237"/>
      <c r="AH778" s="237"/>
      <c r="AI778" s="98"/>
      <c r="AJ778" s="98"/>
      <c r="AK778" s="98"/>
      <c r="AL778" s="98"/>
      <c r="AM778" s="98"/>
      <c r="AN778" s="98"/>
      <c r="AO778" s="98"/>
    </row>
    <row r="779" ht="14.25" customHeight="1">
      <c r="A779" s="179"/>
      <c r="B779" s="98"/>
      <c r="C779" s="98"/>
      <c r="D779" s="98"/>
      <c r="E779" s="98"/>
      <c r="F779" s="235"/>
      <c r="G779" s="235"/>
      <c r="H779" s="236"/>
      <c r="I779" s="236"/>
      <c r="J779" s="236"/>
      <c r="K779" s="236"/>
      <c r="L779" s="236"/>
      <c r="M779" s="236"/>
      <c r="N779" s="236"/>
      <c r="O779" s="236"/>
      <c r="P779" s="236"/>
      <c r="Q779" s="236"/>
      <c r="R779" s="236"/>
      <c r="S779" s="236"/>
      <c r="T779" s="236"/>
      <c r="U779" s="236"/>
      <c r="V779" s="236"/>
      <c r="W779" s="237"/>
      <c r="X779" s="237"/>
      <c r="Y779" s="237"/>
      <c r="Z779" s="237"/>
      <c r="AA779" s="237"/>
      <c r="AB779" s="237"/>
      <c r="AC779" s="237"/>
      <c r="AD779" s="237"/>
      <c r="AE779" s="237"/>
      <c r="AF779" s="237"/>
      <c r="AG779" s="237"/>
      <c r="AH779" s="237"/>
      <c r="AI779" s="98"/>
      <c r="AJ779" s="98"/>
      <c r="AK779" s="98"/>
      <c r="AL779" s="98"/>
      <c r="AM779" s="98"/>
      <c r="AN779" s="98"/>
      <c r="AO779" s="98"/>
    </row>
    <row r="780" ht="14.25" customHeight="1">
      <c r="A780" s="179"/>
      <c r="B780" s="98"/>
      <c r="C780" s="98"/>
      <c r="D780" s="98"/>
      <c r="E780" s="98"/>
      <c r="F780" s="235"/>
      <c r="G780" s="235"/>
      <c r="H780" s="236"/>
      <c r="I780" s="236"/>
      <c r="J780" s="236"/>
      <c r="K780" s="236"/>
      <c r="L780" s="236"/>
      <c r="M780" s="236"/>
      <c r="N780" s="236"/>
      <c r="O780" s="236"/>
      <c r="P780" s="236"/>
      <c r="Q780" s="236"/>
      <c r="R780" s="236"/>
      <c r="S780" s="236"/>
      <c r="T780" s="236"/>
      <c r="U780" s="236"/>
      <c r="V780" s="236"/>
      <c r="W780" s="237"/>
      <c r="X780" s="237"/>
      <c r="Y780" s="237"/>
      <c r="Z780" s="237"/>
      <c r="AA780" s="237"/>
      <c r="AB780" s="237"/>
      <c r="AC780" s="237"/>
      <c r="AD780" s="237"/>
      <c r="AE780" s="237"/>
      <c r="AF780" s="237"/>
      <c r="AG780" s="237"/>
      <c r="AH780" s="237"/>
      <c r="AI780" s="98"/>
      <c r="AJ780" s="98"/>
      <c r="AK780" s="98"/>
      <c r="AL780" s="98"/>
      <c r="AM780" s="98"/>
      <c r="AN780" s="98"/>
      <c r="AO780" s="98"/>
    </row>
    <row r="781" ht="14.25" customHeight="1">
      <c r="A781" s="179"/>
      <c r="B781" s="98"/>
      <c r="C781" s="98"/>
      <c r="D781" s="98"/>
      <c r="E781" s="98"/>
      <c r="F781" s="235"/>
      <c r="G781" s="235"/>
      <c r="H781" s="236"/>
      <c r="I781" s="236"/>
      <c r="J781" s="236"/>
      <c r="K781" s="236"/>
      <c r="L781" s="236"/>
      <c r="M781" s="236"/>
      <c r="N781" s="236"/>
      <c r="O781" s="236"/>
      <c r="P781" s="236"/>
      <c r="Q781" s="236"/>
      <c r="R781" s="236"/>
      <c r="S781" s="236"/>
      <c r="T781" s="236"/>
      <c r="U781" s="236"/>
      <c r="V781" s="236"/>
      <c r="W781" s="237"/>
      <c r="X781" s="237"/>
      <c r="Y781" s="237"/>
      <c r="Z781" s="237"/>
      <c r="AA781" s="237"/>
      <c r="AB781" s="237"/>
      <c r="AC781" s="237"/>
      <c r="AD781" s="237"/>
      <c r="AE781" s="237"/>
      <c r="AF781" s="237"/>
      <c r="AG781" s="237"/>
      <c r="AH781" s="237"/>
      <c r="AI781" s="98"/>
      <c r="AJ781" s="98"/>
      <c r="AK781" s="98"/>
      <c r="AL781" s="98"/>
      <c r="AM781" s="98"/>
      <c r="AN781" s="98"/>
      <c r="AO781" s="98"/>
    </row>
    <row r="782" ht="14.25" customHeight="1">
      <c r="A782" s="179"/>
      <c r="B782" s="98"/>
      <c r="C782" s="98"/>
      <c r="D782" s="98"/>
      <c r="E782" s="98"/>
      <c r="F782" s="235"/>
      <c r="G782" s="235"/>
      <c r="H782" s="236"/>
      <c r="I782" s="236"/>
      <c r="J782" s="236"/>
      <c r="K782" s="236"/>
      <c r="L782" s="236"/>
      <c r="M782" s="236"/>
      <c r="N782" s="236"/>
      <c r="O782" s="236"/>
      <c r="P782" s="236"/>
      <c r="Q782" s="236"/>
      <c r="R782" s="236"/>
      <c r="S782" s="236"/>
      <c r="T782" s="236"/>
      <c r="U782" s="236"/>
      <c r="V782" s="236"/>
      <c r="W782" s="237"/>
      <c r="X782" s="237"/>
      <c r="Y782" s="237"/>
      <c r="Z782" s="237"/>
      <c r="AA782" s="237"/>
      <c r="AB782" s="237"/>
      <c r="AC782" s="237"/>
      <c r="AD782" s="237"/>
      <c r="AE782" s="237"/>
      <c r="AF782" s="237"/>
      <c r="AG782" s="237"/>
      <c r="AH782" s="237"/>
      <c r="AI782" s="98"/>
      <c r="AJ782" s="98"/>
      <c r="AK782" s="98"/>
      <c r="AL782" s="98"/>
      <c r="AM782" s="98"/>
      <c r="AN782" s="98"/>
      <c r="AO782" s="98"/>
    </row>
    <row r="783" ht="14.25" customHeight="1">
      <c r="A783" s="179"/>
      <c r="B783" s="98"/>
      <c r="C783" s="98"/>
      <c r="D783" s="98"/>
      <c r="E783" s="98"/>
      <c r="F783" s="235"/>
      <c r="G783" s="235"/>
      <c r="H783" s="236"/>
      <c r="I783" s="236"/>
      <c r="J783" s="236"/>
      <c r="K783" s="236"/>
      <c r="L783" s="236"/>
      <c r="M783" s="236"/>
      <c r="N783" s="236"/>
      <c r="O783" s="236"/>
      <c r="P783" s="236"/>
      <c r="Q783" s="236"/>
      <c r="R783" s="236"/>
      <c r="S783" s="236"/>
      <c r="T783" s="236"/>
      <c r="U783" s="236"/>
      <c r="V783" s="236"/>
      <c r="W783" s="237"/>
      <c r="X783" s="237"/>
      <c r="Y783" s="237"/>
      <c r="Z783" s="237"/>
      <c r="AA783" s="237"/>
      <c r="AB783" s="237"/>
      <c r="AC783" s="237"/>
      <c r="AD783" s="237"/>
      <c r="AE783" s="237"/>
      <c r="AF783" s="237"/>
      <c r="AG783" s="237"/>
      <c r="AH783" s="237"/>
      <c r="AI783" s="98"/>
      <c r="AJ783" s="98"/>
      <c r="AK783" s="98"/>
      <c r="AL783" s="98"/>
      <c r="AM783" s="98"/>
      <c r="AN783" s="98"/>
      <c r="AO783" s="98"/>
    </row>
    <row r="784" ht="14.25" customHeight="1">
      <c r="A784" s="179"/>
      <c r="B784" s="98"/>
      <c r="C784" s="98"/>
      <c r="D784" s="98"/>
      <c r="E784" s="98"/>
      <c r="F784" s="235"/>
      <c r="G784" s="235"/>
      <c r="H784" s="236"/>
      <c r="I784" s="236"/>
      <c r="J784" s="236"/>
      <c r="K784" s="236"/>
      <c r="L784" s="236"/>
      <c r="M784" s="236"/>
      <c r="N784" s="236"/>
      <c r="O784" s="236"/>
      <c r="P784" s="236"/>
      <c r="Q784" s="236"/>
      <c r="R784" s="236"/>
      <c r="S784" s="236"/>
      <c r="T784" s="236"/>
      <c r="U784" s="236"/>
      <c r="V784" s="236"/>
      <c r="W784" s="237"/>
      <c r="X784" s="237"/>
      <c r="Y784" s="237"/>
      <c r="Z784" s="237"/>
      <c r="AA784" s="237"/>
      <c r="AB784" s="237"/>
      <c r="AC784" s="237"/>
      <c r="AD784" s="237"/>
      <c r="AE784" s="237"/>
      <c r="AF784" s="237"/>
      <c r="AG784" s="237"/>
      <c r="AH784" s="237"/>
      <c r="AI784" s="98"/>
      <c r="AJ784" s="98"/>
      <c r="AK784" s="98"/>
      <c r="AL784" s="98"/>
      <c r="AM784" s="98"/>
      <c r="AN784" s="98"/>
      <c r="AO784" s="98"/>
    </row>
    <row r="785" ht="14.25" customHeight="1">
      <c r="A785" s="179"/>
      <c r="B785" s="98"/>
      <c r="C785" s="98"/>
      <c r="D785" s="98"/>
      <c r="E785" s="98"/>
      <c r="F785" s="235"/>
      <c r="G785" s="235"/>
      <c r="H785" s="236"/>
      <c r="I785" s="236"/>
      <c r="J785" s="236"/>
      <c r="K785" s="236"/>
      <c r="L785" s="236"/>
      <c r="M785" s="236"/>
      <c r="N785" s="236"/>
      <c r="O785" s="236"/>
      <c r="P785" s="236"/>
      <c r="Q785" s="236"/>
      <c r="R785" s="236"/>
      <c r="S785" s="236"/>
      <c r="T785" s="236"/>
      <c r="U785" s="236"/>
      <c r="V785" s="236"/>
      <c r="W785" s="237"/>
      <c r="X785" s="237"/>
      <c r="Y785" s="237"/>
      <c r="Z785" s="237"/>
      <c r="AA785" s="237"/>
      <c r="AB785" s="237"/>
      <c r="AC785" s="237"/>
      <c r="AD785" s="237"/>
      <c r="AE785" s="237"/>
      <c r="AF785" s="237"/>
      <c r="AG785" s="237"/>
      <c r="AH785" s="237"/>
      <c r="AI785" s="98"/>
      <c r="AJ785" s="98"/>
      <c r="AK785" s="98"/>
      <c r="AL785" s="98"/>
      <c r="AM785" s="98"/>
      <c r="AN785" s="98"/>
      <c r="AO785" s="98"/>
    </row>
    <row r="786" ht="14.25" customHeight="1">
      <c r="A786" s="179"/>
      <c r="B786" s="98"/>
      <c r="C786" s="98"/>
      <c r="D786" s="98"/>
      <c r="E786" s="98"/>
      <c r="F786" s="235"/>
      <c r="G786" s="235"/>
      <c r="H786" s="236"/>
      <c r="I786" s="236"/>
      <c r="J786" s="236"/>
      <c r="K786" s="236"/>
      <c r="L786" s="236"/>
      <c r="M786" s="236"/>
      <c r="N786" s="236"/>
      <c r="O786" s="236"/>
      <c r="P786" s="236"/>
      <c r="Q786" s="236"/>
      <c r="R786" s="236"/>
      <c r="S786" s="236"/>
      <c r="T786" s="236"/>
      <c r="U786" s="236"/>
      <c r="V786" s="236"/>
      <c r="W786" s="237"/>
      <c r="X786" s="237"/>
      <c r="Y786" s="237"/>
      <c r="Z786" s="237"/>
      <c r="AA786" s="237"/>
      <c r="AB786" s="237"/>
      <c r="AC786" s="237"/>
      <c r="AD786" s="237"/>
      <c r="AE786" s="237"/>
      <c r="AF786" s="237"/>
      <c r="AG786" s="237"/>
      <c r="AH786" s="237"/>
      <c r="AI786" s="98"/>
      <c r="AJ786" s="98"/>
      <c r="AK786" s="98"/>
      <c r="AL786" s="98"/>
      <c r="AM786" s="98"/>
      <c r="AN786" s="98"/>
      <c r="AO786" s="98"/>
    </row>
    <row r="787" ht="14.25" customHeight="1">
      <c r="A787" s="179"/>
      <c r="B787" s="98"/>
      <c r="C787" s="98"/>
      <c r="D787" s="98"/>
      <c r="E787" s="98"/>
      <c r="F787" s="235"/>
      <c r="G787" s="235"/>
      <c r="H787" s="236"/>
      <c r="I787" s="236"/>
      <c r="J787" s="236"/>
      <c r="K787" s="236"/>
      <c r="L787" s="236"/>
      <c r="M787" s="236"/>
      <c r="N787" s="236"/>
      <c r="O787" s="236"/>
      <c r="P787" s="236"/>
      <c r="Q787" s="236"/>
      <c r="R787" s="236"/>
      <c r="S787" s="236"/>
      <c r="T787" s="236"/>
      <c r="U787" s="236"/>
      <c r="V787" s="236"/>
      <c r="W787" s="237"/>
      <c r="X787" s="237"/>
      <c r="Y787" s="237"/>
      <c r="Z787" s="237"/>
      <c r="AA787" s="237"/>
      <c r="AB787" s="237"/>
      <c r="AC787" s="237"/>
      <c r="AD787" s="237"/>
      <c r="AE787" s="237"/>
      <c r="AF787" s="237"/>
      <c r="AG787" s="237"/>
      <c r="AH787" s="237"/>
      <c r="AI787" s="98"/>
      <c r="AJ787" s="98"/>
      <c r="AK787" s="98"/>
      <c r="AL787" s="98"/>
      <c r="AM787" s="98"/>
      <c r="AN787" s="98"/>
      <c r="AO787" s="98"/>
    </row>
    <row r="788" ht="14.25" customHeight="1">
      <c r="A788" s="179"/>
      <c r="B788" s="98"/>
      <c r="C788" s="98"/>
      <c r="D788" s="98"/>
      <c r="E788" s="98"/>
      <c r="F788" s="235"/>
      <c r="G788" s="235"/>
      <c r="H788" s="236"/>
      <c r="I788" s="236"/>
      <c r="J788" s="236"/>
      <c r="K788" s="236"/>
      <c r="L788" s="236"/>
      <c r="M788" s="236"/>
      <c r="N788" s="236"/>
      <c r="O788" s="236"/>
      <c r="P788" s="236"/>
      <c r="Q788" s="236"/>
      <c r="R788" s="236"/>
      <c r="S788" s="236"/>
      <c r="T788" s="236"/>
      <c r="U788" s="236"/>
      <c r="V788" s="236"/>
      <c r="W788" s="237"/>
      <c r="X788" s="237"/>
      <c r="Y788" s="237"/>
      <c r="Z788" s="237"/>
      <c r="AA788" s="237"/>
      <c r="AB788" s="237"/>
      <c r="AC788" s="237"/>
      <c r="AD788" s="237"/>
      <c r="AE788" s="237"/>
      <c r="AF788" s="237"/>
      <c r="AG788" s="237"/>
      <c r="AH788" s="237"/>
      <c r="AI788" s="98"/>
      <c r="AJ788" s="98"/>
      <c r="AK788" s="98"/>
      <c r="AL788" s="98"/>
      <c r="AM788" s="98"/>
      <c r="AN788" s="98"/>
      <c r="AO788" s="98"/>
    </row>
    <row r="789" ht="14.25" customHeight="1">
      <c r="A789" s="179"/>
      <c r="B789" s="98"/>
      <c r="C789" s="98"/>
      <c r="D789" s="98"/>
      <c r="E789" s="98"/>
      <c r="F789" s="235"/>
      <c r="G789" s="235"/>
      <c r="H789" s="236"/>
      <c r="I789" s="236"/>
      <c r="J789" s="236"/>
      <c r="K789" s="236"/>
      <c r="L789" s="236"/>
      <c r="M789" s="236"/>
      <c r="N789" s="236"/>
      <c r="O789" s="236"/>
      <c r="P789" s="236"/>
      <c r="Q789" s="236"/>
      <c r="R789" s="236"/>
      <c r="S789" s="236"/>
      <c r="T789" s="236"/>
      <c r="U789" s="236"/>
      <c r="V789" s="236"/>
      <c r="W789" s="237"/>
      <c r="X789" s="237"/>
      <c r="Y789" s="237"/>
      <c r="Z789" s="237"/>
      <c r="AA789" s="237"/>
      <c r="AB789" s="237"/>
      <c r="AC789" s="237"/>
      <c r="AD789" s="237"/>
      <c r="AE789" s="237"/>
      <c r="AF789" s="237"/>
      <c r="AG789" s="237"/>
      <c r="AH789" s="237"/>
      <c r="AI789" s="98"/>
      <c r="AJ789" s="98"/>
      <c r="AK789" s="98"/>
      <c r="AL789" s="98"/>
      <c r="AM789" s="98"/>
      <c r="AN789" s="98"/>
      <c r="AO789" s="98"/>
    </row>
    <row r="790" ht="14.25" customHeight="1">
      <c r="A790" s="179"/>
      <c r="B790" s="98"/>
      <c r="C790" s="98"/>
      <c r="D790" s="98"/>
      <c r="E790" s="98"/>
      <c r="F790" s="235"/>
      <c r="G790" s="235"/>
      <c r="H790" s="236"/>
      <c r="I790" s="236"/>
      <c r="J790" s="236"/>
      <c r="K790" s="236"/>
      <c r="L790" s="236"/>
      <c r="M790" s="236"/>
      <c r="N790" s="236"/>
      <c r="O790" s="236"/>
      <c r="P790" s="236"/>
      <c r="Q790" s="236"/>
      <c r="R790" s="236"/>
      <c r="S790" s="236"/>
      <c r="T790" s="236"/>
      <c r="U790" s="236"/>
      <c r="V790" s="236"/>
      <c r="W790" s="237"/>
      <c r="X790" s="237"/>
      <c r="Y790" s="237"/>
      <c r="Z790" s="237"/>
      <c r="AA790" s="237"/>
      <c r="AB790" s="237"/>
      <c r="AC790" s="237"/>
      <c r="AD790" s="237"/>
      <c r="AE790" s="237"/>
      <c r="AF790" s="237"/>
      <c r="AG790" s="237"/>
      <c r="AH790" s="237"/>
      <c r="AI790" s="98"/>
      <c r="AJ790" s="98"/>
      <c r="AK790" s="98"/>
      <c r="AL790" s="98"/>
      <c r="AM790" s="98"/>
      <c r="AN790" s="98"/>
      <c r="AO790" s="98"/>
    </row>
    <row r="791" ht="14.25" customHeight="1">
      <c r="A791" s="179"/>
      <c r="B791" s="98"/>
      <c r="C791" s="98"/>
      <c r="D791" s="98"/>
      <c r="E791" s="98"/>
      <c r="F791" s="235"/>
      <c r="G791" s="235"/>
      <c r="H791" s="236"/>
      <c r="I791" s="236"/>
      <c r="J791" s="236"/>
      <c r="K791" s="236"/>
      <c r="L791" s="236"/>
      <c r="M791" s="236"/>
      <c r="N791" s="236"/>
      <c r="O791" s="236"/>
      <c r="P791" s="236"/>
      <c r="Q791" s="236"/>
      <c r="R791" s="236"/>
      <c r="S791" s="236"/>
      <c r="T791" s="236"/>
      <c r="U791" s="236"/>
      <c r="V791" s="236"/>
      <c r="W791" s="237"/>
      <c r="X791" s="237"/>
      <c r="Y791" s="237"/>
      <c r="Z791" s="237"/>
      <c r="AA791" s="237"/>
      <c r="AB791" s="237"/>
      <c r="AC791" s="237"/>
      <c r="AD791" s="237"/>
      <c r="AE791" s="237"/>
      <c r="AF791" s="237"/>
      <c r="AG791" s="237"/>
      <c r="AH791" s="237"/>
      <c r="AI791" s="98"/>
      <c r="AJ791" s="98"/>
      <c r="AK791" s="98"/>
      <c r="AL791" s="98"/>
      <c r="AM791" s="98"/>
      <c r="AN791" s="98"/>
      <c r="AO791" s="98"/>
    </row>
    <row r="792" ht="14.25" customHeight="1">
      <c r="A792" s="179"/>
      <c r="B792" s="98"/>
      <c r="C792" s="98"/>
      <c r="D792" s="98"/>
      <c r="E792" s="98"/>
      <c r="F792" s="235"/>
      <c r="G792" s="235"/>
      <c r="H792" s="236"/>
      <c r="I792" s="236"/>
      <c r="J792" s="236"/>
      <c r="K792" s="236"/>
      <c r="L792" s="236"/>
      <c r="M792" s="236"/>
      <c r="N792" s="236"/>
      <c r="O792" s="236"/>
      <c r="P792" s="236"/>
      <c r="Q792" s="236"/>
      <c r="R792" s="236"/>
      <c r="S792" s="236"/>
      <c r="T792" s="236"/>
      <c r="U792" s="236"/>
      <c r="V792" s="236"/>
      <c r="W792" s="237"/>
      <c r="X792" s="237"/>
      <c r="Y792" s="237"/>
      <c r="Z792" s="237"/>
      <c r="AA792" s="237"/>
      <c r="AB792" s="237"/>
      <c r="AC792" s="237"/>
      <c r="AD792" s="237"/>
      <c r="AE792" s="237"/>
      <c r="AF792" s="237"/>
      <c r="AG792" s="237"/>
      <c r="AH792" s="237"/>
      <c r="AI792" s="98"/>
      <c r="AJ792" s="98"/>
      <c r="AK792" s="98"/>
      <c r="AL792" s="98"/>
      <c r="AM792" s="98"/>
      <c r="AN792" s="98"/>
      <c r="AO792" s="98"/>
    </row>
    <row r="793" ht="14.25" customHeight="1">
      <c r="A793" s="179"/>
      <c r="B793" s="98"/>
      <c r="C793" s="98"/>
      <c r="D793" s="98"/>
      <c r="E793" s="98"/>
      <c r="F793" s="235"/>
      <c r="G793" s="235"/>
      <c r="H793" s="236"/>
      <c r="I793" s="236"/>
      <c r="J793" s="236"/>
      <c r="K793" s="236"/>
      <c r="L793" s="236"/>
      <c r="M793" s="236"/>
      <c r="N793" s="236"/>
      <c r="O793" s="236"/>
      <c r="P793" s="236"/>
      <c r="Q793" s="236"/>
      <c r="R793" s="236"/>
      <c r="S793" s="236"/>
      <c r="T793" s="236"/>
      <c r="U793" s="236"/>
      <c r="V793" s="236"/>
      <c r="W793" s="237"/>
      <c r="X793" s="237"/>
      <c r="Y793" s="237"/>
      <c r="Z793" s="237"/>
      <c r="AA793" s="237"/>
      <c r="AB793" s="237"/>
      <c r="AC793" s="237"/>
      <c r="AD793" s="237"/>
      <c r="AE793" s="237"/>
      <c r="AF793" s="237"/>
      <c r="AG793" s="237"/>
      <c r="AH793" s="237"/>
      <c r="AI793" s="98"/>
      <c r="AJ793" s="98"/>
      <c r="AK793" s="98"/>
      <c r="AL793" s="98"/>
      <c r="AM793" s="98"/>
      <c r="AN793" s="98"/>
      <c r="AO793" s="98"/>
    </row>
    <row r="794" ht="14.25" customHeight="1">
      <c r="A794" s="179"/>
      <c r="B794" s="98"/>
      <c r="C794" s="98"/>
      <c r="D794" s="98"/>
      <c r="E794" s="98"/>
      <c r="F794" s="235"/>
      <c r="G794" s="235"/>
      <c r="H794" s="236"/>
      <c r="I794" s="236"/>
      <c r="J794" s="236"/>
      <c r="K794" s="236"/>
      <c r="L794" s="236"/>
      <c r="M794" s="236"/>
      <c r="N794" s="236"/>
      <c r="O794" s="236"/>
      <c r="P794" s="236"/>
      <c r="Q794" s="236"/>
      <c r="R794" s="236"/>
      <c r="S794" s="236"/>
      <c r="T794" s="236"/>
      <c r="U794" s="236"/>
      <c r="V794" s="236"/>
      <c r="W794" s="237"/>
      <c r="X794" s="237"/>
      <c r="Y794" s="237"/>
      <c r="Z794" s="237"/>
      <c r="AA794" s="237"/>
      <c r="AB794" s="237"/>
      <c r="AC794" s="237"/>
      <c r="AD794" s="237"/>
      <c r="AE794" s="237"/>
      <c r="AF794" s="237"/>
      <c r="AG794" s="237"/>
      <c r="AH794" s="237"/>
      <c r="AI794" s="98"/>
      <c r="AJ794" s="98"/>
      <c r="AK794" s="98"/>
      <c r="AL794" s="98"/>
      <c r="AM794" s="98"/>
      <c r="AN794" s="98"/>
      <c r="AO794" s="98"/>
    </row>
    <row r="795" ht="14.25" customHeight="1">
      <c r="A795" s="179"/>
      <c r="B795" s="98"/>
      <c r="C795" s="98"/>
      <c r="D795" s="98"/>
      <c r="E795" s="98"/>
      <c r="F795" s="235"/>
      <c r="G795" s="235"/>
      <c r="H795" s="236"/>
      <c r="I795" s="236"/>
      <c r="J795" s="236"/>
      <c r="K795" s="236"/>
      <c r="L795" s="236"/>
      <c r="M795" s="236"/>
      <c r="N795" s="236"/>
      <c r="O795" s="236"/>
      <c r="P795" s="236"/>
      <c r="Q795" s="236"/>
      <c r="R795" s="236"/>
      <c r="S795" s="236"/>
      <c r="T795" s="236"/>
      <c r="U795" s="236"/>
      <c r="V795" s="236"/>
      <c r="W795" s="237"/>
      <c r="X795" s="237"/>
      <c r="Y795" s="237"/>
      <c r="Z795" s="237"/>
      <c r="AA795" s="237"/>
      <c r="AB795" s="237"/>
      <c r="AC795" s="237"/>
      <c r="AD795" s="237"/>
      <c r="AE795" s="237"/>
      <c r="AF795" s="237"/>
      <c r="AG795" s="237"/>
      <c r="AH795" s="237"/>
      <c r="AI795" s="98"/>
      <c r="AJ795" s="98"/>
      <c r="AK795" s="98"/>
      <c r="AL795" s="98"/>
      <c r="AM795" s="98"/>
      <c r="AN795" s="98"/>
      <c r="AO795" s="98"/>
    </row>
    <row r="796" ht="14.25" customHeight="1">
      <c r="A796" s="179"/>
      <c r="B796" s="98"/>
      <c r="C796" s="98"/>
      <c r="D796" s="98"/>
      <c r="E796" s="98"/>
      <c r="F796" s="235"/>
      <c r="G796" s="235"/>
      <c r="H796" s="236"/>
      <c r="I796" s="236"/>
      <c r="J796" s="236"/>
      <c r="K796" s="236"/>
      <c r="L796" s="236"/>
      <c r="M796" s="236"/>
      <c r="N796" s="236"/>
      <c r="O796" s="236"/>
      <c r="P796" s="236"/>
      <c r="Q796" s="236"/>
      <c r="R796" s="236"/>
      <c r="S796" s="236"/>
      <c r="T796" s="236"/>
      <c r="U796" s="236"/>
      <c r="V796" s="236"/>
      <c r="W796" s="237"/>
      <c r="X796" s="237"/>
      <c r="Y796" s="237"/>
      <c r="Z796" s="237"/>
      <c r="AA796" s="237"/>
      <c r="AB796" s="237"/>
      <c r="AC796" s="237"/>
      <c r="AD796" s="237"/>
      <c r="AE796" s="237"/>
      <c r="AF796" s="237"/>
      <c r="AG796" s="237"/>
      <c r="AH796" s="237"/>
      <c r="AI796" s="98"/>
      <c r="AJ796" s="98"/>
      <c r="AK796" s="98"/>
      <c r="AL796" s="98"/>
      <c r="AM796" s="98"/>
      <c r="AN796" s="98"/>
      <c r="AO796" s="98"/>
    </row>
    <row r="797" ht="14.25" customHeight="1">
      <c r="A797" s="179"/>
      <c r="B797" s="98"/>
      <c r="C797" s="98"/>
      <c r="D797" s="98"/>
      <c r="E797" s="98"/>
      <c r="F797" s="235"/>
      <c r="G797" s="235"/>
      <c r="H797" s="236"/>
      <c r="I797" s="236"/>
      <c r="J797" s="236"/>
      <c r="K797" s="236"/>
      <c r="L797" s="236"/>
      <c r="M797" s="236"/>
      <c r="N797" s="236"/>
      <c r="O797" s="236"/>
      <c r="P797" s="236"/>
      <c r="Q797" s="236"/>
      <c r="R797" s="236"/>
      <c r="S797" s="236"/>
      <c r="T797" s="236"/>
      <c r="U797" s="236"/>
      <c r="V797" s="236"/>
      <c r="W797" s="237"/>
      <c r="X797" s="237"/>
      <c r="Y797" s="237"/>
      <c r="Z797" s="237"/>
      <c r="AA797" s="237"/>
      <c r="AB797" s="237"/>
      <c r="AC797" s="237"/>
      <c r="AD797" s="237"/>
      <c r="AE797" s="237"/>
      <c r="AF797" s="237"/>
      <c r="AG797" s="237"/>
      <c r="AH797" s="237"/>
      <c r="AI797" s="98"/>
      <c r="AJ797" s="98"/>
      <c r="AK797" s="98"/>
      <c r="AL797" s="98"/>
      <c r="AM797" s="98"/>
      <c r="AN797" s="98"/>
      <c r="AO797" s="98"/>
    </row>
    <row r="798" ht="14.25" customHeight="1">
      <c r="A798" s="179"/>
      <c r="B798" s="98"/>
      <c r="C798" s="98"/>
      <c r="D798" s="98"/>
      <c r="E798" s="98"/>
      <c r="F798" s="235"/>
      <c r="G798" s="235"/>
      <c r="H798" s="236"/>
      <c r="I798" s="236"/>
      <c r="J798" s="236"/>
      <c r="K798" s="236"/>
      <c r="L798" s="236"/>
      <c r="M798" s="236"/>
      <c r="N798" s="236"/>
      <c r="O798" s="236"/>
      <c r="P798" s="236"/>
      <c r="Q798" s="236"/>
      <c r="R798" s="236"/>
      <c r="S798" s="236"/>
      <c r="T798" s="236"/>
      <c r="U798" s="236"/>
      <c r="V798" s="236"/>
      <c r="W798" s="237"/>
      <c r="X798" s="237"/>
      <c r="Y798" s="237"/>
      <c r="Z798" s="237"/>
      <c r="AA798" s="237"/>
      <c r="AB798" s="237"/>
      <c r="AC798" s="237"/>
      <c r="AD798" s="237"/>
      <c r="AE798" s="237"/>
      <c r="AF798" s="237"/>
      <c r="AG798" s="237"/>
      <c r="AH798" s="237"/>
      <c r="AI798" s="98"/>
      <c r="AJ798" s="98"/>
      <c r="AK798" s="98"/>
      <c r="AL798" s="98"/>
      <c r="AM798" s="98"/>
      <c r="AN798" s="98"/>
      <c r="AO798" s="98"/>
    </row>
    <row r="799" ht="14.25" customHeight="1">
      <c r="A799" s="179"/>
      <c r="B799" s="98"/>
      <c r="C799" s="98"/>
      <c r="D799" s="98"/>
      <c r="E799" s="98"/>
      <c r="F799" s="235"/>
      <c r="G799" s="235"/>
      <c r="H799" s="236"/>
      <c r="I799" s="236"/>
      <c r="J799" s="236"/>
      <c r="K799" s="236"/>
      <c r="L799" s="236"/>
      <c r="M799" s="236"/>
      <c r="N799" s="236"/>
      <c r="O799" s="236"/>
      <c r="P799" s="236"/>
      <c r="Q799" s="236"/>
      <c r="R799" s="236"/>
      <c r="S799" s="236"/>
      <c r="T799" s="236"/>
      <c r="U799" s="236"/>
      <c r="V799" s="236"/>
      <c r="W799" s="237"/>
      <c r="X799" s="237"/>
      <c r="Y799" s="237"/>
      <c r="Z799" s="237"/>
      <c r="AA799" s="237"/>
      <c r="AB799" s="237"/>
      <c r="AC799" s="237"/>
      <c r="AD799" s="237"/>
      <c r="AE799" s="237"/>
      <c r="AF799" s="237"/>
      <c r="AG799" s="237"/>
      <c r="AH799" s="237"/>
      <c r="AI799" s="98"/>
      <c r="AJ799" s="98"/>
      <c r="AK799" s="98"/>
      <c r="AL799" s="98"/>
      <c r="AM799" s="98"/>
      <c r="AN799" s="98"/>
      <c r="AO799" s="98"/>
    </row>
    <row r="800" ht="14.25" customHeight="1">
      <c r="A800" s="179"/>
      <c r="B800" s="98"/>
      <c r="C800" s="98"/>
      <c r="D800" s="98"/>
      <c r="E800" s="98"/>
      <c r="F800" s="235"/>
      <c r="G800" s="235"/>
      <c r="H800" s="236"/>
      <c r="I800" s="236"/>
      <c r="J800" s="236"/>
      <c r="K800" s="236"/>
      <c r="L800" s="236"/>
      <c r="M800" s="236"/>
      <c r="N800" s="236"/>
      <c r="O800" s="236"/>
      <c r="P800" s="236"/>
      <c r="Q800" s="236"/>
      <c r="R800" s="236"/>
      <c r="S800" s="236"/>
      <c r="T800" s="236"/>
      <c r="U800" s="236"/>
      <c r="V800" s="236"/>
      <c r="W800" s="237"/>
      <c r="X800" s="237"/>
      <c r="Y800" s="237"/>
      <c r="Z800" s="237"/>
      <c r="AA800" s="237"/>
      <c r="AB800" s="237"/>
      <c r="AC800" s="237"/>
      <c r="AD800" s="237"/>
      <c r="AE800" s="237"/>
      <c r="AF800" s="237"/>
      <c r="AG800" s="237"/>
      <c r="AH800" s="237"/>
      <c r="AI800" s="98"/>
      <c r="AJ800" s="98"/>
      <c r="AK800" s="98"/>
      <c r="AL800" s="98"/>
      <c r="AM800" s="98"/>
      <c r="AN800" s="98"/>
      <c r="AO800" s="98"/>
    </row>
    <row r="801" ht="14.25" customHeight="1">
      <c r="A801" s="179"/>
      <c r="B801" s="98"/>
      <c r="C801" s="98"/>
      <c r="D801" s="98"/>
      <c r="E801" s="98"/>
      <c r="F801" s="235"/>
      <c r="G801" s="235"/>
      <c r="H801" s="236"/>
      <c r="I801" s="236"/>
      <c r="J801" s="236"/>
      <c r="K801" s="236"/>
      <c r="L801" s="236"/>
      <c r="M801" s="236"/>
      <c r="N801" s="236"/>
      <c r="O801" s="236"/>
      <c r="P801" s="236"/>
      <c r="Q801" s="236"/>
      <c r="R801" s="236"/>
      <c r="S801" s="236"/>
      <c r="T801" s="236"/>
      <c r="U801" s="236"/>
      <c r="V801" s="236"/>
      <c r="W801" s="237"/>
      <c r="X801" s="237"/>
      <c r="Y801" s="237"/>
      <c r="Z801" s="237"/>
      <c r="AA801" s="237"/>
      <c r="AB801" s="237"/>
      <c r="AC801" s="237"/>
      <c r="AD801" s="237"/>
      <c r="AE801" s="237"/>
      <c r="AF801" s="237"/>
      <c r="AG801" s="237"/>
      <c r="AH801" s="237"/>
      <c r="AI801" s="98"/>
      <c r="AJ801" s="98"/>
      <c r="AK801" s="98"/>
      <c r="AL801" s="98"/>
      <c r="AM801" s="98"/>
      <c r="AN801" s="98"/>
      <c r="AO801" s="98"/>
    </row>
    <row r="802" ht="14.25" customHeight="1">
      <c r="A802" s="179"/>
      <c r="B802" s="98"/>
      <c r="C802" s="98"/>
      <c r="D802" s="98"/>
      <c r="E802" s="98"/>
      <c r="F802" s="235"/>
      <c r="G802" s="235"/>
      <c r="H802" s="236"/>
      <c r="I802" s="236"/>
      <c r="J802" s="236"/>
      <c r="K802" s="236"/>
      <c r="L802" s="236"/>
      <c r="M802" s="236"/>
      <c r="N802" s="236"/>
      <c r="O802" s="236"/>
      <c r="P802" s="236"/>
      <c r="Q802" s="236"/>
      <c r="R802" s="236"/>
      <c r="S802" s="236"/>
      <c r="T802" s="236"/>
      <c r="U802" s="236"/>
      <c r="V802" s="236"/>
      <c r="W802" s="237"/>
      <c r="X802" s="237"/>
      <c r="Y802" s="237"/>
      <c r="Z802" s="237"/>
      <c r="AA802" s="237"/>
      <c r="AB802" s="237"/>
      <c r="AC802" s="237"/>
      <c r="AD802" s="237"/>
      <c r="AE802" s="237"/>
      <c r="AF802" s="237"/>
      <c r="AG802" s="237"/>
      <c r="AH802" s="237"/>
      <c r="AI802" s="98"/>
      <c r="AJ802" s="98"/>
      <c r="AK802" s="98"/>
      <c r="AL802" s="98"/>
      <c r="AM802" s="98"/>
      <c r="AN802" s="98"/>
      <c r="AO802" s="98"/>
    </row>
    <row r="803" ht="14.25" customHeight="1">
      <c r="A803" s="179"/>
      <c r="B803" s="98"/>
      <c r="C803" s="98"/>
      <c r="D803" s="98"/>
      <c r="E803" s="98"/>
      <c r="F803" s="235"/>
      <c r="G803" s="235"/>
      <c r="H803" s="236"/>
      <c r="I803" s="236"/>
      <c r="J803" s="236"/>
      <c r="K803" s="236"/>
      <c r="L803" s="236"/>
      <c r="M803" s="236"/>
      <c r="N803" s="236"/>
      <c r="O803" s="236"/>
      <c r="P803" s="236"/>
      <c r="Q803" s="236"/>
      <c r="R803" s="236"/>
      <c r="S803" s="236"/>
      <c r="T803" s="236"/>
      <c r="U803" s="236"/>
      <c r="V803" s="236"/>
      <c r="W803" s="237"/>
      <c r="X803" s="237"/>
      <c r="Y803" s="237"/>
      <c r="Z803" s="237"/>
      <c r="AA803" s="237"/>
      <c r="AB803" s="237"/>
      <c r="AC803" s="237"/>
      <c r="AD803" s="237"/>
      <c r="AE803" s="237"/>
      <c r="AF803" s="237"/>
      <c r="AG803" s="237"/>
      <c r="AH803" s="237"/>
      <c r="AI803" s="98"/>
      <c r="AJ803" s="98"/>
      <c r="AK803" s="98"/>
      <c r="AL803" s="98"/>
      <c r="AM803" s="98"/>
      <c r="AN803" s="98"/>
      <c r="AO803" s="98"/>
    </row>
    <row r="804" ht="14.25" customHeight="1">
      <c r="A804" s="179"/>
      <c r="B804" s="98"/>
      <c r="C804" s="98"/>
      <c r="D804" s="98"/>
      <c r="E804" s="98"/>
      <c r="F804" s="235"/>
      <c r="G804" s="235"/>
      <c r="H804" s="236"/>
      <c r="I804" s="236"/>
      <c r="J804" s="236"/>
      <c r="K804" s="236"/>
      <c r="L804" s="236"/>
      <c r="M804" s="236"/>
      <c r="N804" s="236"/>
      <c r="O804" s="236"/>
      <c r="P804" s="236"/>
      <c r="Q804" s="236"/>
      <c r="R804" s="236"/>
      <c r="S804" s="236"/>
      <c r="T804" s="236"/>
      <c r="U804" s="236"/>
      <c r="V804" s="236"/>
      <c r="W804" s="237"/>
      <c r="X804" s="237"/>
      <c r="Y804" s="237"/>
      <c r="Z804" s="237"/>
      <c r="AA804" s="237"/>
      <c r="AB804" s="237"/>
      <c r="AC804" s="237"/>
      <c r="AD804" s="237"/>
      <c r="AE804" s="237"/>
      <c r="AF804" s="237"/>
      <c r="AG804" s="237"/>
      <c r="AH804" s="237"/>
      <c r="AI804" s="98"/>
      <c r="AJ804" s="98"/>
      <c r="AK804" s="98"/>
      <c r="AL804" s="98"/>
      <c r="AM804" s="98"/>
      <c r="AN804" s="98"/>
      <c r="AO804" s="98"/>
    </row>
    <row r="805" ht="14.25" customHeight="1">
      <c r="A805" s="179"/>
      <c r="B805" s="98"/>
      <c r="C805" s="98"/>
      <c r="D805" s="98"/>
      <c r="E805" s="98"/>
      <c r="F805" s="235"/>
      <c r="G805" s="235"/>
      <c r="H805" s="236"/>
      <c r="I805" s="236"/>
      <c r="J805" s="236"/>
      <c r="K805" s="236"/>
      <c r="L805" s="236"/>
      <c r="M805" s="236"/>
      <c r="N805" s="236"/>
      <c r="O805" s="236"/>
      <c r="P805" s="236"/>
      <c r="Q805" s="236"/>
      <c r="R805" s="236"/>
      <c r="S805" s="236"/>
      <c r="T805" s="236"/>
      <c r="U805" s="236"/>
      <c r="V805" s="236"/>
      <c r="W805" s="237"/>
      <c r="X805" s="237"/>
      <c r="Y805" s="237"/>
      <c r="Z805" s="237"/>
      <c r="AA805" s="237"/>
      <c r="AB805" s="237"/>
      <c r="AC805" s="237"/>
      <c r="AD805" s="237"/>
      <c r="AE805" s="237"/>
      <c r="AF805" s="237"/>
      <c r="AG805" s="237"/>
      <c r="AH805" s="237"/>
      <c r="AI805" s="98"/>
      <c r="AJ805" s="98"/>
      <c r="AK805" s="98"/>
      <c r="AL805" s="98"/>
      <c r="AM805" s="98"/>
      <c r="AN805" s="98"/>
      <c r="AO805" s="98"/>
    </row>
    <row r="806" ht="14.25" customHeight="1">
      <c r="A806" s="179"/>
      <c r="B806" s="98"/>
      <c r="C806" s="98"/>
      <c r="D806" s="98"/>
      <c r="E806" s="98"/>
      <c r="F806" s="235"/>
      <c r="G806" s="235"/>
      <c r="H806" s="236"/>
      <c r="I806" s="236"/>
      <c r="J806" s="236"/>
      <c r="K806" s="236"/>
      <c r="L806" s="236"/>
      <c r="M806" s="236"/>
      <c r="N806" s="236"/>
      <c r="O806" s="236"/>
      <c r="P806" s="236"/>
      <c r="Q806" s="236"/>
      <c r="R806" s="236"/>
      <c r="S806" s="236"/>
      <c r="T806" s="236"/>
      <c r="U806" s="236"/>
      <c r="V806" s="236"/>
      <c r="W806" s="237"/>
      <c r="X806" s="237"/>
      <c r="Y806" s="237"/>
      <c r="Z806" s="237"/>
      <c r="AA806" s="237"/>
      <c r="AB806" s="237"/>
      <c r="AC806" s="237"/>
      <c r="AD806" s="237"/>
      <c r="AE806" s="237"/>
      <c r="AF806" s="237"/>
      <c r="AG806" s="237"/>
      <c r="AH806" s="237"/>
      <c r="AI806" s="98"/>
      <c r="AJ806" s="98"/>
      <c r="AK806" s="98"/>
      <c r="AL806" s="98"/>
      <c r="AM806" s="98"/>
      <c r="AN806" s="98"/>
      <c r="AO806" s="98"/>
    </row>
    <row r="807" ht="14.25" customHeight="1">
      <c r="A807" s="179"/>
      <c r="B807" s="98"/>
      <c r="C807" s="98"/>
      <c r="D807" s="98"/>
      <c r="E807" s="98"/>
      <c r="F807" s="235"/>
      <c r="G807" s="235"/>
      <c r="H807" s="236"/>
      <c r="I807" s="236"/>
      <c r="J807" s="236"/>
      <c r="K807" s="236"/>
      <c r="L807" s="236"/>
      <c r="M807" s="236"/>
      <c r="N807" s="236"/>
      <c r="O807" s="236"/>
      <c r="P807" s="236"/>
      <c r="Q807" s="236"/>
      <c r="R807" s="236"/>
      <c r="S807" s="236"/>
      <c r="T807" s="236"/>
      <c r="U807" s="236"/>
      <c r="V807" s="236"/>
      <c r="W807" s="237"/>
      <c r="X807" s="237"/>
      <c r="Y807" s="237"/>
      <c r="Z807" s="237"/>
      <c r="AA807" s="237"/>
      <c r="AB807" s="237"/>
      <c r="AC807" s="237"/>
      <c r="AD807" s="237"/>
      <c r="AE807" s="237"/>
      <c r="AF807" s="237"/>
      <c r="AG807" s="237"/>
      <c r="AH807" s="237"/>
      <c r="AI807" s="98"/>
      <c r="AJ807" s="98"/>
      <c r="AK807" s="98"/>
      <c r="AL807" s="98"/>
      <c r="AM807" s="98"/>
      <c r="AN807" s="98"/>
      <c r="AO807" s="98"/>
    </row>
    <row r="808" ht="14.25" customHeight="1">
      <c r="A808" s="179"/>
      <c r="B808" s="98"/>
      <c r="C808" s="98"/>
      <c r="D808" s="98"/>
      <c r="E808" s="98"/>
      <c r="F808" s="235"/>
      <c r="G808" s="235"/>
      <c r="H808" s="236"/>
      <c r="I808" s="236"/>
      <c r="J808" s="236"/>
      <c r="K808" s="236"/>
      <c r="L808" s="236"/>
      <c r="M808" s="236"/>
      <c r="N808" s="236"/>
      <c r="O808" s="236"/>
      <c r="P808" s="236"/>
      <c r="Q808" s="236"/>
      <c r="R808" s="236"/>
      <c r="S808" s="236"/>
      <c r="T808" s="236"/>
      <c r="U808" s="236"/>
      <c r="V808" s="236"/>
      <c r="W808" s="237"/>
      <c r="X808" s="237"/>
      <c r="Y808" s="237"/>
      <c r="Z808" s="237"/>
      <c r="AA808" s="237"/>
      <c r="AB808" s="237"/>
      <c r="AC808" s="237"/>
      <c r="AD808" s="237"/>
      <c r="AE808" s="237"/>
      <c r="AF808" s="237"/>
      <c r="AG808" s="237"/>
      <c r="AH808" s="237"/>
      <c r="AI808" s="98"/>
      <c r="AJ808" s="98"/>
      <c r="AK808" s="98"/>
      <c r="AL808" s="98"/>
      <c r="AM808" s="98"/>
      <c r="AN808" s="98"/>
      <c r="AO808" s="98"/>
    </row>
    <row r="809" ht="14.25" customHeight="1">
      <c r="A809" s="179"/>
      <c r="B809" s="98"/>
      <c r="C809" s="98"/>
      <c r="D809" s="98"/>
      <c r="E809" s="98"/>
      <c r="F809" s="235"/>
      <c r="G809" s="235"/>
      <c r="H809" s="236"/>
      <c r="I809" s="236"/>
      <c r="J809" s="236"/>
      <c r="K809" s="236"/>
      <c r="L809" s="236"/>
      <c r="M809" s="236"/>
      <c r="N809" s="236"/>
      <c r="O809" s="236"/>
      <c r="P809" s="236"/>
      <c r="Q809" s="236"/>
      <c r="R809" s="236"/>
      <c r="S809" s="236"/>
      <c r="T809" s="236"/>
      <c r="U809" s="236"/>
      <c r="V809" s="236"/>
      <c r="W809" s="237"/>
      <c r="X809" s="237"/>
      <c r="Y809" s="237"/>
      <c r="Z809" s="237"/>
      <c r="AA809" s="237"/>
      <c r="AB809" s="237"/>
      <c r="AC809" s="237"/>
      <c r="AD809" s="237"/>
      <c r="AE809" s="237"/>
      <c r="AF809" s="237"/>
      <c r="AG809" s="237"/>
      <c r="AH809" s="237"/>
      <c r="AI809" s="98"/>
      <c r="AJ809" s="98"/>
      <c r="AK809" s="98"/>
      <c r="AL809" s="98"/>
      <c r="AM809" s="98"/>
      <c r="AN809" s="98"/>
      <c r="AO809" s="98"/>
    </row>
    <row r="810" ht="14.25" customHeight="1">
      <c r="A810" s="179"/>
      <c r="B810" s="98"/>
      <c r="C810" s="98"/>
      <c r="D810" s="98"/>
      <c r="E810" s="98"/>
      <c r="F810" s="235"/>
      <c r="G810" s="235"/>
      <c r="H810" s="236"/>
      <c r="I810" s="236"/>
      <c r="J810" s="236"/>
      <c r="K810" s="236"/>
      <c r="L810" s="236"/>
      <c r="M810" s="236"/>
      <c r="N810" s="236"/>
      <c r="O810" s="236"/>
      <c r="P810" s="236"/>
      <c r="Q810" s="236"/>
      <c r="R810" s="236"/>
      <c r="S810" s="236"/>
      <c r="T810" s="236"/>
      <c r="U810" s="236"/>
      <c r="V810" s="236"/>
      <c r="W810" s="237"/>
      <c r="X810" s="237"/>
      <c r="Y810" s="237"/>
      <c r="Z810" s="237"/>
      <c r="AA810" s="237"/>
      <c r="AB810" s="237"/>
      <c r="AC810" s="237"/>
      <c r="AD810" s="237"/>
      <c r="AE810" s="237"/>
      <c r="AF810" s="237"/>
      <c r="AG810" s="237"/>
      <c r="AH810" s="237"/>
      <c r="AI810" s="98"/>
      <c r="AJ810" s="98"/>
      <c r="AK810" s="98"/>
      <c r="AL810" s="98"/>
      <c r="AM810" s="98"/>
      <c r="AN810" s="98"/>
      <c r="AO810" s="98"/>
    </row>
    <row r="811" ht="14.25" customHeight="1">
      <c r="A811" s="179"/>
      <c r="B811" s="98"/>
      <c r="C811" s="98"/>
      <c r="D811" s="98"/>
      <c r="E811" s="98"/>
      <c r="F811" s="235"/>
      <c r="G811" s="235"/>
      <c r="H811" s="236"/>
      <c r="I811" s="236"/>
      <c r="J811" s="236"/>
      <c r="K811" s="236"/>
      <c r="L811" s="236"/>
      <c r="M811" s="236"/>
      <c r="N811" s="236"/>
      <c r="O811" s="236"/>
      <c r="P811" s="236"/>
      <c r="Q811" s="236"/>
      <c r="R811" s="236"/>
      <c r="S811" s="236"/>
      <c r="T811" s="236"/>
      <c r="U811" s="236"/>
      <c r="V811" s="236"/>
      <c r="W811" s="237"/>
      <c r="X811" s="237"/>
      <c r="Y811" s="237"/>
      <c r="Z811" s="237"/>
      <c r="AA811" s="237"/>
      <c r="AB811" s="237"/>
      <c r="AC811" s="237"/>
      <c r="AD811" s="237"/>
      <c r="AE811" s="237"/>
      <c r="AF811" s="237"/>
      <c r="AG811" s="237"/>
      <c r="AH811" s="237"/>
      <c r="AI811" s="98"/>
      <c r="AJ811" s="98"/>
      <c r="AK811" s="98"/>
      <c r="AL811" s="98"/>
      <c r="AM811" s="98"/>
      <c r="AN811" s="98"/>
      <c r="AO811" s="98"/>
    </row>
    <row r="812" ht="14.25" customHeight="1">
      <c r="A812" s="179"/>
      <c r="B812" s="98"/>
      <c r="C812" s="98"/>
      <c r="D812" s="98"/>
      <c r="E812" s="98"/>
      <c r="F812" s="235"/>
      <c r="G812" s="235"/>
      <c r="H812" s="236"/>
      <c r="I812" s="236"/>
      <c r="J812" s="236"/>
      <c r="K812" s="236"/>
      <c r="L812" s="236"/>
      <c r="M812" s="236"/>
      <c r="N812" s="236"/>
      <c r="O812" s="236"/>
      <c r="P812" s="236"/>
      <c r="Q812" s="236"/>
      <c r="R812" s="236"/>
      <c r="S812" s="236"/>
      <c r="T812" s="236"/>
      <c r="U812" s="236"/>
      <c r="V812" s="236"/>
      <c r="W812" s="237"/>
      <c r="X812" s="237"/>
      <c r="Y812" s="237"/>
      <c r="Z812" s="237"/>
      <c r="AA812" s="237"/>
      <c r="AB812" s="237"/>
      <c r="AC812" s="237"/>
      <c r="AD812" s="237"/>
      <c r="AE812" s="237"/>
      <c r="AF812" s="237"/>
      <c r="AG812" s="237"/>
      <c r="AH812" s="237"/>
      <c r="AI812" s="98"/>
      <c r="AJ812" s="98"/>
      <c r="AK812" s="98"/>
      <c r="AL812" s="98"/>
      <c r="AM812" s="98"/>
      <c r="AN812" s="98"/>
      <c r="AO812" s="98"/>
    </row>
    <row r="813" ht="14.25" customHeight="1">
      <c r="A813" s="179"/>
      <c r="B813" s="98"/>
      <c r="C813" s="98"/>
      <c r="D813" s="98"/>
      <c r="E813" s="98"/>
      <c r="F813" s="235"/>
      <c r="G813" s="235"/>
      <c r="H813" s="236"/>
      <c r="I813" s="236"/>
      <c r="J813" s="236"/>
      <c r="K813" s="236"/>
      <c r="L813" s="236"/>
      <c r="M813" s="236"/>
      <c r="N813" s="236"/>
      <c r="O813" s="236"/>
      <c r="P813" s="236"/>
      <c r="Q813" s="236"/>
      <c r="R813" s="236"/>
      <c r="S813" s="236"/>
      <c r="T813" s="236"/>
      <c r="U813" s="236"/>
      <c r="V813" s="236"/>
      <c r="W813" s="237"/>
      <c r="X813" s="237"/>
      <c r="Y813" s="237"/>
      <c r="Z813" s="237"/>
      <c r="AA813" s="237"/>
      <c r="AB813" s="237"/>
      <c r="AC813" s="237"/>
      <c r="AD813" s="237"/>
      <c r="AE813" s="237"/>
      <c r="AF813" s="237"/>
      <c r="AG813" s="237"/>
      <c r="AH813" s="237"/>
      <c r="AI813" s="98"/>
      <c r="AJ813" s="98"/>
      <c r="AK813" s="98"/>
      <c r="AL813" s="98"/>
      <c r="AM813" s="98"/>
      <c r="AN813" s="98"/>
      <c r="AO813" s="98"/>
    </row>
    <row r="814" ht="14.25" customHeight="1">
      <c r="A814" s="179"/>
      <c r="B814" s="98"/>
      <c r="C814" s="98"/>
      <c r="D814" s="98"/>
      <c r="E814" s="98"/>
      <c r="F814" s="235"/>
      <c r="G814" s="235"/>
      <c r="H814" s="236"/>
      <c r="I814" s="236"/>
      <c r="J814" s="236"/>
      <c r="K814" s="236"/>
      <c r="L814" s="236"/>
      <c r="M814" s="236"/>
      <c r="N814" s="236"/>
      <c r="O814" s="236"/>
      <c r="P814" s="236"/>
      <c r="Q814" s="236"/>
      <c r="R814" s="236"/>
      <c r="S814" s="236"/>
      <c r="T814" s="236"/>
      <c r="U814" s="236"/>
      <c r="V814" s="236"/>
      <c r="W814" s="237"/>
      <c r="X814" s="237"/>
      <c r="Y814" s="237"/>
      <c r="Z814" s="237"/>
      <c r="AA814" s="237"/>
      <c r="AB814" s="237"/>
      <c r="AC814" s="237"/>
      <c r="AD814" s="237"/>
      <c r="AE814" s="237"/>
      <c r="AF814" s="237"/>
      <c r="AG814" s="237"/>
      <c r="AH814" s="237"/>
      <c r="AI814" s="98"/>
      <c r="AJ814" s="98"/>
      <c r="AK814" s="98"/>
      <c r="AL814" s="98"/>
      <c r="AM814" s="98"/>
      <c r="AN814" s="98"/>
      <c r="AO814" s="98"/>
    </row>
    <row r="815" ht="14.25" customHeight="1">
      <c r="A815" s="179"/>
      <c r="B815" s="98"/>
      <c r="C815" s="98"/>
      <c r="D815" s="98"/>
      <c r="E815" s="98"/>
      <c r="F815" s="235"/>
      <c r="G815" s="235"/>
      <c r="H815" s="236"/>
      <c r="I815" s="236"/>
      <c r="J815" s="236"/>
      <c r="K815" s="236"/>
      <c r="L815" s="236"/>
      <c r="M815" s="236"/>
      <c r="N815" s="236"/>
      <c r="O815" s="236"/>
      <c r="P815" s="236"/>
      <c r="Q815" s="236"/>
      <c r="R815" s="236"/>
      <c r="S815" s="236"/>
      <c r="T815" s="236"/>
      <c r="U815" s="236"/>
      <c r="V815" s="236"/>
      <c r="W815" s="237"/>
      <c r="X815" s="237"/>
      <c r="Y815" s="237"/>
      <c r="Z815" s="237"/>
      <c r="AA815" s="237"/>
      <c r="AB815" s="237"/>
      <c r="AC815" s="237"/>
      <c r="AD815" s="237"/>
      <c r="AE815" s="237"/>
      <c r="AF815" s="237"/>
      <c r="AG815" s="237"/>
      <c r="AH815" s="237"/>
      <c r="AI815" s="98"/>
      <c r="AJ815" s="98"/>
      <c r="AK815" s="98"/>
      <c r="AL815" s="98"/>
      <c r="AM815" s="98"/>
      <c r="AN815" s="98"/>
      <c r="AO815" s="98"/>
    </row>
    <row r="816" ht="14.25" customHeight="1">
      <c r="A816" s="179"/>
      <c r="B816" s="98"/>
      <c r="C816" s="98"/>
      <c r="D816" s="98"/>
      <c r="E816" s="98"/>
      <c r="F816" s="235"/>
      <c r="G816" s="235"/>
      <c r="H816" s="236"/>
      <c r="I816" s="236"/>
      <c r="J816" s="236"/>
      <c r="K816" s="236"/>
      <c r="L816" s="236"/>
      <c r="M816" s="236"/>
      <c r="N816" s="236"/>
      <c r="O816" s="236"/>
      <c r="P816" s="236"/>
      <c r="Q816" s="236"/>
      <c r="R816" s="236"/>
      <c r="S816" s="236"/>
      <c r="T816" s="236"/>
      <c r="U816" s="236"/>
      <c r="V816" s="236"/>
      <c r="W816" s="237"/>
      <c r="X816" s="237"/>
      <c r="Y816" s="237"/>
      <c r="Z816" s="237"/>
      <c r="AA816" s="237"/>
      <c r="AB816" s="237"/>
      <c r="AC816" s="237"/>
      <c r="AD816" s="237"/>
      <c r="AE816" s="237"/>
      <c r="AF816" s="237"/>
      <c r="AG816" s="237"/>
      <c r="AH816" s="237"/>
      <c r="AI816" s="98"/>
      <c r="AJ816" s="98"/>
      <c r="AK816" s="98"/>
      <c r="AL816" s="98"/>
      <c r="AM816" s="98"/>
      <c r="AN816" s="98"/>
      <c r="AO816" s="98"/>
    </row>
    <row r="817" ht="14.25" customHeight="1">
      <c r="A817" s="179"/>
      <c r="B817" s="98"/>
      <c r="C817" s="98"/>
      <c r="D817" s="98"/>
      <c r="E817" s="98"/>
      <c r="F817" s="235"/>
      <c r="G817" s="235"/>
      <c r="H817" s="236"/>
      <c r="I817" s="236"/>
      <c r="J817" s="236"/>
      <c r="K817" s="236"/>
      <c r="L817" s="236"/>
      <c r="M817" s="236"/>
      <c r="N817" s="236"/>
      <c r="O817" s="236"/>
      <c r="P817" s="236"/>
      <c r="Q817" s="236"/>
      <c r="R817" s="236"/>
      <c r="S817" s="236"/>
      <c r="T817" s="236"/>
      <c r="U817" s="236"/>
      <c r="V817" s="236"/>
      <c r="W817" s="237"/>
      <c r="X817" s="237"/>
      <c r="Y817" s="237"/>
      <c r="Z817" s="237"/>
      <c r="AA817" s="237"/>
      <c r="AB817" s="237"/>
      <c r="AC817" s="237"/>
      <c r="AD817" s="237"/>
      <c r="AE817" s="237"/>
      <c r="AF817" s="237"/>
      <c r="AG817" s="237"/>
      <c r="AH817" s="237"/>
      <c r="AI817" s="98"/>
      <c r="AJ817" s="98"/>
      <c r="AK817" s="98"/>
      <c r="AL817" s="98"/>
      <c r="AM817" s="98"/>
      <c r="AN817" s="98"/>
      <c r="AO817" s="98"/>
    </row>
    <row r="818" ht="14.25" customHeight="1">
      <c r="A818" s="179"/>
      <c r="B818" s="98"/>
      <c r="C818" s="98"/>
      <c r="D818" s="98"/>
      <c r="E818" s="98"/>
      <c r="F818" s="235"/>
      <c r="G818" s="235"/>
      <c r="H818" s="236"/>
      <c r="I818" s="236"/>
      <c r="J818" s="236"/>
      <c r="K818" s="236"/>
      <c r="L818" s="236"/>
      <c r="M818" s="236"/>
      <c r="N818" s="236"/>
      <c r="O818" s="236"/>
      <c r="P818" s="236"/>
      <c r="Q818" s="236"/>
      <c r="R818" s="236"/>
      <c r="S818" s="236"/>
      <c r="T818" s="236"/>
      <c r="U818" s="236"/>
      <c r="V818" s="236"/>
      <c r="W818" s="237"/>
      <c r="X818" s="237"/>
      <c r="Y818" s="237"/>
      <c r="Z818" s="237"/>
      <c r="AA818" s="237"/>
      <c r="AB818" s="237"/>
      <c r="AC818" s="237"/>
      <c r="AD818" s="237"/>
      <c r="AE818" s="237"/>
      <c r="AF818" s="237"/>
      <c r="AG818" s="237"/>
      <c r="AH818" s="237"/>
      <c r="AI818" s="98"/>
      <c r="AJ818" s="98"/>
      <c r="AK818" s="98"/>
      <c r="AL818" s="98"/>
      <c r="AM818" s="98"/>
      <c r="AN818" s="98"/>
      <c r="AO818" s="98"/>
    </row>
    <row r="819" ht="14.25" customHeight="1">
      <c r="A819" s="179"/>
      <c r="B819" s="98"/>
      <c r="C819" s="98"/>
      <c r="D819" s="98"/>
      <c r="E819" s="98"/>
      <c r="F819" s="235"/>
      <c r="G819" s="235"/>
      <c r="H819" s="236"/>
      <c r="I819" s="236"/>
      <c r="J819" s="236"/>
      <c r="K819" s="236"/>
      <c r="L819" s="236"/>
      <c r="M819" s="236"/>
      <c r="N819" s="236"/>
      <c r="O819" s="236"/>
      <c r="P819" s="236"/>
      <c r="Q819" s="236"/>
      <c r="R819" s="236"/>
      <c r="S819" s="236"/>
      <c r="T819" s="236"/>
      <c r="U819" s="236"/>
      <c r="V819" s="236"/>
      <c r="W819" s="237"/>
      <c r="X819" s="237"/>
      <c r="Y819" s="237"/>
      <c r="Z819" s="237"/>
      <c r="AA819" s="237"/>
      <c r="AB819" s="237"/>
      <c r="AC819" s="237"/>
      <c r="AD819" s="237"/>
      <c r="AE819" s="237"/>
      <c r="AF819" s="237"/>
      <c r="AG819" s="237"/>
      <c r="AH819" s="237"/>
      <c r="AI819" s="98"/>
      <c r="AJ819" s="98"/>
      <c r="AK819" s="98"/>
      <c r="AL819" s="98"/>
      <c r="AM819" s="98"/>
      <c r="AN819" s="98"/>
      <c r="AO819" s="98"/>
    </row>
    <row r="820" ht="14.25" customHeight="1">
      <c r="A820" s="179"/>
      <c r="B820" s="98"/>
      <c r="C820" s="98"/>
      <c r="D820" s="98"/>
      <c r="E820" s="98"/>
      <c r="F820" s="235"/>
      <c r="G820" s="235"/>
      <c r="H820" s="236"/>
      <c r="I820" s="236"/>
      <c r="J820" s="236"/>
      <c r="K820" s="236"/>
      <c r="L820" s="236"/>
      <c r="M820" s="236"/>
      <c r="N820" s="236"/>
      <c r="O820" s="236"/>
      <c r="P820" s="236"/>
      <c r="Q820" s="236"/>
      <c r="R820" s="236"/>
      <c r="S820" s="236"/>
      <c r="T820" s="236"/>
      <c r="U820" s="236"/>
      <c r="V820" s="236"/>
      <c r="W820" s="237"/>
      <c r="X820" s="237"/>
      <c r="Y820" s="237"/>
      <c r="Z820" s="237"/>
      <c r="AA820" s="237"/>
      <c r="AB820" s="237"/>
      <c r="AC820" s="237"/>
      <c r="AD820" s="237"/>
      <c r="AE820" s="237"/>
      <c r="AF820" s="237"/>
      <c r="AG820" s="237"/>
      <c r="AH820" s="237"/>
      <c r="AI820" s="98"/>
      <c r="AJ820" s="98"/>
      <c r="AK820" s="98"/>
      <c r="AL820" s="98"/>
      <c r="AM820" s="98"/>
      <c r="AN820" s="98"/>
      <c r="AO820" s="98"/>
    </row>
    <row r="821" ht="14.25" customHeight="1">
      <c r="A821" s="179"/>
      <c r="B821" s="98"/>
      <c r="C821" s="98"/>
      <c r="D821" s="98"/>
      <c r="E821" s="98"/>
      <c r="F821" s="235"/>
      <c r="G821" s="235"/>
      <c r="H821" s="236"/>
      <c r="I821" s="236"/>
      <c r="J821" s="236"/>
      <c r="K821" s="236"/>
      <c r="L821" s="236"/>
      <c r="M821" s="236"/>
      <c r="N821" s="236"/>
      <c r="O821" s="236"/>
      <c r="P821" s="236"/>
      <c r="Q821" s="236"/>
      <c r="R821" s="236"/>
      <c r="S821" s="236"/>
      <c r="T821" s="236"/>
      <c r="U821" s="236"/>
      <c r="V821" s="236"/>
      <c r="W821" s="237"/>
      <c r="X821" s="237"/>
      <c r="Y821" s="237"/>
      <c r="Z821" s="237"/>
      <c r="AA821" s="237"/>
      <c r="AB821" s="237"/>
      <c r="AC821" s="237"/>
      <c r="AD821" s="237"/>
      <c r="AE821" s="237"/>
      <c r="AF821" s="237"/>
      <c r="AG821" s="237"/>
      <c r="AH821" s="237"/>
      <c r="AI821" s="98"/>
      <c r="AJ821" s="98"/>
      <c r="AK821" s="98"/>
      <c r="AL821" s="98"/>
      <c r="AM821" s="98"/>
      <c r="AN821" s="98"/>
      <c r="AO821" s="98"/>
    </row>
    <row r="822" ht="14.25" customHeight="1">
      <c r="A822" s="179"/>
      <c r="B822" s="98"/>
      <c r="C822" s="98"/>
      <c r="D822" s="98"/>
      <c r="E822" s="98"/>
      <c r="F822" s="235"/>
      <c r="G822" s="235"/>
      <c r="H822" s="236"/>
      <c r="I822" s="236"/>
      <c r="J822" s="236"/>
      <c r="K822" s="236"/>
      <c r="L822" s="236"/>
      <c r="M822" s="236"/>
      <c r="N822" s="236"/>
      <c r="O822" s="236"/>
      <c r="P822" s="236"/>
      <c r="Q822" s="236"/>
      <c r="R822" s="236"/>
      <c r="S822" s="236"/>
      <c r="T822" s="236"/>
      <c r="U822" s="236"/>
      <c r="V822" s="236"/>
      <c r="W822" s="237"/>
      <c r="X822" s="237"/>
      <c r="Y822" s="237"/>
      <c r="Z822" s="237"/>
      <c r="AA822" s="237"/>
      <c r="AB822" s="237"/>
      <c r="AC822" s="237"/>
      <c r="AD822" s="237"/>
      <c r="AE822" s="237"/>
      <c r="AF822" s="237"/>
      <c r="AG822" s="237"/>
      <c r="AH822" s="237"/>
      <c r="AI822" s="98"/>
      <c r="AJ822" s="98"/>
      <c r="AK822" s="98"/>
      <c r="AL822" s="98"/>
      <c r="AM822" s="98"/>
      <c r="AN822" s="98"/>
      <c r="AO822" s="98"/>
    </row>
    <row r="823" ht="14.25" customHeight="1">
      <c r="A823" s="179"/>
      <c r="B823" s="98"/>
      <c r="C823" s="98"/>
      <c r="D823" s="98"/>
      <c r="E823" s="98"/>
      <c r="F823" s="235"/>
      <c r="G823" s="235"/>
      <c r="H823" s="236"/>
      <c r="I823" s="236"/>
      <c r="J823" s="236"/>
      <c r="K823" s="236"/>
      <c r="L823" s="236"/>
      <c r="M823" s="236"/>
      <c r="N823" s="236"/>
      <c r="O823" s="236"/>
      <c r="P823" s="236"/>
      <c r="Q823" s="236"/>
      <c r="R823" s="236"/>
      <c r="S823" s="236"/>
      <c r="T823" s="236"/>
      <c r="U823" s="236"/>
      <c r="V823" s="236"/>
      <c r="W823" s="237"/>
      <c r="X823" s="237"/>
      <c r="Y823" s="237"/>
      <c r="Z823" s="237"/>
      <c r="AA823" s="237"/>
      <c r="AB823" s="237"/>
      <c r="AC823" s="237"/>
      <c r="AD823" s="237"/>
      <c r="AE823" s="237"/>
      <c r="AF823" s="237"/>
      <c r="AG823" s="237"/>
      <c r="AH823" s="237"/>
      <c r="AI823" s="98"/>
      <c r="AJ823" s="98"/>
      <c r="AK823" s="98"/>
      <c r="AL823" s="98"/>
      <c r="AM823" s="98"/>
      <c r="AN823" s="98"/>
      <c r="AO823" s="98"/>
    </row>
    <row r="824" ht="14.25" customHeight="1">
      <c r="A824" s="179"/>
      <c r="B824" s="98"/>
      <c r="C824" s="98"/>
      <c r="D824" s="98"/>
      <c r="E824" s="98"/>
      <c r="F824" s="235"/>
      <c r="G824" s="235"/>
      <c r="H824" s="236"/>
      <c r="I824" s="236"/>
      <c r="J824" s="236"/>
      <c r="K824" s="236"/>
      <c r="L824" s="236"/>
      <c r="M824" s="236"/>
      <c r="N824" s="236"/>
      <c r="O824" s="236"/>
      <c r="P824" s="236"/>
      <c r="Q824" s="236"/>
      <c r="R824" s="236"/>
      <c r="S824" s="236"/>
      <c r="T824" s="236"/>
      <c r="U824" s="236"/>
      <c r="V824" s="236"/>
      <c r="W824" s="237"/>
      <c r="X824" s="237"/>
      <c r="Y824" s="237"/>
      <c r="Z824" s="237"/>
      <c r="AA824" s="237"/>
      <c r="AB824" s="237"/>
      <c r="AC824" s="237"/>
      <c r="AD824" s="237"/>
      <c r="AE824" s="237"/>
      <c r="AF824" s="237"/>
      <c r="AG824" s="237"/>
      <c r="AH824" s="237"/>
      <c r="AI824" s="98"/>
      <c r="AJ824" s="98"/>
      <c r="AK824" s="98"/>
      <c r="AL824" s="98"/>
      <c r="AM824" s="98"/>
      <c r="AN824" s="98"/>
      <c r="AO824" s="98"/>
    </row>
    <row r="825" ht="14.25" customHeight="1">
      <c r="A825" s="179"/>
      <c r="B825" s="98"/>
      <c r="C825" s="98"/>
      <c r="D825" s="98"/>
      <c r="E825" s="98"/>
      <c r="F825" s="235"/>
      <c r="G825" s="235"/>
      <c r="H825" s="236"/>
      <c r="I825" s="236"/>
      <c r="J825" s="236"/>
      <c r="K825" s="236"/>
      <c r="L825" s="236"/>
      <c r="M825" s="236"/>
      <c r="N825" s="236"/>
      <c r="O825" s="236"/>
      <c r="P825" s="236"/>
      <c r="Q825" s="236"/>
      <c r="R825" s="236"/>
      <c r="S825" s="236"/>
      <c r="T825" s="236"/>
      <c r="U825" s="236"/>
      <c r="V825" s="236"/>
      <c r="W825" s="237"/>
      <c r="X825" s="237"/>
      <c r="Y825" s="237"/>
      <c r="Z825" s="237"/>
      <c r="AA825" s="237"/>
      <c r="AB825" s="237"/>
      <c r="AC825" s="237"/>
      <c r="AD825" s="237"/>
      <c r="AE825" s="237"/>
      <c r="AF825" s="237"/>
      <c r="AG825" s="237"/>
      <c r="AH825" s="237"/>
      <c r="AI825" s="98"/>
      <c r="AJ825" s="98"/>
      <c r="AK825" s="98"/>
      <c r="AL825" s="98"/>
      <c r="AM825" s="98"/>
      <c r="AN825" s="98"/>
      <c r="AO825" s="98"/>
    </row>
    <row r="826" ht="14.25" customHeight="1">
      <c r="A826" s="179"/>
      <c r="B826" s="98"/>
      <c r="C826" s="98"/>
      <c r="D826" s="98"/>
      <c r="E826" s="98"/>
      <c r="F826" s="235"/>
      <c r="G826" s="235"/>
      <c r="H826" s="236"/>
      <c r="I826" s="236"/>
      <c r="J826" s="236"/>
      <c r="K826" s="236"/>
      <c r="L826" s="236"/>
      <c r="M826" s="236"/>
      <c r="N826" s="236"/>
      <c r="O826" s="236"/>
      <c r="P826" s="236"/>
      <c r="Q826" s="236"/>
      <c r="R826" s="236"/>
      <c r="S826" s="236"/>
      <c r="T826" s="236"/>
      <c r="U826" s="236"/>
      <c r="V826" s="236"/>
      <c r="W826" s="237"/>
      <c r="X826" s="237"/>
      <c r="Y826" s="237"/>
      <c r="Z826" s="237"/>
      <c r="AA826" s="237"/>
      <c r="AB826" s="237"/>
      <c r="AC826" s="237"/>
      <c r="AD826" s="237"/>
      <c r="AE826" s="237"/>
      <c r="AF826" s="237"/>
      <c r="AG826" s="237"/>
      <c r="AH826" s="237"/>
      <c r="AI826" s="98"/>
      <c r="AJ826" s="98"/>
      <c r="AK826" s="98"/>
      <c r="AL826" s="98"/>
      <c r="AM826" s="98"/>
      <c r="AN826" s="98"/>
      <c r="AO826" s="98"/>
    </row>
    <row r="827" ht="14.25" customHeight="1">
      <c r="A827" s="179"/>
      <c r="B827" s="98"/>
      <c r="C827" s="98"/>
      <c r="D827" s="98"/>
      <c r="E827" s="98"/>
      <c r="F827" s="235"/>
      <c r="G827" s="235"/>
      <c r="H827" s="236"/>
      <c r="I827" s="236"/>
      <c r="J827" s="236"/>
      <c r="K827" s="236"/>
      <c r="L827" s="236"/>
      <c r="M827" s="236"/>
      <c r="N827" s="236"/>
      <c r="O827" s="236"/>
      <c r="P827" s="236"/>
      <c r="Q827" s="236"/>
      <c r="R827" s="236"/>
      <c r="S827" s="236"/>
      <c r="T827" s="236"/>
      <c r="U827" s="236"/>
      <c r="V827" s="236"/>
      <c r="W827" s="237"/>
      <c r="X827" s="237"/>
      <c r="Y827" s="237"/>
      <c r="Z827" s="237"/>
      <c r="AA827" s="237"/>
      <c r="AB827" s="237"/>
      <c r="AC827" s="237"/>
      <c r="AD827" s="237"/>
      <c r="AE827" s="237"/>
      <c r="AF827" s="237"/>
      <c r="AG827" s="237"/>
      <c r="AH827" s="237"/>
      <c r="AI827" s="98"/>
      <c r="AJ827" s="98"/>
      <c r="AK827" s="98"/>
      <c r="AL827" s="98"/>
      <c r="AM827" s="98"/>
      <c r="AN827" s="98"/>
      <c r="AO827" s="98"/>
    </row>
    <row r="828" ht="14.25" customHeight="1">
      <c r="A828" s="179"/>
      <c r="B828" s="98"/>
      <c r="C828" s="98"/>
      <c r="D828" s="98"/>
      <c r="E828" s="98"/>
      <c r="F828" s="235"/>
      <c r="G828" s="235"/>
      <c r="H828" s="236"/>
      <c r="I828" s="236"/>
      <c r="J828" s="236"/>
      <c r="K828" s="236"/>
      <c r="L828" s="236"/>
      <c r="M828" s="236"/>
      <c r="N828" s="236"/>
      <c r="O828" s="236"/>
      <c r="P828" s="236"/>
      <c r="Q828" s="236"/>
      <c r="R828" s="236"/>
      <c r="S828" s="236"/>
      <c r="T828" s="236"/>
      <c r="U828" s="236"/>
      <c r="V828" s="236"/>
      <c r="W828" s="237"/>
      <c r="X828" s="237"/>
      <c r="Y828" s="237"/>
      <c r="Z828" s="237"/>
      <c r="AA828" s="237"/>
      <c r="AB828" s="237"/>
      <c r="AC828" s="237"/>
      <c r="AD828" s="237"/>
      <c r="AE828" s="237"/>
      <c r="AF828" s="237"/>
      <c r="AG828" s="237"/>
      <c r="AH828" s="237"/>
      <c r="AI828" s="98"/>
      <c r="AJ828" s="98"/>
      <c r="AK828" s="98"/>
      <c r="AL828" s="98"/>
      <c r="AM828" s="98"/>
      <c r="AN828" s="98"/>
      <c r="AO828" s="98"/>
    </row>
    <row r="829" ht="14.25" customHeight="1">
      <c r="A829" s="179"/>
      <c r="B829" s="98"/>
      <c r="C829" s="98"/>
      <c r="D829" s="98"/>
      <c r="E829" s="98"/>
      <c r="F829" s="235"/>
      <c r="G829" s="235"/>
      <c r="H829" s="236"/>
      <c r="I829" s="236"/>
      <c r="J829" s="236"/>
      <c r="K829" s="236"/>
      <c r="L829" s="236"/>
      <c r="M829" s="236"/>
      <c r="N829" s="236"/>
      <c r="O829" s="236"/>
      <c r="P829" s="236"/>
      <c r="Q829" s="236"/>
      <c r="R829" s="236"/>
      <c r="S829" s="236"/>
      <c r="T829" s="236"/>
      <c r="U829" s="236"/>
      <c r="V829" s="236"/>
      <c r="W829" s="237"/>
      <c r="X829" s="237"/>
      <c r="Y829" s="237"/>
      <c r="Z829" s="237"/>
      <c r="AA829" s="237"/>
      <c r="AB829" s="237"/>
      <c r="AC829" s="237"/>
      <c r="AD829" s="237"/>
      <c r="AE829" s="237"/>
      <c r="AF829" s="237"/>
      <c r="AG829" s="237"/>
      <c r="AH829" s="237"/>
      <c r="AI829" s="98"/>
      <c r="AJ829" s="98"/>
      <c r="AK829" s="98"/>
      <c r="AL829" s="98"/>
      <c r="AM829" s="98"/>
      <c r="AN829" s="98"/>
      <c r="AO829" s="98"/>
    </row>
    <row r="830" ht="14.25" customHeight="1">
      <c r="A830" s="179"/>
      <c r="B830" s="98"/>
      <c r="C830" s="98"/>
      <c r="D830" s="98"/>
      <c r="E830" s="98"/>
      <c r="F830" s="235"/>
      <c r="G830" s="235"/>
      <c r="H830" s="236"/>
      <c r="I830" s="236"/>
      <c r="J830" s="236"/>
      <c r="K830" s="236"/>
      <c r="L830" s="236"/>
      <c r="M830" s="236"/>
      <c r="N830" s="236"/>
      <c r="O830" s="236"/>
      <c r="P830" s="236"/>
      <c r="Q830" s="236"/>
      <c r="R830" s="236"/>
      <c r="S830" s="236"/>
      <c r="T830" s="236"/>
      <c r="U830" s="236"/>
      <c r="V830" s="236"/>
      <c r="W830" s="237"/>
      <c r="X830" s="237"/>
      <c r="Y830" s="237"/>
      <c r="Z830" s="237"/>
      <c r="AA830" s="237"/>
      <c r="AB830" s="237"/>
      <c r="AC830" s="237"/>
      <c r="AD830" s="237"/>
      <c r="AE830" s="237"/>
      <c r="AF830" s="237"/>
      <c r="AG830" s="237"/>
      <c r="AH830" s="237"/>
      <c r="AI830" s="98"/>
      <c r="AJ830" s="98"/>
      <c r="AK830" s="98"/>
      <c r="AL830" s="98"/>
      <c r="AM830" s="98"/>
      <c r="AN830" s="98"/>
      <c r="AO830" s="98"/>
    </row>
    <row r="831" ht="14.25" customHeight="1">
      <c r="A831" s="179"/>
      <c r="B831" s="98"/>
      <c r="C831" s="98"/>
      <c r="D831" s="98"/>
      <c r="E831" s="98"/>
      <c r="F831" s="235"/>
      <c r="G831" s="235"/>
      <c r="H831" s="236"/>
      <c r="I831" s="236"/>
      <c r="J831" s="236"/>
      <c r="K831" s="236"/>
      <c r="L831" s="236"/>
      <c r="M831" s="236"/>
      <c r="N831" s="236"/>
      <c r="O831" s="236"/>
      <c r="P831" s="236"/>
      <c r="Q831" s="236"/>
      <c r="R831" s="236"/>
      <c r="S831" s="236"/>
      <c r="T831" s="236"/>
      <c r="U831" s="236"/>
      <c r="V831" s="236"/>
      <c r="W831" s="237"/>
      <c r="X831" s="237"/>
      <c r="Y831" s="237"/>
      <c r="Z831" s="237"/>
      <c r="AA831" s="237"/>
      <c r="AB831" s="237"/>
      <c r="AC831" s="237"/>
      <c r="AD831" s="237"/>
      <c r="AE831" s="237"/>
      <c r="AF831" s="237"/>
      <c r="AG831" s="237"/>
      <c r="AH831" s="237"/>
      <c r="AI831" s="98"/>
      <c r="AJ831" s="98"/>
      <c r="AK831" s="98"/>
      <c r="AL831" s="98"/>
      <c r="AM831" s="98"/>
      <c r="AN831" s="98"/>
      <c r="AO831" s="98"/>
    </row>
    <row r="832" ht="14.25" customHeight="1">
      <c r="A832" s="179"/>
      <c r="B832" s="98"/>
      <c r="C832" s="98"/>
      <c r="D832" s="98"/>
      <c r="E832" s="98"/>
      <c r="F832" s="235"/>
      <c r="G832" s="235"/>
      <c r="H832" s="236"/>
      <c r="I832" s="236"/>
      <c r="J832" s="236"/>
      <c r="K832" s="236"/>
      <c r="L832" s="236"/>
      <c r="M832" s="236"/>
      <c r="N832" s="236"/>
      <c r="O832" s="236"/>
      <c r="P832" s="236"/>
      <c r="Q832" s="236"/>
      <c r="R832" s="236"/>
      <c r="S832" s="236"/>
      <c r="T832" s="236"/>
      <c r="U832" s="236"/>
      <c r="V832" s="236"/>
      <c r="W832" s="237"/>
      <c r="X832" s="237"/>
      <c r="Y832" s="237"/>
      <c r="Z832" s="237"/>
      <c r="AA832" s="237"/>
      <c r="AB832" s="237"/>
      <c r="AC832" s="237"/>
      <c r="AD832" s="237"/>
      <c r="AE832" s="237"/>
      <c r="AF832" s="237"/>
      <c r="AG832" s="237"/>
      <c r="AH832" s="237"/>
      <c r="AI832" s="98"/>
      <c r="AJ832" s="98"/>
      <c r="AK832" s="98"/>
      <c r="AL832" s="98"/>
      <c r="AM832" s="98"/>
      <c r="AN832" s="98"/>
      <c r="AO832" s="98"/>
    </row>
    <row r="833" ht="14.25" customHeight="1">
      <c r="A833" s="179"/>
      <c r="B833" s="98"/>
      <c r="C833" s="98"/>
      <c r="D833" s="98"/>
      <c r="E833" s="98"/>
      <c r="F833" s="235"/>
      <c r="G833" s="235"/>
      <c r="H833" s="236"/>
      <c r="I833" s="236"/>
      <c r="J833" s="236"/>
      <c r="K833" s="236"/>
      <c r="L833" s="236"/>
      <c r="M833" s="236"/>
      <c r="N833" s="236"/>
      <c r="O833" s="236"/>
      <c r="P833" s="236"/>
      <c r="Q833" s="236"/>
      <c r="R833" s="236"/>
      <c r="S833" s="236"/>
      <c r="T833" s="236"/>
      <c r="U833" s="236"/>
      <c r="V833" s="236"/>
      <c r="W833" s="237"/>
      <c r="X833" s="237"/>
      <c r="Y833" s="237"/>
      <c r="Z833" s="237"/>
      <c r="AA833" s="237"/>
      <c r="AB833" s="237"/>
      <c r="AC833" s="237"/>
      <c r="AD833" s="237"/>
      <c r="AE833" s="237"/>
      <c r="AF833" s="237"/>
      <c r="AG833" s="237"/>
      <c r="AH833" s="237"/>
      <c r="AI833" s="98"/>
      <c r="AJ833" s="98"/>
      <c r="AK833" s="98"/>
      <c r="AL833" s="98"/>
      <c r="AM833" s="98"/>
      <c r="AN833" s="98"/>
      <c r="AO833" s="98"/>
    </row>
    <row r="834" ht="14.25" customHeight="1">
      <c r="A834" s="179"/>
      <c r="B834" s="98"/>
      <c r="C834" s="98"/>
      <c r="D834" s="98"/>
      <c r="E834" s="98"/>
      <c r="F834" s="235"/>
      <c r="G834" s="235"/>
      <c r="H834" s="236"/>
      <c r="I834" s="236"/>
      <c r="J834" s="236"/>
      <c r="K834" s="236"/>
      <c r="L834" s="236"/>
      <c r="M834" s="236"/>
      <c r="N834" s="236"/>
      <c r="O834" s="236"/>
      <c r="P834" s="236"/>
      <c r="Q834" s="236"/>
      <c r="R834" s="236"/>
      <c r="S834" s="236"/>
      <c r="T834" s="236"/>
      <c r="U834" s="236"/>
      <c r="V834" s="236"/>
      <c r="W834" s="237"/>
      <c r="X834" s="237"/>
      <c r="Y834" s="237"/>
      <c r="Z834" s="237"/>
      <c r="AA834" s="237"/>
      <c r="AB834" s="237"/>
      <c r="AC834" s="237"/>
      <c r="AD834" s="237"/>
      <c r="AE834" s="237"/>
      <c r="AF834" s="237"/>
      <c r="AG834" s="237"/>
      <c r="AH834" s="237"/>
      <c r="AI834" s="98"/>
      <c r="AJ834" s="98"/>
      <c r="AK834" s="98"/>
      <c r="AL834" s="98"/>
      <c r="AM834" s="98"/>
      <c r="AN834" s="98"/>
      <c r="AO834" s="98"/>
    </row>
    <row r="835" ht="14.25" customHeight="1">
      <c r="A835" s="179"/>
      <c r="B835" s="98"/>
      <c r="C835" s="98"/>
      <c r="D835" s="98"/>
      <c r="E835" s="98"/>
      <c r="F835" s="235"/>
      <c r="G835" s="235"/>
      <c r="H835" s="236"/>
      <c r="I835" s="236"/>
      <c r="J835" s="236"/>
      <c r="K835" s="236"/>
      <c r="L835" s="236"/>
      <c r="M835" s="236"/>
      <c r="N835" s="236"/>
      <c r="O835" s="236"/>
      <c r="P835" s="236"/>
      <c r="Q835" s="236"/>
      <c r="R835" s="236"/>
      <c r="S835" s="236"/>
      <c r="T835" s="236"/>
      <c r="U835" s="236"/>
      <c r="V835" s="236"/>
      <c r="W835" s="237"/>
      <c r="X835" s="237"/>
      <c r="Y835" s="237"/>
      <c r="Z835" s="237"/>
      <c r="AA835" s="237"/>
      <c r="AB835" s="237"/>
      <c r="AC835" s="237"/>
      <c r="AD835" s="237"/>
      <c r="AE835" s="237"/>
      <c r="AF835" s="237"/>
      <c r="AG835" s="237"/>
      <c r="AH835" s="237"/>
      <c r="AI835" s="98"/>
      <c r="AJ835" s="98"/>
      <c r="AK835" s="98"/>
      <c r="AL835" s="98"/>
      <c r="AM835" s="98"/>
      <c r="AN835" s="98"/>
      <c r="AO835" s="98"/>
    </row>
    <row r="836" ht="14.25" customHeight="1">
      <c r="A836" s="179"/>
      <c r="B836" s="98"/>
      <c r="C836" s="98"/>
      <c r="D836" s="98"/>
      <c r="E836" s="98"/>
      <c r="F836" s="235"/>
      <c r="G836" s="235"/>
      <c r="H836" s="236"/>
      <c r="I836" s="236"/>
      <c r="J836" s="236"/>
      <c r="K836" s="236"/>
      <c r="L836" s="236"/>
      <c r="M836" s="236"/>
      <c r="N836" s="236"/>
      <c r="O836" s="236"/>
      <c r="P836" s="236"/>
      <c r="Q836" s="236"/>
      <c r="R836" s="236"/>
      <c r="S836" s="236"/>
      <c r="T836" s="236"/>
      <c r="U836" s="236"/>
      <c r="V836" s="236"/>
      <c r="W836" s="237"/>
      <c r="X836" s="237"/>
      <c r="Y836" s="237"/>
      <c r="Z836" s="237"/>
      <c r="AA836" s="237"/>
      <c r="AB836" s="237"/>
      <c r="AC836" s="237"/>
      <c r="AD836" s="237"/>
      <c r="AE836" s="237"/>
      <c r="AF836" s="237"/>
      <c r="AG836" s="237"/>
      <c r="AH836" s="237"/>
      <c r="AI836" s="98"/>
      <c r="AJ836" s="98"/>
      <c r="AK836" s="98"/>
      <c r="AL836" s="98"/>
      <c r="AM836" s="98"/>
      <c r="AN836" s="98"/>
      <c r="AO836" s="98"/>
    </row>
    <row r="837" ht="14.25" customHeight="1">
      <c r="A837" s="179"/>
      <c r="B837" s="98"/>
      <c r="C837" s="98"/>
      <c r="D837" s="98"/>
      <c r="E837" s="98"/>
      <c r="F837" s="235"/>
      <c r="G837" s="235"/>
      <c r="H837" s="236"/>
      <c r="I837" s="236"/>
      <c r="J837" s="236"/>
      <c r="K837" s="236"/>
      <c r="L837" s="236"/>
      <c r="M837" s="236"/>
      <c r="N837" s="236"/>
      <c r="O837" s="236"/>
      <c r="P837" s="236"/>
      <c r="Q837" s="236"/>
      <c r="R837" s="236"/>
      <c r="S837" s="236"/>
      <c r="T837" s="236"/>
      <c r="U837" s="236"/>
      <c r="V837" s="236"/>
      <c r="W837" s="237"/>
      <c r="X837" s="237"/>
      <c r="Y837" s="237"/>
      <c r="Z837" s="237"/>
      <c r="AA837" s="237"/>
      <c r="AB837" s="237"/>
      <c r="AC837" s="237"/>
      <c r="AD837" s="237"/>
      <c r="AE837" s="237"/>
      <c r="AF837" s="237"/>
      <c r="AG837" s="237"/>
      <c r="AH837" s="237"/>
      <c r="AI837" s="98"/>
      <c r="AJ837" s="98"/>
      <c r="AK837" s="98"/>
      <c r="AL837" s="98"/>
      <c r="AM837" s="98"/>
      <c r="AN837" s="98"/>
      <c r="AO837" s="98"/>
    </row>
    <row r="838" ht="14.25" customHeight="1">
      <c r="A838" s="179"/>
      <c r="B838" s="98"/>
      <c r="C838" s="98"/>
      <c r="D838" s="98"/>
      <c r="E838" s="98"/>
      <c r="F838" s="235"/>
      <c r="G838" s="235"/>
      <c r="H838" s="236"/>
      <c r="I838" s="236"/>
      <c r="J838" s="236"/>
      <c r="K838" s="236"/>
      <c r="L838" s="236"/>
      <c r="M838" s="236"/>
      <c r="N838" s="236"/>
      <c r="O838" s="236"/>
      <c r="P838" s="236"/>
      <c r="Q838" s="236"/>
      <c r="R838" s="236"/>
      <c r="S838" s="236"/>
      <c r="T838" s="236"/>
      <c r="U838" s="236"/>
      <c r="V838" s="236"/>
      <c r="W838" s="237"/>
      <c r="X838" s="237"/>
      <c r="Y838" s="237"/>
      <c r="Z838" s="237"/>
      <c r="AA838" s="237"/>
      <c r="AB838" s="237"/>
      <c r="AC838" s="237"/>
      <c r="AD838" s="237"/>
      <c r="AE838" s="237"/>
      <c r="AF838" s="237"/>
      <c r="AG838" s="237"/>
      <c r="AH838" s="237"/>
      <c r="AI838" s="98"/>
      <c r="AJ838" s="98"/>
      <c r="AK838" s="98"/>
      <c r="AL838" s="98"/>
      <c r="AM838" s="98"/>
      <c r="AN838" s="98"/>
      <c r="AO838" s="98"/>
    </row>
    <row r="839" ht="14.25" customHeight="1">
      <c r="A839" s="179"/>
      <c r="B839" s="98"/>
      <c r="C839" s="98"/>
      <c r="D839" s="98"/>
      <c r="E839" s="98"/>
      <c r="F839" s="235"/>
      <c r="G839" s="235"/>
      <c r="H839" s="236"/>
      <c r="I839" s="236"/>
      <c r="J839" s="236"/>
      <c r="K839" s="236"/>
      <c r="L839" s="236"/>
      <c r="M839" s="236"/>
      <c r="N839" s="236"/>
      <c r="O839" s="236"/>
      <c r="P839" s="236"/>
      <c r="Q839" s="236"/>
      <c r="R839" s="236"/>
      <c r="S839" s="236"/>
      <c r="T839" s="236"/>
      <c r="U839" s="236"/>
      <c r="V839" s="236"/>
      <c r="W839" s="237"/>
      <c r="X839" s="237"/>
      <c r="Y839" s="237"/>
      <c r="Z839" s="237"/>
      <c r="AA839" s="237"/>
      <c r="AB839" s="237"/>
      <c r="AC839" s="237"/>
      <c r="AD839" s="237"/>
      <c r="AE839" s="237"/>
      <c r="AF839" s="237"/>
      <c r="AG839" s="237"/>
      <c r="AH839" s="237"/>
      <c r="AI839" s="98"/>
      <c r="AJ839" s="98"/>
      <c r="AK839" s="98"/>
      <c r="AL839" s="98"/>
      <c r="AM839" s="98"/>
      <c r="AN839" s="98"/>
      <c r="AO839" s="98"/>
    </row>
    <row r="840" ht="14.25" customHeight="1">
      <c r="A840" s="179"/>
      <c r="B840" s="98"/>
      <c r="C840" s="98"/>
      <c r="D840" s="98"/>
      <c r="E840" s="98"/>
      <c r="F840" s="235"/>
      <c r="G840" s="235"/>
      <c r="H840" s="236"/>
      <c r="I840" s="236"/>
      <c r="J840" s="236"/>
      <c r="K840" s="236"/>
      <c r="L840" s="236"/>
      <c r="M840" s="236"/>
      <c r="N840" s="236"/>
      <c r="O840" s="236"/>
      <c r="P840" s="236"/>
      <c r="Q840" s="236"/>
      <c r="R840" s="236"/>
      <c r="S840" s="236"/>
      <c r="T840" s="236"/>
      <c r="U840" s="236"/>
      <c r="V840" s="236"/>
      <c r="W840" s="237"/>
      <c r="X840" s="237"/>
      <c r="Y840" s="237"/>
      <c r="Z840" s="237"/>
      <c r="AA840" s="237"/>
      <c r="AB840" s="237"/>
      <c r="AC840" s="237"/>
      <c r="AD840" s="237"/>
      <c r="AE840" s="237"/>
      <c r="AF840" s="237"/>
      <c r="AG840" s="237"/>
      <c r="AH840" s="237"/>
      <c r="AI840" s="98"/>
      <c r="AJ840" s="98"/>
      <c r="AK840" s="98"/>
      <c r="AL840" s="98"/>
      <c r="AM840" s="98"/>
      <c r="AN840" s="98"/>
      <c r="AO840" s="98"/>
    </row>
    <row r="841" ht="14.25" customHeight="1">
      <c r="A841" s="179"/>
      <c r="B841" s="98"/>
      <c r="C841" s="98"/>
      <c r="D841" s="98"/>
      <c r="E841" s="98"/>
      <c r="F841" s="235"/>
      <c r="G841" s="235"/>
      <c r="H841" s="236"/>
      <c r="I841" s="236"/>
      <c r="J841" s="236"/>
      <c r="K841" s="236"/>
      <c r="L841" s="236"/>
      <c r="M841" s="236"/>
      <c r="N841" s="236"/>
      <c r="O841" s="236"/>
      <c r="P841" s="236"/>
      <c r="Q841" s="236"/>
      <c r="R841" s="236"/>
      <c r="S841" s="236"/>
      <c r="T841" s="236"/>
      <c r="U841" s="236"/>
      <c r="V841" s="236"/>
      <c r="W841" s="237"/>
      <c r="X841" s="237"/>
      <c r="Y841" s="237"/>
      <c r="Z841" s="237"/>
      <c r="AA841" s="237"/>
      <c r="AB841" s="237"/>
      <c r="AC841" s="237"/>
      <c r="AD841" s="237"/>
      <c r="AE841" s="237"/>
      <c r="AF841" s="237"/>
      <c r="AG841" s="237"/>
      <c r="AH841" s="237"/>
      <c r="AI841" s="98"/>
      <c r="AJ841" s="98"/>
      <c r="AK841" s="98"/>
      <c r="AL841" s="98"/>
      <c r="AM841" s="98"/>
      <c r="AN841" s="98"/>
      <c r="AO841" s="98"/>
    </row>
    <row r="842" ht="14.25" customHeight="1">
      <c r="A842" s="179"/>
      <c r="B842" s="98"/>
      <c r="C842" s="98"/>
      <c r="D842" s="98"/>
      <c r="E842" s="98"/>
      <c r="F842" s="235"/>
      <c r="G842" s="235"/>
      <c r="H842" s="236"/>
      <c r="I842" s="236"/>
      <c r="J842" s="236"/>
      <c r="K842" s="236"/>
      <c r="L842" s="236"/>
      <c r="M842" s="236"/>
      <c r="N842" s="236"/>
      <c r="O842" s="236"/>
      <c r="P842" s="236"/>
      <c r="Q842" s="236"/>
      <c r="R842" s="236"/>
      <c r="S842" s="236"/>
      <c r="T842" s="236"/>
      <c r="U842" s="236"/>
      <c r="V842" s="236"/>
      <c r="W842" s="237"/>
      <c r="X842" s="237"/>
      <c r="Y842" s="237"/>
      <c r="Z842" s="237"/>
      <c r="AA842" s="237"/>
      <c r="AB842" s="237"/>
      <c r="AC842" s="237"/>
      <c r="AD842" s="237"/>
      <c r="AE842" s="237"/>
      <c r="AF842" s="237"/>
      <c r="AG842" s="237"/>
      <c r="AH842" s="237"/>
      <c r="AI842" s="98"/>
      <c r="AJ842" s="98"/>
      <c r="AK842" s="98"/>
      <c r="AL842" s="98"/>
      <c r="AM842" s="98"/>
      <c r="AN842" s="98"/>
      <c r="AO842" s="98"/>
    </row>
    <row r="843" ht="14.25" customHeight="1">
      <c r="A843" s="179"/>
      <c r="B843" s="98"/>
      <c r="C843" s="98"/>
      <c r="D843" s="98"/>
      <c r="E843" s="98"/>
      <c r="F843" s="235"/>
      <c r="G843" s="235"/>
      <c r="H843" s="236"/>
      <c r="I843" s="236"/>
      <c r="J843" s="236"/>
      <c r="K843" s="236"/>
      <c r="L843" s="236"/>
      <c r="M843" s="236"/>
      <c r="N843" s="236"/>
      <c r="O843" s="236"/>
      <c r="P843" s="236"/>
      <c r="Q843" s="236"/>
      <c r="R843" s="236"/>
      <c r="S843" s="236"/>
      <c r="T843" s="236"/>
      <c r="U843" s="236"/>
      <c r="V843" s="236"/>
      <c r="W843" s="237"/>
      <c r="X843" s="237"/>
      <c r="Y843" s="237"/>
      <c r="Z843" s="237"/>
      <c r="AA843" s="237"/>
      <c r="AB843" s="237"/>
      <c r="AC843" s="237"/>
      <c r="AD843" s="237"/>
      <c r="AE843" s="237"/>
      <c r="AF843" s="237"/>
      <c r="AG843" s="237"/>
      <c r="AH843" s="237"/>
      <c r="AI843" s="98"/>
      <c r="AJ843" s="98"/>
      <c r="AK843" s="98"/>
      <c r="AL843" s="98"/>
      <c r="AM843" s="98"/>
      <c r="AN843" s="98"/>
      <c r="AO843" s="98"/>
    </row>
    <row r="844" ht="14.25" customHeight="1">
      <c r="A844" s="179"/>
      <c r="B844" s="98"/>
      <c r="C844" s="98"/>
      <c r="D844" s="98"/>
      <c r="E844" s="98"/>
      <c r="F844" s="235"/>
      <c r="G844" s="235"/>
      <c r="H844" s="236"/>
      <c r="I844" s="236"/>
      <c r="J844" s="236"/>
      <c r="K844" s="236"/>
      <c r="L844" s="236"/>
      <c r="M844" s="236"/>
      <c r="N844" s="236"/>
      <c r="O844" s="236"/>
      <c r="P844" s="236"/>
      <c r="Q844" s="236"/>
      <c r="R844" s="236"/>
      <c r="S844" s="236"/>
      <c r="T844" s="236"/>
      <c r="U844" s="236"/>
      <c r="V844" s="236"/>
      <c r="W844" s="237"/>
      <c r="X844" s="237"/>
      <c r="Y844" s="237"/>
      <c r="Z844" s="237"/>
      <c r="AA844" s="237"/>
      <c r="AB844" s="237"/>
      <c r="AC844" s="237"/>
      <c r="AD844" s="237"/>
      <c r="AE844" s="237"/>
      <c r="AF844" s="237"/>
      <c r="AG844" s="237"/>
      <c r="AH844" s="237"/>
      <c r="AI844" s="98"/>
      <c r="AJ844" s="98"/>
      <c r="AK844" s="98"/>
      <c r="AL844" s="98"/>
      <c r="AM844" s="98"/>
      <c r="AN844" s="98"/>
      <c r="AO844" s="98"/>
    </row>
    <row r="845" ht="14.25" customHeight="1">
      <c r="A845" s="179"/>
      <c r="B845" s="98"/>
      <c r="C845" s="98"/>
      <c r="D845" s="98"/>
      <c r="E845" s="98"/>
      <c r="F845" s="235"/>
      <c r="G845" s="235"/>
      <c r="H845" s="236"/>
      <c r="I845" s="236"/>
      <c r="J845" s="236"/>
      <c r="K845" s="236"/>
      <c r="L845" s="236"/>
      <c r="M845" s="236"/>
      <c r="N845" s="236"/>
      <c r="O845" s="236"/>
      <c r="P845" s="236"/>
      <c r="Q845" s="236"/>
      <c r="R845" s="236"/>
      <c r="S845" s="236"/>
      <c r="T845" s="236"/>
      <c r="U845" s="236"/>
      <c r="V845" s="236"/>
      <c r="W845" s="237"/>
      <c r="X845" s="237"/>
      <c r="Y845" s="237"/>
      <c r="Z845" s="237"/>
      <c r="AA845" s="237"/>
      <c r="AB845" s="237"/>
      <c r="AC845" s="237"/>
      <c r="AD845" s="237"/>
      <c r="AE845" s="237"/>
      <c r="AF845" s="237"/>
      <c r="AG845" s="237"/>
      <c r="AH845" s="237"/>
      <c r="AI845" s="98"/>
      <c r="AJ845" s="98"/>
      <c r="AK845" s="98"/>
      <c r="AL845" s="98"/>
      <c r="AM845" s="98"/>
      <c r="AN845" s="98"/>
      <c r="AO845" s="98"/>
    </row>
    <row r="846" ht="14.25" customHeight="1">
      <c r="A846" s="179"/>
      <c r="B846" s="98"/>
      <c r="C846" s="98"/>
      <c r="D846" s="98"/>
      <c r="E846" s="98"/>
      <c r="F846" s="235"/>
      <c r="G846" s="235"/>
      <c r="H846" s="236"/>
      <c r="I846" s="236"/>
      <c r="J846" s="236"/>
      <c r="K846" s="236"/>
      <c r="L846" s="236"/>
      <c r="M846" s="236"/>
      <c r="N846" s="236"/>
      <c r="O846" s="236"/>
      <c r="P846" s="236"/>
      <c r="Q846" s="236"/>
      <c r="R846" s="236"/>
      <c r="S846" s="236"/>
      <c r="T846" s="236"/>
      <c r="U846" s="236"/>
      <c r="V846" s="236"/>
      <c r="W846" s="237"/>
      <c r="X846" s="237"/>
      <c r="Y846" s="237"/>
      <c r="Z846" s="237"/>
      <c r="AA846" s="237"/>
      <c r="AB846" s="237"/>
      <c r="AC846" s="237"/>
      <c r="AD846" s="237"/>
      <c r="AE846" s="237"/>
      <c r="AF846" s="237"/>
      <c r="AG846" s="237"/>
      <c r="AH846" s="237"/>
      <c r="AI846" s="98"/>
      <c r="AJ846" s="98"/>
      <c r="AK846" s="98"/>
      <c r="AL846" s="98"/>
      <c r="AM846" s="98"/>
      <c r="AN846" s="98"/>
      <c r="AO846" s="98"/>
    </row>
    <row r="847" ht="14.25" customHeight="1">
      <c r="A847" s="179"/>
      <c r="B847" s="98"/>
      <c r="C847" s="98"/>
      <c r="D847" s="98"/>
      <c r="E847" s="98"/>
      <c r="F847" s="235"/>
      <c r="G847" s="235"/>
      <c r="H847" s="236"/>
      <c r="I847" s="236"/>
      <c r="J847" s="236"/>
      <c r="K847" s="236"/>
      <c r="L847" s="236"/>
      <c r="M847" s="236"/>
      <c r="N847" s="236"/>
      <c r="O847" s="236"/>
      <c r="P847" s="236"/>
      <c r="Q847" s="236"/>
      <c r="R847" s="236"/>
      <c r="S847" s="236"/>
      <c r="T847" s="236"/>
      <c r="U847" s="236"/>
      <c r="V847" s="236"/>
      <c r="W847" s="237"/>
      <c r="X847" s="237"/>
      <c r="Y847" s="237"/>
      <c r="Z847" s="237"/>
      <c r="AA847" s="237"/>
      <c r="AB847" s="237"/>
      <c r="AC847" s="237"/>
      <c r="AD847" s="237"/>
      <c r="AE847" s="237"/>
      <c r="AF847" s="237"/>
      <c r="AG847" s="237"/>
      <c r="AH847" s="237"/>
      <c r="AI847" s="98"/>
      <c r="AJ847" s="98"/>
      <c r="AK847" s="98"/>
      <c r="AL847" s="98"/>
      <c r="AM847" s="98"/>
      <c r="AN847" s="98"/>
      <c r="AO847" s="98"/>
    </row>
    <row r="848" ht="14.25" customHeight="1">
      <c r="A848" s="179"/>
      <c r="B848" s="98"/>
      <c r="C848" s="98"/>
      <c r="D848" s="98"/>
      <c r="E848" s="98"/>
      <c r="F848" s="235"/>
      <c r="G848" s="235"/>
      <c r="H848" s="236"/>
      <c r="I848" s="236"/>
      <c r="J848" s="236"/>
      <c r="K848" s="236"/>
      <c r="L848" s="236"/>
      <c r="M848" s="236"/>
      <c r="N848" s="236"/>
      <c r="O848" s="236"/>
      <c r="P848" s="236"/>
      <c r="Q848" s="236"/>
      <c r="R848" s="236"/>
      <c r="S848" s="236"/>
      <c r="T848" s="236"/>
      <c r="U848" s="236"/>
      <c r="V848" s="236"/>
      <c r="W848" s="237"/>
      <c r="X848" s="237"/>
      <c r="Y848" s="237"/>
      <c r="Z848" s="237"/>
      <c r="AA848" s="237"/>
      <c r="AB848" s="237"/>
      <c r="AC848" s="237"/>
      <c r="AD848" s="237"/>
      <c r="AE848" s="237"/>
      <c r="AF848" s="237"/>
      <c r="AG848" s="237"/>
      <c r="AH848" s="237"/>
      <c r="AI848" s="98"/>
      <c r="AJ848" s="98"/>
      <c r="AK848" s="98"/>
      <c r="AL848" s="98"/>
      <c r="AM848" s="98"/>
      <c r="AN848" s="98"/>
      <c r="AO848" s="98"/>
    </row>
    <row r="849" ht="14.25" customHeight="1">
      <c r="A849" s="179"/>
      <c r="B849" s="98"/>
      <c r="C849" s="98"/>
      <c r="D849" s="98"/>
      <c r="E849" s="98"/>
      <c r="F849" s="235"/>
      <c r="G849" s="235"/>
      <c r="H849" s="236"/>
      <c r="I849" s="236"/>
      <c r="J849" s="236"/>
      <c r="K849" s="236"/>
      <c r="L849" s="236"/>
      <c r="M849" s="236"/>
      <c r="N849" s="236"/>
      <c r="O849" s="236"/>
      <c r="P849" s="236"/>
      <c r="Q849" s="236"/>
      <c r="R849" s="236"/>
      <c r="S849" s="236"/>
      <c r="T849" s="236"/>
      <c r="U849" s="236"/>
      <c r="V849" s="236"/>
      <c r="W849" s="237"/>
      <c r="X849" s="237"/>
      <c r="Y849" s="237"/>
      <c r="Z849" s="237"/>
      <c r="AA849" s="237"/>
      <c r="AB849" s="237"/>
      <c r="AC849" s="237"/>
      <c r="AD849" s="237"/>
      <c r="AE849" s="237"/>
      <c r="AF849" s="237"/>
      <c r="AG849" s="237"/>
      <c r="AH849" s="237"/>
      <c r="AI849" s="98"/>
      <c r="AJ849" s="98"/>
      <c r="AK849" s="98"/>
      <c r="AL849" s="98"/>
      <c r="AM849" s="98"/>
      <c r="AN849" s="98"/>
      <c r="AO849" s="98"/>
    </row>
    <row r="850" ht="14.25" customHeight="1">
      <c r="A850" s="179"/>
      <c r="B850" s="98"/>
      <c r="C850" s="98"/>
      <c r="D850" s="98"/>
      <c r="E850" s="98"/>
      <c r="F850" s="235"/>
      <c r="G850" s="235"/>
      <c r="H850" s="236"/>
      <c r="I850" s="236"/>
      <c r="J850" s="236"/>
      <c r="K850" s="236"/>
      <c r="L850" s="236"/>
      <c r="M850" s="236"/>
      <c r="N850" s="236"/>
      <c r="O850" s="236"/>
      <c r="P850" s="236"/>
      <c r="Q850" s="236"/>
      <c r="R850" s="236"/>
      <c r="S850" s="236"/>
      <c r="T850" s="236"/>
      <c r="U850" s="236"/>
      <c r="V850" s="236"/>
      <c r="W850" s="237"/>
      <c r="X850" s="237"/>
      <c r="Y850" s="237"/>
      <c r="Z850" s="237"/>
      <c r="AA850" s="237"/>
      <c r="AB850" s="237"/>
      <c r="AC850" s="237"/>
      <c r="AD850" s="237"/>
      <c r="AE850" s="237"/>
      <c r="AF850" s="237"/>
      <c r="AG850" s="237"/>
      <c r="AH850" s="237"/>
      <c r="AI850" s="98"/>
      <c r="AJ850" s="98"/>
      <c r="AK850" s="98"/>
      <c r="AL850" s="98"/>
      <c r="AM850" s="98"/>
      <c r="AN850" s="98"/>
      <c r="AO850" s="98"/>
    </row>
    <row r="851" ht="14.25" customHeight="1">
      <c r="A851" s="179"/>
      <c r="B851" s="98"/>
      <c r="C851" s="98"/>
      <c r="D851" s="98"/>
      <c r="E851" s="98"/>
      <c r="F851" s="235"/>
      <c r="G851" s="235"/>
      <c r="H851" s="236"/>
      <c r="I851" s="236"/>
      <c r="J851" s="236"/>
      <c r="K851" s="236"/>
      <c r="L851" s="236"/>
      <c r="M851" s="236"/>
      <c r="N851" s="236"/>
      <c r="O851" s="236"/>
      <c r="P851" s="236"/>
      <c r="Q851" s="236"/>
      <c r="R851" s="236"/>
      <c r="S851" s="236"/>
      <c r="T851" s="236"/>
      <c r="U851" s="236"/>
      <c r="V851" s="236"/>
      <c r="W851" s="237"/>
      <c r="X851" s="237"/>
      <c r="Y851" s="237"/>
      <c r="Z851" s="237"/>
      <c r="AA851" s="237"/>
      <c r="AB851" s="237"/>
      <c r="AC851" s="237"/>
      <c r="AD851" s="237"/>
      <c r="AE851" s="237"/>
      <c r="AF851" s="237"/>
      <c r="AG851" s="237"/>
      <c r="AH851" s="237"/>
      <c r="AI851" s="98"/>
      <c r="AJ851" s="98"/>
      <c r="AK851" s="98"/>
      <c r="AL851" s="98"/>
      <c r="AM851" s="98"/>
      <c r="AN851" s="98"/>
      <c r="AO851" s="98"/>
    </row>
    <row r="852" ht="14.25" customHeight="1">
      <c r="A852" s="179"/>
      <c r="B852" s="98"/>
      <c r="C852" s="98"/>
      <c r="D852" s="98"/>
      <c r="E852" s="98"/>
      <c r="F852" s="235"/>
      <c r="G852" s="235"/>
      <c r="H852" s="236"/>
      <c r="I852" s="236"/>
      <c r="J852" s="236"/>
      <c r="K852" s="236"/>
      <c r="L852" s="236"/>
      <c r="M852" s="236"/>
      <c r="N852" s="236"/>
      <c r="O852" s="236"/>
      <c r="P852" s="236"/>
      <c r="Q852" s="236"/>
      <c r="R852" s="236"/>
      <c r="S852" s="236"/>
      <c r="T852" s="236"/>
      <c r="U852" s="236"/>
      <c r="V852" s="236"/>
      <c r="W852" s="237"/>
      <c r="X852" s="237"/>
      <c r="Y852" s="237"/>
      <c r="Z852" s="237"/>
      <c r="AA852" s="237"/>
      <c r="AB852" s="237"/>
      <c r="AC852" s="237"/>
      <c r="AD852" s="237"/>
      <c r="AE852" s="237"/>
      <c r="AF852" s="237"/>
      <c r="AG852" s="237"/>
      <c r="AH852" s="237"/>
      <c r="AI852" s="98"/>
      <c r="AJ852" s="98"/>
      <c r="AK852" s="98"/>
      <c r="AL852" s="98"/>
      <c r="AM852" s="98"/>
      <c r="AN852" s="98"/>
      <c r="AO852" s="98"/>
    </row>
    <row r="853" ht="14.25" customHeight="1">
      <c r="A853" s="179"/>
      <c r="B853" s="98"/>
      <c r="C853" s="98"/>
      <c r="D853" s="98"/>
      <c r="E853" s="98"/>
      <c r="F853" s="235"/>
      <c r="G853" s="235"/>
      <c r="H853" s="236"/>
      <c r="I853" s="236"/>
      <c r="J853" s="236"/>
      <c r="K853" s="236"/>
      <c r="L853" s="236"/>
      <c r="M853" s="236"/>
      <c r="N853" s="236"/>
      <c r="O853" s="236"/>
      <c r="P853" s="236"/>
      <c r="Q853" s="236"/>
      <c r="R853" s="236"/>
      <c r="S853" s="236"/>
      <c r="T853" s="236"/>
      <c r="U853" s="236"/>
      <c r="V853" s="236"/>
      <c r="W853" s="237"/>
      <c r="X853" s="237"/>
      <c r="Y853" s="237"/>
      <c r="Z853" s="237"/>
      <c r="AA853" s="237"/>
      <c r="AB853" s="237"/>
      <c r="AC853" s="237"/>
      <c r="AD853" s="237"/>
      <c r="AE853" s="237"/>
      <c r="AF853" s="237"/>
      <c r="AG853" s="237"/>
      <c r="AH853" s="237"/>
      <c r="AI853" s="98"/>
      <c r="AJ853" s="98"/>
      <c r="AK853" s="98"/>
      <c r="AL853" s="98"/>
      <c r="AM853" s="98"/>
      <c r="AN853" s="98"/>
      <c r="AO853" s="98"/>
    </row>
    <row r="854" ht="14.25" customHeight="1">
      <c r="A854" s="179"/>
      <c r="B854" s="98"/>
      <c r="C854" s="98"/>
      <c r="D854" s="98"/>
      <c r="E854" s="98"/>
      <c r="F854" s="235"/>
      <c r="G854" s="235"/>
      <c r="H854" s="236"/>
      <c r="I854" s="236"/>
      <c r="J854" s="236"/>
      <c r="K854" s="236"/>
      <c r="L854" s="236"/>
      <c r="M854" s="236"/>
      <c r="N854" s="236"/>
      <c r="O854" s="236"/>
      <c r="P854" s="236"/>
      <c r="Q854" s="236"/>
      <c r="R854" s="236"/>
      <c r="S854" s="236"/>
      <c r="T854" s="236"/>
      <c r="U854" s="236"/>
      <c r="V854" s="236"/>
      <c r="W854" s="237"/>
      <c r="X854" s="237"/>
      <c r="Y854" s="237"/>
      <c r="Z854" s="237"/>
      <c r="AA854" s="237"/>
      <c r="AB854" s="237"/>
      <c r="AC854" s="237"/>
      <c r="AD854" s="237"/>
      <c r="AE854" s="237"/>
      <c r="AF854" s="237"/>
      <c r="AG854" s="237"/>
      <c r="AH854" s="237"/>
      <c r="AI854" s="98"/>
      <c r="AJ854" s="98"/>
      <c r="AK854" s="98"/>
      <c r="AL854" s="98"/>
      <c r="AM854" s="98"/>
      <c r="AN854" s="98"/>
      <c r="AO854" s="98"/>
    </row>
    <row r="855" ht="14.25" customHeight="1">
      <c r="A855" s="179"/>
      <c r="B855" s="98"/>
      <c r="C855" s="98"/>
      <c r="D855" s="98"/>
      <c r="E855" s="98"/>
      <c r="F855" s="235"/>
      <c r="G855" s="235"/>
      <c r="H855" s="236"/>
      <c r="I855" s="236"/>
      <c r="J855" s="236"/>
      <c r="K855" s="236"/>
      <c r="L855" s="236"/>
      <c r="M855" s="236"/>
      <c r="N855" s="236"/>
      <c r="O855" s="236"/>
      <c r="P855" s="236"/>
      <c r="Q855" s="236"/>
      <c r="R855" s="236"/>
      <c r="S855" s="236"/>
      <c r="T855" s="236"/>
      <c r="U855" s="236"/>
      <c r="V855" s="236"/>
      <c r="W855" s="237"/>
      <c r="X855" s="237"/>
      <c r="Y855" s="237"/>
      <c r="Z855" s="237"/>
      <c r="AA855" s="237"/>
      <c r="AB855" s="237"/>
      <c r="AC855" s="237"/>
      <c r="AD855" s="237"/>
      <c r="AE855" s="237"/>
      <c r="AF855" s="237"/>
      <c r="AG855" s="237"/>
      <c r="AH855" s="237"/>
      <c r="AI855" s="98"/>
      <c r="AJ855" s="98"/>
      <c r="AK855" s="98"/>
      <c r="AL855" s="98"/>
      <c r="AM855" s="98"/>
      <c r="AN855" s="98"/>
      <c r="AO855" s="98"/>
    </row>
    <row r="856" ht="14.25" customHeight="1">
      <c r="A856" s="179"/>
      <c r="B856" s="98"/>
      <c r="C856" s="98"/>
      <c r="D856" s="98"/>
      <c r="E856" s="98"/>
      <c r="F856" s="235"/>
      <c r="G856" s="235"/>
      <c r="H856" s="236"/>
      <c r="I856" s="236"/>
      <c r="J856" s="236"/>
      <c r="K856" s="236"/>
      <c r="L856" s="236"/>
      <c r="M856" s="236"/>
      <c r="N856" s="236"/>
      <c r="O856" s="236"/>
      <c r="P856" s="236"/>
      <c r="Q856" s="236"/>
      <c r="R856" s="236"/>
      <c r="S856" s="236"/>
      <c r="T856" s="236"/>
      <c r="U856" s="236"/>
      <c r="V856" s="236"/>
      <c r="W856" s="237"/>
      <c r="X856" s="237"/>
      <c r="Y856" s="237"/>
      <c r="Z856" s="237"/>
      <c r="AA856" s="237"/>
      <c r="AB856" s="237"/>
      <c r="AC856" s="237"/>
      <c r="AD856" s="237"/>
      <c r="AE856" s="237"/>
      <c r="AF856" s="237"/>
      <c r="AG856" s="237"/>
      <c r="AH856" s="237"/>
      <c r="AI856" s="98"/>
      <c r="AJ856" s="98"/>
      <c r="AK856" s="98"/>
      <c r="AL856" s="98"/>
      <c r="AM856" s="98"/>
      <c r="AN856" s="98"/>
      <c r="AO856" s="98"/>
    </row>
    <row r="857" ht="14.25" customHeight="1">
      <c r="A857" s="179"/>
      <c r="B857" s="98"/>
      <c r="C857" s="98"/>
      <c r="D857" s="98"/>
      <c r="E857" s="98"/>
      <c r="F857" s="235"/>
      <c r="G857" s="235"/>
      <c r="H857" s="236"/>
      <c r="I857" s="236"/>
      <c r="J857" s="236"/>
      <c r="K857" s="236"/>
      <c r="L857" s="236"/>
      <c r="M857" s="236"/>
      <c r="N857" s="236"/>
      <c r="O857" s="236"/>
      <c r="P857" s="236"/>
      <c r="Q857" s="236"/>
      <c r="R857" s="236"/>
      <c r="S857" s="236"/>
      <c r="T857" s="236"/>
      <c r="U857" s="236"/>
      <c r="V857" s="236"/>
      <c r="W857" s="237"/>
      <c r="X857" s="237"/>
      <c r="Y857" s="237"/>
      <c r="Z857" s="237"/>
      <c r="AA857" s="237"/>
      <c r="AB857" s="237"/>
      <c r="AC857" s="237"/>
      <c r="AD857" s="237"/>
      <c r="AE857" s="237"/>
      <c r="AF857" s="237"/>
      <c r="AG857" s="237"/>
      <c r="AH857" s="237"/>
      <c r="AI857" s="98"/>
      <c r="AJ857" s="98"/>
      <c r="AK857" s="98"/>
      <c r="AL857" s="98"/>
      <c r="AM857" s="98"/>
      <c r="AN857" s="98"/>
      <c r="AO857" s="98"/>
    </row>
    <row r="858" ht="14.25" customHeight="1">
      <c r="A858" s="179"/>
      <c r="B858" s="98"/>
      <c r="C858" s="98"/>
      <c r="D858" s="98"/>
      <c r="E858" s="98"/>
      <c r="F858" s="235"/>
      <c r="G858" s="235"/>
      <c r="H858" s="236"/>
      <c r="I858" s="236"/>
      <c r="J858" s="236"/>
      <c r="K858" s="236"/>
      <c r="L858" s="236"/>
      <c r="M858" s="236"/>
      <c r="N858" s="236"/>
      <c r="O858" s="236"/>
      <c r="P858" s="236"/>
      <c r="Q858" s="236"/>
      <c r="R858" s="236"/>
      <c r="S858" s="236"/>
      <c r="T858" s="236"/>
      <c r="U858" s="236"/>
      <c r="V858" s="236"/>
      <c r="W858" s="237"/>
      <c r="X858" s="237"/>
      <c r="Y858" s="237"/>
      <c r="Z858" s="237"/>
      <c r="AA858" s="237"/>
      <c r="AB858" s="237"/>
      <c r="AC858" s="237"/>
      <c r="AD858" s="237"/>
      <c r="AE858" s="237"/>
      <c r="AF858" s="237"/>
      <c r="AG858" s="237"/>
      <c r="AH858" s="237"/>
      <c r="AI858" s="98"/>
      <c r="AJ858" s="98"/>
      <c r="AK858" s="98"/>
      <c r="AL858" s="98"/>
      <c r="AM858" s="98"/>
      <c r="AN858" s="98"/>
      <c r="AO858" s="98"/>
    </row>
    <row r="859" ht="14.25" customHeight="1">
      <c r="A859" s="179"/>
      <c r="B859" s="98"/>
      <c r="C859" s="98"/>
      <c r="D859" s="98"/>
      <c r="E859" s="98"/>
      <c r="F859" s="235"/>
      <c r="G859" s="235"/>
      <c r="H859" s="236"/>
      <c r="I859" s="236"/>
      <c r="J859" s="236"/>
      <c r="K859" s="236"/>
      <c r="L859" s="236"/>
      <c r="M859" s="236"/>
      <c r="N859" s="236"/>
      <c r="O859" s="236"/>
      <c r="P859" s="236"/>
      <c r="Q859" s="236"/>
      <c r="R859" s="236"/>
      <c r="S859" s="236"/>
      <c r="T859" s="236"/>
      <c r="U859" s="236"/>
      <c r="V859" s="236"/>
      <c r="W859" s="237"/>
      <c r="X859" s="237"/>
      <c r="Y859" s="237"/>
      <c r="Z859" s="237"/>
      <c r="AA859" s="237"/>
      <c r="AB859" s="237"/>
      <c r="AC859" s="237"/>
      <c r="AD859" s="237"/>
      <c r="AE859" s="237"/>
      <c r="AF859" s="237"/>
      <c r="AG859" s="237"/>
      <c r="AH859" s="237"/>
      <c r="AI859" s="98"/>
      <c r="AJ859" s="98"/>
      <c r="AK859" s="98"/>
      <c r="AL859" s="98"/>
      <c r="AM859" s="98"/>
      <c r="AN859" s="98"/>
      <c r="AO859" s="98"/>
    </row>
    <row r="860" ht="14.25" customHeight="1">
      <c r="A860" s="179"/>
      <c r="B860" s="98"/>
      <c r="C860" s="98"/>
      <c r="D860" s="98"/>
      <c r="E860" s="98"/>
      <c r="F860" s="235"/>
      <c r="G860" s="235"/>
      <c r="H860" s="236"/>
      <c r="I860" s="236"/>
      <c r="J860" s="236"/>
      <c r="K860" s="236"/>
      <c r="L860" s="236"/>
      <c r="M860" s="236"/>
      <c r="N860" s="236"/>
      <c r="O860" s="236"/>
      <c r="P860" s="236"/>
      <c r="Q860" s="236"/>
      <c r="R860" s="236"/>
      <c r="S860" s="236"/>
      <c r="T860" s="236"/>
      <c r="U860" s="236"/>
      <c r="V860" s="236"/>
      <c r="W860" s="237"/>
      <c r="X860" s="237"/>
      <c r="Y860" s="237"/>
      <c r="Z860" s="237"/>
      <c r="AA860" s="237"/>
      <c r="AB860" s="237"/>
      <c r="AC860" s="237"/>
      <c r="AD860" s="237"/>
      <c r="AE860" s="237"/>
      <c r="AF860" s="237"/>
      <c r="AG860" s="237"/>
      <c r="AH860" s="237"/>
      <c r="AI860" s="98"/>
      <c r="AJ860" s="98"/>
      <c r="AK860" s="98"/>
      <c r="AL860" s="98"/>
      <c r="AM860" s="98"/>
      <c r="AN860" s="98"/>
      <c r="AO860" s="98"/>
    </row>
    <row r="861" ht="14.25" customHeight="1">
      <c r="A861" s="179"/>
      <c r="B861" s="98"/>
      <c r="C861" s="98"/>
      <c r="D861" s="98"/>
      <c r="E861" s="98"/>
      <c r="F861" s="235"/>
      <c r="G861" s="235"/>
      <c r="H861" s="236"/>
      <c r="I861" s="236"/>
      <c r="J861" s="236"/>
      <c r="K861" s="236"/>
      <c r="L861" s="236"/>
      <c r="M861" s="236"/>
      <c r="N861" s="236"/>
      <c r="O861" s="236"/>
      <c r="P861" s="236"/>
      <c r="Q861" s="236"/>
      <c r="R861" s="236"/>
      <c r="S861" s="236"/>
      <c r="T861" s="236"/>
      <c r="U861" s="236"/>
      <c r="V861" s="236"/>
      <c r="W861" s="237"/>
      <c r="X861" s="237"/>
      <c r="Y861" s="237"/>
      <c r="Z861" s="237"/>
      <c r="AA861" s="237"/>
      <c r="AB861" s="237"/>
      <c r="AC861" s="237"/>
      <c r="AD861" s="237"/>
      <c r="AE861" s="237"/>
      <c r="AF861" s="237"/>
      <c r="AG861" s="237"/>
      <c r="AH861" s="237"/>
      <c r="AI861" s="98"/>
      <c r="AJ861" s="98"/>
      <c r="AK861" s="98"/>
      <c r="AL861" s="98"/>
      <c r="AM861" s="98"/>
      <c r="AN861" s="98"/>
      <c r="AO861" s="98"/>
    </row>
    <row r="862" ht="14.25" customHeight="1">
      <c r="A862" s="179"/>
      <c r="B862" s="98"/>
      <c r="C862" s="98"/>
      <c r="D862" s="98"/>
      <c r="E862" s="98"/>
      <c r="F862" s="235"/>
      <c r="G862" s="235"/>
      <c r="H862" s="236"/>
      <c r="I862" s="236"/>
      <c r="J862" s="236"/>
      <c r="K862" s="236"/>
      <c r="L862" s="236"/>
      <c r="M862" s="236"/>
      <c r="N862" s="236"/>
      <c r="O862" s="236"/>
      <c r="P862" s="236"/>
      <c r="Q862" s="236"/>
      <c r="R862" s="236"/>
      <c r="S862" s="236"/>
      <c r="T862" s="236"/>
      <c r="U862" s="236"/>
      <c r="V862" s="236"/>
      <c r="W862" s="237"/>
      <c r="X862" s="237"/>
      <c r="Y862" s="237"/>
      <c r="Z862" s="237"/>
      <c r="AA862" s="237"/>
      <c r="AB862" s="237"/>
      <c r="AC862" s="237"/>
      <c r="AD862" s="237"/>
      <c r="AE862" s="237"/>
      <c r="AF862" s="237"/>
      <c r="AG862" s="237"/>
      <c r="AH862" s="237"/>
      <c r="AI862" s="98"/>
      <c r="AJ862" s="98"/>
      <c r="AK862" s="98"/>
      <c r="AL862" s="98"/>
      <c r="AM862" s="98"/>
      <c r="AN862" s="98"/>
      <c r="AO862" s="98"/>
    </row>
    <row r="863" ht="14.25" customHeight="1">
      <c r="A863" s="179"/>
      <c r="B863" s="98"/>
      <c r="C863" s="98"/>
      <c r="D863" s="98"/>
      <c r="E863" s="98"/>
      <c r="F863" s="235"/>
      <c r="G863" s="235"/>
      <c r="H863" s="236"/>
      <c r="I863" s="236"/>
      <c r="J863" s="236"/>
      <c r="K863" s="236"/>
      <c r="L863" s="236"/>
      <c r="M863" s="236"/>
      <c r="N863" s="236"/>
      <c r="O863" s="236"/>
      <c r="P863" s="236"/>
      <c r="Q863" s="236"/>
      <c r="R863" s="236"/>
      <c r="S863" s="236"/>
      <c r="T863" s="236"/>
      <c r="U863" s="236"/>
      <c r="V863" s="236"/>
      <c r="W863" s="237"/>
      <c r="X863" s="237"/>
      <c r="Y863" s="237"/>
      <c r="Z863" s="237"/>
      <c r="AA863" s="237"/>
      <c r="AB863" s="237"/>
      <c r="AC863" s="237"/>
      <c r="AD863" s="237"/>
      <c r="AE863" s="237"/>
      <c r="AF863" s="237"/>
      <c r="AG863" s="237"/>
      <c r="AH863" s="237"/>
      <c r="AI863" s="98"/>
      <c r="AJ863" s="98"/>
      <c r="AK863" s="98"/>
      <c r="AL863" s="98"/>
      <c r="AM863" s="98"/>
      <c r="AN863" s="98"/>
      <c r="AO863" s="98"/>
    </row>
    <row r="864" ht="14.25" customHeight="1">
      <c r="A864" s="179"/>
      <c r="B864" s="98"/>
      <c r="C864" s="98"/>
      <c r="D864" s="98"/>
      <c r="E864" s="98"/>
      <c r="F864" s="235"/>
      <c r="G864" s="235"/>
      <c r="H864" s="236"/>
      <c r="I864" s="236"/>
      <c r="J864" s="236"/>
      <c r="K864" s="236"/>
      <c r="L864" s="236"/>
      <c r="M864" s="236"/>
      <c r="N864" s="236"/>
      <c r="O864" s="236"/>
      <c r="P864" s="236"/>
      <c r="Q864" s="236"/>
      <c r="R864" s="236"/>
      <c r="S864" s="236"/>
      <c r="T864" s="236"/>
      <c r="U864" s="236"/>
      <c r="V864" s="236"/>
      <c r="W864" s="237"/>
      <c r="X864" s="237"/>
      <c r="Y864" s="237"/>
      <c r="Z864" s="237"/>
      <c r="AA864" s="237"/>
      <c r="AB864" s="237"/>
      <c r="AC864" s="237"/>
      <c r="AD864" s="237"/>
      <c r="AE864" s="237"/>
      <c r="AF864" s="237"/>
      <c r="AG864" s="237"/>
      <c r="AH864" s="237"/>
      <c r="AI864" s="98"/>
      <c r="AJ864" s="98"/>
      <c r="AK864" s="98"/>
      <c r="AL864" s="98"/>
      <c r="AM864" s="98"/>
      <c r="AN864" s="98"/>
      <c r="AO864" s="98"/>
    </row>
    <row r="865" ht="14.25" customHeight="1">
      <c r="A865" s="179"/>
      <c r="B865" s="98"/>
      <c r="C865" s="98"/>
      <c r="D865" s="98"/>
      <c r="E865" s="98"/>
      <c r="F865" s="235"/>
      <c r="G865" s="235"/>
      <c r="H865" s="236"/>
      <c r="I865" s="236"/>
      <c r="J865" s="236"/>
      <c r="K865" s="236"/>
      <c r="L865" s="236"/>
      <c r="M865" s="236"/>
      <c r="N865" s="236"/>
      <c r="O865" s="236"/>
      <c r="P865" s="236"/>
      <c r="Q865" s="236"/>
      <c r="R865" s="236"/>
      <c r="S865" s="236"/>
      <c r="T865" s="236"/>
      <c r="U865" s="236"/>
      <c r="V865" s="236"/>
      <c r="W865" s="237"/>
      <c r="X865" s="237"/>
      <c r="Y865" s="237"/>
      <c r="Z865" s="237"/>
      <c r="AA865" s="237"/>
      <c r="AB865" s="237"/>
      <c r="AC865" s="237"/>
      <c r="AD865" s="237"/>
      <c r="AE865" s="237"/>
      <c r="AF865" s="237"/>
      <c r="AG865" s="237"/>
      <c r="AH865" s="237"/>
      <c r="AI865" s="98"/>
      <c r="AJ865" s="98"/>
      <c r="AK865" s="98"/>
      <c r="AL865" s="98"/>
      <c r="AM865" s="98"/>
      <c r="AN865" s="98"/>
      <c r="AO865" s="98"/>
    </row>
    <row r="866" ht="14.25" customHeight="1">
      <c r="A866" s="179"/>
      <c r="B866" s="98"/>
      <c r="C866" s="98"/>
      <c r="D866" s="98"/>
      <c r="E866" s="98"/>
      <c r="F866" s="235"/>
      <c r="G866" s="235"/>
      <c r="H866" s="236"/>
      <c r="I866" s="236"/>
      <c r="J866" s="236"/>
      <c r="K866" s="236"/>
      <c r="L866" s="236"/>
      <c r="M866" s="236"/>
      <c r="N866" s="236"/>
      <c r="O866" s="236"/>
      <c r="P866" s="236"/>
      <c r="Q866" s="236"/>
      <c r="R866" s="236"/>
      <c r="S866" s="236"/>
      <c r="T866" s="236"/>
      <c r="U866" s="236"/>
      <c r="V866" s="236"/>
      <c r="W866" s="237"/>
      <c r="X866" s="237"/>
      <c r="Y866" s="237"/>
      <c r="Z866" s="237"/>
      <c r="AA866" s="237"/>
      <c r="AB866" s="237"/>
      <c r="AC866" s="237"/>
      <c r="AD866" s="237"/>
      <c r="AE866" s="237"/>
      <c r="AF866" s="237"/>
      <c r="AG866" s="237"/>
      <c r="AH866" s="237"/>
      <c r="AI866" s="98"/>
      <c r="AJ866" s="98"/>
      <c r="AK866" s="98"/>
      <c r="AL866" s="98"/>
      <c r="AM866" s="98"/>
      <c r="AN866" s="98"/>
      <c r="AO866" s="98"/>
    </row>
    <row r="867" ht="14.25" customHeight="1">
      <c r="A867" s="179"/>
      <c r="B867" s="98"/>
      <c r="C867" s="98"/>
      <c r="D867" s="98"/>
      <c r="E867" s="98"/>
      <c r="F867" s="235"/>
      <c r="G867" s="235"/>
      <c r="H867" s="236"/>
      <c r="I867" s="236"/>
      <c r="J867" s="236"/>
      <c r="K867" s="236"/>
      <c r="L867" s="236"/>
      <c r="M867" s="236"/>
      <c r="N867" s="236"/>
      <c r="O867" s="236"/>
      <c r="P867" s="236"/>
      <c r="Q867" s="236"/>
      <c r="R867" s="236"/>
      <c r="S867" s="236"/>
      <c r="T867" s="236"/>
      <c r="U867" s="236"/>
      <c r="V867" s="236"/>
      <c r="W867" s="237"/>
      <c r="X867" s="237"/>
      <c r="Y867" s="237"/>
      <c r="Z867" s="237"/>
      <c r="AA867" s="237"/>
      <c r="AB867" s="237"/>
      <c r="AC867" s="237"/>
      <c r="AD867" s="237"/>
      <c r="AE867" s="237"/>
      <c r="AF867" s="237"/>
      <c r="AG867" s="237"/>
      <c r="AH867" s="237"/>
      <c r="AI867" s="98"/>
      <c r="AJ867" s="98"/>
      <c r="AK867" s="98"/>
      <c r="AL867" s="98"/>
      <c r="AM867" s="98"/>
      <c r="AN867" s="98"/>
      <c r="AO867" s="98"/>
    </row>
    <row r="868" ht="14.25" customHeight="1">
      <c r="A868" s="179"/>
      <c r="B868" s="98"/>
      <c r="C868" s="98"/>
      <c r="D868" s="98"/>
      <c r="E868" s="98"/>
      <c r="F868" s="235"/>
      <c r="G868" s="235"/>
      <c r="H868" s="236"/>
      <c r="I868" s="236"/>
      <c r="J868" s="236"/>
      <c r="K868" s="236"/>
      <c r="L868" s="236"/>
      <c r="M868" s="236"/>
      <c r="N868" s="236"/>
      <c r="O868" s="236"/>
      <c r="P868" s="236"/>
      <c r="Q868" s="236"/>
      <c r="R868" s="236"/>
      <c r="S868" s="236"/>
      <c r="T868" s="236"/>
      <c r="U868" s="236"/>
      <c r="V868" s="236"/>
      <c r="W868" s="237"/>
      <c r="X868" s="237"/>
      <c r="Y868" s="237"/>
      <c r="Z868" s="237"/>
      <c r="AA868" s="237"/>
      <c r="AB868" s="237"/>
      <c r="AC868" s="237"/>
      <c r="AD868" s="237"/>
      <c r="AE868" s="237"/>
      <c r="AF868" s="237"/>
      <c r="AG868" s="237"/>
      <c r="AH868" s="237"/>
      <c r="AI868" s="98"/>
      <c r="AJ868" s="98"/>
      <c r="AK868" s="98"/>
      <c r="AL868" s="98"/>
      <c r="AM868" s="98"/>
      <c r="AN868" s="98"/>
      <c r="AO868" s="98"/>
    </row>
    <row r="869" ht="14.25" customHeight="1">
      <c r="A869" s="179"/>
      <c r="B869" s="98"/>
      <c r="C869" s="98"/>
      <c r="D869" s="98"/>
      <c r="E869" s="98"/>
      <c r="F869" s="235"/>
      <c r="G869" s="235"/>
      <c r="H869" s="236"/>
      <c r="I869" s="236"/>
      <c r="J869" s="236"/>
      <c r="K869" s="236"/>
      <c r="L869" s="236"/>
      <c r="M869" s="236"/>
      <c r="N869" s="236"/>
      <c r="O869" s="236"/>
      <c r="P869" s="236"/>
      <c r="Q869" s="236"/>
      <c r="R869" s="236"/>
      <c r="S869" s="236"/>
      <c r="T869" s="236"/>
      <c r="U869" s="236"/>
      <c r="V869" s="236"/>
      <c r="W869" s="237"/>
      <c r="X869" s="237"/>
      <c r="Y869" s="237"/>
      <c r="Z869" s="237"/>
      <c r="AA869" s="237"/>
      <c r="AB869" s="237"/>
      <c r="AC869" s="237"/>
      <c r="AD869" s="237"/>
      <c r="AE869" s="237"/>
      <c r="AF869" s="237"/>
      <c r="AG869" s="237"/>
      <c r="AH869" s="237"/>
      <c r="AI869" s="98"/>
      <c r="AJ869" s="98"/>
      <c r="AK869" s="98"/>
      <c r="AL869" s="98"/>
      <c r="AM869" s="98"/>
      <c r="AN869" s="98"/>
      <c r="AO869" s="98"/>
    </row>
    <row r="870" ht="14.25" customHeight="1">
      <c r="A870" s="179"/>
      <c r="B870" s="98"/>
      <c r="C870" s="98"/>
      <c r="D870" s="98"/>
      <c r="E870" s="98"/>
      <c r="F870" s="235"/>
      <c r="G870" s="235"/>
      <c r="H870" s="236"/>
      <c r="I870" s="236"/>
      <c r="J870" s="236"/>
      <c r="K870" s="236"/>
      <c r="L870" s="236"/>
      <c r="M870" s="236"/>
      <c r="N870" s="236"/>
      <c r="O870" s="236"/>
      <c r="P870" s="236"/>
      <c r="Q870" s="236"/>
      <c r="R870" s="236"/>
      <c r="S870" s="236"/>
      <c r="T870" s="236"/>
      <c r="U870" s="236"/>
      <c r="V870" s="236"/>
      <c r="W870" s="237"/>
      <c r="X870" s="237"/>
      <c r="Y870" s="237"/>
      <c r="Z870" s="237"/>
      <c r="AA870" s="237"/>
      <c r="AB870" s="237"/>
      <c r="AC870" s="237"/>
      <c r="AD870" s="237"/>
      <c r="AE870" s="237"/>
      <c r="AF870" s="237"/>
      <c r="AG870" s="237"/>
      <c r="AH870" s="237"/>
      <c r="AI870" s="98"/>
      <c r="AJ870" s="98"/>
      <c r="AK870" s="98"/>
      <c r="AL870" s="98"/>
      <c r="AM870" s="98"/>
      <c r="AN870" s="98"/>
      <c r="AO870" s="98"/>
    </row>
    <row r="871" ht="14.25" customHeight="1">
      <c r="A871" s="179"/>
      <c r="B871" s="98"/>
      <c r="C871" s="98"/>
      <c r="D871" s="98"/>
      <c r="E871" s="98"/>
      <c r="F871" s="235"/>
      <c r="G871" s="235"/>
      <c r="H871" s="236"/>
      <c r="I871" s="236"/>
      <c r="J871" s="236"/>
      <c r="K871" s="236"/>
      <c r="L871" s="236"/>
      <c r="M871" s="236"/>
      <c r="N871" s="236"/>
      <c r="O871" s="236"/>
      <c r="P871" s="236"/>
      <c r="Q871" s="236"/>
      <c r="R871" s="236"/>
      <c r="S871" s="236"/>
      <c r="T871" s="236"/>
      <c r="U871" s="236"/>
      <c r="V871" s="236"/>
      <c r="W871" s="237"/>
      <c r="X871" s="237"/>
      <c r="Y871" s="237"/>
      <c r="Z871" s="237"/>
      <c r="AA871" s="237"/>
      <c r="AB871" s="237"/>
      <c r="AC871" s="237"/>
      <c r="AD871" s="237"/>
      <c r="AE871" s="237"/>
      <c r="AF871" s="237"/>
      <c r="AG871" s="237"/>
      <c r="AH871" s="237"/>
      <c r="AI871" s="98"/>
      <c r="AJ871" s="98"/>
      <c r="AK871" s="98"/>
      <c r="AL871" s="98"/>
      <c r="AM871" s="98"/>
      <c r="AN871" s="98"/>
      <c r="AO871" s="98"/>
    </row>
    <row r="872" ht="14.25" customHeight="1">
      <c r="A872" s="179"/>
      <c r="B872" s="98"/>
      <c r="C872" s="98"/>
      <c r="D872" s="98"/>
      <c r="E872" s="98"/>
      <c r="F872" s="235"/>
      <c r="G872" s="235"/>
      <c r="H872" s="236"/>
      <c r="I872" s="236"/>
      <c r="J872" s="236"/>
      <c r="K872" s="236"/>
      <c r="L872" s="236"/>
      <c r="M872" s="236"/>
      <c r="N872" s="236"/>
      <c r="O872" s="236"/>
      <c r="P872" s="236"/>
      <c r="Q872" s="236"/>
      <c r="R872" s="236"/>
      <c r="S872" s="236"/>
      <c r="T872" s="236"/>
      <c r="U872" s="236"/>
      <c r="V872" s="236"/>
      <c r="W872" s="237"/>
      <c r="X872" s="237"/>
      <c r="Y872" s="237"/>
      <c r="Z872" s="237"/>
      <c r="AA872" s="237"/>
      <c r="AB872" s="237"/>
      <c r="AC872" s="237"/>
      <c r="AD872" s="237"/>
      <c r="AE872" s="237"/>
      <c r="AF872" s="237"/>
      <c r="AG872" s="237"/>
      <c r="AH872" s="237"/>
      <c r="AI872" s="98"/>
      <c r="AJ872" s="98"/>
      <c r="AK872" s="98"/>
      <c r="AL872" s="98"/>
      <c r="AM872" s="98"/>
      <c r="AN872" s="98"/>
      <c r="AO872" s="98"/>
    </row>
    <row r="873" ht="14.25" customHeight="1">
      <c r="A873" s="179"/>
      <c r="B873" s="98"/>
      <c r="C873" s="98"/>
      <c r="D873" s="98"/>
      <c r="E873" s="98"/>
      <c r="F873" s="235"/>
      <c r="G873" s="235"/>
      <c r="H873" s="236"/>
      <c r="I873" s="236"/>
      <c r="J873" s="236"/>
      <c r="K873" s="236"/>
      <c r="L873" s="236"/>
      <c r="M873" s="236"/>
      <c r="N873" s="236"/>
      <c r="O873" s="236"/>
      <c r="P873" s="236"/>
      <c r="Q873" s="236"/>
      <c r="R873" s="236"/>
      <c r="S873" s="236"/>
      <c r="T873" s="236"/>
      <c r="U873" s="236"/>
      <c r="V873" s="236"/>
      <c r="W873" s="237"/>
      <c r="X873" s="237"/>
      <c r="Y873" s="237"/>
      <c r="Z873" s="237"/>
      <c r="AA873" s="237"/>
      <c r="AB873" s="237"/>
      <c r="AC873" s="237"/>
      <c r="AD873" s="237"/>
      <c r="AE873" s="237"/>
      <c r="AF873" s="237"/>
      <c r="AG873" s="237"/>
      <c r="AH873" s="237"/>
      <c r="AI873" s="98"/>
      <c r="AJ873" s="98"/>
      <c r="AK873" s="98"/>
      <c r="AL873" s="98"/>
      <c r="AM873" s="98"/>
      <c r="AN873" s="98"/>
      <c r="AO873" s="98"/>
    </row>
    <row r="874" ht="14.25" customHeight="1">
      <c r="A874" s="179"/>
      <c r="B874" s="98"/>
      <c r="C874" s="98"/>
      <c r="D874" s="98"/>
      <c r="E874" s="98"/>
      <c r="F874" s="235"/>
      <c r="G874" s="235"/>
      <c r="H874" s="236"/>
      <c r="I874" s="236"/>
      <c r="J874" s="236"/>
      <c r="K874" s="236"/>
      <c r="L874" s="236"/>
      <c r="M874" s="236"/>
      <c r="N874" s="236"/>
      <c r="O874" s="236"/>
      <c r="P874" s="236"/>
      <c r="Q874" s="236"/>
      <c r="R874" s="236"/>
      <c r="S874" s="236"/>
      <c r="T874" s="236"/>
      <c r="U874" s="236"/>
      <c r="V874" s="236"/>
      <c r="W874" s="237"/>
      <c r="X874" s="237"/>
      <c r="Y874" s="237"/>
      <c r="Z874" s="237"/>
      <c r="AA874" s="237"/>
      <c r="AB874" s="237"/>
      <c r="AC874" s="237"/>
      <c r="AD874" s="237"/>
      <c r="AE874" s="237"/>
      <c r="AF874" s="237"/>
      <c r="AG874" s="237"/>
      <c r="AH874" s="237"/>
      <c r="AI874" s="98"/>
      <c r="AJ874" s="98"/>
      <c r="AK874" s="98"/>
      <c r="AL874" s="98"/>
      <c r="AM874" s="98"/>
      <c r="AN874" s="98"/>
      <c r="AO874" s="98"/>
    </row>
    <row r="875" ht="14.25" customHeight="1">
      <c r="A875" s="179"/>
      <c r="B875" s="98"/>
      <c r="C875" s="98"/>
      <c r="D875" s="98"/>
      <c r="E875" s="98"/>
      <c r="F875" s="235"/>
      <c r="G875" s="235"/>
      <c r="H875" s="236"/>
      <c r="I875" s="236"/>
      <c r="J875" s="236"/>
      <c r="K875" s="236"/>
      <c r="L875" s="236"/>
      <c r="M875" s="236"/>
      <c r="N875" s="236"/>
      <c r="O875" s="236"/>
      <c r="P875" s="236"/>
      <c r="Q875" s="236"/>
      <c r="R875" s="236"/>
      <c r="S875" s="236"/>
      <c r="T875" s="236"/>
      <c r="U875" s="236"/>
      <c r="V875" s="236"/>
      <c r="W875" s="237"/>
      <c r="X875" s="237"/>
      <c r="Y875" s="237"/>
      <c r="Z875" s="237"/>
      <c r="AA875" s="237"/>
      <c r="AB875" s="237"/>
      <c r="AC875" s="237"/>
      <c r="AD875" s="237"/>
      <c r="AE875" s="237"/>
      <c r="AF875" s="237"/>
      <c r="AG875" s="237"/>
      <c r="AH875" s="237"/>
      <c r="AI875" s="98"/>
      <c r="AJ875" s="98"/>
      <c r="AK875" s="98"/>
      <c r="AL875" s="98"/>
      <c r="AM875" s="98"/>
      <c r="AN875" s="98"/>
      <c r="AO875" s="98"/>
    </row>
    <row r="876" ht="14.25" customHeight="1">
      <c r="A876" s="179"/>
      <c r="B876" s="98"/>
      <c r="C876" s="98"/>
      <c r="D876" s="98"/>
      <c r="E876" s="98"/>
      <c r="F876" s="235"/>
      <c r="G876" s="235"/>
      <c r="H876" s="236"/>
      <c r="I876" s="236"/>
      <c r="J876" s="236"/>
      <c r="K876" s="236"/>
      <c r="L876" s="236"/>
      <c r="M876" s="236"/>
      <c r="N876" s="236"/>
      <c r="O876" s="236"/>
      <c r="P876" s="236"/>
      <c r="Q876" s="236"/>
      <c r="R876" s="236"/>
      <c r="S876" s="236"/>
      <c r="T876" s="236"/>
      <c r="U876" s="236"/>
      <c r="V876" s="236"/>
      <c r="W876" s="237"/>
      <c r="X876" s="237"/>
      <c r="Y876" s="237"/>
      <c r="Z876" s="237"/>
      <c r="AA876" s="237"/>
      <c r="AB876" s="237"/>
      <c r="AC876" s="237"/>
      <c r="AD876" s="237"/>
      <c r="AE876" s="237"/>
      <c r="AF876" s="237"/>
      <c r="AG876" s="237"/>
      <c r="AH876" s="237"/>
      <c r="AI876" s="98"/>
      <c r="AJ876" s="98"/>
      <c r="AK876" s="98"/>
      <c r="AL876" s="98"/>
      <c r="AM876" s="98"/>
      <c r="AN876" s="98"/>
      <c r="AO876" s="98"/>
    </row>
    <row r="877" ht="14.25" customHeight="1">
      <c r="A877" s="179"/>
      <c r="B877" s="98"/>
      <c r="C877" s="98"/>
      <c r="D877" s="98"/>
      <c r="E877" s="98"/>
      <c r="F877" s="235"/>
      <c r="G877" s="235"/>
      <c r="H877" s="236"/>
      <c r="I877" s="236"/>
      <c r="J877" s="236"/>
      <c r="K877" s="236"/>
      <c r="L877" s="236"/>
      <c r="M877" s="236"/>
      <c r="N877" s="236"/>
      <c r="O877" s="236"/>
      <c r="P877" s="236"/>
      <c r="Q877" s="236"/>
      <c r="R877" s="236"/>
      <c r="S877" s="236"/>
      <c r="T877" s="236"/>
      <c r="U877" s="236"/>
      <c r="V877" s="236"/>
      <c r="W877" s="237"/>
      <c r="X877" s="237"/>
      <c r="Y877" s="237"/>
      <c r="Z877" s="237"/>
      <c r="AA877" s="237"/>
      <c r="AB877" s="237"/>
      <c r="AC877" s="237"/>
      <c r="AD877" s="237"/>
      <c r="AE877" s="237"/>
      <c r="AF877" s="237"/>
      <c r="AG877" s="237"/>
      <c r="AH877" s="237"/>
      <c r="AI877" s="98"/>
      <c r="AJ877" s="98"/>
      <c r="AK877" s="98"/>
      <c r="AL877" s="98"/>
      <c r="AM877" s="98"/>
      <c r="AN877" s="98"/>
      <c r="AO877" s="98"/>
    </row>
    <row r="878" ht="14.25" customHeight="1">
      <c r="A878" s="179"/>
      <c r="B878" s="98"/>
      <c r="C878" s="98"/>
      <c r="D878" s="98"/>
      <c r="E878" s="98"/>
      <c r="F878" s="235"/>
      <c r="G878" s="235"/>
      <c r="H878" s="236"/>
      <c r="I878" s="236"/>
      <c r="J878" s="236"/>
      <c r="K878" s="236"/>
      <c r="L878" s="236"/>
      <c r="M878" s="236"/>
      <c r="N878" s="236"/>
      <c r="O878" s="236"/>
      <c r="P878" s="236"/>
      <c r="Q878" s="236"/>
      <c r="R878" s="236"/>
      <c r="S878" s="236"/>
      <c r="T878" s="236"/>
      <c r="U878" s="236"/>
      <c r="V878" s="236"/>
      <c r="W878" s="237"/>
      <c r="X878" s="237"/>
      <c r="Y878" s="237"/>
      <c r="Z878" s="237"/>
      <c r="AA878" s="237"/>
      <c r="AB878" s="237"/>
      <c r="AC878" s="237"/>
      <c r="AD878" s="237"/>
      <c r="AE878" s="237"/>
      <c r="AF878" s="237"/>
      <c r="AG878" s="237"/>
      <c r="AH878" s="237"/>
      <c r="AI878" s="98"/>
      <c r="AJ878" s="98"/>
      <c r="AK878" s="98"/>
      <c r="AL878" s="98"/>
      <c r="AM878" s="98"/>
      <c r="AN878" s="98"/>
      <c r="AO878" s="98"/>
    </row>
    <row r="879" ht="14.25" customHeight="1">
      <c r="A879" s="179"/>
      <c r="B879" s="98"/>
      <c r="C879" s="98"/>
      <c r="D879" s="98"/>
      <c r="E879" s="98"/>
      <c r="F879" s="235"/>
      <c r="G879" s="235"/>
      <c r="H879" s="236"/>
      <c r="I879" s="236"/>
      <c r="J879" s="236"/>
      <c r="K879" s="236"/>
      <c r="L879" s="236"/>
      <c r="M879" s="236"/>
      <c r="N879" s="236"/>
      <c r="O879" s="236"/>
      <c r="P879" s="236"/>
      <c r="Q879" s="236"/>
      <c r="R879" s="236"/>
      <c r="S879" s="236"/>
      <c r="T879" s="236"/>
      <c r="U879" s="236"/>
      <c r="V879" s="236"/>
      <c r="W879" s="237"/>
      <c r="X879" s="237"/>
      <c r="Y879" s="237"/>
      <c r="Z879" s="237"/>
      <c r="AA879" s="237"/>
      <c r="AB879" s="237"/>
      <c r="AC879" s="237"/>
      <c r="AD879" s="237"/>
      <c r="AE879" s="237"/>
      <c r="AF879" s="237"/>
      <c r="AG879" s="237"/>
      <c r="AH879" s="237"/>
      <c r="AI879" s="98"/>
      <c r="AJ879" s="98"/>
      <c r="AK879" s="98"/>
      <c r="AL879" s="98"/>
      <c r="AM879" s="98"/>
      <c r="AN879" s="98"/>
      <c r="AO879" s="98"/>
    </row>
    <row r="880" ht="14.25" customHeight="1">
      <c r="A880" s="179"/>
      <c r="B880" s="98"/>
      <c r="C880" s="98"/>
      <c r="D880" s="98"/>
      <c r="E880" s="98"/>
      <c r="F880" s="235"/>
      <c r="G880" s="235"/>
      <c r="H880" s="236"/>
      <c r="I880" s="236"/>
      <c r="J880" s="236"/>
      <c r="K880" s="236"/>
      <c r="L880" s="236"/>
      <c r="M880" s="236"/>
      <c r="N880" s="236"/>
      <c r="O880" s="236"/>
      <c r="P880" s="236"/>
      <c r="Q880" s="236"/>
      <c r="R880" s="236"/>
      <c r="S880" s="236"/>
      <c r="T880" s="236"/>
      <c r="U880" s="236"/>
      <c r="V880" s="236"/>
      <c r="W880" s="237"/>
      <c r="X880" s="237"/>
      <c r="Y880" s="237"/>
      <c r="Z880" s="237"/>
      <c r="AA880" s="237"/>
      <c r="AB880" s="237"/>
      <c r="AC880" s="237"/>
      <c r="AD880" s="237"/>
      <c r="AE880" s="237"/>
      <c r="AF880" s="237"/>
      <c r="AG880" s="237"/>
      <c r="AH880" s="237"/>
      <c r="AI880" s="98"/>
      <c r="AJ880" s="98"/>
      <c r="AK880" s="98"/>
      <c r="AL880" s="98"/>
      <c r="AM880" s="98"/>
      <c r="AN880" s="98"/>
      <c r="AO880" s="98"/>
    </row>
    <row r="881" ht="14.25" customHeight="1">
      <c r="A881" s="179"/>
      <c r="B881" s="98"/>
      <c r="C881" s="98"/>
      <c r="D881" s="98"/>
      <c r="E881" s="98"/>
      <c r="F881" s="235"/>
      <c r="G881" s="235"/>
      <c r="H881" s="236"/>
      <c r="I881" s="236"/>
      <c r="J881" s="236"/>
      <c r="K881" s="236"/>
      <c r="L881" s="236"/>
      <c r="M881" s="236"/>
      <c r="N881" s="236"/>
      <c r="O881" s="236"/>
      <c r="P881" s="236"/>
      <c r="Q881" s="236"/>
      <c r="R881" s="236"/>
      <c r="S881" s="236"/>
      <c r="T881" s="236"/>
      <c r="U881" s="236"/>
      <c r="V881" s="236"/>
      <c r="W881" s="237"/>
      <c r="X881" s="237"/>
      <c r="Y881" s="237"/>
      <c r="Z881" s="237"/>
      <c r="AA881" s="237"/>
      <c r="AB881" s="237"/>
      <c r="AC881" s="237"/>
      <c r="AD881" s="237"/>
      <c r="AE881" s="237"/>
      <c r="AF881" s="237"/>
      <c r="AG881" s="237"/>
      <c r="AH881" s="237"/>
      <c r="AI881" s="98"/>
      <c r="AJ881" s="98"/>
      <c r="AK881" s="98"/>
      <c r="AL881" s="98"/>
      <c r="AM881" s="98"/>
      <c r="AN881" s="98"/>
      <c r="AO881" s="98"/>
    </row>
    <row r="882" ht="14.25" customHeight="1">
      <c r="A882" s="179"/>
      <c r="B882" s="98"/>
      <c r="C882" s="98"/>
      <c r="D882" s="98"/>
      <c r="E882" s="98"/>
      <c r="F882" s="235"/>
      <c r="G882" s="235"/>
      <c r="H882" s="236"/>
      <c r="I882" s="236"/>
      <c r="J882" s="236"/>
      <c r="K882" s="236"/>
      <c r="L882" s="236"/>
      <c r="M882" s="236"/>
      <c r="N882" s="236"/>
      <c r="O882" s="236"/>
      <c r="P882" s="236"/>
      <c r="Q882" s="236"/>
      <c r="R882" s="236"/>
      <c r="S882" s="236"/>
      <c r="T882" s="236"/>
      <c r="U882" s="236"/>
      <c r="V882" s="236"/>
      <c r="W882" s="237"/>
      <c r="X882" s="237"/>
      <c r="Y882" s="237"/>
      <c r="Z882" s="237"/>
      <c r="AA882" s="237"/>
      <c r="AB882" s="237"/>
      <c r="AC882" s="237"/>
      <c r="AD882" s="237"/>
      <c r="AE882" s="237"/>
      <c r="AF882" s="237"/>
      <c r="AG882" s="237"/>
      <c r="AH882" s="237"/>
      <c r="AI882" s="98"/>
      <c r="AJ882" s="98"/>
      <c r="AK882" s="98"/>
      <c r="AL882" s="98"/>
      <c r="AM882" s="98"/>
      <c r="AN882" s="98"/>
      <c r="AO882" s="98"/>
    </row>
    <row r="883" ht="14.25" customHeight="1">
      <c r="A883" s="179"/>
      <c r="B883" s="98"/>
      <c r="C883" s="98"/>
      <c r="D883" s="98"/>
      <c r="E883" s="98"/>
      <c r="F883" s="235"/>
      <c r="G883" s="235"/>
      <c r="H883" s="236"/>
      <c r="I883" s="236"/>
      <c r="J883" s="236"/>
      <c r="K883" s="236"/>
      <c r="L883" s="236"/>
      <c r="M883" s="236"/>
      <c r="N883" s="236"/>
      <c r="O883" s="236"/>
      <c r="P883" s="236"/>
      <c r="Q883" s="236"/>
      <c r="R883" s="236"/>
      <c r="S883" s="236"/>
      <c r="T883" s="236"/>
      <c r="U883" s="236"/>
      <c r="V883" s="236"/>
      <c r="W883" s="237"/>
      <c r="X883" s="237"/>
      <c r="Y883" s="237"/>
      <c r="Z883" s="237"/>
      <c r="AA883" s="237"/>
      <c r="AB883" s="237"/>
      <c r="AC883" s="237"/>
      <c r="AD883" s="237"/>
      <c r="AE883" s="237"/>
      <c r="AF883" s="237"/>
      <c r="AG883" s="237"/>
      <c r="AH883" s="237"/>
      <c r="AI883" s="98"/>
      <c r="AJ883" s="98"/>
      <c r="AK883" s="98"/>
      <c r="AL883" s="98"/>
      <c r="AM883" s="98"/>
      <c r="AN883" s="98"/>
      <c r="AO883" s="98"/>
    </row>
    <row r="884" ht="14.25" customHeight="1">
      <c r="A884" s="179"/>
      <c r="B884" s="98"/>
      <c r="C884" s="98"/>
      <c r="D884" s="98"/>
      <c r="E884" s="98"/>
      <c r="F884" s="235"/>
      <c r="G884" s="235"/>
      <c r="H884" s="236"/>
      <c r="I884" s="236"/>
      <c r="J884" s="236"/>
      <c r="K884" s="236"/>
      <c r="L884" s="236"/>
      <c r="M884" s="236"/>
      <c r="N884" s="236"/>
      <c r="O884" s="236"/>
      <c r="P884" s="236"/>
      <c r="Q884" s="236"/>
      <c r="R884" s="236"/>
      <c r="S884" s="236"/>
      <c r="T884" s="236"/>
      <c r="U884" s="236"/>
      <c r="V884" s="236"/>
      <c r="W884" s="237"/>
      <c r="X884" s="237"/>
      <c r="Y884" s="237"/>
      <c r="Z884" s="237"/>
      <c r="AA884" s="237"/>
      <c r="AB884" s="237"/>
      <c r="AC884" s="237"/>
      <c r="AD884" s="237"/>
      <c r="AE884" s="237"/>
      <c r="AF884" s="237"/>
      <c r="AG884" s="237"/>
      <c r="AH884" s="237"/>
      <c r="AI884" s="98"/>
      <c r="AJ884" s="98"/>
      <c r="AK884" s="98"/>
      <c r="AL884" s="98"/>
      <c r="AM884" s="98"/>
      <c r="AN884" s="98"/>
      <c r="AO884" s="98"/>
    </row>
    <row r="885" ht="14.25" customHeight="1">
      <c r="A885" s="179"/>
      <c r="B885" s="98"/>
      <c r="C885" s="98"/>
      <c r="D885" s="98"/>
      <c r="E885" s="98"/>
      <c r="F885" s="235"/>
      <c r="G885" s="235"/>
      <c r="H885" s="236"/>
      <c r="I885" s="236"/>
      <c r="J885" s="236"/>
      <c r="K885" s="236"/>
      <c r="L885" s="236"/>
      <c r="M885" s="236"/>
      <c r="N885" s="236"/>
      <c r="O885" s="236"/>
      <c r="P885" s="236"/>
      <c r="Q885" s="236"/>
      <c r="R885" s="236"/>
      <c r="S885" s="236"/>
      <c r="T885" s="236"/>
      <c r="U885" s="236"/>
      <c r="V885" s="236"/>
      <c r="W885" s="237"/>
      <c r="X885" s="237"/>
      <c r="Y885" s="237"/>
      <c r="Z885" s="237"/>
      <c r="AA885" s="237"/>
      <c r="AB885" s="237"/>
      <c r="AC885" s="237"/>
      <c r="AD885" s="237"/>
      <c r="AE885" s="237"/>
      <c r="AF885" s="237"/>
      <c r="AG885" s="237"/>
      <c r="AH885" s="237"/>
      <c r="AI885" s="98"/>
      <c r="AJ885" s="98"/>
      <c r="AK885" s="98"/>
      <c r="AL885" s="98"/>
      <c r="AM885" s="98"/>
      <c r="AN885" s="98"/>
      <c r="AO885" s="98"/>
    </row>
    <row r="886" ht="14.25" customHeight="1">
      <c r="A886" s="179"/>
      <c r="B886" s="98"/>
      <c r="C886" s="98"/>
      <c r="D886" s="98"/>
      <c r="E886" s="98"/>
      <c r="F886" s="235"/>
      <c r="G886" s="235"/>
      <c r="H886" s="236"/>
      <c r="I886" s="236"/>
      <c r="J886" s="236"/>
      <c r="K886" s="236"/>
      <c r="L886" s="236"/>
      <c r="M886" s="236"/>
      <c r="N886" s="236"/>
      <c r="O886" s="236"/>
      <c r="P886" s="236"/>
      <c r="Q886" s="236"/>
      <c r="R886" s="236"/>
      <c r="S886" s="236"/>
      <c r="T886" s="236"/>
      <c r="U886" s="236"/>
      <c r="V886" s="236"/>
      <c r="W886" s="237"/>
      <c r="X886" s="237"/>
      <c r="Y886" s="237"/>
      <c r="Z886" s="237"/>
      <c r="AA886" s="237"/>
      <c r="AB886" s="237"/>
      <c r="AC886" s="237"/>
      <c r="AD886" s="237"/>
      <c r="AE886" s="237"/>
      <c r="AF886" s="237"/>
      <c r="AG886" s="237"/>
      <c r="AH886" s="237"/>
      <c r="AI886" s="98"/>
      <c r="AJ886" s="98"/>
      <c r="AK886" s="98"/>
      <c r="AL886" s="98"/>
      <c r="AM886" s="98"/>
      <c r="AN886" s="98"/>
      <c r="AO886" s="98"/>
    </row>
    <row r="887" ht="14.25" customHeight="1">
      <c r="A887" s="179"/>
      <c r="B887" s="98"/>
      <c r="C887" s="98"/>
      <c r="D887" s="98"/>
      <c r="E887" s="98"/>
      <c r="F887" s="235"/>
      <c r="G887" s="235"/>
      <c r="H887" s="236"/>
      <c r="I887" s="236"/>
      <c r="J887" s="236"/>
      <c r="K887" s="236"/>
      <c r="L887" s="236"/>
      <c r="M887" s="236"/>
      <c r="N887" s="236"/>
      <c r="O887" s="236"/>
      <c r="P887" s="236"/>
      <c r="Q887" s="236"/>
      <c r="R887" s="236"/>
      <c r="S887" s="236"/>
      <c r="T887" s="236"/>
      <c r="U887" s="236"/>
      <c r="V887" s="236"/>
      <c r="W887" s="237"/>
      <c r="X887" s="237"/>
      <c r="Y887" s="237"/>
      <c r="Z887" s="237"/>
      <c r="AA887" s="237"/>
      <c r="AB887" s="237"/>
      <c r="AC887" s="237"/>
      <c r="AD887" s="237"/>
      <c r="AE887" s="237"/>
      <c r="AF887" s="237"/>
      <c r="AG887" s="237"/>
      <c r="AH887" s="237"/>
      <c r="AI887" s="98"/>
      <c r="AJ887" s="98"/>
      <c r="AK887" s="98"/>
      <c r="AL887" s="98"/>
      <c r="AM887" s="98"/>
      <c r="AN887" s="98"/>
      <c r="AO887" s="98"/>
    </row>
    <row r="888" ht="14.25" customHeight="1">
      <c r="A888" s="179"/>
      <c r="B888" s="98"/>
      <c r="C888" s="98"/>
      <c r="D888" s="98"/>
      <c r="E888" s="98"/>
      <c r="F888" s="235"/>
      <c r="G888" s="235"/>
      <c r="H888" s="236"/>
      <c r="I888" s="236"/>
      <c r="J888" s="236"/>
      <c r="K888" s="236"/>
      <c r="L888" s="236"/>
      <c r="M888" s="236"/>
      <c r="N888" s="236"/>
      <c r="O888" s="236"/>
      <c r="P888" s="236"/>
      <c r="Q888" s="236"/>
      <c r="R888" s="236"/>
      <c r="S888" s="236"/>
      <c r="T888" s="236"/>
      <c r="U888" s="236"/>
      <c r="V888" s="236"/>
      <c r="W888" s="237"/>
      <c r="X888" s="237"/>
      <c r="Y888" s="237"/>
      <c r="Z888" s="237"/>
      <c r="AA888" s="237"/>
      <c r="AB888" s="237"/>
      <c r="AC888" s="237"/>
      <c r="AD888" s="237"/>
      <c r="AE888" s="237"/>
      <c r="AF888" s="237"/>
      <c r="AG888" s="237"/>
      <c r="AH888" s="237"/>
      <c r="AI888" s="98"/>
      <c r="AJ888" s="98"/>
      <c r="AK888" s="98"/>
      <c r="AL888" s="98"/>
      <c r="AM888" s="98"/>
      <c r="AN888" s="98"/>
      <c r="AO888" s="98"/>
    </row>
    <row r="889" ht="14.25" customHeight="1">
      <c r="A889" s="179"/>
      <c r="B889" s="98"/>
      <c r="C889" s="98"/>
      <c r="D889" s="98"/>
      <c r="E889" s="98"/>
      <c r="F889" s="235"/>
      <c r="G889" s="235"/>
      <c r="H889" s="236"/>
      <c r="I889" s="236"/>
      <c r="J889" s="236"/>
      <c r="K889" s="236"/>
      <c r="L889" s="236"/>
      <c r="M889" s="236"/>
      <c r="N889" s="236"/>
      <c r="O889" s="236"/>
      <c r="P889" s="236"/>
      <c r="Q889" s="236"/>
      <c r="R889" s="236"/>
      <c r="S889" s="236"/>
      <c r="T889" s="236"/>
      <c r="U889" s="236"/>
      <c r="V889" s="236"/>
      <c r="W889" s="237"/>
      <c r="X889" s="237"/>
      <c r="Y889" s="237"/>
      <c r="Z889" s="237"/>
      <c r="AA889" s="237"/>
      <c r="AB889" s="237"/>
      <c r="AC889" s="237"/>
      <c r="AD889" s="237"/>
      <c r="AE889" s="237"/>
      <c r="AF889" s="237"/>
      <c r="AG889" s="237"/>
      <c r="AH889" s="237"/>
      <c r="AI889" s="98"/>
      <c r="AJ889" s="98"/>
      <c r="AK889" s="98"/>
      <c r="AL889" s="98"/>
      <c r="AM889" s="98"/>
      <c r="AN889" s="98"/>
      <c r="AO889" s="98"/>
    </row>
    <row r="890" ht="14.25" customHeight="1">
      <c r="A890" s="179"/>
      <c r="B890" s="98"/>
      <c r="C890" s="98"/>
      <c r="D890" s="98"/>
      <c r="E890" s="98"/>
      <c r="F890" s="235"/>
      <c r="G890" s="235"/>
      <c r="H890" s="236"/>
      <c r="I890" s="236"/>
      <c r="J890" s="236"/>
      <c r="K890" s="236"/>
      <c r="L890" s="236"/>
      <c r="M890" s="236"/>
      <c r="N890" s="236"/>
      <c r="O890" s="236"/>
      <c r="P890" s="236"/>
      <c r="Q890" s="236"/>
      <c r="R890" s="236"/>
      <c r="S890" s="236"/>
      <c r="T890" s="236"/>
      <c r="U890" s="236"/>
      <c r="V890" s="236"/>
      <c r="W890" s="237"/>
      <c r="X890" s="237"/>
      <c r="Y890" s="237"/>
      <c r="Z890" s="237"/>
      <c r="AA890" s="237"/>
      <c r="AB890" s="237"/>
      <c r="AC890" s="237"/>
      <c r="AD890" s="237"/>
      <c r="AE890" s="237"/>
      <c r="AF890" s="237"/>
      <c r="AG890" s="237"/>
      <c r="AH890" s="237"/>
      <c r="AI890" s="98"/>
      <c r="AJ890" s="98"/>
      <c r="AK890" s="98"/>
      <c r="AL890" s="98"/>
      <c r="AM890" s="98"/>
      <c r="AN890" s="98"/>
      <c r="AO890" s="98"/>
    </row>
    <row r="891" ht="14.25" customHeight="1">
      <c r="A891" s="179"/>
      <c r="B891" s="98"/>
      <c r="C891" s="98"/>
      <c r="D891" s="98"/>
      <c r="E891" s="98"/>
      <c r="F891" s="235"/>
      <c r="G891" s="235"/>
      <c r="H891" s="236"/>
      <c r="I891" s="236"/>
      <c r="J891" s="236"/>
      <c r="K891" s="236"/>
      <c r="L891" s="236"/>
      <c r="M891" s="236"/>
      <c r="N891" s="236"/>
      <c r="O891" s="236"/>
      <c r="P891" s="236"/>
      <c r="Q891" s="236"/>
      <c r="R891" s="236"/>
      <c r="S891" s="236"/>
      <c r="T891" s="236"/>
      <c r="U891" s="236"/>
      <c r="V891" s="236"/>
      <c r="W891" s="237"/>
      <c r="X891" s="237"/>
      <c r="Y891" s="237"/>
      <c r="Z891" s="237"/>
      <c r="AA891" s="237"/>
      <c r="AB891" s="237"/>
      <c r="AC891" s="237"/>
      <c r="AD891" s="237"/>
      <c r="AE891" s="237"/>
      <c r="AF891" s="237"/>
      <c r="AG891" s="237"/>
      <c r="AH891" s="237"/>
      <c r="AI891" s="98"/>
      <c r="AJ891" s="98"/>
      <c r="AK891" s="98"/>
      <c r="AL891" s="98"/>
      <c r="AM891" s="98"/>
      <c r="AN891" s="98"/>
      <c r="AO891" s="98"/>
    </row>
    <row r="892" ht="14.25" customHeight="1">
      <c r="A892" s="179"/>
      <c r="B892" s="98"/>
      <c r="C892" s="98"/>
      <c r="D892" s="98"/>
      <c r="E892" s="98"/>
      <c r="F892" s="235"/>
      <c r="G892" s="235"/>
      <c r="H892" s="236"/>
      <c r="I892" s="236"/>
      <c r="J892" s="236"/>
      <c r="K892" s="236"/>
      <c r="L892" s="236"/>
      <c r="M892" s="236"/>
      <c r="N892" s="236"/>
      <c r="O892" s="236"/>
      <c r="P892" s="236"/>
      <c r="Q892" s="236"/>
      <c r="R892" s="236"/>
      <c r="S892" s="236"/>
      <c r="T892" s="236"/>
      <c r="U892" s="236"/>
      <c r="V892" s="236"/>
      <c r="W892" s="237"/>
      <c r="X892" s="237"/>
      <c r="Y892" s="237"/>
      <c r="Z892" s="237"/>
      <c r="AA892" s="237"/>
      <c r="AB892" s="237"/>
      <c r="AC892" s="237"/>
      <c r="AD892" s="237"/>
      <c r="AE892" s="237"/>
      <c r="AF892" s="237"/>
      <c r="AG892" s="237"/>
      <c r="AH892" s="237"/>
      <c r="AI892" s="98"/>
      <c r="AJ892" s="98"/>
      <c r="AK892" s="98"/>
      <c r="AL892" s="98"/>
      <c r="AM892" s="98"/>
      <c r="AN892" s="98"/>
      <c r="AO892" s="98"/>
    </row>
    <row r="893" ht="14.25" customHeight="1">
      <c r="A893" s="179"/>
      <c r="B893" s="98"/>
      <c r="C893" s="98"/>
      <c r="D893" s="98"/>
      <c r="E893" s="98"/>
      <c r="F893" s="235"/>
      <c r="G893" s="235"/>
      <c r="H893" s="236"/>
      <c r="I893" s="236"/>
      <c r="J893" s="236"/>
      <c r="K893" s="236"/>
      <c r="L893" s="236"/>
      <c r="M893" s="236"/>
      <c r="N893" s="236"/>
      <c r="O893" s="236"/>
      <c r="P893" s="236"/>
      <c r="Q893" s="236"/>
      <c r="R893" s="236"/>
      <c r="S893" s="236"/>
      <c r="T893" s="236"/>
      <c r="U893" s="236"/>
      <c r="V893" s="236"/>
      <c r="W893" s="237"/>
      <c r="X893" s="237"/>
      <c r="Y893" s="237"/>
      <c r="Z893" s="237"/>
      <c r="AA893" s="237"/>
      <c r="AB893" s="237"/>
      <c r="AC893" s="237"/>
      <c r="AD893" s="237"/>
      <c r="AE893" s="237"/>
      <c r="AF893" s="237"/>
      <c r="AG893" s="237"/>
      <c r="AH893" s="237"/>
      <c r="AI893" s="98"/>
      <c r="AJ893" s="98"/>
      <c r="AK893" s="98"/>
      <c r="AL893" s="98"/>
      <c r="AM893" s="98"/>
      <c r="AN893" s="98"/>
      <c r="AO893" s="98"/>
    </row>
    <row r="894" ht="14.25" customHeight="1">
      <c r="A894" s="179"/>
      <c r="B894" s="98"/>
      <c r="C894" s="98"/>
      <c r="D894" s="98"/>
      <c r="E894" s="98"/>
      <c r="F894" s="235"/>
      <c r="G894" s="235"/>
      <c r="H894" s="236"/>
      <c r="I894" s="236"/>
      <c r="J894" s="236"/>
      <c r="K894" s="236"/>
      <c r="L894" s="236"/>
      <c r="M894" s="236"/>
      <c r="N894" s="236"/>
      <c r="O894" s="236"/>
      <c r="P894" s="236"/>
      <c r="Q894" s="236"/>
      <c r="R894" s="236"/>
      <c r="S894" s="236"/>
      <c r="T894" s="236"/>
      <c r="U894" s="236"/>
      <c r="V894" s="236"/>
      <c r="W894" s="237"/>
      <c r="X894" s="237"/>
      <c r="Y894" s="237"/>
      <c r="Z894" s="237"/>
      <c r="AA894" s="237"/>
      <c r="AB894" s="237"/>
      <c r="AC894" s="237"/>
      <c r="AD894" s="237"/>
      <c r="AE894" s="237"/>
      <c r="AF894" s="237"/>
      <c r="AG894" s="237"/>
      <c r="AH894" s="237"/>
      <c r="AI894" s="98"/>
      <c r="AJ894" s="98"/>
      <c r="AK894" s="98"/>
      <c r="AL894" s="98"/>
      <c r="AM894" s="98"/>
      <c r="AN894" s="98"/>
      <c r="AO894" s="98"/>
    </row>
    <row r="895" ht="14.25" customHeight="1">
      <c r="A895" s="179"/>
      <c r="B895" s="98"/>
      <c r="C895" s="98"/>
      <c r="D895" s="98"/>
      <c r="E895" s="98"/>
      <c r="F895" s="235"/>
      <c r="G895" s="235"/>
      <c r="H895" s="236"/>
      <c r="I895" s="236"/>
      <c r="J895" s="236"/>
      <c r="K895" s="236"/>
      <c r="L895" s="236"/>
      <c r="M895" s="236"/>
      <c r="N895" s="236"/>
      <c r="O895" s="236"/>
      <c r="P895" s="236"/>
      <c r="Q895" s="236"/>
      <c r="R895" s="236"/>
      <c r="S895" s="236"/>
      <c r="T895" s="236"/>
      <c r="U895" s="236"/>
      <c r="V895" s="236"/>
      <c r="W895" s="237"/>
      <c r="X895" s="237"/>
      <c r="Y895" s="237"/>
      <c r="Z895" s="237"/>
      <c r="AA895" s="237"/>
      <c r="AB895" s="237"/>
      <c r="AC895" s="237"/>
      <c r="AD895" s="237"/>
      <c r="AE895" s="237"/>
      <c r="AF895" s="237"/>
      <c r="AG895" s="237"/>
      <c r="AH895" s="237"/>
      <c r="AI895" s="98"/>
      <c r="AJ895" s="98"/>
      <c r="AK895" s="98"/>
      <c r="AL895" s="98"/>
      <c r="AM895" s="98"/>
      <c r="AN895" s="98"/>
      <c r="AO895" s="98"/>
    </row>
    <row r="896" ht="14.25" customHeight="1">
      <c r="A896" s="179"/>
      <c r="B896" s="98"/>
      <c r="C896" s="98"/>
      <c r="D896" s="98"/>
      <c r="E896" s="98"/>
      <c r="F896" s="235"/>
      <c r="G896" s="235"/>
      <c r="H896" s="236"/>
      <c r="I896" s="236"/>
      <c r="J896" s="236"/>
      <c r="K896" s="236"/>
      <c r="L896" s="236"/>
      <c r="M896" s="236"/>
      <c r="N896" s="236"/>
      <c r="O896" s="236"/>
      <c r="P896" s="236"/>
      <c r="Q896" s="236"/>
      <c r="R896" s="236"/>
      <c r="S896" s="236"/>
      <c r="T896" s="236"/>
      <c r="U896" s="236"/>
      <c r="V896" s="236"/>
      <c r="W896" s="237"/>
      <c r="X896" s="237"/>
      <c r="Y896" s="237"/>
      <c r="Z896" s="237"/>
      <c r="AA896" s="237"/>
      <c r="AB896" s="237"/>
      <c r="AC896" s="237"/>
      <c r="AD896" s="237"/>
      <c r="AE896" s="237"/>
      <c r="AF896" s="237"/>
      <c r="AG896" s="237"/>
      <c r="AH896" s="237"/>
      <c r="AI896" s="98"/>
      <c r="AJ896" s="98"/>
      <c r="AK896" s="98"/>
      <c r="AL896" s="98"/>
      <c r="AM896" s="98"/>
      <c r="AN896" s="98"/>
      <c r="AO896" s="98"/>
    </row>
    <row r="897" ht="14.25" customHeight="1">
      <c r="A897" s="179"/>
      <c r="B897" s="98"/>
      <c r="C897" s="98"/>
      <c r="D897" s="98"/>
      <c r="E897" s="98"/>
      <c r="F897" s="235"/>
      <c r="G897" s="235"/>
      <c r="H897" s="236"/>
      <c r="I897" s="236"/>
      <c r="J897" s="236"/>
      <c r="K897" s="236"/>
      <c r="L897" s="236"/>
      <c r="M897" s="236"/>
      <c r="N897" s="236"/>
      <c r="O897" s="236"/>
      <c r="P897" s="236"/>
      <c r="Q897" s="236"/>
      <c r="R897" s="236"/>
      <c r="S897" s="236"/>
      <c r="T897" s="236"/>
      <c r="U897" s="236"/>
      <c r="V897" s="236"/>
      <c r="W897" s="237"/>
      <c r="X897" s="237"/>
      <c r="Y897" s="237"/>
      <c r="Z897" s="237"/>
      <c r="AA897" s="237"/>
      <c r="AB897" s="237"/>
      <c r="AC897" s="237"/>
      <c r="AD897" s="237"/>
      <c r="AE897" s="237"/>
      <c r="AF897" s="237"/>
      <c r="AG897" s="237"/>
      <c r="AH897" s="237"/>
      <c r="AI897" s="98"/>
      <c r="AJ897" s="98"/>
      <c r="AK897" s="98"/>
      <c r="AL897" s="98"/>
      <c r="AM897" s="98"/>
      <c r="AN897" s="98"/>
      <c r="AO897" s="98"/>
    </row>
    <row r="898" ht="14.25" customHeight="1">
      <c r="A898" s="179"/>
      <c r="B898" s="98"/>
      <c r="C898" s="98"/>
      <c r="D898" s="98"/>
      <c r="E898" s="98"/>
      <c r="F898" s="235"/>
      <c r="G898" s="235"/>
      <c r="H898" s="236"/>
      <c r="I898" s="236"/>
      <c r="J898" s="236"/>
      <c r="K898" s="236"/>
      <c r="L898" s="236"/>
      <c r="M898" s="236"/>
      <c r="N898" s="236"/>
      <c r="O898" s="236"/>
      <c r="P898" s="236"/>
      <c r="Q898" s="236"/>
      <c r="R898" s="236"/>
      <c r="S898" s="236"/>
      <c r="T898" s="236"/>
      <c r="U898" s="236"/>
      <c r="V898" s="236"/>
      <c r="W898" s="237"/>
      <c r="X898" s="237"/>
      <c r="Y898" s="237"/>
      <c r="Z898" s="237"/>
      <c r="AA898" s="237"/>
      <c r="AB898" s="237"/>
      <c r="AC898" s="237"/>
      <c r="AD898" s="237"/>
      <c r="AE898" s="237"/>
      <c r="AF898" s="237"/>
      <c r="AG898" s="237"/>
      <c r="AH898" s="237"/>
      <c r="AI898" s="98"/>
      <c r="AJ898" s="98"/>
      <c r="AK898" s="98"/>
      <c r="AL898" s="98"/>
      <c r="AM898" s="98"/>
      <c r="AN898" s="98"/>
      <c r="AO898" s="98"/>
    </row>
    <row r="899" ht="14.25" customHeight="1">
      <c r="A899" s="179"/>
      <c r="B899" s="98"/>
      <c r="C899" s="98"/>
      <c r="D899" s="98"/>
      <c r="E899" s="98"/>
      <c r="F899" s="235"/>
      <c r="G899" s="235"/>
      <c r="H899" s="236"/>
      <c r="I899" s="236"/>
      <c r="J899" s="236"/>
      <c r="K899" s="236"/>
      <c r="L899" s="236"/>
      <c r="M899" s="236"/>
      <c r="N899" s="236"/>
      <c r="O899" s="236"/>
      <c r="P899" s="236"/>
      <c r="Q899" s="236"/>
      <c r="R899" s="236"/>
      <c r="S899" s="236"/>
      <c r="T899" s="236"/>
      <c r="U899" s="236"/>
      <c r="V899" s="236"/>
      <c r="W899" s="237"/>
      <c r="X899" s="237"/>
      <c r="Y899" s="237"/>
      <c r="Z899" s="237"/>
      <c r="AA899" s="237"/>
      <c r="AB899" s="237"/>
      <c r="AC899" s="237"/>
      <c r="AD899" s="237"/>
      <c r="AE899" s="237"/>
      <c r="AF899" s="237"/>
      <c r="AG899" s="237"/>
      <c r="AH899" s="237"/>
      <c r="AI899" s="98"/>
      <c r="AJ899" s="98"/>
      <c r="AK899" s="98"/>
      <c r="AL899" s="98"/>
      <c r="AM899" s="98"/>
      <c r="AN899" s="98"/>
      <c r="AO899" s="98"/>
    </row>
    <row r="900" ht="14.25" customHeight="1">
      <c r="A900" s="179"/>
      <c r="B900" s="98"/>
      <c r="C900" s="98"/>
      <c r="D900" s="98"/>
      <c r="E900" s="98"/>
      <c r="F900" s="235"/>
      <c r="G900" s="235"/>
      <c r="H900" s="236"/>
      <c r="I900" s="236"/>
      <c r="J900" s="236"/>
      <c r="K900" s="236"/>
      <c r="L900" s="236"/>
      <c r="M900" s="236"/>
      <c r="N900" s="236"/>
      <c r="O900" s="236"/>
      <c r="P900" s="236"/>
      <c r="Q900" s="236"/>
      <c r="R900" s="236"/>
      <c r="S900" s="236"/>
      <c r="T900" s="236"/>
      <c r="U900" s="236"/>
      <c r="V900" s="236"/>
      <c r="W900" s="237"/>
      <c r="X900" s="237"/>
      <c r="Y900" s="237"/>
      <c r="Z900" s="237"/>
      <c r="AA900" s="237"/>
      <c r="AB900" s="237"/>
      <c r="AC900" s="237"/>
      <c r="AD900" s="237"/>
      <c r="AE900" s="237"/>
      <c r="AF900" s="237"/>
      <c r="AG900" s="237"/>
      <c r="AH900" s="237"/>
      <c r="AI900" s="98"/>
      <c r="AJ900" s="98"/>
      <c r="AK900" s="98"/>
      <c r="AL900" s="98"/>
      <c r="AM900" s="98"/>
      <c r="AN900" s="98"/>
      <c r="AO900" s="98"/>
    </row>
    <row r="901" ht="14.25" customHeight="1">
      <c r="A901" s="179"/>
      <c r="B901" s="98"/>
      <c r="C901" s="98"/>
      <c r="D901" s="98"/>
      <c r="E901" s="98"/>
      <c r="F901" s="235"/>
      <c r="G901" s="235"/>
      <c r="H901" s="236"/>
      <c r="I901" s="236"/>
      <c r="J901" s="236"/>
      <c r="K901" s="236"/>
      <c r="L901" s="236"/>
      <c r="M901" s="236"/>
      <c r="N901" s="236"/>
      <c r="O901" s="236"/>
      <c r="P901" s="236"/>
      <c r="Q901" s="236"/>
      <c r="R901" s="236"/>
      <c r="S901" s="236"/>
      <c r="T901" s="236"/>
      <c r="U901" s="236"/>
      <c r="V901" s="236"/>
      <c r="W901" s="237"/>
      <c r="X901" s="237"/>
      <c r="Y901" s="237"/>
      <c r="Z901" s="237"/>
      <c r="AA901" s="237"/>
      <c r="AB901" s="237"/>
      <c r="AC901" s="237"/>
      <c r="AD901" s="237"/>
      <c r="AE901" s="237"/>
      <c r="AF901" s="237"/>
      <c r="AG901" s="237"/>
      <c r="AH901" s="237"/>
      <c r="AI901" s="98"/>
      <c r="AJ901" s="98"/>
      <c r="AK901" s="98"/>
      <c r="AL901" s="98"/>
      <c r="AM901" s="98"/>
      <c r="AN901" s="98"/>
      <c r="AO901" s="98"/>
    </row>
    <row r="902" ht="14.25" customHeight="1">
      <c r="A902" s="179"/>
      <c r="B902" s="98"/>
      <c r="C902" s="98"/>
      <c r="D902" s="98"/>
      <c r="E902" s="98"/>
      <c r="F902" s="235"/>
      <c r="G902" s="235"/>
      <c r="H902" s="236"/>
      <c r="I902" s="236"/>
      <c r="J902" s="236"/>
      <c r="K902" s="236"/>
      <c r="L902" s="236"/>
      <c r="M902" s="236"/>
      <c r="N902" s="236"/>
      <c r="O902" s="236"/>
      <c r="P902" s="236"/>
      <c r="Q902" s="236"/>
      <c r="R902" s="236"/>
      <c r="S902" s="236"/>
      <c r="T902" s="236"/>
      <c r="U902" s="236"/>
      <c r="V902" s="236"/>
      <c r="W902" s="237"/>
      <c r="X902" s="237"/>
      <c r="Y902" s="237"/>
      <c r="Z902" s="237"/>
      <c r="AA902" s="237"/>
      <c r="AB902" s="237"/>
      <c r="AC902" s="237"/>
      <c r="AD902" s="237"/>
      <c r="AE902" s="237"/>
      <c r="AF902" s="237"/>
      <c r="AG902" s="237"/>
      <c r="AH902" s="237"/>
      <c r="AI902" s="98"/>
      <c r="AJ902" s="98"/>
      <c r="AK902" s="98"/>
      <c r="AL902" s="98"/>
      <c r="AM902" s="98"/>
      <c r="AN902" s="98"/>
      <c r="AO902" s="98"/>
    </row>
    <row r="903" ht="14.25" customHeight="1">
      <c r="A903" s="179"/>
      <c r="B903" s="98"/>
      <c r="C903" s="98"/>
      <c r="D903" s="98"/>
      <c r="E903" s="98"/>
      <c r="F903" s="235"/>
      <c r="G903" s="235"/>
      <c r="H903" s="236"/>
      <c r="I903" s="236"/>
      <c r="J903" s="236"/>
      <c r="K903" s="236"/>
      <c r="L903" s="236"/>
      <c r="M903" s="236"/>
      <c r="N903" s="236"/>
      <c r="O903" s="236"/>
      <c r="P903" s="236"/>
      <c r="Q903" s="236"/>
      <c r="R903" s="236"/>
      <c r="S903" s="236"/>
      <c r="T903" s="236"/>
      <c r="U903" s="236"/>
      <c r="V903" s="236"/>
      <c r="W903" s="237"/>
      <c r="X903" s="237"/>
      <c r="Y903" s="237"/>
      <c r="Z903" s="237"/>
      <c r="AA903" s="237"/>
      <c r="AB903" s="237"/>
      <c r="AC903" s="237"/>
      <c r="AD903" s="237"/>
      <c r="AE903" s="237"/>
      <c r="AF903" s="237"/>
      <c r="AG903" s="237"/>
      <c r="AH903" s="237"/>
      <c r="AI903" s="98"/>
      <c r="AJ903" s="98"/>
      <c r="AK903" s="98"/>
      <c r="AL903" s="98"/>
      <c r="AM903" s="98"/>
      <c r="AN903" s="98"/>
      <c r="AO903" s="98"/>
    </row>
    <row r="904" ht="14.25" customHeight="1">
      <c r="A904" s="179"/>
      <c r="B904" s="98"/>
      <c r="C904" s="98"/>
      <c r="D904" s="98"/>
      <c r="E904" s="98"/>
      <c r="F904" s="235"/>
      <c r="G904" s="235"/>
      <c r="H904" s="236"/>
      <c r="I904" s="236"/>
      <c r="J904" s="236"/>
      <c r="K904" s="236"/>
      <c r="L904" s="236"/>
      <c r="M904" s="236"/>
      <c r="N904" s="236"/>
      <c r="O904" s="236"/>
      <c r="P904" s="236"/>
      <c r="Q904" s="236"/>
      <c r="R904" s="236"/>
      <c r="S904" s="236"/>
      <c r="T904" s="236"/>
      <c r="U904" s="236"/>
      <c r="V904" s="236"/>
      <c r="W904" s="237"/>
      <c r="X904" s="237"/>
      <c r="Y904" s="237"/>
      <c r="Z904" s="237"/>
      <c r="AA904" s="237"/>
      <c r="AB904" s="237"/>
      <c r="AC904" s="237"/>
      <c r="AD904" s="237"/>
      <c r="AE904" s="237"/>
      <c r="AF904" s="237"/>
      <c r="AG904" s="237"/>
      <c r="AH904" s="237"/>
      <c r="AI904" s="98"/>
      <c r="AJ904" s="98"/>
      <c r="AK904" s="98"/>
      <c r="AL904" s="98"/>
      <c r="AM904" s="98"/>
      <c r="AN904" s="98"/>
      <c r="AO904" s="98"/>
    </row>
    <row r="905" ht="14.25" customHeight="1">
      <c r="A905" s="179"/>
      <c r="B905" s="98"/>
      <c r="C905" s="98"/>
      <c r="D905" s="98"/>
      <c r="E905" s="98"/>
      <c r="F905" s="235"/>
      <c r="G905" s="235"/>
      <c r="H905" s="236"/>
      <c r="I905" s="236"/>
      <c r="J905" s="236"/>
      <c r="K905" s="236"/>
      <c r="L905" s="236"/>
      <c r="M905" s="236"/>
      <c r="N905" s="236"/>
      <c r="O905" s="236"/>
      <c r="P905" s="236"/>
      <c r="Q905" s="236"/>
      <c r="R905" s="236"/>
      <c r="S905" s="236"/>
      <c r="T905" s="236"/>
      <c r="U905" s="236"/>
      <c r="V905" s="236"/>
      <c r="W905" s="237"/>
      <c r="X905" s="237"/>
      <c r="Y905" s="237"/>
      <c r="Z905" s="237"/>
      <c r="AA905" s="237"/>
      <c r="AB905" s="237"/>
      <c r="AC905" s="237"/>
      <c r="AD905" s="237"/>
      <c r="AE905" s="237"/>
      <c r="AF905" s="237"/>
      <c r="AG905" s="237"/>
      <c r="AH905" s="237"/>
      <c r="AI905" s="98"/>
      <c r="AJ905" s="98"/>
      <c r="AK905" s="98"/>
      <c r="AL905" s="98"/>
      <c r="AM905" s="98"/>
      <c r="AN905" s="98"/>
      <c r="AO905" s="98"/>
    </row>
    <row r="906" ht="14.25" customHeight="1">
      <c r="A906" s="179"/>
      <c r="B906" s="98"/>
      <c r="C906" s="98"/>
      <c r="D906" s="98"/>
      <c r="E906" s="98"/>
      <c r="F906" s="235"/>
      <c r="G906" s="235"/>
      <c r="H906" s="236"/>
      <c r="I906" s="236"/>
      <c r="J906" s="236"/>
      <c r="K906" s="236"/>
      <c r="L906" s="236"/>
      <c r="M906" s="236"/>
      <c r="N906" s="236"/>
      <c r="O906" s="236"/>
      <c r="P906" s="236"/>
      <c r="Q906" s="236"/>
      <c r="R906" s="236"/>
      <c r="S906" s="236"/>
      <c r="T906" s="236"/>
      <c r="U906" s="236"/>
      <c r="V906" s="236"/>
      <c r="W906" s="237"/>
      <c r="X906" s="237"/>
      <c r="Y906" s="237"/>
      <c r="Z906" s="237"/>
      <c r="AA906" s="237"/>
      <c r="AB906" s="237"/>
      <c r="AC906" s="237"/>
      <c r="AD906" s="237"/>
      <c r="AE906" s="237"/>
      <c r="AF906" s="237"/>
      <c r="AG906" s="237"/>
      <c r="AH906" s="237"/>
      <c r="AI906" s="98"/>
      <c r="AJ906" s="98"/>
      <c r="AK906" s="98"/>
      <c r="AL906" s="98"/>
      <c r="AM906" s="98"/>
      <c r="AN906" s="98"/>
      <c r="AO906" s="98"/>
    </row>
    <row r="907" ht="14.25" customHeight="1">
      <c r="A907" s="179"/>
      <c r="B907" s="98"/>
      <c r="C907" s="98"/>
      <c r="D907" s="98"/>
      <c r="E907" s="98"/>
      <c r="F907" s="235"/>
      <c r="G907" s="235"/>
      <c r="H907" s="236"/>
      <c r="I907" s="236"/>
      <c r="J907" s="236"/>
      <c r="K907" s="236"/>
      <c r="L907" s="236"/>
      <c r="M907" s="236"/>
      <c r="N907" s="236"/>
      <c r="O907" s="236"/>
      <c r="P907" s="236"/>
      <c r="Q907" s="236"/>
      <c r="R907" s="236"/>
      <c r="S907" s="236"/>
      <c r="T907" s="236"/>
      <c r="U907" s="236"/>
      <c r="V907" s="236"/>
      <c r="W907" s="237"/>
      <c r="X907" s="237"/>
      <c r="Y907" s="237"/>
      <c r="Z907" s="237"/>
      <c r="AA907" s="237"/>
      <c r="AB907" s="237"/>
      <c r="AC907" s="237"/>
      <c r="AD907" s="237"/>
      <c r="AE907" s="237"/>
      <c r="AF907" s="237"/>
      <c r="AG907" s="237"/>
      <c r="AH907" s="237"/>
      <c r="AI907" s="98"/>
      <c r="AJ907" s="98"/>
      <c r="AK907" s="98"/>
      <c r="AL907" s="98"/>
      <c r="AM907" s="98"/>
      <c r="AN907" s="98"/>
      <c r="AO907" s="98"/>
    </row>
    <row r="908" ht="14.25" customHeight="1">
      <c r="A908" s="179"/>
      <c r="B908" s="98"/>
      <c r="C908" s="98"/>
      <c r="D908" s="98"/>
      <c r="E908" s="98"/>
      <c r="F908" s="235"/>
      <c r="G908" s="235"/>
      <c r="H908" s="236"/>
      <c r="I908" s="236"/>
      <c r="J908" s="236"/>
      <c r="K908" s="236"/>
      <c r="L908" s="236"/>
      <c r="M908" s="236"/>
      <c r="N908" s="236"/>
      <c r="O908" s="236"/>
      <c r="P908" s="236"/>
      <c r="Q908" s="236"/>
      <c r="R908" s="236"/>
      <c r="S908" s="236"/>
      <c r="T908" s="236"/>
      <c r="U908" s="236"/>
      <c r="V908" s="236"/>
      <c r="W908" s="237"/>
      <c r="X908" s="237"/>
      <c r="Y908" s="237"/>
      <c r="Z908" s="237"/>
      <c r="AA908" s="237"/>
      <c r="AB908" s="237"/>
      <c r="AC908" s="237"/>
      <c r="AD908" s="237"/>
      <c r="AE908" s="237"/>
      <c r="AF908" s="237"/>
      <c r="AG908" s="237"/>
      <c r="AH908" s="237"/>
      <c r="AI908" s="98"/>
      <c r="AJ908" s="98"/>
      <c r="AK908" s="98"/>
      <c r="AL908" s="98"/>
      <c r="AM908" s="98"/>
      <c r="AN908" s="98"/>
      <c r="AO908" s="98"/>
    </row>
    <row r="909" ht="14.25" customHeight="1">
      <c r="A909" s="179"/>
      <c r="B909" s="98"/>
      <c r="C909" s="98"/>
      <c r="D909" s="98"/>
      <c r="E909" s="98"/>
      <c r="F909" s="235"/>
      <c r="G909" s="235"/>
      <c r="H909" s="236"/>
      <c r="I909" s="236"/>
      <c r="J909" s="236"/>
      <c r="K909" s="236"/>
      <c r="L909" s="236"/>
      <c r="M909" s="236"/>
      <c r="N909" s="236"/>
      <c r="O909" s="236"/>
      <c r="P909" s="236"/>
      <c r="Q909" s="236"/>
      <c r="R909" s="236"/>
      <c r="S909" s="236"/>
      <c r="T909" s="236"/>
      <c r="U909" s="236"/>
      <c r="V909" s="236"/>
      <c r="W909" s="237"/>
      <c r="X909" s="237"/>
      <c r="Y909" s="237"/>
      <c r="Z909" s="237"/>
      <c r="AA909" s="237"/>
      <c r="AB909" s="237"/>
      <c r="AC909" s="237"/>
      <c r="AD909" s="237"/>
      <c r="AE909" s="237"/>
      <c r="AF909" s="237"/>
      <c r="AG909" s="237"/>
      <c r="AH909" s="237"/>
      <c r="AI909" s="98"/>
      <c r="AJ909" s="98"/>
      <c r="AK909" s="98"/>
      <c r="AL909" s="98"/>
      <c r="AM909" s="98"/>
      <c r="AN909" s="98"/>
      <c r="AO909" s="98"/>
    </row>
    <row r="910" ht="14.25" customHeight="1">
      <c r="A910" s="179"/>
      <c r="B910" s="98"/>
      <c r="C910" s="98"/>
      <c r="D910" s="98"/>
      <c r="E910" s="98"/>
      <c r="F910" s="235"/>
      <c r="G910" s="235"/>
      <c r="H910" s="236"/>
      <c r="I910" s="236"/>
      <c r="J910" s="236"/>
      <c r="K910" s="236"/>
      <c r="L910" s="236"/>
      <c r="M910" s="236"/>
      <c r="N910" s="236"/>
      <c r="O910" s="236"/>
      <c r="P910" s="236"/>
      <c r="Q910" s="236"/>
      <c r="R910" s="236"/>
      <c r="S910" s="236"/>
      <c r="T910" s="236"/>
      <c r="U910" s="236"/>
      <c r="V910" s="236"/>
      <c r="W910" s="237"/>
      <c r="X910" s="237"/>
      <c r="Y910" s="237"/>
      <c r="Z910" s="237"/>
      <c r="AA910" s="237"/>
      <c r="AB910" s="237"/>
      <c r="AC910" s="237"/>
      <c r="AD910" s="237"/>
      <c r="AE910" s="237"/>
      <c r="AF910" s="237"/>
      <c r="AG910" s="237"/>
      <c r="AH910" s="237"/>
      <c r="AI910" s="98"/>
      <c r="AJ910" s="98"/>
      <c r="AK910" s="98"/>
      <c r="AL910" s="98"/>
      <c r="AM910" s="98"/>
      <c r="AN910" s="98"/>
      <c r="AO910" s="98"/>
    </row>
    <row r="911" ht="14.25" customHeight="1">
      <c r="A911" s="179"/>
      <c r="B911" s="98"/>
      <c r="C911" s="98"/>
      <c r="D911" s="98"/>
      <c r="E911" s="98"/>
      <c r="F911" s="235"/>
      <c r="G911" s="235"/>
      <c r="H911" s="236"/>
      <c r="I911" s="236"/>
      <c r="J911" s="236"/>
      <c r="K911" s="236"/>
      <c r="L911" s="236"/>
      <c r="M911" s="236"/>
      <c r="N911" s="236"/>
      <c r="O911" s="236"/>
      <c r="P911" s="236"/>
      <c r="Q911" s="236"/>
      <c r="R911" s="236"/>
      <c r="S911" s="236"/>
      <c r="T911" s="236"/>
      <c r="U911" s="236"/>
      <c r="V911" s="236"/>
      <c r="W911" s="237"/>
      <c r="X911" s="237"/>
      <c r="Y911" s="237"/>
      <c r="Z911" s="237"/>
      <c r="AA911" s="237"/>
      <c r="AB911" s="237"/>
      <c r="AC911" s="237"/>
      <c r="AD911" s="237"/>
      <c r="AE911" s="237"/>
      <c r="AF911" s="237"/>
      <c r="AG911" s="237"/>
      <c r="AH911" s="237"/>
      <c r="AI911" s="98"/>
      <c r="AJ911" s="98"/>
      <c r="AK911" s="98"/>
      <c r="AL911" s="98"/>
      <c r="AM911" s="98"/>
      <c r="AN911" s="98"/>
      <c r="AO911" s="98"/>
    </row>
    <row r="912" ht="14.25" customHeight="1">
      <c r="A912" s="179"/>
      <c r="B912" s="98"/>
      <c r="C912" s="98"/>
      <c r="D912" s="98"/>
      <c r="E912" s="98"/>
      <c r="F912" s="235"/>
      <c r="G912" s="235"/>
      <c r="H912" s="236"/>
      <c r="I912" s="236"/>
      <c r="J912" s="236"/>
      <c r="K912" s="236"/>
      <c r="L912" s="236"/>
      <c r="M912" s="236"/>
      <c r="N912" s="236"/>
      <c r="O912" s="236"/>
      <c r="P912" s="236"/>
      <c r="Q912" s="236"/>
      <c r="R912" s="236"/>
      <c r="S912" s="236"/>
      <c r="T912" s="236"/>
      <c r="U912" s="236"/>
      <c r="V912" s="236"/>
      <c r="W912" s="237"/>
      <c r="X912" s="237"/>
      <c r="Y912" s="237"/>
      <c r="Z912" s="237"/>
      <c r="AA912" s="237"/>
      <c r="AB912" s="237"/>
      <c r="AC912" s="237"/>
      <c r="AD912" s="237"/>
      <c r="AE912" s="237"/>
      <c r="AF912" s="237"/>
      <c r="AG912" s="237"/>
      <c r="AH912" s="237"/>
      <c r="AI912" s="98"/>
      <c r="AJ912" s="98"/>
      <c r="AK912" s="98"/>
      <c r="AL912" s="98"/>
      <c r="AM912" s="98"/>
      <c r="AN912" s="98"/>
      <c r="AO912" s="98"/>
    </row>
    <row r="913" ht="14.25" customHeight="1">
      <c r="A913" s="179"/>
      <c r="B913" s="98"/>
      <c r="C913" s="98"/>
      <c r="D913" s="98"/>
      <c r="E913" s="98"/>
      <c r="F913" s="235"/>
      <c r="G913" s="235"/>
      <c r="H913" s="236"/>
      <c r="I913" s="236"/>
      <c r="J913" s="236"/>
      <c r="K913" s="236"/>
      <c r="L913" s="236"/>
      <c r="M913" s="236"/>
      <c r="N913" s="236"/>
      <c r="O913" s="236"/>
      <c r="P913" s="236"/>
      <c r="Q913" s="236"/>
      <c r="R913" s="236"/>
      <c r="S913" s="236"/>
      <c r="T913" s="236"/>
      <c r="U913" s="236"/>
      <c r="V913" s="236"/>
      <c r="W913" s="237"/>
      <c r="X913" s="237"/>
      <c r="Y913" s="237"/>
      <c r="Z913" s="237"/>
      <c r="AA913" s="237"/>
      <c r="AB913" s="237"/>
      <c r="AC913" s="237"/>
      <c r="AD913" s="237"/>
      <c r="AE913" s="237"/>
      <c r="AF913" s="237"/>
      <c r="AG913" s="237"/>
      <c r="AH913" s="237"/>
      <c r="AI913" s="98"/>
      <c r="AJ913" s="98"/>
      <c r="AK913" s="98"/>
      <c r="AL913" s="98"/>
      <c r="AM913" s="98"/>
      <c r="AN913" s="98"/>
      <c r="AO913" s="98"/>
    </row>
    <row r="914" ht="14.25" customHeight="1">
      <c r="A914" s="179"/>
      <c r="B914" s="98"/>
      <c r="C914" s="98"/>
      <c r="D914" s="98"/>
      <c r="E914" s="98"/>
      <c r="F914" s="235"/>
      <c r="G914" s="235"/>
      <c r="H914" s="236"/>
      <c r="I914" s="236"/>
      <c r="J914" s="236"/>
      <c r="K914" s="236"/>
      <c r="L914" s="236"/>
      <c r="M914" s="236"/>
      <c r="N914" s="236"/>
      <c r="O914" s="236"/>
      <c r="P914" s="236"/>
      <c r="Q914" s="236"/>
      <c r="R914" s="236"/>
      <c r="S914" s="236"/>
      <c r="T914" s="236"/>
      <c r="U914" s="236"/>
      <c r="V914" s="236"/>
      <c r="W914" s="237"/>
      <c r="X914" s="237"/>
      <c r="Y914" s="237"/>
      <c r="Z914" s="237"/>
      <c r="AA914" s="237"/>
      <c r="AB914" s="237"/>
      <c r="AC914" s="237"/>
      <c r="AD914" s="237"/>
      <c r="AE914" s="237"/>
      <c r="AF914" s="237"/>
      <c r="AG914" s="237"/>
      <c r="AH914" s="237"/>
      <c r="AI914" s="98"/>
      <c r="AJ914" s="98"/>
      <c r="AK914" s="98"/>
      <c r="AL914" s="98"/>
      <c r="AM914" s="98"/>
      <c r="AN914" s="98"/>
      <c r="AO914" s="98"/>
    </row>
    <row r="915" ht="14.25" customHeight="1">
      <c r="A915" s="179"/>
      <c r="B915" s="98"/>
      <c r="C915" s="98"/>
      <c r="D915" s="98"/>
      <c r="E915" s="98"/>
      <c r="F915" s="235"/>
      <c r="G915" s="235"/>
      <c r="H915" s="236"/>
      <c r="I915" s="236"/>
      <c r="J915" s="236"/>
      <c r="K915" s="236"/>
      <c r="L915" s="236"/>
      <c r="M915" s="236"/>
      <c r="N915" s="236"/>
      <c r="O915" s="236"/>
      <c r="P915" s="236"/>
      <c r="Q915" s="236"/>
      <c r="R915" s="236"/>
      <c r="S915" s="236"/>
      <c r="T915" s="236"/>
      <c r="U915" s="236"/>
      <c r="V915" s="236"/>
      <c r="W915" s="237"/>
      <c r="X915" s="237"/>
      <c r="Y915" s="237"/>
      <c r="Z915" s="237"/>
      <c r="AA915" s="237"/>
      <c r="AB915" s="237"/>
      <c r="AC915" s="237"/>
      <c r="AD915" s="237"/>
      <c r="AE915" s="237"/>
      <c r="AF915" s="237"/>
      <c r="AG915" s="237"/>
      <c r="AH915" s="237"/>
      <c r="AI915" s="98"/>
      <c r="AJ915" s="98"/>
      <c r="AK915" s="98"/>
      <c r="AL915" s="98"/>
      <c r="AM915" s="98"/>
      <c r="AN915" s="98"/>
      <c r="AO915" s="98"/>
    </row>
    <row r="916" ht="14.25" customHeight="1">
      <c r="A916" s="179"/>
      <c r="B916" s="98"/>
      <c r="C916" s="98"/>
      <c r="D916" s="98"/>
      <c r="E916" s="98"/>
      <c r="F916" s="235"/>
      <c r="G916" s="235"/>
      <c r="H916" s="236"/>
      <c r="I916" s="236"/>
      <c r="J916" s="236"/>
      <c r="K916" s="236"/>
      <c r="L916" s="236"/>
      <c r="M916" s="236"/>
      <c r="N916" s="236"/>
      <c r="O916" s="236"/>
      <c r="P916" s="236"/>
      <c r="Q916" s="236"/>
      <c r="R916" s="236"/>
      <c r="S916" s="236"/>
      <c r="T916" s="236"/>
      <c r="U916" s="236"/>
      <c r="V916" s="236"/>
      <c r="W916" s="237"/>
      <c r="X916" s="237"/>
      <c r="Y916" s="237"/>
      <c r="Z916" s="237"/>
      <c r="AA916" s="237"/>
      <c r="AB916" s="237"/>
      <c r="AC916" s="237"/>
      <c r="AD916" s="237"/>
      <c r="AE916" s="237"/>
      <c r="AF916" s="237"/>
      <c r="AG916" s="237"/>
      <c r="AH916" s="237"/>
      <c r="AI916" s="98"/>
      <c r="AJ916" s="98"/>
      <c r="AK916" s="98"/>
      <c r="AL916" s="98"/>
      <c r="AM916" s="98"/>
      <c r="AN916" s="98"/>
      <c r="AO916" s="98"/>
    </row>
    <row r="917" ht="14.25" customHeight="1">
      <c r="A917" s="179"/>
      <c r="B917" s="98"/>
      <c r="C917" s="98"/>
      <c r="D917" s="98"/>
      <c r="E917" s="98"/>
      <c r="F917" s="235"/>
      <c r="G917" s="235"/>
      <c r="H917" s="236"/>
      <c r="I917" s="236"/>
      <c r="J917" s="236"/>
      <c r="K917" s="236"/>
      <c r="L917" s="236"/>
      <c r="M917" s="236"/>
      <c r="N917" s="236"/>
      <c r="O917" s="236"/>
      <c r="P917" s="236"/>
      <c r="Q917" s="236"/>
      <c r="R917" s="236"/>
      <c r="S917" s="236"/>
      <c r="T917" s="236"/>
      <c r="U917" s="236"/>
      <c r="V917" s="236"/>
      <c r="W917" s="237"/>
      <c r="X917" s="237"/>
      <c r="Y917" s="237"/>
      <c r="Z917" s="237"/>
      <c r="AA917" s="237"/>
      <c r="AB917" s="237"/>
      <c r="AC917" s="237"/>
      <c r="AD917" s="237"/>
      <c r="AE917" s="237"/>
      <c r="AF917" s="237"/>
      <c r="AG917" s="237"/>
      <c r="AH917" s="237"/>
      <c r="AI917" s="98"/>
      <c r="AJ917" s="98"/>
      <c r="AK917" s="98"/>
      <c r="AL917" s="98"/>
      <c r="AM917" s="98"/>
      <c r="AN917" s="98"/>
      <c r="AO917" s="98"/>
    </row>
    <row r="918" ht="14.25" customHeight="1">
      <c r="A918" s="179"/>
      <c r="B918" s="98"/>
      <c r="C918" s="98"/>
      <c r="D918" s="98"/>
      <c r="E918" s="98"/>
      <c r="F918" s="235"/>
      <c r="G918" s="235"/>
      <c r="H918" s="236"/>
      <c r="I918" s="236"/>
      <c r="J918" s="236"/>
      <c r="K918" s="236"/>
      <c r="L918" s="236"/>
      <c r="M918" s="236"/>
      <c r="N918" s="236"/>
      <c r="O918" s="236"/>
      <c r="P918" s="236"/>
      <c r="Q918" s="236"/>
      <c r="R918" s="236"/>
      <c r="S918" s="236"/>
      <c r="T918" s="236"/>
      <c r="U918" s="236"/>
      <c r="V918" s="236"/>
      <c r="W918" s="237"/>
      <c r="X918" s="237"/>
      <c r="Y918" s="237"/>
      <c r="Z918" s="237"/>
      <c r="AA918" s="237"/>
      <c r="AB918" s="237"/>
      <c r="AC918" s="237"/>
      <c r="AD918" s="237"/>
      <c r="AE918" s="237"/>
      <c r="AF918" s="237"/>
      <c r="AG918" s="237"/>
      <c r="AH918" s="237"/>
      <c r="AI918" s="98"/>
      <c r="AJ918" s="98"/>
      <c r="AK918" s="98"/>
      <c r="AL918" s="98"/>
      <c r="AM918" s="98"/>
      <c r="AN918" s="98"/>
      <c r="AO918" s="98"/>
    </row>
    <row r="919" ht="14.25" customHeight="1">
      <c r="A919" s="179"/>
      <c r="B919" s="98"/>
      <c r="C919" s="98"/>
      <c r="D919" s="98"/>
      <c r="E919" s="98"/>
      <c r="F919" s="235"/>
      <c r="G919" s="235"/>
      <c r="H919" s="236"/>
      <c r="I919" s="236"/>
      <c r="J919" s="236"/>
      <c r="K919" s="236"/>
      <c r="L919" s="236"/>
      <c r="M919" s="236"/>
      <c r="N919" s="236"/>
      <c r="O919" s="236"/>
      <c r="P919" s="236"/>
      <c r="Q919" s="236"/>
      <c r="R919" s="236"/>
      <c r="S919" s="236"/>
      <c r="T919" s="236"/>
      <c r="U919" s="236"/>
      <c r="V919" s="236"/>
      <c r="W919" s="237"/>
      <c r="X919" s="237"/>
      <c r="Y919" s="237"/>
      <c r="Z919" s="237"/>
      <c r="AA919" s="237"/>
      <c r="AB919" s="237"/>
      <c r="AC919" s="237"/>
      <c r="AD919" s="237"/>
      <c r="AE919" s="237"/>
      <c r="AF919" s="237"/>
      <c r="AG919" s="237"/>
      <c r="AH919" s="237"/>
      <c r="AI919" s="98"/>
      <c r="AJ919" s="98"/>
      <c r="AK919" s="98"/>
      <c r="AL919" s="98"/>
      <c r="AM919" s="98"/>
      <c r="AN919" s="98"/>
      <c r="AO919" s="98"/>
    </row>
    <row r="920" ht="14.25" customHeight="1">
      <c r="A920" s="179"/>
      <c r="B920" s="98"/>
      <c r="C920" s="98"/>
      <c r="D920" s="98"/>
      <c r="E920" s="98"/>
      <c r="F920" s="235"/>
      <c r="G920" s="235"/>
      <c r="H920" s="236"/>
      <c r="I920" s="236"/>
      <c r="J920" s="236"/>
      <c r="K920" s="236"/>
      <c r="L920" s="236"/>
      <c r="M920" s="236"/>
      <c r="N920" s="236"/>
      <c r="O920" s="236"/>
      <c r="P920" s="236"/>
      <c r="Q920" s="236"/>
      <c r="R920" s="236"/>
      <c r="S920" s="236"/>
      <c r="T920" s="236"/>
      <c r="U920" s="236"/>
      <c r="V920" s="236"/>
      <c r="W920" s="237"/>
      <c r="X920" s="237"/>
      <c r="Y920" s="237"/>
      <c r="Z920" s="237"/>
      <c r="AA920" s="237"/>
      <c r="AB920" s="237"/>
      <c r="AC920" s="237"/>
      <c r="AD920" s="237"/>
      <c r="AE920" s="237"/>
      <c r="AF920" s="237"/>
      <c r="AG920" s="237"/>
      <c r="AH920" s="237"/>
      <c r="AI920" s="98"/>
      <c r="AJ920" s="98"/>
      <c r="AK920" s="98"/>
      <c r="AL920" s="98"/>
      <c r="AM920" s="98"/>
      <c r="AN920" s="98"/>
      <c r="AO920" s="98"/>
    </row>
    <row r="921" ht="14.25" customHeight="1">
      <c r="A921" s="179"/>
      <c r="B921" s="98"/>
      <c r="C921" s="98"/>
      <c r="D921" s="98"/>
      <c r="E921" s="98"/>
      <c r="F921" s="235"/>
      <c r="G921" s="235"/>
      <c r="H921" s="236"/>
      <c r="I921" s="236"/>
      <c r="J921" s="236"/>
      <c r="K921" s="236"/>
      <c r="L921" s="236"/>
      <c r="M921" s="236"/>
      <c r="N921" s="236"/>
      <c r="O921" s="236"/>
      <c r="P921" s="236"/>
      <c r="Q921" s="236"/>
      <c r="R921" s="236"/>
      <c r="S921" s="236"/>
      <c r="T921" s="236"/>
      <c r="U921" s="236"/>
      <c r="V921" s="236"/>
      <c r="W921" s="237"/>
      <c r="X921" s="237"/>
      <c r="Y921" s="237"/>
      <c r="Z921" s="237"/>
      <c r="AA921" s="237"/>
      <c r="AB921" s="237"/>
      <c r="AC921" s="237"/>
      <c r="AD921" s="237"/>
      <c r="AE921" s="237"/>
      <c r="AF921" s="237"/>
      <c r="AG921" s="237"/>
      <c r="AH921" s="237"/>
      <c r="AI921" s="98"/>
      <c r="AJ921" s="98"/>
      <c r="AK921" s="98"/>
      <c r="AL921" s="98"/>
      <c r="AM921" s="98"/>
      <c r="AN921" s="98"/>
      <c r="AO921" s="98"/>
    </row>
    <row r="922" ht="14.25" customHeight="1">
      <c r="A922" s="179"/>
      <c r="B922" s="98"/>
      <c r="C922" s="98"/>
      <c r="D922" s="98"/>
      <c r="E922" s="98"/>
      <c r="F922" s="235"/>
      <c r="G922" s="235"/>
      <c r="H922" s="236"/>
      <c r="I922" s="236"/>
      <c r="J922" s="236"/>
      <c r="K922" s="236"/>
      <c r="L922" s="236"/>
      <c r="M922" s="236"/>
      <c r="N922" s="236"/>
      <c r="O922" s="236"/>
      <c r="P922" s="236"/>
      <c r="Q922" s="236"/>
      <c r="R922" s="236"/>
      <c r="S922" s="236"/>
      <c r="T922" s="236"/>
      <c r="U922" s="236"/>
      <c r="V922" s="236"/>
      <c r="W922" s="237"/>
      <c r="X922" s="237"/>
      <c r="Y922" s="237"/>
      <c r="Z922" s="237"/>
      <c r="AA922" s="237"/>
      <c r="AB922" s="237"/>
      <c r="AC922" s="237"/>
      <c r="AD922" s="237"/>
      <c r="AE922" s="237"/>
      <c r="AF922" s="237"/>
      <c r="AG922" s="237"/>
      <c r="AH922" s="237"/>
      <c r="AI922" s="98"/>
      <c r="AJ922" s="98"/>
      <c r="AK922" s="98"/>
      <c r="AL922" s="98"/>
      <c r="AM922" s="98"/>
      <c r="AN922" s="98"/>
      <c r="AO922" s="98"/>
    </row>
    <row r="923" ht="14.25" customHeight="1">
      <c r="A923" s="179"/>
      <c r="B923" s="98"/>
      <c r="C923" s="98"/>
      <c r="D923" s="98"/>
      <c r="E923" s="98"/>
      <c r="F923" s="235"/>
      <c r="G923" s="235"/>
      <c r="H923" s="236"/>
      <c r="I923" s="236"/>
      <c r="J923" s="236"/>
      <c r="K923" s="236"/>
      <c r="L923" s="236"/>
      <c r="M923" s="236"/>
      <c r="N923" s="236"/>
      <c r="O923" s="236"/>
      <c r="P923" s="236"/>
      <c r="Q923" s="236"/>
      <c r="R923" s="236"/>
      <c r="S923" s="236"/>
      <c r="T923" s="236"/>
      <c r="U923" s="236"/>
      <c r="V923" s="236"/>
      <c r="W923" s="237"/>
      <c r="X923" s="237"/>
      <c r="Y923" s="237"/>
      <c r="Z923" s="237"/>
      <c r="AA923" s="237"/>
      <c r="AB923" s="237"/>
      <c r="AC923" s="237"/>
      <c r="AD923" s="237"/>
      <c r="AE923" s="237"/>
      <c r="AF923" s="237"/>
      <c r="AG923" s="237"/>
      <c r="AH923" s="237"/>
      <c r="AI923" s="98"/>
      <c r="AJ923" s="98"/>
      <c r="AK923" s="98"/>
      <c r="AL923" s="98"/>
      <c r="AM923" s="98"/>
      <c r="AN923" s="98"/>
      <c r="AO923" s="98"/>
    </row>
    <row r="924" ht="14.25" customHeight="1">
      <c r="A924" s="179"/>
      <c r="B924" s="98"/>
      <c r="C924" s="98"/>
      <c r="D924" s="98"/>
      <c r="E924" s="98"/>
      <c r="F924" s="235"/>
      <c r="G924" s="235"/>
      <c r="H924" s="236"/>
      <c r="I924" s="236"/>
      <c r="J924" s="236"/>
      <c r="K924" s="236"/>
      <c r="L924" s="236"/>
      <c r="M924" s="236"/>
      <c r="N924" s="236"/>
      <c r="O924" s="236"/>
      <c r="P924" s="236"/>
      <c r="Q924" s="236"/>
      <c r="R924" s="236"/>
      <c r="S924" s="236"/>
      <c r="T924" s="236"/>
      <c r="U924" s="236"/>
      <c r="V924" s="236"/>
      <c r="W924" s="237"/>
      <c r="X924" s="237"/>
      <c r="Y924" s="237"/>
      <c r="Z924" s="237"/>
      <c r="AA924" s="237"/>
      <c r="AB924" s="237"/>
      <c r="AC924" s="237"/>
      <c r="AD924" s="237"/>
      <c r="AE924" s="237"/>
      <c r="AF924" s="237"/>
      <c r="AG924" s="237"/>
      <c r="AH924" s="237"/>
      <c r="AI924" s="98"/>
      <c r="AJ924" s="98"/>
      <c r="AK924" s="98"/>
      <c r="AL924" s="98"/>
      <c r="AM924" s="98"/>
      <c r="AN924" s="98"/>
      <c r="AO924" s="98"/>
    </row>
    <row r="925" ht="14.25" customHeight="1">
      <c r="A925" s="179"/>
      <c r="B925" s="98"/>
      <c r="C925" s="98"/>
      <c r="D925" s="98"/>
      <c r="E925" s="98"/>
      <c r="F925" s="235"/>
      <c r="G925" s="235"/>
      <c r="H925" s="236"/>
      <c r="I925" s="236"/>
      <c r="J925" s="236"/>
      <c r="K925" s="236"/>
      <c r="L925" s="236"/>
      <c r="M925" s="236"/>
      <c r="N925" s="236"/>
      <c r="O925" s="236"/>
      <c r="P925" s="236"/>
      <c r="Q925" s="236"/>
      <c r="R925" s="236"/>
      <c r="S925" s="236"/>
      <c r="T925" s="236"/>
      <c r="U925" s="236"/>
      <c r="V925" s="236"/>
      <c r="W925" s="237"/>
      <c r="X925" s="237"/>
      <c r="Y925" s="237"/>
      <c r="Z925" s="237"/>
      <c r="AA925" s="237"/>
      <c r="AB925" s="237"/>
      <c r="AC925" s="237"/>
      <c r="AD925" s="237"/>
      <c r="AE925" s="237"/>
      <c r="AF925" s="237"/>
      <c r="AG925" s="237"/>
      <c r="AH925" s="237"/>
      <c r="AI925" s="98"/>
      <c r="AJ925" s="98"/>
      <c r="AK925" s="98"/>
      <c r="AL925" s="98"/>
      <c r="AM925" s="98"/>
      <c r="AN925" s="98"/>
      <c r="AO925" s="98"/>
    </row>
    <row r="926" ht="14.25" customHeight="1">
      <c r="A926" s="179"/>
      <c r="B926" s="98"/>
      <c r="C926" s="98"/>
      <c r="D926" s="98"/>
      <c r="E926" s="98"/>
      <c r="F926" s="235"/>
      <c r="G926" s="235"/>
      <c r="H926" s="236"/>
      <c r="I926" s="236"/>
      <c r="J926" s="236"/>
      <c r="K926" s="236"/>
      <c r="L926" s="236"/>
      <c r="M926" s="236"/>
      <c r="N926" s="236"/>
      <c r="O926" s="236"/>
      <c r="P926" s="236"/>
      <c r="Q926" s="236"/>
      <c r="R926" s="236"/>
      <c r="S926" s="236"/>
      <c r="T926" s="236"/>
      <c r="U926" s="236"/>
      <c r="V926" s="236"/>
      <c r="W926" s="237"/>
      <c r="X926" s="237"/>
      <c r="Y926" s="237"/>
      <c r="Z926" s="237"/>
      <c r="AA926" s="237"/>
      <c r="AB926" s="237"/>
      <c r="AC926" s="237"/>
      <c r="AD926" s="237"/>
      <c r="AE926" s="237"/>
      <c r="AF926" s="237"/>
      <c r="AG926" s="237"/>
      <c r="AH926" s="237"/>
      <c r="AI926" s="98"/>
      <c r="AJ926" s="98"/>
      <c r="AK926" s="98"/>
      <c r="AL926" s="98"/>
      <c r="AM926" s="98"/>
      <c r="AN926" s="98"/>
      <c r="AO926" s="98"/>
    </row>
    <row r="927" ht="14.25" customHeight="1">
      <c r="A927" s="179"/>
      <c r="B927" s="98"/>
      <c r="C927" s="98"/>
      <c r="D927" s="98"/>
      <c r="E927" s="98"/>
      <c r="F927" s="235"/>
      <c r="G927" s="235"/>
      <c r="H927" s="236"/>
      <c r="I927" s="236"/>
      <c r="J927" s="236"/>
      <c r="K927" s="236"/>
      <c r="L927" s="236"/>
      <c r="M927" s="236"/>
      <c r="N927" s="236"/>
      <c r="O927" s="236"/>
      <c r="P927" s="236"/>
      <c r="Q927" s="236"/>
      <c r="R927" s="236"/>
      <c r="S927" s="236"/>
      <c r="T927" s="236"/>
      <c r="U927" s="236"/>
      <c r="V927" s="236"/>
      <c r="W927" s="237"/>
      <c r="X927" s="237"/>
      <c r="Y927" s="237"/>
      <c r="Z927" s="237"/>
      <c r="AA927" s="237"/>
      <c r="AB927" s="237"/>
      <c r="AC927" s="237"/>
      <c r="AD927" s="237"/>
      <c r="AE927" s="237"/>
      <c r="AF927" s="237"/>
      <c r="AG927" s="237"/>
      <c r="AH927" s="237"/>
      <c r="AI927" s="98"/>
      <c r="AJ927" s="98"/>
      <c r="AK927" s="98"/>
      <c r="AL927" s="98"/>
      <c r="AM927" s="98"/>
      <c r="AN927" s="98"/>
      <c r="AO927" s="98"/>
    </row>
    <row r="928" ht="14.25" customHeight="1">
      <c r="A928" s="179"/>
      <c r="B928" s="98"/>
      <c r="C928" s="98"/>
      <c r="D928" s="98"/>
      <c r="E928" s="98"/>
      <c r="F928" s="235"/>
      <c r="G928" s="235"/>
      <c r="H928" s="236"/>
      <c r="I928" s="236"/>
      <c r="J928" s="236"/>
      <c r="K928" s="236"/>
      <c r="L928" s="236"/>
      <c r="M928" s="236"/>
      <c r="N928" s="236"/>
      <c r="O928" s="236"/>
      <c r="P928" s="236"/>
      <c r="Q928" s="236"/>
      <c r="R928" s="236"/>
      <c r="S928" s="236"/>
      <c r="T928" s="236"/>
      <c r="U928" s="236"/>
      <c r="V928" s="236"/>
      <c r="W928" s="237"/>
      <c r="X928" s="237"/>
      <c r="Y928" s="237"/>
      <c r="Z928" s="237"/>
      <c r="AA928" s="237"/>
      <c r="AB928" s="237"/>
      <c r="AC928" s="237"/>
      <c r="AD928" s="237"/>
      <c r="AE928" s="237"/>
      <c r="AF928" s="237"/>
      <c r="AG928" s="237"/>
      <c r="AH928" s="237"/>
      <c r="AI928" s="98"/>
      <c r="AJ928" s="98"/>
      <c r="AK928" s="98"/>
      <c r="AL928" s="98"/>
      <c r="AM928" s="98"/>
      <c r="AN928" s="98"/>
      <c r="AO928" s="98"/>
    </row>
    <row r="929" ht="14.25" customHeight="1">
      <c r="A929" s="179"/>
      <c r="B929" s="98"/>
      <c r="C929" s="98"/>
      <c r="D929" s="98"/>
      <c r="E929" s="98"/>
      <c r="F929" s="235"/>
      <c r="G929" s="235"/>
      <c r="H929" s="236"/>
      <c r="I929" s="236"/>
      <c r="J929" s="236"/>
      <c r="K929" s="236"/>
      <c r="L929" s="236"/>
      <c r="M929" s="236"/>
      <c r="N929" s="236"/>
      <c r="O929" s="236"/>
      <c r="P929" s="236"/>
      <c r="Q929" s="236"/>
      <c r="R929" s="236"/>
      <c r="S929" s="236"/>
      <c r="T929" s="236"/>
      <c r="U929" s="236"/>
      <c r="V929" s="236"/>
      <c r="W929" s="237"/>
      <c r="X929" s="237"/>
      <c r="Y929" s="237"/>
      <c r="Z929" s="237"/>
      <c r="AA929" s="237"/>
      <c r="AB929" s="237"/>
      <c r="AC929" s="237"/>
      <c r="AD929" s="237"/>
      <c r="AE929" s="237"/>
      <c r="AF929" s="237"/>
      <c r="AG929" s="237"/>
      <c r="AH929" s="237"/>
      <c r="AI929" s="98"/>
      <c r="AJ929" s="98"/>
      <c r="AK929" s="98"/>
      <c r="AL929" s="98"/>
      <c r="AM929" s="98"/>
      <c r="AN929" s="98"/>
      <c r="AO929" s="98"/>
    </row>
    <row r="930" ht="14.25" customHeight="1">
      <c r="A930" s="179"/>
      <c r="B930" s="98"/>
      <c r="C930" s="98"/>
      <c r="D930" s="98"/>
      <c r="E930" s="98"/>
      <c r="F930" s="235"/>
      <c r="G930" s="235"/>
      <c r="H930" s="236"/>
      <c r="I930" s="236"/>
      <c r="J930" s="236"/>
      <c r="K930" s="236"/>
      <c r="L930" s="236"/>
      <c r="M930" s="236"/>
      <c r="N930" s="236"/>
      <c r="O930" s="236"/>
      <c r="P930" s="236"/>
      <c r="Q930" s="236"/>
      <c r="R930" s="236"/>
      <c r="S930" s="236"/>
      <c r="T930" s="236"/>
      <c r="U930" s="236"/>
      <c r="V930" s="236"/>
      <c r="W930" s="237"/>
      <c r="X930" s="237"/>
      <c r="Y930" s="237"/>
      <c r="Z930" s="237"/>
      <c r="AA930" s="237"/>
      <c r="AB930" s="237"/>
      <c r="AC930" s="237"/>
      <c r="AD930" s="237"/>
      <c r="AE930" s="237"/>
      <c r="AF930" s="237"/>
      <c r="AG930" s="237"/>
      <c r="AH930" s="237"/>
      <c r="AI930" s="98"/>
      <c r="AJ930" s="98"/>
      <c r="AK930" s="98"/>
      <c r="AL930" s="98"/>
      <c r="AM930" s="98"/>
      <c r="AN930" s="98"/>
      <c r="AO930" s="98"/>
    </row>
    <row r="931" ht="14.25" customHeight="1">
      <c r="A931" s="179"/>
      <c r="B931" s="98"/>
      <c r="C931" s="98"/>
      <c r="D931" s="98"/>
      <c r="E931" s="98"/>
      <c r="F931" s="235"/>
      <c r="G931" s="235"/>
      <c r="H931" s="236"/>
      <c r="I931" s="236"/>
      <c r="J931" s="236"/>
      <c r="K931" s="236"/>
      <c r="L931" s="236"/>
      <c r="M931" s="236"/>
      <c r="N931" s="236"/>
      <c r="O931" s="236"/>
      <c r="P931" s="236"/>
      <c r="Q931" s="236"/>
      <c r="R931" s="236"/>
      <c r="S931" s="236"/>
      <c r="T931" s="236"/>
      <c r="U931" s="236"/>
      <c r="V931" s="236"/>
      <c r="W931" s="237"/>
      <c r="X931" s="237"/>
      <c r="Y931" s="237"/>
      <c r="Z931" s="237"/>
      <c r="AA931" s="237"/>
      <c r="AB931" s="237"/>
      <c r="AC931" s="237"/>
      <c r="AD931" s="237"/>
      <c r="AE931" s="237"/>
      <c r="AF931" s="237"/>
      <c r="AG931" s="237"/>
      <c r="AH931" s="237"/>
      <c r="AI931" s="98"/>
      <c r="AJ931" s="98"/>
      <c r="AK931" s="98"/>
      <c r="AL931" s="98"/>
      <c r="AM931" s="98"/>
      <c r="AN931" s="98"/>
      <c r="AO931" s="98"/>
    </row>
    <row r="932" ht="14.25" customHeight="1">
      <c r="A932" s="179"/>
      <c r="B932" s="98"/>
      <c r="C932" s="98"/>
      <c r="D932" s="98"/>
      <c r="E932" s="98"/>
      <c r="F932" s="235"/>
      <c r="G932" s="235"/>
      <c r="H932" s="236"/>
      <c r="I932" s="236"/>
      <c r="J932" s="236"/>
      <c r="K932" s="236"/>
      <c r="L932" s="236"/>
      <c r="M932" s="236"/>
      <c r="N932" s="236"/>
      <c r="O932" s="236"/>
      <c r="P932" s="236"/>
      <c r="Q932" s="236"/>
      <c r="R932" s="236"/>
      <c r="S932" s="236"/>
      <c r="T932" s="236"/>
      <c r="U932" s="236"/>
      <c r="V932" s="236"/>
      <c r="W932" s="237"/>
      <c r="X932" s="237"/>
      <c r="Y932" s="237"/>
      <c r="Z932" s="237"/>
      <c r="AA932" s="237"/>
      <c r="AB932" s="237"/>
      <c r="AC932" s="237"/>
      <c r="AD932" s="237"/>
      <c r="AE932" s="237"/>
      <c r="AF932" s="237"/>
      <c r="AG932" s="237"/>
      <c r="AH932" s="237"/>
      <c r="AI932" s="98"/>
      <c r="AJ932" s="98"/>
      <c r="AK932" s="98"/>
      <c r="AL932" s="98"/>
      <c r="AM932" s="98"/>
      <c r="AN932" s="98"/>
      <c r="AO932" s="98"/>
    </row>
    <row r="933" ht="14.25" customHeight="1">
      <c r="A933" s="179"/>
      <c r="B933" s="98"/>
      <c r="C933" s="98"/>
      <c r="D933" s="98"/>
      <c r="E933" s="98"/>
      <c r="F933" s="235"/>
      <c r="G933" s="235"/>
      <c r="H933" s="236"/>
      <c r="I933" s="236"/>
      <c r="J933" s="236"/>
      <c r="K933" s="236"/>
      <c r="L933" s="236"/>
      <c r="M933" s="236"/>
      <c r="N933" s="236"/>
      <c r="O933" s="236"/>
      <c r="P933" s="236"/>
      <c r="Q933" s="236"/>
      <c r="R933" s="236"/>
      <c r="S933" s="236"/>
      <c r="T933" s="236"/>
      <c r="U933" s="236"/>
      <c r="V933" s="236"/>
      <c r="W933" s="237"/>
      <c r="X933" s="237"/>
      <c r="Y933" s="237"/>
      <c r="Z933" s="237"/>
      <c r="AA933" s="237"/>
      <c r="AB933" s="237"/>
      <c r="AC933" s="237"/>
      <c r="AD933" s="237"/>
      <c r="AE933" s="237"/>
      <c r="AF933" s="237"/>
      <c r="AG933" s="237"/>
      <c r="AH933" s="237"/>
      <c r="AI933" s="98"/>
      <c r="AJ933" s="98"/>
      <c r="AK933" s="98"/>
      <c r="AL933" s="98"/>
      <c r="AM933" s="98"/>
      <c r="AN933" s="98"/>
      <c r="AO933" s="98"/>
    </row>
    <row r="934" ht="14.25" customHeight="1">
      <c r="A934" s="179"/>
      <c r="B934" s="98"/>
      <c r="C934" s="98"/>
      <c r="D934" s="98"/>
      <c r="E934" s="98"/>
      <c r="F934" s="235"/>
      <c r="G934" s="235"/>
      <c r="H934" s="236"/>
      <c r="I934" s="236"/>
      <c r="J934" s="236"/>
      <c r="K934" s="236"/>
      <c r="L934" s="236"/>
      <c r="M934" s="236"/>
      <c r="N934" s="236"/>
      <c r="O934" s="236"/>
      <c r="P934" s="236"/>
      <c r="Q934" s="236"/>
      <c r="R934" s="236"/>
      <c r="S934" s="236"/>
      <c r="T934" s="236"/>
      <c r="U934" s="236"/>
      <c r="V934" s="236"/>
      <c r="W934" s="237"/>
      <c r="X934" s="237"/>
      <c r="Y934" s="237"/>
      <c r="Z934" s="237"/>
      <c r="AA934" s="237"/>
      <c r="AB934" s="237"/>
      <c r="AC934" s="237"/>
      <c r="AD934" s="237"/>
      <c r="AE934" s="237"/>
      <c r="AF934" s="237"/>
      <c r="AG934" s="237"/>
      <c r="AH934" s="237"/>
      <c r="AI934" s="98"/>
      <c r="AJ934" s="98"/>
      <c r="AK934" s="98"/>
      <c r="AL934" s="98"/>
      <c r="AM934" s="98"/>
      <c r="AN934" s="98"/>
      <c r="AO934" s="98"/>
    </row>
    <row r="935" ht="14.25" customHeight="1">
      <c r="A935" s="179"/>
      <c r="B935" s="98"/>
      <c r="C935" s="98"/>
      <c r="D935" s="98"/>
      <c r="E935" s="98"/>
      <c r="F935" s="235"/>
      <c r="G935" s="235"/>
      <c r="H935" s="236"/>
      <c r="I935" s="236"/>
      <c r="J935" s="236"/>
      <c r="K935" s="236"/>
      <c r="L935" s="236"/>
      <c r="M935" s="236"/>
      <c r="N935" s="236"/>
      <c r="O935" s="236"/>
      <c r="P935" s="236"/>
      <c r="Q935" s="236"/>
      <c r="R935" s="236"/>
      <c r="S935" s="236"/>
      <c r="T935" s="236"/>
      <c r="U935" s="236"/>
      <c r="V935" s="236"/>
      <c r="W935" s="237"/>
      <c r="X935" s="237"/>
      <c r="Y935" s="237"/>
      <c r="Z935" s="237"/>
      <c r="AA935" s="237"/>
      <c r="AB935" s="237"/>
      <c r="AC935" s="237"/>
      <c r="AD935" s="237"/>
      <c r="AE935" s="237"/>
      <c r="AF935" s="237"/>
      <c r="AG935" s="237"/>
      <c r="AH935" s="237"/>
      <c r="AI935" s="98"/>
      <c r="AJ935" s="98"/>
      <c r="AK935" s="98"/>
      <c r="AL935" s="98"/>
      <c r="AM935" s="98"/>
      <c r="AN935" s="98"/>
      <c r="AO935" s="98"/>
    </row>
    <row r="936" ht="14.25" customHeight="1">
      <c r="A936" s="179"/>
      <c r="B936" s="98"/>
      <c r="C936" s="98"/>
      <c r="D936" s="98"/>
      <c r="E936" s="98"/>
      <c r="F936" s="235"/>
      <c r="G936" s="235"/>
      <c r="H936" s="236"/>
      <c r="I936" s="236"/>
      <c r="J936" s="236"/>
      <c r="K936" s="236"/>
      <c r="L936" s="236"/>
      <c r="M936" s="236"/>
      <c r="N936" s="236"/>
      <c r="O936" s="236"/>
      <c r="P936" s="236"/>
      <c r="Q936" s="236"/>
      <c r="R936" s="236"/>
      <c r="S936" s="236"/>
      <c r="T936" s="236"/>
      <c r="U936" s="236"/>
      <c r="V936" s="236"/>
      <c r="W936" s="237"/>
      <c r="X936" s="237"/>
      <c r="Y936" s="237"/>
      <c r="Z936" s="237"/>
      <c r="AA936" s="237"/>
      <c r="AB936" s="237"/>
      <c r="AC936" s="237"/>
      <c r="AD936" s="237"/>
      <c r="AE936" s="237"/>
      <c r="AF936" s="237"/>
      <c r="AG936" s="237"/>
      <c r="AH936" s="237"/>
      <c r="AI936" s="98"/>
      <c r="AJ936" s="98"/>
      <c r="AK936" s="98"/>
      <c r="AL936" s="98"/>
      <c r="AM936" s="98"/>
      <c r="AN936" s="98"/>
      <c r="AO936" s="98"/>
    </row>
    <row r="937" ht="14.25" customHeight="1">
      <c r="A937" s="179"/>
      <c r="B937" s="98"/>
      <c r="C937" s="98"/>
      <c r="D937" s="98"/>
      <c r="E937" s="98"/>
      <c r="F937" s="235"/>
      <c r="G937" s="235"/>
      <c r="H937" s="236"/>
      <c r="I937" s="236"/>
      <c r="J937" s="236"/>
      <c r="K937" s="236"/>
      <c r="L937" s="236"/>
      <c r="M937" s="236"/>
      <c r="N937" s="236"/>
      <c r="O937" s="236"/>
      <c r="P937" s="236"/>
      <c r="Q937" s="236"/>
      <c r="R937" s="236"/>
      <c r="S937" s="236"/>
      <c r="T937" s="236"/>
      <c r="U937" s="236"/>
      <c r="V937" s="236"/>
      <c r="W937" s="237"/>
      <c r="X937" s="237"/>
      <c r="Y937" s="237"/>
      <c r="Z937" s="237"/>
      <c r="AA937" s="237"/>
      <c r="AB937" s="237"/>
      <c r="AC937" s="237"/>
      <c r="AD937" s="237"/>
      <c r="AE937" s="237"/>
      <c r="AF937" s="237"/>
      <c r="AG937" s="237"/>
      <c r="AH937" s="237"/>
      <c r="AI937" s="98"/>
      <c r="AJ937" s="98"/>
      <c r="AK937" s="98"/>
      <c r="AL937" s="98"/>
      <c r="AM937" s="98"/>
      <c r="AN937" s="98"/>
      <c r="AO937" s="98"/>
    </row>
    <row r="938" ht="14.25" customHeight="1">
      <c r="A938" s="179"/>
      <c r="B938" s="98"/>
      <c r="C938" s="98"/>
      <c r="D938" s="98"/>
      <c r="E938" s="98"/>
      <c r="F938" s="235"/>
      <c r="G938" s="235"/>
      <c r="H938" s="236"/>
      <c r="I938" s="236"/>
      <c r="J938" s="236"/>
      <c r="K938" s="236"/>
      <c r="L938" s="236"/>
      <c r="M938" s="236"/>
      <c r="N938" s="236"/>
      <c r="O938" s="236"/>
      <c r="P938" s="236"/>
      <c r="Q938" s="236"/>
      <c r="R938" s="236"/>
      <c r="S938" s="236"/>
      <c r="T938" s="236"/>
      <c r="U938" s="236"/>
      <c r="V938" s="236"/>
      <c r="W938" s="237"/>
      <c r="X938" s="237"/>
      <c r="Y938" s="237"/>
      <c r="Z938" s="237"/>
      <c r="AA938" s="237"/>
      <c r="AB938" s="237"/>
      <c r="AC938" s="237"/>
      <c r="AD938" s="237"/>
      <c r="AE938" s="237"/>
      <c r="AF938" s="237"/>
      <c r="AG938" s="237"/>
      <c r="AH938" s="237"/>
      <c r="AI938" s="98"/>
      <c r="AJ938" s="98"/>
      <c r="AK938" s="98"/>
      <c r="AL938" s="98"/>
      <c r="AM938" s="98"/>
      <c r="AN938" s="98"/>
      <c r="AO938" s="98"/>
    </row>
    <row r="939" ht="14.25" customHeight="1">
      <c r="A939" s="179"/>
      <c r="B939" s="98"/>
      <c r="C939" s="98"/>
      <c r="D939" s="98"/>
      <c r="E939" s="98"/>
      <c r="F939" s="235"/>
      <c r="G939" s="235"/>
      <c r="H939" s="236"/>
      <c r="I939" s="236"/>
      <c r="J939" s="236"/>
      <c r="K939" s="236"/>
      <c r="L939" s="236"/>
      <c r="M939" s="236"/>
      <c r="N939" s="236"/>
      <c r="O939" s="236"/>
      <c r="P939" s="236"/>
      <c r="Q939" s="236"/>
      <c r="R939" s="236"/>
      <c r="S939" s="236"/>
      <c r="T939" s="236"/>
      <c r="U939" s="236"/>
      <c r="V939" s="236"/>
      <c r="W939" s="237"/>
      <c r="X939" s="237"/>
      <c r="Y939" s="237"/>
      <c r="Z939" s="237"/>
      <c r="AA939" s="237"/>
      <c r="AB939" s="237"/>
      <c r="AC939" s="237"/>
      <c r="AD939" s="237"/>
      <c r="AE939" s="237"/>
      <c r="AF939" s="237"/>
      <c r="AG939" s="237"/>
      <c r="AH939" s="237"/>
      <c r="AI939" s="98"/>
      <c r="AJ939" s="98"/>
      <c r="AK939" s="98"/>
      <c r="AL939" s="98"/>
      <c r="AM939" s="98"/>
      <c r="AN939" s="98"/>
      <c r="AO939" s="98"/>
    </row>
    <row r="940" ht="14.25" customHeight="1">
      <c r="A940" s="179"/>
      <c r="B940" s="98"/>
      <c r="C940" s="98"/>
      <c r="D940" s="98"/>
      <c r="E940" s="98"/>
      <c r="F940" s="235"/>
      <c r="G940" s="235"/>
      <c r="H940" s="236"/>
      <c r="I940" s="236"/>
      <c r="J940" s="236"/>
      <c r="K940" s="236"/>
      <c r="L940" s="236"/>
      <c r="M940" s="236"/>
      <c r="N940" s="236"/>
      <c r="O940" s="236"/>
      <c r="P940" s="236"/>
      <c r="Q940" s="236"/>
      <c r="R940" s="236"/>
      <c r="S940" s="236"/>
      <c r="T940" s="236"/>
      <c r="U940" s="236"/>
      <c r="V940" s="236"/>
      <c r="W940" s="237"/>
      <c r="X940" s="237"/>
      <c r="Y940" s="237"/>
      <c r="Z940" s="237"/>
      <c r="AA940" s="237"/>
      <c r="AB940" s="237"/>
      <c r="AC940" s="237"/>
      <c r="AD940" s="237"/>
      <c r="AE940" s="237"/>
      <c r="AF940" s="237"/>
      <c r="AG940" s="237"/>
      <c r="AH940" s="237"/>
      <c r="AI940" s="98"/>
      <c r="AJ940" s="98"/>
      <c r="AK940" s="98"/>
      <c r="AL940" s="98"/>
      <c r="AM940" s="98"/>
      <c r="AN940" s="98"/>
      <c r="AO940" s="98"/>
    </row>
    <row r="941" ht="14.25" customHeight="1">
      <c r="A941" s="179"/>
      <c r="B941" s="98"/>
      <c r="C941" s="98"/>
      <c r="D941" s="98"/>
      <c r="E941" s="98"/>
      <c r="F941" s="235"/>
      <c r="G941" s="235"/>
      <c r="H941" s="236"/>
      <c r="I941" s="236"/>
      <c r="J941" s="236"/>
      <c r="K941" s="236"/>
      <c r="L941" s="236"/>
      <c r="M941" s="236"/>
      <c r="N941" s="236"/>
      <c r="O941" s="236"/>
      <c r="P941" s="236"/>
      <c r="Q941" s="236"/>
      <c r="R941" s="236"/>
      <c r="S941" s="236"/>
      <c r="T941" s="236"/>
      <c r="U941" s="236"/>
      <c r="V941" s="236"/>
      <c r="W941" s="237"/>
      <c r="X941" s="237"/>
      <c r="Y941" s="237"/>
      <c r="Z941" s="237"/>
      <c r="AA941" s="237"/>
      <c r="AB941" s="237"/>
      <c r="AC941" s="237"/>
      <c r="AD941" s="237"/>
      <c r="AE941" s="237"/>
      <c r="AF941" s="237"/>
      <c r="AG941" s="237"/>
      <c r="AH941" s="237"/>
      <c r="AI941" s="98"/>
      <c r="AJ941" s="98"/>
      <c r="AK941" s="98"/>
      <c r="AL941" s="98"/>
      <c r="AM941" s="98"/>
      <c r="AN941" s="98"/>
      <c r="AO941" s="98"/>
    </row>
    <row r="942" ht="14.25" customHeight="1">
      <c r="A942" s="179"/>
      <c r="B942" s="98"/>
      <c r="C942" s="98"/>
      <c r="D942" s="98"/>
      <c r="E942" s="98"/>
      <c r="F942" s="235"/>
      <c r="G942" s="235"/>
      <c r="H942" s="236"/>
      <c r="I942" s="236"/>
      <c r="J942" s="236"/>
      <c r="K942" s="236"/>
      <c r="L942" s="236"/>
      <c r="M942" s="236"/>
      <c r="N942" s="236"/>
      <c r="O942" s="236"/>
      <c r="P942" s="236"/>
      <c r="Q942" s="236"/>
      <c r="R942" s="236"/>
      <c r="S942" s="236"/>
      <c r="T942" s="236"/>
      <c r="U942" s="236"/>
      <c r="V942" s="236"/>
      <c r="W942" s="237"/>
      <c r="X942" s="237"/>
      <c r="Y942" s="237"/>
      <c r="Z942" s="237"/>
      <c r="AA942" s="237"/>
      <c r="AB942" s="237"/>
      <c r="AC942" s="237"/>
      <c r="AD942" s="237"/>
      <c r="AE942" s="237"/>
      <c r="AF942" s="237"/>
      <c r="AG942" s="237"/>
      <c r="AH942" s="237"/>
      <c r="AI942" s="98"/>
      <c r="AJ942" s="98"/>
      <c r="AK942" s="98"/>
      <c r="AL942" s="98"/>
      <c r="AM942" s="98"/>
      <c r="AN942" s="98"/>
      <c r="AO942" s="98"/>
    </row>
    <row r="943" ht="14.25" customHeight="1">
      <c r="A943" s="179"/>
      <c r="B943" s="98"/>
      <c r="C943" s="98"/>
      <c r="D943" s="98"/>
      <c r="E943" s="98"/>
      <c r="F943" s="235"/>
      <c r="G943" s="235"/>
      <c r="H943" s="236"/>
      <c r="I943" s="236"/>
      <c r="J943" s="236"/>
      <c r="K943" s="236"/>
      <c r="L943" s="236"/>
      <c r="M943" s="236"/>
      <c r="N943" s="236"/>
      <c r="O943" s="236"/>
      <c r="P943" s="236"/>
      <c r="Q943" s="236"/>
      <c r="R943" s="236"/>
      <c r="S943" s="236"/>
      <c r="T943" s="236"/>
      <c r="U943" s="236"/>
      <c r="V943" s="236"/>
      <c r="W943" s="237"/>
      <c r="X943" s="237"/>
      <c r="Y943" s="237"/>
      <c r="Z943" s="237"/>
      <c r="AA943" s="237"/>
      <c r="AB943" s="237"/>
      <c r="AC943" s="237"/>
      <c r="AD943" s="237"/>
      <c r="AE943" s="237"/>
      <c r="AF943" s="237"/>
      <c r="AG943" s="237"/>
      <c r="AH943" s="237"/>
      <c r="AI943" s="98"/>
      <c r="AJ943" s="98"/>
      <c r="AK943" s="98"/>
      <c r="AL943" s="98"/>
      <c r="AM943" s="98"/>
      <c r="AN943" s="98"/>
      <c r="AO943" s="98"/>
    </row>
    <row r="944" ht="14.25" customHeight="1">
      <c r="A944" s="179"/>
      <c r="B944" s="98"/>
      <c r="C944" s="98"/>
      <c r="D944" s="98"/>
      <c r="E944" s="98"/>
      <c r="F944" s="235"/>
      <c r="G944" s="235"/>
      <c r="H944" s="236"/>
      <c r="I944" s="236"/>
      <c r="J944" s="236"/>
      <c r="K944" s="236"/>
      <c r="L944" s="236"/>
      <c r="M944" s="236"/>
      <c r="N944" s="236"/>
      <c r="O944" s="236"/>
      <c r="P944" s="236"/>
      <c r="Q944" s="236"/>
      <c r="R944" s="236"/>
      <c r="S944" s="236"/>
      <c r="T944" s="236"/>
      <c r="U944" s="236"/>
      <c r="V944" s="236"/>
      <c r="W944" s="237"/>
      <c r="X944" s="237"/>
      <c r="Y944" s="237"/>
      <c r="Z944" s="237"/>
      <c r="AA944" s="237"/>
      <c r="AB944" s="237"/>
      <c r="AC944" s="237"/>
      <c r="AD944" s="237"/>
      <c r="AE944" s="237"/>
      <c r="AF944" s="237"/>
      <c r="AG944" s="237"/>
      <c r="AH944" s="237"/>
      <c r="AI944" s="98"/>
      <c r="AJ944" s="98"/>
      <c r="AK944" s="98"/>
      <c r="AL944" s="98"/>
      <c r="AM944" s="98"/>
      <c r="AN944" s="98"/>
      <c r="AO944" s="98"/>
    </row>
    <row r="945" ht="14.25" customHeight="1">
      <c r="A945" s="179"/>
      <c r="B945" s="98"/>
      <c r="C945" s="98"/>
      <c r="D945" s="98"/>
      <c r="E945" s="98"/>
      <c r="F945" s="235"/>
      <c r="G945" s="235"/>
      <c r="H945" s="236"/>
      <c r="I945" s="236"/>
      <c r="J945" s="236"/>
      <c r="K945" s="236"/>
      <c r="L945" s="236"/>
      <c r="M945" s="236"/>
      <c r="N945" s="236"/>
      <c r="O945" s="236"/>
      <c r="P945" s="236"/>
      <c r="Q945" s="236"/>
      <c r="R945" s="236"/>
      <c r="S945" s="236"/>
      <c r="T945" s="236"/>
      <c r="U945" s="236"/>
      <c r="V945" s="236"/>
      <c r="W945" s="237"/>
      <c r="X945" s="237"/>
      <c r="Y945" s="237"/>
      <c r="Z945" s="237"/>
      <c r="AA945" s="237"/>
      <c r="AB945" s="237"/>
      <c r="AC945" s="237"/>
      <c r="AD945" s="237"/>
      <c r="AE945" s="237"/>
      <c r="AF945" s="237"/>
      <c r="AG945" s="237"/>
      <c r="AH945" s="237"/>
      <c r="AI945" s="98"/>
      <c r="AJ945" s="98"/>
      <c r="AK945" s="98"/>
      <c r="AL945" s="98"/>
      <c r="AM945" s="98"/>
      <c r="AN945" s="98"/>
      <c r="AO945" s="98"/>
    </row>
    <row r="946" ht="14.25" customHeight="1">
      <c r="A946" s="179"/>
      <c r="B946" s="98"/>
      <c r="C946" s="98"/>
      <c r="D946" s="98"/>
      <c r="E946" s="98"/>
      <c r="F946" s="235"/>
      <c r="G946" s="235"/>
      <c r="H946" s="236"/>
      <c r="I946" s="236"/>
      <c r="J946" s="236"/>
      <c r="K946" s="236"/>
      <c r="L946" s="236"/>
      <c r="M946" s="236"/>
      <c r="N946" s="236"/>
      <c r="O946" s="236"/>
      <c r="P946" s="236"/>
      <c r="Q946" s="236"/>
      <c r="R946" s="236"/>
      <c r="S946" s="236"/>
      <c r="T946" s="236"/>
      <c r="U946" s="236"/>
      <c r="V946" s="236"/>
      <c r="W946" s="237"/>
      <c r="X946" s="237"/>
      <c r="Y946" s="237"/>
      <c r="Z946" s="237"/>
      <c r="AA946" s="237"/>
      <c r="AB946" s="237"/>
      <c r="AC946" s="237"/>
      <c r="AD946" s="237"/>
      <c r="AE946" s="237"/>
      <c r="AF946" s="237"/>
      <c r="AG946" s="237"/>
      <c r="AH946" s="237"/>
      <c r="AI946" s="98"/>
      <c r="AJ946" s="98"/>
      <c r="AK946" s="98"/>
      <c r="AL946" s="98"/>
      <c r="AM946" s="98"/>
      <c r="AN946" s="98"/>
      <c r="AO946" s="98"/>
    </row>
    <row r="947" ht="14.25" customHeight="1">
      <c r="A947" s="179"/>
      <c r="B947" s="98"/>
      <c r="C947" s="98"/>
      <c r="D947" s="98"/>
      <c r="E947" s="98"/>
      <c r="F947" s="235"/>
      <c r="G947" s="235"/>
      <c r="H947" s="236"/>
      <c r="I947" s="236"/>
      <c r="J947" s="236"/>
      <c r="K947" s="236"/>
      <c r="L947" s="236"/>
      <c r="M947" s="236"/>
      <c r="N947" s="236"/>
      <c r="O947" s="236"/>
      <c r="P947" s="236"/>
      <c r="Q947" s="236"/>
      <c r="R947" s="236"/>
      <c r="S947" s="236"/>
      <c r="T947" s="236"/>
      <c r="U947" s="236"/>
      <c r="V947" s="236"/>
      <c r="W947" s="237"/>
      <c r="X947" s="237"/>
      <c r="Y947" s="237"/>
      <c r="Z947" s="237"/>
      <c r="AA947" s="237"/>
      <c r="AB947" s="237"/>
      <c r="AC947" s="237"/>
      <c r="AD947" s="237"/>
      <c r="AE947" s="237"/>
      <c r="AF947" s="237"/>
      <c r="AG947" s="237"/>
      <c r="AH947" s="237"/>
      <c r="AI947" s="98"/>
      <c r="AJ947" s="98"/>
      <c r="AK947" s="98"/>
      <c r="AL947" s="98"/>
      <c r="AM947" s="98"/>
      <c r="AN947" s="98"/>
      <c r="AO947" s="98"/>
    </row>
    <row r="948" ht="14.25" customHeight="1">
      <c r="A948" s="179"/>
      <c r="B948" s="98"/>
      <c r="C948" s="98"/>
      <c r="D948" s="98"/>
      <c r="E948" s="98"/>
      <c r="F948" s="235"/>
      <c r="G948" s="235"/>
      <c r="H948" s="236"/>
      <c r="I948" s="236"/>
      <c r="J948" s="236"/>
      <c r="K948" s="236"/>
      <c r="L948" s="236"/>
      <c r="M948" s="236"/>
      <c r="N948" s="236"/>
      <c r="O948" s="236"/>
      <c r="P948" s="236"/>
      <c r="Q948" s="236"/>
      <c r="R948" s="236"/>
      <c r="S948" s="236"/>
      <c r="T948" s="236"/>
      <c r="U948" s="236"/>
      <c r="V948" s="236"/>
      <c r="W948" s="237"/>
      <c r="X948" s="237"/>
      <c r="Y948" s="237"/>
      <c r="Z948" s="237"/>
      <c r="AA948" s="237"/>
      <c r="AB948" s="237"/>
      <c r="AC948" s="237"/>
      <c r="AD948" s="237"/>
      <c r="AE948" s="237"/>
      <c r="AF948" s="237"/>
      <c r="AG948" s="237"/>
      <c r="AH948" s="237"/>
      <c r="AI948" s="98"/>
      <c r="AJ948" s="98"/>
      <c r="AK948" s="98"/>
      <c r="AL948" s="98"/>
      <c r="AM948" s="98"/>
      <c r="AN948" s="98"/>
      <c r="AO948" s="98"/>
    </row>
    <row r="949" ht="14.25" customHeight="1">
      <c r="A949" s="179"/>
      <c r="B949" s="98"/>
      <c r="C949" s="98"/>
      <c r="D949" s="98"/>
      <c r="E949" s="98"/>
      <c r="F949" s="235"/>
      <c r="G949" s="235"/>
      <c r="H949" s="236"/>
      <c r="I949" s="236"/>
      <c r="J949" s="236"/>
      <c r="K949" s="236"/>
      <c r="L949" s="236"/>
      <c r="M949" s="236"/>
      <c r="N949" s="236"/>
      <c r="O949" s="236"/>
      <c r="P949" s="236"/>
      <c r="Q949" s="236"/>
      <c r="R949" s="236"/>
      <c r="S949" s="236"/>
      <c r="T949" s="236"/>
      <c r="U949" s="236"/>
      <c r="V949" s="236"/>
      <c r="W949" s="237"/>
      <c r="X949" s="237"/>
      <c r="Y949" s="237"/>
      <c r="Z949" s="237"/>
      <c r="AA949" s="237"/>
      <c r="AB949" s="237"/>
      <c r="AC949" s="237"/>
      <c r="AD949" s="237"/>
      <c r="AE949" s="237"/>
      <c r="AF949" s="237"/>
      <c r="AG949" s="237"/>
      <c r="AH949" s="237"/>
      <c r="AI949" s="98"/>
      <c r="AJ949" s="98"/>
      <c r="AK949" s="98"/>
      <c r="AL949" s="98"/>
      <c r="AM949" s="98"/>
      <c r="AN949" s="98"/>
      <c r="AO949" s="98"/>
    </row>
    <row r="950" ht="14.25" customHeight="1">
      <c r="A950" s="179"/>
      <c r="B950" s="98"/>
      <c r="C950" s="98"/>
      <c r="D950" s="98"/>
      <c r="E950" s="98"/>
      <c r="F950" s="235"/>
      <c r="G950" s="235"/>
      <c r="H950" s="236"/>
      <c r="I950" s="236"/>
      <c r="J950" s="236"/>
      <c r="K950" s="236"/>
      <c r="L950" s="236"/>
      <c r="M950" s="236"/>
      <c r="N950" s="236"/>
      <c r="O950" s="236"/>
      <c r="P950" s="236"/>
      <c r="Q950" s="236"/>
      <c r="R950" s="236"/>
      <c r="S950" s="236"/>
      <c r="T950" s="236"/>
      <c r="U950" s="236"/>
      <c r="V950" s="236"/>
      <c r="W950" s="237"/>
      <c r="X950" s="237"/>
      <c r="Y950" s="237"/>
      <c r="Z950" s="237"/>
      <c r="AA950" s="237"/>
      <c r="AB950" s="237"/>
      <c r="AC950" s="237"/>
      <c r="AD950" s="237"/>
      <c r="AE950" s="237"/>
      <c r="AF950" s="237"/>
      <c r="AG950" s="237"/>
      <c r="AH950" s="237"/>
      <c r="AI950" s="98"/>
      <c r="AJ950" s="98"/>
      <c r="AK950" s="98"/>
      <c r="AL950" s="98"/>
      <c r="AM950" s="98"/>
      <c r="AN950" s="98"/>
      <c r="AO950" s="98"/>
    </row>
    <row r="951" ht="14.25" customHeight="1">
      <c r="A951" s="179"/>
      <c r="B951" s="98"/>
      <c r="C951" s="98"/>
      <c r="D951" s="98"/>
      <c r="E951" s="98"/>
      <c r="F951" s="235"/>
      <c r="G951" s="235"/>
      <c r="H951" s="236"/>
      <c r="I951" s="236"/>
      <c r="J951" s="236"/>
      <c r="K951" s="236"/>
      <c r="L951" s="236"/>
      <c r="M951" s="236"/>
      <c r="N951" s="236"/>
      <c r="O951" s="236"/>
      <c r="P951" s="236"/>
      <c r="Q951" s="236"/>
      <c r="R951" s="236"/>
      <c r="S951" s="236"/>
      <c r="T951" s="236"/>
      <c r="U951" s="236"/>
      <c r="V951" s="236"/>
      <c r="W951" s="237"/>
      <c r="X951" s="237"/>
      <c r="Y951" s="237"/>
      <c r="Z951" s="237"/>
      <c r="AA951" s="237"/>
      <c r="AB951" s="237"/>
      <c r="AC951" s="237"/>
      <c r="AD951" s="237"/>
      <c r="AE951" s="237"/>
      <c r="AF951" s="237"/>
      <c r="AG951" s="237"/>
      <c r="AH951" s="237"/>
      <c r="AI951" s="98"/>
      <c r="AJ951" s="98"/>
      <c r="AK951" s="98"/>
      <c r="AL951" s="98"/>
      <c r="AM951" s="98"/>
      <c r="AN951" s="98"/>
      <c r="AO951" s="98"/>
    </row>
    <row r="952" ht="14.25" customHeight="1">
      <c r="A952" s="179"/>
      <c r="B952" s="98"/>
      <c r="C952" s="98"/>
      <c r="D952" s="98"/>
      <c r="E952" s="98"/>
      <c r="F952" s="235"/>
      <c r="G952" s="235"/>
      <c r="H952" s="236"/>
      <c r="I952" s="236"/>
      <c r="J952" s="236"/>
      <c r="K952" s="236"/>
      <c r="L952" s="236"/>
      <c r="M952" s="236"/>
      <c r="N952" s="236"/>
      <c r="O952" s="236"/>
      <c r="P952" s="236"/>
      <c r="Q952" s="236"/>
      <c r="R952" s="236"/>
      <c r="S952" s="236"/>
      <c r="T952" s="236"/>
      <c r="U952" s="236"/>
      <c r="V952" s="236"/>
      <c r="W952" s="237"/>
      <c r="X952" s="237"/>
      <c r="Y952" s="237"/>
      <c r="Z952" s="237"/>
      <c r="AA952" s="237"/>
      <c r="AB952" s="237"/>
      <c r="AC952" s="237"/>
      <c r="AD952" s="237"/>
      <c r="AE952" s="237"/>
      <c r="AF952" s="237"/>
      <c r="AG952" s="237"/>
      <c r="AH952" s="237"/>
      <c r="AI952" s="98"/>
      <c r="AJ952" s="98"/>
      <c r="AK952" s="98"/>
      <c r="AL952" s="98"/>
      <c r="AM952" s="98"/>
      <c r="AN952" s="98"/>
      <c r="AO952" s="98"/>
    </row>
    <row r="953" ht="14.25" customHeight="1">
      <c r="A953" s="179"/>
      <c r="B953" s="98"/>
      <c r="C953" s="98"/>
      <c r="D953" s="98"/>
      <c r="E953" s="98"/>
      <c r="F953" s="235"/>
      <c r="G953" s="235"/>
      <c r="H953" s="236"/>
      <c r="I953" s="236"/>
      <c r="J953" s="236"/>
      <c r="K953" s="236"/>
      <c r="L953" s="236"/>
      <c r="M953" s="236"/>
      <c r="N953" s="236"/>
      <c r="O953" s="236"/>
      <c r="P953" s="236"/>
      <c r="Q953" s="236"/>
      <c r="R953" s="236"/>
      <c r="S953" s="236"/>
      <c r="T953" s="236"/>
      <c r="U953" s="236"/>
      <c r="V953" s="236"/>
      <c r="W953" s="237"/>
      <c r="X953" s="237"/>
      <c r="Y953" s="237"/>
      <c r="Z953" s="237"/>
      <c r="AA953" s="237"/>
      <c r="AB953" s="237"/>
      <c r="AC953" s="237"/>
      <c r="AD953" s="237"/>
      <c r="AE953" s="237"/>
      <c r="AF953" s="237"/>
      <c r="AG953" s="237"/>
      <c r="AH953" s="237"/>
      <c r="AI953" s="98"/>
      <c r="AJ953" s="98"/>
      <c r="AK953" s="98"/>
      <c r="AL953" s="98"/>
      <c r="AM953" s="98"/>
      <c r="AN953" s="98"/>
      <c r="AO953" s="98"/>
    </row>
    <row r="954" ht="14.25" customHeight="1">
      <c r="A954" s="179"/>
      <c r="B954" s="98"/>
      <c r="C954" s="98"/>
      <c r="D954" s="98"/>
      <c r="E954" s="98"/>
      <c r="F954" s="235"/>
      <c r="G954" s="235"/>
      <c r="H954" s="236"/>
      <c r="I954" s="236"/>
      <c r="J954" s="236"/>
      <c r="K954" s="236"/>
      <c r="L954" s="236"/>
      <c r="M954" s="236"/>
      <c r="N954" s="236"/>
      <c r="O954" s="236"/>
      <c r="P954" s="236"/>
      <c r="Q954" s="236"/>
      <c r="R954" s="236"/>
      <c r="S954" s="236"/>
      <c r="T954" s="236"/>
      <c r="U954" s="236"/>
      <c r="V954" s="236"/>
      <c r="W954" s="237"/>
      <c r="X954" s="237"/>
      <c r="Y954" s="237"/>
      <c r="Z954" s="237"/>
      <c r="AA954" s="237"/>
      <c r="AB954" s="237"/>
      <c r="AC954" s="237"/>
      <c r="AD954" s="237"/>
      <c r="AE954" s="237"/>
      <c r="AF954" s="237"/>
      <c r="AG954" s="237"/>
      <c r="AH954" s="237"/>
      <c r="AI954" s="98"/>
      <c r="AJ954" s="98"/>
      <c r="AK954" s="98"/>
      <c r="AL954" s="98"/>
      <c r="AM954" s="98"/>
      <c r="AN954" s="98"/>
      <c r="AO954" s="98"/>
    </row>
    <row r="955" ht="14.25" customHeight="1">
      <c r="A955" s="179"/>
      <c r="B955" s="98"/>
      <c r="C955" s="98"/>
      <c r="D955" s="98"/>
      <c r="E955" s="98"/>
      <c r="F955" s="235"/>
      <c r="G955" s="235"/>
      <c r="H955" s="236"/>
      <c r="I955" s="236"/>
      <c r="J955" s="236"/>
      <c r="K955" s="236"/>
      <c r="L955" s="236"/>
      <c r="M955" s="236"/>
      <c r="N955" s="236"/>
      <c r="O955" s="236"/>
      <c r="P955" s="236"/>
      <c r="Q955" s="236"/>
      <c r="R955" s="236"/>
      <c r="S955" s="236"/>
      <c r="T955" s="236"/>
      <c r="U955" s="236"/>
      <c r="V955" s="236"/>
      <c r="W955" s="237"/>
      <c r="X955" s="237"/>
      <c r="Y955" s="237"/>
      <c r="Z955" s="237"/>
      <c r="AA955" s="237"/>
      <c r="AB955" s="237"/>
      <c r="AC955" s="237"/>
      <c r="AD955" s="237"/>
      <c r="AE955" s="237"/>
      <c r="AF955" s="237"/>
      <c r="AG955" s="237"/>
      <c r="AH955" s="237"/>
      <c r="AI955" s="98"/>
      <c r="AJ955" s="98"/>
      <c r="AK955" s="98"/>
      <c r="AL955" s="98"/>
      <c r="AM955" s="98"/>
      <c r="AN955" s="98"/>
      <c r="AO955" s="98"/>
    </row>
    <row r="956" ht="14.25" customHeight="1">
      <c r="A956" s="179"/>
      <c r="B956" s="98"/>
      <c r="C956" s="98"/>
      <c r="D956" s="98"/>
      <c r="E956" s="98"/>
      <c r="F956" s="235"/>
      <c r="G956" s="235"/>
      <c r="H956" s="236"/>
      <c r="I956" s="236"/>
      <c r="J956" s="236"/>
      <c r="K956" s="236"/>
      <c r="L956" s="236"/>
      <c r="M956" s="236"/>
      <c r="N956" s="236"/>
      <c r="O956" s="236"/>
      <c r="P956" s="236"/>
      <c r="Q956" s="236"/>
      <c r="R956" s="236"/>
      <c r="S956" s="236"/>
      <c r="T956" s="236"/>
      <c r="U956" s="236"/>
      <c r="V956" s="236"/>
      <c r="W956" s="237"/>
      <c r="X956" s="237"/>
      <c r="Y956" s="237"/>
      <c r="Z956" s="237"/>
      <c r="AA956" s="237"/>
      <c r="AB956" s="237"/>
      <c r="AC956" s="237"/>
      <c r="AD956" s="237"/>
      <c r="AE956" s="237"/>
      <c r="AF956" s="237"/>
      <c r="AG956" s="237"/>
      <c r="AH956" s="237"/>
      <c r="AI956" s="98"/>
      <c r="AJ956" s="98"/>
      <c r="AK956" s="98"/>
      <c r="AL956" s="98"/>
      <c r="AM956" s="98"/>
      <c r="AN956" s="98"/>
      <c r="AO956" s="98"/>
    </row>
    <row r="957" ht="14.25" customHeight="1">
      <c r="A957" s="179"/>
      <c r="B957" s="98"/>
      <c r="C957" s="98"/>
      <c r="D957" s="98"/>
      <c r="E957" s="98"/>
      <c r="F957" s="235"/>
      <c r="G957" s="235"/>
      <c r="H957" s="236"/>
      <c r="I957" s="236"/>
      <c r="J957" s="236"/>
      <c r="K957" s="236"/>
      <c r="L957" s="236"/>
      <c r="M957" s="236"/>
      <c r="N957" s="236"/>
      <c r="O957" s="236"/>
      <c r="P957" s="236"/>
      <c r="Q957" s="236"/>
      <c r="R957" s="236"/>
      <c r="S957" s="236"/>
      <c r="T957" s="236"/>
      <c r="U957" s="236"/>
      <c r="V957" s="236"/>
      <c r="W957" s="237"/>
      <c r="X957" s="237"/>
      <c r="Y957" s="237"/>
      <c r="Z957" s="237"/>
      <c r="AA957" s="237"/>
      <c r="AB957" s="237"/>
      <c r="AC957" s="237"/>
      <c r="AD957" s="237"/>
      <c r="AE957" s="237"/>
      <c r="AF957" s="237"/>
      <c r="AG957" s="237"/>
      <c r="AH957" s="237"/>
      <c r="AI957" s="98"/>
      <c r="AJ957" s="98"/>
      <c r="AK957" s="98"/>
      <c r="AL957" s="98"/>
      <c r="AM957" s="98"/>
      <c r="AN957" s="98"/>
      <c r="AO957" s="98"/>
    </row>
    <row r="958" ht="14.25" customHeight="1">
      <c r="A958" s="179"/>
      <c r="B958" s="98"/>
      <c r="C958" s="98"/>
      <c r="D958" s="98"/>
      <c r="E958" s="98"/>
      <c r="F958" s="235"/>
      <c r="G958" s="235"/>
      <c r="H958" s="236"/>
      <c r="I958" s="236"/>
      <c r="J958" s="236"/>
      <c r="K958" s="236"/>
      <c r="L958" s="236"/>
      <c r="M958" s="236"/>
      <c r="N958" s="236"/>
      <c r="O958" s="236"/>
      <c r="P958" s="236"/>
      <c r="Q958" s="236"/>
      <c r="R958" s="236"/>
      <c r="S958" s="236"/>
      <c r="T958" s="236"/>
      <c r="U958" s="236"/>
      <c r="V958" s="236"/>
      <c r="W958" s="237"/>
      <c r="X958" s="237"/>
      <c r="Y958" s="237"/>
      <c r="Z958" s="237"/>
      <c r="AA958" s="237"/>
      <c r="AB958" s="237"/>
      <c r="AC958" s="237"/>
      <c r="AD958" s="237"/>
      <c r="AE958" s="237"/>
      <c r="AF958" s="237"/>
      <c r="AG958" s="237"/>
      <c r="AH958" s="237"/>
      <c r="AI958" s="98"/>
      <c r="AJ958" s="98"/>
      <c r="AK958" s="98"/>
      <c r="AL958" s="98"/>
      <c r="AM958" s="98"/>
      <c r="AN958" s="98"/>
      <c r="AO958" s="98"/>
    </row>
    <row r="959" ht="14.25" customHeight="1">
      <c r="A959" s="179"/>
      <c r="B959" s="98"/>
      <c r="C959" s="98"/>
      <c r="D959" s="98"/>
      <c r="E959" s="98"/>
      <c r="F959" s="235"/>
      <c r="G959" s="235"/>
      <c r="H959" s="236"/>
      <c r="I959" s="236"/>
      <c r="J959" s="236"/>
      <c r="K959" s="236"/>
      <c r="L959" s="236"/>
      <c r="M959" s="236"/>
      <c r="N959" s="236"/>
      <c r="O959" s="236"/>
      <c r="P959" s="236"/>
      <c r="Q959" s="236"/>
      <c r="R959" s="236"/>
      <c r="S959" s="236"/>
      <c r="T959" s="236"/>
      <c r="U959" s="236"/>
      <c r="V959" s="236"/>
      <c r="W959" s="237"/>
      <c r="X959" s="237"/>
      <c r="Y959" s="237"/>
      <c r="Z959" s="237"/>
      <c r="AA959" s="237"/>
      <c r="AB959" s="237"/>
      <c r="AC959" s="237"/>
      <c r="AD959" s="237"/>
      <c r="AE959" s="237"/>
      <c r="AF959" s="237"/>
      <c r="AG959" s="237"/>
      <c r="AH959" s="237"/>
      <c r="AI959" s="98"/>
      <c r="AJ959" s="98"/>
      <c r="AK959" s="98"/>
      <c r="AL959" s="98"/>
      <c r="AM959" s="98"/>
      <c r="AN959" s="98"/>
      <c r="AO959" s="98"/>
    </row>
    <row r="960" ht="14.25" customHeight="1">
      <c r="A960" s="179"/>
      <c r="B960" s="98"/>
      <c r="C960" s="98"/>
      <c r="D960" s="98"/>
      <c r="E960" s="98"/>
      <c r="F960" s="235"/>
      <c r="G960" s="235"/>
      <c r="H960" s="236"/>
      <c r="I960" s="236"/>
      <c r="J960" s="236"/>
      <c r="K960" s="236"/>
      <c r="L960" s="236"/>
      <c r="M960" s="236"/>
      <c r="N960" s="236"/>
      <c r="O960" s="236"/>
      <c r="P960" s="236"/>
      <c r="Q960" s="236"/>
      <c r="R960" s="236"/>
      <c r="S960" s="236"/>
      <c r="T960" s="236"/>
      <c r="U960" s="236"/>
      <c r="V960" s="236"/>
      <c r="W960" s="237"/>
      <c r="X960" s="237"/>
      <c r="Y960" s="237"/>
      <c r="Z960" s="237"/>
      <c r="AA960" s="237"/>
      <c r="AB960" s="237"/>
      <c r="AC960" s="237"/>
      <c r="AD960" s="237"/>
      <c r="AE960" s="237"/>
      <c r="AF960" s="237"/>
      <c r="AG960" s="237"/>
      <c r="AH960" s="237"/>
      <c r="AI960" s="98"/>
      <c r="AJ960" s="98"/>
      <c r="AK960" s="98"/>
      <c r="AL960" s="98"/>
      <c r="AM960" s="98"/>
      <c r="AN960" s="98"/>
      <c r="AO960" s="98"/>
    </row>
    <row r="961" ht="14.25" customHeight="1">
      <c r="A961" s="179"/>
      <c r="B961" s="98"/>
      <c r="C961" s="98"/>
      <c r="D961" s="98"/>
      <c r="E961" s="98"/>
      <c r="F961" s="235"/>
      <c r="G961" s="235"/>
      <c r="H961" s="236"/>
      <c r="I961" s="236"/>
      <c r="J961" s="236"/>
      <c r="K961" s="236"/>
      <c r="L961" s="236"/>
      <c r="M961" s="236"/>
      <c r="N961" s="236"/>
      <c r="O961" s="236"/>
      <c r="P961" s="236"/>
      <c r="Q961" s="236"/>
      <c r="R961" s="236"/>
      <c r="S961" s="236"/>
      <c r="T961" s="236"/>
      <c r="U961" s="236"/>
      <c r="V961" s="236"/>
      <c r="W961" s="237"/>
      <c r="X961" s="237"/>
      <c r="Y961" s="237"/>
      <c r="Z961" s="237"/>
      <c r="AA961" s="237"/>
      <c r="AB961" s="237"/>
      <c r="AC961" s="237"/>
      <c r="AD961" s="237"/>
      <c r="AE961" s="237"/>
      <c r="AF961" s="237"/>
      <c r="AG961" s="237"/>
      <c r="AH961" s="237"/>
      <c r="AI961" s="98"/>
      <c r="AJ961" s="98"/>
      <c r="AK961" s="98"/>
      <c r="AL961" s="98"/>
      <c r="AM961" s="98"/>
      <c r="AN961" s="98"/>
      <c r="AO961" s="98"/>
    </row>
    <row r="962" ht="14.25" customHeight="1">
      <c r="A962" s="179"/>
      <c r="B962" s="98"/>
      <c r="C962" s="98"/>
      <c r="D962" s="98"/>
      <c r="E962" s="98"/>
      <c r="F962" s="235"/>
      <c r="G962" s="235"/>
      <c r="H962" s="236"/>
      <c r="I962" s="236"/>
      <c r="J962" s="236"/>
      <c r="K962" s="236"/>
      <c r="L962" s="236"/>
      <c r="M962" s="236"/>
      <c r="N962" s="236"/>
      <c r="O962" s="236"/>
      <c r="P962" s="236"/>
      <c r="Q962" s="236"/>
      <c r="R962" s="236"/>
      <c r="S962" s="236"/>
      <c r="T962" s="236"/>
      <c r="U962" s="236"/>
      <c r="V962" s="236"/>
      <c r="W962" s="237"/>
      <c r="X962" s="237"/>
      <c r="Y962" s="237"/>
      <c r="Z962" s="237"/>
      <c r="AA962" s="237"/>
      <c r="AB962" s="237"/>
      <c r="AC962" s="237"/>
      <c r="AD962" s="237"/>
      <c r="AE962" s="237"/>
      <c r="AF962" s="237"/>
      <c r="AG962" s="237"/>
      <c r="AH962" s="237"/>
      <c r="AI962" s="98"/>
      <c r="AJ962" s="98"/>
      <c r="AK962" s="98"/>
      <c r="AL962" s="98"/>
      <c r="AM962" s="98"/>
      <c r="AN962" s="98"/>
      <c r="AO962" s="98"/>
    </row>
    <row r="963" ht="14.25" customHeight="1">
      <c r="A963" s="179"/>
      <c r="B963" s="98"/>
      <c r="C963" s="98"/>
      <c r="D963" s="98"/>
      <c r="E963" s="98"/>
      <c r="F963" s="235"/>
      <c r="G963" s="235"/>
      <c r="H963" s="236"/>
      <c r="I963" s="236"/>
      <c r="J963" s="236"/>
      <c r="K963" s="236"/>
      <c r="L963" s="236"/>
      <c r="M963" s="236"/>
      <c r="N963" s="236"/>
      <c r="O963" s="236"/>
      <c r="P963" s="236"/>
      <c r="Q963" s="236"/>
      <c r="R963" s="236"/>
      <c r="S963" s="236"/>
      <c r="T963" s="236"/>
      <c r="U963" s="236"/>
      <c r="V963" s="236"/>
      <c r="W963" s="237"/>
      <c r="X963" s="237"/>
      <c r="Y963" s="237"/>
      <c r="Z963" s="237"/>
      <c r="AA963" s="237"/>
      <c r="AB963" s="237"/>
      <c r="AC963" s="237"/>
      <c r="AD963" s="237"/>
      <c r="AE963" s="237"/>
      <c r="AF963" s="237"/>
      <c r="AG963" s="237"/>
      <c r="AH963" s="237"/>
      <c r="AI963" s="98"/>
      <c r="AJ963" s="98"/>
      <c r="AK963" s="98"/>
      <c r="AL963" s="98"/>
      <c r="AM963" s="98"/>
      <c r="AN963" s="98"/>
      <c r="AO963" s="98"/>
    </row>
    <row r="964" ht="14.25" customHeight="1">
      <c r="A964" s="179"/>
      <c r="B964" s="98"/>
      <c r="C964" s="98"/>
      <c r="D964" s="98"/>
      <c r="E964" s="98"/>
      <c r="F964" s="235"/>
      <c r="G964" s="235"/>
      <c r="H964" s="236"/>
      <c r="I964" s="236"/>
      <c r="J964" s="236"/>
      <c r="K964" s="236"/>
      <c r="L964" s="236"/>
      <c r="M964" s="236"/>
      <c r="N964" s="236"/>
      <c r="O964" s="236"/>
      <c r="P964" s="236"/>
      <c r="Q964" s="236"/>
      <c r="R964" s="236"/>
      <c r="S964" s="236"/>
      <c r="T964" s="236"/>
      <c r="U964" s="236"/>
      <c r="V964" s="236"/>
      <c r="W964" s="237"/>
      <c r="X964" s="237"/>
      <c r="Y964" s="237"/>
      <c r="Z964" s="237"/>
      <c r="AA964" s="237"/>
      <c r="AB964" s="237"/>
      <c r="AC964" s="237"/>
      <c r="AD964" s="237"/>
      <c r="AE964" s="237"/>
      <c r="AF964" s="237"/>
      <c r="AG964" s="237"/>
      <c r="AH964" s="237"/>
      <c r="AI964" s="98"/>
      <c r="AJ964" s="98"/>
      <c r="AK964" s="98"/>
      <c r="AL964" s="98"/>
      <c r="AM964" s="98"/>
      <c r="AN964" s="98"/>
      <c r="AO964" s="98"/>
    </row>
    <row r="965" ht="14.25" customHeight="1">
      <c r="A965" s="179"/>
      <c r="B965" s="98"/>
      <c r="C965" s="98"/>
      <c r="D965" s="98"/>
      <c r="E965" s="98"/>
      <c r="F965" s="235"/>
      <c r="G965" s="235"/>
      <c r="H965" s="236"/>
      <c r="I965" s="236"/>
      <c r="J965" s="236"/>
      <c r="K965" s="236"/>
      <c r="L965" s="236"/>
      <c r="M965" s="236"/>
      <c r="N965" s="236"/>
      <c r="O965" s="236"/>
      <c r="P965" s="236"/>
      <c r="Q965" s="236"/>
      <c r="R965" s="236"/>
      <c r="S965" s="236"/>
      <c r="T965" s="236"/>
      <c r="U965" s="236"/>
      <c r="V965" s="236"/>
      <c r="W965" s="237"/>
      <c r="X965" s="237"/>
      <c r="Y965" s="237"/>
      <c r="Z965" s="237"/>
      <c r="AA965" s="237"/>
      <c r="AB965" s="237"/>
      <c r="AC965" s="237"/>
      <c r="AD965" s="237"/>
      <c r="AE965" s="237"/>
      <c r="AF965" s="237"/>
      <c r="AG965" s="237"/>
      <c r="AH965" s="237"/>
      <c r="AI965" s="98"/>
      <c r="AJ965" s="98"/>
      <c r="AK965" s="98"/>
      <c r="AL965" s="98"/>
      <c r="AM965" s="98"/>
      <c r="AN965" s="98"/>
      <c r="AO965" s="98"/>
    </row>
    <row r="966" ht="14.25" customHeight="1">
      <c r="A966" s="179"/>
      <c r="B966" s="98"/>
      <c r="C966" s="98"/>
      <c r="D966" s="98"/>
      <c r="E966" s="98"/>
      <c r="F966" s="235"/>
      <c r="G966" s="235"/>
      <c r="H966" s="236"/>
      <c r="I966" s="236"/>
      <c r="J966" s="236"/>
      <c r="K966" s="236"/>
      <c r="L966" s="236"/>
      <c r="M966" s="236"/>
      <c r="N966" s="236"/>
      <c r="O966" s="236"/>
      <c r="P966" s="236"/>
      <c r="Q966" s="236"/>
      <c r="R966" s="236"/>
      <c r="S966" s="236"/>
      <c r="T966" s="236"/>
      <c r="U966" s="236"/>
      <c r="V966" s="236"/>
      <c r="W966" s="237"/>
      <c r="X966" s="237"/>
      <c r="Y966" s="237"/>
      <c r="Z966" s="237"/>
      <c r="AA966" s="237"/>
      <c r="AB966" s="237"/>
      <c r="AC966" s="237"/>
      <c r="AD966" s="237"/>
      <c r="AE966" s="237"/>
      <c r="AF966" s="237"/>
      <c r="AG966" s="237"/>
      <c r="AH966" s="237"/>
      <c r="AI966" s="98"/>
      <c r="AJ966" s="98"/>
      <c r="AK966" s="98"/>
      <c r="AL966" s="98"/>
      <c r="AM966" s="98"/>
      <c r="AN966" s="98"/>
      <c r="AO966" s="98"/>
    </row>
    <row r="967" ht="14.25" customHeight="1">
      <c r="A967" s="179"/>
      <c r="B967" s="98"/>
      <c r="C967" s="98"/>
      <c r="D967" s="98"/>
      <c r="E967" s="98"/>
      <c r="F967" s="235"/>
      <c r="G967" s="235"/>
      <c r="H967" s="236"/>
      <c r="I967" s="236"/>
      <c r="J967" s="236"/>
      <c r="K967" s="236"/>
      <c r="L967" s="236"/>
      <c r="M967" s="236"/>
      <c r="N967" s="236"/>
      <c r="O967" s="236"/>
      <c r="P967" s="236"/>
      <c r="Q967" s="236"/>
      <c r="R967" s="236"/>
      <c r="S967" s="236"/>
      <c r="T967" s="236"/>
      <c r="U967" s="236"/>
      <c r="V967" s="236"/>
      <c r="W967" s="237"/>
      <c r="X967" s="237"/>
      <c r="Y967" s="237"/>
      <c r="Z967" s="237"/>
      <c r="AA967" s="237"/>
      <c r="AB967" s="237"/>
      <c r="AC967" s="237"/>
      <c r="AD967" s="237"/>
      <c r="AE967" s="237"/>
      <c r="AF967" s="237"/>
      <c r="AG967" s="237"/>
      <c r="AH967" s="237"/>
      <c r="AI967" s="98"/>
      <c r="AJ967" s="98"/>
      <c r="AK967" s="98"/>
      <c r="AL967" s="98"/>
      <c r="AM967" s="98"/>
      <c r="AN967" s="98"/>
      <c r="AO967" s="98"/>
    </row>
    <row r="968" ht="14.25" customHeight="1">
      <c r="A968" s="179"/>
      <c r="B968" s="98"/>
      <c r="C968" s="98"/>
      <c r="D968" s="98"/>
      <c r="E968" s="98"/>
      <c r="F968" s="235"/>
      <c r="G968" s="235"/>
      <c r="H968" s="236"/>
      <c r="I968" s="236"/>
      <c r="J968" s="236"/>
      <c r="K968" s="236"/>
      <c r="L968" s="236"/>
      <c r="M968" s="236"/>
      <c r="N968" s="236"/>
      <c r="O968" s="236"/>
      <c r="P968" s="236"/>
      <c r="Q968" s="236"/>
      <c r="R968" s="236"/>
      <c r="S968" s="236"/>
      <c r="T968" s="236"/>
      <c r="U968" s="236"/>
      <c r="V968" s="236"/>
      <c r="W968" s="237"/>
      <c r="X968" s="237"/>
      <c r="Y968" s="237"/>
      <c r="Z968" s="237"/>
      <c r="AA968" s="237"/>
      <c r="AB968" s="237"/>
      <c r="AC968" s="237"/>
      <c r="AD968" s="237"/>
      <c r="AE968" s="237"/>
      <c r="AF968" s="237"/>
      <c r="AG968" s="237"/>
      <c r="AH968" s="237"/>
      <c r="AI968" s="98"/>
      <c r="AJ968" s="98"/>
      <c r="AK968" s="98"/>
      <c r="AL968" s="98"/>
      <c r="AM968" s="98"/>
      <c r="AN968" s="98"/>
      <c r="AO968" s="98"/>
    </row>
    <row r="969" ht="14.25" customHeight="1">
      <c r="A969" s="179"/>
      <c r="B969" s="98"/>
      <c r="C969" s="98"/>
      <c r="D969" s="98"/>
      <c r="E969" s="98"/>
      <c r="F969" s="235"/>
      <c r="G969" s="235"/>
      <c r="H969" s="236"/>
      <c r="I969" s="236"/>
      <c r="J969" s="236"/>
      <c r="K969" s="236"/>
      <c r="L969" s="236"/>
      <c r="M969" s="236"/>
      <c r="N969" s="236"/>
      <c r="O969" s="236"/>
      <c r="P969" s="236"/>
      <c r="Q969" s="236"/>
      <c r="R969" s="236"/>
      <c r="S969" s="236"/>
      <c r="T969" s="236"/>
      <c r="U969" s="236"/>
      <c r="V969" s="236"/>
      <c r="W969" s="237"/>
      <c r="X969" s="237"/>
      <c r="Y969" s="237"/>
      <c r="Z969" s="237"/>
      <c r="AA969" s="237"/>
      <c r="AB969" s="237"/>
      <c r="AC969" s="237"/>
      <c r="AD969" s="237"/>
      <c r="AE969" s="237"/>
      <c r="AF969" s="237"/>
      <c r="AG969" s="237"/>
      <c r="AH969" s="237"/>
      <c r="AI969" s="98"/>
      <c r="AJ969" s="98"/>
      <c r="AK969" s="98"/>
      <c r="AL969" s="98"/>
      <c r="AM969" s="98"/>
      <c r="AN969" s="98"/>
      <c r="AO969" s="98"/>
    </row>
    <row r="970" ht="14.25" customHeight="1">
      <c r="A970" s="179"/>
      <c r="B970" s="98"/>
      <c r="C970" s="98"/>
      <c r="D970" s="98"/>
      <c r="E970" s="98"/>
      <c r="F970" s="235"/>
      <c r="G970" s="235"/>
      <c r="H970" s="236"/>
      <c r="I970" s="236"/>
      <c r="J970" s="236"/>
      <c r="K970" s="236"/>
      <c r="L970" s="236"/>
      <c r="M970" s="236"/>
      <c r="N970" s="236"/>
      <c r="O970" s="236"/>
      <c r="P970" s="236"/>
      <c r="Q970" s="236"/>
      <c r="R970" s="236"/>
      <c r="S970" s="236"/>
      <c r="T970" s="236"/>
      <c r="U970" s="236"/>
      <c r="V970" s="236"/>
      <c r="W970" s="237"/>
      <c r="X970" s="237"/>
      <c r="Y970" s="237"/>
      <c r="Z970" s="237"/>
      <c r="AA970" s="237"/>
      <c r="AB970" s="237"/>
      <c r="AC970" s="237"/>
      <c r="AD970" s="237"/>
      <c r="AE970" s="237"/>
      <c r="AF970" s="237"/>
      <c r="AG970" s="237"/>
      <c r="AH970" s="237"/>
      <c r="AI970" s="98"/>
      <c r="AJ970" s="98"/>
      <c r="AK970" s="98"/>
      <c r="AL970" s="98"/>
      <c r="AM970" s="98"/>
      <c r="AN970" s="98"/>
      <c r="AO970" s="98"/>
    </row>
    <row r="971" ht="14.25" customHeight="1">
      <c r="A971" s="179"/>
      <c r="B971" s="98"/>
      <c r="C971" s="98"/>
      <c r="D971" s="98"/>
      <c r="E971" s="98"/>
      <c r="F971" s="235"/>
      <c r="G971" s="235"/>
      <c r="H971" s="236"/>
      <c r="I971" s="236"/>
      <c r="J971" s="236"/>
      <c r="K971" s="236"/>
      <c r="L971" s="236"/>
      <c r="M971" s="236"/>
      <c r="N971" s="236"/>
      <c r="O971" s="236"/>
      <c r="P971" s="236"/>
      <c r="Q971" s="236"/>
      <c r="R971" s="236"/>
      <c r="S971" s="236"/>
      <c r="T971" s="236"/>
      <c r="U971" s="236"/>
      <c r="V971" s="236"/>
      <c r="W971" s="237"/>
      <c r="X971" s="237"/>
      <c r="Y971" s="237"/>
      <c r="Z971" s="237"/>
      <c r="AA971" s="237"/>
      <c r="AB971" s="237"/>
      <c r="AC971" s="237"/>
      <c r="AD971" s="237"/>
      <c r="AE971" s="237"/>
      <c r="AF971" s="237"/>
      <c r="AG971" s="237"/>
      <c r="AH971" s="237"/>
      <c r="AI971" s="98"/>
      <c r="AJ971" s="98"/>
      <c r="AK971" s="98"/>
      <c r="AL971" s="98"/>
      <c r="AM971" s="98"/>
      <c r="AN971" s="98"/>
      <c r="AO971" s="98"/>
    </row>
    <row r="972" ht="14.25" customHeight="1">
      <c r="A972" s="179"/>
      <c r="B972" s="98"/>
      <c r="C972" s="98"/>
      <c r="D972" s="98"/>
      <c r="E972" s="98"/>
      <c r="F972" s="235"/>
      <c r="G972" s="235"/>
      <c r="H972" s="236"/>
      <c r="I972" s="236"/>
      <c r="J972" s="236"/>
      <c r="K972" s="236"/>
      <c r="L972" s="236"/>
      <c r="M972" s="236"/>
      <c r="N972" s="236"/>
      <c r="O972" s="236"/>
      <c r="P972" s="236"/>
      <c r="Q972" s="236"/>
      <c r="R972" s="236"/>
      <c r="S972" s="236"/>
      <c r="T972" s="236"/>
      <c r="U972" s="236"/>
      <c r="V972" s="236"/>
      <c r="W972" s="237"/>
      <c r="X972" s="237"/>
      <c r="Y972" s="237"/>
      <c r="Z972" s="237"/>
      <c r="AA972" s="237"/>
      <c r="AB972" s="237"/>
      <c r="AC972" s="237"/>
      <c r="AD972" s="237"/>
      <c r="AE972" s="237"/>
      <c r="AF972" s="237"/>
      <c r="AG972" s="237"/>
      <c r="AH972" s="237"/>
      <c r="AI972" s="98"/>
      <c r="AJ972" s="98"/>
      <c r="AK972" s="98"/>
      <c r="AL972" s="98"/>
      <c r="AM972" s="98"/>
      <c r="AN972" s="98"/>
      <c r="AO972" s="98"/>
    </row>
    <row r="973" ht="14.25" customHeight="1">
      <c r="A973" s="179"/>
      <c r="B973" s="98"/>
      <c r="C973" s="98"/>
      <c r="D973" s="98"/>
      <c r="E973" s="98"/>
      <c r="F973" s="235"/>
      <c r="G973" s="235"/>
      <c r="H973" s="236"/>
      <c r="I973" s="236"/>
      <c r="J973" s="236"/>
      <c r="K973" s="236"/>
      <c r="L973" s="236"/>
      <c r="M973" s="236"/>
      <c r="N973" s="236"/>
      <c r="O973" s="236"/>
      <c r="P973" s="236"/>
      <c r="Q973" s="236"/>
      <c r="R973" s="236"/>
      <c r="S973" s="236"/>
      <c r="T973" s="236"/>
      <c r="U973" s="236"/>
      <c r="V973" s="236"/>
      <c r="W973" s="237"/>
      <c r="X973" s="237"/>
      <c r="Y973" s="237"/>
      <c r="Z973" s="237"/>
      <c r="AA973" s="237"/>
      <c r="AB973" s="237"/>
      <c r="AC973" s="237"/>
      <c r="AD973" s="237"/>
      <c r="AE973" s="237"/>
      <c r="AF973" s="237"/>
      <c r="AG973" s="237"/>
      <c r="AH973" s="237"/>
      <c r="AI973" s="98"/>
      <c r="AJ973" s="98"/>
      <c r="AK973" s="98"/>
      <c r="AL973" s="98"/>
      <c r="AM973" s="98"/>
      <c r="AN973" s="98"/>
      <c r="AO973" s="98"/>
    </row>
    <row r="974" ht="14.25" customHeight="1">
      <c r="A974" s="179"/>
      <c r="B974" s="98"/>
      <c r="C974" s="98"/>
      <c r="D974" s="98"/>
      <c r="E974" s="98"/>
      <c r="F974" s="235"/>
      <c r="G974" s="235"/>
      <c r="H974" s="236"/>
      <c r="I974" s="236"/>
      <c r="J974" s="236"/>
      <c r="K974" s="236"/>
      <c r="L974" s="236"/>
      <c r="M974" s="236"/>
      <c r="N974" s="236"/>
      <c r="O974" s="236"/>
      <c r="P974" s="236"/>
      <c r="Q974" s="236"/>
      <c r="R974" s="236"/>
      <c r="S974" s="236"/>
      <c r="T974" s="236"/>
      <c r="U974" s="236"/>
      <c r="V974" s="236"/>
      <c r="W974" s="237"/>
      <c r="X974" s="237"/>
      <c r="Y974" s="237"/>
      <c r="Z974" s="237"/>
      <c r="AA974" s="237"/>
      <c r="AB974" s="237"/>
      <c r="AC974" s="237"/>
      <c r="AD974" s="237"/>
      <c r="AE974" s="237"/>
      <c r="AF974" s="237"/>
      <c r="AG974" s="237"/>
      <c r="AH974" s="237"/>
      <c r="AI974" s="98"/>
      <c r="AJ974" s="98"/>
      <c r="AK974" s="98"/>
      <c r="AL974" s="98"/>
      <c r="AM974" s="98"/>
      <c r="AN974" s="98"/>
      <c r="AO974" s="98"/>
    </row>
    <row r="975" ht="14.25" customHeight="1">
      <c r="A975" s="179"/>
      <c r="B975" s="98"/>
      <c r="C975" s="98"/>
      <c r="D975" s="98"/>
      <c r="E975" s="98"/>
      <c r="F975" s="235"/>
      <c r="G975" s="235"/>
      <c r="H975" s="236"/>
      <c r="I975" s="236"/>
      <c r="J975" s="236"/>
      <c r="K975" s="236"/>
      <c r="L975" s="236"/>
      <c r="M975" s="236"/>
      <c r="N975" s="236"/>
      <c r="O975" s="236"/>
      <c r="P975" s="236"/>
      <c r="Q975" s="236"/>
      <c r="R975" s="236"/>
      <c r="S975" s="236"/>
      <c r="T975" s="236"/>
      <c r="U975" s="236"/>
      <c r="V975" s="236"/>
      <c r="W975" s="237"/>
      <c r="X975" s="237"/>
      <c r="Y975" s="237"/>
      <c r="Z975" s="237"/>
      <c r="AA975" s="237"/>
      <c r="AB975" s="237"/>
      <c r="AC975" s="237"/>
      <c r="AD975" s="237"/>
      <c r="AE975" s="237"/>
      <c r="AF975" s="237"/>
      <c r="AG975" s="237"/>
      <c r="AH975" s="237"/>
      <c r="AI975" s="98"/>
      <c r="AJ975" s="98"/>
      <c r="AK975" s="98"/>
      <c r="AL975" s="98"/>
      <c r="AM975" s="98"/>
      <c r="AN975" s="98"/>
      <c r="AO975" s="98"/>
    </row>
    <row r="976" ht="14.25" customHeight="1">
      <c r="A976" s="179"/>
      <c r="B976" s="98"/>
      <c r="C976" s="98"/>
      <c r="D976" s="98"/>
      <c r="E976" s="98"/>
      <c r="F976" s="235"/>
      <c r="G976" s="235"/>
      <c r="H976" s="236"/>
      <c r="I976" s="236"/>
      <c r="J976" s="236"/>
      <c r="K976" s="236"/>
      <c r="L976" s="236"/>
      <c r="M976" s="236"/>
      <c r="N976" s="236"/>
      <c r="O976" s="236"/>
      <c r="P976" s="236"/>
      <c r="Q976" s="236"/>
      <c r="R976" s="236"/>
      <c r="S976" s="236"/>
      <c r="T976" s="236"/>
      <c r="U976" s="236"/>
      <c r="V976" s="236"/>
      <c r="W976" s="237"/>
      <c r="X976" s="237"/>
      <c r="Y976" s="237"/>
      <c r="Z976" s="237"/>
      <c r="AA976" s="237"/>
      <c r="AB976" s="237"/>
      <c r="AC976" s="237"/>
      <c r="AD976" s="237"/>
      <c r="AE976" s="237"/>
      <c r="AF976" s="237"/>
      <c r="AG976" s="237"/>
      <c r="AH976" s="237"/>
      <c r="AI976" s="98"/>
      <c r="AJ976" s="98"/>
      <c r="AK976" s="98"/>
      <c r="AL976" s="98"/>
      <c r="AM976" s="98"/>
      <c r="AN976" s="98"/>
      <c r="AO976" s="98"/>
    </row>
    <row r="977" ht="14.25" customHeight="1">
      <c r="A977" s="179"/>
      <c r="B977" s="98"/>
      <c r="C977" s="98"/>
      <c r="D977" s="98"/>
      <c r="E977" s="98"/>
      <c r="F977" s="235"/>
      <c r="G977" s="235"/>
      <c r="H977" s="236"/>
      <c r="I977" s="236"/>
      <c r="J977" s="236"/>
      <c r="K977" s="236"/>
      <c r="L977" s="236"/>
      <c r="M977" s="236"/>
      <c r="N977" s="236"/>
      <c r="O977" s="236"/>
      <c r="P977" s="236"/>
      <c r="Q977" s="236"/>
      <c r="R977" s="236"/>
      <c r="S977" s="236"/>
      <c r="T977" s="236"/>
      <c r="U977" s="236"/>
      <c r="V977" s="236"/>
      <c r="W977" s="237"/>
      <c r="X977" s="237"/>
      <c r="Y977" s="237"/>
      <c r="Z977" s="237"/>
      <c r="AA977" s="237"/>
      <c r="AB977" s="237"/>
      <c r="AC977" s="237"/>
      <c r="AD977" s="237"/>
      <c r="AE977" s="237"/>
      <c r="AF977" s="237"/>
      <c r="AG977" s="237"/>
      <c r="AH977" s="237"/>
      <c r="AI977" s="98"/>
      <c r="AJ977" s="98"/>
      <c r="AK977" s="98"/>
      <c r="AL977" s="98"/>
      <c r="AM977" s="98"/>
      <c r="AN977" s="98"/>
      <c r="AO977" s="98"/>
    </row>
    <row r="978" ht="14.25" customHeight="1">
      <c r="A978" s="179"/>
      <c r="B978" s="98"/>
      <c r="C978" s="98"/>
      <c r="D978" s="98"/>
      <c r="E978" s="98"/>
      <c r="F978" s="235"/>
      <c r="G978" s="235"/>
      <c r="H978" s="236"/>
      <c r="I978" s="236"/>
      <c r="J978" s="236"/>
      <c r="K978" s="236"/>
      <c r="L978" s="236"/>
      <c r="M978" s="236"/>
      <c r="N978" s="236"/>
      <c r="O978" s="236"/>
      <c r="P978" s="236"/>
      <c r="Q978" s="236"/>
      <c r="R978" s="236"/>
      <c r="S978" s="236"/>
      <c r="T978" s="236"/>
      <c r="U978" s="236"/>
      <c r="V978" s="236"/>
      <c r="W978" s="237"/>
      <c r="X978" s="237"/>
      <c r="Y978" s="237"/>
      <c r="Z978" s="237"/>
      <c r="AA978" s="237"/>
      <c r="AB978" s="237"/>
      <c r="AC978" s="237"/>
      <c r="AD978" s="237"/>
      <c r="AE978" s="237"/>
      <c r="AF978" s="237"/>
      <c r="AG978" s="237"/>
      <c r="AH978" s="237"/>
      <c r="AI978" s="98"/>
      <c r="AJ978" s="98"/>
      <c r="AK978" s="98"/>
      <c r="AL978" s="98"/>
      <c r="AM978" s="98"/>
      <c r="AN978" s="98"/>
      <c r="AO978" s="98"/>
    </row>
    <row r="979" ht="14.25" customHeight="1">
      <c r="A979" s="179"/>
      <c r="B979" s="98"/>
      <c r="C979" s="98"/>
      <c r="D979" s="98"/>
      <c r="E979" s="98"/>
      <c r="F979" s="235"/>
      <c r="G979" s="235"/>
      <c r="H979" s="236"/>
      <c r="I979" s="236"/>
      <c r="J979" s="236"/>
      <c r="K979" s="236"/>
      <c r="L979" s="236"/>
      <c r="M979" s="236"/>
      <c r="N979" s="236"/>
      <c r="O979" s="236"/>
      <c r="P979" s="236"/>
      <c r="Q979" s="236"/>
      <c r="R979" s="236"/>
      <c r="S979" s="236"/>
      <c r="T979" s="236"/>
      <c r="U979" s="236"/>
      <c r="V979" s="236"/>
      <c r="W979" s="237"/>
      <c r="X979" s="237"/>
      <c r="Y979" s="237"/>
      <c r="Z979" s="237"/>
      <c r="AA979" s="237"/>
      <c r="AB979" s="237"/>
      <c r="AC979" s="237"/>
      <c r="AD979" s="237"/>
      <c r="AE979" s="237"/>
      <c r="AF979" s="237"/>
      <c r="AG979" s="237"/>
      <c r="AH979" s="237"/>
      <c r="AI979" s="98"/>
      <c r="AJ979" s="98"/>
      <c r="AK979" s="98"/>
      <c r="AL979" s="98"/>
      <c r="AM979" s="98"/>
      <c r="AN979" s="98"/>
      <c r="AO979" s="98"/>
    </row>
    <row r="980" ht="14.25" customHeight="1">
      <c r="A980" s="179"/>
      <c r="B980" s="98"/>
      <c r="C980" s="98"/>
      <c r="D980" s="98"/>
      <c r="E980" s="98"/>
      <c r="F980" s="235"/>
      <c r="G980" s="235"/>
      <c r="H980" s="236"/>
      <c r="I980" s="236"/>
      <c r="J980" s="236"/>
      <c r="K980" s="236"/>
      <c r="L980" s="236"/>
      <c r="M980" s="236"/>
      <c r="N980" s="236"/>
      <c r="O980" s="236"/>
      <c r="P980" s="236"/>
      <c r="Q980" s="236"/>
      <c r="R980" s="236"/>
      <c r="S980" s="236"/>
      <c r="T980" s="236"/>
      <c r="U980" s="236"/>
      <c r="V980" s="236"/>
      <c r="W980" s="237"/>
      <c r="X980" s="237"/>
      <c r="Y980" s="237"/>
      <c r="Z980" s="237"/>
      <c r="AA980" s="237"/>
      <c r="AB980" s="237"/>
      <c r="AC980" s="237"/>
      <c r="AD980" s="237"/>
      <c r="AE980" s="237"/>
      <c r="AF980" s="237"/>
      <c r="AG980" s="237"/>
      <c r="AH980" s="237"/>
      <c r="AI980" s="98"/>
      <c r="AJ980" s="98"/>
      <c r="AK980" s="98"/>
      <c r="AL980" s="98"/>
      <c r="AM980" s="98"/>
      <c r="AN980" s="98"/>
      <c r="AO980" s="98"/>
    </row>
    <row r="981" ht="14.25" customHeight="1">
      <c r="A981" s="179"/>
      <c r="B981" s="98"/>
      <c r="C981" s="98"/>
      <c r="D981" s="98"/>
      <c r="E981" s="98"/>
      <c r="F981" s="235"/>
      <c r="G981" s="235"/>
      <c r="H981" s="236"/>
      <c r="I981" s="236"/>
      <c r="J981" s="236"/>
      <c r="K981" s="236"/>
      <c r="L981" s="236"/>
      <c r="M981" s="236"/>
      <c r="N981" s="236"/>
      <c r="O981" s="236"/>
      <c r="P981" s="236"/>
      <c r="Q981" s="236"/>
      <c r="R981" s="236"/>
      <c r="S981" s="236"/>
      <c r="T981" s="236"/>
      <c r="U981" s="236"/>
      <c r="V981" s="236"/>
      <c r="W981" s="237"/>
      <c r="X981" s="237"/>
      <c r="Y981" s="237"/>
      <c r="Z981" s="237"/>
      <c r="AA981" s="237"/>
      <c r="AB981" s="237"/>
      <c r="AC981" s="237"/>
      <c r="AD981" s="237"/>
      <c r="AE981" s="237"/>
      <c r="AF981" s="237"/>
      <c r="AG981" s="237"/>
      <c r="AH981" s="237"/>
      <c r="AI981" s="98"/>
      <c r="AJ981" s="98"/>
      <c r="AK981" s="98"/>
      <c r="AL981" s="98"/>
      <c r="AM981" s="98"/>
      <c r="AN981" s="98"/>
      <c r="AO981" s="98"/>
    </row>
    <row r="982" ht="14.25" customHeight="1">
      <c r="A982" s="179"/>
      <c r="B982" s="98"/>
      <c r="C982" s="98"/>
      <c r="D982" s="98"/>
      <c r="E982" s="98"/>
      <c r="F982" s="235"/>
      <c r="G982" s="235"/>
      <c r="H982" s="236"/>
      <c r="I982" s="236"/>
      <c r="J982" s="236"/>
      <c r="K982" s="236"/>
      <c r="L982" s="236"/>
      <c r="M982" s="236"/>
      <c r="N982" s="236"/>
      <c r="O982" s="236"/>
      <c r="P982" s="236"/>
      <c r="Q982" s="236"/>
      <c r="R982" s="236"/>
      <c r="S982" s="236"/>
      <c r="T982" s="236"/>
      <c r="U982" s="236"/>
      <c r="V982" s="236"/>
      <c r="W982" s="237"/>
      <c r="X982" s="237"/>
      <c r="Y982" s="237"/>
      <c r="Z982" s="237"/>
      <c r="AA982" s="237"/>
      <c r="AB982" s="237"/>
      <c r="AC982" s="237"/>
      <c r="AD982" s="237"/>
      <c r="AE982" s="237"/>
      <c r="AF982" s="237"/>
      <c r="AG982" s="237"/>
      <c r="AH982" s="237"/>
      <c r="AI982" s="98"/>
      <c r="AJ982" s="98"/>
      <c r="AK982" s="98"/>
      <c r="AL982" s="98"/>
      <c r="AM982" s="98"/>
      <c r="AN982" s="98"/>
      <c r="AO982" s="98"/>
    </row>
    <row r="983" ht="14.25" customHeight="1">
      <c r="A983" s="179"/>
      <c r="B983" s="98"/>
      <c r="C983" s="98"/>
      <c r="D983" s="98"/>
      <c r="E983" s="98"/>
      <c r="F983" s="235"/>
      <c r="G983" s="235"/>
      <c r="H983" s="236"/>
      <c r="I983" s="236"/>
      <c r="J983" s="236"/>
      <c r="K983" s="236"/>
      <c r="L983" s="236"/>
      <c r="M983" s="236"/>
      <c r="N983" s="236"/>
      <c r="O983" s="236"/>
      <c r="P983" s="236"/>
      <c r="Q983" s="236"/>
      <c r="R983" s="236"/>
      <c r="S983" s="236"/>
      <c r="T983" s="236"/>
      <c r="U983" s="236"/>
      <c r="V983" s="236"/>
      <c r="W983" s="237"/>
      <c r="X983" s="237"/>
      <c r="Y983" s="237"/>
      <c r="Z983" s="237"/>
      <c r="AA983" s="237"/>
      <c r="AB983" s="237"/>
      <c r="AC983" s="237"/>
      <c r="AD983" s="237"/>
      <c r="AE983" s="237"/>
      <c r="AF983" s="237"/>
      <c r="AG983" s="237"/>
      <c r="AH983" s="237"/>
      <c r="AI983" s="98"/>
      <c r="AJ983" s="98"/>
      <c r="AK983" s="98"/>
      <c r="AL983" s="98"/>
      <c r="AM983" s="98"/>
      <c r="AN983" s="98"/>
      <c r="AO983" s="98"/>
    </row>
    <row r="984" ht="14.25" customHeight="1">
      <c r="A984" s="179"/>
      <c r="B984" s="98"/>
      <c r="C984" s="98"/>
      <c r="D984" s="98"/>
      <c r="E984" s="98"/>
      <c r="F984" s="235"/>
      <c r="G984" s="235"/>
      <c r="H984" s="236"/>
      <c r="I984" s="236"/>
      <c r="J984" s="236"/>
      <c r="K984" s="236"/>
      <c r="L984" s="236"/>
      <c r="M984" s="236"/>
      <c r="N984" s="236"/>
      <c r="O984" s="236"/>
      <c r="P984" s="236"/>
      <c r="Q984" s="236"/>
      <c r="R984" s="236"/>
      <c r="S984" s="236"/>
      <c r="T984" s="236"/>
      <c r="U984" s="236"/>
      <c r="V984" s="236"/>
      <c r="W984" s="237"/>
      <c r="X984" s="237"/>
      <c r="Y984" s="237"/>
      <c r="Z984" s="237"/>
      <c r="AA984" s="237"/>
      <c r="AB984" s="237"/>
      <c r="AC984" s="237"/>
      <c r="AD984" s="237"/>
      <c r="AE984" s="237"/>
      <c r="AF984" s="237"/>
      <c r="AG984" s="237"/>
      <c r="AH984" s="237"/>
      <c r="AI984" s="98"/>
      <c r="AJ984" s="98"/>
      <c r="AK984" s="98"/>
      <c r="AL984" s="98"/>
      <c r="AM984" s="98"/>
      <c r="AN984" s="98"/>
      <c r="AO984" s="98"/>
    </row>
    <row r="985" ht="14.25" customHeight="1">
      <c r="A985" s="179"/>
      <c r="B985" s="98"/>
      <c r="C985" s="98"/>
      <c r="D985" s="98"/>
      <c r="E985" s="98"/>
      <c r="F985" s="235"/>
      <c r="G985" s="235"/>
      <c r="H985" s="236"/>
      <c r="I985" s="236"/>
      <c r="J985" s="236"/>
      <c r="K985" s="236"/>
      <c r="L985" s="236"/>
      <c r="M985" s="236"/>
      <c r="N985" s="236"/>
      <c r="O985" s="236"/>
      <c r="P985" s="236"/>
      <c r="Q985" s="236"/>
      <c r="R985" s="236"/>
      <c r="S985" s="236"/>
      <c r="T985" s="236"/>
      <c r="U985" s="236"/>
      <c r="V985" s="236"/>
      <c r="W985" s="237"/>
      <c r="X985" s="237"/>
      <c r="Y985" s="237"/>
      <c r="Z985" s="237"/>
      <c r="AA985" s="237"/>
      <c r="AB985" s="237"/>
      <c r="AC985" s="237"/>
      <c r="AD985" s="237"/>
      <c r="AE985" s="237"/>
      <c r="AF985" s="237"/>
      <c r="AG985" s="237"/>
      <c r="AH985" s="237"/>
      <c r="AI985" s="98"/>
      <c r="AJ985" s="98"/>
      <c r="AK985" s="98"/>
      <c r="AL985" s="98"/>
      <c r="AM985" s="98"/>
      <c r="AN985" s="98"/>
      <c r="AO985" s="98"/>
    </row>
    <row r="986" ht="14.25" customHeight="1">
      <c r="A986" s="179"/>
      <c r="B986" s="98"/>
      <c r="C986" s="98"/>
      <c r="D986" s="98"/>
      <c r="E986" s="98"/>
      <c r="F986" s="235"/>
      <c r="G986" s="235"/>
      <c r="H986" s="236"/>
      <c r="I986" s="236"/>
      <c r="J986" s="236"/>
      <c r="K986" s="236"/>
      <c r="L986" s="236"/>
      <c r="M986" s="236"/>
      <c r="N986" s="236"/>
      <c r="O986" s="236"/>
      <c r="P986" s="236"/>
      <c r="Q986" s="236"/>
      <c r="R986" s="236"/>
      <c r="S986" s="236"/>
      <c r="T986" s="236"/>
      <c r="U986" s="236"/>
      <c r="V986" s="236"/>
      <c r="W986" s="237"/>
      <c r="X986" s="237"/>
      <c r="Y986" s="237"/>
      <c r="Z986" s="237"/>
      <c r="AA986" s="237"/>
      <c r="AB986" s="237"/>
      <c r="AC986" s="237"/>
      <c r="AD986" s="237"/>
      <c r="AE986" s="237"/>
      <c r="AF986" s="237"/>
      <c r="AG986" s="237"/>
      <c r="AH986" s="237"/>
      <c r="AI986" s="98"/>
      <c r="AJ986" s="98"/>
      <c r="AK986" s="98"/>
      <c r="AL986" s="98"/>
      <c r="AM986" s="98"/>
      <c r="AN986" s="98"/>
      <c r="AO986" s="98"/>
    </row>
    <row r="987" ht="14.25" customHeight="1">
      <c r="A987" s="179"/>
      <c r="B987" s="98"/>
      <c r="C987" s="98"/>
      <c r="D987" s="98"/>
      <c r="E987" s="98"/>
      <c r="F987" s="235"/>
      <c r="G987" s="235"/>
      <c r="H987" s="236"/>
      <c r="I987" s="236"/>
      <c r="J987" s="236"/>
      <c r="K987" s="236"/>
      <c r="L987" s="236"/>
      <c r="M987" s="236"/>
      <c r="N987" s="236"/>
      <c r="O987" s="236"/>
      <c r="P987" s="236"/>
      <c r="Q987" s="236"/>
      <c r="R987" s="236"/>
      <c r="S987" s="236"/>
      <c r="T987" s="236"/>
      <c r="U987" s="236"/>
      <c r="V987" s="236"/>
      <c r="W987" s="237"/>
      <c r="X987" s="237"/>
      <c r="Y987" s="237"/>
      <c r="Z987" s="237"/>
      <c r="AA987" s="237"/>
      <c r="AB987" s="237"/>
      <c r="AC987" s="237"/>
      <c r="AD987" s="237"/>
      <c r="AE987" s="237"/>
      <c r="AF987" s="237"/>
      <c r="AG987" s="237"/>
      <c r="AH987" s="237"/>
      <c r="AI987" s="98"/>
      <c r="AJ987" s="98"/>
      <c r="AK987" s="98"/>
      <c r="AL987" s="98"/>
      <c r="AM987" s="98"/>
      <c r="AN987" s="98"/>
      <c r="AO987" s="98"/>
    </row>
    <row r="988" ht="14.25" customHeight="1">
      <c r="A988" s="179"/>
      <c r="B988" s="98"/>
      <c r="C988" s="98"/>
      <c r="D988" s="98"/>
      <c r="E988" s="98"/>
      <c r="F988" s="235"/>
      <c r="G988" s="235"/>
      <c r="H988" s="236"/>
      <c r="I988" s="236"/>
      <c r="J988" s="236"/>
      <c r="K988" s="236"/>
      <c r="L988" s="236"/>
      <c r="M988" s="236"/>
      <c r="N988" s="236"/>
      <c r="O988" s="236"/>
      <c r="P988" s="236"/>
      <c r="Q988" s="236"/>
      <c r="R988" s="236"/>
      <c r="S988" s="236"/>
      <c r="T988" s="236"/>
      <c r="U988" s="236"/>
      <c r="V988" s="236"/>
      <c r="W988" s="237"/>
      <c r="X988" s="237"/>
      <c r="Y988" s="237"/>
      <c r="Z988" s="237"/>
      <c r="AA988" s="237"/>
      <c r="AB988" s="237"/>
      <c r="AC988" s="237"/>
      <c r="AD988" s="237"/>
      <c r="AE988" s="237"/>
      <c r="AF988" s="237"/>
      <c r="AG988" s="237"/>
      <c r="AH988" s="237"/>
      <c r="AI988" s="98"/>
      <c r="AJ988" s="98"/>
      <c r="AK988" s="98"/>
      <c r="AL988" s="98"/>
      <c r="AM988" s="98"/>
      <c r="AN988" s="98"/>
      <c r="AO988" s="98"/>
    </row>
    <row r="989" ht="14.25" customHeight="1">
      <c r="A989" s="179"/>
      <c r="B989" s="98"/>
      <c r="C989" s="98"/>
      <c r="D989" s="98"/>
      <c r="E989" s="98"/>
      <c r="F989" s="235"/>
      <c r="G989" s="235"/>
      <c r="H989" s="236"/>
      <c r="I989" s="236"/>
      <c r="J989" s="236"/>
      <c r="K989" s="236"/>
      <c r="L989" s="236"/>
      <c r="M989" s="236"/>
      <c r="N989" s="236"/>
      <c r="O989" s="236"/>
      <c r="P989" s="236"/>
      <c r="Q989" s="236"/>
      <c r="R989" s="236"/>
      <c r="S989" s="236"/>
      <c r="T989" s="236"/>
      <c r="U989" s="236"/>
      <c r="V989" s="236"/>
      <c r="W989" s="237"/>
      <c r="X989" s="237"/>
      <c r="Y989" s="237"/>
      <c r="Z989" s="237"/>
      <c r="AA989" s="237"/>
      <c r="AB989" s="237"/>
      <c r="AC989" s="237"/>
      <c r="AD989" s="237"/>
      <c r="AE989" s="237"/>
      <c r="AF989" s="237"/>
      <c r="AG989" s="237"/>
      <c r="AH989" s="237"/>
      <c r="AI989" s="98"/>
      <c r="AJ989" s="98"/>
      <c r="AK989" s="98"/>
      <c r="AL989" s="98"/>
      <c r="AM989" s="98"/>
      <c r="AN989" s="98"/>
      <c r="AO989" s="98"/>
    </row>
    <row r="990" ht="14.25" customHeight="1">
      <c r="A990" s="179"/>
      <c r="B990" s="98"/>
      <c r="C990" s="98"/>
      <c r="D990" s="98"/>
      <c r="E990" s="98"/>
      <c r="F990" s="235"/>
      <c r="G990" s="235"/>
      <c r="H990" s="236"/>
      <c r="I990" s="236"/>
      <c r="J990" s="236"/>
      <c r="K990" s="236"/>
      <c r="L990" s="236"/>
      <c r="M990" s="236"/>
      <c r="N990" s="236"/>
      <c r="O990" s="236"/>
      <c r="P990" s="236"/>
      <c r="Q990" s="236"/>
      <c r="R990" s="236"/>
      <c r="S990" s="236"/>
      <c r="T990" s="236"/>
      <c r="U990" s="236"/>
      <c r="V990" s="236"/>
      <c r="W990" s="237"/>
      <c r="X990" s="237"/>
      <c r="Y990" s="237"/>
      <c r="Z990" s="237"/>
      <c r="AA990" s="237"/>
      <c r="AB990" s="237"/>
      <c r="AC990" s="237"/>
      <c r="AD990" s="237"/>
      <c r="AE990" s="237"/>
      <c r="AF990" s="237"/>
      <c r="AG990" s="237"/>
      <c r="AH990" s="237"/>
      <c r="AI990" s="98"/>
      <c r="AJ990" s="98"/>
      <c r="AK990" s="98"/>
      <c r="AL990" s="98"/>
      <c r="AM990" s="98"/>
      <c r="AN990" s="98"/>
      <c r="AO990" s="98"/>
    </row>
    <row r="991" ht="14.25" customHeight="1">
      <c r="A991" s="179"/>
      <c r="B991" s="98"/>
      <c r="C991" s="98"/>
      <c r="D991" s="98"/>
      <c r="E991" s="98"/>
      <c r="F991" s="235"/>
      <c r="G991" s="235"/>
      <c r="H991" s="236"/>
      <c r="I991" s="236"/>
      <c r="J991" s="236"/>
      <c r="K991" s="236"/>
      <c r="L991" s="236"/>
      <c r="M991" s="236"/>
      <c r="N991" s="236"/>
      <c r="O991" s="236"/>
      <c r="P991" s="236"/>
      <c r="Q991" s="236"/>
      <c r="R991" s="236"/>
      <c r="S991" s="236"/>
      <c r="T991" s="236"/>
      <c r="U991" s="236"/>
      <c r="V991" s="236"/>
      <c r="W991" s="237"/>
      <c r="X991" s="237"/>
      <c r="Y991" s="237"/>
      <c r="Z991" s="237"/>
      <c r="AA991" s="237"/>
      <c r="AB991" s="237"/>
      <c r="AC991" s="237"/>
      <c r="AD991" s="237"/>
      <c r="AE991" s="237"/>
      <c r="AF991" s="237"/>
      <c r="AG991" s="237"/>
      <c r="AH991" s="237"/>
      <c r="AI991" s="98"/>
      <c r="AJ991" s="98"/>
      <c r="AK991" s="98"/>
      <c r="AL991" s="98"/>
      <c r="AM991" s="98"/>
      <c r="AN991" s="98"/>
      <c r="AO991" s="98"/>
    </row>
    <row r="992" ht="14.25" customHeight="1">
      <c r="A992" s="179"/>
      <c r="B992" s="98"/>
      <c r="C992" s="98"/>
      <c r="D992" s="98"/>
      <c r="E992" s="98"/>
      <c r="F992" s="235"/>
      <c r="G992" s="235"/>
      <c r="H992" s="236"/>
      <c r="I992" s="236"/>
      <c r="J992" s="236"/>
      <c r="K992" s="236"/>
      <c r="L992" s="236"/>
      <c r="M992" s="236"/>
      <c r="N992" s="236"/>
      <c r="O992" s="236"/>
      <c r="P992" s="236"/>
      <c r="Q992" s="236"/>
      <c r="R992" s="236"/>
      <c r="S992" s="236"/>
      <c r="T992" s="236"/>
      <c r="U992" s="236"/>
      <c r="V992" s="236"/>
      <c r="W992" s="237"/>
      <c r="X992" s="237"/>
      <c r="Y992" s="237"/>
      <c r="Z992" s="237"/>
      <c r="AA992" s="237"/>
      <c r="AB992" s="237"/>
      <c r="AC992" s="237"/>
      <c r="AD992" s="237"/>
      <c r="AE992" s="237"/>
      <c r="AF992" s="237"/>
      <c r="AG992" s="237"/>
      <c r="AH992" s="237"/>
      <c r="AI992" s="98"/>
      <c r="AJ992" s="98"/>
      <c r="AK992" s="98"/>
      <c r="AL992" s="98"/>
      <c r="AM992" s="98"/>
      <c r="AN992" s="98"/>
      <c r="AO992" s="98"/>
    </row>
    <row r="993" ht="14.25" customHeight="1">
      <c r="A993" s="179"/>
      <c r="B993" s="98"/>
      <c r="C993" s="98"/>
      <c r="D993" s="98"/>
      <c r="E993" s="98"/>
      <c r="F993" s="235"/>
      <c r="G993" s="235"/>
      <c r="H993" s="236"/>
      <c r="I993" s="236"/>
      <c r="J993" s="236"/>
      <c r="K993" s="236"/>
      <c r="L993" s="236"/>
      <c r="M993" s="236"/>
      <c r="N993" s="236"/>
      <c r="O993" s="236"/>
      <c r="P993" s="236"/>
      <c r="Q993" s="236"/>
      <c r="R993" s="236"/>
      <c r="S993" s="236"/>
      <c r="T993" s="236"/>
      <c r="U993" s="236"/>
      <c r="V993" s="236"/>
      <c r="W993" s="237"/>
      <c r="X993" s="237"/>
      <c r="Y993" s="237"/>
      <c r="Z993" s="237"/>
      <c r="AA993" s="237"/>
      <c r="AB993" s="237"/>
      <c r="AC993" s="237"/>
      <c r="AD993" s="237"/>
      <c r="AE993" s="237"/>
      <c r="AF993" s="237"/>
      <c r="AG993" s="237"/>
      <c r="AH993" s="237"/>
      <c r="AI993" s="98"/>
      <c r="AJ993" s="98"/>
      <c r="AK993" s="98"/>
      <c r="AL993" s="98"/>
      <c r="AM993" s="98"/>
      <c r="AN993" s="98"/>
      <c r="AO993" s="98"/>
    </row>
    <row r="994" ht="14.25" customHeight="1">
      <c r="A994" s="179"/>
      <c r="B994" s="98"/>
      <c r="C994" s="98"/>
      <c r="D994" s="98"/>
      <c r="E994" s="98"/>
      <c r="F994" s="235"/>
      <c r="G994" s="235"/>
      <c r="H994" s="236"/>
      <c r="I994" s="236"/>
      <c r="J994" s="236"/>
      <c r="K994" s="236"/>
      <c r="L994" s="236"/>
      <c r="M994" s="236"/>
      <c r="N994" s="236"/>
      <c r="O994" s="236"/>
      <c r="P994" s="236"/>
      <c r="Q994" s="236"/>
      <c r="R994" s="236"/>
      <c r="S994" s="236"/>
      <c r="T994" s="236"/>
      <c r="U994" s="236"/>
      <c r="V994" s="236"/>
      <c r="W994" s="237"/>
      <c r="X994" s="237"/>
      <c r="Y994" s="237"/>
      <c r="Z994" s="237"/>
      <c r="AA994" s="237"/>
      <c r="AB994" s="237"/>
      <c r="AC994" s="237"/>
      <c r="AD994" s="237"/>
      <c r="AE994" s="237"/>
      <c r="AF994" s="237"/>
      <c r="AG994" s="237"/>
      <c r="AH994" s="237"/>
      <c r="AI994" s="98"/>
      <c r="AJ994" s="98"/>
      <c r="AK994" s="98"/>
      <c r="AL994" s="98"/>
      <c r="AM994" s="98"/>
      <c r="AN994" s="98"/>
      <c r="AO994" s="98"/>
    </row>
    <row r="995" ht="14.25" customHeight="1">
      <c r="A995" s="179"/>
      <c r="B995" s="98"/>
      <c r="C995" s="98"/>
      <c r="D995" s="98"/>
      <c r="E995" s="98"/>
      <c r="F995" s="235"/>
      <c r="G995" s="235"/>
      <c r="H995" s="236"/>
      <c r="I995" s="236"/>
      <c r="J995" s="236"/>
      <c r="K995" s="236"/>
      <c r="L995" s="236"/>
      <c r="M995" s="236"/>
      <c r="N995" s="236"/>
      <c r="O995" s="236"/>
      <c r="P995" s="236"/>
      <c r="Q995" s="236"/>
      <c r="R995" s="236"/>
      <c r="S995" s="236"/>
      <c r="T995" s="236"/>
      <c r="U995" s="236"/>
      <c r="V995" s="236"/>
      <c r="W995" s="237"/>
      <c r="X995" s="237"/>
      <c r="Y995" s="237"/>
      <c r="Z995" s="237"/>
      <c r="AA995" s="237"/>
      <c r="AB995" s="237"/>
      <c r="AC995" s="237"/>
      <c r="AD995" s="237"/>
      <c r="AE995" s="237"/>
      <c r="AF995" s="237"/>
      <c r="AG995" s="237"/>
      <c r="AH995" s="237"/>
      <c r="AI995" s="98"/>
      <c r="AJ995" s="98"/>
      <c r="AK995" s="98"/>
      <c r="AL995" s="98"/>
      <c r="AM995" s="98"/>
      <c r="AN995" s="98"/>
      <c r="AO995" s="98"/>
    </row>
    <row r="996" ht="14.25" customHeight="1">
      <c r="A996" s="179"/>
      <c r="B996" s="98"/>
      <c r="C996" s="98"/>
      <c r="D996" s="98"/>
      <c r="E996" s="98"/>
      <c r="F996" s="235"/>
      <c r="G996" s="235"/>
      <c r="H996" s="236"/>
      <c r="I996" s="236"/>
      <c r="J996" s="236"/>
      <c r="K996" s="236"/>
      <c r="L996" s="236"/>
      <c r="M996" s="236"/>
      <c r="N996" s="236"/>
      <c r="O996" s="236"/>
      <c r="P996" s="236"/>
      <c r="Q996" s="236"/>
      <c r="R996" s="236"/>
      <c r="S996" s="236"/>
      <c r="T996" s="236"/>
      <c r="U996" s="236"/>
      <c r="V996" s="236"/>
      <c r="W996" s="237"/>
      <c r="X996" s="237"/>
      <c r="Y996" s="237"/>
      <c r="Z996" s="237"/>
      <c r="AA996" s="237"/>
      <c r="AB996" s="237"/>
      <c r="AC996" s="237"/>
      <c r="AD996" s="237"/>
      <c r="AE996" s="237"/>
      <c r="AF996" s="237"/>
      <c r="AG996" s="237"/>
      <c r="AH996" s="237"/>
      <c r="AI996" s="98"/>
      <c r="AJ996" s="98"/>
      <c r="AK996" s="98"/>
      <c r="AL996" s="98"/>
      <c r="AM996" s="98"/>
      <c r="AN996" s="98"/>
      <c r="AO996" s="98"/>
    </row>
    <row r="997" ht="14.25" customHeight="1">
      <c r="A997" s="179"/>
      <c r="B997" s="98"/>
      <c r="C997" s="98"/>
      <c r="D997" s="98"/>
      <c r="E997" s="98"/>
      <c r="F997" s="235"/>
      <c r="G997" s="235"/>
      <c r="H997" s="236"/>
      <c r="I997" s="236"/>
      <c r="J997" s="236"/>
      <c r="K997" s="236"/>
      <c r="L997" s="236"/>
      <c r="M997" s="236"/>
      <c r="N997" s="236"/>
      <c r="O997" s="236"/>
      <c r="P997" s="236"/>
      <c r="Q997" s="236"/>
      <c r="R997" s="236"/>
      <c r="S997" s="236"/>
      <c r="T997" s="236"/>
      <c r="U997" s="236"/>
      <c r="V997" s="236"/>
      <c r="W997" s="237"/>
      <c r="X997" s="237"/>
      <c r="Y997" s="237"/>
      <c r="Z997" s="237"/>
      <c r="AA997" s="237"/>
      <c r="AB997" s="237"/>
      <c r="AC997" s="237"/>
      <c r="AD997" s="237"/>
      <c r="AE997" s="237"/>
      <c r="AF997" s="237"/>
      <c r="AG997" s="237"/>
      <c r="AH997" s="237"/>
      <c r="AI997" s="98"/>
      <c r="AJ997" s="98"/>
      <c r="AK997" s="98"/>
      <c r="AL997" s="98"/>
      <c r="AM997" s="98"/>
      <c r="AN997" s="98"/>
      <c r="AO997" s="98"/>
    </row>
    <row r="998" ht="14.25" customHeight="1">
      <c r="A998" s="179"/>
      <c r="B998" s="98"/>
      <c r="C998" s="98"/>
      <c r="D998" s="98"/>
      <c r="E998" s="98"/>
      <c r="F998" s="235"/>
      <c r="G998" s="235"/>
      <c r="H998" s="236"/>
      <c r="I998" s="236"/>
      <c r="J998" s="236"/>
      <c r="K998" s="236"/>
      <c r="L998" s="236"/>
      <c r="M998" s="236"/>
      <c r="N998" s="236"/>
      <c r="O998" s="236"/>
      <c r="P998" s="236"/>
      <c r="Q998" s="236"/>
      <c r="R998" s="236"/>
      <c r="S998" s="236"/>
      <c r="T998" s="236"/>
      <c r="U998" s="236"/>
      <c r="V998" s="236"/>
      <c r="W998" s="237"/>
      <c r="X998" s="237"/>
      <c r="Y998" s="237"/>
      <c r="Z998" s="237"/>
      <c r="AA998" s="237"/>
      <c r="AB998" s="237"/>
      <c r="AC998" s="237"/>
      <c r="AD998" s="237"/>
      <c r="AE998" s="237"/>
      <c r="AF998" s="237"/>
      <c r="AG998" s="237"/>
      <c r="AH998" s="237"/>
      <c r="AI998" s="98"/>
      <c r="AJ998" s="98"/>
      <c r="AK998" s="98"/>
      <c r="AL998" s="98"/>
      <c r="AM998" s="98"/>
      <c r="AN998" s="98"/>
      <c r="AO998" s="98"/>
    </row>
    <row r="999" ht="14.25" customHeight="1">
      <c r="A999" s="179"/>
      <c r="B999" s="98"/>
      <c r="C999" s="98"/>
      <c r="D999" s="98"/>
      <c r="E999" s="98"/>
      <c r="F999" s="235"/>
      <c r="G999" s="235"/>
      <c r="H999" s="236"/>
      <c r="I999" s="236"/>
      <c r="J999" s="236"/>
      <c r="K999" s="236"/>
      <c r="L999" s="236"/>
      <c r="M999" s="236"/>
      <c r="N999" s="236"/>
      <c r="O999" s="236"/>
      <c r="P999" s="236"/>
      <c r="Q999" s="236"/>
      <c r="R999" s="236"/>
      <c r="S999" s="236"/>
      <c r="T999" s="236"/>
      <c r="U999" s="236"/>
      <c r="V999" s="236"/>
      <c r="W999" s="237"/>
      <c r="X999" s="237"/>
      <c r="Y999" s="237"/>
      <c r="Z999" s="237"/>
      <c r="AA999" s="237"/>
      <c r="AB999" s="237"/>
      <c r="AC999" s="237"/>
      <c r="AD999" s="237"/>
      <c r="AE999" s="237"/>
      <c r="AF999" s="237"/>
      <c r="AG999" s="237"/>
      <c r="AH999" s="237"/>
      <c r="AI999" s="98"/>
      <c r="AJ999" s="98"/>
      <c r="AK999" s="98"/>
      <c r="AL999" s="98"/>
      <c r="AM999" s="98"/>
      <c r="AN999" s="98"/>
      <c r="AO999" s="98"/>
    </row>
    <row r="1000" ht="14.25" customHeight="1">
      <c r="A1000" s="179"/>
      <c r="B1000" s="98"/>
      <c r="C1000" s="98"/>
      <c r="D1000" s="98"/>
      <c r="E1000" s="98"/>
      <c r="F1000" s="235"/>
      <c r="G1000" s="235"/>
      <c r="H1000" s="236"/>
      <c r="I1000" s="236"/>
      <c r="J1000" s="236"/>
      <c r="K1000" s="236"/>
      <c r="L1000" s="236"/>
      <c r="M1000" s="236"/>
      <c r="N1000" s="236"/>
      <c r="O1000" s="236"/>
      <c r="P1000" s="236"/>
      <c r="Q1000" s="236"/>
      <c r="R1000" s="236"/>
      <c r="S1000" s="236"/>
      <c r="T1000" s="236"/>
      <c r="U1000" s="236"/>
      <c r="V1000" s="236"/>
      <c r="W1000" s="237"/>
      <c r="X1000" s="237"/>
      <c r="Y1000" s="237"/>
      <c r="Z1000" s="237"/>
      <c r="AA1000" s="237"/>
      <c r="AB1000" s="237"/>
      <c r="AC1000" s="237"/>
      <c r="AD1000" s="237"/>
      <c r="AE1000" s="237"/>
      <c r="AF1000" s="237"/>
      <c r="AG1000" s="237"/>
      <c r="AH1000" s="237"/>
      <c r="AI1000" s="98"/>
      <c r="AJ1000" s="98"/>
      <c r="AK1000" s="98"/>
      <c r="AL1000" s="98"/>
      <c r="AM1000" s="98"/>
      <c r="AN1000" s="98"/>
      <c r="AO1000" s="98"/>
    </row>
  </sheetData>
  <mergeCells count="1">
    <mergeCell ref="A1:E1"/>
  </mergeCells>
  <conditionalFormatting sqref="A100">
    <cfRule type="expression" dxfId="0" priority="1">
      <formula>NOT(ISERROR(SEARCH("warning",A100)))</formula>
    </cfRule>
  </conditionalFormatting>
  <conditionalFormatting sqref="A130:AI133">
    <cfRule type="expression" dxfId="3" priority="2">
      <formula>NOT(ISERROR(SEARCH("Warning",A130)))</formula>
    </cfRule>
  </conditionalFormatting>
  <conditionalFormatting sqref="A130:AI133">
    <cfRule type="expression" dxfId="3" priority="3">
      <formula>NOT(ISERROR(SEARCH("Inconsistent",A130)))</formula>
    </cfRule>
  </conditionalFormatting>
  <conditionalFormatting sqref="A130:AI133">
    <cfRule type="expression" dxfId="3" priority="4">
      <formula>NOT(ISERROR(SEARCH("Missing",A130)))</formula>
    </cfRule>
  </conditionalFormatting>
  <conditionalFormatting sqref="A261:AI264">
    <cfRule type="expression" dxfId="0" priority="5">
      <formula>NOT(ISERROR(SEARCH("Warning",A261)))</formula>
    </cfRule>
  </conditionalFormatting>
  <conditionalFormatting sqref="A261:AI264">
    <cfRule type="expression" dxfId="0" priority="6">
      <formula>NOT(ISERROR(SEARCH("Inconsistent",A261)))</formula>
    </cfRule>
  </conditionalFormatting>
  <conditionalFormatting sqref="A261:AI264">
    <cfRule type="expression" dxfId="0" priority="7">
      <formula>NOT(ISERROR(SEARCH("Missing",A261)))</formula>
    </cfRule>
  </conditionalFormatting>
  <conditionalFormatting sqref="A111:AM111 E112:AM116">
    <cfRule type="expression" dxfId="0" priority="8">
      <formula>NOT(ISERROR(SEARCH("warning",A111)))</formula>
    </cfRule>
  </conditionalFormatting>
  <conditionalFormatting sqref="A134:AM140">
    <cfRule type="expression" dxfId="0" priority="9">
      <formula>NOT(ISERROR(SEARCH("warning",A134)))</formula>
    </cfRule>
  </conditionalFormatting>
  <conditionalFormatting sqref="A243:AM243 E244:AM248">
    <cfRule type="expression" dxfId="2" priority="10">
      <formula>NOT(ISERROR(SEARCH("warning",A243)))</formula>
    </cfRule>
  </conditionalFormatting>
  <conditionalFormatting sqref="A1:AM89 A90:E90 A91:AM95 A100:AM102 A105:AM106 A117:AM128 A141:AI141 A142:AM147 A152:AM153 A155:AM157 A159:AM178 A180:AM185 A187:AM196 A197:E197 A198:AM225 A230:AM232 A249:AM259 A265:AM268 A269:D269 A271:AI273 A274:AM282 A289:AM1000 E96:AM98 E154:AM154 E179:AI179 E186:AM186 G197:AM197 H90:AM90 H99:AM100 H269:AM269 AJ270:AM273 AK141:AM141 AK179:AM179">
    <cfRule type="expression" dxfId="0" priority="11">
      <formula>NOT(ISERROR(SEARCH("warning",A1)))</formula>
    </cfRule>
  </conditionalFormatting>
  <conditionalFormatting sqref="C238:D238 AI238:AM238">
    <cfRule type="expression" dxfId="1" priority="12">
      <formula>NOT(ISERROR(SEARCH("warning",C238)))</formula>
    </cfRule>
  </conditionalFormatting>
  <conditionalFormatting sqref="C160:G160">
    <cfRule type="expression" dxfId="0" priority="13">
      <formula>ISNUMBER(SEARCH("warning",$B$160))</formula>
    </cfRule>
  </conditionalFormatting>
  <conditionalFormatting sqref="C290:G290">
    <cfRule type="expression" dxfId="0" priority="14">
      <formula>ISNUMBER(SEARCH("warning",$B$290))</formula>
    </cfRule>
  </conditionalFormatting>
  <conditionalFormatting sqref="C311:G311">
    <cfRule type="expression" dxfId="0" priority="15">
      <formula>ISNUMBER(SEARCH("warning",$B$311))</formula>
    </cfRule>
  </conditionalFormatting>
  <conditionalFormatting sqref="D284:F284">
    <cfRule type="expression" dxfId="0" priority="16">
      <formula>NOT(ISERROR(SEARCH("warning",D284)))</formula>
    </cfRule>
  </conditionalFormatting>
  <conditionalFormatting sqref="A148:C150 D148:AM148 D149:D150">
    <cfRule type="expression" dxfId="3" priority="17">
      <formula>NOT(ISERROR(SEARCH("warning",A148)))</formula>
    </cfRule>
  </conditionalFormatting>
  <conditionalFormatting sqref="A283:C284 D283:AM283">
    <cfRule type="expression" dxfId="0" priority="18">
      <formula>NOT(ISERROR(SEARCH("warning",A283)))</formula>
    </cfRule>
  </conditionalFormatting>
  <conditionalFormatting sqref="E99:E100">
    <cfRule type="expression" dxfId="0" priority="19">
      <formula>NOT(ISERROR(SEARCH("warning",E99)))</formula>
    </cfRule>
  </conditionalFormatting>
  <conditionalFormatting sqref="E103:E104">
    <cfRule type="expression" dxfId="2" priority="20">
      <formula>NOT(ISERROR(SEARCH("Warning",E103)))</formula>
    </cfRule>
  </conditionalFormatting>
  <conditionalFormatting sqref="E103:E104">
    <cfRule type="expression" dxfId="2" priority="21">
      <formula>NOT(ISERROR(SEARCH("Inconsistent",E103)))</formula>
    </cfRule>
  </conditionalFormatting>
  <conditionalFormatting sqref="E103:E104">
    <cfRule type="expression" dxfId="2" priority="22">
      <formula>NOT(ISERROR(SEARCH("Missing",E103)))</formula>
    </cfRule>
  </conditionalFormatting>
  <conditionalFormatting sqref="E103:E104">
    <cfRule type="expression" dxfId="2" priority="23">
      <formula>NOT(ISERROR(SEARCH("warning",E103)))</formula>
    </cfRule>
  </conditionalFormatting>
  <conditionalFormatting sqref="E107:E110">
    <cfRule type="expression" dxfId="1" priority="24">
      <formula>NOT(ISERROR(SEARCH("Warning",E107)))</formula>
    </cfRule>
  </conditionalFormatting>
  <conditionalFormatting sqref="E107:E110">
    <cfRule type="expression" dxfId="1" priority="25">
      <formula>NOT(ISERROR(SEARCH("Inconsistent",E107)))</formula>
    </cfRule>
  </conditionalFormatting>
  <conditionalFormatting sqref="E107:E110">
    <cfRule type="expression" dxfId="2" priority="26">
      <formula>NOT(ISERROR(SEARCH("Missing",E107)))</formula>
    </cfRule>
  </conditionalFormatting>
  <conditionalFormatting sqref="E107:E110">
    <cfRule type="expression" dxfId="2" priority="27">
      <formula>NOT(ISERROR(SEARCH("warning",E107)))</formula>
    </cfRule>
  </conditionalFormatting>
  <conditionalFormatting sqref="E229:E230">
    <cfRule type="expression" dxfId="0" priority="28">
      <formula>NOT(ISERROR(SEARCH("warning",E229)))</formula>
    </cfRule>
  </conditionalFormatting>
  <conditionalFormatting sqref="E233:E236">
    <cfRule type="expression" dxfId="3" priority="29">
      <formula>NOT(ISERROR(SEARCH("Warning",E233)))</formula>
    </cfRule>
  </conditionalFormatting>
  <conditionalFormatting sqref="E233:E236">
    <cfRule type="expression" dxfId="3" priority="30">
      <formula>NOT(ISERROR(SEARCH("Inconsistent",E233)))</formula>
    </cfRule>
  </conditionalFormatting>
  <conditionalFormatting sqref="E233:E236">
    <cfRule type="expression" dxfId="3" priority="31">
      <formula>NOT(ISERROR(SEARCH("Missing",E233)))</formula>
    </cfRule>
  </conditionalFormatting>
  <conditionalFormatting sqref="E233:E236">
    <cfRule type="expression" dxfId="3" priority="32">
      <formula>NOT(ISERROR(SEARCH("warning",E233)))</formula>
    </cfRule>
  </conditionalFormatting>
  <conditionalFormatting sqref="E149:F149">
    <cfRule type="expression" dxfId="2" priority="33">
      <formula>NOT(ISERROR(SEARCH("warning",E149)))</formula>
    </cfRule>
  </conditionalFormatting>
  <conditionalFormatting sqref="E90:G90">
    <cfRule type="expression" dxfId="0" priority="34">
      <formula>NOT(ISERROR(SEARCH("Warning",E90)))</formula>
    </cfRule>
  </conditionalFormatting>
  <conditionalFormatting sqref="E90:G90">
    <cfRule type="expression" dxfId="0" priority="35">
      <formula>NOT(ISERROR(SEARCH("Inconsistent",E90)))</formula>
    </cfRule>
  </conditionalFormatting>
  <conditionalFormatting sqref="E90:G90">
    <cfRule type="expression" dxfId="0" priority="36">
      <formula>NOT(ISERROR(SEARCH("Missing",E90)))</formula>
    </cfRule>
  </conditionalFormatting>
  <conditionalFormatting sqref="E96:G100">
    <cfRule type="expression" dxfId="0" priority="37">
      <formula>NOT(ISERROR(SEARCH("Warning",E96)))</formula>
    </cfRule>
  </conditionalFormatting>
  <conditionalFormatting sqref="E96:G100">
    <cfRule type="expression" dxfId="0" priority="38">
      <formula>NOT(ISERROR(SEARCH("Inconsistent",E96)))</formula>
    </cfRule>
  </conditionalFormatting>
  <conditionalFormatting sqref="E96:G100">
    <cfRule type="expression" dxfId="0" priority="39">
      <formula>NOT(ISERROR(SEARCH("Missing",E96)))</formula>
    </cfRule>
  </conditionalFormatting>
  <conditionalFormatting sqref="E121:G121">
    <cfRule type="expression" dxfId="0" priority="40">
      <formula>ISNUMBER(SEARCH("warning",$D$121))</formula>
    </cfRule>
  </conditionalFormatting>
  <conditionalFormatting sqref="E150:G151">
    <cfRule type="expression" dxfId="0" priority="41">
      <formula>NOT(ISERROR(SEARCH("Warning",E150)))</formula>
    </cfRule>
  </conditionalFormatting>
  <conditionalFormatting sqref="E150:G151">
    <cfRule type="expression" dxfId="0" priority="42">
      <formula>NOT(ISERROR(SEARCH("Inconsistent",E150)))</formula>
    </cfRule>
  </conditionalFormatting>
  <conditionalFormatting sqref="E150:G151">
    <cfRule type="expression" dxfId="0" priority="43">
      <formula>NOT(ISERROR(SEARCH("Missing",E150)))</formula>
    </cfRule>
  </conditionalFormatting>
  <conditionalFormatting sqref="E158:G158">
    <cfRule type="expression" dxfId="3" priority="44">
      <formula>NOT(ISERROR(SEARCH("Warning",E158)))</formula>
    </cfRule>
  </conditionalFormatting>
  <conditionalFormatting sqref="E158:G158">
    <cfRule type="expression" dxfId="3" priority="45">
      <formula>NOT(ISERROR(SEARCH("Inconsistent",E158)))</formula>
    </cfRule>
  </conditionalFormatting>
  <conditionalFormatting sqref="E158:G158">
    <cfRule type="expression" dxfId="3" priority="46">
      <formula>NOT(ISERROR(SEARCH("Missing",E158)))</formula>
    </cfRule>
  </conditionalFormatting>
  <conditionalFormatting sqref="A230:D230 E226:G228 H226:AM230">
    <cfRule type="expression" dxfId="0" priority="47">
      <formula>NOT(ISERROR(SEARCH("warning",A226)))</formula>
    </cfRule>
  </conditionalFormatting>
  <conditionalFormatting sqref="E226:G230">
    <cfRule type="expression" dxfId="0" priority="48">
      <formula>NOT(ISERROR(SEARCH("Warning",E226)))</formula>
    </cfRule>
  </conditionalFormatting>
  <conditionalFormatting sqref="E226:G230">
    <cfRule type="expression" dxfId="0" priority="49">
      <formula>NOT(ISERROR(SEARCH("Inconsistent",E226)))</formula>
    </cfRule>
  </conditionalFormatting>
  <conditionalFormatting sqref="E226:G230">
    <cfRule type="expression" dxfId="0" priority="50">
      <formula>NOT(ISERROR(SEARCH("Missing",E226)))</formula>
    </cfRule>
  </conditionalFormatting>
  <conditionalFormatting sqref="E252:G252">
    <cfRule type="expression" dxfId="0" priority="51">
      <formula>ISNUMBER(SEARCH("warning",$D$252))</formula>
    </cfRule>
  </conditionalFormatting>
  <conditionalFormatting sqref="E269:G270">
    <cfRule type="expression" dxfId="0" priority="52">
      <formula>NOT(ISERROR(SEARCH("warning",E269)))</formula>
    </cfRule>
  </conditionalFormatting>
  <conditionalFormatting sqref="E271:G271">
    <cfRule type="expression" dxfId="0" priority="53">
      <formula>ISNUMBER(SEARCH("warning",$D$252))</formula>
    </cfRule>
  </conditionalFormatting>
  <conditionalFormatting sqref="E285:G288">
    <cfRule type="expression" dxfId="0" priority="54">
      <formula>NOT(ISERROR(SEARCH("Warning",E285)))</formula>
    </cfRule>
  </conditionalFormatting>
  <conditionalFormatting sqref="E285:G288">
    <cfRule type="expression" dxfId="0" priority="55">
      <formula>NOT(ISERROR(SEARCH("Inconsistent",E285)))</formula>
    </cfRule>
  </conditionalFormatting>
  <conditionalFormatting sqref="E285:G288">
    <cfRule type="expression" dxfId="0" priority="56">
      <formula>NOT(ISERROR(SEARCH("Missing",E285)))</formula>
    </cfRule>
  </conditionalFormatting>
  <conditionalFormatting sqref="A237:AM237 E238:AH242 H239:AM242">
    <cfRule type="expression" dxfId="2" priority="57">
      <formula>NOT(ISERROR(SEARCH("warning",A237)))</formula>
    </cfRule>
  </conditionalFormatting>
  <conditionalFormatting sqref="E129:AM129">
    <cfRule type="expression" dxfId="0" priority="58">
      <formula>NOT(ISERROR(SEARCH("warning",E129)))</formula>
    </cfRule>
  </conditionalFormatting>
  <conditionalFormatting sqref="E260:AM260">
    <cfRule type="expression" dxfId="0" priority="59">
      <formula>NOT(ISERROR(SEARCH("warning",E260)))</formula>
    </cfRule>
  </conditionalFormatting>
  <conditionalFormatting sqref="F103">
    <cfRule type="expression" dxfId="0" priority="60">
      <formula>NOT(ISERROR(SEARCH("warning",F103)))</formula>
    </cfRule>
  </conditionalFormatting>
  <conditionalFormatting sqref="F107:F109">
    <cfRule type="expression" dxfId="0" priority="61">
      <formula>NOT(ISERROR(SEARCH("warning",F107)))</formula>
    </cfRule>
  </conditionalFormatting>
  <conditionalFormatting sqref="F197">
    <cfRule type="expression" dxfId="0" priority="62">
      <formula>NOT(ISERROR(SEARCH("Warning",F197)))</formula>
    </cfRule>
  </conditionalFormatting>
  <conditionalFormatting sqref="F197">
    <cfRule type="expression" dxfId="0" priority="63">
      <formula>NOT(ISERROR(SEARCH("Inconsistent",F197)))</formula>
    </cfRule>
  </conditionalFormatting>
  <conditionalFormatting sqref="F197">
    <cfRule type="expression" dxfId="0" priority="64">
      <formula>NOT(ISERROR(SEARCH("Missing",F197)))</formula>
    </cfRule>
  </conditionalFormatting>
  <conditionalFormatting sqref="F233:F235">
    <cfRule type="expression" dxfId="3" priority="65">
      <formula>NOT(ISERROR(SEARCH("warning",F233)))</formula>
    </cfRule>
  </conditionalFormatting>
  <conditionalFormatting sqref="F104:G104 G103">
    <cfRule type="expression" dxfId="0" priority="66">
      <formula>NOT(ISERROR(SEARCH("Warning",F103)))</formula>
    </cfRule>
  </conditionalFormatting>
  <conditionalFormatting sqref="F104:G104 G103">
    <cfRule type="expression" dxfId="0" priority="67">
      <formula>NOT(ISERROR(SEARCH("Inconsistent",F103)))</formula>
    </cfRule>
  </conditionalFormatting>
  <conditionalFormatting sqref="F104:G104 G103">
    <cfRule type="expression" dxfId="0" priority="68">
      <formula>NOT(ISERROR(SEARCH("Missing",F103)))</formula>
    </cfRule>
  </conditionalFormatting>
  <conditionalFormatting sqref="F110:G110 G107:G109">
    <cfRule type="expression" dxfId="0" priority="69">
      <formula>NOT(ISERROR(SEARCH("Warning",F107)))</formula>
    </cfRule>
  </conditionalFormatting>
  <conditionalFormatting sqref="F110:G110 G107:G109">
    <cfRule type="expression" dxfId="0" priority="70">
      <formula>NOT(ISERROR(SEARCH("Inconsistent",F107)))</formula>
    </cfRule>
  </conditionalFormatting>
  <conditionalFormatting sqref="F110:G110 G107:G109">
    <cfRule type="expression" dxfId="0" priority="71">
      <formula>NOT(ISERROR(SEARCH("Missing",F107)))</formula>
    </cfRule>
  </conditionalFormatting>
  <conditionalFormatting sqref="G149">
    <cfRule type="expression" dxfId="2" priority="72">
      <formula>NOT(ISERROR(SEARCH("Warning",G149)))</formula>
    </cfRule>
  </conditionalFormatting>
  <conditionalFormatting sqref="G149">
    <cfRule type="expression" dxfId="2" priority="73">
      <formula>NOT(ISERROR(SEARCH("Inconsistent",G149)))</formula>
    </cfRule>
  </conditionalFormatting>
  <conditionalFormatting sqref="G149">
    <cfRule type="expression" dxfId="2" priority="74">
      <formula>NOT(ISERROR(SEARCH("Missing",G149)))</formula>
    </cfRule>
  </conditionalFormatting>
  <conditionalFormatting sqref="F236:G236 G233:G235">
    <cfRule type="expression" dxfId="0" priority="75">
      <formula>NOT(ISERROR(SEARCH("Warning",F233)))</formula>
    </cfRule>
  </conditionalFormatting>
  <conditionalFormatting sqref="F236:G236 G233:G235">
    <cfRule type="expression" dxfId="0" priority="76">
      <formula>NOT(ISERROR(SEARCH("Inconsistent",F233)))</formula>
    </cfRule>
  </conditionalFormatting>
  <conditionalFormatting sqref="F236:G236 G233:G235">
    <cfRule type="expression" dxfId="0" priority="77">
      <formula>NOT(ISERROR(SEARCH("Missing",F233)))</formula>
    </cfRule>
  </conditionalFormatting>
  <conditionalFormatting sqref="G284">
    <cfRule type="expression" dxfId="0" priority="78">
      <formula>NOT(ISERROR(SEARCH("Warning",G284)))</formula>
    </cfRule>
  </conditionalFormatting>
  <conditionalFormatting sqref="G284">
    <cfRule type="expression" dxfId="0" priority="79">
      <formula>NOT(ISERROR(SEARCH("Inconsistent",G284)))</formula>
    </cfRule>
  </conditionalFormatting>
  <conditionalFormatting sqref="G284">
    <cfRule type="expression" dxfId="0" priority="80">
      <formula>NOT(ISERROR(SEARCH("Missing",G284)))</formula>
    </cfRule>
  </conditionalFormatting>
  <conditionalFormatting sqref="H272:V273">
    <cfRule type="expression" dxfId="0" priority="81">
      <formula>AND(COUNTA(H$253:H$256)&gt;0,ABS(100%-SUM(H$253:H$256))&gt;10^-4)</formula>
    </cfRule>
  </conditionalFormatting>
  <conditionalFormatting sqref="H111:AH116 H128:AH129">
    <cfRule type="expression" dxfId="0" priority="82">
      <formula>AND(ISBLANK(H$161)=FALSE(),COUNTA(H$162:H$165)&gt;0,ABS(H$161-SUM(H$162:H$165))/H$161&gt;10^-3)</formula>
    </cfRule>
  </conditionalFormatting>
  <conditionalFormatting sqref="H122:AH125">
    <cfRule type="expression" dxfId="0" priority="83">
      <formula>AND(COUNTA(H$122:H$125)&gt;0,ABS(100%-SUM(H$122:H$125))&gt;10^-4)</formula>
    </cfRule>
  </conditionalFormatting>
  <conditionalFormatting sqref="H148:AH151">
    <cfRule type="expression" dxfId="0" priority="84">
      <formula>AND(ISBLANK(H$161)=FALSE(),COUNTA(H$162:H$165)&gt;0,ABS(H$161-SUM(H$162:H$165))/H$161&gt;10^-3)</formula>
    </cfRule>
  </conditionalFormatting>
  <conditionalFormatting sqref="H157:AH158">
    <cfRule type="expression" dxfId="3" priority="85">
      <formula>AND(ISBLANK(H$161)=FALSE(),COUNTA(H$162:H$165)&gt;0,ABS(H$161-SUM(H$162:H$165))/H$161&gt;10^-3)</formula>
    </cfRule>
  </conditionalFormatting>
  <conditionalFormatting sqref="H161:AH171">
    <cfRule type="expression" dxfId="0" priority="86">
      <formula>AND(ISBLANK(H$161)=FALSE(),COUNTA(H$162:H$165)&gt;0,ABS(H$161-SUM(H$162:H$165))/H$161&gt;10^-3)</formula>
    </cfRule>
  </conditionalFormatting>
  <conditionalFormatting sqref="H239:AH242">
    <cfRule type="expression" dxfId="1" priority="87">
      <formula>AND(ISBLANK(H$161)=FALSE(),COUNTA(H$162:H$165)&gt;0,ABS(H$161-SUM(H$162:H$165))/H$161&gt;10^-3)</formula>
    </cfRule>
  </conditionalFormatting>
  <conditionalFormatting sqref="H243:AH248">
    <cfRule type="expression" dxfId="2" priority="88">
      <formula>AND(ISBLANK(H$161)=FALSE(),COUNTA(H$162:H$165)&gt;0,ABS(H$161-SUM(H$162:H$165))/H$161&gt;10^-3)</formula>
    </cfRule>
  </conditionalFormatting>
  <conditionalFormatting sqref="H253:AH256">
    <cfRule type="expression" dxfId="0" priority="89">
      <formula>AND(COUNTA(H$253:H$256)&gt;0,ABS(100%-SUM(H$253:H$256))&gt;10^-4)</formula>
    </cfRule>
  </conditionalFormatting>
  <conditionalFormatting sqref="H259:AH260">
    <cfRule type="expression" dxfId="1" priority="90">
      <formula>AND(ISBLANK(H$161)=FALSE(),COUNTA(H$162:H$165)&gt;0,ABS(H$161-SUM(H$162:H$165))/H$161&gt;10^-3)</formula>
    </cfRule>
  </conditionalFormatting>
  <conditionalFormatting sqref="H283:AH288">
    <cfRule type="expression" dxfId="0" priority="91">
      <formula>AND(ISBLANK(H$161)=FALSE(),COUNTA(H$162:H$165)&gt;0,ABS(H$161-SUM(H$162:H$165))/H$161&gt;10^-3)</formula>
    </cfRule>
  </conditionalFormatting>
  <conditionalFormatting sqref="H291:AH301">
    <cfRule type="expression" dxfId="0" priority="92">
      <formula>AND(ISBLANK(H$291)=FALSE(),COUNTA(H$292:H$295)&gt;0,ABS(H$291-SUM(H$292:H$295))/H$291&gt;10^-3)</formula>
    </cfRule>
  </conditionalFormatting>
  <conditionalFormatting sqref="H312:AH316 AB313:AB317">
    <cfRule type="expression" dxfId="2" priority="93">
      <formula>AND(ISBLANK(H$312)=FALSE(),COUNTA(H$313,H$314:H$316)&gt;0,ABS(H$312-H$313-SUM(H$314:H$316))/H$312&gt;10^-3)</formula>
    </cfRule>
  </conditionalFormatting>
  <conditionalFormatting sqref="H270:AI270">
    <cfRule type="expression" dxfId="0" priority="94">
      <formula>NOT(ISERROR(SEARCH("warning",H270)))</formula>
    </cfRule>
  </conditionalFormatting>
  <conditionalFormatting sqref="H103:AM104">
    <cfRule type="expression" dxfId="0" priority="95">
      <formula>NOT(ISERROR(SEARCH("warning",H103)))</formula>
    </cfRule>
  </conditionalFormatting>
  <conditionalFormatting sqref="H107:AM110">
    <cfRule type="expression" dxfId="0" priority="96">
      <formula>NOT(ISERROR(SEARCH("warning",H107)))</formula>
    </cfRule>
  </conditionalFormatting>
  <conditionalFormatting sqref="H149:AM151">
    <cfRule type="expression" dxfId="0" priority="97">
      <formula>NOT(ISERROR(SEARCH("warning",H149)))</formula>
    </cfRule>
  </conditionalFormatting>
  <conditionalFormatting sqref="H158:AM158">
    <cfRule type="expression" dxfId="3" priority="98">
      <formula>NOT(ISERROR(SEARCH("warning",H158)))</formula>
    </cfRule>
  </conditionalFormatting>
  <conditionalFormatting sqref="H233:AM236">
    <cfRule type="expression" dxfId="3" priority="99">
      <formula>NOT(ISERROR(SEARCH("warning",H233)))</formula>
    </cfRule>
  </conditionalFormatting>
  <conditionalFormatting sqref="H284:AM288">
    <cfRule type="expression" dxfId="0" priority="100">
      <formula>NOT(ISERROR(SEARCH("warning",H284)))</formula>
    </cfRule>
  </conditionalFormatting>
  <conditionalFormatting sqref="H330:AM362 H364:AM364">
    <cfRule type="colorScale" priority="101">
      <colorScale>
        <cfvo type="formula" val="0"/>
        <cfvo type="formula" val="0.5"/>
        <cfvo type="formula" val="1"/>
        <color rgb="FFFF9999"/>
        <color rgb="FFFFF2CC"/>
        <color rgb="FF91EF98"/>
      </colorScale>
    </cfRule>
  </conditionalFormatting>
  <conditionalFormatting sqref="W272:AH273">
    <cfRule type="expression" dxfId="0" priority="102">
      <formula>AND(COUNTA(W$253:W$256)&gt;0,ABS(100%-SUM(W$253:W$256))&gt;10^-4)</formula>
    </cfRule>
  </conditionalFormatting>
  <conditionalFormatting sqref="AB161">
    <cfRule type="expression" dxfId="0" priority="103">
      <formula>AND(ISBLANK(AB$291)=FALSE(),COUNTA(AB$292:AB$295)&gt;0,ABS(AB$291-SUM(AB$292:AB$295))/AB$291&gt;10^-3)</formula>
    </cfRule>
  </conditionalFormatting>
  <conditionalFormatting sqref="AJ130:AM133">
    <cfRule type="expression" dxfId="0" priority="104">
      <formula>NOT(ISERROR(SEARCH("warning",AJ130)))</formula>
    </cfRule>
  </conditionalFormatting>
  <conditionalFormatting sqref="AJ261:AM264">
    <cfRule type="expression" dxfId="0" priority="105">
      <formula>NOT(ISERROR(SEARCH("warning",AJ261)))</formula>
    </cfRule>
  </conditionalFormatting>
  <printOptions/>
  <pageMargins bottom="0.75" footer="0.0" header="0.0" left="0.7" right="0.7" top="0.75"/>
  <pageSetup paperSize="9" orientation="portrait"/>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4D2F2"/>
    <pageSetUpPr/>
  </sheetPr>
  <sheetViews>
    <sheetView showGridLines="0" workbookViewId="0">
      <pane ySplit="1.0" topLeftCell="A2" activePane="bottomLeft" state="frozen"/>
      <selection activeCell="B3" sqref="B3" pane="bottomLeft"/>
    </sheetView>
  </sheetViews>
  <sheetFormatPr customHeight="1" defaultColWidth="14.43" defaultRowHeight="15.0" outlineLevelCol="1" outlineLevelRow="5"/>
  <cols>
    <col customWidth="1" min="1" max="4" width="2.43"/>
    <col customWidth="1" min="5" max="5" width="78.43"/>
    <col customWidth="1" min="6" max="7" width="17.43"/>
    <col customWidth="1" hidden="1" min="8" max="22" width="11.57" outlineLevel="1"/>
    <col customWidth="1" min="23" max="23" width="10.57"/>
    <col customWidth="1" hidden="1" min="24" max="27" width="11.57" outlineLevel="1"/>
    <col customWidth="1" min="28" max="34" width="10.57"/>
    <col customWidth="1" min="35" max="35" width="52.43"/>
  </cols>
  <sheetData>
    <row r="1" ht="14.25" customHeight="1">
      <c r="A1" s="309" t="s">
        <v>49</v>
      </c>
      <c r="B1" s="22"/>
      <c r="C1" s="22"/>
      <c r="D1" s="22"/>
      <c r="E1" s="23"/>
      <c r="F1" s="62" t="s">
        <v>50</v>
      </c>
      <c r="G1" s="62" t="s">
        <v>51</v>
      </c>
      <c r="H1" s="62">
        <v>2000.0</v>
      </c>
      <c r="I1" s="62">
        <v>2001.0</v>
      </c>
      <c r="J1" s="62">
        <v>2002.0</v>
      </c>
      <c r="K1" s="62">
        <v>2003.0</v>
      </c>
      <c r="L1" s="62">
        <v>2004.0</v>
      </c>
      <c r="M1" s="62">
        <v>2005.0</v>
      </c>
      <c r="N1" s="62">
        <v>2006.0</v>
      </c>
      <c r="O1" s="62">
        <v>2007.0</v>
      </c>
      <c r="P1" s="62">
        <v>2008.0</v>
      </c>
      <c r="Q1" s="62">
        <v>2009.0</v>
      </c>
      <c r="R1" s="62">
        <v>2010.0</v>
      </c>
      <c r="S1" s="62">
        <v>2011.0</v>
      </c>
      <c r="T1" s="62">
        <v>2012.0</v>
      </c>
      <c r="U1" s="62">
        <v>2013.0</v>
      </c>
      <c r="V1" s="62">
        <v>2014.0</v>
      </c>
      <c r="W1" s="62">
        <f>ReferenceYear</f>
        <v>2015</v>
      </c>
      <c r="X1" s="62">
        <v>2016.0</v>
      </c>
      <c r="Y1" s="62">
        <v>2017.0</v>
      </c>
      <c r="Z1" s="62">
        <v>2018.0</v>
      </c>
      <c r="AA1" s="62">
        <v>2019.0</v>
      </c>
      <c r="AB1" s="62">
        <f>IFERROR(IF(W1+5&lt;=TargetYear,W1+5,""),"")</f>
        <v>2020</v>
      </c>
      <c r="AC1" s="62">
        <f>IFERROR(IF(AB1+5&lt;=TargetYear,AB1+5,""),"")</f>
        <v>2025</v>
      </c>
      <c r="AD1" s="62">
        <f>IFERROR(IF(AC1+5&lt;=TargetYear,AC1+5,""),"")</f>
        <v>2030</v>
      </c>
      <c r="AE1" s="62">
        <f>IFERROR(IF(AD1+5&lt;=TargetYear,AD1+5,""),"")</f>
        <v>2035</v>
      </c>
      <c r="AF1" s="62">
        <f>IFERROR(IF(AE1+5&lt;=TargetYear,AE1+5,""),"")</f>
        <v>2040</v>
      </c>
      <c r="AG1" s="62">
        <f>IFERROR(IF(AF1+5&lt;=TargetYear,AF1+5,""),"")</f>
        <v>2045</v>
      </c>
      <c r="AH1" s="62">
        <f>IFERROR(IF(AG1+5&lt;=TargetYear,AG1+5,""),"")</f>
        <v>2050</v>
      </c>
      <c r="AI1" s="62" t="s">
        <v>640</v>
      </c>
    </row>
    <row r="2" ht="14.25" customHeight="1">
      <c r="A2" s="438" t="s">
        <v>252</v>
      </c>
      <c r="B2" s="221"/>
      <c r="C2" s="221"/>
      <c r="D2" s="221"/>
      <c r="E2" s="221"/>
      <c r="F2" s="221"/>
      <c r="G2" s="221"/>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221"/>
    </row>
    <row r="3" ht="9.75" customHeight="1">
      <c r="A3" s="167"/>
      <c r="B3" s="167"/>
      <c r="C3" s="167"/>
      <c r="D3" s="167"/>
      <c r="E3" s="167"/>
      <c r="F3" s="168"/>
      <c r="G3" s="168"/>
      <c r="H3" s="169"/>
      <c r="I3" s="169"/>
      <c r="J3" s="169"/>
      <c r="K3" s="169"/>
      <c r="L3" s="169"/>
      <c r="M3" s="169"/>
      <c r="N3" s="169"/>
      <c r="O3" s="169"/>
      <c r="P3" s="169"/>
      <c r="Q3" s="169"/>
      <c r="R3" s="169"/>
      <c r="S3" s="169"/>
      <c r="T3" s="169"/>
      <c r="U3" s="169"/>
      <c r="V3" s="169"/>
      <c r="W3" s="169"/>
      <c r="X3" s="169"/>
      <c r="Y3" s="169"/>
      <c r="Z3" s="169"/>
      <c r="AA3" s="169"/>
      <c r="AB3" s="169"/>
      <c r="AC3" s="169"/>
      <c r="AD3" s="169"/>
      <c r="AE3" s="169"/>
      <c r="AF3" s="169"/>
      <c r="AG3" s="169"/>
      <c r="AH3" s="169"/>
      <c r="AI3" s="167"/>
    </row>
    <row r="4" ht="14.25" customHeight="1" outlineLevel="2">
      <c r="A4" s="439" t="s">
        <v>1773</v>
      </c>
      <c r="B4" s="393"/>
      <c r="C4" s="394"/>
      <c r="D4" s="394"/>
      <c r="E4" s="162"/>
      <c r="F4" s="162"/>
      <c r="G4" s="178"/>
      <c r="H4" s="178"/>
      <c r="I4" s="178"/>
      <c r="J4" s="178"/>
      <c r="K4" s="178"/>
      <c r="L4" s="178"/>
      <c r="M4" s="178"/>
      <c r="N4" s="178"/>
      <c r="O4" s="178"/>
      <c r="P4" s="178"/>
      <c r="Q4" s="178"/>
      <c r="R4" s="178"/>
      <c r="S4" s="178"/>
      <c r="T4" s="178"/>
      <c r="U4" s="178"/>
      <c r="V4" s="178"/>
      <c r="W4" s="178"/>
      <c r="X4" s="178"/>
      <c r="Y4" s="178"/>
      <c r="Z4" s="178"/>
      <c r="AA4" s="178"/>
      <c r="AB4" s="178"/>
      <c r="AC4" s="178"/>
      <c r="AD4" s="178"/>
      <c r="AE4" s="178"/>
      <c r="AF4" s="178"/>
      <c r="AG4" s="178"/>
      <c r="AH4" s="178"/>
      <c r="AI4" s="271"/>
    </row>
    <row r="5" ht="14.25" customHeight="1" outlineLevel="4">
      <c r="A5" s="439"/>
      <c r="B5" s="393" t="s">
        <v>1774</v>
      </c>
      <c r="C5" s="393"/>
      <c r="D5" s="394"/>
      <c r="E5" s="393"/>
      <c r="F5" s="162"/>
      <c r="G5" s="162"/>
      <c r="H5" s="178"/>
      <c r="I5" s="178"/>
      <c r="J5" s="178"/>
      <c r="K5" s="178"/>
      <c r="L5" s="178"/>
      <c r="M5" s="178"/>
      <c r="N5" s="178"/>
      <c r="O5" s="178"/>
      <c r="P5" s="178"/>
      <c r="Q5" s="178"/>
      <c r="R5" s="178"/>
      <c r="S5" s="178"/>
      <c r="T5" s="178"/>
      <c r="U5" s="178"/>
      <c r="V5" s="178"/>
      <c r="W5" s="178"/>
      <c r="X5" s="178"/>
      <c r="Y5" s="178"/>
      <c r="Z5" s="178"/>
      <c r="AA5" s="178"/>
      <c r="AB5" s="178"/>
      <c r="AC5" s="178"/>
      <c r="AD5" s="178"/>
      <c r="AE5" s="178"/>
      <c r="AF5" s="178"/>
      <c r="AG5" s="178"/>
      <c r="AH5" s="178"/>
      <c r="AI5" s="271"/>
    </row>
    <row r="6" ht="14.25" customHeight="1" outlineLevel="5">
      <c r="A6" s="439"/>
      <c r="B6" s="394"/>
      <c r="C6" s="393"/>
      <c r="D6" s="394"/>
      <c r="E6" s="413" t="s">
        <v>1775</v>
      </c>
      <c r="F6" s="249" t="s">
        <v>1776</v>
      </c>
      <c r="G6" s="249"/>
      <c r="H6" s="440">
        <v>47.1</v>
      </c>
      <c r="I6" s="290" t="s">
        <v>1777</v>
      </c>
      <c r="J6" s="178"/>
      <c r="K6" s="178"/>
      <c r="L6" s="178"/>
      <c r="M6" s="178"/>
      <c r="N6" s="178"/>
      <c r="O6" s="178"/>
      <c r="P6" s="178"/>
      <c r="Q6" s="178"/>
      <c r="R6" s="178"/>
      <c r="S6" s="178"/>
      <c r="T6" s="178"/>
      <c r="U6" s="178"/>
      <c r="V6" s="178"/>
      <c r="W6" s="178"/>
      <c r="X6" s="178"/>
      <c r="Y6" s="178"/>
      <c r="Z6" s="178"/>
      <c r="AA6" s="178"/>
      <c r="AB6" s="178"/>
      <c r="AC6" s="178"/>
      <c r="AD6" s="178"/>
      <c r="AE6" s="178"/>
      <c r="AF6" s="178"/>
      <c r="AG6" s="178"/>
      <c r="AH6" s="178"/>
      <c r="AI6" s="271"/>
    </row>
    <row r="7" ht="14.25" customHeight="1" outlineLevel="5">
      <c r="A7" s="439"/>
      <c r="B7" s="394"/>
      <c r="C7" s="393"/>
      <c r="D7" s="394"/>
      <c r="E7" s="413" t="s">
        <v>1778</v>
      </c>
      <c r="F7" s="249" t="s">
        <v>1776</v>
      </c>
      <c r="G7" s="249"/>
      <c r="H7" s="440">
        <v>44.75</v>
      </c>
      <c r="I7" s="290" t="s">
        <v>1777</v>
      </c>
      <c r="J7" s="178"/>
      <c r="K7" s="178"/>
      <c r="L7" s="178"/>
      <c r="M7" s="178"/>
      <c r="N7" s="178"/>
      <c r="O7" s="178"/>
      <c r="P7" s="178"/>
      <c r="Q7" s="178"/>
      <c r="R7" s="178"/>
      <c r="S7" s="178"/>
      <c r="T7" s="178"/>
      <c r="U7" s="178"/>
      <c r="V7" s="178"/>
      <c r="W7" s="178"/>
      <c r="X7" s="178"/>
      <c r="Y7" s="178"/>
      <c r="Z7" s="178"/>
      <c r="AA7" s="178"/>
      <c r="AB7" s="178"/>
      <c r="AC7" s="178"/>
      <c r="AD7" s="178"/>
      <c r="AE7" s="178"/>
      <c r="AF7" s="178"/>
      <c r="AG7" s="178"/>
      <c r="AH7" s="178"/>
      <c r="AI7" s="271"/>
    </row>
    <row r="8" ht="14.25" customHeight="1" outlineLevel="5">
      <c r="A8" s="439"/>
      <c r="B8" s="394"/>
      <c r="C8" s="393"/>
      <c r="D8" s="394"/>
      <c r="E8" s="413" t="s">
        <v>1779</v>
      </c>
      <c r="F8" s="249" t="s">
        <v>1780</v>
      </c>
      <c r="G8" s="249"/>
      <c r="H8" s="441">
        <v>740.7</v>
      </c>
      <c r="I8" s="290" t="s">
        <v>1777</v>
      </c>
      <c r="J8" s="178"/>
      <c r="K8" s="178"/>
      <c r="L8" s="178"/>
      <c r="M8" s="178"/>
      <c r="N8" s="178"/>
      <c r="O8" s="178"/>
      <c r="P8" s="178"/>
      <c r="Q8" s="178"/>
      <c r="R8" s="178"/>
      <c r="S8" s="178"/>
      <c r="T8" s="178"/>
      <c r="U8" s="178"/>
      <c r="V8" s="178"/>
      <c r="W8" s="178"/>
      <c r="X8" s="178"/>
      <c r="Y8" s="178"/>
      <c r="Z8" s="178"/>
      <c r="AA8" s="178"/>
      <c r="AB8" s="178"/>
      <c r="AC8" s="178"/>
      <c r="AD8" s="178"/>
      <c r="AE8" s="178"/>
      <c r="AF8" s="178"/>
      <c r="AG8" s="178"/>
      <c r="AH8" s="178"/>
      <c r="AI8" s="271"/>
    </row>
    <row r="9" ht="14.25" customHeight="1" outlineLevel="5">
      <c r="A9" s="439"/>
      <c r="B9" s="394"/>
      <c r="C9" s="393"/>
      <c r="D9" s="394"/>
      <c r="E9" s="413" t="s">
        <v>1781</v>
      </c>
      <c r="F9" s="249" t="s">
        <v>1782</v>
      </c>
      <c r="G9" s="249" t="s">
        <v>1783</v>
      </c>
      <c r="H9" s="442">
        <f>$H$6*($H$8/k)/3.6</f>
        <v>9.690825</v>
      </c>
      <c r="I9" s="178"/>
      <c r="J9" s="178"/>
      <c r="K9" s="178"/>
      <c r="L9" s="178"/>
      <c r="M9" s="178"/>
      <c r="N9" s="178"/>
      <c r="O9" s="178"/>
      <c r="P9" s="178"/>
      <c r="Q9" s="178"/>
      <c r="R9" s="178"/>
      <c r="S9" s="178"/>
      <c r="T9" s="178"/>
      <c r="U9" s="178"/>
      <c r="V9" s="178"/>
      <c r="W9" s="178"/>
      <c r="X9" s="178"/>
      <c r="Y9" s="178"/>
      <c r="Z9" s="178"/>
      <c r="AA9" s="178"/>
      <c r="AB9" s="178"/>
      <c r="AC9" s="178"/>
      <c r="AD9" s="178"/>
      <c r="AE9" s="178"/>
      <c r="AF9" s="178"/>
      <c r="AG9" s="178"/>
      <c r="AH9" s="178"/>
      <c r="AI9" s="271"/>
    </row>
    <row r="10" ht="14.25" customHeight="1" outlineLevel="5">
      <c r="A10" s="439"/>
      <c r="B10" s="394"/>
      <c r="C10" s="393"/>
      <c r="D10" s="394"/>
      <c r="E10" s="412" t="s">
        <v>1784</v>
      </c>
      <c r="F10" s="123" t="s">
        <v>1782</v>
      </c>
      <c r="G10" s="123" t="s">
        <v>1785</v>
      </c>
      <c r="H10" s="442">
        <f>$H$7*($H$8/k)/3.6</f>
        <v>9.2073125</v>
      </c>
      <c r="I10" s="178"/>
      <c r="J10" s="178"/>
      <c r="K10" s="178"/>
      <c r="L10" s="178"/>
      <c r="M10" s="178"/>
      <c r="N10" s="178"/>
      <c r="O10" s="178"/>
      <c r="P10" s="178"/>
      <c r="Q10" s="178"/>
      <c r="R10" s="178"/>
      <c r="S10" s="178"/>
      <c r="T10" s="178"/>
      <c r="U10" s="178"/>
      <c r="V10" s="178"/>
      <c r="W10" s="178"/>
      <c r="X10" s="178"/>
      <c r="Y10" s="178"/>
      <c r="Z10" s="178"/>
      <c r="AA10" s="178"/>
      <c r="AB10" s="178"/>
      <c r="AC10" s="178"/>
      <c r="AD10" s="178"/>
      <c r="AE10" s="178"/>
      <c r="AF10" s="178"/>
      <c r="AG10" s="178"/>
      <c r="AH10" s="178"/>
      <c r="AI10" s="271"/>
    </row>
    <row r="11" ht="14.25" customHeight="1" outlineLevel="4">
      <c r="A11" s="439"/>
      <c r="B11" s="393" t="s">
        <v>1786</v>
      </c>
      <c r="C11" s="393"/>
      <c r="D11" s="394"/>
      <c r="E11" s="393"/>
      <c r="F11" s="162"/>
      <c r="G11" s="162"/>
      <c r="H11" s="178"/>
      <c r="I11" s="178"/>
      <c r="J11" s="178"/>
      <c r="K11" s="178"/>
      <c r="L11" s="178"/>
      <c r="M11" s="178"/>
      <c r="N11" s="178"/>
      <c r="O11" s="178"/>
      <c r="P11" s="178"/>
      <c r="Q11" s="178"/>
      <c r="R11" s="178"/>
      <c r="S11" s="178"/>
      <c r="T11" s="178"/>
      <c r="U11" s="178"/>
      <c r="V11" s="178"/>
      <c r="W11" s="178"/>
      <c r="X11" s="178"/>
      <c r="Y11" s="178"/>
      <c r="Z11" s="178"/>
      <c r="AA11" s="178"/>
      <c r="AB11" s="178"/>
      <c r="AC11" s="178"/>
      <c r="AD11" s="178"/>
      <c r="AE11" s="178"/>
      <c r="AF11" s="178"/>
      <c r="AG11" s="178"/>
      <c r="AH11" s="178"/>
      <c r="AI11" s="271"/>
    </row>
    <row r="12" ht="14.25" customHeight="1" outlineLevel="5">
      <c r="A12" s="439"/>
      <c r="B12" s="394"/>
      <c r="C12" s="393"/>
      <c r="D12" s="394"/>
      <c r="E12" s="413" t="s">
        <v>1787</v>
      </c>
      <c r="F12" s="249" t="s">
        <v>1776</v>
      </c>
      <c r="G12" s="249"/>
      <c r="H12" s="440">
        <v>45.66</v>
      </c>
      <c r="I12" s="290" t="s">
        <v>1777</v>
      </c>
      <c r="J12" s="178"/>
      <c r="K12" s="178"/>
      <c r="L12" s="178"/>
      <c r="M12" s="178"/>
      <c r="N12" s="178"/>
      <c r="O12" s="178"/>
      <c r="P12" s="178"/>
      <c r="Q12" s="178"/>
      <c r="R12" s="178"/>
      <c r="S12" s="178"/>
      <c r="T12" s="178"/>
      <c r="U12" s="178"/>
      <c r="V12" s="178"/>
      <c r="W12" s="178"/>
      <c r="X12" s="178"/>
      <c r="Y12" s="178"/>
      <c r="Z12" s="178"/>
      <c r="AA12" s="178"/>
      <c r="AB12" s="178"/>
      <c r="AC12" s="178"/>
      <c r="AD12" s="178"/>
      <c r="AE12" s="178"/>
      <c r="AF12" s="178"/>
      <c r="AG12" s="178"/>
      <c r="AH12" s="178"/>
      <c r="AI12" s="271"/>
    </row>
    <row r="13" ht="14.25" customHeight="1" outlineLevel="5">
      <c r="A13" s="439"/>
      <c r="B13" s="394"/>
      <c r="C13" s="393"/>
      <c r="D13" s="394"/>
      <c r="E13" s="413" t="s">
        <v>1788</v>
      </c>
      <c r="F13" s="249" t="s">
        <v>1776</v>
      </c>
      <c r="G13" s="249"/>
      <c r="H13" s="440">
        <v>43.38</v>
      </c>
      <c r="I13" s="290" t="s">
        <v>1777</v>
      </c>
      <c r="J13" s="178"/>
      <c r="K13" s="178"/>
      <c r="L13" s="178"/>
      <c r="M13" s="178"/>
      <c r="N13" s="178"/>
      <c r="O13" s="178"/>
      <c r="P13" s="178"/>
      <c r="Q13" s="178"/>
      <c r="R13" s="178"/>
      <c r="S13" s="178"/>
      <c r="T13" s="178"/>
      <c r="U13" s="178"/>
      <c r="V13" s="178"/>
      <c r="W13" s="178"/>
      <c r="X13" s="178"/>
      <c r="Y13" s="178"/>
      <c r="Z13" s="178"/>
      <c r="AA13" s="178"/>
      <c r="AB13" s="178"/>
      <c r="AC13" s="178"/>
      <c r="AD13" s="178"/>
      <c r="AE13" s="178"/>
      <c r="AF13" s="178"/>
      <c r="AG13" s="178"/>
      <c r="AH13" s="178"/>
      <c r="AI13" s="271"/>
    </row>
    <row r="14" ht="14.25" customHeight="1" outlineLevel="5">
      <c r="A14" s="439"/>
      <c r="B14" s="394"/>
      <c r="C14" s="393"/>
      <c r="D14" s="394"/>
      <c r="E14" s="413" t="s">
        <v>1789</v>
      </c>
      <c r="F14" s="249" t="s">
        <v>1780</v>
      </c>
      <c r="G14" s="249"/>
      <c r="H14" s="441">
        <v>843.9</v>
      </c>
      <c r="I14" s="290" t="s">
        <v>1777</v>
      </c>
      <c r="J14" s="178"/>
      <c r="K14" s="178"/>
      <c r="L14" s="178"/>
      <c r="M14" s="178"/>
      <c r="N14" s="178"/>
      <c r="O14" s="178"/>
      <c r="P14" s="178"/>
      <c r="Q14" s="178"/>
      <c r="R14" s="178"/>
      <c r="S14" s="178"/>
      <c r="T14" s="178"/>
      <c r="U14" s="178"/>
      <c r="V14" s="178"/>
      <c r="W14" s="178"/>
      <c r="X14" s="178"/>
      <c r="Y14" s="178"/>
      <c r="Z14" s="178"/>
      <c r="AA14" s="178"/>
      <c r="AB14" s="178"/>
      <c r="AC14" s="178"/>
      <c r="AD14" s="178"/>
      <c r="AE14" s="178"/>
      <c r="AF14" s="178"/>
      <c r="AG14" s="178"/>
      <c r="AH14" s="178"/>
      <c r="AI14" s="271"/>
    </row>
    <row r="15" ht="14.25" customHeight="1" outlineLevel="5">
      <c r="A15" s="439"/>
      <c r="B15" s="394"/>
      <c r="C15" s="393"/>
      <c r="D15" s="394"/>
      <c r="E15" s="413" t="s">
        <v>1790</v>
      </c>
      <c r="F15" s="249" t="s">
        <v>1782</v>
      </c>
      <c r="G15" s="249" t="s">
        <v>1791</v>
      </c>
      <c r="H15" s="442">
        <f>$H$12*($H$14/k)/3.6</f>
        <v>10.703465</v>
      </c>
      <c r="I15" s="178"/>
      <c r="J15" s="178"/>
      <c r="K15" s="178"/>
      <c r="L15" s="178"/>
      <c r="M15" s="178"/>
      <c r="N15" s="178"/>
      <c r="O15" s="178"/>
      <c r="P15" s="178"/>
      <c r="Q15" s="178"/>
      <c r="R15" s="178"/>
      <c r="S15" s="178"/>
      <c r="T15" s="178"/>
      <c r="U15" s="178"/>
      <c r="V15" s="178"/>
      <c r="W15" s="178"/>
      <c r="X15" s="178"/>
      <c r="Y15" s="178"/>
      <c r="Z15" s="178"/>
      <c r="AA15" s="178"/>
      <c r="AB15" s="178"/>
      <c r="AC15" s="178"/>
      <c r="AD15" s="178"/>
      <c r="AE15" s="178"/>
      <c r="AF15" s="178"/>
      <c r="AG15" s="178"/>
      <c r="AH15" s="178"/>
      <c r="AI15" s="271"/>
    </row>
    <row r="16" ht="14.25" customHeight="1" outlineLevel="5">
      <c r="A16" s="439"/>
      <c r="B16" s="394"/>
      <c r="C16" s="393"/>
      <c r="D16" s="394"/>
      <c r="E16" s="412" t="s">
        <v>1792</v>
      </c>
      <c r="F16" s="123" t="s">
        <v>1782</v>
      </c>
      <c r="G16" s="123" t="s">
        <v>1793</v>
      </c>
      <c r="H16" s="442">
        <f>$H$13*($H$14/k)/3.6</f>
        <v>10.168995</v>
      </c>
      <c r="I16" s="178"/>
      <c r="J16" s="178"/>
      <c r="K16" s="178"/>
      <c r="L16" s="178"/>
      <c r="M16" s="178"/>
      <c r="N16" s="178"/>
      <c r="O16" s="178"/>
      <c r="P16" s="178"/>
      <c r="Q16" s="178"/>
      <c r="R16" s="178"/>
      <c r="S16" s="178"/>
      <c r="T16" s="178"/>
      <c r="U16" s="178"/>
      <c r="V16" s="178"/>
      <c r="W16" s="178"/>
      <c r="X16" s="178"/>
      <c r="Y16" s="178"/>
      <c r="Z16" s="178"/>
      <c r="AA16" s="178"/>
      <c r="AB16" s="178"/>
      <c r="AC16" s="178"/>
      <c r="AD16" s="178"/>
      <c r="AE16" s="178"/>
      <c r="AF16" s="178"/>
      <c r="AG16" s="178"/>
      <c r="AH16" s="178"/>
      <c r="AI16" s="271"/>
    </row>
    <row r="17" ht="14.25" customHeight="1" outlineLevel="4">
      <c r="A17" s="439"/>
      <c r="B17" s="393" t="s">
        <v>1794</v>
      </c>
      <c r="C17" s="393"/>
      <c r="D17" s="394"/>
      <c r="E17" s="393"/>
      <c r="F17" s="162"/>
      <c r="G17" s="162"/>
      <c r="H17" s="178"/>
      <c r="I17" s="178"/>
      <c r="J17" s="178"/>
      <c r="K17" s="178"/>
      <c r="L17" s="178"/>
      <c r="M17" s="178"/>
      <c r="N17" s="178"/>
      <c r="O17" s="178"/>
      <c r="P17" s="178"/>
      <c r="Q17" s="178"/>
      <c r="R17" s="178"/>
      <c r="S17" s="178"/>
      <c r="T17" s="178"/>
      <c r="U17" s="178"/>
      <c r="V17" s="178"/>
      <c r="W17" s="178"/>
      <c r="X17" s="178"/>
      <c r="Y17" s="178"/>
      <c r="Z17" s="178"/>
      <c r="AA17" s="178"/>
      <c r="AB17" s="178"/>
      <c r="AC17" s="178"/>
      <c r="AD17" s="178"/>
      <c r="AE17" s="178"/>
      <c r="AF17" s="178"/>
      <c r="AG17" s="178"/>
      <c r="AH17" s="178"/>
      <c r="AI17" s="271"/>
    </row>
    <row r="18" ht="14.25" customHeight="1" outlineLevel="5">
      <c r="A18" s="439"/>
      <c r="B18" s="394"/>
      <c r="C18" s="393"/>
      <c r="D18" s="394"/>
      <c r="E18" s="413" t="s">
        <v>1795</v>
      </c>
      <c r="F18" s="249" t="s">
        <v>1776</v>
      </c>
      <c r="G18" s="249"/>
      <c r="H18" s="440">
        <f t="shared" ref="H18:H20" si="1">AVERAGE(H6,H12)</f>
        <v>46.38</v>
      </c>
      <c r="I18" s="178"/>
      <c r="J18" s="178"/>
      <c r="K18" s="178"/>
      <c r="L18" s="178"/>
      <c r="M18" s="178"/>
      <c r="N18" s="178"/>
      <c r="O18" s="178"/>
      <c r="P18" s="178"/>
      <c r="Q18" s="178"/>
      <c r="R18" s="178"/>
      <c r="S18" s="178"/>
      <c r="T18" s="178"/>
      <c r="U18" s="178"/>
      <c r="V18" s="178"/>
      <c r="W18" s="178"/>
      <c r="X18" s="178"/>
      <c r="Y18" s="178"/>
      <c r="Z18" s="178"/>
      <c r="AA18" s="178"/>
      <c r="AB18" s="178"/>
      <c r="AC18" s="178"/>
      <c r="AD18" s="178"/>
      <c r="AE18" s="178"/>
      <c r="AF18" s="178"/>
      <c r="AG18" s="178"/>
      <c r="AH18" s="178"/>
      <c r="AI18" s="271"/>
    </row>
    <row r="19" ht="14.25" customHeight="1" outlineLevel="5">
      <c r="A19" s="439"/>
      <c r="B19" s="394"/>
      <c r="C19" s="393"/>
      <c r="D19" s="394"/>
      <c r="E19" s="413" t="s">
        <v>1796</v>
      </c>
      <c r="F19" s="249" t="s">
        <v>1776</v>
      </c>
      <c r="G19" s="249"/>
      <c r="H19" s="440">
        <f t="shared" si="1"/>
        <v>44.065</v>
      </c>
      <c r="I19" s="178"/>
      <c r="J19" s="178"/>
      <c r="K19" s="178"/>
      <c r="L19" s="178"/>
      <c r="M19" s="178"/>
      <c r="N19" s="178"/>
      <c r="O19" s="178"/>
      <c r="P19" s="178"/>
      <c r="Q19" s="178"/>
      <c r="R19" s="178"/>
      <c r="S19" s="178"/>
      <c r="T19" s="178"/>
      <c r="U19" s="178"/>
      <c r="V19" s="178"/>
      <c r="W19" s="178"/>
      <c r="X19" s="178"/>
      <c r="Y19" s="178"/>
      <c r="Z19" s="178"/>
      <c r="AA19" s="178"/>
      <c r="AB19" s="178"/>
      <c r="AC19" s="178"/>
      <c r="AD19" s="178"/>
      <c r="AE19" s="178"/>
      <c r="AF19" s="178"/>
      <c r="AG19" s="178"/>
      <c r="AH19" s="178"/>
      <c r="AI19" s="271"/>
    </row>
    <row r="20" ht="14.25" customHeight="1" outlineLevel="5">
      <c r="A20" s="439"/>
      <c r="B20" s="394"/>
      <c r="C20" s="393"/>
      <c r="D20" s="394"/>
      <c r="E20" s="413" t="s">
        <v>1797</v>
      </c>
      <c r="F20" s="249" t="s">
        <v>1780</v>
      </c>
      <c r="G20" s="249"/>
      <c r="H20" s="441">
        <f t="shared" si="1"/>
        <v>792.3</v>
      </c>
      <c r="I20" s="178"/>
      <c r="J20" s="178"/>
      <c r="K20" s="178"/>
      <c r="L20" s="178"/>
      <c r="M20" s="178"/>
      <c r="N20" s="178"/>
      <c r="O20" s="178"/>
      <c r="P20" s="178"/>
      <c r="Q20" s="178"/>
      <c r="R20" s="178"/>
      <c r="S20" s="178"/>
      <c r="T20" s="178"/>
      <c r="U20" s="178"/>
      <c r="V20" s="178"/>
      <c r="W20" s="178"/>
      <c r="X20" s="178"/>
      <c r="Y20" s="178"/>
      <c r="Z20" s="178"/>
      <c r="AA20" s="178"/>
      <c r="AB20" s="178"/>
      <c r="AC20" s="178"/>
      <c r="AD20" s="178"/>
      <c r="AE20" s="178"/>
      <c r="AF20" s="178"/>
      <c r="AG20" s="178"/>
      <c r="AH20" s="178"/>
      <c r="AI20" s="271"/>
    </row>
    <row r="21" ht="14.25" customHeight="1" outlineLevel="5">
      <c r="A21" s="439"/>
      <c r="B21" s="394"/>
      <c r="C21" s="393"/>
      <c r="D21" s="394"/>
      <c r="E21" s="413" t="s">
        <v>1798</v>
      </c>
      <c r="F21" s="249" t="s">
        <v>1782</v>
      </c>
      <c r="G21" s="249" t="s">
        <v>1799</v>
      </c>
      <c r="H21" s="442">
        <f>$H$18*($H$20/k)/3.6</f>
        <v>10.207465</v>
      </c>
      <c r="I21" s="178"/>
      <c r="J21" s="178"/>
      <c r="K21" s="178"/>
      <c r="L21" s="178"/>
      <c r="M21" s="178"/>
      <c r="N21" s="178"/>
      <c r="O21" s="178"/>
      <c r="P21" s="178"/>
      <c r="Q21" s="178"/>
      <c r="R21" s="178"/>
      <c r="S21" s="178"/>
      <c r="T21" s="178"/>
      <c r="U21" s="178"/>
      <c r="V21" s="178"/>
      <c r="W21" s="178"/>
      <c r="X21" s="178"/>
      <c r="Y21" s="178"/>
      <c r="Z21" s="178"/>
      <c r="AA21" s="178"/>
      <c r="AB21" s="178"/>
      <c r="AC21" s="178"/>
      <c r="AD21" s="178"/>
      <c r="AE21" s="178"/>
      <c r="AF21" s="178"/>
      <c r="AG21" s="178"/>
      <c r="AH21" s="178"/>
      <c r="AI21" s="271"/>
    </row>
    <row r="22" ht="14.25" customHeight="1" outlineLevel="5">
      <c r="A22" s="439"/>
      <c r="B22" s="394"/>
      <c r="C22" s="393"/>
      <c r="D22" s="394"/>
      <c r="E22" s="412" t="s">
        <v>1800</v>
      </c>
      <c r="F22" s="123" t="s">
        <v>1782</v>
      </c>
      <c r="G22" s="123" t="s">
        <v>1801</v>
      </c>
      <c r="H22" s="442">
        <f>$H$19*($H$20/k)/3.6</f>
        <v>9.697972083</v>
      </c>
      <c r="I22" s="178"/>
      <c r="J22" s="178"/>
      <c r="K22" s="178"/>
      <c r="L22" s="178"/>
      <c r="M22" s="178"/>
      <c r="N22" s="178"/>
      <c r="O22" s="178"/>
      <c r="P22" s="178"/>
      <c r="Q22" s="178"/>
      <c r="R22" s="178"/>
      <c r="S22" s="178"/>
      <c r="T22" s="178"/>
      <c r="U22" s="178"/>
      <c r="V22" s="178"/>
      <c r="W22" s="178"/>
      <c r="X22" s="178"/>
      <c r="Y22" s="178"/>
      <c r="Z22" s="178"/>
      <c r="AA22" s="178"/>
      <c r="AB22" s="178"/>
      <c r="AC22" s="178"/>
      <c r="AD22" s="178"/>
      <c r="AE22" s="178"/>
      <c r="AF22" s="178"/>
      <c r="AG22" s="178"/>
      <c r="AH22" s="178"/>
      <c r="AI22" s="271"/>
    </row>
    <row r="23" ht="14.25" customHeight="1" outlineLevel="4">
      <c r="A23" s="439"/>
      <c r="B23" s="393" t="s">
        <v>1802</v>
      </c>
      <c r="C23" s="393"/>
      <c r="D23" s="394"/>
      <c r="E23" s="393"/>
      <c r="F23" s="162"/>
      <c r="G23" s="162"/>
      <c r="H23" s="178"/>
      <c r="I23" s="178"/>
      <c r="J23" s="178"/>
      <c r="K23" s="178"/>
      <c r="L23" s="178"/>
      <c r="M23" s="178"/>
      <c r="N23" s="178"/>
      <c r="O23" s="178"/>
      <c r="P23" s="178"/>
      <c r="Q23" s="178"/>
      <c r="R23" s="178"/>
      <c r="S23" s="178"/>
      <c r="T23" s="178"/>
      <c r="U23" s="178"/>
      <c r="V23" s="178"/>
      <c r="W23" s="178"/>
      <c r="X23" s="178"/>
      <c r="Y23" s="178"/>
      <c r="Z23" s="178"/>
      <c r="AA23" s="178"/>
      <c r="AB23" s="178"/>
      <c r="AC23" s="178"/>
      <c r="AD23" s="178"/>
      <c r="AE23" s="178"/>
      <c r="AF23" s="178"/>
      <c r="AG23" s="178"/>
      <c r="AH23" s="178"/>
      <c r="AI23" s="271"/>
    </row>
    <row r="24" ht="14.25" customHeight="1" outlineLevel="5">
      <c r="A24" s="439"/>
      <c r="B24" s="394"/>
      <c r="C24" s="393"/>
      <c r="D24" s="394"/>
      <c r="E24" s="413" t="s">
        <v>1795</v>
      </c>
      <c r="F24" s="249" t="s">
        <v>1776</v>
      </c>
      <c r="G24" s="249"/>
      <c r="H24" s="440">
        <v>50.08</v>
      </c>
      <c r="I24" s="290" t="s">
        <v>1777</v>
      </c>
      <c r="J24" s="178"/>
      <c r="K24" s="178"/>
      <c r="L24" s="178"/>
      <c r="M24" s="178"/>
      <c r="N24" s="178"/>
      <c r="O24" s="178"/>
      <c r="P24" s="178"/>
      <c r="Q24" s="178"/>
      <c r="R24" s="178"/>
      <c r="S24" s="178"/>
      <c r="T24" s="178"/>
      <c r="U24" s="178"/>
      <c r="V24" s="178"/>
      <c r="W24" s="178"/>
      <c r="X24" s="178"/>
      <c r="Y24" s="178"/>
      <c r="Z24" s="178"/>
      <c r="AA24" s="178"/>
      <c r="AB24" s="178"/>
      <c r="AC24" s="178"/>
      <c r="AD24" s="178"/>
      <c r="AE24" s="178"/>
      <c r="AF24" s="178"/>
      <c r="AG24" s="178"/>
      <c r="AH24" s="178"/>
      <c r="AI24" s="271"/>
    </row>
    <row r="25" ht="14.25" customHeight="1" outlineLevel="5">
      <c r="A25" s="439"/>
      <c r="B25" s="394"/>
      <c r="C25" s="393"/>
      <c r="D25" s="394"/>
      <c r="E25" s="413" t="s">
        <v>1796</v>
      </c>
      <c r="F25" s="249" t="s">
        <v>1776</v>
      </c>
      <c r="G25" s="249"/>
      <c r="H25" s="440">
        <v>46.15</v>
      </c>
      <c r="I25" s="290" t="s">
        <v>1777</v>
      </c>
      <c r="J25" s="178"/>
      <c r="K25" s="178"/>
      <c r="L25" s="178"/>
      <c r="M25" s="178"/>
      <c r="N25" s="178"/>
      <c r="O25" s="178"/>
      <c r="P25" s="178"/>
      <c r="Q25" s="178"/>
      <c r="R25" s="178"/>
      <c r="S25" s="178"/>
      <c r="T25" s="178"/>
      <c r="U25" s="178"/>
      <c r="V25" s="178"/>
      <c r="W25" s="178"/>
      <c r="X25" s="178"/>
      <c r="Y25" s="178"/>
      <c r="Z25" s="178"/>
      <c r="AA25" s="178"/>
      <c r="AB25" s="178"/>
      <c r="AC25" s="178"/>
      <c r="AD25" s="178"/>
      <c r="AE25" s="178"/>
      <c r="AF25" s="178"/>
      <c r="AG25" s="178"/>
      <c r="AH25" s="178"/>
      <c r="AI25" s="271"/>
    </row>
    <row r="26" ht="14.25" customHeight="1" outlineLevel="5">
      <c r="A26" s="439"/>
      <c r="B26" s="394"/>
      <c r="C26" s="393"/>
      <c r="D26" s="394"/>
      <c r="E26" s="413" t="s">
        <v>1797</v>
      </c>
      <c r="F26" s="249" t="s">
        <v>1780</v>
      </c>
      <c r="G26" s="249"/>
      <c r="H26" s="441">
        <v>522.2</v>
      </c>
      <c r="I26" s="290" t="s">
        <v>1777</v>
      </c>
      <c r="J26" s="178"/>
      <c r="K26" s="178"/>
      <c r="L26" s="178"/>
      <c r="M26" s="178"/>
      <c r="N26" s="178"/>
      <c r="O26" s="178"/>
      <c r="P26" s="178"/>
      <c r="Q26" s="178"/>
      <c r="R26" s="178"/>
      <c r="S26" s="178"/>
      <c r="T26" s="178"/>
      <c r="U26" s="178"/>
      <c r="V26" s="178"/>
      <c r="W26" s="178"/>
      <c r="X26" s="178"/>
      <c r="Y26" s="178"/>
      <c r="Z26" s="178"/>
      <c r="AA26" s="178"/>
      <c r="AB26" s="178"/>
      <c r="AC26" s="178"/>
      <c r="AD26" s="178"/>
      <c r="AE26" s="178"/>
      <c r="AF26" s="178"/>
      <c r="AG26" s="178"/>
      <c r="AH26" s="178"/>
      <c r="AI26" s="271"/>
    </row>
    <row r="27" ht="14.25" customHeight="1" outlineLevel="5">
      <c r="A27" s="439"/>
      <c r="B27" s="394"/>
      <c r="C27" s="393"/>
      <c r="D27" s="394"/>
      <c r="E27" s="413" t="s">
        <v>1798</v>
      </c>
      <c r="F27" s="249" t="s">
        <v>1782</v>
      </c>
      <c r="G27" s="249" t="s">
        <v>1803</v>
      </c>
      <c r="H27" s="442">
        <f>$H24*($H26/k)/3.6</f>
        <v>7.264382222</v>
      </c>
      <c r="I27" s="178"/>
      <c r="J27" s="178"/>
      <c r="K27" s="178"/>
      <c r="L27" s="178"/>
      <c r="M27" s="178"/>
      <c r="N27" s="178"/>
      <c r="O27" s="178"/>
      <c r="P27" s="178"/>
      <c r="Q27" s="178"/>
      <c r="R27" s="178"/>
      <c r="S27" s="178"/>
      <c r="T27" s="178"/>
      <c r="U27" s="178"/>
      <c r="V27" s="178"/>
      <c r="W27" s="178"/>
      <c r="X27" s="178"/>
      <c r="Y27" s="178"/>
      <c r="Z27" s="178"/>
      <c r="AA27" s="178"/>
      <c r="AB27" s="178"/>
      <c r="AC27" s="178"/>
      <c r="AD27" s="178"/>
      <c r="AE27" s="178"/>
      <c r="AF27" s="178"/>
      <c r="AG27" s="178"/>
      <c r="AH27" s="178"/>
      <c r="AI27" s="271"/>
    </row>
    <row r="28" ht="14.25" customHeight="1" outlineLevel="5">
      <c r="A28" s="439"/>
      <c r="B28" s="394"/>
      <c r="C28" s="393"/>
      <c r="D28" s="394"/>
      <c r="E28" s="412" t="s">
        <v>1800</v>
      </c>
      <c r="F28" s="123" t="s">
        <v>1782</v>
      </c>
      <c r="G28" s="123" t="s">
        <v>1804</v>
      </c>
      <c r="H28" s="442">
        <f>$H25*($H26/k)/3.6</f>
        <v>6.694313889</v>
      </c>
      <c r="I28" s="178"/>
      <c r="J28" s="178"/>
      <c r="K28" s="178"/>
      <c r="L28" s="178"/>
      <c r="M28" s="178"/>
      <c r="N28" s="178"/>
      <c r="O28" s="178"/>
      <c r="P28" s="178"/>
      <c r="Q28" s="178"/>
      <c r="R28" s="178"/>
      <c r="S28" s="178"/>
      <c r="T28" s="178"/>
      <c r="U28" s="178"/>
      <c r="V28" s="178"/>
      <c r="W28" s="178"/>
      <c r="X28" s="178"/>
      <c r="Y28" s="178"/>
      <c r="Z28" s="178"/>
      <c r="AA28" s="178"/>
      <c r="AB28" s="178"/>
      <c r="AC28" s="178"/>
      <c r="AD28" s="178"/>
      <c r="AE28" s="178"/>
      <c r="AF28" s="178"/>
      <c r="AG28" s="178"/>
      <c r="AH28" s="178"/>
      <c r="AI28" s="271"/>
    </row>
    <row r="29" ht="14.25" customHeight="1" outlineLevel="4">
      <c r="A29" s="439"/>
      <c r="B29" s="393" t="s">
        <v>1805</v>
      </c>
      <c r="C29" s="393"/>
      <c r="D29" s="394"/>
      <c r="E29" s="393"/>
      <c r="F29" s="162"/>
      <c r="G29" s="162"/>
      <c r="H29" s="178"/>
      <c r="I29" s="178"/>
      <c r="J29" s="178"/>
      <c r="K29" s="178"/>
      <c r="L29" s="178"/>
      <c r="M29" s="178"/>
      <c r="N29" s="178"/>
      <c r="O29" s="178"/>
      <c r="P29" s="178"/>
      <c r="Q29" s="178"/>
      <c r="R29" s="178"/>
      <c r="S29" s="178"/>
      <c r="T29" s="178"/>
      <c r="U29" s="178"/>
      <c r="V29" s="178"/>
      <c r="W29" s="178"/>
      <c r="X29" s="178"/>
      <c r="Y29" s="178"/>
      <c r="Z29" s="178"/>
      <c r="AA29" s="178"/>
      <c r="AB29" s="178"/>
      <c r="AC29" s="178"/>
      <c r="AD29" s="178"/>
      <c r="AE29" s="178"/>
      <c r="AF29" s="178"/>
      <c r="AG29" s="178"/>
      <c r="AH29" s="178"/>
      <c r="AI29" s="271"/>
    </row>
    <row r="30" ht="14.25" customHeight="1" outlineLevel="5">
      <c r="A30" s="439"/>
      <c r="B30" s="394"/>
      <c r="C30" s="393"/>
      <c r="D30" s="394"/>
      <c r="E30" s="413" t="s">
        <v>1798</v>
      </c>
      <c r="F30" s="249" t="s">
        <v>1806</v>
      </c>
      <c r="G30" s="249" t="s">
        <v>1807</v>
      </c>
      <c r="H30" s="442">
        <v>39.4</v>
      </c>
      <c r="I30" s="443" t="s">
        <v>1808</v>
      </c>
      <c r="J30" s="178"/>
      <c r="K30" s="178"/>
      <c r="L30" s="178"/>
      <c r="M30" s="178"/>
      <c r="N30" s="178"/>
      <c r="O30" s="178"/>
      <c r="P30" s="178"/>
      <c r="Q30" s="178"/>
      <c r="R30" s="178"/>
      <c r="S30" s="178"/>
      <c r="T30" s="178"/>
      <c r="U30" s="178"/>
      <c r="V30" s="178"/>
      <c r="W30" s="178"/>
      <c r="X30" s="178"/>
      <c r="Y30" s="178"/>
      <c r="Z30" s="178"/>
      <c r="AA30" s="178"/>
      <c r="AB30" s="178"/>
      <c r="AC30" s="178"/>
      <c r="AD30" s="178"/>
      <c r="AE30" s="178"/>
      <c r="AF30" s="178"/>
      <c r="AG30" s="178"/>
      <c r="AH30" s="178"/>
      <c r="AI30" s="271"/>
    </row>
    <row r="31" ht="14.25" customHeight="1" outlineLevel="5">
      <c r="A31" s="439"/>
      <c r="B31" s="394"/>
      <c r="C31" s="393"/>
      <c r="D31" s="394"/>
      <c r="E31" s="412" t="s">
        <v>1800</v>
      </c>
      <c r="F31" s="123" t="s">
        <v>1806</v>
      </c>
      <c r="G31" s="123" t="s">
        <v>1809</v>
      </c>
      <c r="H31" s="442">
        <v>33.3</v>
      </c>
      <c r="I31" s="443" t="s">
        <v>1808</v>
      </c>
      <c r="J31" s="178"/>
      <c r="K31" s="178"/>
      <c r="L31" s="178"/>
      <c r="M31" s="178"/>
      <c r="N31" s="178"/>
      <c r="O31" s="178"/>
      <c r="P31" s="178"/>
      <c r="Q31" s="178"/>
      <c r="R31" s="178"/>
      <c r="S31" s="178"/>
      <c r="T31" s="178"/>
      <c r="U31" s="178"/>
      <c r="V31" s="178"/>
      <c r="W31" s="178"/>
      <c r="X31" s="178"/>
      <c r="Y31" s="178"/>
      <c r="Z31" s="178"/>
      <c r="AA31" s="178"/>
      <c r="AB31" s="178"/>
      <c r="AC31" s="178"/>
      <c r="AD31" s="178"/>
      <c r="AE31" s="178"/>
      <c r="AF31" s="178"/>
      <c r="AG31" s="178"/>
      <c r="AH31" s="178"/>
      <c r="AI31" s="271"/>
    </row>
    <row r="32" ht="14.25" customHeight="1" outlineLevel="4">
      <c r="A32" s="439"/>
      <c r="B32" s="393" t="s">
        <v>1810</v>
      </c>
      <c r="C32" s="393"/>
      <c r="D32" s="394"/>
      <c r="E32" s="393"/>
      <c r="F32" s="162"/>
      <c r="G32" s="162"/>
      <c r="H32" s="178"/>
      <c r="I32" s="178"/>
      <c r="J32" s="178"/>
      <c r="K32" s="178"/>
      <c r="L32" s="178"/>
      <c r="M32" s="178"/>
      <c r="N32" s="178"/>
      <c r="O32" s="178"/>
      <c r="P32" s="178"/>
      <c r="Q32" s="178"/>
      <c r="R32" s="178"/>
      <c r="S32" s="178"/>
      <c r="T32" s="178"/>
      <c r="U32" s="178"/>
      <c r="V32" s="178"/>
      <c r="W32" s="178"/>
      <c r="X32" s="178"/>
      <c r="Y32" s="178"/>
      <c r="Z32" s="178"/>
      <c r="AA32" s="178"/>
      <c r="AB32" s="178"/>
      <c r="AC32" s="178"/>
      <c r="AD32" s="178"/>
      <c r="AE32" s="178"/>
      <c r="AF32" s="178"/>
      <c r="AG32" s="178"/>
      <c r="AH32" s="178"/>
      <c r="AI32" s="271"/>
    </row>
    <row r="33" ht="14.25" customHeight="1" outlineLevel="5">
      <c r="A33" s="439"/>
      <c r="B33" s="394"/>
      <c r="C33" s="393"/>
      <c r="D33" s="394"/>
      <c r="E33" s="413" t="s">
        <v>1795</v>
      </c>
      <c r="F33" s="249" t="s">
        <v>1776</v>
      </c>
      <c r="G33" s="249"/>
      <c r="H33" s="440">
        <v>45.19</v>
      </c>
      <c r="I33" s="290" t="s">
        <v>1777</v>
      </c>
      <c r="J33" s="178"/>
      <c r="K33" s="178"/>
      <c r="L33" s="178"/>
      <c r="M33" s="178"/>
      <c r="N33" s="178"/>
      <c r="O33" s="178"/>
      <c r="P33" s="178"/>
      <c r="Q33" s="178"/>
      <c r="R33" s="178"/>
      <c r="S33" s="178"/>
      <c r="T33" s="178"/>
      <c r="U33" s="178"/>
      <c r="V33" s="178"/>
      <c r="W33" s="178"/>
      <c r="X33" s="178"/>
      <c r="Y33" s="178"/>
      <c r="Z33" s="178"/>
      <c r="AA33" s="178"/>
      <c r="AB33" s="178"/>
      <c r="AC33" s="178"/>
      <c r="AD33" s="178"/>
      <c r="AE33" s="178"/>
      <c r="AF33" s="178"/>
      <c r="AG33" s="178"/>
      <c r="AH33" s="178"/>
      <c r="AI33" s="271"/>
    </row>
    <row r="34" ht="14.25" customHeight="1" outlineLevel="5">
      <c r="A34" s="439"/>
      <c r="B34" s="394"/>
      <c r="C34" s="393"/>
      <c r="D34" s="394"/>
      <c r="E34" s="413" t="s">
        <v>1796</v>
      </c>
      <c r="F34" s="249" t="s">
        <v>1776</v>
      </c>
      <c r="G34" s="249"/>
      <c r="H34" s="440">
        <f>H33*0.9</f>
        <v>40.671</v>
      </c>
      <c r="I34" s="290" t="s">
        <v>1777</v>
      </c>
      <c r="J34" s="178"/>
      <c r="K34" s="178"/>
      <c r="L34" s="178"/>
      <c r="M34" s="178"/>
      <c r="N34" s="178"/>
      <c r="O34" s="178"/>
      <c r="P34" s="178"/>
      <c r="Q34" s="178"/>
      <c r="R34" s="178"/>
      <c r="S34" s="178"/>
      <c r="T34" s="178"/>
      <c r="U34" s="178"/>
      <c r="V34" s="178"/>
      <c r="W34" s="178"/>
      <c r="X34" s="178"/>
      <c r="Y34" s="178"/>
      <c r="Z34" s="178"/>
      <c r="AA34" s="178"/>
      <c r="AB34" s="178"/>
      <c r="AC34" s="178"/>
      <c r="AD34" s="178"/>
      <c r="AE34" s="178"/>
      <c r="AF34" s="178"/>
      <c r="AG34" s="178"/>
      <c r="AH34" s="178"/>
      <c r="AI34" s="271"/>
    </row>
    <row r="35" ht="14.25" customHeight="1" outlineLevel="5">
      <c r="A35" s="439"/>
      <c r="B35" s="394"/>
      <c r="C35" s="393"/>
      <c r="D35" s="394"/>
      <c r="E35" s="413" t="s">
        <v>1798</v>
      </c>
      <c r="F35" s="249" t="s">
        <v>1806</v>
      </c>
      <c r="G35" s="249" t="s">
        <v>1811</v>
      </c>
      <c r="H35" s="442">
        <f t="shared" ref="H35:H36" si="2">$H33/3.6</f>
        <v>12.55277778</v>
      </c>
      <c r="I35" s="178"/>
      <c r="J35" s="178"/>
      <c r="K35" s="178"/>
      <c r="L35" s="178"/>
      <c r="M35" s="178"/>
      <c r="N35" s="178"/>
      <c r="O35" s="178"/>
      <c r="P35" s="178"/>
      <c r="Q35" s="178"/>
      <c r="R35" s="178"/>
      <c r="S35" s="178"/>
      <c r="T35" s="178"/>
      <c r="U35" s="178"/>
      <c r="V35" s="178"/>
      <c r="W35" s="178"/>
      <c r="X35" s="178"/>
      <c r="Y35" s="178"/>
      <c r="Z35" s="178"/>
      <c r="AA35" s="178"/>
      <c r="AB35" s="178"/>
      <c r="AC35" s="178"/>
      <c r="AD35" s="178"/>
      <c r="AE35" s="178"/>
      <c r="AF35" s="178"/>
      <c r="AG35" s="178"/>
      <c r="AH35" s="178"/>
      <c r="AI35" s="271"/>
    </row>
    <row r="36" ht="14.25" customHeight="1" outlineLevel="5">
      <c r="A36" s="439"/>
      <c r="B36" s="394"/>
      <c r="C36" s="393"/>
      <c r="D36" s="394"/>
      <c r="E36" s="412" t="s">
        <v>1800</v>
      </c>
      <c r="F36" s="123" t="s">
        <v>1806</v>
      </c>
      <c r="G36" s="123" t="s">
        <v>1812</v>
      </c>
      <c r="H36" s="442">
        <f t="shared" si="2"/>
        <v>11.2975</v>
      </c>
      <c r="I36" s="178"/>
      <c r="J36" s="178"/>
      <c r="K36" s="178"/>
      <c r="L36" s="178"/>
      <c r="M36" s="178"/>
      <c r="N36" s="178"/>
      <c r="O36" s="178"/>
      <c r="P36" s="178"/>
      <c r="Q36" s="178"/>
      <c r="R36" s="178"/>
      <c r="S36" s="178"/>
      <c r="T36" s="178"/>
      <c r="U36" s="178"/>
      <c r="V36" s="178"/>
      <c r="W36" s="178"/>
      <c r="X36" s="178"/>
      <c r="Y36" s="178"/>
      <c r="Z36" s="178"/>
      <c r="AA36" s="178"/>
      <c r="AB36" s="178"/>
      <c r="AC36" s="178"/>
      <c r="AD36" s="178"/>
      <c r="AE36" s="178"/>
      <c r="AF36" s="178"/>
      <c r="AG36" s="178"/>
      <c r="AH36" s="178"/>
      <c r="AI36" s="271"/>
    </row>
    <row r="37" ht="9.75" customHeight="1">
      <c r="A37" s="167"/>
      <c r="B37" s="167"/>
      <c r="C37" s="167"/>
      <c r="D37" s="167"/>
      <c r="E37" s="167"/>
      <c r="F37" s="168"/>
      <c r="G37" s="168"/>
      <c r="H37" s="169"/>
      <c r="I37" s="169"/>
      <c r="J37" s="169"/>
      <c r="K37" s="169"/>
      <c r="L37" s="169"/>
      <c r="M37" s="169"/>
      <c r="N37" s="169"/>
      <c r="O37" s="169"/>
      <c r="P37" s="169"/>
      <c r="Q37" s="169"/>
      <c r="R37" s="169"/>
      <c r="S37" s="169"/>
      <c r="T37" s="169"/>
      <c r="U37" s="169"/>
      <c r="V37" s="169"/>
      <c r="W37" s="169"/>
      <c r="X37" s="169"/>
      <c r="Y37" s="169"/>
      <c r="Z37" s="169"/>
      <c r="AA37" s="169"/>
      <c r="AB37" s="169"/>
      <c r="AC37" s="169"/>
      <c r="AD37" s="169"/>
      <c r="AE37" s="169"/>
      <c r="AF37" s="169"/>
      <c r="AG37" s="169"/>
      <c r="AH37" s="169"/>
      <c r="AI37" s="167"/>
    </row>
    <row r="38" ht="14.25" customHeight="1">
      <c r="A38" s="444" t="s">
        <v>28</v>
      </c>
      <c r="B38" s="388"/>
      <c r="C38" s="388"/>
      <c r="D38" s="388"/>
      <c r="E38" s="388"/>
      <c r="F38" s="388"/>
      <c r="G38" s="389"/>
      <c r="H38" s="389"/>
      <c r="I38" s="389"/>
      <c r="J38" s="389"/>
      <c r="K38" s="389"/>
      <c r="L38" s="389"/>
      <c r="M38" s="389"/>
      <c r="N38" s="389"/>
      <c r="O38" s="389"/>
      <c r="P38" s="389"/>
      <c r="Q38" s="389"/>
      <c r="R38" s="389"/>
      <c r="S38" s="389"/>
      <c r="T38" s="389"/>
      <c r="U38" s="389"/>
      <c r="V38" s="389"/>
      <c r="W38" s="389"/>
      <c r="X38" s="389"/>
      <c r="Y38" s="389"/>
      <c r="Z38" s="389"/>
      <c r="AA38" s="389"/>
      <c r="AB38" s="389"/>
      <c r="AC38" s="389"/>
      <c r="AD38" s="389"/>
      <c r="AE38" s="389"/>
      <c r="AF38" s="389"/>
      <c r="AG38" s="389"/>
      <c r="AH38" s="389"/>
      <c r="AI38" s="388"/>
    </row>
    <row r="39" ht="14.25" customHeight="1" outlineLevel="1">
      <c r="A39" s="439"/>
      <c r="B39" s="162"/>
      <c r="C39" s="162"/>
      <c r="D39" s="100"/>
      <c r="E39" s="162"/>
      <c r="F39" s="162"/>
      <c r="G39" s="162"/>
      <c r="H39" s="178"/>
      <c r="I39" s="178"/>
      <c r="J39" s="178"/>
      <c r="K39" s="178"/>
      <c r="L39" s="178"/>
      <c r="M39" s="178"/>
      <c r="N39" s="178"/>
      <c r="O39" s="178"/>
      <c r="P39" s="178"/>
      <c r="Q39" s="178"/>
      <c r="R39" s="178"/>
      <c r="S39" s="178"/>
      <c r="T39" s="178"/>
      <c r="U39" s="178"/>
      <c r="V39" s="178"/>
      <c r="W39" s="178"/>
      <c r="X39" s="178"/>
      <c r="Y39" s="178"/>
      <c r="Z39" s="178"/>
      <c r="AA39" s="178"/>
      <c r="AB39" s="178"/>
      <c r="AC39" s="178"/>
      <c r="AD39" s="178"/>
      <c r="AE39" s="178"/>
      <c r="AF39" s="178"/>
      <c r="AG39" s="178"/>
      <c r="AH39" s="178"/>
      <c r="AI39" s="100"/>
    </row>
    <row r="40" ht="14.25" customHeight="1" outlineLevel="1">
      <c r="A40" s="439" t="s">
        <v>1813</v>
      </c>
      <c r="B40" s="162"/>
      <c r="C40" s="162"/>
      <c r="D40" s="100"/>
      <c r="E40" s="162"/>
      <c r="F40" s="162"/>
      <c r="G40" s="162"/>
      <c r="H40" s="178"/>
      <c r="I40" s="178"/>
      <c r="J40" s="178"/>
      <c r="K40" s="178"/>
      <c r="L40" s="178"/>
      <c r="M40" s="178"/>
      <c r="N40" s="178"/>
      <c r="O40" s="178"/>
      <c r="P40" s="178"/>
      <c r="Q40" s="178"/>
      <c r="R40" s="178"/>
      <c r="S40" s="178"/>
      <c r="T40" s="178"/>
      <c r="U40" s="178"/>
      <c r="V40" s="178"/>
      <c r="W40" s="178"/>
      <c r="X40" s="178"/>
      <c r="Y40" s="178"/>
      <c r="Z40" s="178"/>
      <c r="AA40" s="178"/>
      <c r="AB40" s="178"/>
      <c r="AC40" s="178"/>
      <c r="AD40" s="178"/>
      <c r="AE40" s="178"/>
      <c r="AF40" s="178"/>
      <c r="AG40" s="178"/>
      <c r="AH40" s="178"/>
      <c r="AI40" s="100"/>
    </row>
    <row r="41" ht="14.25" customHeight="1" outlineLevel="2">
      <c r="A41" s="439"/>
      <c r="B41" s="393" t="s">
        <v>1814</v>
      </c>
      <c r="C41" s="394"/>
      <c r="D41" s="394"/>
      <c r="E41" s="162"/>
      <c r="F41" s="162"/>
      <c r="G41" s="178"/>
      <c r="H41" s="178"/>
      <c r="I41" s="178"/>
      <c r="J41" s="178"/>
      <c r="K41" s="178"/>
      <c r="L41" s="178"/>
      <c r="M41" s="178"/>
      <c r="N41" s="178"/>
      <c r="O41" s="178"/>
      <c r="P41" s="178"/>
      <c r="Q41" s="178"/>
      <c r="R41" s="178"/>
      <c r="S41" s="178"/>
      <c r="T41" s="178"/>
      <c r="U41" s="178"/>
      <c r="V41" s="178"/>
      <c r="W41" s="178"/>
      <c r="X41" s="178"/>
      <c r="Y41" s="178"/>
      <c r="Z41" s="178"/>
      <c r="AA41" s="178"/>
      <c r="AB41" s="178"/>
      <c r="AC41" s="178"/>
      <c r="AD41" s="178"/>
      <c r="AE41" s="178"/>
      <c r="AF41" s="178"/>
      <c r="AG41" s="178"/>
      <c r="AH41" s="178"/>
      <c r="AI41" s="271"/>
    </row>
    <row r="42" ht="14.25" customHeight="1" outlineLevel="3">
      <c r="A42" s="439"/>
      <c r="B42" s="393"/>
      <c r="C42" s="393" t="s">
        <v>1815</v>
      </c>
      <c r="D42" s="394"/>
      <c r="E42" s="162"/>
      <c r="F42" s="162"/>
      <c r="G42" s="162"/>
      <c r="H42" s="178"/>
      <c r="I42" s="178"/>
      <c r="J42" s="178"/>
      <c r="K42" s="178"/>
      <c r="L42" s="178"/>
      <c r="M42" s="178"/>
      <c r="N42" s="178"/>
      <c r="O42" s="178"/>
      <c r="P42" s="178"/>
      <c r="Q42" s="178"/>
      <c r="R42" s="178"/>
      <c r="S42" s="178"/>
      <c r="T42" s="178"/>
      <c r="U42" s="178"/>
      <c r="V42" s="178"/>
      <c r="W42" s="178"/>
      <c r="X42" s="178"/>
      <c r="Y42" s="178"/>
      <c r="Z42" s="178"/>
      <c r="AA42" s="178"/>
      <c r="AB42" s="178"/>
      <c r="AC42" s="178"/>
      <c r="AD42" s="178"/>
      <c r="AE42" s="178"/>
      <c r="AF42" s="178"/>
      <c r="AG42" s="178"/>
      <c r="AH42" s="178"/>
      <c r="AI42" s="271"/>
    </row>
    <row r="43" ht="13.5" customHeight="1" outlineLevel="3">
      <c r="A43" s="195"/>
      <c r="B43" s="201"/>
      <c r="C43" s="246"/>
      <c r="D43" s="201"/>
      <c r="E43" s="316" t="s">
        <v>1816</v>
      </c>
      <c r="F43" s="316"/>
      <c r="G43" s="316" t="s">
        <v>1817</v>
      </c>
      <c r="H43" s="317" t="str">
        <f>IF(COUNTA(CarTrafficPkm)=0,IF(COUNTA(CarTrafficDist)+COUNTA(CarTrafficStock)+COUNTA(CarTrafficStockNew)=0,"Missing data","stock"),"pkm")</f>
        <v>pkm</v>
      </c>
      <c r="I43" s="317" t="str">
        <f>IF(COUNTA(CarTrafficPkm)=0,IF(COUNTA(CarTrafficDist)+COUNTA(CarTrafficStock)+COUNTA(CarTrafficStockNew)=0,"Missing data","stock"),"pkm")</f>
        <v>pkm</v>
      </c>
      <c r="J43" s="317" t="str">
        <f>IF(COUNTA(CarTrafficPkm)=0,IF(COUNTA(CarTrafficDist)+COUNTA(CarTrafficStock)+COUNTA(CarTrafficStockNew)=0,"Missing data","stock"),"pkm")</f>
        <v>pkm</v>
      </c>
      <c r="K43" s="317" t="str">
        <f>IF(COUNTA(CarTrafficPkm)=0,IF(COUNTA(CarTrafficDist)+COUNTA(CarTrafficStock)+COUNTA(CarTrafficStockNew)=0,"Missing data","stock"),"pkm")</f>
        <v>pkm</v>
      </c>
      <c r="L43" s="317" t="str">
        <f>IF(COUNTA(CarTrafficPkm)=0,IF(COUNTA(CarTrafficDist)+COUNTA(CarTrafficStock)+COUNTA(CarTrafficStockNew)=0,"Missing data","stock"),"pkm")</f>
        <v>pkm</v>
      </c>
      <c r="M43" s="317" t="str">
        <f>IF(COUNTA(CarTrafficPkm)=0,IF(COUNTA(CarTrafficDist)+COUNTA(CarTrafficStock)+COUNTA(CarTrafficStockNew)=0,"Missing data","stock"),"pkm")</f>
        <v>pkm</v>
      </c>
      <c r="N43" s="317" t="str">
        <f>IF(COUNTA(CarTrafficPkm)=0,IF(COUNTA(CarTrafficDist)+COUNTA(CarTrafficStock)+COUNTA(CarTrafficStockNew)=0,"Missing data","stock"),"pkm")</f>
        <v>pkm</v>
      </c>
      <c r="O43" s="317" t="str">
        <f>IF(COUNTA(CarTrafficPkm)=0,IF(COUNTA(CarTrafficDist)+COUNTA(CarTrafficStock)+COUNTA(CarTrafficStockNew)=0,"Missing data","stock"),"pkm")</f>
        <v>pkm</v>
      </c>
      <c r="P43" s="317" t="str">
        <f>IF(COUNTA(CarTrafficPkm)=0,IF(COUNTA(CarTrafficDist)+COUNTA(CarTrafficStock)+COUNTA(CarTrafficStockNew)=0,"Missing data","stock"),"pkm")</f>
        <v>pkm</v>
      </c>
      <c r="Q43" s="317" t="str">
        <f>IF(COUNTA(CarTrafficPkm)=0,IF(COUNTA(CarTrafficDist)+COUNTA(CarTrafficStock)+COUNTA(CarTrafficStockNew)=0,"Missing data","stock"),"pkm")</f>
        <v>pkm</v>
      </c>
      <c r="R43" s="317" t="str">
        <f>IF(COUNTA(CarTrafficPkm)=0,IF(COUNTA(CarTrafficDist)+COUNTA(CarTrafficStock)+COUNTA(CarTrafficStockNew)=0,"Missing data","stock"),"pkm")</f>
        <v>pkm</v>
      </c>
      <c r="S43" s="317" t="str">
        <f>IF(COUNTA(CarTrafficPkm)=0,IF(COUNTA(CarTrafficDist)+COUNTA(CarTrafficStock)+COUNTA(CarTrafficStockNew)=0,"Missing data","stock"),"pkm")</f>
        <v>pkm</v>
      </c>
      <c r="T43" s="317" t="str">
        <f>IF(COUNTA(CarTrafficPkm)=0,IF(COUNTA(CarTrafficDist)+COUNTA(CarTrafficStock)+COUNTA(CarTrafficStockNew)=0,"Missing data","stock"),"pkm")</f>
        <v>pkm</v>
      </c>
      <c r="U43" s="317" t="str">
        <f>IF(COUNTA(CarTrafficPkm)=0,IF(COUNTA(CarTrafficDist)+COUNTA(CarTrafficStock)+COUNTA(CarTrafficStockNew)=0,"Missing data","stock"),"pkm")</f>
        <v>pkm</v>
      </c>
      <c r="V43" s="317" t="str">
        <f>IF(COUNTA(CarTrafficPkm)=0,IF(COUNTA(CarTrafficDist)+COUNTA(CarTrafficStock)+COUNTA(CarTrafficStockNew)=0,"Missing data","stock"),"pkm")</f>
        <v>pkm</v>
      </c>
      <c r="W43" s="317" t="str">
        <f>IF(COUNTA(CarTrafficPkm)=0,IF(COUNTA(CarTrafficDist)+COUNTA(CarTrafficStock)+COUNTA(CarTrafficStockNew)=0,"Missing data","stock"),"pkm")</f>
        <v>pkm</v>
      </c>
      <c r="X43" s="317" t="str">
        <f>IF(COUNTA(CarTrafficPkm)=0,IF(COUNTA(CarTrafficDist)+COUNTA(CarTrafficStock)+COUNTA(CarTrafficStockNew)=0,"Missing data","stock"),"pkm")</f>
        <v>pkm</v>
      </c>
      <c r="Y43" s="317" t="str">
        <f>IF(COUNTA(CarTrafficPkm)=0,IF(COUNTA(CarTrafficDist)+COUNTA(CarTrafficStock)+COUNTA(CarTrafficStockNew)=0,"Missing data","stock"),"pkm")</f>
        <v>pkm</v>
      </c>
      <c r="Z43" s="317" t="str">
        <f>IF(COUNTA(CarTrafficPkm)=0,IF(COUNTA(CarTrafficDist)+COUNTA(CarTrafficStock)+COUNTA(CarTrafficStockNew)=0,"Missing data","stock"),"pkm")</f>
        <v>pkm</v>
      </c>
      <c r="AA43" s="317" t="str">
        <f>IF(COUNTA(CarTrafficPkm)=0,IF(COUNTA(CarTrafficDist)+COUNTA(CarTrafficStock)+COUNTA(CarTrafficStockNew)=0,"Missing data","stock"),"pkm")</f>
        <v>pkm</v>
      </c>
      <c r="AB43" s="317" t="str">
        <f>IF(COUNTA(CarTrafficPkm)=0,IF(COUNTA(CarTrafficDist)+COUNTA(CarTrafficStock)+COUNTA(CarTrafficStockNew)=0,"Missing data","stock"),"pkm")</f>
        <v>pkm</v>
      </c>
      <c r="AC43" s="317" t="str">
        <f>IF(COUNTA(CarTrafficPkm)=0,IF(COUNTA(CarTrafficDist)+COUNTA(CarTrafficStock)+COUNTA(CarTrafficStockNew)=0,"Missing data","stock"),"pkm")</f>
        <v>pkm</v>
      </c>
      <c r="AD43" s="317" t="str">
        <f>IF(COUNTA(CarTrafficPkm)=0,IF(COUNTA(CarTrafficDist)+COUNTA(CarTrafficStock)+COUNTA(CarTrafficStockNew)=0,"Missing data","stock"),"pkm")</f>
        <v>pkm</v>
      </c>
      <c r="AE43" s="317" t="str">
        <f>IF(COUNTA(CarTrafficPkm)=0,IF(COUNTA(CarTrafficDist)+COUNTA(CarTrafficStock)+COUNTA(CarTrafficStockNew)=0,"Missing data","stock"),"pkm")</f>
        <v>pkm</v>
      </c>
      <c r="AF43" s="317" t="str">
        <f>IF(COUNTA(CarTrafficPkm)=0,IF(COUNTA(CarTrafficDist)+COUNTA(CarTrafficStock)+COUNTA(CarTrafficStockNew)=0,"Missing data","stock"),"pkm")</f>
        <v>pkm</v>
      </c>
      <c r="AG43" s="317" t="str">
        <f>IF(COUNTA(CarTrafficPkm)=0,IF(COUNTA(CarTrafficDist)+COUNTA(CarTrafficStock)+COUNTA(CarTrafficStockNew)=0,"Missing data","stock"),"pkm")</f>
        <v>pkm</v>
      </c>
      <c r="AH43" s="317" t="str">
        <f>IF(COUNTA(CarTrafficPkm)=0,IF(COUNTA(CarTrafficDist)+COUNTA(CarTrafficStock)+COUNTA(CarTrafficStockNew)=0,"Missing data","stock"),"pkm")</f>
        <v>pkm</v>
      </c>
      <c r="AI43" s="125"/>
    </row>
    <row r="44" ht="13.5" customHeight="1" outlineLevel="2">
      <c r="A44" s="195"/>
      <c r="B44" s="201"/>
      <c r="C44" s="246"/>
      <c r="D44" s="201"/>
      <c r="E44" s="316" t="s">
        <v>1818</v>
      </c>
      <c r="F44" s="320" t="str">
        <f>IF(COUNTA(capvp)=0,"Row not filled in by partner",IF(SUMPRODUCT(capvp*ProspectiveYears)=0,"Prospective data not filled in by partner","Ok"))</f>
        <v>Ok</v>
      </c>
      <c r="G44" s="320"/>
      <c r="H44" s="317" t="str">
        <f>IF(ISBLANK(capvp),"Missing data","Ok")</f>
        <v>Ok</v>
      </c>
      <c r="I44" s="317" t="str">
        <f>IF(ISBLANK(capvp),"Missing data","Ok")</f>
        <v>Ok</v>
      </c>
      <c r="J44" s="317" t="str">
        <f>IF(ISBLANK(capvp),"Missing data","Ok")</f>
        <v>Ok</v>
      </c>
      <c r="K44" s="317" t="str">
        <f>IF(ISBLANK(capvp),"Missing data","Ok")</f>
        <v>Ok</v>
      </c>
      <c r="L44" s="317" t="str">
        <f>IF(ISBLANK(capvp),"Missing data","Ok")</f>
        <v>Ok</v>
      </c>
      <c r="M44" s="317" t="str">
        <f>IF(ISBLANK(capvp),"Missing data","Ok")</f>
        <v>Ok</v>
      </c>
      <c r="N44" s="317" t="str">
        <f>IF(ISBLANK(capvp),"Missing data","Ok")</f>
        <v>Ok</v>
      </c>
      <c r="O44" s="317" t="str">
        <f>IF(ISBLANK(capvp),"Missing data","Ok")</f>
        <v>Ok</v>
      </c>
      <c r="P44" s="317" t="str">
        <f>IF(ISBLANK(capvp),"Missing data","Ok")</f>
        <v>Ok</v>
      </c>
      <c r="Q44" s="317" t="str">
        <f>IF(ISBLANK(capvp),"Missing data","Ok")</f>
        <v>Ok</v>
      </c>
      <c r="R44" s="317" t="str">
        <f>IF(ISBLANK(capvp),"Missing data","Ok")</f>
        <v>Ok</v>
      </c>
      <c r="S44" s="317" t="str">
        <f>IF(ISBLANK(capvp),"Missing data","Ok")</f>
        <v>Ok</v>
      </c>
      <c r="T44" s="317" t="str">
        <f>IF(ISBLANK(capvp),"Missing data","Ok")</f>
        <v>Ok</v>
      </c>
      <c r="U44" s="317" t="str">
        <f>IF(ISBLANK(capvp),"Missing data","Ok")</f>
        <v>Ok</v>
      </c>
      <c r="V44" s="317" t="str">
        <f>IF(ISBLANK(capvp),"Missing data","Ok")</f>
        <v>Ok</v>
      </c>
      <c r="W44" s="317" t="str">
        <f>IF(ISBLANK(capvp),"Missing data","Ok")</f>
        <v>Ok</v>
      </c>
      <c r="X44" s="317" t="str">
        <f>IF(ISBLANK(capvp),"Missing data","Ok")</f>
        <v>Missing data</v>
      </c>
      <c r="Y44" s="317" t="str">
        <f>IF(ISBLANK(capvp),"Missing data","Ok")</f>
        <v>Ok</v>
      </c>
      <c r="Z44" s="317" t="str">
        <f>IF(ISBLANK(capvp),"Missing data","Ok")</f>
        <v>Missing data</v>
      </c>
      <c r="AA44" s="317" t="str">
        <f>IF(ISBLANK(capvp),"Missing data","Ok")</f>
        <v>Missing data</v>
      </c>
      <c r="AB44" s="317" t="str">
        <f>IF(ISBLANK(capvp),"Missing data","Ok")</f>
        <v>Ok</v>
      </c>
      <c r="AC44" s="317" t="str">
        <f>IF(ISBLANK(capvp),"Missing data","Ok")</f>
        <v>Ok</v>
      </c>
      <c r="AD44" s="317" t="str">
        <f>IF(ISBLANK(capvp),"Missing data","Ok")</f>
        <v>Ok</v>
      </c>
      <c r="AE44" s="317" t="str">
        <f>IF(ISBLANK(capvp),"Missing data","Ok")</f>
        <v>Ok</v>
      </c>
      <c r="AF44" s="317" t="str">
        <f>IF(ISBLANK(capvp),"Missing data","Ok")</f>
        <v>Ok</v>
      </c>
      <c r="AG44" s="317" t="str">
        <f>IF(ISBLANK(capvp),"Missing data","Ok")</f>
        <v>Ok</v>
      </c>
      <c r="AH44" s="317" t="str">
        <f>IF(ISBLANK(capvp),"Missing data","Ok")</f>
        <v>Ok</v>
      </c>
      <c r="AI44" s="125"/>
    </row>
    <row r="45" ht="13.5" customHeight="1" outlineLevel="3">
      <c r="A45" s="195"/>
      <c r="B45" s="201"/>
      <c r="C45" s="246"/>
      <c r="D45" s="201"/>
      <c r="E45" s="316" t="s">
        <v>1819</v>
      </c>
      <c r="F45" s="316"/>
      <c r="G45" s="316" t="s">
        <v>1820</v>
      </c>
      <c r="H45" s="317" t="str">
        <f>IF(SUMPRODUCT(kmvvpcess*(Years=H$1))+SUMPRODUCT(kmvvpcgzl*(Years=H$1))=0,"NoDis","Dis")</f>
        <v>Dis</v>
      </c>
      <c r="I45" s="317" t="str">
        <f>IF(SUMPRODUCT(kmvvpcess*(Years=I$1))+SUMPRODUCT(kmvvpcgzl*(Years=I$1))=0,"NoDis","Dis")</f>
        <v>NoDis</v>
      </c>
      <c r="J45" s="317" t="str">
        <f>IF(SUMPRODUCT(kmvvpcess*(Years=J$1))+SUMPRODUCT(kmvvpcgzl*(Years=J$1))=0,"NoDis","Dis")</f>
        <v>NoDis</v>
      </c>
      <c r="K45" s="317" t="str">
        <f>IF(SUMPRODUCT(kmvvpcess*(Years=K$1))+SUMPRODUCT(kmvvpcgzl*(Years=K$1))=0,"NoDis","Dis")</f>
        <v>NoDis</v>
      </c>
      <c r="L45" s="317" t="str">
        <f>IF(SUMPRODUCT(kmvvpcess*(Years=L$1))+SUMPRODUCT(kmvvpcgzl*(Years=L$1))=0,"NoDis","Dis")</f>
        <v>NoDis</v>
      </c>
      <c r="M45" s="317" t="str">
        <f>IF(SUMPRODUCT(kmvvpcess*(Years=M$1))+SUMPRODUCT(kmvvpcgzl*(Years=M$1))=0,"NoDis","Dis")</f>
        <v>Dis</v>
      </c>
      <c r="N45" s="317" t="str">
        <f>IF(SUMPRODUCT(kmvvpcess*(Years=N$1))+SUMPRODUCT(kmvvpcgzl*(Years=N$1))=0,"NoDis","Dis")</f>
        <v>Dis</v>
      </c>
      <c r="O45" s="317" t="str">
        <f>IF(SUMPRODUCT(kmvvpcess*(Years=O$1))+SUMPRODUCT(kmvvpcgzl*(Years=O$1))=0,"NoDis","Dis")</f>
        <v>Dis</v>
      </c>
      <c r="P45" s="317" t="str">
        <f>IF(SUMPRODUCT(kmvvpcess*(Years=P$1))+SUMPRODUCT(kmvvpcgzl*(Years=P$1))=0,"NoDis","Dis")</f>
        <v>Dis</v>
      </c>
      <c r="Q45" s="317" t="str">
        <f>IF(SUMPRODUCT(kmvvpcess*(Years=Q$1))+SUMPRODUCT(kmvvpcgzl*(Years=Q$1))=0,"NoDis","Dis")</f>
        <v>Dis</v>
      </c>
      <c r="R45" s="317" t="str">
        <f>IF(SUMPRODUCT(kmvvpcess*(Years=R$1))+SUMPRODUCT(kmvvpcgzl*(Years=R$1))=0,"NoDis","Dis")</f>
        <v>Dis</v>
      </c>
      <c r="S45" s="317" t="str">
        <f>IF(SUMPRODUCT(kmvvpcess*(Years=S$1))+SUMPRODUCT(kmvvpcgzl*(Years=S$1))=0,"NoDis","Dis")</f>
        <v>Dis</v>
      </c>
      <c r="T45" s="317" t="str">
        <f>IF(SUMPRODUCT(kmvvpcess*(Years=T$1))+SUMPRODUCT(kmvvpcgzl*(Years=T$1))=0,"NoDis","Dis")</f>
        <v>Dis</v>
      </c>
      <c r="U45" s="317" t="str">
        <f>IF(SUMPRODUCT(kmvvpcess*(Years=U$1))+SUMPRODUCT(kmvvpcgzl*(Years=U$1))=0,"NoDis","Dis")</f>
        <v>Dis</v>
      </c>
      <c r="V45" s="317" t="str">
        <f>IF(SUMPRODUCT(kmvvpcess*(Years=V$1))+SUMPRODUCT(kmvvpcgzl*(Years=V$1))=0,"NoDis","Dis")</f>
        <v>Dis</v>
      </c>
      <c r="W45" s="317" t="str">
        <f>IF(SUMPRODUCT(kmvvpcess*(Years=W$1))+SUMPRODUCT(kmvvpcgzl*(Years=W$1))=0,"NoDis","Dis")</f>
        <v>Dis</v>
      </c>
      <c r="X45" s="317" t="str">
        <f>IF(SUMPRODUCT(kmvvpcess*(Years=X$1))+SUMPRODUCT(kmvvpcgzl*(Years=X$1))=0,"NoDis","Dis")</f>
        <v>Dis</v>
      </c>
      <c r="Y45" s="317" t="str">
        <f>IF(SUMPRODUCT(kmvvpcess*(Years=Y$1))+SUMPRODUCT(kmvvpcgzl*(Years=Y$1))=0,"NoDis","Dis")</f>
        <v>Dis</v>
      </c>
      <c r="Z45" s="317" t="str">
        <f>IF(SUMPRODUCT(kmvvpcess*(Years=Z$1))+SUMPRODUCT(kmvvpcgzl*(Years=Z$1))=0,"NoDis","Dis")</f>
        <v>NoDis</v>
      </c>
      <c r="AA45" s="317" t="str">
        <f>IF(SUMPRODUCT(kmvvpcess*(Years=AA$1))+SUMPRODUCT(kmvvpcgzl*(Years=AA$1))=0,"NoDis","Dis")</f>
        <v>NoDis</v>
      </c>
      <c r="AB45" s="317" t="str">
        <f>IF(SUMPRODUCT(kmvvpcess*(Years=AB$1))+SUMPRODUCT(kmvvpcgzl*(Years=AB$1))=0,"NoDis","Dis")</f>
        <v>NoDis</v>
      </c>
      <c r="AC45" s="317" t="str">
        <f>IF(SUMPRODUCT(kmvvpcess*(Years=AC$1))+SUMPRODUCT(kmvvpcgzl*(Years=AC$1))=0,"NoDis","Dis")</f>
        <v>NoDis</v>
      </c>
      <c r="AD45" s="317" t="str">
        <f>IF(SUMPRODUCT(kmvvpcess*(Years=AD$1))+SUMPRODUCT(kmvvpcgzl*(Years=AD$1))=0,"NoDis","Dis")</f>
        <v>NoDis</v>
      </c>
      <c r="AE45" s="317" t="str">
        <f>IF(SUMPRODUCT(kmvvpcess*(Years=AE$1))+SUMPRODUCT(kmvvpcgzl*(Years=AE$1))=0,"NoDis","Dis")</f>
        <v>NoDis</v>
      </c>
      <c r="AF45" s="317" t="str">
        <f>IF(SUMPRODUCT(kmvvpcess*(Years=AF$1))+SUMPRODUCT(kmvvpcgzl*(Years=AF$1))=0,"NoDis","Dis")</f>
        <v>NoDis</v>
      </c>
      <c r="AG45" s="317" t="str">
        <f>IF(SUMPRODUCT(kmvvpcess*(Years=AG$1))+SUMPRODUCT(kmvvpcgzl*(Years=AG$1))=0,"NoDis","Dis")</f>
        <v>NoDis</v>
      </c>
      <c r="AH45" s="317" t="str">
        <f>IF(SUMPRODUCT(kmvvpcess*(Years=AH$1))+SUMPRODUCT(kmvvpcgzl*(Years=AH$1))=0,"NoDis","Dis")</f>
        <v>NoDis</v>
      </c>
      <c r="AI45" s="125"/>
    </row>
    <row r="46" ht="13.5" customHeight="1" outlineLevel="3">
      <c r="A46" s="195"/>
      <c r="B46" s="201"/>
      <c r="C46" s="246"/>
      <c r="D46" s="201"/>
      <c r="E46" s="316" t="s">
        <v>1821</v>
      </c>
      <c r="F46" s="316"/>
      <c r="G46" s="316" t="s">
        <v>1822</v>
      </c>
      <c r="H46" s="317" t="str">
        <f>IF(SUMPRODUCT(csvpcess*(Years=H$1))+SUMPRODUCT(csvpcgzl*(Years=H$1))=0,"NoDis","Dis")</f>
        <v>NoDis</v>
      </c>
      <c r="I46" s="317" t="str">
        <f>IF(SUMPRODUCT(csvpcess*(Years=I$1))+SUMPRODUCT(csvpcgzl*(Years=I$1))=0,"NoDis","Dis")</f>
        <v>NoDis</v>
      </c>
      <c r="J46" s="317" t="str">
        <f>IF(SUMPRODUCT(csvpcess*(Years=J$1))+SUMPRODUCT(csvpcgzl*(Years=J$1))=0,"NoDis","Dis")</f>
        <v>NoDis</v>
      </c>
      <c r="K46" s="317" t="str">
        <f>IF(SUMPRODUCT(csvpcess*(Years=K$1))+SUMPRODUCT(csvpcgzl*(Years=K$1))=0,"NoDis","Dis")</f>
        <v>NoDis</v>
      </c>
      <c r="L46" s="317" t="str">
        <f>IF(SUMPRODUCT(csvpcess*(Years=L$1))+SUMPRODUCT(csvpcgzl*(Years=L$1))=0,"NoDis","Dis")</f>
        <v>NoDis</v>
      </c>
      <c r="M46" s="317" t="str">
        <f>IF(SUMPRODUCT(csvpcess*(Years=M$1))+SUMPRODUCT(csvpcgzl*(Years=M$1))=0,"NoDis","Dis")</f>
        <v>NoDis</v>
      </c>
      <c r="N46" s="317" t="str">
        <f>IF(SUMPRODUCT(csvpcess*(Years=N$1))+SUMPRODUCT(csvpcgzl*(Years=N$1))=0,"NoDis","Dis")</f>
        <v>NoDis</v>
      </c>
      <c r="O46" s="317" t="str">
        <f>IF(SUMPRODUCT(csvpcess*(Years=O$1))+SUMPRODUCT(csvpcgzl*(Years=O$1))=0,"NoDis","Dis")</f>
        <v>NoDis</v>
      </c>
      <c r="P46" s="317" t="str">
        <f>IF(SUMPRODUCT(csvpcess*(Years=P$1))+SUMPRODUCT(csvpcgzl*(Years=P$1))=0,"NoDis","Dis")</f>
        <v>NoDis</v>
      </c>
      <c r="Q46" s="317" t="str">
        <f>IF(SUMPRODUCT(csvpcess*(Years=Q$1))+SUMPRODUCT(csvpcgzl*(Years=Q$1))=0,"NoDis","Dis")</f>
        <v>NoDis</v>
      </c>
      <c r="R46" s="317" t="str">
        <f>IF(SUMPRODUCT(csvpcess*(Years=R$1))+SUMPRODUCT(csvpcgzl*(Years=R$1))=0,"NoDis","Dis")</f>
        <v>NoDis</v>
      </c>
      <c r="S46" s="317" t="str">
        <f>IF(SUMPRODUCT(csvpcess*(Years=S$1))+SUMPRODUCT(csvpcgzl*(Years=S$1))=0,"NoDis","Dis")</f>
        <v>NoDis</v>
      </c>
      <c r="T46" s="317" t="str">
        <f>IF(SUMPRODUCT(csvpcess*(Years=T$1))+SUMPRODUCT(csvpcgzl*(Years=T$1))=0,"NoDis","Dis")</f>
        <v>NoDis</v>
      </c>
      <c r="U46" s="317" t="str">
        <f>IF(SUMPRODUCT(csvpcess*(Years=U$1))+SUMPRODUCT(csvpcgzl*(Years=U$1))=0,"NoDis","Dis")</f>
        <v>NoDis</v>
      </c>
      <c r="V46" s="317" t="str">
        <f>IF(SUMPRODUCT(csvpcess*(Years=V$1))+SUMPRODUCT(csvpcgzl*(Years=V$1))=0,"NoDis","Dis")</f>
        <v>NoDis</v>
      </c>
      <c r="W46" s="317" t="str">
        <f>IF(SUMPRODUCT(csvpcess*(Years=W$1))+SUMPRODUCT(csvpcgzl*(Years=W$1))=0,"NoDis","Dis")</f>
        <v>Dis</v>
      </c>
      <c r="X46" s="317" t="str">
        <f>IF(SUMPRODUCT(csvpcess*(Years=X$1))+SUMPRODUCT(csvpcgzl*(Years=X$1))=0,"NoDis","Dis")</f>
        <v>NoDis</v>
      </c>
      <c r="Y46" s="317" t="str">
        <f>IF(SUMPRODUCT(csvpcess*(Years=Y$1))+SUMPRODUCT(csvpcgzl*(Years=Y$1))=0,"NoDis","Dis")</f>
        <v>NoDis</v>
      </c>
      <c r="Z46" s="317" t="str">
        <f>IF(SUMPRODUCT(csvpcess*(Years=Z$1))+SUMPRODUCT(csvpcgzl*(Years=Z$1))=0,"NoDis","Dis")</f>
        <v>NoDis</v>
      </c>
      <c r="AA46" s="317" t="str">
        <f>IF(SUMPRODUCT(csvpcess*(Years=AA$1))+SUMPRODUCT(csvpcgzl*(Years=AA$1))=0,"NoDis","Dis")</f>
        <v>NoDis</v>
      </c>
      <c r="AB46" s="317" t="str">
        <f>IF(SUMPRODUCT(csvpcess*(Years=AB$1))+SUMPRODUCT(csvpcgzl*(Years=AB$1))=0,"NoDis","Dis")</f>
        <v>Dis</v>
      </c>
      <c r="AC46" s="317" t="str">
        <f>IF(SUMPRODUCT(csvpcess*(Years=AC$1))+SUMPRODUCT(csvpcgzl*(Years=AC$1))=0,"NoDis","Dis")</f>
        <v>Dis</v>
      </c>
      <c r="AD46" s="317" t="str">
        <f>IF(SUMPRODUCT(csvpcess*(Years=AD$1))+SUMPRODUCT(csvpcgzl*(Years=AD$1))=0,"NoDis","Dis")</f>
        <v>Dis</v>
      </c>
      <c r="AE46" s="317" t="str">
        <f>IF(SUMPRODUCT(csvpcess*(Years=AE$1))+SUMPRODUCT(csvpcgzl*(Years=AE$1))=0,"NoDis","Dis")</f>
        <v>Dis</v>
      </c>
      <c r="AF46" s="317" t="str">
        <f>IF(SUMPRODUCT(csvpcess*(Years=AF$1))+SUMPRODUCT(csvpcgzl*(Years=AF$1))=0,"NoDis","Dis")</f>
        <v>Dis</v>
      </c>
      <c r="AG46" s="317" t="str">
        <f>IF(SUMPRODUCT(csvpcess*(Years=AG$1))+SUMPRODUCT(csvpcgzl*(Years=AG$1))=0,"NoDis","Dis")</f>
        <v>Dis</v>
      </c>
      <c r="AH46" s="317" t="str">
        <f>IF(SUMPRODUCT(csvpcess*(Years=AH$1))+SUMPRODUCT(csvpcgzl*(Years=AH$1))=0,"NoDis","Dis")</f>
        <v>Dis</v>
      </c>
      <c r="AI46" s="125"/>
    </row>
    <row r="47" ht="13.5" customHeight="1" outlineLevel="2">
      <c r="A47" s="195"/>
      <c r="B47" s="201"/>
      <c r="C47" s="246"/>
      <c r="D47" s="201"/>
      <c r="E47" s="316" t="s">
        <v>1823</v>
      </c>
      <c r="F47" s="320" t="str">
        <f>IF(COUNTA(elevpchyb)=0,"Row not filled in by partner",IF(SUMPRODUCT(elevpchyb*ProspectiveYears)=0,"Prospective data not filled in by partner","Ok"))</f>
        <v>Ok</v>
      </c>
      <c r="G47" s="320"/>
      <c r="H47" s="317" t="str">
        <f>IF(ISBLANK(elevpchyb),"Missing data","Ok")</f>
        <v>Missing data</v>
      </c>
      <c r="I47" s="317" t="str">
        <f>IF(ISBLANK(elevpchyb),"Missing data","Ok")</f>
        <v>Missing data</v>
      </c>
      <c r="J47" s="317" t="str">
        <f>IF(ISBLANK(elevpchyb),"Missing data","Ok")</f>
        <v>Missing data</v>
      </c>
      <c r="K47" s="317" t="str">
        <f>IF(ISBLANK(elevpchyb),"Missing data","Ok")</f>
        <v>Missing data</v>
      </c>
      <c r="L47" s="317" t="str">
        <f>IF(ISBLANK(elevpchyb),"Missing data","Ok")</f>
        <v>Missing data</v>
      </c>
      <c r="M47" s="317" t="str">
        <f>IF(ISBLANK(elevpchyb),"Missing data","Ok")</f>
        <v>Missing data</v>
      </c>
      <c r="N47" s="317" t="str">
        <f>IF(ISBLANK(elevpchyb),"Missing data","Ok")</f>
        <v>Missing data</v>
      </c>
      <c r="O47" s="317" t="str">
        <f>IF(ISBLANK(elevpchyb),"Missing data","Ok")</f>
        <v>Missing data</v>
      </c>
      <c r="P47" s="317" t="str">
        <f>IF(ISBLANK(elevpchyb),"Missing data","Ok")</f>
        <v>Missing data</v>
      </c>
      <c r="Q47" s="317" t="str">
        <f>IF(ISBLANK(elevpchyb),"Missing data","Ok")</f>
        <v>Missing data</v>
      </c>
      <c r="R47" s="317" t="str">
        <f>IF(ISBLANK(elevpchyb),"Missing data","Ok")</f>
        <v>Missing data</v>
      </c>
      <c r="S47" s="317" t="str">
        <f>IF(ISBLANK(elevpchyb),"Missing data","Ok")</f>
        <v>Missing data</v>
      </c>
      <c r="T47" s="317" t="str">
        <f>IF(ISBLANK(elevpchyb),"Missing data","Ok")</f>
        <v>Missing data</v>
      </c>
      <c r="U47" s="317" t="str">
        <f>IF(ISBLANK(elevpchyb),"Missing data","Ok")</f>
        <v>Missing data</v>
      </c>
      <c r="V47" s="317" t="str">
        <f>IF(ISBLANK(elevpchyb),"Missing data","Ok")</f>
        <v>Missing data</v>
      </c>
      <c r="W47" s="317" t="str">
        <f>IF(ISBLANK(elevpchyb),"Missing data","Ok")</f>
        <v>Ok</v>
      </c>
      <c r="X47" s="317" t="str">
        <f>IF(ISBLANK(elevpchyb),"Missing data","Ok")</f>
        <v>Ok</v>
      </c>
      <c r="Y47" s="317" t="str">
        <f>IF(ISBLANK(elevpchyb),"Missing data","Ok")</f>
        <v>Ok</v>
      </c>
      <c r="Z47" s="317" t="str">
        <f>IF(ISBLANK(elevpchyb),"Missing data","Ok")</f>
        <v>Ok</v>
      </c>
      <c r="AA47" s="317" t="str">
        <f>IF(ISBLANK(elevpchyb),"Missing data","Ok")</f>
        <v>Ok</v>
      </c>
      <c r="AB47" s="317" t="str">
        <f>IF(ISBLANK(elevpchyb),"Missing data","Ok")</f>
        <v>Ok</v>
      </c>
      <c r="AC47" s="317" t="str">
        <f>IF(ISBLANK(elevpchyb),"Missing data","Ok")</f>
        <v>Ok</v>
      </c>
      <c r="AD47" s="317" t="str">
        <f>IF(ISBLANK(elevpchyb),"Missing data","Ok")</f>
        <v>Ok</v>
      </c>
      <c r="AE47" s="317" t="str">
        <f>IF(ISBLANK(elevpchyb),"Missing data","Ok")</f>
        <v>Ok</v>
      </c>
      <c r="AF47" s="317" t="str">
        <f>IF(ISBLANK(elevpchyb),"Missing data","Ok")</f>
        <v>Ok</v>
      </c>
      <c r="AG47" s="317" t="str">
        <f>IF(ISBLANK(elevpchyb),"Missing data","Ok")</f>
        <v>Ok</v>
      </c>
      <c r="AH47" s="317" t="str">
        <f>IF(ISBLANK(elevpchyb),"Missing data","Ok")</f>
        <v>Ok</v>
      </c>
      <c r="AI47" s="125"/>
    </row>
    <row r="48" ht="14.25" customHeight="1" outlineLevel="3">
      <c r="A48" s="439"/>
      <c r="B48" s="393"/>
      <c r="C48" s="393" t="s">
        <v>1824</v>
      </c>
      <c r="D48" s="394"/>
      <c r="E48" s="162"/>
      <c r="F48" s="162"/>
      <c r="G48" s="162"/>
      <c r="H48" s="178"/>
      <c r="I48" s="178"/>
      <c r="J48" s="178"/>
      <c r="K48" s="178"/>
      <c r="L48" s="178"/>
      <c r="M48" s="178"/>
      <c r="N48" s="178"/>
      <c r="O48" s="178"/>
      <c r="P48" s="178"/>
      <c r="Q48" s="178"/>
      <c r="R48" s="178"/>
      <c r="S48" s="178"/>
      <c r="T48" s="178"/>
      <c r="U48" s="178"/>
      <c r="V48" s="178"/>
      <c r="W48" s="178"/>
      <c r="X48" s="178"/>
      <c r="Y48" s="178"/>
      <c r="Z48" s="178"/>
      <c r="AA48" s="178"/>
      <c r="AB48" s="178"/>
      <c r="AC48" s="178"/>
      <c r="AD48" s="178"/>
      <c r="AE48" s="178"/>
      <c r="AF48" s="178"/>
      <c r="AG48" s="178"/>
      <c r="AH48" s="178"/>
      <c r="AI48" s="271"/>
    </row>
    <row r="49" ht="14.25" customHeight="1" outlineLevel="4">
      <c r="A49" s="100"/>
      <c r="B49" s="100"/>
      <c r="C49" s="100"/>
      <c r="D49" s="100"/>
      <c r="E49" s="273" t="s">
        <v>1825</v>
      </c>
      <c r="F49" s="249" t="s">
        <v>1412</v>
      </c>
      <c r="G49" s="123" t="s">
        <v>1826</v>
      </c>
      <c r="H49" s="274">
        <f t="array" ref="H49:AH49">csvpclqf/100*IF(pcspci="HHV",prmcebvpclqf,prmcenvpclqf)</f>
        <v>0</v>
      </c>
      <c r="I49" s="274">
        <v>0.0</v>
      </c>
      <c r="J49" s="274">
        <v>0.0</v>
      </c>
      <c r="K49" s="274">
        <v>0.0</v>
      </c>
      <c r="L49" s="274">
        <v>0.0</v>
      </c>
      <c r="M49" s="274">
        <v>0.0</v>
      </c>
      <c r="N49" s="274">
        <v>0.0</v>
      </c>
      <c r="O49" s="274">
        <v>0.0</v>
      </c>
      <c r="P49" s="274">
        <v>0.0</v>
      </c>
      <c r="Q49" s="274">
        <v>0.0</v>
      </c>
      <c r="R49" s="274">
        <v>0.0</v>
      </c>
      <c r="S49" s="274">
        <v>0.0</v>
      </c>
      <c r="T49" s="274">
        <v>0.0</v>
      </c>
      <c r="U49" s="274">
        <v>0.0</v>
      </c>
      <c r="V49" s="274">
        <v>0.0</v>
      </c>
      <c r="W49" s="274">
        <v>0.6295522372390562</v>
      </c>
      <c r="X49" s="274">
        <v>0.0</v>
      </c>
      <c r="Y49" s="274">
        <v>0.0</v>
      </c>
      <c r="Z49" s="274">
        <v>0.0</v>
      </c>
      <c r="AA49" s="274">
        <v>0.0</v>
      </c>
      <c r="AB49" s="274">
        <v>0.6294030589578238</v>
      </c>
      <c r="AC49" s="274">
        <v>0.5817086214862581</v>
      </c>
      <c r="AD49" s="274">
        <v>0.5092032112134488</v>
      </c>
      <c r="AE49" s="274">
        <v>0.4320000000000004</v>
      </c>
      <c r="AF49" s="274">
        <v>0.4320000000000004</v>
      </c>
      <c r="AG49" s="274">
        <v>0.4320000000000004</v>
      </c>
      <c r="AH49" s="274">
        <v>0.4320000000000004</v>
      </c>
      <c r="AI49" s="318"/>
    </row>
    <row r="50" ht="14.25" customHeight="1" outlineLevel="4">
      <c r="A50" s="195"/>
      <c r="B50" s="201"/>
      <c r="C50" s="201"/>
      <c r="D50" s="201"/>
      <c r="E50" s="273" t="s">
        <v>1827</v>
      </c>
      <c r="F50" s="249" t="s">
        <v>1412</v>
      </c>
      <c r="G50" s="123" t="s">
        <v>1828</v>
      </c>
      <c r="H50" s="274">
        <f t="array" ref="H50:AH50">csvpcess/100*IF(pcspci="HHV",prmcebvpcess,prmcenvpcess)</f>
        <v>0</v>
      </c>
      <c r="I50" s="274">
        <v>0.0</v>
      </c>
      <c r="J50" s="274">
        <v>0.0</v>
      </c>
      <c r="K50" s="274">
        <v>0.0</v>
      </c>
      <c r="L50" s="274">
        <v>0.0</v>
      </c>
      <c r="M50" s="274">
        <v>0.0</v>
      </c>
      <c r="N50" s="274">
        <v>0.0</v>
      </c>
      <c r="O50" s="274">
        <v>0.0</v>
      </c>
      <c r="P50" s="274">
        <v>0.0</v>
      </c>
      <c r="Q50" s="274">
        <v>0.0</v>
      </c>
      <c r="R50" s="274">
        <v>0.0</v>
      </c>
      <c r="S50" s="274">
        <v>0.0</v>
      </c>
      <c r="T50" s="274">
        <v>0.0</v>
      </c>
      <c r="U50" s="274">
        <v>0.0</v>
      </c>
      <c r="V50" s="274">
        <v>0.0</v>
      </c>
      <c r="W50" s="274">
        <v>0.6585347974583999</v>
      </c>
      <c r="X50" s="274">
        <v>0.0</v>
      </c>
      <c r="Y50" s="274">
        <v>0.0</v>
      </c>
      <c r="Z50" s="274">
        <v>0.0</v>
      </c>
      <c r="AA50" s="274">
        <v>0.0</v>
      </c>
      <c r="AB50" s="274">
        <v>0.658378751488891</v>
      </c>
      <c r="AC50" s="274">
        <v>0.608488615512291</v>
      </c>
      <c r="AD50" s="274">
        <v>0.5326452893444058</v>
      </c>
      <c r="AE50" s="274">
        <v>0.4518878905897718</v>
      </c>
      <c r="AF50" s="274">
        <v>0.4518878905897718</v>
      </c>
      <c r="AG50" s="274">
        <v>0.4518878905897718</v>
      </c>
      <c r="AH50" s="274">
        <v>0.4518878905897718</v>
      </c>
      <c r="AI50" s="318"/>
    </row>
    <row r="51" ht="14.25" customHeight="1" outlineLevel="4">
      <c r="A51" s="195"/>
      <c r="B51" s="201"/>
      <c r="C51" s="201"/>
      <c r="D51" s="201"/>
      <c r="E51" s="273" t="s">
        <v>1829</v>
      </c>
      <c r="F51" s="123" t="s">
        <v>1412</v>
      </c>
      <c r="G51" s="123" t="s">
        <v>1830</v>
      </c>
      <c r="H51" s="274">
        <f t="array" ref="H51:AH51">csvpcgzl/100*IF(pcspci="HHV",prmcebvpcgzl,prmcenvpcgzl)</f>
        <v>0</v>
      </c>
      <c r="I51" s="274">
        <v>0.0</v>
      </c>
      <c r="J51" s="274">
        <v>0.0</v>
      </c>
      <c r="K51" s="274">
        <v>0.0</v>
      </c>
      <c r="L51" s="274">
        <v>0.0</v>
      </c>
      <c r="M51" s="274">
        <v>0.0</v>
      </c>
      <c r="N51" s="274">
        <v>0.0</v>
      </c>
      <c r="O51" s="274">
        <v>0.0</v>
      </c>
      <c r="P51" s="274">
        <v>0.0</v>
      </c>
      <c r="Q51" s="274">
        <v>0.0</v>
      </c>
      <c r="R51" s="274">
        <v>0.0</v>
      </c>
      <c r="S51" s="274">
        <v>0.0</v>
      </c>
      <c r="T51" s="274">
        <v>0.0</v>
      </c>
      <c r="U51" s="274">
        <v>0.0</v>
      </c>
      <c r="V51" s="274">
        <v>0.0</v>
      </c>
      <c r="W51" s="274">
        <v>0.6048633896447996</v>
      </c>
      <c r="X51" s="274">
        <v>0.0</v>
      </c>
      <c r="Y51" s="274">
        <v>0.0</v>
      </c>
      <c r="Z51" s="274">
        <v>0.0</v>
      </c>
      <c r="AA51" s="274">
        <v>0.0</v>
      </c>
      <c r="AB51" s="274">
        <v>0.6047200616165445</v>
      </c>
      <c r="AC51" s="274">
        <v>0.5588960339826017</v>
      </c>
      <c r="AD51" s="274">
        <v>0.4892340335463358</v>
      </c>
      <c r="AE51" s="274">
        <v>0.4150584635716752</v>
      </c>
      <c r="AF51" s="274">
        <v>0.4150584635716752</v>
      </c>
      <c r="AG51" s="274">
        <v>0.4150584635716752</v>
      </c>
      <c r="AH51" s="274">
        <v>0.4150584635716752</v>
      </c>
      <c r="AI51" s="318"/>
    </row>
    <row r="52" ht="14.25" customHeight="1" outlineLevel="4">
      <c r="A52" s="195"/>
      <c r="B52" s="201"/>
      <c r="C52" s="201"/>
      <c r="D52" s="201"/>
      <c r="E52" s="273" t="s">
        <v>1831</v>
      </c>
      <c r="F52" s="123" t="s">
        <v>1412</v>
      </c>
      <c r="G52" s="123" t="s">
        <v>1832</v>
      </c>
      <c r="H52" s="274">
        <f t="array" ref="H52:AH52">csvpcgpl/100*IF(pcspci="HHV",prmcebvpcgpl,prmcenvpcgpl)</f>
        <v>0</v>
      </c>
      <c r="I52" s="274">
        <v>0.0</v>
      </c>
      <c r="J52" s="274">
        <v>0.0</v>
      </c>
      <c r="K52" s="274">
        <v>0.0</v>
      </c>
      <c r="L52" s="274">
        <v>0.0</v>
      </c>
      <c r="M52" s="274">
        <v>0.0</v>
      </c>
      <c r="N52" s="274">
        <v>0.0</v>
      </c>
      <c r="O52" s="274">
        <v>0.0</v>
      </c>
      <c r="P52" s="274">
        <v>0.0</v>
      </c>
      <c r="Q52" s="274">
        <v>0.0</v>
      </c>
      <c r="R52" s="274">
        <v>0.0</v>
      </c>
      <c r="S52" s="274">
        <v>0.0</v>
      </c>
      <c r="T52" s="274">
        <v>0.0</v>
      </c>
      <c r="U52" s="274">
        <v>0.0</v>
      </c>
      <c r="V52" s="274">
        <v>0.0</v>
      </c>
      <c r="W52" s="274">
        <v>0.6295522372390564</v>
      </c>
      <c r="X52" s="274">
        <v>0.0</v>
      </c>
      <c r="Y52" s="274">
        <v>0.0</v>
      </c>
      <c r="Z52" s="274">
        <v>0.0</v>
      </c>
      <c r="AA52" s="274">
        <v>0.0</v>
      </c>
      <c r="AB52" s="274">
        <v>0.6294030589578236</v>
      </c>
      <c r="AC52" s="274">
        <v>0.5817086214862583</v>
      </c>
      <c r="AD52" s="274">
        <v>0.5092032112134484</v>
      </c>
      <c r="AE52" s="274">
        <v>0.4319999999999998</v>
      </c>
      <c r="AF52" s="274">
        <v>0.4319999999999998</v>
      </c>
      <c r="AG52" s="274">
        <v>0.4319999999999998</v>
      </c>
      <c r="AH52" s="274">
        <v>0.4319999999999998</v>
      </c>
      <c r="AI52" s="318"/>
    </row>
    <row r="53" ht="14.25" customHeight="1" outlineLevel="4">
      <c r="A53" s="195"/>
      <c r="B53" s="201"/>
      <c r="C53" s="201"/>
      <c r="D53" s="201"/>
      <c r="E53" s="273" t="s">
        <v>1833</v>
      </c>
      <c r="F53" s="123" t="s">
        <v>1412</v>
      </c>
      <c r="G53" s="123" t="s">
        <v>1834</v>
      </c>
      <c r="H53" s="274">
        <f t="array" ref="H53:AH53">csvpcngv/100*IF(pcspci="HHV",prmcebvpcngv,prmcenvpcngv)</f>
        <v>0</v>
      </c>
      <c r="I53" s="274">
        <v>0.0</v>
      </c>
      <c r="J53" s="274">
        <v>0.0</v>
      </c>
      <c r="K53" s="274">
        <v>0.0</v>
      </c>
      <c r="L53" s="274">
        <v>0.0</v>
      </c>
      <c r="M53" s="274">
        <v>0.0</v>
      </c>
      <c r="N53" s="274">
        <v>0.0</v>
      </c>
      <c r="O53" s="274">
        <v>0.0</v>
      </c>
      <c r="P53" s="274">
        <v>0.0</v>
      </c>
      <c r="Q53" s="274">
        <v>0.0</v>
      </c>
      <c r="R53" s="274">
        <v>0.0</v>
      </c>
      <c r="S53" s="274">
        <v>0.0</v>
      </c>
      <c r="T53" s="274">
        <v>0.0</v>
      </c>
      <c r="U53" s="274">
        <v>0.0</v>
      </c>
      <c r="V53" s="274">
        <v>0.0</v>
      </c>
      <c r="W53" s="274">
        <v>0.4724999999999998</v>
      </c>
      <c r="X53" s="274">
        <v>0.0</v>
      </c>
      <c r="Y53" s="274">
        <v>0.0</v>
      </c>
      <c r="Z53" s="274">
        <v>0.0</v>
      </c>
      <c r="AA53" s="274">
        <v>0.0</v>
      </c>
      <c r="AB53" s="274">
        <v>0.4724999999999998</v>
      </c>
      <c r="AC53" s="274">
        <v>0.4585326909876702</v>
      </c>
      <c r="AD53" s="274">
        <v>0.4560663454938348</v>
      </c>
      <c r="AE53" s="274">
        <v>0.45359999999999956</v>
      </c>
      <c r="AF53" s="274">
        <v>0.45359999999999956</v>
      </c>
      <c r="AG53" s="274">
        <v>0.45359999999999956</v>
      </c>
      <c r="AH53" s="274">
        <v>0.45359999999999956</v>
      </c>
      <c r="AI53" s="318"/>
    </row>
    <row r="54" ht="14.25" customHeight="1" outlineLevel="4">
      <c r="A54" s="100"/>
      <c r="B54" s="100"/>
      <c r="C54" s="100"/>
      <c r="D54" s="100"/>
      <c r="E54" s="273" t="s">
        <v>1835</v>
      </c>
      <c r="F54" s="123" t="s">
        <v>1412</v>
      </c>
      <c r="G54" s="123" t="s">
        <v>1836</v>
      </c>
      <c r="H54" s="274">
        <f t="array" ref="H54:AH54">csvpchyd/100*IF(pcspci="HHV",prmcebvpchyd,prmcenvpchyd)</f>
        <v>0</v>
      </c>
      <c r="I54" s="274">
        <v>0.0</v>
      </c>
      <c r="J54" s="274">
        <v>0.0</v>
      </c>
      <c r="K54" s="274">
        <v>0.0</v>
      </c>
      <c r="L54" s="274">
        <v>0.0</v>
      </c>
      <c r="M54" s="274">
        <v>0.0</v>
      </c>
      <c r="N54" s="274">
        <v>0.0</v>
      </c>
      <c r="O54" s="274">
        <v>0.0</v>
      </c>
      <c r="P54" s="274">
        <v>0.0</v>
      </c>
      <c r="Q54" s="274">
        <v>0.0</v>
      </c>
      <c r="R54" s="274">
        <v>0.0</v>
      </c>
      <c r="S54" s="274">
        <v>0.0</v>
      </c>
      <c r="T54" s="274">
        <v>0.0</v>
      </c>
      <c r="U54" s="274">
        <v>0.0</v>
      </c>
      <c r="V54" s="274">
        <v>0.0</v>
      </c>
      <c r="W54" s="274">
        <v>0.37521989119105226</v>
      </c>
      <c r="X54" s="274">
        <v>0.0</v>
      </c>
      <c r="Y54" s="274">
        <v>0.0</v>
      </c>
      <c r="Z54" s="274">
        <v>0.0</v>
      </c>
      <c r="AA54" s="274">
        <v>0.0</v>
      </c>
      <c r="AB54" s="274">
        <v>0.37521989119105226</v>
      </c>
      <c r="AC54" s="274">
        <v>0.36377999999999916</v>
      </c>
      <c r="AD54" s="274">
        <v>0.32406499999999994</v>
      </c>
      <c r="AE54" s="274">
        <v>0.2741759999999998</v>
      </c>
      <c r="AF54" s="274">
        <v>0.24676399999999998</v>
      </c>
      <c r="AG54" s="274">
        <v>0.21800000000000008</v>
      </c>
      <c r="AH54" s="274">
        <v>0.21800000000000008</v>
      </c>
      <c r="AI54" s="318"/>
    </row>
    <row r="55" ht="14.25" customHeight="1" outlineLevel="4">
      <c r="A55" s="100"/>
      <c r="B55" s="100"/>
      <c r="C55" s="100"/>
      <c r="D55" s="100"/>
      <c r="E55" s="273" t="s">
        <v>1837</v>
      </c>
      <c r="F55" s="123" t="s">
        <v>1412</v>
      </c>
      <c r="G55" s="123" t="s">
        <v>1838</v>
      </c>
      <c r="H55" s="445" t="str">
        <f t="array" ref="H55:AH55">csvpcele</f>
        <v/>
      </c>
      <c r="I55" s="445"/>
      <c r="J55" s="445"/>
      <c r="K55" s="445"/>
      <c r="L55" s="445"/>
      <c r="M55" s="445"/>
      <c r="N55" s="445"/>
      <c r="O55" s="445"/>
      <c r="P55" s="445"/>
      <c r="Q55" s="445"/>
      <c r="R55" s="445"/>
      <c r="S55" s="445"/>
      <c r="T55" s="445"/>
      <c r="U55" s="445"/>
      <c r="V55" s="445"/>
      <c r="W55" s="445">
        <v>0.220090220414389</v>
      </c>
      <c r="X55" s="445"/>
      <c r="Y55" s="445"/>
      <c r="Z55" s="445"/>
      <c r="AA55" s="445"/>
      <c r="AB55" s="445">
        <v>0.220090220414389</v>
      </c>
      <c r="AC55" s="445">
        <v>0.21338</v>
      </c>
      <c r="AD55" s="445">
        <v>0.190115</v>
      </c>
      <c r="AE55" s="445">
        <v>0.160896</v>
      </c>
      <c r="AF55" s="445">
        <v>0.144844</v>
      </c>
      <c r="AG55" s="445">
        <v>0.128</v>
      </c>
      <c r="AH55" s="445">
        <v>0.128</v>
      </c>
      <c r="AI55" s="318"/>
    </row>
    <row r="56" ht="14.25" customHeight="1" outlineLevel="4">
      <c r="A56" s="195"/>
      <c r="B56" s="201"/>
      <c r="C56" s="201"/>
      <c r="D56" s="201"/>
      <c r="E56" s="273" t="s">
        <v>1839</v>
      </c>
      <c r="F56" s="123" t="s">
        <v>1412</v>
      </c>
      <c r="G56" s="123" t="s">
        <v>1840</v>
      </c>
      <c r="H56" s="445">
        <f t="array" ref="H56:AH56">calcsklqfvpc</f>
        <v>0</v>
      </c>
      <c r="I56" s="445">
        <v>0.0</v>
      </c>
      <c r="J56" s="445">
        <v>0.0</v>
      </c>
      <c r="K56" s="445">
        <v>0.0</v>
      </c>
      <c r="L56" s="445">
        <v>0.0</v>
      </c>
      <c r="M56" s="445">
        <v>0.0</v>
      </c>
      <c r="N56" s="445">
        <v>0.0</v>
      </c>
      <c r="O56" s="445">
        <v>0.0</v>
      </c>
      <c r="P56" s="445">
        <v>0.0</v>
      </c>
      <c r="Q56" s="445">
        <v>0.0</v>
      </c>
      <c r="R56" s="445">
        <v>0.0</v>
      </c>
      <c r="S56" s="445">
        <v>0.0</v>
      </c>
      <c r="T56" s="445">
        <v>0.0</v>
      </c>
      <c r="U56" s="445">
        <v>0.0</v>
      </c>
      <c r="V56" s="445">
        <v>0.0</v>
      </c>
      <c r="W56" s="445">
        <v>0.6295522372390562</v>
      </c>
      <c r="X56" s="445">
        <v>0.0</v>
      </c>
      <c r="Y56" s="445">
        <v>0.0</v>
      </c>
      <c r="Z56" s="445">
        <v>0.0</v>
      </c>
      <c r="AA56" s="445">
        <v>0.0</v>
      </c>
      <c r="AB56" s="445">
        <v>0.6294030589578238</v>
      </c>
      <c r="AC56" s="445">
        <v>0.5817086214862581</v>
      </c>
      <c r="AD56" s="445">
        <v>0.5092032112134488</v>
      </c>
      <c r="AE56" s="445">
        <v>0.4320000000000004</v>
      </c>
      <c r="AF56" s="445">
        <v>0.4320000000000004</v>
      </c>
      <c r="AG56" s="445">
        <v>0.4320000000000004</v>
      </c>
      <c r="AH56" s="445">
        <v>0.4320000000000004</v>
      </c>
      <c r="AI56" s="318" t="s">
        <v>1841</v>
      </c>
    </row>
    <row r="57" ht="14.25" customHeight="1" outlineLevel="4">
      <c r="A57" s="195"/>
      <c r="B57" s="201"/>
      <c r="C57" s="201"/>
      <c r="D57" s="201"/>
      <c r="E57" s="273" t="s">
        <v>1842</v>
      </c>
      <c r="F57" s="123" t="s">
        <v>1412</v>
      </c>
      <c r="G57" s="123" t="s">
        <v>1843</v>
      </c>
      <c r="H57" s="445">
        <f t="array" ref="H57:AH57">calcsklqfvpc</f>
        <v>0</v>
      </c>
      <c r="I57" s="445">
        <v>0.0</v>
      </c>
      <c r="J57" s="445">
        <v>0.0</v>
      </c>
      <c r="K57" s="445">
        <v>0.0</v>
      </c>
      <c r="L57" s="445">
        <v>0.0</v>
      </c>
      <c r="M57" s="445">
        <v>0.0</v>
      </c>
      <c r="N57" s="445">
        <v>0.0</v>
      </c>
      <c r="O57" s="445">
        <v>0.0</v>
      </c>
      <c r="P57" s="445">
        <v>0.0</v>
      </c>
      <c r="Q57" s="445">
        <v>0.0</v>
      </c>
      <c r="R57" s="445">
        <v>0.0</v>
      </c>
      <c r="S57" s="445">
        <v>0.0</v>
      </c>
      <c r="T57" s="445">
        <v>0.0</v>
      </c>
      <c r="U57" s="445">
        <v>0.0</v>
      </c>
      <c r="V57" s="445">
        <v>0.0</v>
      </c>
      <c r="W57" s="445">
        <v>0.6295522372390562</v>
      </c>
      <c r="X57" s="445">
        <v>0.0</v>
      </c>
      <c r="Y57" s="445">
        <v>0.0</v>
      </c>
      <c r="Z57" s="445">
        <v>0.0</v>
      </c>
      <c r="AA57" s="445">
        <v>0.0</v>
      </c>
      <c r="AB57" s="445">
        <v>0.6294030589578238</v>
      </c>
      <c r="AC57" s="445">
        <v>0.5817086214862581</v>
      </c>
      <c r="AD57" s="445">
        <v>0.5092032112134488</v>
      </c>
      <c r="AE57" s="445">
        <v>0.4320000000000004</v>
      </c>
      <c r="AF57" s="445">
        <v>0.4320000000000004</v>
      </c>
      <c r="AG57" s="445">
        <v>0.4320000000000004</v>
      </c>
      <c r="AH57" s="445">
        <v>0.4320000000000004</v>
      </c>
      <c r="AI57" s="318" t="s">
        <v>1841</v>
      </c>
    </row>
    <row r="58" ht="14.25" customHeight="1" outlineLevel="4">
      <c r="A58" s="195"/>
      <c r="B58" s="201"/>
      <c r="C58" s="201"/>
      <c r="D58" s="201"/>
      <c r="E58" s="273" t="s">
        <v>1844</v>
      </c>
      <c r="F58" s="123" t="s">
        <v>1412</v>
      </c>
      <c r="G58" s="123" t="s">
        <v>1845</v>
      </c>
      <c r="H58" s="445">
        <f t="array" ref="H58:AH58">calcskngvvpc</f>
        <v>0</v>
      </c>
      <c r="I58" s="445">
        <v>0.0</v>
      </c>
      <c r="J58" s="445">
        <v>0.0</v>
      </c>
      <c r="K58" s="445">
        <v>0.0</v>
      </c>
      <c r="L58" s="445">
        <v>0.0</v>
      </c>
      <c r="M58" s="445">
        <v>0.0</v>
      </c>
      <c r="N58" s="445">
        <v>0.0</v>
      </c>
      <c r="O58" s="445">
        <v>0.0</v>
      </c>
      <c r="P58" s="445">
        <v>0.0</v>
      </c>
      <c r="Q58" s="445">
        <v>0.0</v>
      </c>
      <c r="R58" s="445">
        <v>0.0</v>
      </c>
      <c r="S58" s="445">
        <v>0.0</v>
      </c>
      <c r="T58" s="445">
        <v>0.0</v>
      </c>
      <c r="U58" s="445">
        <v>0.0</v>
      </c>
      <c r="V58" s="445">
        <v>0.0</v>
      </c>
      <c r="W58" s="445">
        <v>0.4724999999999998</v>
      </c>
      <c r="X58" s="445">
        <v>0.0</v>
      </c>
      <c r="Y58" s="445">
        <v>0.0</v>
      </c>
      <c r="Z58" s="445">
        <v>0.0</v>
      </c>
      <c r="AA58" s="445">
        <v>0.0</v>
      </c>
      <c r="AB58" s="445">
        <v>0.4724999999999998</v>
      </c>
      <c r="AC58" s="445">
        <v>0.4585326909876702</v>
      </c>
      <c r="AD58" s="445">
        <v>0.4560663454938348</v>
      </c>
      <c r="AE58" s="445">
        <v>0.45359999999999956</v>
      </c>
      <c r="AF58" s="445">
        <v>0.45359999999999956</v>
      </c>
      <c r="AG58" s="445">
        <v>0.45359999999999956</v>
      </c>
      <c r="AH58" s="445">
        <v>0.45359999999999956</v>
      </c>
      <c r="AI58" s="318" t="s">
        <v>1841</v>
      </c>
    </row>
    <row r="59" ht="14.25" customHeight="1" outlineLevel="4">
      <c r="A59" s="195"/>
      <c r="B59" s="201"/>
      <c r="C59" s="201"/>
      <c r="D59" s="201"/>
      <c r="E59" s="273" t="s">
        <v>1846</v>
      </c>
      <c r="F59" s="123" t="s">
        <v>1412</v>
      </c>
      <c r="G59" s="123" t="s">
        <v>1847</v>
      </c>
      <c r="H59" s="445" t="str">
        <f t="array" ref="H59:AH59">calcskelevpc</f>
        <v/>
      </c>
      <c r="I59" s="445"/>
      <c r="J59" s="445"/>
      <c r="K59" s="445"/>
      <c r="L59" s="445"/>
      <c r="M59" s="445"/>
      <c r="N59" s="445"/>
      <c r="O59" s="445"/>
      <c r="P59" s="445"/>
      <c r="Q59" s="445"/>
      <c r="R59" s="445"/>
      <c r="S59" s="445"/>
      <c r="T59" s="445"/>
      <c r="U59" s="445"/>
      <c r="V59" s="445"/>
      <c r="W59" s="445">
        <v>0.220090220414389</v>
      </c>
      <c r="X59" s="445"/>
      <c r="Y59" s="445"/>
      <c r="Z59" s="445"/>
      <c r="AA59" s="445"/>
      <c r="AB59" s="445">
        <v>0.220090220414389</v>
      </c>
      <c r="AC59" s="445">
        <v>0.21338</v>
      </c>
      <c r="AD59" s="445">
        <v>0.190115</v>
      </c>
      <c r="AE59" s="445">
        <v>0.160896</v>
      </c>
      <c r="AF59" s="445">
        <v>0.144844</v>
      </c>
      <c r="AG59" s="445">
        <v>0.128</v>
      </c>
      <c r="AH59" s="445">
        <v>0.128</v>
      </c>
      <c r="AI59" s="318" t="s">
        <v>1841</v>
      </c>
    </row>
    <row r="60" ht="14.25" customHeight="1" outlineLevel="3">
      <c r="A60" s="439"/>
      <c r="B60" s="393"/>
      <c r="C60" s="393" t="s">
        <v>1848</v>
      </c>
      <c r="D60" s="394"/>
      <c r="E60" s="162"/>
      <c r="F60" s="162"/>
      <c r="G60" s="162"/>
      <c r="H60" s="178"/>
      <c r="I60" s="178"/>
      <c r="J60" s="178"/>
      <c r="K60" s="178"/>
      <c r="L60" s="178"/>
      <c r="M60" s="178"/>
      <c r="N60" s="178"/>
      <c r="O60" s="178"/>
      <c r="P60" s="178"/>
      <c r="Q60" s="178"/>
      <c r="R60" s="178"/>
      <c r="S60" s="178"/>
      <c r="T60" s="178"/>
      <c r="U60" s="178"/>
      <c r="V60" s="178"/>
      <c r="W60" s="178"/>
      <c r="X60" s="178"/>
      <c r="Y60" s="178"/>
      <c r="Z60" s="178"/>
      <c r="AA60" s="178"/>
      <c r="AB60" s="178"/>
      <c r="AC60" s="178"/>
      <c r="AD60" s="178"/>
      <c r="AE60" s="178"/>
      <c r="AF60" s="178"/>
      <c r="AG60" s="178"/>
      <c r="AH60" s="178"/>
      <c r="AI60" s="271"/>
    </row>
    <row r="61" ht="14.25" customHeight="1" outlineLevel="4">
      <c r="A61" s="100"/>
      <c r="B61" s="100"/>
      <c r="C61" s="100"/>
      <c r="D61" s="100"/>
      <c r="E61" s="273" t="s">
        <v>1849</v>
      </c>
      <c r="F61" s="249" t="s">
        <v>1850</v>
      </c>
      <c r="G61" s="123" t="s">
        <v>1851</v>
      </c>
      <c r="H61" s="274">
        <f t="array" ref="H61:AH61">IF(capvp,pkmvpclqf/capvp,)</f>
        <v>75.51830809</v>
      </c>
      <c r="I61" s="274">
        <v>78.18741938262193</v>
      </c>
      <c r="J61" s="274">
        <v>78.21478232112808</v>
      </c>
      <c r="K61" s="274">
        <v>80.94342643613112</v>
      </c>
      <c r="L61" s="274">
        <v>81.74058054846962</v>
      </c>
      <c r="M61" s="274">
        <v>79.00476146760927</v>
      </c>
      <c r="N61" s="274">
        <v>81.46826334285178</v>
      </c>
      <c r="O61" s="274">
        <v>85.17813183292802</v>
      </c>
      <c r="P61" s="274">
        <v>87.38038629935883</v>
      </c>
      <c r="Q61" s="274">
        <v>87.9407852865957</v>
      </c>
      <c r="R61" s="274">
        <v>87.87875034855948</v>
      </c>
      <c r="S61" s="274">
        <v>88.53811768106124</v>
      </c>
      <c r="T61" s="274">
        <v>87.5385509268077</v>
      </c>
      <c r="U61" s="274">
        <v>85.95662655278372</v>
      </c>
      <c r="V61" s="274">
        <v>89.0281337990323</v>
      </c>
      <c r="W61" s="274">
        <v>91.54893586772896</v>
      </c>
      <c r="X61" s="274"/>
      <c r="Y61" s="274">
        <v>0.0</v>
      </c>
      <c r="Z61" s="274"/>
      <c r="AA61" s="274"/>
      <c r="AB61" s="274">
        <v>88.8359681255904</v>
      </c>
      <c r="AC61" s="274">
        <v>66.17045352369372</v>
      </c>
      <c r="AD61" s="274">
        <v>34.131496698401165</v>
      </c>
      <c r="AE61" s="274">
        <v>13.602197598230768</v>
      </c>
      <c r="AF61" s="274">
        <v>4.079881578363159</v>
      </c>
      <c r="AG61" s="274">
        <v>1.420479664326154</v>
      </c>
      <c r="AH61" s="274">
        <v>0.15719586513866973</v>
      </c>
      <c r="AI61" s="318"/>
    </row>
    <row r="62" ht="14.25" customHeight="1" outlineLevel="4">
      <c r="A62" s="100"/>
      <c r="B62" s="100"/>
      <c r="C62" s="100"/>
      <c r="D62" s="100"/>
      <c r="E62" s="273" t="s">
        <v>1852</v>
      </c>
      <c r="F62" s="249" t="s">
        <v>1850</v>
      </c>
      <c r="G62" s="123" t="s">
        <v>1853</v>
      </c>
      <c r="H62" s="274" t="str">
        <f t="array" ref="H62:AH62">IF(crdmstvpc="stock",M*nbrvpcess*IF(crddisvpc="NoDis",kmvvpc,kmvvpcess)/G,)</f>
        <v/>
      </c>
      <c r="I62" s="274"/>
      <c r="J62" s="274"/>
      <c r="K62" s="274"/>
      <c r="L62" s="274"/>
      <c r="M62" s="274"/>
      <c r="N62" s="274"/>
      <c r="O62" s="274"/>
      <c r="P62" s="274"/>
      <c r="Q62" s="274"/>
      <c r="R62" s="274"/>
      <c r="S62" s="274"/>
      <c r="T62" s="274"/>
      <c r="U62" s="274"/>
      <c r="V62" s="274"/>
      <c r="W62" s="274"/>
      <c r="X62" s="274"/>
      <c r="Y62" s="274"/>
      <c r="Z62" s="274"/>
      <c r="AA62" s="274"/>
      <c r="AB62" s="274"/>
      <c r="AC62" s="274"/>
      <c r="AD62" s="274"/>
      <c r="AE62" s="274"/>
      <c r="AF62" s="274"/>
      <c r="AG62" s="274"/>
      <c r="AH62" s="274"/>
      <c r="AI62" s="318"/>
    </row>
    <row r="63" ht="14.25" customHeight="1" outlineLevel="4">
      <c r="A63" s="100"/>
      <c r="B63" s="100"/>
      <c r="C63" s="100"/>
      <c r="D63" s="100"/>
      <c r="E63" s="273" t="s">
        <v>1854</v>
      </c>
      <c r="F63" s="249" t="s">
        <v>1850</v>
      </c>
      <c r="G63" s="123" t="s">
        <v>1855</v>
      </c>
      <c r="H63" s="274" t="str">
        <f t="array" ref="H63:AH63">IF(crdmstvpc="stock",M*nbrvpcgzl*IF(crddisvpc="NoDis",kmvvpc,kmvvpcgzl)/G,)</f>
        <v/>
      </c>
      <c r="I63" s="274"/>
      <c r="J63" s="274"/>
      <c r="K63" s="274"/>
      <c r="L63" s="274"/>
      <c r="M63" s="274"/>
      <c r="N63" s="274"/>
      <c r="O63" s="274"/>
      <c r="P63" s="274"/>
      <c r="Q63" s="274"/>
      <c r="R63" s="274"/>
      <c r="S63" s="274"/>
      <c r="T63" s="274"/>
      <c r="U63" s="274"/>
      <c r="V63" s="274"/>
      <c r="W63" s="274"/>
      <c r="X63" s="274"/>
      <c r="Y63" s="274"/>
      <c r="Z63" s="274"/>
      <c r="AA63" s="274"/>
      <c r="AB63" s="274"/>
      <c r="AC63" s="274"/>
      <c r="AD63" s="274"/>
      <c r="AE63" s="274"/>
      <c r="AF63" s="274"/>
      <c r="AG63" s="274"/>
      <c r="AH63" s="274"/>
      <c r="AI63" s="318"/>
    </row>
    <row r="64" ht="14.25" customHeight="1" outlineLevel="4">
      <c r="A64" s="100"/>
      <c r="B64" s="100"/>
      <c r="C64" s="100"/>
      <c r="D64" s="100"/>
      <c r="E64" s="273" t="s">
        <v>1856</v>
      </c>
      <c r="F64" s="249" t="s">
        <v>1850</v>
      </c>
      <c r="G64" s="123" t="s">
        <v>1857</v>
      </c>
      <c r="H64" s="274">
        <f t="array" ref="H64:AH64">IF(crdmstvpc="pkm",IF(capvp,pkmvpcgpl/capvp,),nbrvpcgpl*kmvvpc/k)</f>
        <v>0.7415534484</v>
      </c>
      <c r="I64" s="274">
        <v>0.8899462440770289</v>
      </c>
      <c r="J64" s="274">
        <v>0.8997203638423561</v>
      </c>
      <c r="K64" s="274">
        <v>0.8386896824641051</v>
      </c>
      <c r="L64" s="274">
        <v>0.784167084552048</v>
      </c>
      <c r="M64" s="274">
        <v>0.6956568774598352</v>
      </c>
      <c r="N64" s="274">
        <v>0.6415744942392417</v>
      </c>
      <c r="O64" s="274">
        <v>0.5754120926095834</v>
      </c>
      <c r="P64" s="274">
        <v>0.532027540957181</v>
      </c>
      <c r="Q64" s="274">
        <v>0.4831227307295573</v>
      </c>
      <c r="R64" s="274">
        <v>0.4323502761477005</v>
      </c>
      <c r="S64" s="274">
        <v>0.4813810373376917</v>
      </c>
      <c r="T64" s="274">
        <v>0.492268093540185</v>
      </c>
      <c r="U64" s="274">
        <v>0.4480063674834052</v>
      </c>
      <c r="V64" s="274">
        <v>0.5123234978830837</v>
      </c>
      <c r="W64" s="274">
        <v>0.722717821226506</v>
      </c>
      <c r="X64" s="274"/>
      <c r="Y64" s="274">
        <v>0.0</v>
      </c>
      <c r="Z64" s="274"/>
      <c r="AA64" s="274"/>
      <c r="AB64" s="274">
        <v>0.18166864647359998</v>
      </c>
      <c r="AC64" s="274">
        <v>0.0</v>
      </c>
      <c r="AD64" s="274">
        <v>0.0</v>
      </c>
      <c r="AE64" s="274">
        <v>0.0</v>
      </c>
      <c r="AF64" s="274">
        <v>0.0</v>
      </c>
      <c r="AG64" s="274">
        <v>0.0</v>
      </c>
      <c r="AH64" s="274">
        <v>0.0</v>
      </c>
      <c r="AI64" s="318"/>
    </row>
    <row r="65" ht="14.25" customHeight="1" outlineLevel="4">
      <c r="A65" s="100"/>
      <c r="B65" s="100"/>
      <c r="C65" s="100"/>
      <c r="D65" s="100"/>
      <c r="E65" s="273" t="s">
        <v>1858</v>
      </c>
      <c r="F65" s="249" t="s">
        <v>1850</v>
      </c>
      <c r="G65" s="123" t="s">
        <v>1859</v>
      </c>
      <c r="H65" s="274">
        <f t="array" ref="H65:AH65">IF(crdmstvpc="pkm",IF(capvp,pkmvpcngv/capvp,),nbrvpcgna*kmvvpc/k)</f>
        <v>0</v>
      </c>
      <c r="I65" s="274">
        <v>0.0</v>
      </c>
      <c r="J65" s="274">
        <v>0.0</v>
      </c>
      <c r="K65" s="274">
        <v>0.0</v>
      </c>
      <c r="L65" s="274">
        <v>0.0</v>
      </c>
      <c r="M65" s="274">
        <v>0.0</v>
      </c>
      <c r="N65" s="274">
        <v>0.0</v>
      </c>
      <c r="O65" s="274">
        <v>0.0</v>
      </c>
      <c r="P65" s="274">
        <v>0.0</v>
      </c>
      <c r="Q65" s="274">
        <v>0.0</v>
      </c>
      <c r="R65" s="274">
        <v>0.0029594447835231555</v>
      </c>
      <c r="S65" s="274">
        <v>0.0028856403371808766</v>
      </c>
      <c r="T65" s="274">
        <v>0.006160796065192668</v>
      </c>
      <c r="U65" s="274">
        <v>0.009596604705671337</v>
      </c>
      <c r="V65" s="274">
        <v>0.025756485363759726</v>
      </c>
      <c r="W65" s="274">
        <v>0.04135835820597382</v>
      </c>
      <c r="X65" s="274"/>
      <c r="Y65" s="274">
        <v>0.0</v>
      </c>
      <c r="Z65" s="274"/>
      <c r="AA65" s="274"/>
      <c r="AB65" s="274">
        <v>0.2725029697104</v>
      </c>
      <c r="AC65" s="274">
        <v>0.2433062229557143</v>
      </c>
      <c r="AD65" s="274">
        <v>0.09901997445872093</v>
      </c>
      <c r="AE65" s="274">
        <v>0.04678965826071428</v>
      </c>
      <c r="AF65" s="274">
        <v>0.0</v>
      </c>
      <c r="AG65" s="274">
        <v>0.0</v>
      </c>
      <c r="AH65" s="274">
        <v>0.0</v>
      </c>
      <c r="AI65" s="318"/>
    </row>
    <row r="66" ht="14.25" customHeight="1" outlineLevel="4">
      <c r="A66" s="100"/>
      <c r="B66" s="100"/>
      <c r="C66" s="100"/>
      <c r="D66" s="100"/>
      <c r="E66" s="273" t="s">
        <v>1860</v>
      </c>
      <c r="F66" s="249" t="s">
        <v>1850</v>
      </c>
      <c r="G66" s="123" t="s">
        <v>1861</v>
      </c>
      <c r="H66" s="274">
        <f t="array" ref="H66:AH66">IF(crdmstvpc="pkm",IF(capvp,pkmvpchyd/capvp,),nbrvpchyd*kmvvpc/k)</f>
        <v>0</v>
      </c>
      <c r="I66" s="274">
        <v>0.0</v>
      </c>
      <c r="J66" s="274">
        <v>0.0</v>
      </c>
      <c r="K66" s="274">
        <v>0.0</v>
      </c>
      <c r="L66" s="274">
        <v>0.0</v>
      </c>
      <c r="M66" s="274">
        <v>0.0</v>
      </c>
      <c r="N66" s="274">
        <v>0.0</v>
      </c>
      <c r="O66" s="274">
        <v>0.0</v>
      </c>
      <c r="P66" s="274">
        <v>0.0</v>
      </c>
      <c r="Q66" s="274">
        <v>0.0</v>
      </c>
      <c r="R66" s="274">
        <v>0.0</v>
      </c>
      <c r="S66" s="274">
        <v>0.0</v>
      </c>
      <c r="T66" s="274">
        <v>0.0</v>
      </c>
      <c r="U66" s="274">
        <v>0.0</v>
      </c>
      <c r="V66" s="274">
        <v>0.0</v>
      </c>
      <c r="W66" s="274">
        <v>0.0</v>
      </c>
      <c r="X66" s="274"/>
      <c r="Y66" s="274">
        <v>0.0</v>
      </c>
      <c r="Z66" s="274"/>
      <c r="AA66" s="274"/>
      <c r="AB66" s="274">
        <v>0.0</v>
      </c>
      <c r="AC66" s="274">
        <v>0.0</v>
      </c>
      <c r="AD66" s="274">
        <v>0.0</v>
      </c>
      <c r="AE66" s="274">
        <v>0.0</v>
      </c>
      <c r="AF66" s="274">
        <v>0.0</v>
      </c>
      <c r="AG66" s="274">
        <v>0.0</v>
      </c>
      <c r="AH66" s="274">
        <v>0.0</v>
      </c>
      <c r="AI66" s="318"/>
    </row>
    <row r="67" ht="14.25" customHeight="1" outlineLevel="4">
      <c r="A67" s="100"/>
      <c r="B67" s="100"/>
      <c r="C67" s="100"/>
      <c r="D67" s="100"/>
      <c r="E67" s="273" t="s">
        <v>1862</v>
      </c>
      <c r="F67" s="249" t="s">
        <v>1850</v>
      </c>
      <c r="G67" s="123" t="s">
        <v>1863</v>
      </c>
      <c r="H67" s="274">
        <f t="array" ref="H67:AH67">IF(crdmstvpc="pkm",IF(capvp,pkmvpcele/capvp,),nbrvpcele*kmvvpc/k)</f>
        <v>0</v>
      </c>
      <c r="I67" s="274">
        <v>0.0</v>
      </c>
      <c r="J67" s="274">
        <v>0.0</v>
      </c>
      <c r="K67" s="274">
        <v>0.0</v>
      </c>
      <c r="L67" s="274">
        <v>0.0</v>
      </c>
      <c r="M67" s="274">
        <v>0.0</v>
      </c>
      <c r="N67" s="274">
        <v>0.0</v>
      </c>
      <c r="O67" s="274">
        <v>0.0</v>
      </c>
      <c r="P67" s="274">
        <v>0.0</v>
      </c>
      <c r="Q67" s="274">
        <v>0.0</v>
      </c>
      <c r="R67" s="274">
        <v>7.459531616433607E-4</v>
      </c>
      <c r="S67" s="274">
        <v>0.00458842215410922</v>
      </c>
      <c r="T67" s="274">
        <v>0.012137242919908723</v>
      </c>
      <c r="U67" s="274">
        <v>0.018615369771065926</v>
      </c>
      <c r="V67" s="274">
        <v>0.0342980204494725</v>
      </c>
      <c r="W67" s="274">
        <v>0.052097973441744695</v>
      </c>
      <c r="X67" s="274"/>
      <c r="Y67" s="274">
        <v>0.0</v>
      </c>
      <c r="Z67" s="274"/>
      <c r="AA67" s="274"/>
      <c r="AB67" s="274">
        <v>0.45417161618400004</v>
      </c>
      <c r="AC67" s="274">
        <v>5.344066209684287</v>
      </c>
      <c r="AD67" s="274">
        <v>12.04947885039593</v>
      </c>
      <c r="AE67" s="274">
        <v>17.070182727079942</v>
      </c>
      <c r="AF67" s="274">
        <v>24.479289470178948</v>
      </c>
      <c r="AG67" s="274">
        <v>29.119833118686156</v>
      </c>
      <c r="AH67" s="274">
        <v>30.810389567179275</v>
      </c>
      <c r="AI67" s="318"/>
    </row>
    <row r="68" ht="14.25" customHeight="1" outlineLevel="4">
      <c r="A68" s="100"/>
      <c r="B68" s="100"/>
      <c r="C68" s="100"/>
      <c r="D68" s="100"/>
      <c r="E68" s="273" t="s">
        <v>1864</v>
      </c>
      <c r="F68" s="249" t="s">
        <v>1850</v>
      </c>
      <c r="G68" s="123" t="s">
        <v>1865</v>
      </c>
      <c r="H68" s="274">
        <f t="array" ref="H68:AH68">IF(crdmstvpc="pkm",IF(capvp,pkmvpchybess/capvp,),nbrvpchybess*kmvvpc/k)</f>
        <v>0</v>
      </c>
      <c r="I68" s="274">
        <v>0.0</v>
      </c>
      <c r="J68" s="274">
        <v>0.0</v>
      </c>
      <c r="K68" s="274">
        <v>0.0</v>
      </c>
      <c r="L68" s="274">
        <v>0.0</v>
      </c>
      <c r="M68" s="274">
        <v>0.0</v>
      </c>
      <c r="N68" s="274">
        <v>0.0</v>
      </c>
      <c r="O68" s="274">
        <v>0.0</v>
      </c>
      <c r="P68" s="274">
        <v>0.0</v>
      </c>
      <c r="Q68" s="274">
        <v>0.0</v>
      </c>
      <c r="R68" s="274">
        <v>0.0</v>
      </c>
      <c r="S68" s="274">
        <v>0.0</v>
      </c>
      <c r="T68" s="274">
        <v>0.0030119435920603743</v>
      </c>
      <c r="U68" s="274">
        <v>0.004413242889100804</v>
      </c>
      <c r="V68" s="274">
        <v>0.011802789185577858</v>
      </c>
      <c r="W68" s="274">
        <v>0.03492191967747774</v>
      </c>
      <c r="X68" s="274"/>
      <c r="Y68" s="274">
        <v>0.0</v>
      </c>
      <c r="Z68" s="274"/>
      <c r="AA68" s="274"/>
      <c r="AB68" s="274">
        <v>0.9991775556048001</v>
      </c>
      <c r="AC68" s="274">
        <v>7.981960618057143</v>
      </c>
      <c r="AD68" s="274">
        <v>11.569998880813955</v>
      </c>
      <c r="AE68" s="274">
        <v>17.632478368076924</v>
      </c>
      <c r="AF68" s="274">
        <v>12.239644735089476</v>
      </c>
      <c r="AG68" s="274">
        <v>4.971678825141539</v>
      </c>
      <c r="AH68" s="274">
        <v>0.4715875954160092</v>
      </c>
      <c r="AI68" s="318"/>
    </row>
    <row r="69" ht="14.25" customHeight="1" outlineLevel="4">
      <c r="A69" s="195"/>
      <c r="B69" s="201"/>
      <c r="C69" s="201"/>
      <c r="D69" s="201"/>
      <c r="E69" s="273" t="s">
        <v>1866</v>
      </c>
      <c r="F69" s="249" t="s">
        <v>1850</v>
      </c>
      <c r="G69" s="123" t="s">
        <v>1867</v>
      </c>
      <c r="H69" s="274">
        <f t="array" ref="H69:AH69">IF(crdmstvpc="pkm",IF(capvp,pkmvpchybgzl/capvp,),nbrvpchybgzl*kmvvpc/k)*calcskhybgzlvpc</f>
        <v>0</v>
      </c>
      <c r="I69" s="274">
        <v>0.0</v>
      </c>
      <c r="J69" s="274">
        <v>0.0</v>
      </c>
      <c r="K69" s="274">
        <v>0.0</v>
      </c>
      <c r="L69" s="274">
        <v>0.0</v>
      </c>
      <c r="M69" s="274">
        <v>0.0</v>
      </c>
      <c r="N69" s="274">
        <v>0.0</v>
      </c>
      <c r="O69" s="274">
        <v>0.0</v>
      </c>
      <c r="P69" s="274">
        <v>0.0</v>
      </c>
      <c r="Q69" s="274">
        <v>0.0</v>
      </c>
      <c r="R69" s="274">
        <v>0.0</v>
      </c>
      <c r="S69" s="274">
        <v>0.0</v>
      </c>
      <c r="T69" s="274">
        <v>0.0</v>
      </c>
      <c r="U69" s="274">
        <v>0.0</v>
      </c>
      <c r="V69" s="274">
        <v>0.0</v>
      </c>
      <c r="W69" s="274">
        <v>0.0</v>
      </c>
      <c r="X69" s="274">
        <v>0.0</v>
      </c>
      <c r="Y69" s="274">
        <v>0.0</v>
      </c>
      <c r="Z69" s="274">
        <v>0.0</v>
      </c>
      <c r="AA69" s="274">
        <v>0.0</v>
      </c>
      <c r="AB69" s="274">
        <v>0.057171400903605646</v>
      </c>
      <c r="AC69" s="274">
        <v>0.04643175307887622</v>
      </c>
      <c r="AD69" s="274">
        <v>0.0</v>
      </c>
      <c r="AE69" s="274">
        <v>0.0</v>
      </c>
      <c r="AF69" s="274">
        <v>0.0</v>
      </c>
      <c r="AG69" s="274">
        <v>0.0</v>
      </c>
      <c r="AH69" s="274">
        <v>0.0</v>
      </c>
      <c r="AI69" s="318"/>
    </row>
    <row r="70" ht="14.25" customHeight="1" outlineLevel="4">
      <c r="A70" s="195"/>
      <c r="B70" s="201"/>
      <c r="C70" s="201"/>
      <c r="D70" s="201"/>
      <c r="E70" s="273" t="s">
        <v>1868</v>
      </c>
      <c r="F70" s="123" t="s">
        <v>1850</v>
      </c>
      <c r="G70" s="123" t="s">
        <v>1869</v>
      </c>
      <c r="H70" s="274">
        <f t="array" ref="H70:AH70">IF(crdmstvpc="pkm",IF(capvp,pkmvpchybgaz/capvp,),nbrvpchybgaz*kmvvpc/k)</f>
        <v>0</v>
      </c>
      <c r="I70" s="274">
        <v>0.0</v>
      </c>
      <c r="J70" s="274">
        <v>0.0</v>
      </c>
      <c r="K70" s="274">
        <v>0.0</v>
      </c>
      <c r="L70" s="274">
        <v>0.0</v>
      </c>
      <c r="M70" s="274">
        <v>0.0</v>
      </c>
      <c r="N70" s="274">
        <v>0.0</v>
      </c>
      <c r="O70" s="274">
        <v>0.0</v>
      </c>
      <c r="P70" s="274">
        <v>0.0</v>
      </c>
      <c r="Q70" s="274">
        <v>0.0</v>
      </c>
      <c r="R70" s="274">
        <v>0.0</v>
      </c>
      <c r="S70" s="274">
        <v>0.0</v>
      </c>
      <c r="T70" s="274">
        <v>0.0</v>
      </c>
      <c r="U70" s="274">
        <v>0.0</v>
      </c>
      <c r="V70" s="274">
        <v>0.0</v>
      </c>
      <c r="W70" s="274">
        <v>0.0</v>
      </c>
      <c r="X70" s="274"/>
      <c r="Y70" s="274">
        <v>0.0</v>
      </c>
      <c r="Z70" s="274"/>
      <c r="AA70" s="274"/>
      <c r="AB70" s="274">
        <v>0.0</v>
      </c>
      <c r="AC70" s="274">
        <v>0.0</v>
      </c>
      <c r="AD70" s="274">
        <v>0.0</v>
      </c>
      <c r="AE70" s="274">
        <v>0.0</v>
      </c>
      <c r="AF70" s="274">
        <v>0.0</v>
      </c>
      <c r="AG70" s="274">
        <v>0.0</v>
      </c>
      <c r="AH70" s="274">
        <v>0.0</v>
      </c>
      <c r="AI70" s="318"/>
    </row>
    <row r="71" ht="14.25" customHeight="1" outlineLevel="3">
      <c r="A71" s="439"/>
      <c r="B71" s="393"/>
      <c r="C71" s="393" t="s">
        <v>1870</v>
      </c>
      <c r="D71" s="394"/>
      <c r="E71" s="162"/>
      <c r="F71" s="162"/>
      <c r="G71" s="162"/>
      <c r="H71" s="178"/>
      <c r="I71" s="178"/>
      <c r="J71" s="178"/>
      <c r="K71" s="178"/>
      <c r="L71" s="178"/>
      <c r="M71" s="178"/>
      <c r="N71" s="178"/>
      <c r="O71" s="178"/>
      <c r="P71" s="178"/>
      <c r="Q71" s="178"/>
      <c r="R71" s="178"/>
      <c r="S71" s="178"/>
      <c r="T71" s="178"/>
      <c r="U71" s="178"/>
      <c r="V71" s="178"/>
      <c r="W71" s="178"/>
      <c r="X71" s="178"/>
      <c r="Y71" s="178"/>
      <c r="Z71" s="178"/>
      <c r="AA71" s="178"/>
      <c r="AB71" s="178"/>
      <c r="AC71" s="178"/>
      <c r="AD71" s="178"/>
      <c r="AE71" s="178"/>
      <c r="AF71" s="178"/>
      <c r="AG71" s="178"/>
      <c r="AH71" s="178"/>
      <c r="AI71" s="271"/>
    </row>
    <row r="72" ht="14.25" customHeight="1" outlineLevel="4">
      <c r="A72" s="195"/>
      <c r="B72" s="201"/>
      <c r="C72" s="201"/>
      <c r="D72" s="201"/>
      <c r="E72" s="273" t="s">
        <v>1871</v>
      </c>
      <c r="F72" s="249" t="s">
        <v>135</v>
      </c>
      <c r="G72" s="123" t="s">
        <v>1872</v>
      </c>
      <c r="H72" s="274">
        <f t="array" ref="H72:AH72">IF(crdmstvpc="pkm",calkmvlqfvpc*calcsklqfvpc,calcfessvpc+calcfgzlvpc)</f>
        <v>0</v>
      </c>
      <c r="I72" s="274">
        <v>0.0</v>
      </c>
      <c r="J72" s="274">
        <v>0.0</v>
      </c>
      <c r="K72" s="274">
        <v>0.0</v>
      </c>
      <c r="L72" s="274">
        <v>0.0</v>
      </c>
      <c r="M72" s="274">
        <v>0.0</v>
      </c>
      <c r="N72" s="274">
        <v>0.0</v>
      </c>
      <c r="O72" s="274">
        <v>0.0</v>
      </c>
      <c r="P72" s="274">
        <v>0.0</v>
      </c>
      <c r="Q72" s="274">
        <v>0.0</v>
      </c>
      <c r="R72" s="274">
        <v>0.0</v>
      </c>
      <c r="S72" s="274">
        <v>0.0</v>
      </c>
      <c r="T72" s="274">
        <v>0.0</v>
      </c>
      <c r="U72" s="274">
        <v>0.0</v>
      </c>
      <c r="V72" s="274">
        <v>0.0</v>
      </c>
      <c r="W72" s="274">
        <v>57.63483739238364</v>
      </c>
      <c r="X72" s="274">
        <v>0.0</v>
      </c>
      <c r="Y72" s="274">
        <v>0.0</v>
      </c>
      <c r="Z72" s="274">
        <v>0.0</v>
      </c>
      <c r="AA72" s="274">
        <v>0.0</v>
      </c>
      <c r="AB72" s="274">
        <v>55.913630083726325</v>
      </c>
      <c r="AC72" s="274">
        <v>38.491923302388386</v>
      </c>
      <c r="AD72" s="274">
        <v>17.3798677223471</v>
      </c>
      <c r="AE72" s="274">
        <v>5.876149362435697</v>
      </c>
      <c r="AF72" s="274">
        <v>1.762508841852886</v>
      </c>
      <c r="AG72" s="274">
        <v>0.6136472149888991</v>
      </c>
      <c r="AH72" s="274">
        <v>0.06790861373990538</v>
      </c>
      <c r="AI72" s="318"/>
    </row>
    <row r="73" ht="14.25" customHeight="1" outlineLevel="4">
      <c r="A73" s="195"/>
      <c r="B73" s="201"/>
      <c r="C73" s="201"/>
      <c r="D73" s="201"/>
      <c r="E73" s="273" t="s">
        <v>1873</v>
      </c>
      <c r="F73" s="249" t="s">
        <v>135</v>
      </c>
      <c r="G73" s="123" t="s">
        <v>1874</v>
      </c>
      <c r="H73" s="274">
        <f t="array" ref="H73:AH73">calkmvessvpc*IF(crdcsvpc="NoDis",calcsklqfvpc,calcskessvpc)</f>
        <v>0</v>
      </c>
      <c r="I73" s="274">
        <v>0.0</v>
      </c>
      <c r="J73" s="274">
        <v>0.0</v>
      </c>
      <c r="K73" s="274">
        <v>0.0</v>
      </c>
      <c r="L73" s="274">
        <v>0.0</v>
      </c>
      <c r="M73" s="274">
        <v>0.0</v>
      </c>
      <c r="N73" s="274">
        <v>0.0</v>
      </c>
      <c r="O73" s="274">
        <v>0.0</v>
      </c>
      <c r="P73" s="274">
        <v>0.0</v>
      </c>
      <c r="Q73" s="274">
        <v>0.0</v>
      </c>
      <c r="R73" s="274">
        <v>0.0</v>
      </c>
      <c r="S73" s="274">
        <v>0.0</v>
      </c>
      <c r="T73" s="274">
        <v>0.0</v>
      </c>
      <c r="U73" s="274">
        <v>0.0</v>
      </c>
      <c r="V73" s="274">
        <v>0.0</v>
      </c>
      <c r="W73" s="274">
        <v>0.0</v>
      </c>
      <c r="X73" s="274">
        <v>0.0</v>
      </c>
      <c r="Y73" s="274">
        <v>0.0</v>
      </c>
      <c r="Z73" s="274">
        <v>0.0</v>
      </c>
      <c r="AA73" s="274">
        <v>0.0</v>
      </c>
      <c r="AB73" s="274">
        <v>0.0</v>
      </c>
      <c r="AC73" s="274">
        <v>0.0</v>
      </c>
      <c r="AD73" s="274">
        <v>0.0</v>
      </c>
      <c r="AE73" s="274">
        <v>0.0</v>
      </c>
      <c r="AF73" s="274">
        <v>0.0</v>
      </c>
      <c r="AG73" s="274">
        <v>0.0</v>
      </c>
      <c r="AH73" s="274">
        <v>0.0</v>
      </c>
      <c r="AI73" s="318"/>
    </row>
    <row r="74" ht="14.25" customHeight="1" outlineLevel="4">
      <c r="A74" s="195"/>
      <c r="B74" s="201"/>
      <c r="C74" s="201"/>
      <c r="D74" s="201"/>
      <c r="E74" s="273" t="s">
        <v>1875</v>
      </c>
      <c r="F74" s="123" t="s">
        <v>135</v>
      </c>
      <c r="G74" s="123" t="s">
        <v>1876</v>
      </c>
      <c r="H74" s="274">
        <f t="array" ref="H74:AH74">calkmvgzlvpc*IF(crdcsvpc="NoDis",calcsklqfvpc,calcskgzlvpc)</f>
        <v>0</v>
      </c>
      <c r="I74" s="274">
        <v>0.0</v>
      </c>
      <c r="J74" s="274">
        <v>0.0</v>
      </c>
      <c r="K74" s="274">
        <v>0.0</v>
      </c>
      <c r="L74" s="274">
        <v>0.0</v>
      </c>
      <c r="M74" s="274">
        <v>0.0</v>
      </c>
      <c r="N74" s="274">
        <v>0.0</v>
      </c>
      <c r="O74" s="274">
        <v>0.0</v>
      </c>
      <c r="P74" s="274">
        <v>0.0</v>
      </c>
      <c r="Q74" s="274">
        <v>0.0</v>
      </c>
      <c r="R74" s="274">
        <v>0.0</v>
      </c>
      <c r="S74" s="274">
        <v>0.0</v>
      </c>
      <c r="T74" s="274">
        <v>0.0</v>
      </c>
      <c r="U74" s="274">
        <v>0.0</v>
      </c>
      <c r="V74" s="274">
        <v>0.0</v>
      </c>
      <c r="W74" s="274">
        <v>0.0</v>
      </c>
      <c r="X74" s="274">
        <v>0.0</v>
      </c>
      <c r="Y74" s="274">
        <v>0.0</v>
      </c>
      <c r="Z74" s="274">
        <v>0.0</v>
      </c>
      <c r="AA74" s="274">
        <v>0.0</v>
      </c>
      <c r="AB74" s="274">
        <v>0.0</v>
      </c>
      <c r="AC74" s="274">
        <v>0.0</v>
      </c>
      <c r="AD74" s="274">
        <v>0.0</v>
      </c>
      <c r="AE74" s="274">
        <v>0.0</v>
      </c>
      <c r="AF74" s="274">
        <v>0.0</v>
      </c>
      <c r="AG74" s="274">
        <v>0.0</v>
      </c>
      <c r="AH74" s="274">
        <v>0.0</v>
      </c>
      <c r="AI74" s="318"/>
    </row>
    <row r="75" ht="14.25" customHeight="1" outlineLevel="4">
      <c r="A75" s="195"/>
      <c r="B75" s="201"/>
      <c r="C75" s="201"/>
      <c r="D75" s="201"/>
      <c r="E75" s="273" t="s">
        <v>1877</v>
      </c>
      <c r="F75" s="123" t="s">
        <v>135</v>
      </c>
      <c r="G75" s="123" t="s">
        <v>1878</v>
      </c>
      <c r="H75" s="330">
        <f t="array" ref="H75:AH75">calkmvgplvpc*calcskgplvpc</f>
        <v>0</v>
      </c>
      <c r="I75" s="330">
        <v>0.0</v>
      </c>
      <c r="J75" s="330">
        <v>0.0</v>
      </c>
      <c r="K75" s="330">
        <v>0.0</v>
      </c>
      <c r="L75" s="330">
        <v>0.0</v>
      </c>
      <c r="M75" s="330">
        <v>0.0</v>
      </c>
      <c r="N75" s="330">
        <v>0.0</v>
      </c>
      <c r="O75" s="330">
        <v>0.0</v>
      </c>
      <c r="P75" s="330">
        <v>0.0</v>
      </c>
      <c r="Q75" s="330">
        <v>0.0</v>
      </c>
      <c r="R75" s="330">
        <v>0.0</v>
      </c>
      <c r="S75" s="330">
        <v>0.0</v>
      </c>
      <c r="T75" s="330">
        <v>0.0</v>
      </c>
      <c r="U75" s="330">
        <v>0.0</v>
      </c>
      <c r="V75" s="330">
        <v>0.0</v>
      </c>
      <c r="W75" s="330">
        <v>0.45498862124568323</v>
      </c>
      <c r="X75" s="330">
        <v>0.0</v>
      </c>
      <c r="Y75" s="330">
        <v>0.0</v>
      </c>
      <c r="Z75" s="330">
        <v>0.0</v>
      </c>
      <c r="AA75" s="330">
        <v>0.0</v>
      </c>
      <c r="AB75" s="330">
        <v>0.11434280180721125</v>
      </c>
      <c r="AC75" s="330">
        <v>0.0</v>
      </c>
      <c r="AD75" s="330">
        <v>0.0</v>
      </c>
      <c r="AE75" s="330">
        <v>0.0</v>
      </c>
      <c r="AF75" s="330">
        <v>0.0</v>
      </c>
      <c r="AG75" s="330">
        <v>0.0</v>
      </c>
      <c r="AH75" s="330">
        <v>0.0</v>
      </c>
      <c r="AI75" s="318"/>
    </row>
    <row r="76" ht="14.25" customHeight="1" outlineLevel="4">
      <c r="A76" s="195"/>
      <c r="B76" s="201"/>
      <c r="C76" s="201"/>
      <c r="D76" s="201"/>
      <c r="E76" s="273" t="s">
        <v>1879</v>
      </c>
      <c r="F76" s="123" t="s">
        <v>135</v>
      </c>
      <c r="G76" s="123" t="s">
        <v>1880</v>
      </c>
      <c r="H76" s="330">
        <f t="array" ref="H76:AH76">calkmvngvvpc*calcskngvvpc</f>
        <v>0</v>
      </c>
      <c r="I76" s="330">
        <v>0.0</v>
      </c>
      <c r="J76" s="330">
        <v>0.0</v>
      </c>
      <c r="K76" s="330">
        <v>0.0</v>
      </c>
      <c r="L76" s="330">
        <v>0.0</v>
      </c>
      <c r="M76" s="330">
        <v>0.0</v>
      </c>
      <c r="N76" s="330">
        <v>0.0</v>
      </c>
      <c r="O76" s="330">
        <v>0.0</v>
      </c>
      <c r="P76" s="330">
        <v>0.0</v>
      </c>
      <c r="Q76" s="330">
        <v>0.0</v>
      </c>
      <c r="R76" s="330">
        <v>0.0</v>
      </c>
      <c r="S76" s="330">
        <v>0.0</v>
      </c>
      <c r="T76" s="330">
        <v>0.0</v>
      </c>
      <c r="U76" s="330">
        <v>0.0</v>
      </c>
      <c r="V76" s="330">
        <v>0.0</v>
      </c>
      <c r="W76" s="330">
        <v>0.01954182425232262</v>
      </c>
      <c r="X76" s="330">
        <v>0.0</v>
      </c>
      <c r="Y76" s="330">
        <v>0.0</v>
      </c>
      <c r="Z76" s="330">
        <v>0.0</v>
      </c>
      <c r="AA76" s="330">
        <v>0.0</v>
      </c>
      <c r="AB76" s="330">
        <v>0.12875765318816396</v>
      </c>
      <c r="AC76" s="330">
        <v>0.11156385714592973</v>
      </c>
      <c r="AD76" s="330">
        <v>0.045159677882281715</v>
      </c>
      <c r="AE76" s="330">
        <v>0.021223788987059976</v>
      </c>
      <c r="AF76" s="330">
        <v>0.0</v>
      </c>
      <c r="AG76" s="330">
        <v>0.0</v>
      </c>
      <c r="AH76" s="330">
        <v>0.0</v>
      </c>
      <c r="AI76" s="318"/>
    </row>
    <row r="77" ht="14.25" customHeight="1" outlineLevel="4">
      <c r="A77" s="195"/>
      <c r="B77" s="201"/>
      <c r="C77" s="201"/>
      <c r="D77" s="201"/>
      <c r="E77" s="273" t="s">
        <v>1881</v>
      </c>
      <c r="F77" s="123" t="s">
        <v>135</v>
      </c>
      <c r="G77" s="123" t="s">
        <v>1882</v>
      </c>
      <c r="H77" s="330">
        <f t="array" ref="H77:AH77">calkmvhydvpc*calcskhydvpc</f>
        <v>0</v>
      </c>
      <c r="I77" s="330">
        <v>0.0</v>
      </c>
      <c r="J77" s="330">
        <v>0.0</v>
      </c>
      <c r="K77" s="330">
        <v>0.0</v>
      </c>
      <c r="L77" s="330">
        <v>0.0</v>
      </c>
      <c r="M77" s="330">
        <v>0.0</v>
      </c>
      <c r="N77" s="330">
        <v>0.0</v>
      </c>
      <c r="O77" s="330">
        <v>0.0</v>
      </c>
      <c r="P77" s="330">
        <v>0.0</v>
      </c>
      <c r="Q77" s="330">
        <v>0.0</v>
      </c>
      <c r="R77" s="330">
        <v>0.0</v>
      </c>
      <c r="S77" s="330">
        <v>0.0</v>
      </c>
      <c r="T77" s="330">
        <v>0.0</v>
      </c>
      <c r="U77" s="330">
        <v>0.0</v>
      </c>
      <c r="V77" s="330">
        <v>0.0</v>
      </c>
      <c r="W77" s="330">
        <v>0.0</v>
      </c>
      <c r="X77" s="330">
        <v>0.0</v>
      </c>
      <c r="Y77" s="330">
        <v>0.0</v>
      </c>
      <c r="Z77" s="330">
        <v>0.0</v>
      </c>
      <c r="AA77" s="330">
        <v>0.0</v>
      </c>
      <c r="AB77" s="330">
        <v>0.0</v>
      </c>
      <c r="AC77" s="330">
        <v>0.0</v>
      </c>
      <c r="AD77" s="330">
        <v>0.0</v>
      </c>
      <c r="AE77" s="330">
        <v>0.0</v>
      </c>
      <c r="AF77" s="330">
        <v>0.0</v>
      </c>
      <c r="AG77" s="330">
        <v>0.0</v>
      </c>
      <c r="AH77" s="330">
        <v>0.0</v>
      </c>
      <c r="AI77" s="318"/>
    </row>
    <row r="78" ht="14.25" customHeight="1" outlineLevel="4">
      <c r="A78" s="195"/>
      <c r="B78" s="201"/>
      <c r="C78" s="201"/>
      <c r="D78" s="201"/>
      <c r="E78" s="273" t="s">
        <v>1883</v>
      </c>
      <c r="F78" s="123" t="s">
        <v>135</v>
      </c>
      <c r="G78" s="123" t="s">
        <v>1884</v>
      </c>
      <c r="H78" s="330">
        <f t="array" ref="H78:AH78">calkmvelevpc*calcskelevpc</f>
        <v>0</v>
      </c>
      <c r="I78" s="330">
        <v>0.0</v>
      </c>
      <c r="J78" s="330">
        <v>0.0</v>
      </c>
      <c r="K78" s="330">
        <v>0.0</v>
      </c>
      <c r="L78" s="330">
        <v>0.0</v>
      </c>
      <c r="M78" s="330">
        <v>0.0</v>
      </c>
      <c r="N78" s="330">
        <v>0.0</v>
      </c>
      <c r="O78" s="330">
        <v>0.0</v>
      </c>
      <c r="P78" s="330">
        <v>0.0</v>
      </c>
      <c r="Q78" s="330">
        <v>0.0</v>
      </c>
      <c r="R78" s="330">
        <v>0.0</v>
      </c>
      <c r="S78" s="330">
        <v>0.0</v>
      </c>
      <c r="T78" s="330">
        <v>0.0</v>
      </c>
      <c r="U78" s="330">
        <v>0.0</v>
      </c>
      <c r="V78" s="330">
        <v>0.0</v>
      </c>
      <c r="W78" s="330">
        <v>0.011466254457936574</v>
      </c>
      <c r="X78" s="330">
        <v>0.0</v>
      </c>
      <c r="Y78" s="330">
        <v>0.0</v>
      </c>
      <c r="Z78" s="330">
        <v>0.0</v>
      </c>
      <c r="AA78" s="330">
        <v>0.0</v>
      </c>
      <c r="AB78" s="330">
        <v>0.09995873111189585</v>
      </c>
      <c r="AC78" s="330">
        <v>1.140316847822433</v>
      </c>
      <c r="AD78" s="330">
        <v>2.2907866716430223</v>
      </c>
      <c r="AE78" s="330">
        <v>2.7465241200562547</v>
      </c>
      <c r="AF78" s="330">
        <v>3.5456782040185995</v>
      </c>
      <c r="AG78" s="330">
        <v>3.727338639191828</v>
      </c>
      <c r="AH78" s="330">
        <v>3.9437298645989474</v>
      </c>
      <c r="AI78" s="318"/>
    </row>
    <row r="79" ht="14.25" customHeight="1" outlineLevel="4">
      <c r="A79" s="195"/>
      <c r="B79" s="201"/>
      <c r="C79" s="201"/>
      <c r="D79" s="201"/>
      <c r="E79" s="273" t="s">
        <v>1885</v>
      </c>
      <c r="F79" s="123" t="s">
        <v>135</v>
      </c>
      <c r="G79" s="123" t="s">
        <v>1886</v>
      </c>
      <c r="H79" s="330">
        <f t="array" ref="H79:AH79">calkmvhybessvpc*calcskhybessvpc*(1-elevpchyb)</f>
        <v>0</v>
      </c>
      <c r="I79" s="330">
        <v>0.0</v>
      </c>
      <c r="J79" s="330">
        <v>0.0</v>
      </c>
      <c r="K79" s="330">
        <v>0.0</v>
      </c>
      <c r="L79" s="330">
        <v>0.0</v>
      </c>
      <c r="M79" s="330">
        <v>0.0</v>
      </c>
      <c r="N79" s="330">
        <v>0.0</v>
      </c>
      <c r="O79" s="330">
        <v>0.0</v>
      </c>
      <c r="P79" s="330">
        <v>0.0</v>
      </c>
      <c r="Q79" s="330">
        <v>0.0</v>
      </c>
      <c r="R79" s="330">
        <v>0.0</v>
      </c>
      <c r="S79" s="330">
        <v>0.0</v>
      </c>
      <c r="T79" s="330">
        <v>0.0</v>
      </c>
      <c r="U79" s="330">
        <v>0.0</v>
      </c>
      <c r="V79" s="330">
        <v>0.0</v>
      </c>
      <c r="W79" s="330">
        <v>0.006595551798491622</v>
      </c>
      <c r="X79" s="330">
        <v>0.0</v>
      </c>
      <c r="Y79" s="330">
        <v>0.0</v>
      </c>
      <c r="Z79" s="330">
        <v>0.0</v>
      </c>
      <c r="AA79" s="330">
        <v>0.0</v>
      </c>
      <c r="AB79" s="330">
        <v>0.1886656229818987</v>
      </c>
      <c r="AC79" s="330">
        <v>1.3929525923662867</v>
      </c>
      <c r="AD79" s="330">
        <v>1.7674441751539427</v>
      </c>
      <c r="AE79" s="330">
        <v>2.2851691965027716</v>
      </c>
      <c r="AF79" s="330">
        <v>1.5862579576675977</v>
      </c>
      <c r="AG79" s="330">
        <v>0.6443295757383442</v>
      </c>
      <c r="AH79" s="330">
        <v>0.06111775236591486</v>
      </c>
      <c r="AI79" s="318"/>
    </row>
    <row r="80" ht="14.25" customHeight="1" outlineLevel="4">
      <c r="A80" s="195"/>
      <c r="B80" s="201"/>
      <c r="C80" s="201"/>
      <c r="D80" s="201"/>
      <c r="E80" s="273" t="s">
        <v>1887</v>
      </c>
      <c r="F80" s="123" t="s">
        <v>135</v>
      </c>
      <c r="G80" s="123" t="s">
        <v>1888</v>
      </c>
      <c r="H80" s="330">
        <f t="array" ref="H80:AH80">calkmvhybgzlvpc*calcskhybgzlvpc*(1-elevpchyb)</f>
        <v>0</v>
      </c>
      <c r="I80" s="330">
        <v>0.0</v>
      </c>
      <c r="J80" s="330">
        <v>0.0</v>
      </c>
      <c r="K80" s="330">
        <v>0.0</v>
      </c>
      <c r="L80" s="330">
        <v>0.0</v>
      </c>
      <c r="M80" s="330">
        <v>0.0</v>
      </c>
      <c r="N80" s="330">
        <v>0.0</v>
      </c>
      <c r="O80" s="330">
        <v>0.0</v>
      </c>
      <c r="P80" s="330">
        <v>0.0</v>
      </c>
      <c r="Q80" s="330">
        <v>0.0</v>
      </c>
      <c r="R80" s="330">
        <v>0.0</v>
      </c>
      <c r="S80" s="330">
        <v>0.0</v>
      </c>
      <c r="T80" s="330">
        <v>0.0</v>
      </c>
      <c r="U80" s="330">
        <v>0.0</v>
      </c>
      <c r="V80" s="330">
        <v>0.0</v>
      </c>
      <c r="W80" s="330">
        <v>0.0</v>
      </c>
      <c r="X80" s="330">
        <v>0.0</v>
      </c>
      <c r="Y80" s="330">
        <v>0.0</v>
      </c>
      <c r="Z80" s="330">
        <v>0.0</v>
      </c>
      <c r="AA80" s="330">
        <v>0.0</v>
      </c>
      <c r="AB80" s="330">
        <v>0.010795156384090048</v>
      </c>
      <c r="AC80" s="330">
        <v>0.008102925323011023</v>
      </c>
      <c r="AD80" s="330">
        <v>0.0</v>
      </c>
      <c r="AE80" s="330">
        <v>0.0</v>
      </c>
      <c r="AF80" s="330">
        <v>0.0</v>
      </c>
      <c r="AG80" s="330">
        <v>0.0</v>
      </c>
      <c r="AH80" s="330">
        <v>0.0</v>
      </c>
      <c r="AI80" s="318"/>
    </row>
    <row r="81" ht="14.25" customHeight="1" outlineLevel="4">
      <c r="A81" s="195"/>
      <c r="B81" s="201"/>
      <c r="C81" s="201"/>
      <c r="D81" s="201"/>
      <c r="E81" s="273" t="s">
        <v>1889</v>
      </c>
      <c r="F81" s="123" t="s">
        <v>135</v>
      </c>
      <c r="G81" s="123" t="s">
        <v>1890</v>
      </c>
      <c r="H81" s="330">
        <f t="array" ref="H81:AH81">calkmvhybgazvpc*calcskhybgazvpc*(1-elevpchyb)</f>
        <v>0</v>
      </c>
      <c r="I81" s="330">
        <v>0.0</v>
      </c>
      <c r="J81" s="330">
        <v>0.0</v>
      </c>
      <c r="K81" s="330">
        <v>0.0</v>
      </c>
      <c r="L81" s="330">
        <v>0.0</v>
      </c>
      <c r="M81" s="330">
        <v>0.0</v>
      </c>
      <c r="N81" s="330">
        <v>0.0</v>
      </c>
      <c r="O81" s="330">
        <v>0.0</v>
      </c>
      <c r="P81" s="330">
        <v>0.0</v>
      </c>
      <c r="Q81" s="330">
        <v>0.0</v>
      </c>
      <c r="R81" s="330">
        <v>0.0</v>
      </c>
      <c r="S81" s="330">
        <v>0.0</v>
      </c>
      <c r="T81" s="330">
        <v>0.0</v>
      </c>
      <c r="U81" s="330">
        <v>0.0</v>
      </c>
      <c r="V81" s="330">
        <v>0.0</v>
      </c>
      <c r="W81" s="330">
        <v>0.0</v>
      </c>
      <c r="X81" s="330">
        <v>0.0</v>
      </c>
      <c r="Y81" s="330">
        <v>0.0</v>
      </c>
      <c r="Z81" s="330">
        <v>0.0</v>
      </c>
      <c r="AA81" s="330">
        <v>0.0</v>
      </c>
      <c r="AB81" s="330">
        <v>0.0</v>
      </c>
      <c r="AC81" s="330">
        <v>0.0</v>
      </c>
      <c r="AD81" s="330">
        <v>0.0</v>
      </c>
      <c r="AE81" s="330">
        <v>0.0</v>
      </c>
      <c r="AF81" s="330">
        <v>0.0</v>
      </c>
      <c r="AG81" s="330">
        <v>0.0</v>
      </c>
      <c r="AH81" s="330">
        <v>0.0</v>
      </c>
      <c r="AI81" s="318"/>
    </row>
    <row r="82" ht="14.25" customHeight="1" outlineLevel="4">
      <c r="A82" s="195"/>
      <c r="B82" s="201"/>
      <c r="C82" s="201"/>
      <c r="D82" s="201"/>
      <c r="E82" s="273" t="s">
        <v>1891</v>
      </c>
      <c r="F82" s="123" t="s">
        <v>135</v>
      </c>
      <c r="G82" s="123" t="s">
        <v>1892</v>
      </c>
      <c r="H82" s="330">
        <f t="array" ref="H82:AH82">calcskelehybvpc*(calkmvhybessvpc+calkmvhybgzlvpc+calkmvhybgazvpc)*elevpchyb</f>
        <v>0</v>
      </c>
      <c r="I82" s="330">
        <v>0.0</v>
      </c>
      <c r="J82" s="330">
        <v>0.0</v>
      </c>
      <c r="K82" s="330">
        <v>0.0</v>
      </c>
      <c r="L82" s="330">
        <v>0.0</v>
      </c>
      <c r="M82" s="330">
        <v>0.0</v>
      </c>
      <c r="N82" s="330">
        <v>0.0</v>
      </c>
      <c r="O82" s="330">
        <v>0.0</v>
      </c>
      <c r="P82" s="330">
        <v>0.0</v>
      </c>
      <c r="Q82" s="330">
        <v>0.0</v>
      </c>
      <c r="R82" s="330">
        <v>0.0</v>
      </c>
      <c r="S82" s="330">
        <v>0.0</v>
      </c>
      <c r="T82" s="330">
        <v>0.0</v>
      </c>
      <c r="U82" s="330">
        <v>0.0</v>
      </c>
      <c r="V82" s="330">
        <v>0.0</v>
      </c>
      <c r="W82" s="330">
        <v>0.005380181099376765</v>
      </c>
      <c r="X82" s="330">
        <v>0.0</v>
      </c>
      <c r="Y82" s="330">
        <v>0.0</v>
      </c>
      <c r="Z82" s="330">
        <v>0.0</v>
      </c>
      <c r="AA82" s="330">
        <v>0.0</v>
      </c>
      <c r="AB82" s="330">
        <v>0.1627444522707114</v>
      </c>
      <c r="AC82" s="330">
        <v>1.1991688549071025</v>
      </c>
      <c r="AD82" s="330">
        <v>1.5397412360581617</v>
      </c>
      <c r="AE82" s="330">
        <v>1.9858966676570733</v>
      </c>
      <c r="AF82" s="330">
        <v>1.2409873714065098</v>
      </c>
      <c r="AG82" s="330">
        <v>0.44546242273268183</v>
      </c>
      <c r="AH82" s="330">
        <v>0.042254248549274426</v>
      </c>
      <c r="AI82" s="318"/>
    </row>
    <row r="83" ht="14.25" customHeight="1" outlineLevel="2">
      <c r="A83" s="439"/>
      <c r="B83" s="393" t="s">
        <v>1893</v>
      </c>
      <c r="C83" s="394"/>
      <c r="D83" s="394"/>
      <c r="E83" s="162"/>
      <c r="F83" s="162"/>
      <c r="G83" s="162"/>
      <c r="H83" s="162"/>
      <c r="I83" s="162"/>
      <c r="J83" s="162"/>
      <c r="K83" s="162"/>
      <c r="L83" s="162"/>
      <c r="M83" s="162"/>
      <c r="N83" s="162"/>
      <c r="O83" s="162"/>
      <c r="P83" s="162"/>
      <c r="Q83" s="162"/>
      <c r="R83" s="162"/>
      <c r="S83" s="162"/>
      <c r="T83" s="162"/>
      <c r="U83" s="162"/>
      <c r="V83" s="162"/>
      <c r="W83" s="162"/>
      <c r="X83" s="162"/>
      <c r="Y83" s="162"/>
      <c r="Z83" s="162"/>
      <c r="AA83" s="162"/>
      <c r="AB83" s="162"/>
      <c r="AC83" s="162"/>
      <c r="AD83" s="162"/>
      <c r="AE83" s="162"/>
      <c r="AF83" s="162"/>
      <c r="AG83" s="162"/>
      <c r="AH83" s="162"/>
      <c r="AI83" s="162"/>
    </row>
    <row r="84" ht="14.25" customHeight="1" outlineLevel="4">
      <c r="A84" s="439"/>
      <c r="B84" s="393"/>
      <c r="C84" s="393" t="s">
        <v>1815</v>
      </c>
      <c r="D84" s="394"/>
      <c r="E84" s="162"/>
      <c r="F84" s="162"/>
      <c r="G84" s="162"/>
      <c r="H84" s="162"/>
      <c r="I84" s="162"/>
      <c r="J84" s="162"/>
      <c r="K84" s="162"/>
      <c r="L84" s="162"/>
      <c r="M84" s="162"/>
      <c r="N84" s="162"/>
      <c r="O84" s="162"/>
      <c r="P84" s="162"/>
      <c r="Q84" s="162"/>
      <c r="R84" s="162"/>
      <c r="S84" s="162"/>
      <c r="T84" s="162"/>
      <c r="U84" s="162"/>
      <c r="V84" s="162"/>
      <c r="W84" s="162"/>
      <c r="X84" s="162"/>
      <c r="Y84" s="162"/>
      <c r="Z84" s="162"/>
      <c r="AA84" s="162"/>
      <c r="AB84" s="162"/>
      <c r="AC84" s="162"/>
      <c r="AD84" s="162"/>
      <c r="AE84" s="162"/>
      <c r="AF84" s="162"/>
      <c r="AG84" s="162"/>
      <c r="AH84" s="162"/>
      <c r="AI84" s="162"/>
    </row>
    <row r="85" ht="13.5" customHeight="1" outlineLevel="4">
      <c r="A85" s="195"/>
      <c r="B85" s="201"/>
      <c r="C85" s="246"/>
      <c r="D85" s="201"/>
      <c r="E85" s="316" t="s">
        <v>1816</v>
      </c>
      <c r="F85" s="316"/>
      <c r="G85" s="316" t="s">
        <v>1894</v>
      </c>
      <c r="H85" s="317" t="str">
        <f>IF(COUNTA(MotTrafficPkm)=0,IF(COUNTA(kmvmot)+COUNTA(MotTrafficStock)=0,"Missing data","stock"),"pkm")</f>
        <v>pkm</v>
      </c>
      <c r="I85" s="317" t="str">
        <f>IF(COUNTA(MotTrafficPkm)=0,IF(COUNTA(kmvmot)+COUNTA(MotTrafficStock)=0,"Missing data","stock"),"pkm")</f>
        <v>pkm</v>
      </c>
      <c r="J85" s="317" t="str">
        <f>IF(COUNTA(MotTrafficPkm)=0,IF(COUNTA(kmvmot)+COUNTA(MotTrafficStock)=0,"Missing data","stock"),"pkm")</f>
        <v>pkm</v>
      </c>
      <c r="K85" s="317" t="str">
        <f>IF(COUNTA(MotTrafficPkm)=0,IF(COUNTA(kmvmot)+COUNTA(MotTrafficStock)=0,"Missing data","stock"),"pkm")</f>
        <v>pkm</v>
      </c>
      <c r="L85" s="317" t="str">
        <f>IF(COUNTA(MotTrafficPkm)=0,IF(COUNTA(kmvmot)+COUNTA(MotTrafficStock)=0,"Missing data","stock"),"pkm")</f>
        <v>pkm</v>
      </c>
      <c r="M85" s="317" t="str">
        <f>IF(COUNTA(MotTrafficPkm)=0,IF(COUNTA(kmvmot)+COUNTA(MotTrafficStock)=0,"Missing data","stock"),"pkm")</f>
        <v>pkm</v>
      </c>
      <c r="N85" s="317" t="str">
        <f>IF(COUNTA(MotTrafficPkm)=0,IF(COUNTA(kmvmot)+COUNTA(MotTrafficStock)=0,"Missing data","stock"),"pkm")</f>
        <v>pkm</v>
      </c>
      <c r="O85" s="317" t="str">
        <f>IF(COUNTA(MotTrafficPkm)=0,IF(COUNTA(kmvmot)+COUNTA(MotTrafficStock)=0,"Missing data","stock"),"pkm")</f>
        <v>pkm</v>
      </c>
      <c r="P85" s="317" t="str">
        <f>IF(COUNTA(MotTrafficPkm)=0,IF(COUNTA(kmvmot)+COUNTA(MotTrafficStock)=0,"Missing data","stock"),"pkm")</f>
        <v>pkm</v>
      </c>
      <c r="Q85" s="317" t="str">
        <f>IF(COUNTA(MotTrafficPkm)=0,IF(COUNTA(kmvmot)+COUNTA(MotTrafficStock)=0,"Missing data","stock"),"pkm")</f>
        <v>pkm</v>
      </c>
      <c r="R85" s="317" t="str">
        <f>IF(COUNTA(MotTrafficPkm)=0,IF(COUNTA(kmvmot)+COUNTA(MotTrafficStock)=0,"Missing data","stock"),"pkm")</f>
        <v>pkm</v>
      </c>
      <c r="S85" s="317" t="str">
        <f>IF(COUNTA(MotTrafficPkm)=0,IF(COUNTA(kmvmot)+COUNTA(MotTrafficStock)=0,"Missing data","stock"),"pkm")</f>
        <v>pkm</v>
      </c>
      <c r="T85" s="317" t="str">
        <f>IF(COUNTA(MotTrafficPkm)=0,IF(COUNTA(kmvmot)+COUNTA(MotTrafficStock)=0,"Missing data","stock"),"pkm")</f>
        <v>pkm</v>
      </c>
      <c r="U85" s="317" t="str">
        <f>IF(COUNTA(MotTrafficPkm)=0,IF(COUNTA(kmvmot)+COUNTA(MotTrafficStock)=0,"Missing data","stock"),"pkm")</f>
        <v>pkm</v>
      </c>
      <c r="V85" s="317" t="str">
        <f>IF(COUNTA(MotTrafficPkm)=0,IF(COUNTA(kmvmot)+COUNTA(MotTrafficStock)=0,"Missing data","stock"),"pkm")</f>
        <v>pkm</v>
      </c>
      <c r="W85" s="317" t="str">
        <f>IF(COUNTA(MotTrafficPkm)=0,IF(COUNTA(kmvmot)+COUNTA(MotTrafficStock)=0,"Missing data","stock"),"pkm")</f>
        <v>pkm</v>
      </c>
      <c r="X85" s="317" t="str">
        <f>IF(COUNTA(MotTrafficPkm)=0,IF(COUNTA(kmvmot)+COUNTA(MotTrafficStock)=0,"Missing data","stock"),"pkm")</f>
        <v>pkm</v>
      </c>
      <c r="Y85" s="317" t="str">
        <f>IF(COUNTA(MotTrafficPkm)=0,IF(COUNTA(kmvmot)+COUNTA(MotTrafficStock)=0,"Missing data","stock"),"pkm")</f>
        <v>pkm</v>
      </c>
      <c r="Z85" s="317" t="str">
        <f>IF(COUNTA(MotTrafficPkm)=0,IF(COUNTA(kmvmot)+COUNTA(MotTrafficStock)=0,"Missing data","stock"),"pkm")</f>
        <v>pkm</v>
      </c>
      <c r="AA85" s="317" t="str">
        <f>IF(COUNTA(MotTrafficPkm)=0,IF(COUNTA(kmvmot)+COUNTA(MotTrafficStock)=0,"Missing data","stock"),"pkm")</f>
        <v>pkm</v>
      </c>
      <c r="AB85" s="317" t="str">
        <f>IF(COUNTA(MotTrafficPkm)=0,IF(COUNTA(kmvmot)+COUNTA(MotTrafficStock)=0,"Missing data","stock"),"pkm")</f>
        <v>pkm</v>
      </c>
      <c r="AC85" s="317" t="str">
        <f>IF(COUNTA(MotTrafficPkm)=0,IF(COUNTA(kmvmot)+COUNTA(MotTrafficStock)=0,"Missing data","stock"),"pkm")</f>
        <v>pkm</v>
      </c>
      <c r="AD85" s="317" t="str">
        <f>IF(COUNTA(MotTrafficPkm)=0,IF(COUNTA(kmvmot)+COUNTA(MotTrafficStock)=0,"Missing data","stock"),"pkm")</f>
        <v>pkm</v>
      </c>
      <c r="AE85" s="317" t="str">
        <f>IF(COUNTA(MotTrafficPkm)=0,IF(COUNTA(kmvmot)+COUNTA(MotTrafficStock)=0,"Missing data","stock"),"pkm")</f>
        <v>pkm</v>
      </c>
      <c r="AF85" s="317" t="str">
        <f>IF(COUNTA(MotTrafficPkm)=0,IF(COUNTA(kmvmot)+COUNTA(MotTrafficStock)=0,"Missing data","stock"),"pkm")</f>
        <v>pkm</v>
      </c>
      <c r="AG85" s="317" t="str">
        <f>IF(COUNTA(MotTrafficPkm)=0,IF(COUNTA(kmvmot)+COUNTA(MotTrafficStock)=0,"Missing data","stock"),"pkm")</f>
        <v>pkm</v>
      </c>
      <c r="AH85" s="317" t="str">
        <f>IF(COUNTA(MotTrafficPkm)=0,IF(COUNTA(kmvmot)+COUNTA(MotTrafficStock)=0,"Missing data","stock"),"pkm")</f>
        <v>pkm</v>
      </c>
      <c r="AI85" s="125"/>
    </row>
    <row r="86" ht="13.5" customHeight="1" outlineLevel="2">
      <c r="A86" s="195"/>
      <c r="B86" s="201"/>
      <c r="C86" s="246"/>
      <c r="D86" s="201"/>
      <c r="E86" s="316" t="s">
        <v>1895</v>
      </c>
      <c r="F86" s="320" t="str">
        <f>IF(COUNTA(capbus)=0,"Row not filled in by partner",IF(SUMPRODUCT(capbus*ProspectiveYears)=0,"Prospective data not filled in by partner","Ok"))</f>
        <v>Ok</v>
      </c>
      <c r="G86" s="320"/>
      <c r="H86" s="317" t="str">
        <f>IF(ISBLANK(capbus),"Missing data","Ok")</f>
        <v>Ok</v>
      </c>
      <c r="I86" s="317" t="str">
        <f>IF(ISBLANK(capbus),"Missing data","Ok")</f>
        <v>Ok</v>
      </c>
      <c r="J86" s="317" t="str">
        <f>IF(ISBLANK(capbus),"Missing data","Ok")</f>
        <v>Ok</v>
      </c>
      <c r="K86" s="317" t="str">
        <f>IF(ISBLANK(capbus),"Missing data","Ok")</f>
        <v>Ok</v>
      </c>
      <c r="L86" s="317" t="str">
        <f>IF(ISBLANK(capbus),"Missing data","Ok")</f>
        <v>Ok</v>
      </c>
      <c r="M86" s="317" t="str">
        <f>IF(ISBLANK(capbus),"Missing data","Ok")</f>
        <v>Ok</v>
      </c>
      <c r="N86" s="317" t="str">
        <f>IF(ISBLANK(capbus),"Missing data","Ok")</f>
        <v>Ok</v>
      </c>
      <c r="O86" s="317" t="str">
        <f>IF(ISBLANK(capbus),"Missing data","Ok")</f>
        <v>Ok</v>
      </c>
      <c r="P86" s="317" t="str">
        <f>IF(ISBLANK(capbus),"Missing data","Ok")</f>
        <v>Ok</v>
      </c>
      <c r="Q86" s="317" t="str">
        <f>IF(ISBLANK(capbus),"Missing data","Ok")</f>
        <v>Ok</v>
      </c>
      <c r="R86" s="317" t="str">
        <f>IF(ISBLANK(capbus),"Missing data","Ok")</f>
        <v>Ok</v>
      </c>
      <c r="S86" s="317" t="str">
        <f>IF(ISBLANK(capbus),"Missing data","Ok")</f>
        <v>Ok</v>
      </c>
      <c r="T86" s="317" t="str">
        <f>IF(ISBLANK(capbus),"Missing data","Ok")</f>
        <v>Ok</v>
      </c>
      <c r="U86" s="317" t="str">
        <f>IF(ISBLANK(capbus),"Missing data","Ok")</f>
        <v>Ok</v>
      </c>
      <c r="V86" s="317" t="str">
        <f>IF(ISBLANK(capbus),"Missing data","Ok")</f>
        <v>Ok</v>
      </c>
      <c r="W86" s="317" t="str">
        <f>IF(ISBLANK(capbus),"Missing data","Ok")</f>
        <v>Ok</v>
      </c>
      <c r="X86" s="317" t="str">
        <f>IF(ISBLANK(capbus),"Missing data","Ok")</f>
        <v>Missing data</v>
      </c>
      <c r="Y86" s="317" t="str">
        <f>IF(ISBLANK(capbus),"Missing data","Ok")</f>
        <v>Missing data</v>
      </c>
      <c r="Z86" s="317" t="str">
        <f>IF(ISBLANK(capbus),"Missing data","Ok")</f>
        <v>Missing data</v>
      </c>
      <c r="AA86" s="317" t="str">
        <f>IF(ISBLANK(capbus),"Missing data","Ok")</f>
        <v>Missing data</v>
      </c>
      <c r="AB86" s="317" t="str">
        <f>IF(ISBLANK(capbus),"Missing data","Ok")</f>
        <v>Ok</v>
      </c>
      <c r="AC86" s="317" t="str">
        <f>IF(ISBLANK(capbus),"Missing data","Ok")</f>
        <v>Ok</v>
      </c>
      <c r="AD86" s="317" t="str">
        <f>IF(ISBLANK(capbus),"Missing data","Ok")</f>
        <v>Ok</v>
      </c>
      <c r="AE86" s="317" t="str">
        <f>IF(ISBLANK(capbus),"Missing data","Ok")</f>
        <v>Ok</v>
      </c>
      <c r="AF86" s="317" t="str">
        <f>IF(ISBLANK(capbus),"Missing data","Ok")</f>
        <v>Ok</v>
      </c>
      <c r="AG86" s="317" t="str">
        <f>IF(ISBLANK(capbus),"Missing data","Ok")</f>
        <v>Ok</v>
      </c>
      <c r="AH86" s="317" t="str">
        <f>IF(ISBLANK(capbus),"Missing data","Ok")</f>
        <v>Ok</v>
      </c>
      <c r="AI86" s="125"/>
    </row>
    <row r="87" ht="14.25" customHeight="1" outlineLevel="4">
      <c r="A87" s="439"/>
      <c r="B87" s="393"/>
      <c r="C87" s="393" t="s">
        <v>1824</v>
      </c>
      <c r="D87" s="394"/>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c r="AC87" s="162"/>
      <c r="AD87" s="162"/>
      <c r="AE87" s="162"/>
      <c r="AF87" s="162"/>
      <c r="AG87" s="162"/>
      <c r="AH87" s="162"/>
      <c r="AI87" s="271"/>
    </row>
    <row r="88" ht="14.25" customHeight="1" outlineLevel="5">
      <c r="A88" s="100"/>
      <c r="B88" s="100"/>
      <c r="C88" s="100"/>
      <c r="D88" s="100"/>
      <c r="E88" s="273" t="s">
        <v>1896</v>
      </c>
      <c r="F88" s="249" t="s">
        <v>1412</v>
      </c>
      <c r="G88" s="123" t="s">
        <v>1897</v>
      </c>
      <c r="H88" s="274">
        <f t="array" ref="H88:AH88">csmotlqf/100*IF(pcspci="HHV",prmcebvpcess,prmcenvpcess)</f>
        <v>0</v>
      </c>
      <c r="I88" s="274">
        <v>0.0</v>
      </c>
      <c r="J88" s="274">
        <v>0.0</v>
      </c>
      <c r="K88" s="274">
        <v>0.0</v>
      </c>
      <c r="L88" s="274">
        <v>0.0</v>
      </c>
      <c r="M88" s="274">
        <v>0.0</v>
      </c>
      <c r="N88" s="274">
        <v>0.0</v>
      </c>
      <c r="O88" s="274">
        <v>0.0</v>
      </c>
      <c r="P88" s="274">
        <v>0.0</v>
      </c>
      <c r="Q88" s="274">
        <v>0.0</v>
      </c>
      <c r="R88" s="274">
        <v>0.0</v>
      </c>
      <c r="S88" s="274">
        <v>0.0</v>
      </c>
      <c r="T88" s="274">
        <v>0.0</v>
      </c>
      <c r="U88" s="274">
        <v>0.0</v>
      </c>
      <c r="V88" s="274">
        <v>0.0</v>
      </c>
      <c r="W88" s="274">
        <v>0.31615218482317625</v>
      </c>
      <c r="X88" s="274">
        <v>0.0</v>
      </c>
      <c r="Y88" s="274">
        <v>0.0</v>
      </c>
      <c r="Z88" s="274">
        <v>0.0</v>
      </c>
      <c r="AA88" s="274">
        <v>0.0</v>
      </c>
      <c r="AB88" s="274">
        <v>0.3035060974302493</v>
      </c>
      <c r="AC88" s="274">
        <v>0.27442009642651694</v>
      </c>
      <c r="AD88" s="274">
        <v>0.2453340954227845</v>
      </c>
      <c r="AE88" s="274">
        <v>0.21624809441905204</v>
      </c>
      <c r="AF88" s="274">
        <v>0.18716209341532056</v>
      </c>
      <c r="AG88" s="274">
        <v>0.15807609241158813</v>
      </c>
      <c r="AH88" s="274">
        <v>0.15807609241158813</v>
      </c>
      <c r="AI88" s="318"/>
    </row>
    <row r="89" ht="14.25" customHeight="1" outlineLevel="5">
      <c r="A89" s="100"/>
      <c r="B89" s="100"/>
      <c r="C89" s="100"/>
      <c r="D89" s="100"/>
      <c r="E89" s="273" t="s">
        <v>1898</v>
      </c>
      <c r="F89" s="123" t="s">
        <v>1412</v>
      </c>
      <c r="G89" s="123" t="s">
        <v>1899</v>
      </c>
      <c r="H89" s="274">
        <f t="array" ref="H89:AH89">csmotngv/100*IF(pcspci="HHV",prmcebvpcngv,prmcenvpcngv)</f>
        <v>0</v>
      </c>
      <c r="I89" s="274">
        <v>0.0</v>
      </c>
      <c r="J89" s="274">
        <v>0.0</v>
      </c>
      <c r="K89" s="274">
        <v>0.0</v>
      </c>
      <c r="L89" s="274">
        <v>0.0</v>
      </c>
      <c r="M89" s="274">
        <v>0.0</v>
      </c>
      <c r="N89" s="274">
        <v>0.0</v>
      </c>
      <c r="O89" s="274">
        <v>0.0</v>
      </c>
      <c r="P89" s="274">
        <v>0.0</v>
      </c>
      <c r="Q89" s="274">
        <v>0.0</v>
      </c>
      <c r="R89" s="274">
        <v>0.0</v>
      </c>
      <c r="S89" s="274">
        <v>0.0</v>
      </c>
      <c r="T89" s="274">
        <v>0.0</v>
      </c>
      <c r="U89" s="274">
        <v>0.0</v>
      </c>
      <c r="V89" s="274">
        <v>0.0</v>
      </c>
      <c r="W89" s="274">
        <v>0.34965000000000035</v>
      </c>
      <c r="X89" s="274">
        <v>0.0</v>
      </c>
      <c r="Y89" s="274">
        <v>0.0</v>
      </c>
      <c r="Z89" s="274">
        <v>0.0</v>
      </c>
      <c r="AA89" s="274">
        <v>0.0</v>
      </c>
      <c r="AB89" s="274">
        <v>0.33566399999999974</v>
      </c>
      <c r="AC89" s="274">
        <v>0.30349619999999977</v>
      </c>
      <c r="AD89" s="274">
        <v>0.2713283999999999</v>
      </c>
      <c r="AE89" s="274">
        <v>0.23916060000000003</v>
      </c>
      <c r="AF89" s="274">
        <v>0.2069928000000001</v>
      </c>
      <c r="AG89" s="274">
        <v>0.17482500000000017</v>
      </c>
      <c r="AH89" s="274">
        <v>0.17482500000000017</v>
      </c>
      <c r="AI89" s="318"/>
    </row>
    <row r="90" ht="14.25" customHeight="1" outlineLevel="5">
      <c r="A90" s="100"/>
      <c r="B90" s="100"/>
      <c r="C90" s="100"/>
      <c r="D90" s="100"/>
      <c r="E90" s="273" t="s">
        <v>1900</v>
      </c>
      <c r="F90" s="123" t="s">
        <v>1412</v>
      </c>
      <c r="G90" s="123" t="s">
        <v>1901</v>
      </c>
      <c r="H90" s="445" t="str">
        <f t="array" ref="H90:AH90">csmotele</f>
        <v/>
      </c>
      <c r="I90" s="445"/>
      <c r="J90" s="445"/>
      <c r="K90" s="445"/>
      <c r="L90" s="445"/>
      <c r="M90" s="445"/>
      <c r="N90" s="445"/>
      <c r="O90" s="445"/>
      <c r="P90" s="445"/>
      <c r="Q90" s="445"/>
      <c r="R90" s="445"/>
      <c r="S90" s="445"/>
      <c r="T90" s="445"/>
      <c r="U90" s="445"/>
      <c r="V90" s="445"/>
      <c r="W90" s="445">
        <v>0.081</v>
      </c>
      <c r="X90" s="445"/>
      <c r="Y90" s="445"/>
      <c r="Z90" s="445"/>
      <c r="AA90" s="445"/>
      <c r="AB90" s="445">
        <v>0.07776</v>
      </c>
      <c r="AC90" s="445">
        <v>0.070308</v>
      </c>
      <c r="AD90" s="445">
        <v>0.062856</v>
      </c>
      <c r="AE90" s="445">
        <v>0.055404</v>
      </c>
      <c r="AF90" s="445">
        <v>0.047952</v>
      </c>
      <c r="AG90" s="445">
        <v>0.0405</v>
      </c>
      <c r="AH90" s="445">
        <v>0.0405</v>
      </c>
      <c r="AI90" s="318"/>
    </row>
    <row r="91" ht="14.25" customHeight="1" outlineLevel="4">
      <c r="A91" s="439"/>
      <c r="B91" s="393"/>
      <c r="C91" s="393" t="s">
        <v>1870</v>
      </c>
      <c r="D91" s="394"/>
      <c r="E91" s="162"/>
      <c r="F91" s="162"/>
      <c r="G91" s="162"/>
      <c r="H91" s="178"/>
      <c r="I91" s="178"/>
      <c r="J91" s="178"/>
      <c r="K91" s="178"/>
      <c r="L91" s="178"/>
      <c r="M91" s="178"/>
      <c r="N91" s="178"/>
      <c r="O91" s="178"/>
      <c r="P91" s="178"/>
      <c r="Q91" s="178"/>
      <c r="R91" s="178"/>
      <c r="S91" s="178"/>
      <c r="T91" s="178"/>
      <c r="U91" s="178"/>
      <c r="V91" s="178"/>
      <c r="W91" s="178"/>
      <c r="X91" s="178"/>
      <c r="Y91" s="178"/>
      <c r="Z91" s="178"/>
      <c r="AA91" s="178"/>
      <c r="AB91" s="178"/>
      <c r="AC91" s="178"/>
      <c r="AD91" s="178"/>
      <c r="AE91" s="178"/>
      <c r="AF91" s="178"/>
      <c r="AG91" s="178"/>
      <c r="AH91" s="178"/>
      <c r="AI91" s="271"/>
    </row>
    <row r="92" ht="14.25" customHeight="1" outlineLevel="5">
      <c r="A92" s="195"/>
      <c r="B92" s="201"/>
      <c r="C92" s="201"/>
      <c r="D92" s="201"/>
      <c r="E92" s="273" t="s">
        <v>1902</v>
      </c>
      <c r="F92" s="249" t="s">
        <v>135</v>
      </c>
      <c r="G92" s="123" t="s">
        <v>1903</v>
      </c>
      <c r="H92" s="274">
        <f>IF(crdmstmot="pkm",G*pkmmotlqf,M*nbrmotlqf*kmvmot)*calcsklqfmot/G</f>
        <v>0</v>
      </c>
      <c r="I92" s="274">
        <f>IF(crdmstmot="pkm",G*pkmmotlqf,M*nbrmotlqf*kmvmot)*calcsklqfmot/G</f>
        <v>0</v>
      </c>
      <c r="J92" s="274">
        <f>IF(crdmstmot="pkm",G*pkmmotlqf,M*nbrmotlqf*kmvmot)*calcsklqfmot/G</f>
        <v>0</v>
      </c>
      <c r="K92" s="274">
        <f>IF(crdmstmot="pkm",G*pkmmotlqf,M*nbrmotlqf*kmvmot)*calcsklqfmot/G</f>
        <v>0</v>
      </c>
      <c r="L92" s="274">
        <f>IF(crdmstmot="pkm",G*pkmmotlqf,M*nbrmotlqf*kmvmot)*calcsklqfmot/G</f>
        <v>0</v>
      </c>
      <c r="M92" s="274">
        <f>IF(crdmstmot="pkm",G*pkmmotlqf,M*nbrmotlqf*kmvmot)*calcsklqfmot/G</f>
        <v>0</v>
      </c>
      <c r="N92" s="274">
        <f>IF(crdmstmot="pkm",G*pkmmotlqf,M*nbrmotlqf*kmvmot)*calcsklqfmot/G</f>
        <v>0</v>
      </c>
      <c r="O92" s="274">
        <f>IF(crdmstmot="pkm",G*pkmmotlqf,M*nbrmotlqf*kmvmot)*calcsklqfmot/G</f>
        <v>0</v>
      </c>
      <c r="P92" s="274">
        <f>IF(crdmstmot="pkm",G*pkmmotlqf,M*nbrmotlqf*kmvmot)*calcsklqfmot/G</f>
        <v>0</v>
      </c>
      <c r="Q92" s="274">
        <f>IF(crdmstmot="pkm",G*pkmmotlqf,M*nbrmotlqf*kmvmot)*calcsklqfmot/G</f>
        <v>0</v>
      </c>
      <c r="R92" s="274">
        <f>IF(crdmstmot="pkm",G*pkmmotlqf,M*nbrmotlqf*kmvmot)*calcsklqfmot/G</f>
        <v>0</v>
      </c>
      <c r="S92" s="274">
        <f>IF(crdmstmot="pkm",G*pkmmotlqf,M*nbrmotlqf*kmvmot)*calcsklqfmot/G</f>
        <v>0</v>
      </c>
      <c r="T92" s="274">
        <f>IF(crdmstmot="pkm",G*pkmmotlqf,M*nbrmotlqf*kmvmot)*calcsklqfmot/G</f>
        <v>0</v>
      </c>
      <c r="U92" s="274">
        <f>IF(crdmstmot="pkm",G*pkmmotlqf,M*nbrmotlqf*kmvmot)*calcsklqfmot/G</f>
        <v>0</v>
      </c>
      <c r="V92" s="274">
        <f>IF(crdmstmot="pkm",G*pkmmotlqf,M*nbrmotlqf*kmvmot)*calcsklqfmot/G</f>
        <v>0</v>
      </c>
      <c r="W92" s="274">
        <f>IF(crdmstmot="pkm",G*pkmmotlqf,M*nbrmotlqf*kmvmot)*calcsklqfmot/G</f>
        <v>0.5554069928</v>
      </c>
      <c r="X92" s="274">
        <f>IF(crdmstmot="pkm",G*pkmmotlqf,M*nbrmotlqf*kmvmot)*calcsklqfmot/G</f>
        <v>0</v>
      </c>
      <c r="Y92" s="274">
        <f>IF(crdmstmot="pkm",G*pkmmotlqf,M*nbrmotlqf*kmvmot)*calcsklqfmot/G</f>
        <v>0</v>
      </c>
      <c r="Z92" s="274">
        <f>IF(crdmstmot="pkm",G*pkmmotlqf,M*nbrmotlqf*kmvmot)*calcsklqfmot/G</f>
        <v>0</v>
      </c>
      <c r="AA92" s="274">
        <f>IF(crdmstmot="pkm",G*pkmmotlqf,M*nbrmotlqf*kmvmot)*calcsklqfmot/G</f>
        <v>0</v>
      </c>
      <c r="AB92" s="274">
        <f>IF(crdmstmot="pkm",G*pkmmotlqf,M*nbrmotlqf*kmvmot)*calcsklqfmot/G</f>
        <v>0.5981224656</v>
      </c>
      <c r="AC92" s="274">
        <f>IF(crdmstmot="pkm",G*pkmmotlqf,M*nbrmotlqf*kmvmot)*calcsklqfmot/G</f>
        <v>0.6424801291</v>
      </c>
      <c r="AD92" s="274">
        <f>IF(crdmstmot="pkm",G*pkmmotlqf,M*nbrmotlqf*kmvmot)*calcsklqfmot/G</f>
        <v>0.4795707085</v>
      </c>
      <c r="AE92" s="274">
        <f>IF(crdmstmot="pkm",G*pkmmotlqf,M*nbrmotlqf*kmvmot)*calcsklqfmot/G</f>
        <v>0.3155831468</v>
      </c>
      <c r="AF92" s="274">
        <f>IF(crdmstmot="pkm",G*pkmmotlqf,M*nbrmotlqf*kmvmot)*calcsklqfmot/G</f>
        <v>0.1354463172</v>
      </c>
      <c r="AG92" s="274">
        <f>IF(crdmstmot="pkm",G*pkmmotlqf,M*nbrmotlqf*kmvmot)*calcsklqfmot/G</f>
        <v>0.1276561387</v>
      </c>
      <c r="AH92" s="274">
        <f>IF(crdmstmot="pkm",G*pkmmotlqf,M*nbrmotlqf*kmvmot)*calcsklqfmot/G</f>
        <v>0.1080387309</v>
      </c>
      <c r="AI92" s="318"/>
    </row>
    <row r="93" ht="14.25" customHeight="1" outlineLevel="5">
      <c r="A93" s="195"/>
      <c r="B93" s="201"/>
      <c r="C93" s="201"/>
      <c r="D93" s="201"/>
      <c r="E93" s="273" t="s">
        <v>1904</v>
      </c>
      <c r="F93" s="249" t="s">
        <v>135</v>
      </c>
      <c r="G93" s="123" t="s">
        <v>1905</v>
      </c>
      <c r="H93" s="274">
        <f>IF(crdmstmot="pkm",G*pkmmotngv,M*nbrmotngv*kmvmot)*calcskngvmot/G</f>
        <v>0</v>
      </c>
      <c r="I93" s="274">
        <f>IF(crdmstmot="pkm",G*pkmmotngv,M*nbrmotngv*kmvmot)*calcskngvmot/G</f>
        <v>0</v>
      </c>
      <c r="J93" s="274">
        <f>IF(crdmstmot="pkm",G*pkmmotngv,M*nbrmotngv*kmvmot)*calcskngvmot/G</f>
        <v>0</v>
      </c>
      <c r="K93" s="274">
        <f>IF(crdmstmot="pkm",G*pkmmotngv,M*nbrmotngv*kmvmot)*calcskngvmot/G</f>
        <v>0</v>
      </c>
      <c r="L93" s="274">
        <f>IF(crdmstmot="pkm",G*pkmmotngv,M*nbrmotngv*kmvmot)*calcskngvmot/G</f>
        <v>0</v>
      </c>
      <c r="M93" s="274">
        <f>IF(crdmstmot="pkm",G*pkmmotngv,M*nbrmotngv*kmvmot)*calcskngvmot/G</f>
        <v>0</v>
      </c>
      <c r="N93" s="274">
        <f>IF(crdmstmot="pkm",G*pkmmotngv,M*nbrmotngv*kmvmot)*calcskngvmot/G</f>
        <v>0</v>
      </c>
      <c r="O93" s="274">
        <f>IF(crdmstmot="pkm",G*pkmmotngv,M*nbrmotngv*kmvmot)*calcskngvmot/G</f>
        <v>0</v>
      </c>
      <c r="P93" s="274">
        <f>IF(crdmstmot="pkm",G*pkmmotngv,M*nbrmotngv*kmvmot)*calcskngvmot/G</f>
        <v>0</v>
      </c>
      <c r="Q93" s="274">
        <f>IF(crdmstmot="pkm",G*pkmmotngv,M*nbrmotngv*kmvmot)*calcskngvmot/G</f>
        <v>0</v>
      </c>
      <c r="R93" s="274">
        <f>IF(crdmstmot="pkm",G*pkmmotngv,M*nbrmotngv*kmvmot)*calcskngvmot/G</f>
        <v>0</v>
      </c>
      <c r="S93" s="274">
        <f>IF(crdmstmot="pkm",G*pkmmotngv,M*nbrmotngv*kmvmot)*calcskngvmot/G</f>
        <v>0</v>
      </c>
      <c r="T93" s="274">
        <f>IF(crdmstmot="pkm",G*pkmmotngv,M*nbrmotngv*kmvmot)*calcskngvmot/G</f>
        <v>0</v>
      </c>
      <c r="U93" s="274">
        <f>IF(crdmstmot="pkm",G*pkmmotngv,M*nbrmotngv*kmvmot)*calcskngvmot/G</f>
        <v>0</v>
      </c>
      <c r="V93" s="274">
        <f>IF(crdmstmot="pkm",G*pkmmotngv,M*nbrmotngv*kmvmot)*calcskngvmot/G</f>
        <v>0</v>
      </c>
      <c r="W93" s="274">
        <f>IF(crdmstmot="pkm",G*pkmmotngv,M*nbrmotngv*kmvmot)*calcskngvmot/G</f>
        <v>0</v>
      </c>
      <c r="X93" s="274">
        <f>IF(crdmstmot="pkm",G*pkmmotngv,M*nbrmotngv*kmvmot)*calcskngvmot/G</f>
        <v>0</v>
      </c>
      <c r="Y93" s="274">
        <f>IF(crdmstmot="pkm",G*pkmmotngv,M*nbrmotngv*kmvmot)*calcskngvmot/G</f>
        <v>0</v>
      </c>
      <c r="Z93" s="274">
        <f>IF(crdmstmot="pkm",G*pkmmotngv,M*nbrmotngv*kmvmot)*calcskngvmot/G</f>
        <v>0</v>
      </c>
      <c r="AA93" s="274">
        <f>IF(crdmstmot="pkm",G*pkmmotngv,M*nbrmotngv*kmvmot)*calcskngvmot/G</f>
        <v>0</v>
      </c>
      <c r="AB93" s="274">
        <f>IF(crdmstmot="pkm",G*pkmmotngv,M*nbrmotngv*kmvmot)*calcskngvmot/G</f>
        <v>0</v>
      </c>
      <c r="AC93" s="274">
        <f>IF(crdmstmot="pkm",G*pkmmotngv,M*nbrmotngv*kmvmot)*calcskngvmot/G</f>
        <v>0</v>
      </c>
      <c r="AD93" s="274">
        <f>IF(crdmstmot="pkm",G*pkmmotngv,M*nbrmotngv*kmvmot)*calcskngvmot/G</f>
        <v>0</v>
      </c>
      <c r="AE93" s="274">
        <f>IF(crdmstmot="pkm",G*pkmmotngv,M*nbrmotngv*kmvmot)*calcskngvmot/G</f>
        <v>0</v>
      </c>
      <c r="AF93" s="274">
        <f>IF(crdmstmot="pkm",G*pkmmotngv,M*nbrmotngv*kmvmot)*calcskngvmot/G</f>
        <v>0</v>
      </c>
      <c r="AG93" s="274">
        <f>IF(crdmstmot="pkm",G*pkmmotngv,M*nbrmotngv*kmvmot)*calcskngvmot/G</f>
        <v>0</v>
      </c>
      <c r="AH93" s="274">
        <f>IF(crdmstmot="pkm",G*pkmmotngv,M*nbrmotngv*kmvmot)*calcskngvmot/G</f>
        <v>0</v>
      </c>
      <c r="AI93" s="318"/>
    </row>
    <row r="94" ht="14.25" customHeight="1" outlineLevel="5">
      <c r="A94" s="195"/>
      <c r="B94" s="201"/>
      <c r="C94" s="201"/>
      <c r="D94" s="201"/>
      <c r="E94" s="273" t="s">
        <v>1906</v>
      </c>
      <c r="F94" s="123" t="s">
        <v>135</v>
      </c>
      <c r="G94" s="123" t="s">
        <v>1907</v>
      </c>
      <c r="H94" s="274">
        <f>IF(crdmstmot="pkm",G*pkmmotele,M*nbrmotele*kmvmot)*calcskelemot/G</f>
        <v>0</v>
      </c>
      <c r="I94" s="274">
        <f>IF(crdmstmot="pkm",G*pkmmotele,M*nbrmotele*kmvmot)*calcskelemot/G</f>
        <v>0</v>
      </c>
      <c r="J94" s="274">
        <f>IF(crdmstmot="pkm",G*pkmmotele,M*nbrmotele*kmvmot)*calcskelemot/G</f>
        <v>0</v>
      </c>
      <c r="K94" s="274">
        <f>IF(crdmstmot="pkm",G*pkmmotele,M*nbrmotele*kmvmot)*calcskelemot/G</f>
        <v>0</v>
      </c>
      <c r="L94" s="274">
        <f>IF(crdmstmot="pkm",G*pkmmotele,M*nbrmotele*kmvmot)*calcskelemot/G</f>
        <v>0</v>
      </c>
      <c r="M94" s="274">
        <f>IF(crdmstmot="pkm",G*pkmmotele,M*nbrmotele*kmvmot)*calcskelemot/G</f>
        <v>0</v>
      </c>
      <c r="N94" s="274">
        <f>IF(crdmstmot="pkm",G*pkmmotele,M*nbrmotele*kmvmot)*calcskelemot/G</f>
        <v>0</v>
      </c>
      <c r="O94" s="274">
        <f>IF(crdmstmot="pkm",G*pkmmotele,M*nbrmotele*kmvmot)*calcskelemot/G</f>
        <v>0</v>
      </c>
      <c r="P94" s="274">
        <f>IF(crdmstmot="pkm",G*pkmmotele,M*nbrmotele*kmvmot)*calcskelemot/G</f>
        <v>0</v>
      </c>
      <c r="Q94" s="274">
        <f>IF(crdmstmot="pkm",G*pkmmotele,M*nbrmotele*kmvmot)*calcskelemot/G</f>
        <v>0</v>
      </c>
      <c r="R94" s="274">
        <f>IF(crdmstmot="pkm",G*pkmmotele,M*nbrmotele*kmvmot)*calcskelemot/G</f>
        <v>0</v>
      </c>
      <c r="S94" s="274">
        <f>IF(crdmstmot="pkm",G*pkmmotele,M*nbrmotele*kmvmot)*calcskelemot/G</f>
        <v>0</v>
      </c>
      <c r="T94" s="274">
        <f>IF(crdmstmot="pkm",G*pkmmotele,M*nbrmotele*kmvmot)*calcskelemot/G</f>
        <v>0</v>
      </c>
      <c r="U94" s="274">
        <f>IF(crdmstmot="pkm",G*pkmmotele,M*nbrmotele*kmvmot)*calcskelemot/G</f>
        <v>0</v>
      </c>
      <c r="V94" s="274">
        <f>IF(crdmstmot="pkm",G*pkmmotele,M*nbrmotele*kmvmot)*calcskelemot/G</f>
        <v>0</v>
      </c>
      <c r="W94" s="274">
        <f>IF(crdmstmot="pkm",G*pkmmotele,M*nbrmotele*kmvmot)*calcskelemot/G</f>
        <v>0.0002281337904</v>
      </c>
      <c r="X94" s="274">
        <f>IF(crdmstmot="pkm",G*pkmmotele,M*nbrmotele*kmvmot)*calcskelemot/G</f>
        <v>0</v>
      </c>
      <c r="Y94" s="274">
        <f>IF(crdmstmot="pkm",G*pkmmotele,M*nbrmotele*kmvmot)*calcskelemot/G</f>
        <v>0</v>
      </c>
      <c r="Z94" s="274">
        <f>IF(crdmstmot="pkm",G*pkmmotele,M*nbrmotele*kmvmot)*calcskelemot/G</f>
        <v>0</v>
      </c>
      <c r="AA94" s="274">
        <f>IF(crdmstmot="pkm",G*pkmmotele,M*nbrmotele*kmvmot)*calcskelemot/G</f>
        <v>0</v>
      </c>
      <c r="AB94" s="274">
        <f>IF(crdmstmot="pkm",G*pkmmotele,M*nbrmotele*kmvmot)*calcskelemot/G</f>
        <v>0.0003070989989</v>
      </c>
      <c r="AC94" s="274">
        <f>IF(crdmstmot="pkm",G*pkmmotele,M*nbrmotele*kmvmot)*calcskelemot/G</f>
        <v>0.008663530939</v>
      </c>
      <c r="AD94" s="274">
        <f>IF(crdmstmot="pkm",G*pkmmotele,M*nbrmotele*kmvmot)*calcskelemot/G</f>
        <v>0.05265804064</v>
      </c>
      <c r="AE94" s="274">
        <f>IF(crdmstmot="pkm",G*pkmmotele,M*nbrmotele*kmvmot)*calcskelemot/G</f>
        <v>0.09882181125</v>
      </c>
      <c r="AF94" s="274">
        <f>IF(crdmstmot="pkm",G*pkmmotele,M*nbrmotele*kmvmot)*calcskelemot/G</f>
        <v>0.1214574271</v>
      </c>
      <c r="AG94" s="274">
        <f>IF(crdmstmot="pkm",G*pkmmotele,M*nbrmotele*kmvmot)*calcskelemot/G</f>
        <v>0.1308249347</v>
      </c>
      <c r="AH94" s="274">
        <f>IF(crdmstmot="pkm",G*pkmmotele,M*nbrmotele*kmvmot)*calcskelemot/G</f>
        <v>0.156854135</v>
      </c>
      <c r="AI94" s="318"/>
    </row>
    <row r="95" ht="14.25" customHeight="1" outlineLevel="2">
      <c r="A95" s="439"/>
      <c r="B95" s="393" t="s">
        <v>1908</v>
      </c>
      <c r="C95" s="394"/>
      <c r="D95" s="394"/>
      <c r="E95" s="162"/>
      <c r="F95" s="162"/>
      <c r="G95" s="178"/>
      <c r="H95" s="178"/>
      <c r="I95" s="178"/>
      <c r="J95" s="178"/>
      <c r="K95" s="178"/>
      <c r="L95" s="178"/>
      <c r="M95" s="178"/>
      <c r="N95" s="178"/>
      <c r="O95" s="178"/>
      <c r="P95" s="178"/>
      <c r="Q95" s="178"/>
      <c r="R95" s="178"/>
      <c r="S95" s="178"/>
      <c r="T95" s="178"/>
      <c r="U95" s="178"/>
      <c r="V95" s="178"/>
      <c r="W95" s="178"/>
      <c r="X95" s="178"/>
      <c r="Y95" s="178"/>
      <c r="Z95" s="178"/>
      <c r="AA95" s="178"/>
      <c r="AB95" s="178"/>
      <c r="AC95" s="178"/>
      <c r="AD95" s="178"/>
      <c r="AE95" s="178"/>
      <c r="AF95" s="178"/>
      <c r="AG95" s="178"/>
      <c r="AH95" s="178"/>
      <c r="AI95" s="271"/>
    </row>
    <row r="96" ht="13.5" customHeight="1" outlineLevel="3">
      <c r="A96" s="195"/>
      <c r="B96" s="201"/>
      <c r="C96" s="246"/>
      <c r="D96" s="201"/>
      <c r="E96" s="316" t="s">
        <v>1816</v>
      </c>
      <c r="F96" s="316"/>
      <c r="G96" s="316" t="s">
        <v>1909</v>
      </c>
      <c r="H96" s="317" t="str">
        <f>IF(COUNTA(BusTrafficPkm)=0,IF(COUNTA(kmvbus)+COUNTA(BusTrafficStock)=0,"Missing data","stock"),"pkm")</f>
        <v>pkm</v>
      </c>
      <c r="I96" s="317" t="str">
        <f>IF(COUNTA(BusTrafficPkm)=0,IF(COUNTA(kmvbus)+COUNTA(BusTrafficStock)=0,"Missing data","stock"),"pkm")</f>
        <v>pkm</v>
      </c>
      <c r="J96" s="317" t="str">
        <f>IF(COUNTA(BusTrafficPkm)=0,IF(COUNTA(kmvbus)+COUNTA(BusTrafficStock)=0,"Missing data","stock"),"pkm")</f>
        <v>pkm</v>
      </c>
      <c r="K96" s="317" t="str">
        <f>IF(COUNTA(BusTrafficPkm)=0,IF(COUNTA(kmvbus)+COUNTA(BusTrafficStock)=0,"Missing data","stock"),"pkm")</f>
        <v>pkm</v>
      </c>
      <c r="L96" s="317" t="str">
        <f>IF(COUNTA(BusTrafficPkm)=0,IF(COUNTA(kmvbus)+COUNTA(BusTrafficStock)=0,"Missing data","stock"),"pkm")</f>
        <v>pkm</v>
      </c>
      <c r="M96" s="317" t="str">
        <f>IF(COUNTA(BusTrafficPkm)=0,IF(COUNTA(kmvbus)+COUNTA(BusTrafficStock)=0,"Missing data","stock"),"pkm")</f>
        <v>pkm</v>
      </c>
      <c r="N96" s="317" t="str">
        <f>IF(COUNTA(BusTrafficPkm)=0,IF(COUNTA(kmvbus)+COUNTA(BusTrafficStock)=0,"Missing data","stock"),"pkm")</f>
        <v>pkm</v>
      </c>
      <c r="O96" s="317" t="str">
        <f>IF(COUNTA(BusTrafficPkm)=0,IF(COUNTA(kmvbus)+COUNTA(BusTrafficStock)=0,"Missing data","stock"),"pkm")</f>
        <v>pkm</v>
      </c>
      <c r="P96" s="317" t="str">
        <f>IF(COUNTA(BusTrafficPkm)=0,IF(COUNTA(kmvbus)+COUNTA(BusTrafficStock)=0,"Missing data","stock"),"pkm")</f>
        <v>pkm</v>
      </c>
      <c r="Q96" s="317" t="str">
        <f>IF(COUNTA(BusTrafficPkm)=0,IF(COUNTA(kmvbus)+COUNTA(BusTrafficStock)=0,"Missing data","stock"),"pkm")</f>
        <v>pkm</v>
      </c>
      <c r="R96" s="317" t="str">
        <f>IF(COUNTA(BusTrafficPkm)=0,IF(COUNTA(kmvbus)+COUNTA(BusTrafficStock)=0,"Missing data","stock"),"pkm")</f>
        <v>pkm</v>
      </c>
      <c r="S96" s="317" t="str">
        <f>IF(COUNTA(BusTrafficPkm)=0,IF(COUNTA(kmvbus)+COUNTA(BusTrafficStock)=0,"Missing data","stock"),"pkm")</f>
        <v>pkm</v>
      </c>
      <c r="T96" s="317" t="str">
        <f>IF(COUNTA(BusTrafficPkm)=0,IF(COUNTA(kmvbus)+COUNTA(BusTrafficStock)=0,"Missing data","stock"),"pkm")</f>
        <v>pkm</v>
      </c>
      <c r="U96" s="317" t="str">
        <f>IF(COUNTA(BusTrafficPkm)=0,IF(COUNTA(kmvbus)+COUNTA(BusTrafficStock)=0,"Missing data","stock"),"pkm")</f>
        <v>pkm</v>
      </c>
      <c r="V96" s="317" t="str">
        <f>IF(COUNTA(BusTrafficPkm)=0,IF(COUNTA(kmvbus)+COUNTA(BusTrafficStock)=0,"Missing data","stock"),"pkm")</f>
        <v>pkm</v>
      </c>
      <c r="W96" s="317" t="str">
        <f>IF(COUNTA(BusTrafficPkm)=0,IF(COUNTA(kmvbus)+COUNTA(BusTrafficStock)=0,"Missing data","stock"),"pkm")</f>
        <v>pkm</v>
      </c>
      <c r="X96" s="317" t="str">
        <f>IF(COUNTA(BusTrafficPkm)=0,IF(COUNTA(kmvbus)+COUNTA(BusTrafficStock)=0,"Missing data","stock"),"pkm")</f>
        <v>pkm</v>
      </c>
      <c r="Y96" s="317" t="str">
        <f>IF(COUNTA(BusTrafficPkm)=0,IF(COUNTA(kmvbus)+COUNTA(BusTrafficStock)=0,"Missing data","stock"),"pkm")</f>
        <v>pkm</v>
      </c>
      <c r="Z96" s="317" t="str">
        <f>IF(COUNTA(BusTrafficPkm)=0,IF(COUNTA(kmvbus)+COUNTA(BusTrafficStock)=0,"Missing data","stock"),"pkm")</f>
        <v>pkm</v>
      </c>
      <c r="AA96" s="317" t="str">
        <f>IF(COUNTA(BusTrafficPkm)=0,IF(COUNTA(kmvbus)+COUNTA(BusTrafficStock)=0,"Missing data","stock"),"pkm")</f>
        <v>pkm</v>
      </c>
      <c r="AB96" s="317" t="str">
        <f>IF(COUNTA(BusTrafficPkm)=0,IF(COUNTA(kmvbus)+COUNTA(BusTrafficStock)=0,"Missing data","stock"),"pkm")</f>
        <v>pkm</v>
      </c>
      <c r="AC96" s="317" t="str">
        <f>IF(COUNTA(BusTrafficPkm)=0,IF(COUNTA(kmvbus)+COUNTA(BusTrafficStock)=0,"Missing data","stock"),"pkm")</f>
        <v>pkm</v>
      </c>
      <c r="AD96" s="317" t="str">
        <f>IF(COUNTA(BusTrafficPkm)=0,IF(COUNTA(kmvbus)+COUNTA(BusTrafficStock)=0,"Missing data","stock"),"pkm")</f>
        <v>pkm</v>
      </c>
      <c r="AE96" s="317" t="str">
        <f>IF(COUNTA(BusTrafficPkm)=0,IF(COUNTA(kmvbus)+COUNTA(BusTrafficStock)=0,"Missing data","stock"),"pkm")</f>
        <v>pkm</v>
      </c>
      <c r="AF96" s="317" t="str">
        <f>IF(COUNTA(BusTrafficPkm)=0,IF(COUNTA(kmvbus)+COUNTA(BusTrafficStock)=0,"Missing data","stock"),"pkm")</f>
        <v>pkm</v>
      </c>
      <c r="AG96" s="317" t="str">
        <f>IF(COUNTA(BusTrafficPkm)=0,IF(COUNTA(kmvbus)+COUNTA(BusTrafficStock)=0,"Missing data","stock"),"pkm")</f>
        <v>pkm</v>
      </c>
      <c r="AH96" s="317" t="str">
        <f>IF(COUNTA(BusTrafficPkm)=0,IF(COUNTA(kmvbus)+COUNTA(BusTrafficStock)=0,"Missing data","stock"),"pkm")</f>
        <v>pkm</v>
      </c>
      <c r="AI96" s="125"/>
    </row>
    <row r="97" ht="14.25" customHeight="1" outlineLevel="3">
      <c r="A97" s="439"/>
      <c r="B97" s="393"/>
      <c r="C97" s="393" t="s">
        <v>1824</v>
      </c>
      <c r="D97" s="394"/>
      <c r="E97" s="162"/>
      <c r="F97" s="162"/>
      <c r="G97" s="162"/>
      <c r="H97" s="178"/>
      <c r="I97" s="178"/>
      <c r="J97" s="178"/>
      <c r="K97" s="178"/>
      <c r="L97" s="178"/>
      <c r="M97" s="178"/>
      <c r="N97" s="178"/>
      <c r="O97" s="178"/>
      <c r="P97" s="178"/>
      <c r="Q97" s="178"/>
      <c r="R97" s="178"/>
      <c r="S97" s="178"/>
      <c r="T97" s="178"/>
      <c r="U97" s="178"/>
      <c r="V97" s="178"/>
      <c r="W97" s="178"/>
      <c r="X97" s="178"/>
      <c r="Y97" s="178"/>
      <c r="Z97" s="178"/>
      <c r="AA97" s="178"/>
      <c r="AB97" s="178"/>
      <c r="AC97" s="178"/>
      <c r="AD97" s="178"/>
      <c r="AE97" s="178"/>
      <c r="AF97" s="178"/>
      <c r="AG97" s="178"/>
      <c r="AH97" s="178"/>
      <c r="AI97" s="271"/>
    </row>
    <row r="98" ht="14.25" customHeight="1" outlineLevel="4">
      <c r="A98" s="100"/>
      <c r="B98" s="100"/>
      <c r="C98" s="100"/>
      <c r="D98" s="100"/>
      <c r="E98" s="273" t="s">
        <v>1910</v>
      </c>
      <c r="F98" s="249" t="s">
        <v>1412</v>
      </c>
      <c r="G98" s="123" t="s">
        <v>1911</v>
      </c>
      <c r="H98" s="274">
        <f>csbuslqf/100*IF(pcspci="HHV",prmcebvpcgzl,prmcenvpcgzl)</f>
        <v>0</v>
      </c>
      <c r="I98" s="274">
        <f>csbuslqf/100*IF(pcspci="HHV",prmcebvpcgzl,prmcenvpcgzl)</f>
        <v>0</v>
      </c>
      <c r="J98" s="274">
        <f>csbuslqf/100*IF(pcspci="HHV",prmcebvpcgzl,prmcenvpcgzl)</f>
        <v>0</v>
      </c>
      <c r="K98" s="274">
        <f>csbuslqf/100*IF(pcspci="HHV",prmcebvpcgzl,prmcenvpcgzl)</f>
        <v>0</v>
      </c>
      <c r="L98" s="274">
        <f>csbuslqf/100*IF(pcspci="HHV",prmcebvpcgzl,prmcenvpcgzl)</f>
        <v>0</v>
      </c>
      <c r="M98" s="274">
        <f>csbuslqf/100*IF(pcspci="HHV",prmcebvpcgzl,prmcenvpcgzl)</f>
        <v>0</v>
      </c>
      <c r="N98" s="274">
        <f>csbuslqf/100*IF(pcspci="HHV",prmcebvpcgzl,prmcenvpcgzl)</f>
        <v>0</v>
      </c>
      <c r="O98" s="274">
        <f>csbuslqf/100*IF(pcspci="HHV",prmcebvpcgzl,prmcenvpcgzl)</f>
        <v>0</v>
      </c>
      <c r="P98" s="274">
        <f>csbuslqf/100*IF(pcspci="HHV",prmcebvpcgzl,prmcenvpcgzl)</f>
        <v>0</v>
      </c>
      <c r="Q98" s="274">
        <f>csbuslqf/100*IF(pcspci="HHV",prmcebvpcgzl,prmcenvpcgzl)</f>
        <v>0</v>
      </c>
      <c r="R98" s="274">
        <f>csbuslqf/100*IF(pcspci="HHV",prmcebvpcgzl,prmcenvpcgzl)</f>
        <v>0</v>
      </c>
      <c r="S98" s="274">
        <f>csbuslqf/100*IF(pcspci="HHV",prmcebvpcgzl,prmcenvpcgzl)</f>
        <v>0</v>
      </c>
      <c r="T98" s="274">
        <f>csbuslqf/100*IF(pcspci="HHV",prmcebvpcgzl,prmcenvpcgzl)</f>
        <v>0</v>
      </c>
      <c r="U98" s="274">
        <f>csbuslqf/100*IF(pcspci="HHV",prmcebvpcgzl,prmcenvpcgzl)</f>
        <v>0</v>
      </c>
      <c r="V98" s="274">
        <f>csbuslqf/100*IF(pcspci="HHV",prmcebvpcgzl,prmcenvpcgzl)</f>
        <v>0</v>
      </c>
      <c r="W98" s="274">
        <f>csbuslqf/100*IF(pcspci="HHV",prmcebvpcgzl,prmcenvpcgzl)</f>
        <v>3.542066817</v>
      </c>
      <c r="X98" s="274">
        <f>csbuslqf/100*IF(pcspci="HHV",prmcebvpcgzl,prmcenvpcgzl)</f>
        <v>0</v>
      </c>
      <c r="Y98" s="274">
        <f>csbuslqf/100*IF(pcspci="HHV",prmcebvpcgzl,prmcenvpcgzl)</f>
        <v>0</v>
      </c>
      <c r="Z98" s="274">
        <f>csbuslqf/100*IF(pcspci="HHV",prmcebvpcgzl,prmcenvpcgzl)</f>
        <v>0</v>
      </c>
      <c r="AA98" s="274">
        <f>csbuslqf/100*IF(pcspci="HHV",prmcebvpcgzl,prmcenvpcgzl)</f>
        <v>0</v>
      </c>
      <c r="AB98" s="274">
        <f>csbuslqf/100*IF(pcspci="HHV",prmcebvpcgzl,prmcenvpcgzl)</f>
        <v>3.435804813</v>
      </c>
      <c r="AC98" s="274">
        <f>csbuslqf/100*IF(pcspci="HHV",prmcebvpcgzl,prmcenvpcgzl)</f>
        <v>3.29412214</v>
      </c>
      <c r="AD98" s="274">
        <f>csbuslqf/100*IF(pcspci="HHV",prmcebvpcgzl,prmcenvpcgzl)</f>
        <v>3.152439467</v>
      </c>
      <c r="AE98" s="274">
        <f>csbuslqf/100*IF(pcspci="HHV",prmcebvpcgzl,prmcenvpcgzl)</f>
        <v>3.010756795</v>
      </c>
      <c r="AF98" s="274">
        <f>csbuslqf/100*IF(pcspci="HHV",prmcebvpcgzl,prmcenvpcgzl)</f>
        <v>3.010756795</v>
      </c>
      <c r="AG98" s="274">
        <f>csbuslqf/100*IF(pcspci="HHV",prmcebvpcgzl,prmcenvpcgzl)</f>
        <v>3.010756795</v>
      </c>
      <c r="AH98" s="274">
        <f>csbuslqf/100*IF(pcspci="HHV",prmcebvpcgzl,prmcenvpcgzl)</f>
        <v>3.010756795</v>
      </c>
      <c r="AI98" s="318"/>
    </row>
    <row r="99" ht="14.25" customHeight="1" outlineLevel="4">
      <c r="A99" s="100"/>
      <c r="B99" s="100"/>
      <c r="C99" s="100"/>
      <c r="D99" s="100"/>
      <c r="E99" s="273" t="s">
        <v>1912</v>
      </c>
      <c r="F99" s="123" t="s">
        <v>1412</v>
      </c>
      <c r="G99" s="123" t="s">
        <v>1913</v>
      </c>
      <c r="H99" s="274">
        <f t="array" ref="H99:AH99">csbusgpl/100*IF(pcspci="HHV",prmcebvpcgpl,prmcenvpcgpl)</f>
        <v>0</v>
      </c>
      <c r="I99" s="274">
        <v>0.0</v>
      </c>
      <c r="J99" s="274">
        <v>0.0</v>
      </c>
      <c r="K99" s="274">
        <v>0.0</v>
      </c>
      <c r="L99" s="274">
        <v>0.0</v>
      </c>
      <c r="M99" s="274">
        <v>0.0</v>
      </c>
      <c r="N99" s="274">
        <v>0.0</v>
      </c>
      <c r="O99" s="274">
        <v>0.0</v>
      </c>
      <c r="P99" s="274">
        <v>0.0</v>
      </c>
      <c r="Q99" s="274">
        <v>0.0</v>
      </c>
      <c r="R99" s="274">
        <v>0.0</v>
      </c>
      <c r="S99" s="274">
        <v>0.0</v>
      </c>
      <c r="T99" s="274">
        <v>0.0</v>
      </c>
      <c r="U99" s="274">
        <v>0.0</v>
      </c>
      <c r="V99" s="274">
        <v>0.0</v>
      </c>
      <c r="W99" s="274">
        <v>3.378</v>
      </c>
      <c r="X99" s="274">
        <v>0.0</v>
      </c>
      <c r="Y99" s="274">
        <v>0.0</v>
      </c>
      <c r="Z99" s="274">
        <v>0.0</v>
      </c>
      <c r="AA99" s="274">
        <v>0.0</v>
      </c>
      <c r="AB99" s="274">
        <v>3.27666</v>
      </c>
      <c r="AC99" s="274">
        <v>3.141539999999999</v>
      </c>
      <c r="AD99" s="274">
        <v>3.006419999999998</v>
      </c>
      <c r="AE99" s="274">
        <v>2.8712999999999975</v>
      </c>
      <c r="AF99" s="274">
        <v>2.8712999999999975</v>
      </c>
      <c r="AG99" s="274">
        <v>2.8712999999999975</v>
      </c>
      <c r="AH99" s="274">
        <v>2.8712999999999975</v>
      </c>
      <c r="AI99" s="318"/>
    </row>
    <row r="100" ht="14.25" customHeight="1" outlineLevel="4">
      <c r="A100" s="100"/>
      <c r="B100" s="100"/>
      <c r="C100" s="100"/>
      <c r="D100" s="100"/>
      <c r="E100" s="273" t="s">
        <v>1914</v>
      </c>
      <c r="F100" s="123" t="s">
        <v>1412</v>
      </c>
      <c r="G100" s="123" t="s">
        <v>1915</v>
      </c>
      <c r="H100" s="274">
        <f t="array" ref="H100:AH100">csbusngv/100*IF(pcspci="HHV",prmcebvpcngv,prmcenvpcngv)</f>
        <v>0</v>
      </c>
      <c r="I100" s="274">
        <v>0.0</v>
      </c>
      <c r="J100" s="274">
        <v>0.0</v>
      </c>
      <c r="K100" s="274">
        <v>0.0</v>
      </c>
      <c r="L100" s="274">
        <v>0.0</v>
      </c>
      <c r="M100" s="274">
        <v>0.0</v>
      </c>
      <c r="N100" s="274">
        <v>0.0</v>
      </c>
      <c r="O100" s="274">
        <v>0.0</v>
      </c>
      <c r="P100" s="274">
        <v>0.0</v>
      </c>
      <c r="Q100" s="274">
        <v>0.0</v>
      </c>
      <c r="R100" s="274">
        <v>0.0</v>
      </c>
      <c r="S100" s="274">
        <v>0.0</v>
      </c>
      <c r="T100" s="274">
        <v>0.0</v>
      </c>
      <c r="U100" s="274">
        <v>0.0</v>
      </c>
      <c r="V100" s="274">
        <v>0.0</v>
      </c>
      <c r="W100" s="274">
        <v>3.158430000000006</v>
      </c>
      <c r="X100" s="274">
        <v>0.0</v>
      </c>
      <c r="Y100" s="274">
        <v>0.0</v>
      </c>
      <c r="Z100" s="274">
        <v>0.0</v>
      </c>
      <c r="AA100" s="274">
        <v>0.0</v>
      </c>
      <c r="AB100" s="274">
        <v>3.063677100000005</v>
      </c>
      <c r="AC100" s="274">
        <v>3.0194590799999994</v>
      </c>
      <c r="AD100" s="274">
        <v>2.975241060000005</v>
      </c>
      <c r="AE100" s="274">
        <v>2.9310230399999995</v>
      </c>
      <c r="AF100" s="274">
        <v>2.8868050200000055</v>
      </c>
      <c r="AG100" s="274">
        <v>2.8425869999999995</v>
      </c>
      <c r="AH100" s="274">
        <v>2.8425869999999995</v>
      </c>
      <c r="AI100" s="318"/>
    </row>
    <row r="101" ht="14.25" customHeight="1" outlineLevel="4">
      <c r="A101" s="100"/>
      <c r="B101" s="100"/>
      <c r="C101" s="100"/>
      <c r="D101" s="100"/>
      <c r="E101" s="273" t="s">
        <v>1916</v>
      </c>
      <c r="F101" s="123" t="s">
        <v>1412</v>
      </c>
      <c r="G101" s="123" t="s">
        <v>1917</v>
      </c>
      <c r="H101" s="274">
        <f t="array" ref="H101:AH101">csbushyd/100*IF(pcspci="HHV",prmcebvpchyd,prmcenvpchyd)</f>
        <v>0</v>
      </c>
      <c r="I101" s="274">
        <v>0.0</v>
      </c>
      <c r="J101" s="274">
        <v>0.0</v>
      </c>
      <c r="K101" s="274">
        <v>0.0</v>
      </c>
      <c r="L101" s="274">
        <v>0.0</v>
      </c>
      <c r="M101" s="274">
        <v>0.0</v>
      </c>
      <c r="N101" s="274">
        <v>0.0</v>
      </c>
      <c r="O101" s="274">
        <v>0.0</v>
      </c>
      <c r="P101" s="274">
        <v>0.0</v>
      </c>
      <c r="Q101" s="274">
        <v>0.0</v>
      </c>
      <c r="R101" s="274">
        <v>0.0</v>
      </c>
      <c r="S101" s="274">
        <v>0.0</v>
      </c>
      <c r="T101" s="274">
        <v>0.0</v>
      </c>
      <c r="U101" s="274">
        <v>0.0</v>
      </c>
      <c r="V101" s="274">
        <v>0.0</v>
      </c>
      <c r="W101" s="274">
        <v>3.0</v>
      </c>
      <c r="X101" s="274">
        <v>0.0</v>
      </c>
      <c r="Y101" s="274">
        <v>0.0</v>
      </c>
      <c r="Z101" s="274">
        <v>0.0</v>
      </c>
      <c r="AA101" s="274">
        <v>0.0</v>
      </c>
      <c r="AB101" s="274">
        <v>2.91</v>
      </c>
      <c r="AC101" s="274">
        <v>2.8680000000000025</v>
      </c>
      <c r="AD101" s="274">
        <v>2.826000000000001</v>
      </c>
      <c r="AE101" s="274">
        <v>2.7839999999999994</v>
      </c>
      <c r="AF101" s="274">
        <v>2.7420000000000018</v>
      </c>
      <c r="AG101" s="274">
        <v>2.7</v>
      </c>
      <c r="AH101" s="274">
        <v>2.7</v>
      </c>
      <c r="AI101" s="318"/>
    </row>
    <row r="102" ht="14.25" customHeight="1" outlineLevel="4">
      <c r="A102" s="195"/>
      <c r="B102" s="201"/>
      <c r="C102" s="201"/>
      <c r="D102" s="201"/>
      <c r="E102" s="273" t="s">
        <v>1918</v>
      </c>
      <c r="F102" s="123" t="s">
        <v>1412</v>
      </c>
      <c r="G102" s="123" t="s">
        <v>1919</v>
      </c>
      <c r="H102" s="445" t="str">
        <f t="array" ref="H102:AH102">csbusele</f>
        <v/>
      </c>
      <c r="I102" s="445"/>
      <c r="J102" s="445"/>
      <c r="K102" s="445"/>
      <c r="L102" s="445"/>
      <c r="M102" s="445"/>
      <c r="N102" s="445"/>
      <c r="O102" s="445"/>
      <c r="P102" s="445"/>
      <c r="Q102" s="445"/>
      <c r="R102" s="445"/>
      <c r="S102" s="445"/>
      <c r="T102" s="445"/>
      <c r="U102" s="445"/>
      <c r="V102" s="445"/>
      <c r="W102" s="445">
        <v>2.35</v>
      </c>
      <c r="X102" s="445"/>
      <c r="Y102" s="445"/>
      <c r="Z102" s="445"/>
      <c r="AA102" s="445"/>
      <c r="AB102" s="445">
        <v>2.2795</v>
      </c>
      <c r="AC102" s="445">
        <v>2.2466</v>
      </c>
      <c r="AD102" s="445">
        <v>2.2137</v>
      </c>
      <c r="AE102" s="445">
        <v>2.1808</v>
      </c>
      <c r="AF102" s="445">
        <v>2.1479</v>
      </c>
      <c r="AG102" s="445">
        <v>2.115</v>
      </c>
      <c r="AH102" s="445">
        <v>2.115</v>
      </c>
      <c r="AI102" s="318"/>
    </row>
    <row r="103" ht="14.25" customHeight="1" outlineLevel="3">
      <c r="A103" s="439"/>
      <c r="B103" s="393"/>
      <c r="C103" s="393" t="s">
        <v>1870</v>
      </c>
      <c r="D103" s="394"/>
      <c r="E103" s="162"/>
      <c r="F103" s="162"/>
      <c r="G103" s="162"/>
      <c r="H103" s="178"/>
      <c r="I103" s="178"/>
      <c r="J103" s="178"/>
      <c r="K103" s="178"/>
      <c r="L103" s="178"/>
      <c r="M103" s="178"/>
      <c r="N103" s="178"/>
      <c r="O103" s="178"/>
      <c r="P103" s="178"/>
      <c r="Q103" s="178"/>
      <c r="R103" s="178"/>
      <c r="S103" s="178"/>
      <c r="T103" s="178"/>
      <c r="U103" s="178"/>
      <c r="V103" s="178"/>
      <c r="W103" s="178"/>
      <c r="X103" s="178"/>
      <c r="Y103" s="178"/>
      <c r="Z103" s="178"/>
      <c r="AA103" s="178"/>
      <c r="AB103" s="178"/>
      <c r="AC103" s="178"/>
      <c r="AD103" s="178"/>
      <c r="AE103" s="178"/>
      <c r="AF103" s="178"/>
      <c r="AG103" s="178"/>
      <c r="AH103" s="178"/>
      <c r="AI103" s="271"/>
    </row>
    <row r="104" ht="14.25" customHeight="1" outlineLevel="4">
      <c r="A104" s="195"/>
      <c r="B104" s="201"/>
      <c r="C104" s="201"/>
      <c r="D104" s="201"/>
      <c r="E104" s="273" t="s">
        <v>1920</v>
      </c>
      <c r="F104" s="249" t="s">
        <v>135</v>
      </c>
      <c r="G104" s="123" t="s">
        <v>1921</v>
      </c>
      <c r="H104" s="274">
        <f>IFERROR(IF(crdmstbus="pkm",G*pkmbuslqf/capbus,M*(nbrbusess+nbrbusgzl)*kmvbus)*calcsklqfbus/G,)</f>
        <v>0</v>
      </c>
      <c r="I104" s="274">
        <f>IFERROR(IF(crdmstbus="pkm",G*pkmbuslqf/capbus,M*(nbrbusess+nbrbusgzl)*kmvbus)*calcsklqfbus/G,)</f>
        <v>0</v>
      </c>
      <c r="J104" s="274">
        <f>IFERROR(IF(crdmstbus="pkm",G*pkmbuslqf/capbus,M*(nbrbusess+nbrbusgzl)*kmvbus)*calcsklqfbus/G,)</f>
        <v>0</v>
      </c>
      <c r="K104" s="274">
        <f>IFERROR(IF(crdmstbus="pkm",G*pkmbuslqf/capbus,M*(nbrbusess+nbrbusgzl)*kmvbus)*calcsklqfbus/G,)</f>
        <v>0</v>
      </c>
      <c r="L104" s="274">
        <f>IFERROR(IF(crdmstbus="pkm",G*pkmbuslqf/capbus,M*(nbrbusess+nbrbusgzl)*kmvbus)*calcsklqfbus/G,)</f>
        <v>0</v>
      </c>
      <c r="M104" s="274">
        <f>IFERROR(IF(crdmstbus="pkm",G*pkmbuslqf/capbus,M*(nbrbusess+nbrbusgzl)*kmvbus)*calcsklqfbus/G,)</f>
        <v>0</v>
      </c>
      <c r="N104" s="274">
        <f>IFERROR(IF(crdmstbus="pkm",G*pkmbuslqf/capbus,M*(nbrbusess+nbrbusgzl)*kmvbus)*calcsklqfbus/G,)</f>
        <v>0</v>
      </c>
      <c r="O104" s="274">
        <f>IFERROR(IF(crdmstbus="pkm",G*pkmbuslqf/capbus,M*(nbrbusess+nbrbusgzl)*kmvbus)*calcsklqfbus/G,)</f>
        <v>0</v>
      </c>
      <c r="P104" s="274">
        <f>IFERROR(IF(crdmstbus="pkm",G*pkmbuslqf/capbus,M*(nbrbusess+nbrbusgzl)*kmvbus)*calcsklqfbus/G,)</f>
        <v>0</v>
      </c>
      <c r="Q104" s="274">
        <f>IFERROR(IF(crdmstbus="pkm",G*pkmbuslqf/capbus,M*(nbrbusess+nbrbusgzl)*kmvbus)*calcsklqfbus/G,)</f>
        <v>0</v>
      </c>
      <c r="R104" s="274">
        <f>IFERROR(IF(crdmstbus="pkm",G*pkmbuslqf/capbus,M*(nbrbusess+nbrbusgzl)*kmvbus)*calcsklqfbus/G,)</f>
        <v>0</v>
      </c>
      <c r="S104" s="274">
        <f>IFERROR(IF(crdmstbus="pkm",G*pkmbuslqf/capbus,M*(nbrbusess+nbrbusgzl)*kmvbus)*calcsklqfbus/G,)</f>
        <v>0</v>
      </c>
      <c r="T104" s="274">
        <f>IFERROR(IF(crdmstbus="pkm",G*pkmbuslqf/capbus,M*(nbrbusess+nbrbusgzl)*kmvbus)*calcsklqfbus/G,)</f>
        <v>0</v>
      </c>
      <c r="U104" s="274">
        <f>IFERROR(IF(crdmstbus="pkm",G*pkmbuslqf/capbus,M*(nbrbusess+nbrbusgzl)*kmvbus)*calcsklqfbus/G,)</f>
        <v>0</v>
      </c>
      <c r="V104" s="274">
        <f>IFERROR(IF(crdmstbus="pkm",G*pkmbuslqf/capbus,M*(nbrbusess+nbrbusgzl)*kmvbus)*calcsklqfbus/G,)</f>
        <v>0</v>
      </c>
      <c r="W104" s="274">
        <f>IFERROR(IF(crdmstbus="pkm",G*pkmbuslqf/capbus,M*(nbrbusess+nbrbusgzl)*kmvbus)*calcsklqfbus/G,)</f>
        <v>2.331883537</v>
      </c>
      <c r="X104" s="274" t="str">
        <f>IFERROR(IF(crdmstbus="pkm",G*pkmbuslqf/capbus,M*(nbrbusess+nbrbusgzl)*kmvbus)*calcsklqfbus/G,)</f>
        <v/>
      </c>
      <c r="Y104" s="274" t="str">
        <f>IFERROR(IF(crdmstbus="pkm",G*pkmbuslqf/capbus,M*(nbrbusess+nbrbusgzl)*kmvbus)*calcsklqfbus/G,)</f>
        <v/>
      </c>
      <c r="Z104" s="274" t="str">
        <f>IFERROR(IF(crdmstbus="pkm",G*pkmbuslqf/capbus,M*(nbrbusess+nbrbusgzl)*kmvbus)*calcsklqfbus/G,)</f>
        <v/>
      </c>
      <c r="AA104" s="274" t="str">
        <f>IFERROR(IF(crdmstbus="pkm",G*pkmbuslqf/capbus,M*(nbrbusess+nbrbusgzl)*kmvbus)*calcsklqfbus/G,)</f>
        <v/>
      </c>
      <c r="AB104" s="274">
        <f>IFERROR(IF(crdmstbus="pkm",G*pkmbuslqf/capbus,M*(nbrbusess+nbrbusgzl)*kmvbus)*calcsklqfbus/G,)</f>
        <v>1.875039092</v>
      </c>
      <c r="AC104" s="274">
        <f>IFERROR(IF(crdmstbus="pkm",G*pkmbuslqf/capbus,M*(nbrbusess+nbrbusgzl)*kmvbus)*calcsklqfbus/G,)</f>
        <v>1.790063652</v>
      </c>
      <c r="AD104" s="274">
        <f>IFERROR(IF(crdmstbus="pkm",G*pkmbuslqf/capbus,M*(nbrbusess+nbrbusgzl)*kmvbus)*calcsklqfbus/G,)</f>
        <v>1.742118531</v>
      </c>
      <c r="AE104" s="274">
        <f>IFERROR(IF(crdmstbus="pkm",G*pkmbuslqf/capbus,M*(nbrbusess+nbrbusgzl)*kmvbus)*calcsklqfbus/G,)</f>
        <v>1.74685591</v>
      </c>
      <c r="AF104" s="274">
        <f>IFERROR(IF(crdmstbus="pkm",G*pkmbuslqf/capbus,M*(nbrbusess+nbrbusgzl)*kmvbus)*calcsklqfbus/G,)</f>
        <v>1.48328601</v>
      </c>
      <c r="AG104" s="274">
        <f>IFERROR(IF(crdmstbus="pkm",G*pkmbuslqf/capbus,M*(nbrbusess+nbrbusgzl)*kmvbus)*calcsklqfbus/G,)</f>
        <v>0.9644437296</v>
      </c>
      <c r="AH104" s="274">
        <f>IFERROR(IF(crdmstbus="pkm",G*pkmbuslqf/capbus,M*(nbrbusess+nbrbusgzl)*kmvbus)*calcsklqfbus/G,)</f>
        <v>0.2822033405</v>
      </c>
      <c r="AI104" s="318"/>
    </row>
    <row r="105" ht="14.25" customHeight="1" outlineLevel="4">
      <c r="A105" s="195"/>
      <c r="B105" s="201"/>
      <c r="C105" s="201"/>
      <c r="D105" s="201"/>
      <c r="E105" s="273" t="s">
        <v>1922</v>
      </c>
      <c r="F105" s="123" t="s">
        <v>135</v>
      </c>
      <c r="G105" s="123" t="s">
        <v>1923</v>
      </c>
      <c r="H105" s="274">
        <f>IFERROR(IF(crdmstbus="pkm",G*pkmbusgpl/capbus,M*nbrbusgpl*kmvbus)*calcskgplbus/G,)</f>
        <v>0</v>
      </c>
      <c r="I105" s="274">
        <f>IFERROR(IF(crdmstbus="pkm",G*pkmbusgpl/capbus,M*nbrbusgpl*kmvbus)*calcskgplbus/G,)</f>
        <v>0</v>
      </c>
      <c r="J105" s="274">
        <f>IFERROR(IF(crdmstbus="pkm",G*pkmbusgpl/capbus,M*nbrbusgpl*kmvbus)*calcskgplbus/G,)</f>
        <v>0</v>
      </c>
      <c r="K105" s="274">
        <f>IFERROR(IF(crdmstbus="pkm",G*pkmbusgpl/capbus,M*nbrbusgpl*kmvbus)*calcskgplbus/G,)</f>
        <v>0</v>
      </c>
      <c r="L105" s="274">
        <f>IFERROR(IF(crdmstbus="pkm",G*pkmbusgpl/capbus,M*nbrbusgpl*kmvbus)*calcskgplbus/G,)</f>
        <v>0</v>
      </c>
      <c r="M105" s="274">
        <f>IFERROR(IF(crdmstbus="pkm",G*pkmbusgpl/capbus,M*nbrbusgpl*kmvbus)*calcskgplbus/G,)</f>
        <v>0</v>
      </c>
      <c r="N105" s="274">
        <f>IFERROR(IF(crdmstbus="pkm",G*pkmbusgpl/capbus,M*nbrbusgpl*kmvbus)*calcskgplbus/G,)</f>
        <v>0</v>
      </c>
      <c r="O105" s="274">
        <f>IFERROR(IF(crdmstbus="pkm",G*pkmbusgpl/capbus,M*nbrbusgpl*kmvbus)*calcskgplbus/G,)</f>
        <v>0</v>
      </c>
      <c r="P105" s="274">
        <f>IFERROR(IF(crdmstbus="pkm",G*pkmbusgpl/capbus,M*nbrbusgpl*kmvbus)*calcskgplbus/G,)</f>
        <v>0</v>
      </c>
      <c r="Q105" s="274">
        <f>IFERROR(IF(crdmstbus="pkm",G*pkmbusgpl/capbus,M*nbrbusgpl*kmvbus)*calcskgplbus/G,)</f>
        <v>0</v>
      </c>
      <c r="R105" s="274">
        <f>IFERROR(IF(crdmstbus="pkm",G*pkmbusgpl/capbus,M*nbrbusgpl*kmvbus)*calcskgplbus/G,)</f>
        <v>0</v>
      </c>
      <c r="S105" s="274">
        <f>IFERROR(IF(crdmstbus="pkm",G*pkmbusgpl/capbus,M*nbrbusgpl*kmvbus)*calcskgplbus/G,)</f>
        <v>0</v>
      </c>
      <c r="T105" s="274">
        <f>IFERROR(IF(crdmstbus="pkm",G*pkmbusgpl/capbus,M*nbrbusgpl*kmvbus)*calcskgplbus/G,)</f>
        <v>0</v>
      </c>
      <c r="U105" s="274">
        <f>IFERROR(IF(crdmstbus="pkm",G*pkmbusgpl/capbus,M*nbrbusgpl*kmvbus)*calcskgplbus/G,)</f>
        <v>0</v>
      </c>
      <c r="V105" s="274">
        <f>IFERROR(IF(crdmstbus="pkm",G*pkmbusgpl/capbus,M*nbrbusgpl*kmvbus)*calcskgplbus/G,)</f>
        <v>0</v>
      </c>
      <c r="W105" s="274">
        <f>IFERROR(IF(crdmstbus="pkm",G*pkmbusgpl/capbus,M*nbrbusgpl*kmvbus)*calcskgplbus/G,)</f>
        <v>0</v>
      </c>
      <c r="X105" s="274" t="str">
        <f>IFERROR(IF(crdmstbus="pkm",G*pkmbusgpl/capbus,M*nbrbusgpl*kmvbus)*calcskgplbus/G,)</f>
        <v/>
      </c>
      <c r="Y105" s="274" t="str">
        <f>IFERROR(IF(crdmstbus="pkm",G*pkmbusgpl/capbus,M*nbrbusgpl*kmvbus)*calcskgplbus/G,)</f>
        <v/>
      </c>
      <c r="Z105" s="274" t="str">
        <f>IFERROR(IF(crdmstbus="pkm",G*pkmbusgpl/capbus,M*nbrbusgpl*kmvbus)*calcskgplbus/G,)</f>
        <v/>
      </c>
      <c r="AA105" s="274" t="str">
        <f>IFERROR(IF(crdmstbus="pkm",G*pkmbusgpl/capbus,M*nbrbusgpl*kmvbus)*calcskgplbus/G,)</f>
        <v/>
      </c>
      <c r="AB105" s="274">
        <f>IFERROR(IF(crdmstbus="pkm",G*pkmbusgpl/capbus,M*nbrbusgpl*kmvbus)*calcskgplbus/G,)</f>
        <v>0</v>
      </c>
      <c r="AC105" s="274">
        <f>IFERROR(IF(crdmstbus="pkm",G*pkmbusgpl/capbus,M*nbrbusgpl*kmvbus)*calcskgplbus/G,)</f>
        <v>0</v>
      </c>
      <c r="AD105" s="274">
        <f>IFERROR(IF(crdmstbus="pkm",G*pkmbusgpl/capbus,M*nbrbusgpl*kmvbus)*calcskgplbus/G,)</f>
        <v>0</v>
      </c>
      <c r="AE105" s="274">
        <f>IFERROR(IF(crdmstbus="pkm",G*pkmbusgpl/capbus,M*nbrbusgpl*kmvbus)*calcskgplbus/G,)</f>
        <v>0</v>
      </c>
      <c r="AF105" s="274">
        <f>IFERROR(IF(crdmstbus="pkm",G*pkmbusgpl/capbus,M*nbrbusgpl*kmvbus)*calcskgplbus/G,)</f>
        <v>0</v>
      </c>
      <c r="AG105" s="274">
        <f>IFERROR(IF(crdmstbus="pkm",G*pkmbusgpl/capbus,M*nbrbusgpl*kmvbus)*calcskgplbus/G,)</f>
        <v>0</v>
      </c>
      <c r="AH105" s="274">
        <f>IFERROR(IF(crdmstbus="pkm",G*pkmbusgpl/capbus,M*nbrbusgpl*kmvbus)*calcskgplbus/G,)</f>
        <v>0</v>
      </c>
      <c r="AI105" s="318"/>
    </row>
    <row r="106" ht="14.25" customHeight="1" outlineLevel="4">
      <c r="A106" s="195"/>
      <c r="B106" s="201"/>
      <c r="C106" s="201"/>
      <c r="D106" s="201"/>
      <c r="E106" s="273" t="s">
        <v>1924</v>
      </c>
      <c r="F106" s="123" t="s">
        <v>135</v>
      </c>
      <c r="G106" s="123" t="s">
        <v>1925</v>
      </c>
      <c r="H106" s="274">
        <f>IFERROR(IF(crdmstbus="pkm",G*pkmbusngv/capbus,M*nbrbusgna*kmvbus)*calcskngvbus/G,)</f>
        <v>0</v>
      </c>
      <c r="I106" s="274">
        <f>IFERROR(IF(crdmstbus="pkm",G*pkmbusngv/capbus,M*nbrbusgna*kmvbus)*calcskngvbus/G,)</f>
        <v>0</v>
      </c>
      <c r="J106" s="274">
        <f>IFERROR(IF(crdmstbus="pkm",G*pkmbusngv/capbus,M*nbrbusgna*kmvbus)*calcskngvbus/G,)</f>
        <v>0</v>
      </c>
      <c r="K106" s="274">
        <f>IFERROR(IF(crdmstbus="pkm",G*pkmbusngv/capbus,M*nbrbusgna*kmvbus)*calcskngvbus/G,)</f>
        <v>0</v>
      </c>
      <c r="L106" s="274">
        <f>IFERROR(IF(crdmstbus="pkm",G*pkmbusngv/capbus,M*nbrbusgna*kmvbus)*calcskngvbus/G,)</f>
        <v>0</v>
      </c>
      <c r="M106" s="274">
        <f>IFERROR(IF(crdmstbus="pkm",G*pkmbusngv/capbus,M*nbrbusgna*kmvbus)*calcskngvbus/G,)</f>
        <v>0</v>
      </c>
      <c r="N106" s="274">
        <f>IFERROR(IF(crdmstbus="pkm",G*pkmbusngv/capbus,M*nbrbusgna*kmvbus)*calcskngvbus/G,)</f>
        <v>0</v>
      </c>
      <c r="O106" s="274">
        <f>IFERROR(IF(crdmstbus="pkm",G*pkmbusngv/capbus,M*nbrbusgna*kmvbus)*calcskngvbus/G,)</f>
        <v>0</v>
      </c>
      <c r="P106" s="274">
        <f>IFERROR(IF(crdmstbus="pkm",G*pkmbusngv/capbus,M*nbrbusgna*kmvbus)*calcskngvbus/G,)</f>
        <v>0</v>
      </c>
      <c r="Q106" s="274">
        <f>IFERROR(IF(crdmstbus="pkm",G*pkmbusngv/capbus,M*nbrbusgna*kmvbus)*calcskngvbus/G,)</f>
        <v>0</v>
      </c>
      <c r="R106" s="274">
        <f>IFERROR(IF(crdmstbus="pkm",G*pkmbusngv/capbus,M*nbrbusgna*kmvbus)*calcskngvbus/G,)</f>
        <v>0</v>
      </c>
      <c r="S106" s="274">
        <f>IFERROR(IF(crdmstbus="pkm",G*pkmbusngv/capbus,M*nbrbusgna*kmvbus)*calcskngvbus/G,)</f>
        <v>0</v>
      </c>
      <c r="T106" s="274">
        <f>IFERROR(IF(crdmstbus="pkm",G*pkmbusngv/capbus,M*nbrbusgna*kmvbus)*calcskngvbus/G,)</f>
        <v>0</v>
      </c>
      <c r="U106" s="274">
        <f>IFERROR(IF(crdmstbus="pkm",G*pkmbusngv/capbus,M*nbrbusgna*kmvbus)*calcskngvbus/G,)</f>
        <v>0</v>
      </c>
      <c r="V106" s="274">
        <f>IFERROR(IF(crdmstbus="pkm",G*pkmbusngv/capbus,M*nbrbusgna*kmvbus)*calcskngvbus/G,)</f>
        <v>0</v>
      </c>
      <c r="W106" s="274">
        <f>IFERROR(IF(crdmstbus="pkm",G*pkmbusngv/capbus,M*nbrbusgna*kmvbus)*calcskngvbus/G,)</f>
        <v>0</v>
      </c>
      <c r="X106" s="274" t="str">
        <f>IFERROR(IF(crdmstbus="pkm",G*pkmbusngv/capbus,M*nbrbusgna*kmvbus)*calcskngvbus/G,)</f>
        <v/>
      </c>
      <c r="Y106" s="274" t="str">
        <f>IFERROR(IF(crdmstbus="pkm",G*pkmbusngv/capbus,M*nbrbusgna*kmvbus)*calcskngvbus/G,)</f>
        <v/>
      </c>
      <c r="Z106" s="274" t="str">
        <f>IFERROR(IF(crdmstbus="pkm",G*pkmbusngv/capbus,M*nbrbusgna*kmvbus)*calcskngvbus/G,)</f>
        <v/>
      </c>
      <c r="AA106" s="274" t="str">
        <f>IFERROR(IF(crdmstbus="pkm",G*pkmbusngv/capbus,M*nbrbusgna*kmvbus)*calcskngvbus/G,)</f>
        <v/>
      </c>
      <c r="AB106" s="274">
        <f>IFERROR(IF(crdmstbus="pkm",G*pkmbusngv/capbus,M*nbrbusgna*kmvbus)*calcskngvbus/G,)</f>
        <v>0</v>
      </c>
      <c r="AC106" s="274">
        <f>IFERROR(IF(crdmstbus="pkm",G*pkmbusngv/capbus,M*nbrbusgna*kmvbus)*calcskngvbus/G,)</f>
        <v>0</v>
      </c>
      <c r="AD106" s="274">
        <f>IFERROR(IF(crdmstbus="pkm",G*pkmbusngv/capbus,M*nbrbusgna*kmvbus)*calcskngvbus/G,)</f>
        <v>0</v>
      </c>
      <c r="AE106" s="274">
        <f>IFERROR(IF(crdmstbus="pkm",G*pkmbusngv/capbus,M*nbrbusgna*kmvbus)*calcskngvbus/G,)</f>
        <v>0</v>
      </c>
      <c r="AF106" s="274">
        <f>IFERROR(IF(crdmstbus="pkm",G*pkmbusngv/capbus,M*nbrbusgna*kmvbus)*calcskngvbus/G,)</f>
        <v>0</v>
      </c>
      <c r="AG106" s="274">
        <f>IFERROR(IF(crdmstbus="pkm",G*pkmbusngv/capbus,M*nbrbusgna*kmvbus)*calcskngvbus/G,)</f>
        <v>0</v>
      </c>
      <c r="AH106" s="274">
        <f>IFERROR(IF(crdmstbus="pkm",G*pkmbusngv/capbus,M*nbrbusgna*kmvbus)*calcskngvbus/G,)</f>
        <v>0</v>
      </c>
      <c r="AI106" s="318"/>
    </row>
    <row r="107" ht="14.25" customHeight="1" outlineLevel="4">
      <c r="A107" s="195"/>
      <c r="B107" s="201"/>
      <c r="C107" s="201"/>
      <c r="D107" s="201"/>
      <c r="E107" s="273" t="s">
        <v>1926</v>
      </c>
      <c r="F107" s="123" t="s">
        <v>135</v>
      </c>
      <c r="G107" s="123" t="s">
        <v>1927</v>
      </c>
      <c r="H107" s="274">
        <f>IFERROR(IF(crdmstbus="pkm",G*pkmbushyd/capbus,M*nbrbushyd*kmvbus)*calcskhydbus/G,)</f>
        <v>0</v>
      </c>
      <c r="I107" s="274">
        <f>IFERROR(IF(crdmstbus="pkm",G*pkmbushyd/capbus,M*nbrbushyd*kmvbus)*calcskhydbus/G,)</f>
        <v>0</v>
      </c>
      <c r="J107" s="274">
        <f>IFERROR(IF(crdmstbus="pkm",G*pkmbushyd/capbus,M*nbrbushyd*kmvbus)*calcskhydbus/G,)</f>
        <v>0</v>
      </c>
      <c r="K107" s="274">
        <f>IFERROR(IF(crdmstbus="pkm",G*pkmbushyd/capbus,M*nbrbushyd*kmvbus)*calcskhydbus/G,)</f>
        <v>0</v>
      </c>
      <c r="L107" s="274">
        <f>IFERROR(IF(crdmstbus="pkm",G*pkmbushyd/capbus,M*nbrbushyd*kmvbus)*calcskhydbus/G,)</f>
        <v>0</v>
      </c>
      <c r="M107" s="274">
        <f>IFERROR(IF(crdmstbus="pkm",G*pkmbushyd/capbus,M*nbrbushyd*kmvbus)*calcskhydbus/G,)</f>
        <v>0</v>
      </c>
      <c r="N107" s="274">
        <f>IFERROR(IF(crdmstbus="pkm",G*pkmbushyd/capbus,M*nbrbushyd*kmvbus)*calcskhydbus/G,)</f>
        <v>0</v>
      </c>
      <c r="O107" s="274">
        <f>IFERROR(IF(crdmstbus="pkm",G*pkmbushyd/capbus,M*nbrbushyd*kmvbus)*calcskhydbus/G,)</f>
        <v>0</v>
      </c>
      <c r="P107" s="274">
        <f>IFERROR(IF(crdmstbus="pkm",G*pkmbushyd/capbus,M*nbrbushyd*kmvbus)*calcskhydbus/G,)</f>
        <v>0</v>
      </c>
      <c r="Q107" s="274">
        <f>IFERROR(IF(crdmstbus="pkm",G*pkmbushyd/capbus,M*nbrbushyd*kmvbus)*calcskhydbus/G,)</f>
        <v>0</v>
      </c>
      <c r="R107" s="274">
        <f>IFERROR(IF(crdmstbus="pkm",G*pkmbushyd/capbus,M*nbrbushyd*kmvbus)*calcskhydbus/G,)</f>
        <v>0</v>
      </c>
      <c r="S107" s="274">
        <f>IFERROR(IF(crdmstbus="pkm",G*pkmbushyd/capbus,M*nbrbushyd*kmvbus)*calcskhydbus/G,)</f>
        <v>0</v>
      </c>
      <c r="T107" s="274">
        <f>IFERROR(IF(crdmstbus="pkm",G*pkmbushyd/capbus,M*nbrbushyd*kmvbus)*calcskhydbus/G,)</f>
        <v>0</v>
      </c>
      <c r="U107" s="274">
        <f>IFERROR(IF(crdmstbus="pkm",G*pkmbushyd/capbus,M*nbrbushyd*kmvbus)*calcskhydbus/G,)</f>
        <v>0</v>
      </c>
      <c r="V107" s="274">
        <f>IFERROR(IF(crdmstbus="pkm",G*pkmbushyd/capbus,M*nbrbushyd*kmvbus)*calcskhydbus/G,)</f>
        <v>0</v>
      </c>
      <c r="W107" s="274">
        <f>IFERROR(IF(crdmstbus="pkm",G*pkmbushyd/capbus,M*nbrbushyd*kmvbus)*calcskhydbus/G,)</f>
        <v>0</v>
      </c>
      <c r="X107" s="274" t="str">
        <f>IFERROR(IF(crdmstbus="pkm",G*pkmbushyd/capbus,M*nbrbushyd*kmvbus)*calcskhydbus/G,)</f>
        <v/>
      </c>
      <c r="Y107" s="274" t="str">
        <f>IFERROR(IF(crdmstbus="pkm",G*pkmbushyd/capbus,M*nbrbushyd*kmvbus)*calcskhydbus/G,)</f>
        <v/>
      </c>
      <c r="Z107" s="274" t="str">
        <f>IFERROR(IF(crdmstbus="pkm",G*pkmbushyd/capbus,M*nbrbushyd*kmvbus)*calcskhydbus/G,)</f>
        <v/>
      </c>
      <c r="AA107" s="274" t="str">
        <f>IFERROR(IF(crdmstbus="pkm",G*pkmbushyd/capbus,M*nbrbushyd*kmvbus)*calcskhydbus/G,)</f>
        <v/>
      </c>
      <c r="AB107" s="274">
        <f>IFERROR(IF(crdmstbus="pkm",G*pkmbushyd/capbus,M*nbrbushyd*kmvbus)*calcskhydbus/G,)</f>
        <v>0</v>
      </c>
      <c r="AC107" s="274">
        <f>IFERROR(IF(crdmstbus="pkm",G*pkmbushyd/capbus,M*nbrbushyd*kmvbus)*calcskhydbus/G,)</f>
        <v>0</v>
      </c>
      <c r="AD107" s="274">
        <f>IFERROR(IF(crdmstbus="pkm",G*pkmbushyd/capbus,M*nbrbushyd*kmvbus)*calcskhydbus/G,)</f>
        <v>0</v>
      </c>
      <c r="AE107" s="274">
        <f>IFERROR(IF(crdmstbus="pkm",G*pkmbushyd/capbus,M*nbrbushyd*kmvbus)*calcskhydbus/G,)</f>
        <v>0</v>
      </c>
      <c r="AF107" s="274">
        <f>IFERROR(IF(crdmstbus="pkm",G*pkmbushyd/capbus,M*nbrbushyd*kmvbus)*calcskhydbus/G,)</f>
        <v>0</v>
      </c>
      <c r="AG107" s="274">
        <f>IFERROR(IF(crdmstbus="pkm",G*pkmbushyd/capbus,M*nbrbushyd*kmvbus)*calcskhydbus/G,)</f>
        <v>0</v>
      </c>
      <c r="AH107" s="274">
        <f>IFERROR(IF(crdmstbus="pkm",G*pkmbushyd/capbus,M*nbrbushyd*kmvbus)*calcskhydbus/G,)</f>
        <v>0</v>
      </c>
      <c r="AI107" s="318"/>
    </row>
    <row r="108" ht="14.25" customHeight="1" outlineLevel="4">
      <c r="A108" s="195"/>
      <c r="B108" s="201"/>
      <c r="C108" s="201"/>
      <c r="D108" s="201"/>
      <c r="E108" s="273" t="s">
        <v>1928</v>
      </c>
      <c r="F108" s="123" t="s">
        <v>135</v>
      </c>
      <c r="G108" s="123" t="s">
        <v>1929</v>
      </c>
      <c r="H108" s="274">
        <f>IFERROR(IF(crdmstbus="pkm",G*pkmbusele/capbus,M*nbrbusele*kmvbus)*calcskelebus/G,)</f>
        <v>0</v>
      </c>
      <c r="I108" s="274">
        <f>IFERROR(IF(crdmstbus="pkm",G*pkmbusele/capbus,M*nbrbusele*kmvbus)*calcskelebus/G,)</f>
        <v>0</v>
      </c>
      <c r="J108" s="274">
        <f>IFERROR(IF(crdmstbus="pkm",G*pkmbusele/capbus,M*nbrbusele*kmvbus)*calcskelebus/G,)</f>
        <v>0</v>
      </c>
      <c r="K108" s="274">
        <f>IFERROR(IF(crdmstbus="pkm",G*pkmbusele/capbus,M*nbrbusele*kmvbus)*calcskelebus/G,)</f>
        <v>0</v>
      </c>
      <c r="L108" s="274">
        <f>IFERROR(IF(crdmstbus="pkm",G*pkmbusele/capbus,M*nbrbusele*kmvbus)*calcskelebus/G,)</f>
        <v>0</v>
      </c>
      <c r="M108" s="274">
        <f>IFERROR(IF(crdmstbus="pkm",G*pkmbusele/capbus,M*nbrbusele*kmvbus)*calcskelebus/G,)</f>
        <v>0</v>
      </c>
      <c r="N108" s="274">
        <f>IFERROR(IF(crdmstbus="pkm",G*pkmbusele/capbus,M*nbrbusele*kmvbus)*calcskelebus/G,)</f>
        <v>0</v>
      </c>
      <c r="O108" s="274">
        <f>IFERROR(IF(crdmstbus="pkm",G*pkmbusele/capbus,M*nbrbusele*kmvbus)*calcskelebus/G,)</f>
        <v>0</v>
      </c>
      <c r="P108" s="274">
        <f>IFERROR(IF(crdmstbus="pkm",G*pkmbusele/capbus,M*nbrbusele*kmvbus)*calcskelebus/G,)</f>
        <v>0</v>
      </c>
      <c r="Q108" s="274">
        <f>IFERROR(IF(crdmstbus="pkm",G*pkmbusele/capbus,M*nbrbusele*kmvbus)*calcskelebus/G,)</f>
        <v>0</v>
      </c>
      <c r="R108" s="274">
        <f>IFERROR(IF(crdmstbus="pkm",G*pkmbusele/capbus,M*nbrbusele*kmvbus)*calcskelebus/G,)</f>
        <v>0</v>
      </c>
      <c r="S108" s="274">
        <f>IFERROR(IF(crdmstbus="pkm",G*pkmbusele/capbus,M*nbrbusele*kmvbus)*calcskelebus/G,)</f>
        <v>0</v>
      </c>
      <c r="T108" s="274">
        <f>IFERROR(IF(crdmstbus="pkm",G*pkmbusele/capbus,M*nbrbusele*kmvbus)*calcskelebus/G,)</f>
        <v>0</v>
      </c>
      <c r="U108" s="274">
        <f>IFERROR(IF(crdmstbus="pkm",G*pkmbusele/capbus,M*nbrbusele*kmvbus)*calcskelebus/G,)</f>
        <v>0</v>
      </c>
      <c r="V108" s="274">
        <f>IFERROR(IF(crdmstbus="pkm",G*pkmbusele/capbus,M*nbrbusele*kmvbus)*calcskelebus/G,)</f>
        <v>0</v>
      </c>
      <c r="W108" s="274">
        <f>IFERROR(IF(crdmstbus="pkm",G*pkmbusele/capbus,M*nbrbusele*kmvbus)*calcskelebus/G,)</f>
        <v>0.001551484968</v>
      </c>
      <c r="X108" s="274" t="str">
        <f>IFERROR(IF(crdmstbus="pkm",G*pkmbusele/capbus,M*nbrbusele*kmvbus)*calcskelebus/G,)</f>
        <v/>
      </c>
      <c r="Y108" s="274" t="str">
        <f>IFERROR(IF(crdmstbus="pkm",G*pkmbusele/capbus,M*nbrbusele*kmvbus)*calcskelebus/G,)</f>
        <v/>
      </c>
      <c r="Z108" s="274" t="str">
        <f>IFERROR(IF(crdmstbus="pkm",G*pkmbusele/capbus,M*nbrbusele*kmvbus)*calcskelebus/G,)</f>
        <v/>
      </c>
      <c r="AA108" s="274" t="str">
        <f>IFERROR(IF(crdmstbus="pkm",G*pkmbusele/capbus,M*nbrbusele*kmvbus)*calcskelebus/G,)</f>
        <v/>
      </c>
      <c r="AB108" s="274">
        <f>IFERROR(IF(crdmstbus="pkm",G*pkmbusele/capbus,M*nbrbusele*kmvbus)*calcskelebus/G,)</f>
        <v>0.002492992051</v>
      </c>
      <c r="AC108" s="274">
        <f>IFERROR(IF(crdmstbus="pkm",G*pkmbusele/capbus,M*nbrbusele*kmvbus)*calcskelebus/G,)</f>
        <v>0.02491485997</v>
      </c>
      <c r="AD108" s="274">
        <f>IFERROR(IF(crdmstbus="pkm",G*pkmbusele/capbus,M*nbrbusele*kmvbus)*calcskelebus/G,)</f>
        <v>0.07808598739</v>
      </c>
      <c r="AE108" s="274">
        <f>IFERROR(IF(crdmstbus="pkm",G*pkmbusele/capbus,M*nbrbusele*kmvbus)*calcskelebus/G,)</f>
        <v>0.2777511717</v>
      </c>
      <c r="AF108" s="274">
        <f>IFERROR(IF(crdmstbus="pkm",G*pkmbusele/capbus,M*nbrbusele*kmvbus)*calcskelebus/G,)</f>
        <v>0.7353517468</v>
      </c>
      <c r="AG108" s="274">
        <f>IFERROR(IF(crdmstbus="pkm",G*pkmbusele/capbus,M*nbrbusele*kmvbus)*calcskelebus/G,)</f>
        <v>1.258220923</v>
      </c>
      <c r="AH108" s="274">
        <f>IFERROR(IF(crdmstbus="pkm",G*pkmbusele/capbus,M*nbrbusele*kmvbus)*calcskelebus/G,)</f>
        <v>1.784182833</v>
      </c>
      <c r="AI108" s="318"/>
    </row>
    <row r="109" ht="14.25" customHeight="1" outlineLevel="1">
      <c r="A109" s="439" t="s">
        <v>1930</v>
      </c>
      <c r="B109" s="162"/>
      <c r="C109" s="162"/>
      <c r="D109" s="100"/>
      <c r="E109" s="162"/>
      <c r="F109" s="162"/>
      <c r="G109" s="162"/>
      <c r="H109" s="178"/>
      <c r="I109" s="178"/>
      <c r="J109" s="178"/>
      <c r="K109" s="178"/>
      <c r="L109" s="178"/>
      <c r="M109" s="178"/>
      <c r="N109" s="178"/>
      <c r="O109" s="178"/>
      <c r="P109" s="178"/>
      <c r="Q109" s="178"/>
      <c r="R109" s="178"/>
      <c r="S109" s="178"/>
      <c r="T109" s="178"/>
      <c r="U109" s="178"/>
      <c r="V109" s="178"/>
      <c r="W109" s="178"/>
      <c r="X109" s="178"/>
      <c r="Y109" s="178"/>
      <c r="Z109" s="178"/>
      <c r="AA109" s="178"/>
      <c r="AB109" s="178"/>
      <c r="AC109" s="178"/>
      <c r="AD109" s="178"/>
      <c r="AE109" s="178"/>
      <c r="AF109" s="178"/>
      <c r="AG109" s="178"/>
      <c r="AH109" s="178"/>
      <c r="AI109" s="100"/>
    </row>
    <row r="110" ht="13.5" customHeight="1" outlineLevel="2">
      <c r="A110" s="195"/>
      <c r="B110" s="201"/>
      <c r="C110" s="246"/>
      <c r="D110" s="201"/>
      <c r="E110" s="316" t="s">
        <v>1931</v>
      </c>
      <c r="F110" s="316"/>
      <c r="G110" s="316" t="s">
        <v>1932</v>
      </c>
      <c r="H110" s="317" t="str">
        <f>IF(pclqfferpkm+pcngvferpkm+pchydferpkm+pcelcferpkm=0,"Missing data",IF(ABS(pclqfferpkm+pcngvferpkm+pchydferpkm+pcelcferpkm-100%)&lt;10^-4,"Ok","Inconsistent input data"))</f>
        <v>Ok</v>
      </c>
      <c r="I110" s="317" t="str">
        <f>IF(pclqfferpkm+pcngvferpkm+pchydferpkm+pcelcferpkm=0,"Missing data",IF(ABS(pclqfferpkm+pcngvferpkm+pchydferpkm+pcelcferpkm-100%)&lt;10^-4,"Ok","Inconsistent input data"))</f>
        <v>Ok</v>
      </c>
      <c r="J110" s="317" t="str">
        <f>IF(pclqfferpkm+pcngvferpkm+pchydferpkm+pcelcferpkm=0,"Missing data",IF(ABS(pclqfferpkm+pcngvferpkm+pchydferpkm+pcelcferpkm-100%)&lt;10^-4,"Ok","Inconsistent input data"))</f>
        <v>Ok</v>
      </c>
      <c r="K110" s="317" t="str">
        <f>IF(pclqfferpkm+pcngvferpkm+pchydferpkm+pcelcferpkm=0,"Missing data",IF(ABS(pclqfferpkm+pcngvferpkm+pchydferpkm+pcelcferpkm-100%)&lt;10^-4,"Ok","Inconsistent input data"))</f>
        <v>Ok</v>
      </c>
      <c r="L110" s="317" t="str">
        <f>IF(pclqfferpkm+pcngvferpkm+pchydferpkm+pcelcferpkm=0,"Missing data",IF(ABS(pclqfferpkm+pcngvferpkm+pchydferpkm+pcelcferpkm-100%)&lt;10^-4,"Ok","Inconsistent input data"))</f>
        <v>Ok</v>
      </c>
      <c r="M110" s="317" t="str">
        <f>IF(pclqfferpkm+pcngvferpkm+pchydferpkm+pcelcferpkm=0,"Missing data",IF(ABS(pclqfferpkm+pcngvferpkm+pchydferpkm+pcelcferpkm-100%)&lt;10^-4,"Ok","Inconsistent input data"))</f>
        <v>Ok</v>
      </c>
      <c r="N110" s="317" t="str">
        <f>IF(pclqfferpkm+pcngvferpkm+pchydferpkm+pcelcferpkm=0,"Missing data",IF(ABS(pclqfferpkm+pcngvferpkm+pchydferpkm+pcelcferpkm-100%)&lt;10^-4,"Ok","Inconsistent input data"))</f>
        <v>Ok</v>
      </c>
      <c r="O110" s="317" t="str">
        <f>IF(pclqfferpkm+pcngvferpkm+pchydferpkm+pcelcferpkm=0,"Missing data",IF(ABS(pclqfferpkm+pcngvferpkm+pchydferpkm+pcelcferpkm-100%)&lt;10^-4,"Ok","Inconsistent input data"))</f>
        <v>Ok</v>
      </c>
      <c r="P110" s="317" t="str">
        <f>IF(pclqfferpkm+pcngvferpkm+pchydferpkm+pcelcferpkm=0,"Missing data",IF(ABS(pclqfferpkm+pcngvferpkm+pchydferpkm+pcelcferpkm-100%)&lt;10^-4,"Ok","Inconsistent input data"))</f>
        <v>Ok</v>
      </c>
      <c r="Q110" s="317" t="str">
        <f>IF(pclqfferpkm+pcngvferpkm+pchydferpkm+pcelcferpkm=0,"Missing data",IF(ABS(pclqfferpkm+pcngvferpkm+pchydferpkm+pcelcferpkm-100%)&lt;10^-4,"Ok","Inconsistent input data"))</f>
        <v>Ok</v>
      </c>
      <c r="R110" s="317" t="str">
        <f>IF(pclqfferpkm+pcngvferpkm+pchydferpkm+pcelcferpkm=0,"Missing data",IF(ABS(pclqfferpkm+pcngvferpkm+pchydferpkm+pcelcferpkm-100%)&lt;10^-4,"Ok","Inconsistent input data"))</f>
        <v>Ok</v>
      </c>
      <c r="S110" s="317" t="str">
        <f>IF(pclqfferpkm+pcngvferpkm+pchydferpkm+pcelcferpkm=0,"Missing data",IF(ABS(pclqfferpkm+pcngvferpkm+pchydferpkm+pcelcferpkm-100%)&lt;10^-4,"Ok","Inconsistent input data"))</f>
        <v>Ok</v>
      </c>
      <c r="T110" s="317" t="str">
        <f>IF(pclqfferpkm+pcngvferpkm+pchydferpkm+pcelcferpkm=0,"Missing data",IF(ABS(pclqfferpkm+pcngvferpkm+pchydferpkm+pcelcferpkm-100%)&lt;10^-4,"Ok","Inconsistent input data"))</f>
        <v>Ok</v>
      </c>
      <c r="U110" s="317" t="str">
        <f>IF(pclqfferpkm+pcngvferpkm+pchydferpkm+pcelcferpkm=0,"Missing data",IF(ABS(pclqfferpkm+pcngvferpkm+pchydferpkm+pcelcferpkm-100%)&lt;10^-4,"Ok","Inconsistent input data"))</f>
        <v>Ok</v>
      </c>
      <c r="V110" s="317" t="str">
        <f>IF(pclqfferpkm+pcngvferpkm+pchydferpkm+pcelcferpkm=0,"Missing data",IF(ABS(pclqfferpkm+pcngvferpkm+pchydferpkm+pcelcferpkm-100%)&lt;10^-4,"Ok","Inconsistent input data"))</f>
        <v>Ok</v>
      </c>
      <c r="W110" s="317" t="str">
        <f>IF(pclqfferpkm+pcngvferpkm+pchydferpkm+pcelcferpkm=0,"Missing data",IF(ABS(pclqfferpkm+pcngvferpkm+pchydferpkm+pcelcferpkm-100%)&lt;10^-4,"Ok","Inconsistent input data"))</f>
        <v>Ok</v>
      </c>
      <c r="X110" s="317" t="str">
        <f>IF(pclqfferpkm+pcngvferpkm+pchydferpkm+pcelcferpkm=0,"Missing data",IF(ABS(pclqfferpkm+pcngvferpkm+pchydferpkm+pcelcferpkm-100%)&lt;10^-4,"Ok","Inconsistent input data"))</f>
        <v>Missing data</v>
      </c>
      <c r="Y110" s="317" t="str">
        <f>IF(pclqfferpkm+pcngvferpkm+pchydferpkm+pcelcferpkm=0,"Missing data",IF(ABS(pclqfferpkm+pcngvferpkm+pchydferpkm+pcelcferpkm-100%)&lt;10^-4,"Ok","Inconsistent input data"))</f>
        <v>Missing data</v>
      </c>
      <c r="Z110" s="317" t="str">
        <f>IF(pclqfferpkm+pcngvferpkm+pchydferpkm+pcelcferpkm=0,"Missing data",IF(ABS(pclqfferpkm+pcngvferpkm+pchydferpkm+pcelcferpkm-100%)&lt;10^-4,"Ok","Inconsistent input data"))</f>
        <v>Missing data</v>
      </c>
      <c r="AA110" s="317" t="str">
        <f>IF(pclqfferpkm+pcngvferpkm+pchydferpkm+pcelcferpkm=0,"Missing data",IF(ABS(pclqfferpkm+pcngvferpkm+pchydferpkm+pcelcferpkm-100%)&lt;10^-4,"Ok","Inconsistent input data"))</f>
        <v>Missing data</v>
      </c>
      <c r="AB110" s="317" t="str">
        <f>IF(pclqfferpkm+pcngvferpkm+pchydferpkm+pcelcferpkm=0,"Missing data",IF(ABS(pclqfferpkm+pcngvferpkm+pchydferpkm+pcelcferpkm-100%)&lt;10^-4,"Ok","Inconsistent input data"))</f>
        <v>Ok</v>
      </c>
      <c r="AC110" s="317" t="str">
        <f>IF(pclqfferpkm+pcngvferpkm+pchydferpkm+pcelcferpkm=0,"Missing data",IF(ABS(pclqfferpkm+pcngvferpkm+pchydferpkm+pcelcferpkm-100%)&lt;10^-4,"Ok","Inconsistent input data"))</f>
        <v>Ok</v>
      </c>
      <c r="AD110" s="317" t="str">
        <f>IF(pclqfferpkm+pcngvferpkm+pchydferpkm+pcelcferpkm=0,"Missing data",IF(ABS(pclqfferpkm+pcngvferpkm+pchydferpkm+pcelcferpkm-100%)&lt;10^-4,"Ok","Inconsistent input data"))</f>
        <v>Ok</v>
      </c>
      <c r="AE110" s="317" t="str">
        <f>IF(pclqfferpkm+pcngvferpkm+pchydferpkm+pcelcferpkm=0,"Missing data",IF(ABS(pclqfferpkm+pcngvferpkm+pchydferpkm+pcelcferpkm-100%)&lt;10^-4,"Ok","Inconsistent input data"))</f>
        <v>Ok</v>
      </c>
      <c r="AF110" s="317" t="str">
        <f>IF(pclqfferpkm+pcngvferpkm+pchydferpkm+pcelcferpkm=0,"Missing data",IF(ABS(pclqfferpkm+pcngvferpkm+pchydferpkm+pcelcferpkm-100%)&lt;10^-4,"Ok","Inconsistent input data"))</f>
        <v>Ok</v>
      </c>
      <c r="AG110" s="317" t="str">
        <f>IF(pclqfferpkm+pcngvferpkm+pchydferpkm+pcelcferpkm=0,"Missing data",IF(ABS(pclqfferpkm+pcngvferpkm+pchydferpkm+pcelcferpkm-100%)&lt;10^-4,"Ok","Inconsistent input data"))</f>
        <v>Ok</v>
      </c>
      <c r="AH110" s="317" t="str">
        <f>IF(pclqfferpkm+pcngvferpkm+pchydferpkm+pcelcferpkm=0,"Missing data",IF(ABS(pclqfferpkm+pcngvferpkm+pchydferpkm+pcelcferpkm-100%)&lt;10^-4,"Ok","Inconsistent input data"))</f>
        <v>Ok</v>
      </c>
      <c r="AI110" s="125"/>
    </row>
    <row r="111" ht="14.25" customHeight="1" outlineLevel="3">
      <c r="A111" s="195"/>
      <c r="B111" s="201"/>
      <c r="C111" s="201"/>
      <c r="D111" s="201"/>
      <c r="E111" s="273" t="s">
        <v>1465</v>
      </c>
      <c r="F111" s="249" t="s">
        <v>135</v>
      </c>
      <c r="G111" s="123" t="s">
        <v>1466</v>
      </c>
      <c r="H111" s="274">
        <f>G*(pkmfer+pkmfermet)*pclqfferpkm*k*eeferpkm/100/T</f>
        <v>0</v>
      </c>
      <c r="I111" s="274">
        <f>G*(pkmfer+pkmfermet)*pclqfferpkm*k*eeferpkm/100/T</f>
        <v>0</v>
      </c>
      <c r="J111" s="274">
        <f>G*(pkmfer+pkmfermet)*pclqfferpkm*k*eeferpkm/100/T</f>
        <v>0</v>
      </c>
      <c r="K111" s="274">
        <f>G*(pkmfer+pkmfermet)*pclqfferpkm*k*eeferpkm/100/T</f>
        <v>0</v>
      </c>
      <c r="L111" s="274">
        <f>G*(pkmfer+pkmfermet)*pclqfferpkm*k*eeferpkm/100/T</f>
        <v>0</v>
      </c>
      <c r="M111" s="274">
        <f>G*(pkmfer+pkmfermet)*pclqfferpkm*k*eeferpkm/100/T</f>
        <v>0</v>
      </c>
      <c r="N111" s="274">
        <f>G*(pkmfer+pkmfermet)*pclqfferpkm*k*eeferpkm/100/T</f>
        <v>0</v>
      </c>
      <c r="O111" s="274">
        <f>G*(pkmfer+pkmfermet)*pclqfferpkm*k*eeferpkm/100/T</f>
        <v>0</v>
      </c>
      <c r="P111" s="274">
        <f>G*(pkmfer+pkmfermet)*pclqfferpkm*k*eeferpkm/100/T</f>
        <v>0</v>
      </c>
      <c r="Q111" s="274">
        <f>G*(pkmfer+pkmfermet)*pclqfferpkm*k*eeferpkm/100/T</f>
        <v>0</v>
      </c>
      <c r="R111" s="274">
        <f>G*(pkmfer+pkmfermet)*pclqfferpkm*k*eeferpkm/100/T</f>
        <v>0</v>
      </c>
      <c r="S111" s="274">
        <f>G*(pkmfer+pkmfermet)*pclqfferpkm*k*eeferpkm/100/T</f>
        <v>0</v>
      </c>
      <c r="T111" s="274">
        <f>G*(pkmfer+pkmfermet)*pclqfferpkm*k*eeferpkm/100/T</f>
        <v>0</v>
      </c>
      <c r="U111" s="274">
        <f>G*(pkmfer+pkmfermet)*pclqfferpkm*k*eeferpkm/100/T</f>
        <v>0</v>
      </c>
      <c r="V111" s="274">
        <f>G*(pkmfer+pkmfermet)*pclqfferpkm*k*eeferpkm/100/T</f>
        <v>0</v>
      </c>
      <c r="W111" s="274">
        <f>G*(pkmfer+pkmfermet)*pclqfferpkm*k*eeferpkm/100/T</f>
        <v>0.1191573558</v>
      </c>
      <c r="X111" s="274">
        <f>G*(pkmfer+pkmfermet)*pclqfferpkm*k*eeferpkm/100/T</f>
        <v>0</v>
      </c>
      <c r="Y111" s="274">
        <f>G*(pkmfer+pkmfermet)*pclqfferpkm*k*eeferpkm/100/T</f>
        <v>0</v>
      </c>
      <c r="Z111" s="274">
        <f>G*(pkmfer+pkmfermet)*pclqfferpkm*k*eeferpkm/100/T</f>
        <v>0</v>
      </c>
      <c r="AA111" s="274">
        <f>G*(pkmfer+pkmfermet)*pclqfferpkm*k*eeferpkm/100/T</f>
        <v>0</v>
      </c>
      <c r="AB111" s="274">
        <f>G*(pkmfer+pkmfermet)*pclqfferpkm*k*eeferpkm/100/T</f>
        <v>0.124400112</v>
      </c>
      <c r="AC111" s="274">
        <f>G*(pkmfer+pkmfermet)*pclqfferpkm*k*eeferpkm/100/T</f>
        <v>0.1398799266</v>
      </c>
      <c r="AD111" s="274">
        <f>G*(pkmfer+pkmfermet)*pclqfferpkm*k*eeferpkm/100/T</f>
        <v>0.1204135756</v>
      </c>
      <c r="AE111" s="274">
        <f>G*(pkmfer+pkmfermet)*pclqfferpkm*k*eeferpkm/100/T</f>
        <v>0.0334251692</v>
      </c>
      <c r="AF111" s="274">
        <f>G*(pkmfer+pkmfermet)*pclqfferpkm*k*eeferpkm/100/T</f>
        <v>0</v>
      </c>
      <c r="AG111" s="274">
        <f>G*(pkmfer+pkmfermet)*pclqfferpkm*k*eeferpkm/100/T</f>
        <v>0</v>
      </c>
      <c r="AH111" s="274">
        <f>G*(pkmfer+pkmfermet)*pclqfferpkm*k*eeferpkm/100/T</f>
        <v>0</v>
      </c>
      <c r="AI111" s="318"/>
    </row>
    <row r="112" ht="14.25" customHeight="1" outlineLevel="3">
      <c r="A112" s="195"/>
      <c r="B112" s="201"/>
      <c r="C112" s="201"/>
      <c r="D112" s="201"/>
      <c r="E112" s="273" t="s">
        <v>1467</v>
      </c>
      <c r="F112" s="123" t="s">
        <v>135</v>
      </c>
      <c r="G112" s="123" t="s">
        <v>1468</v>
      </c>
      <c r="H112" s="274">
        <f>G*(pkmfer+pkmfermet)*pcngvferpkm*k*eeferpkm/100/T</f>
        <v>0</v>
      </c>
      <c r="I112" s="274">
        <f>G*(pkmfer+pkmfermet)*pcngvferpkm*k*eeferpkm/100/T</f>
        <v>0</v>
      </c>
      <c r="J112" s="274">
        <f>G*(pkmfer+pkmfermet)*pcngvferpkm*k*eeferpkm/100/T</f>
        <v>0</v>
      </c>
      <c r="K112" s="274">
        <f>G*(pkmfer+pkmfermet)*pcngvferpkm*k*eeferpkm/100/T</f>
        <v>0</v>
      </c>
      <c r="L112" s="274">
        <f>G*(pkmfer+pkmfermet)*pcngvferpkm*k*eeferpkm/100/T</f>
        <v>0</v>
      </c>
      <c r="M112" s="274">
        <f>G*(pkmfer+pkmfermet)*pcngvferpkm*k*eeferpkm/100/T</f>
        <v>0</v>
      </c>
      <c r="N112" s="274">
        <f>G*(pkmfer+pkmfermet)*pcngvferpkm*k*eeferpkm/100/T</f>
        <v>0</v>
      </c>
      <c r="O112" s="274">
        <f>G*(pkmfer+pkmfermet)*pcngvferpkm*k*eeferpkm/100/T</f>
        <v>0</v>
      </c>
      <c r="P112" s="274">
        <f>G*(pkmfer+pkmfermet)*pcngvferpkm*k*eeferpkm/100/T</f>
        <v>0</v>
      </c>
      <c r="Q112" s="274">
        <f>G*(pkmfer+pkmfermet)*pcngvferpkm*k*eeferpkm/100/T</f>
        <v>0</v>
      </c>
      <c r="R112" s="274">
        <f>G*(pkmfer+pkmfermet)*pcngvferpkm*k*eeferpkm/100/T</f>
        <v>0</v>
      </c>
      <c r="S112" s="274">
        <f>G*(pkmfer+pkmfermet)*pcngvferpkm*k*eeferpkm/100/T</f>
        <v>0</v>
      </c>
      <c r="T112" s="274">
        <f>G*(pkmfer+pkmfermet)*pcngvferpkm*k*eeferpkm/100/T</f>
        <v>0</v>
      </c>
      <c r="U112" s="274">
        <f>G*(pkmfer+pkmfermet)*pcngvferpkm*k*eeferpkm/100/T</f>
        <v>0</v>
      </c>
      <c r="V112" s="274">
        <f>G*(pkmfer+pkmfermet)*pcngvferpkm*k*eeferpkm/100/T</f>
        <v>0</v>
      </c>
      <c r="W112" s="274">
        <f>G*(pkmfer+pkmfermet)*pcngvferpkm*k*eeferpkm/100/T</f>
        <v>0</v>
      </c>
      <c r="X112" s="274">
        <f>G*(pkmfer+pkmfermet)*pcngvferpkm*k*eeferpkm/100/T</f>
        <v>0</v>
      </c>
      <c r="Y112" s="274">
        <f>G*(pkmfer+pkmfermet)*pcngvferpkm*k*eeferpkm/100/T</f>
        <v>0</v>
      </c>
      <c r="Z112" s="274">
        <f>G*(pkmfer+pkmfermet)*pcngvferpkm*k*eeferpkm/100/T</f>
        <v>0</v>
      </c>
      <c r="AA112" s="274">
        <f>G*(pkmfer+pkmfermet)*pcngvferpkm*k*eeferpkm/100/T</f>
        <v>0</v>
      </c>
      <c r="AB112" s="274">
        <f>G*(pkmfer+pkmfermet)*pcngvferpkm*k*eeferpkm/100/T</f>
        <v>0</v>
      </c>
      <c r="AC112" s="274">
        <f>G*(pkmfer+pkmfermet)*pcngvferpkm*k*eeferpkm/100/T</f>
        <v>0</v>
      </c>
      <c r="AD112" s="274">
        <f>G*(pkmfer+pkmfermet)*pcngvferpkm*k*eeferpkm/100/T</f>
        <v>0</v>
      </c>
      <c r="AE112" s="274">
        <f>G*(pkmfer+pkmfermet)*pcngvferpkm*k*eeferpkm/100/T</f>
        <v>0</v>
      </c>
      <c r="AF112" s="274">
        <f>G*(pkmfer+pkmfermet)*pcngvferpkm*k*eeferpkm/100/T</f>
        <v>0</v>
      </c>
      <c r="AG112" s="274">
        <f>G*(pkmfer+pkmfermet)*pcngvferpkm*k*eeferpkm/100/T</f>
        <v>0</v>
      </c>
      <c r="AH112" s="274">
        <f>G*(pkmfer+pkmfermet)*pcngvferpkm*k*eeferpkm/100/T</f>
        <v>0</v>
      </c>
      <c r="AI112" s="318"/>
    </row>
    <row r="113" ht="14.25" customHeight="1" outlineLevel="3">
      <c r="A113" s="195"/>
      <c r="B113" s="201"/>
      <c r="C113" s="201"/>
      <c r="D113" s="201"/>
      <c r="E113" s="273" t="s">
        <v>1469</v>
      </c>
      <c r="F113" s="123" t="s">
        <v>135</v>
      </c>
      <c r="G113" s="123" t="s">
        <v>1470</v>
      </c>
      <c r="H113" s="274">
        <f>G*(pkmfer+pkmfermet)*pchydferpkm*k*eeferpkm/100/T</f>
        <v>0</v>
      </c>
      <c r="I113" s="274">
        <f>G*(pkmfer+pkmfermet)*pchydferpkm*k*eeferpkm/100/T</f>
        <v>0</v>
      </c>
      <c r="J113" s="274">
        <f>G*(pkmfer+pkmfermet)*pchydferpkm*k*eeferpkm/100/T</f>
        <v>0</v>
      </c>
      <c r="K113" s="274">
        <f>G*(pkmfer+pkmfermet)*pchydferpkm*k*eeferpkm/100/T</f>
        <v>0</v>
      </c>
      <c r="L113" s="274">
        <f>G*(pkmfer+pkmfermet)*pchydferpkm*k*eeferpkm/100/T</f>
        <v>0</v>
      </c>
      <c r="M113" s="274">
        <f>G*(pkmfer+pkmfermet)*pchydferpkm*k*eeferpkm/100/T</f>
        <v>0</v>
      </c>
      <c r="N113" s="274">
        <f>G*(pkmfer+pkmfermet)*pchydferpkm*k*eeferpkm/100/T</f>
        <v>0</v>
      </c>
      <c r="O113" s="274">
        <f>G*(pkmfer+pkmfermet)*pchydferpkm*k*eeferpkm/100/T</f>
        <v>0</v>
      </c>
      <c r="P113" s="274">
        <f>G*(pkmfer+pkmfermet)*pchydferpkm*k*eeferpkm/100/T</f>
        <v>0</v>
      </c>
      <c r="Q113" s="274">
        <f>G*(pkmfer+pkmfermet)*pchydferpkm*k*eeferpkm/100/T</f>
        <v>0</v>
      </c>
      <c r="R113" s="274">
        <f>G*(pkmfer+pkmfermet)*pchydferpkm*k*eeferpkm/100/T</f>
        <v>0</v>
      </c>
      <c r="S113" s="274">
        <f>G*(pkmfer+pkmfermet)*pchydferpkm*k*eeferpkm/100/T</f>
        <v>0</v>
      </c>
      <c r="T113" s="274">
        <f>G*(pkmfer+pkmfermet)*pchydferpkm*k*eeferpkm/100/T</f>
        <v>0</v>
      </c>
      <c r="U113" s="274">
        <f>G*(pkmfer+pkmfermet)*pchydferpkm*k*eeferpkm/100/T</f>
        <v>0</v>
      </c>
      <c r="V113" s="274">
        <f>G*(pkmfer+pkmfermet)*pchydferpkm*k*eeferpkm/100/T</f>
        <v>0</v>
      </c>
      <c r="W113" s="274">
        <f>G*(pkmfer+pkmfermet)*pchydferpkm*k*eeferpkm/100/T</f>
        <v>0</v>
      </c>
      <c r="X113" s="274">
        <f>G*(pkmfer+pkmfermet)*pchydferpkm*k*eeferpkm/100/T</f>
        <v>0</v>
      </c>
      <c r="Y113" s="274">
        <f>G*(pkmfer+pkmfermet)*pchydferpkm*k*eeferpkm/100/T</f>
        <v>0</v>
      </c>
      <c r="Z113" s="274">
        <f>G*(pkmfer+pkmfermet)*pchydferpkm*k*eeferpkm/100/T</f>
        <v>0</v>
      </c>
      <c r="AA113" s="274">
        <f>G*(pkmfer+pkmfermet)*pchydferpkm*k*eeferpkm/100/T</f>
        <v>0</v>
      </c>
      <c r="AB113" s="274">
        <f>G*(pkmfer+pkmfermet)*pchydferpkm*k*eeferpkm/100/T</f>
        <v>0</v>
      </c>
      <c r="AC113" s="274">
        <f>G*(pkmfer+pkmfermet)*pchydferpkm*k*eeferpkm/100/T</f>
        <v>0</v>
      </c>
      <c r="AD113" s="274">
        <f>G*(pkmfer+pkmfermet)*pchydferpkm*k*eeferpkm/100/T</f>
        <v>0</v>
      </c>
      <c r="AE113" s="274">
        <f>G*(pkmfer+pkmfermet)*pchydferpkm*k*eeferpkm/100/T</f>
        <v>0</v>
      </c>
      <c r="AF113" s="274">
        <f>G*(pkmfer+pkmfermet)*pchydferpkm*k*eeferpkm/100/T</f>
        <v>0</v>
      </c>
      <c r="AG113" s="274">
        <f>G*(pkmfer+pkmfermet)*pchydferpkm*k*eeferpkm/100/T</f>
        <v>0</v>
      </c>
      <c r="AH113" s="274">
        <f>G*(pkmfer+pkmfermet)*pchydferpkm*k*eeferpkm/100/T</f>
        <v>0</v>
      </c>
      <c r="AI113" s="318"/>
    </row>
    <row r="114" ht="14.25" customHeight="1" outlineLevel="3">
      <c r="A114" s="195"/>
      <c r="B114" s="201"/>
      <c r="C114" s="201"/>
      <c r="D114" s="201"/>
      <c r="E114" s="273" t="s">
        <v>1471</v>
      </c>
      <c r="F114" s="123" t="s">
        <v>135</v>
      </c>
      <c r="G114" s="123" t="s">
        <v>1472</v>
      </c>
      <c r="H114" s="274">
        <f>G*(pkmfer+pkmfermet)*pcelcferpkm*k*eeferpkm/100/T</f>
        <v>0</v>
      </c>
      <c r="I114" s="274">
        <f>G*(pkmfer+pkmfermet)*pcelcferpkm*k*eeferpkm/100/T</f>
        <v>0</v>
      </c>
      <c r="J114" s="274">
        <f>G*(pkmfer+pkmfermet)*pcelcferpkm*k*eeferpkm/100/T</f>
        <v>0</v>
      </c>
      <c r="K114" s="274">
        <f>G*(pkmfer+pkmfermet)*pcelcferpkm*k*eeferpkm/100/T</f>
        <v>0</v>
      </c>
      <c r="L114" s="274">
        <f>G*(pkmfer+pkmfermet)*pcelcferpkm*k*eeferpkm/100/T</f>
        <v>0</v>
      </c>
      <c r="M114" s="274">
        <f>G*(pkmfer+pkmfermet)*pcelcferpkm*k*eeferpkm/100/T</f>
        <v>0</v>
      </c>
      <c r="N114" s="274">
        <f>G*(pkmfer+pkmfermet)*pcelcferpkm*k*eeferpkm/100/T</f>
        <v>0</v>
      </c>
      <c r="O114" s="274">
        <f>G*(pkmfer+pkmfermet)*pcelcferpkm*k*eeferpkm/100/T</f>
        <v>0</v>
      </c>
      <c r="P114" s="274">
        <f>G*(pkmfer+pkmfermet)*pcelcferpkm*k*eeferpkm/100/T</f>
        <v>0</v>
      </c>
      <c r="Q114" s="274">
        <f>G*(pkmfer+pkmfermet)*pcelcferpkm*k*eeferpkm/100/T</f>
        <v>0</v>
      </c>
      <c r="R114" s="274">
        <f>G*(pkmfer+pkmfermet)*pcelcferpkm*k*eeferpkm/100/T</f>
        <v>0</v>
      </c>
      <c r="S114" s="274">
        <f>G*(pkmfer+pkmfermet)*pcelcferpkm*k*eeferpkm/100/T</f>
        <v>0</v>
      </c>
      <c r="T114" s="274">
        <f>G*(pkmfer+pkmfermet)*pcelcferpkm*k*eeferpkm/100/T</f>
        <v>0</v>
      </c>
      <c r="U114" s="274">
        <f>G*(pkmfer+pkmfermet)*pcelcferpkm*k*eeferpkm/100/T</f>
        <v>0</v>
      </c>
      <c r="V114" s="274">
        <f>G*(pkmfer+pkmfermet)*pcelcferpkm*k*eeferpkm/100/T</f>
        <v>0</v>
      </c>
      <c r="W114" s="274">
        <f>G*(pkmfer+pkmfermet)*pcelcferpkm*k*eeferpkm/100/T</f>
        <v>1.042373824</v>
      </c>
      <c r="X114" s="274">
        <f>G*(pkmfer+pkmfermet)*pcelcferpkm*k*eeferpkm/100/T</f>
        <v>0</v>
      </c>
      <c r="Y114" s="274">
        <f>G*(pkmfer+pkmfermet)*pcelcferpkm*k*eeferpkm/100/T</f>
        <v>0</v>
      </c>
      <c r="Z114" s="274">
        <f>G*(pkmfer+pkmfermet)*pcelcferpkm*k*eeferpkm/100/T</f>
        <v>0</v>
      </c>
      <c r="AA114" s="274">
        <f>G*(pkmfer+pkmfermet)*pcelcferpkm*k*eeferpkm/100/T</f>
        <v>0</v>
      </c>
      <c r="AB114" s="274">
        <f>G*(pkmfer+pkmfermet)*pcelcferpkm*k*eeferpkm/100/T</f>
        <v>1.119601008</v>
      </c>
      <c r="AC114" s="274">
        <f>G*(pkmfer+pkmfermet)*pcelcferpkm*k*eeferpkm/100/T</f>
        <v>1.25891934</v>
      </c>
      <c r="AD114" s="274">
        <f>G*(pkmfer+pkmfermet)*pcelcferpkm*k*eeferpkm/100/T</f>
        <v>1.384756119</v>
      </c>
      <c r="AE114" s="274">
        <f>G*(pkmfer+pkmfermet)*pcelcferpkm*k*eeferpkm/100/T</f>
        <v>1.637833291</v>
      </c>
      <c r="AF114" s="274">
        <f>G*(pkmfer+pkmfermet)*pcelcferpkm*k*eeferpkm/100/T</f>
        <v>1.740755016</v>
      </c>
      <c r="AG114" s="274">
        <f>G*(pkmfer+pkmfermet)*pcelcferpkm*k*eeferpkm/100/T</f>
        <v>1.714673427</v>
      </c>
      <c r="AH114" s="274">
        <f>G*(pkmfer+pkmfermet)*pcelcferpkm*k*eeferpkm/100/T</f>
        <v>1.68512926</v>
      </c>
      <c r="AI114" s="318"/>
    </row>
    <row r="115" ht="14.25" customHeight="1" outlineLevel="1">
      <c r="A115" s="439" t="s">
        <v>1933</v>
      </c>
      <c r="B115" s="162"/>
      <c r="C115" s="162"/>
      <c r="D115" s="100"/>
      <c r="E115" s="162"/>
      <c r="F115" s="162"/>
      <c r="G115" s="162"/>
      <c r="H115" s="178"/>
      <c r="I115" s="178"/>
      <c r="J115" s="178"/>
      <c r="K115" s="178"/>
      <c r="L115" s="178"/>
      <c r="M115" s="178"/>
      <c r="N115" s="178"/>
      <c r="O115" s="178"/>
      <c r="P115" s="178"/>
      <c r="Q115" s="178"/>
      <c r="R115" s="178"/>
      <c r="S115" s="178"/>
      <c r="T115" s="178"/>
      <c r="U115" s="178"/>
      <c r="V115" s="178"/>
      <c r="W115" s="178"/>
      <c r="X115" s="178"/>
      <c r="Y115" s="178"/>
      <c r="Z115" s="178"/>
      <c r="AA115" s="178"/>
      <c r="AB115" s="178"/>
      <c r="AC115" s="178"/>
      <c r="AD115" s="178"/>
      <c r="AE115" s="178"/>
      <c r="AF115" s="178"/>
      <c r="AG115" s="178"/>
      <c r="AH115" s="178"/>
      <c r="AI115" s="100"/>
    </row>
    <row r="116" ht="13.5" customHeight="1" outlineLevel="2">
      <c r="A116" s="195"/>
      <c r="B116" s="201"/>
      <c r="C116" s="246"/>
      <c r="D116" s="201"/>
      <c r="E116" s="316" t="s">
        <v>1934</v>
      </c>
      <c r="F116" s="316"/>
      <c r="G116" s="316" t="s">
        <v>1935</v>
      </c>
      <c r="H116" s="317" t="str">
        <f>IF(AND(ISBLANK(pkmaireur),ISBLANK(pkmairint)),"NoDis","Dis")</f>
        <v>Dis</v>
      </c>
      <c r="I116" s="317" t="str">
        <f>IF(AND(ISBLANK(pkmaireur),ISBLANK(pkmairint)),"NoDis","Dis")</f>
        <v>Dis</v>
      </c>
      <c r="J116" s="317" t="str">
        <f>IF(AND(ISBLANK(pkmaireur),ISBLANK(pkmairint)),"NoDis","Dis")</f>
        <v>Dis</v>
      </c>
      <c r="K116" s="317" t="str">
        <f>IF(AND(ISBLANK(pkmaireur),ISBLANK(pkmairint)),"NoDis","Dis")</f>
        <v>Dis</v>
      </c>
      <c r="L116" s="317" t="str">
        <f>IF(AND(ISBLANK(pkmaireur),ISBLANK(pkmairint)),"NoDis","Dis")</f>
        <v>Dis</v>
      </c>
      <c r="M116" s="317" t="str">
        <f>IF(AND(ISBLANK(pkmaireur),ISBLANK(pkmairint)),"NoDis","Dis")</f>
        <v>Dis</v>
      </c>
      <c r="N116" s="317" t="str">
        <f>IF(AND(ISBLANK(pkmaireur),ISBLANK(pkmairint)),"NoDis","Dis")</f>
        <v>Dis</v>
      </c>
      <c r="O116" s="317" t="str">
        <f>IF(AND(ISBLANK(pkmaireur),ISBLANK(pkmairint)),"NoDis","Dis")</f>
        <v>Dis</v>
      </c>
      <c r="P116" s="317" t="str">
        <f>IF(AND(ISBLANK(pkmaireur),ISBLANK(pkmairint)),"NoDis","Dis")</f>
        <v>Dis</v>
      </c>
      <c r="Q116" s="317" t="str">
        <f>IF(AND(ISBLANK(pkmaireur),ISBLANK(pkmairint)),"NoDis","Dis")</f>
        <v>Dis</v>
      </c>
      <c r="R116" s="317" t="str">
        <f>IF(AND(ISBLANK(pkmaireur),ISBLANK(pkmairint)),"NoDis","Dis")</f>
        <v>Dis</v>
      </c>
      <c r="S116" s="317" t="str">
        <f>IF(AND(ISBLANK(pkmaireur),ISBLANK(pkmairint)),"NoDis","Dis")</f>
        <v>Dis</v>
      </c>
      <c r="T116" s="317" t="str">
        <f>IF(AND(ISBLANK(pkmaireur),ISBLANK(pkmairint)),"NoDis","Dis")</f>
        <v>Dis</v>
      </c>
      <c r="U116" s="317" t="str">
        <f>IF(AND(ISBLANK(pkmaireur),ISBLANK(pkmairint)),"NoDis","Dis")</f>
        <v>Dis</v>
      </c>
      <c r="V116" s="317" t="str">
        <f>IF(AND(ISBLANK(pkmaireur),ISBLANK(pkmairint)),"NoDis","Dis")</f>
        <v>Dis</v>
      </c>
      <c r="W116" s="317" t="str">
        <f>IF(AND(ISBLANK(pkmaireur),ISBLANK(pkmairint)),"NoDis","Dis")</f>
        <v>Dis</v>
      </c>
      <c r="X116" s="317" t="str">
        <f>IF(AND(ISBLANK(pkmaireur),ISBLANK(pkmairint)),"NoDis","Dis")</f>
        <v>NoDis</v>
      </c>
      <c r="Y116" s="317" t="str">
        <f>IF(AND(ISBLANK(pkmaireur),ISBLANK(pkmairint)),"NoDis","Dis")</f>
        <v>NoDis</v>
      </c>
      <c r="Z116" s="317" t="str">
        <f>IF(AND(ISBLANK(pkmaireur),ISBLANK(pkmairint)),"NoDis","Dis")</f>
        <v>NoDis</v>
      </c>
      <c r="AA116" s="317" t="str">
        <f>IF(AND(ISBLANK(pkmaireur),ISBLANK(pkmairint)),"NoDis","Dis")</f>
        <v>NoDis</v>
      </c>
      <c r="AB116" s="317" t="str">
        <f>IF(AND(ISBLANK(pkmaireur),ISBLANK(pkmairint)),"NoDis","Dis")</f>
        <v>Dis</v>
      </c>
      <c r="AC116" s="317" t="str">
        <f>IF(AND(ISBLANK(pkmaireur),ISBLANK(pkmairint)),"NoDis","Dis")</f>
        <v>Dis</v>
      </c>
      <c r="AD116" s="317" t="str">
        <f>IF(AND(ISBLANK(pkmaireur),ISBLANK(pkmairint)),"NoDis","Dis")</f>
        <v>Dis</v>
      </c>
      <c r="AE116" s="317" t="str">
        <f>IF(AND(ISBLANK(pkmaireur),ISBLANK(pkmairint)),"NoDis","Dis")</f>
        <v>Dis</v>
      </c>
      <c r="AF116" s="317" t="str">
        <f>IF(AND(ISBLANK(pkmaireur),ISBLANK(pkmairint)),"NoDis","Dis")</f>
        <v>Dis</v>
      </c>
      <c r="AG116" s="317" t="str">
        <f>IF(AND(ISBLANK(pkmaireur),ISBLANK(pkmairint)),"NoDis","Dis")</f>
        <v>Dis</v>
      </c>
      <c r="AH116" s="317" t="str">
        <f>IF(AND(ISBLANK(pkmaireur),ISBLANK(pkmairint)),"NoDis","Dis")</f>
        <v>Dis</v>
      </c>
      <c r="AI116" s="125"/>
    </row>
    <row r="117" ht="13.5" customHeight="1" outlineLevel="2">
      <c r="A117" s="195"/>
      <c r="B117" s="201"/>
      <c r="C117" s="246"/>
      <c r="D117" s="201"/>
      <c r="E117" s="316" t="s">
        <v>1936</v>
      </c>
      <c r="F117" s="316"/>
      <c r="G117" s="316" t="s">
        <v>1937</v>
      </c>
      <c r="H117" s="317" t="str">
        <f>IF(OR(crdpkmint="NoDis",ISBLANK(pkmavi)),"-",IF(pkmaireur+pkmairint=pkmavi,"Ok","Inconsistent input data"))</f>
        <v>-</v>
      </c>
      <c r="I117" s="317" t="str">
        <f>IF(OR(crdpkmint="NoDis",ISBLANK(pkmavi)),"-",IF(pkmaireur+pkmairint=pkmavi,"Ok","Inconsistent input data"))</f>
        <v>-</v>
      </c>
      <c r="J117" s="317" t="str">
        <f>IF(OR(crdpkmint="NoDis",ISBLANK(pkmavi)),"-",IF(pkmaireur+pkmairint=pkmavi,"Ok","Inconsistent input data"))</f>
        <v>-</v>
      </c>
      <c r="K117" s="317" t="str">
        <f>IF(OR(crdpkmint="NoDis",ISBLANK(pkmavi)),"-",IF(pkmaireur+pkmairint=pkmavi,"Ok","Inconsistent input data"))</f>
        <v>-</v>
      </c>
      <c r="L117" s="317" t="str">
        <f>IF(OR(crdpkmint="NoDis",ISBLANK(pkmavi)),"-",IF(pkmaireur+pkmairint=pkmavi,"Ok","Inconsistent input data"))</f>
        <v>-</v>
      </c>
      <c r="M117" s="317" t="str">
        <f>IF(OR(crdpkmint="NoDis",ISBLANK(pkmavi)),"-",IF(pkmaireur+pkmairint=pkmavi,"Ok","Inconsistent input data"))</f>
        <v>-</v>
      </c>
      <c r="N117" s="317" t="str">
        <f>IF(OR(crdpkmint="NoDis",ISBLANK(pkmavi)),"-",IF(pkmaireur+pkmairint=pkmavi,"Ok","Inconsistent input data"))</f>
        <v>-</v>
      </c>
      <c r="O117" s="317" t="str">
        <f>IF(OR(crdpkmint="NoDis",ISBLANK(pkmavi)),"-",IF(pkmaireur+pkmairint=pkmavi,"Ok","Inconsistent input data"))</f>
        <v>-</v>
      </c>
      <c r="P117" s="317" t="str">
        <f>IF(OR(crdpkmint="NoDis",ISBLANK(pkmavi)),"-",IF(pkmaireur+pkmairint=pkmavi,"Ok","Inconsistent input data"))</f>
        <v>-</v>
      </c>
      <c r="Q117" s="317" t="str">
        <f>IF(OR(crdpkmint="NoDis",ISBLANK(pkmavi)),"-",IF(pkmaireur+pkmairint=pkmavi,"Ok","Inconsistent input data"))</f>
        <v>-</v>
      </c>
      <c r="R117" s="317" t="str">
        <f>IF(OR(crdpkmint="NoDis",ISBLANK(pkmavi)),"-",IF(pkmaireur+pkmairint=pkmavi,"Ok","Inconsistent input data"))</f>
        <v>-</v>
      </c>
      <c r="S117" s="317" t="str">
        <f>IF(OR(crdpkmint="NoDis",ISBLANK(pkmavi)),"-",IF(pkmaireur+pkmairint=pkmavi,"Ok","Inconsistent input data"))</f>
        <v>-</v>
      </c>
      <c r="T117" s="317" t="str">
        <f>IF(OR(crdpkmint="NoDis",ISBLANK(pkmavi)),"-",IF(pkmaireur+pkmairint=pkmavi,"Ok","Inconsistent input data"))</f>
        <v>-</v>
      </c>
      <c r="U117" s="317" t="str">
        <f>IF(OR(crdpkmint="NoDis",ISBLANK(pkmavi)),"-",IF(pkmaireur+pkmairint=pkmavi,"Ok","Inconsistent input data"))</f>
        <v>-</v>
      </c>
      <c r="V117" s="317" t="str">
        <f>IF(OR(crdpkmint="NoDis",ISBLANK(pkmavi)),"-",IF(pkmaireur+pkmairint=pkmavi,"Ok","Inconsistent input data"))</f>
        <v>-</v>
      </c>
      <c r="W117" s="317" t="str">
        <f>IF(OR(crdpkmint="NoDis",ISBLANK(pkmavi)),"-",IF(pkmaireur+pkmairint=pkmavi,"Ok","Inconsistent input data"))</f>
        <v>Ok</v>
      </c>
      <c r="X117" s="317" t="str">
        <f>IF(OR(crdpkmint="NoDis",ISBLANK(pkmavi)),"-",IF(pkmaireur+pkmairint=pkmavi,"Ok","Inconsistent input data"))</f>
        <v>-</v>
      </c>
      <c r="Y117" s="317" t="str">
        <f>IF(OR(crdpkmint="NoDis",ISBLANK(pkmavi)),"-",IF(pkmaireur+pkmairint=pkmavi,"Ok","Inconsistent input data"))</f>
        <v>-</v>
      </c>
      <c r="Z117" s="317" t="str">
        <f>IF(OR(crdpkmint="NoDis",ISBLANK(pkmavi)),"-",IF(pkmaireur+pkmairint=pkmavi,"Ok","Inconsistent input data"))</f>
        <v>-</v>
      </c>
      <c r="AA117" s="317" t="str">
        <f>IF(OR(crdpkmint="NoDis",ISBLANK(pkmavi)),"-",IF(pkmaireur+pkmairint=pkmavi,"Ok","Inconsistent input data"))</f>
        <v>-</v>
      </c>
      <c r="AB117" s="317" t="str">
        <f>IF(OR(crdpkmint="NoDis",ISBLANK(pkmavi)),"-",IF(pkmaireur+pkmairint=pkmavi,"Ok","Inconsistent input data"))</f>
        <v>Ok</v>
      </c>
      <c r="AC117" s="317" t="str">
        <f>IF(OR(crdpkmint="NoDis",ISBLANK(pkmavi)),"-",IF(pkmaireur+pkmairint=pkmavi,"Ok","Inconsistent input data"))</f>
        <v>Ok</v>
      </c>
      <c r="AD117" s="317" t="str">
        <f>IF(OR(crdpkmint="NoDis",ISBLANK(pkmavi)),"-",IF(pkmaireur+pkmairint=pkmavi,"Ok","Inconsistent input data"))</f>
        <v>Ok</v>
      </c>
      <c r="AE117" s="317" t="str">
        <f>IF(OR(crdpkmint="NoDis",ISBLANK(pkmavi)),"-",IF(pkmaireur+pkmairint=pkmavi,"Ok","Inconsistent input data"))</f>
        <v>Inconsistent input data</v>
      </c>
      <c r="AF117" s="317" t="str">
        <f>IF(OR(crdpkmint="NoDis",ISBLANK(pkmavi)),"-",IF(pkmaireur+pkmairint=pkmavi,"Ok","Inconsistent input data"))</f>
        <v>Ok</v>
      </c>
      <c r="AG117" s="317" t="str">
        <f>IF(OR(crdpkmint="NoDis",ISBLANK(pkmavi)),"-",IF(pkmaireur+pkmairint=pkmavi,"Ok","Inconsistent input data"))</f>
        <v>Ok</v>
      </c>
      <c r="AH117" s="317" t="str">
        <f>IF(OR(crdpkmint="NoDis",ISBLANK(pkmavi)),"-",IF(pkmaireur+pkmairint=pkmavi,"Ok","Inconsistent input data"))</f>
        <v>Ok</v>
      </c>
      <c r="AI117" s="125"/>
    </row>
    <row r="118" ht="14.25" customHeight="1" outlineLevel="3">
      <c r="A118" s="439"/>
      <c r="B118" s="393"/>
      <c r="C118" s="393" t="s">
        <v>1848</v>
      </c>
      <c r="D118" s="394"/>
      <c r="E118" s="162"/>
      <c r="F118" s="162"/>
      <c r="G118" s="162"/>
      <c r="H118" s="178"/>
      <c r="I118" s="178"/>
      <c r="J118" s="178"/>
      <c r="K118" s="178"/>
      <c r="L118" s="178"/>
      <c r="M118" s="178"/>
      <c r="N118" s="178"/>
      <c r="O118" s="178"/>
      <c r="P118" s="178"/>
      <c r="Q118" s="178"/>
      <c r="R118" s="178"/>
      <c r="S118" s="178"/>
      <c r="T118" s="178"/>
      <c r="U118" s="178"/>
      <c r="V118" s="178"/>
      <c r="W118" s="178"/>
      <c r="X118" s="178"/>
      <c r="Y118" s="178"/>
      <c r="Z118" s="178"/>
      <c r="AA118" s="178"/>
      <c r="AB118" s="178"/>
      <c r="AC118" s="178"/>
      <c r="AD118" s="178"/>
      <c r="AE118" s="178"/>
      <c r="AF118" s="178"/>
      <c r="AG118" s="178"/>
      <c r="AH118" s="178"/>
      <c r="AI118" s="271"/>
    </row>
    <row r="119" ht="14.25" customHeight="1" outlineLevel="4">
      <c r="A119" s="195"/>
      <c r="B119" s="201"/>
      <c r="C119" s="201"/>
      <c r="D119" s="201"/>
      <c r="E119" s="273" t="s">
        <v>1477</v>
      </c>
      <c r="F119" s="123" t="s">
        <v>1412</v>
      </c>
      <c r="G119" s="123" t="s">
        <v>1938</v>
      </c>
      <c r="H119" s="274">
        <f>IF(crdpkmint="NoDis",pkmavi,IF(OR(ccipkmavi="Ok",ISBLANK(pkmavi)),pkmaireur+pkmairint,IF(pkmaireur+pkmairint&lt;pkmavi,pkmavi,pkmaireur+pkmairin)))</f>
        <v>23.89608042</v>
      </c>
      <c r="I119" s="274">
        <f>IF(crdpkmint="NoDis",pkmavi,IF(OR(ccipkmavi="Ok",ISBLANK(pkmavi)),pkmaireur+pkmairint,IF(pkmaireur+pkmairint&lt;pkmavi,pkmavi,pkmaireur+pkmairin)))</f>
        <v>22.93968142</v>
      </c>
      <c r="J119" s="274">
        <f>IF(crdpkmint="NoDis",pkmavi,IF(OR(ccipkmavi="Ok",ISBLANK(pkmavi)),pkmaireur+pkmairint,IF(pkmaireur+pkmairint&lt;pkmavi,pkmavi,pkmaireur+pkmairin)))</f>
        <v>17.02486061</v>
      </c>
      <c r="K119" s="274">
        <f>IF(crdpkmint="NoDis",pkmavi,IF(OR(ccipkmavi="Ok",ISBLANK(pkmavi)),pkmaireur+pkmairint,IF(pkmaireur+pkmairint&lt;pkmavi,pkmavi,pkmaireur+pkmairin)))</f>
        <v>18.84807739</v>
      </c>
      <c r="L119" s="274">
        <f>IF(crdpkmint="NoDis",pkmavi,IF(OR(ccipkmavi="Ok",ISBLANK(pkmavi)),pkmaireur+pkmairint,IF(pkmaireur+pkmairint&lt;pkmavi,pkmavi,pkmaireur+pkmairin)))</f>
        <v>21.12021283</v>
      </c>
      <c r="M119" s="274">
        <f>IF(crdpkmint="NoDis",pkmavi,IF(OR(ccipkmavi="Ok",ISBLANK(pkmavi)),pkmaireur+pkmairint,IF(pkmaireur+pkmairint&lt;pkmavi,pkmavi,pkmaireur+pkmairin)))</f>
        <v>22.52321791</v>
      </c>
      <c r="N119" s="274">
        <f>IF(crdpkmint="NoDis",pkmavi,IF(OR(ccipkmavi="Ok",ISBLANK(pkmavi)),pkmaireur+pkmairint,IF(pkmaireur+pkmairint&lt;pkmavi,pkmavi,pkmaireur+pkmairin)))</f>
        <v>23.55336323</v>
      </c>
      <c r="O119" s="274">
        <f>IF(crdpkmint="NoDis",pkmavi,IF(OR(ccipkmavi="Ok",ISBLANK(pkmavi)),pkmaireur+pkmairint,IF(pkmaireur+pkmairint&lt;pkmavi,pkmavi,pkmaireur+pkmairin)))</f>
        <v>26.61895403</v>
      </c>
      <c r="P119" s="274">
        <f>IF(crdpkmint="NoDis",pkmavi,IF(OR(ccipkmavi="Ok",ISBLANK(pkmavi)),pkmaireur+pkmairint,IF(pkmaireur+pkmairint&lt;pkmavi,pkmavi,pkmaireur+pkmairin)))</f>
        <v>26.14366796</v>
      </c>
      <c r="Q119" s="274">
        <f>IF(crdpkmint="NoDis",pkmavi,IF(OR(ccipkmavi="Ok",ISBLANK(pkmavi)),pkmaireur+pkmairint,IF(pkmaireur+pkmairint&lt;pkmavi,pkmavi,pkmaireur+pkmairin)))</f>
        <v>29.83254694</v>
      </c>
      <c r="R119" s="274">
        <f>IF(crdpkmint="NoDis",pkmavi,IF(OR(ccipkmavi="Ok",ISBLANK(pkmavi)),pkmaireur+pkmairint,IF(pkmaireur+pkmairint&lt;pkmavi,pkmavi,pkmaireur+pkmairin)))</f>
        <v>30.07415548</v>
      </c>
      <c r="S119" s="274">
        <f>IF(crdpkmint="NoDis",pkmavi,IF(OR(ccipkmavi="Ok",ISBLANK(pkmavi)),pkmaireur+pkmairint,IF(pkmaireur+pkmairint&lt;pkmavi,pkmavi,pkmaireur+pkmairin)))</f>
        <v>32.33504169</v>
      </c>
      <c r="T119" s="274">
        <f>IF(crdpkmint="NoDis",pkmavi,IF(OR(ccipkmavi="Ok",ISBLANK(pkmavi)),pkmaireur+pkmairint,IF(pkmaireur+pkmairint&lt;pkmavi,pkmavi,pkmaireur+pkmairin)))</f>
        <v>25.96845267</v>
      </c>
      <c r="U119" s="274">
        <f>IF(crdpkmint="NoDis",pkmavi,IF(OR(ccipkmavi="Ok",ISBLANK(pkmavi)),pkmaireur+pkmairint,IF(pkmaireur+pkmairint&lt;pkmavi,pkmavi,pkmaireur+pkmairin)))</f>
        <v>23.78530685</v>
      </c>
      <c r="V119" s="274">
        <f>IF(crdpkmint="NoDis",pkmavi,IF(OR(ccipkmavi="Ok",ISBLANK(pkmavi)),pkmaireur+pkmairint,IF(pkmaireur+pkmairint&lt;pkmavi,pkmavi,pkmaireur+pkmairin)))</f>
        <v>26.61973317</v>
      </c>
      <c r="W119" s="274">
        <f>IF(crdpkmint="NoDis",pkmavi,IF(OR(ccipkmavi="Ok",ISBLANK(pkmavi)),pkmaireur+pkmairint,IF(pkmaireur+pkmairint&lt;pkmavi,pkmavi,pkmaireur+pkmairin)))</f>
        <v>29.21014187</v>
      </c>
      <c r="X119" s="274">
        <f>IF(crdpkmint="NoDis",pkmavi,IF(OR(ccipkmavi="Ok",ISBLANK(pkmavi)),pkmaireur+pkmairint,IF(pkmaireur+pkmairint&lt;pkmavi,pkmavi,pkmaireur+pkmairin)))</f>
        <v>0</v>
      </c>
      <c r="Y119" s="274">
        <f>IF(crdpkmint="NoDis",pkmavi,IF(OR(ccipkmavi="Ok",ISBLANK(pkmavi)),pkmaireur+pkmairint,IF(pkmaireur+pkmairint&lt;pkmavi,pkmavi,pkmaireur+pkmairin)))</f>
        <v>0</v>
      </c>
      <c r="Z119" s="274">
        <f>IF(crdpkmint="NoDis",pkmavi,IF(OR(ccipkmavi="Ok",ISBLANK(pkmavi)),pkmaireur+pkmairint,IF(pkmaireur+pkmairint&lt;pkmavi,pkmavi,pkmaireur+pkmairin)))</f>
        <v>0</v>
      </c>
      <c r="AA119" s="274">
        <f>IF(crdpkmint="NoDis",pkmavi,IF(OR(ccipkmavi="Ok",ISBLANK(pkmavi)),pkmaireur+pkmairint,IF(pkmaireur+pkmairint&lt;pkmavi,pkmavi,pkmaireur+pkmairin)))</f>
        <v>0</v>
      </c>
      <c r="AB119" s="274">
        <f>IF(crdpkmint="NoDis",pkmavi,IF(OR(ccipkmavi="Ok",ISBLANK(pkmavi)),pkmaireur+pkmairint,IF(pkmaireur+pkmairint&lt;pkmavi,pkmavi,pkmaireur+pkmairin)))</f>
        <v>36.983</v>
      </c>
      <c r="AC119" s="274">
        <f>IF(crdpkmint="NoDis",pkmavi,IF(OR(ccipkmavi="Ok",ISBLANK(pkmavi)),pkmaireur+pkmairint,IF(pkmaireur+pkmairint&lt;pkmavi,pkmavi,pkmaireur+pkmairin)))</f>
        <v>34.43244828</v>
      </c>
      <c r="AD119" s="274">
        <f>IF(crdpkmint="NoDis",pkmavi,IF(OR(ccipkmavi="Ok",ISBLANK(pkmavi)),pkmaireur+pkmairint,IF(pkmaireur+pkmairint&lt;pkmavi,pkmavi,pkmaireur+pkmairin)))</f>
        <v>26.7807931</v>
      </c>
      <c r="AE119" s="274" t="str">
        <f>IF(crdpkmint="NoDis",pkmavi,IF(OR(ccipkmavi="Ok",ISBLANK(pkmavi)),pkmaireur+pkmairint,IF(pkmaireur+pkmairint&lt;pkmavi,pkmavi,pkmaireur+pkmairin)))</f>
        <v>#NAME?</v>
      </c>
      <c r="AF119" s="274">
        <f>IF(crdpkmint="NoDis",pkmavi,IF(OR(ccipkmavi="Ok",ISBLANK(pkmavi)),pkmaireur+pkmairint,IF(pkmaireur+pkmairint&lt;pkmavi,pkmavi,pkmaireur+pkmairin)))</f>
        <v>19.12913793</v>
      </c>
      <c r="AG119" s="274">
        <f>IF(crdpkmint="NoDis",pkmavi,IF(OR(ccipkmavi="Ok",ISBLANK(pkmavi)),pkmaireur+pkmairint,IF(pkmaireur+pkmairint&lt;pkmavi,pkmavi,pkmaireur+pkmairin)))</f>
        <v>19.12913793</v>
      </c>
      <c r="AH119" s="274">
        <f>IF(crdpkmint="NoDis",pkmavi,IF(OR(ccipkmavi="Ok",ISBLANK(pkmavi)),pkmaireur+pkmairint,IF(pkmaireur+pkmairint&lt;pkmavi,pkmavi,pkmaireur+pkmairin)))</f>
        <v>19.12913793</v>
      </c>
      <c r="AI119" s="318"/>
    </row>
    <row r="120" ht="14.25" customHeight="1" outlineLevel="3">
      <c r="A120" s="439"/>
      <c r="B120" s="393"/>
      <c r="C120" s="393" t="s">
        <v>1824</v>
      </c>
      <c r="D120" s="394"/>
      <c r="E120" s="162"/>
      <c r="F120" s="162"/>
      <c r="G120" s="162"/>
      <c r="H120" s="178"/>
      <c r="I120" s="178"/>
      <c r="J120" s="178"/>
      <c r="K120" s="178"/>
      <c r="L120" s="178"/>
      <c r="M120" s="178"/>
      <c r="N120" s="178"/>
      <c r="O120" s="178"/>
      <c r="P120" s="178"/>
      <c r="Q120" s="178"/>
      <c r="R120" s="178"/>
      <c r="S120" s="178"/>
      <c r="T120" s="178"/>
      <c r="U120" s="178"/>
      <c r="V120" s="178"/>
      <c r="W120" s="178"/>
      <c r="X120" s="178"/>
      <c r="Y120" s="178"/>
      <c r="Z120" s="178"/>
      <c r="AA120" s="178"/>
      <c r="AB120" s="178"/>
      <c r="AC120" s="178"/>
      <c r="AD120" s="178"/>
      <c r="AE120" s="178"/>
      <c r="AF120" s="178"/>
      <c r="AG120" s="178"/>
      <c r="AH120" s="178"/>
      <c r="AI120" s="271"/>
    </row>
    <row r="121" ht="14.25" customHeight="1" outlineLevel="4">
      <c r="A121" s="100"/>
      <c r="B121" s="100"/>
      <c r="C121" s="100"/>
      <c r="D121" s="100"/>
      <c r="E121" s="273" t="s">
        <v>1939</v>
      </c>
      <c r="F121" s="249" t="s">
        <v>1412</v>
      </c>
      <c r="G121" s="123" t="s">
        <v>1940</v>
      </c>
      <c r="H121" s="274" t="str">
        <f t="array" ref="H121:AH121">IF(eeairpkmd&lt;&gt;0,eeairpkmd,eeairpkm)</f>
        <v/>
      </c>
      <c r="I121" s="274"/>
      <c r="J121" s="274"/>
      <c r="K121" s="274"/>
      <c r="L121" s="274"/>
      <c r="M121" s="274"/>
      <c r="N121" s="274"/>
      <c r="O121" s="274"/>
      <c r="P121" s="274"/>
      <c r="Q121" s="274"/>
      <c r="R121" s="274"/>
      <c r="S121" s="274"/>
      <c r="T121" s="274"/>
      <c r="U121" s="274"/>
      <c r="V121" s="274"/>
      <c r="W121" s="274">
        <v>37.672</v>
      </c>
      <c r="X121" s="274">
        <v>37.218</v>
      </c>
      <c r="Y121" s="274">
        <v>36.903</v>
      </c>
      <c r="Z121" s="274">
        <v>36.594</v>
      </c>
      <c r="AA121" s="274">
        <v>36.3</v>
      </c>
      <c r="AB121" s="274">
        <v>37.3</v>
      </c>
      <c r="AC121" s="274">
        <v>34.471</v>
      </c>
      <c r="AD121" s="274">
        <v>32.817</v>
      </c>
      <c r="AE121" s="274">
        <v>31.016</v>
      </c>
      <c r="AF121" s="274">
        <v>29.068</v>
      </c>
      <c r="AG121" s="274">
        <v>27.373</v>
      </c>
      <c r="AH121" s="274">
        <v>25.916</v>
      </c>
      <c r="AI121" s="318"/>
    </row>
    <row r="122" ht="14.25" customHeight="1" outlineLevel="4">
      <c r="A122" s="195"/>
      <c r="B122" s="201"/>
      <c r="C122" s="201"/>
      <c r="D122" s="201"/>
      <c r="E122" s="273" t="s">
        <v>1941</v>
      </c>
      <c r="F122" s="123" t="s">
        <v>1412</v>
      </c>
      <c r="G122" s="123" t="s">
        <v>1942</v>
      </c>
      <c r="H122" s="274" t="str">
        <f t="array" ref="H122:AH122">IF(eeairpkmi&lt;&gt;0,eeairpkmi,eeairpkm)</f>
        <v/>
      </c>
      <c r="I122" s="274"/>
      <c r="J122" s="274"/>
      <c r="K122" s="274"/>
      <c r="L122" s="274"/>
      <c r="M122" s="274"/>
      <c r="N122" s="274"/>
      <c r="O122" s="274"/>
      <c r="P122" s="274"/>
      <c r="Q122" s="274"/>
      <c r="R122" s="274"/>
      <c r="S122" s="274"/>
      <c r="T122" s="274"/>
      <c r="U122" s="274"/>
      <c r="V122" s="274"/>
      <c r="W122" s="274">
        <v>37.672</v>
      </c>
      <c r="X122" s="274">
        <v>37.218</v>
      </c>
      <c r="Y122" s="274">
        <v>36.903</v>
      </c>
      <c r="Z122" s="274">
        <v>36.594</v>
      </c>
      <c r="AA122" s="274">
        <v>36.3</v>
      </c>
      <c r="AB122" s="274">
        <v>37.3</v>
      </c>
      <c r="AC122" s="274">
        <v>34.471</v>
      </c>
      <c r="AD122" s="274">
        <v>32.817</v>
      </c>
      <c r="AE122" s="274">
        <v>31.016</v>
      </c>
      <c r="AF122" s="274">
        <v>29.068</v>
      </c>
      <c r="AG122" s="274">
        <v>27.373</v>
      </c>
      <c r="AH122" s="274">
        <v>25.916</v>
      </c>
      <c r="AI122" s="318"/>
    </row>
    <row r="123" ht="14.25" customHeight="1" outlineLevel="3">
      <c r="A123" s="439"/>
      <c r="B123" s="393"/>
      <c r="C123" s="393" t="s">
        <v>1943</v>
      </c>
      <c r="D123" s="394"/>
      <c r="E123" s="162"/>
      <c r="F123" s="162"/>
      <c r="G123" s="162"/>
      <c r="H123" s="178"/>
      <c r="I123" s="178"/>
      <c r="J123" s="178"/>
      <c r="K123" s="178"/>
      <c r="L123" s="178"/>
      <c r="M123" s="178"/>
      <c r="N123" s="178"/>
      <c r="O123" s="178"/>
      <c r="P123" s="178"/>
      <c r="Q123" s="178"/>
      <c r="R123" s="178"/>
      <c r="S123" s="178"/>
      <c r="T123" s="178"/>
      <c r="U123" s="178"/>
      <c r="V123" s="178"/>
      <c r="W123" s="178"/>
      <c r="X123" s="178"/>
      <c r="Y123" s="178"/>
      <c r="Z123" s="178"/>
      <c r="AA123" s="178"/>
      <c r="AB123" s="178"/>
      <c r="AC123" s="178"/>
      <c r="AD123" s="178"/>
      <c r="AE123" s="178"/>
      <c r="AF123" s="178"/>
      <c r="AG123" s="178"/>
      <c r="AH123" s="178"/>
      <c r="AI123" s="271"/>
    </row>
    <row r="124" ht="14.25" customHeight="1" outlineLevel="4">
      <c r="A124" s="195"/>
      <c r="B124" s="201"/>
      <c r="C124" s="201"/>
      <c r="D124" s="201"/>
      <c r="E124" s="273" t="s">
        <v>1493</v>
      </c>
      <c r="F124" s="123" t="s">
        <v>135</v>
      </c>
      <c r="G124" s="123" t="s">
        <v>1500</v>
      </c>
      <c r="H124" s="274">
        <f t="array" ref="H124:AH124">pkmavd*eeairpkm/100</f>
        <v>0</v>
      </c>
      <c r="I124" s="274">
        <v>0.0</v>
      </c>
      <c r="J124" s="274">
        <v>0.0</v>
      </c>
      <c r="K124" s="274">
        <v>0.0</v>
      </c>
      <c r="L124" s="274">
        <v>0.0</v>
      </c>
      <c r="M124" s="274">
        <v>0.0</v>
      </c>
      <c r="N124" s="274">
        <v>0.0</v>
      </c>
      <c r="O124" s="274">
        <v>0.0</v>
      </c>
      <c r="P124" s="274">
        <v>0.0</v>
      </c>
      <c r="Q124" s="274">
        <v>0.0</v>
      </c>
      <c r="R124" s="274">
        <v>0.0</v>
      </c>
      <c r="S124" s="274">
        <v>0.0</v>
      </c>
      <c r="T124" s="274">
        <v>0.0</v>
      </c>
      <c r="U124" s="274">
        <v>0.0</v>
      </c>
      <c r="V124" s="274">
        <v>0.0</v>
      </c>
      <c r="W124" s="274">
        <v>0.0</v>
      </c>
      <c r="X124" s="274">
        <v>0.0</v>
      </c>
      <c r="Y124" s="274">
        <v>0.0</v>
      </c>
      <c r="Z124" s="274">
        <v>0.0</v>
      </c>
      <c r="AA124" s="274">
        <v>0.0</v>
      </c>
      <c r="AB124" s="274">
        <v>0.0</v>
      </c>
      <c r="AC124" s="274">
        <v>0.0</v>
      </c>
      <c r="AD124" s="274">
        <v>0.0</v>
      </c>
      <c r="AE124" s="274">
        <v>0.0</v>
      </c>
      <c r="AF124" s="274">
        <v>0.0</v>
      </c>
      <c r="AG124" s="274">
        <v>0.0</v>
      </c>
      <c r="AH124" s="274">
        <v>0.0</v>
      </c>
      <c r="AI124" s="318"/>
    </row>
    <row r="125" ht="14.25" customHeight="1" outlineLevel="4">
      <c r="A125" s="195"/>
      <c r="B125" s="201"/>
      <c r="C125" s="201"/>
      <c r="D125" s="201"/>
      <c r="E125" s="273" t="s">
        <v>1495</v>
      </c>
      <c r="F125" s="123" t="s">
        <v>135</v>
      </c>
      <c r="G125" s="123" t="s">
        <v>1501</v>
      </c>
      <c r="H125" s="274">
        <f t="array" ref="H125:AH125">calpkmavi*eeairpkm/100</f>
        <v>0</v>
      </c>
      <c r="I125" s="274">
        <v>0.0</v>
      </c>
      <c r="J125" s="274">
        <v>0.0</v>
      </c>
      <c r="K125" s="274">
        <v>0.0</v>
      </c>
      <c r="L125" s="274">
        <v>0.0</v>
      </c>
      <c r="M125" s="274">
        <v>0.0</v>
      </c>
      <c r="N125" s="274">
        <v>0.0</v>
      </c>
      <c r="O125" s="274">
        <v>0.0</v>
      </c>
      <c r="P125" s="274">
        <v>0.0</v>
      </c>
      <c r="Q125" s="274">
        <v>0.0</v>
      </c>
      <c r="R125" s="274">
        <v>0.0</v>
      </c>
      <c r="S125" s="274">
        <v>0.0</v>
      </c>
      <c r="T125" s="274">
        <v>0.0</v>
      </c>
      <c r="U125" s="274">
        <v>0.0</v>
      </c>
      <c r="V125" s="274">
        <v>0.0</v>
      </c>
      <c r="W125" s="274">
        <v>11.004044643782347</v>
      </c>
      <c r="X125" s="274">
        <v>0.0</v>
      </c>
      <c r="Y125" s="274">
        <v>0.0</v>
      </c>
      <c r="Z125" s="274">
        <v>0.0</v>
      </c>
      <c r="AA125" s="274">
        <v>0.0</v>
      </c>
      <c r="AB125" s="274">
        <v>13.794659000000001</v>
      </c>
      <c r="AC125" s="274">
        <v>11.869209245172412</v>
      </c>
      <c r="AD125" s="274">
        <v>8.788652872758624</v>
      </c>
      <c r="AE125" s="274" t="e">
        <v>#NAME?</v>
      </c>
      <c r="AF125" s="274">
        <v>5.560457813793104</v>
      </c>
      <c r="AG125" s="274">
        <v>5.23621892586207</v>
      </c>
      <c r="AH125" s="274">
        <v>4.957507386206897</v>
      </c>
      <c r="AI125" s="318"/>
    </row>
    <row r="126" ht="14.25" customHeight="1" outlineLevel="1">
      <c r="A126" s="439" t="s">
        <v>1944</v>
      </c>
      <c r="B126" s="162"/>
      <c r="C126" s="162"/>
      <c r="D126" s="100"/>
      <c r="E126" s="162"/>
      <c r="F126" s="162"/>
      <c r="G126" s="162"/>
      <c r="H126" s="178"/>
      <c r="I126" s="178"/>
      <c r="J126" s="178"/>
      <c r="K126" s="178"/>
      <c r="L126" s="178"/>
      <c r="M126" s="178"/>
      <c r="N126" s="178"/>
      <c r="O126" s="178"/>
      <c r="P126" s="178"/>
      <c r="Q126" s="178"/>
      <c r="R126" s="178"/>
      <c r="S126" s="178"/>
      <c r="T126" s="178"/>
      <c r="U126" s="178"/>
      <c r="V126" s="178"/>
      <c r="W126" s="178"/>
      <c r="X126" s="178"/>
      <c r="Y126" s="178"/>
      <c r="Z126" s="178"/>
      <c r="AA126" s="178"/>
      <c r="AB126" s="178"/>
      <c r="AC126" s="178"/>
      <c r="AD126" s="178"/>
      <c r="AE126" s="178"/>
      <c r="AF126" s="178"/>
      <c r="AG126" s="178"/>
      <c r="AH126" s="178"/>
      <c r="AI126" s="100"/>
    </row>
    <row r="127" ht="14.25" customHeight="1" outlineLevel="3">
      <c r="A127" s="195"/>
      <c r="B127" s="201"/>
      <c r="C127" s="201"/>
      <c r="D127" s="201"/>
      <c r="E127" s="273" t="s">
        <v>1508</v>
      </c>
      <c r="F127" s="123" t="s">
        <v>135</v>
      </c>
      <c r="G127" s="123" t="s">
        <v>1509</v>
      </c>
      <c r="H127" s="274">
        <f>G*pkmwat*k*eewatpkm/100/T</f>
        <v>0</v>
      </c>
      <c r="I127" s="274">
        <f>G*pkmwat*k*eewatpkm/100/T</f>
        <v>0</v>
      </c>
      <c r="J127" s="274">
        <f>G*pkmwat*k*eewatpkm/100/T</f>
        <v>0</v>
      </c>
      <c r="K127" s="274">
        <f>G*pkmwat*k*eewatpkm/100/T</f>
        <v>0</v>
      </c>
      <c r="L127" s="274">
        <f>G*pkmwat*k*eewatpkm/100/T</f>
        <v>0</v>
      </c>
      <c r="M127" s="274">
        <f>G*pkmwat*k*eewatpkm/100/T</f>
        <v>0</v>
      </c>
      <c r="N127" s="274">
        <f>G*pkmwat*k*eewatpkm/100/T</f>
        <v>0</v>
      </c>
      <c r="O127" s="274">
        <f>G*pkmwat*k*eewatpkm/100/T</f>
        <v>0</v>
      </c>
      <c r="P127" s="274">
        <f>G*pkmwat*k*eewatpkm/100/T</f>
        <v>0</v>
      </c>
      <c r="Q127" s="274">
        <f>G*pkmwat*k*eewatpkm/100/T</f>
        <v>0</v>
      </c>
      <c r="R127" s="274">
        <f>G*pkmwat*k*eewatpkm/100/T</f>
        <v>0</v>
      </c>
      <c r="S127" s="274">
        <f>G*pkmwat*k*eewatpkm/100/T</f>
        <v>0</v>
      </c>
      <c r="T127" s="274">
        <f>G*pkmwat*k*eewatpkm/100/T</f>
        <v>0</v>
      </c>
      <c r="U127" s="274">
        <f>G*pkmwat*k*eewatpkm/100/T</f>
        <v>0</v>
      </c>
      <c r="V127" s="274">
        <f>G*pkmwat*k*eewatpkm/100/T</f>
        <v>0</v>
      </c>
      <c r="W127" s="274">
        <f>G*pkmwat*k*eewatpkm/100/T</f>
        <v>0</v>
      </c>
      <c r="X127" s="274">
        <f>G*pkmwat*k*eewatpkm/100/T</f>
        <v>0</v>
      </c>
      <c r="Y127" s="274">
        <f>G*pkmwat*k*eewatpkm/100/T</f>
        <v>0</v>
      </c>
      <c r="Z127" s="274">
        <f>G*pkmwat*k*eewatpkm/100/T</f>
        <v>0</v>
      </c>
      <c r="AA127" s="274">
        <f>G*pkmwat*k*eewatpkm/100/T</f>
        <v>0</v>
      </c>
      <c r="AB127" s="274">
        <f>G*pkmwat*k*eewatpkm/100/T</f>
        <v>0</v>
      </c>
      <c r="AC127" s="274">
        <f>G*pkmwat*k*eewatpkm/100/T</f>
        <v>0</v>
      </c>
      <c r="AD127" s="274">
        <f>G*pkmwat*k*eewatpkm/100/T</f>
        <v>0</v>
      </c>
      <c r="AE127" s="274">
        <f>G*pkmwat*k*eewatpkm/100/T</f>
        <v>0</v>
      </c>
      <c r="AF127" s="274">
        <f>G*pkmwat*k*eewatpkm/100/T</f>
        <v>0</v>
      </c>
      <c r="AG127" s="274">
        <f>G*pkmwat*k*eewatpkm/100/T</f>
        <v>0</v>
      </c>
      <c r="AH127" s="274">
        <f>G*pkmwat*k*eewatpkm/100/T</f>
        <v>0</v>
      </c>
      <c r="AI127" s="318"/>
    </row>
    <row r="128" ht="14.25" customHeight="1">
      <c r="A128" s="439" t="s">
        <v>1945</v>
      </c>
      <c r="B128" s="246"/>
      <c r="C128" s="246"/>
      <c r="D128" s="201"/>
      <c r="E128" s="162"/>
      <c r="F128" s="162"/>
      <c r="G128" s="162"/>
      <c r="H128" s="178"/>
      <c r="I128" s="178"/>
      <c r="J128" s="178"/>
      <c r="K128" s="178"/>
      <c r="L128" s="178"/>
      <c r="M128" s="178"/>
      <c r="N128" s="178"/>
      <c r="O128" s="178"/>
      <c r="P128" s="178"/>
      <c r="Q128" s="178"/>
      <c r="R128" s="178"/>
      <c r="S128" s="178"/>
      <c r="T128" s="178"/>
      <c r="U128" s="178"/>
      <c r="V128" s="178"/>
      <c r="W128" s="178"/>
      <c r="X128" s="178"/>
      <c r="Y128" s="178"/>
      <c r="Z128" s="178"/>
      <c r="AA128" s="178"/>
      <c r="AB128" s="178"/>
      <c r="AC128" s="178"/>
      <c r="AD128" s="178"/>
      <c r="AE128" s="178"/>
      <c r="AF128" s="178"/>
      <c r="AG128" s="178"/>
      <c r="AH128" s="178"/>
      <c r="AI128" s="162"/>
    </row>
    <row r="129" ht="14.25" customHeight="1" outlineLevel="1">
      <c r="A129" s="314"/>
      <c r="B129" s="393" t="s">
        <v>781</v>
      </c>
      <c r="C129" s="246"/>
      <c r="D129" s="201"/>
      <c r="E129" s="162"/>
      <c r="F129" s="162"/>
      <c r="G129" s="162"/>
      <c r="H129" s="178"/>
      <c r="I129" s="178"/>
      <c r="J129" s="178"/>
      <c r="K129" s="178"/>
      <c r="L129" s="178"/>
      <c r="M129" s="178"/>
      <c r="N129" s="178"/>
      <c r="O129" s="178"/>
      <c r="P129" s="178"/>
      <c r="Q129" s="178"/>
      <c r="R129" s="178"/>
      <c r="S129" s="178"/>
      <c r="T129" s="178"/>
      <c r="U129" s="178"/>
      <c r="V129" s="178"/>
      <c r="W129" s="178"/>
      <c r="X129" s="178"/>
      <c r="Y129" s="178"/>
      <c r="Z129" s="178"/>
      <c r="AA129" s="178"/>
      <c r="AB129" s="178"/>
      <c r="AC129" s="178"/>
      <c r="AD129" s="178"/>
      <c r="AE129" s="178"/>
      <c r="AF129" s="178"/>
      <c r="AG129" s="178"/>
      <c r="AH129" s="178"/>
      <c r="AI129" s="162"/>
    </row>
    <row r="130" ht="14.25" customHeight="1" outlineLevel="1">
      <c r="A130" s="326"/>
      <c r="B130" s="100"/>
      <c r="C130" s="201"/>
      <c r="D130" s="201"/>
      <c r="E130" s="299" t="s">
        <v>1946</v>
      </c>
      <c r="F130" s="123" t="s">
        <v>135</v>
      </c>
      <c r="G130" s="123" t="s">
        <v>1947</v>
      </c>
      <c r="H130" s="274">
        <f t="shared" ref="H130:AH130" si="3">SUM(H131:H134)</f>
        <v>0</v>
      </c>
      <c r="I130" s="274">
        <f t="shared" si="3"/>
        <v>0</v>
      </c>
      <c r="J130" s="274">
        <f t="shared" si="3"/>
        <v>0</v>
      </c>
      <c r="K130" s="274">
        <f t="shared" si="3"/>
        <v>0</v>
      </c>
      <c r="L130" s="274">
        <f t="shared" si="3"/>
        <v>0</v>
      </c>
      <c r="M130" s="274">
        <f t="shared" si="3"/>
        <v>0</v>
      </c>
      <c r="N130" s="274">
        <f t="shared" si="3"/>
        <v>0</v>
      </c>
      <c r="O130" s="274">
        <f t="shared" si="3"/>
        <v>0</v>
      </c>
      <c r="P130" s="274">
        <f t="shared" si="3"/>
        <v>0</v>
      </c>
      <c r="Q130" s="274">
        <f t="shared" si="3"/>
        <v>0</v>
      </c>
      <c r="R130" s="274">
        <f t="shared" si="3"/>
        <v>0</v>
      </c>
      <c r="S130" s="274">
        <f t="shared" si="3"/>
        <v>0</v>
      </c>
      <c r="T130" s="274">
        <f t="shared" si="3"/>
        <v>0</v>
      </c>
      <c r="U130" s="274">
        <f t="shared" si="3"/>
        <v>0</v>
      </c>
      <c r="V130" s="274">
        <f t="shared" si="3"/>
        <v>0</v>
      </c>
      <c r="W130" s="274">
        <f t="shared" si="3"/>
        <v>62.18341115</v>
      </c>
      <c r="X130" s="274">
        <f t="shared" si="3"/>
        <v>0</v>
      </c>
      <c r="Y130" s="274">
        <f t="shared" si="3"/>
        <v>0</v>
      </c>
      <c r="Z130" s="274">
        <f t="shared" si="3"/>
        <v>0</v>
      </c>
      <c r="AA130" s="274">
        <f t="shared" si="3"/>
        <v>0</v>
      </c>
      <c r="AB130" s="274">
        <f t="shared" si="3"/>
        <v>60.33885727</v>
      </c>
      <c r="AC130" s="274">
        <f t="shared" si="3"/>
        <v>46.20894982</v>
      </c>
      <c r="AD130" s="274">
        <f t="shared" si="3"/>
        <v>26.88060245</v>
      </c>
      <c r="AE130" s="274">
        <f t="shared" si="3"/>
        <v>17.02523364</v>
      </c>
      <c r="AF130" s="274">
        <f t="shared" si="3"/>
        <v>12.35172889</v>
      </c>
      <c r="AG130" s="274">
        <f t="shared" si="3"/>
        <v>9.626597005</v>
      </c>
      <c r="AH130" s="274">
        <f t="shared" si="3"/>
        <v>8.131418778</v>
      </c>
      <c r="AI130" s="125"/>
    </row>
    <row r="131" ht="14.25" customHeight="1" outlineLevel="1">
      <c r="A131" s="326"/>
      <c r="B131" s="201"/>
      <c r="C131" s="201"/>
      <c r="D131" s="201"/>
      <c r="E131" s="273" t="s">
        <v>1948</v>
      </c>
      <c r="F131" s="123" t="s">
        <v>135</v>
      </c>
      <c r="G131" s="123" t="s">
        <v>1949</v>
      </c>
      <c r="H131" s="274">
        <f t="array" ref="H131:AH131">(calcflqfvpc+calcfgplvpc+calcfhybgzlvpc+calcfhybessvpc)+calcflqfmot+(calcflqfbus+calcfgplbus)+calcflqfmobfer+calcflqfmobavd+calcflqfmobwat</f>
        <v>0</v>
      </c>
      <c r="I131" s="274">
        <v>0.0</v>
      </c>
      <c r="J131" s="274">
        <v>0.0</v>
      </c>
      <c r="K131" s="274">
        <v>0.0</v>
      </c>
      <c r="L131" s="274">
        <v>0.0</v>
      </c>
      <c r="M131" s="274">
        <v>0.0</v>
      </c>
      <c r="N131" s="274">
        <v>0.0</v>
      </c>
      <c r="O131" s="274">
        <v>0.0</v>
      </c>
      <c r="P131" s="274">
        <v>0.0</v>
      </c>
      <c r="Q131" s="274">
        <v>0.0</v>
      </c>
      <c r="R131" s="274">
        <v>0.0</v>
      </c>
      <c r="S131" s="274">
        <v>0.0</v>
      </c>
      <c r="T131" s="274">
        <v>0.0</v>
      </c>
      <c r="U131" s="274">
        <v>0.0</v>
      </c>
      <c r="V131" s="274">
        <v>0.0</v>
      </c>
      <c r="W131" s="274">
        <v>61.10286945148011</v>
      </c>
      <c r="X131" s="274">
        <v>0.0</v>
      </c>
      <c r="Y131" s="274">
        <v>0.0</v>
      </c>
      <c r="Z131" s="274">
        <v>0.0</v>
      </c>
      <c r="AA131" s="274">
        <v>0.0</v>
      </c>
      <c r="AB131" s="274">
        <v>58.82499533426714</v>
      </c>
      <c r="AC131" s="274">
        <v>42.46540252741085</v>
      </c>
      <c r="AD131" s="274">
        <v>21.489414712985763</v>
      </c>
      <c r="AE131" s="274">
        <v>10.257182785011384</v>
      </c>
      <c r="AF131" s="274">
        <v>4.967499126402861</v>
      </c>
      <c r="AG131" s="274">
        <v>2.35007665899425</v>
      </c>
      <c r="AH131" s="274">
        <v>0.5192684375432588</v>
      </c>
      <c r="AI131" s="125"/>
    </row>
    <row r="132" ht="14.25" customHeight="1" outlineLevel="1">
      <c r="A132" s="326"/>
      <c r="B132" s="201"/>
      <c r="C132" s="201"/>
      <c r="D132" s="201"/>
      <c r="E132" s="273" t="s">
        <v>1525</v>
      </c>
      <c r="F132" s="123" t="s">
        <v>135</v>
      </c>
      <c r="G132" s="123" t="s">
        <v>1950</v>
      </c>
      <c r="H132" s="274">
        <f t="array" ref="H132:AH132">(calcfngvvpc+calcfhybgazvpc)+calcfngvmot+calcfngvbus+calcfngvmobfer</f>
        <v>0</v>
      </c>
      <c r="I132" s="274">
        <v>0.0</v>
      </c>
      <c r="J132" s="274">
        <v>0.0</v>
      </c>
      <c r="K132" s="274">
        <v>0.0</v>
      </c>
      <c r="L132" s="274">
        <v>0.0</v>
      </c>
      <c r="M132" s="274">
        <v>0.0</v>
      </c>
      <c r="N132" s="274">
        <v>0.0</v>
      </c>
      <c r="O132" s="274">
        <v>0.0</v>
      </c>
      <c r="P132" s="274">
        <v>0.0</v>
      </c>
      <c r="Q132" s="274">
        <v>0.0</v>
      </c>
      <c r="R132" s="274">
        <v>0.0</v>
      </c>
      <c r="S132" s="274">
        <v>0.0</v>
      </c>
      <c r="T132" s="274">
        <v>0.0</v>
      </c>
      <c r="U132" s="274">
        <v>0.0</v>
      </c>
      <c r="V132" s="274">
        <v>0.0</v>
      </c>
      <c r="W132" s="274">
        <v>0.01954182425232262</v>
      </c>
      <c r="X132" s="274">
        <v>0.0</v>
      </c>
      <c r="Y132" s="274">
        <v>0.0</v>
      </c>
      <c r="Z132" s="274">
        <v>0.0</v>
      </c>
      <c r="AA132" s="274">
        <v>0.0</v>
      </c>
      <c r="AB132" s="274">
        <v>0.12875765318816396</v>
      </c>
      <c r="AC132" s="274">
        <v>0.11156385714592973</v>
      </c>
      <c r="AD132" s="274">
        <v>0.045159677882281715</v>
      </c>
      <c r="AE132" s="274">
        <v>0.021223788987059976</v>
      </c>
      <c r="AF132" s="274">
        <v>0.0</v>
      </c>
      <c r="AG132" s="274">
        <v>0.0</v>
      </c>
      <c r="AH132" s="274">
        <v>0.0</v>
      </c>
      <c r="AI132" s="125"/>
    </row>
    <row r="133" ht="14.25" customHeight="1" outlineLevel="1">
      <c r="A133" s="326"/>
      <c r="B133" s="201"/>
      <c r="C133" s="201"/>
      <c r="D133" s="201"/>
      <c r="E133" s="273" t="s">
        <v>1527</v>
      </c>
      <c r="F133" s="123" t="s">
        <v>135</v>
      </c>
      <c r="G133" s="123" t="s">
        <v>1951</v>
      </c>
      <c r="H133" s="274">
        <f t="array" ref="H133:AH133">calcfhydvpc+calcfhydbus+calcfhydmobfer</f>
        <v>0</v>
      </c>
      <c r="I133" s="274">
        <v>0.0</v>
      </c>
      <c r="J133" s="274">
        <v>0.0</v>
      </c>
      <c r="K133" s="274">
        <v>0.0</v>
      </c>
      <c r="L133" s="274">
        <v>0.0</v>
      </c>
      <c r="M133" s="274">
        <v>0.0</v>
      </c>
      <c r="N133" s="274">
        <v>0.0</v>
      </c>
      <c r="O133" s="274">
        <v>0.0</v>
      </c>
      <c r="P133" s="274">
        <v>0.0</v>
      </c>
      <c r="Q133" s="274">
        <v>0.0</v>
      </c>
      <c r="R133" s="274">
        <v>0.0</v>
      </c>
      <c r="S133" s="274">
        <v>0.0</v>
      </c>
      <c r="T133" s="274">
        <v>0.0</v>
      </c>
      <c r="U133" s="274">
        <v>0.0</v>
      </c>
      <c r="V133" s="274">
        <v>0.0</v>
      </c>
      <c r="W133" s="274">
        <v>0.0</v>
      </c>
      <c r="X133" s="274">
        <v>0.0</v>
      </c>
      <c r="Y133" s="274">
        <v>0.0</v>
      </c>
      <c r="Z133" s="274">
        <v>0.0</v>
      </c>
      <c r="AA133" s="274">
        <v>0.0</v>
      </c>
      <c r="AB133" s="274">
        <v>0.0</v>
      </c>
      <c r="AC133" s="274">
        <v>0.0</v>
      </c>
      <c r="AD133" s="274">
        <v>0.0</v>
      </c>
      <c r="AE133" s="274">
        <v>0.0</v>
      </c>
      <c r="AF133" s="274">
        <v>0.0</v>
      </c>
      <c r="AG133" s="274">
        <v>0.0</v>
      </c>
      <c r="AH133" s="274">
        <v>0.0</v>
      </c>
      <c r="AI133" s="125"/>
    </row>
    <row r="134" ht="14.25" customHeight="1" outlineLevel="1">
      <c r="A134" s="326"/>
      <c r="B134" s="201"/>
      <c r="C134" s="201"/>
      <c r="D134" s="201"/>
      <c r="E134" s="273" t="s">
        <v>1529</v>
      </c>
      <c r="F134" s="123" t="s">
        <v>135</v>
      </c>
      <c r="G134" s="123" t="s">
        <v>1952</v>
      </c>
      <c r="H134" s="274">
        <f t="array" ref="H134:AH134">(calcfelevpc+calcfelehybvpc)+calcfelemot+calcfelebus+calcfelemobfer</f>
        <v>0</v>
      </c>
      <c r="I134" s="274">
        <v>0.0</v>
      </c>
      <c r="J134" s="274">
        <v>0.0</v>
      </c>
      <c r="K134" s="274">
        <v>0.0</v>
      </c>
      <c r="L134" s="274">
        <v>0.0</v>
      </c>
      <c r="M134" s="274">
        <v>0.0</v>
      </c>
      <c r="N134" s="274">
        <v>0.0</v>
      </c>
      <c r="O134" s="274">
        <v>0.0</v>
      </c>
      <c r="P134" s="274">
        <v>0.0</v>
      </c>
      <c r="Q134" s="274">
        <v>0.0</v>
      </c>
      <c r="R134" s="274">
        <v>0.0</v>
      </c>
      <c r="S134" s="274">
        <v>0.0</v>
      </c>
      <c r="T134" s="274">
        <v>0.0</v>
      </c>
      <c r="U134" s="274">
        <v>0.0</v>
      </c>
      <c r="V134" s="274">
        <v>0.0</v>
      </c>
      <c r="W134" s="274">
        <v>1.0609998784980572</v>
      </c>
      <c r="X134" s="274">
        <v>0.0</v>
      </c>
      <c r="Y134" s="274">
        <v>0.0</v>
      </c>
      <c r="Z134" s="274">
        <v>0.0</v>
      </c>
      <c r="AA134" s="274">
        <v>0.0</v>
      </c>
      <c r="AB134" s="274">
        <v>1.3851042821719657</v>
      </c>
      <c r="AC134" s="274">
        <v>3.6319834331408405</v>
      </c>
      <c r="AD134" s="274">
        <v>5.346028055010284</v>
      </c>
      <c r="AE134" s="274">
        <v>6.746827061529863</v>
      </c>
      <c r="AF134" s="274">
        <v>7.384229765178112</v>
      </c>
      <c r="AG134" s="274">
        <v>7.276520346163258</v>
      </c>
      <c r="AH134" s="274">
        <v>7.612150340841165</v>
      </c>
      <c r="AI134" s="318"/>
    </row>
    <row r="135" ht="13.5" customHeight="1" outlineLevel="1">
      <c r="A135" s="100"/>
      <c r="B135" s="393" t="s">
        <v>1953</v>
      </c>
      <c r="C135" s="162"/>
      <c r="D135" s="201"/>
      <c r="E135" s="162"/>
      <c r="F135" s="162"/>
      <c r="G135" s="162"/>
      <c r="H135" s="178"/>
      <c r="I135" s="178"/>
      <c r="J135" s="178"/>
      <c r="K135" s="178"/>
      <c r="L135" s="178"/>
      <c r="M135" s="178"/>
      <c r="N135" s="178"/>
      <c r="O135" s="178"/>
      <c r="P135" s="178"/>
      <c r="Q135" s="178"/>
      <c r="R135" s="178"/>
      <c r="S135" s="178"/>
      <c r="T135" s="178"/>
      <c r="U135" s="178"/>
      <c r="V135" s="178"/>
      <c r="W135" s="178"/>
      <c r="X135" s="178"/>
      <c r="Y135" s="178"/>
      <c r="Z135" s="178"/>
      <c r="AA135" s="178"/>
      <c r="AB135" s="178"/>
      <c r="AC135" s="178"/>
      <c r="AD135" s="178"/>
      <c r="AE135" s="178"/>
      <c r="AF135" s="178"/>
      <c r="AG135" s="178"/>
      <c r="AH135" s="178"/>
      <c r="AI135" s="336"/>
    </row>
    <row r="136" ht="14.25" customHeight="1" outlineLevel="1">
      <c r="A136" s="390"/>
      <c r="B136" s="394"/>
      <c r="C136" s="393"/>
      <c r="D136" s="394"/>
      <c r="E136" s="299" t="s">
        <v>1522</v>
      </c>
      <c r="F136" s="123" t="s">
        <v>135</v>
      </c>
      <c r="G136" s="123" t="s">
        <v>1523</v>
      </c>
      <c r="H136" s="274">
        <f t="shared" ref="H136:AH136" si="4">SUM(H137:H140)</f>
        <v>0</v>
      </c>
      <c r="I136" s="274">
        <f t="shared" si="4"/>
        <v>0</v>
      </c>
      <c r="J136" s="274">
        <f t="shared" si="4"/>
        <v>0</v>
      </c>
      <c r="K136" s="274">
        <f t="shared" si="4"/>
        <v>0</v>
      </c>
      <c r="L136" s="274">
        <f t="shared" si="4"/>
        <v>0</v>
      </c>
      <c r="M136" s="274">
        <f t="shared" si="4"/>
        <v>0</v>
      </c>
      <c r="N136" s="274">
        <f t="shared" si="4"/>
        <v>0</v>
      </c>
      <c r="O136" s="274">
        <f t="shared" si="4"/>
        <v>0</v>
      </c>
      <c r="P136" s="274">
        <f t="shared" si="4"/>
        <v>0</v>
      </c>
      <c r="Q136" s="274">
        <f t="shared" si="4"/>
        <v>0</v>
      </c>
      <c r="R136" s="274">
        <f t="shared" si="4"/>
        <v>0</v>
      </c>
      <c r="S136" s="274">
        <f t="shared" si="4"/>
        <v>0</v>
      </c>
      <c r="T136" s="274">
        <f t="shared" si="4"/>
        <v>0</v>
      </c>
      <c r="U136" s="274">
        <f t="shared" si="4"/>
        <v>0</v>
      </c>
      <c r="V136" s="274">
        <f t="shared" si="4"/>
        <v>0</v>
      </c>
      <c r="W136" s="274">
        <f t="shared" si="4"/>
        <v>59.30546039</v>
      </c>
      <c r="X136" s="274" t="str">
        <f t="shared" si="4"/>
        <v>#DIV/0!</v>
      </c>
      <c r="Y136" s="274" t="str">
        <f t="shared" si="4"/>
        <v>#DIV/0!</v>
      </c>
      <c r="Z136" s="274" t="str">
        <f t="shared" si="4"/>
        <v>#DIV/0!</v>
      </c>
      <c r="AA136" s="274" t="str">
        <f t="shared" si="4"/>
        <v>#DIV/0!</v>
      </c>
      <c r="AB136" s="274">
        <f t="shared" si="4"/>
        <v>58.85031142</v>
      </c>
      <c r="AC136" s="274">
        <f t="shared" si="4"/>
        <v>45.36526251</v>
      </c>
      <c r="AD136" s="274">
        <f t="shared" si="4"/>
        <v>26.56224557</v>
      </c>
      <c r="AE136" s="274">
        <f t="shared" si="4"/>
        <v>16.92912173</v>
      </c>
      <c r="AF136" s="274">
        <f t="shared" si="4"/>
        <v>12.35172889</v>
      </c>
      <c r="AG136" s="274">
        <f t="shared" si="4"/>
        <v>9.626597005</v>
      </c>
      <c r="AH136" s="274">
        <f t="shared" si="4"/>
        <v>8.131418778</v>
      </c>
      <c r="AI136" s="125"/>
    </row>
    <row r="137" ht="14.25" customHeight="1" outlineLevel="1">
      <c r="A137" s="390"/>
      <c r="B137" s="394"/>
      <c r="C137" s="393"/>
      <c r="D137" s="394"/>
      <c r="E137" s="273" t="s">
        <v>1513</v>
      </c>
      <c r="F137" s="123" t="s">
        <v>135</v>
      </c>
      <c r="G137" s="123" t="s">
        <v>1524</v>
      </c>
      <c r="H137" s="446">
        <f>IFERROR(__xludf.DUMMYFUNCTION("IF(SINGLE(lqfcfmob)&lt;&gt;"""",SINGLE(lqfcfmob),SINGLE(callqfcfmob))"),0.0)</f>
        <v>0</v>
      </c>
      <c r="I137" s="446">
        <f>IFERROR(__xludf.DUMMYFUNCTION("IF(SINGLE(lqfcfmob)&lt;&gt;"""",SINGLE(lqfcfmob),SINGLE(callqfcfmob))"),0.0)</f>
        <v>0</v>
      </c>
      <c r="J137" s="446">
        <f>IFERROR(__xludf.DUMMYFUNCTION("IF(SINGLE(lqfcfmob)&lt;&gt;"""",SINGLE(lqfcfmob),SINGLE(callqfcfmob))"),0.0)</f>
        <v>0</v>
      </c>
      <c r="K137" s="446">
        <f>IFERROR(__xludf.DUMMYFUNCTION("IF(SINGLE(lqfcfmob)&lt;&gt;"""",SINGLE(lqfcfmob),SINGLE(callqfcfmob))"),0.0)</f>
        <v>0</v>
      </c>
      <c r="L137" s="446">
        <f>IFERROR(__xludf.DUMMYFUNCTION("IF(SINGLE(lqfcfmob)&lt;&gt;"""",SINGLE(lqfcfmob),SINGLE(callqfcfmob))"),0.0)</f>
        <v>0</v>
      </c>
      <c r="M137" s="446">
        <f>IFERROR(__xludf.DUMMYFUNCTION("IF(SINGLE(lqfcfmob)&lt;&gt;"""",SINGLE(lqfcfmob),SINGLE(callqfcfmob))"),0.0)</f>
        <v>0</v>
      </c>
      <c r="N137" s="446">
        <f>IFERROR(__xludf.DUMMYFUNCTION("IF(SINGLE(lqfcfmob)&lt;&gt;"""",SINGLE(lqfcfmob),SINGLE(callqfcfmob))"),0.0)</f>
        <v>0</v>
      </c>
      <c r="O137" s="446">
        <f>IFERROR(__xludf.DUMMYFUNCTION("IF(SINGLE(lqfcfmob)&lt;&gt;"""",SINGLE(lqfcfmob),SINGLE(callqfcfmob))"),0.0)</f>
        <v>0</v>
      </c>
      <c r="P137" s="446">
        <f>IFERROR(__xludf.DUMMYFUNCTION("IF(SINGLE(lqfcfmob)&lt;&gt;"""",SINGLE(lqfcfmob),SINGLE(callqfcfmob))"),0.0)</f>
        <v>0</v>
      </c>
      <c r="Q137" s="446">
        <f>IFERROR(__xludf.DUMMYFUNCTION("IF(SINGLE(lqfcfmob)&lt;&gt;"""",SINGLE(lqfcfmob),SINGLE(callqfcfmob))"),0.0)</f>
        <v>0</v>
      </c>
      <c r="R137" s="446">
        <f>IFERROR(__xludf.DUMMYFUNCTION("IF(SINGLE(lqfcfmob)&lt;&gt;"""",SINGLE(lqfcfmob),SINGLE(callqfcfmob))"),0.0)</f>
        <v>0</v>
      </c>
      <c r="S137" s="446">
        <f>IFERROR(__xludf.DUMMYFUNCTION("IF(SINGLE(lqfcfmob)&lt;&gt;"""",SINGLE(lqfcfmob),SINGLE(callqfcfmob))"),0.0)</f>
        <v>0</v>
      </c>
      <c r="T137" s="446">
        <f>IFERROR(__xludf.DUMMYFUNCTION("IF(SINGLE(lqfcfmob)&lt;&gt;"""",SINGLE(lqfcfmob),SINGLE(callqfcfmob))"),0.0)</f>
        <v>0</v>
      </c>
      <c r="U137" s="446">
        <f>IFERROR(__xludf.DUMMYFUNCTION("IF(SINGLE(lqfcfmob)&lt;&gt;"""",SINGLE(lqfcfmob),SINGLE(callqfcfmob))"),0.0)</f>
        <v>0</v>
      </c>
      <c r="V137" s="446">
        <f>IFERROR(__xludf.DUMMYFUNCTION("IF(SINGLE(lqfcfmob)&lt;&gt;"""",SINGLE(lqfcfmob),SINGLE(callqfcfmob))"),0.0)</f>
        <v>0</v>
      </c>
      <c r="W137" s="446">
        <f>IFERROR(__xludf.DUMMYFUNCTION("IF(SINGLE(lqfcfmob)&lt;&gt;"""",SINGLE(lqfcfmob),SINGLE(callqfcfmob))"),58.1030169105079)</f>
        <v>58.10301691</v>
      </c>
      <c r="X137" s="446" t="str">
        <f>IFERROR(__xludf.DUMMYFUNCTION("IF(SINGLE(lqfcfmob)&lt;&gt;"""",SINGLE(lqfcfmob),SINGLE(callqfcfmob))"),"#DIV/0!")</f>
        <v>#DIV/0!</v>
      </c>
      <c r="Y137" s="446" t="str">
        <f>IFERROR(__xludf.DUMMYFUNCTION("IF(SINGLE(lqfcfmob)&lt;&gt;"""",SINGLE(lqfcfmob),SINGLE(callqfcfmob))"),"#DIV/0!")</f>
        <v>#DIV/0!</v>
      </c>
      <c r="Z137" s="446" t="str">
        <f>IFERROR(__xludf.DUMMYFUNCTION("IF(SINGLE(lqfcfmob)&lt;&gt;"""",SINGLE(lqfcfmob),SINGLE(callqfcfmob))"),"#DIV/0!")</f>
        <v>#DIV/0!</v>
      </c>
      <c r="AA137" s="446" t="str">
        <f>IFERROR(__xludf.DUMMYFUNCTION("IF(SINGLE(lqfcfmob)&lt;&gt;"""",SINGLE(lqfcfmob),SINGLE(callqfcfmob))"),"#DIV/0!")</f>
        <v>#DIV/0!</v>
      </c>
      <c r="AB137" s="446">
        <f>IFERROR(__xludf.DUMMYFUNCTION("IF(SINGLE(lqfcfmob)&lt;&gt;"""",SINGLE(lqfcfmob),SINGLE(callqfcfmob))"),57.3617710802568)</f>
        <v>57.36177108</v>
      </c>
      <c r="AC137" s="274">
        <f t="shared" ref="AC137:AE137" si="5">AC131*IF(OR($AB137=0,$AB131=0),1,1+($AB137/$AB131-1)*($AF$1-AC$1)/($AF$1-$AB$1))</f>
        <v>41.67318308</v>
      </c>
      <c r="AD137" s="274">
        <f t="shared" si="5"/>
        <v>21.22214879</v>
      </c>
      <c r="AE137" s="274">
        <f t="shared" si="5"/>
        <v>10.193398</v>
      </c>
      <c r="AF137" s="446">
        <f>callqfcfmob</f>
        <v>4.967499126</v>
      </c>
      <c r="AG137" s="446">
        <f>callqfcfmob</f>
        <v>2.350076659</v>
      </c>
      <c r="AH137" s="446">
        <f>callqfcfmob</f>
        <v>0.5192684375</v>
      </c>
      <c r="AI137" s="125"/>
    </row>
    <row r="138" ht="14.25" customHeight="1" outlineLevel="1">
      <c r="A138" s="390"/>
      <c r="B138" s="394"/>
      <c r="C138" s="393"/>
      <c r="D138" s="394"/>
      <c r="E138" s="273" t="s">
        <v>1525</v>
      </c>
      <c r="F138" s="123" t="s">
        <v>135</v>
      </c>
      <c r="G138" s="123" t="s">
        <v>1526</v>
      </c>
      <c r="H138" s="446">
        <f>IFERROR(__xludf.DUMMYFUNCTION("IF(SINGLE(gazcfmob)&lt;&gt;"""",SINGLE(gazcfmob),SINGLE(calgazcfmob))"),0.0)</f>
        <v>0</v>
      </c>
      <c r="I138" s="446">
        <f>IFERROR(__xludf.DUMMYFUNCTION("IF(SINGLE(gazcfmob)&lt;&gt;"""",SINGLE(gazcfmob),SINGLE(calgazcfmob))"),0.0)</f>
        <v>0</v>
      </c>
      <c r="J138" s="446">
        <f>IFERROR(__xludf.DUMMYFUNCTION("IF(SINGLE(gazcfmob)&lt;&gt;"""",SINGLE(gazcfmob),SINGLE(calgazcfmob))"),0.0)</f>
        <v>0</v>
      </c>
      <c r="K138" s="446">
        <f>IFERROR(__xludf.DUMMYFUNCTION("IF(SINGLE(gazcfmob)&lt;&gt;"""",SINGLE(gazcfmob),SINGLE(calgazcfmob))"),0.0)</f>
        <v>0</v>
      </c>
      <c r="L138" s="446">
        <f>IFERROR(__xludf.DUMMYFUNCTION("IF(SINGLE(gazcfmob)&lt;&gt;"""",SINGLE(gazcfmob),SINGLE(calgazcfmob))"),0.0)</f>
        <v>0</v>
      </c>
      <c r="M138" s="446">
        <f>IFERROR(__xludf.DUMMYFUNCTION("IF(SINGLE(gazcfmob)&lt;&gt;"""",SINGLE(gazcfmob),SINGLE(calgazcfmob))"),0.0)</f>
        <v>0</v>
      </c>
      <c r="N138" s="446">
        <f>IFERROR(__xludf.DUMMYFUNCTION("IF(SINGLE(gazcfmob)&lt;&gt;"""",SINGLE(gazcfmob),SINGLE(calgazcfmob))"),0.0)</f>
        <v>0</v>
      </c>
      <c r="O138" s="446">
        <f>IFERROR(__xludf.DUMMYFUNCTION("IF(SINGLE(gazcfmob)&lt;&gt;"""",SINGLE(gazcfmob),SINGLE(calgazcfmob))"),0.0)</f>
        <v>0</v>
      </c>
      <c r="P138" s="446">
        <f>IFERROR(__xludf.DUMMYFUNCTION("IF(SINGLE(gazcfmob)&lt;&gt;"""",SINGLE(gazcfmob),SINGLE(calgazcfmob))"),0.0)</f>
        <v>0</v>
      </c>
      <c r="Q138" s="446">
        <f>IFERROR(__xludf.DUMMYFUNCTION("IF(SINGLE(gazcfmob)&lt;&gt;"""",SINGLE(gazcfmob),SINGLE(calgazcfmob))"),0.0)</f>
        <v>0</v>
      </c>
      <c r="R138" s="446">
        <f>IFERROR(__xludf.DUMMYFUNCTION("IF(SINGLE(gazcfmob)&lt;&gt;"""",SINGLE(gazcfmob),SINGLE(calgazcfmob))"),0.0)</f>
        <v>0</v>
      </c>
      <c r="S138" s="446">
        <f>IFERROR(__xludf.DUMMYFUNCTION("IF(SINGLE(gazcfmob)&lt;&gt;"""",SINGLE(gazcfmob),SINGLE(calgazcfmob))"),0.0)</f>
        <v>0</v>
      </c>
      <c r="T138" s="446">
        <f>IFERROR(__xludf.DUMMYFUNCTION("IF(SINGLE(gazcfmob)&lt;&gt;"""",SINGLE(gazcfmob),SINGLE(calgazcfmob))"),0.0)</f>
        <v>0</v>
      </c>
      <c r="U138" s="446">
        <f>IFERROR(__xludf.DUMMYFUNCTION("IF(SINGLE(gazcfmob)&lt;&gt;"""",SINGLE(gazcfmob),SINGLE(calgazcfmob))"),0.0)</f>
        <v>0</v>
      </c>
      <c r="V138" s="446">
        <f>IFERROR(__xludf.DUMMYFUNCTION("IF(SINGLE(gazcfmob)&lt;&gt;"""",SINGLE(gazcfmob),SINGLE(calgazcfmob))"),0.0)</f>
        <v>0</v>
      </c>
      <c r="W138" s="446">
        <f>IFERROR(__xludf.DUMMYFUNCTION("IF(SINGLE(gazcfmob)&lt;&gt;"""",SINGLE(gazcfmob),SINGLE(calgazcfmob))"),0.0317243571278785)</f>
        <v>0.03172435713</v>
      </c>
      <c r="X138" s="446" t="str">
        <f>IFERROR(__xludf.DUMMYFUNCTION("IF(SINGLE(gazcfmob)&lt;&gt;"""",SINGLE(gazcfmob),SINGLE(calgazcfmob))"),"#DIV/0!")</f>
        <v>#DIV/0!</v>
      </c>
      <c r="Y138" s="446" t="str">
        <f>IFERROR(__xludf.DUMMYFUNCTION("IF(SINGLE(gazcfmob)&lt;&gt;"""",SINGLE(gazcfmob),SINGLE(calgazcfmob))"),"#DIV/0!")</f>
        <v>#DIV/0!</v>
      </c>
      <c r="Z138" s="446" t="str">
        <f>IFERROR(__xludf.DUMMYFUNCTION("IF(SINGLE(gazcfmob)&lt;&gt;"""",SINGLE(gazcfmob),SINGLE(calgazcfmob))"),"#DIV/0!")</f>
        <v>#DIV/0!</v>
      </c>
      <c r="AA138" s="446" t="str">
        <f>IFERROR(__xludf.DUMMYFUNCTION("IF(SINGLE(gazcfmob)&lt;&gt;"""",SINGLE(gazcfmob),SINGLE(calgazcfmob))"),"#DIV/0!")</f>
        <v>#DIV/0!</v>
      </c>
      <c r="AB138" s="446">
        <f>IFERROR(__xludf.DUMMYFUNCTION("IF(SINGLE(gazcfmob)&lt;&gt;"""",SINGLE(gazcfmob),SINGLE(calgazcfmob))"),0.130025633658371)</f>
        <v>0.1300256337</v>
      </c>
      <c r="AC138" s="274">
        <f t="shared" ref="AC138:AE138" si="6">AC132*IF(OR($AB138=0,$AB132=0),1,1+($AB138/$AB132-1)*($AF$1-AC$1)/($AF$1-$AB$1))</f>
        <v>0.1123878516</v>
      </c>
      <c r="AD138" s="274">
        <f t="shared" si="6"/>
        <v>0.04538203977</v>
      </c>
      <c r="AE138" s="274">
        <f t="shared" si="6"/>
        <v>0.02127604093</v>
      </c>
      <c r="AF138" s="446">
        <f>calgazcfmob</f>
        <v>0</v>
      </c>
      <c r="AG138" s="446">
        <f>calgazcfmob</f>
        <v>0</v>
      </c>
      <c r="AH138" s="446">
        <f>calgazcfmob</f>
        <v>0</v>
      </c>
      <c r="AI138" s="125"/>
    </row>
    <row r="139" ht="14.25" customHeight="1" outlineLevel="1">
      <c r="A139" s="390"/>
      <c r="B139" s="394"/>
      <c r="C139" s="393"/>
      <c r="D139" s="394"/>
      <c r="E139" s="273" t="s">
        <v>1527</v>
      </c>
      <c r="F139" s="123" t="s">
        <v>135</v>
      </c>
      <c r="G139" s="123" t="s">
        <v>1528</v>
      </c>
      <c r="H139" s="446">
        <f>IFERROR(__xludf.DUMMYFUNCTION("IF(SINGLE(hydcfmob)&lt;&gt;"""",SINGLE(hydcfmob),SINGLE(calhydcfmob))"),0.0)</f>
        <v>0</v>
      </c>
      <c r="I139" s="446">
        <f>IFERROR(__xludf.DUMMYFUNCTION("IF(SINGLE(hydcfmob)&lt;&gt;"""",SINGLE(hydcfmob),SINGLE(calhydcfmob))"),0.0)</f>
        <v>0</v>
      </c>
      <c r="J139" s="446">
        <f>IFERROR(__xludf.DUMMYFUNCTION("IF(SINGLE(hydcfmob)&lt;&gt;"""",SINGLE(hydcfmob),SINGLE(calhydcfmob))"),0.0)</f>
        <v>0</v>
      </c>
      <c r="K139" s="446">
        <f>IFERROR(__xludf.DUMMYFUNCTION("IF(SINGLE(hydcfmob)&lt;&gt;"""",SINGLE(hydcfmob),SINGLE(calhydcfmob))"),0.0)</f>
        <v>0</v>
      </c>
      <c r="L139" s="446">
        <f>IFERROR(__xludf.DUMMYFUNCTION("IF(SINGLE(hydcfmob)&lt;&gt;"""",SINGLE(hydcfmob),SINGLE(calhydcfmob))"),0.0)</f>
        <v>0</v>
      </c>
      <c r="M139" s="446">
        <f>IFERROR(__xludf.DUMMYFUNCTION("IF(SINGLE(hydcfmob)&lt;&gt;"""",SINGLE(hydcfmob),SINGLE(calhydcfmob))"),0.0)</f>
        <v>0</v>
      </c>
      <c r="N139" s="446">
        <f>IFERROR(__xludf.DUMMYFUNCTION("IF(SINGLE(hydcfmob)&lt;&gt;"""",SINGLE(hydcfmob),SINGLE(calhydcfmob))"),0.0)</f>
        <v>0</v>
      </c>
      <c r="O139" s="446">
        <f>IFERROR(__xludf.DUMMYFUNCTION("IF(SINGLE(hydcfmob)&lt;&gt;"""",SINGLE(hydcfmob),SINGLE(calhydcfmob))"),0.0)</f>
        <v>0</v>
      </c>
      <c r="P139" s="446">
        <f>IFERROR(__xludf.DUMMYFUNCTION("IF(SINGLE(hydcfmob)&lt;&gt;"""",SINGLE(hydcfmob),SINGLE(calhydcfmob))"),0.0)</f>
        <v>0</v>
      </c>
      <c r="Q139" s="446">
        <f>IFERROR(__xludf.DUMMYFUNCTION("IF(SINGLE(hydcfmob)&lt;&gt;"""",SINGLE(hydcfmob),SINGLE(calhydcfmob))"),0.0)</f>
        <v>0</v>
      </c>
      <c r="R139" s="446">
        <f>IFERROR(__xludf.DUMMYFUNCTION("IF(SINGLE(hydcfmob)&lt;&gt;"""",SINGLE(hydcfmob),SINGLE(calhydcfmob))"),0.0)</f>
        <v>0</v>
      </c>
      <c r="S139" s="446">
        <f>IFERROR(__xludf.DUMMYFUNCTION("IF(SINGLE(hydcfmob)&lt;&gt;"""",SINGLE(hydcfmob),SINGLE(calhydcfmob))"),0.0)</f>
        <v>0</v>
      </c>
      <c r="T139" s="446">
        <f>IFERROR(__xludf.DUMMYFUNCTION("IF(SINGLE(hydcfmob)&lt;&gt;"""",SINGLE(hydcfmob),SINGLE(calhydcfmob))"),0.0)</f>
        <v>0</v>
      </c>
      <c r="U139" s="446">
        <f>IFERROR(__xludf.DUMMYFUNCTION("IF(SINGLE(hydcfmob)&lt;&gt;"""",SINGLE(hydcfmob),SINGLE(calhydcfmob))"),0.0)</f>
        <v>0</v>
      </c>
      <c r="V139" s="446">
        <f>IFERROR(__xludf.DUMMYFUNCTION("IF(SINGLE(hydcfmob)&lt;&gt;"""",SINGLE(hydcfmob),SINGLE(calhydcfmob))"),0.0)</f>
        <v>0</v>
      </c>
      <c r="W139" s="446">
        <f>IFERROR(__xludf.DUMMYFUNCTION("IF(SINGLE(hydcfmob)&lt;&gt;"""",SINGLE(hydcfmob),SINGLE(calhydcfmob))"),0.0)</f>
        <v>0</v>
      </c>
      <c r="X139" s="446" t="str">
        <f>IFERROR(__xludf.DUMMYFUNCTION("IF(SINGLE(hydcfmob)&lt;&gt;"""",SINGLE(hydcfmob),SINGLE(calhydcfmob))"),"#DIV/0!")</f>
        <v>#DIV/0!</v>
      </c>
      <c r="Y139" s="446" t="str">
        <f>IFERROR(__xludf.DUMMYFUNCTION("IF(SINGLE(hydcfmob)&lt;&gt;"""",SINGLE(hydcfmob),SINGLE(calhydcfmob))"),"#DIV/0!")</f>
        <v>#DIV/0!</v>
      </c>
      <c r="Z139" s="446" t="str">
        <f>IFERROR(__xludf.DUMMYFUNCTION("IF(SINGLE(hydcfmob)&lt;&gt;"""",SINGLE(hydcfmob),SINGLE(calhydcfmob))"),"#DIV/0!")</f>
        <v>#DIV/0!</v>
      </c>
      <c r="AA139" s="446" t="str">
        <f>IFERROR(__xludf.DUMMYFUNCTION("IF(SINGLE(hydcfmob)&lt;&gt;"""",SINGLE(hydcfmob),SINGLE(calhydcfmob))"),"#DIV/0!")</f>
        <v>#DIV/0!</v>
      </c>
      <c r="AB139" s="446">
        <f>IFERROR(__xludf.DUMMYFUNCTION("IF(SINGLE(hydcfmob)&lt;&gt;"""",SINGLE(hydcfmob),SINGLE(calhydcfmob))"),0.0)</f>
        <v>0</v>
      </c>
      <c r="AC139" s="274">
        <f t="shared" ref="AC139:AE139" si="7">AC133*IF(OR($AB139=0,$AB133=0),1,1+($AB139/$AB133-1)*($AF$1-AC$1)/($AF$1-$AB$1))</f>
        <v>0</v>
      </c>
      <c r="AD139" s="274">
        <f t="shared" si="7"/>
        <v>0</v>
      </c>
      <c r="AE139" s="274">
        <f t="shared" si="7"/>
        <v>0</v>
      </c>
      <c r="AF139" s="446">
        <f>calhydcfmob</f>
        <v>0</v>
      </c>
      <c r="AG139" s="446">
        <f>calhydcfmob</f>
        <v>0</v>
      </c>
      <c r="AH139" s="446">
        <f>calhydcfmob</f>
        <v>0</v>
      </c>
      <c r="AI139" s="125"/>
    </row>
    <row r="140" ht="14.25" customHeight="1" outlineLevel="1">
      <c r="A140" s="390"/>
      <c r="B140" s="394"/>
      <c r="C140" s="393"/>
      <c r="D140" s="394"/>
      <c r="E140" s="273" t="s">
        <v>1529</v>
      </c>
      <c r="F140" s="123" t="s">
        <v>135</v>
      </c>
      <c r="G140" s="123" t="s">
        <v>1530</v>
      </c>
      <c r="H140" s="446">
        <f>IFERROR(__xludf.DUMMYFUNCTION("IF(SINGLE(elccfmob)&lt;&gt;"""",SINGLE(elccfmob),SINGLE(calelccfmob))"),0.0)</f>
        <v>0</v>
      </c>
      <c r="I140" s="446">
        <f>IFERROR(__xludf.DUMMYFUNCTION("IF(SINGLE(elccfmob)&lt;&gt;"""",SINGLE(elccfmob),SINGLE(calelccfmob))"),0.0)</f>
        <v>0</v>
      </c>
      <c r="J140" s="446">
        <f>IFERROR(__xludf.DUMMYFUNCTION("IF(SINGLE(elccfmob)&lt;&gt;"""",SINGLE(elccfmob),SINGLE(calelccfmob))"),0.0)</f>
        <v>0</v>
      </c>
      <c r="K140" s="446">
        <f>IFERROR(__xludf.DUMMYFUNCTION("IF(SINGLE(elccfmob)&lt;&gt;"""",SINGLE(elccfmob),SINGLE(calelccfmob))"),0.0)</f>
        <v>0</v>
      </c>
      <c r="L140" s="446">
        <f>IFERROR(__xludf.DUMMYFUNCTION("IF(SINGLE(elccfmob)&lt;&gt;"""",SINGLE(elccfmob),SINGLE(calelccfmob))"),0.0)</f>
        <v>0</v>
      </c>
      <c r="M140" s="446">
        <f>IFERROR(__xludf.DUMMYFUNCTION("IF(SINGLE(elccfmob)&lt;&gt;"""",SINGLE(elccfmob),SINGLE(calelccfmob))"),0.0)</f>
        <v>0</v>
      </c>
      <c r="N140" s="446">
        <f>IFERROR(__xludf.DUMMYFUNCTION("IF(SINGLE(elccfmob)&lt;&gt;"""",SINGLE(elccfmob),SINGLE(calelccfmob))"),0.0)</f>
        <v>0</v>
      </c>
      <c r="O140" s="446">
        <f>IFERROR(__xludf.DUMMYFUNCTION("IF(SINGLE(elccfmob)&lt;&gt;"""",SINGLE(elccfmob),SINGLE(calelccfmob))"),0.0)</f>
        <v>0</v>
      </c>
      <c r="P140" s="446">
        <f>IFERROR(__xludf.DUMMYFUNCTION("IF(SINGLE(elccfmob)&lt;&gt;"""",SINGLE(elccfmob),SINGLE(calelccfmob))"),0.0)</f>
        <v>0</v>
      </c>
      <c r="Q140" s="446">
        <f>IFERROR(__xludf.DUMMYFUNCTION("IF(SINGLE(elccfmob)&lt;&gt;"""",SINGLE(elccfmob),SINGLE(calelccfmob))"),0.0)</f>
        <v>0</v>
      </c>
      <c r="R140" s="446">
        <f>IFERROR(__xludf.DUMMYFUNCTION("IF(SINGLE(elccfmob)&lt;&gt;"""",SINGLE(elccfmob),SINGLE(calelccfmob))"),0.0)</f>
        <v>0</v>
      </c>
      <c r="S140" s="446">
        <f>IFERROR(__xludf.DUMMYFUNCTION("IF(SINGLE(elccfmob)&lt;&gt;"""",SINGLE(elccfmob),SINGLE(calelccfmob))"),0.0)</f>
        <v>0</v>
      </c>
      <c r="T140" s="446">
        <f>IFERROR(__xludf.DUMMYFUNCTION("IF(SINGLE(elccfmob)&lt;&gt;"""",SINGLE(elccfmob),SINGLE(calelccfmob))"),0.0)</f>
        <v>0</v>
      </c>
      <c r="U140" s="446">
        <f>IFERROR(__xludf.DUMMYFUNCTION("IF(SINGLE(elccfmob)&lt;&gt;"""",SINGLE(elccfmob),SINGLE(calelccfmob))"),0.0)</f>
        <v>0</v>
      </c>
      <c r="V140" s="446">
        <f>IFERROR(__xludf.DUMMYFUNCTION("IF(SINGLE(elccfmob)&lt;&gt;"""",SINGLE(elccfmob),SINGLE(calelccfmob))"),0.0)</f>
        <v>0</v>
      </c>
      <c r="W140" s="446">
        <f>IFERROR(__xludf.DUMMYFUNCTION("IF(SINGLE(elccfmob)&lt;&gt;"""",SINGLE(elccfmob),SINGLE(calelccfmob))"),1.17071912272173)</f>
        <v>1.170719123</v>
      </c>
      <c r="X140" s="446" t="str">
        <f>IFERROR(__xludf.DUMMYFUNCTION("IF(SINGLE(elccfmob)&lt;&gt;"""",SINGLE(elccfmob),SINGLE(calelccfmob))"),"#DIV/0!")</f>
        <v>#DIV/0!</v>
      </c>
      <c r="Y140" s="446" t="str">
        <f>IFERROR(__xludf.DUMMYFUNCTION("IF(SINGLE(elccfmob)&lt;&gt;"""",SINGLE(elccfmob),SINGLE(calelccfmob))"),"#DIV/0!")</f>
        <v>#DIV/0!</v>
      </c>
      <c r="Z140" s="446" t="str">
        <f>IFERROR(__xludf.DUMMYFUNCTION("IF(SINGLE(elccfmob)&lt;&gt;"""",SINGLE(elccfmob),SINGLE(calelccfmob))"),"#DIV/0!")</f>
        <v>#DIV/0!</v>
      </c>
      <c r="AA140" s="446" t="str">
        <f>IFERROR(__xludf.DUMMYFUNCTION("IF(SINGLE(elccfmob)&lt;&gt;"""",SINGLE(elccfmob),SINGLE(calelccfmob))"),"#DIV/0!")</f>
        <v>#DIV/0!</v>
      </c>
      <c r="AB140" s="446">
        <f>IFERROR(__xludf.DUMMYFUNCTION("IF(SINGLE(elccfmob)&lt;&gt;"""",SINGLE(elccfmob),SINGLE(calelccfmob))"),1.35851470855264)</f>
        <v>1.358514709</v>
      </c>
      <c r="AC140" s="274">
        <f t="shared" ref="AC140:AE140" si="8">AC134*IF(OR($AB140=0,$AB134=0),1,1+($AB140/$AB134-1)*($AF$1-AC$1)/($AF$1-$AB$1))</f>
        <v>3.579691581</v>
      </c>
      <c r="AD140" s="274">
        <f t="shared" si="8"/>
        <v>5.294714732</v>
      </c>
      <c r="AE140" s="274">
        <f t="shared" si="8"/>
        <v>6.714447685</v>
      </c>
      <c r="AF140" s="446">
        <f>calelccfmob</f>
        <v>7.384229765</v>
      </c>
      <c r="AG140" s="446">
        <f>calelccfmob</f>
        <v>7.276520346</v>
      </c>
      <c r="AH140" s="446">
        <f>calelccfmob</f>
        <v>7.612150341</v>
      </c>
      <c r="AI140" s="125"/>
    </row>
    <row r="141" ht="9.75" customHeight="1">
      <c r="A141" s="447"/>
      <c r="B141" s="422"/>
      <c r="C141" s="422"/>
      <c r="D141" s="422"/>
      <c r="E141" s="167"/>
      <c r="F141" s="168"/>
      <c r="G141" s="168"/>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D141" s="169"/>
      <c r="AE141" s="169"/>
      <c r="AF141" s="169"/>
      <c r="AG141" s="169"/>
      <c r="AH141" s="169"/>
      <c r="AI141" s="448"/>
    </row>
    <row r="142" ht="14.25" customHeight="1">
      <c r="A142" s="444" t="s">
        <v>29</v>
      </c>
      <c r="B142" s="423"/>
      <c r="C142" s="423"/>
      <c r="D142" s="423"/>
      <c r="E142" s="388"/>
      <c r="F142" s="388"/>
      <c r="G142" s="388"/>
      <c r="H142" s="389"/>
      <c r="I142" s="389"/>
      <c r="J142" s="389"/>
      <c r="K142" s="389"/>
      <c r="L142" s="389"/>
      <c r="M142" s="389"/>
      <c r="N142" s="389"/>
      <c r="O142" s="389"/>
      <c r="P142" s="389"/>
      <c r="Q142" s="389"/>
      <c r="R142" s="389"/>
      <c r="S142" s="389"/>
      <c r="T142" s="389"/>
      <c r="U142" s="389"/>
      <c r="V142" s="389"/>
      <c r="W142" s="389"/>
      <c r="X142" s="389"/>
      <c r="Y142" s="389"/>
      <c r="Z142" s="389"/>
      <c r="AA142" s="389"/>
      <c r="AB142" s="389"/>
      <c r="AC142" s="389"/>
      <c r="AD142" s="389"/>
      <c r="AE142" s="389"/>
      <c r="AF142" s="389"/>
      <c r="AG142" s="389"/>
      <c r="AH142" s="389"/>
      <c r="AI142" s="449"/>
    </row>
    <row r="143" ht="14.25" customHeight="1" outlineLevel="1">
      <c r="A143" s="439"/>
      <c r="B143" s="162"/>
      <c r="C143" s="162"/>
      <c r="D143" s="100"/>
      <c r="E143" s="162"/>
      <c r="F143" s="162"/>
      <c r="G143" s="162"/>
      <c r="H143" s="178"/>
      <c r="I143" s="178"/>
      <c r="J143" s="178"/>
      <c r="K143" s="178"/>
      <c r="L143" s="178"/>
      <c r="M143" s="178"/>
      <c r="N143" s="178"/>
      <c r="O143" s="178"/>
      <c r="P143" s="178"/>
      <c r="Q143" s="178"/>
      <c r="R143" s="178"/>
      <c r="S143" s="178"/>
      <c r="T143" s="178"/>
      <c r="U143" s="178"/>
      <c r="V143" s="178"/>
      <c r="W143" s="178"/>
      <c r="X143" s="178"/>
      <c r="Y143" s="178"/>
      <c r="Z143" s="178"/>
      <c r="AA143" s="178"/>
      <c r="AB143" s="178"/>
      <c r="AC143" s="178"/>
      <c r="AD143" s="178"/>
      <c r="AE143" s="178"/>
      <c r="AF143" s="178"/>
      <c r="AG143" s="178"/>
      <c r="AH143" s="178"/>
      <c r="AI143" s="100"/>
    </row>
    <row r="144" ht="13.5" customHeight="1" outlineLevel="1">
      <c r="A144" s="100"/>
      <c r="B144" s="100"/>
      <c r="C144" s="100"/>
      <c r="D144" s="100"/>
      <c r="E144" s="316" t="s">
        <v>1954</v>
      </c>
      <c r="F144" s="450"/>
      <c r="G144" s="451"/>
      <c r="H144" s="452" t="str">
        <f>IF(AND(ISBLANK(teqtercliex),ISBLANK(teqterclirv),ISBLANK(teqterclinf)),"NoDis","Dis")</f>
        <v>NoDis</v>
      </c>
      <c r="I144" s="100"/>
      <c r="J144" s="178"/>
      <c r="K144" s="178"/>
      <c r="L144" s="178"/>
      <c r="M144" s="178"/>
      <c r="N144" s="178"/>
      <c r="O144" s="178"/>
      <c r="P144" s="178"/>
      <c r="Q144" s="178"/>
      <c r="R144" s="178"/>
      <c r="S144" s="178"/>
      <c r="T144" s="178"/>
      <c r="U144" s="178"/>
      <c r="V144" s="178"/>
      <c r="W144" s="178"/>
      <c r="X144" s="178"/>
      <c r="Y144" s="178"/>
      <c r="Z144" s="178"/>
      <c r="AA144" s="178"/>
      <c r="AB144" s="178"/>
      <c r="AC144" s="178"/>
      <c r="AD144" s="178"/>
      <c r="AE144" s="178"/>
      <c r="AF144" s="178"/>
      <c r="AG144" s="178"/>
      <c r="AH144" s="178"/>
      <c r="AI144" s="100"/>
    </row>
    <row r="145" ht="14.25" customHeight="1">
      <c r="A145" s="439"/>
      <c r="B145" s="439"/>
      <c r="C145" s="439"/>
      <c r="D145" s="439"/>
      <c r="E145" s="439"/>
      <c r="F145" s="439"/>
      <c r="G145" s="439"/>
      <c r="H145" s="439"/>
      <c r="I145" s="439"/>
      <c r="J145" s="439"/>
      <c r="K145" s="439"/>
      <c r="L145" s="439"/>
      <c r="M145" s="439"/>
      <c r="N145" s="439"/>
      <c r="O145" s="439"/>
      <c r="P145" s="439"/>
      <c r="Q145" s="439"/>
      <c r="R145" s="439"/>
      <c r="S145" s="439"/>
      <c r="T145" s="439"/>
      <c r="U145" s="439"/>
      <c r="V145" s="439"/>
      <c r="W145" s="439"/>
      <c r="X145" s="439"/>
      <c r="Y145" s="439"/>
      <c r="Z145" s="439"/>
      <c r="AA145" s="439"/>
      <c r="AB145" s="439"/>
      <c r="AC145" s="439"/>
      <c r="AD145" s="439"/>
      <c r="AE145" s="439"/>
      <c r="AF145" s="439"/>
      <c r="AG145" s="439"/>
      <c r="AH145" s="439"/>
      <c r="AI145" s="100"/>
    </row>
    <row r="146" ht="14.25" customHeight="1" outlineLevel="1">
      <c r="A146" s="439" t="s">
        <v>1955</v>
      </c>
      <c r="B146" s="162"/>
      <c r="C146" s="162"/>
      <c r="D146" s="100"/>
      <c r="E146" s="162"/>
      <c r="F146" s="162"/>
      <c r="G146" s="162"/>
      <c r="H146" s="178"/>
      <c r="I146" s="178"/>
      <c r="J146" s="178"/>
      <c r="K146" s="178"/>
      <c r="L146" s="178"/>
      <c r="M146" s="178"/>
      <c r="N146" s="178"/>
      <c r="O146" s="178"/>
      <c r="P146" s="178"/>
      <c r="Q146" s="178"/>
      <c r="R146" s="178"/>
      <c r="S146" s="178"/>
      <c r="T146" s="178"/>
      <c r="U146" s="178"/>
      <c r="V146" s="178"/>
      <c r="W146" s="178"/>
      <c r="X146" s="178"/>
      <c r="Y146" s="178"/>
      <c r="Z146" s="178"/>
      <c r="AA146" s="178"/>
      <c r="AB146" s="178"/>
      <c r="AC146" s="178"/>
      <c r="AD146" s="178"/>
      <c r="AE146" s="178"/>
      <c r="AF146" s="178"/>
      <c r="AG146" s="178"/>
      <c r="AH146" s="178"/>
      <c r="AI146" s="100"/>
    </row>
    <row r="147" ht="14.25" customHeight="1" outlineLevel="2">
      <c r="A147" s="439"/>
      <c r="B147" s="393" t="s">
        <v>1956</v>
      </c>
      <c r="C147" s="394"/>
      <c r="D147" s="394"/>
      <c r="E147" s="162"/>
      <c r="F147" s="162"/>
      <c r="G147" s="178"/>
      <c r="H147" s="178"/>
      <c r="I147" s="178"/>
      <c r="J147" s="178"/>
      <c r="K147" s="178"/>
      <c r="L147" s="178"/>
      <c r="M147" s="178"/>
      <c r="N147" s="178"/>
      <c r="O147" s="178"/>
      <c r="P147" s="178"/>
      <c r="Q147" s="178"/>
      <c r="R147" s="178"/>
      <c r="S147" s="178"/>
      <c r="T147" s="178"/>
      <c r="U147" s="178"/>
      <c r="V147" s="178"/>
      <c r="W147" s="178"/>
      <c r="X147" s="178"/>
      <c r="Y147" s="178"/>
      <c r="Z147" s="178"/>
      <c r="AA147" s="178"/>
      <c r="AB147" s="178"/>
      <c r="AC147" s="178"/>
      <c r="AD147" s="178"/>
      <c r="AE147" s="178"/>
      <c r="AF147" s="178"/>
      <c r="AG147" s="178"/>
      <c r="AH147" s="178"/>
      <c r="AI147" s="271"/>
    </row>
    <row r="148" ht="14.25" customHeight="1" outlineLevel="3">
      <c r="A148" s="439"/>
      <c r="B148" s="393"/>
      <c r="C148" s="393" t="s">
        <v>1815</v>
      </c>
      <c r="D148" s="394"/>
      <c r="E148" s="162"/>
      <c r="F148" s="162"/>
      <c r="G148" s="162"/>
      <c r="H148" s="178"/>
      <c r="I148" s="178"/>
      <c r="J148" s="178"/>
      <c r="K148" s="178"/>
      <c r="L148" s="178"/>
      <c r="M148" s="178"/>
      <c r="N148" s="178"/>
      <c r="O148" s="178"/>
      <c r="P148" s="178"/>
      <c r="Q148" s="178"/>
      <c r="R148" s="178"/>
      <c r="S148" s="178"/>
      <c r="T148" s="178"/>
      <c r="U148" s="178"/>
      <c r="V148" s="178"/>
      <c r="W148" s="178"/>
      <c r="X148" s="178"/>
      <c r="Y148" s="178"/>
      <c r="Z148" s="178"/>
      <c r="AA148" s="178"/>
      <c r="AB148" s="178"/>
      <c r="AC148" s="178"/>
      <c r="AD148" s="178"/>
      <c r="AE148" s="178"/>
      <c r="AF148" s="178"/>
      <c r="AG148" s="178"/>
      <c r="AH148" s="178"/>
      <c r="AI148" s="271"/>
    </row>
    <row r="149" ht="13.5" customHeight="1" outlineLevel="3">
      <c r="A149" s="195"/>
      <c r="B149" s="201"/>
      <c r="C149" s="246"/>
      <c r="D149" s="201"/>
      <c r="E149" s="316" t="s">
        <v>1957</v>
      </c>
      <c r="F149" s="316"/>
      <c r="G149" s="316" t="s">
        <v>1958</v>
      </c>
      <c r="H149" s="317" t="str">
        <f>IF(COUNTA(LCVTrafficVkm)=0,IF(COUNTA(kmvvlr)+COUNTA(LCVTrafficStock)=0,"Missing data","stock"),"vkm")</f>
        <v>vkm</v>
      </c>
      <c r="I149" s="317" t="str">
        <f>IF(COUNTA(LCVTrafficVkm)=0,IF(COUNTA(kmvvlr)+COUNTA(LCVTrafficStock)=0,"Missing data","stock"),"vkm")</f>
        <v>vkm</v>
      </c>
      <c r="J149" s="317" t="str">
        <f>IF(COUNTA(LCVTrafficVkm)=0,IF(COUNTA(kmvvlr)+COUNTA(LCVTrafficStock)=0,"Missing data","stock"),"vkm")</f>
        <v>vkm</v>
      </c>
      <c r="K149" s="317" t="str">
        <f>IF(COUNTA(LCVTrafficVkm)=0,IF(COUNTA(kmvvlr)+COUNTA(LCVTrafficStock)=0,"Missing data","stock"),"vkm")</f>
        <v>vkm</v>
      </c>
      <c r="L149" s="317" t="str">
        <f>IF(COUNTA(LCVTrafficVkm)=0,IF(COUNTA(kmvvlr)+COUNTA(LCVTrafficStock)=0,"Missing data","stock"),"vkm")</f>
        <v>vkm</v>
      </c>
      <c r="M149" s="317" t="str">
        <f>IF(COUNTA(LCVTrafficVkm)=0,IF(COUNTA(kmvvlr)+COUNTA(LCVTrafficStock)=0,"Missing data","stock"),"vkm")</f>
        <v>vkm</v>
      </c>
      <c r="N149" s="317" t="str">
        <f>IF(COUNTA(LCVTrafficVkm)=0,IF(COUNTA(kmvvlr)+COUNTA(LCVTrafficStock)=0,"Missing data","stock"),"vkm")</f>
        <v>vkm</v>
      </c>
      <c r="O149" s="317" t="str">
        <f>IF(COUNTA(LCVTrafficVkm)=0,IF(COUNTA(kmvvlr)+COUNTA(LCVTrafficStock)=0,"Missing data","stock"),"vkm")</f>
        <v>vkm</v>
      </c>
      <c r="P149" s="317" t="str">
        <f>IF(COUNTA(LCVTrafficVkm)=0,IF(COUNTA(kmvvlr)+COUNTA(LCVTrafficStock)=0,"Missing data","stock"),"vkm")</f>
        <v>vkm</v>
      </c>
      <c r="Q149" s="317" t="str">
        <f>IF(COUNTA(LCVTrafficVkm)=0,IF(COUNTA(kmvvlr)+COUNTA(LCVTrafficStock)=0,"Missing data","stock"),"vkm")</f>
        <v>vkm</v>
      </c>
      <c r="R149" s="317" t="str">
        <f>IF(COUNTA(LCVTrafficVkm)=0,IF(COUNTA(kmvvlr)+COUNTA(LCVTrafficStock)=0,"Missing data","stock"),"vkm")</f>
        <v>vkm</v>
      </c>
      <c r="S149" s="317" t="str">
        <f>IF(COUNTA(LCVTrafficVkm)=0,IF(COUNTA(kmvvlr)+COUNTA(LCVTrafficStock)=0,"Missing data","stock"),"vkm")</f>
        <v>vkm</v>
      </c>
      <c r="T149" s="317" t="str">
        <f>IF(COUNTA(LCVTrafficVkm)=0,IF(COUNTA(kmvvlr)+COUNTA(LCVTrafficStock)=0,"Missing data","stock"),"vkm")</f>
        <v>vkm</v>
      </c>
      <c r="U149" s="317" t="str">
        <f>IF(COUNTA(LCVTrafficVkm)=0,IF(COUNTA(kmvvlr)+COUNTA(LCVTrafficStock)=0,"Missing data","stock"),"vkm")</f>
        <v>vkm</v>
      </c>
      <c r="V149" s="317" t="str">
        <f>IF(COUNTA(LCVTrafficVkm)=0,IF(COUNTA(kmvvlr)+COUNTA(LCVTrafficStock)=0,"Missing data","stock"),"vkm")</f>
        <v>vkm</v>
      </c>
      <c r="W149" s="317" t="str">
        <f>IF(COUNTA(LCVTrafficVkm)=0,IF(COUNTA(kmvvlr)+COUNTA(LCVTrafficStock)=0,"Missing data","stock"),"vkm")</f>
        <v>vkm</v>
      </c>
      <c r="X149" s="317" t="str">
        <f>IF(COUNTA(LCVTrafficVkm)=0,IF(COUNTA(kmvvlr)+COUNTA(LCVTrafficStock)=0,"Missing data","stock"),"vkm")</f>
        <v>vkm</v>
      </c>
      <c r="Y149" s="317" t="str">
        <f>IF(COUNTA(LCVTrafficVkm)=0,IF(COUNTA(kmvvlr)+COUNTA(LCVTrafficStock)=0,"Missing data","stock"),"vkm")</f>
        <v>vkm</v>
      </c>
      <c r="Z149" s="317" t="str">
        <f>IF(COUNTA(LCVTrafficVkm)=0,IF(COUNTA(kmvvlr)+COUNTA(LCVTrafficStock)=0,"Missing data","stock"),"vkm")</f>
        <v>vkm</v>
      </c>
      <c r="AA149" s="317" t="str">
        <f>IF(COUNTA(LCVTrafficVkm)=0,IF(COUNTA(kmvvlr)+COUNTA(LCVTrafficStock)=0,"Missing data","stock"),"vkm")</f>
        <v>vkm</v>
      </c>
      <c r="AB149" s="317" t="str">
        <f>IF(COUNTA(LCVTrafficVkm)=0,IF(COUNTA(kmvvlr)+COUNTA(LCVTrafficStock)=0,"Missing data","stock"),"vkm")</f>
        <v>vkm</v>
      </c>
      <c r="AC149" s="317" t="str">
        <f>IF(COUNTA(LCVTrafficVkm)=0,IF(COUNTA(kmvvlr)+COUNTA(LCVTrafficStock)=0,"Missing data","stock"),"vkm")</f>
        <v>vkm</v>
      </c>
      <c r="AD149" s="317" t="str">
        <f>IF(COUNTA(LCVTrafficVkm)=0,IF(COUNTA(kmvvlr)+COUNTA(LCVTrafficStock)=0,"Missing data","stock"),"vkm")</f>
        <v>vkm</v>
      </c>
      <c r="AE149" s="317" t="str">
        <f>IF(COUNTA(LCVTrafficVkm)=0,IF(COUNTA(kmvvlr)+COUNTA(LCVTrafficStock)=0,"Missing data","stock"),"vkm")</f>
        <v>vkm</v>
      </c>
      <c r="AF149" s="317" t="str">
        <f>IF(COUNTA(LCVTrafficVkm)=0,IF(COUNTA(kmvvlr)+COUNTA(LCVTrafficStock)=0,"Missing data","stock"),"vkm")</f>
        <v>vkm</v>
      </c>
      <c r="AG149" s="317" t="str">
        <f>IF(COUNTA(LCVTrafficVkm)=0,IF(COUNTA(kmvvlr)+COUNTA(LCVTrafficStock)=0,"Missing data","stock"),"vkm")</f>
        <v>vkm</v>
      </c>
      <c r="AH149" s="317" t="str">
        <f>IF(COUNTA(LCVTrafficVkm)=0,IF(COUNTA(kmvvlr)+COUNTA(LCVTrafficStock)=0,"Missing data","stock"),"vkm")</f>
        <v>vkm</v>
      </c>
      <c r="AI149" s="125"/>
    </row>
    <row r="150" ht="14.25" customHeight="1" outlineLevel="3">
      <c r="A150" s="439"/>
      <c r="B150" s="393"/>
      <c r="C150" s="393" t="s">
        <v>1824</v>
      </c>
      <c r="D150" s="394"/>
      <c r="E150" s="162"/>
      <c r="F150" s="162"/>
      <c r="G150" s="162"/>
      <c r="H150" s="178"/>
      <c r="I150" s="178"/>
      <c r="J150" s="178"/>
      <c r="K150" s="178"/>
      <c r="L150" s="178"/>
      <c r="M150" s="178"/>
      <c r="N150" s="178"/>
      <c r="O150" s="178"/>
      <c r="P150" s="178"/>
      <c r="Q150" s="178"/>
      <c r="R150" s="178"/>
      <c r="S150" s="178"/>
      <c r="T150" s="178"/>
      <c r="U150" s="178"/>
      <c r="V150" s="178"/>
      <c r="W150" s="178"/>
      <c r="X150" s="178"/>
      <c r="Y150" s="178"/>
      <c r="Z150" s="178"/>
      <c r="AA150" s="178"/>
      <c r="AB150" s="178"/>
      <c r="AC150" s="178"/>
      <c r="AD150" s="178"/>
      <c r="AE150" s="178"/>
      <c r="AF150" s="178"/>
      <c r="AG150" s="178"/>
      <c r="AH150" s="178"/>
      <c r="AI150" s="271"/>
    </row>
    <row r="151" ht="14.25" customHeight="1" outlineLevel="4">
      <c r="A151" s="195"/>
      <c r="B151" s="201"/>
      <c r="C151" s="201"/>
      <c r="D151" s="201"/>
      <c r="E151" s="273" t="s">
        <v>1959</v>
      </c>
      <c r="F151" s="249" t="s">
        <v>1412</v>
      </c>
      <c r="G151" s="123" t="s">
        <v>1960</v>
      </c>
      <c r="H151" s="274">
        <f t="array" ref="H151:AH151">csvlrlqf/100*IF(pcspci="HHV",prmcebvpclqf,prmcenvpclqf)</f>
        <v>0</v>
      </c>
      <c r="I151" s="274">
        <v>0.0</v>
      </c>
      <c r="J151" s="274">
        <v>0.0</v>
      </c>
      <c r="K151" s="274">
        <v>0.0</v>
      </c>
      <c r="L151" s="274">
        <v>0.0</v>
      </c>
      <c r="M151" s="274">
        <v>0.0</v>
      </c>
      <c r="N151" s="274">
        <v>0.0</v>
      </c>
      <c r="O151" s="274">
        <v>0.0</v>
      </c>
      <c r="P151" s="274">
        <v>0.0</v>
      </c>
      <c r="Q151" s="274">
        <v>0.0</v>
      </c>
      <c r="R151" s="274">
        <v>0.0</v>
      </c>
      <c r="S151" s="274">
        <v>0.0</v>
      </c>
      <c r="T151" s="274">
        <v>0.0</v>
      </c>
      <c r="U151" s="274">
        <v>0.0</v>
      </c>
      <c r="V151" s="274">
        <v>0.0</v>
      </c>
      <c r="W151" s="274">
        <v>0.8805249544392242</v>
      </c>
      <c r="X151" s="274">
        <v>0.0</v>
      </c>
      <c r="Y151" s="274">
        <v>0.0</v>
      </c>
      <c r="Z151" s="274">
        <v>0.0</v>
      </c>
      <c r="AA151" s="274">
        <v>0.0</v>
      </c>
      <c r="AB151" s="274">
        <v>0.8803163058291233</v>
      </c>
      <c r="AC151" s="274">
        <v>0.8417104594835612</v>
      </c>
      <c r="AD151" s="274">
        <v>0.745508742372953</v>
      </c>
      <c r="AE151" s="274">
        <v>0.6493070252623436</v>
      </c>
      <c r="AF151" s="274">
        <v>0.6493070252623436</v>
      </c>
      <c r="AG151" s="274">
        <v>0.6493070252623436</v>
      </c>
      <c r="AH151" s="274">
        <v>0.6493070252623436</v>
      </c>
      <c r="AI151" s="318"/>
    </row>
    <row r="152" ht="14.25" customHeight="1" outlineLevel="4">
      <c r="A152" s="100"/>
      <c r="B152" s="100"/>
      <c r="C152" s="100"/>
      <c r="D152" s="100"/>
      <c r="E152" s="273" t="s">
        <v>1961</v>
      </c>
      <c r="F152" s="123" t="s">
        <v>1412</v>
      </c>
      <c r="G152" s="123" t="s">
        <v>1962</v>
      </c>
      <c r="H152" s="274">
        <f t="array" ref="H152:AH152">csvlrgpl/100*IF(pcspci="HHV",prmcebvpcgpl,prmcenvpcgpl)</f>
        <v>0</v>
      </c>
      <c r="I152" s="274">
        <v>0.0</v>
      </c>
      <c r="J152" s="274">
        <v>0.0</v>
      </c>
      <c r="K152" s="274">
        <v>0.0</v>
      </c>
      <c r="L152" s="274">
        <v>0.0</v>
      </c>
      <c r="M152" s="274">
        <v>0.0</v>
      </c>
      <c r="N152" s="274">
        <v>0.0</v>
      </c>
      <c r="O152" s="274">
        <v>0.0</v>
      </c>
      <c r="P152" s="274">
        <v>0.0</v>
      </c>
      <c r="Q152" s="274">
        <v>0.0</v>
      </c>
      <c r="R152" s="274">
        <v>0.0</v>
      </c>
      <c r="S152" s="274">
        <v>0.0</v>
      </c>
      <c r="T152" s="274">
        <v>0.0</v>
      </c>
      <c r="U152" s="274">
        <v>0.0</v>
      </c>
      <c r="V152" s="274">
        <v>0.0</v>
      </c>
      <c r="W152" s="274">
        <v>0.880524954439226</v>
      </c>
      <c r="X152" s="274">
        <v>0.0</v>
      </c>
      <c r="Y152" s="274">
        <v>0.0</v>
      </c>
      <c r="Z152" s="274">
        <v>0.0</v>
      </c>
      <c r="AA152" s="274">
        <v>0.0</v>
      </c>
      <c r="AB152" s="274">
        <v>0.8803163058291205</v>
      </c>
      <c r="AC152" s="274">
        <v>0.8417104594835608</v>
      </c>
      <c r="AD152" s="274">
        <v>0.7455087423729511</v>
      </c>
      <c r="AE152" s="274">
        <v>0.6493070252623439</v>
      </c>
      <c r="AF152" s="274">
        <v>0.6493070252623439</v>
      </c>
      <c r="AG152" s="274">
        <v>0.6493070252623439</v>
      </c>
      <c r="AH152" s="274">
        <v>0.6493070252623439</v>
      </c>
      <c r="AI152" s="318"/>
    </row>
    <row r="153" ht="14.25" customHeight="1" outlineLevel="4">
      <c r="A153" s="195"/>
      <c r="B153" s="201"/>
      <c r="C153" s="201"/>
      <c r="D153" s="201"/>
      <c r="E153" s="273" t="s">
        <v>1963</v>
      </c>
      <c r="F153" s="123" t="s">
        <v>1412</v>
      </c>
      <c r="G153" s="123" t="s">
        <v>1964</v>
      </c>
      <c r="H153" s="274">
        <f t="array" ref="H153:AH153">csvlrngv/100*IF(pcspci="HHV",prmcebvpcngv,prmcenvpcngv)</f>
        <v>0</v>
      </c>
      <c r="I153" s="274">
        <v>0.0</v>
      </c>
      <c r="J153" s="274">
        <v>0.0</v>
      </c>
      <c r="K153" s="274">
        <v>0.0</v>
      </c>
      <c r="L153" s="274">
        <v>0.0</v>
      </c>
      <c r="M153" s="274">
        <v>0.0</v>
      </c>
      <c r="N153" s="274">
        <v>0.0</v>
      </c>
      <c r="O153" s="274">
        <v>0.0</v>
      </c>
      <c r="P153" s="274">
        <v>0.0</v>
      </c>
      <c r="Q153" s="274">
        <v>0.0</v>
      </c>
      <c r="R153" s="274">
        <v>0.0</v>
      </c>
      <c r="S153" s="274">
        <v>0.0</v>
      </c>
      <c r="T153" s="274">
        <v>0.0</v>
      </c>
      <c r="U153" s="274">
        <v>0.0</v>
      </c>
      <c r="V153" s="274">
        <v>0.0</v>
      </c>
      <c r="W153" s="274">
        <v>0.7142377277885786</v>
      </c>
      <c r="X153" s="274">
        <v>0.0</v>
      </c>
      <c r="Y153" s="274">
        <v>0.0</v>
      </c>
      <c r="Z153" s="274">
        <v>0.0</v>
      </c>
      <c r="AA153" s="274">
        <v>0.0</v>
      </c>
      <c r="AB153" s="274">
        <v>0.7097206117955427</v>
      </c>
      <c r="AC153" s="274">
        <v>0.7007713881204416</v>
      </c>
      <c r="AD153" s="274">
        <v>0.6862820298427611</v>
      </c>
      <c r="AE153" s="274">
        <v>0.6717926715650808</v>
      </c>
      <c r="AF153" s="274">
        <v>0.6573033132874014</v>
      </c>
      <c r="AG153" s="274">
        <v>0.6428139550097209</v>
      </c>
      <c r="AH153" s="274">
        <v>0.6428139550097209</v>
      </c>
      <c r="AI153" s="318"/>
    </row>
    <row r="154" ht="14.25" customHeight="1" outlineLevel="4">
      <c r="A154" s="100"/>
      <c r="B154" s="100"/>
      <c r="C154" s="100"/>
      <c r="D154" s="100"/>
      <c r="E154" s="273" t="s">
        <v>1965</v>
      </c>
      <c r="F154" s="123" t="s">
        <v>1412</v>
      </c>
      <c r="G154" s="123" t="s">
        <v>1966</v>
      </c>
      <c r="H154" s="274">
        <f t="array" ref="H154:AH154">csvlrhyd/100*IF(pcspci="HHV",prmcebvpchyd,prmcenvpchyd)</f>
        <v>0</v>
      </c>
      <c r="I154" s="274">
        <v>0.0</v>
      </c>
      <c r="J154" s="274">
        <v>0.0</v>
      </c>
      <c r="K154" s="274">
        <v>0.0</v>
      </c>
      <c r="L154" s="274">
        <v>0.0</v>
      </c>
      <c r="M154" s="274">
        <v>0.0</v>
      </c>
      <c r="N154" s="274">
        <v>0.0</v>
      </c>
      <c r="O154" s="274">
        <v>0.0</v>
      </c>
      <c r="P154" s="274">
        <v>0.0</v>
      </c>
      <c r="Q154" s="274">
        <v>0.0</v>
      </c>
      <c r="R154" s="274">
        <v>0.0</v>
      </c>
      <c r="S154" s="274">
        <v>0.0</v>
      </c>
      <c r="T154" s="274">
        <v>0.0</v>
      </c>
      <c r="U154" s="274">
        <v>0.0</v>
      </c>
      <c r="V154" s="274">
        <v>0.0</v>
      </c>
      <c r="W154" s="274">
        <v>0.6699999999999993</v>
      </c>
      <c r="X154" s="274">
        <v>0.0</v>
      </c>
      <c r="Y154" s="274">
        <v>0.0</v>
      </c>
      <c r="Z154" s="274">
        <v>0.0</v>
      </c>
      <c r="AA154" s="274">
        <v>0.0</v>
      </c>
      <c r="AB154" s="274">
        <v>0.6431999999999994</v>
      </c>
      <c r="AC154" s="274">
        <v>0.6351600000000008</v>
      </c>
      <c r="AD154" s="274">
        <v>0.6271199999999988</v>
      </c>
      <c r="AE154" s="274">
        <v>0.6190800000000002</v>
      </c>
      <c r="AF154" s="274">
        <v>0.6110400000000016</v>
      </c>
      <c r="AG154" s="274">
        <v>0.6029999999999996</v>
      </c>
      <c r="AH154" s="274">
        <v>0.6029999999999996</v>
      </c>
      <c r="AI154" s="318"/>
    </row>
    <row r="155" ht="14.25" customHeight="1" outlineLevel="4">
      <c r="A155" s="100"/>
      <c r="B155" s="100"/>
      <c r="C155" s="100"/>
      <c r="D155" s="100"/>
      <c r="E155" s="273" t="s">
        <v>1967</v>
      </c>
      <c r="F155" s="123" t="s">
        <v>1412</v>
      </c>
      <c r="G155" s="123" t="s">
        <v>1968</v>
      </c>
      <c r="H155" s="445" t="str">
        <f t="array" ref="H155:AH155">csvlrele</f>
        <v/>
      </c>
      <c r="I155" s="445"/>
      <c r="J155" s="445"/>
      <c r="K155" s="445"/>
      <c r="L155" s="445"/>
      <c r="M155" s="445"/>
      <c r="N155" s="445"/>
      <c r="O155" s="445"/>
      <c r="P155" s="445"/>
      <c r="Q155" s="445"/>
      <c r="R155" s="445"/>
      <c r="S155" s="445"/>
      <c r="T155" s="445"/>
      <c r="U155" s="445"/>
      <c r="V155" s="445"/>
      <c r="W155" s="445">
        <v>0.3464</v>
      </c>
      <c r="X155" s="445"/>
      <c r="Y155" s="445"/>
      <c r="Z155" s="445"/>
      <c r="AA155" s="445"/>
      <c r="AB155" s="445">
        <v>0.332544</v>
      </c>
      <c r="AC155" s="445">
        <v>0.3283872</v>
      </c>
      <c r="AD155" s="445">
        <v>0.3242304</v>
      </c>
      <c r="AE155" s="445">
        <v>0.3200736</v>
      </c>
      <c r="AF155" s="445">
        <v>0.3159168</v>
      </c>
      <c r="AG155" s="445">
        <v>0.31176</v>
      </c>
      <c r="AH155" s="445">
        <v>0.31176</v>
      </c>
      <c r="AI155" s="318"/>
    </row>
    <row r="156" ht="14.25" customHeight="1" outlineLevel="4">
      <c r="A156" s="195"/>
      <c r="B156" s="201"/>
      <c r="C156" s="201"/>
      <c r="D156" s="201"/>
      <c r="E156" s="273" t="s">
        <v>1969</v>
      </c>
      <c r="F156" s="123" t="s">
        <v>1412</v>
      </c>
      <c r="G156" s="123" t="s">
        <v>1970</v>
      </c>
      <c r="H156" s="445">
        <f t="array" ref="H156:AH156">calcsklqfvlr</f>
        <v>0</v>
      </c>
      <c r="I156" s="445">
        <v>0.0</v>
      </c>
      <c r="J156" s="445">
        <v>0.0</v>
      </c>
      <c r="K156" s="445">
        <v>0.0</v>
      </c>
      <c r="L156" s="445">
        <v>0.0</v>
      </c>
      <c r="M156" s="445">
        <v>0.0</v>
      </c>
      <c r="N156" s="445">
        <v>0.0</v>
      </c>
      <c r="O156" s="445">
        <v>0.0</v>
      </c>
      <c r="P156" s="445">
        <v>0.0</v>
      </c>
      <c r="Q156" s="445">
        <v>0.0</v>
      </c>
      <c r="R156" s="445">
        <v>0.0</v>
      </c>
      <c r="S156" s="445">
        <v>0.0</v>
      </c>
      <c r="T156" s="445">
        <v>0.0</v>
      </c>
      <c r="U156" s="445">
        <v>0.0</v>
      </c>
      <c r="V156" s="445">
        <v>0.0</v>
      </c>
      <c r="W156" s="445">
        <v>0.8805249544392242</v>
      </c>
      <c r="X156" s="445">
        <v>0.0</v>
      </c>
      <c r="Y156" s="445">
        <v>0.0</v>
      </c>
      <c r="Z156" s="445">
        <v>0.0</v>
      </c>
      <c r="AA156" s="445">
        <v>0.0</v>
      </c>
      <c r="AB156" s="445">
        <v>0.8803163058291233</v>
      </c>
      <c r="AC156" s="445">
        <v>0.8417104594835612</v>
      </c>
      <c r="AD156" s="445">
        <v>0.745508742372953</v>
      </c>
      <c r="AE156" s="445">
        <v>0.6493070252623436</v>
      </c>
      <c r="AF156" s="445">
        <v>0.6493070252623436</v>
      </c>
      <c r="AG156" s="445">
        <v>0.6493070252623436</v>
      </c>
      <c r="AH156" s="445">
        <v>0.6493070252623436</v>
      </c>
      <c r="AI156" s="318"/>
    </row>
    <row r="157" ht="14.25" customHeight="1" outlineLevel="4">
      <c r="A157" s="195"/>
      <c r="B157" s="201"/>
      <c r="C157" s="201"/>
      <c r="D157" s="201"/>
      <c r="E157" s="273" t="s">
        <v>1971</v>
      </c>
      <c r="F157" s="123" t="s">
        <v>1412</v>
      </c>
      <c r="G157" s="123" t="s">
        <v>1972</v>
      </c>
      <c r="H157" s="445">
        <f t="array" ref="H157:AH157">calcsklqfvlr</f>
        <v>0</v>
      </c>
      <c r="I157" s="445">
        <v>0.0</v>
      </c>
      <c r="J157" s="445">
        <v>0.0</v>
      </c>
      <c r="K157" s="445">
        <v>0.0</v>
      </c>
      <c r="L157" s="445">
        <v>0.0</v>
      </c>
      <c r="M157" s="445">
        <v>0.0</v>
      </c>
      <c r="N157" s="445">
        <v>0.0</v>
      </c>
      <c r="O157" s="445">
        <v>0.0</v>
      </c>
      <c r="P157" s="445">
        <v>0.0</v>
      </c>
      <c r="Q157" s="445">
        <v>0.0</v>
      </c>
      <c r="R157" s="445">
        <v>0.0</v>
      </c>
      <c r="S157" s="445">
        <v>0.0</v>
      </c>
      <c r="T157" s="445">
        <v>0.0</v>
      </c>
      <c r="U157" s="445">
        <v>0.0</v>
      </c>
      <c r="V157" s="445">
        <v>0.0</v>
      </c>
      <c r="W157" s="445">
        <v>0.8805249544392242</v>
      </c>
      <c r="X157" s="445">
        <v>0.0</v>
      </c>
      <c r="Y157" s="445">
        <v>0.0</v>
      </c>
      <c r="Z157" s="445">
        <v>0.0</v>
      </c>
      <c r="AA157" s="445">
        <v>0.0</v>
      </c>
      <c r="AB157" s="445">
        <v>0.8803163058291233</v>
      </c>
      <c r="AC157" s="445">
        <v>0.8417104594835612</v>
      </c>
      <c r="AD157" s="445">
        <v>0.745508742372953</v>
      </c>
      <c r="AE157" s="445">
        <v>0.6493070252623436</v>
      </c>
      <c r="AF157" s="445">
        <v>0.6493070252623436</v>
      </c>
      <c r="AG157" s="445">
        <v>0.6493070252623436</v>
      </c>
      <c r="AH157" s="445">
        <v>0.6493070252623436</v>
      </c>
      <c r="AI157" s="318"/>
    </row>
    <row r="158" ht="14.25" customHeight="1" outlineLevel="4">
      <c r="A158" s="195"/>
      <c r="B158" s="201"/>
      <c r="C158" s="201"/>
      <c r="D158" s="201"/>
      <c r="E158" s="273" t="s">
        <v>1973</v>
      </c>
      <c r="F158" s="123" t="s">
        <v>1412</v>
      </c>
      <c r="G158" s="123" t="s">
        <v>1974</v>
      </c>
      <c r="H158" s="445">
        <f t="array" ref="H158:AH158">calcskngvvlr</f>
        <v>0</v>
      </c>
      <c r="I158" s="445">
        <v>0.0</v>
      </c>
      <c r="J158" s="445">
        <v>0.0</v>
      </c>
      <c r="K158" s="445">
        <v>0.0</v>
      </c>
      <c r="L158" s="445">
        <v>0.0</v>
      </c>
      <c r="M158" s="445">
        <v>0.0</v>
      </c>
      <c r="N158" s="445">
        <v>0.0</v>
      </c>
      <c r="O158" s="445">
        <v>0.0</v>
      </c>
      <c r="P158" s="445">
        <v>0.0</v>
      </c>
      <c r="Q158" s="445">
        <v>0.0</v>
      </c>
      <c r="R158" s="445">
        <v>0.0</v>
      </c>
      <c r="S158" s="445">
        <v>0.0</v>
      </c>
      <c r="T158" s="445">
        <v>0.0</v>
      </c>
      <c r="U158" s="445">
        <v>0.0</v>
      </c>
      <c r="V158" s="445">
        <v>0.0</v>
      </c>
      <c r="W158" s="445">
        <v>0.7142377277885786</v>
      </c>
      <c r="X158" s="445">
        <v>0.0</v>
      </c>
      <c r="Y158" s="445">
        <v>0.0</v>
      </c>
      <c r="Z158" s="445">
        <v>0.0</v>
      </c>
      <c r="AA158" s="445">
        <v>0.0</v>
      </c>
      <c r="AB158" s="445">
        <v>0.7097206117955427</v>
      </c>
      <c r="AC158" s="445">
        <v>0.7007713881204416</v>
      </c>
      <c r="AD158" s="445">
        <v>0.6862820298427611</v>
      </c>
      <c r="AE158" s="445">
        <v>0.6717926715650808</v>
      </c>
      <c r="AF158" s="445">
        <v>0.6573033132874014</v>
      </c>
      <c r="AG158" s="445">
        <v>0.6428139550097209</v>
      </c>
      <c r="AH158" s="445">
        <v>0.6428139550097209</v>
      </c>
      <c r="AI158" s="318"/>
    </row>
    <row r="159" ht="14.25" customHeight="1" outlineLevel="4">
      <c r="A159" s="195"/>
      <c r="B159" s="201"/>
      <c r="C159" s="201"/>
      <c r="D159" s="201"/>
      <c r="E159" s="273" t="s">
        <v>1975</v>
      </c>
      <c r="F159" s="123" t="s">
        <v>1412</v>
      </c>
      <c r="G159" s="123" t="s">
        <v>1976</v>
      </c>
      <c r="H159" s="445" t="str">
        <f t="array" ref="H159:AH159">calcskelevlr</f>
        <v/>
      </c>
      <c r="I159" s="445"/>
      <c r="J159" s="445"/>
      <c r="K159" s="445"/>
      <c r="L159" s="445"/>
      <c r="M159" s="445"/>
      <c r="N159" s="445"/>
      <c r="O159" s="445"/>
      <c r="P159" s="445"/>
      <c r="Q159" s="445"/>
      <c r="R159" s="445"/>
      <c r="S159" s="445"/>
      <c r="T159" s="445"/>
      <c r="U159" s="445"/>
      <c r="V159" s="445"/>
      <c r="W159" s="445">
        <v>0.3464</v>
      </c>
      <c r="X159" s="445"/>
      <c r="Y159" s="445"/>
      <c r="Z159" s="445"/>
      <c r="AA159" s="445"/>
      <c r="AB159" s="445">
        <v>0.332544</v>
      </c>
      <c r="AC159" s="445">
        <v>0.3283872</v>
      </c>
      <c r="AD159" s="445">
        <v>0.3242304</v>
      </c>
      <c r="AE159" s="445">
        <v>0.3200736</v>
      </c>
      <c r="AF159" s="445">
        <v>0.3159168</v>
      </c>
      <c r="AG159" s="445">
        <v>0.31176</v>
      </c>
      <c r="AH159" s="445">
        <v>0.31176</v>
      </c>
      <c r="AI159" s="318"/>
    </row>
    <row r="160" ht="14.25" customHeight="1" outlineLevel="3">
      <c r="A160" s="439"/>
      <c r="B160" s="393"/>
      <c r="C160" s="393" t="s">
        <v>1870</v>
      </c>
      <c r="D160" s="394"/>
      <c r="E160" s="162"/>
      <c r="F160" s="162"/>
      <c r="G160" s="162"/>
      <c r="H160" s="178"/>
      <c r="I160" s="178"/>
      <c r="J160" s="178"/>
      <c r="K160" s="178"/>
      <c r="L160" s="178"/>
      <c r="M160" s="178"/>
      <c r="N160" s="178"/>
      <c r="O160" s="178"/>
      <c r="P160" s="178"/>
      <c r="Q160" s="178"/>
      <c r="R160" s="178"/>
      <c r="S160" s="178"/>
      <c r="T160" s="178"/>
      <c r="U160" s="178"/>
      <c r="V160" s="178"/>
      <c r="W160" s="178"/>
      <c r="X160" s="178"/>
      <c r="Y160" s="178"/>
      <c r="Z160" s="178"/>
      <c r="AA160" s="178"/>
      <c r="AB160" s="178"/>
      <c r="AC160" s="178"/>
      <c r="AD160" s="178"/>
      <c r="AE160" s="178"/>
      <c r="AF160" s="178"/>
      <c r="AG160" s="178"/>
      <c r="AH160" s="178"/>
      <c r="AI160" s="271"/>
    </row>
    <row r="161" ht="14.25" customHeight="1" outlineLevel="4">
      <c r="A161" s="195"/>
      <c r="B161" s="201"/>
      <c r="C161" s="201"/>
      <c r="D161" s="201"/>
      <c r="E161" s="273" t="s">
        <v>1977</v>
      </c>
      <c r="F161" s="249" t="s">
        <v>135</v>
      </c>
      <c r="G161" s="123" t="s">
        <v>1978</v>
      </c>
      <c r="H161" s="274">
        <f>IF(crdmstvlr="vkm",M*vkmvlrlqf*calcsklqfvlr/G,calcfessvlr+calcfgzlvlr)</f>
        <v>0</v>
      </c>
      <c r="I161" s="274">
        <f>IF(crdmstvlr="vkm",M*vkmvlrlqf*calcsklqfvlr/G,calcfessvlr+calcfgzlvlr)</f>
        <v>0</v>
      </c>
      <c r="J161" s="274">
        <f>IF(crdmstvlr="vkm",M*vkmvlrlqf*calcsklqfvlr/G,calcfessvlr+calcfgzlvlr)</f>
        <v>0</v>
      </c>
      <c r="K161" s="274">
        <f>IF(crdmstvlr="vkm",M*vkmvlrlqf*calcsklqfvlr/G,calcfessvlr+calcfgzlvlr)</f>
        <v>0</v>
      </c>
      <c r="L161" s="274">
        <f>IF(crdmstvlr="vkm",M*vkmvlrlqf*calcsklqfvlr/G,calcfessvlr+calcfgzlvlr)</f>
        <v>0</v>
      </c>
      <c r="M161" s="274">
        <f>IF(crdmstvlr="vkm",M*vkmvlrlqf*calcsklqfvlr/G,calcfessvlr+calcfgzlvlr)</f>
        <v>0</v>
      </c>
      <c r="N161" s="274">
        <f>IF(crdmstvlr="vkm",M*vkmvlrlqf*calcsklqfvlr/G,calcfessvlr+calcfgzlvlr)</f>
        <v>0</v>
      </c>
      <c r="O161" s="274">
        <f>IF(crdmstvlr="vkm",M*vkmvlrlqf*calcsklqfvlr/G,calcfessvlr+calcfgzlvlr)</f>
        <v>0</v>
      </c>
      <c r="P161" s="274">
        <f>IF(crdmstvlr="vkm",M*vkmvlrlqf*calcsklqfvlr/G,calcfessvlr+calcfgzlvlr)</f>
        <v>0</v>
      </c>
      <c r="Q161" s="274">
        <f>IF(crdmstvlr="vkm",M*vkmvlrlqf*calcsklqfvlr/G,calcfessvlr+calcfgzlvlr)</f>
        <v>0</v>
      </c>
      <c r="R161" s="274">
        <f>IF(crdmstvlr="vkm",M*vkmvlrlqf*calcsklqfvlr/G,calcfessvlr+calcfgzlvlr)</f>
        <v>0</v>
      </c>
      <c r="S161" s="274">
        <f>IF(crdmstvlr="vkm",M*vkmvlrlqf*calcsklqfvlr/G,calcfessvlr+calcfgzlvlr)</f>
        <v>0</v>
      </c>
      <c r="T161" s="274">
        <f>IF(crdmstvlr="vkm",M*vkmvlrlqf*calcsklqfvlr/G,calcfessvlr+calcfgzlvlr)</f>
        <v>0</v>
      </c>
      <c r="U161" s="274">
        <f>IF(crdmstvlr="vkm",M*vkmvlrlqf*calcsklqfvlr/G,calcfessvlr+calcfgzlvlr)</f>
        <v>0</v>
      </c>
      <c r="V161" s="274">
        <f>IF(crdmstvlr="vkm",M*vkmvlrlqf*calcsklqfvlr/G,calcfessvlr+calcfgzlvlr)</f>
        <v>0</v>
      </c>
      <c r="W161" s="274">
        <f>IF(crdmstvlr="vkm",M*vkmvlrlqf*calcsklqfvlr/G,calcfessvlr+calcfgzlvlr)</f>
        <v>11.06605081</v>
      </c>
      <c r="X161" s="274">
        <f>IF(crdmstvlr="vkm",M*vkmvlrlqf*calcsklqfvlr/G,calcfessvlr+calcfgzlvlr)</f>
        <v>0</v>
      </c>
      <c r="Y161" s="274">
        <f>IF(crdmstvlr="vkm",M*vkmvlrlqf*calcsklqfvlr/G,calcfessvlr+calcfgzlvlr)</f>
        <v>0</v>
      </c>
      <c r="Z161" s="274">
        <f>IF(crdmstvlr="vkm",M*vkmvlrlqf*calcsklqfvlr/G,calcfessvlr+calcfgzlvlr)</f>
        <v>0</v>
      </c>
      <c r="AA161" s="274">
        <f>IF(crdmstvlr="vkm",M*vkmvlrlqf*calcsklqfvlr/G,calcfessvlr+calcfgzlvlr)</f>
        <v>0</v>
      </c>
      <c r="AB161" s="274">
        <f>IF(crdmstvlr="vkm",M*vkmvlrlqf*calcsklqfvlr/G,calcfessvlr+calcfgzlvlr)</f>
        <v>11.01137955</v>
      </c>
      <c r="AC161" s="274">
        <f>IF(crdmstvlr="vkm",M*vkmvlrlqf*calcsklqfvlr/G,calcfessvlr+calcfgzlvlr)</f>
        <v>10.14243441</v>
      </c>
      <c r="AD161" s="274">
        <f>IF(crdmstvlr="vkm",M*vkmvlrlqf*calcsklqfvlr/G,calcfessvlr+calcfgzlvlr)</f>
        <v>7.089006484</v>
      </c>
      <c r="AE161" s="274">
        <f>IF(crdmstvlr="vkm",M*vkmvlrlqf*calcsklqfvlr/G,calcfessvlr+calcfgzlvlr)</f>
        <v>4.236439947</v>
      </c>
      <c r="AF161" s="274">
        <f>IF(crdmstvlr="vkm",M*vkmvlrlqf*calcsklqfvlr/G,calcfessvlr+calcfgzlvlr)</f>
        <v>2.597228101</v>
      </c>
      <c r="AG161" s="274">
        <f>IF(crdmstvlr="vkm",M*vkmvlrlqf*calcsklqfvlr/G,calcfessvlr+calcfgzlvlr)</f>
        <v>1.136287294</v>
      </c>
      <c r="AH161" s="274">
        <f>IF(crdmstvlr="vkm",M*vkmvlrlqf*calcsklqfvlr/G,calcfessvlr+calcfgzlvlr)</f>
        <v>0</v>
      </c>
      <c r="AI161" s="318"/>
    </row>
    <row r="162" ht="14.25" customHeight="1" outlineLevel="4">
      <c r="A162" s="195"/>
      <c r="B162" s="201"/>
      <c r="C162" s="201"/>
      <c r="D162" s="201"/>
      <c r="E162" s="273" t="s">
        <v>1979</v>
      </c>
      <c r="F162" s="249" t="s">
        <v>135</v>
      </c>
      <c r="G162" s="123" t="s">
        <v>1980</v>
      </c>
      <c r="H162" s="330" t="str">
        <f>IF(crdmstvlr="stock",M*nbrvlress*kmvvlr*calcsklqfvlr/G,)</f>
        <v/>
      </c>
      <c r="I162" s="330" t="str">
        <f>IF(crdmstvlr="stock",M*nbrvlress*kmvvlr*calcsklqfvlr/G,)</f>
        <v/>
      </c>
      <c r="J162" s="330" t="str">
        <f>IF(crdmstvlr="stock",M*nbrvlress*kmvvlr*calcsklqfvlr/G,)</f>
        <v/>
      </c>
      <c r="K162" s="330" t="str">
        <f>IF(crdmstvlr="stock",M*nbrvlress*kmvvlr*calcsklqfvlr/G,)</f>
        <v/>
      </c>
      <c r="L162" s="330" t="str">
        <f>IF(crdmstvlr="stock",M*nbrvlress*kmvvlr*calcsklqfvlr/G,)</f>
        <v/>
      </c>
      <c r="M162" s="330" t="str">
        <f>IF(crdmstvlr="stock",M*nbrvlress*kmvvlr*calcsklqfvlr/G,)</f>
        <v/>
      </c>
      <c r="N162" s="330" t="str">
        <f>IF(crdmstvlr="stock",M*nbrvlress*kmvvlr*calcsklqfvlr/G,)</f>
        <v/>
      </c>
      <c r="O162" s="330" t="str">
        <f>IF(crdmstvlr="stock",M*nbrvlress*kmvvlr*calcsklqfvlr/G,)</f>
        <v/>
      </c>
      <c r="P162" s="330" t="str">
        <f>IF(crdmstvlr="stock",M*nbrvlress*kmvvlr*calcsklqfvlr/G,)</f>
        <v/>
      </c>
      <c r="Q162" s="330" t="str">
        <f>IF(crdmstvlr="stock",M*nbrvlress*kmvvlr*calcsklqfvlr/G,)</f>
        <v/>
      </c>
      <c r="R162" s="330" t="str">
        <f>IF(crdmstvlr="stock",M*nbrvlress*kmvvlr*calcsklqfvlr/G,)</f>
        <v/>
      </c>
      <c r="S162" s="330" t="str">
        <f>IF(crdmstvlr="stock",M*nbrvlress*kmvvlr*calcsklqfvlr/G,)</f>
        <v/>
      </c>
      <c r="T162" s="330" t="str">
        <f>IF(crdmstvlr="stock",M*nbrvlress*kmvvlr*calcsklqfvlr/G,)</f>
        <v/>
      </c>
      <c r="U162" s="330" t="str">
        <f>IF(crdmstvlr="stock",M*nbrvlress*kmvvlr*calcsklqfvlr/G,)</f>
        <v/>
      </c>
      <c r="V162" s="330" t="str">
        <f>IF(crdmstvlr="stock",M*nbrvlress*kmvvlr*calcsklqfvlr/G,)</f>
        <v/>
      </c>
      <c r="W162" s="330" t="str">
        <f>IF(crdmstvlr="stock",M*nbrvlress*kmvvlr*calcsklqfvlr/G,)</f>
        <v/>
      </c>
      <c r="X162" s="330" t="str">
        <f>IF(crdmstvlr="stock",M*nbrvlress*kmvvlr*calcsklqfvlr/G,)</f>
        <v/>
      </c>
      <c r="Y162" s="330" t="str">
        <f>IF(crdmstvlr="stock",M*nbrvlress*kmvvlr*calcsklqfvlr/G,)</f>
        <v/>
      </c>
      <c r="Z162" s="330" t="str">
        <f>IF(crdmstvlr="stock",M*nbrvlress*kmvvlr*calcsklqfvlr/G,)</f>
        <v/>
      </c>
      <c r="AA162" s="330" t="str">
        <f>IF(crdmstvlr="stock",M*nbrvlress*kmvvlr*calcsklqfvlr/G,)</f>
        <v/>
      </c>
      <c r="AB162" s="330" t="str">
        <f>IF(crdmstvlr="stock",M*nbrvlress*kmvvlr*calcsklqfvlr/G,)</f>
        <v/>
      </c>
      <c r="AC162" s="330" t="str">
        <f>IF(crdmstvlr="stock",M*nbrvlress*kmvvlr*calcsklqfvlr/G,)</f>
        <v/>
      </c>
      <c r="AD162" s="330" t="str">
        <f>IF(crdmstvlr="stock",M*nbrvlress*kmvvlr*calcsklqfvlr/G,)</f>
        <v/>
      </c>
      <c r="AE162" s="330" t="str">
        <f>IF(crdmstvlr="stock",M*nbrvlress*kmvvlr*calcsklqfvlr/G,)</f>
        <v/>
      </c>
      <c r="AF162" s="330" t="str">
        <f>IF(crdmstvlr="stock",M*nbrvlress*kmvvlr*calcsklqfvlr/G,)</f>
        <v/>
      </c>
      <c r="AG162" s="330" t="str">
        <f>IF(crdmstvlr="stock",M*nbrvlress*kmvvlr*calcsklqfvlr/G,)</f>
        <v/>
      </c>
      <c r="AH162" s="330" t="str">
        <f>IF(crdmstvlr="stock",M*nbrvlress*kmvvlr*calcsklqfvlr/G,)</f>
        <v/>
      </c>
      <c r="AI162" s="318"/>
    </row>
    <row r="163" ht="14.25" customHeight="1" outlineLevel="4">
      <c r="A163" s="195"/>
      <c r="B163" s="201"/>
      <c r="C163" s="201"/>
      <c r="D163" s="201"/>
      <c r="E163" s="273" t="s">
        <v>1981</v>
      </c>
      <c r="F163" s="123" t="s">
        <v>135</v>
      </c>
      <c r="G163" s="123" t="s">
        <v>1982</v>
      </c>
      <c r="H163" s="330" t="str">
        <f>IF(crdmstvlr="stock",M*nbrvlrgzl*kmvvlr*calcsklqfvlr/G,)</f>
        <v/>
      </c>
      <c r="I163" s="330" t="str">
        <f>IF(crdmstvlr="stock",M*nbrvlrgzl*kmvvlr*calcsklqfvlr/G,)</f>
        <v/>
      </c>
      <c r="J163" s="330" t="str">
        <f>IF(crdmstvlr="stock",M*nbrvlrgzl*kmvvlr*calcsklqfvlr/G,)</f>
        <v/>
      </c>
      <c r="K163" s="330" t="str">
        <f>IF(crdmstvlr="stock",M*nbrvlrgzl*kmvvlr*calcsklqfvlr/G,)</f>
        <v/>
      </c>
      <c r="L163" s="330" t="str">
        <f>IF(crdmstvlr="stock",M*nbrvlrgzl*kmvvlr*calcsklqfvlr/G,)</f>
        <v/>
      </c>
      <c r="M163" s="330" t="str">
        <f>IF(crdmstvlr="stock",M*nbrvlrgzl*kmvvlr*calcsklqfvlr/G,)</f>
        <v/>
      </c>
      <c r="N163" s="330" t="str">
        <f>IF(crdmstvlr="stock",M*nbrvlrgzl*kmvvlr*calcsklqfvlr/G,)</f>
        <v/>
      </c>
      <c r="O163" s="330" t="str">
        <f>IF(crdmstvlr="stock",M*nbrvlrgzl*kmvvlr*calcsklqfvlr/G,)</f>
        <v/>
      </c>
      <c r="P163" s="330" t="str">
        <f>IF(crdmstvlr="stock",M*nbrvlrgzl*kmvvlr*calcsklqfvlr/G,)</f>
        <v/>
      </c>
      <c r="Q163" s="330" t="str">
        <f>IF(crdmstvlr="stock",M*nbrvlrgzl*kmvvlr*calcsklqfvlr/G,)</f>
        <v/>
      </c>
      <c r="R163" s="330" t="str">
        <f>IF(crdmstvlr="stock",M*nbrvlrgzl*kmvvlr*calcsklqfvlr/G,)</f>
        <v/>
      </c>
      <c r="S163" s="330" t="str">
        <f>IF(crdmstvlr="stock",M*nbrvlrgzl*kmvvlr*calcsklqfvlr/G,)</f>
        <v/>
      </c>
      <c r="T163" s="330" t="str">
        <f>IF(crdmstvlr="stock",M*nbrvlrgzl*kmvvlr*calcsklqfvlr/G,)</f>
        <v/>
      </c>
      <c r="U163" s="330" t="str">
        <f>IF(crdmstvlr="stock",M*nbrvlrgzl*kmvvlr*calcsklqfvlr/G,)</f>
        <v/>
      </c>
      <c r="V163" s="330" t="str">
        <f>IF(crdmstvlr="stock",M*nbrvlrgzl*kmvvlr*calcsklqfvlr/G,)</f>
        <v/>
      </c>
      <c r="W163" s="330" t="str">
        <f>IF(crdmstvlr="stock",M*nbrvlrgzl*kmvvlr*calcsklqfvlr/G,)</f>
        <v/>
      </c>
      <c r="X163" s="330" t="str">
        <f>IF(crdmstvlr="stock",M*nbrvlrgzl*kmvvlr*calcsklqfvlr/G,)</f>
        <v/>
      </c>
      <c r="Y163" s="330" t="str">
        <f>IF(crdmstvlr="stock",M*nbrvlrgzl*kmvvlr*calcsklqfvlr/G,)</f>
        <v/>
      </c>
      <c r="Z163" s="330" t="str">
        <f>IF(crdmstvlr="stock",M*nbrvlrgzl*kmvvlr*calcsklqfvlr/G,)</f>
        <v/>
      </c>
      <c r="AA163" s="330" t="str">
        <f>IF(crdmstvlr="stock",M*nbrvlrgzl*kmvvlr*calcsklqfvlr/G,)</f>
        <v/>
      </c>
      <c r="AB163" s="330" t="str">
        <f>IF(crdmstvlr="stock",M*nbrvlrgzl*kmvvlr*calcsklqfvlr/G,)</f>
        <v/>
      </c>
      <c r="AC163" s="330" t="str">
        <f>IF(crdmstvlr="stock",M*nbrvlrgzl*kmvvlr*calcsklqfvlr/G,)</f>
        <v/>
      </c>
      <c r="AD163" s="330" t="str">
        <f>IF(crdmstvlr="stock",M*nbrvlrgzl*kmvvlr*calcsklqfvlr/G,)</f>
        <v/>
      </c>
      <c r="AE163" s="330" t="str">
        <f>IF(crdmstvlr="stock",M*nbrvlrgzl*kmvvlr*calcsklqfvlr/G,)</f>
        <v/>
      </c>
      <c r="AF163" s="330" t="str">
        <f>IF(crdmstvlr="stock",M*nbrvlrgzl*kmvvlr*calcsklqfvlr/G,)</f>
        <v/>
      </c>
      <c r="AG163" s="330" t="str">
        <f>IF(crdmstvlr="stock",M*nbrvlrgzl*kmvvlr*calcsklqfvlr/G,)</f>
        <v/>
      </c>
      <c r="AH163" s="330" t="str">
        <f>IF(crdmstvlr="stock",M*nbrvlrgzl*kmvvlr*calcsklqfvlr/G,)</f>
        <v/>
      </c>
      <c r="AI163" s="318"/>
    </row>
    <row r="164" ht="14.25" customHeight="1" outlineLevel="4">
      <c r="A164" s="195"/>
      <c r="B164" s="201"/>
      <c r="C164" s="201"/>
      <c r="D164" s="201"/>
      <c r="E164" s="273" t="s">
        <v>1983</v>
      </c>
      <c r="F164" s="123" t="s">
        <v>135</v>
      </c>
      <c r="G164" s="123" t="s">
        <v>1984</v>
      </c>
      <c r="H164" s="330">
        <f>IF(crdmstvlr="vkm",M*vkmvlrgpl,M*nbrvlrgpl*kmvvlr)*calcskgplvlr/G</f>
        <v>0</v>
      </c>
      <c r="I164" s="330">
        <f>IF(crdmstvlr="vkm",M*vkmvlrgpl,M*nbrvlrgpl*kmvvlr)*calcskgplvlr/G</f>
        <v>0</v>
      </c>
      <c r="J164" s="330">
        <f>IF(crdmstvlr="vkm",M*vkmvlrgpl,M*nbrvlrgpl*kmvvlr)*calcskgplvlr/G</f>
        <v>0</v>
      </c>
      <c r="K164" s="330">
        <f>IF(crdmstvlr="vkm",M*vkmvlrgpl,M*nbrvlrgpl*kmvvlr)*calcskgplvlr/G</f>
        <v>0</v>
      </c>
      <c r="L164" s="330">
        <f>IF(crdmstvlr="vkm",M*vkmvlrgpl,M*nbrvlrgpl*kmvvlr)*calcskgplvlr/G</f>
        <v>0</v>
      </c>
      <c r="M164" s="330">
        <f>IF(crdmstvlr="vkm",M*vkmvlrgpl,M*nbrvlrgpl*kmvvlr)*calcskgplvlr/G</f>
        <v>0</v>
      </c>
      <c r="N164" s="330">
        <f>IF(crdmstvlr="vkm",M*vkmvlrgpl,M*nbrvlrgpl*kmvvlr)*calcskgplvlr/G</f>
        <v>0</v>
      </c>
      <c r="O164" s="330">
        <f>IF(crdmstvlr="vkm",M*vkmvlrgpl,M*nbrvlrgpl*kmvvlr)*calcskgplvlr/G</f>
        <v>0</v>
      </c>
      <c r="P164" s="330">
        <f>IF(crdmstvlr="vkm",M*vkmvlrgpl,M*nbrvlrgpl*kmvvlr)*calcskgplvlr/G</f>
        <v>0</v>
      </c>
      <c r="Q164" s="330">
        <f>IF(crdmstvlr="vkm",M*vkmvlrgpl,M*nbrvlrgpl*kmvvlr)*calcskgplvlr/G</f>
        <v>0</v>
      </c>
      <c r="R164" s="330">
        <f>IF(crdmstvlr="vkm",M*vkmvlrgpl,M*nbrvlrgpl*kmvvlr)*calcskgplvlr/G</f>
        <v>0</v>
      </c>
      <c r="S164" s="330">
        <f>IF(crdmstvlr="vkm",M*vkmvlrgpl,M*nbrvlrgpl*kmvvlr)*calcskgplvlr/G</f>
        <v>0</v>
      </c>
      <c r="T164" s="330">
        <f>IF(crdmstvlr="vkm",M*vkmvlrgpl,M*nbrvlrgpl*kmvvlr)*calcskgplvlr/G</f>
        <v>0</v>
      </c>
      <c r="U164" s="330">
        <f>IF(crdmstvlr="vkm",M*vkmvlrgpl,M*nbrvlrgpl*kmvvlr)*calcskgplvlr/G</f>
        <v>0</v>
      </c>
      <c r="V164" s="330">
        <f>IF(crdmstvlr="vkm",M*vkmvlrgpl,M*nbrvlrgpl*kmvvlr)*calcskgplvlr/G</f>
        <v>0</v>
      </c>
      <c r="W164" s="330">
        <f>IF(crdmstvlr="vkm",M*vkmvlrgpl,M*nbrvlrgpl*kmvvlr)*calcskgplvlr/G</f>
        <v>0.1125813969</v>
      </c>
      <c r="X164" s="330">
        <f>IF(crdmstvlr="vkm",M*vkmvlrgpl,M*nbrvlrgpl*kmvvlr)*calcskgplvlr/G</f>
        <v>0</v>
      </c>
      <c r="Y164" s="330">
        <f>IF(crdmstvlr="vkm",M*vkmvlrgpl,M*nbrvlrgpl*kmvvlr)*calcskgplvlr/G</f>
        <v>0</v>
      </c>
      <c r="Z164" s="330">
        <f>IF(crdmstvlr="vkm",M*vkmvlrgpl,M*nbrvlrgpl*kmvvlr)*calcskgplvlr/G</f>
        <v>0</v>
      </c>
      <c r="AA164" s="330">
        <f>IF(crdmstvlr="vkm",M*vkmvlrgpl,M*nbrvlrgpl*kmvvlr)*calcskgplvlr/G</f>
        <v>0</v>
      </c>
      <c r="AB164" s="330">
        <f>IF(crdmstvlr="vkm",M*vkmvlrgpl,M*nbrvlrgpl*kmvvlr)*calcskgplvlr/G</f>
        <v>0.1690590514</v>
      </c>
      <c r="AC164" s="330">
        <f>IF(crdmstvlr="vkm",M*vkmvlrgpl,M*nbrvlrgpl*kmvvlr)*calcskgplvlr/G</f>
        <v>0.1056503584</v>
      </c>
      <c r="AD164" s="330">
        <f>IF(crdmstvlr="vkm",M*vkmvlrgpl,M*nbrvlrgpl*kmvvlr)*calcskgplvlr/G</f>
        <v>0.04633337571</v>
      </c>
      <c r="AE164" s="330">
        <f>IF(crdmstvlr="vkm",M*vkmvlrgpl,M*nbrvlrgpl*kmvvlr)*calcskgplvlr/G</f>
        <v>0</v>
      </c>
      <c r="AF164" s="330">
        <f>IF(crdmstvlr="vkm",M*vkmvlrgpl,M*nbrvlrgpl*kmvvlr)*calcskgplvlr/G</f>
        <v>0</v>
      </c>
      <c r="AG164" s="330">
        <f>IF(crdmstvlr="vkm",M*vkmvlrgpl,M*nbrvlrgpl*kmvvlr)*calcskgplvlr/G</f>
        <v>0</v>
      </c>
      <c r="AH164" s="330">
        <f>IF(crdmstvlr="vkm",M*vkmvlrgpl,M*nbrvlrgpl*kmvvlr)*calcskgplvlr/G</f>
        <v>0</v>
      </c>
      <c r="AI164" s="318"/>
    </row>
    <row r="165" ht="14.25" customHeight="1" outlineLevel="4">
      <c r="A165" s="195"/>
      <c r="B165" s="201"/>
      <c r="C165" s="201"/>
      <c r="D165" s="201"/>
      <c r="E165" s="273" t="s">
        <v>1985</v>
      </c>
      <c r="F165" s="123" t="s">
        <v>135</v>
      </c>
      <c r="G165" s="123" t="s">
        <v>1986</v>
      </c>
      <c r="H165" s="330">
        <f>IF(crdmstvlr="vkm",M*vkmvlrngv,M*nbrvlrgna*kmvvlr)*calcskngvvlr/G</f>
        <v>0</v>
      </c>
      <c r="I165" s="330">
        <f>IF(crdmstvlr="vkm",M*vkmvlrngv,M*nbrvlrgna*kmvvlr)*calcskngvvlr/G</f>
        <v>0</v>
      </c>
      <c r="J165" s="330">
        <f>IF(crdmstvlr="vkm",M*vkmvlrngv,M*nbrvlrgna*kmvvlr)*calcskngvvlr/G</f>
        <v>0</v>
      </c>
      <c r="K165" s="330">
        <f>IF(crdmstvlr="vkm",M*vkmvlrngv,M*nbrvlrgna*kmvvlr)*calcskngvvlr/G</f>
        <v>0</v>
      </c>
      <c r="L165" s="330">
        <f>IF(crdmstvlr="vkm",M*vkmvlrngv,M*nbrvlrgna*kmvvlr)*calcskngvvlr/G</f>
        <v>0</v>
      </c>
      <c r="M165" s="330">
        <f>IF(crdmstvlr="vkm",M*vkmvlrngv,M*nbrvlrgna*kmvvlr)*calcskngvvlr/G</f>
        <v>0</v>
      </c>
      <c r="N165" s="330">
        <f>IF(crdmstvlr="vkm",M*vkmvlrngv,M*nbrvlrgna*kmvvlr)*calcskngvvlr/G</f>
        <v>0</v>
      </c>
      <c r="O165" s="330">
        <f>IF(crdmstvlr="vkm",M*vkmvlrngv,M*nbrvlrgna*kmvvlr)*calcskngvvlr/G</f>
        <v>0</v>
      </c>
      <c r="P165" s="330">
        <f>IF(crdmstvlr="vkm",M*vkmvlrngv,M*nbrvlrgna*kmvvlr)*calcskngvvlr/G</f>
        <v>0</v>
      </c>
      <c r="Q165" s="330">
        <f>IF(crdmstvlr="vkm",M*vkmvlrngv,M*nbrvlrgna*kmvvlr)*calcskngvvlr/G</f>
        <v>0</v>
      </c>
      <c r="R165" s="330">
        <f>IF(crdmstvlr="vkm",M*vkmvlrngv,M*nbrvlrgna*kmvvlr)*calcskngvvlr/G</f>
        <v>0</v>
      </c>
      <c r="S165" s="330">
        <f>IF(crdmstvlr="vkm",M*vkmvlrngv,M*nbrvlrgna*kmvvlr)*calcskngvvlr/G</f>
        <v>0</v>
      </c>
      <c r="T165" s="330">
        <f>IF(crdmstvlr="vkm",M*vkmvlrngv,M*nbrvlrgna*kmvvlr)*calcskngvvlr/G</f>
        <v>0</v>
      </c>
      <c r="U165" s="330">
        <f>IF(crdmstvlr="vkm",M*vkmvlrngv,M*nbrvlrgna*kmvvlr)*calcskngvvlr/G</f>
        <v>0</v>
      </c>
      <c r="V165" s="330">
        <f>IF(crdmstvlr="vkm",M*vkmvlrngv,M*nbrvlrgna*kmvvlr)*calcskngvvlr/G</f>
        <v>0</v>
      </c>
      <c r="W165" s="330">
        <f>IF(crdmstvlr="vkm",M*vkmvlrngv,M*nbrvlrgna*kmvvlr)*calcskngvvlr/G</f>
        <v>0.004237318461</v>
      </c>
      <c r="X165" s="330">
        <f>IF(crdmstvlr="vkm",M*vkmvlrngv,M*nbrvlrgna*kmvvlr)*calcskngvvlr/G</f>
        <v>0</v>
      </c>
      <c r="Y165" s="330">
        <f>IF(crdmstvlr="vkm",M*vkmvlrngv,M*nbrvlrgna*kmvvlr)*calcskngvvlr/G</f>
        <v>0</v>
      </c>
      <c r="Z165" s="330">
        <f>IF(crdmstvlr="vkm",M*vkmvlrngv,M*nbrvlrgna*kmvvlr)*calcskngvvlr/G</f>
        <v>0</v>
      </c>
      <c r="AA165" s="330">
        <f>IF(crdmstvlr="vkm",M*vkmvlrngv,M*nbrvlrgna*kmvvlr)*calcskngvvlr/G</f>
        <v>0</v>
      </c>
      <c r="AB165" s="330">
        <f>IF(crdmstvlr="vkm",M*vkmvlrngv,M*nbrvlrgna*kmvvlr)*calcskngvvlr/G</f>
        <v>0.0545189008</v>
      </c>
      <c r="AC165" s="330">
        <f>IF(crdmstvlr="vkm",M*vkmvlrngv,M*nbrvlrgna*kmvvlr)*calcskngvvlr/G</f>
        <v>0.0538314446</v>
      </c>
      <c r="AD165" s="330">
        <f>IF(crdmstvlr="vkm",M*vkmvlrngv,M*nbrvlrgna*kmvvlr)*calcskngvvlr/G</f>
        <v>0.02635920479</v>
      </c>
      <c r="AE165" s="330">
        <f>IF(crdmstvlr="vkm",M*vkmvlrngv,M*nbrvlrgna*kmvvlr)*calcskngvvlr/G</f>
        <v>0.01290134365</v>
      </c>
      <c r="AF165" s="330">
        <f>IF(crdmstvlr="vkm",M*vkmvlrngv,M*nbrvlrgna*kmvvlr)*calcskngvvlr/G</f>
        <v>0.003155771223</v>
      </c>
      <c r="AG165" s="330">
        <f>IF(crdmstvlr="vkm",M*vkmvlrngv,M*nbrvlrgna*kmvvlr)*calcskngvvlr/G</f>
        <v>0</v>
      </c>
      <c r="AH165" s="330">
        <f>IF(crdmstvlr="vkm",M*vkmvlrngv,M*nbrvlrgna*kmvvlr)*calcskngvvlr/G</f>
        <v>0</v>
      </c>
      <c r="AI165" s="318"/>
    </row>
    <row r="166" ht="14.25" customHeight="1" outlineLevel="4">
      <c r="A166" s="195"/>
      <c r="B166" s="201"/>
      <c r="C166" s="201"/>
      <c r="D166" s="201"/>
      <c r="E166" s="273" t="s">
        <v>1987</v>
      </c>
      <c r="F166" s="123" t="s">
        <v>135</v>
      </c>
      <c r="G166" s="123" t="s">
        <v>1988</v>
      </c>
      <c r="H166" s="330">
        <f>IF(crdmstvlr="vkm",M*vkmvlrhyd,M*nbrvlrhyd*kmvvpc)*calcskhydvlr/G</f>
        <v>0</v>
      </c>
      <c r="I166" s="330">
        <f>IF(crdmstvlr="vkm",M*vkmvlrhyd,M*nbrvlrhyd*kmvvpc)*calcskhydvlr/G</f>
        <v>0</v>
      </c>
      <c r="J166" s="330">
        <f>IF(crdmstvlr="vkm",M*vkmvlrhyd,M*nbrvlrhyd*kmvvpc)*calcskhydvlr/G</f>
        <v>0</v>
      </c>
      <c r="K166" s="330">
        <f>IF(crdmstvlr="vkm",M*vkmvlrhyd,M*nbrvlrhyd*kmvvpc)*calcskhydvlr/G</f>
        <v>0</v>
      </c>
      <c r="L166" s="330">
        <f>IF(crdmstvlr="vkm",M*vkmvlrhyd,M*nbrvlrhyd*kmvvpc)*calcskhydvlr/G</f>
        <v>0</v>
      </c>
      <c r="M166" s="330">
        <f>IF(crdmstvlr="vkm",M*vkmvlrhyd,M*nbrvlrhyd*kmvvpc)*calcskhydvlr/G</f>
        <v>0</v>
      </c>
      <c r="N166" s="330">
        <f>IF(crdmstvlr="vkm",M*vkmvlrhyd,M*nbrvlrhyd*kmvvpc)*calcskhydvlr/G</f>
        <v>0</v>
      </c>
      <c r="O166" s="330">
        <f>IF(crdmstvlr="vkm",M*vkmvlrhyd,M*nbrvlrhyd*kmvvpc)*calcskhydvlr/G</f>
        <v>0</v>
      </c>
      <c r="P166" s="330">
        <f>IF(crdmstvlr="vkm",M*vkmvlrhyd,M*nbrvlrhyd*kmvvpc)*calcskhydvlr/G</f>
        <v>0</v>
      </c>
      <c r="Q166" s="330">
        <f>IF(crdmstvlr="vkm",M*vkmvlrhyd,M*nbrvlrhyd*kmvvpc)*calcskhydvlr/G</f>
        <v>0</v>
      </c>
      <c r="R166" s="330">
        <f>IF(crdmstvlr="vkm",M*vkmvlrhyd,M*nbrvlrhyd*kmvvpc)*calcskhydvlr/G</f>
        <v>0</v>
      </c>
      <c r="S166" s="330">
        <f>IF(crdmstvlr="vkm",M*vkmvlrhyd,M*nbrvlrhyd*kmvvpc)*calcskhydvlr/G</f>
        <v>0</v>
      </c>
      <c r="T166" s="330">
        <f>IF(crdmstvlr="vkm",M*vkmvlrhyd,M*nbrvlrhyd*kmvvpc)*calcskhydvlr/G</f>
        <v>0</v>
      </c>
      <c r="U166" s="330">
        <f>IF(crdmstvlr="vkm",M*vkmvlrhyd,M*nbrvlrhyd*kmvvpc)*calcskhydvlr/G</f>
        <v>0</v>
      </c>
      <c r="V166" s="330">
        <f>IF(crdmstvlr="vkm",M*vkmvlrhyd,M*nbrvlrhyd*kmvvpc)*calcskhydvlr/G</f>
        <v>0</v>
      </c>
      <c r="W166" s="330">
        <f>IF(crdmstvlr="vkm",M*vkmvlrhyd,M*nbrvlrhyd*kmvvpc)*calcskhydvlr/G</f>
        <v>0</v>
      </c>
      <c r="X166" s="330">
        <f>IF(crdmstvlr="vkm",M*vkmvlrhyd,M*nbrvlrhyd*kmvvpc)*calcskhydvlr/G</f>
        <v>0</v>
      </c>
      <c r="Y166" s="330">
        <f>IF(crdmstvlr="vkm",M*vkmvlrhyd,M*nbrvlrhyd*kmvvpc)*calcskhydvlr/G</f>
        <v>0</v>
      </c>
      <c r="Z166" s="330">
        <f>IF(crdmstvlr="vkm",M*vkmvlrhyd,M*nbrvlrhyd*kmvvpc)*calcskhydvlr/G</f>
        <v>0</v>
      </c>
      <c r="AA166" s="330">
        <f>IF(crdmstvlr="vkm",M*vkmvlrhyd,M*nbrvlrhyd*kmvvpc)*calcskhydvlr/G</f>
        <v>0</v>
      </c>
      <c r="AB166" s="330">
        <f>IF(crdmstvlr="vkm",M*vkmvlrhyd,M*nbrvlrhyd*kmvvpc)*calcskhydvlr/G</f>
        <v>0</v>
      </c>
      <c r="AC166" s="330">
        <f>IF(crdmstvlr="vkm",M*vkmvlrhyd,M*nbrvlrhyd*kmvvpc)*calcskhydvlr/G</f>
        <v>0</v>
      </c>
      <c r="AD166" s="330">
        <f>IF(crdmstvlr="vkm",M*vkmvlrhyd,M*nbrvlrhyd*kmvvpc)*calcskhydvlr/G</f>
        <v>0</v>
      </c>
      <c r="AE166" s="330">
        <f>IF(crdmstvlr="vkm",M*vkmvlrhyd,M*nbrvlrhyd*kmvvpc)*calcskhydvlr/G</f>
        <v>0.07621173647</v>
      </c>
      <c r="AF166" s="330">
        <f>IF(crdmstvlr="vkm",M*vkmvlrhyd,M*nbrvlrhyd*kmvvpc)*calcskhydvlr/G</f>
        <v>0.2938987167</v>
      </c>
      <c r="AG166" s="330">
        <f>IF(crdmstvlr="vkm",M*vkmvlrhyd,M*nbrvlrhyd*kmvvpc)*calcskhydvlr/G</f>
        <v>0.8539820168</v>
      </c>
      <c r="AH166" s="330">
        <f>IF(crdmstvlr="vkm",M*vkmvlrhyd,M*nbrvlrhyd*kmvvpc)*calcskhydvlr/G</f>
        <v>1.397425118</v>
      </c>
      <c r="AI166" s="318"/>
    </row>
    <row r="167" ht="14.25" customHeight="1" outlineLevel="4">
      <c r="A167" s="195"/>
      <c r="B167" s="201"/>
      <c r="C167" s="201"/>
      <c r="D167" s="201"/>
      <c r="E167" s="273" t="s">
        <v>1989</v>
      </c>
      <c r="F167" s="123" t="s">
        <v>135</v>
      </c>
      <c r="G167" s="123" t="s">
        <v>1990</v>
      </c>
      <c r="H167" s="330">
        <f>IF(crdmstvlr="vkm",M*vkmvlrele,M*nbrvlrele*kmvvlr)*calcskelevlr/G</f>
        <v>0</v>
      </c>
      <c r="I167" s="330">
        <f>IF(crdmstvlr="vkm",M*vkmvlrele,M*nbrvlrele*kmvvlr)*calcskelevlr/G</f>
        <v>0</v>
      </c>
      <c r="J167" s="330">
        <f>IF(crdmstvlr="vkm",M*vkmvlrele,M*nbrvlrele*kmvvlr)*calcskelevlr/G</f>
        <v>0</v>
      </c>
      <c r="K167" s="330">
        <f>IF(crdmstvlr="vkm",M*vkmvlrele,M*nbrvlrele*kmvvlr)*calcskelevlr/G</f>
        <v>0</v>
      </c>
      <c r="L167" s="330">
        <f>IF(crdmstvlr="vkm",M*vkmvlrele,M*nbrvlrele*kmvvlr)*calcskelevlr/G</f>
        <v>0</v>
      </c>
      <c r="M167" s="330">
        <f>IF(crdmstvlr="vkm",M*vkmvlrele,M*nbrvlrele*kmvvlr)*calcskelevlr/G</f>
        <v>0</v>
      </c>
      <c r="N167" s="330">
        <f>IF(crdmstvlr="vkm",M*vkmvlrele,M*nbrvlrele*kmvvlr)*calcskelevlr/G</f>
        <v>0</v>
      </c>
      <c r="O167" s="330">
        <f>IF(crdmstvlr="vkm",M*vkmvlrele,M*nbrvlrele*kmvvlr)*calcskelevlr/G</f>
        <v>0</v>
      </c>
      <c r="P167" s="330">
        <f>IF(crdmstvlr="vkm",M*vkmvlrele,M*nbrvlrele*kmvvlr)*calcskelevlr/G</f>
        <v>0</v>
      </c>
      <c r="Q167" s="330">
        <f>IF(crdmstvlr="vkm",M*vkmvlrele,M*nbrvlrele*kmvvlr)*calcskelevlr/G</f>
        <v>0</v>
      </c>
      <c r="R167" s="330">
        <f>IF(crdmstvlr="vkm",M*vkmvlrele,M*nbrvlrele*kmvvlr)*calcskelevlr/G</f>
        <v>0</v>
      </c>
      <c r="S167" s="330">
        <f>IF(crdmstvlr="vkm",M*vkmvlrele,M*nbrvlrele*kmvvlr)*calcskelevlr/G</f>
        <v>0</v>
      </c>
      <c r="T167" s="330">
        <f>IF(crdmstvlr="vkm",M*vkmvlrele,M*nbrvlrele*kmvvlr)*calcskelevlr/G</f>
        <v>0</v>
      </c>
      <c r="U167" s="330">
        <f>IF(crdmstvlr="vkm",M*vkmvlrele,M*nbrvlrele*kmvvlr)*calcskelevlr/G</f>
        <v>0</v>
      </c>
      <c r="V167" s="330">
        <f>IF(crdmstvlr="vkm",M*vkmvlrele,M*nbrvlrele*kmvvlr)*calcskelevlr/G</f>
        <v>0</v>
      </c>
      <c r="W167" s="330">
        <f>IF(crdmstvlr="vkm",M*vkmvlrele,M*nbrvlrele*kmvvlr)*calcskelevlr/G</f>
        <v>0.001432608402</v>
      </c>
      <c r="X167" s="330">
        <f>IF(crdmstvlr="vkm",M*vkmvlrele,M*nbrvlrele*kmvvlr)*calcskelevlr/G</f>
        <v>0</v>
      </c>
      <c r="Y167" s="330">
        <f>IF(crdmstvlr="vkm",M*vkmvlrele,M*nbrvlrele*kmvvlr)*calcskelevlr/G</f>
        <v>0</v>
      </c>
      <c r="Z167" s="330">
        <f>IF(crdmstvlr="vkm",M*vkmvlrele,M*nbrvlrele*kmvvlr)*calcskelevlr/G</f>
        <v>0</v>
      </c>
      <c r="AA167" s="330">
        <f>IF(crdmstvlr="vkm",M*vkmvlrele,M*nbrvlrele*kmvvlr)*calcskelevlr/G</f>
        <v>0</v>
      </c>
      <c r="AB167" s="330">
        <f>IF(crdmstvlr="vkm",M*vkmvlrele,M*nbrvlrele*kmvvlr)*calcskelevlr/G</f>
        <v>0.00851505651</v>
      </c>
      <c r="AC167" s="330">
        <f>IF(crdmstvlr="vkm",M*vkmvlrele,M*nbrvlrele*kmvvlr)*calcskelevlr/G</f>
        <v>0.05721157944</v>
      </c>
      <c r="AD167" s="330">
        <f>IF(crdmstvlr="vkm",M*vkmvlrele,M*nbrvlrele*kmvvlr)*calcskelevlr/G</f>
        <v>0.5254126879</v>
      </c>
      <c r="AE167" s="330">
        <f>IF(crdmstvlr="vkm",M*vkmvlrele,M*nbrvlrele*kmvvlr)*calcskelevlr/G</f>
        <v>1.230240555</v>
      </c>
      <c r="AF167" s="330">
        <f>IF(crdmstvlr="vkm",M*vkmvlrele,M*nbrvlrele*kmvvlr)*calcskelevlr/G</f>
        <v>1.68659965</v>
      </c>
      <c r="AG167" s="330">
        <f>IF(crdmstvlr="vkm",M*vkmvlrele,M*nbrvlrele*kmvvlr)*calcskelevlr/G</f>
        <v>1.928431957</v>
      </c>
      <c r="AH167" s="330">
        <f>IF(crdmstvlr="vkm",M*vkmvlrele,M*nbrvlrele*kmvvlr)*calcskelevlr/G</f>
        <v>2.110558573</v>
      </c>
      <c r="AI167" s="318"/>
    </row>
    <row r="168" ht="14.25" customHeight="1" outlineLevel="4">
      <c r="A168" s="195"/>
      <c r="B168" s="201"/>
      <c r="C168" s="201"/>
      <c r="D168" s="201"/>
      <c r="E168" s="273" t="s">
        <v>1991</v>
      </c>
      <c r="F168" s="123" t="s">
        <v>135</v>
      </c>
      <c r="G168" s="123" t="s">
        <v>1992</v>
      </c>
      <c r="H168" s="330">
        <f t="array" ref="H168:AH168">IF(crdmstvlr="vkm",M*vkmvlrhybess,M*nbrvlrhybess*kmvvpc)*(1-elcvlrhyb)*calcskhybessvlr/G</f>
        <v>0</v>
      </c>
      <c r="I168" s="330">
        <v>0.0</v>
      </c>
      <c r="J168" s="330">
        <v>0.0</v>
      </c>
      <c r="K168" s="330">
        <v>0.0</v>
      </c>
      <c r="L168" s="330">
        <v>0.0</v>
      </c>
      <c r="M168" s="330">
        <v>0.0</v>
      </c>
      <c r="N168" s="330">
        <v>0.0</v>
      </c>
      <c r="O168" s="330">
        <v>0.0</v>
      </c>
      <c r="P168" s="330">
        <v>0.0</v>
      </c>
      <c r="Q168" s="330">
        <v>0.0</v>
      </c>
      <c r="R168" s="330">
        <v>0.0</v>
      </c>
      <c r="S168" s="330">
        <v>0.0</v>
      </c>
      <c r="T168" s="330">
        <v>0.0</v>
      </c>
      <c r="U168" s="330">
        <v>0.0</v>
      </c>
      <c r="V168" s="330">
        <v>0.0</v>
      </c>
      <c r="W168" s="330">
        <v>0.0</v>
      </c>
      <c r="X168" s="330">
        <v>0.0</v>
      </c>
      <c r="Y168" s="330">
        <v>0.0</v>
      </c>
      <c r="Z168" s="330">
        <v>0.0</v>
      </c>
      <c r="AA168" s="330">
        <v>0.0</v>
      </c>
      <c r="AB168" s="330">
        <v>0.0</v>
      </c>
      <c r="AC168" s="330">
        <v>0.0</v>
      </c>
      <c r="AD168" s="330">
        <v>0.0</v>
      </c>
      <c r="AE168" s="330">
        <v>0.0</v>
      </c>
      <c r="AF168" s="330">
        <v>0.0</v>
      </c>
      <c r="AG168" s="330">
        <v>0.0</v>
      </c>
      <c r="AH168" s="330">
        <v>0.0</v>
      </c>
      <c r="AI168" s="318"/>
    </row>
    <row r="169" ht="14.25" customHeight="1" outlineLevel="4">
      <c r="A169" s="195"/>
      <c r="B169" s="201"/>
      <c r="C169" s="201"/>
      <c r="D169" s="201"/>
      <c r="E169" s="273" t="s">
        <v>1993</v>
      </c>
      <c r="F169" s="123" t="s">
        <v>135</v>
      </c>
      <c r="G169" s="123" t="s">
        <v>1994</v>
      </c>
      <c r="H169" s="330">
        <f t="array" ref="H169:AH169">IF(crdmstvlr="vkm",M*vkmvlrhybgzl,M*nbrvlrhybgzl*kmvvpc)*(1-elcvlrhyb)*calcskhybgzlvlr/G</f>
        <v>0</v>
      </c>
      <c r="I169" s="330">
        <v>0.0</v>
      </c>
      <c r="J169" s="330">
        <v>0.0</v>
      </c>
      <c r="K169" s="330">
        <v>0.0</v>
      </c>
      <c r="L169" s="330">
        <v>0.0</v>
      </c>
      <c r="M169" s="330">
        <v>0.0</v>
      </c>
      <c r="N169" s="330">
        <v>0.0</v>
      </c>
      <c r="O169" s="330">
        <v>0.0</v>
      </c>
      <c r="P169" s="330">
        <v>0.0</v>
      </c>
      <c r="Q169" s="330">
        <v>0.0</v>
      </c>
      <c r="R169" s="330">
        <v>0.0</v>
      </c>
      <c r="S169" s="330">
        <v>0.0</v>
      </c>
      <c r="T169" s="330">
        <v>0.0</v>
      </c>
      <c r="U169" s="330">
        <v>0.0</v>
      </c>
      <c r="V169" s="330">
        <v>0.0</v>
      </c>
      <c r="W169" s="330">
        <v>0.0</v>
      </c>
      <c r="X169" s="330">
        <v>0.0</v>
      </c>
      <c r="Y169" s="330">
        <v>0.0</v>
      </c>
      <c r="Z169" s="330">
        <v>0.0</v>
      </c>
      <c r="AA169" s="330">
        <v>0.0</v>
      </c>
      <c r="AB169" s="330">
        <v>0.0</v>
      </c>
      <c r="AC169" s="330">
        <v>0.07923776879795268</v>
      </c>
      <c r="AD169" s="330">
        <v>0.5591315567797147</v>
      </c>
      <c r="AE169" s="330">
        <v>0.5843763227361093</v>
      </c>
      <c r="AF169" s="330">
        <v>0.4869802689467577</v>
      </c>
      <c r="AG169" s="330">
        <v>0.3165371748153925</v>
      </c>
      <c r="AH169" s="330">
        <v>0.0</v>
      </c>
      <c r="AI169" s="318"/>
    </row>
    <row r="170" ht="14.25" customHeight="1" outlineLevel="4">
      <c r="A170" s="195"/>
      <c r="B170" s="201"/>
      <c r="C170" s="201"/>
      <c r="D170" s="201"/>
      <c r="E170" s="273" t="s">
        <v>1995</v>
      </c>
      <c r="F170" s="123" t="s">
        <v>135</v>
      </c>
      <c r="G170" s="123" t="s">
        <v>1996</v>
      </c>
      <c r="H170" s="330">
        <f t="array" ref="H170:AH170">IF(crdmstvlr="vkm",M*vkmvlrhybgaz,M*nbrvlrhybgaz*kmvvpc)*(1-elcvlrhyb)*calcskhybgazvlr/G</f>
        <v>0</v>
      </c>
      <c r="I170" s="330">
        <v>0.0</v>
      </c>
      <c r="J170" s="330">
        <v>0.0</v>
      </c>
      <c r="K170" s="330">
        <v>0.0</v>
      </c>
      <c r="L170" s="330">
        <v>0.0</v>
      </c>
      <c r="M170" s="330">
        <v>0.0</v>
      </c>
      <c r="N170" s="330">
        <v>0.0</v>
      </c>
      <c r="O170" s="330">
        <v>0.0</v>
      </c>
      <c r="P170" s="330">
        <v>0.0</v>
      </c>
      <c r="Q170" s="330">
        <v>0.0</v>
      </c>
      <c r="R170" s="330">
        <v>0.0</v>
      </c>
      <c r="S170" s="330">
        <v>0.0</v>
      </c>
      <c r="T170" s="330">
        <v>0.0</v>
      </c>
      <c r="U170" s="330">
        <v>0.0</v>
      </c>
      <c r="V170" s="330">
        <v>0.0</v>
      </c>
      <c r="W170" s="330">
        <v>0.0</v>
      </c>
      <c r="X170" s="330">
        <v>0.0</v>
      </c>
      <c r="Y170" s="330">
        <v>0.0</v>
      </c>
      <c r="Z170" s="330">
        <v>0.0</v>
      </c>
      <c r="AA170" s="330">
        <v>0.0</v>
      </c>
      <c r="AB170" s="330">
        <v>0.0</v>
      </c>
      <c r="AC170" s="330">
        <v>0.0</v>
      </c>
      <c r="AD170" s="330">
        <v>0.10294230447641416</v>
      </c>
      <c r="AE170" s="330">
        <v>0.3023067022042864</v>
      </c>
      <c r="AF170" s="330">
        <v>0.5915729819586614</v>
      </c>
      <c r="AG170" s="330">
        <v>0.8677988392631233</v>
      </c>
      <c r="AH170" s="330">
        <v>1.205276165643227</v>
      </c>
      <c r="AI170" s="318"/>
    </row>
    <row r="171" ht="14.25" customHeight="1" outlineLevel="4">
      <c r="A171" s="195"/>
      <c r="B171" s="201"/>
      <c r="C171" s="201"/>
      <c r="D171" s="201"/>
      <c r="E171" s="273" t="s">
        <v>1997</v>
      </c>
      <c r="F171" s="123" t="s">
        <v>135</v>
      </c>
      <c r="G171" s="123" t="s">
        <v>1998</v>
      </c>
      <c r="H171" s="330">
        <f t="array" ref="H171:AH171">IF(crdmstvlr="vkm",M*(vkmvlrhybess+vkmvlrhybgzl+vkmvlrhybgaz),M*(nbrvlrhybess+nbrvlrhybgzl+nbrvlrhybgaz)*kmvvpc)*elcvlrhyb*calcskelehybvlr/G</f>
        <v>0</v>
      </c>
      <c r="I171" s="330">
        <v>0.0</v>
      </c>
      <c r="J171" s="330">
        <v>0.0</v>
      </c>
      <c r="K171" s="330">
        <v>0.0</v>
      </c>
      <c r="L171" s="330">
        <v>0.0</v>
      </c>
      <c r="M171" s="330">
        <v>0.0</v>
      </c>
      <c r="N171" s="330">
        <v>0.0</v>
      </c>
      <c r="O171" s="330">
        <v>0.0</v>
      </c>
      <c r="P171" s="330">
        <v>0.0</v>
      </c>
      <c r="Q171" s="330">
        <v>0.0</v>
      </c>
      <c r="R171" s="330">
        <v>0.0</v>
      </c>
      <c r="S171" s="330">
        <v>0.0</v>
      </c>
      <c r="T171" s="330">
        <v>0.0</v>
      </c>
      <c r="U171" s="330">
        <v>0.0</v>
      </c>
      <c r="V171" s="330">
        <v>0.0</v>
      </c>
      <c r="W171" s="330">
        <v>0.0</v>
      </c>
      <c r="X171" s="330">
        <v>0.0</v>
      </c>
      <c r="Y171" s="330">
        <v>0.0</v>
      </c>
      <c r="Z171" s="330">
        <v>0.0</v>
      </c>
      <c r="AA171" s="330">
        <v>0.0</v>
      </c>
      <c r="AB171" s="330">
        <v>0.0</v>
      </c>
      <c r="AC171" s="330">
        <v>0.010304679293864012</v>
      </c>
      <c r="AD171" s="330">
        <v>0.09726911999999999</v>
      </c>
      <c r="AE171" s="330">
        <v>0.14403312</v>
      </c>
      <c r="AF171" s="330">
        <v>0.17375424</v>
      </c>
      <c r="AG171" s="330">
        <v>0.190953</v>
      </c>
      <c r="AH171" s="330">
        <v>0.19485</v>
      </c>
      <c r="AI171" s="318"/>
    </row>
    <row r="172" ht="14.25" customHeight="1" outlineLevel="2">
      <c r="A172" s="439"/>
      <c r="B172" s="393" t="s">
        <v>1999</v>
      </c>
      <c r="C172" s="394"/>
      <c r="D172" s="394"/>
      <c r="E172" s="162"/>
      <c r="F172" s="162"/>
      <c r="G172" s="178"/>
      <c r="H172" s="178"/>
      <c r="I172" s="178"/>
      <c r="J172" s="178"/>
      <c r="K172" s="178"/>
      <c r="L172" s="178"/>
      <c r="M172" s="178"/>
      <c r="N172" s="178"/>
      <c r="O172" s="178"/>
      <c r="P172" s="178"/>
      <c r="Q172" s="178"/>
      <c r="R172" s="178"/>
      <c r="S172" s="178"/>
      <c r="T172" s="178"/>
      <c r="U172" s="178"/>
      <c r="V172" s="178"/>
      <c r="W172" s="178"/>
      <c r="X172" s="178"/>
      <c r="Y172" s="178"/>
      <c r="Z172" s="178"/>
      <c r="AA172" s="178"/>
      <c r="AB172" s="178"/>
      <c r="AC172" s="178"/>
      <c r="AD172" s="178"/>
      <c r="AE172" s="178"/>
      <c r="AF172" s="178"/>
      <c r="AG172" s="178"/>
      <c r="AH172" s="178"/>
      <c r="AI172" s="271"/>
    </row>
    <row r="173" ht="14.25" customHeight="1" outlineLevel="3">
      <c r="A173" s="439"/>
      <c r="B173" s="393"/>
      <c r="C173" s="393" t="s">
        <v>1815</v>
      </c>
      <c r="D173" s="394"/>
      <c r="E173" s="162"/>
      <c r="F173" s="162"/>
      <c r="G173" s="162"/>
      <c r="H173" s="178"/>
      <c r="I173" s="178"/>
      <c r="J173" s="178"/>
      <c r="K173" s="178"/>
      <c r="L173" s="178"/>
      <c r="M173" s="178"/>
      <c r="N173" s="178"/>
      <c r="O173" s="178"/>
      <c r="P173" s="178"/>
      <c r="Q173" s="178"/>
      <c r="R173" s="178"/>
      <c r="S173" s="178"/>
      <c r="T173" s="178"/>
      <c r="U173" s="178"/>
      <c r="V173" s="178"/>
      <c r="W173" s="178"/>
      <c r="X173" s="178"/>
      <c r="Y173" s="178"/>
      <c r="Z173" s="178"/>
      <c r="AA173" s="178"/>
      <c r="AB173" s="178"/>
      <c r="AC173" s="178"/>
      <c r="AD173" s="178"/>
      <c r="AE173" s="178"/>
      <c r="AF173" s="178"/>
      <c r="AG173" s="178"/>
      <c r="AH173" s="178"/>
      <c r="AI173" s="271"/>
    </row>
    <row r="174" ht="13.5" customHeight="1" outlineLevel="3">
      <c r="A174" s="195"/>
      <c r="B174" s="201"/>
      <c r="C174" s="201"/>
      <c r="D174" s="201"/>
      <c r="E174" s="316" t="s">
        <v>2000</v>
      </c>
      <c r="F174" s="316"/>
      <c r="G174" s="316" t="s">
        <v>2001</v>
      </c>
      <c r="H174" s="317" t="str">
        <f>IF(COUNTA(TruTrafficTkm)=0,IF(COUNTA(kmvcam)+COUNTA(nbrcam)=0,"Missing data","stock"),"tkm")</f>
        <v>tkm</v>
      </c>
      <c r="I174" s="317" t="str">
        <f>IF(COUNTA(TruTrafficTkm)=0,IF(COUNTA(kmvcam)+COUNTA(nbrcam)=0,"Missing data","stock"),"tkm")</f>
        <v>tkm</v>
      </c>
      <c r="J174" s="317" t="str">
        <f>IF(COUNTA(TruTrafficTkm)=0,IF(COUNTA(kmvcam)+COUNTA(nbrcam)=0,"Missing data","stock"),"tkm")</f>
        <v>tkm</v>
      </c>
      <c r="K174" s="317" t="str">
        <f>IF(COUNTA(TruTrafficTkm)=0,IF(COUNTA(kmvcam)+COUNTA(nbrcam)=0,"Missing data","stock"),"tkm")</f>
        <v>tkm</v>
      </c>
      <c r="L174" s="317" t="str">
        <f>IF(COUNTA(TruTrafficTkm)=0,IF(COUNTA(kmvcam)+COUNTA(nbrcam)=0,"Missing data","stock"),"tkm")</f>
        <v>tkm</v>
      </c>
      <c r="M174" s="317" t="str">
        <f>IF(COUNTA(TruTrafficTkm)=0,IF(COUNTA(kmvcam)+COUNTA(nbrcam)=0,"Missing data","stock"),"tkm")</f>
        <v>tkm</v>
      </c>
      <c r="N174" s="317" t="str">
        <f>IF(COUNTA(TruTrafficTkm)=0,IF(COUNTA(kmvcam)+COUNTA(nbrcam)=0,"Missing data","stock"),"tkm")</f>
        <v>tkm</v>
      </c>
      <c r="O174" s="317" t="str">
        <f>IF(COUNTA(TruTrafficTkm)=0,IF(COUNTA(kmvcam)+COUNTA(nbrcam)=0,"Missing data","stock"),"tkm")</f>
        <v>tkm</v>
      </c>
      <c r="P174" s="317" t="str">
        <f>IF(COUNTA(TruTrafficTkm)=0,IF(COUNTA(kmvcam)+COUNTA(nbrcam)=0,"Missing data","stock"),"tkm")</f>
        <v>tkm</v>
      </c>
      <c r="Q174" s="317" t="str">
        <f>IF(COUNTA(TruTrafficTkm)=0,IF(COUNTA(kmvcam)+COUNTA(nbrcam)=0,"Missing data","stock"),"tkm")</f>
        <v>tkm</v>
      </c>
      <c r="R174" s="317" t="str">
        <f>IF(COUNTA(TruTrafficTkm)=0,IF(COUNTA(kmvcam)+COUNTA(nbrcam)=0,"Missing data","stock"),"tkm")</f>
        <v>tkm</v>
      </c>
      <c r="S174" s="317" t="str">
        <f>IF(COUNTA(TruTrafficTkm)=0,IF(COUNTA(kmvcam)+COUNTA(nbrcam)=0,"Missing data","stock"),"tkm")</f>
        <v>tkm</v>
      </c>
      <c r="T174" s="317" t="str">
        <f>IF(COUNTA(TruTrafficTkm)=0,IF(COUNTA(kmvcam)+COUNTA(nbrcam)=0,"Missing data","stock"),"tkm")</f>
        <v>tkm</v>
      </c>
      <c r="U174" s="317" t="str">
        <f>IF(COUNTA(TruTrafficTkm)=0,IF(COUNTA(kmvcam)+COUNTA(nbrcam)=0,"Missing data","stock"),"tkm")</f>
        <v>tkm</v>
      </c>
      <c r="V174" s="317" t="str">
        <f>IF(COUNTA(TruTrafficTkm)=0,IF(COUNTA(kmvcam)+COUNTA(nbrcam)=0,"Missing data","stock"),"tkm")</f>
        <v>tkm</v>
      </c>
      <c r="W174" s="317" t="str">
        <f>IF(COUNTA(TruTrafficTkm)=0,IF(COUNTA(kmvcam)+COUNTA(nbrcam)=0,"Missing data","stock"),"tkm")</f>
        <v>tkm</v>
      </c>
      <c r="X174" s="317" t="str">
        <f>IF(COUNTA(TruTrafficTkm)=0,IF(COUNTA(kmvcam)+COUNTA(nbrcam)=0,"Missing data","stock"),"tkm")</f>
        <v>tkm</v>
      </c>
      <c r="Y174" s="317" t="str">
        <f>IF(COUNTA(TruTrafficTkm)=0,IF(COUNTA(kmvcam)+COUNTA(nbrcam)=0,"Missing data","stock"),"tkm")</f>
        <v>tkm</v>
      </c>
      <c r="Z174" s="317" t="str">
        <f>IF(COUNTA(TruTrafficTkm)=0,IF(COUNTA(kmvcam)+COUNTA(nbrcam)=0,"Missing data","stock"),"tkm")</f>
        <v>tkm</v>
      </c>
      <c r="AA174" s="317" t="str">
        <f>IF(COUNTA(TruTrafficTkm)=0,IF(COUNTA(kmvcam)+COUNTA(nbrcam)=0,"Missing data","stock"),"tkm")</f>
        <v>tkm</v>
      </c>
      <c r="AB174" s="317" t="str">
        <f>IF(COUNTA(TruTrafficTkm)=0,IF(COUNTA(kmvcam)+COUNTA(nbrcam)=0,"Missing data","stock"),"tkm")</f>
        <v>tkm</v>
      </c>
      <c r="AC174" s="317" t="str">
        <f>IF(COUNTA(TruTrafficTkm)=0,IF(COUNTA(kmvcam)+COUNTA(nbrcam)=0,"Missing data","stock"),"tkm")</f>
        <v>tkm</v>
      </c>
      <c r="AD174" s="317" t="str">
        <f>IF(COUNTA(TruTrafficTkm)=0,IF(COUNTA(kmvcam)+COUNTA(nbrcam)=0,"Missing data","stock"),"tkm")</f>
        <v>tkm</v>
      </c>
      <c r="AE174" s="317" t="str">
        <f>IF(COUNTA(TruTrafficTkm)=0,IF(COUNTA(kmvcam)+COUNTA(nbrcam)=0,"Missing data","stock"),"tkm")</f>
        <v>tkm</v>
      </c>
      <c r="AF174" s="317" t="str">
        <f>IF(COUNTA(TruTrafficTkm)=0,IF(COUNTA(kmvcam)+COUNTA(nbrcam)=0,"Missing data","stock"),"tkm")</f>
        <v>tkm</v>
      </c>
      <c r="AG174" s="317" t="str">
        <f>IF(COUNTA(TruTrafficTkm)=0,IF(COUNTA(kmvcam)+COUNTA(nbrcam)=0,"Missing data","stock"),"tkm")</f>
        <v>tkm</v>
      </c>
      <c r="AH174" s="317" t="str">
        <f>IF(COUNTA(TruTrafficTkm)=0,IF(COUNTA(kmvcam)+COUNTA(nbrcam)=0,"Missing data","stock"),"tkm")</f>
        <v>tkm</v>
      </c>
      <c r="AI174" s="125"/>
    </row>
    <row r="175" ht="13.5" customHeight="1" outlineLevel="1">
      <c r="A175" s="195"/>
      <c r="B175" s="201"/>
      <c r="C175" s="201"/>
      <c r="D175" s="201"/>
      <c r="E175" s="316" t="s">
        <v>2002</v>
      </c>
      <c r="F175" s="333"/>
      <c r="G175" s="334"/>
      <c r="H175" s="317" t="str">
        <f>IF(ABS(nbrcamvlr-(nbrcam+nbrvlr))&lt;=10^-4,"Ok","Inconsistent input data")</f>
        <v>Ok</v>
      </c>
      <c r="I175" s="317" t="str">
        <f>IF(ABS(nbrcamvlr-(nbrcam+nbrvlr))&lt;=10^-4,"Ok","Inconsistent input data")</f>
        <v>Ok</v>
      </c>
      <c r="J175" s="317" t="str">
        <f>IF(ABS(nbrcamvlr-(nbrcam+nbrvlr))&lt;=10^-4,"Ok","Inconsistent input data")</f>
        <v>Ok</v>
      </c>
      <c r="K175" s="317" t="str">
        <f>IF(ABS(nbrcamvlr-(nbrcam+nbrvlr))&lt;=10^-4,"Ok","Inconsistent input data")</f>
        <v>Ok</v>
      </c>
      <c r="L175" s="317" t="str">
        <f>IF(ABS(nbrcamvlr-(nbrcam+nbrvlr))&lt;=10^-4,"Ok","Inconsistent input data")</f>
        <v>Ok</v>
      </c>
      <c r="M175" s="317" t="str">
        <f>IF(ABS(nbrcamvlr-(nbrcam+nbrvlr))&lt;=10^-4,"Ok","Inconsistent input data")</f>
        <v>Ok</v>
      </c>
      <c r="N175" s="317" t="str">
        <f>IF(ABS(nbrcamvlr-(nbrcam+nbrvlr))&lt;=10^-4,"Ok","Inconsistent input data")</f>
        <v>Ok</v>
      </c>
      <c r="O175" s="317" t="str">
        <f>IF(ABS(nbrcamvlr-(nbrcam+nbrvlr))&lt;=10^-4,"Ok","Inconsistent input data")</f>
        <v>Ok</v>
      </c>
      <c r="P175" s="317" t="str">
        <f>IF(ABS(nbrcamvlr-(nbrcam+nbrvlr))&lt;=10^-4,"Ok","Inconsistent input data")</f>
        <v>Ok</v>
      </c>
      <c r="Q175" s="317" t="str">
        <f>IF(ABS(nbrcamvlr-(nbrcam+nbrvlr))&lt;=10^-4,"Ok","Inconsistent input data")</f>
        <v>Ok</v>
      </c>
      <c r="R175" s="317" t="str">
        <f>IF(ABS(nbrcamvlr-(nbrcam+nbrvlr))&lt;=10^-4,"Ok","Inconsistent input data")</f>
        <v>Ok</v>
      </c>
      <c r="S175" s="317" t="str">
        <f>IF(ABS(nbrcamvlr-(nbrcam+nbrvlr))&lt;=10^-4,"Ok","Inconsistent input data")</f>
        <v>Ok</v>
      </c>
      <c r="T175" s="317" t="str">
        <f>IF(ABS(nbrcamvlr-(nbrcam+nbrvlr))&lt;=10^-4,"Ok","Inconsistent input data")</f>
        <v>Ok</v>
      </c>
      <c r="U175" s="317" t="str">
        <f>IF(ABS(nbrcamvlr-(nbrcam+nbrvlr))&lt;=10^-4,"Ok","Inconsistent input data")</f>
        <v>Ok</v>
      </c>
      <c r="V175" s="317" t="str">
        <f>IF(ABS(nbrcamvlr-(nbrcam+nbrvlr))&lt;=10^-4,"Ok","Inconsistent input data")</f>
        <v>Ok</v>
      </c>
      <c r="W175" s="317" t="str">
        <f>IF(ABS(nbrcamvlr-(nbrcam+nbrvlr))&lt;=10^-4,"Ok","Inconsistent input data")</f>
        <v>Ok</v>
      </c>
      <c r="X175" s="317" t="str">
        <f>IF(ABS(nbrcamvlr-(nbrcam+nbrvlr))&lt;=10^-4,"Ok","Inconsistent input data")</f>
        <v>Ok</v>
      </c>
      <c r="Y175" s="317" t="str">
        <f>IF(ABS(nbrcamvlr-(nbrcam+nbrvlr))&lt;=10^-4,"Ok","Inconsistent input data")</f>
        <v>Ok</v>
      </c>
      <c r="Z175" s="317" t="str">
        <f>IF(ABS(nbrcamvlr-(nbrcam+nbrvlr))&lt;=10^-4,"Ok","Inconsistent input data")</f>
        <v>Ok</v>
      </c>
      <c r="AA175" s="317" t="str">
        <f>IF(ABS(nbrcamvlr-(nbrcam+nbrvlr))&lt;=10^-4,"Ok","Inconsistent input data")</f>
        <v>Ok</v>
      </c>
      <c r="AB175" s="317" t="str">
        <f>IF(ABS(nbrcamvlr-(nbrcam+nbrvlr))&lt;=10^-4,"Ok","Inconsistent input data")</f>
        <v>Ok</v>
      </c>
      <c r="AC175" s="317" t="str">
        <f>IF(ABS(nbrcamvlr-(nbrcam+nbrvlr))&lt;=10^-4,"Ok","Inconsistent input data")</f>
        <v>Ok</v>
      </c>
      <c r="AD175" s="317" t="str">
        <f>IF(ABS(nbrcamvlr-(nbrcam+nbrvlr))&lt;=10^-4,"Ok","Inconsistent input data")</f>
        <v>Ok</v>
      </c>
      <c r="AE175" s="317" t="str">
        <f>IF(ABS(nbrcamvlr-(nbrcam+nbrvlr))&lt;=10^-4,"Ok","Inconsistent input data")</f>
        <v>Ok</v>
      </c>
      <c r="AF175" s="317" t="str">
        <f>IF(ABS(nbrcamvlr-(nbrcam+nbrvlr))&lt;=10^-4,"Ok","Inconsistent input data")</f>
        <v>Ok</v>
      </c>
      <c r="AG175" s="317" t="str">
        <f>IF(ABS(nbrcamvlr-(nbrcam+nbrvlr))&lt;=10^-4,"Ok","Inconsistent input data")</f>
        <v>Ok</v>
      </c>
      <c r="AH175" s="317" t="str">
        <f>IF(ABS(nbrcamvlr-(nbrcam+nbrvlr))&lt;=10^-4,"Ok","Inconsistent input data")</f>
        <v>Ok</v>
      </c>
      <c r="AI175" s="125"/>
    </row>
    <row r="176" ht="13.5" customHeight="1" outlineLevel="2">
      <c r="A176" s="195"/>
      <c r="B176" s="201"/>
      <c r="C176" s="246"/>
      <c r="D176" s="201"/>
      <c r="E176" s="316" t="s">
        <v>2003</v>
      </c>
      <c r="F176" s="316"/>
      <c r="G176" s="316" t="s">
        <v>2004</v>
      </c>
      <c r="H176" s="317" t="str">
        <f>IF(AND(ISBLANK(nbrcamvlress),ISBLANK(nbrcamvlrgzl)),"NoDis","Dis")</f>
        <v>Dis</v>
      </c>
      <c r="I176" s="317" t="str">
        <f>IF(AND(ISBLANK(nbrcamvlress),ISBLANK(nbrcamvlrgzl)),"NoDis","Dis")</f>
        <v>Dis</v>
      </c>
      <c r="J176" s="317" t="str">
        <f>IF(AND(ISBLANK(nbrcamvlress),ISBLANK(nbrcamvlrgzl)),"NoDis","Dis")</f>
        <v>Dis</v>
      </c>
      <c r="K176" s="317" t="str">
        <f>IF(AND(ISBLANK(nbrcamvlress),ISBLANK(nbrcamvlrgzl)),"NoDis","Dis")</f>
        <v>Dis</v>
      </c>
      <c r="L176" s="317" t="str">
        <f>IF(AND(ISBLANK(nbrcamvlress),ISBLANK(nbrcamvlrgzl)),"NoDis","Dis")</f>
        <v>Dis</v>
      </c>
      <c r="M176" s="317" t="str">
        <f>IF(AND(ISBLANK(nbrcamvlress),ISBLANK(nbrcamvlrgzl)),"NoDis","Dis")</f>
        <v>Dis</v>
      </c>
      <c r="N176" s="317" t="str">
        <f>IF(AND(ISBLANK(nbrcamvlress),ISBLANK(nbrcamvlrgzl)),"NoDis","Dis")</f>
        <v>Dis</v>
      </c>
      <c r="O176" s="317" t="str">
        <f>IF(AND(ISBLANK(nbrcamvlress),ISBLANK(nbrcamvlrgzl)),"NoDis","Dis")</f>
        <v>Dis</v>
      </c>
      <c r="P176" s="317" t="str">
        <f>IF(AND(ISBLANK(nbrcamvlress),ISBLANK(nbrcamvlrgzl)),"NoDis","Dis")</f>
        <v>Dis</v>
      </c>
      <c r="Q176" s="317" t="str">
        <f>IF(AND(ISBLANK(nbrcamvlress),ISBLANK(nbrcamvlrgzl)),"NoDis","Dis")</f>
        <v>Dis</v>
      </c>
      <c r="R176" s="317" t="str">
        <f>IF(AND(ISBLANK(nbrcamvlress),ISBLANK(nbrcamvlrgzl)),"NoDis","Dis")</f>
        <v>Dis</v>
      </c>
      <c r="S176" s="317" t="str">
        <f>IF(AND(ISBLANK(nbrcamvlress),ISBLANK(nbrcamvlrgzl)),"NoDis","Dis")</f>
        <v>Dis</v>
      </c>
      <c r="T176" s="317" t="str">
        <f>IF(AND(ISBLANK(nbrcamvlress),ISBLANK(nbrcamvlrgzl)),"NoDis","Dis")</f>
        <v>Dis</v>
      </c>
      <c r="U176" s="317" t="str">
        <f>IF(AND(ISBLANK(nbrcamvlress),ISBLANK(nbrcamvlrgzl)),"NoDis","Dis")</f>
        <v>Dis</v>
      </c>
      <c r="V176" s="317" t="str">
        <f>IF(AND(ISBLANK(nbrcamvlress),ISBLANK(nbrcamvlrgzl)),"NoDis","Dis")</f>
        <v>Dis</v>
      </c>
      <c r="W176" s="317" t="str">
        <f>IF(AND(ISBLANK(nbrcamvlress),ISBLANK(nbrcamvlrgzl)),"NoDis","Dis")</f>
        <v>Dis</v>
      </c>
      <c r="X176" s="317" t="str">
        <f>IF(AND(ISBLANK(nbrcamvlress),ISBLANK(nbrcamvlrgzl)),"NoDis","Dis")</f>
        <v>Dis</v>
      </c>
      <c r="Y176" s="317" t="str">
        <f>IF(AND(ISBLANK(nbrcamvlress),ISBLANK(nbrcamvlrgzl)),"NoDis","Dis")</f>
        <v>Dis</v>
      </c>
      <c r="Z176" s="317" t="str">
        <f>IF(AND(ISBLANK(nbrcamvlress),ISBLANK(nbrcamvlrgzl)),"NoDis","Dis")</f>
        <v>NoDis</v>
      </c>
      <c r="AA176" s="317" t="str">
        <f>IF(AND(ISBLANK(nbrcamvlress),ISBLANK(nbrcamvlrgzl)),"NoDis","Dis")</f>
        <v>NoDis</v>
      </c>
      <c r="AB176" s="317" t="str">
        <f>IF(AND(ISBLANK(nbrcamvlress),ISBLANK(nbrcamvlrgzl)),"NoDis","Dis")</f>
        <v>NoDis</v>
      </c>
      <c r="AC176" s="317" t="str">
        <f>IF(AND(ISBLANK(nbrcamvlress),ISBLANK(nbrcamvlrgzl)),"NoDis","Dis")</f>
        <v>NoDis</v>
      </c>
      <c r="AD176" s="317" t="str">
        <f>IF(AND(ISBLANK(nbrcamvlress),ISBLANK(nbrcamvlrgzl)),"NoDis","Dis")</f>
        <v>NoDis</v>
      </c>
      <c r="AE176" s="317" t="str">
        <f>IF(AND(ISBLANK(nbrcamvlress),ISBLANK(nbrcamvlrgzl)),"NoDis","Dis")</f>
        <v>NoDis</v>
      </c>
      <c r="AF176" s="317" t="str">
        <f>IF(AND(ISBLANK(nbrcamvlress),ISBLANK(nbrcamvlrgzl)),"NoDis","Dis")</f>
        <v>NoDis</v>
      </c>
      <c r="AG176" s="317" t="str">
        <f>IF(AND(ISBLANK(nbrcamvlress),ISBLANK(nbrcamvlrgzl)),"NoDis","Dis")</f>
        <v>NoDis</v>
      </c>
      <c r="AH176" s="317" t="str">
        <f>IF(AND(ISBLANK(nbrcamvlress),ISBLANK(nbrcamvlrgzl)),"NoDis","Dis")</f>
        <v>NoDis</v>
      </c>
      <c r="AI176" s="125"/>
    </row>
    <row r="177" ht="14.25" customHeight="1" outlineLevel="4">
      <c r="A177" s="195"/>
      <c r="B177" s="201"/>
      <c r="C177" s="201"/>
      <c r="D177" s="201"/>
      <c r="E177" s="273" t="s">
        <v>2005</v>
      </c>
      <c r="F177" s="123"/>
      <c r="G177" s="123" t="s">
        <v>2006</v>
      </c>
      <c r="H177" s="330">
        <f>nbrcamvlress-nbrvlress</f>
        <v>0.0003</v>
      </c>
      <c r="I177" s="330">
        <f>nbrcamvlress-nbrvlress</f>
        <v>0.0001</v>
      </c>
      <c r="J177" s="330">
        <f>nbrcamvlress-nbrvlress</f>
        <v>0.0502</v>
      </c>
      <c r="K177" s="330">
        <f>nbrcamvlress-nbrvlress</f>
        <v>0.0469</v>
      </c>
      <c r="L177" s="330">
        <f>nbrcamvlress-nbrvlress</f>
        <v>0.0033</v>
      </c>
      <c r="M177" s="330">
        <f>nbrcamvlress-nbrvlress</f>
        <v>0.0037</v>
      </c>
      <c r="N177" s="330">
        <f>nbrcamvlress-nbrvlress</f>
        <v>0.0038</v>
      </c>
      <c r="O177" s="330">
        <f>nbrcamvlress-nbrvlress</f>
        <v>0.0036</v>
      </c>
      <c r="P177" s="330">
        <f>nbrcamvlress-nbrvlress</f>
        <v>0.0034</v>
      </c>
      <c r="Q177" s="330">
        <f>nbrcamvlress-nbrvlress</f>
        <v>0.0032</v>
      </c>
      <c r="R177" s="330">
        <f>nbrcamvlress-nbrvlress</f>
        <v>0.0031</v>
      </c>
      <c r="S177" s="330">
        <f>nbrcamvlress-nbrvlress</f>
        <v>0.0031</v>
      </c>
      <c r="T177" s="330">
        <f>nbrcamvlress-nbrvlress</f>
        <v>0.0026</v>
      </c>
      <c r="U177" s="330">
        <f>nbrcamvlress-nbrvlress</f>
        <v>0.0025</v>
      </c>
      <c r="V177" s="330">
        <f>nbrcamvlress-nbrvlress</f>
        <v>0.0026</v>
      </c>
      <c r="W177" s="330">
        <f>nbrcamvlress-nbrvlress</f>
        <v>0.0026</v>
      </c>
      <c r="X177" s="330">
        <f>nbrcamvlress-nbrvlress</f>
        <v>0.0028</v>
      </c>
      <c r="Y177" s="330">
        <f>nbrcamvlress-nbrvlress</f>
        <v>0.0028</v>
      </c>
      <c r="Z177" s="330">
        <f>nbrcamvlress-nbrvlress</f>
        <v>0</v>
      </c>
      <c r="AA177" s="330">
        <f>nbrcamvlress-nbrvlress</f>
        <v>0</v>
      </c>
      <c r="AB177" s="330">
        <f>nbrcamvlress-nbrvlress</f>
        <v>0</v>
      </c>
      <c r="AC177" s="330">
        <f>nbrcamvlress-nbrvlress</f>
        <v>0</v>
      </c>
      <c r="AD177" s="330">
        <f>nbrcamvlress-nbrvlress</f>
        <v>0</v>
      </c>
      <c r="AE177" s="330">
        <f>nbrcamvlress-nbrvlress</f>
        <v>0</v>
      </c>
      <c r="AF177" s="330">
        <f>nbrcamvlress-nbrvlress</f>
        <v>0</v>
      </c>
      <c r="AG177" s="330">
        <f>nbrcamvlress-nbrvlress</f>
        <v>0</v>
      </c>
      <c r="AH177" s="330">
        <f>nbrcamvlress-nbrvlress</f>
        <v>0</v>
      </c>
      <c r="AI177" s="318"/>
    </row>
    <row r="178" ht="14.25" customHeight="1" outlineLevel="4">
      <c r="A178" s="195"/>
      <c r="B178" s="201"/>
      <c r="C178" s="201"/>
      <c r="D178" s="201"/>
      <c r="E178" s="273" t="s">
        <v>2007</v>
      </c>
      <c r="F178" s="123"/>
      <c r="G178" s="123" t="s">
        <v>2008</v>
      </c>
      <c r="H178" s="330">
        <f>nbrcamvlrgzl-nbrvlrgzl</f>
        <v>0.1153</v>
      </c>
      <c r="I178" s="330">
        <f>nbrcamvlrgzl-nbrvlrgzl</f>
        <v>0.1157</v>
      </c>
      <c r="J178" s="330">
        <f>nbrcamvlrgzl-nbrvlrgzl</f>
        <v>0.5161</v>
      </c>
      <c r="K178" s="330">
        <f>nbrcamvlrgzl-nbrvlrgzl</f>
        <v>0.5356</v>
      </c>
      <c r="L178" s="330">
        <f>nbrcamvlrgzl-nbrvlrgzl</f>
        <v>0.1305</v>
      </c>
      <c r="M178" s="330">
        <f>nbrcamvlrgzl-nbrvlrgzl</f>
        <v>0.1323</v>
      </c>
      <c r="N178" s="330">
        <f>nbrcamvlrgzl-nbrvlrgzl</f>
        <v>0.134</v>
      </c>
      <c r="O178" s="330">
        <f>nbrcamvlrgzl-nbrvlrgzl</f>
        <v>0.1351</v>
      </c>
      <c r="P178" s="330">
        <f>nbrcamvlrgzl-nbrvlrgzl</f>
        <v>0.1385</v>
      </c>
      <c r="Q178" s="330">
        <f>nbrcamvlrgzl-nbrvlrgzl</f>
        <v>0.1361</v>
      </c>
      <c r="R178" s="330">
        <f>nbrcamvlrgzl-nbrvlrgzl</f>
        <v>0.1307</v>
      </c>
      <c r="S178" s="330">
        <f>nbrcamvlrgzl-nbrvlrgzl</f>
        <v>0.1363</v>
      </c>
      <c r="T178" s="330">
        <f>nbrcamvlrgzl-nbrvlrgzl</f>
        <v>0.134</v>
      </c>
      <c r="U178" s="330">
        <f>nbrcamvlrgzl-nbrvlrgzl</f>
        <v>0.1396</v>
      </c>
      <c r="V178" s="330">
        <f>nbrcamvlrgzl-nbrvlrgzl</f>
        <v>0.1393</v>
      </c>
      <c r="W178" s="330">
        <f>nbrcamvlrgzl-nbrvlrgzl</f>
        <v>0.1402</v>
      </c>
      <c r="X178" s="330">
        <f>nbrcamvlrgzl-nbrvlrgzl</f>
        <v>0.1386</v>
      </c>
      <c r="Y178" s="330">
        <f>nbrcamvlrgzl-nbrvlrgzl</f>
        <v>0.1401</v>
      </c>
      <c r="Z178" s="330">
        <f>nbrcamvlrgzl-nbrvlrgzl</f>
        <v>0</v>
      </c>
      <c r="AA178" s="330">
        <f>nbrcamvlrgzl-nbrvlrgzl</f>
        <v>0</v>
      </c>
      <c r="AB178" s="330">
        <f>nbrcamvlrgzl-nbrvlrgzl</f>
        <v>0</v>
      </c>
      <c r="AC178" s="330">
        <f>nbrcamvlrgzl-nbrvlrgzl</f>
        <v>0</v>
      </c>
      <c r="AD178" s="330">
        <f>nbrcamvlrgzl-nbrvlrgzl</f>
        <v>0</v>
      </c>
      <c r="AE178" s="330">
        <f>nbrcamvlrgzl-nbrvlrgzl</f>
        <v>0</v>
      </c>
      <c r="AF178" s="330">
        <f>nbrcamvlrgzl-nbrvlrgzl</f>
        <v>0</v>
      </c>
      <c r="AG178" s="330">
        <f>nbrcamvlrgzl-nbrvlrgzl</f>
        <v>0</v>
      </c>
      <c r="AH178" s="330">
        <f>nbrcamvlrgzl-nbrvlrgzl</f>
        <v>0</v>
      </c>
      <c r="AI178" s="318"/>
    </row>
    <row r="179" ht="13.5" customHeight="1" outlineLevel="1">
      <c r="A179" s="195"/>
      <c r="B179" s="201"/>
      <c r="C179" s="201"/>
      <c r="D179" s="201"/>
      <c r="E179" s="316" t="s">
        <v>2009</v>
      </c>
      <c r="F179" s="333"/>
      <c r="G179" s="334"/>
      <c r="H179" s="317" t="str">
        <f>IF(crdmstcam="stock",IF(ABS(nbrcam-(calnbrcamess+calnbrcamgzl))&gt;10^-4+1,"Warning: Significant number of other trucks","Ok"),"NA")</f>
        <v>NA</v>
      </c>
      <c r="I179" s="317" t="str">
        <f>IF(crdmstcam="stock",IF(ABS(nbrcam-(calnbrcamess+calnbrcamgzl))&gt;10^-4+1,"Warning: Significant number of other trucks","Ok"),"NA")</f>
        <v>NA</v>
      </c>
      <c r="J179" s="317" t="str">
        <f>IF(crdmstcam="stock",IF(ABS(nbrcam-(calnbrcamess+calnbrcamgzl))&gt;10^-4+1,"Warning: Significant number of other trucks","Ok"),"NA")</f>
        <v>NA</v>
      </c>
      <c r="K179" s="317" t="str">
        <f>IF(crdmstcam="stock",IF(ABS(nbrcam-(calnbrcamess+calnbrcamgzl))&gt;10^-4+1,"Warning: Significant number of other trucks","Ok"),"NA")</f>
        <v>NA</v>
      </c>
      <c r="L179" s="317" t="str">
        <f>IF(crdmstcam="stock",IF(ABS(nbrcam-(calnbrcamess+calnbrcamgzl))&gt;10^-4+1,"Warning: Significant number of other trucks","Ok"),"NA")</f>
        <v>NA</v>
      </c>
      <c r="M179" s="317" t="str">
        <f>IF(crdmstcam="stock",IF(ABS(nbrcam-(calnbrcamess+calnbrcamgzl))&gt;10^-4+1,"Warning: Significant number of other trucks","Ok"),"NA")</f>
        <v>NA</v>
      </c>
      <c r="N179" s="317" t="str">
        <f>IF(crdmstcam="stock",IF(ABS(nbrcam-(calnbrcamess+calnbrcamgzl))&gt;10^-4+1,"Warning: Significant number of other trucks","Ok"),"NA")</f>
        <v>NA</v>
      </c>
      <c r="O179" s="317" t="str">
        <f>IF(crdmstcam="stock",IF(ABS(nbrcam-(calnbrcamess+calnbrcamgzl))&gt;10^-4+1,"Warning: Significant number of other trucks","Ok"),"NA")</f>
        <v>NA</v>
      </c>
      <c r="P179" s="317" t="str">
        <f>IF(crdmstcam="stock",IF(ABS(nbrcam-(calnbrcamess+calnbrcamgzl))&gt;10^-4+1,"Warning: Significant number of other trucks","Ok"),"NA")</f>
        <v>NA</v>
      </c>
      <c r="Q179" s="317" t="str">
        <f>IF(crdmstcam="stock",IF(ABS(nbrcam-(calnbrcamess+calnbrcamgzl))&gt;10^-4+1,"Warning: Significant number of other trucks","Ok"),"NA")</f>
        <v>NA</v>
      </c>
      <c r="R179" s="317" t="str">
        <f>IF(crdmstcam="stock",IF(ABS(nbrcam-(calnbrcamess+calnbrcamgzl))&gt;10^-4+1,"Warning: Significant number of other trucks","Ok"),"NA")</f>
        <v>NA</v>
      </c>
      <c r="S179" s="317" t="str">
        <f>IF(crdmstcam="stock",IF(ABS(nbrcam-(calnbrcamess+calnbrcamgzl))&gt;10^-4+1,"Warning: Significant number of other trucks","Ok"),"NA")</f>
        <v>NA</v>
      </c>
      <c r="T179" s="317" t="str">
        <f>IF(crdmstcam="stock",IF(ABS(nbrcam-(calnbrcamess+calnbrcamgzl))&gt;10^-4+1,"Warning: Significant number of other trucks","Ok"),"NA")</f>
        <v>NA</v>
      </c>
      <c r="U179" s="317" t="str">
        <f>IF(crdmstcam="stock",IF(ABS(nbrcam-(calnbrcamess+calnbrcamgzl))&gt;10^-4+1,"Warning: Significant number of other trucks","Ok"),"NA")</f>
        <v>NA</v>
      </c>
      <c r="V179" s="317" t="str">
        <f>IF(crdmstcam="stock",IF(ABS(nbrcam-(calnbrcamess+calnbrcamgzl))&gt;10^-4+1,"Warning: Significant number of other trucks","Ok"),"NA")</f>
        <v>NA</v>
      </c>
      <c r="W179" s="317" t="str">
        <f>IF(crdmstcam="stock",IF(ABS(nbrcam-(calnbrcamess+calnbrcamgzl))&gt;10^-4+1,"Warning: Significant number of other trucks","Ok"),"NA")</f>
        <v>NA</v>
      </c>
      <c r="X179" s="317" t="str">
        <f>IF(crdmstcam="stock",IF(ABS(nbrcam-(calnbrcamess+calnbrcamgzl))&gt;10^-4+1,"Warning: Significant number of other trucks","Ok"),"NA")</f>
        <v>NA</v>
      </c>
      <c r="Y179" s="317" t="str">
        <f>IF(crdmstcam="stock",IF(ABS(nbrcam-(calnbrcamess+calnbrcamgzl))&gt;10^-4+1,"Warning: Significant number of other trucks","Ok"),"NA")</f>
        <v>NA</v>
      </c>
      <c r="Z179" s="317" t="str">
        <f>IF(crdmstcam="stock",IF(ABS(nbrcam-(calnbrcamess+calnbrcamgzl))&gt;10^-4+1,"Warning: Significant number of other trucks","Ok"),"NA")</f>
        <v>NA</v>
      </c>
      <c r="AA179" s="317" t="str">
        <f>IF(crdmstcam="stock",IF(ABS(nbrcam-(calnbrcamess+calnbrcamgzl))&gt;10^-4+1,"Warning: Significant number of other trucks","Ok"),"NA")</f>
        <v>NA</v>
      </c>
      <c r="AB179" s="317" t="str">
        <f>IF(crdmstcam="stock",IF(ABS(nbrcam-(calnbrcamess+calnbrcamgzl))&gt;10^-4+1,"Warning: Significant number of other trucks","Ok"),"NA")</f>
        <v>NA</v>
      </c>
      <c r="AC179" s="317" t="str">
        <f>IF(crdmstcam="stock",IF(ABS(nbrcam-(calnbrcamess+calnbrcamgzl))&gt;10^-4+1,"Warning: Significant number of other trucks","Ok"),"NA")</f>
        <v>NA</v>
      </c>
      <c r="AD179" s="317" t="str">
        <f>IF(crdmstcam="stock",IF(ABS(nbrcam-(calnbrcamess+calnbrcamgzl))&gt;10^-4+1,"Warning: Significant number of other trucks","Ok"),"NA")</f>
        <v>NA</v>
      </c>
      <c r="AE179" s="317" t="str">
        <f>IF(crdmstcam="stock",IF(ABS(nbrcam-(calnbrcamess+calnbrcamgzl))&gt;10^-4+1,"Warning: Significant number of other trucks","Ok"),"NA")</f>
        <v>NA</v>
      </c>
      <c r="AF179" s="317" t="str">
        <f>IF(crdmstcam="stock",IF(ABS(nbrcam-(calnbrcamess+calnbrcamgzl))&gt;10^-4+1,"Warning: Significant number of other trucks","Ok"),"NA")</f>
        <v>NA</v>
      </c>
      <c r="AG179" s="317" t="str">
        <f>IF(crdmstcam="stock",IF(ABS(nbrcam-(calnbrcamess+calnbrcamgzl))&gt;10^-4+1,"Warning: Significant number of other trucks","Ok"),"NA")</f>
        <v>NA</v>
      </c>
      <c r="AH179" s="317" t="str">
        <f>IF(crdmstcam="stock",IF(ABS(nbrcam-(calnbrcamess+calnbrcamgzl))&gt;10^-4+1,"Warning: Significant number of other trucks","Ok"),"NA")</f>
        <v>NA</v>
      </c>
      <c r="AI179" s="125"/>
    </row>
    <row r="180" ht="14.25" customHeight="1" outlineLevel="4">
      <c r="A180" s="195"/>
      <c r="B180" s="201"/>
      <c r="C180" s="201"/>
      <c r="D180" s="201"/>
      <c r="E180" s="273" t="s">
        <v>2010</v>
      </c>
      <c r="F180" s="123"/>
      <c r="G180" s="123" t="s">
        <v>2011</v>
      </c>
      <c r="H180" s="330">
        <f>(nbrcam-(calnbrcamess+calnbrcamgzl))/4</f>
        <v>0.01215</v>
      </c>
      <c r="I180" s="330">
        <f>(nbrcam-(calnbrcamess+calnbrcamgzl))/4</f>
        <v>0.012575</v>
      </c>
      <c r="J180" s="330">
        <f>(nbrcam-(calnbrcamess+calnbrcamgzl))/4</f>
        <v>-0.10305</v>
      </c>
      <c r="K180" s="330">
        <f>(nbrcam-(calnbrcamess+calnbrcamgzl))/4</f>
        <v>-0.1073</v>
      </c>
      <c r="L180" s="330">
        <f>(nbrcam-(calnbrcamess+calnbrcamgzl))/4</f>
        <v>0.004875</v>
      </c>
      <c r="M180" s="330">
        <f>(nbrcam-(calnbrcamess+calnbrcamgzl))/4</f>
        <v>0.004475</v>
      </c>
      <c r="N180" s="330">
        <f>(nbrcam-(calnbrcamess+calnbrcamgzl))/4</f>
        <v>0.004025</v>
      </c>
      <c r="O180" s="330">
        <f>(nbrcam-(calnbrcamess+calnbrcamgzl))/4</f>
        <v>0.00405</v>
      </c>
      <c r="P180" s="330">
        <f>(nbrcam-(calnbrcamess+calnbrcamgzl))/4</f>
        <v>0.0034</v>
      </c>
      <c r="Q180" s="330">
        <f>(nbrcam-(calnbrcamess+calnbrcamgzl))/4</f>
        <v>0.0032</v>
      </c>
      <c r="R180" s="330">
        <f>(nbrcam-(calnbrcamess+calnbrcamgzl))/4</f>
        <v>0.0044</v>
      </c>
      <c r="S180" s="330">
        <f>(nbrcam-(calnbrcamess+calnbrcamgzl))/4</f>
        <v>0.002725</v>
      </c>
      <c r="T180" s="330">
        <f>(nbrcam-(calnbrcamess+calnbrcamgzl))/4</f>
        <v>0.0034</v>
      </c>
      <c r="U180" s="330">
        <f>(nbrcam-(calnbrcamess+calnbrcamgzl))/4</f>
        <v>0.002025</v>
      </c>
      <c r="V180" s="330">
        <f>(nbrcam-(calnbrcamess+calnbrcamgzl))/4</f>
        <v>0.002025</v>
      </c>
      <c r="W180" s="330">
        <f>(nbrcam-(calnbrcamess+calnbrcamgzl))/4</f>
        <v>0.002</v>
      </c>
      <c r="X180" s="330">
        <f>(nbrcam-(calnbrcamess+calnbrcamgzl))/4</f>
        <v>0.002125</v>
      </c>
      <c r="Y180" s="330">
        <f>(nbrcam-(calnbrcamess+calnbrcamgzl))/4</f>
        <v>0.002125</v>
      </c>
      <c r="Z180" s="330">
        <f>(nbrcam-(calnbrcamess+calnbrcamgzl))/4</f>
        <v>0</v>
      </c>
      <c r="AA180" s="330">
        <f>(nbrcam-(calnbrcamess+calnbrcamgzl))/4</f>
        <v>0</v>
      </c>
      <c r="AB180" s="330">
        <f>(nbrcam-(calnbrcamess+calnbrcamgzl))/4</f>
        <v>0</v>
      </c>
      <c r="AC180" s="330">
        <f>(nbrcam-(calnbrcamess+calnbrcamgzl))/4</f>
        <v>0</v>
      </c>
      <c r="AD180" s="330">
        <f>(nbrcam-(calnbrcamess+calnbrcamgzl))/4</f>
        <v>0</v>
      </c>
      <c r="AE180" s="330">
        <f>(nbrcam-(calnbrcamess+calnbrcamgzl))/4</f>
        <v>0</v>
      </c>
      <c r="AF180" s="330">
        <f>(nbrcam-(calnbrcamess+calnbrcamgzl))/4</f>
        <v>0</v>
      </c>
      <c r="AG180" s="330">
        <f>(nbrcam-(calnbrcamess+calnbrcamgzl))/4</f>
        <v>0</v>
      </c>
      <c r="AH180" s="330">
        <f>(nbrcam-(calnbrcamess+calnbrcamgzl))/4</f>
        <v>0</v>
      </c>
      <c r="AI180" s="318"/>
    </row>
    <row r="181" ht="14.25" customHeight="1" outlineLevel="4">
      <c r="A181" s="195"/>
      <c r="B181" s="201"/>
      <c r="C181" s="201"/>
      <c r="D181" s="201"/>
      <c r="E181" s="273" t="s">
        <v>2012</v>
      </c>
      <c r="F181" s="123"/>
      <c r="G181" s="123" t="s">
        <v>2013</v>
      </c>
      <c r="H181" s="330">
        <f>(nbrcam-(calnbrcamess+calnbrcamgzl))/4</f>
        <v>0.01215</v>
      </c>
      <c r="I181" s="330">
        <f>(nbrcam-(calnbrcamess+calnbrcamgzl))/4</f>
        <v>0.012575</v>
      </c>
      <c r="J181" s="330">
        <f>(nbrcam-(calnbrcamess+calnbrcamgzl))/4</f>
        <v>-0.10305</v>
      </c>
      <c r="K181" s="330">
        <f>(nbrcam-(calnbrcamess+calnbrcamgzl))/4</f>
        <v>-0.1073</v>
      </c>
      <c r="L181" s="330">
        <f>(nbrcam-(calnbrcamess+calnbrcamgzl))/4</f>
        <v>0.004875</v>
      </c>
      <c r="M181" s="330">
        <f>(nbrcam-(calnbrcamess+calnbrcamgzl))/4</f>
        <v>0.004475</v>
      </c>
      <c r="N181" s="330">
        <f>(nbrcam-(calnbrcamess+calnbrcamgzl))/4</f>
        <v>0.004025</v>
      </c>
      <c r="O181" s="330">
        <f>(nbrcam-(calnbrcamess+calnbrcamgzl))/4</f>
        <v>0.00405</v>
      </c>
      <c r="P181" s="330">
        <f>(nbrcam-(calnbrcamess+calnbrcamgzl))/4</f>
        <v>0.0034</v>
      </c>
      <c r="Q181" s="330">
        <f>(nbrcam-(calnbrcamess+calnbrcamgzl))/4</f>
        <v>0.0032</v>
      </c>
      <c r="R181" s="330">
        <f>(nbrcam-(calnbrcamess+calnbrcamgzl))/4</f>
        <v>0.0044</v>
      </c>
      <c r="S181" s="330">
        <f>(nbrcam-(calnbrcamess+calnbrcamgzl))/4</f>
        <v>0.002725</v>
      </c>
      <c r="T181" s="330">
        <f>(nbrcam-(calnbrcamess+calnbrcamgzl))/4</f>
        <v>0.0034</v>
      </c>
      <c r="U181" s="330">
        <f>(nbrcam-(calnbrcamess+calnbrcamgzl))/4</f>
        <v>0.002025</v>
      </c>
      <c r="V181" s="330">
        <f>(nbrcam-(calnbrcamess+calnbrcamgzl))/4</f>
        <v>0.002025</v>
      </c>
      <c r="W181" s="330">
        <f>(nbrcam-(calnbrcamess+calnbrcamgzl))/4</f>
        <v>0.002</v>
      </c>
      <c r="X181" s="330">
        <f>(nbrcam-(calnbrcamess+calnbrcamgzl))/4</f>
        <v>0.002125</v>
      </c>
      <c r="Y181" s="330">
        <f>(nbrcam-(calnbrcamess+calnbrcamgzl))/4</f>
        <v>0.002125</v>
      </c>
      <c r="Z181" s="330">
        <f>(nbrcam-(calnbrcamess+calnbrcamgzl))/4</f>
        <v>0</v>
      </c>
      <c r="AA181" s="330">
        <f>(nbrcam-(calnbrcamess+calnbrcamgzl))/4</f>
        <v>0</v>
      </c>
      <c r="AB181" s="330">
        <f>(nbrcam-(calnbrcamess+calnbrcamgzl))/4</f>
        <v>0</v>
      </c>
      <c r="AC181" s="330">
        <f>(nbrcam-(calnbrcamess+calnbrcamgzl))/4</f>
        <v>0</v>
      </c>
      <c r="AD181" s="330">
        <f>(nbrcam-(calnbrcamess+calnbrcamgzl))/4</f>
        <v>0</v>
      </c>
      <c r="AE181" s="330">
        <f>(nbrcam-(calnbrcamess+calnbrcamgzl))/4</f>
        <v>0</v>
      </c>
      <c r="AF181" s="330">
        <f>(nbrcam-(calnbrcamess+calnbrcamgzl))/4</f>
        <v>0</v>
      </c>
      <c r="AG181" s="330">
        <f>(nbrcam-(calnbrcamess+calnbrcamgzl))/4</f>
        <v>0</v>
      </c>
      <c r="AH181" s="330">
        <f>(nbrcam-(calnbrcamess+calnbrcamgzl))/4</f>
        <v>0</v>
      </c>
      <c r="AI181" s="318"/>
    </row>
    <row r="182" ht="14.25" customHeight="1" outlineLevel="4">
      <c r="A182" s="195"/>
      <c r="B182" s="201"/>
      <c r="C182" s="201"/>
      <c r="D182" s="201"/>
      <c r="E182" s="273" t="s">
        <v>2014</v>
      </c>
      <c r="F182" s="123"/>
      <c r="G182" s="123" t="s">
        <v>2015</v>
      </c>
      <c r="H182" s="330">
        <f>(nbrcam-(calnbrcamess+calnbrcamgzl))/4</f>
        <v>0.01215</v>
      </c>
      <c r="I182" s="330">
        <f>(nbrcam-(calnbrcamess+calnbrcamgzl))/4</f>
        <v>0.012575</v>
      </c>
      <c r="J182" s="330">
        <f>(nbrcam-(calnbrcamess+calnbrcamgzl))/4</f>
        <v>-0.10305</v>
      </c>
      <c r="K182" s="330">
        <f>(nbrcam-(calnbrcamess+calnbrcamgzl))/4</f>
        <v>-0.1073</v>
      </c>
      <c r="L182" s="330">
        <f>(nbrcam-(calnbrcamess+calnbrcamgzl))/4</f>
        <v>0.004875</v>
      </c>
      <c r="M182" s="330">
        <f>(nbrcam-(calnbrcamess+calnbrcamgzl))/4</f>
        <v>0.004475</v>
      </c>
      <c r="N182" s="330">
        <f>(nbrcam-(calnbrcamess+calnbrcamgzl))/4</f>
        <v>0.004025</v>
      </c>
      <c r="O182" s="330">
        <f>(nbrcam-(calnbrcamess+calnbrcamgzl))/4</f>
        <v>0.00405</v>
      </c>
      <c r="P182" s="330">
        <f>(nbrcam-(calnbrcamess+calnbrcamgzl))/4</f>
        <v>0.0034</v>
      </c>
      <c r="Q182" s="330">
        <f>(nbrcam-(calnbrcamess+calnbrcamgzl))/4</f>
        <v>0.0032</v>
      </c>
      <c r="R182" s="330">
        <f>(nbrcam-(calnbrcamess+calnbrcamgzl))/4</f>
        <v>0.0044</v>
      </c>
      <c r="S182" s="330">
        <f>(nbrcam-(calnbrcamess+calnbrcamgzl))/4</f>
        <v>0.002725</v>
      </c>
      <c r="T182" s="330">
        <f>(nbrcam-(calnbrcamess+calnbrcamgzl))/4</f>
        <v>0.0034</v>
      </c>
      <c r="U182" s="330">
        <f>(nbrcam-(calnbrcamess+calnbrcamgzl))/4</f>
        <v>0.002025</v>
      </c>
      <c r="V182" s="330">
        <f>(nbrcam-(calnbrcamess+calnbrcamgzl))/4</f>
        <v>0.002025</v>
      </c>
      <c r="W182" s="330">
        <f>(nbrcam-(calnbrcamess+calnbrcamgzl))/4</f>
        <v>0.002</v>
      </c>
      <c r="X182" s="330">
        <f>(nbrcam-(calnbrcamess+calnbrcamgzl))/4</f>
        <v>0.002125</v>
      </c>
      <c r="Y182" s="330">
        <f>(nbrcam-(calnbrcamess+calnbrcamgzl))/4</f>
        <v>0.002125</v>
      </c>
      <c r="Z182" s="330">
        <f>(nbrcam-(calnbrcamess+calnbrcamgzl))/4</f>
        <v>0</v>
      </c>
      <c r="AA182" s="330">
        <f>(nbrcam-(calnbrcamess+calnbrcamgzl))/4</f>
        <v>0</v>
      </c>
      <c r="AB182" s="330">
        <f>(nbrcam-(calnbrcamess+calnbrcamgzl))/4</f>
        <v>0</v>
      </c>
      <c r="AC182" s="330">
        <f>(nbrcam-(calnbrcamess+calnbrcamgzl))/4</f>
        <v>0</v>
      </c>
      <c r="AD182" s="330">
        <f>(nbrcam-(calnbrcamess+calnbrcamgzl))/4</f>
        <v>0</v>
      </c>
      <c r="AE182" s="330">
        <f>(nbrcam-(calnbrcamess+calnbrcamgzl))/4</f>
        <v>0</v>
      </c>
      <c r="AF182" s="330">
        <f>(nbrcam-(calnbrcamess+calnbrcamgzl))/4</f>
        <v>0</v>
      </c>
      <c r="AG182" s="330">
        <f>(nbrcam-(calnbrcamess+calnbrcamgzl))/4</f>
        <v>0</v>
      </c>
      <c r="AH182" s="330">
        <f>(nbrcam-(calnbrcamess+calnbrcamgzl))/4</f>
        <v>0</v>
      </c>
      <c r="AI182" s="318"/>
    </row>
    <row r="183" ht="14.25" customHeight="1" outlineLevel="4">
      <c r="A183" s="195"/>
      <c r="B183" s="201"/>
      <c r="C183" s="201"/>
      <c r="D183" s="201"/>
      <c r="E183" s="273" t="s">
        <v>2016</v>
      </c>
      <c r="F183" s="123"/>
      <c r="G183" s="123" t="s">
        <v>2017</v>
      </c>
      <c r="H183" s="330">
        <f>(nbrcam-(calnbrcamess+calnbrcamgzl))/4</f>
        <v>0.01215</v>
      </c>
      <c r="I183" s="330">
        <f>(nbrcam-(calnbrcamess+calnbrcamgzl))/4</f>
        <v>0.012575</v>
      </c>
      <c r="J183" s="330">
        <f>(nbrcam-(calnbrcamess+calnbrcamgzl))/4</f>
        <v>-0.10305</v>
      </c>
      <c r="K183" s="330">
        <f>(nbrcam-(calnbrcamess+calnbrcamgzl))/4</f>
        <v>-0.1073</v>
      </c>
      <c r="L183" s="330">
        <f>(nbrcam-(calnbrcamess+calnbrcamgzl))/4</f>
        <v>0.004875</v>
      </c>
      <c r="M183" s="330">
        <f>(nbrcam-(calnbrcamess+calnbrcamgzl))/4</f>
        <v>0.004475</v>
      </c>
      <c r="N183" s="330">
        <f>(nbrcam-(calnbrcamess+calnbrcamgzl))/4</f>
        <v>0.004025</v>
      </c>
      <c r="O183" s="330">
        <f>(nbrcam-(calnbrcamess+calnbrcamgzl))/4</f>
        <v>0.00405</v>
      </c>
      <c r="P183" s="330">
        <f>(nbrcam-(calnbrcamess+calnbrcamgzl))/4</f>
        <v>0.0034</v>
      </c>
      <c r="Q183" s="330">
        <f>(nbrcam-(calnbrcamess+calnbrcamgzl))/4</f>
        <v>0.0032</v>
      </c>
      <c r="R183" s="330">
        <f>(nbrcam-(calnbrcamess+calnbrcamgzl))/4</f>
        <v>0.0044</v>
      </c>
      <c r="S183" s="330">
        <f>(nbrcam-(calnbrcamess+calnbrcamgzl))/4</f>
        <v>0.002725</v>
      </c>
      <c r="T183" s="330">
        <f>(nbrcam-(calnbrcamess+calnbrcamgzl))/4</f>
        <v>0.0034</v>
      </c>
      <c r="U183" s="330">
        <f>(nbrcam-(calnbrcamess+calnbrcamgzl))/4</f>
        <v>0.002025</v>
      </c>
      <c r="V183" s="330">
        <f>(nbrcam-(calnbrcamess+calnbrcamgzl))/4</f>
        <v>0.002025</v>
      </c>
      <c r="W183" s="330">
        <f>(nbrcam-(calnbrcamess+calnbrcamgzl))/4</f>
        <v>0.002</v>
      </c>
      <c r="X183" s="330">
        <f>(nbrcam-(calnbrcamess+calnbrcamgzl))/4</f>
        <v>0.002125</v>
      </c>
      <c r="Y183" s="330">
        <f>(nbrcam-(calnbrcamess+calnbrcamgzl))/4</f>
        <v>0.002125</v>
      </c>
      <c r="Z183" s="330">
        <f>(nbrcam-(calnbrcamess+calnbrcamgzl))/4</f>
        <v>0</v>
      </c>
      <c r="AA183" s="330">
        <f>(nbrcam-(calnbrcamess+calnbrcamgzl))/4</f>
        <v>0</v>
      </c>
      <c r="AB183" s="330">
        <f>(nbrcam-(calnbrcamess+calnbrcamgzl))/4</f>
        <v>0</v>
      </c>
      <c r="AC183" s="330">
        <f>(nbrcam-(calnbrcamess+calnbrcamgzl))/4</f>
        <v>0</v>
      </c>
      <c r="AD183" s="330">
        <f>(nbrcam-(calnbrcamess+calnbrcamgzl))/4</f>
        <v>0</v>
      </c>
      <c r="AE183" s="330">
        <f>(nbrcam-(calnbrcamess+calnbrcamgzl))/4</f>
        <v>0</v>
      </c>
      <c r="AF183" s="330">
        <f>(nbrcam-(calnbrcamess+calnbrcamgzl))/4</f>
        <v>0</v>
      </c>
      <c r="AG183" s="330">
        <f>(nbrcam-(calnbrcamess+calnbrcamgzl))/4</f>
        <v>0</v>
      </c>
      <c r="AH183" s="330">
        <f>(nbrcam-(calnbrcamess+calnbrcamgzl))/4</f>
        <v>0</v>
      </c>
      <c r="AI183" s="318"/>
    </row>
    <row r="184" ht="14.25" customHeight="1" outlineLevel="3">
      <c r="A184" s="439"/>
      <c r="B184" s="393"/>
      <c r="C184" s="393" t="s">
        <v>1824</v>
      </c>
      <c r="D184" s="394"/>
      <c r="E184" s="162"/>
      <c r="F184" s="162"/>
      <c r="G184" s="162"/>
      <c r="H184" s="178"/>
      <c r="I184" s="178"/>
      <c r="J184" s="178"/>
      <c r="K184" s="178"/>
      <c r="L184" s="178"/>
      <c r="M184" s="178"/>
      <c r="N184" s="178"/>
      <c r="O184" s="178"/>
      <c r="P184" s="178"/>
      <c r="Q184" s="178"/>
      <c r="R184" s="178"/>
      <c r="S184" s="178"/>
      <c r="T184" s="178"/>
      <c r="U184" s="178"/>
      <c r="V184" s="178"/>
      <c r="W184" s="178"/>
      <c r="X184" s="178"/>
      <c r="Y184" s="178"/>
      <c r="Z184" s="178"/>
      <c r="AA184" s="178"/>
      <c r="AB184" s="178"/>
      <c r="AC184" s="178"/>
      <c r="AD184" s="178"/>
      <c r="AE184" s="178"/>
      <c r="AF184" s="178"/>
      <c r="AG184" s="178"/>
      <c r="AH184" s="178"/>
      <c r="AI184" s="271"/>
    </row>
    <row r="185" ht="14.25" customHeight="1" outlineLevel="4">
      <c r="A185" s="195"/>
      <c r="B185" s="201"/>
      <c r="C185" s="201"/>
      <c r="D185" s="201"/>
      <c r="E185" s="273" t="s">
        <v>2018</v>
      </c>
      <c r="F185" s="249" t="s">
        <v>1412</v>
      </c>
      <c r="G185" s="123" t="s">
        <v>2019</v>
      </c>
      <c r="H185" s="274">
        <f t="array" ref="H185:AH185">cscamgzl/100*IF(pcspci="HHV",prmcebvpcgzl,prmcenvpcgzl)</f>
        <v>0</v>
      </c>
      <c r="I185" s="274">
        <v>0.0</v>
      </c>
      <c r="J185" s="274">
        <v>0.0</v>
      </c>
      <c r="K185" s="274">
        <v>0.0</v>
      </c>
      <c r="L185" s="274">
        <v>0.0</v>
      </c>
      <c r="M185" s="274">
        <v>0.0</v>
      </c>
      <c r="N185" s="274">
        <v>0.0</v>
      </c>
      <c r="O185" s="274">
        <v>0.0</v>
      </c>
      <c r="P185" s="274">
        <v>0.0</v>
      </c>
      <c r="Q185" s="274">
        <v>0.0</v>
      </c>
      <c r="R185" s="274">
        <v>0.0</v>
      </c>
      <c r="S185" s="274">
        <v>0.0</v>
      </c>
      <c r="T185" s="274">
        <v>0.0</v>
      </c>
      <c r="U185" s="274">
        <v>0.0</v>
      </c>
      <c r="V185" s="274">
        <v>0.0</v>
      </c>
      <c r="W185" s="274">
        <v>4.362954875136003</v>
      </c>
      <c r="X185" s="274">
        <v>0.0</v>
      </c>
      <c r="Y185" s="274">
        <v>0.0</v>
      </c>
      <c r="Z185" s="274">
        <v>0.0</v>
      </c>
      <c r="AA185" s="274">
        <v>0.0</v>
      </c>
      <c r="AB185" s="274">
        <v>4.232066228881921</v>
      </c>
      <c r="AC185" s="274">
        <v>4.144807131379203</v>
      </c>
      <c r="AD185" s="274">
        <v>4.0575480338764836</v>
      </c>
      <c r="AE185" s="274">
        <v>3.970288936373765</v>
      </c>
      <c r="AF185" s="274">
        <v>3.970288936373765</v>
      </c>
      <c r="AG185" s="274">
        <v>3.970288936373765</v>
      </c>
      <c r="AH185" s="274">
        <v>3.970288936373765</v>
      </c>
      <c r="AI185" s="318"/>
    </row>
    <row r="186" ht="14.25" customHeight="1" outlineLevel="4">
      <c r="A186" s="100"/>
      <c r="B186" s="100"/>
      <c r="C186" s="100"/>
      <c r="D186" s="100"/>
      <c r="E186" s="273" t="s">
        <v>2020</v>
      </c>
      <c r="F186" s="123" t="s">
        <v>1412</v>
      </c>
      <c r="G186" s="123" t="s">
        <v>2021</v>
      </c>
      <c r="H186" s="274">
        <f t="array" ref="H186:AH186">cscamgpl/100*IF(pcspci="HHV",prmcebvpcgpl,prmcenvpcgpl)</f>
        <v>0</v>
      </c>
      <c r="I186" s="274">
        <v>0.0</v>
      </c>
      <c r="J186" s="274">
        <v>0.0</v>
      </c>
      <c r="K186" s="274">
        <v>0.0</v>
      </c>
      <c r="L186" s="274">
        <v>0.0</v>
      </c>
      <c r="M186" s="274">
        <v>0.0</v>
      </c>
      <c r="N186" s="274">
        <v>0.0</v>
      </c>
      <c r="O186" s="274">
        <v>0.0</v>
      </c>
      <c r="P186" s="274">
        <v>0.0</v>
      </c>
      <c r="Q186" s="274">
        <v>0.0</v>
      </c>
      <c r="R186" s="274">
        <v>0.0</v>
      </c>
      <c r="S186" s="274">
        <v>0.0</v>
      </c>
      <c r="T186" s="274">
        <v>0.0</v>
      </c>
      <c r="U186" s="274">
        <v>0.0</v>
      </c>
      <c r="V186" s="274">
        <v>0.0</v>
      </c>
      <c r="W186" s="274">
        <v>4.3629548751359986</v>
      </c>
      <c r="X186" s="274">
        <v>0.0</v>
      </c>
      <c r="Y186" s="274">
        <v>0.0</v>
      </c>
      <c r="Z186" s="274">
        <v>0.0</v>
      </c>
      <c r="AA186" s="274">
        <v>0.0</v>
      </c>
      <c r="AB186" s="274">
        <v>4.232066228881921</v>
      </c>
      <c r="AC186" s="274">
        <v>4.144807131379199</v>
      </c>
      <c r="AD186" s="274">
        <v>4.057548033876477</v>
      </c>
      <c r="AE186" s="274">
        <v>3.9702889363737612</v>
      </c>
      <c r="AF186" s="274">
        <v>3.9702889363737612</v>
      </c>
      <c r="AG186" s="274">
        <v>3.9702889363737612</v>
      </c>
      <c r="AH186" s="274">
        <v>3.9702889363737612</v>
      </c>
      <c r="AI186" s="318"/>
    </row>
    <row r="187" ht="14.25" customHeight="1" outlineLevel="4">
      <c r="A187" s="195"/>
      <c r="B187" s="201"/>
      <c r="C187" s="201"/>
      <c r="D187" s="201"/>
      <c r="E187" s="273" t="s">
        <v>2022</v>
      </c>
      <c r="F187" s="123" t="s">
        <v>1412</v>
      </c>
      <c r="G187" s="123" t="s">
        <v>2023</v>
      </c>
      <c r="H187" s="274">
        <f t="array" ref="H187:AH187">cscamngv/100*IF(pcspci="HHV",prmcebvpcngv,prmcenvpcngv)</f>
        <v>0</v>
      </c>
      <c r="I187" s="274">
        <v>0.0</v>
      </c>
      <c r="J187" s="274">
        <v>0.0</v>
      </c>
      <c r="K187" s="274">
        <v>0.0</v>
      </c>
      <c r="L187" s="274">
        <v>0.0</v>
      </c>
      <c r="M187" s="274">
        <v>0.0</v>
      </c>
      <c r="N187" s="274">
        <v>0.0</v>
      </c>
      <c r="O187" s="274">
        <v>0.0</v>
      </c>
      <c r="P187" s="274">
        <v>0.0</v>
      </c>
      <c r="Q187" s="274">
        <v>0.0</v>
      </c>
      <c r="R187" s="274">
        <v>0.0</v>
      </c>
      <c r="S187" s="274">
        <v>0.0</v>
      </c>
      <c r="T187" s="274">
        <v>0.0</v>
      </c>
      <c r="U187" s="274">
        <v>0.0</v>
      </c>
      <c r="V187" s="274">
        <v>0.0</v>
      </c>
      <c r="W187" s="274">
        <v>4.3673178300111415</v>
      </c>
      <c r="X187" s="274">
        <v>0.0</v>
      </c>
      <c r="Y187" s="274">
        <v>0.0</v>
      </c>
      <c r="Z187" s="274">
        <v>0.0</v>
      </c>
      <c r="AA187" s="274">
        <v>0.0</v>
      </c>
      <c r="AB187" s="274">
        <v>4.236298295110803</v>
      </c>
      <c r="AC187" s="274">
        <v>4.175155845490649</v>
      </c>
      <c r="AD187" s="274">
        <v>4.114013395870494</v>
      </c>
      <c r="AE187" s="274">
        <v>4.05287094625034</v>
      </c>
      <c r="AF187" s="274">
        <v>3.991728496630175</v>
      </c>
      <c r="AG187" s="274">
        <v>3.9305860470100207</v>
      </c>
      <c r="AH187" s="274">
        <v>3.9305860470100207</v>
      </c>
      <c r="AI187" s="318"/>
    </row>
    <row r="188" ht="14.25" customHeight="1" outlineLevel="4">
      <c r="A188" s="100"/>
      <c r="B188" s="100"/>
      <c r="C188" s="100"/>
      <c r="D188" s="100"/>
      <c r="E188" s="273" t="s">
        <v>2024</v>
      </c>
      <c r="F188" s="123" t="s">
        <v>1412</v>
      </c>
      <c r="G188" s="123" t="s">
        <v>2025</v>
      </c>
      <c r="H188" s="274">
        <f t="array" ref="H188:AH188">cscamhyd/100*IF(pcspci="HHV",prmcebvpchyd,prmcenvpchyd)</f>
        <v>0</v>
      </c>
      <c r="I188" s="274">
        <v>0.0</v>
      </c>
      <c r="J188" s="274">
        <v>0.0</v>
      </c>
      <c r="K188" s="274">
        <v>0.0</v>
      </c>
      <c r="L188" s="274">
        <v>0.0</v>
      </c>
      <c r="M188" s="274">
        <v>0.0</v>
      </c>
      <c r="N188" s="274">
        <v>0.0</v>
      </c>
      <c r="O188" s="274">
        <v>0.0</v>
      </c>
      <c r="P188" s="274">
        <v>0.0</v>
      </c>
      <c r="Q188" s="274">
        <v>0.0</v>
      </c>
      <c r="R188" s="274">
        <v>0.0</v>
      </c>
      <c r="S188" s="274">
        <v>0.0</v>
      </c>
      <c r="T188" s="274">
        <v>0.0</v>
      </c>
      <c r="U188" s="274">
        <v>0.0</v>
      </c>
      <c r="V188" s="274">
        <v>0.0</v>
      </c>
      <c r="W188" s="274">
        <v>2.664999999999999</v>
      </c>
      <c r="X188" s="274">
        <v>0.0</v>
      </c>
      <c r="Y188" s="274">
        <v>0.0</v>
      </c>
      <c r="Z188" s="274">
        <v>0.0</v>
      </c>
      <c r="AA188" s="274">
        <v>0.0</v>
      </c>
      <c r="AB188" s="274">
        <v>2.585049999999999</v>
      </c>
      <c r="AC188" s="274">
        <v>2.5477399999999992</v>
      </c>
      <c r="AD188" s="274">
        <v>2.5104300000000004</v>
      </c>
      <c r="AE188" s="274">
        <v>2.473120000000001</v>
      </c>
      <c r="AF188" s="274">
        <v>2.4358100000000014</v>
      </c>
      <c r="AG188" s="274">
        <v>2.398499999999999</v>
      </c>
      <c r="AH188" s="274">
        <v>2.398499999999999</v>
      </c>
      <c r="AI188" s="318"/>
    </row>
    <row r="189" ht="14.25" customHeight="1" outlineLevel="4">
      <c r="A189" s="100"/>
      <c r="B189" s="100"/>
      <c r="C189" s="100"/>
      <c r="D189" s="100"/>
      <c r="E189" s="273" t="s">
        <v>2026</v>
      </c>
      <c r="F189" s="123" t="s">
        <v>1412</v>
      </c>
      <c r="G189" s="123" t="s">
        <v>2027</v>
      </c>
      <c r="H189" s="445" t="str">
        <f t="array" ref="H189:AH189">cscamele</f>
        <v/>
      </c>
      <c r="I189" s="445"/>
      <c r="J189" s="445"/>
      <c r="K189" s="445"/>
      <c r="L189" s="445"/>
      <c r="M189" s="445"/>
      <c r="N189" s="445"/>
      <c r="O189" s="445"/>
      <c r="P189" s="445"/>
      <c r="Q189" s="445"/>
      <c r="R189" s="445"/>
      <c r="S189" s="445"/>
      <c r="T189" s="445"/>
      <c r="U189" s="445"/>
      <c r="V189" s="445"/>
      <c r="W189" s="445">
        <v>1.83</v>
      </c>
      <c r="X189" s="445"/>
      <c r="Y189" s="445"/>
      <c r="Z189" s="445"/>
      <c r="AA189" s="445"/>
      <c r="AB189" s="445">
        <v>1.7751</v>
      </c>
      <c r="AC189" s="445">
        <v>1.74948</v>
      </c>
      <c r="AD189" s="445">
        <v>1.72386</v>
      </c>
      <c r="AE189" s="445">
        <v>1.69824</v>
      </c>
      <c r="AF189" s="445">
        <v>1.67262</v>
      </c>
      <c r="AG189" s="445">
        <v>1.647</v>
      </c>
      <c r="AH189" s="445">
        <v>1.647</v>
      </c>
      <c r="AI189" s="318"/>
    </row>
    <row r="190" ht="14.25" customHeight="1">
      <c r="A190" s="195"/>
      <c r="B190" s="100"/>
      <c r="C190" s="100"/>
      <c r="D190" s="100"/>
      <c r="E190" s="100"/>
      <c r="F190" s="206"/>
      <c r="G190" s="206"/>
      <c r="H190" s="207"/>
      <c r="I190" s="207"/>
      <c r="J190" s="207"/>
      <c r="K190" s="207"/>
      <c r="L190" s="207"/>
      <c r="M190" s="207"/>
      <c r="N190" s="207"/>
      <c r="O190" s="207"/>
      <c r="P190" s="207"/>
      <c r="Q190" s="207"/>
      <c r="R190" s="207"/>
      <c r="S190" s="207"/>
      <c r="T190" s="207"/>
      <c r="U190" s="207"/>
      <c r="V190" s="207"/>
      <c r="W190" s="208"/>
      <c r="X190" s="208"/>
      <c r="Y190" s="208"/>
      <c r="Z190" s="208"/>
      <c r="AA190" s="208"/>
      <c r="AB190" s="208"/>
      <c r="AC190" s="208"/>
      <c r="AD190" s="208"/>
      <c r="AE190" s="208"/>
      <c r="AF190" s="208"/>
      <c r="AG190" s="208"/>
      <c r="AH190" s="208"/>
      <c r="AI190" s="100"/>
    </row>
    <row r="191" ht="14.25" customHeight="1" outlineLevel="3">
      <c r="A191" s="195"/>
      <c r="B191" s="201"/>
      <c r="C191" s="393" t="s">
        <v>1870</v>
      </c>
      <c r="D191" s="394"/>
      <c r="E191" s="162"/>
      <c r="F191" s="162"/>
      <c r="G191" s="162"/>
      <c r="H191" s="178"/>
      <c r="I191" s="178"/>
      <c r="J191" s="178"/>
      <c r="K191" s="178"/>
      <c r="L191" s="178"/>
      <c r="M191" s="178"/>
      <c r="N191" s="178"/>
      <c r="O191" s="178"/>
      <c r="P191" s="178"/>
      <c r="Q191" s="178"/>
      <c r="R191" s="178"/>
      <c r="S191" s="178"/>
      <c r="T191" s="178"/>
      <c r="U191" s="178"/>
      <c r="V191" s="178"/>
      <c r="W191" s="178"/>
      <c r="X191" s="178"/>
      <c r="Y191" s="178"/>
      <c r="Z191" s="178"/>
      <c r="AA191" s="178"/>
      <c r="AB191" s="178"/>
      <c r="AC191" s="178"/>
      <c r="AD191" s="178"/>
      <c r="AE191" s="178"/>
      <c r="AF191" s="178"/>
      <c r="AG191" s="178"/>
      <c r="AH191" s="178"/>
      <c r="AI191" s="271"/>
    </row>
    <row r="192" ht="14.25" customHeight="1" outlineLevel="4">
      <c r="A192" s="100"/>
      <c r="B192" s="100"/>
      <c r="C192" s="100"/>
      <c r="D192" s="100"/>
      <c r="E192" s="273" t="s">
        <v>2028</v>
      </c>
      <c r="F192" s="249" t="s">
        <v>135</v>
      </c>
      <c r="G192" s="123" t="s">
        <v>2029</v>
      </c>
      <c r="H192" s="274">
        <f>IFERROR(IF(crdmstcam="tkm",M*tkmcamlqf*k/trpcamabs,M*(calnbrcamess+calnbrcamgzl)*kmvcam)*calcsklqfcam/G,)</f>
        <v>0</v>
      </c>
      <c r="I192" s="274">
        <f>IFERROR(IF(crdmstcam="tkm",M*tkmcamlqf*k/trpcamabs,M*(calnbrcamess+calnbrcamgzl)*kmvcam)*calcsklqfcam/G,)</f>
        <v>0</v>
      </c>
      <c r="J192" s="274">
        <f>IFERROR(IF(crdmstcam="tkm",M*tkmcamlqf*k/trpcamabs,M*(calnbrcamess+calnbrcamgzl)*kmvcam)*calcsklqfcam/G,)</f>
        <v>0</v>
      </c>
      <c r="K192" s="274">
        <f>IFERROR(IF(crdmstcam="tkm",M*tkmcamlqf*k/trpcamabs,M*(calnbrcamess+calnbrcamgzl)*kmvcam)*calcsklqfcam/G,)</f>
        <v>0</v>
      </c>
      <c r="L192" s="274">
        <f>IFERROR(IF(crdmstcam="tkm",M*tkmcamlqf*k/trpcamabs,M*(calnbrcamess+calnbrcamgzl)*kmvcam)*calcsklqfcam/G,)</f>
        <v>0</v>
      </c>
      <c r="M192" s="274">
        <f>IFERROR(IF(crdmstcam="tkm",M*tkmcamlqf*k/trpcamabs,M*(calnbrcamess+calnbrcamgzl)*kmvcam)*calcsklqfcam/G,)</f>
        <v>0</v>
      </c>
      <c r="N192" s="274">
        <f>IFERROR(IF(crdmstcam="tkm",M*tkmcamlqf*k/trpcamabs,M*(calnbrcamess+calnbrcamgzl)*kmvcam)*calcsklqfcam/G,)</f>
        <v>0</v>
      </c>
      <c r="O192" s="274">
        <f>IFERROR(IF(crdmstcam="tkm",M*tkmcamlqf*k/trpcamabs,M*(calnbrcamess+calnbrcamgzl)*kmvcam)*calcsklqfcam/G,)</f>
        <v>0</v>
      </c>
      <c r="P192" s="274">
        <f>IFERROR(IF(crdmstcam="tkm",M*tkmcamlqf*k/trpcamabs,M*(calnbrcamess+calnbrcamgzl)*kmvcam)*calcsklqfcam/G,)</f>
        <v>0</v>
      </c>
      <c r="Q192" s="274">
        <f>IFERROR(IF(crdmstcam="tkm",M*tkmcamlqf*k/trpcamabs,M*(calnbrcamess+calnbrcamgzl)*kmvcam)*calcsklqfcam/G,)</f>
        <v>0</v>
      </c>
      <c r="R192" s="274">
        <f>IFERROR(IF(crdmstcam="tkm",M*tkmcamlqf*k/trpcamabs,M*(calnbrcamess+calnbrcamgzl)*kmvcam)*calcsklqfcam/G,)</f>
        <v>0</v>
      </c>
      <c r="S192" s="274">
        <f>IFERROR(IF(crdmstcam="tkm",M*tkmcamlqf*k/trpcamabs,M*(calnbrcamess+calnbrcamgzl)*kmvcam)*calcsklqfcam/G,)</f>
        <v>0</v>
      </c>
      <c r="T192" s="274">
        <f>IFERROR(IF(crdmstcam="tkm",M*tkmcamlqf*k/trpcamabs,M*(calnbrcamess+calnbrcamgzl)*kmvcam)*calcsklqfcam/G,)</f>
        <v>0</v>
      </c>
      <c r="U192" s="274">
        <f>IFERROR(IF(crdmstcam="tkm",M*tkmcamlqf*k/trpcamabs,M*(calnbrcamess+calnbrcamgzl)*kmvcam)*calcsklqfcam/G,)</f>
        <v>0</v>
      </c>
      <c r="V192" s="274">
        <f>IFERROR(IF(crdmstcam="tkm",M*tkmcamlqf*k/trpcamabs,M*(calnbrcamess+calnbrcamgzl)*kmvcam)*calcsklqfcam/G,)</f>
        <v>0</v>
      </c>
      <c r="W192" s="274">
        <f>IFERROR(IF(crdmstcam="tkm",M*tkmcamlqf*k/trpcamabs,M*(calnbrcamess+calnbrcamgzl)*kmvcam)*calcsklqfcam/G,)</f>
        <v>23.51922232</v>
      </c>
      <c r="X192" s="274">
        <f>IFERROR(IF(crdmstcam="tkm",M*tkmcamlqf*k/trpcamabs,M*(calnbrcamess+calnbrcamgzl)*kmvcam)*calcsklqfcam/G,)</f>
        <v>0</v>
      </c>
      <c r="Y192" s="274">
        <f>IFERROR(IF(crdmstcam="tkm",M*tkmcamlqf*k/trpcamabs,M*(calnbrcamess+calnbrcamgzl)*kmvcam)*calcsklqfcam/G,)</f>
        <v>0</v>
      </c>
      <c r="Z192" s="274">
        <f>IFERROR(IF(crdmstcam="tkm",M*tkmcamlqf*k/trpcamabs,M*(calnbrcamess+calnbrcamgzl)*kmvcam)*calcsklqfcam/G,)</f>
        <v>0</v>
      </c>
      <c r="AA192" s="274">
        <f>IFERROR(IF(crdmstcam="tkm",M*tkmcamlqf*k/trpcamabs,M*(calnbrcamess+calnbrcamgzl)*kmvcam)*calcsklqfcam/G,)</f>
        <v>0</v>
      </c>
      <c r="AB192" s="274">
        <f>IFERROR(IF(crdmstcam="tkm",M*tkmcamlqf*k/trpcamabs,M*(calnbrcamess+calnbrcamgzl)*kmvcam)*calcsklqfcam/G,)</f>
        <v>22.89633213</v>
      </c>
      <c r="AC192" s="274">
        <f>IFERROR(IF(crdmstcam="tkm",M*tkmcamlqf*k/trpcamabs,M*(calnbrcamess+calnbrcamgzl)*kmvcam)*calcsklqfcam/G,)</f>
        <v>20.87939007</v>
      </c>
      <c r="AD192" s="274">
        <f>IFERROR(IF(crdmstcam="tkm",M*tkmcamlqf*k/trpcamabs,M*(calnbrcamess+calnbrcamgzl)*kmvcam)*calcsklqfcam/G,)</f>
        <v>17.80777159</v>
      </c>
      <c r="AE192" s="274">
        <f>IFERROR(IF(crdmstcam="tkm",M*tkmcamlqf*k/trpcamabs,M*(calnbrcamess+calnbrcamgzl)*kmvcam)*calcsklqfcam/G,)</f>
        <v>13.27319665</v>
      </c>
      <c r="AF192" s="274">
        <f>IFERROR(IF(crdmstcam="tkm",M*tkmcamlqf*k/trpcamabs,M*(calnbrcamess+calnbrcamgzl)*kmvcam)*calcsklqfcam/G,)</f>
        <v>7.242942079</v>
      </c>
      <c r="AG192" s="274">
        <f>IFERROR(IF(crdmstcam="tkm",M*tkmcamlqf*k/trpcamabs,M*(calnbrcamess+calnbrcamgzl)*kmvcam)*calcsklqfcam/G,)</f>
        <v>2.288088107</v>
      </c>
      <c r="AH192" s="274">
        <f>IFERROR(IF(crdmstcam="tkm",M*tkmcamlqf*k/trpcamabs,M*(calnbrcamess+calnbrcamgzl)*kmvcam)*calcsklqfcam/G,)</f>
        <v>0</v>
      </c>
      <c r="AI192" s="318"/>
    </row>
    <row r="193" ht="14.25" customHeight="1" outlineLevel="4">
      <c r="A193" s="195"/>
      <c r="B193" s="201"/>
      <c r="C193" s="201"/>
      <c r="D193" s="201"/>
      <c r="E193" s="273" t="s">
        <v>2030</v>
      </c>
      <c r="F193" s="123" t="s">
        <v>135</v>
      </c>
      <c r="G193" s="123" t="s">
        <v>2031</v>
      </c>
      <c r="H193" s="330">
        <f>IFERROR(IF(crdmstcam="tkm",M*tkmcamgpl*k/trpcamabs,M*calnbrcamgpl*kmvcam)*calcskgplcam/G,)</f>
        <v>0</v>
      </c>
      <c r="I193" s="330">
        <f>IFERROR(IF(crdmstcam="tkm",M*tkmcamgpl*k/trpcamabs,M*calnbrcamgpl*kmvcam)*calcskgplcam/G,)</f>
        <v>0</v>
      </c>
      <c r="J193" s="330">
        <f>IFERROR(IF(crdmstcam="tkm",M*tkmcamgpl*k/trpcamabs,M*calnbrcamgpl*kmvcam)*calcskgplcam/G,)</f>
        <v>0</v>
      </c>
      <c r="K193" s="330">
        <f>IFERROR(IF(crdmstcam="tkm",M*tkmcamgpl*k/trpcamabs,M*calnbrcamgpl*kmvcam)*calcskgplcam/G,)</f>
        <v>0</v>
      </c>
      <c r="L193" s="330">
        <f>IFERROR(IF(crdmstcam="tkm",M*tkmcamgpl*k/trpcamabs,M*calnbrcamgpl*kmvcam)*calcskgplcam/G,)</f>
        <v>0</v>
      </c>
      <c r="M193" s="330">
        <f>IFERROR(IF(crdmstcam="tkm",M*tkmcamgpl*k/trpcamabs,M*calnbrcamgpl*kmvcam)*calcskgplcam/G,)</f>
        <v>0</v>
      </c>
      <c r="N193" s="330">
        <f>IFERROR(IF(crdmstcam="tkm",M*tkmcamgpl*k/trpcamabs,M*calnbrcamgpl*kmvcam)*calcskgplcam/G,)</f>
        <v>0</v>
      </c>
      <c r="O193" s="330">
        <f>IFERROR(IF(crdmstcam="tkm",M*tkmcamgpl*k/trpcamabs,M*calnbrcamgpl*kmvcam)*calcskgplcam/G,)</f>
        <v>0</v>
      </c>
      <c r="P193" s="330">
        <f>IFERROR(IF(crdmstcam="tkm",M*tkmcamgpl*k/trpcamabs,M*calnbrcamgpl*kmvcam)*calcskgplcam/G,)</f>
        <v>0</v>
      </c>
      <c r="Q193" s="330">
        <f>IFERROR(IF(crdmstcam="tkm",M*tkmcamgpl*k/trpcamabs,M*calnbrcamgpl*kmvcam)*calcskgplcam/G,)</f>
        <v>0</v>
      </c>
      <c r="R193" s="330">
        <f>IFERROR(IF(crdmstcam="tkm",M*tkmcamgpl*k/trpcamabs,M*calnbrcamgpl*kmvcam)*calcskgplcam/G,)</f>
        <v>0</v>
      </c>
      <c r="S193" s="330">
        <f>IFERROR(IF(crdmstcam="tkm",M*tkmcamgpl*k/trpcamabs,M*calnbrcamgpl*kmvcam)*calcskgplcam/G,)</f>
        <v>0</v>
      </c>
      <c r="T193" s="330">
        <f>IFERROR(IF(crdmstcam="tkm",M*tkmcamgpl*k/trpcamabs,M*calnbrcamgpl*kmvcam)*calcskgplcam/G,)</f>
        <v>0</v>
      </c>
      <c r="U193" s="330">
        <f>IFERROR(IF(crdmstcam="tkm",M*tkmcamgpl*k/trpcamabs,M*calnbrcamgpl*kmvcam)*calcskgplcam/G,)</f>
        <v>0</v>
      </c>
      <c r="V193" s="330">
        <f>IFERROR(IF(crdmstcam="tkm",M*tkmcamgpl*k/trpcamabs,M*calnbrcamgpl*kmvcam)*calcskgplcam/G,)</f>
        <v>0</v>
      </c>
      <c r="W193" s="330">
        <f>IFERROR(IF(crdmstcam="tkm",M*tkmcamgpl*k/trpcamabs,M*calnbrcamgpl*kmvcam)*calcskgplcam/G,)</f>
        <v>0.0707699769</v>
      </c>
      <c r="X193" s="330">
        <f>IFERROR(IF(crdmstcam="tkm",M*tkmcamgpl*k/trpcamabs,M*calnbrcamgpl*kmvcam)*calcskgplcam/G,)</f>
        <v>0</v>
      </c>
      <c r="Y193" s="330">
        <f>IFERROR(IF(crdmstcam="tkm",M*tkmcamgpl*k/trpcamabs,M*calnbrcamgpl*kmvcam)*calcskgplcam/G,)</f>
        <v>0</v>
      </c>
      <c r="Z193" s="330">
        <f>IFERROR(IF(crdmstcam="tkm",M*tkmcamgpl*k/trpcamabs,M*calnbrcamgpl*kmvcam)*calcskgplcam/G,)</f>
        <v>0</v>
      </c>
      <c r="AA193" s="330">
        <f>IFERROR(IF(crdmstcam="tkm",M*tkmcamgpl*k/trpcamabs,M*calnbrcamgpl*kmvcam)*calcskgplcam/G,)</f>
        <v>0</v>
      </c>
      <c r="AB193" s="330">
        <f>IFERROR(IF(crdmstcam="tkm",M*tkmcamgpl*k/trpcamabs,M*calnbrcamgpl*kmvcam)*calcskgplcam/G,)</f>
        <v>0.02305773629</v>
      </c>
      <c r="AC193" s="330">
        <f>IFERROR(IF(crdmstcam="tkm",M*tkmcamgpl*k/trpcamabs,M*calnbrcamgpl*kmvcam)*calcskgplcam/G,)</f>
        <v>0</v>
      </c>
      <c r="AD193" s="330">
        <f>IFERROR(IF(crdmstcam="tkm",M*tkmcamgpl*k/trpcamabs,M*calnbrcamgpl*kmvcam)*calcskgplcam/G,)</f>
        <v>0</v>
      </c>
      <c r="AE193" s="330">
        <f>IFERROR(IF(crdmstcam="tkm",M*tkmcamgpl*k/trpcamabs,M*calnbrcamgpl*kmvcam)*calcskgplcam/G,)</f>
        <v>0</v>
      </c>
      <c r="AF193" s="330">
        <f>IFERROR(IF(crdmstcam="tkm",M*tkmcamgpl*k/trpcamabs,M*calnbrcamgpl*kmvcam)*calcskgplcam/G,)</f>
        <v>0</v>
      </c>
      <c r="AG193" s="330">
        <f>IFERROR(IF(crdmstcam="tkm",M*tkmcamgpl*k/trpcamabs,M*calnbrcamgpl*kmvcam)*calcskgplcam/G,)</f>
        <v>0</v>
      </c>
      <c r="AH193" s="330">
        <f>IFERROR(IF(crdmstcam="tkm",M*tkmcamgpl*k/trpcamabs,M*calnbrcamgpl*kmvcam)*calcskgplcam/G,)</f>
        <v>0</v>
      </c>
      <c r="AI193" s="318"/>
    </row>
    <row r="194" ht="14.25" customHeight="1" outlineLevel="4">
      <c r="A194" s="195"/>
      <c r="B194" s="201"/>
      <c r="C194" s="201"/>
      <c r="D194" s="201"/>
      <c r="E194" s="273" t="s">
        <v>2032</v>
      </c>
      <c r="F194" s="123" t="s">
        <v>135</v>
      </c>
      <c r="G194" s="123" t="s">
        <v>2033</v>
      </c>
      <c r="H194" s="330">
        <f>IFERROR(IF(crdmstcam="tkm",M*tkmcamngv*k/trpcamabs,M*calnbrcamngv*kmvcam)*calcskngvcam/G,)</f>
        <v>0</v>
      </c>
      <c r="I194" s="330">
        <f>IFERROR(IF(crdmstcam="tkm",M*tkmcamngv*k/trpcamabs,M*calnbrcamngv*kmvcam)*calcskngvcam/G,)</f>
        <v>0</v>
      </c>
      <c r="J194" s="330">
        <f>IFERROR(IF(crdmstcam="tkm",M*tkmcamngv*k/trpcamabs,M*calnbrcamngv*kmvcam)*calcskngvcam/G,)</f>
        <v>0</v>
      </c>
      <c r="K194" s="330">
        <f>IFERROR(IF(crdmstcam="tkm",M*tkmcamngv*k/trpcamabs,M*calnbrcamngv*kmvcam)*calcskngvcam/G,)</f>
        <v>0</v>
      </c>
      <c r="L194" s="330">
        <f>IFERROR(IF(crdmstcam="tkm",M*tkmcamngv*k/trpcamabs,M*calnbrcamngv*kmvcam)*calcskngvcam/G,)</f>
        <v>0</v>
      </c>
      <c r="M194" s="330">
        <f>IFERROR(IF(crdmstcam="tkm",M*tkmcamngv*k/trpcamabs,M*calnbrcamngv*kmvcam)*calcskngvcam/G,)</f>
        <v>0</v>
      </c>
      <c r="N194" s="330">
        <f>IFERROR(IF(crdmstcam="tkm",M*tkmcamngv*k/trpcamabs,M*calnbrcamngv*kmvcam)*calcskngvcam/G,)</f>
        <v>0</v>
      </c>
      <c r="O194" s="330">
        <f>IFERROR(IF(crdmstcam="tkm",M*tkmcamngv*k/trpcamabs,M*calnbrcamngv*kmvcam)*calcskngvcam/G,)</f>
        <v>0</v>
      </c>
      <c r="P194" s="330">
        <f>IFERROR(IF(crdmstcam="tkm",M*tkmcamngv*k/trpcamabs,M*calnbrcamngv*kmvcam)*calcskngvcam/G,)</f>
        <v>0</v>
      </c>
      <c r="Q194" s="330">
        <f>IFERROR(IF(crdmstcam="tkm",M*tkmcamngv*k/trpcamabs,M*calnbrcamngv*kmvcam)*calcskngvcam/G,)</f>
        <v>0</v>
      </c>
      <c r="R194" s="330">
        <f>IFERROR(IF(crdmstcam="tkm",M*tkmcamngv*k/trpcamabs,M*calnbrcamngv*kmvcam)*calcskngvcam/G,)</f>
        <v>0</v>
      </c>
      <c r="S194" s="330">
        <f>IFERROR(IF(crdmstcam="tkm",M*tkmcamngv*k/trpcamabs,M*calnbrcamngv*kmvcam)*calcskngvcam/G,)</f>
        <v>0</v>
      </c>
      <c r="T194" s="330">
        <f>IFERROR(IF(crdmstcam="tkm",M*tkmcamngv*k/trpcamabs,M*calnbrcamngv*kmvcam)*calcskngvcam/G,)</f>
        <v>0</v>
      </c>
      <c r="U194" s="330">
        <f>IFERROR(IF(crdmstcam="tkm",M*tkmcamngv*k/trpcamabs,M*calnbrcamngv*kmvcam)*calcskngvcam/G,)</f>
        <v>0</v>
      </c>
      <c r="V194" s="330">
        <f>IFERROR(IF(crdmstcam="tkm",M*tkmcamngv*k/trpcamabs,M*calnbrcamngv*kmvcam)*calcskngvcam/G,)</f>
        <v>0</v>
      </c>
      <c r="W194" s="330">
        <f>IFERROR(IF(crdmstcam="tkm",M*tkmcamngv*k/trpcamabs,M*calnbrcamngv*kmvcam)*calcskngvcam/G,)</f>
        <v>0</v>
      </c>
      <c r="X194" s="330">
        <f>IFERROR(IF(crdmstcam="tkm",M*tkmcamngv*k/trpcamabs,M*calnbrcamngv*kmvcam)*calcskngvcam/G,)</f>
        <v>0</v>
      </c>
      <c r="Y194" s="330">
        <f>IFERROR(IF(crdmstcam="tkm",M*tkmcamngv*k/trpcamabs,M*calnbrcamngv*kmvcam)*calcskngvcam/G,)</f>
        <v>0</v>
      </c>
      <c r="Z194" s="330">
        <f>IFERROR(IF(crdmstcam="tkm",M*tkmcamngv*k/trpcamabs,M*calnbrcamngv*kmvcam)*calcskngvcam/G,)</f>
        <v>0</v>
      </c>
      <c r="AA194" s="330">
        <f>IFERROR(IF(crdmstcam="tkm",M*tkmcamngv*k/trpcamabs,M*calnbrcamngv*kmvcam)*calcskngvcam/G,)</f>
        <v>0</v>
      </c>
      <c r="AB194" s="330">
        <f>IFERROR(IF(crdmstcam="tkm",M*tkmcamngv*k/trpcamabs,M*calnbrcamngv*kmvcam)*calcskngvcam/G,)</f>
        <v>0.1384847641</v>
      </c>
      <c r="AC194" s="330">
        <f>IFERROR(IF(crdmstcam="tkm",M*tkmcamngv*k/trpcamabs,M*calnbrcamngv*kmvcam)*calcskngvcam/G,)</f>
        <v>0.3219225177</v>
      </c>
      <c r="AD194" s="330">
        <f>IFERROR(IF(crdmstcam="tkm",M*tkmcamngv*k/trpcamabs,M*calnbrcamngv*kmvcam)*calcskngvcam/G,)</f>
        <v>0.5887691359</v>
      </c>
      <c r="AE194" s="330">
        <f>IFERROR(IF(crdmstcam="tkm",M*tkmcamngv*k/trpcamabs,M*calnbrcamngv*kmvcam)*calcskngvcam/G,)</f>
        <v>1.407717313</v>
      </c>
      <c r="AF194" s="330">
        <f>IFERROR(IF(crdmstcam="tkm",M*tkmcamngv*k/trpcamabs,M*calnbrcamngv*kmvcam)*calcskngvcam/G,)</f>
        <v>2.37781354</v>
      </c>
      <c r="AG194" s="330">
        <f>IFERROR(IF(crdmstcam="tkm",M*tkmcamngv*k/trpcamabs,M*calnbrcamngv*kmvcam)*calcskngvcam/G,)</f>
        <v>3.756411274</v>
      </c>
      <c r="AH194" s="330">
        <f>IFERROR(IF(crdmstcam="tkm",M*tkmcamngv*k/trpcamabs,M*calnbrcamngv*kmvcam)*calcskngvcam/G,)</f>
        <v>5.242412355</v>
      </c>
      <c r="AI194" s="318"/>
    </row>
    <row r="195" ht="14.25" customHeight="1" outlineLevel="4">
      <c r="A195" s="195"/>
      <c r="B195" s="201"/>
      <c r="C195" s="201"/>
      <c r="D195" s="201"/>
      <c r="E195" s="273" t="s">
        <v>2034</v>
      </c>
      <c r="F195" s="123" t="s">
        <v>135</v>
      </c>
      <c r="G195" s="123" t="s">
        <v>2035</v>
      </c>
      <c r="H195" s="330">
        <f>IFERROR(IF(crdmstcam="tkm",M*tkmcamhyd*k/trpcamabs,M*calnbrcamhyd*kmvcam)*calcskhydcam/G,)</f>
        <v>0</v>
      </c>
      <c r="I195" s="330">
        <f>IFERROR(IF(crdmstcam="tkm",M*tkmcamhyd*k/trpcamabs,M*calnbrcamhyd*kmvcam)*calcskhydcam/G,)</f>
        <v>0</v>
      </c>
      <c r="J195" s="330">
        <f>IFERROR(IF(crdmstcam="tkm",M*tkmcamhyd*k/trpcamabs,M*calnbrcamhyd*kmvcam)*calcskhydcam/G,)</f>
        <v>0</v>
      </c>
      <c r="K195" s="330">
        <f>IFERROR(IF(crdmstcam="tkm",M*tkmcamhyd*k/trpcamabs,M*calnbrcamhyd*kmvcam)*calcskhydcam/G,)</f>
        <v>0</v>
      </c>
      <c r="L195" s="330">
        <f>IFERROR(IF(crdmstcam="tkm",M*tkmcamhyd*k/trpcamabs,M*calnbrcamhyd*kmvcam)*calcskhydcam/G,)</f>
        <v>0</v>
      </c>
      <c r="M195" s="330">
        <f>IFERROR(IF(crdmstcam="tkm",M*tkmcamhyd*k/trpcamabs,M*calnbrcamhyd*kmvcam)*calcskhydcam/G,)</f>
        <v>0</v>
      </c>
      <c r="N195" s="330">
        <f>IFERROR(IF(crdmstcam="tkm",M*tkmcamhyd*k/trpcamabs,M*calnbrcamhyd*kmvcam)*calcskhydcam/G,)</f>
        <v>0</v>
      </c>
      <c r="O195" s="330">
        <f>IFERROR(IF(crdmstcam="tkm",M*tkmcamhyd*k/trpcamabs,M*calnbrcamhyd*kmvcam)*calcskhydcam/G,)</f>
        <v>0</v>
      </c>
      <c r="P195" s="330">
        <f>IFERROR(IF(crdmstcam="tkm",M*tkmcamhyd*k/trpcamabs,M*calnbrcamhyd*kmvcam)*calcskhydcam/G,)</f>
        <v>0</v>
      </c>
      <c r="Q195" s="330">
        <f>IFERROR(IF(crdmstcam="tkm",M*tkmcamhyd*k/trpcamabs,M*calnbrcamhyd*kmvcam)*calcskhydcam/G,)</f>
        <v>0</v>
      </c>
      <c r="R195" s="330">
        <f>IFERROR(IF(crdmstcam="tkm",M*tkmcamhyd*k/trpcamabs,M*calnbrcamhyd*kmvcam)*calcskhydcam/G,)</f>
        <v>0</v>
      </c>
      <c r="S195" s="330">
        <f>IFERROR(IF(crdmstcam="tkm",M*tkmcamhyd*k/trpcamabs,M*calnbrcamhyd*kmvcam)*calcskhydcam/G,)</f>
        <v>0</v>
      </c>
      <c r="T195" s="330">
        <f>IFERROR(IF(crdmstcam="tkm",M*tkmcamhyd*k/trpcamabs,M*calnbrcamhyd*kmvcam)*calcskhydcam/G,)</f>
        <v>0</v>
      </c>
      <c r="U195" s="330">
        <f>IFERROR(IF(crdmstcam="tkm",M*tkmcamhyd*k/trpcamabs,M*calnbrcamhyd*kmvcam)*calcskhydcam/G,)</f>
        <v>0</v>
      </c>
      <c r="V195" s="330">
        <f>IFERROR(IF(crdmstcam="tkm",M*tkmcamhyd*k/trpcamabs,M*calnbrcamhyd*kmvcam)*calcskhydcam/G,)</f>
        <v>0</v>
      </c>
      <c r="W195" s="330">
        <f>IFERROR(IF(crdmstcam="tkm",M*tkmcamhyd*k/trpcamabs,M*calnbrcamhyd*kmvcam)*calcskhydcam/G,)</f>
        <v>0</v>
      </c>
      <c r="X195" s="330">
        <f>IFERROR(IF(crdmstcam="tkm",M*tkmcamhyd*k/trpcamabs,M*calnbrcamhyd*kmvcam)*calcskhydcam/G,)</f>
        <v>0</v>
      </c>
      <c r="Y195" s="330">
        <f>IFERROR(IF(crdmstcam="tkm",M*tkmcamhyd*k/trpcamabs,M*calnbrcamhyd*kmvcam)*calcskhydcam/G,)</f>
        <v>0</v>
      </c>
      <c r="Z195" s="330">
        <f>IFERROR(IF(crdmstcam="tkm",M*tkmcamhyd*k/trpcamabs,M*calnbrcamhyd*kmvcam)*calcskhydcam/G,)</f>
        <v>0</v>
      </c>
      <c r="AA195" s="330">
        <f>IFERROR(IF(crdmstcam="tkm",M*tkmcamhyd*k/trpcamabs,M*calnbrcamhyd*kmvcam)*calcskhydcam/G,)</f>
        <v>0</v>
      </c>
      <c r="AB195" s="330">
        <f>IFERROR(IF(crdmstcam="tkm",M*tkmcamhyd*k/trpcamabs,M*calnbrcamhyd*kmvcam)*calcskhydcam/G,)</f>
        <v>0</v>
      </c>
      <c r="AC195" s="330">
        <f>IFERROR(IF(crdmstcam="tkm",M*tkmcamhyd*k/trpcamabs,M*calnbrcamhyd*kmvcam)*calcskhydcam/G,)</f>
        <v>0</v>
      </c>
      <c r="AD195" s="330">
        <f>IFERROR(IF(crdmstcam="tkm",M*tkmcamhyd*k/trpcamabs,M*calnbrcamhyd*kmvcam)*calcskhydcam/G,)</f>
        <v>0.119758458</v>
      </c>
      <c r="AE195" s="330">
        <f>IFERROR(IF(crdmstcam="tkm",M*tkmcamhyd*k/trpcamabs,M*calnbrcamhyd*kmvcam)*calcskhydcam/G,)</f>
        <v>0.5368808135</v>
      </c>
      <c r="AF195" s="330">
        <f>IFERROR(IF(crdmstcam="tkm",M*tkmcamhyd*k/trpcamabs,M*calnbrcamhyd*kmvcam)*calcskhydcam/G,)</f>
        <v>1.360289942</v>
      </c>
      <c r="AG195" s="330">
        <f>IFERROR(IF(crdmstcam="tkm",M*tkmcamhyd*k/trpcamabs,M*calnbrcamhyd*kmvcam)*calcskhydcam/G,)</f>
        <v>2.372918025</v>
      </c>
      <c r="AH195" s="330">
        <f>IFERROR(IF(crdmstcam="tkm",M*tkmcamhyd*k/trpcamabs,M*calnbrcamhyd*kmvcam)*calcskhydcam/G,)</f>
        <v>2.756773581</v>
      </c>
      <c r="AI195" s="318"/>
    </row>
    <row r="196" ht="14.25" customHeight="1" outlineLevel="4">
      <c r="A196" s="195"/>
      <c r="B196" s="201"/>
      <c r="C196" s="201"/>
      <c r="D196" s="201"/>
      <c r="E196" s="273" t="s">
        <v>2036</v>
      </c>
      <c r="F196" s="123" t="s">
        <v>135</v>
      </c>
      <c r="G196" s="123" t="s">
        <v>2037</v>
      </c>
      <c r="H196" s="330">
        <f>IFERROR(IF(crdmstcam="tkm",M*tkmcamele*k/trpcamabs,M*calnbrcamele*kmvcam)*calcskelecam/G,)</f>
        <v>0</v>
      </c>
      <c r="I196" s="330">
        <f>IFERROR(IF(crdmstcam="tkm",M*tkmcamele*k/trpcamabs,M*calnbrcamele*kmvcam)*calcskelecam/G,)</f>
        <v>0</v>
      </c>
      <c r="J196" s="330">
        <f>IFERROR(IF(crdmstcam="tkm",M*tkmcamele*k/trpcamabs,M*calnbrcamele*kmvcam)*calcskelecam/G,)</f>
        <v>0</v>
      </c>
      <c r="K196" s="330">
        <f>IFERROR(IF(crdmstcam="tkm",M*tkmcamele*k/trpcamabs,M*calnbrcamele*kmvcam)*calcskelecam/G,)</f>
        <v>0</v>
      </c>
      <c r="L196" s="330">
        <f>IFERROR(IF(crdmstcam="tkm",M*tkmcamele*k/trpcamabs,M*calnbrcamele*kmvcam)*calcskelecam/G,)</f>
        <v>0</v>
      </c>
      <c r="M196" s="330">
        <f>IFERROR(IF(crdmstcam="tkm",M*tkmcamele*k/trpcamabs,M*calnbrcamele*kmvcam)*calcskelecam/G,)</f>
        <v>0</v>
      </c>
      <c r="N196" s="330">
        <f>IFERROR(IF(crdmstcam="tkm",M*tkmcamele*k/trpcamabs,M*calnbrcamele*kmvcam)*calcskelecam/G,)</f>
        <v>0</v>
      </c>
      <c r="O196" s="330">
        <f>IFERROR(IF(crdmstcam="tkm",M*tkmcamele*k/trpcamabs,M*calnbrcamele*kmvcam)*calcskelecam/G,)</f>
        <v>0</v>
      </c>
      <c r="P196" s="330">
        <f>IFERROR(IF(crdmstcam="tkm",M*tkmcamele*k/trpcamabs,M*calnbrcamele*kmvcam)*calcskelecam/G,)</f>
        <v>0</v>
      </c>
      <c r="Q196" s="330">
        <f>IFERROR(IF(crdmstcam="tkm",M*tkmcamele*k/trpcamabs,M*calnbrcamele*kmvcam)*calcskelecam/G,)</f>
        <v>0</v>
      </c>
      <c r="R196" s="330">
        <f>IFERROR(IF(crdmstcam="tkm",M*tkmcamele*k/trpcamabs,M*calnbrcamele*kmvcam)*calcskelecam/G,)</f>
        <v>0</v>
      </c>
      <c r="S196" s="330">
        <f>IFERROR(IF(crdmstcam="tkm",M*tkmcamele*k/trpcamabs,M*calnbrcamele*kmvcam)*calcskelecam/G,)</f>
        <v>0</v>
      </c>
      <c r="T196" s="330">
        <f>IFERROR(IF(crdmstcam="tkm",M*tkmcamele*k/trpcamabs,M*calnbrcamele*kmvcam)*calcskelecam/G,)</f>
        <v>0</v>
      </c>
      <c r="U196" s="330">
        <f>IFERROR(IF(crdmstcam="tkm",M*tkmcamele*k/trpcamabs,M*calnbrcamele*kmvcam)*calcskelecam/G,)</f>
        <v>0</v>
      </c>
      <c r="V196" s="330">
        <f>IFERROR(IF(crdmstcam="tkm",M*tkmcamele*k/trpcamabs,M*calnbrcamele*kmvcam)*calcskelecam/G,)</f>
        <v>0</v>
      </c>
      <c r="W196" s="330">
        <f>IFERROR(IF(crdmstcam="tkm",M*tkmcamele*k/trpcamabs,M*calnbrcamele*kmvcam)*calcskelecam/G,)</f>
        <v>0</v>
      </c>
      <c r="X196" s="330">
        <f>IFERROR(IF(crdmstcam="tkm",M*tkmcamele*k/trpcamabs,M*calnbrcamele*kmvcam)*calcskelecam/G,)</f>
        <v>0</v>
      </c>
      <c r="Y196" s="330">
        <f>IFERROR(IF(crdmstcam="tkm",M*tkmcamele*k/trpcamabs,M*calnbrcamele*kmvcam)*calcskelecam/G,)</f>
        <v>0</v>
      </c>
      <c r="Z196" s="330">
        <f>IFERROR(IF(crdmstcam="tkm",M*tkmcamele*k/trpcamabs,M*calnbrcamele*kmvcam)*calcskelecam/G,)</f>
        <v>0</v>
      </c>
      <c r="AA196" s="330">
        <f>IFERROR(IF(crdmstcam="tkm",M*tkmcamele*k/trpcamabs,M*calnbrcamele*kmvcam)*calcskelecam/G,)</f>
        <v>0</v>
      </c>
      <c r="AB196" s="330">
        <f>IFERROR(IF(crdmstcam="tkm",M*tkmcamele*k/trpcamabs,M*calnbrcamele*kmvcam)*calcskelecam/G,)</f>
        <v>0</v>
      </c>
      <c r="AC196" s="330">
        <f>IFERROR(IF(crdmstcam="tkm",M*tkmcamele*k/trpcamabs,M*calnbrcamele*kmvcam)*calcskelecam/G,)</f>
        <v>0.04496415041</v>
      </c>
      <c r="AD196" s="330">
        <f>IFERROR(IF(crdmstcam="tkm",M*tkmcamele*k/trpcamabs,M*calnbrcamele*kmvcam)*calcskelecam/G,)</f>
        <v>0.3289425564</v>
      </c>
      <c r="AE196" s="330">
        <f>IFERROR(IF(crdmstcam="tkm",M*tkmcamele*k/trpcamabs,M*calnbrcamele*kmvcam)*calcskelecam/G,)</f>
        <v>0.7373297476</v>
      </c>
      <c r="AF196" s="330">
        <f>IFERROR(IF(crdmstcam="tkm",M*tkmcamele*k/trpcamabs,M*calnbrcamele*kmvcam)*calcskelecam/G,)</f>
        <v>1.245443699</v>
      </c>
      <c r="AG196" s="330">
        <f>IFERROR(IF(crdmstcam="tkm",M*tkmcamele*k/trpcamabs,M*calnbrcamele*kmvcam)*calcskelecam/G,)</f>
        <v>1.779694677</v>
      </c>
      <c r="AH196" s="330">
        <f>IFERROR(IF(crdmstcam="tkm",M*tkmcamele*k/trpcamabs,M*calnbrcamele*kmvcam)*calcskelecam/G,)</f>
        <v>1.752729606</v>
      </c>
      <c r="AI196" s="318"/>
    </row>
    <row r="197" ht="14.25" customHeight="1" outlineLevel="1">
      <c r="A197" s="439" t="s">
        <v>2038</v>
      </c>
      <c r="B197" s="162"/>
      <c r="C197" s="162"/>
      <c r="D197" s="100"/>
      <c r="E197" s="162"/>
      <c r="F197" s="162"/>
      <c r="G197" s="162"/>
      <c r="H197" s="178"/>
      <c r="I197" s="178"/>
      <c r="J197" s="178"/>
      <c r="K197" s="178"/>
      <c r="L197" s="178"/>
      <c r="M197" s="178"/>
      <c r="N197" s="178"/>
      <c r="O197" s="178"/>
      <c r="P197" s="178"/>
      <c r="Q197" s="178"/>
      <c r="R197" s="178"/>
      <c r="S197" s="178"/>
      <c r="T197" s="178"/>
      <c r="U197" s="178"/>
      <c r="V197" s="178"/>
      <c r="W197" s="178"/>
      <c r="X197" s="178"/>
      <c r="Y197" s="178"/>
      <c r="Z197" s="178"/>
      <c r="AA197" s="178"/>
      <c r="AB197" s="178"/>
      <c r="AC197" s="178"/>
      <c r="AD197" s="178"/>
      <c r="AE197" s="178"/>
      <c r="AF197" s="178"/>
      <c r="AG197" s="178"/>
      <c r="AH197" s="178"/>
      <c r="AI197" s="100"/>
    </row>
    <row r="198" ht="13.5" customHeight="1" outlineLevel="2">
      <c r="A198" s="195"/>
      <c r="B198" s="201"/>
      <c r="C198" s="246"/>
      <c r="D198" s="201"/>
      <c r="E198" s="316" t="s">
        <v>2039</v>
      </c>
      <c r="F198" s="316"/>
      <c r="G198" s="316" t="s">
        <v>2040</v>
      </c>
      <c r="H198" s="317" t="str">
        <f>IF(pclqffertkm+pcngvfertkm+pchydfertkm+pcelcfertkm=0,"Missing data",IF(ABS(pclqffertkm+pcngvfertkm+pchydfertkm+pcelcfertkm-100%)&lt;10^-4,"Ok","Inconsistent input data"))</f>
        <v>Ok</v>
      </c>
      <c r="I198" s="317" t="str">
        <f>IF(pclqffertkm+pcngvfertkm+pchydfertkm+pcelcfertkm=0,"Missing data",IF(ABS(pclqffertkm+pcngvfertkm+pchydfertkm+pcelcfertkm-100%)&lt;10^-4,"Ok","Inconsistent input data"))</f>
        <v>Ok</v>
      </c>
      <c r="J198" s="317" t="str">
        <f>IF(pclqffertkm+pcngvfertkm+pchydfertkm+pcelcfertkm=0,"Missing data",IF(ABS(pclqffertkm+pcngvfertkm+pchydfertkm+pcelcfertkm-100%)&lt;10^-4,"Ok","Inconsistent input data"))</f>
        <v>Ok</v>
      </c>
      <c r="K198" s="317" t="str">
        <f>IF(pclqffertkm+pcngvfertkm+pchydfertkm+pcelcfertkm=0,"Missing data",IF(ABS(pclqffertkm+pcngvfertkm+pchydfertkm+pcelcfertkm-100%)&lt;10^-4,"Ok","Inconsistent input data"))</f>
        <v>Ok</v>
      </c>
      <c r="L198" s="317" t="str">
        <f>IF(pclqffertkm+pcngvfertkm+pchydfertkm+pcelcfertkm=0,"Missing data",IF(ABS(pclqffertkm+pcngvfertkm+pchydfertkm+pcelcfertkm-100%)&lt;10^-4,"Ok","Inconsistent input data"))</f>
        <v>Ok</v>
      </c>
      <c r="M198" s="317" t="str">
        <f>IF(pclqffertkm+pcngvfertkm+pchydfertkm+pcelcfertkm=0,"Missing data",IF(ABS(pclqffertkm+pcngvfertkm+pchydfertkm+pcelcfertkm-100%)&lt;10^-4,"Ok","Inconsistent input data"))</f>
        <v>Ok</v>
      </c>
      <c r="N198" s="317" t="str">
        <f>IF(pclqffertkm+pcngvfertkm+pchydfertkm+pcelcfertkm=0,"Missing data",IF(ABS(pclqffertkm+pcngvfertkm+pchydfertkm+pcelcfertkm-100%)&lt;10^-4,"Ok","Inconsistent input data"))</f>
        <v>Ok</v>
      </c>
      <c r="O198" s="317" t="str">
        <f>IF(pclqffertkm+pcngvfertkm+pchydfertkm+pcelcfertkm=0,"Missing data",IF(ABS(pclqffertkm+pcngvfertkm+pchydfertkm+pcelcfertkm-100%)&lt;10^-4,"Ok","Inconsistent input data"))</f>
        <v>Ok</v>
      </c>
      <c r="P198" s="317" t="str">
        <f>IF(pclqffertkm+pcngvfertkm+pchydfertkm+pcelcfertkm=0,"Missing data",IF(ABS(pclqffertkm+pcngvfertkm+pchydfertkm+pcelcfertkm-100%)&lt;10^-4,"Ok","Inconsistent input data"))</f>
        <v>Ok</v>
      </c>
      <c r="Q198" s="317" t="str">
        <f>IF(pclqffertkm+pcngvfertkm+pchydfertkm+pcelcfertkm=0,"Missing data",IF(ABS(pclqffertkm+pcngvfertkm+pchydfertkm+pcelcfertkm-100%)&lt;10^-4,"Ok","Inconsistent input data"))</f>
        <v>Ok</v>
      </c>
      <c r="R198" s="317" t="str">
        <f>IF(pclqffertkm+pcngvfertkm+pchydfertkm+pcelcfertkm=0,"Missing data",IF(ABS(pclqffertkm+pcngvfertkm+pchydfertkm+pcelcfertkm-100%)&lt;10^-4,"Ok","Inconsistent input data"))</f>
        <v>Ok</v>
      </c>
      <c r="S198" s="317" t="str">
        <f>IF(pclqffertkm+pcngvfertkm+pchydfertkm+pcelcfertkm=0,"Missing data",IF(ABS(pclqffertkm+pcngvfertkm+pchydfertkm+pcelcfertkm-100%)&lt;10^-4,"Ok","Inconsistent input data"))</f>
        <v>Ok</v>
      </c>
      <c r="T198" s="317" t="str">
        <f>IF(pclqffertkm+pcngvfertkm+pchydfertkm+pcelcfertkm=0,"Missing data",IF(ABS(pclqffertkm+pcngvfertkm+pchydfertkm+pcelcfertkm-100%)&lt;10^-4,"Ok","Inconsistent input data"))</f>
        <v>Ok</v>
      </c>
      <c r="U198" s="317" t="str">
        <f>IF(pclqffertkm+pcngvfertkm+pchydfertkm+pcelcfertkm=0,"Missing data",IF(ABS(pclqffertkm+pcngvfertkm+pchydfertkm+pcelcfertkm-100%)&lt;10^-4,"Ok","Inconsistent input data"))</f>
        <v>Ok</v>
      </c>
      <c r="V198" s="317" t="str">
        <f>IF(pclqffertkm+pcngvfertkm+pchydfertkm+pcelcfertkm=0,"Missing data",IF(ABS(pclqffertkm+pcngvfertkm+pchydfertkm+pcelcfertkm-100%)&lt;10^-4,"Ok","Inconsistent input data"))</f>
        <v>Ok</v>
      </c>
      <c r="W198" s="317" t="str">
        <f>IF(pclqffertkm+pcngvfertkm+pchydfertkm+pcelcfertkm=0,"Missing data",IF(ABS(pclqffertkm+pcngvfertkm+pchydfertkm+pcelcfertkm-100%)&lt;10^-4,"Ok","Inconsistent input data"))</f>
        <v>Ok</v>
      </c>
      <c r="X198" s="317" t="str">
        <f>IF(pclqffertkm+pcngvfertkm+pchydfertkm+pcelcfertkm=0,"Missing data",IF(ABS(pclqffertkm+pcngvfertkm+pchydfertkm+pcelcfertkm-100%)&lt;10^-4,"Ok","Inconsistent input data"))</f>
        <v>Missing data</v>
      </c>
      <c r="Y198" s="317" t="str">
        <f>IF(pclqffertkm+pcngvfertkm+pchydfertkm+pcelcfertkm=0,"Missing data",IF(ABS(pclqffertkm+pcngvfertkm+pchydfertkm+pcelcfertkm-100%)&lt;10^-4,"Ok","Inconsistent input data"))</f>
        <v>Missing data</v>
      </c>
      <c r="Z198" s="317" t="str">
        <f>IF(pclqffertkm+pcngvfertkm+pchydfertkm+pcelcfertkm=0,"Missing data",IF(ABS(pclqffertkm+pcngvfertkm+pchydfertkm+pcelcfertkm-100%)&lt;10^-4,"Ok","Inconsistent input data"))</f>
        <v>Missing data</v>
      </c>
      <c r="AA198" s="317" t="str">
        <f>IF(pclqffertkm+pcngvfertkm+pchydfertkm+pcelcfertkm=0,"Missing data",IF(ABS(pclqffertkm+pcngvfertkm+pchydfertkm+pcelcfertkm-100%)&lt;10^-4,"Ok","Inconsistent input data"))</f>
        <v>Missing data</v>
      </c>
      <c r="AB198" s="317" t="str">
        <f>IF(pclqffertkm+pcngvfertkm+pchydfertkm+pcelcfertkm=0,"Missing data",IF(ABS(pclqffertkm+pcngvfertkm+pchydfertkm+pcelcfertkm-100%)&lt;10^-4,"Ok","Inconsistent input data"))</f>
        <v>Ok</v>
      </c>
      <c r="AC198" s="317" t="str">
        <f>IF(pclqffertkm+pcngvfertkm+pchydfertkm+pcelcfertkm=0,"Missing data",IF(ABS(pclqffertkm+pcngvfertkm+pchydfertkm+pcelcfertkm-100%)&lt;10^-4,"Ok","Inconsistent input data"))</f>
        <v>Ok</v>
      </c>
      <c r="AD198" s="317" t="str">
        <f>IF(pclqffertkm+pcngvfertkm+pchydfertkm+pcelcfertkm=0,"Missing data",IF(ABS(pclqffertkm+pcngvfertkm+pchydfertkm+pcelcfertkm-100%)&lt;10^-4,"Ok","Inconsistent input data"))</f>
        <v>Ok</v>
      </c>
      <c r="AE198" s="317" t="str">
        <f>IF(pclqffertkm+pcngvfertkm+pchydfertkm+pcelcfertkm=0,"Missing data",IF(ABS(pclqffertkm+pcngvfertkm+pchydfertkm+pcelcfertkm-100%)&lt;10^-4,"Ok","Inconsistent input data"))</f>
        <v>Ok</v>
      </c>
      <c r="AF198" s="317" t="str">
        <f>IF(pclqffertkm+pcngvfertkm+pchydfertkm+pcelcfertkm=0,"Missing data",IF(ABS(pclqffertkm+pcngvfertkm+pchydfertkm+pcelcfertkm-100%)&lt;10^-4,"Ok","Inconsistent input data"))</f>
        <v>Ok</v>
      </c>
      <c r="AG198" s="317" t="str">
        <f>IF(pclqffertkm+pcngvfertkm+pchydfertkm+pcelcfertkm=0,"Missing data",IF(ABS(pclqffertkm+pcngvfertkm+pchydfertkm+pcelcfertkm-100%)&lt;10^-4,"Ok","Inconsistent input data"))</f>
        <v>Ok</v>
      </c>
      <c r="AH198" s="317" t="str">
        <f>IF(pclqffertkm+pcngvfertkm+pchydfertkm+pcelcfertkm=0,"Missing data",IF(ABS(pclqffertkm+pcngvfertkm+pchydfertkm+pcelcfertkm-100%)&lt;10^-4,"Ok","Inconsistent input data"))</f>
        <v>Ok</v>
      </c>
      <c r="AI198" s="125"/>
    </row>
    <row r="199" ht="14.25" customHeight="1" outlineLevel="3">
      <c r="A199" s="195"/>
      <c r="B199" s="201"/>
      <c r="C199" s="201"/>
      <c r="D199" s="201"/>
      <c r="E199" s="273" t="s">
        <v>1677</v>
      </c>
      <c r="F199" s="249" t="s">
        <v>135</v>
      </c>
      <c r="G199" s="123" t="s">
        <v>1678</v>
      </c>
      <c r="H199" s="274">
        <f>G*tkmfer*pclqffertkm*k*eefertkm/100/T</f>
        <v>0</v>
      </c>
      <c r="I199" s="274">
        <f>G*tkmfer*pclqffertkm*k*eefertkm/100/T</f>
        <v>0</v>
      </c>
      <c r="J199" s="274">
        <f>G*tkmfer*pclqffertkm*k*eefertkm/100/T</f>
        <v>0</v>
      </c>
      <c r="K199" s="274">
        <f>G*tkmfer*pclqffertkm*k*eefertkm/100/T</f>
        <v>0</v>
      </c>
      <c r="L199" s="274">
        <f>G*tkmfer*pclqffertkm*k*eefertkm/100/T</f>
        <v>0</v>
      </c>
      <c r="M199" s="274">
        <f>G*tkmfer*pclqffertkm*k*eefertkm/100/T</f>
        <v>0</v>
      </c>
      <c r="N199" s="274">
        <f>G*tkmfer*pclqffertkm*k*eefertkm/100/T</f>
        <v>0</v>
      </c>
      <c r="O199" s="274">
        <f>G*tkmfer*pclqffertkm*k*eefertkm/100/T</f>
        <v>0</v>
      </c>
      <c r="P199" s="274">
        <f>G*tkmfer*pclqffertkm*k*eefertkm/100/T</f>
        <v>0</v>
      </c>
      <c r="Q199" s="274">
        <f>G*tkmfer*pclqffertkm*k*eefertkm/100/T</f>
        <v>0</v>
      </c>
      <c r="R199" s="274">
        <f>G*tkmfer*pclqffertkm*k*eefertkm/100/T</f>
        <v>0</v>
      </c>
      <c r="S199" s="274">
        <f>G*tkmfer*pclqffertkm*k*eefertkm/100/T</f>
        <v>0</v>
      </c>
      <c r="T199" s="274">
        <f>G*tkmfer*pclqffertkm*k*eefertkm/100/T</f>
        <v>0</v>
      </c>
      <c r="U199" s="274">
        <f>G*tkmfer*pclqffertkm*k*eefertkm/100/T</f>
        <v>0</v>
      </c>
      <c r="V199" s="274">
        <f>G*tkmfer*pclqffertkm*k*eefertkm/100/T</f>
        <v>0</v>
      </c>
      <c r="W199" s="274">
        <f>G*tkmfer*pclqffertkm*k*eefertkm/100/T</f>
        <v>0.1212672832</v>
      </c>
      <c r="X199" s="274">
        <f>G*tkmfer*pclqffertkm*k*eefertkm/100/T</f>
        <v>0</v>
      </c>
      <c r="Y199" s="274">
        <f>G*tkmfer*pclqffertkm*k*eefertkm/100/T</f>
        <v>0</v>
      </c>
      <c r="Z199" s="274">
        <f>G*tkmfer*pclqffertkm*k*eefertkm/100/T</f>
        <v>0</v>
      </c>
      <c r="AA199" s="274">
        <f>G*tkmfer*pclqffertkm*k*eefertkm/100/T</f>
        <v>0</v>
      </c>
      <c r="AB199" s="274">
        <f>G*tkmfer*pclqffertkm*k*eefertkm/100/T</f>
        <v>0.1154610486</v>
      </c>
      <c r="AC199" s="274">
        <f>G*tkmfer*pclqffertkm*k*eefertkm/100/T</f>
        <v>0.1251022506</v>
      </c>
      <c r="AD199" s="274">
        <f>G*tkmfer*pclqffertkm*k*eefertkm/100/T</f>
        <v>0.1259711857</v>
      </c>
      <c r="AE199" s="274">
        <f>G*tkmfer*pclqffertkm*k*eefertkm/100/T</f>
        <v>0.1312056874</v>
      </c>
      <c r="AF199" s="274">
        <f>G*tkmfer*pclqffertkm*k*eefertkm/100/T</f>
        <v>0.1060304465</v>
      </c>
      <c r="AG199" s="274">
        <f>G*tkmfer*pclqffertkm*k*eefertkm/100/T</f>
        <v>0.07200004731</v>
      </c>
      <c r="AH199" s="274">
        <f>G*tkmfer*pclqffertkm*k*eefertkm/100/T</f>
        <v>0.04291809665</v>
      </c>
      <c r="AI199" s="318"/>
    </row>
    <row r="200" ht="14.25" customHeight="1" outlineLevel="3">
      <c r="A200" s="195"/>
      <c r="B200" s="201"/>
      <c r="C200" s="201"/>
      <c r="D200" s="201"/>
      <c r="E200" s="273" t="s">
        <v>1679</v>
      </c>
      <c r="F200" s="123" t="s">
        <v>135</v>
      </c>
      <c r="G200" s="123" t="s">
        <v>1680</v>
      </c>
      <c r="H200" s="274">
        <f>G*tkmfer*pcngvfertkm*k*eefertkm/100/T</f>
        <v>0</v>
      </c>
      <c r="I200" s="274">
        <f>G*tkmfer*pcngvfertkm*k*eefertkm/100/T</f>
        <v>0</v>
      </c>
      <c r="J200" s="274">
        <f>G*tkmfer*pcngvfertkm*k*eefertkm/100/T</f>
        <v>0</v>
      </c>
      <c r="K200" s="274">
        <f>G*tkmfer*pcngvfertkm*k*eefertkm/100/T</f>
        <v>0</v>
      </c>
      <c r="L200" s="274">
        <f>G*tkmfer*pcngvfertkm*k*eefertkm/100/T</f>
        <v>0</v>
      </c>
      <c r="M200" s="274">
        <f>G*tkmfer*pcngvfertkm*k*eefertkm/100/T</f>
        <v>0</v>
      </c>
      <c r="N200" s="274">
        <f>G*tkmfer*pcngvfertkm*k*eefertkm/100/T</f>
        <v>0</v>
      </c>
      <c r="O200" s="274">
        <f>G*tkmfer*pcngvfertkm*k*eefertkm/100/T</f>
        <v>0</v>
      </c>
      <c r="P200" s="274">
        <f>G*tkmfer*pcngvfertkm*k*eefertkm/100/T</f>
        <v>0</v>
      </c>
      <c r="Q200" s="274">
        <f>G*tkmfer*pcngvfertkm*k*eefertkm/100/T</f>
        <v>0</v>
      </c>
      <c r="R200" s="274">
        <f>G*tkmfer*pcngvfertkm*k*eefertkm/100/T</f>
        <v>0</v>
      </c>
      <c r="S200" s="274">
        <f>G*tkmfer*pcngvfertkm*k*eefertkm/100/T</f>
        <v>0</v>
      </c>
      <c r="T200" s="274">
        <f>G*tkmfer*pcngvfertkm*k*eefertkm/100/T</f>
        <v>0</v>
      </c>
      <c r="U200" s="274">
        <f>G*tkmfer*pcngvfertkm*k*eefertkm/100/T</f>
        <v>0</v>
      </c>
      <c r="V200" s="274">
        <f>G*tkmfer*pcngvfertkm*k*eefertkm/100/T</f>
        <v>0</v>
      </c>
      <c r="W200" s="274">
        <f>G*tkmfer*pcngvfertkm*k*eefertkm/100/T</f>
        <v>0</v>
      </c>
      <c r="X200" s="274">
        <f>G*tkmfer*pcngvfertkm*k*eefertkm/100/T</f>
        <v>0</v>
      </c>
      <c r="Y200" s="274">
        <f>G*tkmfer*pcngvfertkm*k*eefertkm/100/T</f>
        <v>0</v>
      </c>
      <c r="Z200" s="274">
        <f>G*tkmfer*pcngvfertkm*k*eefertkm/100/T</f>
        <v>0</v>
      </c>
      <c r="AA200" s="274">
        <f>G*tkmfer*pcngvfertkm*k*eefertkm/100/T</f>
        <v>0</v>
      </c>
      <c r="AB200" s="274">
        <f>G*tkmfer*pcngvfertkm*k*eefertkm/100/T</f>
        <v>0</v>
      </c>
      <c r="AC200" s="274">
        <f>G*tkmfer*pcngvfertkm*k*eefertkm/100/T</f>
        <v>0</v>
      </c>
      <c r="AD200" s="274">
        <f>G*tkmfer*pcngvfertkm*k*eefertkm/100/T</f>
        <v>0</v>
      </c>
      <c r="AE200" s="274">
        <f>G*tkmfer*pcngvfertkm*k*eefertkm/100/T</f>
        <v>0</v>
      </c>
      <c r="AF200" s="274">
        <f>G*tkmfer*pcngvfertkm*k*eefertkm/100/T</f>
        <v>0</v>
      </c>
      <c r="AG200" s="274">
        <f>G*tkmfer*pcngvfertkm*k*eefertkm/100/T</f>
        <v>0</v>
      </c>
      <c r="AH200" s="274">
        <f>G*tkmfer*pcngvfertkm*k*eefertkm/100/T</f>
        <v>0</v>
      </c>
      <c r="AI200" s="318"/>
    </row>
    <row r="201" ht="14.25" customHeight="1" outlineLevel="3">
      <c r="A201" s="195"/>
      <c r="B201" s="201"/>
      <c r="C201" s="201"/>
      <c r="D201" s="201"/>
      <c r="E201" s="273" t="s">
        <v>1681</v>
      </c>
      <c r="F201" s="123" t="s">
        <v>135</v>
      </c>
      <c r="G201" s="123" t="s">
        <v>1682</v>
      </c>
      <c r="H201" s="274">
        <f>G*tkmfer*pchydfertkm*k*eefertkm/100/T</f>
        <v>0</v>
      </c>
      <c r="I201" s="274">
        <f>G*tkmfer*pchydfertkm*k*eefertkm/100/T</f>
        <v>0</v>
      </c>
      <c r="J201" s="274">
        <f>G*tkmfer*pchydfertkm*k*eefertkm/100/T</f>
        <v>0</v>
      </c>
      <c r="K201" s="274">
        <f>G*tkmfer*pchydfertkm*k*eefertkm/100/T</f>
        <v>0</v>
      </c>
      <c r="L201" s="274">
        <f>G*tkmfer*pchydfertkm*k*eefertkm/100/T</f>
        <v>0</v>
      </c>
      <c r="M201" s="274">
        <f>G*tkmfer*pchydfertkm*k*eefertkm/100/T</f>
        <v>0</v>
      </c>
      <c r="N201" s="274">
        <f>G*tkmfer*pchydfertkm*k*eefertkm/100/T</f>
        <v>0</v>
      </c>
      <c r="O201" s="274">
        <f>G*tkmfer*pchydfertkm*k*eefertkm/100/T</f>
        <v>0</v>
      </c>
      <c r="P201" s="274">
        <f>G*tkmfer*pchydfertkm*k*eefertkm/100/T</f>
        <v>0</v>
      </c>
      <c r="Q201" s="274">
        <f>G*tkmfer*pchydfertkm*k*eefertkm/100/T</f>
        <v>0</v>
      </c>
      <c r="R201" s="274">
        <f>G*tkmfer*pchydfertkm*k*eefertkm/100/T</f>
        <v>0</v>
      </c>
      <c r="S201" s="274">
        <f>G*tkmfer*pchydfertkm*k*eefertkm/100/T</f>
        <v>0</v>
      </c>
      <c r="T201" s="274">
        <f>G*tkmfer*pchydfertkm*k*eefertkm/100/T</f>
        <v>0</v>
      </c>
      <c r="U201" s="274">
        <f>G*tkmfer*pchydfertkm*k*eefertkm/100/T</f>
        <v>0</v>
      </c>
      <c r="V201" s="274">
        <f>G*tkmfer*pchydfertkm*k*eefertkm/100/T</f>
        <v>0</v>
      </c>
      <c r="W201" s="274">
        <f>G*tkmfer*pchydfertkm*k*eefertkm/100/T</f>
        <v>0</v>
      </c>
      <c r="X201" s="274">
        <f>G*tkmfer*pchydfertkm*k*eefertkm/100/T</f>
        <v>0</v>
      </c>
      <c r="Y201" s="274">
        <f>G*tkmfer*pchydfertkm*k*eefertkm/100/T</f>
        <v>0</v>
      </c>
      <c r="Z201" s="274">
        <f>G*tkmfer*pchydfertkm*k*eefertkm/100/T</f>
        <v>0</v>
      </c>
      <c r="AA201" s="274">
        <f>G*tkmfer*pchydfertkm*k*eefertkm/100/T</f>
        <v>0</v>
      </c>
      <c r="AB201" s="274">
        <f>G*tkmfer*pchydfertkm*k*eefertkm/100/T</f>
        <v>0</v>
      </c>
      <c r="AC201" s="274">
        <f>G*tkmfer*pchydfertkm*k*eefertkm/100/T</f>
        <v>0</v>
      </c>
      <c r="AD201" s="274">
        <f>G*tkmfer*pchydfertkm*k*eefertkm/100/T</f>
        <v>0</v>
      </c>
      <c r="AE201" s="274">
        <f>G*tkmfer*pchydfertkm*k*eefertkm/100/T</f>
        <v>0</v>
      </c>
      <c r="AF201" s="274">
        <f>G*tkmfer*pchydfertkm*k*eefertkm/100/T</f>
        <v>0</v>
      </c>
      <c r="AG201" s="274">
        <f>G*tkmfer*pchydfertkm*k*eefertkm/100/T</f>
        <v>0</v>
      </c>
      <c r="AH201" s="274">
        <f>G*tkmfer*pchydfertkm*k*eefertkm/100/T</f>
        <v>0</v>
      </c>
      <c r="AI201" s="318"/>
    </row>
    <row r="202" ht="14.25" customHeight="1" outlineLevel="3">
      <c r="A202" s="195"/>
      <c r="B202" s="201"/>
      <c r="C202" s="201"/>
      <c r="D202" s="201"/>
      <c r="E202" s="273" t="s">
        <v>1683</v>
      </c>
      <c r="F202" s="123" t="s">
        <v>135</v>
      </c>
      <c r="G202" s="123" t="s">
        <v>1684</v>
      </c>
      <c r="H202" s="274">
        <f>G*tkmfer*pcelcfertkm*k*eefertkm/100/T</f>
        <v>0</v>
      </c>
      <c r="I202" s="274">
        <f>G*tkmfer*pcelcfertkm*k*eefertkm/100/T</f>
        <v>0</v>
      </c>
      <c r="J202" s="274">
        <f>G*tkmfer*pcelcfertkm*k*eefertkm/100/T</f>
        <v>0</v>
      </c>
      <c r="K202" s="274">
        <f>G*tkmfer*pcelcfertkm*k*eefertkm/100/T</f>
        <v>0</v>
      </c>
      <c r="L202" s="274">
        <f>G*tkmfer*pcelcfertkm*k*eefertkm/100/T</f>
        <v>0</v>
      </c>
      <c r="M202" s="274">
        <f>G*tkmfer*pcelcfertkm*k*eefertkm/100/T</f>
        <v>0</v>
      </c>
      <c r="N202" s="274">
        <f>G*tkmfer*pcelcfertkm*k*eefertkm/100/T</f>
        <v>0</v>
      </c>
      <c r="O202" s="274">
        <f>G*tkmfer*pcelcfertkm*k*eefertkm/100/T</f>
        <v>0</v>
      </c>
      <c r="P202" s="274">
        <f>G*tkmfer*pcelcfertkm*k*eefertkm/100/T</f>
        <v>0</v>
      </c>
      <c r="Q202" s="274">
        <f>G*tkmfer*pcelcfertkm*k*eefertkm/100/T</f>
        <v>0</v>
      </c>
      <c r="R202" s="274">
        <f>G*tkmfer*pcelcfertkm*k*eefertkm/100/T</f>
        <v>0</v>
      </c>
      <c r="S202" s="274">
        <f>G*tkmfer*pcelcfertkm*k*eefertkm/100/T</f>
        <v>0</v>
      </c>
      <c r="T202" s="274">
        <f>G*tkmfer*pcelcfertkm*k*eefertkm/100/T</f>
        <v>0</v>
      </c>
      <c r="U202" s="274">
        <f>G*tkmfer*pcelcfertkm*k*eefertkm/100/T</f>
        <v>0</v>
      </c>
      <c r="V202" s="274">
        <f>G*tkmfer*pcelcfertkm*k*eefertkm/100/T</f>
        <v>0</v>
      </c>
      <c r="W202" s="274">
        <f>G*tkmfer*pcelcfertkm*k*eefertkm/100/T</f>
        <v>0.3574371278</v>
      </c>
      <c r="X202" s="274">
        <f>G*tkmfer*pcelcfertkm*k*eefertkm/100/T</f>
        <v>0</v>
      </c>
      <c r="Y202" s="274">
        <f>G*tkmfer*pcelcfertkm*k*eefertkm/100/T</f>
        <v>0</v>
      </c>
      <c r="Z202" s="274">
        <f>G*tkmfer*pcelcfertkm*k*eefertkm/100/T</f>
        <v>0</v>
      </c>
      <c r="AA202" s="274">
        <f>G*tkmfer*pcelcfertkm*k*eefertkm/100/T</f>
        <v>0</v>
      </c>
      <c r="AB202" s="274">
        <f>G*tkmfer*pcelcfertkm*k*eefertkm/100/T</f>
        <v>0.3463831457</v>
      </c>
      <c r="AC202" s="274">
        <f>G*tkmfer*pcelcfertkm*k*eefertkm/100/T</f>
        <v>0.3753067519</v>
      </c>
      <c r="AD202" s="274">
        <f>G*tkmfer*pcelcfertkm*k*eefertkm/100/T</f>
        <v>0.3989087549</v>
      </c>
      <c r="AE202" s="274">
        <f>G*tkmfer*pcelcfertkm*k*eefertkm/100/T</f>
        <v>0.439253823</v>
      </c>
      <c r="AF202" s="274">
        <f>G*tkmfer*pcelcfertkm*k*eefertkm/100/T</f>
        <v>0.4241217859</v>
      </c>
      <c r="AG202" s="274">
        <f>G*tkmfer*pcelcfertkm*k*eefertkm/100/T</f>
        <v>0.4080002681</v>
      </c>
      <c r="AH202" s="274">
        <f>G*tkmfer*pcelcfertkm*k*eefertkm/100/T</f>
        <v>0.3862628698</v>
      </c>
      <c r="AI202" s="318"/>
    </row>
    <row r="203" ht="14.25" customHeight="1" outlineLevel="1">
      <c r="A203" s="439" t="s">
        <v>1686</v>
      </c>
      <c r="B203" s="162"/>
      <c r="C203" s="162"/>
      <c r="D203" s="100"/>
      <c r="E203" s="162"/>
      <c r="F203" s="162"/>
      <c r="G203" s="162"/>
      <c r="H203" s="178"/>
      <c r="I203" s="178"/>
      <c r="J203" s="178"/>
      <c r="K203" s="178"/>
      <c r="L203" s="178"/>
      <c r="M203" s="178"/>
      <c r="N203" s="178"/>
      <c r="O203" s="178"/>
      <c r="P203" s="178"/>
      <c r="Q203" s="178"/>
      <c r="R203" s="178"/>
      <c r="S203" s="178"/>
      <c r="T203" s="178"/>
      <c r="U203" s="178"/>
      <c r="V203" s="178"/>
      <c r="W203" s="178"/>
      <c r="X203" s="178"/>
      <c r="Y203" s="178"/>
      <c r="Z203" s="178"/>
      <c r="AA203" s="178"/>
      <c r="AB203" s="178"/>
      <c r="AC203" s="178"/>
      <c r="AD203" s="178"/>
      <c r="AE203" s="178"/>
      <c r="AF203" s="178"/>
      <c r="AG203" s="178"/>
      <c r="AH203" s="178"/>
      <c r="AI203" s="100"/>
    </row>
    <row r="204" ht="13.5" customHeight="1" outlineLevel="2">
      <c r="A204" s="195"/>
      <c r="B204" s="201"/>
      <c r="C204" s="246"/>
      <c r="D204" s="201"/>
      <c r="E204" s="316" t="s">
        <v>2041</v>
      </c>
      <c r="F204" s="316"/>
      <c r="G204" s="316" t="s">
        <v>2042</v>
      </c>
      <c r="H204" s="317" t="str">
        <f>IF(AND(ISBLANK(tkmflvdom),ISBLANK(tkmflvint)),"NoDis","Dis")</f>
        <v>NoDis</v>
      </c>
      <c r="I204" s="317" t="str">
        <f>IF(AND(ISBLANK(tkmflvdom),ISBLANK(tkmflvint)),"NoDis","Dis")</f>
        <v>NoDis</v>
      </c>
      <c r="J204" s="317" t="str">
        <f>IF(AND(ISBLANK(tkmflvdom),ISBLANK(tkmflvint)),"NoDis","Dis")</f>
        <v>NoDis</v>
      </c>
      <c r="K204" s="317" t="str">
        <f>IF(AND(ISBLANK(tkmflvdom),ISBLANK(tkmflvint)),"NoDis","Dis")</f>
        <v>NoDis</v>
      </c>
      <c r="L204" s="317" t="str">
        <f>IF(AND(ISBLANK(tkmflvdom),ISBLANK(tkmflvint)),"NoDis","Dis")</f>
        <v>NoDis</v>
      </c>
      <c r="M204" s="317" t="str">
        <f>IF(AND(ISBLANK(tkmflvdom),ISBLANK(tkmflvint)),"NoDis","Dis")</f>
        <v>NoDis</v>
      </c>
      <c r="N204" s="317" t="str">
        <f>IF(AND(ISBLANK(tkmflvdom),ISBLANK(tkmflvint)),"NoDis","Dis")</f>
        <v>NoDis</v>
      </c>
      <c r="O204" s="317" t="str">
        <f>IF(AND(ISBLANK(tkmflvdom),ISBLANK(tkmflvint)),"NoDis","Dis")</f>
        <v>NoDis</v>
      </c>
      <c r="P204" s="317" t="str">
        <f>IF(AND(ISBLANK(tkmflvdom),ISBLANK(tkmflvint)),"NoDis","Dis")</f>
        <v>NoDis</v>
      </c>
      <c r="Q204" s="317" t="str">
        <f>IF(AND(ISBLANK(tkmflvdom),ISBLANK(tkmflvint)),"NoDis","Dis")</f>
        <v>NoDis</v>
      </c>
      <c r="R204" s="317" t="str">
        <f>IF(AND(ISBLANK(tkmflvdom),ISBLANK(tkmflvint)),"NoDis","Dis")</f>
        <v>NoDis</v>
      </c>
      <c r="S204" s="317" t="str">
        <f>IF(AND(ISBLANK(tkmflvdom),ISBLANK(tkmflvint)),"NoDis","Dis")</f>
        <v>NoDis</v>
      </c>
      <c r="T204" s="317" t="str">
        <f>IF(AND(ISBLANK(tkmflvdom),ISBLANK(tkmflvint)),"NoDis","Dis")</f>
        <v>NoDis</v>
      </c>
      <c r="U204" s="317" t="str">
        <f>IF(AND(ISBLANK(tkmflvdom),ISBLANK(tkmflvint)),"NoDis","Dis")</f>
        <v>NoDis</v>
      </c>
      <c r="V204" s="317" t="str">
        <f>IF(AND(ISBLANK(tkmflvdom),ISBLANK(tkmflvint)),"NoDis","Dis")</f>
        <v>NoDis</v>
      </c>
      <c r="W204" s="317" t="str">
        <f>IF(AND(ISBLANK(tkmflvdom),ISBLANK(tkmflvint)),"NoDis","Dis")</f>
        <v>Dis</v>
      </c>
      <c r="X204" s="317" t="str">
        <f>IF(AND(ISBLANK(tkmflvdom),ISBLANK(tkmflvint)),"NoDis","Dis")</f>
        <v>Dis</v>
      </c>
      <c r="Y204" s="317" t="str">
        <f>IF(AND(ISBLANK(tkmflvdom),ISBLANK(tkmflvint)),"NoDis","Dis")</f>
        <v>Dis</v>
      </c>
      <c r="Z204" s="317" t="str">
        <f>IF(AND(ISBLANK(tkmflvdom),ISBLANK(tkmflvint)),"NoDis","Dis")</f>
        <v>Dis</v>
      </c>
      <c r="AA204" s="317" t="str">
        <f>IF(AND(ISBLANK(tkmflvdom),ISBLANK(tkmflvint)),"NoDis","Dis")</f>
        <v>Dis</v>
      </c>
      <c r="AB204" s="317" t="str">
        <f>IF(AND(ISBLANK(tkmflvdom),ISBLANK(tkmflvint)),"NoDis","Dis")</f>
        <v>Dis</v>
      </c>
      <c r="AC204" s="317" t="str">
        <f>IF(AND(ISBLANK(tkmflvdom),ISBLANK(tkmflvint)),"NoDis","Dis")</f>
        <v>Dis</v>
      </c>
      <c r="AD204" s="317" t="str">
        <f>IF(AND(ISBLANK(tkmflvdom),ISBLANK(tkmflvint)),"NoDis","Dis")</f>
        <v>Dis</v>
      </c>
      <c r="AE204" s="317" t="str">
        <f>IF(AND(ISBLANK(tkmflvdom),ISBLANK(tkmflvint)),"NoDis","Dis")</f>
        <v>Dis</v>
      </c>
      <c r="AF204" s="317" t="str">
        <f>IF(AND(ISBLANK(tkmflvdom),ISBLANK(tkmflvint)),"NoDis","Dis")</f>
        <v>Dis</v>
      </c>
      <c r="AG204" s="317" t="str">
        <f>IF(AND(ISBLANK(tkmflvdom),ISBLANK(tkmflvint)),"NoDis","Dis")</f>
        <v>Dis</v>
      </c>
      <c r="AH204" s="317" t="str">
        <f>IF(AND(ISBLANK(tkmflvdom),ISBLANK(tkmflvint)),"NoDis","Dis")</f>
        <v>Dis</v>
      </c>
      <c r="AI204" s="125"/>
    </row>
    <row r="205" ht="13.5" customHeight="1" outlineLevel="2">
      <c r="A205" s="195"/>
      <c r="B205" s="201"/>
      <c r="C205" s="246"/>
      <c r="D205" s="201"/>
      <c r="E205" s="316" t="s">
        <v>1936</v>
      </c>
      <c r="F205" s="316"/>
      <c r="G205" s="316" t="s">
        <v>2043</v>
      </c>
      <c r="H205" s="317" t="str">
        <f>IF(OR(crdpkmfrewatint="NoDis",ISBLANK(tkmflv)),"-",IF(tkmflvdom+tkmflvint=tkmflv,"Ok","Inconsistent input data"))</f>
        <v>-</v>
      </c>
      <c r="I205" s="317" t="str">
        <f>IF(OR(crdpkmfrewatint="NoDis",ISBLANK(tkmflv)),"-",IF(tkmflvdom+tkmflvint=tkmflv,"Ok","Inconsistent input data"))</f>
        <v>-</v>
      </c>
      <c r="J205" s="317" t="str">
        <f>IF(OR(crdpkmfrewatint="NoDis",ISBLANK(tkmflv)),"-",IF(tkmflvdom+tkmflvint=tkmflv,"Ok","Inconsistent input data"))</f>
        <v>-</v>
      </c>
      <c r="K205" s="317" t="str">
        <f>IF(OR(crdpkmfrewatint="NoDis",ISBLANK(tkmflv)),"-",IF(tkmflvdom+tkmflvint=tkmflv,"Ok","Inconsistent input data"))</f>
        <v>-</v>
      </c>
      <c r="L205" s="317" t="str">
        <f>IF(OR(crdpkmfrewatint="NoDis",ISBLANK(tkmflv)),"-",IF(tkmflvdom+tkmflvint=tkmflv,"Ok","Inconsistent input data"))</f>
        <v>-</v>
      </c>
      <c r="M205" s="317" t="str">
        <f>IF(OR(crdpkmfrewatint="NoDis",ISBLANK(tkmflv)),"-",IF(tkmflvdom+tkmflvint=tkmflv,"Ok","Inconsistent input data"))</f>
        <v>-</v>
      </c>
      <c r="N205" s="317" t="str">
        <f>IF(OR(crdpkmfrewatint="NoDis",ISBLANK(tkmflv)),"-",IF(tkmflvdom+tkmflvint=tkmflv,"Ok","Inconsistent input data"))</f>
        <v>-</v>
      </c>
      <c r="O205" s="317" t="str">
        <f>IF(OR(crdpkmfrewatint="NoDis",ISBLANK(tkmflv)),"-",IF(tkmflvdom+tkmflvint=tkmflv,"Ok","Inconsistent input data"))</f>
        <v>-</v>
      </c>
      <c r="P205" s="317" t="str">
        <f>IF(OR(crdpkmfrewatint="NoDis",ISBLANK(tkmflv)),"-",IF(tkmflvdom+tkmflvint=tkmflv,"Ok","Inconsistent input data"))</f>
        <v>-</v>
      </c>
      <c r="Q205" s="317" t="str">
        <f>IF(OR(crdpkmfrewatint="NoDis",ISBLANK(tkmflv)),"-",IF(tkmflvdom+tkmflvint=tkmflv,"Ok","Inconsistent input data"))</f>
        <v>-</v>
      </c>
      <c r="R205" s="317" t="str">
        <f>IF(OR(crdpkmfrewatint="NoDis",ISBLANK(tkmflv)),"-",IF(tkmflvdom+tkmflvint=tkmflv,"Ok","Inconsistent input data"))</f>
        <v>-</v>
      </c>
      <c r="S205" s="317" t="str">
        <f>IF(OR(crdpkmfrewatint="NoDis",ISBLANK(tkmflv)),"-",IF(tkmflvdom+tkmflvint=tkmflv,"Ok","Inconsistent input data"))</f>
        <v>-</v>
      </c>
      <c r="T205" s="317" t="str">
        <f>IF(OR(crdpkmfrewatint="NoDis",ISBLANK(tkmflv)),"-",IF(tkmflvdom+tkmflvint=tkmflv,"Ok","Inconsistent input data"))</f>
        <v>-</v>
      </c>
      <c r="U205" s="317" t="str">
        <f>IF(OR(crdpkmfrewatint="NoDis",ISBLANK(tkmflv)),"-",IF(tkmflvdom+tkmflvint=tkmflv,"Ok","Inconsistent input data"))</f>
        <v>-</v>
      </c>
      <c r="V205" s="317" t="str">
        <f>IF(OR(crdpkmfrewatint="NoDis",ISBLANK(tkmflv)),"-",IF(tkmflvdom+tkmflvint=tkmflv,"Ok","Inconsistent input data"))</f>
        <v>-</v>
      </c>
      <c r="W205" s="317" t="str">
        <f>IF(OR(crdpkmfrewatint="NoDis",ISBLANK(tkmflv)),"-",IF(tkmflvdom+tkmflvint=tkmflv,"Ok","Inconsistent input data"))</f>
        <v>Inconsistent input data</v>
      </c>
      <c r="X205" s="317" t="str">
        <f>IF(OR(crdpkmfrewatint="NoDis",ISBLANK(tkmflv)),"-",IF(tkmflvdom+tkmflvint=tkmflv,"Ok","Inconsistent input data"))</f>
        <v>Inconsistent input data</v>
      </c>
      <c r="Y205" s="317" t="str">
        <f>IF(OR(crdpkmfrewatint="NoDis",ISBLANK(tkmflv)),"-",IF(tkmflvdom+tkmflvint=tkmflv,"Ok","Inconsistent input data"))</f>
        <v>Inconsistent input data</v>
      </c>
      <c r="Z205" s="317" t="str">
        <f>IF(OR(crdpkmfrewatint="NoDis",ISBLANK(tkmflv)),"-",IF(tkmflvdom+tkmflvint=tkmflv,"Ok","Inconsistent input data"))</f>
        <v>-</v>
      </c>
      <c r="AA205" s="317" t="str">
        <f>IF(OR(crdpkmfrewatint="NoDis",ISBLANK(tkmflv)),"-",IF(tkmflvdom+tkmflvint=tkmflv,"Ok","Inconsistent input data"))</f>
        <v>-</v>
      </c>
      <c r="AB205" s="317" t="str">
        <f>IF(OR(crdpkmfrewatint="NoDis",ISBLANK(tkmflv)),"-",IF(tkmflvdom+tkmflvint=tkmflv,"Ok","Inconsistent input data"))</f>
        <v>Inconsistent input data</v>
      </c>
      <c r="AC205" s="317" t="str">
        <f>IF(OR(crdpkmfrewatint="NoDis",ISBLANK(tkmflv)),"-",IF(tkmflvdom+tkmflvint=tkmflv,"Ok","Inconsistent input data"))</f>
        <v>Inconsistent input data</v>
      </c>
      <c r="AD205" s="317" t="str">
        <f>IF(OR(crdpkmfrewatint="NoDis",ISBLANK(tkmflv)),"-",IF(tkmflvdom+tkmflvint=tkmflv,"Ok","Inconsistent input data"))</f>
        <v>Inconsistent input data</v>
      </c>
      <c r="AE205" s="317" t="str">
        <f>IF(OR(crdpkmfrewatint="NoDis",ISBLANK(tkmflv)),"-",IF(tkmflvdom+tkmflvint=tkmflv,"Ok","Inconsistent input data"))</f>
        <v>Inconsistent input data</v>
      </c>
      <c r="AF205" s="317" t="str">
        <f>IF(OR(crdpkmfrewatint="NoDis",ISBLANK(tkmflv)),"-",IF(tkmflvdom+tkmflvint=tkmflv,"Ok","Inconsistent input data"))</f>
        <v>Inconsistent input data</v>
      </c>
      <c r="AG205" s="317" t="str">
        <f>IF(OR(crdpkmfrewatint="NoDis",ISBLANK(tkmflv)),"-",IF(tkmflvdom+tkmflvint=tkmflv,"Ok","Inconsistent input data"))</f>
        <v>Inconsistent input data</v>
      </c>
      <c r="AH205" s="317" t="str">
        <f>IF(OR(crdpkmfrewatint="NoDis",ISBLANK(tkmflv)),"-",IF(tkmflvdom+tkmflvint=tkmflv,"Ok","Inconsistent input data"))</f>
        <v>Inconsistent input data</v>
      </c>
      <c r="AI205" s="125"/>
    </row>
    <row r="206" ht="13.5" customHeight="1" outlineLevel="2">
      <c r="A206" s="195"/>
      <c r="B206" s="201"/>
      <c r="C206" s="246"/>
      <c r="D206" s="201"/>
      <c r="E206" s="316" t="s">
        <v>1931</v>
      </c>
      <c r="F206" s="316"/>
      <c r="G206" s="316" t="s">
        <v>2044</v>
      </c>
      <c r="H206" s="317" t="str">
        <f>IF(pclqfwattkm+pcngvwattkm=0,"Missing data",IF(ABS(pclqfwattkm+pcngvwattkm-100%)&lt;10^-4,"Ok","Inconsistent input data"))</f>
        <v>Ok</v>
      </c>
      <c r="I206" s="317" t="str">
        <f>IF(pclqfwattkm+pcngvwattkm=0,"Missing data",IF(ABS(pclqfwattkm+pcngvwattkm-100%)&lt;10^-4,"Ok","Inconsistent input data"))</f>
        <v>Ok</v>
      </c>
      <c r="J206" s="317" t="str">
        <f>IF(pclqfwattkm+pcngvwattkm=0,"Missing data",IF(ABS(pclqfwattkm+pcngvwattkm-100%)&lt;10^-4,"Ok","Inconsistent input data"))</f>
        <v>Ok</v>
      </c>
      <c r="K206" s="317" t="str">
        <f>IF(pclqfwattkm+pcngvwattkm=0,"Missing data",IF(ABS(pclqfwattkm+pcngvwattkm-100%)&lt;10^-4,"Ok","Inconsistent input data"))</f>
        <v>Ok</v>
      </c>
      <c r="L206" s="317" t="str">
        <f>IF(pclqfwattkm+pcngvwattkm=0,"Missing data",IF(ABS(pclqfwattkm+pcngvwattkm-100%)&lt;10^-4,"Ok","Inconsistent input data"))</f>
        <v>Ok</v>
      </c>
      <c r="M206" s="317" t="str">
        <f>IF(pclqfwattkm+pcngvwattkm=0,"Missing data",IF(ABS(pclqfwattkm+pcngvwattkm-100%)&lt;10^-4,"Ok","Inconsistent input data"))</f>
        <v>Ok</v>
      </c>
      <c r="N206" s="317" t="str">
        <f>IF(pclqfwattkm+pcngvwattkm=0,"Missing data",IF(ABS(pclqfwattkm+pcngvwattkm-100%)&lt;10^-4,"Ok","Inconsistent input data"))</f>
        <v>Ok</v>
      </c>
      <c r="O206" s="317" t="str">
        <f>IF(pclqfwattkm+pcngvwattkm=0,"Missing data",IF(ABS(pclqfwattkm+pcngvwattkm-100%)&lt;10^-4,"Ok","Inconsistent input data"))</f>
        <v>Ok</v>
      </c>
      <c r="P206" s="317" t="str">
        <f>IF(pclqfwattkm+pcngvwattkm=0,"Missing data",IF(ABS(pclqfwattkm+pcngvwattkm-100%)&lt;10^-4,"Ok","Inconsistent input data"))</f>
        <v>Ok</v>
      </c>
      <c r="Q206" s="317" t="str">
        <f>IF(pclqfwattkm+pcngvwattkm=0,"Missing data",IF(ABS(pclqfwattkm+pcngvwattkm-100%)&lt;10^-4,"Ok","Inconsistent input data"))</f>
        <v>Ok</v>
      </c>
      <c r="R206" s="317" t="str">
        <f>IF(pclqfwattkm+pcngvwattkm=0,"Missing data",IF(ABS(pclqfwattkm+pcngvwattkm-100%)&lt;10^-4,"Ok","Inconsistent input data"))</f>
        <v>Ok</v>
      </c>
      <c r="S206" s="317" t="str">
        <f>IF(pclqfwattkm+pcngvwattkm=0,"Missing data",IF(ABS(pclqfwattkm+pcngvwattkm-100%)&lt;10^-4,"Ok","Inconsistent input data"))</f>
        <v>Ok</v>
      </c>
      <c r="T206" s="317" t="str">
        <f>IF(pclqfwattkm+pcngvwattkm=0,"Missing data",IF(ABS(pclqfwattkm+pcngvwattkm-100%)&lt;10^-4,"Ok","Inconsistent input data"))</f>
        <v>Ok</v>
      </c>
      <c r="U206" s="317" t="str">
        <f>IF(pclqfwattkm+pcngvwattkm=0,"Missing data",IF(ABS(pclqfwattkm+pcngvwattkm-100%)&lt;10^-4,"Ok","Inconsistent input data"))</f>
        <v>Ok</v>
      </c>
      <c r="V206" s="317" t="str">
        <f>IF(pclqfwattkm+pcngvwattkm=0,"Missing data",IF(ABS(pclqfwattkm+pcngvwattkm-100%)&lt;10^-4,"Ok","Inconsistent input data"))</f>
        <v>Ok</v>
      </c>
      <c r="W206" s="317" t="str">
        <f>IF(pclqfwattkm+pcngvwattkm=0,"Missing data",IF(ABS(pclqfwattkm+pcngvwattkm-100%)&lt;10^-4,"Ok","Inconsistent input data"))</f>
        <v>Ok</v>
      </c>
      <c r="X206" s="317" t="str">
        <f>IF(pclqfwattkm+pcngvwattkm=0,"Missing data",IF(ABS(pclqfwattkm+pcngvwattkm-100%)&lt;10^-4,"Ok","Inconsistent input data"))</f>
        <v>Ok</v>
      </c>
      <c r="Y206" s="317" t="str">
        <f>IF(pclqfwattkm+pcngvwattkm=0,"Missing data",IF(ABS(pclqfwattkm+pcngvwattkm-100%)&lt;10^-4,"Ok","Inconsistent input data"))</f>
        <v>Ok</v>
      </c>
      <c r="Z206" s="317" t="str">
        <f>IF(pclqfwattkm+pcngvwattkm=0,"Missing data",IF(ABS(pclqfwattkm+pcngvwattkm-100%)&lt;10^-4,"Ok","Inconsistent input data"))</f>
        <v>Ok</v>
      </c>
      <c r="AA206" s="317" t="str">
        <f>IF(pclqfwattkm+pcngvwattkm=0,"Missing data",IF(ABS(pclqfwattkm+pcngvwattkm-100%)&lt;10^-4,"Ok","Inconsistent input data"))</f>
        <v>Ok</v>
      </c>
      <c r="AB206" s="317" t="str">
        <f>IF(pclqfwattkm+pcngvwattkm=0,"Missing data",IF(ABS(pclqfwattkm+pcngvwattkm-100%)&lt;10^-4,"Ok","Inconsistent input data"))</f>
        <v>Ok</v>
      </c>
      <c r="AC206" s="317" t="str">
        <f>IF(pclqfwattkm+pcngvwattkm=0,"Missing data",IF(ABS(pclqfwattkm+pcngvwattkm-100%)&lt;10^-4,"Ok","Inconsistent input data"))</f>
        <v>Ok</v>
      </c>
      <c r="AD206" s="317" t="str">
        <f>IF(pclqfwattkm+pcngvwattkm=0,"Missing data",IF(ABS(pclqfwattkm+pcngvwattkm-100%)&lt;10^-4,"Ok","Inconsistent input data"))</f>
        <v>Ok</v>
      </c>
      <c r="AE206" s="317" t="str">
        <f>IF(pclqfwattkm+pcngvwattkm=0,"Missing data",IF(ABS(pclqfwattkm+pcngvwattkm-100%)&lt;10^-4,"Ok","Inconsistent input data"))</f>
        <v>Ok</v>
      </c>
      <c r="AF206" s="317" t="str">
        <f>IF(pclqfwattkm+pcngvwattkm=0,"Missing data",IF(ABS(pclqfwattkm+pcngvwattkm-100%)&lt;10^-4,"Ok","Inconsistent input data"))</f>
        <v>Ok</v>
      </c>
      <c r="AG206" s="317" t="str">
        <f>IF(pclqfwattkm+pcngvwattkm=0,"Missing data",IF(ABS(pclqfwattkm+pcngvwattkm-100%)&lt;10^-4,"Ok","Inconsistent input data"))</f>
        <v>Ok</v>
      </c>
      <c r="AH206" s="317" t="str">
        <f>IF(pclqfwattkm+pcngvwattkm=0,"Missing data",IF(ABS(pclqfwattkm+pcngvwattkm-100%)&lt;10^-4,"Ok","Inconsistent input data"))</f>
        <v>Ok</v>
      </c>
      <c r="AI206" s="125"/>
    </row>
    <row r="207" ht="14.25" customHeight="1" outlineLevel="3">
      <c r="A207" s="195"/>
      <c r="B207" s="201"/>
      <c r="C207" s="201"/>
      <c r="D207" s="201"/>
      <c r="E207" s="273" t="s">
        <v>1715</v>
      </c>
      <c r="F207" s="123" t="s">
        <v>135</v>
      </c>
      <c r="G207" s="123" t="s">
        <v>1716</v>
      </c>
      <c r="H207" s="274">
        <f t="array" ref="H207:AH207">tkmflvdom*eeflvtkmd/100*pclqfwattkm</f>
        <v>0</v>
      </c>
      <c r="I207" s="274">
        <v>0.0</v>
      </c>
      <c r="J207" s="274">
        <v>0.0</v>
      </c>
      <c r="K207" s="274">
        <v>0.0</v>
      </c>
      <c r="L207" s="274">
        <v>0.0</v>
      </c>
      <c r="M207" s="274">
        <v>0.0</v>
      </c>
      <c r="N207" s="274">
        <v>0.0</v>
      </c>
      <c r="O207" s="274">
        <v>0.0</v>
      </c>
      <c r="P207" s="274">
        <v>0.0</v>
      </c>
      <c r="Q207" s="274">
        <v>0.0</v>
      </c>
      <c r="R207" s="274">
        <v>0.0</v>
      </c>
      <c r="S207" s="274">
        <v>0.0</v>
      </c>
      <c r="T207" s="274">
        <v>0.0</v>
      </c>
      <c r="U207" s="274">
        <v>0.0</v>
      </c>
      <c r="V207" s="274">
        <v>0.0</v>
      </c>
      <c r="W207" s="274">
        <v>0.80832778</v>
      </c>
      <c r="X207" s="274">
        <v>0.80096243</v>
      </c>
      <c r="Y207" s="274">
        <v>0.86042794</v>
      </c>
      <c r="Z207" s="274">
        <v>0.0</v>
      </c>
      <c r="AA207" s="274">
        <v>0.0</v>
      </c>
      <c r="AB207" s="274">
        <v>0.8722125</v>
      </c>
      <c r="AC207" s="274">
        <v>0.84997</v>
      </c>
      <c r="AD207" s="274">
        <v>0.8431874999999999</v>
      </c>
      <c r="AE207" s="274">
        <v>0.8286750000000002</v>
      </c>
      <c r="AF207" s="274">
        <v>0.7428959999999993</v>
      </c>
      <c r="AG207" s="274">
        <v>0.6674657500000001</v>
      </c>
      <c r="AH207" s="274">
        <v>0.561729</v>
      </c>
      <c r="AI207" s="318"/>
    </row>
    <row r="208" ht="14.25" customHeight="1" outlineLevel="3">
      <c r="A208" s="195"/>
      <c r="B208" s="201"/>
      <c r="C208" s="201"/>
      <c r="D208" s="201"/>
      <c r="E208" s="273" t="s">
        <v>1717</v>
      </c>
      <c r="F208" s="123" t="s">
        <v>135</v>
      </c>
      <c r="G208" s="123" t="s">
        <v>1718</v>
      </c>
      <c r="H208" s="274">
        <f t="array" ref="H208:AH208">tkmflvdom*eeflvtkmd/100*pcngvwattkm</f>
        <v>0</v>
      </c>
      <c r="I208" s="274">
        <v>0.0</v>
      </c>
      <c r="J208" s="274">
        <v>0.0</v>
      </c>
      <c r="K208" s="274">
        <v>0.0</v>
      </c>
      <c r="L208" s="274">
        <v>0.0</v>
      </c>
      <c r="M208" s="274">
        <v>0.0</v>
      </c>
      <c r="N208" s="274">
        <v>0.0</v>
      </c>
      <c r="O208" s="274">
        <v>0.0</v>
      </c>
      <c r="P208" s="274">
        <v>0.0</v>
      </c>
      <c r="Q208" s="274">
        <v>0.0</v>
      </c>
      <c r="R208" s="274">
        <v>0.0</v>
      </c>
      <c r="S208" s="274">
        <v>0.0</v>
      </c>
      <c r="T208" s="274">
        <v>0.0</v>
      </c>
      <c r="U208" s="274">
        <v>0.0</v>
      </c>
      <c r="V208" s="274">
        <v>0.0</v>
      </c>
      <c r="W208" s="274">
        <v>0.0</v>
      </c>
      <c r="X208" s="274">
        <v>0.0</v>
      </c>
      <c r="Y208" s="274">
        <v>0.0</v>
      </c>
      <c r="Z208" s="274">
        <v>0.0</v>
      </c>
      <c r="AA208" s="274">
        <v>0.0</v>
      </c>
      <c r="AB208" s="274">
        <v>0.0</v>
      </c>
      <c r="AC208" s="274">
        <v>0.07727000000000006</v>
      </c>
      <c r="AD208" s="274">
        <v>0.1686375</v>
      </c>
      <c r="AE208" s="274">
        <v>0.276225</v>
      </c>
      <c r="AF208" s="274">
        <v>0.37144800000000067</v>
      </c>
      <c r="AG208" s="274">
        <v>0.4767612500000001</v>
      </c>
      <c r="AH208" s="274">
        <v>0.561729</v>
      </c>
      <c r="AI208" s="318"/>
    </row>
    <row r="209" ht="14.25" customHeight="1" outlineLevel="3">
      <c r="A209" s="195"/>
      <c r="B209" s="201"/>
      <c r="C209" s="201"/>
      <c r="D209" s="201"/>
      <c r="E209" s="273" t="s">
        <v>1719</v>
      </c>
      <c r="F209" s="123" t="s">
        <v>135</v>
      </c>
      <c r="G209" s="123" t="s">
        <v>1720</v>
      </c>
      <c r="H209" s="274">
        <f t="array" ref="H209:AH209">tkmflvint*eeflvtkmi/100*pclqfwattkm</f>
        <v>0</v>
      </c>
      <c r="I209" s="274">
        <v>0.0</v>
      </c>
      <c r="J209" s="274">
        <v>0.0</v>
      </c>
      <c r="K209" s="274">
        <v>0.0</v>
      </c>
      <c r="L209" s="274">
        <v>0.0</v>
      </c>
      <c r="M209" s="274">
        <v>0.0</v>
      </c>
      <c r="N209" s="274">
        <v>0.0</v>
      </c>
      <c r="O209" s="274">
        <v>0.0</v>
      </c>
      <c r="P209" s="274">
        <v>0.0</v>
      </c>
      <c r="Q209" s="274">
        <v>0.0</v>
      </c>
      <c r="R209" s="274">
        <v>0.0</v>
      </c>
      <c r="S209" s="274">
        <v>0.0</v>
      </c>
      <c r="T209" s="274">
        <v>0.0</v>
      </c>
      <c r="U209" s="274">
        <v>0.0</v>
      </c>
      <c r="V209" s="274">
        <v>0.0</v>
      </c>
      <c r="W209" s="274">
        <v>87.09216599999999</v>
      </c>
      <c r="X209" s="274">
        <v>87.49288899999996</v>
      </c>
      <c r="Y209" s="274">
        <v>77.70913900000005</v>
      </c>
      <c r="Z209" s="274">
        <v>81.4425000000001</v>
      </c>
      <c r="AA209" s="274">
        <v>83.56624999999991</v>
      </c>
      <c r="AB209" s="274">
        <v>95.345792</v>
      </c>
      <c r="AC209" s="274">
        <v>87.4003093333333</v>
      </c>
      <c r="AD209" s="274">
        <v>69.12569919999999</v>
      </c>
      <c r="AE209" s="274">
        <v>52.91691456</v>
      </c>
      <c r="AF209" s="274">
        <v>38.7739554133333</v>
      </c>
      <c r="AG209" s="274">
        <v>26.69682176</v>
      </c>
      <c r="AH209" s="274">
        <v>16.6855136</v>
      </c>
      <c r="AI209" s="318"/>
    </row>
    <row r="210" ht="14.25" customHeight="1" outlineLevel="3">
      <c r="A210" s="195"/>
      <c r="B210" s="201"/>
      <c r="C210" s="201"/>
      <c r="D210" s="201"/>
      <c r="E210" s="273" t="s">
        <v>1721</v>
      </c>
      <c r="F210" s="123" t="s">
        <v>135</v>
      </c>
      <c r="G210" s="123" t="s">
        <v>1722</v>
      </c>
      <c r="H210" s="274">
        <f t="array" ref="H210:AH210">tkmflvint*eeflvtkmi/100*pcngvwattkm</f>
        <v>0</v>
      </c>
      <c r="I210" s="274">
        <v>0.0</v>
      </c>
      <c r="J210" s="274">
        <v>0.0</v>
      </c>
      <c r="K210" s="274">
        <v>0.0</v>
      </c>
      <c r="L210" s="274">
        <v>0.0</v>
      </c>
      <c r="M210" s="274">
        <v>0.0</v>
      </c>
      <c r="N210" s="274">
        <v>0.0</v>
      </c>
      <c r="O210" s="274">
        <v>0.0</v>
      </c>
      <c r="P210" s="274">
        <v>0.0</v>
      </c>
      <c r="Q210" s="274">
        <v>0.0</v>
      </c>
      <c r="R210" s="274">
        <v>0.0</v>
      </c>
      <c r="S210" s="274">
        <v>0.0</v>
      </c>
      <c r="T210" s="274">
        <v>0.0</v>
      </c>
      <c r="U210" s="274">
        <v>0.0</v>
      </c>
      <c r="V210" s="274">
        <v>0.0</v>
      </c>
      <c r="W210" s="274">
        <v>0.0</v>
      </c>
      <c r="X210" s="274">
        <v>0.0</v>
      </c>
      <c r="Y210" s="274">
        <v>0.0</v>
      </c>
      <c r="Z210" s="274">
        <v>0.0</v>
      </c>
      <c r="AA210" s="274">
        <v>0.0</v>
      </c>
      <c r="AB210" s="274">
        <v>0.0</v>
      </c>
      <c r="AC210" s="274">
        <v>7.94548266666667</v>
      </c>
      <c r="AD210" s="274">
        <v>13.825139839999999</v>
      </c>
      <c r="AE210" s="274">
        <v>17.63897152</v>
      </c>
      <c r="AF210" s="274">
        <v>19.386977706666702</v>
      </c>
      <c r="AG210" s="274">
        <v>19.0691584</v>
      </c>
      <c r="AH210" s="274">
        <v>16.6855136</v>
      </c>
      <c r="AI210" s="318"/>
    </row>
    <row r="211" ht="14.25" customHeight="1">
      <c r="A211" s="439" t="s">
        <v>2045</v>
      </c>
      <c r="B211" s="246"/>
      <c r="C211" s="246"/>
      <c r="D211" s="201"/>
      <c r="E211" s="162"/>
      <c r="F211" s="162"/>
      <c r="G211" s="162"/>
      <c r="H211" s="178"/>
      <c r="I211" s="178"/>
      <c r="J211" s="178"/>
      <c r="K211" s="178"/>
      <c r="L211" s="178"/>
      <c r="M211" s="178"/>
      <c r="N211" s="178"/>
      <c r="O211" s="178"/>
      <c r="P211" s="178"/>
      <c r="Q211" s="178"/>
      <c r="R211" s="178"/>
      <c r="S211" s="178"/>
      <c r="T211" s="178"/>
      <c r="U211" s="178"/>
      <c r="V211" s="178"/>
      <c r="W211" s="178"/>
      <c r="X211" s="178"/>
      <c r="Y211" s="178"/>
      <c r="Z211" s="178"/>
      <c r="AA211" s="178"/>
      <c r="AB211" s="178"/>
      <c r="AC211" s="178"/>
      <c r="AD211" s="178"/>
      <c r="AE211" s="178"/>
      <c r="AF211" s="178"/>
      <c r="AG211" s="178"/>
      <c r="AH211" s="178"/>
      <c r="AI211" s="162"/>
    </row>
    <row r="212" ht="14.25" customHeight="1">
      <c r="A212" s="314"/>
      <c r="B212" s="393" t="s">
        <v>781</v>
      </c>
      <c r="C212" s="246"/>
      <c r="D212" s="201"/>
      <c r="E212" s="162"/>
      <c r="F212" s="162"/>
      <c r="G212" s="162"/>
      <c r="H212" s="178"/>
      <c r="I212" s="178"/>
      <c r="J212" s="178"/>
      <c r="K212" s="178"/>
      <c r="L212" s="178"/>
      <c r="M212" s="178"/>
      <c r="N212" s="178"/>
      <c r="O212" s="178"/>
      <c r="P212" s="178"/>
      <c r="Q212" s="178"/>
      <c r="R212" s="178"/>
      <c r="S212" s="178"/>
      <c r="T212" s="178"/>
      <c r="U212" s="178"/>
      <c r="V212" s="178"/>
      <c r="W212" s="178"/>
      <c r="X212" s="178"/>
      <c r="Y212" s="178"/>
      <c r="Z212" s="178"/>
      <c r="AA212" s="178"/>
      <c r="AB212" s="453"/>
      <c r="AC212" s="453"/>
      <c r="AD212" s="453"/>
      <c r="AE212" s="453"/>
      <c r="AF212" s="453"/>
      <c r="AG212" s="178"/>
      <c r="AH212" s="178"/>
      <c r="AI212" s="162"/>
    </row>
    <row r="213" ht="14.25" customHeight="1" outlineLevel="3">
      <c r="A213" s="326"/>
      <c r="B213" s="100"/>
      <c r="C213" s="201"/>
      <c r="D213" s="201"/>
      <c r="E213" s="299" t="s">
        <v>2046</v>
      </c>
      <c r="F213" s="123" t="s">
        <v>135</v>
      </c>
      <c r="G213" s="123" t="s">
        <v>2047</v>
      </c>
      <c r="H213" s="274">
        <f t="shared" ref="H213:AH213" si="9">SUM(H214:H217)</f>
        <v>0</v>
      </c>
      <c r="I213" s="274">
        <f t="shared" si="9"/>
        <v>0</v>
      </c>
      <c r="J213" s="274">
        <f t="shared" si="9"/>
        <v>0</v>
      </c>
      <c r="K213" s="274">
        <f t="shared" si="9"/>
        <v>0</v>
      </c>
      <c r="L213" s="274">
        <f t="shared" si="9"/>
        <v>0</v>
      </c>
      <c r="M213" s="274">
        <f t="shared" si="9"/>
        <v>0</v>
      </c>
      <c r="N213" s="274">
        <f t="shared" si="9"/>
        <v>0</v>
      </c>
      <c r="O213" s="274">
        <f t="shared" si="9"/>
        <v>0</v>
      </c>
      <c r="P213" s="274">
        <f t="shared" si="9"/>
        <v>0</v>
      </c>
      <c r="Q213" s="274">
        <f t="shared" si="9"/>
        <v>0</v>
      </c>
      <c r="R213" s="274">
        <f t="shared" si="9"/>
        <v>0</v>
      </c>
      <c r="S213" s="274">
        <f t="shared" si="9"/>
        <v>0</v>
      </c>
      <c r="T213" s="274">
        <f t="shared" si="9"/>
        <v>0</v>
      </c>
      <c r="U213" s="274">
        <f t="shared" si="9"/>
        <v>0</v>
      </c>
      <c r="V213" s="274">
        <f t="shared" si="9"/>
        <v>0</v>
      </c>
      <c r="W213" s="274">
        <f t="shared" si="9"/>
        <v>36.06132662</v>
      </c>
      <c r="X213" s="274">
        <f t="shared" si="9"/>
        <v>0.80096243</v>
      </c>
      <c r="Y213" s="274">
        <f t="shared" si="9"/>
        <v>0.86042794</v>
      </c>
      <c r="Z213" s="274">
        <f t="shared" si="9"/>
        <v>0</v>
      </c>
      <c r="AA213" s="274">
        <f t="shared" si="9"/>
        <v>0</v>
      </c>
      <c r="AB213" s="274">
        <f t="shared" si="9"/>
        <v>35.63540388</v>
      </c>
      <c r="AC213" s="274">
        <f t="shared" si="9"/>
        <v>33.12259597</v>
      </c>
      <c r="AD213" s="274">
        <f t="shared" si="9"/>
        <v>28.82840141</v>
      </c>
      <c r="AE213" s="274">
        <f t="shared" si="9"/>
        <v>24.21699376</v>
      </c>
      <c r="AF213" s="274">
        <f t="shared" si="9"/>
        <v>19.70417522</v>
      </c>
      <c r="AG213" s="274">
        <f t="shared" si="9"/>
        <v>17.11532968</v>
      </c>
      <c r="AH213" s="274">
        <f t="shared" si="9"/>
        <v>16.21266437</v>
      </c>
      <c r="AI213" s="125"/>
    </row>
    <row r="214" ht="14.25" customHeight="1" outlineLevel="3">
      <c r="A214" s="326"/>
      <c r="B214" s="201"/>
      <c r="C214" s="201"/>
      <c r="D214" s="201"/>
      <c r="E214" s="273" t="s">
        <v>2048</v>
      </c>
      <c r="F214" s="123" t="s">
        <v>135</v>
      </c>
      <c r="G214" s="123" t="s">
        <v>2049</v>
      </c>
      <c r="H214" s="274">
        <f>(calcflqfvlr+calcfgplvlr+calcfhybessvlr+calcfhybgzlvlr)+(calcflqfcam+calcfgplcam)+calcflqffrefer+calcflqffrewatd</f>
        <v>0</v>
      </c>
      <c r="I214" s="274">
        <f>(calcflqfvlr+calcfgplvlr+calcfhybessvlr+calcfhybgzlvlr)+(calcflqfcam+calcfgplcam)+calcflqffrefer+calcflqffrewatd</f>
        <v>0</v>
      </c>
      <c r="J214" s="274">
        <f>(calcflqfvlr+calcfgplvlr+calcfhybessvlr+calcfhybgzlvlr)+(calcflqfcam+calcfgplcam)+calcflqffrefer+calcflqffrewatd</f>
        <v>0</v>
      </c>
      <c r="K214" s="274">
        <f>(calcflqfvlr+calcfgplvlr+calcfhybessvlr+calcfhybgzlvlr)+(calcflqfcam+calcfgplcam)+calcflqffrefer+calcflqffrewatd</f>
        <v>0</v>
      </c>
      <c r="L214" s="274">
        <f>(calcflqfvlr+calcfgplvlr+calcfhybessvlr+calcfhybgzlvlr)+(calcflqfcam+calcfgplcam)+calcflqffrefer+calcflqffrewatd</f>
        <v>0</v>
      </c>
      <c r="M214" s="274">
        <f>(calcflqfvlr+calcfgplvlr+calcfhybessvlr+calcfhybgzlvlr)+(calcflqfcam+calcfgplcam)+calcflqffrefer+calcflqffrewatd</f>
        <v>0</v>
      </c>
      <c r="N214" s="274">
        <f>(calcflqfvlr+calcfgplvlr+calcfhybessvlr+calcfhybgzlvlr)+(calcflqfcam+calcfgplcam)+calcflqffrefer+calcflqffrewatd</f>
        <v>0</v>
      </c>
      <c r="O214" s="274">
        <f>(calcflqfvlr+calcfgplvlr+calcfhybessvlr+calcfhybgzlvlr)+(calcflqfcam+calcfgplcam)+calcflqffrefer+calcflqffrewatd</f>
        <v>0</v>
      </c>
      <c r="P214" s="274">
        <f>(calcflqfvlr+calcfgplvlr+calcfhybessvlr+calcfhybgzlvlr)+(calcflqfcam+calcfgplcam)+calcflqffrefer+calcflqffrewatd</f>
        <v>0</v>
      </c>
      <c r="Q214" s="274">
        <f>(calcflqfvlr+calcfgplvlr+calcfhybessvlr+calcfhybgzlvlr)+(calcflqfcam+calcfgplcam)+calcflqffrefer+calcflqffrewatd</f>
        <v>0</v>
      </c>
      <c r="R214" s="274">
        <f>(calcflqfvlr+calcfgplvlr+calcfhybessvlr+calcfhybgzlvlr)+(calcflqfcam+calcfgplcam)+calcflqffrefer+calcflqffrewatd</f>
        <v>0</v>
      </c>
      <c r="S214" s="274">
        <f>(calcflqfvlr+calcfgplvlr+calcfhybessvlr+calcfhybgzlvlr)+(calcflqfcam+calcfgplcam)+calcflqffrefer+calcflqffrewatd</f>
        <v>0</v>
      </c>
      <c r="T214" s="274">
        <f>(calcflqfvlr+calcfgplvlr+calcfhybessvlr+calcfhybgzlvlr)+(calcflqfcam+calcfgplcam)+calcflqffrefer+calcflqffrewatd</f>
        <v>0</v>
      </c>
      <c r="U214" s="274">
        <f>(calcflqfvlr+calcfgplvlr+calcfhybessvlr+calcfhybgzlvlr)+(calcflqfcam+calcfgplcam)+calcflqffrefer+calcflqffrewatd</f>
        <v>0</v>
      </c>
      <c r="V214" s="274">
        <f>(calcflqfvlr+calcfgplvlr+calcfhybessvlr+calcfhybgzlvlr)+(calcflqfcam+calcfgplcam)+calcflqffrefer+calcflqffrewatd</f>
        <v>0</v>
      </c>
      <c r="W214" s="274">
        <f>(calcflqfvlr+calcfgplvlr+calcfhybessvlr+calcfhybgzlvlr)+(calcflqfcam+calcfgplcam)+calcflqffrefer+calcflqffrewatd</f>
        <v>35.69821957</v>
      </c>
      <c r="X214" s="274">
        <f>(calcflqfvlr+calcfgplvlr+calcfhybessvlr+calcfhybgzlvlr)+(calcflqfcam+calcfgplcam)+calcflqffrefer+calcflqffrewatd</f>
        <v>0.80096243</v>
      </c>
      <c r="Y214" s="274">
        <f>(calcflqfvlr+calcfgplvlr+calcfhybessvlr+calcfhybgzlvlr)+(calcflqfcam+calcfgplcam)+calcflqffrefer+calcflqffrewatd</f>
        <v>0.86042794</v>
      </c>
      <c r="Z214" s="274">
        <f>(calcflqfvlr+calcfgplvlr+calcfhybessvlr+calcfhybgzlvlr)+(calcflqfcam+calcfgplcam)+calcflqffrefer+calcflqffrewatd</f>
        <v>0</v>
      </c>
      <c r="AA214" s="274">
        <f>(calcflqfvlr+calcfgplvlr+calcfhybessvlr+calcfhybgzlvlr)+(calcflqfcam+calcfgplcam)+calcflqffrefer+calcflqffrewatd</f>
        <v>0</v>
      </c>
      <c r="AB214" s="274">
        <f>(calcflqfvlr+calcfgplvlr+calcfhybessvlr+calcfhybgzlvlr)+(calcflqfcam+calcfgplcam)+calcflqffrefer+calcflqffrewatd</f>
        <v>35.08750201</v>
      </c>
      <c r="AC214" s="274">
        <f>(calcflqfvlr+calcfgplvlr+calcfhybessvlr+calcfhybgzlvlr)+(calcflqfcam+calcfgplcam)+calcflqffrefer+calcflqffrewatd</f>
        <v>32.18178485</v>
      </c>
      <c r="AD214" s="274">
        <f>(calcflqfvlr+calcfgplvlr+calcfhybessvlr+calcfhybgzlvlr)+(calcflqfcam+calcfgplcam)+calcflqffrefer+calcflqffrewatd</f>
        <v>26.47140169</v>
      </c>
      <c r="AE214" s="274">
        <f>(calcflqfvlr+calcfgplvlr+calcfhybessvlr+calcfhybgzlvlr)+(calcflqfcam+calcfgplcam)+calcflqffrefer+calcflqffrewatd</f>
        <v>19.0538936</v>
      </c>
      <c r="AF214" s="274">
        <f>(calcflqfvlr+calcfgplvlr+calcfhybessvlr+calcfhybgzlvlr)+(calcflqfcam+calcfgplcam)+calcflqffrefer+calcflqffrewatd</f>
        <v>11.1760769</v>
      </c>
      <c r="AG214" s="274">
        <f>(calcflqfvlr+calcfgplvlr+calcfhybessvlr+calcfhybgzlvlr)+(calcflqfcam+calcfgplcam)+calcflqffrefer+calcflqffrewatd</f>
        <v>4.480378373</v>
      </c>
      <c r="AH214" s="274">
        <f>(calcflqfvlr+calcfgplvlr+calcfhybessvlr+calcfhybgzlvlr)+(calcflqfcam+calcfgplcam)+calcflqffrefer+calcflqffrewatd</f>
        <v>0.6046470966</v>
      </c>
      <c r="AI214" s="125"/>
    </row>
    <row r="215" ht="14.25" customHeight="1" outlineLevel="3">
      <c r="A215" s="326"/>
      <c r="B215" s="201"/>
      <c r="C215" s="201"/>
      <c r="D215" s="201"/>
      <c r="E215" s="273" t="s">
        <v>1738</v>
      </c>
      <c r="F215" s="123" t="s">
        <v>135</v>
      </c>
      <c r="G215" s="123" t="s">
        <v>2050</v>
      </c>
      <c r="H215" s="274">
        <f>(calcfngvvlr+calcfhybgazvlr)+calcfngvcam+calcfngvfrefer+calcfngvfrewatd</f>
        <v>0</v>
      </c>
      <c r="I215" s="274">
        <f>(calcfngvvlr+calcfhybgazvlr)+calcfngvcam+calcfngvfrefer+calcfngvfrewatd</f>
        <v>0</v>
      </c>
      <c r="J215" s="274">
        <f>(calcfngvvlr+calcfhybgazvlr)+calcfngvcam+calcfngvfrefer+calcfngvfrewatd</f>
        <v>0</v>
      </c>
      <c r="K215" s="274">
        <f>(calcfngvvlr+calcfhybgazvlr)+calcfngvcam+calcfngvfrefer+calcfngvfrewatd</f>
        <v>0</v>
      </c>
      <c r="L215" s="274">
        <f>(calcfngvvlr+calcfhybgazvlr)+calcfngvcam+calcfngvfrefer+calcfngvfrewatd</f>
        <v>0</v>
      </c>
      <c r="M215" s="274">
        <f>(calcfngvvlr+calcfhybgazvlr)+calcfngvcam+calcfngvfrefer+calcfngvfrewatd</f>
        <v>0</v>
      </c>
      <c r="N215" s="274">
        <f>(calcfngvvlr+calcfhybgazvlr)+calcfngvcam+calcfngvfrefer+calcfngvfrewatd</f>
        <v>0</v>
      </c>
      <c r="O215" s="274">
        <f>(calcfngvvlr+calcfhybgazvlr)+calcfngvcam+calcfngvfrefer+calcfngvfrewatd</f>
        <v>0</v>
      </c>
      <c r="P215" s="274">
        <f>(calcfngvvlr+calcfhybgazvlr)+calcfngvcam+calcfngvfrefer+calcfngvfrewatd</f>
        <v>0</v>
      </c>
      <c r="Q215" s="274">
        <f>(calcfngvvlr+calcfhybgazvlr)+calcfngvcam+calcfngvfrefer+calcfngvfrewatd</f>
        <v>0</v>
      </c>
      <c r="R215" s="274">
        <f>(calcfngvvlr+calcfhybgazvlr)+calcfngvcam+calcfngvfrefer+calcfngvfrewatd</f>
        <v>0</v>
      </c>
      <c r="S215" s="274">
        <f>(calcfngvvlr+calcfhybgazvlr)+calcfngvcam+calcfngvfrefer+calcfngvfrewatd</f>
        <v>0</v>
      </c>
      <c r="T215" s="274">
        <f>(calcfngvvlr+calcfhybgazvlr)+calcfngvcam+calcfngvfrefer+calcfngvfrewatd</f>
        <v>0</v>
      </c>
      <c r="U215" s="274">
        <f>(calcfngvvlr+calcfhybgazvlr)+calcfngvcam+calcfngvfrefer+calcfngvfrewatd</f>
        <v>0</v>
      </c>
      <c r="V215" s="274">
        <f>(calcfngvvlr+calcfhybgazvlr)+calcfngvcam+calcfngvfrefer+calcfngvfrewatd</f>
        <v>0</v>
      </c>
      <c r="W215" s="274">
        <f>(calcfngvvlr+calcfhybgazvlr)+calcfngvcam+calcfngvfrefer+calcfngvfrewatd</f>
        <v>0.004237318461</v>
      </c>
      <c r="X215" s="274">
        <f>(calcfngvvlr+calcfhybgazvlr)+calcfngvcam+calcfngvfrefer+calcfngvfrewatd</f>
        <v>0</v>
      </c>
      <c r="Y215" s="274">
        <f>(calcfngvvlr+calcfhybgazvlr)+calcfngvcam+calcfngvfrefer+calcfngvfrewatd</f>
        <v>0</v>
      </c>
      <c r="Z215" s="274">
        <f>(calcfngvvlr+calcfhybgazvlr)+calcfngvcam+calcfngvfrefer+calcfngvfrewatd</f>
        <v>0</v>
      </c>
      <c r="AA215" s="274">
        <f>(calcfngvvlr+calcfhybgazvlr)+calcfngvcam+calcfngvfrefer+calcfngvfrewatd</f>
        <v>0</v>
      </c>
      <c r="AB215" s="274">
        <f>(calcfngvvlr+calcfhybgazvlr)+calcfngvcam+calcfngvfrefer+calcfngvfrewatd</f>
        <v>0.1930036649</v>
      </c>
      <c r="AC215" s="274">
        <f>(calcfngvvlr+calcfhybgazvlr)+calcfngvcam+calcfngvfrefer+calcfngvfrewatd</f>
        <v>0.4530239623</v>
      </c>
      <c r="AD215" s="274">
        <f>(calcfngvvlr+calcfhybgazvlr)+calcfngvcam+calcfngvfrefer+calcfngvfrewatd</f>
        <v>0.8867081452</v>
      </c>
      <c r="AE215" s="274">
        <f>(calcfngvvlr+calcfhybgazvlr)+calcfngvcam+calcfngvfrefer+calcfngvfrewatd</f>
        <v>1.999150359</v>
      </c>
      <c r="AF215" s="274">
        <f>(calcfngvvlr+calcfhybgazvlr)+calcfngvcam+calcfngvfrefer+calcfngvfrewatd</f>
        <v>3.343990293</v>
      </c>
      <c r="AG215" s="274">
        <f>(calcfngvvlr+calcfhybgazvlr)+calcfngvcam+calcfngvfrefer+calcfngvfrewatd</f>
        <v>5.100971363</v>
      </c>
      <c r="AH215" s="274">
        <f>(calcfngvvlr+calcfhybgazvlr)+calcfngvcam+calcfngvfrefer+calcfngvfrewatd</f>
        <v>7.009417521</v>
      </c>
      <c r="AI215" s="125"/>
    </row>
    <row r="216" ht="14.25" customHeight="1" outlineLevel="3">
      <c r="A216" s="326"/>
      <c r="B216" s="201"/>
      <c r="C216" s="201"/>
      <c r="D216" s="201"/>
      <c r="E216" s="273" t="s">
        <v>1740</v>
      </c>
      <c r="F216" s="123" t="s">
        <v>135</v>
      </c>
      <c r="G216" s="123" t="s">
        <v>2051</v>
      </c>
      <c r="H216" s="274">
        <f>calcfhydvlr+calcfhydcam+calcfhydfrefer</f>
        <v>0</v>
      </c>
      <c r="I216" s="274">
        <f>calcfhydvlr+calcfhydcam+calcfhydfrefer</f>
        <v>0</v>
      </c>
      <c r="J216" s="274">
        <f>calcfhydvlr+calcfhydcam+calcfhydfrefer</f>
        <v>0</v>
      </c>
      <c r="K216" s="274">
        <f>calcfhydvlr+calcfhydcam+calcfhydfrefer</f>
        <v>0</v>
      </c>
      <c r="L216" s="274">
        <f>calcfhydvlr+calcfhydcam+calcfhydfrefer</f>
        <v>0</v>
      </c>
      <c r="M216" s="274">
        <f>calcfhydvlr+calcfhydcam+calcfhydfrefer</f>
        <v>0</v>
      </c>
      <c r="N216" s="274">
        <f>calcfhydvlr+calcfhydcam+calcfhydfrefer</f>
        <v>0</v>
      </c>
      <c r="O216" s="274">
        <f>calcfhydvlr+calcfhydcam+calcfhydfrefer</f>
        <v>0</v>
      </c>
      <c r="P216" s="274">
        <f>calcfhydvlr+calcfhydcam+calcfhydfrefer</f>
        <v>0</v>
      </c>
      <c r="Q216" s="274">
        <f>calcfhydvlr+calcfhydcam+calcfhydfrefer</f>
        <v>0</v>
      </c>
      <c r="R216" s="274">
        <f>calcfhydvlr+calcfhydcam+calcfhydfrefer</f>
        <v>0</v>
      </c>
      <c r="S216" s="274">
        <f>calcfhydvlr+calcfhydcam+calcfhydfrefer</f>
        <v>0</v>
      </c>
      <c r="T216" s="274">
        <f>calcfhydvlr+calcfhydcam+calcfhydfrefer</f>
        <v>0</v>
      </c>
      <c r="U216" s="274">
        <f>calcfhydvlr+calcfhydcam+calcfhydfrefer</f>
        <v>0</v>
      </c>
      <c r="V216" s="274">
        <f>calcfhydvlr+calcfhydcam+calcfhydfrefer</f>
        <v>0</v>
      </c>
      <c r="W216" s="274">
        <f>calcfhydvlr+calcfhydcam+calcfhydfrefer</f>
        <v>0</v>
      </c>
      <c r="X216" s="274">
        <f>calcfhydvlr+calcfhydcam+calcfhydfrefer</f>
        <v>0</v>
      </c>
      <c r="Y216" s="274">
        <f>calcfhydvlr+calcfhydcam+calcfhydfrefer</f>
        <v>0</v>
      </c>
      <c r="Z216" s="274">
        <f>calcfhydvlr+calcfhydcam+calcfhydfrefer</f>
        <v>0</v>
      </c>
      <c r="AA216" s="274">
        <f>calcfhydvlr+calcfhydcam+calcfhydfrefer</f>
        <v>0</v>
      </c>
      <c r="AB216" s="274">
        <f>calcfhydvlr+calcfhydcam+calcfhydfrefer</f>
        <v>0</v>
      </c>
      <c r="AC216" s="274">
        <f>calcfhydvlr+calcfhydcam+calcfhydfrefer</f>
        <v>0</v>
      </c>
      <c r="AD216" s="274">
        <f>calcfhydvlr+calcfhydcam+calcfhydfrefer</f>
        <v>0.119758458</v>
      </c>
      <c r="AE216" s="274">
        <f>calcfhydvlr+calcfhydcam+calcfhydfrefer</f>
        <v>0.61309255</v>
      </c>
      <c r="AF216" s="274">
        <f>calcfhydvlr+calcfhydcam+calcfhydfrefer</f>
        <v>1.654188658</v>
      </c>
      <c r="AG216" s="274">
        <f>calcfhydvlr+calcfhydcam+calcfhydfrefer</f>
        <v>3.226900042</v>
      </c>
      <c r="AH216" s="274">
        <f>calcfhydvlr+calcfhydcam+calcfhydfrefer</f>
        <v>4.1541987</v>
      </c>
      <c r="AI216" s="125"/>
    </row>
    <row r="217" ht="14.25" customHeight="1" outlineLevel="3">
      <c r="A217" s="326"/>
      <c r="B217" s="201"/>
      <c r="C217" s="201"/>
      <c r="D217" s="201"/>
      <c r="E217" s="273" t="s">
        <v>1742</v>
      </c>
      <c r="F217" s="123" t="s">
        <v>135</v>
      </c>
      <c r="G217" s="123" t="s">
        <v>2052</v>
      </c>
      <c r="H217" s="274">
        <f>(calcfelevlr+calcfelehybvlr)+calcfelecam+calcfelefrefer</f>
        <v>0</v>
      </c>
      <c r="I217" s="274">
        <f>(calcfelevlr+calcfelehybvlr)+calcfelecam+calcfelefrefer</f>
        <v>0</v>
      </c>
      <c r="J217" s="274">
        <f>(calcfelevlr+calcfelehybvlr)+calcfelecam+calcfelefrefer</f>
        <v>0</v>
      </c>
      <c r="K217" s="274">
        <f>(calcfelevlr+calcfelehybvlr)+calcfelecam+calcfelefrefer</f>
        <v>0</v>
      </c>
      <c r="L217" s="274">
        <f>(calcfelevlr+calcfelehybvlr)+calcfelecam+calcfelefrefer</f>
        <v>0</v>
      </c>
      <c r="M217" s="274">
        <f>(calcfelevlr+calcfelehybvlr)+calcfelecam+calcfelefrefer</f>
        <v>0</v>
      </c>
      <c r="N217" s="274">
        <f>(calcfelevlr+calcfelehybvlr)+calcfelecam+calcfelefrefer</f>
        <v>0</v>
      </c>
      <c r="O217" s="274">
        <f>(calcfelevlr+calcfelehybvlr)+calcfelecam+calcfelefrefer</f>
        <v>0</v>
      </c>
      <c r="P217" s="274">
        <f>(calcfelevlr+calcfelehybvlr)+calcfelecam+calcfelefrefer</f>
        <v>0</v>
      </c>
      <c r="Q217" s="274">
        <f>(calcfelevlr+calcfelehybvlr)+calcfelecam+calcfelefrefer</f>
        <v>0</v>
      </c>
      <c r="R217" s="274">
        <f>(calcfelevlr+calcfelehybvlr)+calcfelecam+calcfelefrefer</f>
        <v>0</v>
      </c>
      <c r="S217" s="274">
        <f>(calcfelevlr+calcfelehybvlr)+calcfelecam+calcfelefrefer</f>
        <v>0</v>
      </c>
      <c r="T217" s="274">
        <f>(calcfelevlr+calcfelehybvlr)+calcfelecam+calcfelefrefer</f>
        <v>0</v>
      </c>
      <c r="U217" s="274">
        <f>(calcfelevlr+calcfelehybvlr)+calcfelecam+calcfelefrefer</f>
        <v>0</v>
      </c>
      <c r="V217" s="274">
        <f>(calcfelevlr+calcfelehybvlr)+calcfelecam+calcfelefrefer</f>
        <v>0</v>
      </c>
      <c r="W217" s="274">
        <f>(calcfelevlr+calcfelehybvlr)+calcfelecam+calcfelefrefer</f>
        <v>0.3588697362</v>
      </c>
      <c r="X217" s="274">
        <f>(calcfelevlr+calcfelehybvlr)+calcfelecam+calcfelefrefer</f>
        <v>0</v>
      </c>
      <c r="Y217" s="274">
        <f>(calcfelevlr+calcfelehybvlr)+calcfelecam+calcfelefrefer</f>
        <v>0</v>
      </c>
      <c r="Z217" s="274">
        <f>(calcfelevlr+calcfelehybvlr)+calcfelecam+calcfelefrefer</f>
        <v>0</v>
      </c>
      <c r="AA217" s="274">
        <f>(calcfelevlr+calcfelehybvlr)+calcfelecam+calcfelefrefer</f>
        <v>0</v>
      </c>
      <c r="AB217" s="274">
        <f>(calcfelevlr+calcfelehybvlr)+calcfelecam+calcfelefrefer</f>
        <v>0.3548982022</v>
      </c>
      <c r="AC217" s="274">
        <f>(calcfelevlr+calcfelehybvlr)+calcfelecam+calcfelefrefer</f>
        <v>0.487787161</v>
      </c>
      <c r="AD217" s="274">
        <f>(calcfelevlr+calcfelehybvlr)+calcfelecam+calcfelefrefer</f>
        <v>1.350533119</v>
      </c>
      <c r="AE217" s="274">
        <f>(calcfelevlr+calcfelehybvlr)+calcfelecam+calcfelefrefer</f>
        <v>2.550857245</v>
      </c>
      <c r="AF217" s="274">
        <f>(calcfelevlr+calcfelehybvlr)+calcfelecam+calcfelefrefer</f>
        <v>3.529919375</v>
      </c>
      <c r="AG217" s="274">
        <f>(calcfelevlr+calcfelehybvlr)+calcfelecam+calcfelefrefer</f>
        <v>4.307079902</v>
      </c>
      <c r="AH217" s="274">
        <f>(calcfelevlr+calcfelehybvlr)+calcfelecam+calcfelefrefer</f>
        <v>4.444401049</v>
      </c>
      <c r="AI217" s="318"/>
    </row>
    <row r="218" ht="13.5" customHeight="1" outlineLevel="1">
      <c r="A218" s="100"/>
      <c r="B218" s="393" t="s">
        <v>1953</v>
      </c>
      <c r="C218" s="162"/>
      <c r="D218" s="201"/>
      <c r="E218" s="162"/>
      <c r="F218" s="162"/>
      <c r="G218" s="162"/>
      <c r="H218" s="178"/>
      <c r="I218" s="178"/>
      <c r="J218" s="178"/>
      <c r="K218" s="178"/>
      <c r="L218" s="178"/>
      <c r="M218" s="178"/>
      <c r="N218" s="178"/>
      <c r="O218" s="178"/>
      <c r="P218" s="178"/>
      <c r="Q218" s="178"/>
      <c r="R218" s="178"/>
      <c r="S218" s="178"/>
      <c r="T218" s="178"/>
      <c r="U218" s="178"/>
      <c r="V218" s="178"/>
      <c r="W218" s="178"/>
      <c r="X218" s="178"/>
      <c r="Y218" s="178"/>
      <c r="Z218" s="178"/>
      <c r="AA218" s="178"/>
      <c r="AB218" s="178"/>
      <c r="AC218" s="178"/>
      <c r="AD218" s="178"/>
      <c r="AE218" s="178"/>
      <c r="AF218" s="178"/>
      <c r="AG218" s="178"/>
      <c r="AH218" s="178"/>
      <c r="AI218" s="336"/>
    </row>
    <row r="219" ht="14.25" customHeight="1" outlineLevel="1">
      <c r="A219" s="100"/>
      <c r="B219" s="100"/>
      <c r="C219" s="100"/>
      <c r="D219" s="100"/>
      <c r="E219" s="299" t="s">
        <v>1735</v>
      </c>
      <c r="F219" s="123" t="s">
        <v>135</v>
      </c>
      <c r="G219" s="123" t="s">
        <v>1736</v>
      </c>
      <c r="H219" s="274">
        <f t="shared" ref="H219:AH219" si="10">SUM(H220:H223)</f>
        <v>0</v>
      </c>
      <c r="I219" s="274">
        <f t="shared" si="10"/>
        <v>0</v>
      </c>
      <c r="J219" s="274">
        <f t="shared" si="10"/>
        <v>0</v>
      </c>
      <c r="K219" s="274">
        <f t="shared" si="10"/>
        <v>0</v>
      </c>
      <c r="L219" s="274">
        <f t="shared" si="10"/>
        <v>0</v>
      </c>
      <c r="M219" s="274">
        <f t="shared" si="10"/>
        <v>0</v>
      </c>
      <c r="N219" s="274">
        <f t="shared" si="10"/>
        <v>0</v>
      </c>
      <c r="O219" s="274">
        <f t="shared" si="10"/>
        <v>0</v>
      </c>
      <c r="P219" s="274">
        <f t="shared" si="10"/>
        <v>0</v>
      </c>
      <c r="Q219" s="274">
        <f t="shared" si="10"/>
        <v>0</v>
      </c>
      <c r="R219" s="274">
        <f t="shared" si="10"/>
        <v>0</v>
      </c>
      <c r="S219" s="274">
        <f t="shared" si="10"/>
        <v>0</v>
      </c>
      <c r="T219" s="274">
        <f t="shared" si="10"/>
        <v>0</v>
      </c>
      <c r="U219" s="274">
        <f t="shared" si="10"/>
        <v>0</v>
      </c>
      <c r="V219" s="274">
        <f t="shared" si="10"/>
        <v>0</v>
      </c>
      <c r="W219" s="274">
        <f t="shared" si="10"/>
        <v>43.89939798</v>
      </c>
      <c r="X219" s="274" t="str">
        <f t="shared" si="10"/>
        <v>#DIV/0!</v>
      </c>
      <c r="Y219" s="274" t="str">
        <f t="shared" si="10"/>
        <v>#DIV/0!</v>
      </c>
      <c r="Z219" s="274" t="str">
        <f t="shared" si="10"/>
        <v>#DIV/0!</v>
      </c>
      <c r="AA219" s="274" t="str">
        <f t="shared" si="10"/>
        <v>#DIV/0!</v>
      </c>
      <c r="AB219" s="274">
        <f t="shared" si="10"/>
        <v>43.56248523</v>
      </c>
      <c r="AC219" s="274">
        <f t="shared" si="10"/>
        <v>38.57525734</v>
      </c>
      <c r="AD219" s="274">
        <f t="shared" si="10"/>
        <v>31.81190964</v>
      </c>
      <c r="AE219" s="274">
        <f t="shared" si="10"/>
        <v>25.28651962</v>
      </c>
      <c r="AF219" s="274">
        <f t="shared" si="10"/>
        <v>19.70417522</v>
      </c>
      <c r="AG219" s="274">
        <f t="shared" si="10"/>
        <v>17.11532968</v>
      </c>
      <c r="AH219" s="274">
        <f t="shared" si="10"/>
        <v>16.21266437</v>
      </c>
      <c r="AI219" s="125"/>
    </row>
    <row r="220" ht="14.25" customHeight="1" outlineLevel="1">
      <c r="A220" s="100"/>
      <c r="B220" s="100"/>
      <c r="C220" s="100"/>
      <c r="D220" s="100"/>
      <c r="E220" s="273" t="s">
        <v>1726</v>
      </c>
      <c r="F220" s="123" t="s">
        <v>135</v>
      </c>
      <c r="G220" s="123" t="s">
        <v>1737</v>
      </c>
      <c r="H220" s="446">
        <f>IFERROR(__xludf.DUMMYFUNCTION("IF(SINGLE(lqfcffre)&lt;&gt;"""",SINGLE(lqfcffre),SINGLE(callqfcffre))"),0.0)</f>
        <v>0</v>
      </c>
      <c r="I220" s="446">
        <f>IFERROR(__xludf.DUMMYFUNCTION("IF(SINGLE(lqfcffre)&lt;&gt;"""",SINGLE(lqfcffre),SINGLE(callqfcffre))"),0.0)</f>
        <v>0</v>
      </c>
      <c r="J220" s="446">
        <f>IFERROR(__xludf.DUMMYFUNCTION("IF(SINGLE(lqfcffre)&lt;&gt;"""",SINGLE(lqfcffre),SINGLE(callqfcffre))"),0.0)</f>
        <v>0</v>
      </c>
      <c r="K220" s="446">
        <f>IFERROR(__xludf.DUMMYFUNCTION("IF(SINGLE(lqfcffre)&lt;&gt;"""",SINGLE(lqfcffre),SINGLE(callqfcffre))"),0.0)</f>
        <v>0</v>
      </c>
      <c r="L220" s="446">
        <f>IFERROR(__xludf.DUMMYFUNCTION("IF(SINGLE(lqfcffre)&lt;&gt;"""",SINGLE(lqfcffre),SINGLE(callqfcffre))"),0.0)</f>
        <v>0</v>
      </c>
      <c r="M220" s="446">
        <f>IFERROR(__xludf.DUMMYFUNCTION("IF(SINGLE(lqfcffre)&lt;&gt;"""",SINGLE(lqfcffre),SINGLE(callqfcffre))"),0.0)</f>
        <v>0</v>
      </c>
      <c r="N220" s="446">
        <f>IFERROR(__xludf.DUMMYFUNCTION("IF(SINGLE(lqfcffre)&lt;&gt;"""",SINGLE(lqfcffre),SINGLE(callqfcffre))"),0.0)</f>
        <v>0</v>
      </c>
      <c r="O220" s="446">
        <f>IFERROR(__xludf.DUMMYFUNCTION("IF(SINGLE(lqfcffre)&lt;&gt;"""",SINGLE(lqfcffre),SINGLE(callqfcffre))"),0.0)</f>
        <v>0</v>
      </c>
      <c r="P220" s="446">
        <f>IFERROR(__xludf.DUMMYFUNCTION("IF(SINGLE(lqfcffre)&lt;&gt;"""",SINGLE(lqfcffre),SINGLE(callqfcffre))"),0.0)</f>
        <v>0</v>
      </c>
      <c r="Q220" s="446">
        <f>IFERROR(__xludf.DUMMYFUNCTION("IF(SINGLE(lqfcffre)&lt;&gt;"""",SINGLE(lqfcffre),SINGLE(callqfcffre))"),0.0)</f>
        <v>0</v>
      </c>
      <c r="R220" s="446">
        <f>IFERROR(__xludf.DUMMYFUNCTION("IF(SINGLE(lqfcffre)&lt;&gt;"""",SINGLE(lqfcffre),SINGLE(callqfcffre))"),0.0)</f>
        <v>0</v>
      </c>
      <c r="S220" s="446">
        <f>IFERROR(__xludf.DUMMYFUNCTION("IF(SINGLE(lqfcffre)&lt;&gt;"""",SINGLE(lqfcffre),SINGLE(callqfcffre))"),0.0)</f>
        <v>0</v>
      </c>
      <c r="T220" s="446">
        <f>IFERROR(__xludf.DUMMYFUNCTION("IF(SINGLE(lqfcffre)&lt;&gt;"""",SINGLE(lqfcffre),SINGLE(callqfcffre))"),0.0)</f>
        <v>0</v>
      </c>
      <c r="U220" s="446">
        <f>IFERROR(__xludf.DUMMYFUNCTION("IF(SINGLE(lqfcffre)&lt;&gt;"""",SINGLE(lqfcffre),SINGLE(callqfcffre))"),0.0)</f>
        <v>0</v>
      </c>
      <c r="V220" s="446">
        <f>IFERROR(__xludf.DUMMYFUNCTION("IF(SINGLE(lqfcffre)&lt;&gt;"""",SINGLE(lqfcffre),SINGLE(callqfcffre))"),0.0)</f>
        <v>0</v>
      </c>
      <c r="W220" s="446">
        <f>IFERROR(__xludf.DUMMYFUNCTION("IF(SINGLE(lqfcffre)&lt;&gt;"""",SINGLE(lqfcffre),SINGLE(callqfcffre))"),43.4965382006035)</f>
        <v>43.4965382</v>
      </c>
      <c r="X220" s="446" t="str">
        <f>IFERROR(__xludf.DUMMYFUNCTION("IF(SINGLE(lqfcffre)&lt;&gt;"""",SINGLE(lqfcffre),SINGLE(callqfcffre))"),"#DIV/0!")</f>
        <v>#DIV/0!</v>
      </c>
      <c r="Y220" s="446" t="str">
        <f>IFERROR(__xludf.DUMMYFUNCTION("IF(SINGLE(lqfcffre)&lt;&gt;"""",SINGLE(lqfcffre),SINGLE(callqfcffre))"),"#DIV/0!")</f>
        <v>#DIV/0!</v>
      </c>
      <c r="Z220" s="446" t="str">
        <f>IFERROR(__xludf.DUMMYFUNCTION("IF(SINGLE(lqfcffre)&lt;&gt;"""",SINGLE(lqfcffre),SINGLE(callqfcffre))"),"#DIV/0!")</f>
        <v>#DIV/0!</v>
      </c>
      <c r="AA220" s="446" t="str">
        <f>IFERROR(__xludf.DUMMYFUNCTION("IF(SINGLE(lqfcffre)&lt;&gt;"""",SINGLE(lqfcffre),SINGLE(callqfcffre))"),"#DIV/0!")</f>
        <v>#DIV/0!</v>
      </c>
      <c r="AB220" s="446">
        <f>IFERROR(__xludf.DUMMYFUNCTION("IF(SINGLE(lqfcffre)&lt;&gt;"""",SINGLE(lqfcffre),SINGLE(callqfcffre))"),43.019495607328)</f>
        <v>43.01949561</v>
      </c>
      <c r="AC220" s="274">
        <f t="shared" ref="AC220:AE220" si="11">AC214*IF(OR($AB220=0,$AB214=0),1,1+($AB220/$AB214-1)*($AF$1-AC$1)/($AF$1-$AB$1))</f>
        <v>37.63812322</v>
      </c>
      <c r="AD220" s="274">
        <f t="shared" si="11"/>
        <v>29.46350681</v>
      </c>
      <c r="AE220" s="274">
        <f t="shared" si="11"/>
        <v>20.13073973</v>
      </c>
      <c r="AF220" s="446">
        <f>callqfcffre</f>
        <v>11.1760769</v>
      </c>
      <c r="AG220" s="446">
        <f>callqfcffre</f>
        <v>4.480378373</v>
      </c>
      <c r="AH220" s="446">
        <f>callqfcffre</f>
        <v>0.6046470966</v>
      </c>
      <c r="AI220" s="125"/>
    </row>
    <row r="221" ht="14.25" customHeight="1" outlineLevel="1">
      <c r="A221" s="100"/>
      <c r="B221" s="100"/>
      <c r="C221" s="100"/>
      <c r="D221" s="100"/>
      <c r="E221" s="273" t="s">
        <v>1738</v>
      </c>
      <c r="F221" s="123" t="s">
        <v>135</v>
      </c>
      <c r="G221" s="123" t="s">
        <v>1739</v>
      </c>
      <c r="H221" s="446">
        <f>IFERROR(__xludf.DUMMYFUNCTION("IF(SINGLE(gazcffre)&lt;&gt;"""",SINGLE(gazcffre),SINGLE(calgazcffre))"),0.0)</f>
        <v>0</v>
      </c>
      <c r="I221" s="446">
        <f>IFERROR(__xludf.DUMMYFUNCTION("IF(SINGLE(gazcffre)&lt;&gt;"""",SINGLE(gazcffre),SINGLE(calgazcffre))"),0.0)</f>
        <v>0</v>
      </c>
      <c r="J221" s="446">
        <f>IFERROR(__xludf.DUMMYFUNCTION("IF(SINGLE(gazcffre)&lt;&gt;"""",SINGLE(gazcffre),SINGLE(calgazcffre))"),0.0)</f>
        <v>0</v>
      </c>
      <c r="K221" s="446">
        <f>IFERROR(__xludf.DUMMYFUNCTION("IF(SINGLE(gazcffre)&lt;&gt;"""",SINGLE(gazcffre),SINGLE(calgazcffre))"),0.0)</f>
        <v>0</v>
      </c>
      <c r="L221" s="446">
        <f>IFERROR(__xludf.DUMMYFUNCTION("IF(SINGLE(gazcffre)&lt;&gt;"""",SINGLE(gazcffre),SINGLE(calgazcffre))"),0.0)</f>
        <v>0</v>
      </c>
      <c r="M221" s="446">
        <f>IFERROR(__xludf.DUMMYFUNCTION("IF(SINGLE(gazcffre)&lt;&gt;"""",SINGLE(gazcffre),SINGLE(calgazcffre))"),0.0)</f>
        <v>0</v>
      </c>
      <c r="N221" s="446">
        <f>IFERROR(__xludf.DUMMYFUNCTION("IF(SINGLE(gazcffre)&lt;&gt;"""",SINGLE(gazcffre),SINGLE(calgazcffre))"),0.0)</f>
        <v>0</v>
      </c>
      <c r="O221" s="446">
        <f>IFERROR(__xludf.DUMMYFUNCTION("IF(SINGLE(gazcffre)&lt;&gt;"""",SINGLE(gazcffre),SINGLE(calgazcffre))"),0.0)</f>
        <v>0</v>
      </c>
      <c r="P221" s="446">
        <f>IFERROR(__xludf.DUMMYFUNCTION("IF(SINGLE(gazcffre)&lt;&gt;"""",SINGLE(gazcffre),SINGLE(calgazcffre))"),0.0)</f>
        <v>0</v>
      </c>
      <c r="Q221" s="446">
        <f>IFERROR(__xludf.DUMMYFUNCTION("IF(SINGLE(gazcffre)&lt;&gt;"""",SINGLE(gazcffre),SINGLE(calgazcffre))"),0.0)</f>
        <v>0</v>
      </c>
      <c r="R221" s="446">
        <f>IFERROR(__xludf.DUMMYFUNCTION("IF(SINGLE(gazcffre)&lt;&gt;"""",SINGLE(gazcffre),SINGLE(calgazcffre))"),0.0)</f>
        <v>0</v>
      </c>
      <c r="S221" s="446">
        <f>IFERROR(__xludf.DUMMYFUNCTION("IF(SINGLE(gazcffre)&lt;&gt;"""",SINGLE(gazcffre),SINGLE(calgazcffre))"),0.0)</f>
        <v>0</v>
      </c>
      <c r="T221" s="446">
        <f>IFERROR(__xludf.DUMMYFUNCTION("IF(SINGLE(gazcffre)&lt;&gt;"""",SINGLE(gazcffre),SINGLE(calgazcffre))"),0.0)</f>
        <v>0</v>
      </c>
      <c r="U221" s="446">
        <f>IFERROR(__xludf.DUMMYFUNCTION("IF(SINGLE(gazcffre)&lt;&gt;"""",SINGLE(gazcffre),SINGLE(calgazcffre))"),0.0)</f>
        <v>0</v>
      </c>
      <c r="V221" s="446">
        <f>IFERROR(__xludf.DUMMYFUNCTION("IF(SINGLE(gazcffre)&lt;&gt;"""",SINGLE(gazcffre),SINGLE(calgazcffre))"),0.0)</f>
        <v>0</v>
      </c>
      <c r="W221" s="446">
        <f>IFERROR(__xludf.DUMMYFUNCTION("IF(SINGLE(gazcffre)&lt;&gt;"""",SINGLE(gazcffre),SINGLE(calgazcffre))"),0.00687889740408388)</f>
        <v>0.006878897404</v>
      </c>
      <c r="X221" s="446" t="str">
        <f>IFERROR(__xludf.DUMMYFUNCTION("IF(SINGLE(gazcffre)&lt;&gt;"""",SINGLE(gazcffre),SINGLE(calgazcffre))"),"#DIV/0!")</f>
        <v>#DIV/0!</v>
      </c>
      <c r="Y221" s="446" t="str">
        <f>IFERROR(__xludf.DUMMYFUNCTION("IF(SINGLE(gazcffre)&lt;&gt;"""",SINGLE(gazcffre),SINGLE(calgazcffre))"),"#DIV/0!")</f>
        <v>#DIV/0!</v>
      </c>
      <c r="Z221" s="446" t="str">
        <f>IFERROR(__xludf.DUMMYFUNCTION("IF(SINGLE(gazcffre)&lt;&gt;"""",SINGLE(gazcffre),SINGLE(calgazcffre))"),"#DIV/0!")</f>
        <v>#DIV/0!</v>
      </c>
      <c r="AA221" s="446" t="str">
        <f>IFERROR(__xludf.DUMMYFUNCTION("IF(SINGLE(gazcffre)&lt;&gt;"""",SINGLE(gazcffre),SINGLE(calgazcffre))"),"#DIV/0!")</f>
        <v>#DIV/0!</v>
      </c>
      <c r="AB221" s="446">
        <f>IFERROR(__xludf.DUMMYFUNCTION("IF(SINGLE(gazcffre)&lt;&gt;"""",SINGLE(gazcffre),SINGLE(calgazcffre))"),0.19490432770263)</f>
        <v>0.1949043277</v>
      </c>
      <c r="AC221" s="274">
        <f t="shared" ref="AC221:AE221" si="12">AC215*IF(OR($AB221=0,$AB215=0),1,1+($AB221/$AB215-1)*($AF$1-AC$1)/($AF$1-$AB$1))</f>
        <v>0.4563699316</v>
      </c>
      <c r="AD221" s="274">
        <f t="shared" si="12"/>
        <v>0.8910742104</v>
      </c>
      <c r="AE221" s="274">
        <f t="shared" si="12"/>
        <v>2.00407217</v>
      </c>
      <c r="AF221" s="446">
        <f>calgazcffre</f>
        <v>3.343990293</v>
      </c>
      <c r="AG221" s="446">
        <f>calgazcffre</f>
        <v>5.100971363</v>
      </c>
      <c r="AH221" s="446">
        <f>calgazcffre</f>
        <v>7.009417521</v>
      </c>
      <c r="AI221" s="125"/>
    </row>
    <row r="222" ht="14.25" customHeight="1" outlineLevel="1">
      <c r="A222" s="100"/>
      <c r="B222" s="100"/>
      <c r="C222" s="100"/>
      <c r="D222" s="100"/>
      <c r="E222" s="273" t="s">
        <v>1740</v>
      </c>
      <c r="F222" s="123" t="s">
        <v>135</v>
      </c>
      <c r="G222" s="123" t="s">
        <v>1741</v>
      </c>
      <c r="H222" s="446">
        <f>IFERROR(__xludf.DUMMYFUNCTION("IF(SINGLE(hydcffre)&lt;&gt;"""",SINGLE(hydcffre),SINGLE(calhydcffre))"),0.0)</f>
        <v>0</v>
      </c>
      <c r="I222" s="446">
        <f>IFERROR(__xludf.DUMMYFUNCTION("IF(SINGLE(hydcffre)&lt;&gt;"""",SINGLE(hydcffre),SINGLE(calhydcffre))"),0.0)</f>
        <v>0</v>
      </c>
      <c r="J222" s="446">
        <f>IFERROR(__xludf.DUMMYFUNCTION("IF(SINGLE(hydcffre)&lt;&gt;"""",SINGLE(hydcffre),SINGLE(calhydcffre))"),0.0)</f>
        <v>0</v>
      </c>
      <c r="K222" s="446">
        <f>IFERROR(__xludf.DUMMYFUNCTION("IF(SINGLE(hydcffre)&lt;&gt;"""",SINGLE(hydcffre),SINGLE(calhydcffre))"),0.0)</f>
        <v>0</v>
      </c>
      <c r="L222" s="446">
        <f>IFERROR(__xludf.DUMMYFUNCTION("IF(SINGLE(hydcffre)&lt;&gt;"""",SINGLE(hydcffre),SINGLE(calhydcffre))"),0.0)</f>
        <v>0</v>
      </c>
      <c r="M222" s="446">
        <f>IFERROR(__xludf.DUMMYFUNCTION("IF(SINGLE(hydcffre)&lt;&gt;"""",SINGLE(hydcffre),SINGLE(calhydcffre))"),0.0)</f>
        <v>0</v>
      </c>
      <c r="N222" s="446">
        <f>IFERROR(__xludf.DUMMYFUNCTION("IF(SINGLE(hydcffre)&lt;&gt;"""",SINGLE(hydcffre),SINGLE(calhydcffre))"),0.0)</f>
        <v>0</v>
      </c>
      <c r="O222" s="446">
        <f>IFERROR(__xludf.DUMMYFUNCTION("IF(SINGLE(hydcffre)&lt;&gt;"""",SINGLE(hydcffre),SINGLE(calhydcffre))"),0.0)</f>
        <v>0</v>
      </c>
      <c r="P222" s="446">
        <f>IFERROR(__xludf.DUMMYFUNCTION("IF(SINGLE(hydcffre)&lt;&gt;"""",SINGLE(hydcffre),SINGLE(calhydcffre))"),0.0)</f>
        <v>0</v>
      </c>
      <c r="Q222" s="446">
        <f>IFERROR(__xludf.DUMMYFUNCTION("IF(SINGLE(hydcffre)&lt;&gt;"""",SINGLE(hydcffre),SINGLE(calhydcffre))"),0.0)</f>
        <v>0</v>
      </c>
      <c r="R222" s="446">
        <f>IFERROR(__xludf.DUMMYFUNCTION("IF(SINGLE(hydcffre)&lt;&gt;"""",SINGLE(hydcffre),SINGLE(calhydcffre))"),0.0)</f>
        <v>0</v>
      </c>
      <c r="S222" s="446">
        <f>IFERROR(__xludf.DUMMYFUNCTION("IF(SINGLE(hydcffre)&lt;&gt;"""",SINGLE(hydcffre),SINGLE(calhydcffre))"),0.0)</f>
        <v>0</v>
      </c>
      <c r="T222" s="446">
        <f>IFERROR(__xludf.DUMMYFUNCTION("IF(SINGLE(hydcffre)&lt;&gt;"""",SINGLE(hydcffre),SINGLE(calhydcffre))"),0.0)</f>
        <v>0</v>
      </c>
      <c r="U222" s="446">
        <f>IFERROR(__xludf.DUMMYFUNCTION("IF(SINGLE(hydcffre)&lt;&gt;"""",SINGLE(hydcffre),SINGLE(calhydcffre))"),0.0)</f>
        <v>0</v>
      </c>
      <c r="V222" s="446">
        <f>IFERROR(__xludf.DUMMYFUNCTION("IF(SINGLE(hydcffre)&lt;&gt;"""",SINGLE(hydcffre),SINGLE(calhydcffre))"),0.0)</f>
        <v>0</v>
      </c>
      <c r="W222" s="446">
        <f>IFERROR(__xludf.DUMMYFUNCTION("IF(SINGLE(hydcffre)&lt;&gt;"""",SINGLE(hydcffre),SINGLE(calhydcffre))"),0.0)</f>
        <v>0</v>
      </c>
      <c r="X222" s="446">
        <f>IFERROR(__xludf.DUMMYFUNCTION("IF(SINGLE(hydcffre)&lt;&gt;"""",SINGLE(hydcffre),SINGLE(calhydcffre))"),0.0)</f>
        <v>0</v>
      </c>
      <c r="Y222" s="446">
        <f>IFERROR(__xludf.DUMMYFUNCTION("IF(SINGLE(hydcffre)&lt;&gt;"""",SINGLE(hydcffre),SINGLE(calhydcffre))"),0.0)</f>
        <v>0</v>
      </c>
      <c r="Z222" s="446">
        <f>IFERROR(__xludf.DUMMYFUNCTION("IF(SINGLE(hydcffre)&lt;&gt;"""",SINGLE(hydcffre),SINGLE(calhydcffre))"),0.0)</f>
        <v>0</v>
      </c>
      <c r="AA222" s="446">
        <f>IFERROR(__xludf.DUMMYFUNCTION("IF(SINGLE(hydcffre)&lt;&gt;"""",SINGLE(hydcffre),SINGLE(calhydcffre))"),0.0)</f>
        <v>0</v>
      </c>
      <c r="AB222" s="446">
        <f>IFERROR(__xludf.DUMMYFUNCTION("IF(SINGLE(hydcffre)&lt;&gt;"""",SINGLE(hydcffre),SINGLE(calhydcffre))"),0.0)</f>
        <v>0</v>
      </c>
      <c r="AC222" s="274">
        <f t="shared" ref="AC222:AE222" si="13">AC216*IF(OR($AB222=0,$AB216=0),1,1+($AB222/$AB216-1)*($AF$1-AC$1)/($AF$1-$AB$1))</f>
        <v>0</v>
      </c>
      <c r="AD222" s="274">
        <f t="shared" si="13"/>
        <v>0.119758458</v>
      </c>
      <c r="AE222" s="274">
        <f t="shared" si="13"/>
        <v>0.61309255</v>
      </c>
      <c r="AF222" s="446">
        <f>calhydcffre</f>
        <v>1.654188658</v>
      </c>
      <c r="AG222" s="446">
        <f>calhydcffre</f>
        <v>3.226900042</v>
      </c>
      <c r="AH222" s="446">
        <f>calhydcffre</f>
        <v>4.1541987</v>
      </c>
      <c r="AI222" s="125"/>
    </row>
    <row r="223" ht="14.25" customHeight="1" outlineLevel="1">
      <c r="A223" s="100"/>
      <c r="B223" s="100"/>
      <c r="C223" s="100"/>
      <c r="D223" s="100"/>
      <c r="E223" s="273" t="s">
        <v>1742</v>
      </c>
      <c r="F223" s="123" t="s">
        <v>135</v>
      </c>
      <c r="G223" s="123" t="s">
        <v>1743</v>
      </c>
      <c r="H223" s="446">
        <f>IFERROR(__xludf.DUMMYFUNCTION("IF(SINGLE(elccffre)&lt;&gt;"""",SINGLE(elccffre),SINGLE(calelccffre))"),0.0)</f>
        <v>0</v>
      </c>
      <c r="I223" s="446">
        <f>IFERROR(__xludf.DUMMYFUNCTION("IF(SINGLE(elccffre)&lt;&gt;"""",SINGLE(elccffre),SINGLE(calelccffre))"),0.0)</f>
        <v>0</v>
      </c>
      <c r="J223" s="446">
        <f>IFERROR(__xludf.DUMMYFUNCTION("IF(SINGLE(elccffre)&lt;&gt;"""",SINGLE(elccffre),SINGLE(calelccffre))"),0.0)</f>
        <v>0</v>
      </c>
      <c r="K223" s="446">
        <f>IFERROR(__xludf.DUMMYFUNCTION("IF(SINGLE(elccffre)&lt;&gt;"""",SINGLE(elccffre),SINGLE(calelccffre))"),0.0)</f>
        <v>0</v>
      </c>
      <c r="L223" s="446">
        <f>IFERROR(__xludf.DUMMYFUNCTION("IF(SINGLE(elccffre)&lt;&gt;"""",SINGLE(elccffre),SINGLE(calelccffre))"),0.0)</f>
        <v>0</v>
      </c>
      <c r="M223" s="446">
        <f>IFERROR(__xludf.DUMMYFUNCTION("IF(SINGLE(elccffre)&lt;&gt;"""",SINGLE(elccffre),SINGLE(calelccffre))"),0.0)</f>
        <v>0</v>
      </c>
      <c r="N223" s="446">
        <f>IFERROR(__xludf.DUMMYFUNCTION("IF(SINGLE(elccffre)&lt;&gt;"""",SINGLE(elccffre),SINGLE(calelccffre))"),0.0)</f>
        <v>0</v>
      </c>
      <c r="O223" s="446">
        <f>IFERROR(__xludf.DUMMYFUNCTION("IF(SINGLE(elccffre)&lt;&gt;"""",SINGLE(elccffre),SINGLE(calelccffre))"),0.0)</f>
        <v>0</v>
      </c>
      <c r="P223" s="446">
        <f>IFERROR(__xludf.DUMMYFUNCTION("IF(SINGLE(elccffre)&lt;&gt;"""",SINGLE(elccffre),SINGLE(calelccffre))"),0.0)</f>
        <v>0</v>
      </c>
      <c r="Q223" s="446">
        <f>IFERROR(__xludf.DUMMYFUNCTION("IF(SINGLE(elccffre)&lt;&gt;"""",SINGLE(elccffre),SINGLE(calelccffre))"),0.0)</f>
        <v>0</v>
      </c>
      <c r="R223" s="446">
        <f>IFERROR(__xludf.DUMMYFUNCTION("IF(SINGLE(elccffre)&lt;&gt;"""",SINGLE(elccffre),SINGLE(calelccffre))"),0.0)</f>
        <v>0</v>
      </c>
      <c r="S223" s="446">
        <f>IFERROR(__xludf.DUMMYFUNCTION("IF(SINGLE(elccffre)&lt;&gt;"""",SINGLE(elccffre),SINGLE(calelccffre))"),0.0)</f>
        <v>0</v>
      </c>
      <c r="T223" s="446">
        <f>IFERROR(__xludf.DUMMYFUNCTION("IF(SINGLE(elccffre)&lt;&gt;"""",SINGLE(elccffre),SINGLE(calelccffre))"),0.0)</f>
        <v>0</v>
      </c>
      <c r="U223" s="446">
        <f>IFERROR(__xludf.DUMMYFUNCTION("IF(SINGLE(elccffre)&lt;&gt;"""",SINGLE(elccffre),SINGLE(calelccffre))"),0.0)</f>
        <v>0</v>
      </c>
      <c r="V223" s="446">
        <f>IFERROR(__xludf.DUMMYFUNCTION("IF(SINGLE(elccffre)&lt;&gt;"""",SINGLE(elccffre),SINGLE(calelccffre))"),0.0)</f>
        <v>0</v>
      </c>
      <c r="W223" s="446">
        <f>IFERROR(__xludf.DUMMYFUNCTION("IF(SINGLE(elccffre)&lt;&gt;"""",SINGLE(elccffre),SINGLE(calelccffre))"),0.395980877278273)</f>
        <v>0.3959808773</v>
      </c>
      <c r="X223" s="446" t="str">
        <f>IFERROR(__xludf.DUMMYFUNCTION("IF(SINGLE(elccffre)&lt;&gt;"""",SINGLE(elccffre),SINGLE(calelccffre))"),"#DIV/0!")</f>
        <v>#DIV/0!</v>
      </c>
      <c r="Y223" s="446" t="str">
        <f>IFERROR(__xludf.DUMMYFUNCTION("IF(SINGLE(elccffre)&lt;&gt;"""",SINGLE(elccffre),SINGLE(calelccffre))"),"#DIV/0!")</f>
        <v>#DIV/0!</v>
      </c>
      <c r="Z223" s="446" t="str">
        <f>IFERROR(__xludf.DUMMYFUNCTION("IF(SINGLE(elccffre)&lt;&gt;"""",SINGLE(elccffre),SINGLE(calelccffre))"),"#DIV/0!")</f>
        <v>#DIV/0!</v>
      </c>
      <c r="AA223" s="446" t="str">
        <f>IFERROR(__xludf.DUMMYFUNCTION("IF(SINGLE(elccffre)&lt;&gt;"""",SINGLE(elccffre),SINGLE(calelccffre))"),"#DIV/0!")</f>
        <v>#DIV/0!</v>
      </c>
      <c r="AB223" s="446">
        <f>IFERROR(__xludf.DUMMYFUNCTION("IF(SINGLE(elccffre)&lt;&gt;"""",SINGLE(elccffre),SINGLE(calelccffre))"),0.348085291447363)</f>
        <v>0.3480852914</v>
      </c>
      <c r="AC223" s="274">
        <f t="shared" ref="AC223:AE223" si="14">AC217*IF(OR($AB223=0,$AB217=0),1,1+($AB223/$AB217-1)*($AF$1-AC$1)/($AF$1-$AB$1))</f>
        <v>0.4807641956</v>
      </c>
      <c r="AD223" s="274">
        <f t="shared" si="14"/>
        <v>1.33757016</v>
      </c>
      <c r="AE223" s="274">
        <f t="shared" si="14"/>
        <v>2.53861517</v>
      </c>
      <c r="AF223" s="446">
        <f>calelccffre</f>
        <v>3.529919375</v>
      </c>
      <c r="AG223" s="446">
        <f>calelccffre</f>
        <v>4.307079902</v>
      </c>
      <c r="AH223" s="446">
        <f>calelccffre</f>
        <v>4.444401049</v>
      </c>
      <c r="AI223" s="125"/>
    </row>
    <row r="224" ht="9.75" customHeight="1">
      <c r="A224" s="447"/>
      <c r="B224" s="422"/>
      <c r="C224" s="422"/>
      <c r="D224" s="422"/>
      <c r="E224" s="167"/>
      <c r="F224" s="168"/>
      <c r="G224" s="168"/>
      <c r="H224" s="169"/>
      <c r="I224" s="169"/>
      <c r="J224" s="169"/>
      <c r="K224" s="169"/>
      <c r="L224" s="169"/>
      <c r="M224" s="169"/>
      <c r="N224" s="169"/>
      <c r="O224" s="169"/>
      <c r="P224" s="169"/>
      <c r="Q224" s="169"/>
      <c r="R224" s="169"/>
      <c r="S224" s="169"/>
      <c r="T224" s="169"/>
      <c r="U224" s="169"/>
      <c r="V224" s="169"/>
      <c r="W224" s="169"/>
      <c r="X224" s="169"/>
      <c r="Y224" s="169"/>
      <c r="Z224" s="169"/>
      <c r="AA224" s="169"/>
      <c r="AB224" s="169"/>
      <c r="AC224" s="169"/>
      <c r="AD224" s="169"/>
      <c r="AE224" s="169"/>
      <c r="AF224" s="169"/>
      <c r="AG224" s="169"/>
      <c r="AH224" s="169"/>
      <c r="AI224" s="448"/>
    </row>
    <row r="225" ht="14.25" customHeight="1">
      <c r="A225" s="438" t="s">
        <v>1744</v>
      </c>
      <c r="B225" s="221"/>
      <c r="C225" s="221"/>
      <c r="D225" s="221"/>
      <c r="E225" s="221"/>
      <c r="F225" s="221"/>
      <c r="G225" s="221"/>
      <c r="H225" s="385"/>
      <c r="I225" s="385"/>
      <c r="J225" s="385"/>
      <c r="K225" s="385"/>
      <c r="L225" s="385"/>
      <c r="M225" s="385"/>
      <c r="N225" s="385"/>
      <c r="O225" s="385"/>
      <c r="P225" s="385"/>
      <c r="Q225" s="385"/>
      <c r="R225" s="385"/>
      <c r="S225" s="385"/>
      <c r="T225" s="385"/>
      <c r="U225" s="385"/>
      <c r="V225" s="385"/>
      <c r="W225" s="385"/>
      <c r="X225" s="385"/>
      <c r="Y225" s="385"/>
      <c r="Z225" s="385"/>
      <c r="AA225" s="385"/>
      <c r="AB225" s="385"/>
      <c r="AC225" s="385"/>
      <c r="AD225" s="385"/>
      <c r="AE225" s="385"/>
      <c r="AF225" s="385"/>
      <c r="AG225" s="385"/>
      <c r="AH225" s="385"/>
      <c r="AI225" s="454"/>
    </row>
    <row r="226" ht="14.25" customHeight="1">
      <c r="A226" s="439" t="s">
        <v>2053</v>
      </c>
      <c r="B226" s="246"/>
      <c r="C226" s="246"/>
      <c r="D226" s="201"/>
      <c r="E226" s="162"/>
      <c r="F226" s="162"/>
      <c r="G226" s="162"/>
      <c r="H226" s="178"/>
      <c r="I226" s="178"/>
      <c r="J226" s="178"/>
      <c r="K226" s="178"/>
      <c r="L226" s="178"/>
      <c r="M226" s="178"/>
      <c r="N226" s="178"/>
      <c r="O226" s="178"/>
      <c r="P226" s="178"/>
      <c r="Q226" s="178"/>
      <c r="R226" s="178"/>
      <c r="S226" s="178"/>
      <c r="T226" s="178"/>
      <c r="U226" s="178"/>
      <c r="V226" s="178"/>
      <c r="W226" s="178"/>
      <c r="X226" s="178"/>
      <c r="Y226" s="178"/>
      <c r="Z226" s="178"/>
      <c r="AA226" s="178"/>
      <c r="AB226" s="178"/>
      <c r="AC226" s="178"/>
      <c r="AD226" s="178"/>
      <c r="AE226" s="178"/>
      <c r="AF226" s="178"/>
      <c r="AG226" s="178"/>
      <c r="AH226" s="178"/>
      <c r="AI226" s="244"/>
    </row>
    <row r="227" ht="13.5" customHeight="1" outlineLevel="1">
      <c r="A227" s="195"/>
      <c r="B227" s="393" t="s">
        <v>781</v>
      </c>
      <c r="C227" s="162"/>
      <c r="D227" s="201"/>
      <c r="E227" s="162"/>
      <c r="F227" s="162"/>
      <c r="G227" s="162"/>
      <c r="H227" s="178"/>
      <c r="I227" s="178"/>
      <c r="J227" s="178"/>
      <c r="K227" s="178"/>
      <c r="L227" s="178"/>
      <c r="M227" s="178"/>
      <c r="N227" s="178"/>
      <c r="O227" s="178"/>
      <c r="P227" s="178"/>
      <c r="Q227" s="178"/>
      <c r="R227" s="178"/>
      <c r="S227" s="178"/>
      <c r="T227" s="178"/>
      <c r="U227" s="178"/>
      <c r="V227" s="178"/>
      <c r="W227" s="178"/>
      <c r="X227" s="178"/>
      <c r="Y227" s="178"/>
      <c r="Z227" s="178"/>
      <c r="AA227" s="178"/>
      <c r="AB227" s="178"/>
      <c r="AC227" s="178"/>
      <c r="AD227" s="178"/>
      <c r="AE227" s="178"/>
      <c r="AF227" s="178"/>
      <c r="AG227" s="178"/>
      <c r="AH227" s="178"/>
      <c r="AI227" s="244"/>
    </row>
    <row r="228" ht="14.25" customHeight="1" outlineLevel="3">
      <c r="A228" s="326"/>
      <c r="B228" s="201"/>
      <c r="C228" s="201"/>
      <c r="D228" s="201"/>
      <c r="E228" s="299" t="s">
        <v>2054</v>
      </c>
      <c r="F228" s="123" t="s">
        <v>135</v>
      </c>
      <c r="G228" s="123" t="s">
        <v>1747</v>
      </c>
      <c r="H228" s="274">
        <f t="shared" ref="H228:AH228" si="15">SUM(H229:H232)</f>
        <v>0</v>
      </c>
      <c r="I228" s="274">
        <f t="shared" si="15"/>
        <v>0</v>
      </c>
      <c r="J228" s="274">
        <f t="shared" si="15"/>
        <v>0</v>
      </c>
      <c r="K228" s="274">
        <f t="shared" si="15"/>
        <v>0</v>
      </c>
      <c r="L228" s="274">
        <f t="shared" si="15"/>
        <v>0</v>
      </c>
      <c r="M228" s="274">
        <f t="shared" si="15"/>
        <v>0</v>
      </c>
      <c r="N228" s="274">
        <f t="shared" si="15"/>
        <v>0</v>
      </c>
      <c r="O228" s="274">
        <f t="shared" si="15"/>
        <v>0</v>
      </c>
      <c r="P228" s="274">
        <f t="shared" si="15"/>
        <v>0</v>
      </c>
      <c r="Q228" s="274">
        <f t="shared" si="15"/>
        <v>0</v>
      </c>
      <c r="R228" s="274">
        <f t="shared" si="15"/>
        <v>0</v>
      </c>
      <c r="S228" s="274">
        <f t="shared" si="15"/>
        <v>0</v>
      </c>
      <c r="T228" s="274">
        <f t="shared" si="15"/>
        <v>0</v>
      </c>
      <c r="U228" s="274">
        <f t="shared" si="15"/>
        <v>0</v>
      </c>
      <c r="V228" s="274">
        <f t="shared" si="15"/>
        <v>0</v>
      </c>
      <c r="W228" s="274">
        <f t="shared" si="15"/>
        <v>103.2048584</v>
      </c>
      <c r="X228" s="274" t="str">
        <f t="shared" si="15"/>
        <v>#DIV/0!</v>
      </c>
      <c r="Y228" s="274" t="str">
        <f t="shared" si="15"/>
        <v>#DIV/0!</v>
      </c>
      <c r="Z228" s="274" t="str">
        <f t="shared" si="15"/>
        <v>#DIV/0!</v>
      </c>
      <c r="AA228" s="274" t="str">
        <f t="shared" si="15"/>
        <v>#DIV/0!</v>
      </c>
      <c r="AB228" s="274">
        <f t="shared" si="15"/>
        <v>102.4127966</v>
      </c>
      <c r="AC228" s="274">
        <f t="shared" si="15"/>
        <v>83.94051986</v>
      </c>
      <c r="AD228" s="274">
        <f t="shared" si="15"/>
        <v>58.3741552</v>
      </c>
      <c r="AE228" s="274">
        <f t="shared" si="15"/>
        <v>42.21564134</v>
      </c>
      <c r="AF228" s="274">
        <f t="shared" si="15"/>
        <v>32.05590411</v>
      </c>
      <c r="AG228" s="274">
        <f t="shared" si="15"/>
        <v>26.74192669</v>
      </c>
      <c r="AH228" s="274">
        <f t="shared" si="15"/>
        <v>24.34408314</v>
      </c>
      <c r="AI228" s="125"/>
    </row>
    <row r="229" ht="14.25" customHeight="1" outlineLevel="3">
      <c r="A229" s="326"/>
      <c r="B229" s="201"/>
      <c r="C229" s="201"/>
      <c r="D229" s="201"/>
      <c r="E229" s="273" t="s">
        <v>1748</v>
      </c>
      <c r="F229" s="123" t="s">
        <v>135</v>
      </c>
      <c r="G229" s="123" t="s">
        <v>1749</v>
      </c>
      <c r="H229" s="274">
        <f t="array" ref="H229:AH229">recallqfcfmob+recallqfcffre</f>
        <v>0</v>
      </c>
      <c r="I229" s="274">
        <v>0.0</v>
      </c>
      <c r="J229" s="274">
        <v>0.0</v>
      </c>
      <c r="K229" s="274">
        <v>0.0</v>
      </c>
      <c r="L229" s="274">
        <v>0.0</v>
      </c>
      <c r="M229" s="274">
        <v>0.0</v>
      </c>
      <c r="N229" s="274">
        <v>0.0</v>
      </c>
      <c r="O229" s="274">
        <v>0.0</v>
      </c>
      <c r="P229" s="274">
        <v>0.0</v>
      </c>
      <c r="Q229" s="274">
        <v>0.0</v>
      </c>
      <c r="R229" s="274">
        <v>0.0</v>
      </c>
      <c r="S229" s="274">
        <v>0.0</v>
      </c>
      <c r="T229" s="274">
        <v>0.0</v>
      </c>
      <c r="U229" s="274">
        <v>0.0</v>
      </c>
      <c r="V229" s="274">
        <v>0.0</v>
      </c>
      <c r="W229" s="274">
        <v>101.5995551111114</v>
      </c>
      <c r="X229" s="274" t="e">
        <v>#DIV/0!</v>
      </c>
      <c r="Y229" s="274" t="e">
        <v>#DIV/0!</v>
      </c>
      <c r="Z229" s="274" t="e">
        <v>#DIV/0!</v>
      </c>
      <c r="AA229" s="274" t="e">
        <v>#DIV/0!</v>
      </c>
      <c r="AB229" s="274">
        <v>100.3812666875848</v>
      </c>
      <c r="AC229" s="274">
        <v>79.31130629779393</v>
      </c>
      <c r="AD229" s="274">
        <v>50.68565560098577</v>
      </c>
      <c r="AE229" s="274">
        <v>30.324137726975582</v>
      </c>
      <c r="AF229" s="274">
        <v>16.143576021959152</v>
      </c>
      <c r="AG229" s="274">
        <v>6.83045503246964</v>
      </c>
      <c r="AH229" s="274">
        <v>1.1239155341912588</v>
      </c>
      <c r="AI229" s="125"/>
    </row>
    <row r="230" ht="14.25" customHeight="1" outlineLevel="3">
      <c r="A230" s="326"/>
      <c r="B230" s="201"/>
      <c r="C230" s="201"/>
      <c r="D230" s="201"/>
      <c r="E230" s="273" t="s">
        <v>1750</v>
      </c>
      <c r="F230" s="123" t="s">
        <v>135</v>
      </c>
      <c r="G230" s="123" t="s">
        <v>1751</v>
      </c>
      <c r="H230" s="274">
        <f t="array" ref="H230:AH230">recalgazcfmob+recalgazcffre</f>
        <v>0</v>
      </c>
      <c r="I230" s="274">
        <v>0.0</v>
      </c>
      <c r="J230" s="274">
        <v>0.0</v>
      </c>
      <c r="K230" s="274">
        <v>0.0</v>
      </c>
      <c r="L230" s="274">
        <v>0.0</v>
      </c>
      <c r="M230" s="274">
        <v>0.0</v>
      </c>
      <c r="N230" s="274">
        <v>0.0</v>
      </c>
      <c r="O230" s="274">
        <v>0.0</v>
      </c>
      <c r="P230" s="274">
        <v>0.0</v>
      </c>
      <c r="Q230" s="274">
        <v>0.0</v>
      </c>
      <c r="R230" s="274">
        <v>0.0</v>
      </c>
      <c r="S230" s="274">
        <v>0.0</v>
      </c>
      <c r="T230" s="274">
        <v>0.0</v>
      </c>
      <c r="U230" s="274">
        <v>0.0</v>
      </c>
      <c r="V230" s="274">
        <v>0.0</v>
      </c>
      <c r="W230" s="274">
        <v>0.03860325453196238</v>
      </c>
      <c r="X230" s="274" t="e">
        <v>#DIV/0!</v>
      </c>
      <c r="Y230" s="274" t="e">
        <v>#DIV/0!</v>
      </c>
      <c r="Z230" s="274" t="e">
        <v>#DIV/0!</v>
      </c>
      <c r="AA230" s="274" t="e">
        <v>#DIV/0!</v>
      </c>
      <c r="AB230" s="274">
        <v>0.324929961361001</v>
      </c>
      <c r="AC230" s="274">
        <v>0.5687577832131143</v>
      </c>
      <c r="AD230" s="274">
        <v>0.9364562501446916</v>
      </c>
      <c r="AE230" s="274">
        <v>2.0253482112132586</v>
      </c>
      <c r="AF230" s="274">
        <v>3.343990293202732</v>
      </c>
      <c r="AG230" s="274">
        <v>5.1009713630862175</v>
      </c>
      <c r="AH230" s="274">
        <v>7.009417520916042</v>
      </c>
      <c r="AI230" s="125"/>
    </row>
    <row r="231" ht="14.25" customHeight="1" outlineLevel="3">
      <c r="A231" s="326"/>
      <c r="B231" s="201"/>
      <c r="C231" s="201"/>
      <c r="D231" s="201"/>
      <c r="E231" s="273" t="s">
        <v>1752</v>
      </c>
      <c r="F231" s="123" t="s">
        <v>135</v>
      </c>
      <c r="G231" s="123" t="s">
        <v>1753</v>
      </c>
      <c r="H231" s="274">
        <f t="array" ref="H231:AH231">recalhydcfmob+recalhydcffre</f>
        <v>0</v>
      </c>
      <c r="I231" s="274">
        <v>0.0</v>
      </c>
      <c r="J231" s="274">
        <v>0.0</v>
      </c>
      <c r="K231" s="274">
        <v>0.0</v>
      </c>
      <c r="L231" s="274">
        <v>0.0</v>
      </c>
      <c r="M231" s="274">
        <v>0.0</v>
      </c>
      <c r="N231" s="274">
        <v>0.0</v>
      </c>
      <c r="O231" s="274">
        <v>0.0</v>
      </c>
      <c r="P231" s="274">
        <v>0.0</v>
      </c>
      <c r="Q231" s="274">
        <v>0.0</v>
      </c>
      <c r="R231" s="274">
        <v>0.0</v>
      </c>
      <c r="S231" s="274">
        <v>0.0</v>
      </c>
      <c r="T231" s="274">
        <v>0.0</v>
      </c>
      <c r="U231" s="274">
        <v>0.0</v>
      </c>
      <c r="V231" s="274">
        <v>0.0</v>
      </c>
      <c r="W231" s="274">
        <v>0.0</v>
      </c>
      <c r="X231" s="274" t="e">
        <v>#DIV/0!</v>
      </c>
      <c r="Y231" s="274" t="e">
        <v>#DIV/0!</v>
      </c>
      <c r="Z231" s="274" t="e">
        <v>#DIV/0!</v>
      </c>
      <c r="AA231" s="274" t="e">
        <v>#DIV/0!</v>
      </c>
      <c r="AB231" s="274">
        <v>0.0</v>
      </c>
      <c r="AC231" s="274">
        <v>0.0</v>
      </c>
      <c r="AD231" s="274">
        <v>0.11975845803823298</v>
      </c>
      <c r="AE231" s="274">
        <v>0.6130925499516402</v>
      </c>
      <c r="AF231" s="274">
        <v>1.6541886584238332</v>
      </c>
      <c r="AG231" s="274">
        <v>3.22690004165879</v>
      </c>
      <c r="AH231" s="274">
        <v>4.154198699800668</v>
      </c>
      <c r="AI231" s="125"/>
    </row>
    <row r="232" ht="14.25" customHeight="1" outlineLevel="3">
      <c r="A232" s="326"/>
      <c r="B232" s="201"/>
      <c r="C232" s="201"/>
      <c r="D232" s="201"/>
      <c r="E232" s="273" t="s">
        <v>1754</v>
      </c>
      <c r="F232" s="123" t="s">
        <v>135</v>
      </c>
      <c r="G232" s="123" t="s">
        <v>1755</v>
      </c>
      <c r="H232" s="274">
        <f t="array" ref="H232:AH232">recalelccfmob+recalelccffre</f>
        <v>0</v>
      </c>
      <c r="I232" s="274">
        <v>0.0</v>
      </c>
      <c r="J232" s="274">
        <v>0.0</v>
      </c>
      <c r="K232" s="274">
        <v>0.0</v>
      </c>
      <c r="L232" s="274">
        <v>0.0</v>
      </c>
      <c r="M232" s="274">
        <v>0.0</v>
      </c>
      <c r="N232" s="274">
        <v>0.0</v>
      </c>
      <c r="O232" s="274">
        <v>0.0</v>
      </c>
      <c r="P232" s="274">
        <v>0.0</v>
      </c>
      <c r="Q232" s="274">
        <v>0.0</v>
      </c>
      <c r="R232" s="274">
        <v>0.0</v>
      </c>
      <c r="S232" s="274">
        <v>0.0</v>
      </c>
      <c r="T232" s="274">
        <v>0.0</v>
      </c>
      <c r="U232" s="274">
        <v>0.0</v>
      </c>
      <c r="V232" s="274">
        <v>0.0</v>
      </c>
      <c r="W232" s="274">
        <v>1.566700000000003</v>
      </c>
      <c r="X232" s="274" t="e">
        <v>#DIV/0!</v>
      </c>
      <c r="Y232" s="274" t="e">
        <v>#DIV/0!</v>
      </c>
      <c r="Z232" s="274" t="e">
        <v>#DIV/0!</v>
      </c>
      <c r="AA232" s="274" t="e">
        <v>#DIV/0!</v>
      </c>
      <c r="AB232" s="274">
        <v>1.706600000000003</v>
      </c>
      <c r="AC232" s="274">
        <v>4.060455776743059</v>
      </c>
      <c r="AD232" s="274">
        <v>6.632284892406774</v>
      </c>
      <c r="AE232" s="274">
        <v>9.25306285417021</v>
      </c>
      <c r="AF232" s="274">
        <v>10.914149139796265</v>
      </c>
      <c r="AG232" s="274">
        <v>11.583600248135822</v>
      </c>
      <c r="AH232" s="274">
        <v>12.056551389868147</v>
      </c>
      <c r="AI232" s="318"/>
    </row>
    <row r="233" ht="14.25" customHeight="1">
      <c r="A233" s="314"/>
      <c r="B233" s="393" t="s">
        <v>673</v>
      </c>
      <c r="C233" s="246"/>
      <c r="D233" s="201"/>
      <c r="E233" s="162"/>
      <c r="F233" s="162"/>
      <c r="G233" s="162"/>
      <c r="H233" s="178"/>
      <c r="I233" s="178"/>
      <c r="J233" s="178"/>
      <c r="K233" s="178"/>
      <c r="L233" s="178"/>
      <c r="M233" s="178"/>
      <c r="N233" s="178"/>
      <c r="O233" s="178"/>
      <c r="P233" s="178"/>
      <c r="Q233" s="178"/>
      <c r="R233" s="178"/>
      <c r="S233" s="178"/>
      <c r="T233" s="178"/>
      <c r="U233" s="178"/>
      <c r="V233" s="178"/>
      <c r="W233" s="178"/>
      <c r="X233" s="178"/>
      <c r="Y233" s="178"/>
      <c r="Z233" s="178"/>
      <c r="AA233" s="178"/>
      <c r="AB233" s="178"/>
      <c r="AC233" s="178"/>
      <c r="AD233" s="178"/>
      <c r="AE233" s="178"/>
      <c r="AF233" s="178"/>
      <c r="AG233" s="178"/>
      <c r="AH233" s="178"/>
      <c r="AI233" s="162"/>
    </row>
    <row r="234" ht="14.25" customHeight="1" outlineLevel="3">
      <c r="A234" s="326"/>
      <c r="B234" s="201"/>
      <c r="C234" s="201"/>
      <c r="D234" s="201"/>
      <c r="E234" s="316" t="s">
        <v>2055</v>
      </c>
      <c r="F234" s="123" t="s">
        <v>135</v>
      </c>
      <c r="G234" s="123" t="s">
        <v>2056</v>
      </c>
      <c r="H234" s="276">
        <f>(caltoccftra-toccftra)/toccftra</f>
        <v>-1</v>
      </c>
      <c r="I234" s="276">
        <f>(caltoccftra-toccftra)/toccftra</f>
        <v>-1</v>
      </c>
      <c r="J234" s="276">
        <f>(caltoccftra-toccftra)/toccftra</f>
        <v>-1</v>
      </c>
      <c r="K234" s="276">
        <f>(caltoccftra-toccftra)/toccftra</f>
        <v>-1</v>
      </c>
      <c r="L234" s="276">
        <f>(caltoccftra-toccftra)/toccftra</f>
        <v>-1</v>
      </c>
      <c r="M234" s="276">
        <f>(caltoccftra-toccftra)/toccftra</f>
        <v>-1</v>
      </c>
      <c r="N234" s="276">
        <f>(caltoccftra-toccftra)/toccftra</f>
        <v>-1</v>
      </c>
      <c r="O234" s="276">
        <f>(caltoccftra-toccftra)/toccftra</f>
        <v>-1</v>
      </c>
      <c r="P234" s="276">
        <f>(caltoccftra-toccftra)/toccftra</f>
        <v>-1</v>
      </c>
      <c r="Q234" s="276">
        <f>(caltoccftra-toccftra)/toccftra</f>
        <v>-1</v>
      </c>
      <c r="R234" s="276">
        <f>(caltoccftra-toccftra)/toccftra</f>
        <v>-1</v>
      </c>
      <c r="S234" s="276">
        <f>(caltoccftra-toccftra)/toccftra</f>
        <v>-1</v>
      </c>
      <c r="T234" s="276">
        <f>(caltoccftra-toccftra)/toccftra</f>
        <v>-1</v>
      </c>
      <c r="U234" s="276">
        <f>(caltoccftra-toccftra)/toccftra</f>
        <v>-1</v>
      </c>
      <c r="V234" s="276">
        <f>(caltoccftra-toccftra)/toccftra</f>
        <v>-1</v>
      </c>
      <c r="W234" s="276">
        <f>(caltoccftra-toccftra)/toccftra</f>
        <v>0</v>
      </c>
      <c r="X234" s="276" t="str">
        <f>(caltoccftra-toccftra)/toccftra</f>
        <v>#DIV/0!</v>
      </c>
      <c r="Y234" s="276" t="str">
        <f>(caltoccftra-toccftra)/toccftra</f>
        <v>#DIV/0!</v>
      </c>
      <c r="Z234" s="276" t="str">
        <f>(caltoccftra-toccftra)/toccftra</f>
        <v>#DIV/0!</v>
      </c>
      <c r="AA234" s="276" t="str">
        <f>(caltoccftra-toccftra)/toccftra</f>
        <v>#DIV/0!</v>
      </c>
      <c r="AB234" s="276">
        <f>(caltoccftra-toccftra)/toccftra</f>
        <v>0</v>
      </c>
      <c r="AC234" s="276" t="str">
        <f>(caltoccftra-toccftra)/toccftra</f>
        <v>#DIV/0!</v>
      </c>
      <c r="AD234" s="276" t="str">
        <f>(caltoccftra-toccftra)/toccftra</f>
        <v>#DIV/0!</v>
      </c>
      <c r="AE234" s="276" t="str">
        <f>(caltoccftra-toccftra)/toccftra</f>
        <v>#DIV/0!</v>
      </c>
      <c r="AF234" s="276" t="str">
        <f>(caltoccftra-toccftra)/toccftra</f>
        <v>#DIV/0!</v>
      </c>
      <c r="AG234" s="276" t="str">
        <f>(caltoccftra-toccftra)/toccftra</f>
        <v>#DIV/0!</v>
      </c>
      <c r="AH234" s="276" t="str">
        <f>(caltoccftra-toccftra)/toccftra</f>
        <v>#DIV/0!</v>
      </c>
      <c r="AI234" s="125"/>
    </row>
    <row r="235" ht="14.25" customHeight="1" outlineLevel="3">
      <c r="A235" s="326"/>
      <c r="B235" s="201"/>
      <c r="C235" s="201"/>
      <c r="D235" s="201"/>
      <c r="E235" s="316" t="s">
        <v>2057</v>
      </c>
      <c r="F235" s="123" t="s">
        <v>135</v>
      </c>
      <c r="G235" s="123" t="s">
        <v>2058</v>
      </c>
      <c r="H235" s="276">
        <f>(callqfcftra-lqfcftra)/lqfcftra</f>
        <v>-1</v>
      </c>
      <c r="I235" s="276">
        <f>(callqfcftra-lqfcftra)/lqfcftra</f>
        <v>-1</v>
      </c>
      <c r="J235" s="276">
        <f>(callqfcftra-lqfcftra)/lqfcftra</f>
        <v>-1</v>
      </c>
      <c r="K235" s="276">
        <f>(callqfcftra-lqfcftra)/lqfcftra</f>
        <v>-1</v>
      </c>
      <c r="L235" s="276">
        <f>(callqfcftra-lqfcftra)/lqfcftra</f>
        <v>-1</v>
      </c>
      <c r="M235" s="276">
        <f>(callqfcftra-lqfcftra)/lqfcftra</f>
        <v>-1</v>
      </c>
      <c r="N235" s="276">
        <f>(callqfcftra-lqfcftra)/lqfcftra</f>
        <v>-1</v>
      </c>
      <c r="O235" s="276">
        <f>(callqfcftra-lqfcftra)/lqfcftra</f>
        <v>-1</v>
      </c>
      <c r="P235" s="276">
        <f>(callqfcftra-lqfcftra)/lqfcftra</f>
        <v>-1</v>
      </c>
      <c r="Q235" s="276">
        <f>(callqfcftra-lqfcftra)/lqfcftra</f>
        <v>-1</v>
      </c>
      <c r="R235" s="276">
        <f>(callqfcftra-lqfcftra)/lqfcftra</f>
        <v>-1</v>
      </c>
      <c r="S235" s="276">
        <f>(callqfcftra-lqfcftra)/lqfcftra</f>
        <v>-1</v>
      </c>
      <c r="T235" s="276">
        <f>(callqfcftra-lqfcftra)/lqfcftra</f>
        <v>-1</v>
      </c>
      <c r="U235" s="276">
        <f>(callqfcftra-lqfcftra)/lqfcftra</f>
        <v>-1</v>
      </c>
      <c r="V235" s="276">
        <f>(callqfcftra-lqfcftra)/lqfcftra</f>
        <v>-1</v>
      </c>
      <c r="W235" s="276">
        <f>(callqfcftra-lqfcftra)/lqfcftra</f>
        <v>0</v>
      </c>
      <c r="X235" s="276" t="str">
        <f>(callqfcftra-lqfcftra)/lqfcftra</f>
        <v>#DIV/0!</v>
      </c>
      <c r="Y235" s="276" t="str">
        <f>(callqfcftra-lqfcftra)/lqfcftra</f>
        <v>#DIV/0!</v>
      </c>
      <c r="Z235" s="276" t="str">
        <f>(callqfcftra-lqfcftra)/lqfcftra</f>
        <v>#DIV/0!</v>
      </c>
      <c r="AA235" s="276" t="str">
        <f>(callqfcftra-lqfcftra)/lqfcftra</f>
        <v>#DIV/0!</v>
      </c>
      <c r="AB235" s="276">
        <f>(callqfcftra-lqfcftra)/lqfcftra</f>
        <v>0</v>
      </c>
      <c r="AC235" s="276" t="str">
        <f>(callqfcftra-lqfcftra)/lqfcftra</f>
        <v>#DIV/0!</v>
      </c>
      <c r="AD235" s="276" t="str">
        <f>(callqfcftra-lqfcftra)/lqfcftra</f>
        <v>#DIV/0!</v>
      </c>
      <c r="AE235" s="276" t="str">
        <f>(callqfcftra-lqfcftra)/lqfcftra</f>
        <v>#DIV/0!</v>
      </c>
      <c r="AF235" s="276" t="str">
        <f>(callqfcftra-lqfcftra)/lqfcftra</f>
        <v>#DIV/0!</v>
      </c>
      <c r="AG235" s="276" t="str">
        <f>(callqfcftra-lqfcftra)/lqfcftra</f>
        <v>#DIV/0!</v>
      </c>
      <c r="AH235" s="276" t="str">
        <f>(callqfcftra-lqfcftra)/lqfcftra</f>
        <v>#DIV/0!</v>
      </c>
      <c r="AI235" s="125"/>
    </row>
    <row r="236" ht="14.25" customHeight="1" outlineLevel="3">
      <c r="A236" s="326"/>
      <c r="B236" s="201"/>
      <c r="C236" s="201"/>
      <c r="D236" s="201"/>
      <c r="E236" s="316" t="s">
        <v>2059</v>
      </c>
      <c r="F236" s="123" t="s">
        <v>135</v>
      </c>
      <c r="G236" s="123" t="s">
        <v>2060</v>
      </c>
      <c r="H236" s="276">
        <f>(calgazcftra-gazcftra)/gazcftra</f>
        <v>-1</v>
      </c>
      <c r="I236" s="276">
        <f>(calgazcftra-gazcftra)/gazcftra</f>
        <v>-1</v>
      </c>
      <c r="J236" s="276">
        <f>(calgazcftra-gazcftra)/gazcftra</f>
        <v>-1</v>
      </c>
      <c r="K236" s="276">
        <f>(calgazcftra-gazcftra)/gazcftra</f>
        <v>-1</v>
      </c>
      <c r="L236" s="276">
        <f>(calgazcftra-gazcftra)/gazcftra</f>
        <v>-1</v>
      </c>
      <c r="M236" s="276" t="str">
        <f>(calgazcftra-gazcftra)/gazcftra</f>
        <v>#DIV/0!</v>
      </c>
      <c r="N236" s="276" t="str">
        <f>(calgazcftra-gazcftra)/gazcftra</f>
        <v>#DIV/0!</v>
      </c>
      <c r="O236" s="276" t="str">
        <f>(calgazcftra-gazcftra)/gazcftra</f>
        <v>#DIV/0!</v>
      </c>
      <c r="P236" s="276" t="str">
        <f>(calgazcftra-gazcftra)/gazcftra</f>
        <v>#DIV/0!</v>
      </c>
      <c r="Q236" s="276" t="str">
        <f>(calgazcftra-gazcftra)/gazcftra</f>
        <v>#DIV/0!</v>
      </c>
      <c r="R236" s="276">
        <f>(calgazcftra-gazcftra)/gazcftra</f>
        <v>-1</v>
      </c>
      <c r="S236" s="276">
        <f>(calgazcftra-gazcftra)/gazcftra</f>
        <v>-1</v>
      </c>
      <c r="T236" s="276">
        <f>(calgazcftra-gazcftra)/gazcftra</f>
        <v>-1</v>
      </c>
      <c r="U236" s="276">
        <f>(calgazcftra-gazcftra)/gazcftra</f>
        <v>-1</v>
      </c>
      <c r="V236" s="276">
        <f>(calgazcftra-gazcftra)/gazcftra</f>
        <v>-1</v>
      </c>
      <c r="W236" s="276">
        <f>(calgazcftra-gazcftra)/gazcftra</f>
        <v>0</v>
      </c>
      <c r="X236" s="276" t="str">
        <f>(calgazcftra-gazcftra)/gazcftra</f>
        <v>#DIV/0!</v>
      </c>
      <c r="Y236" s="276" t="str">
        <f>(calgazcftra-gazcftra)/gazcftra</f>
        <v>#DIV/0!</v>
      </c>
      <c r="Z236" s="276" t="str">
        <f>(calgazcftra-gazcftra)/gazcftra</f>
        <v>#DIV/0!</v>
      </c>
      <c r="AA236" s="276" t="str">
        <f>(calgazcftra-gazcftra)/gazcftra</f>
        <v>#DIV/0!</v>
      </c>
      <c r="AB236" s="276">
        <f>(calgazcftra-gazcftra)/gazcftra</f>
        <v>0</v>
      </c>
      <c r="AC236" s="276" t="str">
        <f>(calgazcftra-gazcftra)/gazcftra</f>
        <v>#DIV/0!</v>
      </c>
      <c r="AD236" s="276" t="str">
        <f>(calgazcftra-gazcftra)/gazcftra</f>
        <v>#DIV/0!</v>
      </c>
      <c r="AE236" s="276" t="str">
        <f>(calgazcftra-gazcftra)/gazcftra</f>
        <v>#DIV/0!</v>
      </c>
      <c r="AF236" s="276" t="str">
        <f>(calgazcftra-gazcftra)/gazcftra</f>
        <v>#DIV/0!</v>
      </c>
      <c r="AG236" s="276" t="str">
        <f>(calgazcftra-gazcftra)/gazcftra</f>
        <v>#DIV/0!</v>
      </c>
      <c r="AH236" s="276" t="str">
        <f>(calgazcftra-gazcftra)/gazcftra</f>
        <v>#DIV/0!</v>
      </c>
      <c r="AI236" s="125"/>
    </row>
    <row r="237" ht="14.25" customHeight="1" outlineLevel="3">
      <c r="A237" s="326"/>
      <c r="B237" s="201"/>
      <c r="C237" s="201"/>
      <c r="D237" s="201"/>
      <c r="E237" s="316" t="s">
        <v>2061</v>
      </c>
      <c r="F237" s="123" t="s">
        <v>135</v>
      </c>
      <c r="G237" s="123" t="s">
        <v>2062</v>
      </c>
      <c r="H237" s="276" t="str">
        <f>(calhydcftra-hydcftra)/hydcftra</f>
        <v>#DIV/0!</v>
      </c>
      <c r="I237" s="276" t="str">
        <f>(calhydcftra-hydcftra)/hydcftra</f>
        <v>#DIV/0!</v>
      </c>
      <c r="J237" s="276" t="str">
        <f>(calhydcftra-hydcftra)/hydcftra</f>
        <v>#DIV/0!</v>
      </c>
      <c r="K237" s="276" t="str">
        <f>(calhydcftra-hydcftra)/hydcftra</f>
        <v>#DIV/0!</v>
      </c>
      <c r="L237" s="276" t="str">
        <f>(calhydcftra-hydcftra)/hydcftra</f>
        <v>#DIV/0!</v>
      </c>
      <c r="M237" s="276" t="str">
        <f>(calhydcftra-hydcftra)/hydcftra</f>
        <v>#DIV/0!</v>
      </c>
      <c r="N237" s="276" t="str">
        <f>(calhydcftra-hydcftra)/hydcftra</f>
        <v>#DIV/0!</v>
      </c>
      <c r="O237" s="276" t="str">
        <f>(calhydcftra-hydcftra)/hydcftra</f>
        <v>#DIV/0!</v>
      </c>
      <c r="P237" s="276" t="str">
        <f>(calhydcftra-hydcftra)/hydcftra</f>
        <v>#DIV/0!</v>
      </c>
      <c r="Q237" s="276" t="str">
        <f>(calhydcftra-hydcftra)/hydcftra</f>
        <v>#DIV/0!</v>
      </c>
      <c r="R237" s="276" t="str">
        <f>(calhydcftra-hydcftra)/hydcftra</f>
        <v>#DIV/0!</v>
      </c>
      <c r="S237" s="276" t="str">
        <f>(calhydcftra-hydcftra)/hydcftra</f>
        <v>#DIV/0!</v>
      </c>
      <c r="T237" s="276" t="str">
        <f>(calhydcftra-hydcftra)/hydcftra</f>
        <v>#DIV/0!</v>
      </c>
      <c r="U237" s="276" t="str">
        <f>(calhydcftra-hydcftra)/hydcftra</f>
        <v>#DIV/0!</v>
      </c>
      <c r="V237" s="276" t="str">
        <f>(calhydcftra-hydcftra)/hydcftra</f>
        <v>#DIV/0!</v>
      </c>
      <c r="W237" s="276" t="str">
        <f>(calhydcftra-hydcftra)/hydcftra</f>
        <v>#DIV/0!</v>
      </c>
      <c r="X237" s="276" t="str">
        <f>(calhydcftra-hydcftra)/hydcftra</f>
        <v>#DIV/0!</v>
      </c>
      <c r="Y237" s="276" t="str">
        <f>(calhydcftra-hydcftra)/hydcftra</f>
        <v>#DIV/0!</v>
      </c>
      <c r="Z237" s="276" t="str">
        <f>(calhydcftra-hydcftra)/hydcftra</f>
        <v>#DIV/0!</v>
      </c>
      <c r="AA237" s="276" t="str">
        <f>(calhydcftra-hydcftra)/hydcftra</f>
        <v>#DIV/0!</v>
      </c>
      <c r="AB237" s="276" t="str">
        <f>(calhydcftra-hydcftra)/hydcftra</f>
        <v>#DIV/0!</v>
      </c>
      <c r="AC237" s="276" t="str">
        <f>(calhydcftra-hydcftra)/hydcftra</f>
        <v>#DIV/0!</v>
      </c>
      <c r="AD237" s="276" t="str">
        <f>(calhydcftra-hydcftra)/hydcftra</f>
        <v>#DIV/0!</v>
      </c>
      <c r="AE237" s="276" t="str">
        <f>(calhydcftra-hydcftra)/hydcftra</f>
        <v>#DIV/0!</v>
      </c>
      <c r="AF237" s="276" t="str">
        <f>(calhydcftra-hydcftra)/hydcftra</f>
        <v>#DIV/0!</v>
      </c>
      <c r="AG237" s="276" t="str">
        <f>(calhydcftra-hydcftra)/hydcftra</f>
        <v>#DIV/0!</v>
      </c>
      <c r="AH237" s="276" t="str">
        <f>(calhydcftra-hydcftra)/hydcftra</f>
        <v>#DIV/0!</v>
      </c>
      <c r="AI237" s="125"/>
    </row>
    <row r="238" ht="14.25" customHeight="1" outlineLevel="3">
      <c r="A238" s="326"/>
      <c r="B238" s="201"/>
      <c r="C238" s="201"/>
      <c r="D238" s="201"/>
      <c r="E238" s="316" t="s">
        <v>2063</v>
      </c>
      <c r="F238" s="123" t="s">
        <v>135</v>
      </c>
      <c r="G238" s="123" t="s">
        <v>2064</v>
      </c>
      <c r="H238" s="276">
        <f>(calelccftra-elccftra)/elccftra</f>
        <v>-1</v>
      </c>
      <c r="I238" s="276">
        <f>(calelccftra-elccftra)/elccftra</f>
        <v>-1</v>
      </c>
      <c r="J238" s="276">
        <f>(calelccftra-elccftra)/elccftra</f>
        <v>-1</v>
      </c>
      <c r="K238" s="276">
        <f>(calelccftra-elccftra)/elccftra</f>
        <v>-1</v>
      </c>
      <c r="L238" s="276">
        <f>(calelccftra-elccftra)/elccftra</f>
        <v>-1</v>
      </c>
      <c r="M238" s="276">
        <f>(calelccftra-elccftra)/elccftra</f>
        <v>-1</v>
      </c>
      <c r="N238" s="276">
        <f>(calelccftra-elccftra)/elccftra</f>
        <v>-1</v>
      </c>
      <c r="O238" s="276">
        <f>(calelccftra-elccftra)/elccftra</f>
        <v>-1</v>
      </c>
      <c r="P238" s="276">
        <f>(calelccftra-elccftra)/elccftra</f>
        <v>-1</v>
      </c>
      <c r="Q238" s="276">
        <f>(calelccftra-elccftra)/elccftra</f>
        <v>-1</v>
      </c>
      <c r="R238" s="276">
        <f>(calelccftra-elccftra)/elccftra</f>
        <v>-1</v>
      </c>
      <c r="S238" s="276">
        <f>(calelccftra-elccftra)/elccftra</f>
        <v>-1</v>
      </c>
      <c r="T238" s="276">
        <f>(calelccftra-elccftra)/elccftra</f>
        <v>-1</v>
      </c>
      <c r="U238" s="276">
        <f>(calelccftra-elccftra)/elccftra</f>
        <v>-1</v>
      </c>
      <c r="V238" s="276">
        <f>(calelccftra-elccftra)/elccftra</f>
        <v>-1</v>
      </c>
      <c r="W238" s="276">
        <f>(calelccftra-elccftra)/elccftra</f>
        <v>0</v>
      </c>
      <c r="X238" s="276" t="str">
        <f>(calelccftra-elccftra)/elccftra</f>
        <v>#DIV/0!</v>
      </c>
      <c r="Y238" s="276" t="str">
        <f>(calelccftra-elccftra)/elccftra</f>
        <v>#DIV/0!</v>
      </c>
      <c r="Z238" s="276" t="str">
        <f>(calelccftra-elccftra)/elccftra</f>
        <v>#DIV/0!</v>
      </c>
      <c r="AA238" s="276" t="str">
        <f>(calelccftra-elccftra)/elccftra</f>
        <v>#DIV/0!</v>
      </c>
      <c r="AB238" s="276">
        <f>(calelccftra-elccftra)/elccftra</f>
        <v>0</v>
      </c>
      <c r="AC238" s="276" t="str">
        <f>(calelccftra-elccftra)/elccftra</f>
        <v>#DIV/0!</v>
      </c>
      <c r="AD238" s="276" t="str">
        <f>(calelccftra-elccftra)/elccftra</f>
        <v>#DIV/0!</v>
      </c>
      <c r="AE238" s="276" t="str">
        <f>(calelccftra-elccftra)/elccftra</f>
        <v>#DIV/0!</v>
      </c>
      <c r="AF238" s="276" t="str">
        <f>(calelccftra-elccftra)/elccftra</f>
        <v>#DIV/0!</v>
      </c>
      <c r="AG238" s="276" t="str">
        <f>(calelccftra-elccftra)/elccftra</f>
        <v>#DIV/0!</v>
      </c>
      <c r="AH238" s="276" t="str">
        <f>(calelccftra-elccftra)/elccftra</f>
        <v>#DIV/0!</v>
      </c>
      <c r="AI238" s="125"/>
    </row>
    <row r="239" ht="14.25" customHeight="1">
      <c r="A239" s="195"/>
      <c r="B239" s="100"/>
      <c r="C239" s="100"/>
      <c r="D239" s="100"/>
      <c r="E239" s="100"/>
      <c r="F239" s="206"/>
      <c r="G239" s="206"/>
      <c r="H239" s="207"/>
      <c r="I239" s="207"/>
      <c r="J239" s="207"/>
      <c r="K239" s="207"/>
      <c r="L239" s="207"/>
      <c r="M239" s="207"/>
      <c r="N239" s="207"/>
      <c r="O239" s="207"/>
      <c r="P239" s="207"/>
      <c r="Q239" s="207"/>
      <c r="R239" s="207"/>
      <c r="S239" s="207"/>
      <c r="T239" s="207"/>
      <c r="U239" s="207"/>
      <c r="V239" s="207"/>
      <c r="W239" s="208"/>
      <c r="X239" s="208"/>
      <c r="Y239" s="208"/>
      <c r="Z239" s="208"/>
      <c r="AA239" s="208"/>
      <c r="AB239" s="208"/>
      <c r="AC239" s="208"/>
      <c r="AD239" s="208"/>
      <c r="AE239" s="208"/>
      <c r="AF239" s="208"/>
      <c r="AG239" s="208"/>
      <c r="AH239" s="208"/>
      <c r="AI239" s="100"/>
    </row>
    <row r="240" ht="14.25" customHeight="1">
      <c r="A240" s="314" t="s">
        <v>801</v>
      </c>
      <c r="B240" s="100"/>
      <c r="C240" s="100"/>
      <c r="D240" s="100"/>
      <c r="E240" s="100"/>
      <c r="F240" s="206"/>
      <c r="G240" s="206"/>
      <c r="H240" s="207"/>
      <c r="I240" s="207"/>
      <c r="J240" s="207"/>
      <c r="K240" s="207"/>
      <c r="L240" s="207"/>
      <c r="M240" s="207"/>
      <c r="N240" s="207"/>
      <c r="O240" s="207"/>
      <c r="P240" s="207"/>
      <c r="Q240" s="207"/>
      <c r="R240" s="207"/>
      <c r="S240" s="207"/>
      <c r="T240" s="207"/>
      <c r="U240" s="207"/>
      <c r="V240" s="207"/>
      <c r="W240" s="208"/>
      <c r="X240" s="208"/>
      <c r="Y240" s="208"/>
      <c r="Z240" s="208"/>
      <c r="AA240" s="208"/>
      <c r="AB240" s="208"/>
      <c r="AC240" s="208"/>
      <c r="AD240" s="208"/>
      <c r="AE240" s="208"/>
      <c r="AF240" s="208"/>
      <c r="AG240" s="208"/>
      <c r="AH240" s="208"/>
      <c r="AI240" s="100"/>
    </row>
    <row r="241" ht="14.25" customHeight="1">
      <c r="A241" s="195"/>
      <c r="B241" s="100"/>
      <c r="C241" s="100"/>
      <c r="D241" s="100"/>
      <c r="E241" s="180" t="s">
        <v>2065</v>
      </c>
      <c r="F241" s="123" t="s">
        <v>135</v>
      </c>
      <c r="G241" s="123" t="s">
        <v>1512</v>
      </c>
      <c r="H241" s="337">
        <f t="array" ref="H241:AH241">INDIRECT($G241)</f>
        <v>78.35959367</v>
      </c>
      <c r="I241" s="337">
        <v>76.5137385414416</v>
      </c>
      <c r="J241" s="337">
        <v>75.7432502112649</v>
      </c>
      <c r="K241" s="337">
        <v>79.707895528813</v>
      </c>
      <c r="L241" s="337">
        <v>78.863044891318</v>
      </c>
      <c r="M241" s="337">
        <v>74.6251004121533</v>
      </c>
      <c r="N241" s="337">
        <v>73.5244659194179</v>
      </c>
      <c r="O241" s="337">
        <v>75.6684468101269</v>
      </c>
      <c r="P241" s="337">
        <v>78.3331794082361</v>
      </c>
      <c r="Q241" s="337">
        <v>78.6689250177381</v>
      </c>
      <c r="R241" s="337">
        <v>78.0032973434049</v>
      </c>
      <c r="S241" s="337">
        <v>78.3909422433215</v>
      </c>
      <c r="T241" s="337">
        <v>75.3901575577406</v>
      </c>
      <c r="U241" s="337">
        <v>72.4218960787248</v>
      </c>
      <c r="V241" s="337">
        <v>74.2617871051502</v>
      </c>
      <c r="W241" s="337">
        <v>59.3054603903575</v>
      </c>
      <c r="X241" s="337"/>
      <c r="Y241" s="337"/>
      <c r="Z241" s="337"/>
      <c r="AA241" s="337"/>
      <c r="AB241" s="337">
        <v>58.8503114224678</v>
      </c>
      <c r="AC241" s="337"/>
      <c r="AD241" s="337"/>
      <c r="AE241" s="337"/>
      <c r="AF241" s="337"/>
      <c r="AG241" s="337"/>
      <c r="AH241" s="337"/>
      <c r="AI241" s="100"/>
    </row>
    <row r="242" ht="14.25" customHeight="1">
      <c r="A242" s="195"/>
      <c r="B242" s="100"/>
      <c r="C242" s="100"/>
      <c r="D242" s="100"/>
      <c r="E242" s="180" t="s">
        <v>2066</v>
      </c>
      <c r="F242" s="123" t="s">
        <v>135</v>
      </c>
      <c r="G242" s="123" t="s">
        <v>1725</v>
      </c>
      <c r="H242" s="337">
        <f t="array" ref="H242:AH242">INDIRECT($G242)</f>
        <v>33.99072498</v>
      </c>
      <c r="I242" s="337">
        <v>34.4838818331968</v>
      </c>
      <c r="J242" s="337">
        <v>36.4278278166778</v>
      </c>
      <c r="K242" s="337">
        <v>38.1695141468729</v>
      </c>
      <c r="L242" s="337">
        <v>40.8030354430435</v>
      </c>
      <c r="M242" s="337">
        <v>41.0576940107764</v>
      </c>
      <c r="N242" s="337">
        <v>43.0556988524451</v>
      </c>
      <c r="O242" s="337">
        <v>45.3174980407125</v>
      </c>
      <c r="P242" s="337">
        <v>43.1573310625382</v>
      </c>
      <c r="Q242" s="337">
        <v>40.5505185636652</v>
      </c>
      <c r="R242" s="337">
        <v>41.2871168379871</v>
      </c>
      <c r="S242" s="337">
        <v>40.8266431991521</v>
      </c>
      <c r="T242" s="337">
        <v>39.2884118275098</v>
      </c>
      <c r="U242" s="337">
        <v>39.7056552186578</v>
      </c>
      <c r="V242" s="337">
        <v>40.5410025066811</v>
      </c>
      <c r="W242" s="337">
        <v>43.8993979752859</v>
      </c>
      <c r="X242" s="337"/>
      <c r="Y242" s="337"/>
      <c r="Z242" s="337"/>
      <c r="AA242" s="337"/>
      <c r="AB242" s="337">
        <v>43.562485226478</v>
      </c>
      <c r="AC242" s="337"/>
      <c r="AD242" s="337"/>
      <c r="AE242" s="337"/>
      <c r="AF242" s="337"/>
      <c r="AG242" s="337"/>
      <c r="AH242" s="337"/>
      <c r="AI242" s="100"/>
    </row>
    <row r="243" ht="14.25" customHeight="1">
      <c r="A243" s="195"/>
      <c r="B243" s="100"/>
      <c r="C243" s="100"/>
      <c r="D243" s="100"/>
      <c r="E243" s="180" t="s">
        <v>808</v>
      </c>
      <c r="F243" s="123" t="s">
        <v>135</v>
      </c>
      <c r="G243" s="206"/>
      <c r="H243" s="338">
        <f t="shared" ref="H243:AH243" si="16">SUM(H241:H242)</f>
        <v>112.3503187</v>
      </c>
      <c r="I243" s="338">
        <f t="shared" si="16"/>
        <v>110.9976204</v>
      </c>
      <c r="J243" s="338">
        <f t="shared" si="16"/>
        <v>112.171078</v>
      </c>
      <c r="K243" s="338">
        <f t="shared" si="16"/>
        <v>117.8774097</v>
      </c>
      <c r="L243" s="338">
        <f t="shared" si="16"/>
        <v>119.6660803</v>
      </c>
      <c r="M243" s="338">
        <f t="shared" si="16"/>
        <v>115.6827944</v>
      </c>
      <c r="N243" s="338">
        <f t="shared" si="16"/>
        <v>116.5801648</v>
      </c>
      <c r="O243" s="338">
        <f t="shared" si="16"/>
        <v>120.9859449</v>
      </c>
      <c r="P243" s="338">
        <f t="shared" si="16"/>
        <v>121.4905105</v>
      </c>
      <c r="Q243" s="338">
        <f t="shared" si="16"/>
        <v>119.2194436</v>
      </c>
      <c r="R243" s="338">
        <f t="shared" si="16"/>
        <v>119.2904142</v>
      </c>
      <c r="S243" s="338">
        <f t="shared" si="16"/>
        <v>119.2175854</v>
      </c>
      <c r="T243" s="338">
        <f t="shared" si="16"/>
        <v>114.6785694</v>
      </c>
      <c r="U243" s="338">
        <f t="shared" si="16"/>
        <v>112.1275513</v>
      </c>
      <c r="V243" s="338">
        <f t="shared" si="16"/>
        <v>114.8027896</v>
      </c>
      <c r="W243" s="338">
        <f t="shared" si="16"/>
        <v>103.2048584</v>
      </c>
      <c r="X243" s="338">
        <f t="shared" si="16"/>
        <v>0</v>
      </c>
      <c r="Y243" s="338">
        <f t="shared" si="16"/>
        <v>0</v>
      </c>
      <c r="Z243" s="338">
        <f t="shared" si="16"/>
        <v>0</v>
      </c>
      <c r="AA243" s="338">
        <f t="shared" si="16"/>
        <v>0</v>
      </c>
      <c r="AB243" s="338">
        <f t="shared" si="16"/>
        <v>102.4127966</v>
      </c>
      <c r="AC243" s="338">
        <f t="shared" si="16"/>
        <v>0</v>
      </c>
      <c r="AD243" s="338">
        <f t="shared" si="16"/>
        <v>0</v>
      </c>
      <c r="AE243" s="338">
        <f t="shared" si="16"/>
        <v>0</v>
      </c>
      <c r="AF243" s="338">
        <f t="shared" si="16"/>
        <v>0</v>
      </c>
      <c r="AG243" s="338">
        <f t="shared" si="16"/>
        <v>0</v>
      </c>
      <c r="AH243" s="338">
        <f t="shared" si="16"/>
        <v>0</v>
      </c>
      <c r="AI243" s="100"/>
    </row>
    <row r="244" ht="14.25" customHeight="1">
      <c r="A244" s="100"/>
      <c r="B244" s="100"/>
      <c r="C244" s="100"/>
      <c r="D244" s="100"/>
      <c r="E244" s="100"/>
      <c r="F244" s="206"/>
      <c r="G244" s="206"/>
      <c r="H244" s="207"/>
      <c r="I244" s="207"/>
      <c r="J244" s="207"/>
      <c r="K244" s="207"/>
      <c r="L244" s="207"/>
      <c r="M244" s="207"/>
      <c r="N244" s="207"/>
      <c r="O244" s="207"/>
      <c r="P244" s="207"/>
      <c r="Q244" s="207"/>
      <c r="R244" s="207"/>
      <c r="S244" s="207"/>
      <c r="T244" s="207"/>
      <c r="U244" s="207"/>
      <c r="V244" s="207"/>
      <c r="W244" s="208"/>
      <c r="X244" s="208"/>
      <c r="Y244" s="208"/>
      <c r="Z244" s="208"/>
      <c r="AA244" s="208"/>
      <c r="AB244" s="208"/>
      <c r="AC244" s="208"/>
      <c r="AD244" s="208"/>
      <c r="AE244" s="208"/>
      <c r="AF244" s="208"/>
      <c r="AG244" s="208"/>
      <c r="AH244" s="208"/>
      <c r="AI244" s="100"/>
    </row>
    <row r="245" ht="14.25" customHeight="1">
      <c r="A245" s="195"/>
      <c r="B245" s="100"/>
      <c r="C245" s="100"/>
      <c r="D245" s="100"/>
      <c r="E245" s="180" t="s">
        <v>2067</v>
      </c>
      <c r="F245" s="123" t="s">
        <v>135</v>
      </c>
      <c r="G245" s="123" t="s">
        <v>1757</v>
      </c>
      <c r="H245" s="337">
        <f t="array" ref="H245:AH245">INDIRECT($G245)</f>
        <v>112.4328</v>
      </c>
      <c r="I245" s="337">
        <v>111.0595</v>
      </c>
      <c r="J245" s="337">
        <v>112.2845</v>
      </c>
      <c r="K245" s="337">
        <v>118.4517</v>
      </c>
      <c r="L245" s="337">
        <v>119.2802</v>
      </c>
      <c r="M245" s="337">
        <v>116.191</v>
      </c>
      <c r="N245" s="337">
        <v>118.3554</v>
      </c>
      <c r="O245" s="337">
        <v>121.0215</v>
      </c>
      <c r="P245" s="337">
        <v>120.4635</v>
      </c>
      <c r="Q245" s="337">
        <v>119.5796</v>
      </c>
      <c r="R245" s="337">
        <v>118.6724</v>
      </c>
      <c r="S245" s="337">
        <v>117.5324</v>
      </c>
      <c r="T245" s="337">
        <v>114.3657</v>
      </c>
      <c r="U245" s="337">
        <v>112.7119</v>
      </c>
      <c r="V245" s="337">
        <v>114.1761</v>
      </c>
      <c r="W245" s="337">
        <v>103.204858365643</v>
      </c>
      <c r="X245" s="337">
        <v>104.325761048866</v>
      </c>
      <c r="Y245" s="337">
        <v>102.619358597569</v>
      </c>
      <c r="Z245" s="337">
        <v>103.060044215633</v>
      </c>
      <c r="AA245" s="337">
        <v>102.412796648946</v>
      </c>
      <c r="AB245" s="337">
        <v>102.412796648946</v>
      </c>
      <c r="AC245" s="337"/>
      <c r="AD245" s="337"/>
      <c r="AE245" s="337"/>
      <c r="AF245" s="337"/>
      <c r="AG245" s="337"/>
      <c r="AH245" s="337"/>
      <c r="AI245" s="100"/>
    </row>
    <row r="246" ht="14.25" customHeight="1">
      <c r="A246" s="195"/>
      <c r="B246" s="100"/>
      <c r="C246" s="100"/>
      <c r="D246" s="100"/>
      <c r="E246" s="180" t="s">
        <v>810</v>
      </c>
      <c r="F246" s="123" t="s">
        <v>135</v>
      </c>
      <c r="G246" s="206"/>
      <c r="H246" s="339">
        <f t="shared" ref="H246:AH246" si="17">IF(H243&gt;0,(H245-H243)/H243,"")</f>
        <v>0.0007341442952</v>
      </c>
      <c r="I246" s="339">
        <f t="shared" si="17"/>
        <v>0.0005574860538</v>
      </c>
      <c r="J246" s="339">
        <f t="shared" si="17"/>
        <v>0.001011151663</v>
      </c>
      <c r="K246" s="339">
        <f t="shared" si="17"/>
        <v>0.004871928607</v>
      </c>
      <c r="L246" s="339">
        <f t="shared" si="17"/>
        <v>-0.003224642549</v>
      </c>
      <c r="M246" s="339">
        <f t="shared" si="17"/>
        <v>0.004393095616</v>
      </c>
      <c r="N246" s="339">
        <f t="shared" si="17"/>
        <v>0.01522759237</v>
      </c>
      <c r="O246" s="339">
        <f t="shared" si="17"/>
        <v>0.0002938783443</v>
      </c>
      <c r="P246" s="339">
        <f t="shared" si="17"/>
        <v>-0.008453421315</v>
      </c>
      <c r="Q246" s="339">
        <f t="shared" si="17"/>
        <v>0.003020953695</v>
      </c>
      <c r="R246" s="339">
        <f t="shared" si="17"/>
        <v>-0.005180753086</v>
      </c>
      <c r="S246" s="339">
        <f t="shared" si="17"/>
        <v>-0.01413537639</v>
      </c>
      <c r="T246" s="339">
        <f t="shared" si="17"/>
        <v>-0.002728228883</v>
      </c>
      <c r="U246" s="339">
        <f t="shared" si="17"/>
        <v>0.00521146405</v>
      </c>
      <c r="V246" s="339">
        <f t="shared" si="17"/>
        <v>-0.005458836096</v>
      </c>
      <c r="W246" s="339">
        <f t="shared" si="17"/>
        <v>0</v>
      </c>
      <c r="X246" s="339" t="str">
        <f t="shared" si="17"/>
        <v/>
      </c>
      <c r="Y246" s="339" t="str">
        <f t="shared" si="17"/>
        <v/>
      </c>
      <c r="Z246" s="339" t="str">
        <f t="shared" si="17"/>
        <v/>
      </c>
      <c r="AA246" s="339" t="str">
        <f t="shared" si="17"/>
        <v/>
      </c>
      <c r="AB246" s="339">
        <f t="shared" si="17"/>
        <v>0</v>
      </c>
      <c r="AC246" s="339" t="str">
        <f t="shared" si="17"/>
        <v/>
      </c>
      <c r="AD246" s="339" t="str">
        <f t="shared" si="17"/>
        <v/>
      </c>
      <c r="AE246" s="339" t="str">
        <f t="shared" si="17"/>
        <v/>
      </c>
      <c r="AF246" s="339" t="str">
        <f t="shared" si="17"/>
        <v/>
      </c>
      <c r="AG246" s="339" t="str">
        <f t="shared" si="17"/>
        <v/>
      </c>
      <c r="AH246" s="339" t="str">
        <f t="shared" si="17"/>
        <v/>
      </c>
      <c r="AI246" s="100"/>
    </row>
    <row r="247" ht="14.25" customHeight="1">
      <c r="A247" s="195"/>
      <c r="B247" s="100"/>
      <c r="C247" s="100"/>
      <c r="D247" s="100"/>
      <c r="E247" s="180" t="s">
        <v>811</v>
      </c>
      <c r="F247" s="123" t="s">
        <v>135</v>
      </c>
      <c r="G247" s="123" t="s">
        <v>1747</v>
      </c>
      <c r="H247" s="337">
        <f t="array" ref="H247:AH247">INDIRECT($G247)</f>
        <v>0</v>
      </c>
      <c r="I247" s="337">
        <v>0.0</v>
      </c>
      <c r="J247" s="337">
        <v>0.0</v>
      </c>
      <c r="K247" s="337">
        <v>0.0</v>
      </c>
      <c r="L247" s="337">
        <v>0.0</v>
      </c>
      <c r="M247" s="337">
        <v>0.0</v>
      </c>
      <c r="N247" s="337">
        <v>0.0</v>
      </c>
      <c r="O247" s="337">
        <v>0.0</v>
      </c>
      <c r="P247" s="337">
        <v>0.0</v>
      </c>
      <c r="Q247" s="337">
        <v>0.0</v>
      </c>
      <c r="R247" s="337">
        <v>0.0</v>
      </c>
      <c r="S247" s="337">
        <v>0.0</v>
      </c>
      <c r="T247" s="337">
        <v>0.0</v>
      </c>
      <c r="U247" s="337">
        <v>0.0</v>
      </c>
      <c r="V247" s="337">
        <v>0.0</v>
      </c>
      <c r="W247" s="337">
        <v>103.20485836564336</v>
      </c>
      <c r="X247" s="337" t="e">
        <v>#DIV/0!</v>
      </c>
      <c r="Y247" s="337" t="e">
        <v>#DIV/0!</v>
      </c>
      <c r="Z247" s="337" t="e">
        <v>#DIV/0!</v>
      </c>
      <c r="AA247" s="337" t="e">
        <v>#DIV/0!</v>
      </c>
      <c r="AB247" s="337">
        <v>102.41279664894581</v>
      </c>
      <c r="AC247" s="337">
        <v>83.9405198577501</v>
      </c>
      <c r="AD247" s="337">
        <v>58.37415520157547</v>
      </c>
      <c r="AE247" s="337">
        <v>42.21564134231069</v>
      </c>
      <c r="AF247" s="337">
        <v>32.055904113381985</v>
      </c>
      <c r="AG247" s="337">
        <v>26.74192668535047</v>
      </c>
      <c r="AH247" s="337">
        <v>24.344083144776114</v>
      </c>
      <c r="AI247" s="100"/>
    </row>
    <row r="248" ht="14.25" customHeight="1">
      <c r="A248" s="100"/>
      <c r="B248" s="100"/>
      <c r="C248" s="100"/>
      <c r="D248" s="100"/>
      <c r="E248" s="100"/>
      <c r="F248" s="206"/>
      <c r="G248" s="206"/>
      <c r="H248" s="207"/>
      <c r="I248" s="207"/>
      <c r="J248" s="207"/>
      <c r="K248" s="207"/>
      <c r="L248" s="207"/>
      <c r="M248" s="207"/>
      <c r="N248" s="207"/>
      <c r="O248" s="207"/>
      <c r="P248" s="207"/>
      <c r="Q248" s="207"/>
      <c r="R248" s="207"/>
      <c r="S248" s="207"/>
      <c r="T248" s="207"/>
      <c r="U248" s="207"/>
      <c r="V248" s="207"/>
      <c r="W248" s="208"/>
      <c r="X248" s="208"/>
      <c r="Y248" s="208"/>
      <c r="Z248" s="208"/>
      <c r="AA248" s="208"/>
      <c r="AB248" s="208"/>
      <c r="AC248" s="208"/>
      <c r="AD248" s="208"/>
      <c r="AE248" s="208"/>
      <c r="AF248" s="208"/>
      <c r="AG248" s="208"/>
      <c r="AH248" s="208"/>
      <c r="AI248" s="100"/>
    </row>
    <row r="249" ht="14.25" customHeight="1">
      <c r="A249" s="100"/>
      <c r="B249" s="100"/>
      <c r="C249" s="100"/>
      <c r="D249" s="100"/>
      <c r="E249" s="100"/>
      <c r="F249" s="206"/>
      <c r="G249" s="206"/>
      <c r="H249" s="207"/>
      <c r="I249" s="207"/>
      <c r="J249" s="207"/>
      <c r="K249" s="207"/>
      <c r="L249" s="207"/>
      <c r="M249" s="207"/>
      <c r="N249" s="207"/>
      <c r="O249" s="207"/>
      <c r="P249" s="207"/>
      <c r="Q249" s="207"/>
      <c r="R249" s="207"/>
      <c r="S249" s="207"/>
      <c r="T249" s="207"/>
      <c r="U249" s="207"/>
      <c r="V249" s="207"/>
      <c r="W249" s="208"/>
      <c r="X249" s="208"/>
      <c r="Y249" s="208"/>
      <c r="Z249" s="208"/>
      <c r="AA249" s="208"/>
      <c r="AB249" s="208"/>
      <c r="AC249" s="208"/>
      <c r="AD249" s="208"/>
      <c r="AE249" s="208"/>
      <c r="AF249" s="208"/>
      <c r="AG249" s="208"/>
      <c r="AH249" s="208"/>
      <c r="AI249" s="100"/>
    </row>
    <row r="250" ht="14.25" customHeight="1">
      <c r="A250" s="195"/>
      <c r="B250" s="100"/>
      <c r="C250" s="100"/>
      <c r="D250" s="100"/>
      <c r="E250" s="100"/>
      <c r="F250" s="206"/>
      <c r="G250" s="206"/>
      <c r="H250" s="207"/>
      <c r="I250" s="207"/>
      <c r="J250" s="207"/>
      <c r="K250" s="207"/>
      <c r="L250" s="207"/>
      <c r="M250" s="207"/>
      <c r="N250" s="207"/>
      <c r="O250" s="207"/>
      <c r="P250" s="207"/>
      <c r="Q250" s="207"/>
      <c r="R250" s="207"/>
      <c r="S250" s="207"/>
      <c r="T250" s="207"/>
      <c r="U250" s="207"/>
      <c r="V250" s="207"/>
      <c r="W250" s="208"/>
      <c r="X250" s="208"/>
      <c r="Y250" s="208"/>
      <c r="Z250" s="208"/>
      <c r="AA250" s="208"/>
      <c r="AB250" s="208"/>
      <c r="AC250" s="208"/>
      <c r="AD250" s="208"/>
      <c r="AE250" s="208"/>
      <c r="AF250" s="208"/>
      <c r="AG250" s="208"/>
      <c r="AH250" s="208"/>
      <c r="AI250" s="100"/>
    </row>
    <row r="251" ht="14.25" customHeight="1">
      <c r="A251" s="195"/>
      <c r="B251" s="100"/>
      <c r="C251" s="100"/>
      <c r="D251" s="100"/>
      <c r="E251" s="100"/>
      <c r="F251" s="206"/>
      <c r="G251" s="206"/>
      <c r="H251" s="207"/>
      <c r="I251" s="207"/>
      <c r="J251" s="207"/>
      <c r="K251" s="207"/>
      <c r="L251" s="207"/>
      <c r="M251" s="207"/>
      <c r="N251" s="207"/>
      <c r="O251" s="207"/>
      <c r="P251" s="207"/>
      <c r="Q251" s="207"/>
      <c r="R251" s="207"/>
      <c r="S251" s="207"/>
      <c r="T251" s="207"/>
      <c r="U251" s="207"/>
      <c r="V251" s="207"/>
      <c r="W251" s="208"/>
      <c r="X251" s="208"/>
      <c r="Y251" s="208"/>
      <c r="Z251" s="208"/>
      <c r="AA251" s="208"/>
      <c r="AB251" s="208"/>
      <c r="AC251" s="208"/>
      <c r="AD251" s="208"/>
      <c r="AE251" s="208"/>
      <c r="AF251" s="208"/>
      <c r="AG251" s="208"/>
      <c r="AH251" s="208"/>
      <c r="AI251" s="100"/>
    </row>
    <row r="252" ht="14.25" customHeight="1">
      <c r="A252" s="195"/>
      <c r="B252" s="100"/>
      <c r="C252" s="100"/>
      <c r="D252" s="100"/>
      <c r="E252" s="100"/>
      <c r="F252" s="206"/>
      <c r="G252" s="206"/>
      <c r="H252" s="207"/>
      <c r="I252" s="207"/>
      <c r="J252" s="207"/>
      <c r="K252" s="207"/>
      <c r="L252" s="207"/>
      <c r="M252" s="207"/>
      <c r="N252" s="207"/>
      <c r="O252" s="207"/>
      <c r="P252" s="207"/>
      <c r="Q252" s="207"/>
      <c r="R252" s="207"/>
      <c r="S252" s="207"/>
      <c r="T252" s="207"/>
      <c r="U252" s="207"/>
      <c r="V252" s="207"/>
      <c r="W252" s="208"/>
      <c r="X252" s="208"/>
      <c r="Y252" s="208"/>
      <c r="Z252" s="208"/>
      <c r="AA252" s="208"/>
      <c r="AB252" s="208"/>
      <c r="AC252" s="208"/>
      <c r="AD252" s="208"/>
      <c r="AE252" s="208"/>
      <c r="AF252" s="208"/>
      <c r="AG252" s="208"/>
      <c r="AH252" s="208"/>
      <c r="AI252" s="100"/>
    </row>
    <row r="253" ht="14.25" customHeight="1">
      <c r="A253" s="195"/>
      <c r="B253" s="100"/>
      <c r="C253" s="100"/>
      <c r="D253" s="100"/>
      <c r="E253" s="100"/>
      <c r="F253" s="206"/>
      <c r="G253" s="206"/>
      <c r="H253" s="207"/>
      <c r="I253" s="207"/>
      <c r="J253" s="207"/>
      <c r="K253" s="207"/>
      <c r="L253" s="207"/>
      <c r="M253" s="207"/>
      <c r="N253" s="207"/>
      <c r="O253" s="207"/>
      <c r="P253" s="207"/>
      <c r="Q253" s="207"/>
      <c r="R253" s="207"/>
      <c r="S253" s="207"/>
      <c r="T253" s="207"/>
      <c r="U253" s="207"/>
      <c r="V253" s="207"/>
      <c r="W253" s="208"/>
      <c r="X253" s="208"/>
      <c r="Y253" s="208"/>
      <c r="Z253" s="208"/>
      <c r="AA253" s="208"/>
      <c r="AB253" s="208"/>
      <c r="AC253" s="208"/>
      <c r="AD253" s="208"/>
      <c r="AE253" s="208"/>
      <c r="AF253" s="208"/>
      <c r="AG253" s="208"/>
      <c r="AH253" s="208"/>
      <c r="AI253" s="100"/>
    </row>
    <row r="254" ht="14.25" customHeight="1">
      <c r="A254" s="195"/>
      <c r="B254" s="100"/>
      <c r="C254" s="100"/>
      <c r="D254" s="100"/>
      <c r="E254" s="100"/>
      <c r="F254" s="206"/>
      <c r="G254" s="206"/>
      <c r="H254" s="207"/>
      <c r="I254" s="207"/>
      <c r="J254" s="207"/>
      <c r="K254" s="207"/>
      <c r="L254" s="207"/>
      <c r="M254" s="207"/>
      <c r="N254" s="207"/>
      <c r="O254" s="207"/>
      <c r="P254" s="207"/>
      <c r="Q254" s="207"/>
      <c r="R254" s="207"/>
      <c r="S254" s="207"/>
      <c r="T254" s="207"/>
      <c r="U254" s="207"/>
      <c r="V254" s="207"/>
      <c r="W254" s="208"/>
      <c r="X254" s="208"/>
      <c r="Y254" s="208"/>
      <c r="Z254" s="208"/>
      <c r="AA254" s="208"/>
      <c r="AB254" s="208"/>
      <c r="AC254" s="208"/>
      <c r="AD254" s="208"/>
      <c r="AE254" s="208"/>
      <c r="AF254" s="208"/>
      <c r="AG254" s="208"/>
      <c r="AH254" s="208"/>
      <c r="AI254" s="100"/>
    </row>
    <row r="255" ht="14.25" customHeight="1">
      <c r="A255" s="195"/>
      <c r="B255" s="100"/>
      <c r="C255" s="100"/>
      <c r="D255" s="100"/>
      <c r="E255" s="100"/>
      <c r="F255" s="206"/>
      <c r="G255" s="206"/>
      <c r="H255" s="207"/>
      <c r="I255" s="207"/>
      <c r="J255" s="207"/>
      <c r="K255" s="207"/>
      <c r="L255" s="207"/>
      <c r="M255" s="207"/>
      <c r="N255" s="207"/>
      <c r="O255" s="207"/>
      <c r="P255" s="207"/>
      <c r="Q255" s="207"/>
      <c r="R255" s="207"/>
      <c r="S255" s="207"/>
      <c r="T255" s="207"/>
      <c r="U255" s="207"/>
      <c r="V255" s="207"/>
      <c r="W255" s="208"/>
      <c r="X255" s="208"/>
      <c r="Y255" s="208"/>
      <c r="Z255" s="208"/>
      <c r="AA255" s="208"/>
      <c r="AB255" s="208"/>
      <c r="AC255" s="208"/>
      <c r="AD255" s="208"/>
      <c r="AE255" s="208"/>
      <c r="AF255" s="208"/>
      <c r="AG255" s="208"/>
      <c r="AH255" s="208"/>
      <c r="AI255" s="100"/>
    </row>
    <row r="256" ht="14.25" customHeight="1">
      <c r="A256" s="195"/>
      <c r="B256" s="100"/>
      <c r="C256" s="100"/>
      <c r="D256" s="100"/>
      <c r="E256" s="100"/>
      <c r="F256" s="206"/>
      <c r="G256" s="206"/>
      <c r="H256" s="207"/>
      <c r="I256" s="207"/>
      <c r="J256" s="207"/>
      <c r="K256" s="207"/>
      <c r="L256" s="207"/>
      <c r="M256" s="207"/>
      <c r="N256" s="207"/>
      <c r="O256" s="207"/>
      <c r="P256" s="207"/>
      <c r="Q256" s="207"/>
      <c r="R256" s="207"/>
      <c r="S256" s="207"/>
      <c r="T256" s="207"/>
      <c r="U256" s="207"/>
      <c r="V256" s="207"/>
      <c r="W256" s="208"/>
      <c r="X256" s="208"/>
      <c r="Y256" s="208"/>
      <c r="Z256" s="208"/>
      <c r="AA256" s="208"/>
      <c r="AB256" s="208"/>
      <c r="AC256" s="208"/>
      <c r="AD256" s="208"/>
      <c r="AE256" s="208"/>
      <c r="AF256" s="208"/>
      <c r="AG256" s="208"/>
      <c r="AH256" s="208"/>
      <c r="AI256" s="100"/>
    </row>
    <row r="257" ht="14.25" customHeight="1">
      <c r="A257" s="195"/>
      <c r="B257" s="100"/>
      <c r="C257" s="100"/>
      <c r="D257" s="100"/>
      <c r="E257" s="100"/>
      <c r="F257" s="206"/>
      <c r="G257" s="206"/>
      <c r="H257" s="207"/>
      <c r="I257" s="207"/>
      <c r="J257" s="207"/>
      <c r="K257" s="207"/>
      <c r="L257" s="207"/>
      <c r="M257" s="207"/>
      <c r="N257" s="207"/>
      <c r="O257" s="207"/>
      <c r="P257" s="207"/>
      <c r="Q257" s="207"/>
      <c r="R257" s="207"/>
      <c r="S257" s="207"/>
      <c r="T257" s="207"/>
      <c r="U257" s="207"/>
      <c r="V257" s="207"/>
      <c r="W257" s="208"/>
      <c r="X257" s="208"/>
      <c r="Y257" s="208"/>
      <c r="Z257" s="208"/>
      <c r="AA257" s="208"/>
      <c r="AB257" s="208"/>
      <c r="AC257" s="208"/>
      <c r="AD257" s="208"/>
      <c r="AE257" s="208"/>
      <c r="AF257" s="208"/>
      <c r="AG257" s="208"/>
      <c r="AH257" s="208"/>
      <c r="AI257" s="100"/>
    </row>
    <row r="258" ht="14.25" customHeight="1">
      <c r="A258" s="195"/>
      <c r="B258" s="100"/>
      <c r="C258" s="100"/>
      <c r="D258" s="100"/>
      <c r="E258" s="100"/>
      <c r="F258" s="206"/>
      <c r="G258" s="206"/>
      <c r="H258" s="207"/>
      <c r="I258" s="207"/>
      <c r="J258" s="207"/>
      <c r="K258" s="207"/>
      <c r="L258" s="207"/>
      <c r="M258" s="207"/>
      <c r="N258" s="207"/>
      <c r="O258" s="207"/>
      <c r="P258" s="207"/>
      <c r="Q258" s="207"/>
      <c r="R258" s="207"/>
      <c r="S258" s="207"/>
      <c r="T258" s="207"/>
      <c r="U258" s="207"/>
      <c r="V258" s="207"/>
      <c r="W258" s="208"/>
      <c r="X258" s="208"/>
      <c r="Y258" s="208"/>
      <c r="Z258" s="208"/>
      <c r="AA258" s="208"/>
      <c r="AB258" s="208"/>
      <c r="AC258" s="208"/>
      <c r="AD258" s="208"/>
      <c r="AE258" s="208"/>
      <c r="AF258" s="208"/>
      <c r="AG258" s="208"/>
      <c r="AH258" s="208"/>
      <c r="AI258" s="100"/>
    </row>
    <row r="259" ht="14.25" customHeight="1">
      <c r="A259" s="195"/>
      <c r="B259" s="100"/>
      <c r="C259" s="100"/>
      <c r="D259" s="100"/>
      <c r="E259" s="100"/>
      <c r="F259" s="206"/>
      <c r="G259" s="206"/>
      <c r="H259" s="207"/>
      <c r="I259" s="207"/>
      <c r="J259" s="207"/>
      <c r="K259" s="207"/>
      <c r="L259" s="207"/>
      <c r="M259" s="207"/>
      <c r="N259" s="207"/>
      <c r="O259" s="207"/>
      <c r="P259" s="207"/>
      <c r="Q259" s="207"/>
      <c r="R259" s="207"/>
      <c r="S259" s="207"/>
      <c r="T259" s="207"/>
      <c r="U259" s="207"/>
      <c r="V259" s="207"/>
      <c r="W259" s="208"/>
      <c r="X259" s="208"/>
      <c r="Y259" s="208"/>
      <c r="Z259" s="208"/>
      <c r="AA259" s="208"/>
      <c r="AB259" s="208"/>
      <c r="AC259" s="208"/>
      <c r="AD259" s="208"/>
      <c r="AE259" s="208"/>
      <c r="AF259" s="208"/>
      <c r="AG259" s="208"/>
      <c r="AH259" s="208"/>
      <c r="AI259" s="100"/>
    </row>
    <row r="260" ht="14.25" customHeight="1">
      <c r="A260" s="195"/>
      <c r="B260" s="100"/>
      <c r="C260" s="100"/>
      <c r="D260" s="100"/>
      <c r="E260" s="100"/>
      <c r="F260" s="206"/>
      <c r="G260" s="206"/>
      <c r="H260" s="207"/>
      <c r="I260" s="207"/>
      <c r="J260" s="207"/>
      <c r="K260" s="207"/>
      <c r="L260" s="207"/>
      <c r="M260" s="207"/>
      <c r="N260" s="207"/>
      <c r="O260" s="207"/>
      <c r="P260" s="207"/>
      <c r="Q260" s="207"/>
      <c r="R260" s="207"/>
      <c r="S260" s="207"/>
      <c r="T260" s="207"/>
      <c r="U260" s="207"/>
      <c r="V260" s="207"/>
      <c r="W260" s="208"/>
      <c r="X260" s="208"/>
      <c r="Y260" s="208"/>
      <c r="Z260" s="208"/>
      <c r="AA260" s="208"/>
      <c r="AB260" s="208"/>
      <c r="AC260" s="208"/>
      <c r="AD260" s="208"/>
      <c r="AE260" s="208"/>
      <c r="AF260" s="208"/>
      <c r="AG260" s="208"/>
      <c r="AH260" s="208"/>
      <c r="AI260" s="100"/>
    </row>
    <row r="261" ht="14.25" customHeight="1">
      <c r="A261" s="195"/>
      <c r="B261" s="100"/>
      <c r="C261" s="100"/>
      <c r="D261" s="100"/>
      <c r="E261" s="100"/>
      <c r="F261" s="206"/>
      <c r="G261" s="206"/>
      <c r="H261" s="207"/>
      <c r="I261" s="207"/>
      <c r="J261" s="207"/>
      <c r="K261" s="207"/>
      <c r="L261" s="207"/>
      <c r="M261" s="207"/>
      <c r="N261" s="207"/>
      <c r="O261" s="207"/>
      <c r="P261" s="207"/>
      <c r="Q261" s="207"/>
      <c r="R261" s="207"/>
      <c r="S261" s="207"/>
      <c r="T261" s="207"/>
      <c r="U261" s="207"/>
      <c r="V261" s="207"/>
      <c r="W261" s="208"/>
      <c r="X261" s="208"/>
      <c r="Y261" s="208"/>
      <c r="Z261" s="208"/>
      <c r="AA261" s="208"/>
      <c r="AB261" s="208"/>
      <c r="AC261" s="208"/>
      <c r="AD261" s="208"/>
      <c r="AE261" s="208"/>
      <c r="AF261" s="208"/>
      <c r="AG261" s="208"/>
      <c r="AH261" s="208"/>
      <c r="AI261" s="100"/>
    </row>
    <row r="262" ht="14.25" customHeight="1">
      <c r="A262" s="195"/>
      <c r="B262" s="100"/>
      <c r="C262" s="100"/>
      <c r="D262" s="100"/>
      <c r="E262" s="100"/>
      <c r="F262" s="206"/>
      <c r="G262" s="206"/>
      <c r="H262" s="207"/>
      <c r="I262" s="207"/>
      <c r="J262" s="207"/>
      <c r="K262" s="207"/>
      <c r="L262" s="207"/>
      <c r="M262" s="207"/>
      <c r="N262" s="207"/>
      <c r="O262" s="207"/>
      <c r="P262" s="207"/>
      <c r="Q262" s="207"/>
      <c r="R262" s="207"/>
      <c r="S262" s="207"/>
      <c r="T262" s="207"/>
      <c r="U262" s="207"/>
      <c r="V262" s="207"/>
      <c r="W262" s="208"/>
      <c r="X262" s="208"/>
      <c r="Y262" s="208"/>
      <c r="Z262" s="208"/>
      <c r="AA262" s="208"/>
      <c r="AB262" s="208"/>
      <c r="AC262" s="208"/>
      <c r="AD262" s="208"/>
      <c r="AE262" s="208"/>
      <c r="AF262" s="208"/>
      <c r="AG262" s="208"/>
      <c r="AH262" s="208"/>
      <c r="AI262" s="100"/>
    </row>
    <row r="263" ht="14.25" customHeight="1">
      <c r="A263" s="195"/>
      <c r="B263" s="100"/>
      <c r="C263" s="100"/>
      <c r="D263" s="100"/>
      <c r="E263" s="100"/>
      <c r="F263" s="206"/>
      <c r="G263" s="206"/>
      <c r="H263" s="207"/>
      <c r="I263" s="207"/>
      <c r="J263" s="207"/>
      <c r="K263" s="207"/>
      <c r="L263" s="207"/>
      <c r="M263" s="207"/>
      <c r="N263" s="207"/>
      <c r="O263" s="207"/>
      <c r="P263" s="207"/>
      <c r="Q263" s="207"/>
      <c r="R263" s="207"/>
      <c r="S263" s="207"/>
      <c r="T263" s="207"/>
      <c r="U263" s="207"/>
      <c r="V263" s="207"/>
      <c r="W263" s="208"/>
      <c r="X263" s="208"/>
      <c r="Y263" s="208"/>
      <c r="Z263" s="208"/>
      <c r="AA263" s="208"/>
      <c r="AB263" s="208"/>
      <c r="AC263" s="208"/>
      <c r="AD263" s="208"/>
      <c r="AE263" s="208"/>
      <c r="AF263" s="208"/>
      <c r="AG263" s="208"/>
      <c r="AH263" s="208"/>
      <c r="AI263" s="100"/>
    </row>
    <row r="264" ht="14.25" customHeight="1">
      <c r="A264" s="195"/>
      <c r="B264" s="100"/>
      <c r="C264" s="100"/>
      <c r="D264" s="100"/>
      <c r="E264" s="100"/>
      <c r="F264" s="206"/>
      <c r="G264" s="206"/>
      <c r="H264" s="207"/>
      <c r="I264" s="207"/>
      <c r="J264" s="207"/>
      <c r="K264" s="207"/>
      <c r="L264" s="207"/>
      <c r="M264" s="207"/>
      <c r="N264" s="207"/>
      <c r="O264" s="207"/>
      <c r="P264" s="207"/>
      <c r="Q264" s="207"/>
      <c r="R264" s="207"/>
      <c r="S264" s="207"/>
      <c r="T264" s="207"/>
      <c r="U264" s="207"/>
      <c r="V264" s="207"/>
      <c r="W264" s="208"/>
      <c r="X264" s="208"/>
      <c r="Y264" s="208"/>
      <c r="Z264" s="208"/>
      <c r="AA264" s="208"/>
      <c r="AB264" s="208"/>
      <c r="AC264" s="208"/>
      <c r="AD264" s="208"/>
      <c r="AE264" s="208"/>
      <c r="AF264" s="208"/>
      <c r="AG264" s="208"/>
      <c r="AH264" s="208"/>
      <c r="AI264" s="100"/>
    </row>
    <row r="265" ht="14.25" customHeight="1">
      <c r="A265" s="195"/>
      <c r="B265" s="100"/>
      <c r="C265" s="100"/>
      <c r="D265" s="100"/>
      <c r="E265" s="100"/>
      <c r="F265" s="206"/>
      <c r="G265" s="206"/>
      <c r="H265" s="207"/>
      <c r="I265" s="207"/>
      <c r="J265" s="207"/>
      <c r="K265" s="207"/>
      <c r="L265" s="207"/>
      <c r="M265" s="207"/>
      <c r="N265" s="207"/>
      <c r="O265" s="207"/>
      <c r="P265" s="207"/>
      <c r="Q265" s="207"/>
      <c r="R265" s="207"/>
      <c r="S265" s="207"/>
      <c r="T265" s="207"/>
      <c r="U265" s="207"/>
      <c r="V265" s="207"/>
      <c r="W265" s="208"/>
      <c r="X265" s="208"/>
      <c r="Y265" s="208"/>
      <c r="Z265" s="208"/>
      <c r="AA265" s="208"/>
      <c r="AB265" s="208"/>
      <c r="AC265" s="208"/>
      <c r="AD265" s="208"/>
      <c r="AE265" s="208"/>
      <c r="AF265" s="208"/>
      <c r="AG265" s="208"/>
      <c r="AH265" s="208"/>
      <c r="AI265" s="100"/>
    </row>
    <row r="266" ht="14.25" customHeight="1">
      <c r="A266" s="195"/>
      <c r="B266" s="100"/>
      <c r="C266" s="100"/>
      <c r="D266" s="100"/>
      <c r="E266" s="100"/>
      <c r="F266" s="206"/>
      <c r="G266" s="206"/>
      <c r="H266" s="207"/>
      <c r="I266" s="207"/>
      <c r="J266" s="207"/>
      <c r="K266" s="207"/>
      <c r="L266" s="207"/>
      <c r="M266" s="207"/>
      <c r="N266" s="207"/>
      <c r="O266" s="207"/>
      <c r="P266" s="207"/>
      <c r="Q266" s="207"/>
      <c r="R266" s="207"/>
      <c r="S266" s="207"/>
      <c r="T266" s="207"/>
      <c r="U266" s="207"/>
      <c r="V266" s="207"/>
      <c r="W266" s="208"/>
      <c r="X266" s="208"/>
      <c r="Y266" s="208"/>
      <c r="Z266" s="208"/>
      <c r="AA266" s="208"/>
      <c r="AB266" s="208"/>
      <c r="AC266" s="208"/>
      <c r="AD266" s="208"/>
      <c r="AE266" s="208"/>
      <c r="AF266" s="208"/>
      <c r="AG266" s="208"/>
      <c r="AH266" s="208"/>
      <c r="AI266" s="100"/>
    </row>
    <row r="267" ht="14.25" customHeight="1">
      <c r="A267" s="195"/>
      <c r="B267" s="100"/>
      <c r="C267" s="100"/>
      <c r="D267" s="100"/>
      <c r="E267" s="100"/>
      <c r="F267" s="206"/>
      <c r="G267" s="206"/>
      <c r="H267" s="207"/>
      <c r="I267" s="207"/>
      <c r="J267" s="207"/>
      <c r="K267" s="207"/>
      <c r="L267" s="207"/>
      <c r="M267" s="207"/>
      <c r="N267" s="207"/>
      <c r="O267" s="207"/>
      <c r="P267" s="207"/>
      <c r="Q267" s="207"/>
      <c r="R267" s="207"/>
      <c r="S267" s="207"/>
      <c r="T267" s="207"/>
      <c r="U267" s="207"/>
      <c r="V267" s="207"/>
      <c r="W267" s="208"/>
      <c r="X267" s="208"/>
      <c r="Y267" s="208"/>
      <c r="Z267" s="208"/>
      <c r="AA267" s="208"/>
      <c r="AB267" s="208"/>
      <c r="AC267" s="208"/>
      <c r="AD267" s="208"/>
      <c r="AE267" s="208"/>
      <c r="AF267" s="208"/>
      <c r="AG267" s="208"/>
      <c r="AH267" s="208"/>
      <c r="AI267" s="100"/>
    </row>
    <row r="268" ht="14.25" customHeight="1">
      <c r="A268" s="195"/>
      <c r="B268" s="100"/>
      <c r="C268" s="100"/>
      <c r="D268" s="100"/>
      <c r="E268" s="100"/>
      <c r="F268" s="206"/>
      <c r="G268" s="206"/>
      <c r="H268" s="207"/>
      <c r="I268" s="207"/>
      <c r="J268" s="207"/>
      <c r="K268" s="207"/>
      <c r="L268" s="207"/>
      <c r="M268" s="207"/>
      <c r="N268" s="207"/>
      <c r="O268" s="207"/>
      <c r="P268" s="207"/>
      <c r="Q268" s="207"/>
      <c r="R268" s="207"/>
      <c r="S268" s="207"/>
      <c r="T268" s="207"/>
      <c r="U268" s="207"/>
      <c r="V268" s="207"/>
      <c r="W268" s="208"/>
      <c r="X268" s="208"/>
      <c r="Y268" s="208"/>
      <c r="Z268" s="208"/>
      <c r="AA268" s="208"/>
      <c r="AB268" s="208"/>
      <c r="AC268" s="208"/>
      <c r="AD268" s="208"/>
      <c r="AE268" s="208"/>
      <c r="AF268" s="208"/>
      <c r="AG268" s="208"/>
      <c r="AH268" s="208"/>
      <c r="AI268" s="100"/>
    </row>
    <row r="269" ht="14.25" customHeight="1">
      <c r="A269" s="195"/>
      <c r="B269" s="100"/>
      <c r="C269" s="100"/>
      <c r="D269" s="100"/>
      <c r="E269" s="100"/>
      <c r="F269" s="206"/>
      <c r="G269" s="206"/>
      <c r="H269" s="207"/>
      <c r="I269" s="207"/>
      <c r="J269" s="207"/>
      <c r="K269" s="207"/>
      <c r="L269" s="207"/>
      <c r="M269" s="207"/>
      <c r="N269" s="207"/>
      <c r="O269" s="207"/>
      <c r="P269" s="207"/>
      <c r="Q269" s="207"/>
      <c r="R269" s="207"/>
      <c r="S269" s="207"/>
      <c r="T269" s="207"/>
      <c r="U269" s="207"/>
      <c r="V269" s="207"/>
      <c r="W269" s="208"/>
      <c r="X269" s="208"/>
      <c r="Y269" s="208"/>
      <c r="Z269" s="208"/>
      <c r="AA269" s="208"/>
      <c r="AB269" s="208"/>
      <c r="AC269" s="208"/>
      <c r="AD269" s="208"/>
      <c r="AE269" s="208"/>
      <c r="AF269" s="208"/>
      <c r="AG269" s="208"/>
      <c r="AH269" s="208"/>
      <c r="AI269" s="100"/>
    </row>
    <row r="270" ht="14.25" customHeight="1">
      <c r="A270" s="195"/>
      <c r="B270" s="100"/>
      <c r="C270" s="100"/>
      <c r="D270" s="100"/>
      <c r="E270" s="100"/>
      <c r="F270" s="206"/>
      <c r="G270" s="206"/>
      <c r="H270" s="207"/>
      <c r="I270" s="207"/>
      <c r="J270" s="207"/>
      <c r="K270" s="207"/>
      <c r="L270" s="207"/>
      <c r="M270" s="207"/>
      <c r="N270" s="207"/>
      <c r="O270" s="207"/>
      <c r="P270" s="207"/>
      <c r="Q270" s="207"/>
      <c r="R270" s="207"/>
      <c r="S270" s="207"/>
      <c r="T270" s="207"/>
      <c r="U270" s="207"/>
      <c r="V270" s="207"/>
      <c r="W270" s="208"/>
      <c r="X270" s="208"/>
      <c r="Y270" s="208"/>
      <c r="Z270" s="208"/>
      <c r="AA270" s="208"/>
      <c r="AB270" s="208"/>
      <c r="AC270" s="208"/>
      <c r="AD270" s="208"/>
      <c r="AE270" s="208"/>
      <c r="AF270" s="208"/>
      <c r="AG270" s="208"/>
      <c r="AH270" s="208"/>
      <c r="AI270" s="100"/>
    </row>
    <row r="271" ht="14.25" customHeight="1">
      <c r="A271" s="195"/>
      <c r="B271" s="100"/>
      <c r="C271" s="100"/>
      <c r="D271" s="100"/>
      <c r="E271" s="100"/>
      <c r="F271" s="206"/>
      <c r="G271" s="206"/>
      <c r="H271" s="207"/>
      <c r="I271" s="207"/>
      <c r="J271" s="207"/>
      <c r="K271" s="207"/>
      <c r="L271" s="207"/>
      <c r="M271" s="207"/>
      <c r="N271" s="207"/>
      <c r="O271" s="207"/>
      <c r="P271" s="207"/>
      <c r="Q271" s="207"/>
      <c r="R271" s="207"/>
      <c r="S271" s="207"/>
      <c r="T271" s="207"/>
      <c r="U271" s="207"/>
      <c r="V271" s="207"/>
      <c r="W271" s="208"/>
      <c r="X271" s="208"/>
      <c r="Y271" s="208"/>
      <c r="Z271" s="208"/>
      <c r="AA271" s="208"/>
      <c r="AB271" s="208"/>
      <c r="AC271" s="208"/>
      <c r="AD271" s="208"/>
      <c r="AE271" s="208"/>
      <c r="AF271" s="208"/>
      <c r="AG271" s="208"/>
      <c r="AH271" s="208"/>
      <c r="AI271" s="100"/>
    </row>
    <row r="272" ht="14.25" customHeight="1">
      <c r="A272" s="195"/>
      <c r="B272" s="100"/>
      <c r="C272" s="100"/>
      <c r="D272" s="100"/>
      <c r="E272" s="100"/>
      <c r="F272" s="206"/>
      <c r="G272" s="206"/>
      <c r="H272" s="207"/>
      <c r="I272" s="207"/>
      <c r="J272" s="207"/>
      <c r="K272" s="207"/>
      <c r="L272" s="207"/>
      <c r="M272" s="207"/>
      <c r="N272" s="207"/>
      <c r="O272" s="207"/>
      <c r="P272" s="207"/>
      <c r="Q272" s="207"/>
      <c r="R272" s="207"/>
      <c r="S272" s="207"/>
      <c r="T272" s="207"/>
      <c r="U272" s="207"/>
      <c r="V272" s="207"/>
      <c r="W272" s="208"/>
      <c r="X272" s="208"/>
      <c r="Y272" s="208"/>
      <c r="Z272" s="208"/>
      <c r="AA272" s="208"/>
      <c r="AB272" s="208"/>
      <c r="AC272" s="208"/>
      <c r="AD272" s="208"/>
      <c r="AE272" s="208"/>
      <c r="AF272" s="208"/>
      <c r="AG272" s="208"/>
      <c r="AH272" s="208"/>
      <c r="AI272" s="100"/>
    </row>
    <row r="273" ht="14.25" customHeight="1">
      <c r="A273" s="195"/>
      <c r="B273" s="100"/>
      <c r="C273" s="100"/>
      <c r="D273" s="100"/>
      <c r="E273" s="100"/>
      <c r="F273" s="206"/>
      <c r="G273" s="206"/>
      <c r="H273" s="207"/>
      <c r="I273" s="207"/>
      <c r="J273" s="207"/>
      <c r="K273" s="207"/>
      <c r="L273" s="207"/>
      <c r="M273" s="207"/>
      <c r="N273" s="207"/>
      <c r="O273" s="207"/>
      <c r="P273" s="207"/>
      <c r="Q273" s="207"/>
      <c r="R273" s="207"/>
      <c r="S273" s="207"/>
      <c r="T273" s="207"/>
      <c r="U273" s="207"/>
      <c r="V273" s="207"/>
      <c r="W273" s="208"/>
      <c r="X273" s="208"/>
      <c r="Y273" s="208"/>
      <c r="Z273" s="208"/>
      <c r="AA273" s="208"/>
      <c r="AB273" s="208"/>
      <c r="AC273" s="208"/>
      <c r="AD273" s="208"/>
      <c r="AE273" s="208"/>
      <c r="AF273" s="208"/>
      <c r="AG273" s="208"/>
      <c r="AH273" s="208"/>
      <c r="AI273" s="100"/>
    </row>
    <row r="274" ht="14.25" customHeight="1">
      <c r="A274" s="195"/>
      <c r="B274" s="100"/>
      <c r="C274" s="100"/>
      <c r="D274" s="100"/>
      <c r="E274" s="100"/>
      <c r="F274" s="206"/>
      <c r="G274" s="206"/>
      <c r="H274" s="207"/>
      <c r="I274" s="207"/>
      <c r="J274" s="207"/>
      <c r="K274" s="207"/>
      <c r="L274" s="207"/>
      <c r="M274" s="207"/>
      <c r="N274" s="207"/>
      <c r="O274" s="207"/>
      <c r="P274" s="207"/>
      <c r="Q274" s="207"/>
      <c r="R274" s="207"/>
      <c r="S274" s="207"/>
      <c r="T274" s="207"/>
      <c r="U274" s="207"/>
      <c r="V274" s="207"/>
      <c r="W274" s="208"/>
      <c r="X274" s="208"/>
      <c r="Y274" s="208"/>
      <c r="Z274" s="208"/>
      <c r="AA274" s="208"/>
      <c r="AB274" s="208"/>
      <c r="AC274" s="208"/>
      <c r="AD274" s="208"/>
      <c r="AE274" s="208"/>
      <c r="AF274" s="208"/>
      <c r="AG274" s="208"/>
      <c r="AH274" s="208"/>
      <c r="AI274" s="100"/>
    </row>
    <row r="275" ht="14.25" customHeight="1">
      <c r="A275" s="195"/>
      <c r="B275" s="100"/>
      <c r="C275" s="100"/>
      <c r="D275" s="100"/>
      <c r="E275" s="100"/>
      <c r="F275" s="206"/>
      <c r="G275" s="206"/>
      <c r="H275" s="207"/>
      <c r="I275" s="207"/>
      <c r="J275" s="207"/>
      <c r="K275" s="207"/>
      <c r="L275" s="207"/>
      <c r="M275" s="207"/>
      <c r="N275" s="207"/>
      <c r="O275" s="207"/>
      <c r="P275" s="207"/>
      <c r="Q275" s="207"/>
      <c r="R275" s="207"/>
      <c r="S275" s="207"/>
      <c r="T275" s="207"/>
      <c r="U275" s="207"/>
      <c r="V275" s="207"/>
      <c r="W275" s="208"/>
      <c r="X275" s="208"/>
      <c r="Y275" s="208"/>
      <c r="Z275" s="208"/>
      <c r="AA275" s="208"/>
      <c r="AB275" s="208"/>
      <c r="AC275" s="208"/>
      <c r="AD275" s="208"/>
      <c r="AE275" s="208"/>
      <c r="AF275" s="208"/>
      <c r="AG275" s="208"/>
      <c r="AH275" s="208"/>
      <c r="AI275" s="100"/>
    </row>
    <row r="276" ht="14.25" customHeight="1">
      <c r="A276" s="195"/>
      <c r="B276" s="100"/>
      <c r="C276" s="100"/>
      <c r="D276" s="100"/>
      <c r="E276" s="100"/>
      <c r="F276" s="206"/>
      <c r="G276" s="206"/>
      <c r="H276" s="207"/>
      <c r="I276" s="207"/>
      <c r="J276" s="207"/>
      <c r="K276" s="207"/>
      <c r="L276" s="207"/>
      <c r="M276" s="207"/>
      <c r="N276" s="207"/>
      <c r="O276" s="207"/>
      <c r="P276" s="207"/>
      <c r="Q276" s="207"/>
      <c r="R276" s="207"/>
      <c r="S276" s="207"/>
      <c r="T276" s="207"/>
      <c r="U276" s="207"/>
      <c r="V276" s="207"/>
      <c r="W276" s="208"/>
      <c r="X276" s="208"/>
      <c r="Y276" s="208"/>
      <c r="Z276" s="208"/>
      <c r="AA276" s="208"/>
      <c r="AB276" s="208"/>
      <c r="AC276" s="208"/>
      <c r="AD276" s="208"/>
      <c r="AE276" s="208"/>
      <c r="AF276" s="208"/>
      <c r="AG276" s="208"/>
      <c r="AH276" s="208"/>
      <c r="AI276" s="100"/>
    </row>
    <row r="277" ht="14.25" customHeight="1">
      <c r="A277" s="195"/>
      <c r="B277" s="100"/>
      <c r="C277" s="100"/>
      <c r="D277" s="100"/>
      <c r="E277" s="100"/>
      <c r="F277" s="206"/>
      <c r="G277" s="206"/>
      <c r="H277" s="207"/>
      <c r="I277" s="207"/>
      <c r="J277" s="207"/>
      <c r="K277" s="207"/>
      <c r="L277" s="207"/>
      <c r="M277" s="207"/>
      <c r="N277" s="207"/>
      <c r="O277" s="207"/>
      <c r="P277" s="207"/>
      <c r="Q277" s="207"/>
      <c r="R277" s="207"/>
      <c r="S277" s="207"/>
      <c r="T277" s="207"/>
      <c r="U277" s="207"/>
      <c r="V277" s="207"/>
      <c r="W277" s="208"/>
      <c r="X277" s="208"/>
      <c r="Y277" s="208"/>
      <c r="Z277" s="208"/>
      <c r="AA277" s="208"/>
      <c r="AB277" s="208"/>
      <c r="AC277" s="208"/>
      <c r="AD277" s="208"/>
      <c r="AE277" s="208"/>
      <c r="AF277" s="208"/>
      <c r="AG277" s="208"/>
      <c r="AH277" s="208"/>
      <c r="AI277" s="100"/>
    </row>
    <row r="278" ht="14.25" customHeight="1">
      <c r="A278" s="195"/>
      <c r="B278" s="100"/>
      <c r="C278" s="100"/>
      <c r="D278" s="100"/>
      <c r="E278" s="100"/>
      <c r="F278" s="206"/>
      <c r="G278" s="206"/>
      <c r="H278" s="207"/>
      <c r="I278" s="207"/>
      <c r="J278" s="207"/>
      <c r="K278" s="207"/>
      <c r="L278" s="207"/>
      <c r="M278" s="207"/>
      <c r="N278" s="207"/>
      <c r="O278" s="207"/>
      <c r="P278" s="207"/>
      <c r="Q278" s="207"/>
      <c r="R278" s="207"/>
      <c r="S278" s="207"/>
      <c r="T278" s="207"/>
      <c r="U278" s="207"/>
      <c r="V278" s="207"/>
      <c r="W278" s="208"/>
      <c r="X278" s="208"/>
      <c r="Y278" s="208"/>
      <c r="Z278" s="208"/>
      <c r="AA278" s="208"/>
      <c r="AB278" s="208"/>
      <c r="AC278" s="208"/>
      <c r="AD278" s="208"/>
      <c r="AE278" s="208"/>
      <c r="AF278" s="208"/>
      <c r="AG278" s="208"/>
      <c r="AH278" s="208"/>
      <c r="AI278" s="100"/>
    </row>
    <row r="279" ht="14.25" customHeight="1">
      <c r="A279" s="195"/>
      <c r="B279" s="100"/>
      <c r="C279" s="100"/>
      <c r="D279" s="100"/>
      <c r="E279" s="100"/>
      <c r="F279" s="206"/>
      <c r="G279" s="206"/>
      <c r="H279" s="207"/>
      <c r="I279" s="207"/>
      <c r="J279" s="207"/>
      <c r="K279" s="207"/>
      <c r="L279" s="207"/>
      <c r="M279" s="207"/>
      <c r="N279" s="207"/>
      <c r="O279" s="207"/>
      <c r="P279" s="207"/>
      <c r="Q279" s="207"/>
      <c r="R279" s="207"/>
      <c r="S279" s="207"/>
      <c r="T279" s="207"/>
      <c r="U279" s="207"/>
      <c r="V279" s="207"/>
      <c r="W279" s="208"/>
      <c r="X279" s="208"/>
      <c r="Y279" s="208"/>
      <c r="Z279" s="208"/>
      <c r="AA279" s="208"/>
      <c r="AB279" s="208"/>
      <c r="AC279" s="208"/>
      <c r="AD279" s="208"/>
      <c r="AE279" s="208"/>
      <c r="AF279" s="208"/>
      <c r="AG279" s="208"/>
      <c r="AH279" s="208"/>
      <c r="AI279" s="100"/>
    </row>
    <row r="280" ht="14.25" customHeight="1">
      <c r="A280" s="195"/>
      <c r="B280" s="100"/>
      <c r="C280" s="100"/>
      <c r="D280" s="100"/>
      <c r="E280" s="100"/>
      <c r="F280" s="206"/>
      <c r="G280" s="206"/>
      <c r="H280" s="207"/>
      <c r="I280" s="207"/>
      <c r="J280" s="207"/>
      <c r="K280" s="207"/>
      <c r="L280" s="207"/>
      <c r="M280" s="207"/>
      <c r="N280" s="207"/>
      <c r="O280" s="207"/>
      <c r="P280" s="207"/>
      <c r="Q280" s="207"/>
      <c r="R280" s="207"/>
      <c r="S280" s="207"/>
      <c r="T280" s="207"/>
      <c r="U280" s="207"/>
      <c r="V280" s="207"/>
      <c r="W280" s="208"/>
      <c r="X280" s="208"/>
      <c r="Y280" s="208"/>
      <c r="Z280" s="208"/>
      <c r="AA280" s="208"/>
      <c r="AB280" s="208"/>
      <c r="AC280" s="208"/>
      <c r="AD280" s="208"/>
      <c r="AE280" s="208"/>
      <c r="AF280" s="208"/>
      <c r="AG280" s="208"/>
      <c r="AH280" s="208"/>
      <c r="AI280" s="100"/>
    </row>
    <row r="281" ht="14.25" customHeight="1">
      <c r="A281" s="195"/>
      <c r="B281" s="100"/>
      <c r="C281" s="100"/>
      <c r="D281" s="100"/>
      <c r="E281" s="100"/>
      <c r="F281" s="206"/>
      <c r="G281" s="206"/>
      <c r="H281" s="207"/>
      <c r="I281" s="207"/>
      <c r="J281" s="207"/>
      <c r="K281" s="207"/>
      <c r="L281" s="207"/>
      <c r="M281" s="207"/>
      <c r="N281" s="207"/>
      <c r="O281" s="207"/>
      <c r="P281" s="207"/>
      <c r="Q281" s="207"/>
      <c r="R281" s="207"/>
      <c r="S281" s="207"/>
      <c r="T281" s="207"/>
      <c r="U281" s="207"/>
      <c r="V281" s="207"/>
      <c r="W281" s="208"/>
      <c r="X281" s="208"/>
      <c r="Y281" s="208"/>
      <c r="Z281" s="208"/>
      <c r="AA281" s="208"/>
      <c r="AB281" s="208"/>
      <c r="AC281" s="208"/>
      <c r="AD281" s="208"/>
      <c r="AE281" s="208"/>
      <c r="AF281" s="208"/>
      <c r="AG281" s="208"/>
      <c r="AH281" s="208"/>
      <c r="AI281" s="100"/>
    </row>
    <row r="282" ht="14.25" customHeight="1">
      <c r="A282" s="195"/>
      <c r="B282" s="100"/>
      <c r="C282" s="100"/>
      <c r="D282" s="100"/>
      <c r="E282" s="100"/>
      <c r="F282" s="206"/>
      <c r="G282" s="206"/>
      <c r="H282" s="207"/>
      <c r="I282" s="207"/>
      <c r="J282" s="207"/>
      <c r="K282" s="207"/>
      <c r="L282" s="207"/>
      <c r="M282" s="207"/>
      <c r="N282" s="207"/>
      <c r="O282" s="207"/>
      <c r="P282" s="207"/>
      <c r="Q282" s="207"/>
      <c r="R282" s="207"/>
      <c r="S282" s="207"/>
      <c r="T282" s="207"/>
      <c r="U282" s="207"/>
      <c r="V282" s="207"/>
      <c r="W282" s="208"/>
      <c r="X282" s="208"/>
      <c r="Y282" s="208"/>
      <c r="Z282" s="208"/>
      <c r="AA282" s="208"/>
      <c r="AB282" s="208"/>
      <c r="AC282" s="208"/>
      <c r="AD282" s="208"/>
      <c r="AE282" s="208"/>
      <c r="AF282" s="208"/>
      <c r="AG282" s="208"/>
      <c r="AH282" s="208"/>
      <c r="AI282" s="100"/>
    </row>
    <row r="283" ht="14.25" customHeight="1">
      <c r="A283" s="195"/>
      <c r="B283" s="100"/>
      <c r="C283" s="100"/>
      <c r="D283" s="100"/>
      <c r="E283" s="100"/>
      <c r="F283" s="206"/>
      <c r="G283" s="206"/>
      <c r="H283" s="207"/>
      <c r="I283" s="207"/>
      <c r="J283" s="207"/>
      <c r="K283" s="207"/>
      <c r="L283" s="207"/>
      <c r="M283" s="207"/>
      <c r="N283" s="207"/>
      <c r="O283" s="207"/>
      <c r="P283" s="207"/>
      <c r="Q283" s="207"/>
      <c r="R283" s="207"/>
      <c r="S283" s="207"/>
      <c r="T283" s="207"/>
      <c r="U283" s="207"/>
      <c r="V283" s="207"/>
      <c r="W283" s="208"/>
      <c r="X283" s="208"/>
      <c r="Y283" s="208"/>
      <c r="Z283" s="208"/>
      <c r="AA283" s="208"/>
      <c r="AB283" s="208"/>
      <c r="AC283" s="208"/>
      <c r="AD283" s="208"/>
      <c r="AE283" s="208"/>
      <c r="AF283" s="208"/>
      <c r="AG283" s="208"/>
      <c r="AH283" s="208"/>
      <c r="AI283" s="100"/>
    </row>
    <row r="284" ht="14.25" customHeight="1">
      <c r="A284" s="195"/>
      <c r="B284" s="100"/>
      <c r="C284" s="100"/>
      <c r="D284" s="100"/>
      <c r="E284" s="100"/>
      <c r="F284" s="206"/>
      <c r="G284" s="206"/>
      <c r="H284" s="207"/>
      <c r="I284" s="207"/>
      <c r="J284" s="207"/>
      <c r="K284" s="207"/>
      <c r="L284" s="207"/>
      <c r="M284" s="207"/>
      <c r="N284" s="207"/>
      <c r="O284" s="207"/>
      <c r="P284" s="207"/>
      <c r="Q284" s="207"/>
      <c r="R284" s="207"/>
      <c r="S284" s="207"/>
      <c r="T284" s="207"/>
      <c r="U284" s="207"/>
      <c r="V284" s="207"/>
      <c r="W284" s="208"/>
      <c r="X284" s="208"/>
      <c r="Y284" s="208"/>
      <c r="Z284" s="208"/>
      <c r="AA284" s="208"/>
      <c r="AB284" s="208"/>
      <c r="AC284" s="208"/>
      <c r="AD284" s="208"/>
      <c r="AE284" s="208"/>
      <c r="AF284" s="208"/>
      <c r="AG284" s="208"/>
      <c r="AH284" s="208"/>
      <c r="AI284" s="100"/>
    </row>
    <row r="285" ht="14.25" customHeight="1">
      <c r="A285" s="195"/>
      <c r="B285" s="100"/>
      <c r="C285" s="100"/>
      <c r="D285" s="100"/>
      <c r="E285" s="100"/>
      <c r="F285" s="206"/>
      <c r="G285" s="206"/>
      <c r="H285" s="207"/>
      <c r="I285" s="207"/>
      <c r="J285" s="207"/>
      <c r="K285" s="207"/>
      <c r="L285" s="207"/>
      <c r="M285" s="207"/>
      <c r="N285" s="207"/>
      <c r="O285" s="207"/>
      <c r="P285" s="207"/>
      <c r="Q285" s="207"/>
      <c r="R285" s="207"/>
      <c r="S285" s="207"/>
      <c r="T285" s="207"/>
      <c r="U285" s="207"/>
      <c r="V285" s="207"/>
      <c r="W285" s="208"/>
      <c r="X285" s="208"/>
      <c r="Y285" s="208"/>
      <c r="Z285" s="208"/>
      <c r="AA285" s="208"/>
      <c r="AB285" s="208"/>
      <c r="AC285" s="208"/>
      <c r="AD285" s="208"/>
      <c r="AE285" s="208"/>
      <c r="AF285" s="208"/>
      <c r="AG285" s="208"/>
      <c r="AH285" s="208"/>
      <c r="AI285" s="100"/>
    </row>
    <row r="286" ht="14.25" customHeight="1">
      <c r="A286" s="195"/>
      <c r="B286" s="100"/>
      <c r="C286" s="100"/>
      <c r="D286" s="100"/>
      <c r="E286" s="100"/>
      <c r="F286" s="206"/>
      <c r="G286" s="206"/>
      <c r="H286" s="207"/>
      <c r="I286" s="207"/>
      <c r="J286" s="207"/>
      <c r="K286" s="207"/>
      <c r="L286" s="207"/>
      <c r="M286" s="207"/>
      <c r="N286" s="207"/>
      <c r="O286" s="207"/>
      <c r="P286" s="207"/>
      <c r="Q286" s="207"/>
      <c r="R286" s="207"/>
      <c r="S286" s="207"/>
      <c r="T286" s="207"/>
      <c r="U286" s="207"/>
      <c r="V286" s="207"/>
      <c r="W286" s="208"/>
      <c r="X286" s="208"/>
      <c r="Y286" s="208"/>
      <c r="Z286" s="208"/>
      <c r="AA286" s="208"/>
      <c r="AB286" s="208"/>
      <c r="AC286" s="208"/>
      <c r="AD286" s="208"/>
      <c r="AE286" s="208"/>
      <c r="AF286" s="208"/>
      <c r="AG286" s="208"/>
      <c r="AH286" s="208"/>
      <c r="AI286" s="100"/>
    </row>
    <row r="287" ht="14.25" customHeight="1">
      <c r="A287" s="195"/>
      <c r="B287" s="100"/>
      <c r="C287" s="100"/>
      <c r="D287" s="100"/>
      <c r="E287" s="100"/>
      <c r="F287" s="206"/>
      <c r="G287" s="206"/>
      <c r="H287" s="207"/>
      <c r="I287" s="207"/>
      <c r="J287" s="207"/>
      <c r="K287" s="207"/>
      <c r="L287" s="207"/>
      <c r="M287" s="207"/>
      <c r="N287" s="207"/>
      <c r="O287" s="207"/>
      <c r="P287" s="207"/>
      <c r="Q287" s="207"/>
      <c r="R287" s="207"/>
      <c r="S287" s="207"/>
      <c r="T287" s="207"/>
      <c r="U287" s="207"/>
      <c r="V287" s="207"/>
      <c r="W287" s="208"/>
      <c r="X287" s="208"/>
      <c r="Y287" s="208"/>
      <c r="Z287" s="208"/>
      <c r="AA287" s="208"/>
      <c r="AB287" s="208"/>
      <c r="AC287" s="208"/>
      <c r="AD287" s="208"/>
      <c r="AE287" s="208"/>
      <c r="AF287" s="208"/>
      <c r="AG287" s="208"/>
      <c r="AH287" s="208"/>
      <c r="AI287" s="100"/>
    </row>
    <row r="288" ht="14.25" customHeight="1">
      <c r="A288" s="195"/>
      <c r="B288" s="100"/>
      <c r="C288" s="100"/>
      <c r="D288" s="100"/>
      <c r="E288" s="100"/>
      <c r="F288" s="206"/>
      <c r="G288" s="206"/>
      <c r="H288" s="207"/>
      <c r="I288" s="207"/>
      <c r="J288" s="207"/>
      <c r="K288" s="207"/>
      <c r="L288" s="207"/>
      <c r="M288" s="207"/>
      <c r="N288" s="207"/>
      <c r="O288" s="207"/>
      <c r="P288" s="207"/>
      <c r="Q288" s="207"/>
      <c r="R288" s="207"/>
      <c r="S288" s="207"/>
      <c r="T288" s="207"/>
      <c r="U288" s="207"/>
      <c r="V288" s="207"/>
      <c r="W288" s="208"/>
      <c r="X288" s="208"/>
      <c r="Y288" s="208"/>
      <c r="Z288" s="208"/>
      <c r="AA288" s="208"/>
      <c r="AB288" s="208"/>
      <c r="AC288" s="208"/>
      <c r="AD288" s="208"/>
      <c r="AE288" s="208"/>
      <c r="AF288" s="208"/>
      <c r="AG288" s="208"/>
      <c r="AH288" s="208"/>
      <c r="AI288" s="100"/>
    </row>
    <row r="289" ht="14.25" customHeight="1">
      <c r="A289" s="195"/>
      <c r="B289" s="100"/>
      <c r="C289" s="100"/>
      <c r="D289" s="100"/>
      <c r="E289" s="100"/>
      <c r="F289" s="206"/>
      <c r="G289" s="206"/>
      <c r="H289" s="207"/>
      <c r="I289" s="207"/>
      <c r="J289" s="207"/>
      <c r="K289" s="207"/>
      <c r="L289" s="207"/>
      <c r="M289" s="207"/>
      <c r="N289" s="207"/>
      <c r="O289" s="207"/>
      <c r="P289" s="207"/>
      <c r="Q289" s="207"/>
      <c r="R289" s="207"/>
      <c r="S289" s="207"/>
      <c r="T289" s="207"/>
      <c r="U289" s="207"/>
      <c r="V289" s="207"/>
      <c r="W289" s="208"/>
      <c r="X289" s="208"/>
      <c r="Y289" s="208"/>
      <c r="Z289" s="208"/>
      <c r="AA289" s="208"/>
      <c r="AB289" s="208"/>
      <c r="AC289" s="208"/>
      <c r="AD289" s="208"/>
      <c r="AE289" s="208"/>
      <c r="AF289" s="208"/>
      <c r="AG289" s="208"/>
      <c r="AH289" s="208"/>
      <c r="AI289" s="100"/>
    </row>
    <row r="290" ht="14.25" customHeight="1">
      <c r="A290" s="195"/>
      <c r="B290" s="100"/>
      <c r="C290" s="100"/>
      <c r="D290" s="100"/>
      <c r="E290" s="100"/>
      <c r="F290" s="206"/>
      <c r="G290" s="206"/>
      <c r="H290" s="207"/>
      <c r="I290" s="207"/>
      <c r="J290" s="207"/>
      <c r="K290" s="207"/>
      <c r="L290" s="207"/>
      <c r="M290" s="207"/>
      <c r="N290" s="207"/>
      <c r="O290" s="207"/>
      <c r="P290" s="207"/>
      <c r="Q290" s="207"/>
      <c r="R290" s="207"/>
      <c r="S290" s="207"/>
      <c r="T290" s="207"/>
      <c r="U290" s="207"/>
      <c r="V290" s="207"/>
      <c r="W290" s="208"/>
      <c r="X290" s="208"/>
      <c r="Y290" s="208"/>
      <c r="Z290" s="208"/>
      <c r="AA290" s="208"/>
      <c r="AB290" s="208"/>
      <c r="AC290" s="208"/>
      <c r="AD290" s="208"/>
      <c r="AE290" s="208"/>
      <c r="AF290" s="208"/>
      <c r="AG290" s="208"/>
      <c r="AH290" s="208"/>
      <c r="AI290" s="100"/>
    </row>
    <row r="291" ht="14.25" customHeight="1">
      <c r="A291" s="195"/>
      <c r="B291" s="100"/>
      <c r="C291" s="100"/>
      <c r="D291" s="100"/>
      <c r="E291" s="100"/>
      <c r="F291" s="206"/>
      <c r="G291" s="206"/>
      <c r="H291" s="207"/>
      <c r="I291" s="207"/>
      <c r="J291" s="207"/>
      <c r="K291" s="207"/>
      <c r="L291" s="207"/>
      <c r="M291" s="207"/>
      <c r="N291" s="207"/>
      <c r="O291" s="207"/>
      <c r="P291" s="207"/>
      <c r="Q291" s="207"/>
      <c r="R291" s="207"/>
      <c r="S291" s="207"/>
      <c r="T291" s="207"/>
      <c r="U291" s="207"/>
      <c r="V291" s="207"/>
      <c r="W291" s="208"/>
      <c r="X291" s="208"/>
      <c r="Y291" s="208"/>
      <c r="Z291" s="208"/>
      <c r="AA291" s="208"/>
      <c r="AB291" s="208"/>
      <c r="AC291" s="208"/>
      <c r="AD291" s="208"/>
      <c r="AE291" s="208"/>
      <c r="AF291" s="208"/>
      <c r="AG291" s="208"/>
      <c r="AH291" s="208"/>
      <c r="AI291" s="100"/>
    </row>
    <row r="292" ht="14.25" customHeight="1">
      <c r="A292" s="195"/>
      <c r="B292" s="100"/>
      <c r="C292" s="100"/>
      <c r="D292" s="100"/>
      <c r="E292" s="100"/>
      <c r="F292" s="206"/>
      <c r="G292" s="206"/>
      <c r="H292" s="207"/>
      <c r="I292" s="207"/>
      <c r="J292" s="207"/>
      <c r="K292" s="207"/>
      <c r="L292" s="207"/>
      <c r="M292" s="207"/>
      <c r="N292" s="207"/>
      <c r="O292" s="207"/>
      <c r="P292" s="207"/>
      <c r="Q292" s="207"/>
      <c r="R292" s="207"/>
      <c r="S292" s="207"/>
      <c r="T292" s="207"/>
      <c r="U292" s="207"/>
      <c r="V292" s="207"/>
      <c r="W292" s="208"/>
      <c r="X292" s="208"/>
      <c r="Y292" s="208"/>
      <c r="Z292" s="208"/>
      <c r="AA292" s="208"/>
      <c r="AB292" s="208"/>
      <c r="AC292" s="208"/>
      <c r="AD292" s="208"/>
      <c r="AE292" s="208"/>
      <c r="AF292" s="208"/>
      <c r="AG292" s="208"/>
      <c r="AH292" s="208"/>
      <c r="AI292" s="100"/>
    </row>
    <row r="293" ht="14.25" customHeight="1">
      <c r="A293" s="195"/>
      <c r="B293" s="100"/>
      <c r="C293" s="100"/>
      <c r="D293" s="100"/>
      <c r="E293" s="100"/>
      <c r="F293" s="206"/>
      <c r="G293" s="206"/>
      <c r="H293" s="207"/>
      <c r="I293" s="207"/>
      <c r="J293" s="207"/>
      <c r="K293" s="207"/>
      <c r="L293" s="207"/>
      <c r="M293" s="207"/>
      <c r="N293" s="207"/>
      <c r="O293" s="207"/>
      <c r="P293" s="207"/>
      <c r="Q293" s="207"/>
      <c r="R293" s="207"/>
      <c r="S293" s="207"/>
      <c r="T293" s="207"/>
      <c r="U293" s="207"/>
      <c r="V293" s="207"/>
      <c r="W293" s="208"/>
      <c r="X293" s="208"/>
      <c r="Y293" s="208"/>
      <c r="Z293" s="208"/>
      <c r="AA293" s="208"/>
      <c r="AB293" s="208"/>
      <c r="AC293" s="208"/>
      <c r="AD293" s="208"/>
      <c r="AE293" s="208"/>
      <c r="AF293" s="208"/>
      <c r="AG293" s="208"/>
      <c r="AH293" s="208"/>
      <c r="AI293" s="100"/>
    </row>
    <row r="294" ht="14.25" customHeight="1">
      <c r="A294" s="195"/>
      <c r="B294" s="100"/>
      <c r="C294" s="100"/>
      <c r="D294" s="100"/>
      <c r="E294" s="100"/>
      <c r="F294" s="206"/>
      <c r="G294" s="206"/>
      <c r="H294" s="207"/>
      <c r="I294" s="207"/>
      <c r="J294" s="207"/>
      <c r="K294" s="207"/>
      <c r="L294" s="207"/>
      <c r="M294" s="207"/>
      <c r="N294" s="207"/>
      <c r="O294" s="207"/>
      <c r="P294" s="207"/>
      <c r="Q294" s="207"/>
      <c r="R294" s="207"/>
      <c r="S294" s="207"/>
      <c r="T294" s="207"/>
      <c r="U294" s="207"/>
      <c r="V294" s="207"/>
      <c r="W294" s="208"/>
      <c r="X294" s="208"/>
      <c r="Y294" s="208"/>
      <c r="Z294" s="208"/>
      <c r="AA294" s="208"/>
      <c r="AB294" s="208"/>
      <c r="AC294" s="208"/>
      <c r="AD294" s="208"/>
      <c r="AE294" s="208"/>
      <c r="AF294" s="208"/>
      <c r="AG294" s="208"/>
      <c r="AH294" s="208"/>
      <c r="AI294" s="100"/>
    </row>
    <row r="295" ht="14.25" customHeight="1">
      <c r="A295" s="195"/>
      <c r="B295" s="100"/>
      <c r="C295" s="100"/>
      <c r="D295" s="100"/>
      <c r="E295" s="100"/>
      <c r="F295" s="206"/>
      <c r="G295" s="206"/>
      <c r="H295" s="207"/>
      <c r="I295" s="207"/>
      <c r="J295" s="207"/>
      <c r="K295" s="207"/>
      <c r="L295" s="207"/>
      <c r="M295" s="207"/>
      <c r="N295" s="207"/>
      <c r="O295" s="207"/>
      <c r="P295" s="207"/>
      <c r="Q295" s="207"/>
      <c r="R295" s="207"/>
      <c r="S295" s="207"/>
      <c r="T295" s="207"/>
      <c r="U295" s="207"/>
      <c r="V295" s="207"/>
      <c r="W295" s="208"/>
      <c r="X295" s="208"/>
      <c r="Y295" s="208"/>
      <c r="Z295" s="208"/>
      <c r="AA295" s="208"/>
      <c r="AB295" s="208"/>
      <c r="AC295" s="208"/>
      <c r="AD295" s="208"/>
      <c r="AE295" s="208"/>
      <c r="AF295" s="208"/>
      <c r="AG295" s="208"/>
      <c r="AH295" s="208"/>
      <c r="AI295" s="100"/>
    </row>
    <row r="296" ht="14.25" customHeight="1">
      <c r="A296" s="195"/>
      <c r="B296" s="100"/>
      <c r="C296" s="100"/>
      <c r="D296" s="100"/>
      <c r="E296" s="100"/>
      <c r="F296" s="206"/>
      <c r="G296" s="206"/>
      <c r="H296" s="207"/>
      <c r="I296" s="207"/>
      <c r="J296" s="207"/>
      <c r="K296" s="207"/>
      <c r="L296" s="207"/>
      <c r="M296" s="207"/>
      <c r="N296" s="207"/>
      <c r="O296" s="207"/>
      <c r="P296" s="207"/>
      <c r="Q296" s="207"/>
      <c r="R296" s="207"/>
      <c r="S296" s="207"/>
      <c r="T296" s="207"/>
      <c r="U296" s="207"/>
      <c r="V296" s="207"/>
      <c r="W296" s="208"/>
      <c r="X296" s="208"/>
      <c r="Y296" s="208"/>
      <c r="Z296" s="208"/>
      <c r="AA296" s="208"/>
      <c r="AB296" s="208"/>
      <c r="AC296" s="208"/>
      <c r="AD296" s="208"/>
      <c r="AE296" s="208"/>
      <c r="AF296" s="208"/>
      <c r="AG296" s="208"/>
      <c r="AH296" s="208"/>
      <c r="AI296" s="100"/>
    </row>
    <row r="297" ht="14.25" customHeight="1">
      <c r="A297" s="195"/>
      <c r="B297" s="100"/>
      <c r="C297" s="100"/>
      <c r="D297" s="100"/>
      <c r="E297" s="100"/>
      <c r="F297" s="206"/>
      <c r="G297" s="206"/>
      <c r="H297" s="207"/>
      <c r="I297" s="207"/>
      <c r="J297" s="207"/>
      <c r="K297" s="207"/>
      <c r="L297" s="207"/>
      <c r="M297" s="207"/>
      <c r="N297" s="207"/>
      <c r="O297" s="207"/>
      <c r="P297" s="207"/>
      <c r="Q297" s="207"/>
      <c r="R297" s="207"/>
      <c r="S297" s="207"/>
      <c r="T297" s="207"/>
      <c r="U297" s="207"/>
      <c r="V297" s="207"/>
      <c r="W297" s="208"/>
      <c r="X297" s="208"/>
      <c r="Y297" s="208"/>
      <c r="Z297" s="208"/>
      <c r="AA297" s="208"/>
      <c r="AB297" s="208"/>
      <c r="AC297" s="208"/>
      <c r="AD297" s="208"/>
      <c r="AE297" s="208"/>
      <c r="AF297" s="208"/>
      <c r="AG297" s="208"/>
      <c r="AH297" s="208"/>
      <c r="AI297" s="100"/>
    </row>
    <row r="298" ht="14.25" customHeight="1">
      <c r="A298" s="195"/>
      <c r="B298" s="100"/>
      <c r="C298" s="100"/>
      <c r="D298" s="100"/>
      <c r="E298" s="100"/>
      <c r="F298" s="206"/>
      <c r="G298" s="206"/>
      <c r="H298" s="207"/>
      <c r="I298" s="207"/>
      <c r="J298" s="207"/>
      <c r="K298" s="207"/>
      <c r="L298" s="207"/>
      <c r="M298" s="207"/>
      <c r="N298" s="207"/>
      <c r="O298" s="207"/>
      <c r="P298" s="207"/>
      <c r="Q298" s="207"/>
      <c r="R298" s="207"/>
      <c r="S298" s="207"/>
      <c r="T298" s="207"/>
      <c r="U298" s="207"/>
      <c r="V298" s="207"/>
      <c r="W298" s="208"/>
      <c r="X298" s="208"/>
      <c r="Y298" s="208"/>
      <c r="Z298" s="208"/>
      <c r="AA298" s="208"/>
      <c r="AB298" s="208"/>
      <c r="AC298" s="208"/>
      <c r="AD298" s="208"/>
      <c r="AE298" s="208"/>
      <c r="AF298" s="208"/>
      <c r="AG298" s="208"/>
      <c r="AH298" s="208"/>
      <c r="AI298" s="100"/>
    </row>
    <row r="299" ht="14.25" customHeight="1">
      <c r="A299" s="195"/>
      <c r="B299" s="100"/>
      <c r="C299" s="100"/>
      <c r="D299" s="100"/>
      <c r="E299" s="100"/>
      <c r="F299" s="206"/>
      <c r="G299" s="206"/>
      <c r="H299" s="207"/>
      <c r="I299" s="207"/>
      <c r="J299" s="207"/>
      <c r="K299" s="207"/>
      <c r="L299" s="207"/>
      <c r="M299" s="207"/>
      <c r="N299" s="207"/>
      <c r="O299" s="207"/>
      <c r="P299" s="207"/>
      <c r="Q299" s="207"/>
      <c r="R299" s="207"/>
      <c r="S299" s="207"/>
      <c r="T299" s="207"/>
      <c r="U299" s="207"/>
      <c r="V299" s="207"/>
      <c r="W299" s="208"/>
      <c r="X299" s="208"/>
      <c r="Y299" s="208"/>
      <c r="Z299" s="208"/>
      <c r="AA299" s="208"/>
      <c r="AB299" s="208"/>
      <c r="AC299" s="208"/>
      <c r="AD299" s="208"/>
      <c r="AE299" s="208"/>
      <c r="AF299" s="208"/>
      <c r="AG299" s="208"/>
      <c r="AH299" s="208"/>
      <c r="AI299" s="100"/>
    </row>
    <row r="300" ht="14.25" customHeight="1">
      <c r="A300" s="195"/>
      <c r="B300" s="100"/>
      <c r="C300" s="100"/>
      <c r="D300" s="100"/>
      <c r="E300" s="100"/>
      <c r="F300" s="206"/>
      <c r="G300" s="206"/>
      <c r="H300" s="207"/>
      <c r="I300" s="207"/>
      <c r="J300" s="207"/>
      <c r="K300" s="207"/>
      <c r="L300" s="207"/>
      <c r="M300" s="207"/>
      <c r="N300" s="207"/>
      <c r="O300" s="207"/>
      <c r="P300" s="207"/>
      <c r="Q300" s="207"/>
      <c r="R300" s="207"/>
      <c r="S300" s="207"/>
      <c r="T300" s="207"/>
      <c r="U300" s="207"/>
      <c r="V300" s="207"/>
      <c r="W300" s="208"/>
      <c r="X300" s="208"/>
      <c r="Y300" s="208"/>
      <c r="Z300" s="208"/>
      <c r="AA300" s="208"/>
      <c r="AB300" s="208"/>
      <c r="AC300" s="208"/>
      <c r="AD300" s="208"/>
      <c r="AE300" s="208"/>
      <c r="AF300" s="208"/>
      <c r="AG300" s="208"/>
      <c r="AH300" s="208"/>
      <c r="AI300" s="100"/>
    </row>
    <row r="301" ht="14.25" customHeight="1">
      <c r="A301" s="195"/>
      <c r="B301" s="100"/>
      <c r="C301" s="100"/>
      <c r="D301" s="100"/>
      <c r="E301" s="100"/>
      <c r="F301" s="206"/>
      <c r="G301" s="206"/>
      <c r="H301" s="207"/>
      <c r="I301" s="207"/>
      <c r="J301" s="207"/>
      <c r="K301" s="207"/>
      <c r="L301" s="207"/>
      <c r="M301" s="207"/>
      <c r="N301" s="207"/>
      <c r="O301" s="207"/>
      <c r="P301" s="207"/>
      <c r="Q301" s="207"/>
      <c r="R301" s="207"/>
      <c r="S301" s="207"/>
      <c r="T301" s="207"/>
      <c r="U301" s="207"/>
      <c r="V301" s="207"/>
      <c r="W301" s="208"/>
      <c r="X301" s="208"/>
      <c r="Y301" s="208"/>
      <c r="Z301" s="208"/>
      <c r="AA301" s="208"/>
      <c r="AB301" s="208"/>
      <c r="AC301" s="208"/>
      <c r="AD301" s="208"/>
      <c r="AE301" s="208"/>
      <c r="AF301" s="208"/>
      <c r="AG301" s="208"/>
      <c r="AH301" s="208"/>
      <c r="AI301" s="100"/>
    </row>
    <row r="302" ht="14.25" customHeight="1">
      <c r="A302" s="195"/>
      <c r="B302" s="100"/>
      <c r="C302" s="100"/>
      <c r="D302" s="100"/>
      <c r="E302" s="100"/>
      <c r="F302" s="206"/>
      <c r="G302" s="206"/>
      <c r="H302" s="207"/>
      <c r="I302" s="207"/>
      <c r="J302" s="207"/>
      <c r="K302" s="207"/>
      <c r="L302" s="207"/>
      <c r="M302" s="207"/>
      <c r="N302" s="207"/>
      <c r="O302" s="207"/>
      <c r="P302" s="207"/>
      <c r="Q302" s="207"/>
      <c r="R302" s="207"/>
      <c r="S302" s="207"/>
      <c r="T302" s="207"/>
      <c r="U302" s="207"/>
      <c r="V302" s="207"/>
      <c r="W302" s="208"/>
      <c r="X302" s="208"/>
      <c r="Y302" s="208"/>
      <c r="Z302" s="208"/>
      <c r="AA302" s="208"/>
      <c r="AB302" s="208"/>
      <c r="AC302" s="208"/>
      <c r="AD302" s="208"/>
      <c r="AE302" s="208"/>
      <c r="AF302" s="208"/>
      <c r="AG302" s="208"/>
      <c r="AH302" s="208"/>
      <c r="AI302" s="100"/>
    </row>
    <row r="303" ht="14.25" customHeight="1">
      <c r="A303" s="195"/>
      <c r="B303" s="100"/>
      <c r="C303" s="100"/>
      <c r="D303" s="100"/>
      <c r="E303" s="100"/>
      <c r="F303" s="206"/>
      <c r="G303" s="206"/>
      <c r="H303" s="207"/>
      <c r="I303" s="207"/>
      <c r="J303" s="207"/>
      <c r="K303" s="207"/>
      <c r="L303" s="207"/>
      <c r="M303" s="207"/>
      <c r="N303" s="207"/>
      <c r="O303" s="207"/>
      <c r="P303" s="207"/>
      <c r="Q303" s="207"/>
      <c r="R303" s="207"/>
      <c r="S303" s="207"/>
      <c r="T303" s="207"/>
      <c r="U303" s="207"/>
      <c r="V303" s="207"/>
      <c r="W303" s="208"/>
      <c r="X303" s="208"/>
      <c r="Y303" s="208"/>
      <c r="Z303" s="208"/>
      <c r="AA303" s="208"/>
      <c r="AB303" s="208"/>
      <c r="AC303" s="208"/>
      <c r="AD303" s="208"/>
      <c r="AE303" s="208"/>
      <c r="AF303" s="208"/>
      <c r="AG303" s="208"/>
      <c r="AH303" s="208"/>
      <c r="AI303" s="100"/>
    </row>
    <row r="304" ht="14.25" customHeight="1">
      <c r="A304" s="195"/>
      <c r="B304" s="100"/>
      <c r="C304" s="100"/>
      <c r="D304" s="100"/>
      <c r="E304" s="100"/>
      <c r="F304" s="206"/>
      <c r="G304" s="206"/>
      <c r="H304" s="207"/>
      <c r="I304" s="207"/>
      <c r="J304" s="207"/>
      <c r="K304" s="207"/>
      <c r="L304" s="207"/>
      <c r="M304" s="207"/>
      <c r="N304" s="207"/>
      <c r="O304" s="207"/>
      <c r="P304" s="207"/>
      <c r="Q304" s="207"/>
      <c r="R304" s="207"/>
      <c r="S304" s="207"/>
      <c r="T304" s="207"/>
      <c r="U304" s="207"/>
      <c r="V304" s="207"/>
      <c r="W304" s="208"/>
      <c r="X304" s="208"/>
      <c r="Y304" s="208"/>
      <c r="Z304" s="208"/>
      <c r="AA304" s="208"/>
      <c r="AB304" s="208"/>
      <c r="AC304" s="208"/>
      <c r="AD304" s="208"/>
      <c r="AE304" s="208"/>
      <c r="AF304" s="208"/>
      <c r="AG304" s="208"/>
      <c r="AH304" s="208"/>
      <c r="AI304" s="100"/>
    </row>
    <row r="305" ht="14.25" customHeight="1">
      <c r="A305" s="195"/>
      <c r="B305" s="100"/>
      <c r="C305" s="100"/>
      <c r="D305" s="100"/>
      <c r="E305" s="100"/>
      <c r="F305" s="206"/>
      <c r="G305" s="206"/>
      <c r="H305" s="207"/>
      <c r="I305" s="207"/>
      <c r="J305" s="207"/>
      <c r="K305" s="207"/>
      <c r="L305" s="207"/>
      <c r="M305" s="207"/>
      <c r="N305" s="207"/>
      <c r="O305" s="207"/>
      <c r="P305" s="207"/>
      <c r="Q305" s="207"/>
      <c r="R305" s="207"/>
      <c r="S305" s="207"/>
      <c r="T305" s="207"/>
      <c r="U305" s="207"/>
      <c r="V305" s="207"/>
      <c r="W305" s="208"/>
      <c r="X305" s="208"/>
      <c r="Y305" s="208"/>
      <c r="Z305" s="208"/>
      <c r="AA305" s="208"/>
      <c r="AB305" s="208"/>
      <c r="AC305" s="208"/>
      <c r="AD305" s="208"/>
      <c r="AE305" s="208"/>
      <c r="AF305" s="208"/>
      <c r="AG305" s="208"/>
      <c r="AH305" s="208"/>
      <c r="AI305" s="100"/>
    </row>
    <row r="306" ht="14.25" customHeight="1">
      <c r="A306" s="195"/>
      <c r="B306" s="100"/>
      <c r="C306" s="100"/>
      <c r="D306" s="100"/>
      <c r="E306" s="100"/>
      <c r="F306" s="206"/>
      <c r="G306" s="206"/>
      <c r="H306" s="207"/>
      <c r="I306" s="207"/>
      <c r="J306" s="207"/>
      <c r="K306" s="207"/>
      <c r="L306" s="207"/>
      <c r="M306" s="207"/>
      <c r="N306" s="207"/>
      <c r="O306" s="207"/>
      <c r="P306" s="207"/>
      <c r="Q306" s="207"/>
      <c r="R306" s="207"/>
      <c r="S306" s="207"/>
      <c r="T306" s="207"/>
      <c r="U306" s="207"/>
      <c r="V306" s="207"/>
      <c r="W306" s="208"/>
      <c r="X306" s="208"/>
      <c r="Y306" s="208"/>
      <c r="Z306" s="208"/>
      <c r="AA306" s="208"/>
      <c r="AB306" s="208"/>
      <c r="AC306" s="208"/>
      <c r="AD306" s="208"/>
      <c r="AE306" s="208"/>
      <c r="AF306" s="208"/>
      <c r="AG306" s="208"/>
      <c r="AH306" s="208"/>
      <c r="AI306" s="100"/>
    </row>
    <row r="307" ht="14.25" customHeight="1">
      <c r="A307" s="195"/>
      <c r="B307" s="100"/>
      <c r="C307" s="100"/>
      <c r="D307" s="100"/>
      <c r="E307" s="100"/>
      <c r="F307" s="206"/>
      <c r="G307" s="206"/>
      <c r="H307" s="207"/>
      <c r="I307" s="207"/>
      <c r="J307" s="207"/>
      <c r="K307" s="207"/>
      <c r="L307" s="207"/>
      <c r="M307" s="207"/>
      <c r="N307" s="207"/>
      <c r="O307" s="207"/>
      <c r="P307" s="207"/>
      <c r="Q307" s="207"/>
      <c r="R307" s="207"/>
      <c r="S307" s="207"/>
      <c r="T307" s="207"/>
      <c r="U307" s="207"/>
      <c r="V307" s="207"/>
      <c r="W307" s="208"/>
      <c r="X307" s="208"/>
      <c r="Y307" s="208"/>
      <c r="Z307" s="208"/>
      <c r="AA307" s="208"/>
      <c r="AB307" s="208"/>
      <c r="AC307" s="208"/>
      <c r="AD307" s="208"/>
      <c r="AE307" s="208"/>
      <c r="AF307" s="208"/>
      <c r="AG307" s="208"/>
      <c r="AH307" s="208"/>
      <c r="AI307" s="100"/>
    </row>
    <row r="308" ht="14.25" customHeight="1">
      <c r="A308" s="195"/>
      <c r="B308" s="100"/>
      <c r="C308" s="100"/>
      <c r="D308" s="100"/>
      <c r="E308" s="100"/>
      <c r="F308" s="206"/>
      <c r="G308" s="206"/>
      <c r="H308" s="207"/>
      <c r="I308" s="207"/>
      <c r="J308" s="207"/>
      <c r="K308" s="207"/>
      <c r="L308" s="207"/>
      <c r="M308" s="207"/>
      <c r="N308" s="207"/>
      <c r="O308" s="207"/>
      <c r="P308" s="207"/>
      <c r="Q308" s="207"/>
      <c r="R308" s="207"/>
      <c r="S308" s="207"/>
      <c r="T308" s="207"/>
      <c r="U308" s="207"/>
      <c r="V308" s="207"/>
      <c r="W308" s="208"/>
      <c r="X308" s="208"/>
      <c r="Y308" s="208"/>
      <c r="Z308" s="208"/>
      <c r="AA308" s="208"/>
      <c r="AB308" s="208"/>
      <c r="AC308" s="208"/>
      <c r="AD308" s="208"/>
      <c r="AE308" s="208"/>
      <c r="AF308" s="208"/>
      <c r="AG308" s="208"/>
      <c r="AH308" s="208"/>
      <c r="AI308" s="100"/>
    </row>
    <row r="309" ht="14.25" customHeight="1">
      <c r="A309" s="195"/>
      <c r="B309" s="100"/>
      <c r="C309" s="100"/>
      <c r="D309" s="100"/>
      <c r="E309" s="100"/>
      <c r="F309" s="206"/>
      <c r="G309" s="206"/>
      <c r="H309" s="207"/>
      <c r="I309" s="207"/>
      <c r="J309" s="207"/>
      <c r="K309" s="207"/>
      <c r="L309" s="207"/>
      <c r="M309" s="207"/>
      <c r="N309" s="207"/>
      <c r="O309" s="207"/>
      <c r="P309" s="207"/>
      <c r="Q309" s="207"/>
      <c r="R309" s="207"/>
      <c r="S309" s="207"/>
      <c r="T309" s="207"/>
      <c r="U309" s="207"/>
      <c r="V309" s="207"/>
      <c r="W309" s="208"/>
      <c r="X309" s="208"/>
      <c r="Y309" s="208"/>
      <c r="Z309" s="208"/>
      <c r="AA309" s="208"/>
      <c r="AB309" s="208"/>
      <c r="AC309" s="208"/>
      <c r="AD309" s="208"/>
      <c r="AE309" s="208"/>
      <c r="AF309" s="208"/>
      <c r="AG309" s="208"/>
      <c r="AH309" s="208"/>
      <c r="AI309" s="100"/>
    </row>
    <row r="310" ht="14.25" customHeight="1">
      <c r="A310" s="195"/>
      <c r="B310" s="100"/>
      <c r="C310" s="100"/>
      <c r="D310" s="100"/>
      <c r="E310" s="100"/>
      <c r="F310" s="206"/>
      <c r="G310" s="206"/>
      <c r="H310" s="207"/>
      <c r="I310" s="207"/>
      <c r="J310" s="207"/>
      <c r="K310" s="207"/>
      <c r="L310" s="207"/>
      <c r="M310" s="207"/>
      <c r="N310" s="207"/>
      <c r="O310" s="207"/>
      <c r="P310" s="207"/>
      <c r="Q310" s="207"/>
      <c r="R310" s="207"/>
      <c r="S310" s="207"/>
      <c r="T310" s="207"/>
      <c r="U310" s="207"/>
      <c r="V310" s="207"/>
      <c r="W310" s="208"/>
      <c r="X310" s="208"/>
      <c r="Y310" s="208"/>
      <c r="Z310" s="208"/>
      <c r="AA310" s="208"/>
      <c r="AB310" s="208"/>
      <c r="AC310" s="208"/>
      <c r="AD310" s="208"/>
      <c r="AE310" s="208"/>
      <c r="AF310" s="208"/>
      <c r="AG310" s="208"/>
      <c r="AH310" s="208"/>
      <c r="AI310" s="100"/>
    </row>
    <row r="311" ht="14.25" customHeight="1">
      <c r="A311" s="195"/>
      <c r="B311" s="100"/>
      <c r="C311" s="100"/>
      <c r="D311" s="100"/>
      <c r="E311" s="100"/>
      <c r="F311" s="206"/>
      <c r="G311" s="206"/>
      <c r="H311" s="207"/>
      <c r="I311" s="207"/>
      <c r="J311" s="207"/>
      <c r="K311" s="207"/>
      <c r="L311" s="207"/>
      <c r="M311" s="207"/>
      <c r="N311" s="207"/>
      <c r="O311" s="207"/>
      <c r="P311" s="207"/>
      <c r="Q311" s="207"/>
      <c r="R311" s="207"/>
      <c r="S311" s="207"/>
      <c r="T311" s="207"/>
      <c r="U311" s="207"/>
      <c r="V311" s="207"/>
      <c r="W311" s="208"/>
      <c r="X311" s="208"/>
      <c r="Y311" s="208"/>
      <c r="Z311" s="208"/>
      <c r="AA311" s="208"/>
      <c r="AB311" s="208"/>
      <c r="AC311" s="208"/>
      <c r="AD311" s="208"/>
      <c r="AE311" s="208"/>
      <c r="AF311" s="208"/>
      <c r="AG311" s="208"/>
      <c r="AH311" s="208"/>
      <c r="AI311" s="100"/>
    </row>
    <row r="312" ht="14.25" customHeight="1">
      <c r="A312" s="195"/>
      <c r="B312" s="100"/>
      <c r="C312" s="100"/>
      <c r="D312" s="100"/>
      <c r="E312" s="100"/>
      <c r="F312" s="206"/>
      <c r="G312" s="206"/>
      <c r="H312" s="207"/>
      <c r="I312" s="207"/>
      <c r="J312" s="207"/>
      <c r="K312" s="207"/>
      <c r="L312" s="207"/>
      <c r="M312" s="207"/>
      <c r="N312" s="207"/>
      <c r="O312" s="207"/>
      <c r="P312" s="207"/>
      <c r="Q312" s="207"/>
      <c r="R312" s="207"/>
      <c r="S312" s="207"/>
      <c r="T312" s="207"/>
      <c r="U312" s="207"/>
      <c r="V312" s="207"/>
      <c r="W312" s="208"/>
      <c r="X312" s="208"/>
      <c r="Y312" s="208"/>
      <c r="Z312" s="208"/>
      <c r="AA312" s="208"/>
      <c r="AB312" s="208"/>
      <c r="AC312" s="208"/>
      <c r="AD312" s="208"/>
      <c r="AE312" s="208"/>
      <c r="AF312" s="208"/>
      <c r="AG312" s="208"/>
      <c r="AH312" s="208"/>
      <c r="AI312" s="100"/>
    </row>
    <row r="313" ht="14.25" customHeight="1">
      <c r="A313" s="195"/>
      <c r="B313" s="100"/>
      <c r="C313" s="100"/>
      <c r="D313" s="100"/>
      <c r="E313" s="100"/>
      <c r="F313" s="206"/>
      <c r="G313" s="206"/>
      <c r="H313" s="207"/>
      <c r="I313" s="207"/>
      <c r="J313" s="207"/>
      <c r="K313" s="207"/>
      <c r="L313" s="207"/>
      <c r="M313" s="207"/>
      <c r="N313" s="207"/>
      <c r="O313" s="207"/>
      <c r="P313" s="207"/>
      <c r="Q313" s="207"/>
      <c r="R313" s="207"/>
      <c r="S313" s="207"/>
      <c r="T313" s="207"/>
      <c r="U313" s="207"/>
      <c r="V313" s="207"/>
      <c r="W313" s="208"/>
      <c r="X313" s="208"/>
      <c r="Y313" s="208"/>
      <c r="Z313" s="208"/>
      <c r="AA313" s="208"/>
      <c r="AB313" s="208"/>
      <c r="AC313" s="208"/>
      <c r="AD313" s="208"/>
      <c r="AE313" s="208"/>
      <c r="AF313" s="208"/>
      <c r="AG313" s="208"/>
      <c r="AH313" s="208"/>
      <c r="AI313" s="100"/>
    </row>
    <row r="314" ht="14.25" customHeight="1">
      <c r="A314" s="195"/>
      <c r="B314" s="100"/>
      <c r="C314" s="100"/>
      <c r="D314" s="100"/>
      <c r="E314" s="100"/>
      <c r="F314" s="206"/>
      <c r="G314" s="206"/>
      <c r="H314" s="207"/>
      <c r="I314" s="207"/>
      <c r="J314" s="207"/>
      <c r="K314" s="207"/>
      <c r="L314" s="207"/>
      <c r="M314" s="207"/>
      <c r="N314" s="207"/>
      <c r="O314" s="207"/>
      <c r="P314" s="207"/>
      <c r="Q314" s="207"/>
      <c r="R314" s="207"/>
      <c r="S314" s="207"/>
      <c r="T314" s="207"/>
      <c r="U314" s="207"/>
      <c r="V314" s="207"/>
      <c r="W314" s="208"/>
      <c r="X314" s="208"/>
      <c r="Y314" s="208"/>
      <c r="Z314" s="208"/>
      <c r="AA314" s="208"/>
      <c r="AB314" s="208"/>
      <c r="AC314" s="208"/>
      <c r="AD314" s="208"/>
      <c r="AE314" s="208"/>
      <c r="AF314" s="208"/>
      <c r="AG314" s="208"/>
      <c r="AH314" s="208"/>
      <c r="AI314" s="100"/>
    </row>
    <row r="315" ht="14.25" customHeight="1">
      <c r="A315" s="195"/>
      <c r="B315" s="100"/>
      <c r="C315" s="100"/>
      <c r="D315" s="100"/>
      <c r="E315" s="100"/>
      <c r="F315" s="206"/>
      <c r="G315" s="206"/>
      <c r="H315" s="207"/>
      <c r="I315" s="207"/>
      <c r="J315" s="207"/>
      <c r="K315" s="207"/>
      <c r="L315" s="207"/>
      <c r="M315" s="207"/>
      <c r="N315" s="207"/>
      <c r="O315" s="207"/>
      <c r="P315" s="207"/>
      <c r="Q315" s="207"/>
      <c r="R315" s="207"/>
      <c r="S315" s="207"/>
      <c r="T315" s="207"/>
      <c r="U315" s="207"/>
      <c r="V315" s="207"/>
      <c r="W315" s="208"/>
      <c r="X315" s="208"/>
      <c r="Y315" s="208"/>
      <c r="Z315" s="208"/>
      <c r="AA315" s="208"/>
      <c r="AB315" s="208"/>
      <c r="AC315" s="208"/>
      <c r="AD315" s="208"/>
      <c r="AE315" s="208"/>
      <c r="AF315" s="208"/>
      <c r="AG315" s="208"/>
      <c r="AH315" s="208"/>
      <c r="AI315" s="100"/>
    </row>
    <row r="316" ht="14.25" customHeight="1">
      <c r="A316" s="195"/>
      <c r="B316" s="100"/>
      <c r="C316" s="100"/>
      <c r="D316" s="100"/>
      <c r="E316" s="100"/>
      <c r="F316" s="206"/>
      <c r="G316" s="206"/>
      <c r="H316" s="207"/>
      <c r="I316" s="207"/>
      <c r="J316" s="207"/>
      <c r="K316" s="207"/>
      <c r="L316" s="207"/>
      <c r="M316" s="207"/>
      <c r="N316" s="207"/>
      <c r="O316" s="207"/>
      <c r="P316" s="207"/>
      <c r="Q316" s="207"/>
      <c r="R316" s="207"/>
      <c r="S316" s="207"/>
      <c r="T316" s="207"/>
      <c r="U316" s="207"/>
      <c r="V316" s="207"/>
      <c r="W316" s="208"/>
      <c r="X316" s="208"/>
      <c r="Y316" s="208"/>
      <c r="Z316" s="208"/>
      <c r="AA316" s="208"/>
      <c r="AB316" s="208"/>
      <c r="AC316" s="208"/>
      <c r="AD316" s="208"/>
      <c r="AE316" s="208"/>
      <c r="AF316" s="208"/>
      <c r="AG316" s="208"/>
      <c r="AH316" s="208"/>
      <c r="AI316" s="100"/>
    </row>
    <row r="317" ht="14.25" customHeight="1">
      <c r="A317" s="195"/>
      <c r="B317" s="100"/>
      <c r="C317" s="100"/>
      <c r="D317" s="100"/>
      <c r="E317" s="100"/>
      <c r="F317" s="206"/>
      <c r="G317" s="206"/>
      <c r="H317" s="207"/>
      <c r="I317" s="207"/>
      <c r="J317" s="207"/>
      <c r="K317" s="207"/>
      <c r="L317" s="207"/>
      <c r="M317" s="207"/>
      <c r="N317" s="207"/>
      <c r="O317" s="207"/>
      <c r="P317" s="207"/>
      <c r="Q317" s="207"/>
      <c r="R317" s="207"/>
      <c r="S317" s="207"/>
      <c r="T317" s="207"/>
      <c r="U317" s="207"/>
      <c r="V317" s="207"/>
      <c r="W317" s="208"/>
      <c r="X317" s="208"/>
      <c r="Y317" s="208"/>
      <c r="Z317" s="208"/>
      <c r="AA317" s="208"/>
      <c r="AB317" s="208"/>
      <c r="AC317" s="208"/>
      <c r="AD317" s="208"/>
      <c r="AE317" s="208"/>
      <c r="AF317" s="208"/>
      <c r="AG317" s="208"/>
      <c r="AH317" s="208"/>
      <c r="AI317" s="100"/>
    </row>
    <row r="318" ht="14.25" customHeight="1">
      <c r="A318" s="195"/>
      <c r="B318" s="100"/>
      <c r="C318" s="100"/>
      <c r="D318" s="100"/>
      <c r="E318" s="100"/>
      <c r="F318" s="206"/>
      <c r="G318" s="206"/>
      <c r="H318" s="207"/>
      <c r="I318" s="207"/>
      <c r="J318" s="207"/>
      <c r="K318" s="207"/>
      <c r="L318" s="207"/>
      <c r="M318" s="207"/>
      <c r="N318" s="207"/>
      <c r="O318" s="207"/>
      <c r="P318" s="207"/>
      <c r="Q318" s="207"/>
      <c r="R318" s="207"/>
      <c r="S318" s="207"/>
      <c r="T318" s="207"/>
      <c r="U318" s="207"/>
      <c r="V318" s="207"/>
      <c r="W318" s="208"/>
      <c r="X318" s="208"/>
      <c r="Y318" s="208"/>
      <c r="Z318" s="208"/>
      <c r="AA318" s="208"/>
      <c r="AB318" s="208"/>
      <c r="AC318" s="208"/>
      <c r="AD318" s="208"/>
      <c r="AE318" s="208"/>
      <c r="AF318" s="208"/>
      <c r="AG318" s="208"/>
      <c r="AH318" s="208"/>
      <c r="AI318" s="100"/>
    </row>
    <row r="319" ht="14.25" customHeight="1">
      <c r="A319" s="195"/>
      <c r="B319" s="100"/>
      <c r="C319" s="100"/>
      <c r="D319" s="100"/>
      <c r="E319" s="100"/>
      <c r="F319" s="206"/>
      <c r="G319" s="206"/>
      <c r="H319" s="207"/>
      <c r="I319" s="207"/>
      <c r="J319" s="207"/>
      <c r="K319" s="207"/>
      <c r="L319" s="207"/>
      <c r="M319" s="207"/>
      <c r="N319" s="207"/>
      <c r="O319" s="207"/>
      <c r="P319" s="207"/>
      <c r="Q319" s="207"/>
      <c r="R319" s="207"/>
      <c r="S319" s="207"/>
      <c r="T319" s="207"/>
      <c r="U319" s="207"/>
      <c r="V319" s="207"/>
      <c r="W319" s="208"/>
      <c r="X319" s="208"/>
      <c r="Y319" s="208"/>
      <c r="Z319" s="208"/>
      <c r="AA319" s="208"/>
      <c r="AB319" s="208"/>
      <c r="AC319" s="208"/>
      <c r="AD319" s="208"/>
      <c r="AE319" s="208"/>
      <c r="AF319" s="208"/>
      <c r="AG319" s="208"/>
      <c r="AH319" s="208"/>
      <c r="AI319" s="100"/>
    </row>
    <row r="320" ht="14.25" customHeight="1">
      <c r="A320" s="195"/>
      <c r="B320" s="100"/>
      <c r="C320" s="100"/>
      <c r="D320" s="100"/>
      <c r="E320" s="100"/>
      <c r="F320" s="206"/>
      <c r="G320" s="206"/>
      <c r="H320" s="207"/>
      <c r="I320" s="207"/>
      <c r="J320" s="207"/>
      <c r="K320" s="207"/>
      <c r="L320" s="207"/>
      <c r="M320" s="207"/>
      <c r="N320" s="207"/>
      <c r="O320" s="207"/>
      <c r="P320" s="207"/>
      <c r="Q320" s="207"/>
      <c r="R320" s="207"/>
      <c r="S320" s="207"/>
      <c r="T320" s="207"/>
      <c r="U320" s="207"/>
      <c r="V320" s="207"/>
      <c r="W320" s="208"/>
      <c r="X320" s="208"/>
      <c r="Y320" s="208"/>
      <c r="Z320" s="208"/>
      <c r="AA320" s="208"/>
      <c r="AB320" s="208"/>
      <c r="AC320" s="208"/>
      <c r="AD320" s="208"/>
      <c r="AE320" s="208"/>
      <c r="AF320" s="208"/>
      <c r="AG320" s="208"/>
      <c r="AH320" s="208"/>
      <c r="AI320" s="100"/>
    </row>
    <row r="321" ht="14.25" customHeight="1">
      <c r="A321" s="195"/>
      <c r="B321" s="100"/>
      <c r="C321" s="100"/>
      <c r="D321" s="100"/>
      <c r="E321" s="100"/>
      <c r="F321" s="206"/>
      <c r="G321" s="206"/>
      <c r="H321" s="207"/>
      <c r="I321" s="207"/>
      <c r="J321" s="207"/>
      <c r="K321" s="207"/>
      <c r="L321" s="207"/>
      <c r="M321" s="207"/>
      <c r="N321" s="207"/>
      <c r="O321" s="207"/>
      <c r="P321" s="207"/>
      <c r="Q321" s="207"/>
      <c r="R321" s="207"/>
      <c r="S321" s="207"/>
      <c r="T321" s="207"/>
      <c r="U321" s="207"/>
      <c r="V321" s="207"/>
      <c r="W321" s="208"/>
      <c r="X321" s="208"/>
      <c r="Y321" s="208"/>
      <c r="Z321" s="208"/>
      <c r="AA321" s="208"/>
      <c r="AB321" s="208"/>
      <c r="AC321" s="208"/>
      <c r="AD321" s="208"/>
      <c r="AE321" s="208"/>
      <c r="AF321" s="208"/>
      <c r="AG321" s="208"/>
      <c r="AH321" s="208"/>
      <c r="AI321" s="100"/>
    </row>
    <row r="322" ht="14.25" customHeight="1">
      <c r="A322" s="195"/>
      <c r="B322" s="100"/>
      <c r="C322" s="100"/>
      <c r="D322" s="100"/>
      <c r="E322" s="100"/>
      <c r="F322" s="206"/>
      <c r="G322" s="206"/>
      <c r="H322" s="207"/>
      <c r="I322" s="207"/>
      <c r="J322" s="207"/>
      <c r="K322" s="207"/>
      <c r="L322" s="207"/>
      <c r="M322" s="207"/>
      <c r="N322" s="207"/>
      <c r="O322" s="207"/>
      <c r="P322" s="207"/>
      <c r="Q322" s="207"/>
      <c r="R322" s="207"/>
      <c r="S322" s="207"/>
      <c r="T322" s="207"/>
      <c r="U322" s="207"/>
      <c r="V322" s="207"/>
      <c r="W322" s="208"/>
      <c r="X322" s="208"/>
      <c r="Y322" s="208"/>
      <c r="Z322" s="208"/>
      <c r="AA322" s="208"/>
      <c r="AB322" s="208"/>
      <c r="AC322" s="208"/>
      <c r="AD322" s="208"/>
      <c r="AE322" s="208"/>
      <c r="AF322" s="208"/>
      <c r="AG322" s="208"/>
      <c r="AH322" s="208"/>
      <c r="AI322" s="100"/>
    </row>
    <row r="323" ht="14.25" customHeight="1">
      <c r="A323" s="195"/>
      <c r="B323" s="100"/>
      <c r="C323" s="100"/>
      <c r="D323" s="100"/>
      <c r="E323" s="100"/>
      <c r="F323" s="206"/>
      <c r="G323" s="206"/>
      <c r="H323" s="207"/>
      <c r="I323" s="207"/>
      <c r="J323" s="207"/>
      <c r="K323" s="207"/>
      <c r="L323" s="207"/>
      <c r="M323" s="207"/>
      <c r="N323" s="207"/>
      <c r="O323" s="207"/>
      <c r="P323" s="207"/>
      <c r="Q323" s="207"/>
      <c r="R323" s="207"/>
      <c r="S323" s="207"/>
      <c r="T323" s="207"/>
      <c r="U323" s="207"/>
      <c r="V323" s="207"/>
      <c r="W323" s="208"/>
      <c r="X323" s="208"/>
      <c r="Y323" s="208"/>
      <c r="Z323" s="208"/>
      <c r="AA323" s="208"/>
      <c r="AB323" s="208"/>
      <c r="AC323" s="208"/>
      <c r="AD323" s="208"/>
      <c r="AE323" s="208"/>
      <c r="AF323" s="208"/>
      <c r="AG323" s="208"/>
      <c r="AH323" s="208"/>
      <c r="AI323" s="100"/>
    </row>
    <row r="324" ht="14.25" customHeight="1">
      <c r="A324" s="195"/>
      <c r="B324" s="100"/>
      <c r="C324" s="100"/>
      <c r="D324" s="100"/>
      <c r="E324" s="100"/>
      <c r="F324" s="206"/>
      <c r="G324" s="206"/>
      <c r="H324" s="207"/>
      <c r="I324" s="207"/>
      <c r="J324" s="207"/>
      <c r="K324" s="207"/>
      <c r="L324" s="207"/>
      <c r="M324" s="207"/>
      <c r="N324" s="207"/>
      <c r="O324" s="207"/>
      <c r="P324" s="207"/>
      <c r="Q324" s="207"/>
      <c r="R324" s="207"/>
      <c r="S324" s="207"/>
      <c r="T324" s="207"/>
      <c r="U324" s="207"/>
      <c r="V324" s="207"/>
      <c r="W324" s="208"/>
      <c r="X324" s="208"/>
      <c r="Y324" s="208"/>
      <c r="Z324" s="208"/>
      <c r="AA324" s="208"/>
      <c r="AB324" s="208"/>
      <c r="AC324" s="208"/>
      <c r="AD324" s="208"/>
      <c r="AE324" s="208"/>
      <c r="AF324" s="208"/>
      <c r="AG324" s="208"/>
      <c r="AH324" s="208"/>
      <c r="AI324" s="100"/>
    </row>
    <row r="325" ht="14.25" customHeight="1">
      <c r="A325" s="195"/>
      <c r="B325" s="100"/>
      <c r="C325" s="100"/>
      <c r="D325" s="100"/>
      <c r="E325" s="100"/>
      <c r="F325" s="206"/>
      <c r="G325" s="206"/>
      <c r="H325" s="207"/>
      <c r="I325" s="207"/>
      <c r="J325" s="207"/>
      <c r="K325" s="207"/>
      <c r="L325" s="207"/>
      <c r="M325" s="207"/>
      <c r="N325" s="207"/>
      <c r="O325" s="207"/>
      <c r="P325" s="207"/>
      <c r="Q325" s="207"/>
      <c r="R325" s="207"/>
      <c r="S325" s="207"/>
      <c r="T325" s="207"/>
      <c r="U325" s="207"/>
      <c r="V325" s="207"/>
      <c r="W325" s="208"/>
      <c r="X325" s="208"/>
      <c r="Y325" s="208"/>
      <c r="Z325" s="208"/>
      <c r="AA325" s="208"/>
      <c r="AB325" s="208"/>
      <c r="AC325" s="208"/>
      <c r="AD325" s="208"/>
      <c r="AE325" s="208"/>
      <c r="AF325" s="208"/>
      <c r="AG325" s="208"/>
      <c r="AH325" s="208"/>
      <c r="AI325" s="100"/>
    </row>
    <row r="326" ht="14.25" customHeight="1">
      <c r="A326" s="195"/>
      <c r="B326" s="100"/>
      <c r="C326" s="100"/>
      <c r="D326" s="100"/>
      <c r="E326" s="100"/>
      <c r="F326" s="206"/>
      <c r="G326" s="206"/>
      <c r="H326" s="207"/>
      <c r="I326" s="207"/>
      <c r="J326" s="207"/>
      <c r="K326" s="207"/>
      <c r="L326" s="207"/>
      <c r="M326" s="207"/>
      <c r="N326" s="207"/>
      <c r="O326" s="207"/>
      <c r="P326" s="207"/>
      <c r="Q326" s="207"/>
      <c r="R326" s="207"/>
      <c r="S326" s="207"/>
      <c r="T326" s="207"/>
      <c r="U326" s="207"/>
      <c r="V326" s="207"/>
      <c r="W326" s="208"/>
      <c r="X326" s="208"/>
      <c r="Y326" s="208"/>
      <c r="Z326" s="208"/>
      <c r="AA326" s="208"/>
      <c r="AB326" s="208"/>
      <c r="AC326" s="208"/>
      <c r="AD326" s="208"/>
      <c r="AE326" s="208"/>
      <c r="AF326" s="208"/>
      <c r="AG326" s="208"/>
      <c r="AH326" s="208"/>
      <c r="AI326" s="100"/>
    </row>
    <row r="327" ht="14.25" customHeight="1">
      <c r="A327" s="195"/>
      <c r="B327" s="100"/>
      <c r="C327" s="100"/>
      <c r="D327" s="100"/>
      <c r="E327" s="100"/>
      <c r="F327" s="206"/>
      <c r="G327" s="206"/>
      <c r="H327" s="207"/>
      <c r="I327" s="207"/>
      <c r="J327" s="207"/>
      <c r="K327" s="207"/>
      <c r="L327" s="207"/>
      <c r="M327" s="207"/>
      <c r="N327" s="207"/>
      <c r="O327" s="207"/>
      <c r="P327" s="207"/>
      <c r="Q327" s="207"/>
      <c r="R327" s="207"/>
      <c r="S327" s="207"/>
      <c r="T327" s="207"/>
      <c r="U327" s="207"/>
      <c r="V327" s="207"/>
      <c r="W327" s="208"/>
      <c r="X327" s="208"/>
      <c r="Y327" s="208"/>
      <c r="Z327" s="208"/>
      <c r="AA327" s="208"/>
      <c r="AB327" s="208"/>
      <c r="AC327" s="208"/>
      <c r="AD327" s="208"/>
      <c r="AE327" s="208"/>
      <c r="AF327" s="208"/>
      <c r="AG327" s="208"/>
      <c r="AH327" s="208"/>
      <c r="AI327" s="100"/>
    </row>
    <row r="328" ht="14.25" customHeight="1">
      <c r="A328" s="195"/>
      <c r="B328" s="100"/>
      <c r="C328" s="100"/>
      <c r="D328" s="100"/>
      <c r="E328" s="100"/>
      <c r="F328" s="206"/>
      <c r="G328" s="206"/>
      <c r="H328" s="207"/>
      <c r="I328" s="207"/>
      <c r="J328" s="207"/>
      <c r="K328" s="207"/>
      <c r="L328" s="207"/>
      <c r="M328" s="207"/>
      <c r="N328" s="207"/>
      <c r="O328" s="207"/>
      <c r="P328" s="207"/>
      <c r="Q328" s="207"/>
      <c r="R328" s="207"/>
      <c r="S328" s="207"/>
      <c r="T328" s="207"/>
      <c r="U328" s="207"/>
      <c r="V328" s="207"/>
      <c r="W328" s="208"/>
      <c r="X328" s="208"/>
      <c r="Y328" s="208"/>
      <c r="Z328" s="208"/>
      <c r="AA328" s="208"/>
      <c r="AB328" s="208"/>
      <c r="AC328" s="208"/>
      <c r="AD328" s="208"/>
      <c r="AE328" s="208"/>
      <c r="AF328" s="208"/>
      <c r="AG328" s="208"/>
      <c r="AH328" s="208"/>
      <c r="AI328" s="100"/>
    </row>
    <row r="329" ht="14.25" customHeight="1">
      <c r="A329" s="195"/>
      <c r="B329" s="100"/>
      <c r="C329" s="100"/>
      <c r="D329" s="100"/>
      <c r="E329" s="100"/>
      <c r="F329" s="206"/>
      <c r="G329" s="206"/>
      <c r="H329" s="207"/>
      <c r="I329" s="207"/>
      <c r="J329" s="207"/>
      <c r="K329" s="207"/>
      <c r="L329" s="207"/>
      <c r="M329" s="207"/>
      <c r="N329" s="207"/>
      <c r="O329" s="207"/>
      <c r="P329" s="207"/>
      <c r="Q329" s="207"/>
      <c r="R329" s="207"/>
      <c r="S329" s="207"/>
      <c r="T329" s="207"/>
      <c r="U329" s="207"/>
      <c r="V329" s="207"/>
      <c r="W329" s="208"/>
      <c r="X329" s="208"/>
      <c r="Y329" s="208"/>
      <c r="Z329" s="208"/>
      <c r="AA329" s="208"/>
      <c r="AB329" s="208"/>
      <c r="AC329" s="208"/>
      <c r="AD329" s="208"/>
      <c r="AE329" s="208"/>
      <c r="AF329" s="208"/>
      <c r="AG329" s="208"/>
      <c r="AH329" s="208"/>
      <c r="AI329" s="100"/>
    </row>
    <row r="330" ht="14.25" customHeight="1">
      <c r="A330" s="195"/>
      <c r="B330" s="100"/>
      <c r="C330" s="100"/>
      <c r="D330" s="100"/>
      <c r="E330" s="100"/>
      <c r="F330" s="206"/>
      <c r="G330" s="206"/>
      <c r="H330" s="207"/>
      <c r="I330" s="207"/>
      <c r="J330" s="207"/>
      <c r="K330" s="207"/>
      <c r="L330" s="207"/>
      <c r="M330" s="207"/>
      <c r="N330" s="207"/>
      <c r="O330" s="207"/>
      <c r="P330" s="207"/>
      <c r="Q330" s="207"/>
      <c r="R330" s="207"/>
      <c r="S330" s="207"/>
      <c r="T330" s="207"/>
      <c r="U330" s="207"/>
      <c r="V330" s="207"/>
      <c r="W330" s="208"/>
      <c r="X330" s="208"/>
      <c r="Y330" s="208"/>
      <c r="Z330" s="208"/>
      <c r="AA330" s="208"/>
      <c r="AB330" s="208"/>
      <c r="AC330" s="208"/>
      <c r="AD330" s="208"/>
      <c r="AE330" s="208"/>
      <c r="AF330" s="208"/>
      <c r="AG330" s="208"/>
      <c r="AH330" s="208"/>
      <c r="AI330" s="100"/>
    </row>
    <row r="331" ht="14.25" customHeight="1">
      <c r="A331" s="195"/>
      <c r="B331" s="100"/>
      <c r="C331" s="100"/>
      <c r="D331" s="100"/>
      <c r="E331" s="100"/>
      <c r="F331" s="206"/>
      <c r="G331" s="206"/>
      <c r="H331" s="207"/>
      <c r="I331" s="207"/>
      <c r="J331" s="207"/>
      <c r="K331" s="207"/>
      <c r="L331" s="207"/>
      <c r="M331" s="207"/>
      <c r="N331" s="207"/>
      <c r="O331" s="207"/>
      <c r="P331" s="207"/>
      <c r="Q331" s="207"/>
      <c r="R331" s="207"/>
      <c r="S331" s="207"/>
      <c r="T331" s="207"/>
      <c r="U331" s="207"/>
      <c r="V331" s="207"/>
      <c r="W331" s="208"/>
      <c r="X331" s="208"/>
      <c r="Y331" s="208"/>
      <c r="Z331" s="208"/>
      <c r="AA331" s="208"/>
      <c r="AB331" s="208"/>
      <c r="AC331" s="208"/>
      <c r="AD331" s="208"/>
      <c r="AE331" s="208"/>
      <c r="AF331" s="208"/>
      <c r="AG331" s="208"/>
      <c r="AH331" s="208"/>
      <c r="AI331" s="100"/>
    </row>
    <row r="332" ht="14.25" customHeight="1">
      <c r="A332" s="195"/>
      <c r="B332" s="100"/>
      <c r="C332" s="100"/>
      <c r="D332" s="100"/>
      <c r="E332" s="100"/>
      <c r="F332" s="206"/>
      <c r="G332" s="206"/>
      <c r="H332" s="207"/>
      <c r="I332" s="207"/>
      <c r="J332" s="207"/>
      <c r="K332" s="207"/>
      <c r="L332" s="207"/>
      <c r="M332" s="207"/>
      <c r="N332" s="207"/>
      <c r="O332" s="207"/>
      <c r="P332" s="207"/>
      <c r="Q332" s="207"/>
      <c r="R332" s="207"/>
      <c r="S332" s="207"/>
      <c r="T332" s="207"/>
      <c r="U332" s="207"/>
      <c r="V332" s="207"/>
      <c r="W332" s="208"/>
      <c r="X332" s="208"/>
      <c r="Y332" s="208"/>
      <c r="Z332" s="208"/>
      <c r="AA332" s="208"/>
      <c r="AB332" s="208"/>
      <c r="AC332" s="208"/>
      <c r="AD332" s="208"/>
      <c r="AE332" s="208"/>
      <c r="AF332" s="208"/>
      <c r="AG332" s="208"/>
      <c r="AH332" s="208"/>
      <c r="AI332" s="100"/>
    </row>
    <row r="333" ht="14.25" customHeight="1">
      <c r="A333" s="195"/>
      <c r="B333" s="100"/>
      <c r="C333" s="100"/>
      <c r="D333" s="100"/>
      <c r="E333" s="100"/>
      <c r="F333" s="206"/>
      <c r="G333" s="206"/>
      <c r="H333" s="207"/>
      <c r="I333" s="207"/>
      <c r="J333" s="207"/>
      <c r="K333" s="207"/>
      <c r="L333" s="207"/>
      <c r="M333" s="207"/>
      <c r="N333" s="207"/>
      <c r="O333" s="207"/>
      <c r="P333" s="207"/>
      <c r="Q333" s="207"/>
      <c r="R333" s="207"/>
      <c r="S333" s="207"/>
      <c r="T333" s="207"/>
      <c r="U333" s="207"/>
      <c r="V333" s="207"/>
      <c r="W333" s="208"/>
      <c r="X333" s="208"/>
      <c r="Y333" s="208"/>
      <c r="Z333" s="208"/>
      <c r="AA333" s="208"/>
      <c r="AB333" s="208"/>
      <c r="AC333" s="208"/>
      <c r="AD333" s="208"/>
      <c r="AE333" s="208"/>
      <c r="AF333" s="208"/>
      <c r="AG333" s="208"/>
      <c r="AH333" s="208"/>
      <c r="AI333" s="100"/>
    </row>
    <row r="334" ht="14.25" customHeight="1">
      <c r="A334" s="195"/>
      <c r="B334" s="100"/>
      <c r="C334" s="100"/>
      <c r="D334" s="100"/>
      <c r="E334" s="100"/>
      <c r="F334" s="206"/>
      <c r="G334" s="206"/>
      <c r="H334" s="207"/>
      <c r="I334" s="207"/>
      <c r="J334" s="207"/>
      <c r="K334" s="207"/>
      <c r="L334" s="207"/>
      <c r="M334" s="207"/>
      <c r="N334" s="207"/>
      <c r="O334" s="207"/>
      <c r="P334" s="207"/>
      <c r="Q334" s="207"/>
      <c r="R334" s="207"/>
      <c r="S334" s="207"/>
      <c r="T334" s="207"/>
      <c r="U334" s="207"/>
      <c r="V334" s="207"/>
      <c r="W334" s="208"/>
      <c r="X334" s="208"/>
      <c r="Y334" s="208"/>
      <c r="Z334" s="208"/>
      <c r="AA334" s="208"/>
      <c r="AB334" s="208"/>
      <c r="AC334" s="208"/>
      <c r="AD334" s="208"/>
      <c r="AE334" s="208"/>
      <c r="AF334" s="208"/>
      <c r="AG334" s="208"/>
      <c r="AH334" s="208"/>
      <c r="AI334" s="100"/>
    </row>
    <row r="335" ht="14.25" customHeight="1">
      <c r="A335" s="195"/>
      <c r="B335" s="100"/>
      <c r="C335" s="100"/>
      <c r="D335" s="100"/>
      <c r="E335" s="100"/>
      <c r="F335" s="206"/>
      <c r="G335" s="206"/>
      <c r="H335" s="207"/>
      <c r="I335" s="207"/>
      <c r="J335" s="207"/>
      <c r="K335" s="207"/>
      <c r="L335" s="207"/>
      <c r="M335" s="207"/>
      <c r="N335" s="207"/>
      <c r="O335" s="207"/>
      <c r="P335" s="207"/>
      <c r="Q335" s="207"/>
      <c r="R335" s="207"/>
      <c r="S335" s="207"/>
      <c r="T335" s="207"/>
      <c r="U335" s="207"/>
      <c r="V335" s="207"/>
      <c r="W335" s="208"/>
      <c r="X335" s="208"/>
      <c r="Y335" s="208"/>
      <c r="Z335" s="208"/>
      <c r="AA335" s="208"/>
      <c r="AB335" s="208"/>
      <c r="AC335" s="208"/>
      <c r="AD335" s="208"/>
      <c r="AE335" s="208"/>
      <c r="AF335" s="208"/>
      <c r="AG335" s="208"/>
      <c r="AH335" s="208"/>
      <c r="AI335" s="100"/>
    </row>
    <row r="336" ht="14.25" customHeight="1">
      <c r="A336" s="195"/>
      <c r="B336" s="100"/>
      <c r="C336" s="100"/>
      <c r="D336" s="100"/>
      <c r="E336" s="100"/>
      <c r="F336" s="206"/>
      <c r="G336" s="206"/>
      <c r="H336" s="207"/>
      <c r="I336" s="207"/>
      <c r="J336" s="207"/>
      <c r="K336" s="207"/>
      <c r="L336" s="207"/>
      <c r="M336" s="207"/>
      <c r="N336" s="207"/>
      <c r="O336" s="207"/>
      <c r="P336" s="207"/>
      <c r="Q336" s="207"/>
      <c r="R336" s="207"/>
      <c r="S336" s="207"/>
      <c r="T336" s="207"/>
      <c r="U336" s="207"/>
      <c r="V336" s="207"/>
      <c r="W336" s="208"/>
      <c r="X336" s="208"/>
      <c r="Y336" s="208"/>
      <c r="Z336" s="208"/>
      <c r="AA336" s="208"/>
      <c r="AB336" s="208"/>
      <c r="AC336" s="208"/>
      <c r="AD336" s="208"/>
      <c r="AE336" s="208"/>
      <c r="AF336" s="208"/>
      <c r="AG336" s="208"/>
      <c r="AH336" s="208"/>
      <c r="AI336" s="100"/>
    </row>
    <row r="337" ht="14.25" customHeight="1">
      <c r="A337" s="195"/>
      <c r="B337" s="100"/>
      <c r="C337" s="100"/>
      <c r="D337" s="100"/>
      <c r="E337" s="100"/>
      <c r="F337" s="206"/>
      <c r="G337" s="206"/>
      <c r="H337" s="207"/>
      <c r="I337" s="207"/>
      <c r="J337" s="207"/>
      <c r="K337" s="207"/>
      <c r="L337" s="207"/>
      <c r="M337" s="207"/>
      <c r="N337" s="207"/>
      <c r="O337" s="207"/>
      <c r="P337" s="207"/>
      <c r="Q337" s="207"/>
      <c r="R337" s="207"/>
      <c r="S337" s="207"/>
      <c r="T337" s="207"/>
      <c r="U337" s="207"/>
      <c r="V337" s="207"/>
      <c r="W337" s="208"/>
      <c r="X337" s="208"/>
      <c r="Y337" s="208"/>
      <c r="Z337" s="208"/>
      <c r="AA337" s="208"/>
      <c r="AB337" s="208"/>
      <c r="AC337" s="208"/>
      <c r="AD337" s="208"/>
      <c r="AE337" s="208"/>
      <c r="AF337" s="208"/>
      <c r="AG337" s="208"/>
      <c r="AH337" s="208"/>
      <c r="AI337" s="100"/>
    </row>
    <row r="338" ht="14.25" customHeight="1">
      <c r="A338" s="195"/>
      <c r="B338" s="100"/>
      <c r="C338" s="100"/>
      <c r="D338" s="100"/>
      <c r="E338" s="100"/>
      <c r="F338" s="206"/>
      <c r="G338" s="206"/>
      <c r="H338" s="207"/>
      <c r="I338" s="207"/>
      <c r="J338" s="207"/>
      <c r="K338" s="207"/>
      <c r="L338" s="207"/>
      <c r="M338" s="207"/>
      <c r="N338" s="207"/>
      <c r="O338" s="207"/>
      <c r="P338" s="207"/>
      <c r="Q338" s="207"/>
      <c r="R338" s="207"/>
      <c r="S338" s="207"/>
      <c r="T338" s="207"/>
      <c r="U338" s="207"/>
      <c r="V338" s="207"/>
      <c r="W338" s="208"/>
      <c r="X338" s="208"/>
      <c r="Y338" s="208"/>
      <c r="Z338" s="208"/>
      <c r="AA338" s="208"/>
      <c r="AB338" s="208"/>
      <c r="AC338" s="208"/>
      <c r="AD338" s="208"/>
      <c r="AE338" s="208"/>
      <c r="AF338" s="208"/>
      <c r="AG338" s="208"/>
      <c r="AH338" s="208"/>
      <c r="AI338" s="100"/>
    </row>
    <row r="339" ht="14.25" customHeight="1">
      <c r="A339" s="195"/>
      <c r="B339" s="100"/>
      <c r="C339" s="100"/>
      <c r="D339" s="100"/>
      <c r="E339" s="100"/>
      <c r="F339" s="206"/>
      <c r="G339" s="206"/>
      <c r="H339" s="207"/>
      <c r="I339" s="207"/>
      <c r="J339" s="207"/>
      <c r="K339" s="207"/>
      <c r="L339" s="207"/>
      <c r="M339" s="207"/>
      <c r="N339" s="207"/>
      <c r="O339" s="207"/>
      <c r="P339" s="207"/>
      <c r="Q339" s="207"/>
      <c r="R339" s="207"/>
      <c r="S339" s="207"/>
      <c r="T339" s="207"/>
      <c r="U339" s="207"/>
      <c r="V339" s="207"/>
      <c r="W339" s="208"/>
      <c r="X339" s="208"/>
      <c r="Y339" s="208"/>
      <c r="Z339" s="208"/>
      <c r="AA339" s="208"/>
      <c r="AB339" s="208"/>
      <c r="AC339" s="208"/>
      <c r="AD339" s="208"/>
      <c r="AE339" s="208"/>
      <c r="AF339" s="208"/>
      <c r="AG339" s="208"/>
      <c r="AH339" s="208"/>
      <c r="AI339" s="100"/>
    </row>
    <row r="340" ht="14.25" customHeight="1">
      <c r="A340" s="195"/>
      <c r="B340" s="100"/>
      <c r="C340" s="100"/>
      <c r="D340" s="100"/>
      <c r="E340" s="100"/>
      <c r="F340" s="206"/>
      <c r="G340" s="206"/>
      <c r="H340" s="207"/>
      <c r="I340" s="207"/>
      <c r="J340" s="207"/>
      <c r="K340" s="207"/>
      <c r="L340" s="207"/>
      <c r="M340" s="207"/>
      <c r="N340" s="207"/>
      <c r="O340" s="207"/>
      <c r="P340" s="207"/>
      <c r="Q340" s="207"/>
      <c r="R340" s="207"/>
      <c r="S340" s="207"/>
      <c r="T340" s="207"/>
      <c r="U340" s="207"/>
      <c r="V340" s="207"/>
      <c r="W340" s="208"/>
      <c r="X340" s="208"/>
      <c r="Y340" s="208"/>
      <c r="Z340" s="208"/>
      <c r="AA340" s="208"/>
      <c r="AB340" s="208"/>
      <c r="AC340" s="208"/>
      <c r="AD340" s="208"/>
      <c r="AE340" s="208"/>
      <c r="AF340" s="208"/>
      <c r="AG340" s="208"/>
      <c r="AH340" s="208"/>
      <c r="AI340" s="100"/>
    </row>
    <row r="341" ht="14.25" customHeight="1">
      <c r="A341" s="195"/>
      <c r="B341" s="100"/>
      <c r="C341" s="100"/>
      <c r="D341" s="100"/>
      <c r="E341" s="100"/>
      <c r="F341" s="206"/>
      <c r="G341" s="206"/>
      <c r="H341" s="207"/>
      <c r="I341" s="207"/>
      <c r="J341" s="207"/>
      <c r="K341" s="207"/>
      <c r="L341" s="207"/>
      <c r="M341" s="207"/>
      <c r="N341" s="207"/>
      <c r="O341" s="207"/>
      <c r="P341" s="207"/>
      <c r="Q341" s="207"/>
      <c r="R341" s="207"/>
      <c r="S341" s="207"/>
      <c r="T341" s="207"/>
      <c r="U341" s="207"/>
      <c r="V341" s="207"/>
      <c r="W341" s="208"/>
      <c r="X341" s="208"/>
      <c r="Y341" s="208"/>
      <c r="Z341" s="208"/>
      <c r="AA341" s="208"/>
      <c r="AB341" s="208"/>
      <c r="AC341" s="208"/>
      <c r="AD341" s="208"/>
      <c r="AE341" s="208"/>
      <c r="AF341" s="208"/>
      <c r="AG341" s="208"/>
      <c r="AH341" s="208"/>
      <c r="AI341" s="100"/>
    </row>
    <row r="342" ht="14.25" customHeight="1">
      <c r="A342" s="195"/>
      <c r="B342" s="100"/>
      <c r="C342" s="100"/>
      <c r="D342" s="100"/>
      <c r="E342" s="100"/>
      <c r="F342" s="206"/>
      <c r="G342" s="206"/>
      <c r="H342" s="207"/>
      <c r="I342" s="207"/>
      <c r="J342" s="207"/>
      <c r="K342" s="207"/>
      <c r="L342" s="207"/>
      <c r="M342" s="207"/>
      <c r="N342" s="207"/>
      <c r="O342" s="207"/>
      <c r="P342" s="207"/>
      <c r="Q342" s="207"/>
      <c r="R342" s="207"/>
      <c r="S342" s="207"/>
      <c r="T342" s="207"/>
      <c r="U342" s="207"/>
      <c r="V342" s="207"/>
      <c r="W342" s="208"/>
      <c r="X342" s="208"/>
      <c r="Y342" s="208"/>
      <c r="Z342" s="208"/>
      <c r="AA342" s="208"/>
      <c r="AB342" s="208"/>
      <c r="AC342" s="208"/>
      <c r="AD342" s="208"/>
      <c r="AE342" s="208"/>
      <c r="AF342" s="208"/>
      <c r="AG342" s="208"/>
      <c r="AH342" s="208"/>
      <c r="AI342" s="100"/>
    </row>
    <row r="343" ht="14.25" customHeight="1">
      <c r="A343" s="195"/>
      <c r="B343" s="100"/>
      <c r="C343" s="100"/>
      <c r="D343" s="100"/>
      <c r="E343" s="100"/>
      <c r="F343" s="206"/>
      <c r="G343" s="206"/>
      <c r="H343" s="207"/>
      <c r="I343" s="207"/>
      <c r="J343" s="207"/>
      <c r="K343" s="207"/>
      <c r="L343" s="207"/>
      <c r="M343" s="207"/>
      <c r="N343" s="207"/>
      <c r="O343" s="207"/>
      <c r="P343" s="207"/>
      <c r="Q343" s="207"/>
      <c r="R343" s="207"/>
      <c r="S343" s="207"/>
      <c r="T343" s="207"/>
      <c r="U343" s="207"/>
      <c r="V343" s="207"/>
      <c r="W343" s="208"/>
      <c r="X343" s="208"/>
      <c r="Y343" s="208"/>
      <c r="Z343" s="208"/>
      <c r="AA343" s="208"/>
      <c r="AB343" s="208"/>
      <c r="AC343" s="208"/>
      <c r="AD343" s="208"/>
      <c r="AE343" s="208"/>
      <c r="AF343" s="208"/>
      <c r="AG343" s="208"/>
      <c r="AH343" s="208"/>
      <c r="AI343" s="100"/>
    </row>
    <row r="344" ht="14.25" customHeight="1">
      <c r="A344" s="195"/>
      <c r="B344" s="100"/>
      <c r="C344" s="100"/>
      <c r="D344" s="100"/>
      <c r="E344" s="100"/>
      <c r="F344" s="206"/>
      <c r="G344" s="206"/>
      <c r="H344" s="207"/>
      <c r="I344" s="207"/>
      <c r="J344" s="207"/>
      <c r="K344" s="207"/>
      <c r="L344" s="207"/>
      <c r="M344" s="207"/>
      <c r="N344" s="207"/>
      <c r="O344" s="207"/>
      <c r="P344" s="207"/>
      <c r="Q344" s="207"/>
      <c r="R344" s="207"/>
      <c r="S344" s="207"/>
      <c r="T344" s="207"/>
      <c r="U344" s="207"/>
      <c r="V344" s="207"/>
      <c r="W344" s="208"/>
      <c r="X344" s="208"/>
      <c r="Y344" s="208"/>
      <c r="Z344" s="208"/>
      <c r="AA344" s="208"/>
      <c r="AB344" s="208"/>
      <c r="AC344" s="208"/>
      <c r="AD344" s="208"/>
      <c r="AE344" s="208"/>
      <c r="AF344" s="208"/>
      <c r="AG344" s="208"/>
      <c r="AH344" s="208"/>
      <c r="AI344" s="100"/>
    </row>
    <row r="345" ht="14.25" customHeight="1">
      <c r="A345" s="195"/>
      <c r="B345" s="100"/>
      <c r="C345" s="100"/>
      <c r="D345" s="100"/>
      <c r="E345" s="100"/>
      <c r="F345" s="206"/>
      <c r="G345" s="206"/>
      <c r="H345" s="207"/>
      <c r="I345" s="207"/>
      <c r="J345" s="207"/>
      <c r="K345" s="207"/>
      <c r="L345" s="207"/>
      <c r="M345" s="207"/>
      <c r="N345" s="207"/>
      <c r="O345" s="207"/>
      <c r="P345" s="207"/>
      <c r="Q345" s="207"/>
      <c r="R345" s="207"/>
      <c r="S345" s="207"/>
      <c r="T345" s="207"/>
      <c r="U345" s="207"/>
      <c r="V345" s="207"/>
      <c r="W345" s="208"/>
      <c r="X345" s="208"/>
      <c r="Y345" s="208"/>
      <c r="Z345" s="208"/>
      <c r="AA345" s="208"/>
      <c r="AB345" s="208"/>
      <c r="AC345" s="208"/>
      <c r="AD345" s="208"/>
      <c r="AE345" s="208"/>
      <c r="AF345" s="208"/>
      <c r="AG345" s="208"/>
      <c r="AH345" s="208"/>
      <c r="AI345" s="100"/>
    </row>
    <row r="346" ht="14.25" customHeight="1">
      <c r="A346" s="195"/>
      <c r="B346" s="100"/>
      <c r="C346" s="100"/>
      <c r="D346" s="100"/>
      <c r="E346" s="100"/>
      <c r="F346" s="206"/>
      <c r="G346" s="206"/>
      <c r="H346" s="207"/>
      <c r="I346" s="207"/>
      <c r="J346" s="207"/>
      <c r="K346" s="207"/>
      <c r="L346" s="207"/>
      <c r="M346" s="207"/>
      <c r="N346" s="207"/>
      <c r="O346" s="207"/>
      <c r="P346" s="207"/>
      <c r="Q346" s="207"/>
      <c r="R346" s="207"/>
      <c r="S346" s="207"/>
      <c r="T346" s="207"/>
      <c r="U346" s="207"/>
      <c r="V346" s="207"/>
      <c r="W346" s="208"/>
      <c r="X346" s="208"/>
      <c r="Y346" s="208"/>
      <c r="Z346" s="208"/>
      <c r="AA346" s="208"/>
      <c r="AB346" s="208"/>
      <c r="AC346" s="208"/>
      <c r="AD346" s="208"/>
      <c r="AE346" s="208"/>
      <c r="AF346" s="208"/>
      <c r="AG346" s="208"/>
      <c r="AH346" s="208"/>
      <c r="AI346" s="100"/>
    </row>
    <row r="347" ht="14.25" customHeight="1">
      <c r="A347" s="195"/>
      <c r="B347" s="100"/>
      <c r="C347" s="100"/>
      <c r="D347" s="100"/>
      <c r="E347" s="100"/>
      <c r="F347" s="206"/>
      <c r="G347" s="206"/>
      <c r="H347" s="207"/>
      <c r="I347" s="207"/>
      <c r="J347" s="207"/>
      <c r="K347" s="207"/>
      <c r="L347" s="207"/>
      <c r="M347" s="207"/>
      <c r="N347" s="207"/>
      <c r="O347" s="207"/>
      <c r="P347" s="207"/>
      <c r="Q347" s="207"/>
      <c r="R347" s="207"/>
      <c r="S347" s="207"/>
      <c r="T347" s="207"/>
      <c r="U347" s="207"/>
      <c r="V347" s="207"/>
      <c r="W347" s="208"/>
      <c r="X347" s="208"/>
      <c r="Y347" s="208"/>
      <c r="Z347" s="208"/>
      <c r="AA347" s="208"/>
      <c r="AB347" s="208"/>
      <c r="AC347" s="208"/>
      <c r="AD347" s="208"/>
      <c r="AE347" s="208"/>
      <c r="AF347" s="208"/>
      <c r="AG347" s="208"/>
      <c r="AH347" s="208"/>
      <c r="AI347" s="100"/>
    </row>
    <row r="348" ht="14.25" customHeight="1">
      <c r="A348" s="195"/>
      <c r="B348" s="100"/>
      <c r="C348" s="100"/>
      <c r="D348" s="100"/>
      <c r="E348" s="100"/>
      <c r="F348" s="206"/>
      <c r="G348" s="206"/>
      <c r="H348" s="207"/>
      <c r="I348" s="207"/>
      <c r="J348" s="207"/>
      <c r="K348" s="207"/>
      <c r="L348" s="207"/>
      <c r="M348" s="207"/>
      <c r="N348" s="207"/>
      <c r="O348" s="207"/>
      <c r="P348" s="207"/>
      <c r="Q348" s="207"/>
      <c r="R348" s="207"/>
      <c r="S348" s="207"/>
      <c r="T348" s="207"/>
      <c r="U348" s="207"/>
      <c r="V348" s="207"/>
      <c r="W348" s="208"/>
      <c r="X348" s="208"/>
      <c r="Y348" s="208"/>
      <c r="Z348" s="208"/>
      <c r="AA348" s="208"/>
      <c r="AB348" s="208"/>
      <c r="AC348" s="208"/>
      <c r="AD348" s="208"/>
      <c r="AE348" s="208"/>
      <c r="AF348" s="208"/>
      <c r="AG348" s="208"/>
      <c r="AH348" s="208"/>
      <c r="AI348" s="100"/>
    </row>
    <row r="349" ht="14.25" customHeight="1">
      <c r="A349" s="195"/>
      <c r="B349" s="100"/>
      <c r="C349" s="100"/>
      <c r="D349" s="100"/>
      <c r="E349" s="100"/>
      <c r="F349" s="206"/>
      <c r="G349" s="206"/>
      <c r="H349" s="207"/>
      <c r="I349" s="207"/>
      <c r="J349" s="207"/>
      <c r="K349" s="207"/>
      <c r="L349" s="207"/>
      <c r="M349" s="207"/>
      <c r="N349" s="207"/>
      <c r="O349" s="207"/>
      <c r="P349" s="207"/>
      <c r="Q349" s="207"/>
      <c r="R349" s="207"/>
      <c r="S349" s="207"/>
      <c r="T349" s="207"/>
      <c r="U349" s="207"/>
      <c r="V349" s="207"/>
      <c r="W349" s="208"/>
      <c r="X349" s="208"/>
      <c r="Y349" s="208"/>
      <c r="Z349" s="208"/>
      <c r="AA349" s="208"/>
      <c r="AB349" s="208"/>
      <c r="AC349" s="208"/>
      <c r="AD349" s="208"/>
      <c r="AE349" s="208"/>
      <c r="AF349" s="208"/>
      <c r="AG349" s="208"/>
      <c r="AH349" s="208"/>
      <c r="AI349" s="100"/>
    </row>
    <row r="350" ht="14.25" customHeight="1">
      <c r="A350" s="195"/>
      <c r="B350" s="100"/>
      <c r="C350" s="100"/>
      <c r="D350" s="100"/>
      <c r="E350" s="100"/>
      <c r="F350" s="206"/>
      <c r="G350" s="206"/>
      <c r="H350" s="207"/>
      <c r="I350" s="207"/>
      <c r="J350" s="207"/>
      <c r="K350" s="207"/>
      <c r="L350" s="207"/>
      <c r="M350" s="207"/>
      <c r="N350" s="207"/>
      <c r="O350" s="207"/>
      <c r="P350" s="207"/>
      <c r="Q350" s="207"/>
      <c r="R350" s="207"/>
      <c r="S350" s="207"/>
      <c r="T350" s="207"/>
      <c r="U350" s="207"/>
      <c r="V350" s="207"/>
      <c r="W350" s="208"/>
      <c r="X350" s="208"/>
      <c r="Y350" s="208"/>
      <c r="Z350" s="208"/>
      <c r="AA350" s="208"/>
      <c r="AB350" s="208"/>
      <c r="AC350" s="208"/>
      <c r="AD350" s="208"/>
      <c r="AE350" s="208"/>
      <c r="AF350" s="208"/>
      <c r="AG350" s="208"/>
      <c r="AH350" s="208"/>
      <c r="AI350" s="100"/>
    </row>
    <row r="351" ht="14.25" customHeight="1">
      <c r="A351" s="195"/>
      <c r="B351" s="100"/>
      <c r="C351" s="100"/>
      <c r="D351" s="100"/>
      <c r="E351" s="100"/>
      <c r="F351" s="206"/>
      <c r="G351" s="206"/>
      <c r="H351" s="207"/>
      <c r="I351" s="207"/>
      <c r="J351" s="207"/>
      <c r="K351" s="207"/>
      <c r="L351" s="207"/>
      <c r="M351" s="207"/>
      <c r="N351" s="207"/>
      <c r="O351" s="207"/>
      <c r="P351" s="207"/>
      <c r="Q351" s="207"/>
      <c r="R351" s="207"/>
      <c r="S351" s="207"/>
      <c r="T351" s="207"/>
      <c r="U351" s="207"/>
      <c r="V351" s="207"/>
      <c r="W351" s="208"/>
      <c r="X351" s="208"/>
      <c r="Y351" s="208"/>
      <c r="Z351" s="208"/>
      <c r="AA351" s="208"/>
      <c r="AB351" s="208"/>
      <c r="AC351" s="208"/>
      <c r="AD351" s="208"/>
      <c r="AE351" s="208"/>
      <c r="AF351" s="208"/>
      <c r="AG351" s="208"/>
      <c r="AH351" s="208"/>
      <c r="AI351" s="100"/>
    </row>
    <row r="352" ht="14.25" customHeight="1">
      <c r="A352" s="195"/>
      <c r="B352" s="100"/>
      <c r="C352" s="100"/>
      <c r="D352" s="100"/>
      <c r="E352" s="100"/>
      <c r="F352" s="206"/>
      <c r="G352" s="206"/>
      <c r="H352" s="207"/>
      <c r="I352" s="207"/>
      <c r="J352" s="207"/>
      <c r="K352" s="207"/>
      <c r="L352" s="207"/>
      <c r="M352" s="207"/>
      <c r="N352" s="207"/>
      <c r="O352" s="207"/>
      <c r="P352" s="207"/>
      <c r="Q352" s="207"/>
      <c r="R352" s="207"/>
      <c r="S352" s="207"/>
      <c r="T352" s="207"/>
      <c r="U352" s="207"/>
      <c r="V352" s="207"/>
      <c r="W352" s="208"/>
      <c r="X352" s="208"/>
      <c r="Y352" s="208"/>
      <c r="Z352" s="208"/>
      <c r="AA352" s="208"/>
      <c r="AB352" s="208"/>
      <c r="AC352" s="208"/>
      <c r="AD352" s="208"/>
      <c r="AE352" s="208"/>
      <c r="AF352" s="208"/>
      <c r="AG352" s="208"/>
      <c r="AH352" s="208"/>
      <c r="AI352" s="100"/>
    </row>
    <row r="353" ht="14.25" customHeight="1">
      <c r="A353" s="195"/>
      <c r="B353" s="100"/>
      <c r="C353" s="100"/>
      <c r="D353" s="100"/>
      <c r="E353" s="100"/>
      <c r="F353" s="206"/>
      <c r="G353" s="206"/>
      <c r="H353" s="207"/>
      <c r="I353" s="207"/>
      <c r="J353" s="207"/>
      <c r="K353" s="207"/>
      <c r="L353" s="207"/>
      <c r="M353" s="207"/>
      <c r="N353" s="207"/>
      <c r="O353" s="207"/>
      <c r="P353" s="207"/>
      <c r="Q353" s="207"/>
      <c r="R353" s="207"/>
      <c r="S353" s="207"/>
      <c r="T353" s="207"/>
      <c r="U353" s="207"/>
      <c r="V353" s="207"/>
      <c r="W353" s="208"/>
      <c r="X353" s="208"/>
      <c r="Y353" s="208"/>
      <c r="Z353" s="208"/>
      <c r="AA353" s="208"/>
      <c r="AB353" s="208"/>
      <c r="AC353" s="208"/>
      <c r="AD353" s="208"/>
      <c r="AE353" s="208"/>
      <c r="AF353" s="208"/>
      <c r="AG353" s="208"/>
      <c r="AH353" s="208"/>
      <c r="AI353" s="100"/>
    </row>
    <row r="354" ht="14.25" customHeight="1">
      <c r="A354" s="195"/>
      <c r="B354" s="100"/>
      <c r="C354" s="100"/>
      <c r="D354" s="100"/>
      <c r="E354" s="100"/>
      <c r="F354" s="206"/>
      <c r="G354" s="206"/>
      <c r="H354" s="207"/>
      <c r="I354" s="207"/>
      <c r="J354" s="207"/>
      <c r="K354" s="207"/>
      <c r="L354" s="207"/>
      <c r="M354" s="207"/>
      <c r="N354" s="207"/>
      <c r="O354" s="207"/>
      <c r="P354" s="207"/>
      <c r="Q354" s="207"/>
      <c r="R354" s="207"/>
      <c r="S354" s="207"/>
      <c r="T354" s="207"/>
      <c r="U354" s="207"/>
      <c r="V354" s="207"/>
      <c r="W354" s="208"/>
      <c r="X354" s="208"/>
      <c r="Y354" s="208"/>
      <c r="Z354" s="208"/>
      <c r="AA354" s="208"/>
      <c r="AB354" s="208"/>
      <c r="AC354" s="208"/>
      <c r="AD354" s="208"/>
      <c r="AE354" s="208"/>
      <c r="AF354" s="208"/>
      <c r="AG354" s="208"/>
      <c r="AH354" s="208"/>
      <c r="AI354" s="100"/>
    </row>
    <row r="355" ht="14.25" customHeight="1">
      <c r="A355" s="195"/>
      <c r="B355" s="100"/>
      <c r="C355" s="100"/>
      <c r="D355" s="100"/>
      <c r="E355" s="100"/>
      <c r="F355" s="206"/>
      <c r="G355" s="206"/>
      <c r="H355" s="207"/>
      <c r="I355" s="207"/>
      <c r="J355" s="207"/>
      <c r="K355" s="207"/>
      <c r="L355" s="207"/>
      <c r="M355" s="207"/>
      <c r="N355" s="207"/>
      <c r="O355" s="207"/>
      <c r="P355" s="207"/>
      <c r="Q355" s="207"/>
      <c r="R355" s="207"/>
      <c r="S355" s="207"/>
      <c r="T355" s="207"/>
      <c r="U355" s="207"/>
      <c r="V355" s="207"/>
      <c r="W355" s="208"/>
      <c r="X355" s="208"/>
      <c r="Y355" s="208"/>
      <c r="Z355" s="208"/>
      <c r="AA355" s="208"/>
      <c r="AB355" s="208"/>
      <c r="AC355" s="208"/>
      <c r="AD355" s="208"/>
      <c r="AE355" s="208"/>
      <c r="AF355" s="208"/>
      <c r="AG355" s="208"/>
      <c r="AH355" s="208"/>
      <c r="AI355" s="100"/>
    </row>
    <row r="356" ht="14.25" customHeight="1">
      <c r="A356" s="195"/>
      <c r="B356" s="100"/>
      <c r="C356" s="100"/>
      <c r="D356" s="100"/>
      <c r="E356" s="100"/>
      <c r="F356" s="206"/>
      <c r="G356" s="206"/>
      <c r="H356" s="207"/>
      <c r="I356" s="207"/>
      <c r="J356" s="207"/>
      <c r="K356" s="207"/>
      <c r="L356" s="207"/>
      <c r="M356" s="207"/>
      <c r="N356" s="207"/>
      <c r="O356" s="207"/>
      <c r="P356" s="207"/>
      <c r="Q356" s="207"/>
      <c r="R356" s="207"/>
      <c r="S356" s="207"/>
      <c r="T356" s="207"/>
      <c r="U356" s="207"/>
      <c r="V356" s="207"/>
      <c r="W356" s="208"/>
      <c r="X356" s="208"/>
      <c r="Y356" s="208"/>
      <c r="Z356" s="208"/>
      <c r="AA356" s="208"/>
      <c r="AB356" s="208"/>
      <c r="AC356" s="208"/>
      <c r="AD356" s="208"/>
      <c r="AE356" s="208"/>
      <c r="AF356" s="208"/>
      <c r="AG356" s="208"/>
      <c r="AH356" s="208"/>
      <c r="AI356" s="100"/>
    </row>
    <row r="357" ht="14.25" customHeight="1">
      <c r="A357" s="195"/>
      <c r="B357" s="100"/>
      <c r="C357" s="100"/>
      <c r="D357" s="100"/>
      <c r="E357" s="100"/>
      <c r="F357" s="206"/>
      <c r="G357" s="206"/>
      <c r="H357" s="207"/>
      <c r="I357" s="207"/>
      <c r="J357" s="207"/>
      <c r="K357" s="207"/>
      <c r="L357" s="207"/>
      <c r="M357" s="207"/>
      <c r="N357" s="207"/>
      <c r="O357" s="207"/>
      <c r="P357" s="207"/>
      <c r="Q357" s="207"/>
      <c r="R357" s="207"/>
      <c r="S357" s="207"/>
      <c r="T357" s="207"/>
      <c r="U357" s="207"/>
      <c r="V357" s="207"/>
      <c r="W357" s="208"/>
      <c r="X357" s="208"/>
      <c r="Y357" s="208"/>
      <c r="Z357" s="208"/>
      <c r="AA357" s="208"/>
      <c r="AB357" s="208"/>
      <c r="AC357" s="208"/>
      <c r="AD357" s="208"/>
      <c r="AE357" s="208"/>
      <c r="AF357" s="208"/>
      <c r="AG357" s="208"/>
      <c r="AH357" s="208"/>
      <c r="AI357" s="100"/>
    </row>
    <row r="358" ht="14.25" customHeight="1">
      <c r="A358" s="195"/>
      <c r="B358" s="100"/>
      <c r="C358" s="100"/>
      <c r="D358" s="100"/>
      <c r="E358" s="100"/>
      <c r="F358" s="206"/>
      <c r="G358" s="206"/>
      <c r="H358" s="207"/>
      <c r="I358" s="207"/>
      <c r="J358" s="207"/>
      <c r="K358" s="207"/>
      <c r="L358" s="207"/>
      <c r="M358" s="207"/>
      <c r="N358" s="207"/>
      <c r="O358" s="207"/>
      <c r="P358" s="207"/>
      <c r="Q358" s="207"/>
      <c r="R358" s="207"/>
      <c r="S358" s="207"/>
      <c r="T358" s="207"/>
      <c r="U358" s="207"/>
      <c r="V358" s="207"/>
      <c r="W358" s="208"/>
      <c r="X358" s="208"/>
      <c r="Y358" s="208"/>
      <c r="Z358" s="208"/>
      <c r="AA358" s="208"/>
      <c r="AB358" s="208"/>
      <c r="AC358" s="208"/>
      <c r="AD358" s="208"/>
      <c r="AE358" s="208"/>
      <c r="AF358" s="208"/>
      <c r="AG358" s="208"/>
      <c r="AH358" s="208"/>
      <c r="AI358" s="100"/>
    </row>
    <row r="359" ht="14.25" customHeight="1">
      <c r="A359" s="195"/>
      <c r="B359" s="100"/>
      <c r="C359" s="100"/>
      <c r="D359" s="100"/>
      <c r="E359" s="100"/>
      <c r="F359" s="206"/>
      <c r="G359" s="206"/>
      <c r="H359" s="207"/>
      <c r="I359" s="207"/>
      <c r="J359" s="207"/>
      <c r="K359" s="207"/>
      <c r="L359" s="207"/>
      <c r="M359" s="207"/>
      <c r="N359" s="207"/>
      <c r="O359" s="207"/>
      <c r="P359" s="207"/>
      <c r="Q359" s="207"/>
      <c r="R359" s="207"/>
      <c r="S359" s="207"/>
      <c r="T359" s="207"/>
      <c r="U359" s="207"/>
      <c r="V359" s="207"/>
      <c r="W359" s="208"/>
      <c r="X359" s="208"/>
      <c r="Y359" s="208"/>
      <c r="Z359" s="208"/>
      <c r="AA359" s="208"/>
      <c r="AB359" s="208"/>
      <c r="AC359" s="208"/>
      <c r="AD359" s="208"/>
      <c r="AE359" s="208"/>
      <c r="AF359" s="208"/>
      <c r="AG359" s="208"/>
      <c r="AH359" s="208"/>
      <c r="AI359" s="100"/>
    </row>
    <row r="360" ht="14.25" customHeight="1">
      <c r="A360" s="195"/>
      <c r="B360" s="100"/>
      <c r="C360" s="100"/>
      <c r="D360" s="100"/>
      <c r="E360" s="100"/>
      <c r="F360" s="206"/>
      <c r="G360" s="206"/>
      <c r="H360" s="207"/>
      <c r="I360" s="207"/>
      <c r="J360" s="207"/>
      <c r="K360" s="207"/>
      <c r="L360" s="207"/>
      <c r="M360" s="207"/>
      <c r="N360" s="207"/>
      <c r="O360" s="207"/>
      <c r="P360" s="207"/>
      <c r="Q360" s="207"/>
      <c r="R360" s="207"/>
      <c r="S360" s="207"/>
      <c r="T360" s="207"/>
      <c r="U360" s="207"/>
      <c r="V360" s="207"/>
      <c r="W360" s="208"/>
      <c r="X360" s="208"/>
      <c r="Y360" s="208"/>
      <c r="Z360" s="208"/>
      <c r="AA360" s="208"/>
      <c r="AB360" s="208"/>
      <c r="AC360" s="208"/>
      <c r="AD360" s="208"/>
      <c r="AE360" s="208"/>
      <c r="AF360" s="208"/>
      <c r="AG360" s="208"/>
      <c r="AH360" s="208"/>
      <c r="AI360" s="100"/>
    </row>
    <row r="361" ht="14.25" customHeight="1">
      <c r="A361" s="195"/>
      <c r="B361" s="100"/>
      <c r="C361" s="100"/>
      <c r="D361" s="100"/>
      <c r="E361" s="100"/>
      <c r="F361" s="206"/>
      <c r="G361" s="206"/>
      <c r="H361" s="207"/>
      <c r="I361" s="207"/>
      <c r="J361" s="207"/>
      <c r="K361" s="207"/>
      <c r="L361" s="207"/>
      <c r="M361" s="207"/>
      <c r="N361" s="207"/>
      <c r="O361" s="207"/>
      <c r="P361" s="207"/>
      <c r="Q361" s="207"/>
      <c r="R361" s="207"/>
      <c r="S361" s="207"/>
      <c r="T361" s="207"/>
      <c r="U361" s="207"/>
      <c r="V361" s="207"/>
      <c r="W361" s="208"/>
      <c r="X361" s="208"/>
      <c r="Y361" s="208"/>
      <c r="Z361" s="208"/>
      <c r="AA361" s="208"/>
      <c r="AB361" s="208"/>
      <c r="AC361" s="208"/>
      <c r="AD361" s="208"/>
      <c r="AE361" s="208"/>
      <c r="AF361" s="208"/>
      <c r="AG361" s="208"/>
      <c r="AH361" s="208"/>
      <c r="AI361" s="100"/>
    </row>
    <row r="362" ht="14.25" customHeight="1">
      <c r="A362" s="195"/>
      <c r="B362" s="100"/>
      <c r="C362" s="100"/>
      <c r="D362" s="100"/>
      <c r="E362" s="100"/>
      <c r="F362" s="206"/>
      <c r="G362" s="206"/>
      <c r="H362" s="207"/>
      <c r="I362" s="207"/>
      <c r="J362" s="207"/>
      <c r="K362" s="207"/>
      <c r="L362" s="207"/>
      <c r="M362" s="207"/>
      <c r="N362" s="207"/>
      <c r="O362" s="207"/>
      <c r="P362" s="207"/>
      <c r="Q362" s="207"/>
      <c r="R362" s="207"/>
      <c r="S362" s="207"/>
      <c r="T362" s="207"/>
      <c r="U362" s="207"/>
      <c r="V362" s="207"/>
      <c r="W362" s="208"/>
      <c r="X362" s="208"/>
      <c r="Y362" s="208"/>
      <c r="Z362" s="208"/>
      <c r="AA362" s="208"/>
      <c r="AB362" s="208"/>
      <c r="AC362" s="208"/>
      <c r="AD362" s="208"/>
      <c r="AE362" s="208"/>
      <c r="AF362" s="208"/>
      <c r="AG362" s="208"/>
      <c r="AH362" s="208"/>
      <c r="AI362" s="100"/>
    </row>
    <row r="363" ht="14.25" customHeight="1">
      <c r="A363" s="195"/>
      <c r="B363" s="100"/>
      <c r="C363" s="100"/>
      <c r="D363" s="100"/>
      <c r="E363" s="100"/>
      <c r="F363" s="206"/>
      <c r="G363" s="206"/>
      <c r="H363" s="207"/>
      <c r="I363" s="207"/>
      <c r="J363" s="207"/>
      <c r="K363" s="207"/>
      <c r="L363" s="207"/>
      <c r="M363" s="207"/>
      <c r="N363" s="207"/>
      <c r="O363" s="207"/>
      <c r="P363" s="207"/>
      <c r="Q363" s="207"/>
      <c r="R363" s="207"/>
      <c r="S363" s="207"/>
      <c r="T363" s="207"/>
      <c r="U363" s="207"/>
      <c r="V363" s="207"/>
      <c r="W363" s="208"/>
      <c r="X363" s="208"/>
      <c r="Y363" s="208"/>
      <c r="Z363" s="208"/>
      <c r="AA363" s="208"/>
      <c r="AB363" s="208"/>
      <c r="AC363" s="208"/>
      <c r="AD363" s="208"/>
      <c r="AE363" s="208"/>
      <c r="AF363" s="208"/>
      <c r="AG363" s="208"/>
      <c r="AH363" s="208"/>
      <c r="AI363" s="100"/>
    </row>
    <row r="364" ht="14.25" customHeight="1">
      <c r="A364" s="195"/>
      <c r="B364" s="100"/>
      <c r="C364" s="100"/>
      <c r="D364" s="100"/>
      <c r="E364" s="100"/>
      <c r="F364" s="206"/>
      <c r="G364" s="206"/>
      <c r="H364" s="207"/>
      <c r="I364" s="207"/>
      <c r="J364" s="207"/>
      <c r="K364" s="207"/>
      <c r="L364" s="207"/>
      <c r="M364" s="207"/>
      <c r="N364" s="207"/>
      <c r="O364" s="207"/>
      <c r="P364" s="207"/>
      <c r="Q364" s="207"/>
      <c r="R364" s="207"/>
      <c r="S364" s="207"/>
      <c r="T364" s="207"/>
      <c r="U364" s="207"/>
      <c r="V364" s="207"/>
      <c r="W364" s="208"/>
      <c r="X364" s="208"/>
      <c r="Y364" s="208"/>
      <c r="Z364" s="208"/>
      <c r="AA364" s="208"/>
      <c r="AB364" s="208"/>
      <c r="AC364" s="208"/>
      <c r="AD364" s="208"/>
      <c r="AE364" s="208"/>
      <c r="AF364" s="208"/>
      <c r="AG364" s="208"/>
      <c r="AH364" s="208"/>
      <c r="AI364" s="100"/>
    </row>
    <row r="365" ht="14.25" customHeight="1">
      <c r="A365" s="195"/>
      <c r="B365" s="100"/>
      <c r="C365" s="100"/>
      <c r="D365" s="100"/>
      <c r="E365" s="100"/>
      <c r="F365" s="206"/>
      <c r="G365" s="206"/>
      <c r="H365" s="207"/>
      <c r="I365" s="207"/>
      <c r="J365" s="207"/>
      <c r="K365" s="207"/>
      <c r="L365" s="207"/>
      <c r="M365" s="207"/>
      <c r="N365" s="207"/>
      <c r="O365" s="207"/>
      <c r="P365" s="207"/>
      <c r="Q365" s="207"/>
      <c r="R365" s="207"/>
      <c r="S365" s="207"/>
      <c r="T365" s="207"/>
      <c r="U365" s="207"/>
      <c r="V365" s="207"/>
      <c r="W365" s="208"/>
      <c r="X365" s="208"/>
      <c r="Y365" s="208"/>
      <c r="Z365" s="208"/>
      <c r="AA365" s="208"/>
      <c r="AB365" s="208"/>
      <c r="AC365" s="208"/>
      <c r="AD365" s="208"/>
      <c r="AE365" s="208"/>
      <c r="AF365" s="208"/>
      <c r="AG365" s="208"/>
      <c r="AH365" s="208"/>
      <c r="AI365" s="100"/>
    </row>
    <row r="366" ht="14.25" customHeight="1">
      <c r="A366" s="195"/>
      <c r="B366" s="100"/>
      <c r="C366" s="100"/>
      <c r="D366" s="100"/>
      <c r="E366" s="100"/>
      <c r="F366" s="206"/>
      <c r="G366" s="206"/>
      <c r="H366" s="207"/>
      <c r="I366" s="207"/>
      <c r="J366" s="207"/>
      <c r="K366" s="207"/>
      <c r="L366" s="207"/>
      <c r="M366" s="207"/>
      <c r="N366" s="207"/>
      <c r="O366" s="207"/>
      <c r="P366" s="207"/>
      <c r="Q366" s="207"/>
      <c r="R366" s="207"/>
      <c r="S366" s="207"/>
      <c r="T366" s="207"/>
      <c r="U366" s="207"/>
      <c r="V366" s="207"/>
      <c r="W366" s="208"/>
      <c r="X366" s="208"/>
      <c r="Y366" s="208"/>
      <c r="Z366" s="208"/>
      <c r="AA366" s="208"/>
      <c r="AB366" s="208"/>
      <c r="AC366" s="208"/>
      <c r="AD366" s="208"/>
      <c r="AE366" s="208"/>
      <c r="AF366" s="208"/>
      <c r="AG366" s="208"/>
      <c r="AH366" s="208"/>
      <c r="AI366" s="100"/>
    </row>
    <row r="367" ht="14.25" customHeight="1">
      <c r="A367" s="195"/>
      <c r="B367" s="100"/>
      <c r="C367" s="100"/>
      <c r="D367" s="100"/>
      <c r="E367" s="100"/>
      <c r="F367" s="206"/>
      <c r="G367" s="206"/>
      <c r="H367" s="207"/>
      <c r="I367" s="207"/>
      <c r="J367" s="207"/>
      <c r="K367" s="207"/>
      <c r="L367" s="207"/>
      <c r="M367" s="207"/>
      <c r="N367" s="207"/>
      <c r="O367" s="207"/>
      <c r="P367" s="207"/>
      <c r="Q367" s="207"/>
      <c r="R367" s="207"/>
      <c r="S367" s="207"/>
      <c r="T367" s="207"/>
      <c r="U367" s="207"/>
      <c r="V367" s="207"/>
      <c r="W367" s="208"/>
      <c r="X367" s="208"/>
      <c r="Y367" s="208"/>
      <c r="Z367" s="208"/>
      <c r="AA367" s="208"/>
      <c r="AB367" s="208"/>
      <c r="AC367" s="208"/>
      <c r="AD367" s="208"/>
      <c r="AE367" s="208"/>
      <c r="AF367" s="208"/>
      <c r="AG367" s="208"/>
      <c r="AH367" s="208"/>
      <c r="AI367" s="100"/>
    </row>
    <row r="368" ht="14.25" customHeight="1">
      <c r="A368" s="195"/>
      <c r="B368" s="100"/>
      <c r="C368" s="100"/>
      <c r="D368" s="100"/>
      <c r="E368" s="100"/>
      <c r="F368" s="206"/>
      <c r="G368" s="206"/>
      <c r="H368" s="207"/>
      <c r="I368" s="207"/>
      <c r="J368" s="207"/>
      <c r="K368" s="207"/>
      <c r="L368" s="207"/>
      <c r="M368" s="207"/>
      <c r="N368" s="207"/>
      <c r="O368" s="207"/>
      <c r="P368" s="207"/>
      <c r="Q368" s="207"/>
      <c r="R368" s="207"/>
      <c r="S368" s="207"/>
      <c r="T368" s="207"/>
      <c r="U368" s="207"/>
      <c r="V368" s="207"/>
      <c r="W368" s="208"/>
      <c r="X368" s="208"/>
      <c r="Y368" s="208"/>
      <c r="Z368" s="208"/>
      <c r="AA368" s="208"/>
      <c r="AB368" s="208"/>
      <c r="AC368" s="208"/>
      <c r="AD368" s="208"/>
      <c r="AE368" s="208"/>
      <c r="AF368" s="208"/>
      <c r="AG368" s="208"/>
      <c r="AH368" s="208"/>
      <c r="AI368" s="100"/>
    </row>
    <row r="369" ht="14.25" customHeight="1">
      <c r="A369" s="195"/>
      <c r="B369" s="100"/>
      <c r="C369" s="100"/>
      <c r="D369" s="100"/>
      <c r="E369" s="100"/>
      <c r="F369" s="206"/>
      <c r="G369" s="206"/>
      <c r="H369" s="207"/>
      <c r="I369" s="207"/>
      <c r="J369" s="207"/>
      <c r="K369" s="207"/>
      <c r="L369" s="207"/>
      <c r="M369" s="207"/>
      <c r="N369" s="207"/>
      <c r="O369" s="207"/>
      <c r="P369" s="207"/>
      <c r="Q369" s="207"/>
      <c r="R369" s="207"/>
      <c r="S369" s="207"/>
      <c r="T369" s="207"/>
      <c r="U369" s="207"/>
      <c r="V369" s="207"/>
      <c r="W369" s="208"/>
      <c r="X369" s="208"/>
      <c r="Y369" s="208"/>
      <c r="Z369" s="208"/>
      <c r="AA369" s="208"/>
      <c r="AB369" s="208"/>
      <c r="AC369" s="208"/>
      <c r="AD369" s="208"/>
      <c r="AE369" s="208"/>
      <c r="AF369" s="208"/>
      <c r="AG369" s="208"/>
      <c r="AH369" s="208"/>
      <c r="AI369" s="100"/>
    </row>
    <row r="370" ht="14.25" customHeight="1">
      <c r="A370" s="195"/>
      <c r="B370" s="100"/>
      <c r="C370" s="100"/>
      <c r="D370" s="100"/>
      <c r="E370" s="100"/>
      <c r="F370" s="206"/>
      <c r="G370" s="206"/>
      <c r="H370" s="207"/>
      <c r="I370" s="207"/>
      <c r="J370" s="207"/>
      <c r="K370" s="207"/>
      <c r="L370" s="207"/>
      <c r="M370" s="207"/>
      <c r="N370" s="207"/>
      <c r="O370" s="207"/>
      <c r="P370" s="207"/>
      <c r="Q370" s="207"/>
      <c r="R370" s="207"/>
      <c r="S370" s="207"/>
      <c r="T370" s="207"/>
      <c r="U370" s="207"/>
      <c r="V370" s="207"/>
      <c r="W370" s="208"/>
      <c r="X370" s="208"/>
      <c r="Y370" s="208"/>
      <c r="Z370" s="208"/>
      <c r="AA370" s="208"/>
      <c r="AB370" s="208"/>
      <c r="AC370" s="208"/>
      <c r="AD370" s="208"/>
      <c r="AE370" s="208"/>
      <c r="AF370" s="208"/>
      <c r="AG370" s="208"/>
      <c r="AH370" s="208"/>
      <c r="AI370" s="100"/>
    </row>
    <row r="371" ht="14.25" customHeight="1">
      <c r="A371" s="195"/>
      <c r="B371" s="100"/>
      <c r="C371" s="100"/>
      <c r="D371" s="100"/>
      <c r="E371" s="100"/>
      <c r="F371" s="206"/>
      <c r="G371" s="206"/>
      <c r="H371" s="207"/>
      <c r="I371" s="207"/>
      <c r="J371" s="207"/>
      <c r="K371" s="207"/>
      <c r="L371" s="207"/>
      <c r="M371" s="207"/>
      <c r="N371" s="207"/>
      <c r="O371" s="207"/>
      <c r="P371" s="207"/>
      <c r="Q371" s="207"/>
      <c r="R371" s="207"/>
      <c r="S371" s="207"/>
      <c r="T371" s="207"/>
      <c r="U371" s="207"/>
      <c r="V371" s="207"/>
      <c r="W371" s="208"/>
      <c r="X371" s="208"/>
      <c r="Y371" s="208"/>
      <c r="Z371" s="208"/>
      <c r="AA371" s="208"/>
      <c r="AB371" s="208"/>
      <c r="AC371" s="208"/>
      <c r="AD371" s="208"/>
      <c r="AE371" s="208"/>
      <c r="AF371" s="208"/>
      <c r="AG371" s="208"/>
      <c r="AH371" s="208"/>
      <c r="AI371" s="100"/>
    </row>
    <row r="372" ht="14.25" customHeight="1">
      <c r="A372" s="195"/>
      <c r="B372" s="100"/>
      <c r="C372" s="100"/>
      <c r="D372" s="100"/>
      <c r="E372" s="100"/>
      <c r="F372" s="206"/>
      <c r="G372" s="206"/>
      <c r="H372" s="207"/>
      <c r="I372" s="207"/>
      <c r="J372" s="207"/>
      <c r="K372" s="207"/>
      <c r="L372" s="207"/>
      <c r="M372" s="207"/>
      <c r="N372" s="207"/>
      <c r="O372" s="207"/>
      <c r="P372" s="207"/>
      <c r="Q372" s="207"/>
      <c r="R372" s="207"/>
      <c r="S372" s="207"/>
      <c r="T372" s="207"/>
      <c r="U372" s="207"/>
      <c r="V372" s="207"/>
      <c r="W372" s="208"/>
      <c r="X372" s="208"/>
      <c r="Y372" s="208"/>
      <c r="Z372" s="208"/>
      <c r="AA372" s="208"/>
      <c r="AB372" s="208"/>
      <c r="AC372" s="208"/>
      <c r="AD372" s="208"/>
      <c r="AE372" s="208"/>
      <c r="AF372" s="208"/>
      <c r="AG372" s="208"/>
      <c r="AH372" s="208"/>
      <c r="AI372" s="100"/>
    </row>
    <row r="373" ht="14.25" customHeight="1">
      <c r="A373" s="195"/>
      <c r="B373" s="100"/>
      <c r="C373" s="100"/>
      <c r="D373" s="100"/>
      <c r="E373" s="100"/>
      <c r="F373" s="206"/>
      <c r="G373" s="206"/>
      <c r="H373" s="207"/>
      <c r="I373" s="207"/>
      <c r="J373" s="207"/>
      <c r="K373" s="207"/>
      <c r="L373" s="207"/>
      <c r="M373" s="207"/>
      <c r="N373" s="207"/>
      <c r="O373" s="207"/>
      <c r="P373" s="207"/>
      <c r="Q373" s="207"/>
      <c r="R373" s="207"/>
      <c r="S373" s="207"/>
      <c r="T373" s="207"/>
      <c r="U373" s="207"/>
      <c r="V373" s="207"/>
      <c r="W373" s="208"/>
      <c r="X373" s="208"/>
      <c r="Y373" s="208"/>
      <c r="Z373" s="208"/>
      <c r="AA373" s="208"/>
      <c r="AB373" s="208"/>
      <c r="AC373" s="208"/>
      <c r="AD373" s="208"/>
      <c r="AE373" s="208"/>
      <c r="AF373" s="208"/>
      <c r="AG373" s="208"/>
      <c r="AH373" s="208"/>
      <c r="AI373" s="100"/>
    </row>
    <row r="374" ht="14.25" customHeight="1">
      <c r="A374" s="195"/>
      <c r="B374" s="100"/>
      <c r="C374" s="100"/>
      <c r="D374" s="100"/>
      <c r="E374" s="100"/>
      <c r="F374" s="206"/>
      <c r="G374" s="206"/>
      <c r="H374" s="207"/>
      <c r="I374" s="207"/>
      <c r="J374" s="207"/>
      <c r="K374" s="207"/>
      <c r="L374" s="207"/>
      <c r="M374" s="207"/>
      <c r="N374" s="207"/>
      <c r="O374" s="207"/>
      <c r="P374" s="207"/>
      <c r="Q374" s="207"/>
      <c r="R374" s="207"/>
      <c r="S374" s="207"/>
      <c r="T374" s="207"/>
      <c r="U374" s="207"/>
      <c r="V374" s="207"/>
      <c r="W374" s="208"/>
      <c r="X374" s="208"/>
      <c r="Y374" s="208"/>
      <c r="Z374" s="208"/>
      <c r="AA374" s="208"/>
      <c r="AB374" s="208"/>
      <c r="AC374" s="208"/>
      <c r="AD374" s="208"/>
      <c r="AE374" s="208"/>
      <c r="AF374" s="208"/>
      <c r="AG374" s="208"/>
      <c r="AH374" s="208"/>
      <c r="AI374" s="100"/>
    </row>
    <row r="375" ht="14.25" customHeight="1">
      <c r="A375" s="195"/>
      <c r="B375" s="100"/>
      <c r="C375" s="100"/>
      <c r="D375" s="100"/>
      <c r="E375" s="100"/>
      <c r="F375" s="206"/>
      <c r="G375" s="206"/>
      <c r="H375" s="207"/>
      <c r="I375" s="207"/>
      <c r="J375" s="207"/>
      <c r="K375" s="207"/>
      <c r="L375" s="207"/>
      <c r="M375" s="207"/>
      <c r="N375" s="207"/>
      <c r="O375" s="207"/>
      <c r="P375" s="207"/>
      <c r="Q375" s="207"/>
      <c r="R375" s="207"/>
      <c r="S375" s="207"/>
      <c r="T375" s="207"/>
      <c r="U375" s="207"/>
      <c r="V375" s="207"/>
      <c r="W375" s="208"/>
      <c r="X375" s="208"/>
      <c r="Y375" s="208"/>
      <c r="Z375" s="208"/>
      <c r="AA375" s="208"/>
      <c r="AB375" s="208"/>
      <c r="AC375" s="208"/>
      <c r="AD375" s="208"/>
      <c r="AE375" s="208"/>
      <c r="AF375" s="208"/>
      <c r="AG375" s="208"/>
      <c r="AH375" s="208"/>
      <c r="AI375" s="100"/>
    </row>
    <row r="376" ht="14.25" customHeight="1">
      <c r="A376" s="195"/>
      <c r="B376" s="100"/>
      <c r="C376" s="100"/>
      <c r="D376" s="100"/>
      <c r="E376" s="100"/>
      <c r="F376" s="206"/>
      <c r="G376" s="206"/>
      <c r="H376" s="207"/>
      <c r="I376" s="207"/>
      <c r="J376" s="207"/>
      <c r="K376" s="207"/>
      <c r="L376" s="207"/>
      <c r="M376" s="207"/>
      <c r="N376" s="207"/>
      <c r="O376" s="207"/>
      <c r="P376" s="207"/>
      <c r="Q376" s="207"/>
      <c r="R376" s="207"/>
      <c r="S376" s="207"/>
      <c r="T376" s="207"/>
      <c r="U376" s="207"/>
      <c r="V376" s="207"/>
      <c r="W376" s="208"/>
      <c r="X376" s="208"/>
      <c r="Y376" s="208"/>
      <c r="Z376" s="208"/>
      <c r="AA376" s="208"/>
      <c r="AB376" s="208"/>
      <c r="AC376" s="208"/>
      <c r="AD376" s="208"/>
      <c r="AE376" s="208"/>
      <c r="AF376" s="208"/>
      <c r="AG376" s="208"/>
      <c r="AH376" s="208"/>
      <c r="AI376" s="100"/>
    </row>
    <row r="377" ht="14.25" customHeight="1">
      <c r="A377" s="195"/>
      <c r="B377" s="100"/>
      <c r="C377" s="100"/>
      <c r="D377" s="100"/>
      <c r="E377" s="100"/>
      <c r="F377" s="206"/>
      <c r="G377" s="206"/>
      <c r="H377" s="207"/>
      <c r="I377" s="207"/>
      <c r="J377" s="207"/>
      <c r="K377" s="207"/>
      <c r="L377" s="207"/>
      <c r="M377" s="207"/>
      <c r="N377" s="207"/>
      <c r="O377" s="207"/>
      <c r="P377" s="207"/>
      <c r="Q377" s="207"/>
      <c r="R377" s="207"/>
      <c r="S377" s="207"/>
      <c r="T377" s="207"/>
      <c r="U377" s="207"/>
      <c r="V377" s="207"/>
      <c r="W377" s="208"/>
      <c r="X377" s="208"/>
      <c r="Y377" s="208"/>
      <c r="Z377" s="208"/>
      <c r="AA377" s="208"/>
      <c r="AB377" s="208"/>
      <c r="AC377" s="208"/>
      <c r="AD377" s="208"/>
      <c r="AE377" s="208"/>
      <c r="AF377" s="208"/>
      <c r="AG377" s="208"/>
      <c r="AH377" s="208"/>
      <c r="AI377" s="100"/>
    </row>
    <row r="378" ht="14.25" customHeight="1">
      <c r="A378" s="195"/>
      <c r="B378" s="100"/>
      <c r="C378" s="100"/>
      <c r="D378" s="100"/>
      <c r="E378" s="100"/>
      <c r="F378" s="206"/>
      <c r="G378" s="206"/>
      <c r="H378" s="207"/>
      <c r="I378" s="207"/>
      <c r="J378" s="207"/>
      <c r="K378" s="207"/>
      <c r="L378" s="207"/>
      <c r="M378" s="207"/>
      <c r="N378" s="207"/>
      <c r="O378" s="207"/>
      <c r="P378" s="207"/>
      <c r="Q378" s="207"/>
      <c r="R378" s="207"/>
      <c r="S378" s="207"/>
      <c r="T378" s="207"/>
      <c r="U378" s="207"/>
      <c r="V378" s="207"/>
      <c r="W378" s="208"/>
      <c r="X378" s="208"/>
      <c r="Y378" s="208"/>
      <c r="Z378" s="208"/>
      <c r="AA378" s="208"/>
      <c r="AB378" s="208"/>
      <c r="AC378" s="208"/>
      <c r="AD378" s="208"/>
      <c r="AE378" s="208"/>
      <c r="AF378" s="208"/>
      <c r="AG378" s="208"/>
      <c r="AH378" s="208"/>
      <c r="AI378" s="100"/>
    </row>
    <row r="379" ht="14.25" customHeight="1">
      <c r="A379" s="195"/>
      <c r="B379" s="100"/>
      <c r="C379" s="100"/>
      <c r="D379" s="100"/>
      <c r="E379" s="100"/>
      <c r="F379" s="206"/>
      <c r="G379" s="206"/>
      <c r="H379" s="207"/>
      <c r="I379" s="207"/>
      <c r="J379" s="207"/>
      <c r="K379" s="207"/>
      <c r="L379" s="207"/>
      <c r="M379" s="207"/>
      <c r="N379" s="207"/>
      <c r="O379" s="207"/>
      <c r="P379" s="207"/>
      <c r="Q379" s="207"/>
      <c r="R379" s="207"/>
      <c r="S379" s="207"/>
      <c r="T379" s="207"/>
      <c r="U379" s="207"/>
      <c r="V379" s="207"/>
      <c r="W379" s="208"/>
      <c r="X379" s="208"/>
      <c r="Y379" s="208"/>
      <c r="Z379" s="208"/>
      <c r="AA379" s="208"/>
      <c r="AB379" s="208"/>
      <c r="AC379" s="208"/>
      <c r="AD379" s="208"/>
      <c r="AE379" s="208"/>
      <c r="AF379" s="208"/>
      <c r="AG379" s="208"/>
      <c r="AH379" s="208"/>
      <c r="AI379" s="100"/>
    </row>
    <row r="380" ht="14.25" customHeight="1">
      <c r="A380" s="195"/>
      <c r="B380" s="100"/>
      <c r="C380" s="100"/>
      <c r="D380" s="100"/>
      <c r="E380" s="100"/>
      <c r="F380" s="206"/>
      <c r="G380" s="206"/>
      <c r="H380" s="207"/>
      <c r="I380" s="207"/>
      <c r="J380" s="207"/>
      <c r="K380" s="207"/>
      <c r="L380" s="207"/>
      <c r="M380" s="207"/>
      <c r="N380" s="207"/>
      <c r="O380" s="207"/>
      <c r="P380" s="207"/>
      <c r="Q380" s="207"/>
      <c r="R380" s="207"/>
      <c r="S380" s="207"/>
      <c r="T380" s="207"/>
      <c r="U380" s="207"/>
      <c r="V380" s="207"/>
      <c r="W380" s="208"/>
      <c r="X380" s="208"/>
      <c r="Y380" s="208"/>
      <c r="Z380" s="208"/>
      <c r="AA380" s="208"/>
      <c r="AB380" s="208"/>
      <c r="AC380" s="208"/>
      <c r="AD380" s="208"/>
      <c r="AE380" s="208"/>
      <c r="AF380" s="208"/>
      <c r="AG380" s="208"/>
      <c r="AH380" s="208"/>
      <c r="AI380" s="100"/>
    </row>
    <row r="381" ht="14.25" customHeight="1">
      <c r="A381" s="195"/>
      <c r="B381" s="100"/>
      <c r="C381" s="100"/>
      <c r="D381" s="100"/>
      <c r="E381" s="100"/>
      <c r="F381" s="206"/>
      <c r="G381" s="206"/>
      <c r="H381" s="207"/>
      <c r="I381" s="207"/>
      <c r="J381" s="207"/>
      <c r="K381" s="207"/>
      <c r="L381" s="207"/>
      <c r="M381" s="207"/>
      <c r="N381" s="207"/>
      <c r="O381" s="207"/>
      <c r="P381" s="207"/>
      <c r="Q381" s="207"/>
      <c r="R381" s="207"/>
      <c r="S381" s="207"/>
      <c r="T381" s="207"/>
      <c r="U381" s="207"/>
      <c r="V381" s="207"/>
      <c r="W381" s="208"/>
      <c r="X381" s="208"/>
      <c r="Y381" s="208"/>
      <c r="Z381" s="208"/>
      <c r="AA381" s="208"/>
      <c r="AB381" s="208"/>
      <c r="AC381" s="208"/>
      <c r="AD381" s="208"/>
      <c r="AE381" s="208"/>
      <c r="AF381" s="208"/>
      <c r="AG381" s="208"/>
      <c r="AH381" s="208"/>
      <c r="AI381" s="100"/>
    </row>
    <row r="382" ht="14.25" customHeight="1">
      <c r="A382" s="195"/>
      <c r="B382" s="100"/>
      <c r="C382" s="100"/>
      <c r="D382" s="100"/>
      <c r="E382" s="100"/>
      <c r="F382" s="206"/>
      <c r="G382" s="206"/>
      <c r="H382" s="207"/>
      <c r="I382" s="207"/>
      <c r="J382" s="207"/>
      <c r="K382" s="207"/>
      <c r="L382" s="207"/>
      <c r="M382" s="207"/>
      <c r="N382" s="207"/>
      <c r="O382" s="207"/>
      <c r="P382" s="207"/>
      <c r="Q382" s="207"/>
      <c r="R382" s="207"/>
      <c r="S382" s="207"/>
      <c r="T382" s="207"/>
      <c r="U382" s="207"/>
      <c r="V382" s="207"/>
      <c r="W382" s="208"/>
      <c r="X382" s="208"/>
      <c r="Y382" s="208"/>
      <c r="Z382" s="208"/>
      <c r="AA382" s="208"/>
      <c r="AB382" s="208"/>
      <c r="AC382" s="208"/>
      <c r="AD382" s="208"/>
      <c r="AE382" s="208"/>
      <c r="AF382" s="208"/>
      <c r="AG382" s="208"/>
      <c r="AH382" s="208"/>
      <c r="AI382" s="100"/>
    </row>
    <row r="383" ht="14.25" customHeight="1">
      <c r="A383" s="195"/>
      <c r="B383" s="100"/>
      <c r="C383" s="100"/>
      <c r="D383" s="100"/>
      <c r="E383" s="100"/>
      <c r="F383" s="206"/>
      <c r="G383" s="206"/>
      <c r="H383" s="207"/>
      <c r="I383" s="207"/>
      <c r="J383" s="207"/>
      <c r="K383" s="207"/>
      <c r="L383" s="207"/>
      <c r="M383" s="207"/>
      <c r="N383" s="207"/>
      <c r="O383" s="207"/>
      <c r="P383" s="207"/>
      <c r="Q383" s="207"/>
      <c r="R383" s="207"/>
      <c r="S383" s="207"/>
      <c r="T383" s="207"/>
      <c r="U383" s="207"/>
      <c r="V383" s="207"/>
      <c r="W383" s="208"/>
      <c r="X383" s="208"/>
      <c r="Y383" s="208"/>
      <c r="Z383" s="208"/>
      <c r="AA383" s="208"/>
      <c r="AB383" s="208"/>
      <c r="AC383" s="208"/>
      <c r="AD383" s="208"/>
      <c r="AE383" s="208"/>
      <c r="AF383" s="208"/>
      <c r="AG383" s="208"/>
      <c r="AH383" s="208"/>
      <c r="AI383" s="100"/>
    </row>
    <row r="384" ht="14.25" customHeight="1">
      <c r="A384" s="195"/>
      <c r="B384" s="100"/>
      <c r="C384" s="100"/>
      <c r="D384" s="100"/>
      <c r="E384" s="100"/>
      <c r="F384" s="206"/>
      <c r="G384" s="206"/>
      <c r="H384" s="207"/>
      <c r="I384" s="207"/>
      <c r="J384" s="207"/>
      <c r="K384" s="207"/>
      <c r="L384" s="207"/>
      <c r="M384" s="207"/>
      <c r="N384" s="207"/>
      <c r="O384" s="207"/>
      <c r="P384" s="207"/>
      <c r="Q384" s="207"/>
      <c r="R384" s="207"/>
      <c r="S384" s="207"/>
      <c r="T384" s="207"/>
      <c r="U384" s="207"/>
      <c r="V384" s="207"/>
      <c r="W384" s="208"/>
      <c r="X384" s="208"/>
      <c r="Y384" s="208"/>
      <c r="Z384" s="208"/>
      <c r="AA384" s="208"/>
      <c r="AB384" s="208"/>
      <c r="AC384" s="208"/>
      <c r="AD384" s="208"/>
      <c r="AE384" s="208"/>
      <c r="AF384" s="208"/>
      <c r="AG384" s="208"/>
      <c r="AH384" s="208"/>
      <c r="AI384" s="100"/>
    </row>
    <row r="385" ht="14.25" customHeight="1">
      <c r="A385" s="195"/>
      <c r="B385" s="100"/>
      <c r="C385" s="100"/>
      <c r="D385" s="100"/>
      <c r="E385" s="100"/>
      <c r="F385" s="206"/>
      <c r="G385" s="206"/>
      <c r="H385" s="207"/>
      <c r="I385" s="207"/>
      <c r="J385" s="207"/>
      <c r="K385" s="207"/>
      <c r="L385" s="207"/>
      <c r="M385" s="207"/>
      <c r="N385" s="207"/>
      <c r="O385" s="207"/>
      <c r="P385" s="207"/>
      <c r="Q385" s="207"/>
      <c r="R385" s="207"/>
      <c r="S385" s="207"/>
      <c r="T385" s="207"/>
      <c r="U385" s="207"/>
      <c r="V385" s="207"/>
      <c r="W385" s="208"/>
      <c r="X385" s="208"/>
      <c r="Y385" s="208"/>
      <c r="Z385" s="208"/>
      <c r="AA385" s="208"/>
      <c r="AB385" s="208"/>
      <c r="AC385" s="208"/>
      <c r="AD385" s="208"/>
      <c r="AE385" s="208"/>
      <c r="AF385" s="208"/>
      <c r="AG385" s="208"/>
      <c r="AH385" s="208"/>
      <c r="AI385" s="100"/>
    </row>
    <row r="386" ht="14.25" customHeight="1">
      <c r="A386" s="195"/>
      <c r="B386" s="100"/>
      <c r="C386" s="100"/>
      <c r="D386" s="100"/>
      <c r="E386" s="100"/>
      <c r="F386" s="206"/>
      <c r="G386" s="206"/>
      <c r="H386" s="207"/>
      <c r="I386" s="207"/>
      <c r="J386" s="207"/>
      <c r="K386" s="207"/>
      <c r="L386" s="207"/>
      <c r="M386" s="207"/>
      <c r="N386" s="207"/>
      <c r="O386" s="207"/>
      <c r="P386" s="207"/>
      <c r="Q386" s="207"/>
      <c r="R386" s="207"/>
      <c r="S386" s="207"/>
      <c r="T386" s="207"/>
      <c r="U386" s="207"/>
      <c r="V386" s="207"/>
      <c r="W386" s="208"/>
      <c r="X386" s="208"/>
      <c r="Y386" s="208"/>
      <c r="Z386" s="208"/>
      <c r="AA386" s="208"/>
      <c r="AB386" s="208"/>
      <c r="AC386" s="208"/>
      <c r="AD386" s="208"/>
      <c r="AE386" s="208"/>
      <c r="AF386" s="208"/>
      <c r="AG386" s="208"/>
      <c r="AH386" s="208"/>
      <c r="AI386" s="100"/>
    </row>
    <row r="387" ht="14.25" customHeight="1">
      <c r="A387" s="195"/>
      <c r="B387" s="100"/>
      <c r="C387" s="100"/>
      <c r="D387" s="100"/>
      <c r="E387" s="100"/>
      <c r="F387" s="206"/>
      <c r="G387" s="206"/>
      <c r="H387" s="207"/>
      <c r="I387" s="207"/>
      <c r="J387" s="207"/>
      <c r="K387" s="207"/>
      <c r="L387" s="207"/>
      <c r="M387" s="207"/>
      <c r="N387" s="207"/>
      <c r="O387" s="207"/>
      <c r="P387" s="207"/>
      <c r="Q387" s="207"/>
      <c r="R387" s="207"/>
      <c r="S387" s="207"/>
      <c r="T387" s="207"/>
      <c r="U387" s="207"/>
      <c r="V387" s="207"/>
      <c r="W387" s="208"/>
      <c r="X387" s="208"/>
      <c r="Y387" s="208"/>
      <c r="Z387" s="208"/>
      <c r="AA387" s="208"/>
      <c r="AB387" s="208"/>
      <c r="AC387" s="208"/>
      <c r="AD387" s="208"/>
      <c r="AE387" s="208"/>
      <c r="AF387" s="208"/>
      <c r="AG387" s="208"/>
      <c r="AH387" s="208"/>
      <c r="AI387" s="100"/>
    </row>
    <row r="388" ht="14.25" customHeight="1">
      <c r="A388" s="195"/>
      <c r="B388" s="100"/>
      <c r="C388" s="100"/>
      <c r="D388" s="100"/>
      <c r="E388" s="100"/>
      <c r="F388" s="206"/>
      <c r="G388" s="206"/>
      <c r="H388" s="207"/>
      <c r="I388" s="207"/>
      <c r="J388" s="207"/>
      <c r="K388" s="207"/>
      <c r="L388" s="207"/>
      <c r="M388" s="207"/>
      <c r="N388" s="207"/>
      <c r="O388" s="207"/>
      <c r="P388" s="207"/>
      <c r="Q388" s="207"/>
      <c r="R388" s="207"/>
      <c r="S388" s="207"/>
      <c r="T388" s="207"/>
      <c r="U388" s="207"/>
      <c r="V388" s="207"/>
      <c r="W388" s="208"/>
      <c r="X388" s="208"/>
      <c r="Y388" s="208"/>
      <c r="Z388" s="208"/>
      <c r="AA388" s="208"/>
      <c r="AB388" s="208"/>
      <c r="AC388" s="208"/>
      <c r="AD388" s="208"/>
      <c r="AE388" s="208"/>
      <c r="AF388" s="208"/>
      <c r="AG388" s="208"/>
      <c r="AH388" s="208"/>
      <c r="AI388" s="100"/>
    </row>
    <row r="389" ht="14.25" customHeight="1">
      <c r="A389" s="195"/>
      <c r="B389" s="100"/>
      <c r="C389" s="100"/>
      <c r="D389" s="100"/>
      <c r="E389" s="100"/>
      <c r="F389" s="206"/>
      <c r="G389" s="206"/>
      <c r="H389" s="207"/>
      <c r="I389" s="207"/>
      <c r="J389" s="207"/>
      <c r="K389" s="207"/>
      <c r="L389" s="207"/>
      <c r="M389" s="207"/>
      <c r="N389" s="207"/>
      <c r="O389" s="207"/>
      <c r="P389" s="207"/>
      <c r="Q389" s="207"/>
      <c r="R389" s="207"/>
      <c r="S389" s="207"/>
      <c r="T389" s="207"/>
      <c r="U389" s="207"/>
      <c r="V389" s="207"/>
      <c r="W389" s="208"/>
      <c r="X389" s="208"/>
      <c r="Y389" s="208"/>
      <c r="Z389" s="208"/>
      <c r="AA389" s="208"/>
      <c r="AB389" s="208"/>
      <c r="AC389" s="208"/>
      <c r="AD389" s="208"/>
      <c r="AE389" s="208"/>
      <c r="AF389" s="208"/>
      <c r="AG389" s="208"/>
      <c r="AH389" s="208"/>
      <c r="AI389" s="100"/>
    </row>
    <row r="390" ht="14.25" customHeight="1">
      <c r="A390" s="195"/>
      <c r="B390" s="100"/>
      <c r="C390" s="100"/>
      <c r="D390" s="100"/>
      <c r="E390" s="100"/>
      <c r="F390" s="206"/>
      <c r="G390" s="206"/>
      <c r="H390" s="207"/>
      <c r="I390" s="207"/>
      <c r="J390" s="207"/>
      <c r="K390" s="207"/>
      <c r="L390" s="207"/>
      <c r="M390" s="207"/>
      <c r="N390" s="207"/>
      <c r="O390" s="207"/>
      <c r="P390" s="207"/>
      <c r="Q390" s="207"/>
      <c r="R390" s="207"/>
      <c r="S390" s="207"/>
      <c r="T390" s="207"/>
      <c r="U390" s="207"/>
      <c r="V390" s="207"/>
      <c r="W390" s="208"/>
      <c r="X390" s="208"/>
      <c r="Y390" s="208"/>
      <c r="Z390" s="208"/>
      <c r="AA390" s="208"/>
      <c r="AB390" s="208"/>
      <c r="AC390" s="208"/>
      <c r="AD390" s="208"/>
      <c r="AE390" s="208"/>
      <c r="AF390" s="208"/>
      <c r="AG390" s="208"/>
      <c r="AH390" s="208"/>
      <c r="AI390" s="100"/>
    </row>
    <row r="391" ht="14.25" customHeight="1">
      <c r="A391" s="195"/>
      <c r="B391" s="100"/>
      <c r="C391" s="100"/>
      <c r="D391" s="100"/>
      <c r="E391" s="100"/>
      <c r="F391" s="206"/>
      <c r="G391" s="206"/>
      <c r="H391" s="207"/>
      <c r="I391" s="207"/>
      <c r="J391" s="207"/>
      <c r="K391" s="207"/>
      <c r="L391" s="207"/>
      <c r="M391" s="207"/>
      <c r="N391" s="207"/>
      <c r="O391" s="207"/>
      <c r="P391" s="207"/>
      <c r="Q391" s="207"/>
      <c r="R391" s="207"/>
      <c r="S391" s="207"/>
      <c r="T391" s="207"/>
      <c r="U391" s="207"/>
      <c r="V391" s="207"/>
      <c r="W391" s="208"/>
      <c r="X391" s="208"/>
      <c r="Y391" s="208"/>
      <c r="Z391" s="208"/>
      <c r="AA391" s="208"/>
      <c r="AB391" s="208"/>
      <c r="AC391" s="208"/>
      <c r="AD391" s="208"/>
      <c r="AE391" s="208"/>
      <c r="AF391" s="208"/>
      <c r="AG391" s="208"/>
      <c r="AH391" s="208"/>
      <c r="AI391" s="100"/>
    </row>
    <row r="392" ht="14.25" customHeight="1">
      <c r="A392" s="195"/>
      <c r="B392" s="100"/>
      <c r="C392" s="100"/>
      <c r="D392" s="100"/>
      <c r="E392" s="100"/>
      <c r="F392" s="206"/>
      <c r="G392" s="206"/>
      <c r="H392" s="207"/>
      <c r="I392" s="207"/>
      <c r="J392" s="207"/>
      <c r="K392" s="207"/>
      <c r="L392" s="207"/>
      <c r="M392" s="207"/>
      <c r="N392" s="207"/>
      <c r="O392" s="207"/>
      <c r="P392" s="207"/>
      <c r="Q392" s="207"/>
      <c r="R392" s="207"/>
      <c r="S392" s="207"/>
      <c r="T392" s="207"/>
      <c r="U392" s="207"/>
      <c r="V392" s="207"/>
      <c r="W392" s="208"/>
      <c r="X392" s="208"/>
      <c r="Y392" s="208"/>
      <c r="Z392" s="208"/>
      <c r="AA392" s="208"/>
      <c r="AB392" s="208"/>
      <c r="AC392" s="208"/>
      <c r="AD392" s="208"/>
      <c r="AE392" s="208"/>
      <c r="AF392" s="208"/>
      <c r="AG392" s="208"/>
      <c r="AH392" s="208"/>
      <c r="AI392" s="100"/>
    </row>
    <row r="393" ht="14.25" customHeight="1">
      <c r="A393" s="195"/>
      <c r="B393" s="100"/>
      <c r="C393" s="100"/>
      <c r="D393" s="100"/>
      <c r="E393" s="100"/>
      <c r="F393" s="206"/>
      <c r="G393" s="206"/>
      <c r="H393" s="207"/>
      <c r="I393" s="207"/>
      <c r="J393" s="207"/>
      <c r="K393" s="207"/>
      <c r="L393" s="207"/>
      <c r="M393" s="207"/>
      <c r="N393" s="207"/>
      <c r="O393" s="207"/>
      <c r="P393" s="207"/>
      <c r="Q393" s="207"/>
      <c r="R393" s="207"/>
      <c r="S393" s="207"/>
      <c r="T393" s="207"/>
      <c r="U393" s="207"/>
      <c r="V393" s="207"/>
      <c r="W393" s="208"/>
      <c r="X393" s="208"/>
      <c r="Y393" s="208"/>
      <c r="Z393" s="208"/>
      <c r="AA393" s="208"/>
      <c r="AB393" s="208"/>
      <c r="AC393" s="208"/>
      <c r="AD393" s="208"/>
      <c r="AE393" s="208"/>
      <c r="AF393" s="208"/>
      <c r="AG393" s="208"/>
      <c r="AH393" s="208"/>
      <c r="AI393" s="100"/>
    </row>
    <row r="394" ht="14.25" customHeight="1">
      <c r="A394" s="195"/>
      <c r="B394" s="100"/>
      <c r="C394" s="100"/>
      <c r="D394" s="100"/>
      <c r="E394" s="100"/>
      <c r="F394" s="206"/>
      <c r="G394" s="206"/>
      <c r="H394" s="207"/>
      <c r="I394" s="207"/>
      <c r="J394" s="207"/>
      <c r="K394" s="207"/>
      <c r="L394" s="207"/>
      <c r="M394" s="207"/>
      <c r="N394" s="207"/>
      <c r="O394" s="207"/>
      <c r="P394" s="207"/>
      <c r="Q394" s="207"/>
      <c r="R394" s="207"/>
      <c r="S394" s="207"/>
      <c r="T394" s="207"/>
      <c r="U394" s="207"/>
      <c r="V394" s="207"/>
      <c r="W394" s="208"/>
      <c r="X394" s="208"/>
      <c r="Y394" s="208"/>
      <c r="Z394" s="208"/>
      <c r="AA394" s="208"/>
      <c r="AB394" s="208"/>
      <c r="AC394" s="208"/>
      <c r="AD394" s="208"/>
      <c r="AE394" s="208"/>
      <c r="AF394" s="208"/>
      <c r="AG394" s="208"/>
      <c r="AH394" s="208"/>
      <c r="AI394" s="100"/>
    </row>
    <row r="395" ht="14.25" customHeight="1">
      <c r="A395" s="195"/>
      <c r="B395" s="100"/>
      <c r="C395" s="100"/>
      <c r="D395" s="100"/>
      <c r="E395" s="100"/>
      <c r="F395" s="206"/>
      <c r="G395" s="206"/>
      <c r="H395" s="207"/>
      <c r="I395" s="207"/>
      <c r="J395" s="207"/>
      <c r="K395" s="207"/>
      <c r="L395" s="207"/>
      <c r="M395" s="207"/>
      <c r="N395" s="207"/>
      <c r="O395" s="207"/>
      <c r="P395" s="207"/>
      <c r="Q395" s="207"/>
      <c r="R395" s="207"/>
      <c r="S395" s="207"/>
      <c r="T395" s="207"/>
      <c r="U395" s="207"/>
      <c r="V395" s="207"/>
      <c r="W395" s="208"/>
      <c r="X395" s="208"/>
      <c r="Y395" s="208"/>
      <c r="Z395" s="208"/>
      <c r="AA395" s="208"/>
      <c r="AB395" s="208"/>
      <c r="AC395" s="208"/>
      <c r="AD395" s="208"/>
      <c r="AE395" s="208"/>
      <c r="AF395" s="208"/>
      <c r="AG395" s="208"/>
      <c r="AH395" s="208"/>
      <c r="AI395" s="100"/>
    </row>
    <row r="396" ht="14.25" customHeight="1">
      <c r="A396" s="195"/>
      <c r="B396" s="100"/>
      <c r="C396" s="100"/>
      <c r="D396" s="100"/>
      <c r="E396" s="100"/>
      <c r="F396" s="206"/>
      <c r="G396" s="206"/>
      <c r="H396" s="207"/>
      <c r="I396" s="207"/>
      <c r="J396" s="207"/>
      <c r="K396" s="207"/>
      <c r="L396" s="207"/>
      <c r="M396" s="207"/>
      <c r="N396" s="207"/>
      <c r="O396" s="207"/>
      <c r="P396" s="207"/>
      <c r="Q396" s="207"/>
      <c r="R396" s="207"/>
      <c r="S396" s="207"/>
      <c r="T396" s="207"/>
      <c r="U396" s="207"/>
      <c r="V396" s="207"/>
      <c r="W396" s="208"/>
      <c r="X396" s="208"/>
      <c r="Y396" s="208"/>
      <c r="Z396" s="208"/>
      <c r="AA396" s="208"/>
      <c r="AB396" s="208"/>
      <c r="AC396" s="208"/>
      <c r="AD396" s="208"/>
      <c r="AE396" s="208"/>
      <c r="AF396" s="208"/>
      <c r="AG396" s="208"/>
      <c r="AH396" s="208"/>
      <c r="AI396" s="100"/>
    </row>
    <row r="397" ht="14.25" customHeight="1">
      <c r="A397" s="195"/>
      <c r="B397" s="100"/>
      <c r="C397" s="100"/>
      <c r="D397" s="100"/>
      <c r="E397" s="100"/>
      <c r="F397" s="206"/>
      <c r="G397" s="206"/>
      <c r="H397" s="207"/>
      <c r="I397" s="207"/>
      <c r="J397" s="207"/>
      <c r="K397" s="207"/>
      <c r="L397" s="207"/>
      <c r="M397" s="207"/>
      <c r="N397" s="207"/>
      <c r="O397" s="207"/>
      <c r="P397" s="207"/>
      <c r="Q397" s="207"/>
      <c r="R397" s="207"/>
      <c r="S397" s="207"/>
      <c r="T397" s="207"/>
      <c r="U397" s="207"/>
      <c r="V397" s="207"/>
      <c r="W397" s="208"/>
      <c r="X397" s="208"/>
      <c r="Y397" s="208"/>
      <c r="Z397" s="208"/>
      <c r="AA397" s="208"/>
      <c r="AB397" s="208"/>
      <c r="AC397" s="208"/>
      <c r="AD397" s="208"/>
      <c r="AE397" s="208"/>
      <c r="AF397" s="208"/>
      <c r="AG397" s="208"/>
      <c r="AH397" s="208"/>
      <c r="AI397" s="100"/>
    </row>
    <row r="398" ht="14.25" customHeight="1">
      <c r="A398" s="195"/>
      <c r="B398" s="100"/>
      <c r="C398" s="100"/>
      <c r="D398" s="100"/>
      <c r="E398" s="100"/>
      <c r="F398" s="206"/>
      <c r="G398" s="206"/>
      <c r="H398" s="207"/>
      <c r="I398" s="207"/>
      <c r="J398" s="207"/>
      <c r="K398" s="207"/>
      <c r="L398" s="207"/>
      <c r="M398" s="207"/>
      <c r="N398" s="207"/>
      <c r="O398" s="207"/>
      <c r="P398" s="207"/>
      <c r="Q398" s="207"/>
      <c r="R398" s="207"/>
      <c r="S398" s="207"/>
      <c r="T398" s="207"/>
      <c r="U398" s="207"/>
      <c r="V398" s="207"/>
      <c r="W398" s="208"/>
      <c r="X398" s="208"/>
      <c r="Y398" s="208"/>
      <c r="Z398" s="208"/>
      <c r="AA398" s="208"/>
      <c r="AB398" s="208"/>
      <c r="AC398" s="208"/>
      <c r="AD398" s="208"/>
      <c r="AE398" s="208"/>
      <c r="AF398" s="208"/>
      <c r="AG398" s="208"/>
      <c r="AH398" s="208"/>
      <c r="AI398" s="100"/>
    </row>
    <row r="399" ht="14.25" customHeight="1">
      <c r="A399" s="195"/>
      <c r="B399" s="100"/>
      <c r="C399" s="100"/>
      <c r="D399" s="100"/>
      <c r="E399" s="100"/>
      <c r="F399" s="206"/>
      <c r="G399" s="206"/>
      <c r="H399" s="207"/>
      <c r="I399" s="207"/>
      <c r="J399" s="207"/>
      <c r="K399" s="207"/>
      <c r="L399" s="207"/>
      <c r="M399" s="207"/>
      <c r="N399" s="207"/>
      <c r="O399" s="207"/>
      <c r="P399" s="207"/>
      <c r="Q399" s="207"/>
      <c r="R399" s="207"/>
      <c r="S399" s="207"/>
      <c r="T399" s="207"/>
      <c r="U399" s="207"/>
      <c r="V399" s="207"/>
      <c r="W399" s="208"/>
      <c r="X399" s="208"/>
      <c r="Y399" s="208"/>
      <c r="Z399" s="208"/>
      <c r="AA399" s="208"/>
      <c r="AB399" s="208"/>
      <c r="AC399" s="208"/>
      <c r="AD399" s="208"/>
      <c r="AE399" s="208"/>
      <c r="AF399" s="208"/>
      <c r="AG399" s="208"/>
      <c r="AH399" s="208"/>
      <c r="AI399" s="100"/>
    </row>
    <row r="400" ht="14.25" customHeight="1">
      <c r="A400" s="195"/>
      <c r="B400" s="100"/>
      <c r="C400" s="100"/>
      <c r="D400" s="100"/>
      <c r="E400" s="100"/>
      <c r="F400" s="206"/>
      <c r="G400" s="206"/>
      <c r="H400" s="207"/>
      <c r="I400" s="207"/>
      <c r="J400" s="207"/>
      <c r="K400" s="207"/>
      <c r="L400" s="207"/>
      <c r="M400" s="207"/>
      <c r="N400" s="207"/>
      <c r="O400" s="207"/>
      <c r="P400" s="207"/>
      <c r="Q400" s="207"/>
      <c r="R400" s="207"/>
      <c r="S400" s="207"/>
      <c r="T400" s="207"/>
      <c r="U400" s="207"/>
      <c r="V400" s="207"/>
      <c r="W400" s="208"/>
      <c r="X400" s="208"/>
      <c r="Y400" s="208"/>
      <c r="Z400" s="208"/>
      <c r="AA400" s="208"/>
      <c r="AB400" s="208"/>
      <c r="AC400" s="208"/>
      <c r="AD400" s="208"/>
      <c r="AE400" s="208"/>
      <c r="AF400" s="208"/>
      <c r="AG400" s="208"/>
      <c r="AH400" s="208"/>
      <c r="AI400" s="100"/>
    </row>
    <row r="401" ht="14.25" customHeight="1">
      <c r="A401" s="195"/>
      <c r="B401" s="100"/>
      <c r="C401" s="100"/>
      <c r="D401" s="100"/>
      <c r="E401" s="100"/>
      <c r="F401" s="206"/>
      <c r="G401" s="206"/>
      <c r="H401" s="207"/>
      <c r="I401" s="207"/>
      <c r="J401" s="207"/>
      <c r="K401" s="207"/>
      <c r="L401" s="207"/>
      <c r="M401" s="207"/>
      <c r="N401" s="207"/>
      <c r="O401" s="207"/>
      <c r="P401" s="207"/>
      <c r="Q401" s="207"/>
      <c r="R401" s="207"/>
      <c r="S401" s="207"/>
      <c r="T401" s="207"/>
      <c r="U401" s="207"/>
      <c r="V401" s="207"/>
      <c r="W401" s="208"/>
      <c r="X401" s="208"/>
      <c r="Y401" s="208"/>
      <c r="Z401" s="208"/>
      <c r="AA401" s="208"/>
      <c r="AB401" s="208"/>
      <c r="AC401" s="208"/>
      <c r="AD401" s="208"/>
      <c r="AE401" s="208"/>
      <c r="AF401" s="208"/>
      <c r="AG401" s="208"/>
      <c r="AH401" s="208"/>
      <c r="AI401" s="100"/>
    </row>
    <row r="402" ht="14.25" customHeight="1">
      <c r="A402" s="195"/>
      <c r="B402" s="100"/>
      <c r="C402" s="100"/>
      <c r="D402" s="100"/>
      <c r="E402" s="100"/>
      <c r="F402" s="206"/>
      <c r="G402" s="206"/>
      <c r="H402" s="207"/>
      <c r="I402" s="207"/>
      <c r="J402" s="207"/>
      <c r="K402" s="207"/>
      <c r="L402" s="207"/>
      <c r="M402" s="207"/>
      <c r="N402" s="207"/>
      <c r="O402" s="207"/>
      <c r="P402" s="207"/>
      <c r="Q402" s="207"/>
      <c r="R402" s="207"/>
      <c r="S402" s="207"/>
      <c r="T402" s="207"/>
      <c r="U402" s="207"/>
      <c r="V402" s="207"/>
      <c r="W402" s="208"/>
      <c r="X402" s="208"/>
      <c r="Y402" s="208"/>
      <c r="Z402" s="208"/>
      <c r="AA402" s="208"/>
      <c r="AB402" s="208"/>
      <c r="AC402" s="208"/>
      <c r="AD402" s="208"/>
      <c r="AE402" s="208"/>
      <c r="AF402" s="208"/>
      <c r="AG402" s="208"/>
      <c r="AH402" s="208"/>
      <c r="AI402" s="100"/>
    </row>
    <row r="403" ht="14.25" customHeight="1">
      <c r="A403" s="195"/>
      <c r="B403" s="100"/>
      <c r="C403" s="100"/>
      <c r="D403" s="100"/>
      <c r="E403" s="100"/>
      <c r="F403" s="206"/>
      <c r="G403" s="206"/>
      <c r="H403" s="207"/>
      <c r="I403" s="207"/>
      <c r="J403" s="207"/>
      <c r="K403" s="207"/>
      <c r="L403" s="207"/>
      <c r="M403" s="207"/>
      <c r="N403" s="207"/>
      <c r="O403" s="207"/>
      <c r="P403" s="207"/>
      <c r="Q403" s="207"/>
      <c r="R403" s="207"/>
      <c r="S403" s="207"/>
      <c r="T403" s="207"/>
      <c r="U403" s="207"/>
      <c r="V403" s="207"/>
      <c r="W403" s="208"/>
      <c r="X403" s="208"/>
      <c r="Y403" s="208"/>
      <c r="Z403" s="208"/>
      <c r="AA403" s="208"/>
      <c r="AB403" s="208"/>
      <c r="AC403" s="208"/>
      <c r="AD403" s="208"/>
      <c r="AE403" s="208"/>
      <c r="AF403" s="208"/>
      <c r="AG403" s="208"/>
      <c r="AH403" s="208"/>
      <c r="AI403" s="100"/>
    </row>
    <row r="404" ht="14.25" customHeight="1">
      <c r="A404" s="195"/>
      <c r="B404" s="100"/>
      <c r="C404" s="100"/>
      <c r="D404" s="100"/>
      <c r="E404" s="100"/>
      <c r="F404" s="206"/>
      <c r="G404" s="206"/>
      <c r="H404" s="207"/>
      <c r="I404" s="207"/>
      <c r="J404" s="207"/>
      <c r="K404" s="207"/>
      <c r="L404" s="207"/>
      <c r="M404" s="207"/>
      <c r="N404" s="207"/>
      <c r="O404" s="207"/>
      <c r="P404" s="207"/>
      <c r="Q404" s="207"/>
      <c r="R404" s="207"/>
      <c r="S404" s="207"/>
      <c r="T404" s="207"/>
      <c r="U404" s="207"/>
      <c r="V404" s="207"/>
      <c r="W404" s="208"/>
      <c r="X404" s="208"/>
      <c r="Y404" s="208"/>
      <c r="Z404" s="208"/>
      <c r="AA404" s="208"/>
      <c r="AB404" s="208"/>
      <c r="AC404" s="208"/>
      <c r="AD404" s="208"/>
      <c r="AE404" s="208"/>
      <c r="AF404" s="208"/>
      <c r="AG404" s="208"/>
      <c r="AH404" s="208"/>
      <c r="AI404" s="100"/>
    </row>
    <row r="405" ht="14.25" customHeight="1">
      <c r="A405" s="195"/>
      <c r="B405" s="100"/>
      <c r="C405" s="100"/>
      <c r="D405" s="100"/>
      <c r="E405" s="100"/>
      <c r="F405" s="206"/>
      <c r="G405" s="206"/>
      <c r="H405" s="207"/>
      <c r="I405" s="207"/>
      <c r="J405" s="207"/>
      <c r="K405" s="207"/>
      <c r="L405" s="207"/>
      <c r="M405" s="207"/>
      <c r="N405" s="207"/>
      <c r="O405" s="207"/>
      <c r="P405" s="207"/>
      <c r="Q405" s="207"/>
      <c r="R405" s="207"/>
      <c r="S405" s="207"/>
      <c r="T405" s="207"/>
      <c r="U405" s="207"/>
      <c r="V405" s="207"/>
      <c r="W405" s="208"/>
      <c r="X405" s="208"/>
      <c r="Y405" s="208"/>
      <c r="Z405" s="208"/>
      <c r="AA405" s="208"/>
      <c r="AB405" s="208"/>
      <c r="AC405" s="208"/>
      <c r="AD405" s="208"/>
      <c r="AE405" s="208"/>
      <c r="AF405" s="208"/>
      <c r="AG405" s="208"/>
      <c r="AH405" s="208"/>
      <c r="AI405" s="100"/>
    </row>
    <row r="406" ht="14.25" customHeight="1">
      <c r="A406" s="195"/>
      <c r="B406" s="100"/>
      <c r="C406" s="100"/>
      <c r="D406" s="100"/>
      <c r="E406" s="100"/>
      <c r="F406" s="206"/>
      <c r="G406" s="206"/>
      <c r="H406" s="207"/>
      <c r="I406" s="207"/>
      <c r="J406" s="207"/>
      <c r="K406" s="207"/>
      <c r="L406" s="207"/>
      <c r="M406" s="207"/>
      <c r="N406" s="207"/>
      <c r="O406" s="207"/>
      <c r="P406" s="207"/>
      <c r="Q406" s="207"/>
      <c r="R406" s="207"/>
      <c r="S406" s="207"/>
      <c r="T406" s="207"/>
      <c r="U406" s="207"/>
      <c r="V406" s="207"/>
      <c r="W406" s="208"/>
      <c r="X406" s="208"/>
      <c r="Y406" s="208"/>
      <c r="Z406" s="208"/>
      <c r="AA406" s="208"/>
      <c r="AB406" s="208"/>
      <c r="AC406" s="208"/>
      <c r="AD406" s="208"/>
      <c r="AE406" s="208"/>
      <c r="AF406" s="208"/>
      <c r="AG406" s="208"/>
      <c r="AH406" s="208"/>
      <c r="AI406" s="100"/>
    </row>
    <row r="407" ht="14.25" customHeight="1">
      <c r="A407" s="195"/>
      <c r="B407" s="100"/>
      <c r="C407" s="100"/>
      <c r="D407" s="100"/>
      <c r="E407" s="100"/>
      <c r="F407" s="206"/>
      <c r="G407" s="206"/>
      <c r="H407" s="207"/>
      <c r="I407" s="207"/>
      <c r="J407" s="207"/>
      <c r="K407" s="207"/>
      <c r="L407" s="207"/>
      <c r="M407" s="207"/>
      <c r="N407" s="207"/>
      <c r="O407" s="207"/>
      <c r="P407" s="207"/>
      <c r="Q407" s="207"/>
      <c r="R407" s="207"/>
      <c r="S407" s="207"/>
      <c r="T407" s="207"/>
      <c r="U407" s="207"/>
      <c r="V407" s="207"/>
      <c r="W407" s="208"/>
      <c r="X407" s="208"/>
      <c r="Y407" s="208"/>
      <c r="Z407" s="208"/>
      <c r="AA407" s="208"/>
      <c r="AB407" s="208"/>
      <c r="AC407" s="208"/>
      <c r="AD407" s="208"/>
      <c r="AE407" s="208"/>
      <c r="AF407" s="208"/>
      <c r="AG407" s="208"/>
      <c r="AH407" s="208"/>
      <c r="AI407" s="100"/>
    </row>
    <row r="408" ht="14.25" customHeight="1">
      <c r="A408" s="195"/>
      <c r="B408" s="100"/>
      <c r="C408" s="100"/>
      <c r="D408" s="100"/>
      <c r="E408" s="100"/>
      <c r="F408" s="206"/>
      <c r="G408" s="206"/>
      <c r="H408" s="207"/>
      <c r="I408" s="207"/>
      <c r="J408" s="207"/>
      <c r="K408" s="207"/>
      <c r="L408" s="207"/>
      <c r="M408" s="207"/>
      <c r="N408" s="207"/>
      <c r="O408" s="207"/>
      <c r="P408" s="207"/>
      <c r="Q408" s="207"/>
      <c r="R408" s="207"/>
      <c r="S408" s="207"/>
      <c r="T408" s="207"/>
      <c r="U408" s="207"/>
      <c r="V408" s="207"/>
      <c r="W408" s="208"/>
      <c r="X408" s="208"/>
      <c r="Y408" s="208"/>
      <c r="Z408" s="208"/>
      <c r="AA408" s="208"/>
      <c r="AB408" s="208"/>
      <c r="AC408" s="208"/>
      <c r="AD408" s="208"/>
      <c r="AE408" s="208"/>
      <c r="AF408" s="208"/>
      <c r="AG408" s="208"/>
      <c r="AH408" s="208"/>
      <c r="AI408" s="100"/>
    </row>
    <row r="409" ht="14.25" customHeight="1">
      <c r="A409" s="195"/>
      <c r="B409" s="100"/>
      <c r="C409" s="100"/>
      <c r="D409" s="100"/>
      <c r="E409" s="100"/>
      <c r="F409" s="206"/>
      <c r="G409" s="206"/>
      <c r="H409" s="207"/>
      <c r="I409" s="207"/>
      <c r="J409" s="207"/>
      <c r="K409" s="207"/>
      <c r="L409" s="207"/>
      <c r="M409" s="207"/>
      <c r="N409" s="207"/>
      <c r="O409" s="207"/>
      <c r="P409" s="207"/>
      <c r="Q409" s="207"/>
      <c r="R409" s="207"/>
      <c r="S409" s="207"/>
      <c r="T409" s="207"/>
      <c r="U409" s="207"/>
      <c r="V409" s="207"/>
      <c r="W409" s="208"/>
      <c r="X409" s="208"/>
      <c r="Y409" s="208"/>
      <c r="Z409" s="208"/>
      <c r="AA409" s="208"/>
      <c r="AB409" s="208"/>
      <c r="AC409" s="208"/>
      <c r="AD409" s="208"/>
      <c r="AE409" s="208"/>
      <c r="AF409" s="208"/>
      <c r="AG409" s="208"/>
      <c r="AH409" s="208"/>
      <c r="AI409" s="100"/>
    </row>
    <row r="410" ht="14.25" customHeight="1">
      <c r="A410" s="195"/>
      <c r="B410" s="100"/>
      <c r="C410" s="100"/>
      <c r="D410" s="100"/>
      <c r="E410" s="100"/>
      <c r="F410" s="206"/>
      <c r="G410" s="206"/>
      <c r="H410" s="207"/>
      <c r="I410" s="207"/>
      <c r="J410" s="207"/>
      <c r="K410" s="207"/>
      <c r="L410" s="207"/>
      <c r="M410" s="207"/>
      <c r="N410" s="207"/>
      <c r="O410" s="207"/>
      <c r="P410" s="207"/>
      <c r="Q410" s="207"/>
      <c r="R410" s="207"/>
      <c r="S410" s="207"/>
      <c r="T410" s="207"/>
      <c r="U410" s="207"/>
      <c r="V410" s="207"/>
      <c r="W410" s="208"/>
      <c r="X410" s="208"/>
      <c r="Y410" s="208"/>
      <c r="Z410" s="208"/>
      <c r="AA410" s="208"/>
      <c r="AB410" s="208"/>
      <c r="AC410" s="208"/>
      <c r="AD410" s="208"/>
      <c r="AE410" s="208"/>
      <c r="AF410" s="208"/>
      <c r="AG410" s="208"/>
      <c r="AH410" s="208"/>
      <c r="AI410" s="100"/>
    </row>
    <row r="411" ht="14.25" customHeight="1">
      <c r="A411" s="195"/>
      <c r="B411" s="100"/>
      <c r="C411" s="100"/>
      <c r="D411" s="100"/>
      <c r="E411" s="100"/>
      <c r="F411" s="206"/>
      <c r="G411" s="206"/>
      <c r="H411" s="207"/>
      <c r="I411" s="207"/>
      <c r="J411" s="207"/>
      <c r="K411" s="207"/>
      <c r="L411" s="207"/>
      <c r="M411" s="207"/>
      <c r="N411" s="207"/>
      <c r="O411" s="207"/>
      <c r="P411" s="207"/>
      <c r="Q411" s="207"/>
      <c r="R411" s="207"/>
      <c r="S411" s="207"/>
      <c r="T411" s="207"/>
      <c r="U411" s="207"/>
      <c r="V411" s="207"/>
      <c r="W411" s="208"/>
      <c r="X411" s="208"/>
      <c r="Y411" s="208"/>
      <c r="Z411" s="208"/>
      <c r="AA411" s="208"/>
      <c r="AB411" s="208"/>
      <c r="AC411" s="208"/>
      <c r="AD411" s="208"/>
      <c r="AE411" s="208"/>
      <c r="AF411" s="208"/>
      <c r="AG411" s="208"/>
      <c r="AH411" s="208"/>
      <c r="AI411" s="100"/>
    </row>
    <row r="412" ht="14.25" customHeight="1">
      <c r="A412" s="195"/>
      <c r="B412" s="100"/>
      <c r="C412" s="100"/>
      <c r="D412" s="100"/>
      <c r="E412" s="100"/>
      <c r="F412" s="206"/>
      <c r="G412" s="206"/>
      <c r="H412" s="207"/>
      <c r="I412" s="207"/>
      <c r="J412" s="207"/>
      <c r="K412" s="207"/>
      <c r="L412" s="207"/>
      <c r="M412" s="207"/>
      <c r="N412" s="207"/>
      <c r="O412" s="207"/>
      <c r="P412" s="207"/>
      <c r="Q412" s="207"/>
      <c r="R412" s="207"/>
      <c r="S412" s="207"/>
      <c r="T412" s="207"/>
      <c r="U412" s="207"/>
      <c r="V412" s="207"/>
      <c r="W412" s="208"/>
      <c r="X412" s="208"/>
      <c r="Y412" s="208"/>
      <c r="Z412" s="208"/>
      <c r="AA412" s="208"/>
      <c r="AB412" s="208"/>
      <c r="AC412" s="208"/>
      <c r="AD412" s="208"/>
      <c r="AE412" s="208"/>
      <c r="AF412" s="208"/>
      <c r="AG412" s="208"/>
      <c r="AH412" s="208"/>
      <c r="AI412" s="100"/>
    </row>
    <row r="413" ht="14.25" customHeight="1">
      <c r="A413" s="195"/>
      <c r="B413" s="100"/>
      <c r="C413" s="100"/>
      <c r="D413" s="100"/>
      <c r="E413" s="100"/>
      <c r="F413" s="206"/>
      <c r="G413" s="206"/>
      <c r="H413" s="207"/>
      <c r="I413" s="207"/>
      <c r="J413" s="207"/>
      <c r="K413" s="207"/>
      <c r="L413" s="207"/>
      <c r="M413" s="207"/>
      <c r="N413" s="207"/>
      <c r="O413" s="207"/>
      <c r="P413" s="207"/>
      <c r="Q413" s="207"/>
      <c r="R413" s="207"/>
      <c r="S413" s="207"/>
      <c r="T413" s="207"/>
      <c r="U413" s="207"/>
      <c r="V413" s="207"/>
      <c r="W413" s="208"/>
      <c r="X413" s="208"/>
      <c r="Y413" s="208"/>
      <c r="Z413" s="208"/>
      <c r="AA413" s="208"/>
      <c r="AB413" s="208"/>
      <c r="AC413" s="208"/>
      <c r="AD413" s="208"/>
      <c r="AE413" s="208"/>
      <c r="AF413" s="208"/>
      <c r="AG413" s="208"/>
      <c r="AH413" s="208"/>
      <c r="AI413" s="100"/>
    </row>
    <row r="414" ht="14.25" customHeight="1">
      <c r="A414" s="195"/>
      <c r="B414" s="100"/>
      <c r="C414" s="100"/>
      <c r="D414" s="100"/>
      <c r="E414" s="100"/>
      <c r="F414" s="206"/>
      <c r="G414" s="206"/>
      <c r="H414" s="207"/>
      <c r="I414" s="207"/>
      <c r="J414" s="207"/>
      <c r="K414" s="207"/>
      <c r="L414" s="207"/>
      <c r="M414" s="207"/>
      <c r="N414" s="207"/>
      <c r="O414" s="207"/>
      <c r="P414" s="207"/>
      <c r="Q414" s="207"/>
      <c r="R414" s="207"/>
      <c r="S414" s="207"/>
      <c r="T414" s="207"/>
      <c r="U414" s="207"/>
      <c r="V414" s="207"/>
      <c r="W414" s="208"/>
      <c r="X414" s="208"/>
      <c r="Y414" s="208"/>
      <c r="Z414" s="208"/>
      <c r="AA414" s="208"/>
      <c r="AB414" s="208"/>
      <c r="AC414" s="208"/>
      <c r="AD414" s="208"/>
      <c r="AE414" s="208"/>
      <c r="AF414" s="208"/>
      <c r="AG414" s="208"/>
      <c r="AH414" s="208"/>
      <c r="AI414" s="100"/>
    </row>
    <row r="415" ht="14.25" customHeight="1">
      <c r="A415" s="195"/>
      <c r="B415" s="100"/>
      <c r="C415" s="100"/>
      <c r="D415" s="100"/>
      <c r="E415" s="100"/>
      <c r="F415" s="206"/>
      <c r="G415" s="206"/>
      <c r="H415" s="207"/>
      <c r="I415" s="207"/>
      <c r="J415" s="207"/>
      <c r="K415" s="207"/>
      <c r="L415" s="207"/>
      <c r="M415" s="207"/>
      <c r="N415" s="207"/>
      <c r="O415" s="207"/>
      <c r="P415" s="207"/>
      <c r="Q415" s="207"/>
      <c r="R415" s="207"/>
      <c r="S415" s="207"/>
      <c r="T415" s="207"/>
      <c r="U415" s="207"/>
      <c r="V415" s="207"/>
      <c r="W415" s="208"/>
      <c r="X415" s="208"/>
      <c r="Y415" s="208"/>
      <c r="Z415" s="208"/>
      <c r="AA415" s="208"/>
      <c r="AB415" s="208"/>
      <c r="AC415" s="208"/>
      <c r="AD415" s="208"/>
      <c r="AE415" s="208"/>
      <c r="AF415" s="208"/>
      <c r="AG415" s="208"/>
      <c r="AH415" s="208"/>
      <c r="AI415" s="100"/>
    </row>
    <row r="416" ht="14.25" customHeight="1">
      <c r="A416" s="195"/>
      <c r="B416" s="100"/>
      <c r="C416" s="100"/>
      <c r="D416" s="100"/>
      <c r="E416" s="100"/>
      <c r="F416" s="206"/>
      <c r="G416" s="206"/>
      <c r="H416" s="207"/>
      <c r="I416" s="207"/>
      <c r="J416" s="207"/>
      <c r="K416" s="207"/>
      <c r="L416" s="207"/>
      <c r="M416" s="207"/>
      <c r="N416" s="207"/>
      <c r="O416" s="207"/>
      <c r="P416" s="207"/>
      <c r="Q416" s="207"/>
      <c r="R416" s="207"/>
      <c r="S416" s="207"/>
      <c r="T416" s="207"/>
      <c r="U416" s="207"/>
      <c r="V416" s="207"/>
      <c r="W416" s="208"/>
      <c r="X416" s="208"/>
      <c r="Y416" s="208"/>
      <c r="Z416" s="208"/>
      <c r="AA416" s="208"/>
      <c r="AB416" s="208"/>
      <c r="AC416" s="208"/>
      <c r="AD416" s="208"/>
      <c r="AE416" s="208"/>
      <c r="AF416" s="208"/>
      <c r="AG416" s="208"/>
      <c r="AH416" s="208"/>
      <c r="AI416" s="100"/>
    </row>
    <row r="417" ht="14.25" customHeight="1">
      <c r="A417" s="195"/>
      <c r="B417" s="100"/>
      <c r="C417" s="100"/>
      <c r="D417" s="100"/>
      <c r="E417" s="100"/>
      <c r="F417" s="206"/>
      <c r="G417" s="206"/>
      <c r="H417" s="207"/>
      <c r="I417" s="207"/>
      <c r="J417" s="207"/>
      <c r="K417" s="207"/>
      <c r="L417" s="207"/>
      <c r="M417" s="207"/>
      <c r="N417" s="207"/>
      <c r="O417" s="207"/>
      <c r="P417" s="207"/>
      <c r="Q417" s="207"/>
      <c r="R417" s="207"/>
      <c r="S417" s="207"/>
      <c r="T417" s="207"/>
      <c r="U417" s="207"/>
      <c r="V417" s="207"/>
      <c r="W417" s="208"/>
      <c r="X417" s="208"/>
      <c r="Y417" s="208"/>
      <c r="Z417" s="208"/>
      <c r="AA417" s="208"/>
      <c r="AB417" s="208"/>
      <c r="AC417" s="208"/>
      <c r="AD417" s="208"/>
      <c r="AE417" s="208"/>
      <c r="AF417" s="208"/>
      <c r="AG417" s="208"/>
      <c r="AH417" s="208"/>
      <c r="AI417" s="100"/>
    </row>
    <row r="418" ht="14.25" customHeight="1">
      <c r="A418" s="195"/>
      <c r="B418" s="100"/>
      <c r="C418" s="100"/>
      <c r="D418" s="100"/>
      <c r="E418" s="100"/>
      <c r="F418" s="206"/>
      <c r="G418" s="206"/>
      <c r="H418" s="207"/>
      <c r="I418" s="207"/>
      <c r="J418" s="207"/>
      <c r="K418" s="207"/>
      <c r="L418" s="207"/>
      <c r="M418" s="207"/>
      <c r="N418" s="207"/>
      <c r="O418" s="207"/>
      <c r="P418" s="207"/>
      <c r="Q418" s="207"/>
      <c r="R418" s="207"/>
      <c r="S418" s="207"/>
      <c r="T418" s="207"/>
      <c r="U418" s="207"/>
      <c r="V418" s="207"/>
      <c r="W418" s="208"/>
      <c r="X418" s="208"/>
      <c r="Y418" s="208"/>
      <c r="Z418" s="208"/>
      <c r="AA418" s="208"/>
      <c r="AB418" s="208"/>
      <c r="AC418" s="208"/>
      <c r="AD418" s="208"/>
      <c r="AE418" s="208"/>
      <c r="AF418" s="208"/>
      <c r="AG418" s="208"/>
      <c r="AH418" s="208"/>
      <c r="AI418" s="100"/>
    </row>
    <row r="419" ht="14.25" customHeight="1">
      <c r="A419" s="195"/>
      <c r="B419" s="100"/>
      <c r="C419" s="100"/>
      <c r="D419" s="100"/>
      <c r="E419" s="100"/>
      <c r="F419" s="206"/>
      <c r="G419" s="206"/>
      <c r="H419" s="207"/>
      <c r="I419" s="207"/>
      <c r="J419" s="207"/>
      <c r="K419" s="207"/>
      <c r="L419" s="207"/>
      <c r="M419" s="207"/>
      <c r="N419" s="207"/>
      <c r="O419" s="207"/>
      <c r="P419" s="207"/>
      <c r="Q419" s="207"/>
      <c r="R419" s="207"/>
      <c r="S419" s="207"/>
      <c r="T419" s="207"/>
      <c r="U419" s="207"/>
      <c r="V419" s="207"/>
      <c r="W419" s="208"/>
      <c r="X419" s="208"/>
      <c r="Y419" s="208"/>
      <c r="Z419" s="208"/>
      <c r="AA419" s="208"/>
      <c r="AB419" s="208"/>
      <c r="AC419" s="208"/>
      <c r="AD419" s="208"/>
      <c r="AE419" s="208"/>
      <c r="AF419" s="208"/>
      <c r="AG419" s="208"/>
      <c r="AH419" s="208"/>
      <c r="AI419" s="100"/>
    </row>
    <row r="420" ht="14.25" customHeight="1">
      <c r="A420" s="195"/>
      <c r="B420" s="100"/>
      <c r="C420" s="100"/>
      <c r="D420" s="100"/>
      <c r="E420" s="100"/>
      <c r="F420" s="206"/>
      <c r="G420" s="206"/>
      <c r="H420" s="207"/>
      <c r="I420" s="207"/>
      <c r="J420" s="207"/>
      <c r="K420" s="207"/>
      <c r="L420" s="207"/>
      <c r="M420" s="207"/>
      <c r="N420" s="207"/>
      <c r="O420" s="207"/>
      <c r="P420" s="207"/>
      <c r="Q420" s="207"/>
      <c r="R420" s="207"/>
      <c r="S420" s="207"/>
      <c r="T420" s="207"/>
      <c r="U420" s="207"/>
      <c r="V420" s="207"/>
      <c r="W420" s="208"/>
      <c r="X420" s="208"/>
      <c r="Y420" s="208"/>
      <c r="Z420" s="208"/>
      <c r="AA420" s="208"/>
      <c r="AB420" s="208"/>
      <c r="AC420" s="208"/>
      <c r="AD420" s="208"/>
      <c r="AE420" s="208"/>
      <c r="AF420" s="208"/>
      <c r="AG420" s="208"/>
      <c r="AH420" s="208"/>
      <c r="AI420" s="100"/>
    </row>
    <row r="421" ht="14.25" customHeight="1">
      <c r="A421" s="195"/>
      <c r="B421" s="100"/>
      <c r="C421" s="100"/>
      <c r="D421" s="100"/>
      <c r="E421" s="100"/>
      <c r="F421" s="206"/>
      <c r="G421" s="206"/>
      <c r="H421" s="207"/>
      <c r="I421" s="207"/>
      <c r="J421" s="207"/>
      <c r="K421" s="207"/>
      <c r="L421" s="207"/>
      <c r="M421" s="207"/>
      <c r="N421" s="207"/>
      <c r="O421" s="207"/>
      <c r="P421" s="207"/>
      <c r="Q421" s="207"/>
      <c r="R421" s="207"/>
      <c r="S421" s="207"/>
      <c r="T421" s="207"/>
      <c r="U421" s="207"/>
      <c r="V421" s="207"/>
      <c r="W421" s="208"/>
      <c r="X421" s="208"/>
      <c r="Y421" s="208"/>
      <c r="Z421" s="208"/>
      <c r="AA421" s="208"/>
      <c r="AB421" s="208"/>
      <c r="AC421" s="208"/>
      <c r="AD421" s="208"/>
      <c r="AE421" s="208"/>
      <c r="AF421" s="208"/>
      <c r="AG421" s="208"/>
      <c r="AH421" s="208"/>
      <c r="AI421" s="100"/>
    </row>
    <row r="422" ht="14.25" customHeight="1">
      <c r="A422" s="195"/>
      <c r="B422" s="100"/>
      <c r="C422" s="100"/>
      <c r="D422" s="100"/>
      <c r="E422" s="100"/>
      <c r="F422" s="206"/>
      <c r="G422" s="206"/>
      <c r="H422" s="207"/>
      <c r="I422" s="207"/>
      <c r="J422" s="207"/>
      <c r="K422" s="207"/>
      <c r="L422" s="207"/>
      <c r="M422" s="207"/>
      <c r="N422" s="207"/>
      <c r="O422" s="207"/>
      <c r="P422" s="207"/>
      <c r="Q422" s="207"/>
      <c r="R422" s="207"/>
      <c r="S422" s="207"/>
      <c r="T422" s="207"/>
      <c r="U422" s="207"/>
      <c r="V422" s="207"/>
      <c r="W422" s="208"/>
      <c r="X422" s="208"/>
      <c r="Y422" s="208"/>
      <c r="Z422" s="208"/>
      <c r="AA422" s="208"/>
      <c r="AB422" s="208"/>
      <c r="AC422" s="208"/>
      <c r="AD422" s="208"/>
      <c r="AE422" s="208"/>
      <c r="AF422" s="208"/>
      <c r="AG422" s="208"/>
      <c r="AH422" s="208"/>
      <c r="AI422" s="100"/>
    </row>
    <row r="423" ht="14.25" customHeight="1">
      <c r="A423" s="195"/>
      <c r="B423" s="100"/>
      <c r="C423" s="100"/>
      <c r="D423" s="100"/>
      <c r="E423" s="100"/>
      <c r="F423" s="206"/>
      <c r="G423" s="206"/>
      <c r="H423" s="207"/>
      <c r="I423" s="207"/>
      <c r="J423" s="207"/>
      <c r="K423" s="207"/>
      <c r="L423" s="207"/>
      <c r="M423" s="207"/>
      <c r="N423" s="207"/>
      <c r="O423" s="207"/>
      <c r="P423" s="207"/>
      <c r="Q423" s="207"/>
      <c r="R423" s="207"/>
      <c r="S423" s="207"/>
      <c r="T423" s="207"/>
      <c r="U423" s="207"/>
      <c r="V423" s="207"/>
      <c r="W423" s="208"/>
      <c r="X423" s="208"/>
      <c r="Y423" s="208"/>
      <c r="Z423" s="208"/>
      <c r="AA423" s="208"/>
      <c r="AB423" s="208"/>
      <c r="AC423" s="208"/>
      <c r="AD423" s="208"/>
      <c r="AE423" s="208"/>
      <c r="AF423" s="208"/>
      <c r="AG423" s="208"/>
      <c r="AH423" s="208"/>
      <c r="AI423" s="100"/>
    </row>
    <row r="424" ht="14.25" customHeight="1">
      <c r="A424" s="195"/>
      <c r="B424" s="100"/>
      <c r="C424" s="100"/>
      <c r="D424" s="100"/>
      <c r="E424" s="100"/>
      <c r="F424" s="206"/>
      <c r="G424" s="206"/>
      <c r="H424" s="207"/>
      <c r="I424" s="207"/>
      <c r="J424" s="207"/>
      <c r="K424" s="207"/>
      <c r="L424" s="207"/>
      <c r="M424" s="207"/>
      <c r="N424" s="207"/>
      <c r="O424" s="207"/>
      <c r="P424" s="207"/>
      <c r="Q424" s="207"/>
      <c r="R424" s="207"/>
      <c r="S424" s="207"/>
      <c r="T424" s="207"/>
      <c r="U424" s="207"/>
      <c r="V424" s="207"/>
      <c r="W424" s="208"/>
      <c r="X424" s="208"/>
      <c r="Y424" s="208"/>
      <c r="Z424" s="208"/>
      <c r="AA424" s="208"/>
      <c r="AB424" s="208"/>
      <c r="AC424" s="208"/>
      <c r="AD424" s="208"/>
      <c r="AE424" s="208"/>
      <c r="AF424" s="208"/>
      <c r="AG424" s="208"/>
      <c r="AH424" s="208"/>
      <c r="AI424" s="100"/>
    </row>
    <row r="425" ht="14.25" customHeight="1">
      <c r="A425" s="195"/>
      <c r="B425" s="100"/>
      <c r="C425" s="100"/>
      <c r="D425" s="100"/>
      <c r="E425" s="100"/>
      <c r="F425" s="206"/>
      <c r="G425" s="206"/>
      <c r="H425" s="207"/>
      <c r="I425" s="207"/>
      <c r="J425" s="207"/>
      <c r="K425" s="207"/>
      <c r="L425" s="207"/>
      <c r="M425" s="207"/>
      <c r="N425" s="207"/>
      <c r="O425" s="207"/>
      <c r="P425" s="207"/>
      <c r="Q425" s="207"/>
      <c r="R425" s="207"/>
      <c r="S425" s="207"/>
      <c r="T425" s="207"/>
      <c r="U425" s="207"/>
      <c r="V425" s="207"/>
      <c r="W425" s="208"/>
      <c r="X425" s="208"/>
      <c r="Y425" s="208"/>
      <c r="Z425" s="208"/>
      <c r="AA425" s="208"/>
      <c r="AB425" s="208"/>
      <c r="AC425" s="208"/>
      <c r="AD425" s="208"/>
      <c r="AE425" s="208"/>
      <c r="AF425" s="208"/>
      <c r="AG425" s="208"/>
      <c r="AH425" s="208"/>
      <c r="AI425" s="100"/>
    </row>
    <row r="426" ht="14.25" customHeight="1">
      <c r="A426" s="195"/>
      <c r="B426" s="100"/>
      <c r="C426" s="100"/>
      <c r="D426" s="100"/>
      <c r="E426" s="100"/>
      <c r="F426" s="206"/>
      <c r="G426" s="206"/>
      <c r="H426" s="207"/>
      <c r="I426" s="207"/>
      <c r="J426" s="207"/>
      <c r="K426" s="207"/>
      <c r="L426" s="207"/>
      <c r="M426" s="207"/>
      <c r="N426" s="207"/>
      <c r="O426" s="207"/>
      <c r="P426" s="207"/>
      <c r="Q426" s="207"/>
      <c r="R426" s="207"/>
      <c r="S426" s="207"/>
      <c r="T426" s="207"/>
      <c r="U426" s="207"/>
      <c r="V426" s="207"/>
      <c r="W426" s="208"/>
      <c r="X426" s="208"/>
      <c r="Y426" s="208"/>
      <c r="Z426" s="208"/>
      <c r="AA426" s="208"/>
      <c r="AB426" s="208"/>
      <c r="AC426" s="208"/>
      <c r="AD426" s="208"/>
      <c r="AE426" s="208"/>
      <c r="AF426" s="208"/>
      <c r="AG426" s="208"/>
      <c r="AH426" s="208"/>
      <c r="AI426" s="100"/>
    </row>
    <row r="427" ht="14.25" customHeight="1">
      <c r="A427" s="195"/>
      <c r="B427" s="100"/>
      <c r="C427" s="100"/>
      <c r="D427" s="100"/>
      <c r="E427" s="100"/>
      <c r="F427" s="206"/>
      <c r="G427" s="206"/>
      <c r="H427" s="207"/>
      <c r="I427" s="207"/>
      <c r="J427" s="207"/>
      <c r="K427" s="207"/>
      <c r="L427" s="207"/>
      <c r="M427" s="207"/>
      <c r="N427" s="207"/>
      <c r="O427" s="207"/>
      <c r="P427" s="207"/>
      <c r="Q427" s="207"/>
      <c r="R427" s="207"/>
      <c r="S427" s="207"/>
      <c r="T427" s="207"/>
      <c r="U427" s="207"/>
      <c r="V427" s="207"/>
      <c r="W427" s="208"/>
      <c r="X427" s="208"/>
      <c r="Y427" s="208"/>
      <c r="Z427" s="208"/>
      <c r="AA427" s="208"/>
      <c r="AB427" s="208"/>
      <c r="AC427" s="208"/>
      <c r="AD427" s="208"/>
      <c r="AE427" s="208"/>
      <c r="AF427" s="208"/>
      <c r="AG427" s="208"/>
      <c r="AH427" s="208"/>
      <c r="AI427" s="100"/>
    </row>
    <row r="428" ht="14.25" customHeight="1">
      <c r="A428" s="195"/>
      <c r="B428" s="100"/>
      <c r="C428" s="100"/>
      <c r="D428" s="100"/>
      <c r="E428" s="100"/>
      <c r="F428" s="206"/>
      <c r="G428" s="206"/>
      <c r="H428" s="207"/>
      <c r="I428" s="207"/>
      <c r="J428" s="207"/>
      <c r="K428" s="207"/>
      <c r="L428" s="207"/>
      <c r="M428" s="207"/>
      <c r="N428" s="207"/>
      <c r="O428" s="207"/>
      <c r="P428" s="207"/>
      <c r="Q428" s="207"/>
      <c r="R428" s="207"/>
      <c r="S428" s="207"/>
      <c r="T428" s="207"/>
      <c r="U428" s="207"/>
      <c r="V428" s="207"/>
      <c r="W428" s="208"/>
      <c r="X428" s="208"/>
      <c r="Y428" s="208"/>
      <c r="Z428" s="208"/>
      <c r="AA428" s="208"/>
      <c r="AB428" s="208"/>
      <c r="AC428" s="208"/>
      <c r="AD428" s="208"/>
      <c r="AE428" s="208"/>
      <c r="AF428" s="208"/>
      <c r="AG428" s="208"/>
      <c r="AH428" s="208"/>
      <c r="AI428" s="100"/>
    </row>
    <row r="429" ht="14.25" customHeight="1">
      <c r="A429" s="195"/>
      <c r="B429" s="100"/>
      <c r="C429" s="100"/>
      <c r="D429" s="100"/>
      <c r="E429" s="100"/>
      <c r="F429" s="206"/>
      <c r="G429" s="206"/>
      <c r="H429" s="207"/>
      <c r="I429" s="207"/>
      <c r="J429" s="207"/>
      <c r="K429" s="207"/>
      <c r="L429" s="207"/>
      <c r="M429" s="207"/>
      <c r="N429" s="207"/>
      <c r="O429" s="207"/>
      <c r="P429" s="207"/>
      <c r="Q429" s="207"/>
      <c r="R429" s="207"/>
      <c r="S429" s="207"/>
      <c r="T429" s="207"/>
      <c r="U429" s="207"/>
      <c r="V429" s="207"/>
      <c r="W429" s="208"/>
      <c r="X429" s="208"/>
      <c r="Y429" s="208"/>
      <c r="Z429" s="208"/>
      <c r="AA429" s="208"/>
      <c r="AB429" s="208"/>
      <c r="AC429" s="208"/>
      <c r="AD429" s="208"/>
      <c r="AE429" s="208"/>
      <c r="AF429" s="208"/>
      <c r="AG429" s="208"/>
      <c r="AH429" s="208"/>
      <c r="AI429" s="100"/>
    </row>
    <row r="430" ht="14.25" customHeight="1">
      <c r="A430" s="195"/>
      <c r="B430" s="100"/>
      <c r="C430" s="100"/>
      <c r="D430" s="100"/>
      <c r="E430" s="100"/>
      <c r="F430" s="206"/>
      <c r="G430" s="206"/>
      <c r="H430" s="207"/>
      <c r="I430" s="207"/>
      <c r="J430" s="207"/>
      <c r="K430" s="207"/>
      <c r="L430" s="207"/>
      <c r="M430" s="207"/>
      <c r="N430" s="207"/>
      <c r="O430" s="207"/>
      <c r="P430" s="207"/>
      <c r="Q430" s="207"/>
      <c r="R430" s="207"/>
      <c r="S430" s="207"/>
      <c r="T430" s="207"/>
      <c r="U430" s="207"/>
      <c r="V430" s="207"/>
      <c r="W430" s="208"/>
      <c r="X430" s="208"/>
      <c r="Y430" s="208"/>
      <c r="Z430" s="208"/>
      <c r="AA430" s="208"/>
      <c r="AB430" s="208"/>
      <c r="AC430" s="208"/>
      <c r="AD430" s="208"/>
      <c r="AE430" s="208"/>
      <c r="AF430" s="208"/>
      <c r="AG430" s="208"/>
      <c r="AH430" s="208"/>
      <c r="AI430" s="100"/>
    </row>
    <row r="431" ht="14.25" customHeight="1">
      <c r="A431" s="195"/>
      <c r="B431" s="100"/>
      <c r="C431" s="100"/>
      <c r="D431" s="100"/>
      <c r="E431" s="100"/>
      <c r="F431" s="206"/>
      <c r="G431" s="206"/>
      <c r="H431" s="207"/>
      <c r="I431" s="207"/>
      <c r="J431" s="207"/>
      <c r="K431" s="207"/>
      <c r="L431" s="207"/>
      <c r="M431" s="207"/>
      <c r="N431" s="207"/>
      <c r="O431" s="207"/>
      <c r="P431" s="207"/>
      <c r="Q431" s="207"/>
      <c r="R431" s="207"/>
      <c r="S431" s="207"/>
      <c r="T431" s="207"/>
      <c r="U431" s="207"/>
      <c r="V431" s="207"/>
      <c r="W431" s="208"/>
      <c r="X431" s="208"/>
      <c r="Y431" s="208"/>
      <c r="Z431" s="208"/>
      <c r="AA431" s="208"/>
      <c r="AB431" s="208"/>
      <c r="AC431" s="208"/>
      <c r="AD431" s="208"/>
      <c r="AE431" s="208"/>
      <c r="AF431" s="208"/>
      <c r="AG431" s="208"/>
      <c r="AH431" s="208"/>
      <c r="AI431" s="100"/>
    </row>
    <row r="432" ht="14.25" customHeight="1">
      <c r="A432" s="195"/>
      <c r="B432" s="100"/>
      <c r="C432" s="100"/>
      <c r="D432" s="100"/>
      <c r="E432" s="100"/>
      <c r="F432" s="206"/>
      <c r="G432" s="206"/>
      <c r="H432" s="207"/>
      <c r="I432" s="207"/>
      <c r="J432" s="207"/>
      <c r="K432" s="207"/>
      <c r="L432" s="207"/>
      <c r="M432" s="207"/>
      <c r="N432" s="207"/>
      <c r="O432" s="207"/>
      <c r="P432" s="207"/>
      <c r="Q432" s="207"/>
      <c r="R432" s="207"/>
      <c r="S432" s="207"/>
      <c r="T432" s="207"/>
      <c r="U432" s="207"/>
      <c r="V432" s="207"/>
      <c r="W432" s="208"/>
      <c r="X432" s="208"/>
      <c r="Y432" s="208"/>
      <c r="Z432" s="208"/>
      <c r="AA432" s="208"/>
      <c r="AB432" s="208"/>
      <c r="AC432" s="208"/>
      <c r="AD432" s="208"/>
      <c r="AE432" s="208"/>
      <c r="AF432" s="208"/>
      <c r="AG432" s="208"/>
      <c r="AH432" s="208"/>
      <c r="AI432" s="100"/>
    </row>
    <row r="433" ht="14.25" customHeight="1">
      <c r="A433" s="195"/>
      <c r="B433" s="100"/>
      <c r="C433" s="100"/>
      <c r="D433" s="100"/>
      <c r="E433" s="100"/>
      <c r="F433" s="206"/>
      <c r="G433" s="206"/>
      <c r="H433" s="207"/>
      <c r="I433" s="207"/>
      <c r="J433" s="207"/>
      <c r="K433" s="207"/>
      <c r="L433" s="207"/>
      <c r="M433" s="207"/>
      <c r="N433" s="207"/>
      <c r="O433" s="207"/>
      <c r="P433" s="207"/>
      <c r="Q433" s="207"/>
      <c r="R433" s="207"/>
      <c r="S433" s="207"/>
      <c r="T433" s="207"/>
      <c r="U433" s="207"/>
      <c r="V433" s="207"/>
      <c r="W433" s="208"/>
      <c r="X433" s="208"/>
      <c r="Y433" s="208"/>
      <c r="Z433" s="208"/>
      <c r="AA433" s="208"/>
      <c r="AB433" s="208"/>
      <c r="AC433" s="208"/>
      <c r="AD433" s="208"/>
      <c r="AE433" s="208"/>
      <c r="AF433" s="208"/>
      <c r="AG433" s="208"/>
      <c r="AH433" s="208"/>
      <c r="AI433" s="100"/>
    </row>
    <row r="434" ht="14.25" customHeight="1">
      <c r="A434" s="195"/>
      <c r="B434" s="100"/>
      <c r="C434" s="100"/>
      <c r="D434" s="100"/>
      <c r="E434" s="100"/>
      <c r="F434" s="206"/>
      <c r="G434" s="206"/>
      <c r="H434" s="207"/>
      <c r="I434" s="207"/>
      <c r="J434" s="207"/>
      <c r="K434" s="207"/>
      <c r="L434" s="207"/>
      <c r="M434" s="207"/>
      <c r="N434" s="207"/>
      <c r="O434" s="207"/>
      <c r="P434" s="207"/>
      <c r="Q434" s="207"/>
      <c r="R434" s="207"/>
      <c r="S434" s="207"/>
      <c r="T434" s="207"/>
      <c r="U434" s="207"/>
      <c r="V434" s="207"/>
      <c r="W434" s="208"/>
      <c r="X434" s="208"/>
      <c r="Y434" s="208"/>
      <c r="Z434" s="208"/>
      <c r="AA434" s="208"/>
      <c r="AB434" s="208"/>
      <c r="AC434" s="208"/>
      <c r="AD434" s="208"/>
      <c r="AE434" s="208"/>
      <c r="AF434" s="208"/>
      <c r="AG434" s="208"/>
      <c r="AH434" s="208"/>
      <c r="AI434" s="100"/>
    </row>
    <row r="435" ht="14.25" customHeight="1">
      <c r="A435" s="195"/>
      <c r="B435" s="100"/>
      <c r="C435" s="100"/>
      <c r="D435" s="100"/>
      <c r="E435" s="100"/>
      <c r="F435" s="206"/>
      <c r="G435" s="206"/>
      <c r="H435" s="207"/>
      <c r="I435" s="207"/>
      <c r="J435" s="207"/>
      <c r="K435" s="207"/>
      <c r="L435" s="207"/>
      <c r="M435" s="207"/>
      <c r="N435" s="207"/>
      <c r="O435" s="207"/>
      <c r="P435" s="207"/>
      <c r="Q435" s="207"/>
      <c r="R435" s="207"/>
      <c r="S435" s="207"/>
      <c r="T435" s="207"/>
      <c r="U435" s="207"/>
      <c r="V435" s="207"/>
      <c r="W435" s="208"/>
      <c r="X435" s="208"/>
      <c r="Y435" s="208"/>
      <c r="Z435" s="208"/>
      <c r="AA435" s="208"/>
      <c r="AB435" s="208"/>
      <c r="AC435" s="208"/>
      <c r="AD435" s="208"/>
      <c r="AE435" s="208"/>
      <c r="AF435" s="208"/>
      <c r="AG435" s="208"/>
      <c r="AH435" s="208"/>
      <c r="AI435" s="100"/>
    </row>
    <row r="436" ht="14.25" customHeight="1">
      <c r="A436" s="195"/>
      <c r="B436" s="100"/>
      <c r="C436" s="100"/>
      <c r="D436" s="100"/>
      <c r="E436" s="100"/>
      <c r="F436" s="206"/>
      <c r="G436" s="206"/>
      <c r="H436" s="207"/>
      <c r="I436" s="207"/>
      <c r="J436" s="207"/>
      <c r="K436" s="207"/>
      <c r="L436" s="207"/>
      <c r="M436" s="207"/>
      <c r="N436" s="207"/>
      <c r="O436" s="207"/>
      <c r="P436" s="207"/>
      <c r="Q436" s="207"/>
      <c r="R436" s="207"/>
      <c r="S436" s="207"/>
      <c r="T436" s="207"/>
      <c r="U436" s="207"/>
      <c r="V436" s="207"/>
      <c r="W436" s="208"/>
      <c r="X436" s="208"/>
      <c r="Y436" s="208"/>
      <c r="Z436" s="208"/>
      <c r="AA436" s="208"/>
      <c r="AB436" s="208"/>
      <c r="AC436" s="208"/>
      <c r="AD436" s="208"/>
      <c r="AE436" s="208"/>
      <c r="AF436" s="208"/>
      <c r="AG436" s="208"/>
      <c r="AH436" s="208"/>
      <c r="AI436" s="100"/>
    </row>
    <row r="437" ht="14.25" customHeight="1">
      <c r="A437" s="195"/>
      <c r="B437" s="100"/>
      <c r="C437" s="100"/>
      <c r="D437" s="100"/>
      <c r="E437" s="100"/>
      <c r="F437" s="206"/>
      <c r="G437" s="206"/>
      <c r="H437" s="207"/>
      <c r="I437" s="207"/>
      <c r="J437" s="207"/>
      <c r="K437" s="207"/>
      <c r="L437" s="207"/>
      <c r="M437" s="207"/>
      <c r="N437" s="207"/>
      <c r="O437" s="207"/>
      <c r="P437" s="207"/>
      <c r="Q437" s="207"/>
      <c r="R437" s="207"/>
      <c r="S437" s="207"/>
      <c r="T437" s="207"/>
      <c r="U437" s="207"/>
      <c r="V437" s="207"/>
      <c r="W437" s="208"/>
      <c r="X437" s="208"/>
      <c r="Y437" s="208"/>
      <c r="Z437" s="208"/>
      <c r="AA437" s="208"/>
      <c r="AB437" s="208"/>
      <c r="AC437" s="208"/>
      <c r="AD437" s="208"/>
      <c r="AE437" s="208"/>
      <c r="AF437" s="208"/>
      <c r="AG437" s="208"/>
      <c r="AH437" s="208"/>
      <c r="AI437" s="100"/>
    </row>
    <row r="438" ht="14.25" customHeight="1">
      <c r="A438" s="195"/>
      <c r="B438" s="100"/>
      <c r="C438" s="100"/>
      <c r="D438" s="100"/>
      <c r="E438" s="100"/>
      <c r="F438" s="206"/>
      <c r="G438" s="206"/>
      <c r="H438" s="207"/>
      <c r="I438" s="207"/>
      <c r="J438" s="207"/>
      <c r="K438" s="207"/>
      <c r="L438" s="207"/>
      <c r="M438" s="207"/>
      <c r="N438" s="207"/>
      <c r="O438" s="207"/>
      <c r="P438" s="207"/>
      <c r="Q438" s="207"/>
      <c r="R438" s="207"/>
      <c r="S438" s="207"/>
      <c r="T438" s="207"/>
      <c r="U438" s="207"/>
      <c r="V438" s="207"/>
      <c r="W438" s="208"/>
      <c r="X438" s="208"/>
      <c r="Y438" s="208"/>
      <c r="Z438" s="208"/>
      <c r="AA438" s="208"/>
      <c r="AB438" s="208"/>
      <c r="AC438" s="208"/>
      <c r="AD438" s="208"/>
      <c r="AE438" s="208"/>
      <c r="AF438" s="208"/>
      <c r="AG438" s="208"/>
      <c r="AH438" s="208"/>
      <c r="AI438" s="100"/>
    </row>
    <row r="439" ht="14.25" customHeight="1">
      <c r="A439" s="195"/>
      <c r="B439" s="100"/>
      <c r="C439" s="100"/>
      <c r="D439" s="100"/>
      <c r="E439" s="100"/>
      <c r="F439" s="206"/>
      <c r="G439" s="206"/>
      <c r="H439" s="207"/>
      <c r="I439" s="207"/>
      <c r="J439" s="207"/>
      <c r="K439" s="207"/>
      <c r="L439" s="207"/>
      <c r="M439" s="207"/>
      <c r="N439" s="207"/>
      <c r="O439" s="207"/>
      <c r="P439" s="207"/>
      <c r="Q439" s="207"/>
      <c r="R439" s="207"/>
      <c r="S439" s="207"/>
      <c r="T439" s="207"/>
      <c r="U439" s="207"/>
      <c r="V439" s="207"/>
      <c r="W439" s="208"/>
      <c r="X439" s="208"/>
      <c r="Y439" s="208"/>
      <c r="Z439" s="208"/>
      <c r="AA439" s="208"/>
      <c r="AB439" s="208"/>
      <c r="AC439" s="208"/>
      <c r="AD439" s="208"/>
      <c r="AE439" s="208"/>
      <c r="AF439" s="208"/>
      <c r="AG439" s="208"/>
      <c r="AH439" s="208"/>
      <c r="AI439" s="100"/>
    </row>
    <row r="440" ht="14.25" customHeight="1">
      <c r="A440" s="195"/>
      <c r="B440" s="100"/>
      <c r="C440" s="100"/>
      <c r="D440" s="100"/>
      <c r="E440" s="100"/>
      <c r="F440" s="206"/>
      <c r="G440" s="206"/>
      <c r="H440" s="207"/>
      <c r="I440" s="207"/>
      <c r="J440" s="207"/>
      <c r="K440" s="207"/>
      <c r="L440" s="207"/>
      <c r="M440" s="207"/>
      <c r="N440" s="207"/>
      <c r="O440" s="207"/>
      <c r="P440" s="207"/>
      <c r="Q440" s="207"/>
      <c r="R440" s="207"/>
      <c r="S440" s="207"/>
      <c r="T440" s="207"/>
      <c r="U440" s="207"/>
      <c r="V440" s="207"/>
      <c r="W440" s="208"/>
      <c r="X440" s="208"/>
      <c r="Y440" s="208"/>
      <c r="Z440" s="208"/>
      <c r="AA440" s="208"/>
      <c r="AB440" s="208"/>
      <c r="AC440" s="208"/>
      <c r="AD440" s="208"/>
      <c r="AE440" s="208"/>
      <c r="AF440" s="208"/>
      <c r="AG440" s="208"/>
      <c r="AH440" s="208"/>
      <c r="AI440" s="100"/>
    </row>
    <row r="441" ht="14.25" customHeight="1">
      <c r="A441" s="195"/>
      <c r="B441" s="100"/>
      <c r="C441" s="100"/>
      <c r="D441" s="100"/>
      <c r="E441" s="100"/>
      <c r="F441" s="206"/>
      <c r="G441" s="206"/>
      <c r="H441" s="207"/>
      <c r="I441" s="207"/>
      <c r="J441" s="207"/>
      <c r="K441" s="207"/>
      <c r="L441" s="207"/>
      <c r="M441" s="207"/>
      <c r="N441" s="207"/>
      <c r="O441" s="207"/>
      <c r="P441" s="207"/>
      <c r="Q441" s="207"/>
      <c r="R441" s="207"/>
      <c r="S441" s="207"/>
      <c r="T441" s="207"/>
      <c r="U441" s="207"/>
      <c r="V441" s="207"/>
      <c r="W441" s="208"/>
      <c r="X441" s="208"/>
      <c r="Y441" s="208"/>
      <c r="Z441" s="208"/>
      <c r="AA441" s="208"/>
      <c r="AB441" s="208"/>
      <c r="AC441" s="208"/>
      <c r="AD441" s="208"/>
      <c r="AE441" s="208"/>
      <c r="AF441" s="208"/>
      <c r="AG441" s="208"/>
      <c r="AH441" s="208"/>
      <c r="AI441" s="100"/>
    </row>
    <row r="442" ht="14.25" customHeight="1">
      <c r="A442" s="195"/>
      <c r="B442" s="100"/>
      <c r="C442" s="100"/>
      <c r="D442" s="100"/>
      <c r="E442" s="100"/>
      <c r="F442" s="206"/>
      <c r="G442" s="206"/>
      <c r="H442" s="207"/>
      <c r="I442" s="207"/>
      <c r="J442" s="207"/>
      <c r="K442" s="207"/>
      <c r="L442" s="207"/>
      <c r="M442" s="207"/>
      <c r="N442" s="207"/>
      <c r="O442" s="207"/>
      <c r="P442" s="207"/>
      <c r="Q442" s="207"/>
      <c r="R442" s="207"/>
      <c r="S442" s="207"/>
      <c r="T442" s="207"/>
      <c r="U442" s="207"/>
      <c r="V442" s="207"/>
      <c r="W442" s="208"/>
      <c r="X442" s="208"/>
      <c r="Y442" s="208"/>
      <c r="Z442" s="208"/>
      <c r="AA442" s="208"/>
      <c r="AB442" s="208"/>
      <c r="AC442" s="208"/>
      <c r="AD442" s="208"/>
      <c r="AE442" s="208"/>
      <c r="AF442" s="208"/>
      <c r="AG442" s="208"/>
      <c r="AH442" s="208"/>
      <c r="AI442" s="100"/>
    </row>
    <row r="443" ht="14.25" customHeight="1">
      <c r="A443" s="195"/>
      <c r="B443" s="100"/>
      <c r="C443" s="100"/>
      <c r="D443" s="100"/>
      <c r="E443" s="100"/>
      <c r="F443" s="206"/>
      <c r="G443" s="206"/>
      <c r="H443" s="207"/>
      <c r="I443" s="207"/>
      <c r="J443" s="207"/>
      <c r="K443" s="207"/>
      <c r="L443" s="207"/>
      <c r="M443" s="207"/>
      <c r="N443" s="207"/>
      <c r="O443" s="207"/>
      <c r="P443" s="207"/>
      <c r="Q443" s="207"/>
      <c r="R443" s="207"/>
      <c r="S443" s="207"/>
      <c r="T443" s="207"/>
      <c r="U443" s="207"/>
      <c r="V443" s="207"/>
      <c r="W443" s="208"/>
      <c r="X443" s="208"/>
      <c r="Y443" s="208"/>
      <c r="Z443" s="208"/>
      <c r="AA443" s="208"/>
      <c r="AB443" s="208"/>
      <c r="AC443" s="208"/>
      <c r="AD443" s="208"/>
      <c r="AE443" s="208"/>
      <c r="AF443" s="208"/>
      <c r="AG443" s="208"/>
      <c r="AH443" s="208"/>
      <c r="AI443" s="100"/>
    </row>
    <row r="444" ht="14.25" customHeight="1">
      <c r="A444" s="195"/>
      <c r="B444" s="100"/>
      <c r="C444" s="100"/>
      <c r="D444" s="100"/>
      <c r="E444" s="100"/>
      <c r="F444" s="206"/>
      <c r="G444" s="206"/>
      <c r="H444" s="207"/>
      <c r="I444" s="207"/>
      <c r="J444" s="207"/>
      <c r="K444" s="207"/>
      <c r="L444" s="207"/>
      <c r="M444" s="207"/>
      <c r="N444" s="207"/>
      <c r="O444" s="207"/>
      <c r="P444" s="207"/>
      <c r="Q444" s="207"/>
      <c r="R444" s="207"/>
      <c r="S444" s="207"/>
      <c r="T444" s="207"/>
      <c r="U444" s="207"/>
      <c r="V444" s="207"/>
      <c r="W444" s="208"/>
      <c r="X444" s="208"/>
      <c r="Y444" s="208"/>
      <c r="Z444" s="208"/>
      <c r="AA444" s="208"/>
      <c r="AB444" s="208"/>
      <c r="AC444" s="208"/>
      <c r="AD444" s="208"/>
      <c r="AE444" s="208"/>
      <c r="AF444" s="208"/>
      <c r="AG444" s="208"/>
      <c r="AH444" s="208"/>
      <c r="AI444" s="100"/>
    </row>
    <row r="445" ht="14.25" customHeight="1">
      <c r="A445" s="195"/>
      <c r="B445" s="100"/>
      <c r="C445" s="100"/>
      <c r="D445" s="100"/>
      <c r="E445" s="100"/>
      <c r="F445" s="206"/>
      <c r="G445" s="206"/>
      <c r="H445" s="207"/>
      <c r="I445" s="207"/>
      <c r="J445" s="207"/>
      <c r="K445" s="207"/>
      <c r="L445" s="207"/>
      <c r="M445" s="207"/>
      <c r="N445" s="207"/>
      <c r="O445" s="207"/>
      <c r="P445" s="207"/>
      <c r="Q445" s="207"/>
      <c r="R445" s="207"/>
      <c r="S445" s="207"/>
      <c r="T445" s="207"/>
      <c r="U445" s="207"/>
      <c r="V445" s="207"/>
      <c r="W445" s="208"/>
      <c r="X445" s="208"/>
      <c r="Y445" s="208"/>
      <c r="Z445" s="208"/>
      <c r="AA445" s="208"/>
      <c r="AB445" s="208"/>
      <c r="AC445" s="208"/>
      <c r="AD445" s="208"/>
      <c r="AE445" s="208"/>
      <c r="AF445" s="208"/>
      <c r="AG445" s="208"/>
      <c r="AH445" s="208"/>
      <c r="AI445" s="100"/>
    </row>
    <row r="446" ht="14.25" customHeight="1">
      <c r="A446" s="195"/>
      <c r="B446" s="100"/>
      <c r="C446" s="100"/>
      <c r="D446" s="100"/>
      <c r="E446" s="100"/>
      <c r="F446" s="206"/>
      <c r="G446" s="206"/>
      <c r="H446" s="207"/>
      <c r="I446" s="207"/>
      <c r="J446" s="207"/>
      <c r="K446" s="207"/>
      <c r="L446" s="207"/>
      <c r="M446" s="207"/>
      <c r="N446" s="207"/>
      <c r="O446" s="207"/>
      <c r="P446" s="207"/>
      <c r="Q446" s="207"/>
      <c r="R446" s="207"/>
      <c r="S446" s="207"/>
      <c r="T446" s="207"/>
      <c r="U446" s="207"/>
      <c r="V446" s="207"/>
      <c r="W446" s="208"/>
      <c r="X446" s="208"/>
      <c r="Y446" s="208"/>
      <c r="Z446" s="208"/>
      <c r="AA446" s="208"/>
      <c r="AB446" s="208"/>
      <c r="AC446" s="208"/>
      <c r="AD446" s="208"/>
      <c r="AE446" s="208"/>
      <c r="AF446" s="208"/>
      <c r="AG446" s="208"/>
      <c r="AH446" s="208"/>
      <c r="AI446" s="100"/>
    </row>
    <row r="447" ht="14.25" customHeight="1">
      <c r="A447" s="195"/>
      <c r="B447" s="100"/>
      <c r="C447" s="100"/>
      <c r="D447" s="100"/>
      <c r="E447" s="100"/>
      <c r="F447" s="206"/>
      <c r="G447" s="206"/>
      <c r="H447" s="207"/>
      <c r="I447" s="207"/>
      <c r="J447" s="207"/>
      <c r="K447" s="207"/>
      <c r="L447" s="207"/>
      <c r="M447" s="207"/>
      <c r="N447" s="207"/>
      <c r="O447" s="207"/>
      <c r="P447" s="207"/>
      <c r="Q447" s="207"/>
      <c r="R447" s="207"/>
      <c r="S447" s="207"/>
      <c r="T447" s="207"/>
      <c r="U447" s="207"/>
      <c r="V447" s="207"/>
      <c r="W447" s="208"/>
      <c r="X447" s="208"/>
      <c r="Y447" s="208"/>
      <c r="Z447" s="208"/>
      <c r="AA447" s="208"/>
      <c r="AB447" s="208"/>
      <c r="AC447" s="208"/>
      <c r="AD447" s="208"/>
      <c r="AE447" s="208"/>
      <c r="AF447" s="208"/>
      <c r="AG447" s="208"/>
      <c r="AH447" s="208"/>
      <c r="AI447" s="100"/>
    </row>
    <row r="448" ht="14.25" customHeight="1">
      <c r="A448" s="195"/>
      <c r="B448" s="100"/>
      <c r="C448" s="100"/>
      <c r="D448" s="100"/>
      <c r="E448" s="100"/>
      <c r="F448" s="206"/>
      <c r="G448" s="206"/>
      <c r="H448" s="207"/>
      <c r="I448" s="207"/>
      <c r="J448" s="207"/>
      <c r="K448" s="207"/>
      <c r="L448" s="207"/>
      <c r="M448" s="207"/>
      <c r="N448" s="207"/>
      <c r="O448" s="207"/>
      <c r="P448" s="207"/>
      <c r="Q448" s="207"/>
      <c r="R448" s="207"/>
      <c r="S448" s="207"/>
      <c r="T448" s="207"/>
      <c r="U448" s="207"/>
      <c r="V448" s="207"/>
      <c r="W448" s="208"/>
      <c r="X448" s="208"/>
      <c r="Y448" s="208"/>
      <c r="Z448" s="208"/>
      <c r="AA448" s="208"/>
      <c r="AB448" s="208"/>
      <c r="AC448" s="208"/>
      <c r="AD448" s="208"/>
      <c r="AE448" s="208"/>
      <c r="AF448" s="208"/>
      <c r="AG448" s="208"/>
      <c r="AH448" s="208"/>
      <c r="AI448" s="100"/>
    </row>
    <row r="449" ht="14.25" customHeight="1">
      <c r="A449" s="195"/>
      <c r="B449" s="100"/>
      <c r="C449" s="100"/>
      <c r="D449" s="100"/>
      <c r="E449" s="100"/>
      <c r="F449" s="206"/>
      <c r="G449" s="206"/>
      <c r="H449" s="207"/>
      <c r="I449" s="207"/>
      <c r="J449" s="207"/>
      <c r="K449" s="207"/>
      <c r="L449" s="207"/>
      <c r="M449" s="207"/>
      <c r="N449" s="207"/>
      <c r="O449" s="207"/>
      <c r="P449" s="207"/>
      <c r="Q449" s="207"/>
      <c r="R449" s="207"/>
      <c r="S449" s="207"/>
      <c r="T449" s="207"/>
      <c r="U449" s="207"/>
      <c r="V449" s="207"/>
      <c r="W449" s="208"/>
      <c r="X449" s="208"/>
      <c r="Y449" s="208"/>
      <c r="Z449" s="208"/>
      <c r="AA449" s="208"/>
      <c r="AB449" s="208"/>
      <c r="AC449" s="208"/>
      <c r="AD449" s="208"/>
      <c r="AE449" s="208"/>
      <c r="AF449" s="208"/>
      <c r="AG449" s="208"/>
      <c r="AH449" s="208"/>
      <c r="AI449" s="100"/>
    </row>
    <row r="450" ht="14.25" customHeight="1">
      <c r="A450" s="195"/>
      <c r="B450" s="100"/>
      <c r="C450" s="100"/>
      <c r="D450" s="100"/>
      <c r="E450" s="100"/>
      <c r="F450" s="206"/>
      <c r="G450" s="206"/>
      <c r="H450" s="207"/>
      <c r="I450" s="207"/>
      <c r="J450" s="207"/>
      <c r="K450" s="207"/>
      <c r="L450" s="207"/>
      <c r="M450" s="207"/>
      <c r="N450" s="207"/>
      <c r="O450" s="207"/>
      <c r="P450" s="207"/>
      <c r="Q450" s="207"/>
      <c r="R450" s="207"/>
      <c r="S450" s="207"/>
      <c r="T450" s="207"/>
      <c r="U450" s="207"/>
      <c r="V450" s="207"/>
      <c r="W450" s="208"/>
      <c r="X450" s="208"/>
      <c r="Y450" s="208"/>
      <c r="Z450" s="208"/>
      <c r="AA450" s="208"/>
      <c r="AB450" s="208"/>
      <c r="AC450" s="208"/>
      <c r="AD450" s="208"/>
      <c r="AE450" s="208"/>
      <c r="AF450" s="208"/>
      <c r="AG450" s="208"/>
      <c r="AH450" s="208"/>
      <c r="AI450" s="100"/>
    </row>
    <row r="451" ht="14.25" customHeight="1">
      <c r="A451" s="195"/>
      <c r="B451" s="100"/>
      <c r="C451" s="100"/>
      <c r="D451" s="100"/>
      <c r="E451" s="100"/>
      <c r="F451" s="206"/>
      <c r="G451" s="206"/>
      <c r="H451" s="207"/>
      <c r="I451" s="207"/>
      <c r="J451" s="207"/>
      <c r="K451" s="207"/>
      <c r="L451" s="207"/>
      <c r="M451" s="207"/>
      <c r="N451" s="207"/>
      <c r="O451" s="207"/>
      <c r="P451" s="207"/>
      <c r="Q451" s="207"/>
      <c r="R451" s="207"/>
      <c r="S451" s="207"/>
      <c r="T451" s="207"/>
      <c r="U451" s="207"/>
      <c r="V451" s="207"/>
      <c r="W451" s="208"/>
      <c r="X451" s="208"/>
      <c r="Y451" s="208"/>
      <c r="Z451" s="208"/>
      <c r="AA451" s="208"/>
      <c r="AB451" s="208"/>
      <c r="AC451" s="208"/>
      <c r="AD451" s="208"/>
      <c r="AE451" s="208"/>
      <c r="AF451" s="208"/>
      <c r="AG451" s="208"/>
      <c r="AH451" s="208"/>
      <c r="AI451" s="100"/>
    </row>
    <row r="452" ht="14.25" customHeight="1">
      <c r="A452" s="195"/>
      <c r="B452" s="100"/>
      <c r="C452" s="100"/>
      <c r="D452" s="100"/>
      <c r="E452" s="100"/>
      <c r="F452" s="206"/>
      <c r="G452" s="206"/>
      <c r="H452" s="207"/>
      <c r="I452" s="207"/>
      <c r="J452" s="207"/>
      <c r="K452" s="207"/>
      <c r="L452" s="207"/>
      <c r="M452" s="207"/>
      <c r="N452" s="207"/>
      <c r="O452" s="207"/>
      <c r="P452" s="207"/>
      <c r="Q452" s="207"/>
      <c r="R452" s="207"/>
      <c r="S452" s="207"/>
      <c r="T452" s="207"/>
      <c r="U452" s="207"/>
      <c r="V452" s="207"/>
      <c r="W452" s="208"/>
      <c r="X452" s="208"/>
      <c r="Y452" s="208"/>
      <c r="Z452" s="208"/>
      <c r="AA452" s="208"/>
      <c r="AB452" s="208"/>
      <c r="AC452" s="208"/>
      <c r="AD452" s="208"/>
      <c r="AE452" s="208"/>
      <c r="AF452" s="208"/>
      <c r="AG452" s="208"/>
      <c r="AH452" s="208"/>
      <c r="AI452" s="100"/>
    </row>
    <row r="453" ht="14.25" customHeight="1">
      <c r="A453" s="195"/>
      <c r="B453" s="100"/>
      <c r="C453" s="100"/>
      <c r="D453" s="100"/>
      <c r="E453" s="100"/>
      <c r="F453" s="206"/>
      <c r="G453" s="206"/>
      <c r="H453" s="207"/>
      <c r="I453" s="207"/>
      <c r="J453" s="207"/>
      <c r="K453" s="207"/>
      <c r="L453" s="207"/>
      <c r="M453" s="207"/>
      <c r="N453" s="207"/>
      <c r="O453" s="207"/>
      <c r="P453" s="207"/>
      <c r="Q453" s="207"/>
      <c r="R453" s="207"/>
      <c r="S453" s="207"/>
      <c r="T453" s="207"/>
      <c r="U453" s="207"/>
      <c r="V453" s="207"/>
      <c r="W453" s="208"/>
      <c r="X453" s="208"/>
      <c r="Y453" s="208"/>
      <c r="Z453" s="208"/>
      <c r="AA453" s="208"/>
      <c r="AB453" s="208"/>
      <c r="AC453" s="208"/>
      <c r="AD453" s="208"/>
      <c r="AE453" s="208"/>
      <c r="AF453" s="208"/>
      <c r="AG453" s="208"/>
      <c r="AH453" s="208"/>
      <c r="AI453" s="100"/>
    </row>
    <row r="454" ht="14.25" customHeight="1">
      <c r="A454" s="195"/>
      <c r="B454" s="100"/>
      <c r="C454" s="100"/>
      <c r="D454" s="100"/>
      <c r="E454" s="100"/>
      <c r="F454" s="206"/>
      <c r="G454" s="206"/>
      <c r="H454" s="207"/>
      <c r="I454" s="207"/>
      <c r="J454" s="207"/>
      <c r="K454" s="207"/>
      <c r="L454" s="207"/>
      <c r="M454" s="207"/>
      <c r="N454" s="207"/>
      <c r="O454" s="207"/>
      <c r="P454" s="207"/>
      <c r="Q454" s="207"/>
      <c r="R454" s="207"/>
      <c r="S454" s="207"/>
      <c r="T454" s="207"/>
      <c r="U454" s="207"/>
      <c r="V454" s="207"/>
      <c r="W454" s="208"/>
      <c r="X454" s="208"/>
      <c r="Y454" s="208"/>
      <c r="Z454" s="208"/>
      <c r="AA454" s="208"/>
      <c r="AB454" s="208"/>
      <c r="AC454" s="208"/>
      <c r="AD454" s="208"/>
      <c r="AE454" s="208"/>
      <c r="AF454" s="208"/>
      <c r="AG454" s="208"/>
      <c r="AH454" s="208"/>
      <c r="AI454" s="100"/>
    </row>
    <row r="455" ht="14.25" customHeight="1">
      <c r="A455" s="195"/>
      <c r="B455" s="100"/>
      <c r="C455" s="100"/>
      <c r="D455" s="100"/>
      <c r="E455" s="100"/>
      <c r="F455" s="206"/>
      <c r="G455" s="206"/>
      <c r="H455" s="207"/>
      <c r="I455" s="207"/>
      <c r="J455" s="207"/>
      <c r="K455" s="207"/>
      <c r="L455" s="207"/>
      <c r="M455" s="207"/>
      <c r="N455" s="207"/>
      <c r="O455" s="207"/>
      <c r="P455" s="207"/>
      <c r="Q455" s="207"/>
      <c r="R455" s="207"/>
      <c r="S455" s="207"/>
      <c r="T455" s="207"/>
      <c r="U455" s="207"/>
      <c r="V455" s="207"/>
      <c r="W455" s="208"/>
      <c r="X455" s="208"/>
      <c r="Y455" s="208"/>
      <c r="Z455" s="208"/>
      <c r="AA455" s="208"/>
      <c r="AB455" s="208"/>
      <c r="AC455" s="208"/>
      <c r="AD455" s="208"/>
      <c r="AE455" s="208"/>
      <c r="AF455" s="208"/>
      <c r="AG455" s="208"/>
      <c r="AH455" s="208"/>
      <c r="AI455" s="100"/>
    </row>
    <row r="456" ht="14.25" customHeight="1">
      <c r="A456" s="195"/>
      <c r="B456" s="100"/>
      <c r="C456" s="100"/>
      <c r="D456" s="100"/>
      <c r="E456" s="100"/>
      <c r="F456" s="206"/>
      <c r="G456" s="206"/>
      <c r="H456" s="207"/>
      <c r="I456" s="207"/>
      <c r="J456" s="207"/>
      <c r="K456" s="207"/>
      <c r="L456" s="207"/>
      <c r="M456" s="207"/>
      <c r="N456" s="207"/>
      <c r="O456" s="207"/>
      <c r="P456" s="207"/>
      <c r="Q456" s="207"/>
      <c r="R456" s="207"/>
      <c r="S456" s="207"/>
      <c r="T456" s="207"/>
      <c r="U456" s="207"/>
      <c r="V456" s="207"/>
      <c r="W456" s="208"/>
      <c r="X456" s="208"/>
      <c r="Y456" s="208"/>
      <c r="Z456" s="208"/>
      <c r="AA456" s="208"/>
      <c r="AB456" s="208"/>
      <c r="AC456" s="208"/>
      <c r="AD456" s="208"/>
      <c r="AE456" s="208"/>
      <c r="AF456" s="208"/>
      <c r="AG456" s="208"/>
      <c r="AH456" s="208"/>
      <c r="AI456" s="100"/>
    </row>
    <row r="457" ht="14.25" customHeight="1">
      <c r="A457" s="195"/>
      <c r="B457" s="100"/>
      <c r="C457" s="100"/>
      <c r="D457" s="100"/>
      <c r="E457" s="100"/>
      <c r="F457" s="206"/>
      <c r="G457" s="206"/>
      <c r="H457" s="207"/>
      <c r="I457" s="207"/>
      <c r="J457" s="207"/>
      <c r="K457" s="207"/>
      <c r="L457" s="207"/>
      <c r="M457" s="207"/>
      <c r="N457" s="207"/>
      <c r="O457" s="207"/>
      <c r="P457" s="207"/>
      <c r="Q457" s="207"/>
      <c r="R457" s="207"/>
      <c r="S457" s="207"/>
      <c r="T457" s="207"/>
      <c r="U457" s="207"/>
      <c r="V457" s="207"/>
      <c r="W457" s="208"/>
      <c r="X457" s="208"/>
      <c r="Y457" s="208"/>
      <c r="Z457" s="208"/>
      <c r="AA457" s="208"/>
      <c r="AB457" s="208"/>
      <c r="AC457" s="208"/>
      <c r="AD457" s="208"/>
      <c r="AE457" s="208"/>
      <c r="AF457" s="208"/>
      <c r="AG457" s="208"/>
      <c r="AH457" s="208"/>
      <c r="AI457" s="100"/>
    </row>
    <row r="458" ht="14.25" customHeight="1">
      <c r="A458" s="195"/>
      <c r="B458" s="100"/>
      <c r="C458" s="100"/>
      <c r="D458" s="100"/>
      <c r="E458" s="100"/>
      <c r="F458" s="206"/>
      <c r="G458" s="206"/>
      <c r="H458" s="207"/>
      <c r="I458" s="207"/>
      <c r="J458" s="207"/>
      <c r="K458" s="207"/>
      <c r="L458" s="207"/>
      <c r="M458" s="207"/>
      <c r="N458" s="207"/>
      <c r="O458" s="207"/>
      <c r="P458" s="207"/>
      <c r="Q458" s="207"/>
      <c r="R458" s="207"/>
      <c r="S458" s="207"/>
      <c r="T458" s="207"/>
      <c r="U458" s="207"/>
      <c r="V458" s="207"/>
      <c r="W458" s="208"/>
      <c r="X458" s="208"/>
      <c r="Y458" s="208"/>
      <c r="Z458" s="208"/>
      <c r="AA458" s="208"/>
      <c r="AB458" s="208"/>
      <c r="AC458" s="208"/>
      <c r="AD458" s="208"/>
      <c r="AE458" s="208"/>
      <c r="AF458" s="208"/>
      <c r="AG458" s="208"/>
      <c r="AH458" s="208"/>
      <c r="AI458" s="100"/>
    </row>
    <row r="459" ht="14.25" customHeight="1">
      <c r="A459" s="195"/>
      <c r="B459" s="100"/>
      <c r="C459" s="100"/>
      <c r="D459" s="100"/>
      <c r="E459" s="100"/>
      <c r="F459" s="206"/>
      <c r="G459" s="206"/>
      <c r="H459" s="207"/>
      <c r="I459" s="207"/>
      <c r="J459" s="207"/>
      <c r="K459" s="207"/>
      <c r="L459" s="207"/>
      <c r="M459" s="207"/>
      <c r="N459" s="207"/>
      <c r="O459" s="207"/>
      <c r="P459" s="207"/>
      <c r="Q459" s="207"/>
      <c r="R459" s="207"/>
      <c r="S459" s="207"/>
      <c r="T459" s="207"/>
      <c r="U459" s="207"/>
      <c r="V459" s="207"/>
      <c r="W459" s="208"/>
      <c r="X459" s="208"/>
      <c r="Y459" s="208"/>
      <c r="Z459" s="208"/>
      <c r="AA459" s="208"/>
      <c r="AB459" s="208"/>
      <c r="AC459" s="208"/>
      <c r="AD459" s="208"/>
      <c r="AE459" s="208"/>
      <c r="AF459" s="208"/>
      <c r="AG459" s="208"/>
      <c r="AH459" s="208"/>
      <c r="AI459" s="100"/>
    </row>
    <row r="460" ht="14.25" customHeight="1">
      <c r="A460" s="195"/>
      <c r="B460" s="100"/>
      <c r="C460" s="100"/>
      <c r="D460" s="100"/>
      <c r="E460" s="100"/>
      <c r="F460" s="206"/>
      <c r="G460" s="206"/>
      <c r="H460" s="207"/>
      <c r="I460" s="207"/>
      <c r="J460" s="207"/>
      <c r="K460" s="207"/>
      <c r="L460" s="207"/>
      <c r="M460" s="207"/>
      <c r="N460" s="207"/>
      <c r="O460" s="207"/>
      <c r="P460" s="207"/>
      <c r="Q460" s="207"/>
      <c r="R460" s="207"/>
      <c r="S460" s="207"/>
      <c r="T460" s="207"/>
      <c r="U460" s="207"/>
      <c r="V460" s="207"/>
      <c r="W460" s="208"/>
      <c r="X460" s="208"/>
      <c r="Y460" s="208"/>
      <c r="Z460" s="208"/>
      <c r="AA460" s="208"/>
      <c r="AB460" s="208"/>
      <c r="AC460" s="208"/>
      <c r="AD460" s="208"/>
      <c r="AE460" s="208"/>
      <c r="AF460" s="208"/>
      <c r="AG460" s="208"/>
      <c r="AH460" s="208"/>
      <c r="AI460" s="100"/>
    </row>
    <row r="461" ht="14.25" customHeight="1">
      <c r="A461" s="195"/>
      <c r="B461" s="100"/>
      <c r="C461" s="100"/>
      <c r="D461" s="100"/>
      <c r="E461" s="100"/>
      <c r="F461" s="206"/>
      <c r="G461" s="206"/>
      <c r="H461" s="207"/>
      <c r="I461" s="207"/>
      <c r="J461" s="207"/>
      <c r="K461" s="207"/>
      <c r="L461" s="207"/>
      <c r="M461" s="207"/>
      <c r="N461" s="207"/>
      <c r="O461" s="207"/>
      <c r="P461" s="207"/>
      <c r="Q461" s="207"/>
      <c r="R461" s="207"/>
      <c r="S461" s="207"/>
      <c r="T461" s="207"/>
      <c r="U461" s="207"/>
      <c r="V461" s="207"/>
      <c r="W461" s="208"/>
      <c r="X461" s="208"/>
      <c r="Y461" s="208"/>
      <c r="Z461" s="208"/>
      <c r="AA461" s="208"/>
      <c r="AB461" s="208"/>
      <c r="AC461" s="208"/>
      <c r="AD461" s="208"/>
      <c r="AE461" s="208"/>
      <c r="AF461" s="208"/>
      <c r="AG461" s="208"/>
      <c r="AH461" s="208"/>
      <c r="AI461" s="100"/>
    </row>
    <row r="462" ht="14.25" customHeight="1">
      <c r="A462" s="195"/>
      <c r="B462" s="100"/>
      <c r="C462" s="100"/>
      <c r="D462" s="100"/>
      <c r="E462" s="100"/>
      <c r="F462" s="206"/>
      <c r="G462" s="206"/>
      <c r="H462" s="207"/>
      <c r="I462" s="207"/>
      <c r="J462" s="207"/>
      <c r="K462" s="207"/>
      <c r="L462" s="207"/>
      <c r="M462" s="207"/>
      <c r="N462" s="207"/>
      <c r="O462" s="207"/>
      <c r="P462" s="207"/>
      <c r="Q462" s="207"/>
      <c r="R462" s="207"/>
      <c r="S462" s="207"/>
      <c r="T462" s="207"/>
      <c r="U462" s="207"/>
      <c r="V462" s="207"/>
      <c r="W462" s="208"/>
      <c r="X462" s="208"/>
      <c r="Y462" s="208"/>
      <c r="Z462" s="208"/>
      <c r="AA462" s="208"/>
      <c r="AB462" s="208"/>
      <c r="AC462" s="208"/>
      <c r="AD462" s="208"/>
      <c r="AE462" s="208"/>
      <c r="AF462" s="208"/>
      <c r="AG462" s="208"/>
      <c r="AH462" s="208"/>
      <c r="AI462" s="100"/>
    </row>
    <row r="463" ht="14.25" customHeight="1">
      <c r="A463" s="195"/>
      <c r="B463" s="100"/>
      <c r="C463" s="100"/>
      <c r="D463" s="100"/>
      <c r="E463" s="100"/>
      <c r="F463" s="206"/>
      <c r="G463" s="206"/>
      <c r="H463" s="207"/>
      <c r="I463" s="207"/>
      <c r="J463" s="207"/>
      <c r="K463" s="207"/>
      <c r="L463" s="207"/>
      <c r="M463" s="207"/>
      <c r="N463" s="207"/>
      <c r="O463" s="207"/>
      <c r="P463" s="207"/>
      <c r="Q463" s="207"/>
      <c r="R463" s="207"/>
      <c r="S463" s="207"/>
      <c r="T463" s="207"/>
      <c r="U463" s="207"/>
      <c r="V463" s="207"/>
      <c r="W463" s="208"/>
      <c r="X463" s="208"/>
      <c r="Y463" s="208"/>
      <c r="Z463" s="208"/>
      <c r="AA463" s="208"/>
      <c r="AB463" s="208"/>
      <c r="AC463" s="208"/>
      <c r="AD463" s="208"/>
      <c r="AE463" s="208"/>
      <c r="AF463" s="208"/>
      <c r="AG463" s="208"/>
      <c r="AH463" s="208"/>
      <c r="AI463" s="100"/>
    </row>
    <row r="464" ht="14.25" customHeight="1">
      <c r="A464" s="195"/>
      <c r="B464" s="100"/>
      <c r="C464" s="100"/>
      <c r="D464" s="100"/>
      <c r="E464" s="100"/>
      <c r="F464" s="206"/>
      <c r="G464" s="206"/>
      <c r="H464" s="207"/>
      <c r="I464" s="207"/>
      <c r="J464" s="207"/>
      <c r="K464" s="207"/>
      <c r="L464" s="207"/>
      <c r="M464" s="207"/>
      <c r="N464" s="207"/>
      <c r="O464" s="207"/>
      <c r="P464" s="207"/>
      <c r="Q464" s="207"/>
      <c r="R464" s="207"/>
      <c r="S464" s="207"/>
      <c r="T464" s="207"/>
      <c r="U464" s="207"/>
      <c r="V464" s="207"/>
      <c r="W464" s="208"/>
      <c r="X464" s="208"/>
      <c r="Y464" s="208"/>
      <c r="Z464" s="208"/>
      <c r="AA464" s="208"/>
      <c r="AB464" s="208"/>
      <c r="AC464" s="208"/>
      <c r="AD464" s="208"/>
      <c r="AE464" s="208"/>
      <c r="AF464" s="208"/>
      <c r="AG464" s="208"/>
      <c r="AH464" s="208"/>
      <c r="AI464" s="100"/>
    </row>
    <row r="465" ht="14.25" customHeight="1">
      <c r="A465" s="195"/>
      <c r="B465" s="100"/>
      <c r="C465" s="100"/>
      <c r="D465" s="100"/>
      <c r="E465" s="100"/>
      <c r="F465" s="206"/>
      <c r="G465" s="206"/>
      <c r="H465" s="207"/>
      <c r="I465" s="207"/>
      <c r="J465" s="207"/>
      <c r="K465" s="207"/>
      <c r="L465" s="207"/>
      <c r="M465" s="207"/>
      <c r="N465" s="207"/>
      <c r="O465" s="207"/>
      <c r="P465" s="207"/>
      <c r="Q465" s="207"/>
      <c r="R465" s="207"/>
      <c r="S465" s="207"/>
      <c r="T465" s="207"/>
      <c r="U465" s="207"/>
      <c r="V465" s="207"/>
      <c r="W465" s="208"/>
      <c r="X465" s="208"/>
      <c r="Y465" s="208"/>
      <c r="Z465" s="208"/>
      <c r="AA465" s="208"/>
      <c r="AB465" s="208"/>
      <c r="AC465" s="208"/>
      <c r="AD465" s="208"/>
      <c r="AE465" s="208"/>
      <c r="AF465" s="208"/>
      <c r="AG465" s="208"/>
      <c r="AH465" s="208"/>
      <c r="AI465" s="100"/>
    </row>
    <row r="466" ht="14.25" customHeight="1">
      <c r="A466" s="195"/>
      <c r="B466" s="100"/>
      <c r="C466" s="100"/>
      <c r="D466" s="100"/>
      <c r="E466" s="100"/>
      <c r="F466" s="206"/>
      <c r="G466" s="206"/>
      <c r="H466" s="207"/>
      <c r="I466" s="207"/>
      <c r="J466" s="207"/>
      <c r="K466" s="207"/>
      <c r="L466" s="207"/>
      <c r="M466" s="207"/>
      <c r="N466" s="207"/>
      <c r="O466" s="207"/>
      <c r="P466" s="207"/>
      <c r="Q466" s="207"/>
      <c r="R466" s="207"/>
      <c r="S466" s="207"/>
      <c r="T466" s="207"/>
      <c r="U466" s="207"/>
      <c r="V466" s="207"/>
      <c r="W466" s="208"/>
      <c r="X466" s="208"/>
      <c r="Y466" s="208"/>
      <c r="Z466" s="208"/>
      <c r="AA466" s="208"/>
      <c r="AB466" s="208"/>
      <c r="AC466" s="208"/>
      <c r="AD466" s="208"/>
      <c r="AE466" s="208"/>
      <c r="AF466" s="208"/>
      <c r="AG466" s="208"/>
      <c r="AH466" s="208"/>
      <c r="AI466" s="100"/>
    </row>
    <row r="467" ht="14.25" customHeight="1">
      <c r="A467" s="195"/>
      <c r="B467" s="100"/>
      <c r="C467" s="100"/>
      <c r="D467" s="100"/>
      <c r="E467" s="100"/>
      <c r="F467" s="206"/>
      <c r="G467" s="206"/>
      <c r="H467" s="207"/>
      <c r="I467" s="207"/>
      <c r="J467" s="207"/>
      <c r="K467" s="207"/>
      <c r="L467" s="207"/>
      <c r="M467" s="207"/>
      <c r="N467" s="207"/>
      <c r="O467" s="207"/>
      <c r="P467" s="207"/>
      <c r="Q467" s="207"/>
      <c r="R467" s="207"/>
      <c r="S467" s="207"/>
      <c r="T467" s="207"/>
      <c r="U467" s="207"/>
      <c r="V467" s="207"/>
      <c r="W467" s="208"/>
      <c r="X467" s="208"/>
      <c r="Y467" s="208"/>
      <c r="Z467" s="208"/>
      <c r="AA467" s="208"/>
      <c r="AB467" s="208"/>
      <c r="AC467" s="208"/>
      <c r="AD467" s="208"/>
      <c r="AE467" s="208"/>
      <c r="AF467" s="208"/>
      <c r="AG467" s="208"/>
      <c r="AH467" s="208"/>
      <c r="AI467" s="100"/>
    </row>
    <row r="468" ht="14.25" customHeight="1">
      <c r="A468" s="195"/>
      <c r="B468" s="100"/>
      <c r="C468" s="100"/>
      <c r="D468" s="100"/>
      <c r="E468" s="100"/>
      <c r="F468" s="206"/>
      <c r="G468" s="206"/>
      <c r="H468" s="207"/>
      <c r="I468" s="207"/>
      <c r="J468" s="207"/>
      <c r="K468" s="207"/>
      <c r="L468" s="207"/>
      <c r="M468" s="207"/>
      <c r="N468" s="207"/>
      <c r="O468" s="207"/>
      <c r="P468" s="207"/>
      <c r="Q468" s="207"/>
      <c r="R468" s="207"/>
      <c r="S468" s="207"/>
      <c r="T468" s="207"/>
      <c r="U468" s="207"/>
      <c r="V468" s="207"/>
      <c r="W468" s="208"/>
      <c r="X468" s="208"/>
      <c r="Y468" s="208"/>
      <c r="Z468" s="208"/>
      <c r="AA468" s="208"/>
      <c r="AB468" s="208"/>
      <c r="AC468" s="208"/>
      <c r="AD468" s="208"/>
      <c r="AE468" s="208"/>
      <c r="AF468" s="208"/>
      <c r="AG468" s="208"/>
      <c r="AH468" s="208"/>
      <c r="AI468" s="100"/>
    </row>
    <row r="469" ht="14.25" customHeight="1">
      <c r="A469" s="195"/>
      <c r="B469" s="100"/>
      <c r="C469" s="100"/>
      <c r="D469" s="100"/>
      <c r="E469" s="100"/>
      <c r="F469" s="206"/>
      <c r="G469" s="206"/>
      <c r="H469" s="207"/>
      <c r="I469" s="207"/>
      <c r="J469" s="207"/>
      <c r="K469" s="207"/>
      <c r="L469" s="207"/>
      <c r="M469" s="207"/>
      <c r="N469" s="207"/>
      <c r="O469" s="207"/>
      <c r="P469" s="207"/>
      <c r="Q469" s="207"/>
      <c r="R469" s="207"/>
      <c r="S469" s="207"/>
      <c r="T469" s="207"/>
      <c r="U469" s="207"/>
      <c r="V469" s="207"/>
      <c r="W469" s="208"/>
      <c r="X469" s="208"/>
      <c r="Y469" s="208"/>
      <c r="Z469" s="208"/>
      <c r="AA469" s="208"/>
      <c r="AB469" s="208"/>
      <c r="AC469" s="208"/>
      <c r="AD469" s="208"/>
      <c r="AE469" s="208"/>
      <c r="AF469" s="208"/>
      <c r="AG469" s="208"/>
      <c r="AH469" s="208"/>
      <c r="AI469" s="100"/>
    </row>
    <row r="470" ht="14.25" customHeight="1">
      <c r="A470" s="195"/>
      <c r="B470" s="100"/>
      <c r="C470" s="100"/>
      <c r="D470" s="100"/>
      <c r="E470" s="100"/>
      <c r="F470" s="206"/>
      <c r="G470" s="206"/>
      <c r="H470" s="207"/>
      <c r="I470" s="207"/>
      <c r="J470" s="207"/>
      <c r="K470" s="207"/>
      <c r="L470" s="207"/>
      <c r="M470" s="207"/>
      <c r="N470" s="207"/>
      <c r="O470" s="207"/>
      <c r="P470" s="207"/>
      <c r="Q470" s="207"/>
      <c r="R470" s="207"/>
      <c r="S470" s="207"/>
      <c r="T470" s="207"/>
      <c r="U470" s="207"/>
      <c r="V470" s="207"/>
      <c r="W470" s="208"/>
      <c r="X470" s="208"/>
      <c r="Y470" s="208"/>
      <c r="Z470" s="208"/>
      <c r="AA470" s="208"/>
      <c r="AB470" s="208"/>
      <c r="AC470" s="208"/>
      <c r="AD470" s="208"/>
      <c r="AE470" s="208"/>
      <c r="AF470" s="208"/>
      <c r="AG470" s="208"/>
      <c r="AH470" s="208"/>
      <c r="AI470" s="100"/>
    </row>
    <row r="471" ht="14.25" customHeight="1">
      <c r="A471" s="195"/>
      <c r="B471" s="100"/>
      <c r="C471" s="100"/>
      <c r="D471" s="100"/>
      <c r="E471" s="100"/>
      <c r="F471" s="206"/>
      <c r="G471" s="206"/>
      <c r="H471" s="207"/>
      <c r="I471" s="207"/>
      <c r="J471" s="207"/>
      <c r="K471" s="207"/>
      <c r="L471" s="207"/>
      <c r="M471" s="207"/>
      <c r="N471" s="207"/>
      <c r="O471" s="207"/>
      <c r="P471" s="207"/>
      <c r="Q471" s="207"/>
      <c r="R471" s="207"/>
      <c r="S471" s="207"/>
      <c r="T471" s="207"/>
      <c r="U471" s="207"/>
      <c r="V471" s="207"/>
      <c r="W471" s="208"/>
      <c r="X471" s="208"/>
      <c r="Y471" s="208"/>
      <c r="Z471" s="208"/>
      <c r="AA471" s="208"/>
      <c r="AB471" s="208"/>
      <c r="AC471" s="208"/>
      <c r="AD471" s="208"/>
      <c r="AE471" s="208"/>
      <c r="AF471" s="208"/>
      <c r="AG471" s="208"/>
      <c r="AH471" s="208"/>
      <c r="AI471" s="100"/>
    </row>
    <row r="472" ht="14.25" customHeight="1">
      <c r="A472" s="195"/>
      <c r="B472" s="100"/>
      <c r="C472" s="100"/>
      <c r="D472" s="100"/>
      <c r="E472" s="100"/>
      <c r="F472" s="206"/>
      <c r="G472" s="206"/>
      <c r="H472" s="207"/>
      <c r="I472" s="207"/>
      <c r="J472" s="207"/>
      <c r="K472" s="207"/>
      <c r="L472" s="207"/>
      <c r="M472" s="207"/>
      <c r="N472" s="207"/>
      <c r="O472" s="207"/>
      <c r="P472" s="207"/>
      <c r="Q472" s="207"/>
      <c r="R472" s="207"/>
      <c r="S472" s="207"/>
      <c r="T472" s="207"/>
      <c r="U472" s="207"/>
      <c r="V472" s="207"/>
      <c r="W472" s="208"/>
      <c r="X472" s="208"/>
      <c r="Y472" s="208"/>
      <c r="Z472" s="208"/>
      <c r="AA472" s="208"/>
      <c r="AB472" s="208"/>
      <c r="AC472" s="208"/>
      <c r="AD472" s="208"/>
      <c r="AE472" s="208"/>
      <c r="AF472" s="208"/>
      <c r="AG472" s="208"/>
      <c r="AH472" s="208"/>
      <c r="AI472" s="100"/>
    </row>
    <row r="473" ht="14.25" customHeight="1">
      <c r="A473" s="195"/>
      <c r="B473" s="100"/>
      <c r="C473" s="100"/>
      <c r="D473" s="100"/>
      <c r="E473" s="100"/>
      <c r="F473" s="206"/>
      <c r="G473" s="206"/>
      <c r="H473" s="207"/>
      <c r="I473" s="207"/>
      <c r="J473" s="207"/>
      <c r="K473" s="207"/>
      <c r="L473" s="207"/>
      <c r="M473" s="207"/>
      <c r="N473" s="207"/>
      <c r="O473" s="207"/>
      <c r="P473" s="207"/>
      <c r="Q473" s="207"/>
      <c r="R473" s="207"/>
      <c r="S473" s="207"/>
      <c r="T473" s="207"/>
      <c r="U473" s="207"/>
      <c r="V473" s="207"/>
      <c r="W473" s="208"/>
      <c r="X473" s="208"/>
      <c r="Y473" s="208"/>
      <c r="Z473" s="208"/>
      <c r="AA473" s="208"/>
      <c r="AB473" s="208"/>
      <c r="AC473" s="208"/>
      <c r="AD473" s="208"/>
      <c r="AE473" s="208"/>
      <c r="AF473" s="208"/>
      <c r="AG473" s="208"/>
      <c r="AH473" s="208"/>
      <c r="AI473" s="100"/>
    </row>
    <row r="474" ht="14.25" customHeight="1">
      <c r="A474" s="195"/>
      <c r="B474" s="100"/>
      <c r="C474" s="100"/>
      <c r="D474" s="100"/>
      <c r="E474" s="100"/>
      <c r="F474" s="206"/>
      <c r="G474" s="206"/>
      <c r="H474" s="207"/>
      <c r="I474" s="207"/>
      <c r="J474" s="207"/>
      <c r="K474" s="207"/>
      <c r="L474" s="207"/>
      <c r="M474" s="207"/>
      <c r="N474" s="207"/>
      <c r="O474" s="207"/>
      <c r="P474" s="207"/>
      <c r="Q474" s="207"/>
      <c r="R474" s="207"/>
      <c r="S474" s="207"/>
      <c r="T474" s="207"/>
      <c r="U474" s="207"/>
      <c r="V474" s="207"/>
      <c r="W474" s="208"/>
      <c r="X474" s="208"/>
      <c r="Y474" s="208"/>
      <c r="Z474" s="208"/>
      <c r="AA474" s="208"/>
      <c r="AB474" s="208"/>
      <c r="AC474" s="208"/>
      <c r="AD474" s="208"/>
      <c r="AE474" s="208"/>
      <c r="AF474" s="208"/>
      <c r="AG474" s="208"/>
      <c r="AH474" s="208"/>
      <c r="AI474" s="100"/>
    </row>
    <row r="475" ht="14.25" customHeight="1">
      <c r="A475" s="195"/>
      <c r="B475" s="100"/>
      <c r="C475" s="100"/>
      <c r="D475" s="100"/>
      <c r="E475" s="100"/>
      <c r="F475" s="206"/>
      <c r="G475" s="206"/>
      <c r="H475" s="207"/>
      <c r="I475" s="207"/>
      <c r="J475" s="207"/>
      <c r="K475" s="207"/>
      <c r="L475" s="207"/>
      <c r="M475" s="207"/>
      <c r="N475" s="207"/>
      <c r="O475" s="207"/>
      <c r="P475" s="207"/>
      <c r="Q475" s="207"/>
      <c r="R475" s="207"/>
      <c r="S475" s="207"/>
      <c r="T475" s="207"/>
      <c r="U475" s="207"/>
      <c r="V475" s="207"/>
      <c r="W475" s="208"/>
      <c r="X475" s="208"/>
      <c r="Y475" s="208"/>
      <c r="Z475" s="208"/>
      <c r="AA475" s="208"/>
      <c r="AB475" s="208"/>
      <c r="AC475" s="208"/>
      <c r="AD475" s="208"/>
      <c r="AE475" s="208"/>
      <c r="AF475" s="208"/>
      <c r="AG475" s="208"/>
      <c r="AH475" s="208"/>
      <c r="AI475" s="100"/>
    </row>
    <row r="476" ht="14.25" customHeight="1">
      <c r="A476" s="195"/>
      <c r="B476" s="100"/>
      <c r="C476" s="100"/>
      <c r="D476" s="100"/>
      <c r="E476" s="100"/>
      <c r="F476" s="206"/>
      <c r="G476" s="206"/>
      <c r="H476" s="207"/>
      <c r="I476" s="207"/>
      <c r="J476" s="207"/>
      <c r="K476" s="207"/>
      <c r="L476" s="207"/>
      <c r="M476" s="207"/>
      <c r="N476" s="207"/>
      <c r="O476" s="207"/>
      <c r="P476" s="207"/>
      <c r="Q476" s="207"/>
      <c r="R476" s="207"/>
      <c r="S476" s="207"/>
      <c r="T476" s="207"/>
      <c r="U476" s="207"/>
      <c r="V476" s="207"/>
      <c r="W476" s="208"/>
      <c r="X476" s="208"/>
      <c r="Y476" s="208"/>
      <c r="Z476" s="208"/>
      <c r="AA476" s="208"/>
      <c r="AB476" s="208"/>
      <c r="AC476" s="208"/>
      <c r="AD476" s="208"/>
      <c r="AE476" s="208"/>
      <c r="AF476" s="208"/>
      <c r="AG476" s="208"/>
      <c r="AH476" s="208"/>
      <c r="AI476" s="100"/>
    </row>
    <row r="477" ht="14.25" customHeight="1">
      <c r="A477" s="195"/>
      <c r="B477" s="100"/>
      <c r="C477" s="100"/>
      <c r="D477" s="100"/>
      <c r="E477" s="100"/>
      <c r="F477" s="206"/>
      <c r="G477" s="206"/>
      <c r="H477" s="207"/>
      <c r="I477" s="207"/>
      <c r="J477" s="207"/>
      <c r="K477" s="207"/>
      <c r="L477" s="207"/>
      <c r="M477" s="207"/>
      <c r="N477" s="207"/>
      <c r="O477" s="207"/>
      <c r="P477" s="207"/>
      <c r="Q477" s="207"/>
      <c r="R477" s="207"/>
      <c r="S477" s="207"/>
      <c r="T477" s="207"/>
      <c r="U477" s="207"/>
      <c r="V477" s="207"/>
      <c r="W477" s="208"/>
      <c r="X477" s="208"/>
      <c r="Y477" s="208"/>
      <c r="Z477" s="208"/>
      <c r="AA477" s="208"/>
      <c r="AB477" s="208"/>
      <c r="AC477" s="208"/>
      <c r="AD477" s="208"/>
      <c r="AE477" s="208"/>
      <c r="AF477" s="208"/>
      <c r="AG477" s="208"/>
      <c r="AH477" s="208"/>
      <c r="AI477" s="100"/>
    </row>
    <row r="478" ht="14.25" customHeight="1">
      <c r="A478" s="195"/>
      <c r="B478" s="100"/>
      <c r="C478" s="100"/>
      <c r="D478" s="100"/>
      <c r="E478" s="100"/>
      <c r="F478" s="206"/>
      <c r="G478" s="206"/>
      <c r="H478" s="207"/>
      <c r="I478" s="207"/>
      <c r="J478" s="207"/>
      <c r="K478" s="207"/>
      <c r="L478" s="207"/>
      <c r="M478" s="207"/>
      <c r="N478" s="207"/>
      <c r="O478" s="207"/>
      <c r="P478" s="207"/>
      <c r="Q478" s="207"/>
      <c r="R478" s="207"/>
      <c r="S478" s="207"/>
      <c r="T478" s="207"/>
      <c r="U478" s="207"/>
      <c r="V478" s="207"/>
      <c r="W478" s="208"/>
      <c r="X478" s="208"/>
      <c r="Y478" s="208"/>
      <c r="Z478" s="208"/>
      <c r="AA478" s="208"/>
      <c r="AB478" s="208"/>
      <c r="AC478" s="208"/>
      <c r="AD478" s="208"/>
      <c r="AE478" s="208"/>
      <c r="AF478" s="208"/>
      <c r="AG478" s="208"/>
      <c r="AH478" s="208"/>
      <c r="AI478" s="100"/>
    </row>
    <row r="479" ht="14.25" customHeight="1">
      <c r="A479" s="195"/>
      <c r="B479" s="100"/>
      <c r="C479" s="100"/>
      <c r="D479" s="100"/>
      <c r="E479" s="100"/>
      <c r="F479" s="206"/>
      <c r="G479" s="206"/>
      <c r="H479" s="207"/>
      <c r="I479" s="207"/>
      <c r="J479" s="207"/>
      <c r="K479" s="207"/>
      <c r="L479" s="207"/>
      <c r="M479" s="207"/>
      <c r="N479" s="207"/>
      <c r="O479" s="207"/>
      <c r="P479" s="207"/>
      <c r="Q479" s="207"/>
      <c r="R479" s="207"/>
      <c r="S479" s="207"/>
      <c r="T479" s="207"/>
      <c r="U479" s="207"/>
      <c r="V479" s="207"/>
      <c r="W479" s="208"/>
      <c r="X479" s="208"/>
      <c r="Y479" s="208"/>
      <c r="Z479" s="208"/>
      <c r="AA479" s="208"/>
      <c r="AB479" s="208"/>
      <c r="AC479" s="208"/>
      <c r="AD479" s="208"/>
      <c r="AE479" s="208"/>
      <c r="AF479" s="208"/>
      <c r="AG479" s="208"/>
      <c r="AH479" s="208"/>
      <c r="AI479" s="100"/>
    </row>
    <row r="480" ht="14.25" customHeight="1">
      <c r="A480" s="195"/>
      <c r="B480" s="100"/>
      <c r="C480" s="100"/>
      <c r="D480" s="100"/>
      <c r="E480" s="100"/>
      <c r="F480" s="206"/>
      <c r="G480" s="206"/>
      <c r="H480" s="207"/>
      <c r="I480" s="207"/>
      <c r="J480" s="207"/>
      <c r="K480" s="207"/>
      <c r="L480" s="207"/>
      <c r="M480" s="207"/>
      <c r="N480" s="207"/>
      <c r="O480" s="207"/>
      <c r="P480" s="207"/>
      <c r="Q480" s="207"/>
      <c r="R480" s="207"/>
      <c r="S480" s="207"/>
      <c r="T480" s="207"/>
      <c r="U480" s="207"/>
      <c r="V480" s="207"/>
      <c r="W480" s="208"/>
      <c r="X480" s="208"/>
      <c r="Y480" s="208"/>
      <c r="Z480" s="208"/>
      <c r="AA480" s="208"/>
      <c r="AB480" s="208"/>
      <c r="AC480" s="208"/>
      <c r="AD480" s="208"/>
      <c r="AE480" s="208"/>
      <c r="AF480" s="208"/>
      <c r="AG480" s="208"/>
      <c r="AH480" s="208"/>
      <c r="AI480" s="100"/>
    </row>
    <row r="481" ht="14.25" customHeight="1">
      <c r="A481" s="195"/>
      <c r="B481" s="100"/>
      <c r="C481" s="100"/>
      <c r="D481" s="100"/>
      <c r="E481" s="100"/>
      <c r="F481" s="206"/>
      <c r="G481" s="206"/>
      <c r="H481" s="207"/>
      <c r="I481" s="207"/>
      <c r="J481" s="207"/>
      <c r="K481" s="207"/>
      <c r="L481" s="207"/>
      <c r="M481" s="207"/>
      <c r="N481" s="207"/>
      <c r="O481" s="207"/>
      <c r="P481" s="207"/>
      <c r="Q481" s="207"/>
      <c r="R481" s="207"/>
      <c r="S481" s="207"/>
      <c r="T481" s="207"/>
      <c r="U481" s="207"/>
      <c r="V481" s="207"/>
      <c r="W481" s="208"/>
      <c r="X481" s="208"/>
      <c r="Y481" s="208"/>
      <c r="Z481" s="208"/>
      <c r="AA481" s="208"/>
      <c r="AB481" s="208"/>
      <c r="AC481" s="208"/>
      <c r="AD481" s="208"/>
      <c r="AE481" s="208"/>
      <c r="AF481" s="208"/>
      <c r="AG481" s="208"/>
      <c r="AH481" s="208"/>
      <c r="AI481" s="100"/>
    </row>
    <row r="482" ht="14.25" customHeight="1">
      <c r="A482" s="195"/>
      <c r="B482" s="100"/>
      <c r="C482" s="100"/>
      <c r="D482" s="100"/>
      <c r="E482" s="100"/>
      <c r="F482" s="206"/>
      <c r="G482" s="206"/>
      <c r="H482" s="207"/>
      <c r="I482" s="207"/>
      <c r="J482" s="207"/>
      <c r="K482" s="207"/>
      <c r="L482" s="207"/>
      <c r="M482" s="207"/>
      <c r="N482" s="207"/>
      <c r="O482" s="207"/>
      <c r="P482" s="207"/>
      <c r="Q482" s="207"/>
      <c r="R482" s="207"/>
      <c r="S482" s="207"/>
      <c r="T482" s="207"/>
      <c r="U482" s="207"/>
      <c r="V482" s="207"/>
      <c r="W482" s="208"/>
      <c r="X482" s="208"/>
      <c r="Y482" s="208"/>
      <c r="Z482" s="208"/>
      <c r="AA482" s="208"/>
      <c r="AB482" s="208"/>
      <c r="AC482" s="208"/>
      <c r="AD482" s="208"/>
      <c r="AE482" s="208"/>
      <c r="AF482" s="208"/>
      <c r="AG482" s="208"/>
      <c r="AH482" s="208"/>
      <c r="AI482" s="100"/>
    </row>
    <row r="483" ht="14.25" customHeight="1">
      <c r="A483" s="195"/>
      <c r="B483" s="100"/>
      <c r="C483" s="100"/>
      <c r="D483" s="100"/>
      <c r="E483" s="100"/>
      <c r="F483" s="206"/>
      <c r="G483" s="206"/>
      <c r="H483" s="207"/>
      <c r="I483" s="207"/>
      <c r="J483" s="207"/>
      <c r="K483" s="207"/>
      <c r="L483" s="207"/>
      <c r="M483" s="207"/>
      <c r="N483" s="207"/>
      <c r="O483" s="207"/>
      <c r="P483" s="207"/>
      <c r="Q483" s="207"/>
      <c r="R483" s="207"/>
      <c r="S483" s="207"/>
      <c r="T483" s="207"/>
      <c r="U483" s="207"/>
      <c r="V483" s="207"/>
      <c r="W483" s="208"/>
      <c r="X483" s="208"/>
      <c r="Y483" s="208"/>
      <c r="Z483" s="208"/>
      <c r="AA483" s="208"/>
      <c r="AB483" s="208"/>
      <c r="AC483" s="208"/>
      <c r="AD483" s="208"/>
      <c r="AE483" s="208"/>
      <c r="AF483" s="208"/>
      <c r="AG483" s="208"/>
      <c r="AH483" s="208"/>
      <c r="AI483" s="100"/>
    </row>
    <row r="484" ht="14.25" customHeight="1">
      <c r="A484" s="195"/>
      <c r="B484" s="100"/>
      <c r="C484" s="100"/>
      <c r="D484" s="100"/>
      <c r="E484" s="100"/>
      <c r="F484" s="206"/>
      <c r="G484" s="206"/>
      <c r="H484" s="207"/>
      <c r="I484" s="207"/>
      <c r="J484" s="207"/>
      <c r="K484" s="207"/>
      <c r="L484" s="207"/>
      <c r="M484" s="207"/>
      <c r="N484" s="207"/>
      <c r="O484" s="207"/>
      <c r="P484" s="207"/>
      <c r="Q484" s="207"/>
      <c r="R484" s="207"/>
      <c r="S484" s="207"/>
      <c r="T484" s="207"/>
      <c r="U484" s="207"/>
      <c r="V484" s="207"/>
      <c r="W484" s="208"/>
      <c r="X484" s="208"/>
      <c r="Y484" s="208"/>
      <c r="Z484" s="208"/>
      <c r="AA484" s="208"/>
      <c r="AB484" s="208"/>
      <c r="AC484" s="208"/>
      <c r="AD484" s="208"/>
      <c r="AE484" s="208"/>
      <c r="AF484" s="208"/>
      <c r="AG484" s="208"/>
      <c r="AH484" s="208"/>
      <c r="AI484" s="100"/>
    </row>
    <row r="485" ht="14.25" customHeight="1">
      <c r="A485" s="195"/>
      <c r="B485" s="100"/>
      <c r="C485" s="100"/>
      <c r="D485" s="100"/>
      <c r="E485" s="100"/>
      <c r="F485" s="206"/>
      <c r="G485" s="206"/>
      <c r="H485" s="207"/>
      <c r="I485" s="207"/>
      <c r="J485" s="207"/>
      <c r="K485" s="207"/>
      <c r="L485" s="207"/>
      <c r="M485" s="207"/>
      <c r="N485" s="207"/>
      <c r="O485" s="207"/>
      <c r="P485" s="207"/>
      <c r="Q485" s="207"/>
      <c r="R485" s="207"/>
      <c r="S485" s="207"/>
      <c r="T485" s="207"/>
      <c r="U485" s="207"/>
      <c r="V485" s="207"/>
      <c r="W485" s="208"/>
      <c r="X485" s="208"/>
      <c r="Y485" s="208"/>
      <c r="Z485" s="208"/>
      <c r="AA485" s="208"/>
      <c r="AB485" s="208"/>
      <c r="AC485" s="208"/>
      <c r="AD485" s="208"/>
      <c r="AE485" s="208"/>
      <c r="AF485" s="208"/>
      <c r="AG485" s="208"/>
      <c r="AH485" s="208"/>
      <c r="AI485" s="100"/>
    </row>
    <row r="486" ht="14.25" customHeight="1">
      <c r="A486" s="195"/>
      <c r="B486" s="100"/>
      <c r="C486" s="100"/>
      <c r="D486" s="100"/>
      <c r="E486" s="100"/>
      <c r="F486" s="206"/>
      <c r="G486" s="206"/>
      <c r="H486" s="207"/>
      <c r="I486" s="207"/>
      <c r="J486" s="207"/>
      <c r="K486" s="207"/>
      <c r="L486" s="207"/>
      <c r="M486" s="207"/>
      <c r="N486" s="207"/>
      <c r="O486" s="207"/>
      <c r="P486" s="207"/>
      <c r="Q486" s="207"/>
      <c r="R486" s="207"/>
      <c r="S486" s="207"/>
      <c r="T486" s="207"/>
      <c r="U486" s="207"/>
      <c r="V486" s="207"/>
      <c r="W486" s="208"/>
      <c r="X486" s="208"/>
      <c r="Y486" s="208"/>
      <c r="Z486" s="208"/>
      <c r="AA486" s="208"/>
      <c r="AB486" s="208"/>
      <c r="AC486" s="208"/>
      <c r="AD486" s="208"/>
      <c r="AE486" s="208"/>
      <c r="AF486" s="208"/>
      <c r="AG486" s="208"/>
      <c r="AH486" s="208"/>
      <c r="AI486" s="100"/>
    </row>
    <row r="487" ht="14.25" customHeight="1">
      <c r="A487" s="195"/>
      <c r="B487" s="100"/>
      <c r="C487" s="100"/>
      <c r="D487" s="100"/>
      <c r="E487" s="100"/>
      <c r="F487" s="206"/>
      <c r="G487" s="206"/>
      <c r="H487" s="207"/>
      <c r="I487" s="207"/>
      <c r="J487" s="207"/>
      <c r="K487" s="207"/>
      <c r="L487" s="207"/>
      <c r="M487" s="207"/>
      <c r="N487" s="207"/>
      <c r="O487" s="207"/>
      <c r="P487" s="207"/>
      <c r="Q487" s="207"/>
      <c r="R487" s="207"/>
      <c r="S487" s="207"/>
      <c r="T487" s="207"/>
      <c r="U487" s="207"/>
      <c r="V487" s="207"/>
      <c r="W487" s="208"/>
      <c r="X487" s="208"/>
      <c r="Y487" s="208"/>
      <c r="Z487" s="208"/>
      <c r="AA487" s="208"/>
      <c r="AB487" s="208"/>
      <c r="AC487" s="208"/>
      <c r="AD487" s="208"/>
      <c r="AE487" s="208"/>
      <c r="AF487" s="208"/>
      <c r="AG487" s="208"/>
      <c r="AH487" s="208"/>
      <c r="AI487" s="100"/>
    </row>
    <row r="488" ht="14.25" customHeight="1">
      <c r="A488" s="195"/>
      <c r="B488" s="100"/>
      <c r="C488" s="100"/>
      <c r="D488" s="100"/>
      <c r="E488" s="100"/>
      <c r="F488" s="206"/>
      <c r="G488" s="206"/>
      <c r="H488" s="207"/>
      <c r="I488" s="207"/>
      <c r="J488" s="207"/>
      <c r="K488" s="207"/>
      <c r="L488" s="207"/>
      <c r="M488" s="207"/>
      <c r="N488" s="207"/>
      <c r="O488" s="207"/>
      <c r="P488" s="207"/>
      <c r="Q488" s="207"/>
      <c r="R488" s="207"/>
      <c r="S488" s="207"/>
      <c r="T488" s="207"/>
      <c r="U488" s="207"/>
      <c r="V488" s="207"/>
      <c r="W488" s="208"/>
      <c r="X488" s="208"/>
      <c r="Y488" s="208"/>
      <c r="Z488" s="208"/>
      <c r="AA488" s="208"/>
      <c r="AB488" s="208"/>
      <c r="AC488" s="208"/>
      <c r="AD488" s="208"/>
      <c r="AE488" s="208"/>
      <c r="AF488" s="208"/>
      <c r="AG488" s="208"/>
      <c r="AH488" s="208"/>
      <c r="AI488" s="100"/>
    </row>
    <row r="489" ht="14.25" customHeight="1">
      <c r="A489" s="195"/>
      <c r="B489" s="100"/>
      <c r="C489" s="100"/>
      <c r="D489" s="100"/>
      <c r="E489" s="100"/>
      <c r="F489" s="206"/>
      <c r="G489" s="206"/>
      <c r="H489" s="207"/>
      <c r="I489" s="207"/>
      <c r="J489" s="207"/>
      <c r="K489" s="207"/>
      <c r="L489" s="207"/>
      <c r="M489" s="207"/>
      <c r="N489" s="207"/>
      <c r="O489" s="207"/>
      <c r="P489" s="207"/>
      <c r="Q489" s="207"/>
      <c r="R489" s="207"/>
      <c r="S489" s="207"/>
      <c r="T489" s="207"/>
      <c r="U489" s="207"/>
      <c r="V489" s="207"/>
      <c r="W489" s="208"/>
      <c r="X489" s="208"/>
      <c r="Y489" s="208"/>
      <c r="Z489" s="208"/>
      <c r="AA489" s="208"/>
      <c r="AB489" s="208"/>
      <c r="AC489" s="208"/>
      <c r="AD489" s="208"/>
      <c r="AE489" s="208"/>
      <c r="AF489" s="208"/>
      <c r="AG489" s="208"/>
      <c r="AH489" s="208"/>
      <c r="AI489" s="100"/>
    </row>
    <row r="490" ht="14.25" customHeight="1">
      <c r="A490" s="195"/>
      <c r="B490" s="100"/>
      <c r="C490" s="100"/>
      <c r="D490" s="100"/>
      <c r="E490" s="100"/>
      <c r="F490" s="206"/>
      <c r="G490" s="206"/>
      <c r="H490" s="207"/>
      <c r="I490" s="207"/>
      <c r="J490" s="207"/>
      <c r="K490" s="207"/>
      <c r="L490" s="207"/>
      <c r="M490" s="207"/>
      <c r="N490" s="207"/>
      <c r="O490" s="207"/>
      <c r="P490" s="207"/>
      <c r="Q490" s="207"/>
      <c r="R490" s="207"/>
      <c r="S490" s="207"/>
      <c r="T490" s="207"/>
      <c r="U490" s="207"/>
      <c r="V490" s="207"/>
      <c r="W490" s="208"/>
      <c r="X490" s="208"/>
      <c r="Y490" s="208"/>
      <c r="Z490" s="208"/>
      <c r="AA490" s="208"/>
      <c r="AB490" s="208"/>
      <c r="AC490" s="208"/>
      <c r="AD490" s="208"/>
      <c r="AE490" s="208"/>
      <c r="AF490" s="208"/>
      <c r="AG490" s="208"/>
      <c r="AH490" s="208"/>
      <c r="AI490" s="100"/>
    </row>
    <row r="491" ht="14.25" customHeight="1">
      <c r="A491" s="195"/>
      <c r="B491" s="100"/>
      <c r="C491" s="100"/>
      <c r="D491" s="100"/>
      <c r="E491" s="100"/>
      <c r="F491" s="206"/>
      <c r="G491" s="206"/>
      <c r="H491" s="207"/>
      <c r="I491" s="207"/>
      <c r="J491" s="207"/>
      <c r="K491" s="207"/>
      <c r="L491" s="207"/>
      <c r="M491" s="207"/>
      <c r="N491" s="207"/>
      <c r="O491" s="207"/>
      <c r="P491" s="207"/>
      <c r="Q491" s="207"/>
      <c r="R491" s="207"/>
      <c r="S491" s="207"/>
      <c r="T491" s="207"/>
      <c r="U491" s="207"/>
      <c r="V491" s="207"/>
      <c r="W491" s="208"/>
      <c r="X491" s="208"/>
      <c r="Y491" s="208"/>
      <c r="Z491" s="208"/>
      <c r="AA491" s="208"/>
      <c r="AB491" s="208"/>
      <c r="AC491" s="208"/>
      <c r="AD491" s="208"/>
      <c r="AE491" s="208"/>
      <c r="AF491" s="208"/>
      <c r="AG491" s="208"/>
      <c r="AH491" s="208"/>
      <c r="AI491" s="100"/>
    </row>
    <row r="492" ht="14.25" customHeight="1">
      <c r="A492" s="195"/>
      <c r="B492" s="100"/>
      <c r="C492" s="100"/>
      <c r="D492" s="100"/>
      <c r="E492" s="100"/>
      <c r="F492" s="206"/>
      <c r="G492" s="206"/>
      <c r="H492" s="207"/>
      <c r="I492" s="207"/>
      <c r="J492" s="207"/>
      <c r="K492" s="207"/>
      <c r="L492" s="207"/>
      <c r="M492" s="207"/>
      <c r="N492" s="207"/>
      <c r="O492" s="207"/>
      <c r="P492" s="207"/>
      <c r="Q492" s="207"/>
      <c r="R492" s="207"/>
      <c r="S492" s="207"/>
      <c r="T492" s="207"/>
      <c r="U492" s="207"/>
      <c r="V492" s="207"/>
      <c r="W492" s="208"/>
      <c r="X492" s="208"/>
      <c r="Y492" s="208"/>
      <c r="Z492" s="208"/>
      <c r="AA492" s="208"/>
      <c r="AB492" s="208"/>
      <c r="AC492" s="208"/>
      <c r="AD492" s="208"/>
      <c r="AE492" s="208"/>
      <c r="AF492" s="208"/>
      <c r="AG492" s="208"/>
      <c r="AH492" s="208"/>
      <c r="AI492" s="100"/>
    </row>
    <row r="493" ht="14.25" customHeight="1">
      <c r="A493" s="195"/>
      <c r="B493" s="100"/>
      <c r="C493" s="100"/>
      <c r="D493" s="100"/>
      <c r="E493" s="100"/>
      <c r="F493" s="206"/>
      <c r="G493" s="206"/>
      <c r="H493" s="207"/>
      <c r="I493" s="207"/>
      <c r="J493" s="207"/>
      <c r="K493" s="207"/>
      <c r="L493" s="207"/>
      <c r="M493" s="207"/>
      <c r="N493" s="207"/>
      <c r="O493" s="207"/>
      <c r="P493" s="207"/>
      <c r="Q493" s="207"/>
      <c r="R493" s="207"/>
      <c r="S493" s="207"/>
      <c r="T493" s="207"/>
      <c r="U493" s="207"/>
      <c r="V493" s="207"/>
      <c r="W493" s="208"/>
      <c r="X493" s="208"/>
      <c r="Y493" s="208"/>
      <c r="Z493" s="208"/>
      <c r="AA493" s="208"/>
      <c r="AB493" s="208"/>
      <c r="AC493" s="208"/>
      <c r="AD493" s="208"/>
      <c r="AE493" s="208"/>
      <c r="AF493" s="208"/>
      <c r="AG493" s="208"/>
      <c r="AH493" s="208"/>
      <c r="AI493" s="100"/>
    </row>
    <row r="494" ht="14.25" customHeight="1">
      <c r="A494" s="195"/>
      <c r="B494" s="100"/>
      <c r="C494" s="100"/>
      <c r="D494" s="100"/>
      <c r="E494" s="100"/>
      <c r="F494" s="206"/>
      <c r="G494" s="206"/>
      <c r="H494" s="207"/>
      <c r="I494" s="207"/>
      <c r="J494" s="207"/>
      <c r="K494" s="207"/>
      <c r="L494" s="207"/>
      <c r="M494" s="207"/>
      <c r="N494" s="207"/>
      <c r="O494" s="207"/>
      <c r="P494" s="207"/>
      <c r="Q494" s="207"/>
      <c r="R494" s="207"/>
      <c r="S494" s="207"/>
      <c r="T494" s="207"/>
      <c r="U494" s="207"/>
      <c r="V494" s="207"/>
      <c r="W494" s="208"/>
      <c r="X494" s="208"/>
      <c r="Y494" s="208"/>
      <c r="Z494" s="208"/>
      <c r="AA494" s="208"/>
      <c r="AB494" s="208"/>
      <c r="AC494" s="208"/>
      <c r="AD494" s="208"/>
      <c r="AE494" s="208"/>
      <c r="AF494" s="208"/>
      <c r="AG494" s="208"/>
      <c r="AH494" s="208"/>
      <c r="AI494" s="100"/>
    </row>
    <row r="495" ht="14.25" customHeight="1">
      <c r="A495" s="195"/>
      <c r="B495" s="100"/>
      <c r="C495" s="100"/>
      <c r="D495" s="100"/>
      <c r="E495" s="100"/>
      <c r="F495" s="206"/>
      <c r="G495" s="206"/>
      <c r="H495" s="207"/>
      <c r="I495" s="207"/>
      <c r="J495" s="207"/>
      <c r="K495" s="207"/>
      <c r="L495" s="207"/>
      <c r="M495" s="207"/>
      <c r="N495" s="207"/>
      <c r="O495" s="207"/>
      <c r="P495" s="207"/>
      <c r="Q495" s="207"/>
      <c r="R495" s="207"/>
      <c r="S495" s="207"/>
      <c r="T495" s="207"/>
      <c r="U495" s="207"/>
      <c r="V495" s="207"/>
      <c r="W495" s="208"/>
      <c r="X495" s="208"/>
      <c r="Y495" s="208"/>
      <c r="Z495" s="208"/>
      <c r="AA495" s="208"/>
      <c r="AB495" s="208"/>
      <c r="AC495" s="208"/>
      <c r="AD495" s="208"/>
      <c r="AE495" s="208"/>
      <c r="AF495" s="208"/>
      <c r="AG495" s="208"/>
      <c r="AH495" s="208"/>
      <c r="AI495" s="100"/>
    </row>
    <row r="496" ht="14.25" customHeight="1">
      <c r="A496" s="195"/>
      <c r="B496" s="100"/>
      <c r="C496" s="100"/>
      <c r="D496" s="100"/>
      <c r="E496" s="100"/>
      <c r="F496" s="206"/>
      <c r="G496" s="206"/>
      <c r="H496" s="207"/>
      <c r="I496" s="207"/>
      <c r="J496" s="207"/>
      <c r="K496" s="207"/>
      <c r="L496" s="207"/>
      <c r="M496" s="207"/>
      <c r="N496" s="207"/>
      <c r="O496" s="207"/>
      <c r="P496" s="207"/>
      <c r="Q496" s="207"/>
      <c r="R496" s="207"/>
      <c r="S496" s="207"/>
      <c r="T496" s="207"/>
      <c r="U496" s="207"/>
      <c r="V496" s="207"/>
      <c r="W496" s="208"/>
      <c r="X496" s="208"/>
      <c r="Y496" s="208"/>
      <c r="Z496" s="208"/>
      <c r="AA496" s="208"/>
      <c r="AB496" s="208"/>
      <c r="AC496" s="208"/>
      <c r="AD496" s="208"/>
      <c r="AE496" s="208"/>
      <c r="AF496" s="208"/>
      <c r="AG496" s="208"/>
      <c r="AH496" s="208"/>
      <c r="AI496" s="100"/>
    </row>
    <row r="497" ht="14.25" customHeight="1">
      <c r="A497" s="195"/>
      <c r="B497" s="100"/>
      <c r="C497" s="100"/>
      <c r="D497" s="100"/>
      <c r="E497" s="100"/>
      <c r="F497" s="206"/>
      <c r="G497" s="206"/>
      <c r="H497" s="207"/>
      <c r="I497" s="207"/>
      <c r="J497" s="207"/>
      <c r="K497" s="207"/>
      <c r="L497" s="207"/>
      <c r="M497" s="207"/>
      <c r="N497" s="207"/>
      <c r="O497" s="207"/>
      <c r="P497" s="207"/>
      <c r="Q497" s="207"/>
      <c r="R497" s="207"/>
      <c r="S497" s="207"/>
      <c r="T497" s="207"/>
      <c r="U497" s="207"/>
      <c r="V497" s="207"/>
      <c r="W497" s="208"/>
      <c r="X497" s="208"/>
      <c r="Y497" s="208"/>
      <c r="Z497" s="208"/>
      <c r="AA497" s="208"/>
      <c r="AB497" s="208"/>
      <c r="AC497" s="208"/>
      <c r="AD497" s="208"/>
      <c r="AE497" s="208"/>
      <c r="AF497" s="208"/>
      <c r="AG497" s="208"/>
      <c r="AH497" s="208"/>
      <c r="AI497" s="100"/>
    </row>
    <row r="498" ht="14.25" customHeight="1">
      <c r="A498" s="195"/>
      <c r="B498" s="100"/>
      <c r="C498" s="100"/>
      <c r="D498" s="100"/>
      <c r="E498" s="100"/>
      <c r="F498" s="206"/>
      <c r="G498" s="206"/>
      <c r="H498" s="207"/>
      <c r="I498" s="207"/>
      <c r="J498" s="207"/>
      <c r="K498" s="207"/>
      <c r="L498" s="207"/>
      <c r="M498" s="207"/>
      <c r="N498" s="207"/>
      <c r="O498" s="207"/>
      <c r="P498" s="207"/>
      <c r="Q498" s="207"/>
      <c r="R498" s="207"/>
      <c r="S498" s="207"/>
      <c r="T498" s="207"/>
      <c r="U498" s="207"/>
      <c r="V498" s="207"/>
      <c r="W498" s="208"/>
      <c r="X498" s="208"/>
      <c r="Y498" s="208"/>
      <c r="Z498" s="208"/>
      <c r="AA498" s="208"/>
      <c r="AB498" s="208"/>
      <c r="AC498" s="208"/>
      <c r="AD498" s="208"/>
      <c r="AE498" s="208"/>
      <c r="AF498" s="208"/>
      <c r="AG498" s="208"/>
      <c r="AH498" s="208"/>
      <c r="AI498" s="100"/>
    </row>
    <row r="499" ht="14.25" customHeight="1">
      <c r="A499" s="195"/>
      <c r="B499" s="100"/>
      <c r="C499" s="100"/>
      <c r="D499" s="100"/>
      <c r="E499" s="100"/>
      <c r="F499" s="206"/>
      <c r="G499" s="206"/>
      <c r="H499" s="207"/>
      <c r="I499" s="207"/>
      <c r="J499" s="207"/>
      <c r="K499" s="207"/>
      <c r="L499" s="207"/>
      <c r="M499" s="207"/>
      <c r="N499" s="207"/>
      <c r="O499" s="207"/>
      <c r="P499" s="207"/>
      <c r="Q499" s="207"/>
      <c r="R499" s="207"/>
      <c r="S499" s="207"/>
      <c r="T499" s="207"/>
      <c r="U499" s="207"/>
      <c r="V499" s="207"/>
      <c r="W499" s="208"/>
      <c r="X499" s="208"/>
      <c r="Y499" s="208"/>
      <c r="Z499" s="208"/>
      <c r="AA499" s="208"/>
      <c r="AB499" s="208"/>
      <c r="AC499" s="208"/>
      <c r="AD499" s="208"/>
      <c r="AE499" s="208"/>
      <c r="AF499" s="208"/>
      <c r="AG499" s="208"/>
      <c r="AH499" s="208"/>
      <c r="AI499" s="100"/>
    </row>
    <row r="500" ht="14.25" customHeight="1">
      <c r="A500" s="195"/>
      <c r="B500" s="100"/>
      <c r="C500" s="100"/>
      <c r="D500" s="100"/>
      <c r="E500" s="100"/>
      <c r="F500" s="206"/>
      <c r="G500" s="206"/>
      <c r="H500" s="207"/>
      <c r="I500" s="207"/>
      <c r="J500" s="207"/>
      <c r="K500" s="207"/>
      <c r="L500" s="207"/>
      <c r="M500" s="207"/>
      <c r="N500" s="207"/>
      <c r="O500" s="207"/>
      <c r="P500" s="207"/>
      <c r="Q500" s="207"/>
      <c r="R500" s="207"/>
      <c r="S500" s="207"/>
      <c r="T500" s="207"/>
      <c r="U500" s="207"/>
      <c r="V500" s="207"/>
      <c r="W500" s="208"/>
      <c r="X500" s="208"/>
      <c r="Y500" s="208"/>
      <c r="Z500" s="208"/>
      <c r="AA500" s="208"/>
      <c r="AB500" s="208"/>
      <c r="AC500" s="208"/>
      <c r="AD500" s="208"/>
      <c r="AE500" s="208"/>
      <c r="AF500" s="208"/>
      <c r="AG500" s="208"/>
      <c r="AH500" s="208"/>
      <c r="AI500" s="100"/>
    </row>
    <row r="501" ht="14.25" customHeight="1">
      <c r="A501" s="195"/>
      <c r="B501" s="100"/>
      <c r="C501" s="100"/>
      <c r="D501" s="100"/>
      <c r="E501" s="100"/>
      <c r="F501" s="206"/>
      <c r="G501" s="206"/>
      <c r="H501" s="207"/>
      <c r="I501" s="207"/>
      <c r="J501" s="207"/>
      <c r="K501" s="207"/>
      <c r="L501" s="207"/>
      <c r="M501" s="207"/>
      <c r="N501" s="207"/>
      <c r="O501" s="207"/>
      <c r="P501" s="207"/>
      <c r="Q501" s="207"/>
      <c r="R501" s="207"/>
      <c r="S501" s="207"/>
      <c r="T501" s="207"/>
      <c r="U501" s="207"/>
      <c r="V501" s="207"/>
      <c r="W501" s="208"/>
      <c r="X501" s="208"/>
      <c r="Y501" s="208"/>
      <c r="Z501" s="208"/>
      <c r="AA501" s="208"/>
      <c r="AB501" s="208"/>
      <c r="AC501" s="208"/>
      <c r="AD501" s="208"/>
      <c r="AE501" s="208"/>
      <c r="AF501" s="208"/>
      <c r="AG501" s="208"/>
      <c r="AH501" s="208"/>
      <c r="AI501" s="100"/>
    </row>
    <row r="502" ht="14.25" customHeight="1">
      <c r="A502" s="195"/>
      <c r="B502" s="100"/>
      <c r="C502" s="100"/>
      <c r="D502" s="100"/>
      <c r="E502" s="100"/>
      <c r="F502" s="206"/>
      <c r="G502" s="206"/>
      <c r="H502" s="207"/>
      <c r="I502" s="207"/>
      <c r="J502" s="207"/>
      <c r="K502" s="207"/>
      <c r="L502" s="207"/>
      <c r="M502" s="207"/>
      <c r="N502" s="207"/>
      <c r="O502" s="207"/>
      <c r="P502" s="207"/>
      <c r="Q502" s="207"/>
      <c r="R502" s="207"/>
      <c r="S502" s="207"/>
      <c r="T502" s="207"/>
      <c r="U502" s="207"/>
      <c r="V502" s="207"/>
      <c r="W502" s="208"/>
      <c r="X502" s="208"/>
      <c r="Y502" s="208"/>
      <c r="Z502" s="208"/>
      <c r="AA502" s="208"/>
      <c r="AB502" s="208"/>
      <c r="AC502" s="208"/>
      <c r="AD502" s="208"/>
      <c r="AE502" s="208"/>
      <c r="AF502" s="208"/>
      <c r="AG502" s="208"/>
      <c r="AH502" s="208"/>
      <c r="AI502" s="100"/>
    </row>
    <row r="503" ht="14.25" customHeight="1">
      <c r="A503" s="195"/>
      <c r="B503" s="100"/>
      <c r="C503" s="100"/>
      <c r="D503" s="100"/>
      <c r="E503" s="100"/>
      <c r="F503" s="206"/>
      <c r="G503" s="206"/>
      <c r="H503" s="207"/>
      <c r="I503" s="207"/>
      <c r="J503" s="207"/>
      <c r="K503" s="207"/>
      <c r="L503" s="207"/>
      <c r="M503" s="207"/>
      <c r="N503" s="207"/>
      <c r="O503" s="207"/>
      <c r="P503" s="207"/>
      <c r="Q503" s="207"/>
      <c r="R503" s="207"/>
      <c r="S503" s="207"/>
      <c r="T503" s="207"/>
      <c r="U503" s="207"/>
      <c r="V503" s="207"/>
      <c r="W503" s="208"/>
      <c r="X503" s="208"/>
      <c r="Y503" s="208"/>
      <c r="Z503" s="208"/>
      <c r="AA503" s="208"/>
      <c r="AB503" s="208"/>
      <c r="AC503" s="208"/>
      <c r="AD503" s="208"/>
      <c r="AE503" s="208"/>
      <c r="AF503" s="208"/>
      <c r="AG503" s="208"/>
      <c r="AH503" s="208"/>
      <c r="AI503" s="100"/>
    </row>
    <row r="504" ht="14.25" customHeight="1">
      <c r="A504" s="195"/>
      <c r="B504" s="100"/>
      <c r="C504" s="100"/>
      <c r="D504" s="100"/>
      <c r="E504" s="100"/>
      <c r="F504" s="206"/>
      <c r="G504" s="206"/>
      <c r="H504" s="207"/>
      <c r="I504" s="207"/>
      <c r="J504" s="207"/>
      <c r="K504" s="207"/>
      <c r="L504" s="207"/>
      <c r="M504" s="207"/>
      <c r="N504" s="207"/>
      <c r="O504" s="207"/>
      <c r="P504" s="207"/>
      <c r="Q504" s="207"/>
      <c r="R504" s="207"/>
      <c r="S504" s="207"/>
      <c r="T504" s="207"/>
      <c r="U504" s="207"/>
      <c r="V504" s="207"/>
      <c r="W504" s="208"/>
      <c r="X504" s="208"/>
      <c r="Y504" s="208"/>
      <c r="Z504" s="208"/>
      <c r="AA504" s="208"/>
      <c r="AB504" s="208"/>
      <c r="AC504" s="208"/>
      <c r="AD504" s="208"/>
      <c r="AE504" s="208"/>
      <c r="AF504" s="208"/>
      <c r="AG504" s="208"/>
      <c r="AH504" s="208"/>
      <c r="AI504" s="100"/>
    </row>
    <row r="505" ht="14.25" customHeight="1">
      <c r="A505" s="195"/>
      <c r="B505" s="100"/>
      <c r="C505" s="100"/>
      <c r="D505" s="100"/>
      <c r="E505" s="100"/>
      <c r="F505" s="206"/>
      <c r="G505" s="206"/>
      <c r="H505" s="207"/>
      <c r="I505" s="207"/>
      <c r="J505" s="207"/>
      <c r="K505" s="207"/>
      <c r="L505" s="207"/>
      <c r="M505" s="207"/>
      <c r="N505" s="207"/>
      <c r="O505" s="207"/>
      <c r="P505" s="207"/>
      <c r="Q505" s="207"/>
      <c r="R505" s="207"/>
      <c r="S505" s="207"/>
      <c r="T505" s="207"/>
      <c r="U505" s="207"/>
      <c r="V505" s="207"/>
      <c r="W505" s="208"/>
      <c r="X505" s="208"/>
      <c r="Y505" s="208"/>
      <c r="Z505" s="208"/>
      <c r="AA505" s="208"/>
      <c r="AB505" s="208"/>
      <c r="AC505" s="208"/>
      <c r="AD505" s="208"/>
      <c r="AE505" s="208"/>
      <c r="AF505" s="208"/>
      <c r="AG505" s="208"/>
      <c r="AH505" s="208"/>
      <c r="AI505" s="100"/>
    </row>
    <row r="506" ht="14.25" customHeight="1">
      <c r="A506" s="195"/>
      <c r="B506" s="100"/>
      <c r="C506" s="100"/>
      <c r="D506" s="100"/>
      <c r="E506" s="100"/>
      <c r="F506" s="206"/>
      <c r="G506" s="206"/>
      <c r="H506" s="207"/>
      <c r="I506" s="207"/>
      <c r="J506" s="207"/>
      <c r="K506" s="207"/>
      <c r="L506" s="207"/>
      <c r="M506" s="207"/>
      <c r="N506" s="207"/>
      <c r="O506" s="207"/>
      <c r="P506" s="207"/>
      <c r="Q506" s="207"/>
      <c r="R506" s="207"/>
      <c r="S506" s="207"/>
      <c r="T506" s="207"/>
      <c r="U506" s="207"/>
      <c r="V506" s="207"/>
      <c r="W506" s="208"/>
      <c r="X506" s="208"/>
      <c r="Y506" s="208"/>
      <c r="Z506" s="208"/>
      <c r="AA506" s="208"/>
      <c r="AB506" s="208"/>
      <c r="AC506" s="208"/>
      <c r="AD506" s="208"/>
      <c r="AE506" s="208"/>
      <c r="AF506" s="208"/>
      <c r="AG506" s="208"/>
      <c r="AH506" s="208"/>
      <c r="AI506" s="100"/>
    </row>
    <row r="507" ht="14.25" customHeight="1">
      <c r="A507" s="195"/>
      <c r="B507" s="100"/>
      <c r="C507" s="100"/>
      <c r="D507" s="100"/>
      <c r="E507" s="100"/>
      <c r="F507" s="206"/>
      <c r="G507" s="206"/>
      <c r="H507" s="207"/>
      <c r="I507" s="207"/>
      <c r="J507" s="207"/>
      <c r="K507" s="207"/>
      <c r="L507" s="207"/>
      <c r="M507" s="207"/>
      <c r="N507" s="207"/>
      <c r="O507" s="207"/>
      <c r="P507" s="207"/>
      <c r="Q507" s="207"/>
      <c r="R507" s="207"/>
      <c r="S507" s="207"/>
      <c r="T507" s="207"/>
      <c r="U507" s="207"/>
      <c r="V507" s="207"/>
      <c r="W507" s="208"/>
      <c r="X507" s="208"/>
      <c r="Y507" s="208"/>
      <c r="Z507" s="208"/>
      <c r="AA507" s="208"/>
      <c r="AB507" s="208"/>
      <c r="AC507" s="208"/>
      <c r="AD507" s="208"/>
      <c r="AE507" s="208"/>
      <c r="AF507" s="208"/>
      <c r="AG507" s="208"/>
      <c r="AH507" s="208"/>
      <c r="AI507" s="100"/>
    </row>
    <row r="508" ht="14.25" customHeight="1">
      <c r="A508" s="195"/>
      <c r="B508" s="100"/>
      <c r="C508" s="100"/>
      <c r="D508" s="100"/>
      <c r="E508" s="100"/>
      <c r="F508" s="206"/>
      <c r="G508" s="206"/>
      <c r="H508" s="207"/>
      <c r="I508" s="207"/>
      <c r="J508" s="207"/>
      <c r="K508" s="207"/>
      <c r="L508" s="207"/>
      <c r="M508" s="207"/>
      <c r="N508" s="207"/>
      <c r="O508" s="207"/>
      <c r="P508" s="207"/>
      <c r="Q508" s="207"/>
      <c r="R508" s="207"/>
      <c r="S508" s="207"/>
      <c r="T508" s="207"/>
      <c r="U508" s="207"/>
      <c r="V508" s="207"/>
      <c r="W508" s="208"/>
      <c r="X508" s="208"/>
      <c r="Y508" s="208"/>
      <c r="Z508" s="208"/>
      <c r="AA508" s="208"/>
      <c r="AB508" s="208"/>
      <c r="AC508" s="208"/>
      <c r="AD508" s="208"/>
      <c r="AE508" s="208"/>
      <c r="AF508" s="208"/>
      <c r="AG508" s="208"/>
      <c r="AH508" s="208"/>
      <c r="AI508" s="100"/>
    </row>
    <row r="509" ht="14.25" customHeight="1">
      <c r="A509" s="195"/>
      <c r="B509" s="100"/>
      <c r="C509" s="100"/>
      <c r="D509" s="100"/>
      <c r="E509" s="100"/>
      <c r="F509" s="206"/>
      <c r="G509" s="206"/>
      <c r="H509" s="207"/>
      <c r="I509" s="207"/>
      <c r="J509" s="207"/>
      <c r="K509" s="207"/>
      <c r="L509" s="207"/>
      <c r="M509" s="207"/>
      <c r="N509" s="207"/>
      <c r="O509" s="207"/>
      <c r="P509" s="207"/>
      <c r="Q509" s="207"/>
      <c r="R509" s="207"/>
      <c r="S509" s="207"/>
      <c r="T509" s="207"/>
      <c r="U509" s="207"/>
      <c r="V509" s="207"/>
      <c r="W509" s="208"/>
      <c r="X509" s="208"/>
      <c r="Y509" s="208"/>
      <c r="Z509" s="208"/>
      <c r="AA509" s="208"/>
      <c r="AB509" s="208"/>
      <c r="AC509" s="208"/>
      <c r="AD509" s="208"/>
      <c r="AE509" s="208"/>
      <c r="AF509" s="208"/>
      <c r="AG509" s="208"/>
      <c r="AH509" s="208"/>
      <c r="AI509" s="100"/>
    </row>
    <row r="510" ht="14.25" customHeight="1">
      <c r="A510" s="195"/>
      <c r="B510" s="100"/>
      <c r="C510" s="100"/>
      <c r="D510" s="100"/>
      <c r="E510" s="100"/>
      <c r="F510" s="206"/>
      <c r="G510" s="206"/>
      <c r="H510" s="207"/>
      <c r="I510" s="207"/>
      <c r="J510" s="207"/>
      <c r="K510" s="207"/>
      <c r="L510" s="207"/>
      <c r="M510" s="207"/>
      <c r="N510" s="207"/>
      <c r="O510" s="207"/>
      <c r="P510" s="207"/>
      <c r="Q510" s="207"/>
      <c r="R510" s="207"/>
      <c r="S510" s="207"/>
      <c r="T510" s="207"/>
      <c r="U510" s="207"/>
      <c r="V510" s="207"/>
      <c r="W510" s="208"/>
      <c r="X510" s="208"/>
      <c r="Y510" s="208"/>
      <c r="Z510" s="208"/>
      <c r="AA510" s="208"/>
      <c r="AB510" s="208"/>
      <c r="AC510" s="208"/>
      <c r="AD510" s="208"/>
      <c r="AE510" s="208"/>
      <c r="AF510" s="208"/>
      <c r="AG510" s="208"/>
      <c r="AH510" s="208"/>
      <c r="AI510" s="100"/>
    </row>
    <row r="511" ht="14.25" customHeight="1">
      <c r="A511" s="195"/>
      <c r="B511" s="100"/>
      <c r="C511" s="100"/>
      <c r="D511" s="100"/>
      <c r="E511" s="100"/>
      <c r="F511" s="206"/>
      <c r="G511" s="206"/>
      <c r="H511" s="207"/>
      <c r="I511" s="207"/>
      <c r="J511" s="207"/>
      <c r="K511" s="207"/>
      <c r="L511" s="207"/>
      <c r="M511" s="207"/>
      <c r="N511" s="207"/>
      <c r="O511" s="207"/>
      <c r="P511" s="207"/>
      <c r="Q511" s="207"/>
      <c r="R511" s="207"/>
      <c r="S511" s="207"/>
      <c r="T511" s="207"/>
      <c r="U511" s="207"/>
      <c r="V511" s="207"/>
      <c r="W511" s="208"/>
      <c r="X511" s="208"/>
      <c r="Y511" s="208"/>
      <c r="Z511" s="208"/>
      <c r="AA511" s="208"/>
      <c r="AB511" s="208"/>
      <c r="AC511" s="208"/>
      <c r="AD511" s="208"/>
      <c r="AE511" s="208"/>
      <c r="AF511" s="208"/>
      <c r="AG511" s="208"/>
      <c r="AH511" s="208"/>
      <c r="AI511" s="100"/>
    </row>
    <row r="512" ht="14.25" customHeight="1">
      <c r="A512" s="195"/>
      <c r="B512" s="100"/>
      <c r="C512" s="100"/>
      <c r="D512" s="100"/>
      <c r="E512" s="100"/>
      <c r="F512" s="206"/>
      <c r="G512" s="206"/>
      <c r="H512" s="207"/>
      <c r="I512" s="207"/>
      <c r="J512" s="207"/>
      <c r="K512" s="207"/>
      <c r="L512" s="207"/>
      <c r="M512" s="207"/>
      <c r="N512" s="207"/>
      <c r="O512" s="207"/>
      <c r="P512" s="207"/>
      <c r="Q512" s="207"/>
      <c r="R512" s="207"/>
      <c r="S512" s="207"/>
      <c r="T512" s="207"/>
      <c r="U512" s="207"/>
      <c r="V512" s="207"/>
      <c r="W512" s="208"/>
      <c r="X512" s="208"/>
      <c r="Y512" s="208"/>
      <c r="Z512" s="208"/>
      <c r="AA512" s="208"/>
      <c r="AB512" s="208"/>
      <c r="AC512" s="208"/>
      <c r="AD512" s="208"/>
      <c r="AE512" s="208"/>
      <c r="AF512" s="208"/>
      <c r="AG512" s="208"/>
      <c r="AH512" s="208"/>
      <c r="AI512" s="100"/>
    </row>
    <row r="513" ht="14.25" customHeight="1">
      <c r="A513" s="195"/>
      <c r="B513" s="100"/>
      <c r="C513" s="100"/>
      <c r="D513" s="100"/>
      <c r="E513" s="100"/>
      <c r="F513" s="206"/>
      <c r="G513" s="206"/>
      <c r="H513" s="207"/>
      <c r="I513" s="207"/>
      <c r="J513" s="207"/>
      <c r="K513" s="207"/>
      <c r="L513" s="207"/>
      <c r="M513" s="207"/>
      <c r="N513" s="207"/>
      <c r="O513" s="207"/>
      <c r="P513" s="207"/>
      <c r="Q513" s="207"/>
      <c r="R513" s="207"/>
      <c r="S513" s="207"/>
      <c r="T513" s="207"/>
      <c r="U513" s="207"/>
      <c r="V513" s="207"/>
      <c r="W513" s="208"/>
      <c r="X513" s="208"/>
      <c r="Y513" s="208"/>
      <c r="Z513" s="208"/>
      <c r="AA513" s="208"/>
      <c r="AB513" s="208"/>
      <c r="AC513" s="208"/>
      <c r="AD513" s="208"/>
      <c r="AE513" s="208"/>
      <c r="AF513" s="208"/>
      <c r="AG513" s="208"/>
      <c r="AH513" s="208"/>
      <c r="AI513" s="100"/>
    </row>
    <row r="514" ht="14.25" customHeight="1">
      <c r="A514" s="195"/>
      <c r="B514" s="100"/>
      <c r="C514" s="100"/>
      <c r="D514" s="100"/>
      <c r="E514" s="100"/>
      <c r="F514" s="206"/>
      <c r="G514" s="206"/>
      <c r="H514" s="207"/>
      <c r="I514" s="207"/>
      <c r="J514" s="207"/>
      <c r="K514" s="207"/>
      <c r="L514" s="207"/>
      <c r="M514" s="207"/>
      <c r="N514" s="207"/>
      <c r="O514" s="207"/>
      <c r="P514" s="207"/>
      <c r="Q514" s="207"/>
      <c r="R514" s="207"/>
      <c r="S514" s="207"/>
      <c r="T514" s="207"/>
      <c r="U514" s="207"/>
      <c r="V514" s="207"/>
      <c r="W514" s="208"/>
      <c r="X514" s="208"/>
      <c r="Y514" s="208"/>
      <c r="Z514" s="208"/>
      <c r="AA514" s="208"/>
      <c r="AB514" s="208"/>
      <c r="AC514" s="208"/>
      <c r="AD514" s="208"/>
      <c r="AE514" s="208"/>
      <c r="AF514" s="208"/>
      <c r="AG514" s="208"/>
      <c r="AH514" s="208"/>
      <c r="AI514" s="100"/>
    </row>
    <row r="515" ht="14.25" customHeight="1">
      <c r="A515" s="195"/>
      <c r="B515" s="100"/>
      <c r="C515" s="100"/>
      <c r="D515" s="100"/>
      <c r="E515" s="100"/>
      <c r="F515" s="206"/>
      <c r="G515" s="206"/>
      <c r="H515" s="207"/>
      <c r="I515" s="207"/>
      <c r="J515" s="207"/>
      <c r="K515" s="207"/>
      <c r="L515" s="207"/>
      <c r="M515" s="207"/>
      <c r="N515" s="207"/>
      <c r="O515" s="207"/>
      <c r="P515" s="207"/>
      <c r="Q515" s="207"/>
      <c r="R515" s="207"/>
      <c r="S515" s="207"/>
      <c r="T515" s="207"/>
      <c r="U515" s="207"/>
      <c r="V515" s="207"/>
      <c r="W515" s="208"/>
      <c r="X515" s="208"/>
      <c r="Y515" s="208"/>
      <c r="Z515" s="208"/>
      <c r="AA515" s="208"/>
      <c r="AB515" s="208"/>
      <c r="AC515" s="208"/>
      <c r="AD515" s="208"/>
      <c r="AE515" s="208"/>
      <c r="AF515" s="208"/>
      <c r="AG515" s="208"/>
      <c r="AH515" s="208"/>
      <c r="AI515" s="100"/>
    </row>
    <row r="516" ht="14.25" customHeight="1">
      <c r="A516" s="195"/>
      <c r="B516" s="100"/>
      <c r="C516" s="100"/>
      <c r="D516" s="100"/>
      <c r="E516" s="100"/>
      <c r="F516" s="206"/>
      <c r="G516" s="206"/>
      <c r="H516" s="207"/>
      <c r="I516" s="207"/>
      <c r="J516" s="207"/>
      <c r="K516" s="207"/>
      <c r="L516" s="207"/>
      <c r="M516" s="207"/>
      <c r="N516" s="207"/>
      <c r="O516" s="207"/>
      <c r="P516" s="207"/>
      <c r="Q516" s="207"/>
      <c r="R516" s="207"/>
      <c r="S516" s="207"/>
      <c r="T516" s="207"/>
      <c r="U516" s="207"/>
      <c r="V516" s="207"/>
      <c r="W516" s="208"/>
      <c r="X516" s="208"/>
      <c r="Y516" s="208"/>
      <c r="Z516" s="208"/>
      <c r="AA516" s="208"/>
      <c r="AB516" s="208"/>
      <c r="AC516" s="208"/>
      <c r="AD516" s="208"/>
      <c r="AE516" s="208"/>
      <c r="AF516" s="208"/>
      <c r="AG516" s="208"/>
      <c r="AH516" s="208"/>
      <c r="AI516" s="100"/>
    </row>
    <row r="517" ht="14.25" customHeight="1">
      <c r="A517" s="195"/>
      <c r="B517" s="100"/>
      <c r="C517" s="100"/>
      <c r="D517" s="100"/>
      <c r="E517" s="100"/>
      <c r="F517" s="206"/>
      <c r="G517" s="206"/>
      <c r="H517" s="207"/>
      <c r="I517" s="207"/>
      <c r="J517" s="207"/>
      <c r="K517" s="207"/>
      <c r="L517" s="207"/>
      <c r="M517" s="207"/>
      <c r="N517" s="207"/>
      <c r="O517" s="207"/>
      <c r="P517" s="207"/>
      <c r="Q517" s="207"/>
      <c r="R517" s="207"/>
      <c r="S517" s="207"/>
      <c r="T517" s="207"/>
      <c r="U517" s="207"/>
      <c r="V517" s="207"/>
      <c r="W517" s="208"/>
      <c r="X517" s="208"/>
      <c r="Y517" s="208"/>
      <c r="Z517" s="208"/>
      <c r="AA517" s="208"/>
      <c r="AB517" s="208"/>
      <c r="AC517" s="208"/>
      <c r="AD517" s="208"/>
      <c r="AE517" s="208"/>
      <c r="AF517" s="208"/>
      <c r="AG517" s="208"/>
      <c r="AH517" s="208"/>
      <c r="AI517" s="100"/>
    </row>
    <row r="518" ht="14.25" customHeight="1">
      <c r="A518" s="195"/>
      <c r="B518" s="100"/>
      <c r="C518" s="100"/>
      <c r="D518" s="100"/>
      <c r="E518" s="100"/>
      <c r="F518" s="206"/>
      <c r="G518" s="206"/>
      <c r="H518" s="207"/>
      <c r="I518" s="207"/>
      <c r="J518" s="207"/>
      <c r="K518" s="207"/>
      <c r="L518" s="207"/>
      <c r="M518" s="207"/>
      <c r="N518" s="207"/>
      <c r="O518" s="207"/>
      <c r="P518" s="207"/>
      <c r="Q518" s="207"/>
      <c r="R518" s="207"/>
      <c r="S518" s="207"/>
      <c r="T518" s="207"/>
      <c r="U518" s="207"/>
      <c r="V518" s="207"/>
      <c r="W518" s="208"/>
      <c r="X518" s="208"/>
      <c r="Y518" s="208"/>
      <c r="Z518" s="208"/>
      <c r="AA518" s="208"/>
      <c r="AB518" s="208"/>
      <c r="AC518" s="208"/>
      <c r="AD518" s="208"/>
      <c r="AE518" s="208"/>
      <c r="AF518" s="208"/>
      <c r="AG518" s="208"/>
      <c r="AH518" s="208"/>
      <c r="AI518" s="100"/>
    </row>
    <row r="519" ht="14.25" customHeight="1">
      <c r="A519" s="195"/>
      <c r="B519" s="100"/>
      <c r="C519" s="100"/>
      <c r="D519" s="100"/>
      <c r="E519" s="100"/>
      <c r="F519" s="206"/>
      <c r="G519" s="206"/>
      <c r="H519" s="207"/>
      <c r="I519" s="207"/>
      <c r="J519" s="207"/>
      <c r="K519" s="207"/>
      <c r="L519" s="207"/>
      <c r="M519" s="207"/>
      <c r="N519" s="207"/>
      <c r="O519" s="207"/>
      <c r="P519" s="207"/>
      <c r="Q519" s="207"/>
      <c r="R519" s="207"/>
      <c r="S519" s="207"/>
      <c r="T519" s="207"/>
      <c r="U519" s="207"/>
      <c r="V519" s="207"/>
      <c r="W519" s="208"/>
      <c r="X519" s="208"/>
      <c r="Y519" s="208"/>
      <c r="Z519" s="208"/>
      <c r="AA519" s="208"/>
      <c r="AB519" s="208"/>
      <c r="AC519" s="208"/>
      <c r="AD519" s="208"/>
      <c r="AE519" s="208"/>
      <c r="AF519" s="208"/>
      <c r="AG519" s="208"/>
      <c r="AH519" s="208"/>
      <c r="AI519" s="100"/>
    </row>
    <row r="520" ht="14.25" customHeight="1">
      <c r="A520" s="195"/>
      <c r="B520" s="100"/>
      <c r="C520" s="100"/>
      <c r="D520" s="100"/>
      <c r="E520" s="100"/>
      <c r="F520" s="206"/>
      <c r="G520" s="206"/>
      <c r="H520" s="207"/>
      <c r="I520" s="207"/>
      <c r="J520" s="207"/>
      <c r="K520" s="207"/>
      <c r="L520" s="207"/>
      <c r="M520" s="207"/>
      <c r="N520" s="207"/>
      <c r="O520" s="207"/>
      <c r="P520" s="207"/>
      <c r="Q520" s="207"/>
      <c r="R520" s="207"/>
      <c r="S520" s="207"/>
      <c r="T520" s="207"/>
      <c r="U520" s="207"/>
      <c r="V520" s="207"/>
      <c r="W520" s="208"/>
      <c r="X520" s="208"/>
      <c r="Y520" s="208"/>
      <c r="Z520" s="208"/>
      <c r="AA520" s="208"/>
      <c r="AB520" s="208"/>
      <c r="AC520" s="208"/>
      <c r="AD520" s="208"/>
      <c r="AE520" s="208"/>
      <c r="AF520" s="208"/>
      <c r="AG520" s="208"/>
      <c r="AH520" s="208"/>
      <c r="AI520" s="100"/>
    </row>
    <row r="521" ht="14.25" customHeight="1">
      <c r="A521" s="195"/>
      <c r="B521" s="100"/>
      <c r="C521" s="100"/>
      <c r="D521" s="100"/>
      <c r="E521" s="100"/>
      <c r="F521" s="206"/>
      <c r="G521" s="206"/>
      <c r="H521" s="207"/>
      <c r="I521" s="207"/>
      <c r="J521" s="207"/>
      <c r="K521" s="207"/>
      <c r="L521" s="207"/>
      <c r="M521" s="207"/>
      <c r="N521" s="207"/>
      <c r="O521" s="207"/>
      <c r="P521" s="207"/>
      <c r="Q521" s="207"/>
      <c r="R521" s="207"/>
      <c r="S521" s="207"/>
      <c r="T521" s="207"/>
      <c r="U521" s="207"/>
      <c r="V521" s="207"/>
      <c r="W521" s="208"/>
      <c r="X521" s="208"/>
      <c r="Y521" s="208"/>
      <c r="Z521" s="208"/>
      <c r="AA521" s="208"/>
      <c r="AB521" s="208"/>
      <c r="AC521" s="208"/>
      <c r="AD521" s="208"/>
      <c r="AE521" s="208"/>
      <c r="AF521" s="208"/>
      <c r="AG521" s="208"/>
      <c r="AH521" s="208"/>
      <c r="AI521" s="100"/>
    </row>
    <row r="522" ht="14.25" customHeight="1">
      <c r="A522" s="195"/>
      <c r="B522" s="100"/>
      <c r="C522" s="100"/>
      <c r="D522" s="100"/>
      <c r="E522" s="100"/>
      <c r="F522" s="206"/>
      <c r="G522" s="206"/>
      <c r="H522" s="207"/>
      <c r="I522" s="207"/>
      <c r="J522" s="207"/>
      <c r="K522" s="207"/>
      <c r="L522" s="207"/>
      <c r="M522" s="207"/>
      <c r="N522" s="207"/>
      <c r="O522" s="207"/>
      <c r="P522" s="207"/>
      <c r="Q522" s="207"/>
      <c r="R522" s="207"/>
      <c r="S522" s="207"/>
      <c r="T522" s="207"/>
      <c r="U522" s="207"/>
      <c r="V522" s="207"/>
      <c r="W522" s="208"/>
      <c r="X522" s="208"/>
      <c r="Y522" s="208"/>
      <c r="Z522" s="208"/>
      <c r="AA522" s="208"/>
      <c r="AB522" s="208"/>
      <c r="AC522" s="208"/>
      <c r="AD522" s="208"/>
      <c r="AE522" s="208"/>
      <c r="AF522" s="208"/>
      <c r="AG522" s="208"/>
      <c r="AH522" s="208"/>
      <c r="AI522" s="100"/>
    </row>
    <row r="523" ht="14.25" customHeight="1">
      <c r="A523" s="195"/>
      <c r="B523" s="100"/>
      <c r="C523" s="100"/>
      <c r="D523" s="100"/>
      <c r="E523" s="100"/>
      <c r="F523" s="206"/>
      <c r="G523" s="206"/>
      <c r="H523" s="207"/>
      <c r="I523" s="207"/>
      <c r="J523" s="207"/>
      <c r="K523" s="207"/>
      <c r="L523" s="207"/>
      <c r="M523" s="207"/>
      <c r="N523" s="207"/>
      <c r="O523" s="207"/>
      <c r="P523" s="207"/>
      <c r="Q523" s="207"/>
      <c r="R523" s="207"/>
      <c r="S523" s="207"/>
      <c r="T523" s="207"/>
      <c r="U523" s="207"/>
      <c r="V523" s="207"/>
      <c r="W523" s="208"/>
      <c r="X523" s="208"/>
      <c r="Y523" s="208"/>
      <c r="Z523" s="208"/>
      <c r="AA523" s="208"/>
      <c r="AB523" s="208"/>
      <c r="AC523" s="208"/>
      <c r="AD523" s="208"/>
      <c r="AE523" s="208"/>
      <c r="AF523" s="208"/>
      <c r="AG523" s="208"/>
      <c r="AH523" s="208"/>
      <c r="AI523" s="100"/>
    </row>
    <row r="524" ht="14.25" customHeight="1">
      <c r="A524" s="195"/>
      <c r="B524" s="100"/>
      <c r="C524" s="100"/>
      <c r="D524" s="100"/>
      <c r="E524" s="100"/>
      <c r="F524" s="206"/>
      <c r="G524" s="206"/>
      <c r="H524" s="207"/>
      <c r="I524" s="207"/>
      <c r="J524" s="207"/>
      <c r="K524" s="207"/>
      <c r="L524" s="207"/>
      <c r="M524" s="207"/>
      <c r="N524" s="207"/>
      <c r="O524" s="207"/>
      <c r="P524" s="207"/>
      <c r="Q524" s="207"/>
      <c r="R524" s="207"/>
      <c r="S524" s="207"/>
      <c r="T524" s="207"/>
      <c r="U524" s="207"/>
      <c r="V524" s="207"/>
      <c r="W524" s="208"/>
      <c r="X524" s="208"/>
      <c r="Y524" s="208"/>
      <c r="Z524" s="208"/>
      <c r="AA524" s="208"/>
      <c r="AB524" s="208"/>
      <c r="AC524" s="208"/>
      <c r="AD524" s="208"/>
      <c r="AE524" s="208"/>
      <c r="AF524" s="208"/>
      <c r="AG524" s="208"/>
      <c r="AH524" s="208"/>
      <c r="AI524" s="100"/>
    </row>
    <row r="525" ht="14.25" customHeight="1">
      <c r="A525" s="195"/>
      <c r="B525" s="100"/>
      <c r="C525" s="100"/>
      <c r="D525" s="100"/>
      <c r="E525" s="100"/>
      <c r="F525" s="206"/>
      <c r="G525" s="206"/>
      <c r="H525" s="207"/>
      <c r="I525" s="207"/>
      <c r="J525" s="207"/>
      <c r="K525" s="207"/>
      <c r="L525" s="207"/>
      <c r="M525" s="207"/>
      <c r="N525" s="207"/>
      <c r="O525" s="207"/>
      <c r="P525" s="207"/>
      <c r="Q525" s="207"/>
      <c r="R525" s="207"/>
      <c r="S525" s="207"/>
      <c r="T525" s="207"/>
      <c r="U525" s="207"/>
      <c r="V525" s="207"/>
      <c r="W525" s="208"/>
      <c r="X525" s="208"/>
      <c r="Y525" s="208"/>
      <c r="Z525" s="208"/>
      <c r="AA525" s="208"/>
      <c r="AB525" s="208"/>
      <c r="AC525" s="208"/>
      <c r="AD525" s="208"/>
      <c r="AE525" s="208"/>
      <c r="AF525" s="208"/>
      <c r="AG525" s="208"/>
      <c r="AH525" s="208"/>
      <c r="AI525" s="100"/>
    </row>
    <row r="526" ht="14.25" customHeight="1">
      <c r="A526" s="195"/>
      <c r="B526" s="100"/>
      <c r="C526" s="100"/>
      <c r="D526" s="100"/>
      <c r="E526" s="100"/>
      <c r="F526" s="206"/>
      <c r="G526" s="206"/>
      <c r="H526" s="207"/>
      <c r="I526" s="207"/>
      <c r="J526" s="207"/>
      <c r="K526" s="207"/>
      <c r="L526" s="207"/>
      <c r="M526" s="207"/>
      <c r="N526" s="207"/>
      <c r="O526" s="207"/>
      <c r="P526" s="207"/>
      <c r="Q526" s="207"/>
      <c r="R526" s="207"/>
      <c r="S526" s="207"/>
      <c r="T526" s="207"/>
      <c r="U526" s="207"/>
      <c r="V526" s="207"/>
      <c r="W526" s="208"/>
      <c r="X526" s="208"/>
      <c r="Y526" s="208"/>
      <c r="Z526" s="208"/>
      <c r="AA526" s="208"/>
      <c r="AB526" s="208"/>
      <c r="AC526" s="208"/>
      <c r="AD526" s="208"/>
      <c r="AE526" s="208"/>
      <c r="AF526" s="208"/>
      <c r="AG526" s="208"/>
      <c r="AH526" s="208"/>
      <c r="AI526" s="100"/>
    </row>
    <row r="527" ht="14.25" customHeight="1">
      <c r="A527" s="195"/>
      <c r="B527" s="100"/>
      <c r="C527" s="100"/>
      <c r="D527" s="100"/>
      <c r="E527" s="100"/>
      <c r="F527" s="206"/>
      <c r="G527" s="206"/>
      <c r="H527" s="207"/>
      <c r="I527" s="207"/>
      <c r="J527" s="207"/>
      <c r="K527" s="207"/>
      <c r="L527" s="207"/>
      <c r="M527" s="207"/>
      <c r="N527" s="207"/>
      <c r="O527" s="207"/>
      <c r="P527" s="207"/>
      <c r="Q527" s="207"/>
      <c r="R527" s="207"/>
      <c r="S527" s="207"/>
      <c r="T527" s="207"/>
      <c r="U527" s="207"/>
      <c r="V527" s="207"/>
      <c r="W527" s="208"/>
      <c r="X527" s="208"/>
      <c r="Y527" s="208"/>
      <c r="Z527" s="208"/>
      <c r="AA527" s="208"/>
      <c r="AB527" s="208"/>
      <c r="AC527" s="208"/>
      <c r="AD527" s="208"/>
      <c r="AE527" s="208"/>
      <c r="AF527" s="208"/>
      <c r="AG527" s="208"/>
      <c r="AH527" s="208"/>
      <c r="AI527" s="100"/>
    </row>
    <row r="528" ht="14.25" customHeight="1">
      <c r="A528" s="195"/>
      <c r="B528" s="100"/>
      <c r="C528" s="100"/>
      <c r="D528" s="100"/>
      <c r="E528" s="100"/>
      <c r="F528" s="206"/>
      <c r="G528" s="206"/>
      <c r="H528" s="207"/>
      <c r="I528" s="207"/>
      <c r="J528" s="207"/>
      <c r="K528" s="207"/>
      <c r="L528" s="207"/>
      <c r="M528" s="207"/>
      <c r="N528" s="207"/>
      <c r="O528" s="207"/>
      <c r="P528" s="207"/>
      <c r="Q528" s="207"/>
      <c r="R528" s="207"/>
      <c r="S528" s="207"/>
      <c r="T528" s="207"/>
      <c r="U528" s="207"/>
      <c r="V528" s="207"/>
      <c r="W528" s="208"/>
      <c r="X528" s="208"/>
      <c r="Y528" s="208"/>
      <c r="Z528" s="208"/>
      <c r="AA528" s="208"/>
      <c r="AB528" s="208"/>
      <c r="AC528" s="208"/>
      <c r="AD528" s="208"/>
      <c r="AE528" s="208"/>
      <c r="AF528" s="208"/>
      <c r="AG528" s="208"/>
      <c r="AH528" s="208"/>
      <c r="AI528" s="100"/>
    </row>
    <row r="529" ht="14.25" customHeight="1">
      <c r="A529" s="195"/>
      <c r="B529" s="100"/>
      <c r="C529" s="100"/>
      <c r="D529" s="100"/>
      <c r="E529" s="100"/>
      <c r="F529" s="206"/>
      <c r="G529" s="206"/>
      <c r="H529" s="207"/>
      <c r="I529" s="207"/>
      <c r="J529" s="207"/>
      <c r="K529" s="207"/>
      <c r="L529" s="207"/>
      <c r="M529" s="207"/>
      <c r="N529" s="207"/>
      <c r="O529" s="207"/>
      <c r="P529" s="207"/>
      <c r="Q529" s="207"/>
      <c r="R529" s="207"/>
      <c r="S529" s="207"/>
      <c r="T529" s="207"/>
      <c r="U529" s="207"/>
      <c r="V529" s="207"/>
      <c r="W529" s="208"/>
      <c r="X529" s="208"/>
      <c r="Y529" s="208"/>
      <c r="Z529" s="208"/>
      <c r="AA529" s="208"/>
      <c r="AB529" s="208"/>
      <c r="AC529" s="208"/>
      <c r="AD529" s="208"/>
      <c r="AE529" s="208"/>
      <c r="AF529" s="208"/>
      <c r="AG529" s="208"/>
      <c r="AH529" s="208"/>
      <c r="AI529" s="100"/>
    </row>
    <row r="530" ht="14.25" customHeight="1">
      <c r="A530" s="195"/>
      <c r="B530" s="100"/>
      <c r="C530" s="100"/>
      <c r="D530" s="100"/>
      <c r="E530" s="100"/>
      <c r="F530" s="206"/>
      <c r="G530" s="206"/>
      <c r="H530" s="207"/>
      <c r="I530" s="207"/>
      <c r="J530" s="207"/>
      <c r="K530" s="207"/>
      <c r="L530" s="207"/>
      <c r="M530" s="207"/>
      <c r="N530" s="207"/>
      <c r="O530" s="207"/>
      <c r="P530" s="207"/>
      <c r="Q530" s="207"/>
      <c r="R530" s="207"/>
      <c r="S530" s="207"/>
      <c r="T530" s="207"/>
      <c r="U530" s="207"/>
      <c r="V530" s="207"/>
      <c r="W530" s="208"/>
      <c r="X530" s="208"/>
      <c r="Y530" s="208"/>
      <c r="Z530" s="208"/>
      <c r="AA530" s="208"/>
      <c r="AB530" s="208"/>
      <c r="AC530" s="208"/>
      <c r="AD530" s="208"/>
      <c r="AE530" s="208"/>
      <c r="AF530" s="208"/>
      <c r="AG530" s="208"/>
      <c r="AH530" s="208"/>
      <c r="AI530" s="100"/>
    </row>
    <row r="531" ht="14.25" customHeight="1">
      <c r="A531" s="195"/>
      <c r="B531" s="100"/>
      <c r="C531" s="100"/>
      <c r="D531" s="100"/>
      <c r="E531" s="100"/>
      <c r="F531" s="206"/>
      <c r="G531" s="206"/>
      <c r="H531" s="207"/>
      <c r="I531" s="207"/>
      <c r="J531" s="207"/>
      <c r="K531" s="207"/>
      <c r="L531" s="207"/>
      <c r="M531" s="207"/>
      <c r="N531" s="207"/>
      <c r="O531" s="207"/>
      <c r="P531" s="207"/>
      <c r="Q531" s="207"/>
      <c r="R531" s="207"/>
      <c r="S531" s="207"/>
      <c r="T531" s="207"/>
      <c r="U531" s="207"/>
      <c r="V531" s="207"/>
      <c r="W531" s="208"/>
      <c r="X531" s="208"/>
      <c r="Y531" s="208"/>
      <c r="Z531" s="208"/>
      <c r="AA531" s="208"/>
      <c r="AB531" s="208"/>
      <c r="AC531" s="208"/>
      <c r="AD531" s="208"/>
      <c r="AE531" s="208"/>
      <c r="AF531" s="208"/>
      <c r="AG531" s="208"/>
      <c r="AH531" s="208"/>
      <c r="AI531" s="100"/>
    </row>
    <row r="532" ht="14.25" customHeight="1">
      <c r="A532" s="195"/>
      <c r="B532" s="100"/>
      <c r="C532" s="100"/>
      <c r="D532" s="100"/>
      <c r="E532" s="100"/>
      <c r="F532" s="206"/>
      <c r="G532" s="206"/>
      <c r="H532" s="207"/>
      <c r="I532" s="207"/>
      <c r="J532" s="207"/>
      <c r="K532" s="207"/>
      <c r="L532" s="207"/>
      <c r="M532" s="207"/>
      <c r="N532" s="207"/>
      <c r="O532" s="207"/>
      <c r="P532" s="207"/>
      <c r="Q532" s="207"/>
      <c r="R532" s="207"/>
      <c r="S532" s="207"/>
      <c r="T532" s="207"/>
      <c r="U532" s="207"/>
      <c r="V532" s="207"/>
      <c r="W532" s="208"/>
      <c r="X532" s="208"/>
      <c r="Y532" s="208"/>
      <c r="Z532" s="208"/>
      <c r="AA532" s="208"/>
      <c r="AB532" s="208"/>
      <c r="AC532" s="208"/>
      <c r="AD532" s="208"/>
      <c r="AE532" s="208"/>
      <c r="AF532" s="208"/>
      <c r="AG532" s="208"/>
      <c r="AH532" s="208"/>
      <c r="AI532" s="100"/>
    </row>
    <row r="533" ht="14.25" customHeight="1">
      <c r="A533" s="195"/>
      <c r="B533" s="100"/>
      <c r="C533" s="100"/>
      <c r="D533" s="100"/>
      <c r="E533" s="100"/>
      <c r="F533" s="206"/>
      <c r="G533" s="206"/>
      <c r="H533" s="207"/>
      <c r="I533" s="207"/>
      <c r="J533" s="207"/>
      <c r="K533" s="207"/>
      <c r="L533" s="207"/>
      <c r="M533" s="207"/>
      <c r="N533" s="207"/>
      <c r="O533" s="207"/>
      <c r="P533" s="207"/>
      <c r="Q533" s="207"/>
      <c r="R533" s="207"/>
      <c r="S533" s="207"/>
      <c r="T533" s="207"/>
      <c r="U533" s="207"/>
      <c r="V533" s="207"/>
      <c r="W533" s="208"/>
      <c r="X533" s="208"/>
      <c r="Y533" s="208"/>
      <c r="Z533" s="208"/>
      <c r="AA533" s="208"/>
      <c r="AB533" s="208"/>
      <c r="AC533" s="208"/>
      <c r="AD533" s="208"/>
      <c r="AE533" s="208"/>
      <c r="AF533" s="208"/>
      <c r="AG533" s="208"/>
      <c r="AH533" s="208"/>
      <c r="AI533" s="100"/>
    </row>
    <row r="534" ht="14.25" customHeight="1">
      <c r="A534" s="195"/>
      <c r="B534" s="100"/>
      <c r="C534" s="100"/>
      <c r="D534" s="100"/>
      <c r="E534" s="100"/>
      <c r="F534" s="206"/>
      <c r="G534" s="206"/>
      <c r="H534" s="207"/>
      <c r="I534" s="207"/>
      <c r="J534" s="207"/>
      <c r="K534" s="207"/>
      <c r="L534" s="207"/>
      <c r="M534" s="207"/>
      <c r="N534" s="207"/>
      <c r="O534" s="207"/>
      <c r="P534" s="207"/>
      <c r="Q534" s="207"/>
      <c r="R534" s="207"/>
      <c r="S534" s="207"/>
      <c r="T534" s="207"/>
      <c r="U534" s="207"/>
      <c r="V534" s="207"/>
      <c r="W534" s="208"/>
      <c r="X534" s="208"/>
      <c r="Y534" s="208"/>
      <c r="Z534" s="208"/>
      <c r="AA534" s="208"/>
      <c r="AB534" s="208"/>
      <c r="AC534" s="208"/>
      <c r="AD534" s="208"/>
      <c r="AE534" s="208"/>
      <c r="AF534" s="208"/>
      <c r="AG534" s="208"/>
      <c r="AH534" s="208"/>
      <c r="AI534" s="100"/>
    </row>
    <row r="535" ht="14.25" customHeight="1">
      <c r="A535" s="195"/>
      <c r="B535" s="100"/>
      <c r="C535" s="100"/>
      <c r="D535" s="100"/>
      <c r="E535" s="100"/>
      <c r="F535" s="206"/>
      <c r="G535" s="206"/>
      <c r="H535" s="207"/>
      <c r="I535" s="207"/>
      <c r="J535" s="207"/>
      <c r="K535" s="207"/>
      <c r="L535" s="207"/>
      <c r="M535" s="207"/>
      <c r="N535" s="207"/>
      <c r="O535" s="207"/>
      <c r="P535" s="207"/>
      <c r="Q535" s="207"/>
      <c r="R535" s="207"/>
      <c r="S535" s="207"/>
      <c r="T535" s="207"/>
      <c r="U535" s="207"/>
      <c r="V535" s="207"/>
      <c r="W535" s="208"/>
      <c r="X535" s="208"/>
      <c r="Y535" s="208"/>
      <c r="Z535" s="208"/>
      <c r="AA535" s="208"/>
      <c r="AB535" s="208"/>
      <c r="AC535" s="208"/>
      <c r="AD535" s="208"/>
      <c r="AE535" s="208"/>
      <c r="AF535" s="208"/>
      <c r="AG535" s="208"/>
      <c r="AH535" s="208"/>
      <c r="AI535" s="100"/>
    </row>
    <row r="536" ht="14.25" customHeight="1">
      <c r="A536" s="195"/>
      <c r="B536" s="100"/>
      <c r="C536" s="100"/>
      <c r="D536" s="100"/>
      <c r="E536" s="100"/>
      <c r="F536" s="206"/>
      <c r="G536" s="206"/>
      <c r="H536" s="207"/>
      <c r="I536" s="207"/>
      <c r="J536" s="207"/>
      <c r="K536" s="207"/>
      <c r="L536" s="207"/>
      <c r="M536" s="207"/>
      <c r="N536" s="207"/>
      <c r="O536" s="207"/>
      <c r="P536" s="207"/>
      <c r="Q536" s="207"/>
      <c r="R536" s="207"/>
      <c r="S536" s="207"/>
      <c r="T536" s="207"/>
      <c r="U536" s="207"/>
      <c r="V536" s="207"/>
      <c r="W536" s="208"/>
      <c r="X536" s="208"/>
      <c r="Y536" s="208"/>
      <c r="Z536" s="208"/>
      <c r="AA536" s="208"/>
      <c r="AB536" s="208"/>
      <c r="AC536" s="208"/>
      <c r="AD536" s="208"/>
      <c r="AE536" s="208"/>
      <c r="AF536" s="208"/>
      <c r="AG536" s="208"/>
      <c r="AH536" s="208"/>
      <c r="AI536" s="100"/>
    </row>
    <row r="537" ht="14.25" customHeight="1">
      <c r="A537" s="195"/>
      <c r="B537" s="100"/>
      <c r="C537" s="100"/>
      <c r="D537" s="100"/>
      <c r="E537" s="100"/>
      <c r="F537" s="206"/>
      <c r="G537" s="206"/>
      <c r="H537" s="207"/>
      <c r="I537" s="207"/>
      <c r="J537" s="207"/>
      <c r="K537" s="207"/>
      <c r="L537" s="207"/>
      <c r="M537" s="207"/>
      <c r="N537" s="207"/>
      <c r="O537" s="207"/>
      <c r="P537" s="207"/>
      <c r="Q537" s="207"/>
      <c r="R537" s="207"/>
      <c r="S537" s="207"/>
      <c r="T537" s="207"/>
      <c r="U537" s="207"/>
      <c r="V537" s="207"/>
      <c r="W537" s="208"/>
      <c r="X537" s="208"/>
      <c r="Y537" s="208"/>
      <c r="Z537" s="208"/>
      <c r="AA537" s="208"/>
      <c r="AB537" s="208"/>
      <c r="AC537" s="208"/>
      <c r="AD537" s="208"/>
      <c r="AE537" s="208"/>
      <c r="AF537" s="208"/>
      <c r="AG537" s="208"/>
      <c r="AH537" s="208"/>
      <c r="AI537" s="100"/>
    </row>
    <row r="538" ht="14.25" customHeight="1">
      <c r="A538" s="195"/>
      <c r="B538" s="100"/>
      <c r="C538" s="100"/>
      <c r="D538" s="100"/>
      <c r="E538" s="100"/>
      <c r="F538" s="206"/>
      <c r="G538" s="206"/>
      <c r="H538" s="207"/>
      <c r="I538" s="207"/>
      <c r="J538" s="207"/>
      <c r="K538" s="207"/>
      <c r="L538" s="207"/>
      <c r="M538" s="207"/>
      <c r="N538" s="207"/>
      <c r="O538" s="207"/>
      <c r="P538" s="207"/>
      <c r="Q538" s="207"/>
      <c r="R538" s="207"/>
      <c r="S538" s="207"/>
      <c r="T538" s="207"/>
      <c r="U538" s="207"/>
      <c r="V538" s="207"/>
      <c r="W538" s="208"/>
      <c r="X538" s="208"/>
      <c r="Y538" s="208"/>
      <c r="Z538" s="208"/>
      <c r="AA538" s="208"/>
      <c r="AB538" s="208"/>
      <c r="AC538" s="208"/>
      <c r="AD538" s="208"/>
      <c r="AE538" s="208"/>
      <c r="AF538" s="208"/>
      <c r="AG538" s="208"/>
      <c r="AH538" s="208"/>
      <c r="AI538" s="100"/>
    </row>
    <row r="539" ht="14.25" customHeight="1">
      <c r="A539" s="195"/>
      <c r="B539" s="100"/>
      <c r="C539" s="100"/>
      <c r="D539" s="100"/>
      <c r="E539" s="100"/>
      <c r="F539" s="206"/>
      <c r="G539" s="206"/>
      <c r="H539" s="207"/>
      <c r="I539" s="207"/>
      <c r="J539" s="207"/>
      <c r="K539" s="207"/>
      <c r="L539" s="207"/>
      <c r="M539" s="207"/>
      <c r="N539" s="207"/>
      <c r="O539" s="207"/>
      <c r="P539" s="207"/>
      <c r="Q539" s="207"/>
      <c r="R539" s="207"/>
      <c r="S539" s="207"/>
      <c r="T539" s="207"/>
      <c r="U539" s="207"/>
      <c r="V539" s="207"/>
      <c r="W539" s="208"/>
      <c r="X539" s="208"/>
      <c r="Y539" s="208"/>
      <c r="Z539" s="208"/>
      <c r="AA539" s="208"/>
      <c r="AB539" s="208"/>
      <c r="AC539" s="208"/>
      <c r="AD539" s="208"/>
      <c r="AE539" s="208"/>
      <c r="AF539" s="208"/>
      <c r="AG539" s="208"/>
      <c r="AH539" s="208"/>
      <c r="AI539" s="100"/>
    </row>
    <row r="540" ht="14.25" customHeight="1">
      <c r="A540" s="195"/>
      <c r="B540" s="100"/>
      <c r="C540" s="100"/>
      <c r="D540" s="100"/>
      <c r="E540" s="100"/>
      <c r="F540" s="206"/>
      <c r="G540" s="206"/>
      <c r="H540" s="207"/>
      <c r="I540" s="207"/>
      <c r="J540" s="207"/>
      <c r="K540" s="207"/>
      <c r="L540" s="207"/>
      <c r="M540" s="207"/>
      <c r="N540" s="207"/>
      <c r="O540" s="207"/>
      <c r="P540" s="207"/>
      <c r="Q540" s="207"/>
      <c r="R540" s="207"/>
      <c r="S540" s="207"/>
      <c r="T540" s="207"/>
      <c r="U540" s="207"/>
      <c r="V540" s="207"/>
      <c r="W540" s="208"/>
      <c r="X540" s="208"/>
      <c r="Y540" s="208"/>
      <c r="Z540" s="208"/>
      <c r="AA540" s="208"/>
      <c r="AB540" s="208"/>
      <c r="AC540" s="208"/>
      <c r="AD540" s="208"/>
      <c r="AE540" s="208"/>
      <c r="AF540" s="208"/>
      <c r="AG540" s="208"/>
      <c r="AH540" s="208"/>
      <c r="AI540" s="100"/>
    </row>
    <row r="541" ht="14.25" customHeight="1">
      <c r="A541" s="195"/>
      <c r="B541" s="100"/>
      <c r="C541" s="100"/>
      <c r="D541" s="100"/>
      <c r="E541" s="100"/>
      <c r="F541" s="206"/>
      <c r="G541" s="206"/>
      <c r="H541" s="207"/>
      <c r="I541" s="207"/>
      <c r="J541" s="207"/>
      <c r="K541" s="207"/>
      <c r="L541" s="207"/>
      <c r="M541" s="207"/>
      <c r="N541" s="207"/>
      <c r="O541" s="207"/>
      <c r="P541" s="207"/>
      <c r="Q541" s="207"/>
      <c r="R541" s="207"/>
      <c r="S541" s="207"/>
      <c r="T541" s="207"/>
      <c r="U541" s="207"/>
      <c r="V541" s="207"/>
      <c r="W541" s="208"/>
      <c r="X541" s="208"/>
      <c r="Y541" s="208"/>
      <c r="Z541" s="208"/>
      <c r="AA541" s="208"/>
      <c r="AB541" s="208"/>
      <c r="AC541" s="208"/>
      <c r="AD541" s="208"/>
      <c r="AE541" s="208"/>
      <c r="AF541" s="208"/>
      <c r="AG541" s="208"/>
      <c r="AH541" s="208"/>
      <c r="AI541" s="100"/>
    </row>
    <row r="542" ht="14.25" customHeight="1">
      <c r="A542" s="195"/>
      <c r="B542" s="100"/>
      <c r="C542" s="100"/>
      <c r="D542" s="100"/>
      <c r="E542" s="100"/>
      <c r="F542" s="206"/>
      <c r="G542" s="206"/>
      <c r="H542" s="207"/>
      <c r="I542" s="207"/>
      <c r="J542" s="207"/>
      <c r="K542" s="207"/>
      <c r="L542" s="207"/>
      <c r="M542" s="207"/>
      <c r="N542" s="207"/>
      <c r="O542" s="207"/>
      <c r="P542" s="207"/>
      <c r="Q542" s="207"/>
      <c r="R542" s="207"/>
      <c r="S542" s="207"/>
      <c r="T542" s="207"/>
      <c r="U542" s="207"/>
      <c r="V542" s="207"/>
      <c r="W542" s="208"/>
      <c r="X542" s="208"/>
      <c r="Y542" s="208"/>
      <c r="Z542" s="208"/>
      <c r="AA542" s="208"/>
      <c r="AB542" s="208"/>
      <c r="AC542" s="208"/>
      <c r="AD542" s="208"/>
      <c r="AE542" s="208"/>
      <c r="AF542" s="208"/>
      <c r="AG542" s="208"/>
      <c r="AH542" s="208"/>
      <c r="AI542" s="100"/>
    </row>
    <row r="543" ht="14.25" customHeight="1">
      <c r="A543" s="195"/>
      <c r="B543" s="100"/>
      <c r="C543" s="100"/>
      <c r="D543" s="100"/>
      <c r="E543" s="100"/>
      <c r="F543" s="206"/>
      <c r="G543" s="206"/>
      <c r="H543" s="207"/>
      <c r="I543" s="207"/>
      <c r="J543" s="207"/>
      <c r="K543" s="207"/>
      <c r="L543" s="207"/>
      <c r="M543" s="207"/>
      <c r="N543" s="207"/>
      <c r="O543" s="207"/>
      <c r="P543" s="207"/>
      <c r="Q543" s="207"/>
      <c r="R543" s="207"/>
      <c r="S543" s="207"/>
      <c r="T543" s="207"/>
      <c r="U543" s="207"/>
      <c r="V543" s="207"/>
      <c r="W543" s="208"/>
      <c r="X543" s="208"/>
      <c r="Y543" s="208"/>
      <c r="Z543" s="208"/>
      <c r="AA543" s="208"/>
      <c r="AB543" s="208"/>
      <c r="AC543" s="208"/>
      <c r="AD543" s="208"/>
      <c r="AE543" s="208"/>
      <c r="AF543" s="208"/>
      <c r="AG543" s="208"/>
      <c r="AH543" s="208"/>
      <c r="AI543" s="100"/>
    </row>
    <row r="544" ht="14.25" customHeight="1">
      <c r="A544" s="195"/>
      <c r="B544" s="100"/>
      <c r="C544" s="100"/>
      <c r="D544" s="100"/>
      <c r="E544" s="100"/>
      <c r="F544" s="206"/>
      <c r="G544" s="206"/>
      <c r="H544" s="207"/>
      <c r="I544" s="207"/>
      <c r="J544" s="207"/>
      <c r="K544" s="207"/>
      <c r="L544" s="207"/>
      <c r="M544" s="207"/>
      <c r="N544" s="207"/>
      <c r="O544" s="207"/>
      <c r="P544" s="207"/>
      <c r="Q544" s="207"/>
      <c r="R544" s="207"/>
      <c r="S544" s="207"/>
      <c r="T544" s="207"/>
      <c r="U544" s="207"/>
      <c r="V544" s="207"/>
      <c r="W544" s="208"/>
      <c r="X544" s="208"/>
      <c r="Y544" s="208"/>
      <c r="Z544" s="208"/>
      <c r="AA544" s="208"/>
      <c r="AB544" s="208"/>
      <c r="AC544" s="208"/>
      <c r="AD544" s="208"/>
      <c r="AE544" s="208"/>
      <c r="AF544" s="208"/>
      <c r="AG544" s="208"/>
      <c r="AH544" s="208"/>
      <c r="AI544" s="100"/>
    </row>
    <row r="545" ht="14.25" customHeight="1">
      <c r="A545" s="195"/>
      <c r="B545" s="100"/>
      <c r="C545" s="100"/>
      <c r="D545" s="100"/>
      <c r="E545" s="100"/>
      <c r="F545" s="206"/>
      <c r="G545" s="206"/>
      <c r="H545" s="207"/>
      <c r="I545" s="207"/>
      <c r="J545" s="207"/>
      <c r="K545" s="207"/>
      <c r="L545" s="207"/>
      <c r="M545" s="207"/>
      <c r="N545" s="207"/>
      <c r="O545" s="207"/>
      <c r="P545" s="207"/>
      <c r="Q545" s="207"/>
      <c r="R545" s="207"/>
      <c r="S545" s="207"/>
      <c r="T545" s="207"/>
      <c r="U545" s="207"/>
      <c r="V545" s="207"/>
      <c r="W545" s="208"/>
      <c r="X545" s="208"/>
      <c r="Y545" s="208"/>
      <c r="Z545" s="208"/>
      <c r="AA545" s="208"/>
      <c r="AB545" s="208"/>
      <c r="AC545" s="208"/>
      <c r="AD545" s="208"/>
      <c r="AE545" s="208"/>
      <c r="AF545" s="208"/>
      <c r="AG545" s="208"/>
      <c r="AH545" s="208"/>
      <c r="AI545" s="100"/>
    </row>
    <row r="546" ht="14.25" customHeight="1">
      <c r="A546" s="195"/>
      <c r="B546" s="100"/>
      <c r="C546" s="100"/>
      <c r="D546" s="100"/>
      <c r="E546" s="100"/>
      <c r="F546" s="206"/>
      <c r="G546" s="206"/>
      <c r="H546" s="207"/>
      <c r="I546" s="207"/>
      <c r="J546" s="207"/>
      <c r="K546" s="207"/>
      <c r="L546" s="207"/>
      <c r="M546" s="207"/>
      <c r="N546" s="207"/>
      <c r="O546" s="207"/>
      <c r="P546" s="207"/>
      <c r="Q546" s="207"/>
      <c r="R546" s="207"/>
      <c r="S546" s="207"/>
      <c r="T546" s="207"/>
      <c r="U546" s="207"/>
      <c r="V546" s="207"/>
      <c r="W546" s="208"/>
      <c r="X546" s="208"/>
      <c r="Y546" s="208"/>
      <c r="Z546" s="208"/>
      <c r="AA546" s="208"/>
      <c r="AB546" s="208"/>
      <c r="AC546" s="208"/>
      <c r="AD546" s="208"/>
      <c r="AE546" s="208"/>
      <c r="AF546" s="208"/>
      <c r="AG546" s="208"/>
      <c r="AH546" s="208"/>
      <c r="AI546" s="100"/>
    </row>
    <row r="547" ht="14.25" customHeight="1">
      <c r="A547" s="195"/>
      <c r="B547" s="100"/>
      <c r="C547" s="100"/>
      <c r="D547" s="100"/>
      <c r="E547" s="100"/>
      <c r="F547" s="206"/>
      <c r="G547" s="206"/>
      <c r="H547" s="207"/>
      <c r="I547" s="207"/>
      <c r="J547" s="207"/>
      <c r="K547" s="207"/>
      <c r="L547" s="207"/>
      <c r="M547" s="207"/>
      <c r="N547" s="207"/>
      <c r="O547" s="207"/>
      <c r="P547" s="207"/>
      <c r="Q547" s="207"/>
      <c r="R547" s="207"/>
      <c r="S547" s="207"/>
      <c r="T547" s="207"/>
      <c r="U547" s="207"/>
      <c r="V547" s="207"/>
      <c r="W547" s="208"/>
      <c r="X547" s="208"/>
      <c r="Y547" s="208"/>
      <c r="Z547" s="208"/>
      <c r="AA547" s="208"/>
      <c r="AB547" s="208"/>
      <c r="AC547" s="208"/>
      <c r="AD547" s="208"/>
      <c r="AE547" s="208"/>
      <c r="AF547" s="208"/>
      <c r="AG547" s="208"/>
      <c r="AH547" s="208"/>
      <c r="AI547" s="100"/>
    </row>
    <row r="548" ht="14.25" customHeight="1">
      <c r="A548" s="195"/>
      <c r="B548" s="100"/>
      <c r="C548" s="100"/>
      <c r="D548" s="100"/>
      <c r="E548" s="100"/>
      <c r="F548" s="206"/>
      <c r="G548" s="206"/>
      <c r="H548" s="207"/>
      <c r="I548" s="207"/>
      <c r="J548" s="207"/>
      <c r="K548" s="207"/>
      <c r="L548" s="207"/>
      <c r="M548" s="207"/>
      <c r="N548" s="207"/>
      <c r="O548" s="207"/>
      <c r="P548" s="207"/>
      <c r="Q548" s="207"/>
      <c r="R548" s="207"/>
      <c r="S548" s="207"/>
      <c r="T548" s="207"/>
      <c r="U548" s="207"/>
      <c r="V548" s="207"/>
      <c r="W548" s="208"/>
      <c r="X548" s="208"/>
      <c r="Y548" s="208"/>
      <c r="Z548" s="208"/>
      <c r="AA548" s="208"/>
      <c r="AB548" s="208"/>
      <c r="AC548" s="208"/>
      <c r="AD548" s="208"/>
      <c r="AE548" s="208"/>
      <c r="AF548" s="208"/>
      <c r="AG548" s="208"/>
      <c r="AH548" s="208"/>
      <c r="AI548" s="100"/>
    </row>
    <row r="549" ht="14.25" customHeight="1">
      <c r="A549" s="195"/>
      <c r="B549" s="100"/>
      <c r="C549" s="100"/>
      <c r="D549" s="100"/>
      <c r="E549" s="100"/>
      <c r="F549" s="206"/>
      <c r="G549" s="206"/>
      <c r="H549" s="207"/>
      <c r="I549" s="207"/>
      <c r="J549" s="207"/>
      <c r="K549" s="207"/>
      <c r="L549" s="207"/>
      <c r="M549" s="207"/>
      <c r="N549" s="207"/>
      <c r="O549" s="207"/>
      <c r="P549" s="207"/>
      <c r="Q549" s="207"/>
      <c r="R549" s="207"/>
      <c r="S549" s="207"/>
      <c r="T549" s="207"/>
      <c r="U549" s="207"/>
      <c r="V549" s="207"/>
      <c r="W549" s="208"/>
      <c r="X549" s="208"/>
      <c r="Y549" s="208"/>
      <c r="Z549" s="208"/>
      <c r="AA549" s="208"/>
      <c r="AB549" s="208"/>
      <c r="AC549" s="208"/>
      <c r="AD549" s="208"/>
      <c r="AE549" s="208"/>
      <c r="AF549" s="208"/>
      <c r="AG549" s="208"/>
      <c r="AH549" s="208"/>
      <c r="AI549" s="100"/>
    </row>
    <row r="550" ht="14.25" customHeight="1">
      <c r="A550" s="195"/>
      <c r="B550" s="100"/>
      <c r="C550" s="100"/>
      <c r="D550" s="100"/>
      <c r="E550" s="100"/>
      <c r="F550" s="206"/>
      <c r="G550" s="206"/>
      <c r="H550" s="207"/>
      <c r="I550" s="207"/>
      <c r="J550" s="207"/>
      <c r="K550" s="207"/>
      <c r="L550" s="207"/>
      <c r="M550" s="207"/>
      <c r="N550" s="207"/>
      <c r="O550" s="207"/>
      <c r="P550" s="207"/>
      <c r="Q550" s="207"/>
      <c r="R550" s="207"/>
      <c r="S550" s="207"/>
      <c r="T550" s="207"/>
      <c r="U550" s="207"/>
      <c r="V550" s="207"/>
      <c r="W550" s="208"/>
      <c r="X550" s="208"/>
      <c r="Y550" s="208"/>
      <c r="Z550" s="208"/>
      <c r="AA550" s="208"/>
      <c r="AB550" s="208"/>
      <c r="AC550" s="208"/>
      <c r="AD550" s="208"/>
      <c r="AE550" s="208"/>
      <c r="AF550" s="208"/>
      <c r="AG550" s="208"/>
      <c r="AH550" s="208"/>
      <c r="AI550" s="100"/>
    </row>
    <row r="551" ht="14.25" customHeight="1">
      <c r="A551" s="195"/>
      <c r="B551" s="100"/>
      <c r="C551" s="100"/>
      <c r="D551" s="100"/>
      <c r="E551" s="100"/>
      <c r="F551" s="206"/>
      <c r="G551" s="206"/>
      <c r="H551" s="207"/>
      <c r="I551" s="207"/>
      <c r="J551" s="207"/>
      <c r="K551" s="207"/>
      <c r="L551" s="207"/>
      <c r="M551" s="207"/>
      <c r="N551" s="207"/>
      <c r="O551" s="207"/>
      <c r="P551" s="207"/>
      <c r="Q551" s="207"/>
      <c r="R551" s="207"/>
      <c r="S551" s="207"/>
      <c r="T551" s="207"/>
      <c r="U551" s="207"/>
      <c r="V551" s="207"/>
      <c r="W551" s="208"/>
      <c r="X551" s="208"/>
      <c r="Y551" s="208"/>
      <c r="Z551" s="208"/>
      <c r="AA551" s="208"/>
      <c r="AB551" s="208"/>
      <c r="AC551" s="208"/>
      <c r="AD551" s="208"/>
      <c r="AE551" s="208"/>
      <c r="AF551" s="208"/>
      <c r="AG551" s="208"/>
      <c r="AH551" s="208"/>
      <c r="AI551" s="100"/>
    </row>
    <row r="552" ht="14.25" customHeight="1">
      <c r="A552" s="195"/>
      <c r="B552" s="100"/>
      <c r="C552" s="100"/>
      <c r="D552" s="100"/>
      <c r="E552" s="100"/>
      <c r="F552" s="206"/>
      <c r="G552" s="206"/>
      <c r="H552" s="207"/>
      <c r="I552" s="207"/>
      <c r="J552" s="207"/>
      <c r="K552" s="207"/>
      <c r="L552" s="207"/>
      <c r="M552" s="207"/>
      <c r="N552" s="207"/>
      <c r="O552" s="207"/>
      <c r="P552" s="207"/>
      <c r="Q552" s="207"/>
      <c r="R552" s="207"/>
      <c r="S552" s="207"/>
      <c r="T552" s="207"/>
      <c r="U552" s="207"/>
      <c r="V552" s="207"/>
      <c r="W552" s="208"/>
      <c r="X552" s="208"/>
      <c r="Y552" s="208"/>
      <c r="Z552" s="208"/>
      <c r="AA552" s="208"/>
      <c r="AB552" s="208"/>
      <c r="AC552" s="208"/>
      <c r="AD552" s="208"/>
      <c r="AE552" s="208"/>
      <c r="AF552" s="208"/>
      <c r="AG552" s="208"/>
      <c r="AH552" s="208"/>
      <c r="AI552" s="100"/>
    </row>
    <row r="553" ht="14.25" customHeight="1">
      <c r="A553" s="195"/>
      <c r="B553" s="100"/>
      <c r="C553" s="100"/>
      <c r="D553" s="100"/>
      <c r="E553" s="100"/>
      <c r="F553" s="206"/>
      <c r="G553" s="206"/>
      <c r="H553" s="207"/>
      <c r="I553" s="207"/>
      <c r="J553" s="207"/>
      <c r="K553" s="207"/>
      <c r="L553" s="207"/>
      <c r="M553" s="207"/>
      <c r="N553" s="207"/>
      <c r="O553" s="207"/>
      <c r="P553" s="207"/>
      <c r="Q553" s="207"/>
      <c r="R553" s="207"/>
      <c r="S553" s="207"/>
      <c r="T553" s="207"/>
      <c r="U553" s="207"/>
      <c r="V553" s="207"/>
      <c r="W553" s="208"/>
      <c r="X553" s="208"/>
      <c r="Y553" s="208"/>
      <c r="Z553" s="208"/>
      <c r="AA553" s="208"/>
      <c r="AB553" s="208"/>
      <c r="AC553" s="208"/>
      <c r="AD553" s="208"/>
      <c r="AE553" s="208"/>
      <c r="AF553" s="208"/>
      <c r="AG553" s="208"/>
      <c r="AH553" s="208"/>
      <c r="AI553" s="100"/>
    </row>
    <row r="554" ht="14.25" customHeight="1">
      <c r="A554" s="195"/>
      <c r="B554" s="100"/>
      <c r="C554" s="100"/>
      <c r="D554" s="100"/>
      <c r="E554" s="100"/>
      <c r="F554" s="206"/>
      <c r="G554" s="206"/>
      <c r="H554" s="207"/>
      <c r="I554" s="207"/>
      <c r="J554" s="207"/>
      <c r="K554" s="207"/>
      <c r="L554" s="207"/>
      <c r="M554" s="207"/>
      <c r="N554" s="207"/>
      <c r="O554" s="207"/>
      <c r="P554" s="207"/>
      <c r="Q554" s="207"/>
      <c r="R554" s="207"/>
      <c r="S554" s="207"/>
      <c r="T554" s="207"/>
      <c r="U554" s="207"/>
      <c r="V554" s="207"/>
      <c r="W554" s="208"/>
      <c r="X554" s="208"/>
      <c r="Y554" s="208"/>
      <c r="Z554" s="208"/>
      <c r="AA554" s="208"/>
      <c r="AB554" s="208"/>
      <c r="AC554" s="208"/>
      <c r="AD554" s="208"/>
      <c r="AE554" s="208"/>
      <c r="AF554" s="208"/>
      <c r="AG554" s="208"/>
      <c r="AH554" s="208"/>
      <c r="AI554" s="100"/>
    </row>
    <row r="555" ht="14.25" customHeight="1">
      <c r="A555" s="195"/>
      <c r="B555" s="100"/>
      <c r="C555" s="100"/>
      <c r="D555" s="100"/>
      <c r="E555" s="100"/>
      <c r="F555" s="206"/>
      <c r="G555" s="206"/>
      <c r="H555" s="207"/>
      <c r="I555" s="207"/>
      <c r="J555" s="207"/>
      <c r="K555" s="207"/>
      <c r="L555" s="207"/>
      <c r="M555" s="207"/>
      <c r="N555" s="207"/>
      <c r="O555" s="207"/>
      <c r="P555" s="207"/>
      <c r="Q555" s="207"/>
      <c r="R555" s="207"/>
      <c r="S555" s="207"/>
      <c r="T555" s="207"/>
      <c r="U555" s="207"/>
      <c r="V555" s="207"/>
      <c r="W555" s="208"/>
      <c r="X555" s="208"/>
      <c r="Y555" s="208"/>
      <c r="Z555" s="208"/>
      <c r="AA555" s="208"/>
      <c r="AB555" s="208"/>
      <c r="AC555" s="208"/>
      <c r="AD555" s="208"/>
      <c r="AE555" s="208"/>
      <c r="AF555" s="208"/>
      <c r="AG555" s="208"/>
      <c r="AH555" s="208"/>
      <c r="AI555" s="100"/>
    </row>
    <row r="556" ht="14.25" customHeight="1">
      <c r="A556" s="195"/>
      <c r="B556" s="100"/>
      <c r="C556" s="100"/>
      <c r="D556" s="100"/>
      <c r="E556" s="100"/>
      <c r="F556" s="206"/>
      <c r="G556" s="206"/>
      <c r="H556" s="207"/>
      <c r="I556" s="207"/>
      <c r="J556" s="207"/>
      <c r="K556" s="207"/>
      <c r="L556" s="207"/>
      <c r="M556" s="207"/>
      <c r="N556" s="207"/>
      <c r="O556" s="207"/>
      <c r="P556" s="207"/>
      <c r="Q556" s="207"/>
      <c r="R556" s="207"/>
      <c r="S556" s="207"/>
      <c r="T556" s="207"/>
      <c r="U556" s="207"/>
      <c r="V556" s="207"/>
      <c r="W556" s="208"/>
      <c r="X556" s="208"/>
      <c r="Y556" s="208"/>
      <c r="Z556" s="208"/>
      <c r="AA556" s="208"/>
      <c r="AB556" s="208"/>
      <c r="AC556" s="208"/>
      <c r="AD556" s="208"/>
      <c r="AE556" s="208"/>
      <c r="AF556" s="208"/>
      <c r="AG556" s="208"/>
      <c r="AH556" s="208"/>
      <c r="AI556" s="100"/>
    </row>
    <row r="557" ht="14.25" customHeight="1">
      <c r="A557" s="195"/>
      <c r="B557" s="100"/>
      <c r="C557" s="100"/>
      <c r="D557" s="100"/>
      <c r="E557" s="100"/>
      <c r="F557" s="206"/>
      <c r="G557" s="206"/>
      <c r="H557" s="207"/>
      <c r="I557" s="207"/>
      <c r="J557" s="207"/>
      <c r="K557" s="207"/>
      <c r="L557" s="207"/>
      <c r="M557" s="207"/>
      <c r="N557" s="207"/>
      <c r="O557" s="207"/>
      <c r="P557" s="207"/>
      <c r="Q557" s="207"/>
      <c r="R557" s="207"/>
      <c r="S557" s="207"/>
      <c r="T557" s="207"/>
      <c r="U557" s="207"/>
      <c r="V557" s="207"/>
      <c r="W557" s="208"/>
      <c r="X557" s="208"/>
      <c r="Y557" s="208"/>
      <c r="Z557" s="208"/>
      <c r="AA557" s="208"/>
      <c r="AB557" s="208"/>
      <c r="AC557" s="208"/>
      <c r="AD557" s="208"/>
      <c r="AE557" s="208"/>
      <c r="AF557" s="208"/>
      <c r="AG557" s="208"/>
      <c r="AH557" s="208"/>
      <c r="AI557" s="100"/>
    </row>
    <row r="558" ht="14.25" customHeight="1">
      <c r="A558" s="195"/>
      <c r="B558" s="100"/>
      <c r="C558" s="100"/>
      <c r="D558" s="100"/>
      <c r="E558" s="100"/>
      <c r="F558" s="206"/>
      <c r="G558" s="206"/>
      <c r="H558" s="207"/>
      <c r="I558" s="207"/>
      <c r="J558" s="207"/>
      <c r="K558" s="207"/>
      <c r="L558" s="207"/>
      <c r="M558" s="207"/>
      <c r="N558" s="207"/>
      <c r="O558" s="207"/>
      <c r="P558" s="207"/>
      <c r="Q558" s="207"/>
      <c r="R558" s="207"/>
      <c r="S558" s="207"/>
      <c r="T558" s="207"/>
      <c r="U558" s="207"/>
      <c r="V558" s="207"/>
      <c r="W558" s="208"/>
      <c r="X558" s="208"/>
      <c r="Y558" s="208"/>
      <c r="Z558" s="208"/>
      <c r="AA558" s="208"/>
      <c r="AB558" s="208"/>
      <c r="AC558" s="208"/>
      <c r="AD558" s="208"/>
      <c r="AE558" s="208"/>
      <c r="AF558" s="208"/>
      <c r="AG558" s="208"/>
      <c r="AH558" s="208"/>
      <c r="AI558" s="100"/>
    </row>
    <row r="559" ht="14.25" customHeight="1">
      <c r="A559" s="195"/>
      <c r="B559" s="100"/>
      <c r="C559" s="100"/>
      <c r="D559" s="100"/>
      <c r="E559" s="100"/>
      <c r="F559" s="206"/>
      <c r="G559" s="206"/>
      <c r="H559" s="207"/>
      <c r="I559" s="207"/>
      <c r="J559" s="207"/>
      <c r="K559" s="207"/>
      <c r="L559" s="207"/>
      <c r="M559" s="207"/>
      <c r="N559" s="207"/>
      <c r="O559" s="207"/>
      <c r="P559" s="207"/>
      <c r="Q559" s="207"/>
      <c r="R559" s="207"/>
      <c r="S559" s="207"/>
      <c r="T559" s="207"/>
      <c r="U559" s="207"/>
      <c r="V559" s="207"/>
      <c r="W559" s="208"/>
      <c r="X559" s="208"/>
      <c r="Y559" s="208"/>
      <c r="Z559" s="208"/>
      <c r="AA559" s="208"/>
      <c r="AB559" s="208"/>
      <c r="AC559" s="208"/>
      <c r="AD559" s="208"/>
      <c r="AE559" s="208"/>
      <c r="AF559" s="208"/>
      <c r="AG559" s="208"/>
      <c r="AH559" s="208"/>
      <c r="AI559" s="100"/>
    </row>
    <row r="560" ht="14.25" customHeight="1">
      <c r="A560" s="195"/>
      <c r="B560" s="100"/>
      <c r="C560" s="100"/>
      <c r="D560" s="100"/>
      <c r="E560" s="100"/>
      <c r="F560" s="206"/>
      <c r="G560" s="206"/>
      <c r="H560" s="207"/>
      <c r="I560" s="207"/>
      <c r="J560" s="207"/>
      <c r="K560" s="207"/>
      <c r="L560" s="207"/>
      <c r="M560" s="207"/>
      <c r="N560" s="207"/>
      <c r="O560" s="207"/>
      <c r="P560" s="207"/>
      <c r="Q560" s="207"/>
      <c r="R560" s="207"/>
      <c r="S560" s="207"/>
      <c r="T560" s="207"/>
      <c r="U560" s="207"/>
      <c r="V560" s="207"/>
      <c r="W560" s="208"/>
      <c r="X560" s="208"/>
      <c r="Y560" s="208"/>
      <c r="Z560" s="208"/>
      <c r="AA560" s="208"/>
      <c r="AB560" s="208"/>
      <c r="AC560" s="208"/>
      <c r="AD560" s="208"/>
      <c r="AE560" s="208"/>
      <c r="AF560" s="208"/>
      <c r="AG560" s="208"/>
      <c r="AH560" s="208"/>
      <c r="AI560" s="100"/>
    </row>
    <row r="561" ht="14.25" customHeight="1">
      <c r="A561" s="195"/>
      <c r="B561" s="100"/>
      <c r="C561" s="100"/>
      <c r="D561" s="100"/>
      <c r="E561" s="100"/>
      <c r="F561" s="206"/>
      <c r="G561" s="206"/>
      <c r="H561" s="207"/>
      <c r="I561" s="207"/>
      <c r="J561" s="207"/>
      <c r="K561" s="207"/>
      <c r="L561" s="207"/>
      <c r="M561" s="207"/>
      <c r="N561" s="207"/>
      <c r="O561" s="207"/>
      <c r="P561" s="207"/>
      <c r="Q561" s="207"/>
      <c r="R561" s="207"/>
      <c r="S561" s="207"/>
      <c r="T561" s="207"/>
      <c r="U561" s="207"/>
      <c r="V561" s="207"/>
      <c r="W561" s="208"/>
      <c r="X561" s="208"/>
      <c r="Y561" s="208"/>
      <c r="Z561" s="208"/>
      <c r="AA561" s="208"/>
      <c r="AB561" s="208"/>
      <c r="AC561" s="208"/>
      <c r="AD561" s="208"/>
      <c r="AE561" s="208"/>
      <c r="AF561" s="208"/>
      <c r="AG561" s="208"/>
      <c r="AH561" s="208"/>
      <c r="AI561" s="100"/>
    </row>
    <row r="562" ht="14.25" customHeight="1">
      <c r="A562" s="195"/>
      <c r="B562" s="100"/>
      <c r="C562" s="100"/>
      <c r="D562" s="100"/>
      <c r="E562" s="100"/>
      <c r="F562" s="206"/>
      <c r="G562" s="206"/>
      <c r="H562" s="207"/>
      <c r="I562" s="207"/>
      <c r="J562" s="207"/>
      <c r="K562" s="207"/>
      <c r="L562" s="207"/>
      <c r="M562" s="207"/>
      <c r="N562" s="207"/>
      <c r="O562" s="207"/>
      <c r="P562" s="207"/>
      <c r="Q562" s="207"/>
      <c r="R562" s="207"/>
      <c r="S562" s="207"/>
      <c r="T562" s="207"/>
      <c r="U562" s="207"/>
      <c r="V562" s="207"/>
      <c r="W562" s="208"/>
      <c r="X562" s="208"/>
      <c r="Y562" s="208"/>
      <c r="Z562" s="208"/>
      <c r="AA562" s="208"/>
      <c r="AB562" s="208"/>
      <c r="AC562" s="208"/>
      <c r="AD562" s="208"/>
      <c r="AE562" s="208"/>
      <c r="AF562" s="208"/>
      <c r="AG562" s="208"/>
      <c r="AH562" s="208"/>
      <c r="AI562" s="100"/>
    </row>
    <row r="563" ht="14.25" customHeight="1">
      <c r="A563" s="195"/>
      <c r="B563" s="100"/>
      <c r="C563" s="100"/>
      <c r="D563" s="100"/>
      <c r="E563" s="100"/>
      <c r="F563" s="206"/>
      <c r="G563" s="206"/>
      <c r="H563" s="207"/>
      <c r="I563" s="207"/>
      <c r="J563" s="207"/>
      <c r="K563" s="207"/>
      <c r="L563" s="207"/>
      <c r="M563" s="207"/>
      <c r="N563" s="207"/>
      <c r="O563" s="207"/>
      <c r="P563" s="207"/>
      <c r="Q563" s="207"/>
      <c r="R563" s="207"/>
      <c r="S563" s="207"/>
      <c r="T563" s="207"/>
      <c r="U563" s="207"/>
      <c r="V563" s="207"/>
      <c r="W563" s="208"/>
      <c r="X563" s="208"/>
      <c r="Y563" s="208"/>
      <c r="Z563" s="208"/>
      <c r="AA563" s="208"/>
      <c r="AB563" s="208"/>
      <c r="AC563" s="208"/>
      <c r="AD563" s="208"/>
      <c r="AE563" s="208"/>
      <c r="AF563" s="208"/>
      <c r="AG563" s="208"/>
      <c r="AH563" s="208"/>
      <c r="AI563" s="100"/>
    </row>
    <row r="564" ht="14.25" customHeight="1">
      <c r="A564" s="195"/>
      <c r="B564" s="100"/>
      <c r="C564" s="100"/>
      <c r="D564" s="100"/>
      <c r="E564" s="100"/>
      <c r="F564" s="206"/>
      <c r="G564" s="206"/>
      <c r="H564" s="207"/>
      <c r="I564" s="207"/>
      <c r="J564" s="207"/>
      <c r="K564" s="207"/>
      <c r="L564" s="207"/>
      <c r="M564" s="207"/>
      <c r="N564" s="207"/>
      <c r="O564" s="207"/>
      <c r="P564" s="207"/>
      <c r="Q564" s="207"/>
      <c r="R564" s="207"/>
      <c r="S564" s="207"/>
      <c r="T564" s="207"/>
      <c r="U564" s="207"/>
      <c r="V564" s="207"/>
      <c r="W564" s="208"/>
      <c r="X564" s="208"/>
      <c r="Y564" s="208"/>
      <c r="Z564" s="208"/>
      <c r="AA564" s="208"/>
      <c r="AB564" s="208"/>
      <c r="AC564" s="208"/>
      <c r="AD564" s="208"/>
      <c r="AE564" s="208"/>
      <c r="AF564" s="208"/>
      <c r="AG564" s="208"/>
      <c r="AH564" s="208"/>
      <c r="AI564" s="100"/>
    </row>
    <row r="565" ht="14.25" customHeight="1">
      <c r="A565" s="195"/>
      <c r="B565" s="100"/>
      <c r="C565" s="100"/>
      <c r="D565" s="100"/>
      <c r="E565" s="100"/>
      <c r="F565" s="206"/>
      <c r="G565" s="206"/>
      <c r="H565" s="207"/>
      <c r="I565" s="207"/>
      <c r="J565" s="207"/>
      <c r="K565" s="207"/>
      <c r="L565" s="207"/>
      <c r="M565" s="207"/>
      <c r="N565" s="207"/>
      <c r="O565" s="207"/>
      <c r="P565" s="207"/>
      <c r="Q565" s="207"/>
      <c r="R565" s="207"/>
      <c r="S565" s="207"/>
      <c r="T565" s="207"/>
      <c r="U565" s="207"/>
      <c r="V565" s="207"/>
      <c r="W565" s="208"/>
      <c r="X565" s="208"/>
      <c r="Y565" s="208"/>
      <c r="Z565" s="208"/>
      <c r="AA565" s="208"/>
      <c r="AB565" s="208"/>
      <c r="AC565" s="208"/>
      <c r="AD565" s="208"/>
      <c r="AE565" s="208"/>
      <c r="AF565" s="208"/>
      <c r="AG565" s="208"/>
      <c r="AH565" s="208"/>
      <c r="AI565" s="100"/>
    </row>
    <row r="566" ht="14.25" customHeight="1">
      <c r="A566" s="195"/>
      <c r="B566" s="100"/>
      <c r="C566" s="100"/>
      <c r="D566" s="100"/>
      <c r="E566" s="100"/>
      <c r="F566" s="206"/>
      <c r="G566" s="206"/>
      <c r="H566" s="207"/>
      <c r="I566" s="207"/>
      <c r="J566" s="207"/>
      <c r="K566" s="207"/>
      <c r="L566" s="207"/>
      <c r="M566" s="207"/>
      <c r="N566" s="207"/>
      <c r="O566" s="207"/>
      <c r="P566" s="207"/>
      <c r="Q566" s="207"/>
      <c r="R566" s="207"/>
      <c r="S566" s="207"/>
      <c r="T566" s="207"/>
      <c r="U566" s="207"/>
      <c r="V566" s="207"/>
      <c r="W566" s="208"/>
      <c r="X566" s="208"/>
      <c r="Y566" s="208"/>
      <c r="Z566" s="208"/>
      <c r="AA566" s="208"/>
      <c r="AB566" s="208"/>
      <c r="AC566" s="208"/>
      <c r="AD566" s="208"/>
      <c r="AE566" s="208"/>
      <c r="AF566" s="208"/>
      <c r="AG566" s="208"/>
      <c r="AH566" s="208"/>
      <c r="AI566" s="100"/>
    </row>
    <row r="567" ht="14.25" customHeight="1">
      <c r="A567" s="195"/>
      <c r="B567" s="100"/>
      <c r="C567" s="100"/>
      <c r="D567" s="100"/>
      <c r="E567" s="100"/>
      <c r="F567" s="206"/>
      <c r="G567" s="206"/>
      <c r="H567" s="207"/>
      <c r="I567" s="207"/>
      <c r="J567" s="207"/>
      <c r="K567" s="207"/>
      <c r="L567" s="207"/>
      <c r="M567" s="207"/>
      <c r="N567" s="207"/>
      <c r="O567" s="207"/>
      <c r="P567" s="207"/>
      <c r="Q567" s="207"/>
      <c r="R567" s="207"/>
      <c r="S567" s="207"/>
      <c r="T567" s="207"/>
      <c r="U567" s="207"/>
      <c r="V567" s="207"/>
      <c r="W567" s="208"/>
      <c r="X567" s="208"/>
      <c r="Y567" s="208"/>
      <c r="Z567" s="208"/>
      <c r="AA567" s="208"/>
      <c r="AB567" s="208"/>
      <c r="AC567" s="208"/>
      <c r="AD567" s="208"/>
      <c r="AE567" s="208"/>
      <c r="AF567" s="208"/>
      <c r="AG567" s="208"/>
      <c r="AH567" s="208"/>
      <c r="AI567" s="100"/>
    </row>
    <row r="568" ht="14.25" customHeight="1">
      <c r="A568" s="195"/>
      <c r="B568" s="100"/>
      <c r="C568" s="100"/>
      <c r="D568" s="100"/>
      <c r="E568" s="100"/>
      <c r="F568" s="206"/>
      <c r="G568" s="206"/>
      <c r="H568" s="207"/>
      <c r="I568" s="207"/>
      <c r="J568" s="207"/>
      <c r="K568" s="207"/>
      <c r="L568" s="207"/>
      <c r="M568" s="207"/>
      <c r="N568" s="207"/>
      <c r="O568" s="207"/>
      <c r="P568" s="207"/>
      <c r="Q568" s="207"/>
      <c r="R568" s="207"/>
      <c r="S568" s="207"/>
      <c r="T568" s="207"/>
      <c r="U568" s="207"/>
      <c r="V568" s="207"/>
      <c r="W568" s="208"/>
      <c r="X568" s="208"/>
      <c r="Y568" s="208"/>
      <c r="Z568" s="208"/>
      <c r="AA568" s="208"/>
      <c r="AB568" s="208"/>
      <c r="AC568" s="208"/>
      <c r="AD568" s="208"/>
      <c r="AE568" s="208"/>
      <c r="AF568" s="208"/>
      <c r="AG568" s="208"/>
      <c r="AH568" s="208"/>
      <c r="AI568" s="100"/>
    </row>
    <row r="569" ht="14.25" customHeight="1">
      <c r="A569" s="195"/>
      <c r="B569" s="100"/>
      <c r="C569" s="100"/>
      <c r="D569" s="100"/>
      <c r="E569" s="100"/>
      <c r="F569" s="206"/>
      <c r="G569" s="206"/>
      <c r="H569" s="207"/>
      <c r="I569" s="207"/>
      <c r="J569" s="207"/>
      <c r="K569" s="207"/>
      <c r="L569" s="207"/>
      <c r="M569" s="207"/>
      <c r="N569" s="207"/>
      <c r="O569" s="207"/>
      <c r="P569" s="207"/>
      <c r="Q569" s="207"/>
      <c r="R569" s="207"/>
      <c r="S569" s="207"/>
      <c r="T569" s="207"/>
      <c r="U569" s="207"/>
      <c r="V569" s="207"/>
      <c r="W569" s="208"/>
      <c r="X569" s="208"/>
      <c r="Y569" s="208"/>
      <c r="Z569" s="208"/>
      <c r="AA569" s="208"/>
      <c r="AB569" s="208"/>
      <c r="AC569" s="208"/>
      <c r="AD569" s="208"/>
      <c r="AE569" s="208"/>
      <c r="AF569" s="208"/>
      <c r="AG569" s="208"/>
      <c r="AH569" s="208"/>
      <c r="AI569" s="100"/>
    </row>
    <row r="570" ht="14.25" customHeight="1">
      <c r="A570" s="195"/>
      <c r="B570" s="100"/>
      <c r="C570" s="100"/>
      <c r="D570" s="100"/>
      <c r="E570" s="100"/>
      <c r="F570" s="206"/>
      <c r="G570" s="206"/>
      <c r="H570" s="207"/>
      <c r="I570" s="207"/>
      <c r="J570" s="207"/>
      <c r="K570" s="207"/>
      <c r="L570" s="207"/>
      <c r="M570" s="207"/>
      <c r="N570" s="207"/>
      <c r="O570" s="207"/>
      <c r="P570" s="207"/>
      <c r="Q570" s="207"/>
      <c r="R570" s="207"/>
      <c r="S570" s="207"/>
      <c r="T570" s="207"/>
      <c r="U570" s="207"/>
      <c r="V570" s="207"/>
      <c r="W570" s="208"/>
      <c r="X570" s="208"/>
      <c r="Y570" s="208"/>
      <c r="Z570" s="208"/>
      <c r="AA570" s="208"/>
      <c r="AB570" s="208"/>
      <c r="AC570" s="208"/>
      <c r="AD570" s="208"/>
      <c r="AE570" s="208"/>
      <c r="AF570" s="208"/>
      <c r="AG570" s="208"/>
      <c r="AH570" s="208"/>
      <c r="AI570" s="100"/>
    </row>
    <row r="571" ht="14.25" customHeight="1">
      <c r="A571" s="195"/>
      <c r="B571" s="100"/>
      <c r="C571" s="100"/>
      <c r="D571" s="100"/>
      <c r="E571" s="100"/>
      <c r="F571" s="206"/>
      <c r="G571" s="206"/>
      <c r="H571" s="207"/>
      <c r="I571" s="207"/>
      <c r="J571" s="207"/>
      <c r="K571" s="207"/>
      <c r="L571" s="207"/>
      <c r="M571" s="207"/>
      <c r="N571" s="207"/>
      <c r="O571" s="207"/>
      <c r="P571" s="207"/>
      <c r="Q571" s="207"/>
      <c r="R571" s="207"/>
      <c r="S571" s="207"/>
      <c r="T571" s="207"/>
      <c r="U571" s="207"/>
      <c r="V571" s="207"/>
      <c r="W571" s="208"/>
      <c r="X571" s="208"/>
      <c r="Y571" s="208"/>
      <c r="Z571" s="208"/>
      <c r="AA571" s="208"/>
      <c r="AB571" s="208"/>
      <c r="AC571" s="208"/>
      <c r="AD571" s="208"/>
      <c r="AE571" s="208"/>
      <c r="AF571" s="208"/>
      <c r="AG571" s="208"/>
      <c r="AH571" s="208"/>
      <c r="AI571" s="100"/>
    </row>
    <row r="572" ht="14.25" customHeight="1">
      <c r="A572" s="195"/>
      <c r="B572" s="100"/>
      <c r="C572" s="100"/>
      <c r="D572" s="100"/>
      <c r="E572" s="100"/>
      <c r="F572" s="206"/>
      <c r="G572" s="206"/>
      <c r="H572" s="207"/>
      <c r="I572" s="207"/>
      <c r="J572" s="207"/>
      <c r="K572" s="207"/>
      <c r="L572" s="207"/>
      <c r="M572" s="207"/>
      <c r="N572" s="207"/>
      <c r="O572" s="207"/>
      <c r="P572" s="207"/>
      <c r="Q572" s="207"/>
      <c r="R572" s="207"/>
      <c r="S572" s="207"/>
      <c r="T572" s="207"/>
      <c r="U572" s="207"/>
      <c r="V572" s="207"/>
      <c r="W572" s="208"/>
      <c r="X572" s="208"/>
      <c r="Y572" s="208"/>
      <c r="Z572" s="208"/>
      <c r="AA572" s="208"/>
      <c r="AB572" s="208"/>
      <c r="AC572" s="208"/>
      <c r="AD572" s="208"/>
      <c r="AE572" s="208"/>
      <c r="AF572" s="208"/>
      <c r="AG572" s="208"/>
      <c r="AH572" s="208"/>
      <c r="AI572" s="100"/>
    </row>
    <row r="573" ht="14.25" customHeight="1">
      <c r="A573" s="195"/>
      <c r="B573" s="100"/>
      <c r="C573" s="100"/>
      <c r="D573" s="100"/>
      <c r="E573" s="100"/>
      <c r="F573" s="206"/>
      <c r="G573" s="206"/>
      <c r="H573" s="207"/>
      <c r="I573" s="207"/>
      <c r="J573" s="207"/>
      <c r="K573" s="207"/>
      <c r="L573" s="207"/>
      <c r="M573" s="207"/>
      <c r="N573" s="207"/>
      <c r="O573" s="207"/>
      <c r="P573" s="207"/>
      <c r="Q573" s="207"/>
      <c r="R573" s="207"/>
      <c r="S573" s="207"/>
      <c r="T573" s="207"/>
      <c r="U573" s="207"/>
      <c r="V573" s="207"/>
      <c r="W573" s="208"/>
      <c r="X573" s="208"/>
      <c r="Y573" s="208"/>
      <c r="Z573" s="208"/>
      <c r="AA573" s="208"/>
      <c r="AB573" s="208"/>
      <c r="AC573" s="208"/>
      <c r="AD573" s="208"/>
      <c r="AE573" s="208"/>
      <c r="AF573" s="208"/>
      <c r="AG573" s="208"/>
      <c r="AH573" s="208"/>
      <c r="AI573" s="100"/>
    </row>
    <row r="574" ht="14.25" customHeight="1">
      <c r="A574" s="195"/>
      <c r="B574" s="100"/>
      <c r="C574" s="100"/>
      <c r="D574" s="100"/>
      <c r="E574" s="100"/>
      <c r="F574" s="206"/>
      <c r="G574" s="206"/>
      <c r="H574" s="207"/>
      <c r="I574" s="207"/>
      <c r="J574" s="207"/>
      <c r="K574" s="207"/>
      <c r="L574" s="207"/>
      <c r="M574" s="207"/>
      <c r="N574" s="207"/>
      <c r="O574" s="207"/>
      <c r="P574" s="207"/>
      <c r="Q574" s="207"/>
      <c r="R574" s="207"/>
      <c r="S574" s="207"/>
      <c r="T574" s="207"/>
      <c r="U574" s="207"/>
      <c r="V574" s="207"/>
      <c r="W574" s="208"/>
      <c r="X574" s="208"/>
      <c r="Y574" s="208"/>
      <c r="Z574" s="208"/>
      <c r="AA574" s="208"/>
      <c r="AB574" s="208"/>
      <c r="AC574" s="208"/>
      <c r="AD574" s="208"/>
      <c r="AE574" s="208"/>
      <c r="AF574" s="208"/>
      <c r="AG574" s="208"/>
      <c r="AH574" s="208"/>
      <c r="AI574" s="100"/>
    </row>
    <row r="575" ht="14.25" customHeight="1">
      <c r="A575" s="195"/>
      <c r="B575" s="100"/>
      <c r="C575" s="100"/>
      <c r="D575" s="100"/>
      <c r="E575" s="100"/>
      <c r="F575" s="206"/>
      <c r="G575" s="206"/>
      <c r="H575" s="207"/>
      <c r="I575" s="207"/>
      <c r="J575" s="207"/>
      <c r="K575" s="207"/>
      <c r="L575" s="207"/>
      <c r="M575" s="207"/>
      <c r="N575" s="207"/>
      <c r="O575" s="207"/>
      <c r="P575" s="207"/>
      <c r="Q575" s="207"/>
      <c r="R575" s="207"/>
      <c r="S575" s="207"/>
      <c r="T575" s="207"/>
      <c r="U575" s="207"/>
      <c r="V575" s="207"/>
      <c r="W575" s="208"/>
      <c r="X575" s="208"/>
      <c r="Y575" s="208"/>
      <c r="Z575" s="208"/>
      <c r="AA575" s="208"/>
      <c r="AB575" s="208"/>
      <c r="AC575" s="208"/>
      <c r="AD575" s="208"/>
      <c r="AE575" s="208"/>
      <c r="AF575" s="208"/>
      <c r="AG575" s="208"/>
      <c r="AH575" s="208"/>
      <c r="AI575" s="100"/>
    </row>
    <row r="576" ht="14.25" customHeight="1">
      <c r="A576" s="195"/>
      <c r="B576" s="100"/>
      <c r="C576" s="100"/>
      <c r="D576" s="100"/>
      <c r="E576" s="100"/>
      <c r="F576" s="206"/>
      <c r="G576" s="206"/>
      <c r="H576" s="207"/>
      <c r="I576" s="207"/>
      <c r="J576" s="207"/>
      <c r="K576" s="207"/>
      <c r="L576" s="207"/>
      <c r="M576" s="207"/>
      <c r="N576" s="207"/>
      <c r="O576" s="207"/>
      <c r="P576" s="207"/>
      <c r="Q576" s="207"/>
      <c r="R576" s="207"/>
      <c r="S576" s="207"/>
      <c r="T576" s="207"/>
      <c r="U576" s="207"/>
      <c r="V576" s="207"/>
      <c r="W576" s="208"/>
      <c r="X576" s="208"/>
      <c r="Y576" s="208"/>
      <c r="Z576" s="208"/>
      <c r="AA576" s="208"/>
      <c r="AB576" s="208"/>
      <c r="AC576" s="208"/>
      <c r="AD576" s="208"/>
      <c r="AE576" s="208"/>
      <c r="AF576" s="208"/>
      <c r="AG576" s="208"/>
      <c r="AH576" s="208"/>
      <c r="AI576" s="100"/>
    </row>
    <row r="577" ht="14.25" customHeight="1">
      <c r="A577" s="195"/>
      <c r="B577" s="100"/>
      <c r="C577" s="100"/>
      <c r="D577" s="100"/>
      <c r="E577" s="100"/>
      <c r="F577" s="206"/>
      <c r="G577" s="206"/>
      <c r="H577" s="207"/>
      <c r="I577" s="207"/>
      <c r="J577" s="207"/>
      <c r="K577" s="207"/>
      <c r="L577" s="207"/>
      <c r="M577" s="207"/>
      <c r="N577" s="207"/>
      <c r="O577" s="207"/>
      <c r="P577" s="207"/>
      <c r="Q577" s="207"/>
      <c r="R577" s="207"/>
      <c r="S577" s="207"/>
      <c r="T577" s="207"/>
      <c r="U577" s="207"/>
      <c r="V577" s="207"/>
      <c r="W577" s="208"/>
      <c r="X577" s="208"/>
      <c r="Y577" s="208"/>
      <c r="Z577" s="208"/>
      <c r="AA577" s="208"/>
      <c r="AB577" s="208"/>
      <c r="AC577" s="208"/>
      <c r="AD577" s="208"/>
      <c r="AE577" s="208"/>
      <c r="AF577" s="208"/>
      <c r="AG577" s="208"/>
      <c r="AH577" s="208"/>
      <c r="AI577" s="100"/>
    </row>
    <row r="578" ht="14.25" customHeight="1">
      <c r="A578" s="195"/>
      <c r="B578" s="100"/>
      <c r="C578" s="100"/>
      <c r="D578" s="100"/>
      <c r="E578" s="100"/>
      <c r="F578" s="206"/>
      <c r="G578" s="206"/>
      <c r="H578" s="207"/>
      <c r="I578" s="207"/>
      <c r="J578" s="207"/>
      <c r="K578" s="207"/>
      <c r="L578" s="207"/>
      <c r="M578" s="207"/>
      <c r="N578" s="207"/>
      <c r="O578" s="207"/>
      <c r="P578" s="207"/>
      <c r="Q578" s="207"/>
      <c r="R578" s="207"/>
      <c r="S578" s="207"/>
      <c r="T578" s="207"/>
      <c r="U578" s="207"/>
      <c r="V578" s="207"/>
      <c r="W578" s="208"/>
      <c r="X578" s="208"/>
      <c r="Y578" s="208"/>
      <c r="Z578" s="208"/>
      <c r="AA578" s="208"/>
      <c r="AB578" s="208"/>
      <c r="AC578" s="208"/>
      <c r="AD578" s="208"/>
      <c r="AE578" s="208"/>
      <c r="AF578" s="208"/>
      <c r="AG578" s="208"/>
      <c r="AH578" s="208"/>
      <c r="AI578" s="100"/>
    </row>
    <row r="579" ht="14.25" customHeight="1">
      <c r="A579" s="195"/>
      <c r="B579" s="100"/>
      <c r="C579" s="100"/>
      <c r="D579" s="100"/>
      <c r="E579" s="100"/>
      <c r="F579" s="206"/>
      <c r="G579" s="206"/>
      <c r="H579" s="207"/>
      <c r="I579" s="207"/>
      <c r="J579" s="207"/>
      <c r="K579" s="207"/>
      <c r="L579" s="207"/>
      <c r="M579" s="207"/>
      <c r="N579" s="207"/>
      <c r="O579" s="207"/>
      <c r="P579" s="207"/>
      <c r="Q579" s="207"/>
      <c r="R579" s="207"/>
      <c r="S579" s="207"/>
      <c r="T579" s="207"/>
      <c r="U579" s="207"/>
      <c r="V579" s="207"/>
      <c r="W579" s="208"/>
      <c r="X579" s="208"/>
      <c r="Y579" s="208"/>
      <c r="Z579" s="208"/>
      <c r="AA579" s="208"/>
      <c r="AB579" s="208"/>
      <c r="AC579" s="208"/>
      <c r="AD579" s="208"/>
      <c r="AE579" s="208"/>
      <c r="AF579" s="208"/>
      <c r="AG579" s="208"/>
      <c r="AH579" s="208"/>
      <c r="AI579" s="100"/>
    </row>
    <row r="580" ht="14.25" customHeight="1">
      <c r="A580" s="195"/>
      <c r="B580" s="100"/>
      <c r="C580" s="100"/>
      <c r="D580" s="100"/>
      <c r="E580" s="100"/>
      <c r="F580" s="206"/>
      <c r="G580" s="206"/>
      <c r="H580" s="207"/>
      <c r="I580" s="207"/>
      <c r="J580" s="207"/>
      <c r="K580" s="207"/>
      <c r="L580" s="207"/>
      <c r="M580" s="207"/>
      <c r="N580" s="207"/>
      <c r="O580" s="207"/>
      <c r="P580" s="207"/>
      <c r="Q580" s="207"/>
      <c r="R580" s="207"/>
      <c r="S580" s="207"/>
      <c r="T580" s="207"/>
      <c r="U580" s="207"/>
      <c r="V580" s="207"/>
      <c r="W580" s="208"/>
      <c r="X580" s="208"/>
      <c r="Y580" s="208"/>
      <c r="Z580" s="208"/>
      <c r="AA580" s="208"/>
      <c r="AB580" s="208"/>
      <c r="AC580" s="208"/>
      <c r="AD580" s="208"/>
      <c r="AE580" s="208"/>
      <c r="AF580" s="208"/>
      <c r="AG580" s="208"/>
      <c r="AH580" s="208"/>
      <c r="AI580" s="100"/>
    </row>
    <row r="581" ht="14.25" customHeight="1">
      <c r="A581" s="195"/>
      <c r="B581" s="100"/>
      <c r="C581" s="100"/>
      <c r="D581" s="100"/>
      <c r="E581" s="100"/>
      <c r="F581" s="206"/>
      <c r="G581" s="206"/>
      <c r="H581" s="207"/>
      <c r="I581" s="207"/>
      <c r="J581" s="207"/>
      <c r="K581" s="207"/>
      <c r="L581" s="207"/>
      <c r="M581" s="207"/>
      <c r="N581" s="207"/>
      <c r="O581" s="207"/>
      <c r="P581" s="207"/>
      <c r="Q581" s="207"/>
      <c r="R581" s="207"/>
      <c r="S581" s="207"/>
      <c r="T581" s="207"/>
      <c r="U581" s="207"/>
      <c r="V581" s="207"/>
      <c r="W581" s="208"/>
      <c r="X581" s="208"/>
      <c r="Y581" s="208"/>
      <c r="Z581" s="208"/>
      <c r="AA581" s="208"/>
      <c r="AB581" s="208"/>
      <c r="AC581" s="208"/>
      <c r="AD581" s="208"/>
      <c r="AE581" s="208"/>
      <c r="AF581" s="208"/>
      <c r="AG581" s="208"/>
      <c r="AH581" s="208"/>
      <c r="AI581" s="100"/>
    </row>
    <row r="582" ht="14.25" customHeight="1">
      <c r="A582" s="195"/>
      <c r="B582" s="100"/>
      <c r="C582" s="100"/>
      <c r="D582" s="100"/>
      <c r="E582" s="100"/>
      <c r="F582" s="206"/>
      <c r="G582" s="206"/>
      <c r="H582" s="207"/>
      <c r="I582" s="207"/>
      <c r="J582" s="207"/>
      <c r="K582" s="207"/>
      <c r="L582" s="207"/>
      <c r="M582" s="207"/>
      <c r="N582" s="207"/>
      <c r="O582" s="207"/>
      <c r="P582" s="207"/>
      <c r="Q582" s="207"/>
      <c r="R582" s="207"/>
      <c r="S582" s="207"/>
      <c r="T582" s="207"/>
      <c r="U582" s="207"/>
      <c r="V582" s="207"/>
      <c r="W582" s="208"/>
      <c r="X582" s="208"/>
      <c r="Y582" s="208"/>
      <c r="Z582" s="208"/>
      <c r="AA582" s="208"/>
      <c r="AB582" s="208"/>
      <c r="AC582" s="208"/>
      <c r="AD582" s="208"/>
      <c r="AE582" s="208"/>
      <c r="AF582" s="208"/>
      <c r="AG582" s="208"/>
      <c r="AH582" s="208"/>
      <c r="AI582" s="100"/>
    </row>
    <row r="583" ht="14.25" customHeight="1">
      <c r="A583" s="195"/>
      <c r="B583" s="100"/>
      <c r="C583" s="100"/>
      <c r="D583" s="100"/>
      <c r="E583" s="100"/>
      <c r="F583" s="206"/>
      <c r="G583" s="206"/>
      <c r="H583" s="207"/>
      <c r="I583" s="207"/>
      <c r="J583" s="207"/>
      <c r="K583" s="207"/>
      <c r="L583" s="207"/>
      <c r="M583" s="207"/>
      <c r="N583" s="207"/>
      <c r="O583" s="207"/>
      <c r="P583" s="207"/>
      <c r="Q583" s="207"/>
      <c r="R583" s="207"/>
      <c r="S583" s="207"/>
      <c r="T583" s="207"/>
      <c r="U583" s="207"/>
      <c r="V583" s="207"/>
      <c r="W583" s="208"/>
      <c r="X583" s="208"/>
      <c r="Y583" s="208"/>
      <c r="Z583" s="208"/>
      <c r="AA583" s="208"/>
      <c r="AB583" s="208"/>
      <c r="AC583" s="208"/>
      <c r="AD583" s="208"/>
      <c r="AE583" s="208"/>
      <c r="AF583" s="208"/>
      <c r="AG583" s="208"/>
      <c r="AH583" s="208"/>
      <c r="AI583" s="100"/>
    </row>
    <row r="584" ht="14.25" customHeight="1">
      <c r="A584" s="195"/>
      <c r="B584" s="100"/>
      <c r="C584" s="100"/>
      <c r="D584" s="100"/>
      <c r="E584" s="100"/>
      <c r="F584" s="206"/>
      <c r="G584" s="206"/>
      <c r="H584" s="207"/>
      <c r="I584" s="207"/>
      <c r="J584" s="207"/>
      <c r="K584" s="207"/>
      <c r="L584" s="207"/>
      <c r="M584" s="207"/>
      <c r="N584" s="207"/>
      <c r="O584" s="207"/>
      <c r="P584" s="207"/>
      <c r="Q584" s="207"/>
      <c r="R584" s="207"/>
      <c r="S584" s="207"/>
      <c r="T584" s="207"/>
      <c r="U584" s="207"/>
      <c r="V584" s="207"/>
      <c r="W584" s="208"/>
      <c r="X584" s="208"/>
      <c r="Y584" s="208"/>
      <c r="Z584" s="208"/>
      <c r="AA584" s="208"/>
      <c r="AB584" s="208"/>
      <c r="AC584" s="208"/>
      <c r="AD584" s="208"/>
      <c r="AE584" s="208"/>
      <c r="AF584" s="208"/>
      <c r="AG584" s="208"/>
      <c r="AH584" s="208"/>
      <c r="AI584" s="100"/>
    </row>
    <row r="585" ht="14.25" customHeight="1">
      <c r="A585" s="195"/>
      <c r="B585" s="100"/>
      <c r="C585" s="100"/>
      <c r="D585" s="100"/>
      <c r="E585" s="100"/>
      <c r="F585" s="206"/>
      <c r="G585" s="206"/>
      <c r="H585" s="207"/>
      <c r="I585" s="207"/>
      <c r="J585" s="207"/>
      <c r="K585" s="207"/>
      <c r="L585" s="207"/>
      <c r="M585" s="207"/>
      <c r="N585" s="207"/>
      <c r="O585" s="207"/>
      <c r="P585" s="207"/>
      <c r="Q585" s="207"/>
      <c r="R585" s="207"/>
      <c r="S585" s="207"/>
      <c r="T585" s="207"/>
      <c r="U585" s="207"/>
      <c r="V585" s="207"/>
      <c r="W585" s="208"/>
      <c r="X585" s="208"/>
      <c r="Y585" s="208"/>
      <c r="Z585" s="208"/>
      <c r="AA585" s="208"/>
      <c r="AB585" s="208"/>
      <c r="AC585" s="208"/>
      <c r="AD585" s="208"/>
      <c r="AE585" s="208"/>
      <c r="AF585" s="208"/>
      <c r="AG585" s="208"/>
      <c r="AH585" s="208"/>
      <c r="AI585" s="100"/>
    </row>
    <row r="586" ht="14.25" customHeight="1">
      <c r="A586" s="195"/>
      <c r="B586" s="100"/>
      <c r="C586" s="100"/>
      <c r="D586" s="100"/>
      <c r="E586" s="100"/>
      <c r="F586" s="206"/>
      <c r="G586" s="206"/>
      <c r="H586" s="207"/>
      <c r="I586" s="207"/>
      <c r="J586" s="207"/>
      <c r="K586" s="207"/>
      <c r="L586" s="207"/>
      <c r="M586" s="207"/>
      <c r="N586" s="207"/>
      <c r="O586" s="207"/>
      <c r="P586" s="207"/>
      <c r="Q586" s="207"/>
      <c r="R586" s="207"/>
      <c r="S586" s="207"/>
      <c r="T586" s="207"/>
      <c r="U586" s="207"/>
      <c r="V586" s="207"/>
      <c r="W586" s="208"/>
      <c r="X586" s="208"/>
      <c r="Y586" s="208"/>
      <c r="Z586" s="208"/>
      <c r="AA586" s="208"/>
      <c r="AB586" s="208"/>
      <c r="AC586" s="208"/>
      <c r="AD586" s="208"/>
      <c r="AE586" s="208"/>
      <c r="AF586" s="208"/>
      <c r="AG586" s="208"/>
      <c r="AH586" s="208"/>
      <c r="AI586" s="100"/>
    </row>
    <row r="587" ht="14.25" customHeight="1">
      <c r="A587" s="195"/>
      <c r="B587" s="100"/>
      <c r="C587" s="100"/>
      <c r="D587" s="100"/>
      <c r="E587" s="100"/>
      <c r="F587" s="206"/>
      <c r="G587" s="206"/>
      <c r="H587" s="207"/>
      <c r="I587" s="207"/>
      <c r="J587" s="207"/>
      <c r="K587" s="207"/>
      <c r="L587" s="207"/>
      <c r="M587" s="207"/>
      <c r="N587" s="207"/>
      <c r="O587" s="207"/>
      <c r="P587" s="207"/>
      <c r="Q587" s="207"/>
      <c r="R587" s="207"/>
      <c r="S587" s="207"/>
      <c r="T587" s="207"/>
      <c r="U587" s="207"/>
      <c r="V587" s="207"/>
      <c r="W587" s="208"/>
      <c r="X587" s="208"/>
      <c r="Y587" s="208"/>
      <c r="Z587" s="208"/>
      <c r="AA587" s="208"/>
      <c r="AB587" s="208"/>
      <c r="AC587" s="208"/>
      <c r="AD587" s="208"/>
      <c r="AE587" s="208"/>
      <c r="AF587" s="208"/>
      <c r="AG587" s="208"/>
      <c r="AH587" s="208"/>
      <c r="AI587" s="100"/>
    </row>
    <row r="588" ht="14.25" customHeight="1">
      <c r="A588" s="195"/>
      <c r="B588" s="100"/>
      <c r="C588" s="100"/>
      <c r="D588" s="100"/>
      <c r="E588" s="100"/>
      <c r="F588" s="206"/>
      <c r="G588" s="206"/>
      <c r="H588" s="207"/>
      <c r="I588" s="207"/>
      <c r="J588" s="207"/>
      <c r="K588" s="207"/>
      <c r="L588" s="207"/>
      <c r="M588" s="207"/>
      <c r="N588" s="207"/>
      <c r="O588" s="207"/>
      <c r="P588" s="207"/>
      <c r="Q588" s="207"/>
      <c r="R588" s="207"/>
      <c r="S588" s="207"/>
      <c r="T588" s="207"/>
      <c r="U588" s="207"/>
      <c r="V588" s="207"/>
      <c r="W588" s="208"/>
      <c r="X588" s="208"/>
      <c r="Y588" s="208"/>
      <c r="Z588" s="208"/>
      <c r="AA588" s="208"/>
      <c r="AB588" s="208"/>
      <c r="AC588" s="208"/>
      <c r="AD588" s="208"/>
      <c r="AE588" s="208"/>
      <c r="AF588" s="208"/>
      <c r="AG588" s="208"/>
      <c r="AH588" s="208"/>
      <c r="AI588" s="100"/>
    </row>
    <row r="589" ht="14.25" customHeight="1">
      <c r="A589" s="195"/>
      <c r="B589" s="100"/>
      <c r="C589" s="100"/>
      <c r="D589" s="100"/>
      <c r="E589" s="100"/>
      <c r="F589" s="206"/>
      <c r="G589" s="206"/>
      <c r="H589" s="207"/>
      <c r="I589" s="207"/>
      <c r="J589" s="207"/>
      <c r="K589" s="207"/>
      <c r="L589" s="207"/>
      <c r="M589" s="207"/>
      <c r="N589" s="207"/>
      <c r="O589" s="207"/>
      <c r="P589" s="207"/>
      <c r="Q589" s="207"/>
      <c r="R589" s="207"/>
      <c r="S589" s="207"/>
      <c r="T589" s="207"/>
      <c r="U589" s="207"/>
      <c r="V589" s="207"/>
      <c r="W589" s="208"/>
      <c r="X589" s="208"/>
      <c r="Y589" s="208"/>
      <c r="Z589" s="208"/>
      <c r="AA589" s="208"/>
      <c r="AB589" s="208"/>
      <c r="AC589" s="208"/>
      <c r="AD589" s="208"/>
      <c r="AE589" s="208"/>
      <c r="AF589" s="208"/>
      <c r="AG589" s="208"/>
      <c r="AH589" s="208"/>
      <c r="AI589" s="100"/>
    </row>
    <row r="590" ht="14.25" customHeight="1">
      <c r="A590" s="195"/>
      <c r="B590" s="100"/>
      <c r="C590" s="100"/>
      <c r="D590" s="100"/>
      <c r="E590" s="100"/>
      <c r="F590" s="206"/>
      <c r="G590" s="206"/>
      <c r="H590" s="207"/>
      <c r="I590" s="207"/>
      <c r="J590" s="207"/>
      <c r="K590" s="207"/>
      <c r="L590" s="207"/>
      <c r="M590" s="207"/>
      <c r="N590" s="207"/>
      <c r="O590" s="207"/>
      <c r="P590" s="207"/>
      <c r="Q590" s="207"/>
      <c r="R590" s="207"/>
      <c r="S590" s="207"/>
      <c r="T590" s="207"/>
      <c r="U590" s="207"/>
      <c r="V590" s="207"/>
      <c r="W590" s="208"/>
      <c r="X590" s="208"/>
      <c r="Y590" s="208"/>
      <c r="Z590" s="208"/>
      <c r="AA590" s="208"/>
      <c r="AB590" s="208"/>
      <c r="AC590" s="208"/>
      <c r="AD590" s="208"/>
      <c r="AE590" s="208"/>
      <c r="AF590" s="208"/>
      <c r="AG590" s="208"/>
      <c r="AH590" s="208"/>
      <c r="AI590" s="100"/>
    </row>
    <row r="591" ht="14.25" customHeight="1">
      <c r="A591" s="195"/>
      <c r="B591" s="100"/>
      <c r="C591" s="100"/>
      <c r="D591" s="100"/>
      <c r="E591" s="100"/>
      <c r="F591" s="206"/>
      <c r="G591" s="206"/>
      <c r="H591" s="207"/>
      <c r="I591" s="207"/>
      <c r="J591" s="207"/>
      <c r="K591" s="207"/>
      <c r="L591" s="207"/>
      <c r="M591" s="207"/>
      <c r="N591" s="207"/>
      <c r="O591" s="207"/>
      <c r="P591" s="207"/>
      <c r="Q591" s="207"/>
      <c r="R591" s="207"/>
      <c r="S591" s="207"/>
      <c r="T591" s="207"/>
      <c r="U591" s="207"/>
      <c r="V591" s="207"/>
      <c r="W591" s="208"/>
      <c r="X591" s="208"/>
      <c r="Y591" s="208"/>
      <c r="Z591" s="208"/>
      <c r="AA591" s="208"/>
      <c r="AB591" s="208"/>
      <c r="AC591" s="208"/>
      <c r="AD591" s="208"/>
      <c r="AE591" s="208"/>
      <c r="AF591" s="208"/>
      <c r="AG591" s="208"/>
      <c r="AH591" s="208"/>
      <c r="AI591" s="100"/>
    </row>
    <row r="592" ht="14.25" customHeight="1">
      <c r="A592" s="195"/>
      <c r="B592" s="100"/>
      <c r="C592" s="100"/>
      <c r="D592" s="100"/>
      <c r="E592" s="100"/>
      <c r="F592" s="206"/>
      <c r="G592" s="206"/>
      <c r="H592" s="207"/>
      <c r="I592" s="207"/>
      <c r="J592" s="207"/>
      <c r="K592" s="207"/>
      <c r="L592" s="207"/>
      <c r="M592" s="207"/>
      <c r="N592" s="207"/>
      <c r="O592" s="207"/>
      <c r="P592" s="207"/>
      <c r="Q592" s="207"/>
      <c r="R592" s="207"/>
      <c r="S592" s="207"/>
      <c r="T592" s="207"/>
      <c r="U592" s="207"/>
      <c r="V592" s="207"/>
      <c r="W592" s="208"/>
      <c r="X592" s="208"/>
      <c r="Y592" s="208"/>
      <c r="Z592" s="208"/>
      <c r="AA592" s="208"/>
      <c r="AB592" s="208"/>
      <c r="AC592" s="208"/>
      <c r="AD592" s="208"/>
      <c r="AE592" s="208"/>
      <c r="AF592" s="208"/>
      <c r="AG592" s="208"/>
      <c r="AH592" s="208"/>
      <c r="AI592" s="100"/>
    </row>
    <row r="593" ht="14.25" customHeight="1">
      <c r="A593" s="195"/>
      <c r="B593" s="100"/>
      <c r="C593" s="100"/>
      <c r="D593" s="100"/>
      <c r="E593" s="100"/>
      <c r="F593" s="206"/>
      <c r="G593" s="206"/>
      <c r="H593" s="207"/>
      <c r="I593" s="207"/>
      <c r="J593" s="207"/>
      <c r="K593" s="207"/>
      <c r="L593" s="207"/>
      <c r="M593" s="207"/>
      <c r="N593" s="207"/>
      <c r="O593" s="207"/>
      <c r="P593" s="207"/>
      <c r="Q593" s="207"/>
      <c r="R593" s="207"/>
      <c r="S593" s="207"/>
      <c r="T593" s="207"/>
      <c r="U593" s="207"/>
      <c r="V593" s="207"/>
      <c r="W593" s="208"/>
      <c r="X593" s="208"/>
      <c r="Y593" s="208"/>
      <c r="Z593" s="208"/>
      <c r="AA593" s="208"/>
      <c r="AB593" s="208"/>
      <c r="AC593" s="208"/>
      <c r="AD593" s="208"/>
      <c r="AE593" s="208"/>
      <c r="AF593" s="208"/>
      <c r="AG593" s="208"/>
      <c r="AH593" s="208"/>
      <c r="AI593" s="100"/>
    </row>
    <row r="594" ht="14.25" customHeight="1">
      <c r="A594" s="195"/>
      <c r="B594" s="100"/>
      <c r="C594" s="100"/>
      <c r="D594" s="100"/>
      <c r="E594" s="100"/>
      <c r="F594" s="206"/>
      <c r="G594" s="206"/>
      <c r="H594" s="207"/>
      <c r="I594" s="207"/>
      <c r="J594" s="207"/>
      <c r="K594" s="207"/>
      <c r="L594" s="207"/>
      <c r="M594" s="207"/>
      <c r="N594" s="207"/>
      <c r="O594" s="207"/>
      <c r="P594" s="207"/>
      <c r="Q594" s="207"/>
      <c r="R594" s="207"/>
      <c r="S594" s="207"/>
      <c r="T594" s="207"/>
      <c r="U594" s="207"/>
      <c r="V594" s="207"/>
      <c r="W594" s="208"/>
      <c r="X594" s="208"/>
      <c r="Y594" s="208"/>
      <c r="Z594" s="208"/>
      <c r="AA594" s="208"/>
      <c r="AB594" s="208"/>
      <c r="AC594" s="208"/>
      <c r="AD594" s="208"/>
      <c r="AE594" s="208"/>
      <c r="AF594" s="208"/>
      <c r="AG594" s="208"/>
      <c r="AH594" s="208"/>
      <c r="AI594" s="100"/>
    </row>
    <row r="595" ht="14.25" customHeight="1">
      <c r="A595" s="195"/>
      <c r="B595" s="100"/>
      <c r="C595" s="100"/>
      <c r="D595" s="100"/>
      <c r="E595" s="100"/>
      <c r="F595" s="206"/>
      <c r="G595" s="206"/>
      <c r="H595" s="207"/>
      <c r="I595" s="207"/>
      <c r="J595" s="207"/>
      <c r="K595" s="207"/>
      <c r="L595" s="207"/>
      <c r="M595" s="207"/>
      <c r="N595" s="207"/>
      <c r="O595" s="207"/>
      <c r="P595" s="207"/>
      <c r="Q595" s="207"/>
      <c r="R595" s="207"/>
      <c r="S595" s="207"/>
      <c r="T595" s="207"/>
      <c r="U595" s="207"/>
      <c r="V595" s="207"/>
      <c r="W595" s="208"/>
      <c r="X595" s="208"/>
      <c r="Y595" s="208"/>
      <c r="Z595" s="208"/>
      <c r="AA595" s="208"/>
      <c r="AB595" s="208"/>
      <c r="AC595" s="208"/>
      <c r="AD595" s="208"/>
      <c r="AE595" s="208"/>
      <c r="AF595" s="208"/>
      <c r="AG595" s="208"/>
      <c r="AH595" s="208"/>
      <c r="AI595" s="100"/>
    </row>
    <row r="596" ht="14.25" customHeight="1">
      <c r="A596" s="195"/>
      <c r="B596" s="100"/>
      <c r="C596" s="100"/>
      <c r="D596" s="100"/>
      <c r="E596" s="100"/>
      <c r="F596" s="206"/>
      <c r="G596" s="206"/>
      <c r="H596" s="207"/>
      <c r="I596" s="207"/>
      <c r="J596" s="207"/>
      <c r="K596" s="207"/>
      <c r="L596" s="207"/>
      <c r="M596" s="207"/>
      <c r="N596" s="207"/>
      <c r="O596" s="207"/>
      <c r="P596" s="207"/>
      <c r="Q596" s="207"/>
      <c r="R596" s="207"/>
      <c r="S596" s="207"/>
      <c r="T596" s="207"/>
      <c r="U596" s="207"/>
      <c r="V596" s="207"/>
      <c r="W596" s="208"/>
      <c r="X596" s="208"/>
      <c r="Y596" s="208"/>
      <c r="Z596" s="208"/>
      <c r="AA596" s="208"/>
      <c r="AB596" s="208"/>
      <c r="AC596" s="208"/>
      <c r="AD596" s="208"/>
      <c r="AE596" s="208"/>
      <c r="AF596" s="208"/>
      <c r="AG596" s="208"/>
      <c r="AH596" s="208"/>
      <c r="AI596" s="100"/>
    </row>
    <row r="597" ht="14.25" customHeight="1">
      <c r="A597" s="195"/>
      <c r="B597" s="100"/>
      <c r="C597" s="100"/>
      <c r="D597" s="100"/>
      <c r="E597" s="100"/>
      <c r="F597" s="206"/>
      <c r="G597" s="206"/>
      <c r="H597" s="207"/>
      <c r="I597" s="207"/>
      <c r="J597" s="207"/>
      <c r="K597" s="207"/>
      <c r="L597" s="207"/>
      <c r="M597" s="207"/>
      <c r="N597" s="207"/>
      <c r="O597" s="207"/>
      <c r="P597" s="207"/>
      <c r="Q597" s="207"/>
      <c r="R597" s="207"/>
      <c r="S597" s="207"/>
      <c r="T597" s="207"/>
      <c r="U597" s="207"/>
      <c r="V597" s="207"/>
      <c r="W597" s="208"/>
      <c r="X597" s="208"/>
      <c r="Y597" s="208"/>
      <c r="Z597" s="208"/>
      <c r="AA597" s="208"/>
      <c r="AB597" s="208"/>
      <c r="AC597" s="208"/>
      <c r="AD597" s="208"/>
      <c r="AE597" s="208"/>
      <c r="AF597" s="208"/>
      <c r="AG597" s="208"/>
      <c r="AH597" s="208"/>
      <c r="AI597" s="100"/>
    </row>
    <row r="598" ht="14.25" customHeight="1">
      <c r="A598" s="195"/>
      <c r="B598" s="100"/>
      <c r="C598" s="100"/>
      <c r="D598" s="100"/>
      <c r="E598" s="100"/>
      <c r="F598" s="206"/>
      <c r="G598" s="206"/>
      <c r="H598" s="207"/>
      <c r="I598" s="207"/>
      <c r="J598" s="207"/>
      <c r="K598" s="207"/>
      <c r="L598" s="207"/>
      <c r="M598" s="207"/>
      <c r="N598" s="207"/>
      <c r="O598" s="207"/>
      <c r="P598" s="207"/>
      <c r="Q598" s="207"/>
      <c r="R598" s="207"/>
      <c r="S598" s="207"/>
      <c r="T598" s="207"/>
      <c r="U598" s="207"/>
      <c r="V598" s="207"/>
      <c r="W598" s="208"/>
      <c r="X598" s="208"/>
      <c r="Y598" s="208"/>
      <c r="Z598" s="208"/>
      <c r="AA598" s="208"/>
      <c r="AB598" s="208"/>
      <c r="AC598" s="208"/>
      <c r="AD598" s="208"/>
      <c r="AE598" s="208"/>
      <c r="AF598" s="208"/>
      <c r="AG598" s="208"/>
      <c r="AH598" s="208"/>
      <c r="AI598" s="100"/>
    </row>
    <row r="599" ht="14.25" customHeight="1">
      <c r="A599" s="195"/>
      <c r="B599" s="100"/>
      <c r="C599" s="100"/>
      <c r="D599" s="100"/>
      <c r="E599" s="100"/>
      <c r="F599" s="206"/>
      <c r="G599" s="206"/>
      <c r="H599" s="207"/>
      <c r="I599" s="207"/>
      <c r="J599" s="207"/>
      <c r="K599" s="207"/>
      <c r="L599" s="207"/>
      <c r="M599" s="207"/>
      <c r="N599" s="207"/>
      <c r="O599" s="207"/>
      <c r="P599" s="207"/>
      <c r="Q599" s="207"/>
      <c r="R599" s="207"/>
      <c r="S599" s="207"/>
      <c r="T599" s="207"/>
      <c r="U599" s="207"/>
      <c r="V599" s="207"/>
      <c r="W599" s="208"/>
      <c r="X599" s="208"/>
      <c r="Y599" s="208"/>
      <c r="Z599" s="208"/>
      <c r="AA599" s="208"/>
      <c r="AB599" s="208"/>
      <c r="AC599" s="208"/>
      <c r="AD599" s="208"/>
      <c r="AE599" s="208"/>
      <c r="AF599" s="208"/>
      <c r="AG599" s="208"/>
      <c r="AH599" s="208"/>
      <c r="AI599" s="100"/>
    </row>
    <row r="600" ht="14.25" customHeight="1">
      <c r="A600" s="195"/>
      <c r="B600" s="100"/>
      <c r="C600" s="100"/>
      <c r="D600" s="100"/>
      <c r="E600" s="100"/>
      <c r="F600" s="206"/>
      <c r="G600" s="206"/>
      <c r="H600" s="207"/>
      <c r="I600" s="207"/>
      <c r="J600" s="207"/>
      <c r="K600" s="207"/>
      <c r="L600" s="207"/>
      <c r="M600" s="207"/>
      <c r="N600" s="207"/>
      <c r="O600" s="207"/>
      <c r="P600" s="207"/>
      <c r="Q600" s="207"/>
      <c r="R600" s="207"/>
      <c r="S600" s="207"/>
      <c r="T600" s="207"/>
      <c r="U600" s="207"/>
      <c r="V600" s="207"/>
      <c r="W600" s="208"/>
      <c r="X600" s="208"/>
      <c r="Y600" s="208"/>
      <c r="Z600" s="208"/>
      <c r="AA600" s="208"/>
      <c r="AB600" s="208"/>
      <c r="AC600" s="208"/>
      <c r="AD600" s="208"/>
      <c r="AE600" s="208"/>
      <c r="AF600" s="208"/>
      <c r="AG600" s="208"/>
      <c r="AH600" s="208"/>
      <c r="AI600" s="100"/>
    </row>
    <row r="601" ht="14.25" customHeight="1">
      <c r="A601" s="195"/>
      <c r="B601" s="100"/>
      <c r="C601" s="100"/>
      <c r="D601" s="100"/>
      <c r="E601" s="100"/>
      <c r="F601" s="206"/>
      <c r="G601" s="206"/>
      <c r="H601" s="207"/>
      <c r="I601" s="207"/>
      <c r="J601" s="207"/>
      <c r="K601" s="207"/>
      <c r="L601" s="207"/>
      <c r="M601" s="207"/>
      <c r="N601" s="207"/>
      <c r="O601" s="207"/>
      <c r="P601" s="207"/>
      <c r="Q601" s="207"/>
      <c r="R601" s="207"/>
      <c r="S601" s="207"/>
      <c r="T601" s="207"/>
      <c r="U601" s="207"/>
      <c r="V601" s="207"/>
      <c r="W601" s="208"/>
      <c r="X601" s="208"/>
      <c r="Y601" s="208"/>
      <c r="Z601" s="208"/>
      <c r="AA601" s="208"/>
      <c r="AB601" s="208"/>
      <c r="AC601" s="208"/>
      <c r="AD601" s="208"/>
      <c r="AE601" s="208"/>
      <c r="AF601" s="208"/>
      <c r="AG601" s="208"/>
      <c r="AH601" s="208"/>
      <c r="AI601" s="100"/>
    </row>
    <row r="602" ht="14.25" customHeight="1">
      <c r="A602" s="195"/>
      <c r="B602" s="100"/>
      <c r="C602" s="100"/>
      <c r="D602" s="100"/>
      <c r="E602" s="100"/>
      <c r="F602" s="206"/>
      <c r="G602" s="206"/>
      <c r="H602" s="207"/>
      <c r="I602" s="207"/>
      <c r="J602" s="207"/>
      <c r="K602" s="207"/>
      <c r="L602" s="207"/>
      <c r="M602" s="207"/>
      <c r="N602" s="207"/>
      <c r="O602" s="207"/>
      <c r="P602" s="207"/>
      <c r="Q602" s="207"/>
      <c r="R602" s="207"/>
      <c r="S602" s="207"/>
      <c r="T602" s="207"/>
      <c r="U602" s="207"/>
      <c r="V602" s="207"/>
      <c r="W602" s="208"/>
      <c r="X602" s="208"/>
      <c r="Y602" s="208"/>
      <c r="Z602" s="208"/>
      <c r="AA602" s="208"/>
      <c r="AB602" s="208"/>
      <c r="AC602" s="208"/>
      <c r="AD602" s="208"/>
      <c r="AE602" s="208"/>
      <c r="AF602" s="208"/>
      <c r="AG602" s="208"/>
      <c r="AH602" s="208"/>
      <c r="AI602" s="100"/>
    </row>
    <row r="603" ht="14.25" customHeight="1">
      <c r="A603" s="195"/>
      <c r="B603" s="100"/>
      <c r="C603" s="100"/>
      <c r="D603" s="100"/>
      <c r="E603" s="100"/>
      <c r="F603" s="206"/>
      <c r="G603" s="206"/>
      <c r="H603" s="207"/>
      <c r="I603" s="207"/>
      <c r="J603" s="207"/>
      <c r="K603" s="207"/>
      <c r="L603" s="207"/>
      <c r="M603" s="207"/>
      <c r="N603" s="207"/>
      <c r="O603" s="207"/>
      <c r="P603" s="207"/>
      <c r="Q603" s="207"/>
      <c r="R603" s="207"/>
      <c r="S603" s="207"/>
      <c r="T603" s="207"/>
      <c r="U603" s="207"/>
      <c r="V603" s="207"/>
      <c r="W603" s="208"/>
      <c r="X603" s="208"/>
      <c r="Y603" s="208"/>
      <c r="Z603" s="208"/>
      <c r="AA603" s="208"/>
      <c r="AB603" s="208"/>
      <c r="AC603" s="208"/>
      <c r="AD603" s="208"/>
      <c r="AE603" s="208"/>
      <c r="AF603" s="208"/>
      <c r="AG603" s="208"/>
      <c r="AH603" s="208"/>
      <c r="AI603" s="100"/>
    </row>
    <row r="604" ht="14.25" customHeight="1">
      <c r="A604" s="195"/>
      <c r="B604" s="100"/>
      <c r="C604" s="100"/>
      <c r="D604" s="100"/>
      <c r="E604" s="100"/>
      <c r="F604" s="206"/>
      <c r="G604" s="206"/>
      <c r="H604" s="207"/>
      <c r="I604" s="207"/>
      <c r="J604" s="207"/>
      <c r="K604" s="207"/>
      <c r="L604" s="207"/>
      <c r="M604" s="207"/>
      <c r="N604" s="207"/>
      <c r="O604" s="207"/>
      <c r="P604" s="207"/>
      <c r="Q604" s="207"/>
      <c r="R604" s="207"/>
      <c r="S604" s="207"/>
      <c r="T604" s="207"/>
      <c r="U604" s="207"/>
      <c r="V604" s="207"/>
      <c r="W604" s="208"/>
      <c r="X604" s="208"/>
      <c r="Y604" s="208"/>
      <c r="Z604" s="208"/>
      <c r="AA604" s="208"/>
      <c r="AB604" s="208"/>
      <c r="AC604" s="208"/>
      <c r="AD604" s="208"/>
      <c r="AE604" s="208"/>
      <c r="AF604" s="208"/>
      <c r="AG604" s="208"/>
      <c r="AH604" s="208"/>
      <c r="AI604" s="100"/>
    </row>
    <row r="605" ht="14.25" customHeight="1">
      <c r="A605" s="195"/>
      <c r="B605" s="100"/>
      <c r="C605" s="100"/>
      <c r="D605" s="100"/>
      <c r="E605" s="100"/>
      <c r="F605" s="206"/>
      <c r="G605" s="206"/>
      <c r="H605" s="207"/>
      <c r="I605" s="207"/>
      <c r="J605" s="207"/>
      <c r="K605" s="207"/>
      <c r="L605" s="207"/>
      <c r="M605" s="207"/>
      <c r="N605" s="207"/>
      <c r="O605" s="207"/>
      <c r="P605" s="207"/>
      <c r="Q605" s="207"/>
      <c r="R605" s="207"/>
      <c r="S605" s="207"/>
      <c r="T605" s="207"/>
      <c r="U605" s="207"/>
      <c r="V605" s="207"/>
      <c r="W605" s="208"/>
      <c r="X605" s="208"/>
      <c r="Y605" s="208"/>
      <c r="Z605" s="208"/>
      <c r="AA605" s="208"/>
      <c r="AB605" s="208"/>
      <c r="AC605" s="208"/>
      <c r="AD605" s="208"/>
      <c r="AE605" s="208"/>
      <c r="AF605" s="208"/>
      <c r="AG605" s="208"/>
      <c r="AH605" s="208"/>
      <c r="AI605" s="100"/>
    </row>
    <row r="606" ht="14.25" customHeight="1">
      <c r="A606" s="195"/>
      <c r="B606" s="100"/>
      <c r="C606" s="100"/>
      <c r="D606" s="100"/>
      <c r="E606" s="100"/>
      <c r="F606" s="206"/>
      <c r="G606" s="206"/>
      <c r="H606" s="207"/>
      <c r="I606" s="207"/>
      <c r="J606" s="207"/>
      <c r="K606" s="207"/>
      <c r="L606" s="207"/>
      <c r="M606" s="207"/>
      <c r="N606" s="207"/>
      <c r="O606" s="207"/>
      <c r="P606" s="207"/>
      <c r="Q606" s="207"/>
      <c r="R606" s="207"/>
      <c r="S606" s="207"/>
      <c r="T606" s="207"/>
      <c r="U606" s="207"/>
      <c r="V606" s="207"/>
      <c r="W606" s="208"/>
      <c r="X606" s="208"/>
      <c r="Y606" s="208"/>
      <c r="Z606" s="208"/>
      <c r="AA606" s="208"/>
      <c r="AB606" s="208"/>
      <c r="AC606" s="208"/>
      <c r="AD606" s="208"/>
      <c r="AE606" s="208"/>
      <c r="AF606" s="208"/>
      <c r="AG606" s="208"/>
      <c r="AH606" s="208"/>
      <c r="AI606" s="100"/>
    </row>
    <row r="607" ht="14.25" customHeight="1">
      <c r="A607" s="195"/>
      <c r="B607" s="100"/>
      <c r="C607" s="100"/>
      <c r="D607" s="100"/>
      <c r="E607" s="100"/>
      <c r="F607" s="206"/>
      <c r="G607" s="206"/>
      <c r="H607" s="207"/>
      <c r="I607" s="207"/>
      <c r="J607" s="207"/>
      <c r="K607" s="207"/>
      <c r="L607" s="207"/>
      <c r="M607" s="207"/>
      <c r="N607" s="207"/>
      <c r="O607" s="207"/>
      <c r="P607" s="207"/>
      <c r="Q607" s="207"/>
      <c r="R607" s="207"/>
      <c r="S607" s="207"/>
      <c r="T607" s="207"/>
      <c r="U607" s="207"/>
      <c r="V607" s="207"/>
      <c r="W607" s="208"/>
      <c r="X607" s="208"/>
      <c r="Y607" s="208"/>
      <c r="Z607" s="208"/>
      <c r="AA607" s="208"/>
      <c r="AB607" s="208"/>
      <c r="AC607" s="208"/>
      <c r="AD607" s="208"/>
      <c r="AE607" s="208"/>
      <c r="AF607" s="208"/>
      <c r="AG607" s="208"/>
      <c r="AH607" s="208"/>
      <c r="AI607" s="100"/>
    </row>
    <row r="608" ht="14.25" customHeight="1">
      <c r="A608" s="195"/>
      <c r="B608" s="100"/>
      <c r="C608" s="100"/>
      <c r="D608" s="100"/>
      <c r="E608" s="100"/>
      <c r="F608" s="206"/>
      <c r="G608" s="206"/>
      <c r="H608" s="207"/>
      <c r="I608" s="207"/>
      <c r="J608" s="207"/>
      <c r="K608" s="207"/>
      <c r="L608" s="207"/>
      <c r="M608" s="207"/>
      <c r="N608" s="207"/>
      <c r="O608" s="207"/>
      <c r="P608" s="207"/>
      <c r="Q608" s="207"/>
      <c r="R608" s="207"/>
      <c r="S608" s="207"/>
      <c r="T608" s="207"/>
      <c r="U608" s="207"/>
      <c r="V608" s="207"/>
      <c r="W608" s="208"/>
      <c r="X608" s="208"/>
      <c r="Y608" s="208"/>
      <c r="Z608" s="208"/>
      <c r="AA608" s="208"/>
      <c r="AB608" s="208"/>
      <c r="AC608" s="208"/>
      <c r="AD608" s="208"/>
      <c r="AE608" s="208"/>
      <c r="AF608" s="208"/>
      <c r="AG608" s="208"/>
      <c r="AH608" s="208"/>
      <c r="AI608" s="100"/>
    </row>
    <row r="609" ht="14.25" customHeight="1">
      <c r="A609" s="195"/>
      <c r="B609" s="100"/>
      <c r="C609" s="100"/>
      <c r="D609" s="100"/>
      <c r="E609" s="100"/>
      <c r="F609" s="206"/>
      <c r="G609" s="206"/>
      <c r="H609" s="207"/>
      <c r="I609" s="207"/>
      <c r="J609" s="207"/>
      <c r="K609" s="207"/>
      <c r="L609" s="207"/>
      <c r="M609" s="207"/>
      <c r="N609" s="207"/>
      <c r="O609" s="207"/>
      <c r="P609" s="207"/>
      <c r="Q609" s="207"/>
      <c r="R609" s="207"/>
      <c r="S609" s="207"/>
      <c r="T609" s="207"/>
      <c r="U609" s="207"/>
      <c r="V609" s="207"/>
      <c r="W609" s="208"/>
      <c r="X609" s="208"/>
      <c r="Y609" s="208"/>
      <c r="Z609" s="208"/>
      <c r="AA609" s="208"/>
      <c r="AB609" s="208"/>
      <c r="AC609" s="208"/>
      <c r="AD609" s="208"/>
      <c r="AE609" s="208"/>
      <c r="AF609" s="208"/>
      <c r="AG609" s="208"/>
      <c r="AH609" s="208"/>
      <c r="AI609" s="100"/>
    </row>
    <row r="610" ht="14.25" customHeight="1">
      <c r="A610" s="195"/>
      <c r="B610" s="100"/>
      <c r="C610" s="100"/>
      <c r="D610" s="100"/>
      <c r="E610" s="100"/>
      <c r="F610" s="206"/>
      <c r="G610" s="206"/>
      <c r="H610" s="207"/>
      <c r="I610" s="207"/>
      <c r="J610" s="207"/>
      <c r="K610" s="207"/>
      <c r="L610" s="207"/>
      <c r="M610" s="207"/>
      <c r="N610" s="207"/>
      <c r="O610" s="207"/>
      <c r="P610" s="207"/>
      <c r="Q610" s="207"/>
      <c r="R610" s="207"/>
      <c r="S610" s="207"/>
      <c r="T610" s="207"/>
      <c r="U610" s="207"/>
      <c r="V610" s="207"/>
      <c r="W610" s="208"/>
      <c r="X610" s="208"/>
      <c r="Y610" s="208"/>
      <c r="Z610" s="208"/>
      <c r="AA610" s="208"/>
      <c r="AB610" s="208"/>
      <c r="AC610" s="208"/>
      <c r="AD610" s="208"/>
      <c r="AE610" s="208"/>
      <c r="AF610" s="208"/>
      <c r="AG610" s="208"/>
      <c r="AH610" s="208"/>
      <c r="AI610" s="100"/>
    </row>
    <row r="611" ht="14.25" customHeight="1">
      <c r="A611" s="195"/>
      <c r="B611" s="100"/>
      <c r="C611" s="100"/>
      <c r="D611" s="100"/>
      <c r="E611" s="100"/>
      <c r="F611" s="206"/>
      <c r="G611" s="206"/>
      <c r="H611" s="207"/>
      <c r="I611" s="207"/>
      <c r="J611" s="207"/>
      <c r="K611" s="207"/>
      <c r="L611" s="207"/>
      <c r="M611" s="207"/>
      <c r="N611" s="207"/>
      <c r="O611" s="207"/>
      <c r="P611" s="207"/>
      <c r="Q611" s="207"/>
      <c r="R611" s="207"/>
      <c r="S611" s="207"/>
      <c r="T611" s="207"/>
      <c r="U611" s="207"/>
      <c r="V611" s="207"/>
      <c r="W611" s="208"/>
      <c r="X611" s="208"/>
      <c r="Y611" s="208"/>
      <c r="Z611" s="208"/>
      <c r="AA611" s="208"/>
      <c r="AB611" s="208"/>
      <c r="AC611" s="208"/>
      <c r="AD611" s="208"/>
      <c r="AE611" s="208"/>
      <c r="AF611" s="208"/>
      <c r="AG611" s="208"/>
      <c r="AH611" s="208"/>
      <c r="AI611" s="100"/>
    </row>
    <row r="612" ht="14.25" customHeight="1">
      <c r="A612" s="195"/>
      <c r="B612" s="100"/>
      <c r="C612" s="100"/>
      <c r="D612" s="100"/>
      <c r="E612" s="100"/>
      <c r="F612" s="206"/>
      <c r="G612" s="206"/>
      <c r="H612" s="207"/>
      <c r="I612" s="207"/>
      <c r="J612" s="207"/>
      <c r="K612" s="207"/>
      <c r="L612" s="207"/>
      <c r="M612" s="207"/>
      <c r="N612" s="207"/>
      <c r="O612" s="207"/>
      <c r="P612" s="207"/>
      <c r="Q612" s="207"/>
      <c r="R612" s="207"/>
      <c r="S612" s="207"/>
      <c r="T612" s="207"/>
      <c r="U612" s="207"/>
      <c r="V612" s="207"/>
      <c r="W612" s="208"/>
      <c r="X612" s="208"/>
      <c r="Y612" s="208"/>
      <c r="Z612" s="208"/>
      <c r="AA612" s="208"/>
      <c r="AB612" s="208"/>
      <c r="AC612" s="208"/>
      <c r="AD612" s="208"/>
      <c r="AE612" s="208"/>
      <c r="AF612" s="208"/>
      <c r="AG612" s="208"/>
      <c r="AH612" s="208"/>
      <c r="AI612" s="100"/>
    </row>
    <row r="613" ht="14.25" customHeight="1">
      <c r="A613" s="195"/>
      <c r="B613" s="100"/>
      <c r="C613" s="100"/>
      <c r="D613" s="100"/>
      <c r="E613" s="100"/>
      <c r="F613" s="206"/>
      <c r="G613" s="206"/>
      <c r="H613" s="207"/>
      <c r="I613" s="207"/>
      <c r="J613" s="207"/>
      <c r="K613" s="207"/>
      <c r="L613" s="207"/>
      <c r="M613" s="207"/>
      <c r="N613" s="207"/>
      <c r="O613" s="207"/>
      <c r="P613" s="207"/>
      <c r="Q613" s="207"/>
      <c r="R613" s="207"/>
      <c r="S613" s="207"/>
      <c r="T613" s="207"/>
      <c r="U613" s="207"/>
      <c r="V613" s="207"/>
      <c r="W613" s="208"/>
      <c r="X613" s="208"/>
      <c r="Y613" s="208"/>
      <c r="Z613" s="208"/>
      <c r="AA613" s="208"/>
      <c r="AB613" s="208"/>
      <c r="AC613" s="208"/>
      <c r="AD613" s="208"/>
      <c r="AE613" s="208"/>
      <c r="AF613" s="208"/>
      <c r="AG613" s="208"/>
      <c r="AH613" s="208"/>
      <c r="AI613" s="100"/>
    </row>
    <row r="614" ht="14.25" customHeight="1">
      <c r="A614" s="195"/>
      <c r="B614" s="100"/>
      <c r="C614" s="100"/>
      <c r="D614" s="100"/>
      <c r="E614" s="100"/>
      <c r="F614" s="206"/>
      <c r="G614" s="206"/>
      <c r="H614" s="207"/>
      <c r="I614" s="207"/>
      <c r="J614" s="207"/>
      <c r="K614" s="207"/>
      <c r="L614" s="207"/>
      <c r="M614" s="207"/>
      <c r="N614" s="207"/>
      <c r="O614" s="207"/>
      <c r="P614" s="207"/>
      <c r="Q614" s="207"/>
      <c r="R614" s="207"/>
      <c r="S614" s="207"/>
      <c r="T614" s="207"/>
      <c r="U614" s="207"/>
      <c r="V614" s="207"/>
      <c r="W614" s="208"/>
      <c r="X614" s="208"/>
      <c r="Y614" s="208"/>
      <c r="Z614" s="208"/>
      <c r="AA614" s="208"/>
      <c r="AB614" s="208"/>
      <c r="AC614" s="208"/>
      <c r="AD614" s="208"/>
      <c r="AE614" s="208"/>
      <c r="AF614" s="208"/>
      <c r="AG614" s="208"/>
      <c r="AH614" s="208"/>
      <c r="AI614" s="100"/>
    </row>
    <row r="615" ht="14.25" customHeight="1">
      <c r="A615" s="195"/>
      <c r="B615" s="100"/>
      <c r="C615" s="100"/>
      <c r="D615" s="100"/>
      <c r="E615" s="100"/>
      <c r="F615" s="206"/>
      <c r="G615" s="206"/>
      <c r="H615" s="207"/>
      <c r="I615" s="207"/>
      <c r="J615" s="207"/>
      <c r="K615" s="207"/>
      <c r="L615" s="207"/>
      <c r="M615" s="207"/>
      <c r="N615" s="207"/>
      <c r="O615" s="207"/>
      <c r="P615" s="207"/>
      <c r="Q615" s="207"/>
      <c r="R615" s="207"/>
      <c r="S615" s="207"/>
      <c r="T615" s="207"/>
      <c r="U615" s="207"/>
      <c r="V615" s="207"/>
      <c r="W615" s="208"/>
      <c r="X615" s="208"/>
      <c r="Y615" s="208"/>
      <c r="Z615" s="208"/>
      <c r="AA615" s="208"/>
      <c r="AB615" s="208"/>
      <c r="AC615" s="208"/>
      <c r="AD615" s="208"/>
      <c r="AE615" s="208"/>
      <c r="AF615" s="208"/>
      <c r="AG615" s="208"/>
      <c r="AH615" s="208"/>
      <c r="AI615" s="100"/>
    </row>
    <row r="616" ht="14.25" customHeight="1">
      <c r="A616" s="195"/>
      <c r="B616" s="100"/>
      <c r="C616" s="100"/>
      <c r="D616" s="100"/>
      <c r="E616" s="100"/>
      <c r="F616" s="206"/>
      <c r="G616" s="206"/>
      <c r="H616" s="207"/>
      <c r="I616" s="207"/>
      <c r="J616" s="207"/>
      <c r="K616" s="207"/>
      <c r="L616" s="207"/>
      <c r="M616" s="207"/>
      <c r="N616" s="207"/>
      <c r="O616" s="207"/>
      <c r="P616" s="207"/>
      <c r="Q616" s="207"/>
      <c r="R616" s="207"/>
      <c r="S616" s="207"/>
      <c r="T616" s="207"/>
      <c r="U616" s="207"/>
      <c r="V616" s="207"/>
      <c r="W616" s="208"/>
      <c r="X616" s="208"/>
      <c r="Y616" s="208"/>
      <c r="Z616" s="208"/>
      <c r="AA616" s="208"/>
      <c r="AB616" s="208"/>
      <c r="AC616" s="208"/>
      <c r="AD616" s="208"/>
      <c r="AE616" s="208"/>
      <c r="AF616" s="208"/>
      <c r="AG616" s="208"/>
      <c r="AH616" s="208"/>
      <c r="AI616" s="100"/>
    </row>
    <row r="617" ht="14.25" customHeight="1">
      <c r="A617" s="195"/>
      <c r="B617" s="100"/>
      <c r="C617" s="100"/>
      <c r="D617" s="100"/>
      <c r="E617" s="100"/>
      <c r="F617" s="206"/>
      <c r="G617" s="206"/>
      <c r="H617" s="207"/>
      <c r="I617" s="207"/>
      <c r="J617" s="207"/>
      <c r="K617" s="207"/>
      <c r="L617" s="207"/>
      <c r="M617" s="207"/>
      <c r="N617" s="207"/>
      <c r="O617" s="207"/>
      <c r="P617" s="207"/>
      <c r="Q617" s="207"/>
      <c r="R617" s="207"/>
      <c r="S617" s="207"/>
      <c r="T617" s="207"/>
      <c r="U617" s="207"/>
      <c r="V617" s="207"/>
      <c r="W617" s="208"/>
      <c r="X617" s="208"/>
      <c r="Y617" s="208"/>
      <c r="Z617" s="208"/>
      <c r="AA617" s="208"/>
      <c r="AB617" s="208"/>
      <c r="AC617" s="208"/>
      <c r="AD617" s="208"/>
      <c r="AE617" s="208"/>
      <c r="AF617" s="208"/>
      <c r="AG617" s="208"/>
      <c r="AH617" s="208"/>
      <c r="AI617" s="100"/>
    </row>
    <row r="618" ht="14.25" customHeight="1">
      <c r="A618" s="195"/>
      <c r="B618" s="100"/>
      <c r="C618" s="100"/>
      <c r="D618" s="100"/>
      <c r="E618" s="100"/>
      <c r="F618" s="206"/>
      <c r="G618" s="206"/>
      <c r="H618" s="207"/>
      <c r="I618" s="207"/>
      <c r="J618" s="207"/>
      <c r="K618" s="207"/>
      <c r="L618" s="207"/>
      <c r="M618" s="207"/>
      <c r="N618" s="207"/>
      <c r="O618" s="207"/>
      <c r="P618" s="207"/>
      <c r="Q618" s="207"/>
      <c r="R618" s="207"/>
      <c r="S618" s="207"/>
      <c r="T618" s="207"/>
      <c r="U618" s="207"/>
      <c r="V618" s="207"/>
      <c r="W618" s="208"/>
      <c r="X618" s="208"/>
      <c r="Y618" s="208"/>
      <c r="Z618" s="208"/>
      <c r="AA618" s="208"/>
      <c r="AB618" s="208"/>
      <c r="AC618" s="208"/>
      <c r="AD618" s="208"/>
      <c r="AE618" s="208"/>
      <c r="AF618" s="208"/>
      <c r="AG618" s="208"/>
      <c r="AH618" s="208"/>
      <c r="AI618" s="100"/>
    </row>
    <row r="619" ht="14.25" customHeight="1">
      <c r="A619" s="195"/>
      <c r="B619" s="100"/>
      <c r="C619" s="100"/>
      <c r="D619" s="100"/>
      <c r="E619" s="100"/>
      <c r="F619" s="206"/>
      <c r="G619" s="206"/>
      <c r="H619" s="207"/>
      <c r="I619" s="207"/>
      <c r="J619" s="207"/>
      <c r="K619" s="207"/>
      <c r="L619" s="207"/>
      <c r="M619" s="207"/>
      <c r="N619" s="207"/>
      <c r="O619" s="207"/>
      <c r="P619" s="207"/>
      <c r="Q619" s="207"/>
      <c r="R619" s="207"/>
      <c r="S619" s="207"/>
      <c r="T619" s="207"/>
      <c r="U619" s="207"/>
      <c r="V619" s="207"/>
      <c r="W619" s="208"/>
      <c r="X619" s="208"/>
      <c r="Y619" s="208"/>
      <c r="Z619" s="208"/>
      <c r="AA619" s="208"/>
      <c r="AB619" s="208"/>
      <c r="AC619" s="208"/>
      <c r="AD619" s="208"/>
      <c r="AE619" s="208"/>
      <c r="AF619" s="208"/>
      <c r="AG619" s="208"/>
      <c r="AH619" s="208"/>
      <c r="AI619" s="100"/>
    </row>
    <row r="620" ht="14.25" customHeight="1">
      <c r="A620" s="195"/>
      <c r="B620" s="100"/>
      <c r="C620" s="100"/>
      <c r="D620" s="100"/>
      <c r="E620" s="100"/>
      <c r="F620" s="206"/>
      <c r="G620" s="206"/>
      <c r="H620" s="207"/>
      <c r="I620" s="207"/>
      <c r="J620" s="207"/>
      <c r="K620" s="207"/>
      <c r="L620" s="207"/>
      <c r="M620" s="207"/>
      <c r="N620" s="207"/>
      <c r="O620" s="207"/>
      <c r="P620" s="207"/>
      <c r="Q620" s="207"/>
      <c r="R620" s="207"/>
      <c r="S620" s="207"/>
      <c r="T620" s="207"/>
      <c r="U620" s="207"/>
      <c r="V620" s="207"/>
      <c r="W620" s="208"/>
      <c r="X620" s="208"/>
      <c r="Y620" s="208"/>
      <c r="Z620" s="208"/>
      <c r="AA620" s="208"/>
      <c r="AB620" s="208"/>
      <c r="AC620" s="208"/>
      <c r="AD620" s="208"/>
      <c r="AE620" s="208"/>
      <c r="AF620" s="208"/>
      <c r="AG620" s="208"/>
      <c r="AH620" s="208"/>
      <c r="AI620" s="100"/>
    </row>
    <row r="621" ht="14.25" customHeight="1">
      <c r="A621" s="195"/>
      <c r="B621" s="100"/>
      <c r="C621" s="100"/>
      <c r="D621" s="100"/>
      <c r="E621" s="100"/>
      <c r="F621" s="206"/>
      <c r="G621" s="206"/>
      <c r="H621" s="207"/>
      <c r="I621" s="207"/>
      <c r="J621" s="207"/>
      <c r="K621" s="207"/>
      <c r="L621" s="207"/>
      <c r="M621" s="207"/>
      <c r="N621" s="207"/>
      <c r="O621" s="207"/>
      <c r="P621" s="207"/>
      <c r="Q621" s="207"/>
      <c r="R621" s="207"/>
      <c r="S621" s="207"/>
      <c r="T621" s="207"/>
      <c r="U621" s="207"/>
      <c r="V621" s="207"/>
      <c r="W621" s="208"/>
      <c r="X621" s="208"/>
      <c r="Y621" s="208"/>
      <c r="Z621" s="208"/>
      <c r="AA621" s="208"/>
      <c r="AB621" s="208"/>
      <c r="AC621" s="208"/>
      <c r="AD621" s="208"/>
      <c r="AE621" s="208"/>
      <c r="AF621" s="208"/>
      <c r="AG621" s="208"/>
      <c r="AH621" s="208"/>
      <c r="AI621" s="100"/>
    </row>
    <row r="622" ht="14.25" customHeight="1">
      <c r="A622" s="195"/>
      <c r="B622" s="100"/>
      <c r="C622" s="100"/>
      <c r="D622" s="100"/>
      <c r="E622" s="100"/>
      <c r="F622" s="206"/>
      <c r="G622" s="206"/>
      <c r="H622" s="207"/>
      <c r="I622" s="207"/>
      <c r="J622" s="207"/>
      <c r="K622" s="207"/>
      <c r="L622" s="207"/>
      <c r="M622" s="207"/>
      <c r="N622" s="207"/>
      <c r="O622" s="207"/>
      <c r="P622" s="207"/>
      <c r="Q622" s="207"/>
      <c r="R622" s="207"/>
      <c r="S622" s="207"/>
      <c r="T622" s="207"/>
      <c r="U622" s="207"/>
      <c r="V622" s="207"/>
      <c r="W622" s="208"/>
      <c r="X622" s="208"/>
      <c r="Y622" s="208"/>
      <c r="Z622" s="208"/>
      <c r="AA622" s="208"/>
      <c r="AB622" s="208"/>
      <c r="AC622" s="208"/>
      <c r="AD622" s="208"/>
      <c r="AE622" s="208"/>
      <c r="AF622" s="208"/>
      <c r="AG622" s="208"/>
      <c r="AH622" s="208"/>
      <c r="AI622" s="100"/>
    </row>
    <row r="623" ht="14.25" customHeight="1">
      <c r="A623" s="195"/>
      <c r="B623" s="100"/>
      <c r="C623" s="100"/>
      <c r="D623" s="100"/>
      <c r="E623" s="100"/>
      <c r="F623" s="206"/>
      <c r="G623" s="206"/>
      <c r="H623" s="207"/>
      <c r="I623" s="207"/>
      <c r="J623" s="207"/>
      <c r="K623" s="207"/>
      <c r="L623" s="207"/>
      <c r="M623" s="207"/>
      <c r="N623" s="207"/>
      <c r="O623" s="207"/>
      <c r="P623" s="207"/>
      <c r="Q623" s="207"/>
      <c r="R623" s="207"/>
      <c r="S623" s="207"/>
      <c r="T623" s="207"/>
      <c r="U623" s="207"/>
      <c r="V623" s="207"/>
      <c r="W623" s="208"/>
      <c r="X623" s="208"/>
      <c r="Y623" s="208"/>
      <c r="Z623" s="208"/>
      <c r="AA623" s="208"/>
      <c r="AB623" s="208"/>
      <c r="AC623" s="208"/>
      <c r="AD623" s="208"/>
      <c r="AE623" s="208"/>
      <c r="AF623" s="208"/>
      <c r="AG623" s="208"/>
      <c r="AH623" s="208"/>
      <c r="AI623" s="100"/>
    </row>
    <row r="624" ht="14.25" customHeight="1">
      <c r="A624" s="195"/>
      <c r="B624" s="100"/>
      <c r="C624" s="100"/>
      <c r="D624" s="100"/>
      <c r="E624" s="100"/>
      <c r="F624" s="206"/>
      <c r="G624" s="206"/>
      <c r="H624" s="207"/>
      <c r="I624" s="207"/>
      <c r="J624" s="207"/>
      <c r="K624" s="207"/>
      <c r="L624" s="207"/>
      <c r="M624" s="207"/>
      <c r="N624" s="207"/>
      <c r="O624" s="207"/>
      <c r="P624" s="207"/>
      <c r="Q624" s="207"/>
      <c r="R624" s="207"/>
      <c r="S624" s="207"/>
      <c r="T624" s="207"/>
      <c r="U624" s="207"/>
      <c r="V624" s="207"/>
      <c r="W624" s="208"/>
      <c r="X624" s="208"/>
      <c r="Y624" s="208"/>
      <c r="Z624" s="208"/>
      <c r="AA624" s="208"/>
      <c r="AB624" s="208"/>
      <c r="AC624" s="208"/>
      <c r="AD624" s="208"/>
      <c r="AE624" s="208"/>
      <c r="AF624" s="208"/>
      <c r="AG624" s="208"/>
      <c r="AH624" s="208"/>
      <c r="AI624" s="100"/>
    </row>
    <row r="625" ht="14.25" customHeight="1">
      <c r="A625" s="195"/>
      <c r="B625" s="100"/>
      <c r="C625" s="100"/>
      <c r="D625" s="100"/>
      <c r="E625" s="100"/>
      <c r="F625" s="206"/>
      <c r="G625" s="206"/>
      <c r="H625" s="207"/>
      <c r="I625" s="207"/>
      <c r="J625" s="207"/>
      <c r="K625" s="207"/>
      <c r="L625" s="207"/>
      <c r="M625" s="207"/>
      <c r="N625" s="207"/>
      <c r="O625" s="207"/>
      <c r="P625" s="207"/>
      <c r="Q625" s="207"/>
      <c r="R625" s="207"/>
      <c r="S625" s="207"/>
      <c r="T625" s="207"/>
      <c r="U625" s="207"/>
      <c r="V625" s="207"/>
      <c r="W625" s="208"/>
      <c r="X625" s="208"/>
      <c r="Y625" s="208"/>
      <c r="Z625" s="208"/>
      <c r="AA625" s="208"/>
      <c r="AB625" s="208"/>
      <c r="AC625" s="208"/>
      <c r="AD625" s="208"/>
      <c r="AE625" s="208"/>
      <c r="AF625" s="208"/>
      <c r="AG625" s="208"/>
      <c r="AH625" s="208"/>
      <c r="AI625" s="100"/>
    </row>
    <row r="626" ht="14.25" customHeight="1">
      <c r="A626" s="195"/>
      <c r="B626" s="100"/>
      <c r="C626" s="100"/>
      <c r="D626" s="100"/>
      <c r="E626" s="100"/>
      <c r="F626" s="206"/>
      <c r="G626" s="206"/>
      <c r="H626" s="207"/>
      <c r="I626" s="207"/>
      <c r="J626" s="207"/>
      <c r="K626" s="207"/>
      <c r="L626" s="207"/>
      <c r="M626" s="207"/>
      <c r="N626" s="207"/>
      <c r="O626" s="207"/>
      <c r="P626" s="207"/>
      <c r="Q626" s="207"/>
      <c r="R626" s="207"/>
      <c r="S626" s="207"/>
      <c r="T626" s="207"/>
      <c r="U626" s="207"/>
      <c r="V626" s="207"/>
      <c r="W626" s="208"/>
      <c r="X626" s="208"/>
      <c r="Y626" s="208"/>
      <c r="Z626" s="208"/>
      <c r="AA626" s="208"/>
      <c r="AB626" s="208"/>
      <c r="AC626" s="208"/>
      <c r="AD626" s="208"/>
      <c r="AE626" s="208"/>
      <c r="AF626" s="208"/>
      <c r="AG626" s="208"/>
      <c r="AH626" s="208"/>
      <c r="AI626" s="100"/>
    </row>
    <row r="627" ht="14.25" customHeight="1">
      <c r="A627" s="195"/>
      <c r="B627" s="100"/>
      <c r="C627" s="100"/>
      <c r="D627" s="100"/>
      <c r="E627" s="100"/>
      <c r="F627" s="206"/>
      <c r="G627" s="206"/>
      <c r="H627" s="207"/>
      <c r="I627" s="207"/>
      <c r="J627" s="207"/>
      <c r="K627" s="207"/>
      <c r="L627" s="207"/>
      <c r="M627" s="207"/>
      <c r="N627" s="207"/>
      <c r="O627" s="207"/>
      <c r="P627" s="207"/>
      <c r="Q627" s="207"/>
      <c r="R627" s="207"/>
      <c r="S627" s="207"/>
      <c r="T627" s="207"/>
      <c r="U627" s="207"/>
      <c r="V627" s="207"/>
      <c r="W627" s="208"/>
      <c r="X627" s="208"/>
      <c r="Y627" s="208"/>
      <c r="Z627" s="208"/>
      <c r="AA627" s="208"/>
      <c r="AB627" s="208"/>
      <c r="AC627" s="208"/>
      <c r="AD627" s="208"/>
      <c r="AE627" s="208"/>
      <c r="AF627" s="208"/>
      <c r="AG627" s="208"/>
      <c r="AH627" s="208"/>
      <c r="AI627" s="100"/>
    </row>
    <row r="628" ht="14.25" customHeight="1">
      <c r="A628" s="195"/>
      <c r="B628" s="100"/>
      <c r="C628" s="100"/>
      <c r="D628" s="100"/>
      <c r="E628" s="100"/>
      <c r="F628" s="206"/>
      <c r="G628" s="206"/>
      <c r="H628" s="207"/>
      <c r="I628" s="207"/>
      <c r="J628" s="207"/>
      <c r="K628" s="207"/>
      <c r="L628" s="207"/>
      <c r="M628" s="207"/>
      <c r="N628" s="207"/>
      <c r="O628" s="207"/>
      <c r="P628" s="207"/>
      <c r="Q628" s="207"/>
      <c r="R628" s="207"/>
      <c r="S628" s="207"/>
      <c r="T628" s="207"/>
      <c r="U628" s="207"/>
      <c r="V628" s="207"/>
      <c r="W628" s="208"/>
      <c r="X628" s="208"/>
      <c r="Y628" s="208"/>
      <c r="Z628" s="208"/>
      <c r="AA628" s="208"/>
      <c r="AB628" s="208"/>
      <c r="AC628" s="208"/>
      <c r="AD628" s="208"/>
      <c r="AE628" s="208"/>
      <c r="AF628" s="208"/>
      <c r="AG628" s="208"/>
      <c r="AH628" s="208"/>
      <c r="AI628" s="100"/>
    </row>
    <row r="629" ht="14.25" customHeight="1">
      <c r="A629" s="195"/>
      <c r="B629" s="100"/>
      <c r="C629" s="100"/>
      <c r="D629" s="100"/>
      <c r="E629" s="100"/>
      <c r="F629" s="206"/>
      <c r="G629" s="206"/>
      <c r="H629" s="207"/>
      <c r="I629" s="207"/>
      <c r="J629" s="207"/>
      <c r="K629" s="207"/>
      <c r="L629" s="207"/>
      <c r="M629" s="207"/>
      <c r="N629" s="207"/>
      <c r="O629" s="207"/>
      <c r="P629" s="207"/>
      <c r="Q629" s="207"/>
      <c r="R629" s="207"/>
      <c r="S629" s="207"/>
      <c r="T629" s="207"/>
      <c r="U629" s="207"/>
      <c r="V629" s="207"/>
      <c r="W629" s="208"/>
      <c r="X629" s="208"/>
      <c r="Y629" s="208"/>
      <c r="Z629" s="208"/>
      <c r="AA629" s="208"/>
      <c r="AB629" s="208"/>
      <c r="AC629" s="208"/>
      <c r="AD629" s="208"/>
      <c r="AE629" s="208"/>
      <c r="AF629" s="208"/>
      <c r="AG629" s="208"/>
      <c r="AH629" s="208"/>
      <c r="AI629" s="100"/>
    </row>
    <row r="630" ht="14.25" customHeight="1">
      <c r="A630" s="195"/>
      <c r="B630" s="100"/>
      <c r="C630" s="100"/>
      <c r="D630" s="100"/>
      <c r="E630" s="100"/>
      <c r="F630" s="206"/>
      <c r="G630" s="206"/>
      <c r="H630" s="207"/>
      <c r="I630" s="207"/>
      <c r="J630" s="207"/>
      <c r="K630" s="207"/>
      <c r="L630" s="207"/>
      <c r="M630" s="207"/>
      <c r="N630" s="207"/>
      <c r="O630" s="207"/>
      <c r="P630" s="207"/>
      <c r="Q630" s="207"/>
      <c r="R630" s="207"/>
      <c r="S630" s="207"/>
      <c r="T630" s="207"/>
      <c r="U630" s="207"/>
      <c r="V630" s="207"/>
      <c r="W630" s="208"/>
      <c r="X630" s="208"/>
      <c r="Y630" s="208"/>
      <c r="Z630" s="208"/>
      <c r="AA630" s="208"/>
      <c r="AB630" s="208"/>
      <c r="AC630" s="208"/>
      <c r="AD630" s="208"/>
      <c r="AE630" s="208"/>
      <c r="AF630" s="208"/>
      <c r="AG630" s="208"/>
      <c r="AH630" s="208"/>
      <c r="AI630" s="100"/>
    </row>
    <row r="631" ht="14.25" customHeight="1">
      <c r="A631" s="195"/>
      <c r="B631" s="100"/>
      <c r="C631" s="100"/>
      <c r="D631" s="100"/>
      <c r="E631" s="100"/>
      <c r="F631" s="206"/>
      <c r="G631" s="206"/>
      <c r="H631" s="207"/>
      <c r="I631" s="207"/>
      <c r="J631" s="207"/>
      <c r="K631" s="207"/>
      <c r="L631" s="207"/>
      <c r="M631" s="207"/>
      <c r="N631" s="207"/>
      <c r="O631" s="207"/>
      <c r="P631" s="207"/>
      <c r="Q631" s="207"/>
      <c r="R631" s="207"/>
      <c r="S631" s="207"/>
      <c r="T631" s="207"/>
      <c r="U631" s="207"/>
      <c r="V631" s="207"/>
      <c r="W631" s="208"/>
      <c r="X631" s="208"/>
      <c r="Y631" s="208"/>
      <c r="Z631" s="208"/>
      <c r="AA631" s="208"/>
      <c r="AB631" s="208"/>
      <c r="AC631" s="208"/>
      <c r="AD631" s="208"/>
      <c r="AE631" s="208"/>
      <c r="AF631" s="208"/>
      <c r="AG631" s="208"/>
      <c r="AH631" s="208"/>
      <c r="AI631" s="100"/>
    </row>
    <row r="632" ht="14.25" customHeight="1">
      <c r="A632" s="195"/>
      <c r="B632" s="100"/>
      <c r="C632" s="100"/>
      <c r="D632" s="100"/>
      <c r="E632" s="100"/>
      <c r="F632" s="206"/>
      <c r="G632" s="206"/>
      <c r="H632" s="207"/>
      <c r="I632" s="207"/>
      <c r="J632" s="207"/>
      <c r="K632" s="207"/>
      <c r="L632" s="207"/>
      <c r="M632" s="207"/>
      <c r="N632" s="207"/>
      <c r="O632" s="207"/>
      <c r="P632" s="207"/>
      <c r="Q632" s="207"/>
      <c r="R632" s="207"/>
      <c r="S632" s="207"/>
      <c r="T632" s="207"/>
      <c r="U632" s="207"/>
      <c r="V632" s="207"/>
      <c r="W632" s="208"/>
      <c r="X632" s="208"/>
      <c r="Y632" s="208"/>
      <c r="Z632" s="208"/>
      <c r="AA632" s="208"/>
      <c r="AB632" s="208"/>
      <c r="AC632" s="208"/>
      <c r="AD632" s="208"/>
      <c r="AE632" s="208"/>
      <c r="AF632" s="208"/>
      <c r="AG632" s="208"/>
      <c r="AH632" s="208"/>
      <c r="AI632" s="100"/>
    </row>
    <row r="633" ht="14.25" customHeight="1">
      <c r="A633" s="195"/>
      <c r="B633" s="100"/>
      <c r="C633" s="100"/>
      <c r="D633" s="100"/>
      <c r="E633" s="100"/>
      <c r="F633" s="206"/>
      <c r="G633" s="206"/>
      <c r="H633" s="207"/>
      <c r="I633" s="207"/>
      <c r="J633" s="207"/>
      <c r="K633" s="207"/>
      <c r="L633" s="207"/>
      <c r="M633" s="207"/>
      <c r="N633" s="207"/>
      <c r="O633" s="207"/>
      <c r="P633" s="207"/>
      <c r="Q633" s="207"/>
      <c r="R633" s="207"/>
      <c r="S633" s="207"/>
      <c r="T633" s="207"/>
      <c r="U633" s="207"/>
      <c r="V633" s="207"/>
      <c r="W633" s="208"/>
      <c r="X633" s="208"/>
      <c r="Y633" s="208"/>
      <c r="Z633" s="208"/>
      <c r="AA633" s="208"/>
      <c r="AB633" s="208"/>
      <c r="AC633" s="208"/>
      <c r="AD633" s="208"/>
      <c r="AE633" s="208"/>
      <c r="AF633" s="208"/>
      <c r="AG633" s="208"/>
      <c r="AH633" s="208"/>
      <c r="AI633" s="100"/>
    </row>
    <row r="634" ht="14.25" customHeight="1">
      <c r="A634" s="195"/>
      <c r="B634" s="100"/>
      <c r="C634" s="100"/>
      <c r="D634" s="100"/>
      <c r="E634" s="100"/>
      <c r="F634" s="206"/>
      <c r="G634" s="206"/>
      <c r="H634" s="207"/>
      <c r="I634" s="207"/>
      <c r="J634" s="207"/>
      <c r="K634" s="207"/>
      <c r="L634" s="207"/>
      <c r="M634" s="207"/>
      <c r="N634" s="207"/>
      <c r="O634" s="207"/>
      <c r="P634" s="207"/>
      <c r="Q634" s="207"/>
      <c r="R634" s="207"/>
      <c r="S634" s="207"/>
      <c r="T634" s="207"/>
      <c r="U634" s="207"/>
      <c r="V634" s="207"/>
      <c r="W634" s="208"/>
      <c r="X634" s="208"/>
      <c r="Y634" s="208"/>
      <c r="Z634" s="208"/>
      <c r="AA634" s="208"/>
      <c r="AB634" s="208"/>
      <c r="AC634" s="208"/>
      <c r="AD634" s="208"/>
      <c r="AE634" s="208"/>
      <c r="AF634" s="208"/>
      <c r="AG634" s="208"/>
      <c r="AH634" s="208"/>
      <c r="AI634" s="100"/>
    </row>
    <row r="635" ht="14.25" customHeight="1">
      <c r="A635" s="195"/>
      <c r="B635" s="100"/>
      <c r="C635" s="100"/>
      <c r="D635" s="100"/>
      <c r="E635" s="100"/>
      <c r="F635" s="206"/>
      <c r="G635" s="206"/>
      <c r="H635" s="207"/>
      <c r="I635" s="207"/>
      <c r="J635" s="207"/>
      <c r="K635" s="207"/>
      <c r="L635" s="207"/>
      <c r="M635" s="207"/>
      <c r="N635" s="207"/>
      <c r="O635" s="207"/>
      <c r="P635" s="207"/>
      <c r="Q635" s="207"/>
      <c r="R635" s="207"/>
      <c r="S635" s="207"/>
      <c r="T635" s="207"/>
      <c r="U635" s="207"/>
      <c r="V635" s="207"/>
      <c r="W635" s="208"/>
      <c r="X635" s="208"/>
      <c r="Y635" s="208"/>
      <c r="Z635" s="208"/>
      <c r="AA635" s="208"/>
      <c r="AB635" s="208"/>
      <c r="AC635" s="208"/>
      <c r="AD635" s="208"/>
      <c r="AE635" s="208"/>
      <c r="AF635" s="208"/>
      <c r="AG635" s="208"/>
      <c r="AH635" s="208"/>
      <c r="AI635" s="100"/>
    </row>
    <row r="636" ht="14.25" customHeight="1">
      <c r="A636" s="195"/>
      <c r="B636" s="100"/>
      <c r="C636" s="100"/>
      <c r="D636" s="100"/>
      <c r="E636" s="100"/>
      <c r="F636" s="206"/>
      <c r="G636" s="206"/>
      <c r="H636" s="207"/>
      <c r="I636" s="207"/>
      <c r="J636" s="207"/>
      <c r="K636" s="207"/>
      <c r="L636" s="207"/>
      <c r="M636" s="207"/>
      <c r="N636" s="207"/>
      <c r="O636" s="207"/>
      <c r="P636" s="207"/>
      <c r="Q636" s="207"/>
      <c r="R636" s="207"/>
      <c r="S636" s="207"/>
      <c r="T636" s="207"/>
      <c r="U636" s="207"/>
      <c r="V636" s="207"/>
      <c r="W636" s="208"/>
      <c r="X636" s="208"/>
      <c r="Y636" s="208"/>
      <c r="Z636" s="208"/>
      <c r="AA636" s="208"/>
      <c r="AB636" s="208"/>
      <c r="AC636" s="208"/>
      <c r="AD636" s="208"/>
      <c r="AE636" s="208"/>
      <c r="AF636" s="208"/>
      <c r="AG636" s="208"/>
      <c r="AH636" s="208"/>
      <c r="AI636" s="100"/>
    </row>
    <row r="637" ht="14.25" customHeight="1">
      <c r="A637" s="195"/>
      <c r="B637" s="100"/>
      <c r="C637" s="100"/>
      <c r="D637" s="100"/>
      <c r="E637" s="100"/>
      <c r="F637" s="206"/>
      <c r="G637" s="206"/>
      <c r="H637" s="207"/>
      <c r="I637" s="207"/>
      <c r="J637" s="207"/>
      <c r="K637" s="207"/>
      <c r="L637" s="207"/>
      <c r="M637" s="207"/>
      <c r="N637" s="207"/>
      <c r="O637" s="207"/>
      <c r="P637" s="207"/>
      <c r="Q637" s="207"/>
      <c r="R637" s="207"/>
      <c r="S637" s="207"/>
      <c r="T637" s="207"/>
      <c r="U637" s="207"/>
      <c r="V637" s="207"/>
      <c r="W637" s="208"/>
      <c r="X637" s="208"/>
      <c r="Y637" s="208"/>
      <c r="Z637" s="208"/>
      <c r="AA637" s="208"/>
      <c r="AB637" s="208"/>
      <c r="AC637" s="208"/>
      <c r="AD637" s="208"/>
      <c r="AE637" s="208"/>
      <c r="AF637" s="208"/>
      <c r="AG637" s="208"/>
      <c r="AH637" s="208"/>
      <c r="AI637" s="100"/>
    </row>
    <row r="638" ht="14.25" customHeight="1">
      <c r="A638" s="195"/>
      <c r="B638" s="100"/>
      <c r="C638" s="100"/>
      <c r="D638" s="100"/>
      <c r="E638" s="100"/>
      <c r="F638" s="206"/>
      <c r="G638" s="206"/>
      <c r="H638" s="207"/>
      <c r="I638" s="207"/>
      <c r="J638" s="207"/>
      <c r="K638" s="207"/>
      <c r="L638" s="207"/>
      <c r="M638" s="207"/>
      <c r="N638" s="207"/>
      <c r="O638" s="207"/>
      <c r="P638" s="207"/>
      <c r="Q638" s="207"/>
      <c r="R638" s="207"/>
      <c r="S638" s="207"/>
      <c r="T638" s="207"/>
      <c r="U638" s="207"/>
      <c r="V638" s="207"/>
      <c r="W638" s="208"/>
      <c r="X638" s="208"/>
      <c r="Y638" s="208"/>
      <c r="Z638" s="208"/>
      <c r="AA638" s="208"/>
      <c r="AB638" s="208"/>
      <c r="AC638" s="208"/>
      <c r="AD638" s="208"/>
      <c r="AE638" s="208"/>
      <c r="AF638" s="208"/>
      <c r="AG638" s="208"/>
      <c r="AH638" s="208"/>
      <c r="AI638" s="100"/>
    </row>
    <row r="639" ht="14.25" customHeight="1">
      <c r="A639" s="195"/>
      <c r="B639" s="100"/>
      <c r="C639" s="100"/>
      <c r="D639" s="100"/>
      <c r="E639" s="100"/>
      <c r="F639" s="206"/>
      <c r="G639" s="206"/>
      <c r="H639" s="207"/>
      <c r="I639" s="207"/>
      <c r="J639" s="207"/>
      <c r="K639" s="207"/>
      <c r="L639" s="207"/>
      <c r="M639" s="207"/>
      <c r="N639" s="207"/>
      <c r="O639" s="207"/>
      <c r="P639" s="207"/>
      <c r="Q639" s="207"/>
      <c r="R639" s="207"/>
      <c r="S639" s="207"/>
      <c r="T639" s="207"/>
      <c r="U639" s="207"/>
      <c r="V639" s="207"/>
      <c r="W639" s="208"/>
      <c r="X639" s="208"/>
      <c r="Y639" s="208"/>
      <c r="Z639" s="208"/>
      <c r="AA639" s="208"/>
      <c r="AB639" s="208"/>
      <c r="AC639" s="208"/>
      <c r="AD639" s="208"/>
      <c r="AE639" s="208"/>
      <c r="AF639" s="208"/>
      <c r="AG639" s="208"/>
      <c r="AH639" s="208"/>
      <c r="AI639" s="100"/>
    </row>
    <row r="640" ht="14.25" customHeight="1">
      <c r="A640" s="195"/>
      <c r="B640" s="100"/>
      <c r="C640" s="100"/>
      <c r="D640" s="100"/>
      <c r="E640" s="100"/>
      <c r="F640" s="206"/>
      <c r="G640" s="206"/>
      <c r="H640" s="207"/>
      <c r="I640" s="207"/>
      <c r="J640" s="207"/>
      <c r="K640" s="207"/>
      <c r="L640" s="207"/>
      <c r="M640" s="207"/>
      <c r="N640" s="207"/>
      <c r="O640" s="207"/>
      <c r="P640" s="207"/>
      <c r="Q640" s="207"/>
      <c r="R640" s="207"/>
      <c r="S640" s="207"/>
      <c r="T640" s="207"/>
      <c r="U640" s="207"/>
      <c r="V640" s="207"/>
      <c r="W640" s="208"/>
      <c r="X640" s="208"/>
      <c r="Y640" s="208"/>
      <c r="Z640" s="208"/>
      <c r="AA640" s="208"/>
      <c r="AB640" s="208"/>
      <c r="AC640" s="208"/>
      <c r="AD640" s="208"/>
      <c r="AE640" s="208"/>
      <c r="AF640" s="208"/>
      <c r="AG640" s="208"/>
      <c r="AH640" s="208"/>
      <c r="AI640" s="100"/>
    </row>
    <row r="641" ht="14.25" customHeight="1">
      <c r="A641" s="195"/>
      <c r="B641" s="100"/>
      <c r="C641" s="100"/>
      <c r="D641" s="100"/>
      <c r="E641" s="100"/>
      <c r="F641" s="206"/>
      <c r="G641" s="206"/>
      <c r="H641" s="207"/>
      <c r="I641" s="207"/>
      <c r="J641" s="207"/>
      <c r="K641" s="207"/>
      <c r="L641" s="207"/>
      <c r="M641" s="207"/>
      <c r="N641" s="207"/>
      <c r="O641" s="207"/>
      <c r="P641" s="207"/>
      <c r="Q641" s="207"/>
      <c r="R641" s="207"/>
      <c r="S641" s="207"/>
      <c r="T641" s="207"/>
      <c r="U641" s="207"/>
      <c r="V641" s="207"/>
      <c r="W641" s="208"/>
      <c r="X641" s="208"/>
      <c r="Y641" s="208"/>
      <c r="Z641" s="208"/>
      <c r="AA641" s="208"/>
      <c r="AB641" s="208"/>
      <c r="AC641" s="208"/>
      <c r="AD641" s="208"/>
      <c r="AE641" s="208"/>
      <c r="AF641" s="208"/>
      <c r="AG641" s="208"/>
      <c r="AH641" s="208"/>
      <c r="AI641" s="100"/>
    </row>
    <row r="642" ht="14.25" customHeight="1">
      <c r="A642" s="195"/>
      <c r="B642" s="100"/>
      <c r="C642" s="100"/>
      <c r="D642" s="100"/>
      <c r="E642" s="100"/>
      <c r="F642" s="206"/>
      <c r="G642" s="206"/>
      <c r="H642" s="207"/>
      <c r="I642" s="207"/>
      <c r="J642" s="207"/>
      <c r="K642" s="207"/>
      <c r="L642" s="207"/>
      <c r="M642" s="207"/>
      <c r="N642" s="207"/>
      <c r="O642" s="207"/>
      <c r="P642" s="207"/>
      <c r="Q642" s="207"/>
      <c r="R642" s="207"/>
      <c r="S642" s="207"/>
      <c r="T642" s="207"/>
      <c r="U642" s="207"/>
      <c r="V642" s="207"/>
      <c r="W642" s="208"/>
      <c r="X642" s="208"/>
      <c r="Y642" s="208"/>
      <c r="Z642" s="208"/>
      <c r="AA642" s="208"/>
      <c r="AB642" s="208"/>
      <c r="AC642" s="208"/>
      <c r="AD642" s="208"/>
      <c r="AE642" s="208"/>
      <c r="AF642" s="208"/>
      <c r="AG642" s="208"/>
      <c r="AH642" s="208"/>
      <c r="AI642" s="100"/>
    </row>
    <row r="643" ht="14.25" customHeight="1">
      <c r="A643" s="195"/>
      <c r="B643" s="100"/>
      <c r="C643" s="100"/>
      <c r="D643" s="100"/>
      <c r="E643" s="100"/>
      <c r="F643" s="206"/>
      <c r="G643" s="206"/>
      <c r="H643" s="207"/>
      <c r="I643" s="207"/>
      <c r="J643" s="207"/>
      <c r="K643" s="207"/>
      <c r="L643" s="207"/>
      <c r="M643" s="207"/>
      <c r="N643" s="207"/>
      <c r="O643" s="207"/>
      <c r="P643" s="207"/>
      <c r="Q643" s="207"/>
      <c r="R643" s="207"/>
      <c r="S643" s="207"/>
      <c r="T643" s="207"/>
      <c r="U643" s="207"/>
      <c r="V643" s="207"/>
      <c r="W643" s="208"/>
      <c r="X643" s="208"/>
      <c r="Y643" s="208"/>
      <c r="Z643" s="208"/>
      <c r="AA643" s="208"/>
      <c r="AB643" s="208"/>
      <c r="AC643" s="208"/>
      <c r="AD643" s="208"/>
      <c r="AE643" s="208"/>
      <c r="AF643" s="208"/>
      <c r="AG643" s="208"/>
      <c r="AH643" s="208"/>
      <c r="AI643" s="100"/>
    </row>
    <row r="644" ht="14.25" customHeight="1">
      <c r="A644" s="195"/>
      <c r="B644" s="100"/>
      <c r="C644" s="100"/>
      <c r="D644" s="100"/>
      <c r="E644" s="100"/>
      <c r="F644" s="206"/>
      <c r="G644" s="206"/>
      <c r="H644" s="207"/>
      <c r="I644" s="207"/>
      <c r="J644" s="207"/>
      <c r="K644" s="207"/>
      <c r="L644" s="207"/>
      <c r="M644" s="207"/>
      <c r="N644" s="207"/>
      <c r="O644" s="207"/>
      <c r="P644" s="207"/>
      <c r="Q644" s="207"/>
      <c r="R644" s="207"/>
      <c r="S644" s="207"/>
      <c r="T644" s="207"/>
      <c r="U644" s="207"/>
      <c r="V644" s="207"/>
      <c r="W644" s="208"/>
      <c r="X644" s="208"/>
      <c r="Y644" s="208"/>
      <c r="Z644" s="208"/>
      <c r="AA644" s="208"/>
      <c r="AB644" s="208"/>
      <c r="AC644" s="208"/>
      <c r="AD644" s="208"/>
      <c r="AE644" s="208"/>
      <c r="AF644" s="208"/>
      <c r="AG644" s="208"/>
      <c r="AH644" s="208"/>
      <c r="AI644" s="100"/>
    </row>
    <row r="645" ht="14.25" customHeight="1">
      <c r="A645" s="195"/>
      <c r="B645" s="100"/>
      <c r="C645" s="100"/>
      <c r="D645" s="100"/>
      <c r="E645" s="100"/>
      <c r="F645" s="206"/>
      <c r="G645" s="206"/>
      <c r="H645" s="207"/>
      <c r="I645" s="207"/>
      <c r="J645" s="207"/>
      <c r="K645" s="207"/>
      <c r="L645" s="207"/>
      <c r="M645" s="207"/>
      <c r="N645" s="207"/>
      <c r="O645" s="207"/>
      <c r="P645" s="207"/>
      <c r="Q645" s="207"/>
      <c r="R645" s="207"/>
      <c r="S645" s="207"/>
      <c r="T645" s="207"/>
      <c r="U645" s="207"/>
      <c r="V645" s="207"/>
      <c r="W645" s="208"/>
      <c r="X645" s="208"/>
      <c r="Y645" s="208"/>
      <c r="Z645" s="208"/>
      <c r="AA645" s="208"/>
      <c r="AB645" s="208"/>
      <c r="AC645" s="208"/>
      <c r="AD645" s="208"/>
      <c r="AE645" s="208"/>
      <c r="AF645" s="208"/>
      <c r="AG645" s="208"/>
      <c r="AH645" s="208"/>
      <c r="AI645" s="100"/>
    </row>
    <row r="646" ht="14.25" customHeight="1">
      <c r="A646" s="195"/>
      <c r="B646" s="100"/>
      <c r="C646" s="100"/>
      <c r="D646" s="100"/>
      <c r="E646" s="100"/>
      <c r="F646" s="206"/>
      <c r="G646" s="206"/>
      <c r="H646" s="207"/>
      <c r="I646" s="207"/>
      <c r="J646" s="207"/>
      <c r="K646" s="207"/>
      <c r="L646" s="207"/>
      <c r="M646" s="207"/>
      <c r="N646" s="207"/>
      <c r="O646" s="207"/>
      <c r="P646" s="207"/>
      <c r="Q646" s="207"/>
      <c r="R646" s="207"/>
      <c r="S646" s="207"/>
      <c r="T646" s="207"/>
      <c r="U646" s="207"/>
      <c r="V646" s="207"/>
      <c r="W646" s="208"/>
      <c r="X646" s="208"/>
      <c r="Y646" s="208"/>
      <c r="Z646" s="208"/>
      <c r="AA646" s="208"/>
      <c r="AB646" s="208"/>
      <c r="AC646" s="208"/>
      <c r="AD646" s="208"/>
      <c r="AE646" s="208"/>
      <c r="AF646" s="208"/>
      <c r="AG646" s="208"/>
      <c r="AH646" s="208"/>
      <c r="AI646" s="100"/>
    </row>
    <row r="647" ht="14.25" customHeight="1">
      <c r="A647" s="195"/>
      <c r="B647" s="100"/>
      <c r="C647" s="100"/>
      <c r="D647" s="100"/>
      <c r="E647" s="100"/>
      <c r="F647" s="206"/>
      <c r="G647" s="206"/>
      <c r="H647" s="207"/>
      <c r="I647" s="207"/>
      <c r="J647" s="207"/>
      <c r="K647" s="207"/>
      <c r="L647" s="207"/>
      <c r="M647" s="207"/>
      <c r="N647" s="207"/>
      <c r="O647" s="207"/>
      <c r="P647" s="207"/>
      <c r="Q647" s="207"/>
      <c r="R647" s="207"/>
      <c r="S647" s="207"/>
      <c r="T647" s="207"/>
      <c r="U647" s="207"/>
      <c r="V647" s="207"/>
      <c r="W647" s="208"/>
      <c r="X647" s="208"/>
      <c r="Y647" s="208"/>
      <c r="Z647" s="208"/>
      <c r="AA647" s="208"/>
      <c r="AB647" s="208"/>
      <c r="AC647" s="208"/>
      <c r="AD647" s="208"/>
      <c r="AE647" s="208"/>
      <c r="AF647" s="208"/>
      <c r="AG647" s="208"/>
      <c r="AH647" s="208"/>
      <c r="AI647" s="100"/>
    </row>
    <row r="648" ht="14.25" customHeight="1">
      <c r="A648" s="195"/>
      <c r="B648" s="100"/>
      <c r="C648" s="100"/>
      <c r="D648" s="100"/>
      <c r="E648" s="100"/>
      <c r="F648" s="206"/>
      <c r="G648" s="206"/>
      <c r="H648" s="207"/>
      <c r="I648" s="207"/>
      <c r="J648" s="207"/>
      <c r="K648" s="207"/>
      <c r="L648" s="207"/>
      <c r="M648" s="207"/>
      <c r="N648" s="207"/>
      <c r="O648" s="207"/>
      <c r="P648" s="207"/>
      <c r="Q648" s="207"/>
      <c r="R648" s="207"/>
      <c r="S648" s="207"/>
      <c r="T648" s="207"/>
      <c r="U648" s="207"/>
      <c r="V648" s="207"/>
      <c r="W648" s="208"/>
      <c r="X648" s="208"/>
      <c r="Y648" s="208"/>
      <c r="Z648" s="208"/>
      <c r="AA648" s="208"/>
      <c r="AB648" s="208"/>
      <c r="AC648" s="208"/>
      <c r="AD648" s="208"/>
      <c r="AE648" s="208"/>
      <c r="AF648" s="208"/>
      <c r="AG648" s="208"/>
      <c r="AH648" s="208"/>
      <c r="AI648" s="100"/>
    </row>
    <row r="649" ht="14.25" customHeight="1">
      <c r="A649" s="195"/>
      <c r="B649" s="100"/>
      <c r="C649" s="100"/>
      <c r="D649" s="100"/>
      <c r="E649" s="100"/>
      <c r="F649" s="206"/>
      <c r="G649" s="206"/>
      <c r="H649" s="207"/>
      <c r="I649" s="207"/>
      <c r="J649" s="207"/>
      <c r="K649" s="207"/>
      <c r="L649" s="207"/>
      <c r="M649" s="207"/>
      <c r="N649" s="207"/>
      <c r="O649" s="207"/>
      <c r="P649" s="207"/>
      <c r="Q649" s="207"/>
      <c r="R649" s="207"/>
      <c r="S649" s="207"/>
      <c r="T649" s="207"/>
      <c r="U649" s="207"/>
      <c r="V649" s="207"/>
      <c r="W649" s="208"/>
      <c r="X649" s="208"/>
      <c r="Y649" s="208"/>
      <c r="Z649" s="208"/>
      <c r="AA649" s="208"/>
      <c r="AB649" s="208"/>
      <c r="AC649" s="208"/>
      <c r="AD649" s="208"/>
      <c r="AE649" s="208"/>
      <c r="AF649" s="208"/>
      <c r="AG649" s="208"/>
      <c r="AH649" s="208"/>
      <c r="AI649" s="100"/>
    </row>
    <row r="650" ht="14.25" customHeight="1">
      <c r="A650" s="195"/>
      <c r="B650" s="100"/>
      <c r="C650" s="100"/>
      <c r="D650" s="100"/>
      <c r="E650" s="100"/>
      <c r="F650" s="206"/>
      <c r="G650" s="206"/>
      <c r="H650" s="207"/>
      <c r="I650" s="207"/>
      <c r="J650" s="207"/>
      <c r="K650" s="207"/>
      <c r="L650" s="207"/>
      <c r="M650" s="207"/>
      <c r="N650" s="207"/>
      <c r="O650" s="207"/>
      <c r="P650" s="207"/>
      <c r="Q650" s="207"/>
      <c r="R650" s="207"/>
      <c r="S650" s="207"/>
      <c r="T650" s="207"/>
      <c r="U650" s="207"/>
      <c r="V650" s="207"/>
      <c r="W650" s="208"/>
      <c r="X650" s="208"/>
      <c r="Y650" s="208"/>
      <c r="Z650" s="208"/>
      <c r="AA650" s="208"/>
      <c r="AB650" s="208"/>
      <c r="AC650" s="208"/>
      <c r="AD650" s="208"/>
      <c r="AE650" s="208"/>
      <c r="AF650" s="208"/>
      <c r="AG650" s="208"/>
      <c r="AH650" s="208"/>
      <c r="AI650" s="100"/>
    </row>
    <row r="651" ht="14.25" customHeight="1">
      <c r="A651" s="195"/>
      <c r="B651" s="100"/>
      <c r="C651" s="100"/>
      <c r="D651" s="100"/>
      <c r="E651" s="100"/>
      <c r="F651" s="206"/>
      <c r="G651" s="206"/>
      <c r="H651" s="207"/>
      <c r="I651" s="207"/>
      <c r="J651" s="207"/>
      <c r="K651" s="207"/>
      <c r="L651" s="207"/>
      <c r="M651" s="207"/>
      <c r="N651" s="207"/>
      <c r="O651" s="207"/>
      <c r="P651" s="207"/>
      <c r="Q651" s="207"/>
      <c r="R651" s="207"/>
      <c r="S651" s="207"/>
      <c r="T651" s="207"/>
      <c r="U651" s="207"/>
      <c r="V651" s="207"/>
      <c r="W651" s="208"/>
      <c r="X651" s="208"/>
      <c r="Y651" s="208"/>
      <c r="Z651" s="208"/>
      <c r="AA651" s="208"/>
      <c r="AB651" s="208"/>
      <c r="AC651" s="208"/>
      <c r="AD651" s="208"/>
      <c r="AE651" s="208"/>
      <c r="AF651" s="208"/>
      <c r="AG651" s="208"/>
      <c r="AH651" s="208"/>
      <c r="AI651" s="100"/>
    </row>
    <row r="652" ht="14.25" customHeight="1">
      <c r="A652" s="195"/>
      <c r="B652" s="100"/>
      <c r="C652" s="100"/>
      <c r="D652" s="100"/>
      <c r="E652" s="100"/>
      <c r="F652" s="206"/>
      <c r="G652" s="206"/>
      <c r="H652" s="207"/>
      <c r="I652" s="207"/>
      <c r="J652" s="207"/>
      <c r="K652" s="207"/>
      <c r="L652" s="207"/>
      <c r="M652" s="207"/>
      <c r="N652" s="207"/>
      <c r="O652" s="207"/>
      <c r="P652" s="207"/>
      <c r="Q652" s="207"/>
      <c r="R652" s="207"/>
      <c r="S652" s="207"/>
      <c r="T652" s="207"/>
      <c r="U652" s="207"/>
      <c r="V652" s="207"/>
      <c r="W652" s="208"/>
      <c r="X652" s="208"/>
      <c r="Y652" s="208"/>
      <c r="Z652" s="208"/>
      <c r="AA652" s="208"/>
      <c r="AB652" s="208"/>
      <c r="AC652" s="208"/>
      <c r="AD652" s="208"/>
      <c r="AE652" s="208"/>
      <c r="AF652" s="208"/>
      <c r="AG652" s="208"/>
      <c r="AH652" s="208"/>
      <c r="AI652" s="100"/>
    </row>
    <row r="653" ht="14.25" customHeight="1">
      <c r="A653" s="195"/>
      <c r="B653" s="100"/>
      <c r="C653" s="100"/>
      <c r="D653" s="100"/>
      <c r="E653" s="100"/>
      <c r="F653" s="206"/>
      <c r="G653" s="206"/>
      <c r="H653" s="207"/>
      <c r="I653" s="207"/>
      <c r="J653" s="207"/>
      <c r="K653" s="207"/>
      <c r="L653" s="207"/>
      <c r="M653" s="207"/>
      <c r="N653" s="207"/>
      <c r="O653" s="207"/>
      <c r="P653" s="207"/>
      <c r="Q653" s="207"/>
      <c r="R653" s="207"/>
      <c r="S653" s="207"/>
      <c r="T653" s="207"/>
      <c r="U653" s="207"/>
      <c r="V653" s="207"/>
      <c r="W653" s="208"/>
      <c r="X653" s="208"/>
      <c r="Y653" s="208"/>
      <c r="Z653" s="208"/>
      <c r="AA653" s="208"/>
      <c r="AB653" s="208"/>
      <c r="AC653" s="208"/>
      <c r="AD653" s="208"/>
      <c r="AE653" s="208"/>
      <c r="AF653" s="208"/>
      <c r="AG653" s="208"/>
      <c r="AH653" s="208"/>
      <c r="AI653" s="100"/>
    </row>
    <row r="654" ht="14.25" customHeight="1">
      <c r="A654" s="195"/>
      <c r="B654" s="100"/>
      <c r="C654" s="100"/>
      <c r="D654" s="100"/>
      <c r="E654" s="100"/>
      <c r="F654" s="206"/>
      <c r="G654" s="206"/>
      <c r="H654" s="207"/>
      <c r="I654" s="207"/>
      <c r="J654" s="207"/>
      <c r="K654" s="207"/>
      <c r="L654" s="207"/>
      <c r="M654" s="207"/>
      <c r="N654" s="207"/>
      <c r="O654" s="207"/>
      <c r="P654" s="207"/>
      <c r="Q654" s="207"/>
      <c r="R654" s="207"/>
      <c r="S654" s="207"/>
      <c r="T654" s="207"/>
      <c r="U654" s="207"/>
      <c r="V654" s="207"/>
      <c r="W654" s="208"/>
      <c r="X654" s="208"/>
      <c r="Y654" s="208"/>
      <c r="Z654" s="208"/>
      <c r="AA654" s="208"/>
      <c r="AB654" s="208"/>
      <c r="AC654" s="208"/>
      <c r="AD654" s="208"/>
      <c r="AE654" s="208"/>
      <c r="AF654" s="208"/>
      <c r="AG654" s="208"/>
      <c r="AH654" s="208"/>
      <c r="AI654" s="100"/>
    </row>
    <row r="655" ht="14.25" customHeight="1">
      <c r="A655" s="195"/>
      <c r="B655" s="100"/>
      <c r="C655" s="100"/>
      <c r="D655" s="100"/>
      <c r="E655" s="100"/>
      <c r="F655" s="206"/>
      <c r="G655" s="206"/>
      <c r="H655" s="207"/>
      <c r="I655" s="207"/>
      <c r="J655" s="207"/>
      <c r="K655" s="207"/>
      <c r="L655" s="207"/>
      <c r="M655" s="207"/>
      <c r="N655" s="207"/>
      <c r="O655" s="207"/>
      <c r="P655" s="207"/>
      <c r="Q655" s="207"/>
      <c r="R655" s="207"/>
      <c r="S655" s="207"/>
      <c r="T655" s="207"/>
      <c r="U655" s="207"/>
      <c r="V655" s="207"/>
      <c r="W655" s="208"/>
      <c r="X655" s="208"/>
      <c r="Y655" s="208"/>
      <c r="Z655" s="208"/>
      <c r="AA655" s="208"/>
      <c r="AB655" s="208"/>
      <c r="AC655" s="208"/>
      <c r="AD655" s="208"/>
      <c r="AE655" s="208"/>
      <c r="AF655" s="208"/>
      <c r="AG655" s="208"/>
      <c r="AH655" s="208"/>
      <c r="AI655" s="100"/>
    </row>
    <row r="656" ht="14.25" customHeight="1">
      <c r="A656" s="195"/>
      <c r="B656" s="100"/>
      <c r="C656" s="100"/>
      <c r="D656" s="100"/>
      <c r="E656" s="100"/>
      <c r="F656" s="206"/>
      <c r="G656" s="206"/>
      <c r="H656" s="207"/>
      <c r="I656" s="207"/>
      <c r="J656" s="207"/>
      <c r="K656" s="207"/>
      <c r="L656" s="207"/>
      <c r="M656" s="207"/>
      <c r="N656" s="207"/>
      <c r="O656" s="207"/>
      <c r="P656" s="207"/>
      <c r="Q656" s="207"/>
      <c r="R656" s="207"/>
      <c r="S656" s="207"/>
      <c r="T656" s="207"/>
      <c r="U656" s="207"/>
      <c r="V656" s="207"/>
      <c r="W656" s="208"/>
      <c r="X656" s="208"/>
      <c r="Y656" s="208"/>
      <c r="Z656" s="208"/>
      <c r="AA656" s="208"/>
      <c r="AB656" s="208"/>
      <c r="AC656" s="208"/>
      <c r="AD656" s="208"/>
      <c r="AE656" s="208"/>
      <c r="AF656" s="208"/>
      <c r="AG656" s="208"/>
      <c r="AH656" s="208"/>
      <c r="AI656" s="100"/>
    </row>
    <row r="657" ht="14.25" customHeight="1">
      <c r="A657" s="195"/>
      <c r="B657" s="100"/>
      <c r="C657" s="100"/>
      <c r="D657" s="100"/>
      <c r="E657" s="100"/>
      <c r="F657" s="206"/>
      <c r="G657" s="206"/>
      <c r="H657" s="207"/>
      <c r="I657" s="207"/>
      <c r="J657" s="207"/>
      <c r="K657" s="207"/>
      <c r="L657" s="207"/>
      <c r="M657" s="207"/>
      <c r="N657" s="207"/>
      <c r="O657" s="207"/>
      <c r="P657" s="207"/>
      <c r="Q657" s="207"/>
      <c r="R657" s="207"/>
      <c r="S657" s="207"/>
      <c r="T657" s="207"/>
      <c r="U657" s="207"/>
      <c r="V657" s="207"/>
      <c r="W657" s="208"/>
      <c r="X657" s="208"/>
      <c r="Y657" s="208"/>
      <c r="Z657" s="208"/>
      <c r="AA657" s="208"/>
      <c r="AB657" s="208"/>
      <c r="AC657" s="208"/>
      <c r="AD657" s="208"/>
      <c r="AE657" s="208"/>
      <c r="AF657" s="208"/>
      <c r="AG657" s="208"/>
      <c r="AH657" s="208"/>
      <c r="AI657" s="100"/>
    </row>
    <row r="658" ht="14.25" customHeight="1">
      <c r="A658" s="195"/>
      <c r="B658" s="100"/>
      <c r="C658" s="100"/>
      <c r="D658" s="100"/>
      <c r="E658" s="100"/>
      <c r="F658" s="206"/>
      <c r="G658" s="206"/>
      <c r="H658" s="207"/>
      <c r="I658" s="207"/>
      <c r="J658" s="207"/>
      <c r="K658" s="207"/>
      <c r="L658" s="207"/>
      <c r="M658" s="207"/>
      <c r="N658" s="207"/>
      <c r="O658" s="207"/>
      <c r="P658" s="207"/>
      <c r="Q658" s="207"/>
      <c r="R658" s="207"/>
      <c r="S658" s="207"/>
      <c r="T658" s="207"/>
      <c r="U658" s="207"/>
      <c r="V658" s="207"/>
      <c r="W658" s="208"/>
      <c r="X658" s="208"/>
      <c r="Y658" s="208"/>
      <c r="Z658" s="208"/>
      <c r="AA658" s="208"/>
      <c r="AB658" s="208"/>
      <c r="AC658" s="208"/>
      <c r="AD658" s="208"/>
      <c r="AE658" s="208"/>
      <c r="AF658" s="208"/>
      <c r="AG658" s="208"/>
      <c r="AH658" s="208"/>
      <c r="AI658" s="100"/>
    </row>
    <row r="659" ht="14.25" customHeight="1">
      <c r="A659" s="195"/>
      <c r="B659" s="100"/>
      <c r="C659" s="100"/>
      <c r="D659" s="100"/>
      <c r="E659" s="100"/>
      <c r="F659" s="206"/>
      <c r="G659" s="206"/>
      <c r="H659" s="207"/>
      <c r="I659" s="207"/>
      <c r="J659" s="207"/>
      <c r="K659" s="207"/>
      <c r="L659" s="207"/>
      <c r="M659" s="207"/>
      <c r="N659" s="207"/>
      <c r="O659" s="207"/>
      <c r="P659" s="207"/>
      <c r="Q659" s="207"/>
      <c r="R659" s="207"/>
      <c r="S659" s="207"/>
      <c r="T659" s="207"/>
      <c r="U659" s="207"/>
      <c r="V659" s="207"/>
      <c r="W659" s="208"/>
      <c r="X659" s="208"/>
      <c r="Y659" s="208"/>
      <c r="Z659" s="208"/>
      <c r="AA659" s="208"/>
      <c r="AB659" s="208"/>
      <c r="AC659" s="208"/>
      <c r="AD659" s="208"/>
      <c r="AE659" s="208"/>
      <c r="AF659" s="208"/>
      <c r="AG659" s="208"/>
      <c r="AH659" s="208"/>
      <c r="AI659" s="100"/>
    </row>
    <row r="660" ht="14.25" customHeight="1">
      <c r="A660" s="195"/>
      <c r="B660" s="100"/>
      <c r="C660" s="100"/>
      <c r="D660" s="100"/>
      <c r="E660" s="100"/>
      <c r="F660" s="206"/>
      <c r="G660" s="206"/>
      <c r="H660" s="207"/>
      <c r="I660" s="207"/>
      <c r="J660" s="207"/>
      <c r="K660" s="207"/>
      <c r="L660" s="207"/>
      <c r="M660" s="207"/>
      <c r="N660" s="207"/>
      <c r="O660" s="207"/>
      <c r="P660" s="207"/>
      <c r="Q660" s="207"/>
      <c r="R660" s="207"/>
      <c r="S660" s="207"/>
      <c r="T660" s="207"/>
      <c r="U660" s="207"/>
      <c r="V660" s="207"/>
      <c r="W660" s="208"/>
      <c r="X660" s="208"/>
      <c r="Y660" s="208"/>
      <c r="Z660" s="208"/>
      <c r="AA660" s="208"/>
      <c r="AB660" s="208"/>
      <c r="AC660" s="208"/>
      <c r="AD660" s="208"/>
      <c r="AE660" s="208"/>
      <c r="AF660" s="208"/>
      <c r="AG660" s="208"/>
      <c r="AH660" s="208"/>
      <c r="AI660" s="100"/>
    </row>
    <row r="661" ht="14.25" customHeight="1">
      <c r="A661" s="195"/>
      <c r="B661" s="100"/>
      <c r="C661" s="100"/>
      <c r="D661" s="100"/>
      <c r="E661" s="100"/>
      <c r="F661" s="206"/>
      <c r="G661" s="206"/>
      <c r="H661" s="207"/>
      <c r="I661" s="207"/>
      <c r="J661" s="207"/>
      <c r="K661" s="207"/>
      <c r="L661" s="207"/>
      <c r="M661" s="207"/>
      <c r="N661" s="207"/>
      <c r="O661" s="207"/>
      <c r="P661" s="207"/>
      <c r="Q661" s="207"/>
      <c r="R661" s="207"/>
      <c r="S661" s="207"/>
      <c r="T661" s="207"/>
      <c r="U661" s="207"/>
      <c r="V661" s="207"/>
      <c r="W661" s="208"/>
      <c r="X661" s="208"/>
      <c r="Y661" s="208"/>
      <c r="Z661" s="208"/>
      <c r="AA661" s="208"/>
      <c r="AB661" s="208"/>
      <c r="AC661" s="208"/>
      <c r="AD661" s="208"/>
      <c r="AE661" s="208"/>
      <c r="AF661" s="208"/>
      <c r="AG661" s="208"/>
      <c r="AH661" s="208"/>
      <c r="AI661" s="100"/>
    </row>
    <row r="662" ht="14.25" customHeight="1">
      <c r="A662" s="195"/>
      <c r="B662" s="100"/>
      <c r="C662" s="100"/>
      <c r="D662" s="100"/>
      <c r="E662" s="100"/>
      <c r="F662" s="206"/>
      <c r="G662" s="206"/>
      <c r="H662" s="207"/>
      <c r="I662" s="207"/>
      <c r="J662" s="207"/>
      <c r="K662" s="207"/>
      <c r="L662" s="207"/>
      <c r="M662" s="207"/>
      <c r="N662" s="207"/>
      <c r="O662" s="207"/>
      <c r="P662" s="207"/>
      <c r="Q662" s="207"/>
      <c r="R662" s="207"/>
      <c r="S662" s="207"/>
      <c r="T662" s="207"/>
      <c r="U662" s="207"/>
      <c r="V662" s="207"/>
      <c r="W662" s="208"/>
      <c r="X662" s="208"/>
      <c r="Y662" s="208"/>
      <c r="Z662" s="208"/>
      <c r="AA662" s="208"/>
      <c r="AB662" s="208"/>
      <c r="AC662" s="208"/>
      <c r="AD662" s="208"/>
      <c r="AE662" s="208"/>
      <c r="AF662" s="208"/>
      <c r="AG662" s="208"/>
      <c r="AH662" s="208"/>
      <c r="AI662" s="100"/>
    </row>
    <row r="663" ht="14.25" customHeight="1">
      <c r="A663" s="195"/>
      <c r="B663" s="100"/>
      <c r="C663" s="100"/>
      <c r="D663" s="100"/>
      <c r="E663" s="100"/>
      <c r="F663" s="206"/>
      <c r="G663" s="206"/>
      <c r="H663" s="207"/>
      <c r="I663" s="207"/>
      <c r="J663" s="207"/>
      <c r="K663" s="207"/>
      <c r="L663" s="207"/>
      <c r="M663" s="207"/>
      <c r="N663" s="207"/>
      <c r="O663" s="207"/>
      <c r="P663" s="207"/>
      <c r="Q663" s="207"/>
      <c r="R663" s="207"/>
      <c r="S663" s="207"/>
      <c r="T663" s="207"/>
      <c r="U663" s="207"/>
      <c r="V663" s="207"/>
      <c r="W663" s="208"/>
      <c r="X663" s="208"/>
      <c r="Y663" s="208"/>
      <c r="Z663" s="208"/>
      <c r="AA663" s="208"/>
      <c r="AB663" s="208"/>
      <c r="AC663" s="208"/>
      <c r="AD663" s="208"/>
      <c r="AE663" s="208"/>
      <c r="AF663" s="208"/>
      <c r="AG663" s="208"/>
      <c r="AH663" s="208"/>
      <c r="AI663" s="100"/>
    </row>
    <row r="664" ht="14.25" customHeight="1">
      <c r="A664" s="195"/>
      <c r="B664" s="100"/>
      <c r="C664" s="100"/>
      <c r="D664" s="100"/>
      <c r="E664" s="100"/>
      <c r="F664" s="206"/>
      <c r="G664" s="206"/>
      <c r="H664" s="207"/>
      <c r="I664" s="207"/>
      <c r="J664" s="207"/>
      <c r="K664" s="207"/>
      <c r="L664" s="207"/>
      <c r="M664" s="207"/>
      <c r="N664" s="207"/>
      <c r="O664" s="207"/>
      <c r="P664" s="207"/>
      <c r="Q664" s="207"/>
      <c r="R664" s="207"/>
      <c r="S664" s="207"/>
      <c r="T664" s="207"/>
      <c r="U664" s="207"/>
      <c r="V664" s="207"/>
      <c r="W664" s="208"/>
      <c r="X664" s="208"/>
      <c r="Y664" s="208"/>
      <c r="Z664" s="208"/>
      <c r="AA664" s="208"/>
      <c r="AB664" s="208"/>
      <c r="AC664" s="208"/>
      <c r="AD664" s="208"/>
      <c r="AE664" s="208"/>
      <c r="AF664" s="208"/>
      <c r="AG664" s="208"/>
      <c r="AH664" s="208"/>
      <c r="AI664" s="100"/>
    </row>
    <row r="665" ht="14.25" customHeight="1">
      <c r="A665" s="195"/>
      <c r="B665" s="100"/>
      <c r="C665" s="100"/>
      <c r="D665" s="100"/>
      <c r="E665" s="100"/>
      <c r="F665" s="206"/>
      <c r="G665" s="206"/>
      <c r="H665" s="207"/>
      <c r="I665" s="207"/>
      <c r="J665" s="207"/>
      <c r="K665" s="207"/>
      <c r="L665" s="207"/>
      <c r="M665" s="207"/>
      <c r="N665" s="207"/>
      <c r="O665" s="207"/>
      <c r="P665" s="207"/>
      <c r="Q665" s="207"/>
      <c r="R665" s="207"/>
      <c r="S665" s="207"/>
      <c r="T665" s="207"/>
      <c r="U665" s="207"/>
      <c r="V665" s="207"/>
      <c r="W665" s="208"/>
      <c r="X665" s="208"/>
      <c r="Y665" s="208"/>
      <c r="Z665" s="208"/>
      <c r="AA665" s="208"/>
      <c r="AB665" s="208"/>
      <c r="AC665" s="208"/>
      <c r="AD665" s="208"/>
      <c r="AE665" s="208"/>
      <c r="AF665" s="208"/>
      <c r="AG665" s="208"/>
      <c r="AH665" s="208"/>
      <c r="AI665" s="100"/>
    </row>
    <row r="666" ht="14.25" customHeight="1">
      <c r="A666" s="195"/>
      <c r="B666" s="100"/>
      <c r="C666" s="100"/>
      <c r="D666" s="100"/>
      <c r="E666" s="100"/>
      <c r="F666" s="206"/>
      <c r="G666" s="206"/>
      <c r="H666" s="207"/>
      <c r="I666" s="207"/>
      <c r="J666" s="207"/>
      <c r="K666" s="207"/>
      <c r="L666" s="207"/>
      <c r="M666" s="207"/>
      <c r="N666" s="207"/>
      <c r="O666" s="207"/>
      <c r="P666" s="207"/>
      <c r="Q666" s="207"/>
      <c r="R666" s="207"/>
      <c r="S666" s="207"/>
      <c r="T666" s="207"/>
      <c r="U666" s="207"/>
      <c r="V666" s="207"/>
      <c r="W666" s="208"/>
      <c r="X666" s="208"/>
      <c r="Y666" s="208"/>
      <c r="Z666" s="208"/>
      <c r="AA666" s="208"/>
      <c r="AB666" s="208"/>
      <c r="AC666" s="208"/>
      <c r="AD666" s="208"/>
      <c r="AE666" s="208"/>
      <c r="AF666" s="208"/>
      <c r="AG666" s="208"/>
      <c r="AH666" s="208"/>
      <c r="AI666" s="100"/>
    </row>
    <row r="667" ht="14.25" customHeight="1">
      <c r="A667" s="195"/>
      <c r="B667" s="100"/>
      <c r="C667" s="100"/>
      <c r="D667" s="100"/>
      <c r="E667" s="100"/>
      <c r="F667" s="206"/>
      <c r="G667" s="206"/>
      <c r="H667" s="207"/>
      <c r="I667" s="207"/>
      <c r="J667" s="207"/>
      <c r="K667" s="207"/>
      <c r="L667" s="207"/>
      <c r="M667" s="207"/>
      <c r="N667" s="207"/>
      <c r="O667" s="207"/>
      <c r="P667" s="207"/>
      <c r="Q667" s="207"/>
      <c r="R667" s="207"/>
      <c r="S667" s="207"/>
      <c r="T667" s="207"/>
      <c r="U667" s="207"/>
      <c r="V667" s="207"/>
      <c r="W667" s="208"/>
      <c r="X667" s="208"/>
      <c r="Y667" s="208"/>
      <c r="Z667" s="208"/>
      <c r="AA667" s="208"/>
      <c r="AB667" s="208"/>
      <c r="AC667" s="208"/>
      <c r="AD667" s="208"/>
      <c r="AE667" s="208"/>
      <c r="AF667" s="208"/>
      <c r="AG667" s="208"/>
      <c r="AH667" s="208"/>
      <c r="AI667" s="100"/>
    </row>
    <row r="668" ht="14.25" customHeight="1">
      <c r="A668" s="195"/>
      <c r="B668" s="100"/>
      <c r="C668" s="100"/>
      <c r="D668" s="100"/>
      <c r="E668" s="100"/>
      <c r="F668" s="206"/>
      <c r="G668" s="206"/>
      <c r="H668" s="207"/>
      <c r="I668" s="207"/>
      <c r="J668" s="207"/>
      <c r="K668" s="207"/>
      <c r="L668" s="207"/>
      <c r="M668" s="207"/>
      <c r="N668" s="207"/>
      <c r="O668" s="207"/>
      <c r="P668" s="207"/>
      <c r="Q668" s="207"/>
      <c r="R668" s="207"/>
      <c r="S668" s="207"/>
      <c r="T668" s="207"/>
      <c r="U668" s="207"/>
      <c r="V668" s="207"/>
      <c r="W668" s="208"/>
      <c r="X668" s="208"/>
      <c r="Y668" s="208"/>
      <c r="Z668" s="208"/>
      <c r="AA668" s="208"/>
      <c r="AB668" s="208"/>
      <c r="AC668" s="208"/>
      <c r="AD668" s="208"/>
      <c r="AE668" s="208"/>
      <c r="AF668" s="208"/>
      <c r="AG668" s="208"/>
      <c r="AH668" s="208"/>
      <c r="AI668" s="100"/>
    </row>
    <row r="669" ht="14.25" customHeight="1">
      <c r="A669" s="195"/>
      <c r="B669" s="100"/>
      <c r="C669" s="100"/>
      <c r="D669" s="100"/>
      <c r="E669" s="100"/>
      <c r="F669" s="206"/>
      <c r="G669" s="206"/>
      <c r="H669" s="207"/>
      <c r="I669" s="207"/>
      <c r="J669" s="207"/>
      <c r="K669" s="207"/>
      <c r="L669" s="207"/>
      <c r="M669" s="207"/>
      <c r="N669" s="207"/>
      <c r="O669" s="207"/>
      <c r="P669" s="207"/>
      <c r="Q669" s="207"/>
      <c r="R669" s="207"/>
      <c r="S669" s="207"/>
      <c r="T669" s="207"/>
      <c r="U669" s="207"/>
      <c r="V669" s="207"/>
      <c r="W669" s="208"/>
      <c r="X669" s="208"/>
      <c r="Y669" s="208"/>
      <c r="Z669" s="208"/>
      <c r="AA669" s="208"/>
      <c r="AB669" s="208"/>
      <c r="AC669" s="208"/>
      <c r="AD669" s="208"/>
      <c r="AE669" s="208"/>
      <c r="AF669" s="208"/>
      <c r="AG669" s="208"/>
      <c r="AH669" s="208"/>
      <c r="AI669" s="100"/>
    </row>
    <row r="670" ht="14.25" customHeight="1">
      <c r="A670" s="195"/>
      <c r="B670" s="100"/>
      <c r="C670" s="100"/>
      <c r="D670" s="100"/>
      <c r="E670" s="100"/>
      <c r="F670" s="206"/>
      <c r="G670" s="206"/>
      <c r="H670" s="207"/>
      <c r="I670" s="207"/>
      <c r="J670" s="207"/>
      <c r="K670" s="207"/>
      <c r="L670" s="207"/>
      <c r="M670" s="207"/>
      <c r="N670" s="207"/>
      <c r="O670" s="207"/>
      <c r="P670" s="207"/>
      <c r="Q670" s="207"/>
      <c r="R670" s="207"/>
      <c r="S670" s="207"/>
      <c r="T670" s="207"/>
      <c r="U670" s="207"/>
      <c r="V670" s="207"/>
      <c r="W670" s="208"/>
      <c r="X670" s="208"/>
      <c r="Y670" s="208"/>
      <c r="Z670" s="208"/>
      <c r="AA670" s="208"/>
      <c r="AB670" s="208"/>
      <c r="AC670" s="208"/>
      <c r="AD670" s="208"/>
      <c r="AE670" s="208"/>
      <c r="AF670" s="208"/>
      <c r="AG670" s="208"/>
      <c r="AH670" s="208"/>
      <c r="AI670" s="100"/>
    </row>
    <row r="671" ht="14.25" customHeight="1">
      <c r="A671" s="195"/>
      <c r="B671" s="100"/>
      <c r="C671" s="100"/>
      <c r="D671" s="100"/>
      <c r="E671" s="100"/>
      <c r="F671" s="206"/>
      <c r="G671" s="206"/>
      <c r="H671" s="207"/>
      <c r="I671" s="207"/>
      <c r="J671" s="207"/>
      <c r="K671" s="207"/>
      <c r="L671" s="207"/>
      <c r="M671" s="207"/>
      <c r="N671" s="207"/>
      <c r="O671" s="207"/>
      <c r="P671" s="207"/>
      <c r="Q671" s="207"/>
      <c r="R671" s="207"/>
      <c r="S671" s="207"/>
      <c r="T671" s="207"/>
      <c r="U671" s="207"/>
      <c r="V671" s="207"/>
      <c r="W671" s="208"/>
      <c r="X671" s="208"/>
      <c r="Y671" s="208"/>
      <c r="Z671" s="208"/>
      <c r="AA671" s="208"/>
      <c r="AB671" s="208"/>
      <c r="AC671" s="208"/>
      <c r="AD671" s="208"/>
      <c r="AE671" s="208"/>
      <c r="AF671" s="208"/>
      <c r="AG671" s="208"/>
      <c r="AH671" s="208"/>
      <c r="AI671" s="100"/>
    </row>
    <row r="672" ht="14.25" customHeight="1">
      <c r="A672" s="195"/>
      <c r="B672" s="100"/>
      <c r="C672" s="100"/>
      <c r="D672" s="100"/>
      <c r="E672" s="100"/>
      <c r="F672" s="206"/>
      <c r="G672" s="206"/>
      <c r="H672" s="207"/>
      <c r="I672" s="207"/>
      <c r="J672" s="207"/>
      <c r="K672" s="207"/>
      <c r="L672" s="207"/>
      <c r="M672" s="207"/>
      <c r="N672" s="207"/>
      <c r="O672" s="207"/>
      <c r="P672" s="207"/>
      <c r="Q672" s="207"/>
      <c r="R672" s="207"/>
      <c r="S672" s="207"/>
      <c r="T672" s="207"/>
      <c r="U672" s="207"/>
      <c r="V672" s="207"/>
      <c r="W672" s="208"/>
      <c r="X672" s="208"/>
      <c r="Y672" s="208"/>
      <c r="Z672" s="208"/>
      <c r="AA672" s="208"/>
      <c r="AB672" s="208"/>
      <c r="AC672" s="208"/>
      <c r="AD672" s="208"/>
      <c r="AE672" s="208"/>
      <c r="AF672" s="208"/>
      <c r="AG672" s="208"/>
      <c r="AH672" s="208"/>
      <c r="AI672" s="100"/>
    </row>
    <row r="673" ht="14.25" customHeight="1">
      <c r="A673" s="195"/>
      <c r="B673" s="100"/>
      <c r="C673" s="100"/>
      <c r="D673" s="100"/>
      <c r="E673" s="100"/>
      <c r="F673" s="206"/>
      <c r="G673" s="206"/>
      <c r="H673" s="207"/>
      <c r="I673" s="207"/>
      <c r="J673" s="207"/>
      <c r="K673" s="207"/>
      <c r="L673" s="207"/>
      <c r="M673" s="207"/>
      <c r="N673" s="207"/>
      <c r="O673" s="207"/>
      <c r="P673" s="207"/>
      <c r="Q673" s="207"/>
      <c r="R673" s="207"/>
      <c r="S673" s="207"/>
      <c r="T673" s="207"/>
      <c r="U673" s="207"/>
      <c r="V673" s="207"/>
      <c r="W673" s="208"/>
      <c r="X673" s="208"/>
      <c r="Y673" s="208"/>
      <c r="Z673" s="208"/>
      <c r="AA673" s="208"/>
      <c r="AB673" s="208"/>
      <c r="AC673" s="208"/>
      <c r="AD673" s="208"/>
      <c r="AE673" s="208"/>
      <c r="AF673" s="208"/>
      <c r="AG673" s="208"/>
      <c r="AH673" s="208"/>
      <c r="AI673" s="100"/>
    </row>
    <row r="674" ht="14.25" customHeight="1">
      <c r="A674" s="195"/>
      <c r="B674" s="100"/>
      <c r="C674" s="100"/>
      <c r="D674" s="100"/>
      <c r="E674" s="100"/>
      <c r="F674" s="206"/>
      <c r="G674" s="206"/>
      <c r="H674" s="207"/>
      <c r="I674" s="207"/>
      <c r="J674" s="207"/>
      <c r="K674" s="207"/>
      <c r="L674" s="207"/>
      <c r="M674" s="207"/>
      <c r="N674" s="207"/>
      <c r="O674" s="207"/>
      <c r="P674" s="207"/>
      <c r="Q674" s="207"/>
      <c r="R674" s="207"/>
      <c r="S674" s="207"/>
      <c r="T674" s="207"/>
      <c r="U674" s="207"/>
      <c r="V674" s="207"/>
      <c r="W674" s="208"/>
      <c r="X674" s="208"/>
      <c r="Y674" s="208"/>
      <c r="Z674" s="208"/>
      <c r="AA674" s="208"/>
      <c r="AB674" s="208"/>
      <c r="AC674" s="208"/>
      <c r="AD674" s="208"/>
      <c r="AE674" s="208"/>
      <c r="AF674" s="208"/>
      <c r="AG674" s="208"/>
      <c r="AH674" s="208"/>
      <c r="AI674" s="100"/>
    </row>
    <row r="675" ht="14.25" customHeight="1">
      <c r="A675" s="195"/>
      <c r="B675" s="100"/>
      <c r="C675" s="100"/>
      <c r="D675" s="100"/>
      <c r="E675" s="100"/>
      <c r="F675" s="206"/>
      <c r="G675" s="206"/>
      <c r="H675" s="207"/>
      <c r="I675" s="207"/>
      <c r="J675" s="207"/>
      <c r="K675" s="207"/>
      <c r="L675" s="207"/>
      <c r="M675" s="207"/>
      <c r="N675" s="207"/>
      <c r="O675" s="207"/>
      <c r="P675" s="207"/>
      <c r="Q675" s="207"/>
      <c r="R675" s="207"/>
      <c r="S675" s="207"/>
      <c r="T675" s="207"/>
      <c r="U675" s="207"/>
      <c r="V675" s="207"/>
      <c r="W675" s="208"/>
      <c r="X675" s="208"/>
      <c r="Y675" s="208"/>
      <c r="Z675" s="208"/>
      <c r="AA675" s="208"/>
      <c r="AB675" s="208"/>
      <c r="AC675" s="208"/>
      <c r="AD675" s="208"/>
      <c r="AE675" s="208"/>
      <c r="AF675" s="208"/>
      <c r="AG675" s="208"/>
      <c r="AH675" s="208"/>
      <c r="AI675" s="100"/>
    </row>
    <row r="676" ht="14.25" customHeight="1">
      <c r="A676" s="195"/>
      <c r="B676" s="100"/>
      <c r="C676" s="100"/>
      <c r="D676" s="100"/>
      <c r="E676" s="100"/>
      <c r="F676" s="206"/>
      <c r="G676" s="206"/>
      <c r="H676" s="207"/>
      <c r="I676" s="207"/>
      <c r="J676" s="207"/>
      <c r="K676" s="207"/>
      <c r="L676" s="207"/>
      <c r="M676" s="207"/>
      <c r="N676" s="207"/>
      <c r="O676" s="207"/>
      <c r="P676" s="207"/>
      <c r="Q676" s="207"/>
      <c r="R676" s="207"/>
      <c r="S676" s="207"/>
      <c r="T676" s="207"/>
      <c r="U676" s="207"/>
      <c r="V676" s="207"/>
      <c r="W676" s="208"/>
      <c r="X676" s="208"/>
      <c r="Y676" s="208"/>
      <c r="Z676" s="208"/>
      <c r="AA676" s="208"/>
      <c r="AB676" s="208"/>
      <c r="AC676" s="208"/>
      <c r="AD676" s="208"/>
      <c r="AE676" s="208"/>
      <c r="AF676" s="208"/>
      <c r="AG676" s="208"/>
      <c r="AH676" s="208"/>
      <c r="AI676" s="100"/>
    </row>
    <row r="677" ht="14.25" customHeight="1">
      <c r="A677" s="195"/>
      <c r="B677" s="100"/>
      <c r="C677" s="100"/>
      <c r="D677" s="100"/>
      <c r="E677" s="100"/>
      <c r="F677" s="206"/>
      <c r="G677" s="206"/>
      <c r="H677" s="207"/>
      <c r="I677" s="207"/>
      <c r="J677" s="207"/>
      <c r="K677" s="207"/>
      <c r="L677" s="207"/>
      <c r="M677" s="207"/>
      <c r="N677" s="207"/>
      <c r="O677" s="207"/>
      <c r="P677" s="207"/>
      <c r="Q677" s="207"/>
      <c r="R677" s="207"/>
      <c r="S677" s="207"/>
      <c r="T677" s="207"/>
      <c r="U677" s="207"/>
      <c r="V677" s="207"/>
      <c r="W677" s="208"/>
      <c r="X677" s="208"/>
      <c r="Y677" s="208"/>
      <c r="Z677" s="208"/>
      <c r="AA677" s="208"/>
      <c r="AB677" s="208"/>
      <c r="AC677" s="208"/>
      <c r="AD677" s="208"/>
      <c r="AE677" s="208"/>
      <c r="AF677" s="208"/>
      <c r="AG677" s="208"/>
      <c r="AH677" s="208"/>
      <c r="AI677" s="100"/>
    </row>
    <row r="678" ht="14.25" customHeight="1">
      <c r="A678" s="195"/>
      <c r="B678" s="100"/>
      <c r="C678" s="100"/>
      <c r="D678" s="100"/>
      <c r="E678" s="100"/>
      <c r="F678" s="206"/>
      <c r="G678" s="206"/>
      <c r="H678" s="207"/>
      <c r="I678" s="207"/>
      <c r="J678" s="207"/>
      <c r="K678" s="207"/>
      <c r="L678" s="207"/>
      <c r="M678" s="207"/>
      <c r="N678" s="207"/>
      <c r="O678" s="207"/>
      <c r="P678" s="207"/>
      <c r="Q678" s="207"/>
      <c r="R678" s="207"/>
      <c r="S678" s="207"/>
      <c r="T678" s="207"/>
      <c r="U678" s="207"/>
      <c r="V678" s="207"/>
      <c r="W678" s="208"/>
      <c r="X678" s="208"/>
      <c r="Y678" s="208"/>
      <c r="Z678" s="208"/>
      <c r="AA678" s="208"/>
      <c r="AB678" s="208"/>
      <c r="AC678" s="208"/>
      <c r="AD678" s="208"/>
      <c r="AE678" s="208"/>
      <c r="AF678" s="208"/>
      <c r="AG678" s="208"/>
      <c r="AH678" s="208"/>
      <c r="AI678" s="100"/>
    </row>
    <row r="679" ht="14.25" customHeight="1">
      <c r="A679" s="195"/>
      <c r="B679" s="100"/>
      <c r="C679" s="100"/>
      <c r="D679" s="100"/>
      <c r="E679" s="100"/>
      <c r="F679" s="206"/>
      <c r="G679" s="206"/>
      <c r="H679" s="207"/>
      <c r="I679" s="207"/>
      <c r="J679" s="207"/>
      <c r="K679" s="207"/>
      <c r="L679" s="207"/>
      <c r="M679" s="207"/>
      <c r="N679" s="207"/>
      <c r="O679" s="207"/>
      <c r="P679" s="207"/>
      <c r="Q679" s="207"/>
      <c r="R679" s="207"/>
      <c r="S679" s="207"/>
      <c r="T679" s="207"/>
      <c r="U679" s="207"/>
      <c r="V679" s="207"/>
      <c r="W679" s="208"/>
      <c r="X679" s="208"/>
      <c r="Y679" s="208"/>
      <c r="Z679" s="208"/>
      <c r="AA679" s="208"/>
      <c r="AB679" s="208"/>
      <c r="AC679" s="208"/>
      <c r="AD679" s="208"/>
      <c r="AE679" s="208"/>
      <c r="AF679" s="208"/>
      <c r="AG679" s="208"/>
      <c r="AH679" s="208"/>
      <c r="AI679" s="100"/>
    </row>
    <row r="680" ht="14.25" customHeight="1">
      <c r="A680" s="195"/>
      <c r="B680" s="100"/>
      <c r="C680" s="100"/>
      <c r="D680" s="100"/>
      <c r="E680" s="100"/>
      <c r="F680" s="206"/>
      <c r="G680" s="206"/>
      <c r="H680" s="207"/>
      <c r="I680" s="207"/>
      <c r="J680" s="207"/>
      <c r="K680" s="207"/>
      <c r="L680" s="207"/>
      <c r="M680" s="207"/>
      <c r="N680" s="207"/>
      <c r="O680" s="207"/>
      <c r="P680" s="207"/>
      <c r="Q680" s="207"/>
      <c r="R680" s="207"/>
      <c r="S680" s="207"/>
      <c r="T680" s="207"/>
      <c r="U680" s="207"/>
      <c r="V680" s="207"/>
      <c r="W680" s="208"/>
      <c r="X680" s="208"/>
      <c r="Y680" s="208"/>
      <c r="Z680" s="208"/>
      <c r="AA680" s="208"/>
      <c r="AB680" s="208"/>
      <c r="AC680" s="208"/>
      <c r="AD680" s="208"/>
      <c r="AE680" s="208"/>
      <c r="AF680" s="208"/>
      <c r="AG680" s="208"/>
      <c r="AH680" s="208"/>
      <c r="AI680" s="100"/>
    </row>
    <row r="681" ht="14.25" customHeight="1">
      <c r="A681" s="195"/>
      <c r="B681" s="100"/>
      <c r="C681" s="100"/>
      <c r="D681" s="100"/>
      <c r="E681" s="100"/>
      <c r="F681" s="206"/>
      <c r="G681" s="206"/>
      <c r="H681" s="207"/>
      <c r="I681" s="207"/>
      <c r="J681" s="207"/>
      <c r="K681" s="207"/>
      <c r="L681" s="207"/>
      <c r="M681" s="207"/>
      <c r="N681" s="207"/>
      <c r="O681" s="207"/>
      <c r="P681" s="207"/>
      <c r="Q681" s="207"/>
      <c r="R681" s="207"/>
      <c r="S681" s="207"/>
      <c r="T681" s="207"/>
      <c r="U681" s="207"/>
      <c r="V681" s="207"/>
      <c r="W681" s="208"/>
      <c r="X681" s="208"/>
      <c r="Y681" s="208"/>
      <c r="Z681" s="208"/>
      <c r="AA681" s="208"/>
      <c r="AB681" s="208"/>
      <c r="AC681" s="208"/>
      <c r="AD681" s="208"/>
      <c r="AE681" s="208"/>
      <c r="AF681" s="208"/>
      <c r="AG681" s="208"/>
      <c r="AH681" s="208"/>
      <c r="AI681" s="100"/>
    </row>
    <row r="682" ht="14.25" customHeight="1">
      <c r="A682" s="195"/>
      <c r="B682" s="100"/>
      <c r="C682" s="100"/>
      <c r="D682" s="100"/>
      <c r="E682" s="100"/>
      <c r="F682" s="206"/>
      <c r="G682" s="206"/>
      <c r="H682" s="207"/>
      <c r="I682" s="207"/>
      <c r="J682" s="207"/>
      <c r="K682" s="207"/>
      <c r="L682" s="207"/>
      <c r="M682" s="207"/>
      <c r="N682" s="207"/>
      <c r="O682" s="207"/>
      <c r="P682" s="207"/>
      <c r="Q682" s="207"/>
      <c r="R682" s="207"/>
      <c r="S682" s="207"/>
      <c r="T682" s="207"/>
      <c r="U682" s="207"/>
      <c r="V682" s="207"/>
      <c r="W682" s="208"/>
      <c r="X682" s="208"/>
      <c r="Y682" s="208"/>
      <c r="Z682" s="208"/>
      <c r="AA682" s="208"/>
      <c r="AB682" s="208"/>
      <c r="AC682" s="208"/>
      <c r="AD682" s="208"/>
      <c r="AE682" s="208"/>
      <c r="AF682" s="208"/>
      <c r="AG682" s="208"/>
      <c r="AH682" s="208"/>
      <c r="AI682" s="100"/>
    </row>
    <row r="683" ht="14.25" customHeight="1">
      <c r="A683" s="195"/>
      <c r="B683" s="100"/>
      <c r="C683" s="100"/>
      <c r="D683" s="100"/>
      <c r="E683" s="100"/>
      <c r="F683" s="206"/>
      <c r="G683" s="206"/>
      <c r="H683" s="207"/>
      <c r="I683" s="207"/>
      <c r="J683" s="207"/>
      <c r="K683" s="207"/>
      <c r="L683" s="207"/>
      <c r="M683" s="207"/>
      <c r="N683" s="207"/>
      <c r="O683" s="207"/>
      <c r="P683" s="207"/>
      <c r="Q683" s="207"/>
      <c r="R683" s="207"/>
      <c r="S683" s="207"/>
      <c r="T683" s="207"/>
      <c r="U683" s="207"/>
      <c r="V683" s="207"/>
      <c r="W683" s="208"/>
      <c r="X683" s="208"/>
      <c r="Y683" s="208"/>
      <c r="Z683" s="208"/>
      <c r="AA683" s="208"/>
      <c r="AB683" s="208"/>
      <c r="AC683" s="208"/>
      <c r="AD683" s="208"/>
      <c r="AE683" s="208"/>
      <c r="AF683" s="208"/>
      <c r="AG683" s="208"/>
      <c r="AH683" s="208"/>
      <c r="AI683" s="100"/>
    </row>
    <row r="684" ht="14.25" customHeight="1">
      <c r="A684" s="195"/>
      <c r="B684" s="100"/>
      <c r="C684" s="100"/>
      <c r="D684" s="100"/>
      <c r="E684" s="100"/>
      <c r="F684" s="206"/>
      <c r="G684" s="206"/>
      <c r="H684" s="207"/>
      <c r="I684" s="207"/>
      <c r="J684" s="207"/>
      <c r="K684" s="207"/>
      <c r="L684" s="207"/>
      <c r="M684" s="207"/>
      <c r="N684" s="207"/>
      <c r="O684" s="207"/>
      <c r="P684" s="207"/>
      <c r="Q684" s="207"/>
      <c r="R684" s="207"/>
      <c r="S684" s="207"/>
      <c r="T684" s="207"/>
      <c r="U684" s="207"/>
      <c r="V684" s="207"/>
      <c r="W684" s="208"/>
      <c r="X684" s="208"/>
      <c r="Y684" s="208"/>
      <c r="Z684" s="208"/>
      <c r="AA684" s="208"/>
      <c r="AB684" s="208"/>
      <c r="AC684" s="208"/>
      <c r="AD684" s="208"/>
      <c r="AE684" s="208"/>
      <c r="AF684" s="208"/>
      <c r="AG684" s="208"/>
      <c r="AH684" s="208"/>
      <c r="AI684" s="100"/>
    </row>
    <row r="685" ht="14.25" customHeight="1">
      <c r="A685" s="195"/>
      <c r="B685" s="100"/>
      <c r="C685" s="100"/>
      <c r="D685" s="100"/>
      <c r="E685" s="100"/>
      <c r="F685" s="206"/>
      <c r="G685" s="206"/>
      <c r="H685" s="207"/>
      <c r="I685" s="207"/>
      <c r="J685" s="207"/>
      <c r="K685" s="207"/>
      <c r="L685" s="207"/>
      <c r="M685" s="207"/>
      <c r="N685" s="207"/>
      <c r="O685" s="207"/>
      <c r="P685" s="207"/>
      <c r="Q685" s="207"/>
      <c r="R685" s="207"/>
      <c r="S685" s="207"/>
      <c r="T685" s="207"/>
      <c r="U685" s="207"/>
      <c r="V685" s="207"/>
      <c r="W685" s="208"/>
      <c r="X685" s="208"/>
      <c r="Y685" s="208"/>
      <c r="Z685" s="208"/>
      <c r="AA685" s="208"/>
      <c r="AB685" s="208"/>
      <c r="AC685" s="208"/>
      <c r="AD685" s="208"/>
      <c r="AE685" s="208"/>
      <c r="AF685" s="208"/>
      <c r="AG685" s="208"/>
      <c r="AH685" s="208"/>
      <c r="AI685" s="100"/>
    </row>
    <row r="686" ht="14.25" customHeight="1">
      <c r="A686" s="195"/>
      <c r="B686" s="100"/>
      <c r="C686" s="100"/>
      <c r="D686" s="100"/>
      <c r="E686" s="100"/>
      <c r="F686" s="206"/>
      <c r="G686" s="206"/>
      <c r="H686" s="207"/>
      <c r="I686" s="207"/>
      <c r="J686" s="207"/>
      <c r="K686" s="207"/>
      <c r="L686" s="207"/>
      <c r="M686" s="207"/>
      <c r="N686" s="207"/>
      <c r="O686" s="207"/>
      <c r="P686" s="207"/>
      <c r="Q686" s="207"/>
      <c r="R686" s="207"/>
      <c r="S686" s="207"/>
      <c r="T686" s="207"/>
      <c r="U686" s="207"/>
      <c r="V686" s="207"/>
      <c r="W686" s="208"/>
      <c r="X686" s="208"/>
      <c r="Y686" s="208"/>
      <c r="Z686" s="208"/>
      <c r="AA686" s="208"/>
      <c r="AB686" s="208"/>
      <c r="AC686" s="208"/>
      <c r="AD686" s="208"/>
      <c r="AE686" s="208"/>
      <c r="AF686" s="208"/>
      <c r="AG686" s="208"/>
      <c r="AH686" s="208"/>
      <c r="AI686" s="100"/>
    </row>
    <row r="687" ht="14.25" customHeight="1">
      <c r="A687" s="195"/>
      <c r="B687" s="100"/>
      <c r="C687" s="100"/>
      <c r="D687" s="100"/>
      <c r="E687" s="100"/>
      <c r="F687" s="206"/>
      <c r="G687" s="206"/>
      <c r="H687" s="207"/>
      <c r="I687" s="207"/>
      <c r="J687" s="207"/>
      <c r="K687" s="207"/>
      <c r="L687" s="207"/>
      <c r="M687" s="207"/>
      <c r="N687" s="207"/>
      <c r="O687" s="207"/>
      <c r="P687" s="207"/>
      <c r="Q687" s="207"/>
      <c r="R687" s="207"/>
      <c r="S687" s="207"/>
      <c r="T687" s="207"/>
      <c r="U687" s="207"/>
      <c r="V687" s="207"/>
      <c r="W687" s="208"/>
      <c r="X687" s="208"/>
      <c r="Y687" s="208"/>
      <c r="Z687" s="208"/>
      <c r="AA687" s="208"/>
      <c r="AB687" s="208"/>
      <c r="AC687" s="208"/>
      <c r="AD687" s="208"/>
      <c r="AE687" s="208"/>
      <c r="AF687" s="208"/>
      <c r="AG687" s="208"/>
      <c r="AH687" s="208"/>
      <c r="AI687" s="100"/>
    </row>
    <row r="688" ht="14.25" customHeight="1">
      <c r="A688" s="195"/>
      <c r="B688" s="100"/>
      <c r="C688" s="100"/>
      <c r="D688" s="100"/>
      <c r="E688" s="100"/>
      <c r="F688" s="206"/>
      <c r="G688" s="206"/>
      <c r="H688" s="207"/>
      <c r="I688" s="207"/>
      <c r="J688" s="207"/>
      <c r="K688" s="207"/>
      <c r="L688" s="207"/>
      <c r="M688" s="207"/>
      <c r="N688" s="207"/>
      <c r="O688" s="207"/>
      <c r="P688" s="207"/>
      <c r="Q688" s="207"/>
      <c r="R688" s="207"/>
      <c r="S688" s="207"/>
      <c r="T688" s="207"/>
      <c r="U688" s="207"/>
      <c r="V688" s="207"/>
      <c r="W688" s="208"/>
      <c r="X688" s="208"/>
      <c r="Y688" s="208"/>
      <c r="Z688" s="208"/>
      <c r="AA688" s="208"/>
      <c r="AB688" s="208"/>
      <c r="AC688" s="208"/>
      <c r="AD688" s="208"/>
      <c r="AE688" s="208"/>
      <c r="AF688" s="208"/>
      <c r="AG688" s="208"/>
      <c r="AH688" s="208"/>
      <c r="AI688" s="100"/>
    </row>
    <row r="689" ht="14.25" customHeight="1">
      <c r="A689" s="195"/>
      <c r="B689" s="100"/>
      <c r="C689" s="100"/>
      <c r="D689" s="100"/>
      <c r="E689" s="100"/>
      <c r="F689" s="206"/>
      <c r="G689" s="206"/>
      <c r="H689" s="207"/>
      <c r="I689" s="207"/>
      <c r="J689" s="207"/>
      <c r="K689" s="207"/>
      <c r="L689" s="207"/>
      <c r="M689" s="207"/>
      <c r="N689" s="207"/>
      <c r="O689" s="207"/>
      <c r="P689" s="207"/>
      <c r="Q689" s="207"/>
      <c r="R689" s="207"/>
      <c r="S689" s="207"/>
      <c r="T689" s="207"/>
      <c r="U689" s="207"/>
      <c r="V689" s="207"/>
      <c r="W689" s="208"/>
      <c r="X689" s="208"/>
      <c r="Y689" s="208"/>
      <c r="Z689" s="208"/>
      <c r="AA689" s="208"/>
      <c r="AB689" s="208"/>
      <c r="AC689" s="208"/>
      <c r="AD689" s="208"/>
      <c r="AE689" s="208"/>
      <c r="AF689" s="208"/>
      <c r="AG689" s="208"/>
      <c r="AH689" s="208"/>
      <c r="AI689" s="100"/>
    </row>
    <row r="690" ht="14.25" customHeight="1">
      <c r="A690" s="195"/>
      <c r="B690" s="100"/>
      <c r="C690" s="100"/>
      <c r="D690" s="100"/>
      <c r="E690" s="100"/>
      <c r="F690" s="206"/>
      <c r="G690" s="206"/>
      <c r="H690" s="207"/>
      <c r="I690" s="207"/>
      <c r="J690" s="207"/>
      <c r="K690" s="207"/>
      <c r="L690" s="207"/>
      <c r="M690" s="207"/>
      <c r="N690" s="207"/>
      <c r="O690" s="207"/>
      <c r="P690" s="207"/>
      <c r="Q690" s="207"/>
      <c r="R690" s="207"/>
      <c r="S690" s="207"/>
      <c r="T690" s="207"/>
      <c r="U690" s="207"/>
      <c r="V690" s="207"/>
      <c r="W690" s="208"/>
      <c r="X690" s="208"/>
      <c r="Y690" s="208"/>
      <c r="Z690" s="208"/>
      <c r="AA690" s="208"/>
      <c r="AB690" s="208"/>
      <c r="AC690" s="208"/>
      <c r="AD690" s="208"/>
      <c r="AE690" s="208"/>
      <c r="AF690" s="208"/>
      <c r="AG690" s="208"/>
      <c r="AH690" s="208"/>
      <c r="AI690" s="100"/>
    </row>
    <row r="691" ht="14.25" customHeight="1">
      <c r="A691" s="195"/>
      <c r="B691" s="100"/>
      <c r="C691" s="100"/>
      <c r="D691" s="100"/>
      <c r="E691" s="100"/>
      <c r="F691" s="206"/>
      <c r="G691" s="206"/>
      <c r="H691" s="207"/>
      <c r="I691" s="207"/>
      <c r="J691" s="207"/>
      <c r="K691" s="207"/>
      <c r="L691" s="207"/>
      <c r="M691" s="207"/>
      <c r="N691" s="207"/>
      <c r="O691" s="207"/>
      <c r="P691" s="207"/>
      <c r="Q691" s="207"/>
      <c r="R691" s="207"/>
      <c r="S691" s="207"/>
      <c r="T691" s="207"/>
      <c r="U691" s="207"/>
      <c r="V691" s="207"/>
      <c r="W691" s="208"/>
      <c r="X691" s="208"/>
      <c r="Y691" s="208"/>
      <c r="Z691" s="208"/>
      <c r="AA691" s="208"/>
      <c r="AB691" s="208"/>
      <c r="AC691" s="208"/>
      <c r="AD691" s="208"/>
      <c r="AE691" s="208"/>
      <c r="AF691" s="208"/>
      <c r="AG691" s="208"/>
      <c r="AH691" s="208"/>
      <c r="AI691" s="100"/>
    </row>
    <row r="692" ht="14.25" customHeight="1">
      <c r="A692" s="195"/>
      <c r="B692" s="100"/>
      <c r="C692" s="100"/>
      <c r="D692" s="100"/>
      <c r="E692" s="100"/>
      <c r="F692" s="206"/>
      <c r="G692" s="206"/>
      <c r="H692" s="207"/>
      <c r="I692" s="207"/>
      <c r="J692" s="207"/>
      <c r="K692" s="207"/>
      <c r="L692" s="207"/>
      <c r="M692" s="207"/>
      <c r="N692" s="207"/>
      <c r="O692" s="207"/>
      <c r="P692" s="207"/>
      <c r="Q692" s="207"/>
      <c r="R692" s="207"/>
      <c r="S692" s="207"/>
      <c r="T692" s="207"/>
      <c r="U692" s="207"/>
      <c r="V692" s="207"/>
      <c r="W692" s="208"/>
      <c r="X692" s="208"/>
      <c r="Y692" s="208"/>
      <c r="Z692" s="208"/>
      <c r="AA692" s="208"/>
      <c r="AB692" s="208"/>
      <c r="AC692" s="208"/>
      <c r="AD692" s="208"/>
      <c r="AE692" s="208"/>
      <c r="AF692" s="208"/>
      <c r="AG692" s="208"/>
      <c r="AH692" s="208"/>
      <c r="AI692" s="100"/>
    </row>
    <row r="693" ht="14.25" customHeight="1">
      <c r="A693" s="195"/>
      <c r="B693" s="100"/>
      <c r="C693" s="100"/>
      <c r="D693" s="100"/>
      <c r="E693" s="100"/>
      <c r="F693" s="206"/>
      <c r="G693" s="206"/>
      <c r="H693" s="207"/>
      <c r="I693" s="207"/>
      <c r="J693" s="207"/>
      <c r="K693" s="207"/>
      <c r="L693" s="207"/>
      <c r="M693" s="207"/>
      <c r="N693" s="207"/>
      <c r="O693" s="207"/>
      <c r="P693" s="207"/>
      <c r="Q693" s="207"/>
      <c r="R693" s="207"/>
      <c r="S693" s="207"/>
      <c r="T693" s="207"/>
      <c r="U693" s="207"/>
      <c r="V693" s="207"/>
      <c r="W693" s="208"/>
      <c r="X693" s="208"/>
      <c r="Y693" s="208"/>
      <c r="Z693" s="208"/>
      <c r="AA693" s="208"/>
      <c r="AB693" s="208"/>
      <c r="AC693" s="208"/>
      <c r="AD693" s="208"/>
      <c r="AE693" s="208"/>
      <c r="AF693" s="208"/>
      <c r="AG693" s="208"/>
      <c r="AH693" s="208"/>
      <c r="AI693" s="100"/>
    </row>
    <row r="694" ht="14.25" customHeight="1">
      <c r="A694" s="195"/>
      <c r="B694" s="100"/>
      <c r="C694" s="100"/>
      <c r="D694" s="100"/>
      <c r="E694" s="100"/>
      <c r="F694" s="206"/>
      <c r="G694" s="206"/>
      <c r="H694" s="207"/>
      <c r="I694" s="207"/>
      <c r="J694" s="207"/>
      <c r="K694" s="207"/>
      <c r="L694" s="207"/>
      <c r="M694" s="207"/>
      <c r="N694" s="207"/>
      <c r="O694" s="207"/>
      <c r="P694" s="207"/>
      <c r="Q694" s="207"/>
      <c r="R694" s="207"/>
      <c r="S694" s="207"/>
      <c r="T694" s="207"/>
      <c r="U694" s="207"/>
      <c r="V694" s="207"/>
      <c r="W694" s="208"/>
      <c r="X694" s="208"/>
      <c r="Y694" s="208"/>
      <c r="Z694" s="208"/>
      <c r="AA694" s="208"/>
      <c r="AB694" s="208"/>
      <c r="AC694" s="208"/>
      <c r="AD694" s="208"/>
      <c r="AE694" s="208"/>
      <c r="AF694" s="208"/>
      <c r="AG694" s="208"/>
      <c r="AH694" s="208"/>
      <c r="AI694" s="100"/>
    </row>
    <row r="695" ht="14.25" customHeight="1">
      <c r="A695" s="195"/>
      <c r="B695" s="100"/>
      <c r="C695" s="100"/>
      <c r="D695" s="100"/>
      <c r="E695" s="100"/>
      <c r="F695" s="206"/>
      <c r="G695" s="206"/>
      <c r="H695" s="207"/>
      <c r="I695" s="207"/>
      <c r="J695" s="207"/>
      <c r="K695" s="207"/>
      <c r="L695" s="207"/>
      <c r="M695" s="207"/>
      <c r="N695" s="207"/>
      <c r="O695" s="207"/>
      <c r="P695" s="207"/>
      <c r="Q695" s="207"/>
      <c r="R695" s="207"/>
      <c r="S695" s="207"/>
      <c r="T695" s="207"/>
      <c r="U695" s="207"/>
      <c r="V695" s="207"/>
      <c r="W695" s="208"/>
      <c r="X695" s="208"/>
      <c r="Y695" s="208"/>
      <c r="Z695" s="208"/>
      <c r="AA695" s="208"/>
      <c r="AB695" s="208"/>
      <c r="AC695" s="208"/>
      <c r="AD695" s="208"/>
      <c r="AE695" s="208"/>
      <c r="AF695" s="208"/>
      <c r="AG695" s="208"/>
      <c r="AH695" s="208"/>
      <c r="AI695" s="100"/>
    </row>
    <row r="696" ht="14.25" customHeight="1">
      <c r="A696" s="195"/>
      <c r="B696" s="100"/>
      <c r="C696" s="100"/>
      <c r="D696" s="100"/>
      <c r="E696" s="100"/>
      <c r="F696" s="206"/>
      <c r="G696" s="206"/>
      <c r="H696" s="207"/>
      <c r="I696" s="207"/>
      <c r="J696" s="207"/>
      <c r="K696" s="207"/>
      <c r="L696" s="207"/>
      <c r="M696" s="207"/>
      <c r="N696" s="207"/>
      <c r="O696" s="207"/>
      <c r="P696" s="207"/>
      <c r="Q696" s="207"/>
      <c r="R696" s="207"/>
      <c r="S696" s="207"/>
      <c r="T696" s="207"/>
      <c r="U696" s="207"/>
      <c r="V696" s="207"/>
      <c r="W696" s="208"/>
      <c r="X696" s="208"/>
      <c r="Y696" s="208"/>
      <c r="Z696" s="208"/>
      <c r="AA696" s="208"/>
      <c r="AB696" s="208"/>
      <c r="AC696" s="208"/>
      <c r="AD696" s="208"/>
      <c r="AE696" s="208"/>
      <c r="AF696" s="208"/>
      <c r="AG696" s="208"/>
      <c r="AH696" s="208"/>
      <c r="AI696" s="100"/>
    </row>
    <row r="697" ht="14.25" customHeight="1">
      <c r="A697" s="195"/>
      <c r="B697" s="100"/>
      <c r="C697" s="100"/>
      <c r="D697" s="100"/>
      <c r="E697" s="100"/>
      <c r="F697" s="206"/>
      <c r="G697" s="206"/>
      <c r="H697" s="207"/>
      <c r="I697" s="207"/>
      <c r="J697" s="207"/>
      <c r="K697" s="207"/>
      <c r="L697" s="207"/>
      <c r="M697" s="207"/>
      <c r="N697" s="207"/>
      <c r="O697" s="207"/>
      <c r="P697" s="207"/>
      <c r="Q697" s="207"/>
      <c r="R697" s="207"/>
      <c r="S697" s="207"/>
      <c r="T697" s="207"/>
      <c r="U697" s="207"/>
      <c r="V697" s="207"/>
      <c r="W697" s="208"/>
      <c r="X697" s="208"/>
      <c r="Y697" s="208"/>
      <c r="Z697" s="208"/>
      <c r="AA697" s="208"/>
      <c r="AB697" s="208"/>
      <c r="AC697" s="208"/>
      <c r="AD697" s="208"/>
      <c r="AE697" s="208"/>
      <c r="AF697" s="208"/>
      <c r="AG697" s="208"/>
      <c r="AH697" s="208"/>
      <c r="AI697" s="100"/>
    </row>
    <row r="698" ht="14.25" customHeight="1">
      <c r="A698" s="195"/>
      <c r="B698" s="100"/>
      <c r="C698" s="100"/>
      <c r="D698" s="100"/>
      <c r="E698" s="100"/>
      <c r="F698" s="206"/>
      <c r="G698" s="206"/>
      <c r="H698" s="207"/>
      <c r="I698" s="207"/>
      <c r="J698" s="207"/>
      <c r="K698" s="207"/>
      <c r="L698" s="207"/>
      <c r="M698" s="207"/>
      <c r="N698" s="207"/>
      <c r="O698" s="207"/>
      <c r="P698" s="207"/>
      <c r="Q698" s="207"/>
      <c r="R698" s="207"/>
      <c r="S698" s="207"/>
      <c r="T698" s="207"/>
      <c r="U698" s="207"/>
      <c r="V698" s="207"/>
      <c r="W698" s="208"/>
      <c r="X698" s="208"/>
      <c r="Y698" s="208"/>
      <c r="Z698" s="208"/>
      <c r="AA698" s="208"/>
      <c r="AB698" s="208"/>
      <c r="AC698" s="208"/>
      <c r="AD698" s="208"/>
      <c r="AE698" s="208"/>
      <c r="AF698" s="208"/>
      <c r="AG698" s="208"/>
      <c r="AH698" s="208"/>
      <c r="AI698" s="100"/>
    </row>
    <row r="699" ht="14.25" customHeight="1">
      <c r="A699" s="195"/>
      <c r="B699" s="100"/>
      <c r="C699" s="100"/>
      <c r="D699" s="100"/>
      <c r="E699" s="100"/>
      <c r="F699" s="206"/>
      <c r="G699" s="206"/>
      <c r="H699" s="207"/>
      <c r="I699" s="207"/>
      <c r="J699" s="207"/>
      <c r="K699" s="207"/>
      <c r="L699" s="207"/>
      <c r="M699" s="207"/>
      <c r="N699" s="207"/>
      <c r="O699" s="207"/>
      <c r="P699" s="207"/>
      <c r="Q699" s="207"/>
      <c r="R699" s="207"/>
      <c r="S699" s="207"/>
      <c r="T699" s="207"/>
      <c r="U699" s="207"/>
      <c r="V699" s="207"/>
      <c r="W699" s="208"/>
      <c r="X699" s="208"/>
      <c r="Y699" s="208"/>
      <c r="Z699" s="208"/>
      <c r="AA699" s="208"/>
      <c r="AB699" s="208"/>
      <c r="AC699" s="208"/>
      <c r="AD699" s="208"/>
      <c r="AE699" s="208"/>
      <c r="AF699" s="208"/>
      <c r="AG699" s="208"/>
      <c r="AH699" s="208"/>
      <c r="AI699" s="100"/>
    </row>
    <row r="700" ht="14.25" customHeight="1">
      <c r="A700" s="195"/>
      <c r="B700" s="100"/>
      <c r="C700" s="100"/>
      <c r="D700" s="100"/>
      <c r="E700" s="100"/>
      <c r="F700" s="206"/>
      <c r="G700" s="206"/>
      <c r="H700" s="207"/>
      <c r="I700" s="207"/>
      <c r="J700" s="207"/>
      <c r="K700" s="207"/>
      <c r="L700" s="207"/>
      <c r="M700" s="207"/>
      <c r="N700" s="207"/>
      <c r="O700" s="207"/>
      <c r="P700" s="207"/>
      <c r="Q700" s="207"/>
      <c r="R700" s="207"/>
      <c r="S700" s="207"/>
      <c r="T700" s="207"/>
      <c r="U700" s="207"/>
      <c r="V700" s="207"/>
      <c r="W700" s="208"/>
      <c r="X700" s="208"/>
      <c r="Y700" s="208"/>
      <c r="Z700" s="208"/>
      <c r="AA700" s="208"/>
      <c r="AB700" s="208"/>
      <c r="AC700" s="208"/>
      <c r="AD700" s="208"/>
      <c r="AE700" s="208"/>
      <c r="AF700" s="208"/>
      <c r="AG700" s="208"/>
      <c r="AH700" s="208"/>
      <c r="AI700" s="100"/>
    </row>
    <row r="701" ht="14.25" customHeight="1">
      <c r="A701" s="195"/>
      <c r="B701" s="100"/>
      <c r="C701" s="100"/>
      <c r="D701" s="100"/>
      <c r="E701" s="100"/>
      <c r="F701" s="206"/>
      <c r="G701" s="206"/>
      <c r="H701" s="207"/>
      <c r="I701" s="207"/>
      <c r="J701" s="207"/>
      <c r="K701" s="207"/>
      <c r="L701" s="207"/>
      <c r="M701" s="207"/>
      <c r="N701" s="207"/>
      <c r="O701" s="207"/>
      <c r="P701" s="207"/>
      <c r="Q701" s="207"/>
      <c r="R701" s="207"/>
      <c r="S701" s="207"/>
      <c r="T701" s="207"/>
      <c r="U701" s="207"/>
      <c r="V701" s="207"/>
      <c r="W701" s="208"/>
      <c r="X701" s="208"/>
      <c r="Y701" s="208"/>
      <c r="Z701" s="208"/>
      <c r="AA701" s="208"/>
      <c r="AB701" s="208"/>
      <c r="AC701" s="208"/>
      <c r="AD701" s="208"/>
      <c r="AE701" s="208"/>
      <c r="AF701" s="208"/>
      <c r="AG701" s="208"/>
      <c r="AH701" s="208"/>
      <c r="AI701" s="100"/>
    </row>
    <row r="702" ht="14.25" customHeight="1">
      <c r="A702" s="195"/>
      <c r="B702" s="100"/>
      <c r="C702" s="100"/>
      <c r="D702" s="100"/>
      <c r="E702" s="100"/>
      <c r="F702" s="206"/>
      <c r="G702" s="206"/>
      <c r="H702" s="207"/>
      <c r="I702" s="207"/>
      <c r="J702" s="207"/>
      <c r="K702" s="207"/>
      <c r="L702" s="207"/>
      <c r="M702" s="207"/>
      <c r="N702" s="207"/>
      <c r="O702" s="207"/>
      <c r="P702" s="207"/>
      <c r="Q702" s="207"/>
      <c r="R702" s="207"/>
      <c r="S702" s="207"/>
      <c r="T702" s="207"/>
      <c r="U702" s="207"/>
      <c r="V702" s="207"/>
      <c r="W702" s="208"/>
      <c r="X702" s="208"/>
      <c r="Y702" s="208"/>
      <c r="Z702" s="208"/>
      <c r="AA702" s="208"/>
      <c r="AB702" s="208"/>
      <c r="AC702" s="208"/>
      <c r="AD702" s="208"/>
      <c r="AE702" s="208"/>
      <c r="AF702" s="208"/>
      <c r="AG702" s="208"/>
      <c r="AH702" s="208"/>
      <c r="AI702" s="100"/>
    </row>
    <row r="703" ht="14.25" customHeight="1">
      <c r="A703" s="195"/>
      <c r="B703" s="100"/>
      <c r="C703" s="100"/>
      <c r="D703" s="100"/>
      <c r="E703" s="100"/>
      <c r="F703" s="206"/>
      <c r="G703" s="206"/>
      <c r="H703" s="207"/>
      <c r="I703" s="207"/>
      <c r="J703" s="207"/>
      <c r="K703" s="207"/>
      <c r="L703" s="207"/>
      <c r="M703" s="207"/>
      <c r="N703" s="207"/>
      <c r="O703" s="207"/>
      <c r="P703" s="207"/>
      <c r="Q703" s="207"/>
      <c r="R703" s="207"/>
      <c r="S703" s="207"/>
      <c r="T703" s="207"/>
      <c r="U703" s="207"/>
      <c r="V703" s="207"/>
      <c r="W703" s="208"/>
      <c r="X703" s="208"/>
      <c r="Y703" s="208"/>
      <c r="Z703" s="208"/>
      <c r="AA703" s="208"/>
      <c r="AB703" s="208"/>
      <c r="AC703" s="208"/>
      <c r="AD703" s="208"/>
      <c r="AE703" s="208"/>
      <c r="AF703" s="208"/>
      <c r="AG703" s="208"/>
      <c r="AH703" s="208"/>
      <c r="AI703" s="100"/>
    </row>
    <row r="704" ht="14.25" customHeight="1">
      <c r="A704" s="195"/>
      <c r="B704" s="100"/>
      <c r="C704" s="100"/>
      <c r="D704" s="100"/>
      <c r="E704" s="100"/>
      <c r="F704" s="206"/>
      <c r="G704" s="206"/>
      <c r="H704" s="207"/>
      <c r="I704" s="207"/>
      <c r="J704" s="207"/>
      <c r="K704" s="207"/>
      <c r="L704" s="207"/>
      <c r="M704" s="207"/>
      <c r="N704" s="207"/>
      <c r="O704" s="207"/>
      <c r="P704" s="207"/>
      <c r="Q704" s="207"/>
      <c r="R704" s="207"/>
      <c r="S704" s="207"/>
      <c r="T704" s="207"/>
      <c r="U704" s="207"/>
      <c r="V704" s="207"/>
      <c r="W704" s="208"/>
      <c r="X704" s="208"/>
      <c r="Y704" s="208"/>
      <c r="Z704" s="208"/>
      <c r="AA704" s="208"/>
      <c r="AB704" s="208"/>
      <c r="AC704" s="208"/>
      <c r="AD704" s="208"/>
      <c r="AE704" s="208"/>
      <c r="AF704" s="208"/>
      <c r="AG704" s="208"/>
      <c r="AH704" s="208"/>
      <c r="AI704" s="100"/>
    </row>
    <row r="705" ht="14.25" customHeight="1">
      <c r="A705" s="195"/>
      <c r="B705" s="100"/>
      <c r="C705" s="100"/>
      <c r="D705" s="100"/>
      <c r="E705" s="100"/>
      <c r="F705" s="206"/>
      <c r="G705" s="206"/>
      <c r="H705" s="207"/>
      <c r="I705" s="207"/>
      <c r="J705" s="207"/>
      <c r="K705" s="207"/>
      <c r="L705" s="207"/>
      <c r="M705" s="207"/>
      <c r="N705" s="207"/>
      <c r="O705" s="207"/>
      <c r="P705" s="207"/>
      <c r="Q705" s="207"/>
      <c r="R705" s="207"/>
      <c r="S705" s="207"/>
      <c r="T705" s="207"/>
      <c r="U705" s="207"/>
      <c r="V705" s="207"/>
      <c r="W705" s="208"/>
      <c r="X705" s="208"/>
      <c r="Y705" s="208"/>
      <c r="Z705" s="208"/>
      <c r="AA705" s="208"/>
      <c r="AB705" s="208"/>
      <c r="AC705" s="208"/>
      <c r="AD705" s="208"/>
      <c r="AE705" s="208"/>
      <c r="AF705" s="208"/>
      <c r="AG705" s="208"/>
      <c r="AH705" s="208"/>
      <c r="AI705" s="100"/>
    </row>
    <row r="706" ht="14.25" customHeight="1">
      <c r="A706" s="195"/>
      <c r="B706" s="100"/>
      <c r="C706" s="100"/>
      <c r="D706" s="100"/>
      <c r="E706" s="100"/>
      <c r="F706" s="206"/>
      <c r="G706" s="206"/>
      <c r="H706" s="207"/>
      <c r="I706" s="207"/>
      <c r="J706" s="207"/>
      <c r="K706" s="207"/>
      <c r="L706" s="207"/>
      <c r="M706" s="207"/>
      <c r="N706" s="207"/>
      <c r="O706" s="207"/>
      <c r="P706" s="207"/>
      <c r="Q706" s="207"/>
      <c r="R706" s="207"/>
      <c r="S706" s="207"/>
      <c r="T706" s="207"/>
      <c r="U706" s="207"/>
      <c r="V706" s="207"/>
      <c r="W706" s="208"/>
      <c r="X706" s="208"/>
      <c r="Y706" s="208"/>
      <c r="Z706" s="208"/>
      <c r="AA706" s="208"/>
      <c r="AB706" s="208"/>
      <c r="AC706" s="208"/>
      <c r="AD706" s="208"/>
      <c r="AE706" s="208"/>
      <c r="AF706" s="208"/>
      <c r="AG706" s="208"/>
      <c r="AH706" s="208"/>
      <c r="AI706" s="100"/>
    </row>
    <row r="707" ht="14.25" customHeight="1">
      <c r="A707" s="195"/>
      <c r="B707" s="100"/>
      <c r="C707" s="100"/>
      <c r="D707" s="100"/>
      <c r="E707" s="100"/>
      <c r="F707" s="206"/>
      <c r="G707" s="206"/>
      <c r="H707" s="207"/>
      <c r="I707" s="207"/>
      <c r="J707" s="207"/>
      <c r="K707" s="207"/>
      <c r="L707" s="207"/>
      <c r="M707" s="207"/>
      <c r="N707" s="207"/>
      <c r="O707" s="207"/>
      <c r="P707" s="207"/>
      <c r="Q707" s="207"/>
      <c r="R707" s="207"/>
      <c r="S707" s="207"/>
      <c r="T707" s="207"/>
      <c r="U707" s="207"/>
      <c r="V707" s="207"/>
      <c r="W707" s="208"/>
      <c r="X707" s="208"/>
      <c r="Y707" s="208"/>
      <c r="Z707" s="208"/>
      <c r="AA707" s="208"/>
      <c r="AB707" s="208"/>
      <c r="AC707" s="208"/>
      <c r="AD707" s="208"/>
      <c r="AE707" s="208"/>
      <c r="AF707" s="208"/>
      <c r="AG707" s="208"/>
      <c r="AH707" s="208"/>
      <c r="AI707" s="100"/>
    </row>
    <row r="708" ht="14.25" customHeight="1">
      <c r="A708" s="195"/>
      <c r="B708" s="100"/>
      <c r="C708" s="100"/>
      <c r="D708" s="100"/>
      <c r="E708" s="100"/>
      <c r="F708" s="206"/>
      <c r="G708" s="206"/>
      <c r="H708" s="207"/>
      <c r="I708" s="207"/>
      <c r="J708" s="207"/>
      <c r="K708" s="207"/>
      <c r="L708" s="207"/>
      <c r="M708" s="207"/>
      <c r="N708" s="207"/>
      <c r="O708" s="207"/>
      <c r="P708" s="207"/>
      <c r="Q708" s="207"/>
      <c r="R708" s="207"/>
      <c r="S708" s="207"/>
      <c r="T708" s="207"/>
      <c r="U708" s="207"/>
      <c r="V708" s="207"/>
      <c r="W708" s="208"/>
      <c r="X708" s="208"/>
      <c r="Y708" s="208"/>
      <c r="Z708" s="208"/>
      <c r="AA708" s="208"/>
      <c r="AB708" s="208"/>
      <c r="AC708" s="208"/>
      <c r="AD708" s="208"/>
      <c r="AE708" s="208"/>
      <c r="AF708" s="208"/>
      <c r="AG708" s="208"/>
      <c r="AH708" s="208"/>
      <c r="AI708" s="100"/>
    </row>
    <row r="709" ht="14.25" customHeight="1">
      <c r="A709" s="195"/>
      <c r="B709" s="100"/>
      <c r="C709" s="100"/>
      <c r="D709" s="100"/>
      <c r="E709" s="100"/>
      <c r="F709" s="206"/>
      <c r="G709" s="206"/>
      <c r="H709" s="207"/>
      <c r="I709" s="207"/>
      <c r="J709" s="207"/>
      <c r="K709" s="207"/>
      <c r="L709" s="207"/>
      <c r="M709" s="207"/>
      <c r="N709" s="207"/>
      <c r="O709" s="207"/>
      <c r="P709" s="207"/>
      <c r="Q709" s="207"/>
      <c r="R709" s="207"/>
      <c r="S709" s="207"/>
      <c r="T709" s="207"/>
      <c r="U709" s="207"/>
      <c r="V709" s="207"/>
      <c r="W709" s="208"/>
      <c r="X709" s="208"/>
      <c r="Y709" s="208"/>
      <c r="Z709" s="208"/>
      <c r="AA709" s="208"/>
      <c r="AB709" s="208"/>
      <c r="AC709" s="208"/>
      <c r="AD709" s="208"/>
      <c r="AE709" s="208"/>
      <c r="AF709" s="208"/>
      <c r="AG709" s="208"/>
      <c r="AH709" s="208"/>
      <c r="AI709" s="100"/>
    </row>
    <row r="710" ht="14.25" customHeight="1">
      <c r="A710" s="195"/>
      <c r="B710" s="100"/>
      <c r="C710" s="100"/>
      <c r="D710" s="100"/>
      <c r="E710" s="100"/>
      <c r="F710" s="206"/>
      <c r="G710" s="206"/>
      <c r="H710" s="207"/>
      <c r="I710" s="207"/>
      <c r="J710" s="207"/>
      <c r="K710" s="207"/>
      <c r="L710" s="207"/>
      <c r="M710" s="207"/>
      <c r="N710" s="207"/>
      <c r="O710" s="207"/>
      <c r="P710" s="207"/>
      <c r="Q710" s="207"/>
      <c r="R710" s="207"/>
      <c r="S710" s="207"/>
      <c r="T710" s="207"/>
      <c r="U710" s="207"/>
      <c r="V710" s="207"/>
      <c r="W710" s="208"/>
      <c r="X710" s="208"/>
      <c r="Y710" s="208"/>
      <c r="Z710" s="208"/>
      <c r="AA710" s="208"/>
      <c r="AB710" s="208"/>
      <c r="AC710" s="208"/>
      <c r="AD710" s="208"/>
      <c r="AE710" s="208"/>
      <c r="AF710" s="208"/>
      <c r="AG710" s="208"/>
      <c r="AH710" s="208"/>
      <c r="AI710" s="100"/>
    </row>
    <row r="711" ht="14.25" customHeight="1">
      <c r="A711" s="195"/>
      <c r="B711" s="100"/>
      <c r="C711" s="100"/>
      <c r="D711" s="100"/>
      <c r="E711" s="100"/>
      <c r="F711" s="206"/>
      <c r="G711" s="206"/>
      <c r="H711" s="207"/>
      <c r="I711" s="207"/>
      <c r="J711" s="207"/>
      <c r="K711" s="207"/>
      <c r="L711" s="207"/>
      <c r="M711" s="207"/>
      <c r="N711" s="207"/>
      <c r="O711" s="207"/>
      <c r="P711" s="207"/>
      <c r="Q711" s="207"/>
      <c r="R711" s="207"/>
      <c r="S711" s="207"/>
      <c r="T711" s="207"/>
      <c r="U711" s="207"/>
      <c r="V711" s="207"/>
      <c r="W711" s="208"/>
      <c r="X711" s="208"/>
      <c r="Y711" s="208"/>
      <c r="Z711" s="208"/>
      <c r="AA711" s="208"/>
      <c r="AB711" s="208"/>
      <c r="AC711" s="208"/>
      <c r="AD711" s="208"/>
      <c r="AE711" s="208"/>
      <c r="AF711" s="208"/>
      <c r="AG711" s="208"/>
      <c r="AH711" s="208"/>
      <c r="AI711" s="100"/>
    </row>
    <row r="712" ht="14.25" customHeight="1">
      <c r="A712" s="195"/>
      <c r="B712" s="100"/>
      <c r="C712" s="100"/>
      <c r="D712" s="100"/>
      <c r="E712" s="100"/>
      <c r="F712" s="206"/>
      <c r="G712" s="206"/>
      <c r="H712" s="207"/>
      <c r="I712" s="207"/>
      <c r="J712" s="207"/>
      <c r="K712" s="207"/>
      <c r="L712" s="207"/>
      <c r="M712" s="207"/>
      <c r="N712" s="207"/>
      <c r="O712" s="207"/>
      <c r="P712" s="207"/>
      <c r="Q712" s="207"/>
      <c r="R712" s="207"/>
      <c r="S712" s="207"/>
      <c r="T712" s="207"/>
      <c r="U712" s="207"/>
      <c r="V712" s="207"/>
      <c r="W712" s="208"/>
      <c r="X712" s="208"/>
      <c r="Y712" s="208"/>
      <c r="Z712" s="208"/>
      <c r="AA712" s="208"/>
      <c r="AB712" s="208"/>
      <c r="AC712" s="208"/>
      <c r="AD712" s="208"/>
      <c r="AE712" s="208"/>
      <c r="AF712" s="208"/>
      <c r="AG712" s="208"/>
      <c r="AH712" s="208"/>
      <c r="AI712" s="100"/>
    </row>
    <row r="713" ht="14.25" customHeight="1">
      <c r="A713" s="195"/>
      <c r="B713" s="100"/>
      <c r="C713" s="100"/>
      <c r="D713" s="100"/>
      <c r="E713" s="100"/>
      <c r="F713" s="206"/>
      <c r="G713" s="206"/>
      <c r="H713" s="207"/>
      <c r="I713" s="207"/>
      <c r="J713" s="207"/>
      <c r="K713" s="207"/>
      <c r="L713" s="207"/>
      <c r="M713" s="207"/>
      <c r="N713" s="207"/>
      <c r="O713" s="207"/>
      <c r="P713" s="207"/>
      <c r="Q713" s="207"/>
      <c r="R713" s="207"/>
      <c r="S713" s="207"/>
      <c r="T713" s="207"/>
      <c r="U713" s="207"/>
      <c r="V713" s="207"/>
      <c r="W713" s="208"/>
      <c r="X713" s="208"/>
      <c r="Y713" s="208"/>
      <c r="Z713" s="208"/>
      <c r="AA713" s="208"/>
      <c r="AB713" s="208"/>
      <c r="AC713" s="208"/>
      <c r="AD713" s="208"/>
      <c r="AE713" s="208"/>
      <c r="AF713" s="208"/>
      <c r="AG713" s="208"/>
      <c r="AH713" s="208"/>
      <c r="AI713" s="100"/>
    </row>
    <row r="714" ht="14.25" customHeight="1">
      <c r="A714" s="195"/>
      <c r="B714" s="100"/>
      <c r="C714" s="100"/>
      <c r="D714" s="100"/>
      <c r="E714" s="100"/>
      <c r="F714" s="206"/>
      <c r="G714" s="206"/>
      <c r="H714" s="207"/>
      <c r="I714" s="207"/>
      <c r="J714" s="207"/>
      <c r="K714" s="207"/>
      <c r="L714" s="207"/>
      <c r="M714" s="207"/>
      <c r="N714" s="207"/>
      <c r="O714" s="207"/>
      <c r="P714" s="207"/>
      <c r="Q714" s="207"/>
      <c r="R714" s="207"/>
      <c r="S714" s="207"/>
      <c r="T714" s="207"/>
      <c r="U714" s="207"/>
      <c r="V714" s="207"/>
      <c r="W714" s="208"/>
      <c r="X714" s="208"/>
      <c r="Y714" s="208"/>
      <c r="Z714" s="208"/>
      <c r="AA714" s="208"/>
      <c r="AB714" s="208"/>
      <c r="AC714" s="208"/>
      <c r="AD714" s="208"/>
      <c r="AE714" s="208"/>
      <c r="AF714" s="208"/>
      <c r="AG714" s="208"/>
      <c r="AH714" s="208"/>
      <c r="AI714" s="100"/>
    </row>
    <row r="715" ht="14.25" customHeight="1">
      <c r="A715" s="195"/>
      <c r="B715" s="100"/>
      <c r="C715" s="100"/>
      <c r="D715" s="100"/>
      <c r="E715" s="100"/>
      <c r="F715" s="206"/>
      <c r="G715" s="206"/>
      <c r="H715" s="207"/>
      <c r="I715" s="207"/>
      <c r="J715" s="207"/>
      <c r="K715" s="207"/>
      <c r="L715" s="207"/>
      <c r="M715" s="207"/>
      <c r="N715" s="207"/>
      <c r="O715" s="207"/>
      <c r="P715" s="207"/>
      <c r="Q715" s="207"/>
      <c r="R715" s="207"/>
      <c r="S715" s="207"/>
      <c r="T715" s="207"/>
      <c r="U715" s="207"/>
      <c r="V715" s="207"/>
      <c r="W715" s="208"/>
      <c r="X715" s="208"/>
      <c r="Y715" s="208"/>
      <c r="Z715" s="208"/>
      <c r="AA715" s="208"/>
      <c r="AB715" s="208"/>
      <c r="AC715" s="208"/>
      <c r="AD715" s="208"/>
      <c r="AE715" s="208"/>
      <c r="AF715" s="208"/>
      <c r="AG715" s="208"/>
      <c r="AH715" s="208"/>
      <c r="AI715" s="100"/>
    </row>
    <row r="716" ht="14.25" customHeight="1">
      <c r="A716" s="195"/>
      <c r="B716" s="100"/>
      <c r="C716" s="100"/>
      <c r="D716" s="100"/>
      <c r="E716" s="100"/>
      <c r="F716" s="206"/>
      <c r="G716" s="206"/>
      <c r="H716" s="207"/>
      <c r="I716" s="207"/>
      <c r="J716" s="207"/>
      <c r="K716" s="207"/>
      <c r="L716" s="207"/>
      <c r="M716" s="207"/>
      <c r="N716" s="207"/>
      <c r="O716" s="207"/>
      <c r="P716" s="207"/>
      <c r="Q716" s="207"/>
      <c r="R716" s="207"/>
      <c r="S716" s="207"/>
      <c r="T716" s="207"/>
      <c r="U716" s="207"/>
      <c r="V716" s="207"/>
      <c r="W716" s="208"/>
      <c r="X716" s="208"/>
      <c r="Y716" s="208"/>
      <c r="Z716" s="208"/>
      <c r="AA716" s="208"/>
      <c r="AB716" s="208"/>
      <c r="AC716" s="208"/>
      <c r="AD716" s="208"/>
      <c r="AE716" s="208"/>
      <c r="AF716" s="208"/>
      <c r="AG716" s="208"/>
      <c r="AH716" s="208"/>
      <c r="AI716" s="100"/>
    </row>
    <row r="717" ht="14.25" customHeight="1">
      <c r="A717" s="195"/>
      <c r="B717" s="100"/>
      <c r="C717" s="100"/>
      <c r="D717" s="100"/>
      <c r="E717" s="100"/>
      <c r="F717" s="206"/>
      <c r="G717" s="206"/>
      <c r="H717" s="207"/>
      <c r="I717" s="207"/>
      <c r="J717" s="207"/>
      <c r="K717" s="207"/>
      <c r="L717" s="207"/>
      <c r="M717" s="207"/>
      <c r="N717" s="207"/>
      <c r="O717" s="207"/>
      <c r="P717" s="207"/>
      <c r="Q717" s="207"/>
      <c r="R717" s="207"/>
      <c r="S717" s="207"/>
      <c r="T717" s="207"/>
      <c r="U717" s="207"/>
      <c r="V717" s="207"/>
      <c r="W717" s="208"/>
      <c r="X717" s="208"/>
      <c r="Y717" s="208"/>
      <c r="Z717" s="208"/>
      <c r="AA717" s="208"/>
      <c r="AB717" s="208"/>
      <c r="AC717" s="208"/>
      <c r="AD717" s="208"/>
      <c r="AE717" s="208"/>
      <c r="AF717" s="208"/>
      <c r="AG717" s="208"/>
      <c r="AH717" s="208"/>
      <c r="AI717" s="100"/>
    </row>
    <row r="718" ht="14.25" customHeight="1">
      <c r="A718" s="195"/>
      <c r="B718" s="100"/>
      <c r="C718" s="100"/>
      <c r="D718" s="100"/>
      <c r="E718" s="100"/>
      <c r="F718" s="206"/>
      <c r="G718" s="206"/>
      <c r="H718" s="207"/>
      <c r="I718" s="207"/>
      <c r="J718" s="207"/>
      <c r="K718" s="207"/>
      <c r="L718" s="207"/>
      <c r="M718" s="207"/>
      <c r="N718" s="207"/>
      <c r="O718" s="207"/>
      <c r="P718" s="207"/>
      <c r="Q718" s="207"/>
      <c r="R718" s="207"/>
      <c r="S718" s="207"/>
      <c r="T718" s="207"/>
      <c r="U718" s="207"/>
      <c r="V718" s="207"/>
      <c r="W718" s="208"/>
      <c r="X718" s="208"/>
      <c r="Y718" s="208"/>
      <c r="Z718" s="208"/>
      <c r="AA718" s="208"/>
      <c r="AB718" s="208"/>
      <c r="AC718" s="208"/>
      <c r="AD718" s="208"/>
      <c r="AE718" s="208"/>
      <c r="AF718" s="208"/>
      <c r="AG718" s="208"/>
      <c r="AH718" s="208"/>
      <c r="AI718" s="100"/>
    </row>
    <row r="719" ht="14.25" customHeight="1">
      <c r="A719" s="195"/>
      <c r="B719" s="100"/>
      <c r="C719" s="100"/>
      <c r="D719" s="100"/>
      <c r="E719" s="100"/>
      <c r="F719" s="206"/>
      <c r="G719" s="206"/>
      <c r="H719" s="207"/>
      <c r="I719" s="207"/>
      <c r="J719" s="207"/>
      <c r="K719" s="207"/>
      <c r="L719" s="207"/>
      <c r="M719" s="207"/>
      <c r="N719" s="207"/>
      <c r="O719" s="207"/>
      <c r="P719" s="207"/>
      <c r="Q719" s="207"/>
      <c r="R719" s="207"/>
      <c r="S719" s="207"/>
      <c r="T719" s="207"/>
      <c r="U719" s="207"/>
      <c r="V719" s="207"/>
      <c r="W719" s="208"/>
      <c r="X719" s="208"/>
      <c r="Y719" s="208"/>
      <c r="Z719" s="208"/>
      <c r="AA719" s="208"/>
      <c r="AB719" s="208"/>
      <c r="AC719" s="208"/>
      <c r="AD719" s="208"/>
      <c r="AE719" s="208"/>
      <c r="AF719" s="208"/>
      <c r="AG719" s="208"/>
      <c r="AH719" s="208"/>
      <c r="AI719" s="100"/>
    </row>
    <row r="720" ht="14.25" customHeight="1">
      <c r="A720" s="195"/>
      <c r="B720" s="100"/>
      <c r="C720" s="100"/>
      <c r="D720" s="100"/>
      <c r="E720" s="100"/>
      <c r="F720" s="206"/>
      <c r="G720" s="206"/>
      <c r="H720" s="207"/>
      <c r="I720" s="207"/>
      <c r="J720" s="207"/>
      <c r="K720" s="207"/>
      <c r="L720" s="207"/>
      <c r="M720" s="207"/>
      <c r="N720" s="207"/>
      <c r="O720" s="207"/>
      <c r="P720" s="207"/>
      <c r="Q720" s="207"/>
      <c r="R720" s="207"/>
      <c r="S720" s="207"/>
      <c r="T720" s="207"/>
      <c r="U720" s="207"/>
      <c r="V720" s="207"/>
      <c r="W720" s="208"/>
      <c r="X720" s="208"/>
      <c r="Y720" s="208"/>
      <c r="Z720" s="208"/>
      <c r="AA720" s="208"/>
      <c r="AB720" s="208"/>
      <c r="AC720" s="208"/>
      <c r="AD720" s="208"/>
      <c r="AE720" s="208"/>
      <c r="AF720" s="208"/>
      <c r="AG720" s="208"/>
      <c r="AH720" s="208"/>
      <c r="AI720" s="100"/>
    </row>
    <row r="721" ht="14.25" customHeight="1">
      <c r="A721" s="195"/>
      <c r="B721" s="100"/>
      <c r="C721" s="100"/>
      <c r="D721" s="100"/>
      <c r="E721" s="100"/>
      <c r="F721" s="206"/>
      <c r="G721" s="206"/>
      <c r="H721" s="207"/>
      <c r="I721" s="207"/>
      <c r="J721" s="207"/>
      <c r="K721" s="207"/>
      <c r="L721" s="207"/>
      <c r="M721" s="207"/>
      <c r="N721" s="207"/>
      <c r="O721" s="207"/>
      <c r="P721" s="207"/>
      <c r="Q721" s="207"/>
      <c r="R721" s="207"/>
      <c r="S721" s="207"/>
      <c r="T721" s="207"/>
      <c r="U721" s="207"/>
      <c r="V721" s="207"/>
      <c r="W721" s="208"/>
      <c r="X721" s="208"/>
      <c r="Y721" s="208"/>
      <c r="Z721" s="208"/>
      <c r="AA721" s="208"/>
      <c r="AB721" s="208"/>
      <c r="AC721" s="208"/>
      <c r="AD721" s="208"/>
      <c r="AE721" s="208"/>
      <c r="AF721" s="208"/>
      <c r="AG721" s="208"/>
      <c r="AH721" s="208"/>
      <c r="AI721" s="100"/>
    </row>
    <row r="722" ht="14.25" customHeight="1">
      <c r="A722" s="195"/>
      <c r="B722" s="100"/>
      <c r="C722" s="100"/>
      <c r="D722" s="100"/>
      <c r="E722" s="100"/>
      <c r="F722" s="206"/>
      <c r="G722" s="206"/>
      <c r="H722" s="207"/>
      <c r="I722" s="207"/>
      <c r="J722" s="207"/>
      <c r="K722" s="207"/>
      <c r="L722" s="207"/>
      <c r="M722" s="207"/>
      <c r="N722" s="207"/>
      <c r="O722" s="207"/>
      <c r="P722" s="207"/>
      <c r="Q722" s="207"/>
      <c r="R722" s="207"/>
      <c r="S722" s="207"/>
      <c r="T722" s="207"/>
      <c r="U722" s="207"/>
      <c r="V722" s="207"/>
      <c r="W722" s="208"/>
      <c r="X722" s="208"/>
      <c r="Y722" s="208"/>
      <c r="Z722" s="208"/>
      <c r="AA722" s="208"/>
      <c r="AB722" s="208"/>
      <c r="AC722" s="208"/>
      <c r="AD722" s="208"/>
      <c r="AE722" s="208"/>
      <c r="AF722" s="208"/>
      <c r="AG722" s="208"/>
      <c r="AH722" s="208"/>
      <c r="AI722" s="100"/>
    </row>
    <row r="723" ht="14.25" customHeight="1">
      <c r="A723" s="195"/>
      <c r="B723" s="100"/>
      <c r="C723" s="100"/>
      <c r="D723" s="100"/>
      <c r="E723" s="100"/>
      <c r="F723" s="206"/>
      <c r="G723" s="206"/>
      <c r="H723" s="207"/>
      <c r="I723" s="207"/>
      <c r="J723" s="207"/>
      <c r="K723" s="207"/>
      <c r="L723" s="207"/>
      <c r="M723" s="207"/>
      <c r="N723" s="207"/>
      <c r="O723" s="207"/>
      <c r="P723" s="207"/>
      <c r="Q723" s="207"/>
      <c r="R723" s="207"/>
      <c r="S723" s="207"/>
      <c r="T723" s="207"/>
      <c r="U723" s="207"/>
      <c r="V723" s="207"/>
      <c r="W723" s="208"/>
      <c r="X723" s="208"/>
      <c r="Y723" s="208"/>
      <c r="Z723" s="208"/>
      <c r="AA723" s="208"/>
      <c r="AB723" s="208"/>
      <c r="AC723" s="208"/>
      <c r="AD723" s="208"/>
      <c r="AE723" s="208"/>
      <c r="AF723" s="208"/>
      <c r="AG723" s="208"/>
      <c r="AH723" s="208"/>
      <c r="AI723" s="100"/>
    </row>
    <row r="724" ht="14.25" customHeight="1">
      <c r="A724" s="195"/>
      <c r="B724" s="100"/>
      <c r="C724" s="100"/>
      <c r="D724" s="100"/>
      <c r="E724" s="100"/>
      <c r="F724" s="206"/>
      <c r="G724" s="206"/>
      <c r="H724" s="207"/>
      <c r="I724" s="207"/>
      <c r="J724" s="207"/>
      <c r="K724" s="207"/>
      <c r="L724" s="207"/>
      <c r="M724" s="207"/>
      <c r="N724" s="207"/>
      <c r="O724" s="207"/>
      <c r="P724" s="207"/>
      <c r="Q724" s="207"/>
      <c r="R724" s="207"/>
      <c r="S724" s="207"/>
      <c r="T724" s="207"/>
      <c r="U724" s="207"/>
      <c r="V724" s="207"/>
      <c r="W724" s="208"/>
      <c r="X724" s="208"/>
      <c r="Y724" s="208"/>
      <c r="Z724" s="208"/>
      <c r="AA724" s="208"/>
      <c r="AB724" s="208"/>
      <c r="AC724" s="208"/>
      <c r="AD724" s="208"/>
      <c r="AE724" s="208"/>
      <c r="AF724" s="208"/>
      <c r="AG724" s="208"/>
      <c r="AH724" s="208"/>
      <c r="AI724" s="100"/>
    </row>
    <row r="725" ht="14.25" customHeight="1">
      <c r="A725" s="195"/>
      <c r="B725" s="100"/>
      <c r="C725" s="100"/>
      <c r="D725" s="100"/>
      <c r="E725" s="100"/>
      <c r="F725" s="206"/>
      <c r="G725" s="206"/>
      <c r="H725" s="207"/>
      <c r="I725" s="207"/>
      <c r="J725" s="207"/>
      <c r="K725" s="207"/>
      <c r="L725" s="207"/>
      <c r="M725" s="207"/>
      <c r="N725" s="207"/>
      <c r="O725" s="207"/>
      <c r="P725" s="207"/>
      <c r="Q725" s="207"/>
      <c r="R725" s="207"/>
      <c r="S725" s="207"/>
      <c r="T725" s="207"/>
      <c r="U725" s="207"/>
      <c r="V725" s="207"/>
      <c r="W725" s="208"/>
      <c r="X725" s="208"/>
      <c r="Y725" s="208"/>
      <c r="Z725" s="208"/>
      <c r="AA725" s="208"/>
      <c r="AB725" s="208"/>
      <c r="AC725" s="208"/>
      <c r="AD725" s="208"/>
      <c r="AE725" s="208"/>
      <c r="AF725" s="208"/>
      <c r="AG725" s="208"/>
      <c r="AH725" s="208"/>
      <c r="AI725" s="100"/>
    </row>
    <row r="726" ht="14.25" customHeight="1">
      <c r="A726" s="195"/>
      <c r="B726" s="100"/>
      <c r="C726" s="100"/>
      <c r="D726" s="100"/>
      <c r="E726" s="100"/>
      <c r="F726" s="206"/>
      <c r="G726" s="206"/>
      <c r="H726" s="207"/>
      <c r="I726" s="207"/>
      <c r="J726" s="207"/>
      <c r="K726" s="207"/>
      <c r="L726" s="207"/>
      <c r="M726" s="207"/>
      <c r="N726" s="207"/>
      <c r="O726" s="207"/>
      <c r="P726" s="207"/>
      <c r="Q726" s="207"/>
      <c r="R726" s="207"/>
      <c r="S726" s="207"/>
      <c r="T726" s="207"/>
      <c r="U726" s="207"/>
      <c r="V726" s="207"/>
      <c r="W726" s="208"/>
      <c r="X726" s="208"/>
      <c r="Y726" s="208"/>
      <c r="Z726" s="208"/>
      <c r="AA726" s="208"/>
      <c r="AB726" s="208"/>
      <c r="AC726" s="208"/>
      <c r="AD726" s="208"/>
      <c r="AE726" s="208"/>
      <c r="AF726" s="208"/>
      <c r="AG726" s="208"/>
      <c r="AH726" s="208"/>
      <c r="AI726" s="100"/>
    </row>
    <row r="727" ht="14.25" customHeight="1">
      <c r="A727" s="195"/>
      <c r="B727" s="100"/>
      <c r="C727" s="100"/>
      <c r="D727" s="100"/>
      <c r="E727" s="100"/>
      <c r="F727" s="206"/>
      <c r="G727" s="206"/>
      <c r="H727" s="207"/>
      <c r="I727" s="207"/>
      <c r="J727" s="207"/>
      <c r="K727" s="207"/>
      <c r="L727" s="207"/>
      <c r="M727" s="207"/>
      <c r="N727" s="207"/>
      <c r="O727" s="207"/>
      <c r="P727" s="207"/>
      <c r="Q727" s="207"/>
      <c r="R727" s="207"/>
      <c r="S727" s="207"/>
      <c r="T727" s="207"/>
      <c r="U727" s="207"/>
      <c r="V727" s="207"/>
      <c r="W727" s="208"/>
      <c r="X727" s="208"/>
      <c r="Y727" s="208"/>
      <c r="Z727" s="208"/>
      <c r="AA727" s="208"/>
      <c r="AB727" s="208"/>
      <c r="AC727" s="208"/>
      <c r="AD727" s="208"/>
      <c r="AE727" s="208"/>
      <c r="AF727" s="208"/>
      <c r="AG727" s="208"/>
      <c r="AH727" s="208"/>
      <c r="AI727" s="100"/>
    </row>
    <row r="728" ht="14.25" customHeight="1">
      <c r="A728" s="195"/>
      <c r="B728" s="100"/>
      <c r="C728" s="100"/>
      <c r="D728" s="100"/>
      <c r="E728" s="100"/>
      <c r="F728" s="206"/>
      <c r="G728" s="206"/>
      <c r="H728" s="207"/>
      <c r="I728" s="207"/>
      <c r="J728" s="207"/>
      <c r="K728" s="207"/>
      <c r="L728" s="207"/>
      <c r="M728" s="207"/>
      <c r="N728" s="207"/>
      <c r="O728" s="207"/>
      <c r="P728" s="207"/>
      <c r="Q728" s="207"/>
      <c r="R728" s="207"/>
      <c r="S728" s="207"/>
      <c r="T728" s="207"/>
      <c r="U728" s="207"/>
      <c r="V728" s="207"/>
      <c r="W728" s="208"/>
      <c r="X728" s="208"/>
      <c r="Y728" s="208"/>
      <c r="Z728" s="208"/>
      <c r="AA728" s="208"/>
      <c r="AB728" s="208"/>
      <c r="AC728" s="208"/>
      <c r="AD728" s="208"/>
      <c r="AE728" s="208"/>
      <c r="AF728" s="208"/>
      <c r="AG728" s="208"/>
      <c r="AH728" s="208"/>
      <c r="AI728" s="100"/>
    </row>
    <row r="729" ht="14.25" customHeight="1">
      <c r="A729" s="195"/>
      <c r="B729" s="100"/>
      <c r="C729" s="100"/>
      <c r="D729" s="100"/>
      <c r="E729" s="100"/>
      <c r="F729" s="206"/>
      <c r="G729" s="206"/>
      <c r="H729" s="207"/>
      <c r="I729" s="207"/>
      <c r="J729" s="207"/>
      <c r="K729" s="207"/>
      <c r="L729" s="207"/>
      <c r="M729" s="207"/>
      <c r="N729" s="207"/>
      <c r="O729" s="207"/>
      <c r="P729" s="207"/>
      <c r="Q729" s="207"/>
      <c r="R729" s="207"/>
      <c r="S729" s="207"/>
      <c r="T729" s="207"/>
      <c r="U729" s="207"/>
      <c r="V729" s="207"/>
      <c r="W729" s="208"/>
      <c r="X729" s="208"/>
      <c r="Y729" s="208"/>
      <c r="Z729" s="208"/>
      <c r="AA729" s="208"/>
      <c r="AB729" s="208"/>
      <c r="AC729" s="208"/>
      <c r="AD729" s="208"/>
      <c r="AE729" s="208"/>
      <c r="AF729" s="208"/>
      <c r="AG729" s="208"/>
      <c r="AH729" s="208"/>
      <c r="AI729" s="100"/>
    </row>
    <row r="730" ht="14.25" customHeight="1">
      <c r="A730" s="195"/>
      <c r="B730" s="100"/>
      <c r="C730" s="100"/>
      <c r="D730" s="100"/>
      <c r="E730" s="100"/>
      <c r="F730" s="206"/>
      <c r="G730" s="206"/>
      <c r="H730" s="207"/>
      <c r="I730" s="207"/>
      <c r="J730" s="207"/>
      <c r="K730" s="207"/>
      <c r="L730" s="207"/>
      <c r="M730" s="207"/>
      <c r="N730" s="207"/>
      <c r="O730" s="207"/>
      <c r="P730" s="207"/>
      <c r="Q730" s="207"/>
      <c r="R730" s="207"/>
      <c r="S730" s="207"/>
      <c r="T730" s="207"/>
      <c r="U730" s="207"/>
      <c r="V730" s="207"/>
      <c r="W730" s="208"/>
      <c r="X730" s="208"/>
      <c r="Y730" s="208"/>
      <c r="Z730" s="208"/>
      <c r="AA730" s="208"/>
      <c r="AB730" s="208"/>
      <c r="AC730" s="208"/>
      <c r="AD730" s="208"/>
      <c r="AE730" s="208"/>
      <c r="AF730" s="208"/>
      <c r="AG730" s="208"/>
      <c r="AH730" s="208"/>
      <c r="AI730" s="100"/>
    </row>
    <row r="731" ht="14.25" customHeight="1">
      <c r="A731" s="195"/>
      <c r="B731" s="100"/>
      <c r="C731" s="100"/>
      <c r="D731" s="100"/>
      <c r="E731" s="100"/>
      <c r="F731" s="206"/>
      <c r="G731" s="206"/>
      <c r="H731" s="207"/>
      <c r="I731" s="207"/>
      <c r="J731" s="207"/>
      <c r="K731" s="207"/>
      <c r="L731" s="207"/>
      <c r="M731" s="207"/>
      <c r="N731" s="207"/>
      <c r="O731" s="207"/>
      <c r="P731" s="207"/>
      <c r="Q731" s="207"/>
      <c r="R731" s="207"/>
      <c r="S731" s="207"/>
      <c r="T731" s="207"/>
      <c r="U731" s="207"/>
      <c r="V731" s="207"/>
      <c r="W731" s="208"/>
      <c r="X731" s="208"/>
      <c r="Y731" s="208"/>
      <c r="Z731" s="208"/>
      <c r="AA731" s="208"/>
      <c r="AB731" s="208"/>
      <c r="AC731" s="208"/>
      <c r="AD731" s="208"/>
      <c r="AE731" s="208"/>
      <c r="AF731" s="208"/>
      <c r="AG731" s="208"/>
      <c r="AH731" s="208"/>
      <c r="AI731" s="100"/>
    </row>
    <row r="732" ht="14.25" customHeight="1">
      <c r="A732" s="195"/>
      <c r="B732" s="100"/>
      <c r="C732" s="100"/>
      <c r="D732" s="100"/>
      <c r="E732" s="100"/>
      <c r="F732" s="206"/>
      <c r="G732" s="206"/>
      <c r="H732" s="207"/>
      <c r="I732" s="207"/>
      <c r="J732" s="207"/>
      <c r="K732" s="207"/>
      <c r="L732" s="207"/>
      <c r="M732" s="207"/>
      <c r="N732" s="207"/>
      <c r="O732" s="207"/>
      <c r="P732" s="207"/>
      <c r="Q732" s="207"/>
      <c r="R732" s="207"/>
      <c r="S732" s="207"/>
      <c r="T732" s="207"/>
      <c r="U732" s="207"/>
      <c r="V732" s="207"/>
      <c r="W732" s="208"/>
      <c r="X732" s="208"/>
      <c r="Y732" s="208"/>
      <c r="Z732" s="208"/>
      <c r="AA732" s="208"/>
      <c r="AB732" s="208"/>
      <c r="AC732" s="208"/>
      <c r="AD732" s="208"/>
      <c r="AE732" s="208"/>
      <c r="AF732" s="208"/>
      <c r="AG732" s="208"/>
      <c r="AH732" s="208"/>
      <c r="AI732" s="100"/>
    </row>
    <row r="733" ht="14.25" customHeight="1">
      <c r="A733" s="195"/>
      <c r="B733" s="100"/>
      <c r="C733" s="100"/>
      <c r="D733" s="100"/>
      <c r="E733" s="100"/>
      <c r="F733" s="206"/>
      <c r="G733" s="206"/>
      <c r="H733" s="207"/>
      <c r="I733" s="207"/>
      <c r="J733" s="207"/>
      <c r="K733" s="207"/>
      <c r="L733" s="207"/>
      <c r="M733" s="207"/>
      <c r="N733" s="207"/>
      <c r="O733" s="207"/>
      <c r="P733" s="207"/>
      <c r="Q733" s="207"/>
      <c r="R733" s="207"/>
      <c r="S733" s="207"/>
      <c r="T733" s="207"/>
      <c r="U733" s="207"/>
      <c r="V733" s="207"/>
      <c r="W733" s="208"/>
      <c r="X733" s="208"/>
      <c r="Y733" s="208"/>
      <c r="Z733" s="208"/>
      <c r="AA733" s="208"/>
      <c r="AB733" s="208"/>
      <c r="AC733" s="208"/>
      <c r="AD733" s="208"/>
      <c r="AE733" s="208"/>
      <c r="AF733" s="208"/>
      <c r="AG733" s="208"/>
      <c r="AH733" s="208"/>
      <c r="AI733" s="100"/>
    </row>
    <row r="734" ht="14.25" customHeight="1">
      <c r="A734" s="195"/>
      <c r="B734" s="100"/>
      <c r="C734" s="100"/>
      <c r="D734" s="100"/>
      <c r="E734" s="100"/>
      <c r="F734" s="206"/>
      <c r="G734" s="206"/>
      <c r="H734" s="207"/>
      <c r="I734" s="207"/>
      <c r="J734" s="207"/>
      <c r="K734" s="207"/>
      <c r="L734" s="207"/>
      <c r="M734" s="207"/>
      <c r="N734" s="207"/>
      <c r="O734" s="207"/>
      <c r="P734" s="207"/>
      <c r="Q734" s="207"/>
      <c r="R734" s="207"/>
      <c r="S734" s="207"/>
      <c r="T734" s="207"/>
      <c r="U734" s="207"/>
      <c r="V734" s="207"/>
      <c r="W734" s="208"/>
      <c r="X734" s="208"/>
      <c r="Y734" s="208"/>
      <c r="Z734" s="208"/>
      <c r="AA734" s="208"/>
      <c r="AB734" s="208"/>
      <c r="AC734" s="208"/>
      <c r="AD734" s="208"/>
      <c r="AE734" s="208"/>
      <c r="AF734" s="208"/>
      <c r="AG734" s="208"/>
      <c r="AH734" s="208"/>
      <c r="AI734" s="100"/>
    </row>
    <row r="735" ht="14.25" customHeight="1">
      <c r="A735" s="195"/>
      <c r="B735" s="100"/>
      <c r="C735" s="100"/>
      <c r="D735" s="100"/>
      <c r="E735" s="100"/>
      <c r="F735" s="206"/>
      <c r="G735" s="206"/>
      <c r="H735" s="207"/>
      <c r="I735" s="207"/>
      <c r="J735" s="207"/>
      <c r="K735" s="207"/>
      <c r="L735" s="207"/>
      <c r="M735" s="207"/>
      <c r="N735" s="207"/>
      <c r="O735" s="207"/>
      <c r="P735" s="207"/>
      <c r="Q735" s="207"/>
      <c r="R735" s="207"/>
      <c r="S735" s="207"/>
      <c r="T735" s="207"/>
      <c r="U735" s="207"/>
      <c r="V735" s="207"/>
      <c r="W735" s="208"/>
      <c r="X735" s="208"/>
      <c r="Y735" s="208"/>
      <c r="Z735" s="208"/>
      <c r="AA735" s="208"/>
      <c r="AB735" s="208"/>
      <c r="AC735" s="208"/>
      <c r="AD735" s="208"/>
      <c r="AE735" s="208"/>
      <c r="AF735" s="208"/>
      <c r="AG735" s="208"/>
      <c r="AH735" s="208"/>
      <c r="AI735" s="100"/>
    </row>
    <row r="736" ht="14.25" customHeight="1">
      <c r="A736" s="195"/>
      <c r="B736" s="100"/>
      <c r="C736" s="100"/>
      <c r="D736" s="100"/>
      <c r="E736" s="100"/>
      <c r="F736" s="206"/>
      <c r="G736" s="206"/>
      <c r="H736" s="207"/>
      <c r="I736" s="207"/>
      <c r="J736" s="207"/>
      <c r="K736" s="207"/>
      <c r="L736" s="207"/>
      <c r="M736" s="207"/>
      <c r="N736" s="207"/>
      <c r="O736" s="207"/>
      <c r="P736" s="207"/>
      <c r="Q736" s="207"/>
      <c r="R736" s="207"/>
      <c r="S736" s="207"/>
      <c r="T736" s="207"/>
      <c r="U736" s="207"/>
      <c r="V736" s="207"/>
      <c r="W736" s="208"/>
      <c r="X736" s="208"/>
      <c r="Y736" s="208"/>
      <c r="Z736" s="208"/>
      <c r="AA736" s="208"/>
      <c r="AB736" s="208"/>
      <c r="AC736" s="208"/>
      <c r="AD736" s="208"/>
      <c r="AE736" s="208"/>
      <c r="AF736" s="208"/>
      <c r="AG736" s="208"/>
      <c r="AH736" s="208"/>
      <c r="AI736" s="100"/>
    </row>
    <row r="737" ht="14.25" customHeight="1">
      <c r="A737" s="195"/>
      <c r="B737" s="100"/>
      <c r="C737" s="100"/>
      <c r="D737" s="100"/>
      <c r="E737" s="100"/>
      <c r="F737" s="206"/>
      <c r="G737" s="206"/>
      <c r="H737" s="207"/>
      <c r="I737" s="207"/>
      <c r="J737" s="207"/>
      <c r="K737" s="207"/>
      <c r="L737" s="207"/>
      <c r="M737" s="207"/>
      <c r="N737" s="207"/>
      <c r="O737" s="207"/>
      <c r="P737" s="207"/>
      <c r="Q737" s="207"/>
      <c r="R737" s="207"/>
      <c r="S737" s="207"/>
      <c r="T737" s="207"/>
      <c r="U737" s="207"/>
      <c r="V737" s="207"/>
      <c r="W737" s="208"/>
      <c r="X737" s="208"/>
      <c r="Y737" s="208"/>
      <c r="Z737" s="208"/>
      <c r="AA737" s="208"/>
      <c r="AB737" s="208"/>
      <c r="AC737" s="208"/>
      <c r="AD737" s="208"/>
      <c r="AE737" s="208"/>
      <c r="AF737" s="208"/>
      <c r="AG737" s="208"/>
      <c r="AH737" s="208"/>
      <c r="AI737" s="100"/>
    </row>
    <row r="738" ht="14.25" customHeight="1">
      <c r="A738" s="195"/>
      <c r="B738" s="100"/>
      <c r="C738" s="100"/>
      <c r="D738" s="100"/>
      <c r="E738" s="100"/>
      <c r="F738" s="206"/>
      <c r="G738" s="206"/>
      <c r="H738" s="207"/>
      <c r="I738" s="207"/>
      <c r="J738" s="207"/>
      <c r="K738" s="207"/>
      <c r="L738" s="207"/>
      <c r="M738" s="207"/>
      <c r="N738" s="207"/>
      <c r="O738" s="207"/>
      <c r="P738" s="207"/>
      <c r="Q738" s="207"/>
      <c r="R738" s="207"/>
      <c r="S738" s="207"/>
      <c r="T738" s="207"/>
      <c r="U738" s="207"/>
      <c r="V738" s="207"/>
      <c r="W738" s="208"/>
      <c r="X738" s="208"/>
      <c r="Y738" s="208"/>
      <c r="Z738" s="208"/>
      <c r="AA738" s="208"/>
      <c r="AB738" s="208"/>
      <c r="AC738" s="208"/>
      <c r="AD738" s="208"/>
      <c r="AE738" s="208"/>
      <c r="AF738" s="208"/>
      <c r="AG738" s="208"/>
      <c r="AH738" s="208"/>
      <c r="AI738" s="100"/>
    </row>
    <row r="739" ht="14.25" customHeight="1">
      <c r="A739" s="195"/>
      <c r="B739" s="100"/>
      <c r="C739" s="100"/>
      <c r="D739" s="100"/>
      <c r="E739" s="100"/>
      <c r="F739" s="206"/>
      <c r="G739" s="206"/>
      <c r="H739" s="207"/>
      <c r="I739" s="207"/>
      <c r="J739" s="207"/>
      <c r="K739" s="207"/>
      <c r="L739" s="207"/>
      <c r="M739" s="207"/>
      <c r="N739" s="207"/>
      <c r="O739" s="207"/>
      <c r="P739" s="207"/>
      <c r="Q739" s="207"/>
      <c r="R739" s="207"/>
      <c r="S739" s="207"/>
      <c r="T739" s="207"/>
      <c r="U739" s="207"/>
      <c r="V739" s="207"/>
      <c r="W739" s="208"/>
      <c r="X739" s="208"/>
      <c r="Y739" s="208"/>
      <c r="Z739" s="208"/>
      <c r="AA739" s="208"/>
      <c r="AB739" s="208"/>
      <c r="AC739" s="208"/>
      <c r="AD739" s="208"/>
      <c r="AE739" s="208"/>
      <c r="AF739" s="208"/>
      <c r="AG739" s="208"/>
      <c r="AH739" s="208"/>
      <c r="AI739" s="100"/>
    </row>
    <row r="740" ht="14.25" customHeight="1">
      <c r="A740" s="195"/>
      <c r="B740" s="100"/>
      <c r="C740" s="100"/>
      <c r="D740" s="100"/>
      <c r="E740" s="100"/>
      <c r="F740" s="206"/>
      <c r="G740" s="206"/>
      <c r="H740" s="207"/>
      <c r="I740" s="207"/>
      <c r="J740" s="207"/>
      <c r="K740" s="207"/>
      <c r="L740" s="207"/>
      <c r="M740" s="207"/>
      <c r="N740" s="207"/>
      <c r="O740" s="207"/>
      <c r="P740" s="207"/>
      <c r="Q740" s="207"/>
      <c r="R740" s="207"/>
      <c r="S740" s="207"/>
      <c r="T740" s="207"/>
      <c r="U740" s="207"/>
      <c r="V740" s="207"/>
      <c r="W740" s="208"/>
      <c r="X740" s="208"/>
      <c r="Y740" s="208"/>
      <c r="Z740" s="208"/>
      <c r="AA740" s="208"/>
      <c r="AB740" s="208"/>
      <c r="AC740" s="208"/>
      <c r="AD740" s="208"/>
      <c r="AE740" s="208"/>
      <c r="AF740" s="208"/>
      <c r="AG740" s="208"/>
      <c r="AH740" s="208"/>
      <c r="AI740" s="100"/>
    </row>
    <row r="741" ht="14.25" customHeight="1">
      <c r="A741" s="195"/>
      <c r="B741" s="100"/>
      <c r="C741" s="100"/>
      <c r="D741" s="100"/>
      <c r="E741" s="100"/>
      <c r="F741" s="206"/>
      <c r="G741" s="206"/>
      <c r="H741" s="207"/>
      <c r="I741" s="207"/>
      <c r="J741" s="207"/>
      <c r="K741" s="207"/>
      <c r="L741" s="207"/>
      <c r="M741" s="207"/>
      <c r="N741" s="207"/>
      <c r="O741" s="207"/>
      <c r="P741" s="207"/>
      <c r="Q741" s="207"/>
      <c r="R741" s="207"/>
      <c r="S741" s="207"/>
      <c r="T741" s="207"/>
      <c r="U741" s="207"/>
      <c r="V741" s="207"/>
      <c r="W741" s="208"/>
      <c r="X741" s="208"/>
      <c r="Y741" s="208"/>
      <c r="Z741" s="208"/>
      <c r="AA741" s="208"/>
      <c r="AB741" s="208"/>
      <c r="AC741" s="208"/>
      <c r="AD741" s="208"/>
      <c r="AE741" s="208"/>
      <c r="AF741" s="208"/>
      <c r="AG741" s="208"/>
      <c r="AH741" s="208"/>
      <c r="AI741" s="100"/>
    </row>
    <row r="742" ht="14.25" customHeight="1">
      <c r="A742" s="195"/>
      <c r="B742" s="100"/>
      <c r="C742" s="100"/>
      <c r="D742" s="100"/>
      <c r="E742" s="100"/>
      <c r="F742" s="206"/>
      <c r="G742" s="206"/>
      <c r="H742" s="207"/>
      <c r="I742" s="207"/>
      <c r="J742" s="207"/>
      <c r="K742" s="207"/>
      <c r="L742" s="207"/>
      <c r="M742" s="207"/>
      <c r="N742" s="207"/>
      <c r="O742" s="207"/>
      <c r="P742" s="207"/>
      <c r="Q742" s="207"/>
      <c r="R742" s="207"/>
      <c r="S742" s="207"/>
      <c r="T742" s="207"/>
      <c r="U742" s="207"/>
      <c r="V742" s="207"/>
      <c r="W742" s="208"/>
      <c r="X742" s="208"/>
      <c r="Y742" s="208"/>
      <c r="Z742" s="208"/>
      <c r="AA742" s="208"/>
      <c r="AB742" s="208"/>
      <c r="AC742" s="208"/>
      <c r="AD742" s="208"/>
      <c r="AE742" s="208"/>
      <c r="AF742" s="208"/>
      <c r="AG742" s="208"/>
      <c r="AH742" s="208"/>
      <c r="AI742" s="100"/>
    </row>
    <row r="743" ht="14.25" customHeight="1">
      <c r="A743" s="195"/>
      <c r="B743" s="100"/>
      <c r="C743" s="100"/>
      <c r="D743" s="100"/>
      <c r="E743" s="100"/>
      <c r="F743" s="206"/>
      <c r="G743" s="206"/>
      <c r="H743" s="207"/>
      <c r="I743" s="207"/>
      <c r="J743" s="207"/>
      <c r="K743" s="207"/>
      <c r="L743" s="207"/>
      <c r="M743" s="207"/>
      <c r="N743" s="207"/>
      <c r="O743" s="207"/>
      <c r="P743" s="207"/>
      <c r="Q743" s="207"/>
      <c r="R743" s="207"/>
      <c r="S743" s="207"/>
      <c r="T743" s="207"/>
      <c r="U743" s="207"/>
      <c r="V743" s="207"/>
      <c r="W743" s="208"/>
      <c r="X743" s="208"/>
      <c r="Y743" s="208"/>
      <c r="Z743" s="208"/>
      <c r="AA743" s="208"/>
      <c r="AB743" s="208"/>
      <c r="AC743" s="208"/>
      <c r="AD743" s="208"/>
      <c r="AE743" s="208"/>
      <c r="AF743" s="208"/>
      <c r="AG743" s="208"/>
      <c r="AH743" s="208"/>
      <c r="AI743" s="100"/>
    </row>
    <row r="744" ht="14.25" customHeight="1">
      <c r="A744" s="195"/>
      <c r="B744" s="100"/>
      <c r="C744" s="100"/>
      <c r="D744" s="100"/>
      <c r="E744" s="100"/>
      <c r="F744" s="206"/>
      <c r="G744" s="206"/>
      <c r="H744" s="207"/>
      <c r="I744" s="207"/>
      <c r="J744" s="207"/>
      <c r="K744" s="207"/>
      <c r="L744" s="207"/>
      <c r="M744" s="207"/>
      <c r="N744" s="207"/>
      <c r="O744" s="207"/>
      <c r="P744" s="207"/>
      <c r="Q744" s="207"/>
      <c r="R744" s="207"/>
      <c r="S744" s="207"/>
      <c r="T744" s="207"/>
      <c r="U744" s="207"/>
      <c r="V744" s="207"/>
      <c r="W744" s="208"/>
      <c r="X744" s="208"/>
      <c r="Y744" s="208"/>
      <c r="Z744" s="208"/>
      <c r="AA744" s="208"/>
      <c r="AB744" s="208"/>
      <c r="AC744" s="208"/>
      <c r="AD744" s="208"/>
      <c r="AE744" s="208"/>
      <c r="AF744" s="208"/>
      <c r="AG744" s="208"/>
      <c r="AH744" s="208"/>
      <c r="AI744" s="100"/>
    </row>
    <row r="745" ht="14.25" customHeight="1">
      <c r="A745" s="195"/>
      <c r="B745" s="100"/>
      <c r="C745" s="100"/>
      <c r="D745" s="100"/>
      <c r="E745" s="100"/>
      <c r="F745" s="206"/>
      <c r="G745" s="206"/>
      <c r="H745" s="207"/>
      <c r="I745" s="207"/>
      <c r="J745" s="207"/>
      <c r="K745" s="207"/>
      <c r="L745" s="207"/>
      <c r="M745" s="207"/>
      <c r="N745" s="207"/>
      <c r="O745" s="207"/>
      <c r="P745" s="207"/>
      <c r="Q745" s="207"/>
      <c r="R745" s="207"/>
      <c r="S745" s="207"/>
      <c r="T745" s="207"/>
      <c r="U745" s="207"/>
      <c r="V745" s="207"/>
      <c r="W745" s="208"/>
      <c r="X745" s="208"/>
      <c r="Y745" s="208"/>
      <c r="Z745" s="208"/>
      <c r="AA745" s="208"/>
      <c r="AB745" s="208"/>
      <c r="AC745" s="208"/>
      <c r="AD745" s="208"/>
      <c r="AE745" s="208"/>
      <c r="AF745" s="208"/>
      <c r="AG745" s="208"/>
      <c r="AH745" s="208"/>
      <c r="AI745" s="100"/>
    </row>
    <row r="746" ht="14.25" customHeight="1">
      <c r="A746" s="195"/>
      <c r="B746" s="100"/>
      <c r="C746" s="100"/>
      <c r="D746" s="100"/>
      <c r="E746" s="100"/>
      <c r="F746" s="206"/>
      <c r="G746" s="206"/>
      <c r="H746" s="207"/>
      <c r="I746" s="207"/>
      <c r="J746" s="207"/>
      <c r="K746" s="207"/>
      <c r="L746" s="207"/>
      <c r="M746" s="207"/>
      <c r="N746" s="207"/>
      <c r="O746" s="207"/>
      <c r="P746" s="207"/>
      <c r="Q746" s="207"/>
      <c r="R746" s="207"/>
      <c r="S746" s="207"/>
      <c r="T746" s="207"/>
      <c r="U746" s="207"/>
      <c r="V746" s="207"/>
      <c r="W746" s="208"/>
      <c r="X746" s="208"/>
      <c r="Y746" s="208"/>
      <c r="Z746" s="208"/>
      <c r="AA746" s="208"/>
      <c r="AB746" s="208"/>
      <c r="AC746" s="208"/>
      <c r="AD746" s="208"/>
      <c r="AE746" s="208"/>
      <c r="AF746" s="208"/>
      <c r="AG746" s="208"/>
      <c r="AH746" s="208"/>
      <c r="AI746" s="100"/>
    </row>
    <row r="747" ht="14.25" customHeight="1">
      <c r="A747" s="195"/>
      <c r="B747" s="100"/>
      <c r="C747" s="100"/>
      <c r="D747" s="100"/>
      <c r="E747" s="100"/>
      <c r="F747" s="206"/>
      <c r="G747" s="206"/>
      <c r="H747" s="207"/>
      <c r="I747" s="207"/>
      <c r="J747" s="207"/>
      <c r="K747" s="207"/>
      <c r="L747" s="207"/>
      <c r="M747" s="207"/>
      <c r="N747" s="207"/>
      <c r="O747" s="207"/>
      <c r="P747" s="207"/>
      <c r="Q747" s="207"/>
      <c r="R747" s="207"/>
      <c r="S747" s="207"/>
      <c r="T747" s="207"/>
      <c r="U747" s="207"/>
      <c r="V747" s="207"/>
      <c r="W747" s="208"/>
      <c r="X747" s="208"/>
      <c r="Y747" s="208"/>
      <c r="Z747" s="208"/>
      <c r="AA747" s="208"/>
      <c r="AB747" s="208"/>
      <c r="AC747" s="208"/>
      <c r="AD747" s="208"/>
      <c r="AE747" s="208"/>
      <c r="AF747" s="208"/>
      <c r="AG747" s="208"/>
      <c r="AH747" s="208"/>
      <c r="AI747" s="100"/>
    </row>
    <row r="748" ht="14.25" customHeight="1">
      <c r="A748" s="195"/>
      <c r="B748" s="100"/>
      <c r="C748" s="100"/>
      <c r="D748" s="100"/>
      <c r="E748" s="100"/>
      <c r="F748" s="206"/>
      <c r="G748" s="206"/>
      <c r="H748" s="207"/>
      <c r="I748" s="207"/>
      <c r="J748" s="207"/>
      <c r="K748" s="207"/>
      <c r="L748" s="207"/>
      <c r="M748" s="207"/>
      <c r="N748" s="207"/>
      <c r="O748" s="207"/>
      <c r="P748" s="207"/>
      <c r="Q748" s="207"/>
      <c r="R748" s="207"/>
      <c r="S748" s="207"/>
      <c r="T748" s="207"/>
      <c r="U748" s="207"/>
      <c r="V748" s="207"/>
      <c r="W748" s="208"/>
      <c r="X748" s="208"/>
      <c r="Y748" s="208"/>
      <c r="Z748" s="208"/>
      <c r="AA748" s="208"/>
      <c r="AB748" s="208"/>
      <c r="AC748" s="208"/>
      <c r="AD748" s="208"/>
      <c r="AE748" s="208"/>
      <c r="AF748" s="208"/>
      <c r="AG748" s="208"/>
      <c r="AH748" s="208"/>
      <c r="AI748" s="100"/>
    </row>
    <row r="749" ht="14.25" customHeight="1">
      <c r="A749" s="195"/>
      <c r="B749" s="100"/>
      <c r="C749" s="100"/>
      <c r="D749" s="100"/>
      <c r="E749" s="100"/>
      <c r="F749" s="206"/>
      <c r="G749" s="206"/>
      <c r="H749" s="207"/>
      <c r="I749" s="207"/>
      <c r="J749" s="207"/>
      <c r="K749" s="207"/>
      <c r="L749" s="207"/>
      <c r="M749" s="207"/>
      <c r="N749" s="207"/>
      <c r="O749" s="207"/>
      <c r="P749" s="207"/>
      <c r="Q749" s="207"/>
      <c r="R749" s="207"/>
      <c r="S749" s="207"/>
      <c r="T749" s="207"/>
      <c r="U749" s="207"/>
      <c r="V749" s="207"/>
      <c r="W749" s="208"/>
      <c r="X749" s="208"/>
      <c r="Y749" s="208"/>
      <c r="Z749" s="208"/>
      <c r="AA749" s="208"/>
      <c r="AB749" s="208"/>
      <c r="AC749" s="208"/>
      <c r="AD749" s="208"/>
      <c r="AE749" s="208"/>
      <c r="AF749" s="208"/>
      <c r="AG749" s="208"/>
      <c r="AH749" s="208"/>
      <c r="AI749" s="100"/>
    </row>
    <row r="750" ht="14.25" customHeight="1">
      <c r="A750" s="195"/>
      <c r="B750" s="100"/>
      <c r="C750" s="100"/>
      <c r="D750" s="100"/>
      <c r="E750" s="100"/>
      <c r="F750" s="206"/>
      <c r="G750" s="206"/>
      <c r="H750" s="207"/>
      <c r="I750" s="207"/>
      <c r="J750" s="207"/>
      <c r="K750" s="207"/>
      <c r="L750" s="207"/>
      <c r="M750" s="207"/>
      <c r="N750" s="207"/>
      <c r="O750" s="207"/>
      <c r="P750" s="207"/>
      <c r="Q750" s="207"/>
      <c r="R750" s="207"/>
      <c r="S750" s="207"/>
      <c r="T750" s="207"/>
      <c r="U750" s="207"/>
      <c r="V750" s="207"/>
      <c r="W750" s="208"/>
      <c r="X750" s="208"/>
      <c r="Y750" s="208"/>
      <c r="Z750" s="208"/>
      <c r="AA750" s="208"/>
      <c r="AB750" s="208"/>
      <c r="AC750" s="208"/>
      <c r="AD750" s="208"/>
      <c r="AE750" s="208"/>
      <c r="AF750" s="208"/>
      <c r="AG750" s="208"/>
      <c r="AH750" s="208"/>
      <c r="AI750" s="100"/>
    </row>
    <row r="751" ht="14.25" customHeight="1">
      <c r="A751" s="195"/>
      <c r="B751" s="100"/>
      <c r="C751" s="100"/>
      <c r="D751" s="100"/>
      <c r="E751" s="100"/>
      <c r="F751" s="206"/>
      <c r="G751" s="206"/>
      <c r="H751" s="207"/>
      <c r="I751" s="207"/>
      <c r="J751" s="207"/>
      <c r="K751" s="207"/>
      <c r="L751" s="207"/>
      <c r="M751" s="207"/>
      <c r="N751" s="207"/>
      <c r="O751" s="207"/>
      <c r="P751" s="207"/>
      <c r="Q751" s="207"/>
      <c r="R751" s="207"/>
      <c r="S751" s="207"/>
      <c r="T751" s="207"/>
      <c r="U751" s="207"/>
      <c r="V751" s="207"/>
      <c r="W751" s="208"/>
      <c r="X751" s="208"/>
      <c r="Y751" s="208"/>
      <c r="Z751" s="208"/>
      <c r="AA751" s="208"/>
      <c r="AB751" s="208"/>
      <c r="AC751" s="208"/>
      <c r="AD751" s="208"/>
      <c r="AE751" s="208"/>
      <c r="AF751" s="208"/>
      <c r="AG751" s="208"/>
      <c r="AH751" s="208"/>
      <c r="AI751" s="100"/>
    </row>
    <row r="752" ht="14.25" customHeight="1">
      <c r="A752" s="195"/>
      <c r="B752" s="100"/>
      <c r="C752" s="100"/>
      <c r="D752" s="100"/>
      <c r="E752" s="100"/>
      <c r="F752" s="206"/>
      <c r="G752" s="206"/>
      <c r="H752" s="207"/>
      <c r="I752" s="207"/>
      <c r="J752" s="207"/>
      <c r="K752" s="207"/>
      <c r="L752" s="207"/>
      <c r="M752" s="207"/>
      <c r="N752" s="207"/>
      <c r="O752" s="207"/>
      <c r="P752" s="207"/>
      <c r="Q752" s="207"/>
      <c r="R752" s="207"/>
      <c r="S752" s="207"/>
      <c r="T752" s="207"/>
      <c r="U752" s="207"/>
      <c r="V752" s="207"/>
      <c r="W752" s="208"/>
      <c r="X752" s="208"/>
      <c r="Y752" s="208"/>
      <c r="Z752" s="208"/>
      <c r="AA752" s="208"/>
      <c r="AB752" s="208"/>
      <c r="AC752" s="208"/>
      <c r="AD752" s="208"/>
      <c r="AE752" s="208"/>
      <c r="AF752" s="208"/>
      <c r="AG752" s="208"/>
      <c r="AH752" s="208"/>
      <c r="AI752" s="100"/>
    </row>
    <row r="753" ht="14.25" customHeight="1">
      <c r="A753" s="195"/>
      <c r="B753" s="100"/>
      <c r="C753" s="100"/>
      <c r="D753" s="100"/>
      <c r="E753" s="100"/>
      <c r="F753" s="206"/>
      <c r="G753" s="206"/>
      <c r="H753" s="207"/>
      <c r="I753" s="207"/>
      <c r="J753" s="207"/>
      <c r="K753" s="207"/>
      <c r="L753" s="207"/>
      <c r="M753" s="207"/>
      <c r="N753" s="207"/>
      <c r="O753" s="207"/>
      <c r="P753" s="207"/>
      <c r="Q753" s="207"/>
      <c r="R753" s="207"/>
      <c r="S753" s="207"/>
      <c r="T753" s="207"/>
      <c r="U753" s="207"/>
      <c r="V753" s="207"/>
      <c r="W753" s="208"/>
      <c r="X753" s="208"/>
      <c r="Y753" s="208"/>
      <c r="Z753" s="208"/>
      <c r="AA753" s="208"/>
      <c r="AB753" s="208"/>
      <c r="AC753" s="208"/>
      <c r="AD753" s="208"/>
      <c r="AE753" s="208"/>
      <c r="AF753" s="208"/>
      <c r="AG753" s="208"/>
      <c r="AH753" s="208"/>
      <c r="AI753" s="100"/>
    </row>
    <row r="754" ht="14.25" customHeight="1">
      <c r="A754" s="195"/>
      <c r="B754" s="100"/>
      <c r="C754" s="100"/>
      <c r="D754" s="100"/>
      <c r="E754" s="100"/>
      <c r="F754" s="206"/>
      <c r="G754" s="206"/>
      <c r="H754" s="207"/>
      <c r="I754" s="207"/>
      <c r="J754" s="207"/>
      <c r="K754" s="207"/>
      <c r="L754" s="207"/>
      <c r="M754" s="207"/>
      <c r="N754" s="207"/>
      <c r="O754" s="207"/>
      <c r="P754" s="207"/>
      <c r="Q754" s="207"/>
      <c r="R754" s="207"/>
      <c r="S754" s="207"/>
      <c r="T754" s="207"/>
      <c r="U754" s="207"/>
      <c r="V754" s="207"/>
      <c r="W754" s="208"/>
      <c r="X754" s="208"/>
      <c r="Y754" s="208"/>
      <c r="Z754" s="208"/>
      <c r="AA754" s="208"/>
      <c r="AB754" s="208"/>
      <c r="AC754" s="208"/>
      <c r="AD754" s="208"/>
      <c r="AE754" s="208"/>
      <c r="AF754" s="208"/>
      <c r="AG754" s="208"/>
      <c r="AH754" s="208"/>
      <c r="AI754" s="100"/>
    </row>
    <row r="755" ht="14.25" customHeight="1">
      <c r="A755" s="195"/>
      <c r="B755" s="100"/>
      <c r="C755" s="100"/>
      <c r="D755" s="100"/>
      <c r="E755" s="100"/>
      <c r="F755" s="206"/>
      <c r="G755" s="206"/>
      <c r="H755" s="207"/>
      <c r="I755" s="207"/>
      <c r="J755" s="207"/>
      <c r="K755" s="207"/>
      <c r="L755" s="207"/>
      <c r="M755" s="207"/>
      <c r="N755" s="207"/>
      <c r="O755" s="207"/>
      <c r="P755" s="207"/>
      <c r="Q755" s="207"/>
      <c r="R755" s="207"/>
      <c r="S755" s="207"/>
      <c r="T755" s="207"/>
      <c r="U755" s="207"/>
      <c r="V755" s="207"/>
      <c r="W755" s="208"/>
      <c r="X755" s="208"/>
      <c r="Y755" s="208"/>
      <c r="Z755" s="208"/>
      <c r="AA755" s="208"/>
      <c r="AB755" s="208"/>
      <c r="AC755" s="208"/>
      <c r="AD755" s="208"/>
      <c r="AE755" s="208"/>
      <c r="AF755" s="208"/>
      <c r="AG755" s="208"/>
      <c r="AH755" s="208"/>
      <c r="AI755" s="100"/>
    </row>
    <row r="756" ht="14.25" customHeight="1">
      <c r="A756" s="195"/>
      <c r="B756" s="100"/>
      <c r="C756" s="100"/>
      <c r="D756" s="100"/>
      <c r="E756" s="100"/>
      <c r="F756" s="206"/>
      <c r="G756" s="206"/>
      <c r="H756" s="207"/>
      <c r="I756" s="207"/>
      <c r="J756" s="207"/>
      <c r="K756" s="207"/>
      <c r="L756" s="207"/>
      <c r="M756" s="207"/>
      <c r="N756" s="207"/>
      <c r="O756" s="207"/>
      <c r="P756" s="207"/>
      <c r="Q756" s="207"/>
      <c r="R756" s="207"/>
      <c r="S756" s="207"/>
      <c r="T756" s="207"/>
      <c r="U756" s="207"/>
      <c r="V756" s="207"/>
      <c r="W756" s="208"/>
      <c r="X756" s="208"/>
      <c r="Y756" s="208"/>
      <c r="Z756" s="208"/>
      <c r="AA756" s="208"/>
      <c r="AB756" s="208"/>
      <c r="AC756" s="208"/>
      <c r="AD756" s="208"/>
      <c r="AE756" s="208"/>
      <c r="AF756" s="208"/>
      <c r="AG756" s="208"/>
      <c r="AH756" s="208"/>
      <c r="AI756" s="100"/>
    </row>
    <row r="757" ht="14.25" customHeight="1">
      <c r="A757" s="195"/>
      <c r="B757" s="100"/>
      <c r="C757" s="100"/>
      <c r="D757" s="100"/>
      <c r="E757" s="100"/>
      <c r="F757" s="206"/>
      <c r="G757" s="206"/>
      <c r="H757" s="207"/>
      <c r="I757" s="207"/>
      <c r="J757" s="207"/>
      <c r="K757" s="207"/>
      <c r="L757" s="207"/>
      <c r="M757" s="207"/>
      <c r="N757" s="207"/>
      <c r="O757" s="207"/>
      <c r="P757" s="207"/>
      <c r="Q757" s="207"/>
      <c r="R757" s="207"/>
      <c r="S757" s="207"/>
      <c r="T757" s="207"/>
      <c r="U757" s="207"/>
      <c r="V757" s="207"/>
      <c r="W757" s="208"/>
      <c r="X757" s="208"/>
      <c r="Y757" s="208"/>
      <c r="Z757" s="208"/>
      <c r="AA757" s="208"/>
      <c r="AB757" s="208"/>
      <c r="AC757" s="208"/>
      <c r="AD757" s="208"/>
      <c r="AE757" s="208"/>
      <c r="AF757" s="208"/>
      <c r="AG757" s="208"/>
      <c r="AH757" s="208"/>
      <c r="AI757" s="100"/>
    </row>
    <row r="758" ht="14.25" customHeight="1">
      <c r="A758" s="195"/>
      <c r="B758" s="100"/>
      <c r="C758" s="100"/>
      <c r="D758" s="100"/>
      <c r="E758" s="100"/>
      <c r="F758" s="206"/>
      <c r="G758" s="206"/>
      <c r="H758" s="207"/>
      <c r="I758" s="207"/>
      <c r="J758" s="207"/>
      <c r="K758" s="207"/>
      <c r="L758" s="207"/>
      <c r="M758" s="207"/>
      <c r="N758" s="207"/>
      <c r="O758" s="207"/>
      <c r="P758" s="207"/>
      <c r="Q758" s="207"/>
      <c r="R758" s="207"/>
      <c r="S758" s="207"/>
      <c r="T758" s="207"/>
      <c r="U758" s="207"/>
      <c r="V758" s="207"/>
      <c r="W758" s="208"/>
      <c r="X758" s="208"/>
      <c r="Y758" s="208"/>
      <c r="Z758" s="208"/>
      <c r="AA758" s="208"/>
      <c r="AB758" s="208"/>
      <c r="AC758" s="208"/>
      <c r="AD758" s="208"/>
      <c r="AE758" s="208"/>
      <c r="AF758" s="208"/>
      <c r="AG758" s="208"/>
      <c r="AH758" s="208"/>
      <c r="AI758" s="100"/>
    </row>
    <row r="759" ht="14.25" customHeight="1">
      <c r="A759" s="195"/>
      <c r="B759" s="100"/>
      <c r="C759" s="100"/>
      <c r="D759" s="100"/>
      <c r="E759" s="100"/>
      <c r="F759" s="206"/>
      <c r="G759" s="206"/>
      <c r="H759" s="207"/>
      <c r="I759" s="207"/>
      <c r="J759" s="207"/>
      <c r="K759" s="207"/>
      <c r="L759" s="207"/>
      <c r="M759" s="207"/>
      <c r="N759" s="207"/>
      <c r="O759" s="207"/>
      <c r="P759" s="207"/>
      <c r="Q759" s="207"/>
      <c r="R759" s="207"/>
      <c r="S759" s="207"/>
      <c r="T759" s="207"/>
      <c r="U759" s="207"/>
      <c r="V759" s="207"/>
      <c r="W759" s="208"/>
      <c r="X759" s="208"/>
      <c r="Y759" s="208"/>
      <c r="Z759" s="208"/>
      <c r="AA759" s="208"/>
      <c r="AB759" s="208"/>
      <c r="AC759" s="208"/>
      <c r="AD759" s="208"/>
      <c r="AE759" s="208"/>
      <c r="AF759" s="208"/>
      <c r="AG759" s="208"/>
      <c r="AH759" s="208"/>
      <c r="AI759" s="100"/>
    </row>
    <row r="760" ht="14.25" customHeight="1">
      <c r="A760" s="195"/>
      <c r="B760" s="100"/>
      <c r="C760" s="100"/>
      <c r="D760" s="100"/>
      <c r="E760" s="100"/>
      <c r="F760" s="206"/>
      <c r="G760" s="206"/>
      <c r="H760" s="207"/>
      <c r="I760" s="207"/>
      <c r="J760" s="207"/>
      <c r="K760" s="207"/>
      <c r="L760" s="207"/>
      <c r="M760" s="207"/>
      <c r="N760" s="207"/>
      <c r="O760" s="207"/>
      <c r="P760" s="207"/>
      <c r="Q760" s="207"/>
      <c r="R760" s="207"/>
      <c r="S760" s="207"/>
      <c r="T760" s="207"/>
      <c r="U760" s="207"/>
      <c r="V760" s="207"/>
      <c r="W760" s="208"/>
      <c r="X760" s="208"/>
      <c r="Y760" s="208"/>
      <c r="Z760" s="208"/>
      <c r="AA760" s="208"/>
      <c r="AB760" s="208"/>
      <c r="AC760" s="208"/>
      <c r="AD760" s="208"/>
      <c r="AE760" s="208"/>
      <c r="AF760" s="208"/>
      <c r="AG760" s="208"/>
      <c r="AH760" s="208"/>
      <c r="AI760" s="100"/>
    </row>
    <row r="761" ht="14.25" customHeight="1">
      <c r="A761" s="195"/>
      <c r="B761" s="100"/>
      <c r="C761" s="100"/>
      <c r="D761" s="100"/>
      <c r="E761" s="100"/>
      <c r="F761" s="206"/>
      <c r="G761" s="206"/>
      <c r="H761" s="207"/>
      <c r="I761" s="207"/>
      <c r="J761" s="207"/>
      <c r="K761" s="207"/>
      <c r="L761" s="207"/>
      <c r="M761" s="207"/>
      <c r="N761" s="207"/>
      <c r="O761" s="207"/>
      <c r="P761" s="207"/>
      <c r="Q761" s="207"/>
      <c r="R761" s="207"/>
      <c r="S761" s="207"/>
      <c r="T761" s="207"/>
      <c r="U761" s="207"/>
      <c r="V761" s="207"/>
      <c r="W761" s="208"/>
      <c r="X761" s="208"/>
      <c r="Y761" s="208"/>
      <c r="Z761" s="208"/>
      <c r="AA761" s="208"/>
      <c r="AB761" s="208"/>
      <c r="AC761" s="208"/>
      <c r="AD761" s="208"/>
      <c r="AE761" s="208"/>
      <c r="AF761" s="208"/>
      <c r="AG761" s="208"/>
      <c r="AH761" s="208"/>
      <c r="AI761" s="100"/>
    </row>
    <row r="762" ht="14.25" customHeight="1">
      <c r="A762" s="195"/>
      <c r="B762" s="100"/>
      <c r="C762" s="100"/>
      <c r="D762" s="100"/>
      <c r="E762" s="100"/>
      <c r="F762" s="206"/>
      <c r="G762" s="206"/>
      <c r="H762" s="207"/>
      <c r="I762" s="207"/>
      <c r="J762" s="207"/>
      <c r="K762" s="207"/>
      <c r="L762" s="207"/>
      <c r="M762" s="207"/>
      <c r="N762" s="207"/>
      <c r="O762" s="207"/>
      <c r="P762" s="207"/>
      <c r="Q762" s="207"/>
      <c r="R762" s="207"/>
      <c r="S762" s="207"/>
      <c r="T762" s="207"/>
      <c r="U762" s="207"/>
      <c r="V762" s="207"/>
      <c r="W762" s="208"/>
      <c r="X762" s="208"/>
      <c r="Y762" s="208"/>
      <c r="Z762" s="208"/>
      <c r="AA762" s="208"/>
      <c r="AB762" s="208"/>
      <c r="AC762" s="208"/>
      <c r="AD762" s="208"/>
      <c r="AE762" s="208"/>
      <c r="AF762" s="208"/>
      <c r="AG762" s="208"/>
      <c r="AH762" s="208"/>
      <c r="AI762" s="100"/>
    </row>
    <row r="763" ht="14.25" customHeight="1">
      <c r="A763" s="195"/>
      <c r="B763" s="100"/>
      <c r="C763" s="100"/>
      <c r="D763" s="100"/>
      <c r="E763" s="100"/>
      <c r="F763" s="206"/>
      <c r="G763" s="206"/>
      <c r="H763" s="207"/>
      <c r="I763" s="207"/>
      <c r="J763" s="207"/>
      <c r="K763" s="207"/>
      <c r="L763" s="207"/>
      <c r="M763" s="207"/>
      <c r="N763" s="207"/>
      <c r="O763" s="207"/>
      <c r="P763" s="207"/>
      <c r="Q763" s="207"/>
      <c r="R763" s="207"/>
      <c r="S763" s="207"/>
      <c r="T763" s="207"/>
      <c r="U763" s="207"/>
      <c r="V763" s="207"/>
      <c r="W763" s="208"/>
      <c r="X763" s="208"/>
      <c r="Y763" s="208"/>
      <c r="Z763" s="208"/>
      <c r="AA763" s="208"/>
      <c r="AB763" s="208"/>
      <c r="AC763" s="208"/>
      <c r="AD763" s="208"/>
      <c r="AE763" s="208"/>
      <c r="AF763" s="208"/>
      <c r="AG763" s="208"/>
      <c r="AH763" s="208"/>
      <c r="AI763" s="100"/>
    </row>
    <row r="764" ht="14.25" customHeight="1">
      <c r="A764" s="195"/>
      <c r="B764" s="100"/>
      <c r="C764" s="100"/>
      <c r="D764" s="100"/>
      <c r="E764" s="100"/>
      <c r="F764" s="206"/>
      <c r="G764" s="206"/>
      <c r="H764" s="207"/>
      <c r="I764" s="207"/>
      <c r="J764" s="207"/>
      <c r="K764" s="207"/>
      <c r="L764" s="207"/>
      <c r="M764" s="207"/>
      <c r="N764" s="207"/>
      <c r="O764" s="207"/>
      <c r="P764" s="207"/>
      <c r="Q764" s="207"/>
      <c r="R764" s="207"/>
      <c r="S764" s="207"/>
      <c r="T764" s="207"/>
      <c r="U764" s="207"/>
      <c r="V764" s="207"/>
      <c r="W764" s="208"/>
      <c r="X764" s="208"/>
      <c r="Y764" s="208"/>
      <c r="Z764" s="208"/>
      <c r="AA764" s="208"/>
      <c r="AB764" s="208"/>
      <c r="AC764" s="208"/>
      <c r="AD764" s="208"/>
      <c r="AE764" s="208"/>
      <c r="AF764" s="208"/>
      <c r="AG764" s="208"/>
      <c r="AH764" s="208"/>
      <c r="AI764" s="100"/>
    </row>
    <row r="765" ht="14.25" customHeight="1">
      <c r="A765" s="195"/>
      <c r="B765" s="100"/>
      <c r="C765" s="100"/>
      <c r="D765" s="100"/>
      <c r="E765" s="100"/>
      <c r="F765" s="206"/>
      <c r="G765" s="206"/>
      <c r="H765" s="207"/>
      <c r="I765" s="207"/>
      <c r="J765" s="207"/>
      <c r="K765" s="207"/>
      <c r="L765" s="207"/>
      <c r="M765" s="207"/>
      <c r="N765" s="207"/>
      <c r="O765" s="207"/>
      <c r="P765" s="207"/>
      <c r="Q765" s="207"/>
      <c r="R765" s="207"/>
      <c r="S765" s="207"/>
      <c r="T765" s="207"/>
      <c r="U765" s="207"/>
      <c r="V765" s="207"/>
      <c r="W765" s="208"/>
      <c r="X765" s="208"/>
      <c r="Y765" s="208"/>
      <c r="Z765" s="208"/>
      <c r="AA765" s="208"/>
      <c r="AB765" s="208"/>
      <c r="AC765" s="208"/>
      <c r="AD765" s="208"/>
      <c r="AE765" s="208"/>
      <c r="AF765" s="208"/>
      <c r="AG765" s="208"/>
      <c r="AH765" s="208"/>
      <c r="AI765" s="100"/>
    </row>
    <row r="766" ht="14.25" customHeight="1">
      <c r="A766" s="195"/>
      <c r="B766" s="100"/>
      <c r="C766" s="100"/>
      <c r="D766" s="100"/>
      <c r="E766" s="100"/>
      <c r="F766" s="206"/>
      <c r="G766" s="206"/>
      <c r="H766" s="207"/>
      <c r="I766" s="207"/>
      <c r="J766" s="207"/>
      <c r="K766" s="207"/>
      <c r="L766" s="207"/>
      <c r="M766" s="207"/>
      <c r="N766" s="207"/>
      <c r="O766" s="207"/>
      <c r="P766" s="207"/>
      <c r="Q766" s="207"/>
      <c r="R766" s="207"/>
      <c r="S766" s="207"/>
      <c r="T766" s="207"/>
      <c r="U766" s="207"/>
      <c r="V766" s="207"/>
      <c r="W766" s="208"/>
      <c r="X766" s="208"/>
      <c r="Y766" s="208"/>
      <c r="Z766" s="208"/>
      <c r="AA766" s="208"/>
      <c r="AB766" s="208"/>
      <c r="AC766" s="208"/>
      <c r="AD766" s="208"/>
      <c r="AE766" s="208"/>
      <c r="AF766" s="208"/>
      <c r="AG766" s="208"/>
      <c r="AH766" s="208"/>
      <c r="AI766" s="100"/>
    </row>
    <row r="767" ht="14.25" customHeight="1">
      <c r="A767" s="195"/>
      <c r="B767" s="100"/>
      <c r="C767" s="100"/>
      <c r="D767" s="100"/>
      <c r="E767" s="100"/>
      <c r="F767" s="206"/>
      <c r="G767" s="206"/>
      <c r="H767" s="207"/>
      <c r="I767" s="207"/>
      <c r="J767" s="207"/>
      <c r="K767" s="207"/>
      <c r="L767" s="207"/>
      <c r="M767" s="207"/>
      <c r="N767" s="207"/>
      <c r="O767" s="207"/>
      <c r="P767" s="207"/>
      <c r="Q767" s="207"/>
      <c r="R767" s="207"/>
      <c r="S767" s="207"/>
      <c r="T767" s="207"/>
      <c r="U767" s="207"/>
      <c r="V767" s="207"/>
      <c r="W767" s="208"/>
      <c r="X767" s="208"/>
      <c r="Y767" s="208"/>
      <c r="Z767" s="208"/>
      <c r="AA767" s="208"/>
      <c r="AB767" s="208"/>
      <c r="AC767" s="208"/>
      <c r="AD767" s="208"/>
      <c r="AE767" s="208"/>
      <c r="AF767" s="208"/>
      <c r="AG767" s="208"/>
      <c r="AH767" s="208"/>
      <c r="AI767" s="100"/>
    </row>
    <row r="768" ht="14.25" customHeight="1">
      <c r="A768" s="195"/>
      <c r="B768" s="100"/>
      <c r="C768" s="100"/>
      <c r="D768" s="100"/>
      <c r="E768" s="100"/>
      <c r="F768" s="206"/>
      <c r="G768" s="206"/>
      <c r="H768" s="207"/>
      <c r="I768" s="207"/>
      <c r="J768" s="207"/>
      <c r="K768" s="207"/>
      <c r="L768" s="207"/>
      <c r="M768" s="207"/>
      <c r="N768" s="207"/>
      <c r="O768" s="207"/>
      <c r="P768" s="207"/>
      <c r="Q768" s="207"/>
      <c r="R768" s="207"/>
      <c r="S768" s="207"/>
      <c r="T768" s="207"/>
      <c r="U768" s="207"/>
      <c r="V768" s="207"/>
      <c r="W768" s="208"/>
      <c r="X768" s="208"/>
      <c r="Y768" s="208"/>
      <c r="Z768" s="208"/>
      <c r="AA768" s="208"/>
      <c r="AB768" s="208"/>
      <c r="AC768" s="208"/>
      <c r="AD768" s="208"/>
      <c r="AE768" s="208"/>
      <c r="AF768" s="208"/>
      <c r="AG768" s="208"/>
      <c r="AH768" s="208"/>
      <c r="AI768" s="100"/>
    </row>
    <row r="769" ht="14.25" customHeight="1">
      <c r="A769" s="195"/>
      <c r="B769" s="100"/>
      <c r="C769" s="100"/>
      <c r="D769" s="100"/>
      <c r="E769" s="100"/>
      <c r="F769" s="206"/>
      <c r="G769" s="206"/>
      <c r="H769" s="207"/>
      <c r="I769" s="207"/>
      <c r="J769" s="207"/>
      <c r="K769" s="207"/>
      <c r="L769" s="207"/>
      <c r="M769" s="207"/>
      <c r="N769" s="207"/>
      <c r="O769" s="207"/>
      <c r="P769" s="207"/>
      <c r="Q769" s="207"/>
      <c r="R769" s="207"/>
      <c r="S769" s="207"/>
      <c r="T769" s="207"/>
      <c r="U769" s="207"/>
      <c r="V769" s="207"/>
      <c r="W769" s="208"/>
      <c r="X769" s="208"/>
      <c r="Y769" s="208"/>
      <c r="Z769" s="208"/>
      <c r="AA769" s="208"/>
      <c r="AB769" s="208"/>
      <c r="AC769" s="208"/>
      <c r="AD769" s="208"/>
      <c r="AE769" s="208"/>
      <c r="AF769" s="208"/>
      <c r="AG769" s="208"/>
      <c r="AH769" s="208"/>
      <c r="AI769" s="100"/>
    </row>
    <row r="770" ht="14.25" customHeight="1">
      <c r="A770" s="195"/>
      <c r="B770" s="100"/>
      <c r="C770" s="100"/>
      <c r="D770" s="100"/>
      <c r="E770" s="100"/>
      <c r="F770" s="206"/>
      <c r="G770" s="206"/>
      <c r="H770" s="207"/>
      <c r="I770" s="207"/>
      <c r="J770" s="207"/>
      <c r="K770" s="207"/>
      <c r="L770" s="207"/>
      <c r="M770" s="207"/>
      <c r="N770" s="207"/>
      <c r="O770" s="207"/>
      <c r="P770" s="207"/>
      <c r="Q770" s="207"/>
      <c r="R770" s="207"/>
      <c r="S770" s="207"/>
      <c r="T770" s="207"/>
      <c r="U770" s="207"/>
      <c r="V770" s="207"/>
      <c r="W770" s="208"/>
      <c r="X770" s="208"/>
      <c r="Y770" s="208"/>
      <c r="Z770" s="208"/>
      <c r="AA770" s="208"/>
      <c r="AB770" s="208"/>
      <c r="AC770" s="208"/>
      <c r="AD770" s="208"/>
      <c r="AE770" s="208"/>
      <c r="AF770" s="208"/>
      <c r="AG770" s="208"/>
      <c r="AH770" s="208"/>
      <c r="AI770" s="100"/>
    </row>
    <row r="771" ht="14.25" customHeight="1">
      <c r="A771" s="195"/>
      <c r="B771" s="100"/>
      <c r="C771" s="100"/>
      <c r="D771" s="100"/>
      <c r="E771" s="100"/>
      <c r="F771" s="206"/>
      <c r="G771" s="206"/>
      <c r="H771" s="207"/>
      <c r="I771" s="207"/>
      <c r="J771" s="207"/>
      <c r="K771" s="207"/>
      <c r="L771" s="207"/>
      <c r="M771" s="207"/>
      <c r="N771" s="207"/>
      <c r="O771" s="207"/>
      <c r="P771" s="207"/>
      <c r="Q771" s="207"/>
      <c r="R771" s="207"/>
      <c r="S771" s="207"/>
      <c r="T771" s="207"/>
      <c r="U771" s="207"/>
      <c r="V771" s="207"/>
      <c r="W771" s="208"/>
      <c r="X771" s="208"/>
      <c r="Y771" s="208"/>
      <c r="Z771" s="208"/>
      <c r="AA771" s="208"/>
      <c r="AB771" s="208"/>
      <c r="AC771" s="208"/>
      <c r="AD771" s="208"/>
      <c r="AE771" s="208"/>
      <c r="AF771" s="208"/>
      <c r="AG771" s="208"/>
      <c r="AH771" s="208"/>
      <c r="AI771" s="100"/>
    </row>
    <row r="772" ht="14.25" customHeight="1">
      <c r="A772" s="195"/>
      <c r="B772" s="100"/>
      <c r="C772" s="100"/>
      <c r="D772" s="100"/>
      <c r="E772" s="100"/>
      <c r="F772" s="206"/>
      <c r="G772" s="206"/>
      <c r="H772" s="207"/>
      <c r="I772" s="207"/>
      <c r="J772" s="207"/>
      <c r="K772" s="207"/>
      <c r="L772" s="207"/>
      <c r="M772" s="207"/>
      <c r="N772" s="207"/>
      <c r="O772" s="207"/>
      <c r="P772" s="207"/>
      <c r="Q772" s="207"/>
      <c r="R772" s="207"/>
      <c r="S772" s="207"/>
      <c r="T772" s="207"/>
      <c r="U772" s="207"/>
      <c r="V772" s="207"/>
      <c r="W772" s="208"/>
      <c r="X772" s="208"/>
      <c r="Y772" s="208"/>
      <c r="Z772" s="208"/>
      <c r="AA772" s="208"/>
      <c r="AB772" s="208"/>
      <c r="AC772" s="208"/>
      <c r="AD772" s="208"/>
      <c r="AE772" s="208"/>
      <c r="AF772" s="208"/>
      <c r="AG772" s="208"/>
      <c r="AH772" s="208"/>
      <c r="AI772" s="100"/>
    </row>
    <row r="773" ht="14.25" customHeight="1">
      <c r="A773" s="195"/>
      <c r="B773" s="100"/>
      <c r="C773" s="100"/>
      <c r="D773" s="100"/>
      <c r="E773" s="100"/>
      <c r="F773" s="206"/>
      <c r="G773" s="206"/>
      <c r="H773" s="207"/>
      <c r="I773" s="207"/>
      <c r="J773" s="207"/>
      <c r="K773" s="207"/>
      <c r="L773" s="207"/>
      <c r="M773" s="207"/>
      <c r="N773" s="207"/>
      <c r="O773" s="207"/>
      <c r="P773" s="207"/>
      <c r="Q773" s="207"/>
      <c r="R773" s="207"/>
      <c r="S773" s="207"/>
      <c r="T773" s="207"/>
      <c r="U773" s="207"/>
      <c r="V773" s="207"/>
      <c r="W773" s="208"/>
      <c r="X773" s="208"/>
      <c r="Y773" s="208"/>
      <c r="Z773" s="208"/>
      <c r="AA773" s="208"/>
      <c r="AB773" s="208"/>
      <c r="AC773" s="208"/>
      <c r="AD773" s="208"/>
      <c r="AE773" s="208"/>
      <c r="AF773" s="208"/>
      <c r="AG773" s="208"/>
      <c r="AH773" s="208"/>
      <c r="AI773" s="100"/>
    </row>
    <row r="774" ht="14.25" customHeight="1">
      <c r="A774" s="195"/>
      <c r="B774" s="100"/>
      <c r="C774" s="100"/>
      <c r="D774" s="100"/>
      <c r="E774" s="100"/>
      <c r="F774" s="206"/>
      <c r="G774" s="206"/>
      <c r="H774" s="207"/>
      <c r="I774" s="207"/>
      <c r="J774" s="207"/>
      <c r="K774" s="207"/>
      <c r="L774" s="207"/>
      <c r="M774" s="207"/>
      <c r="N774" s="207"/>
      <c r="O774" s="207"/>
      <c r="P774" s="207"/>
      <c r="Q774" s="207"/>
      <c r="R774" s="207"/>
      <c r="S774" s="207"/>
      <c r="T774" s="207"/>
      <c r="U774" s="207"/>
      <c r="V774" s="207"/>
      <c r="W774" s="208"/>
      <c r="X774" s="208"/>
      <c r="Y774" s="208"/>
      <c r="Z774" s="208"/>
      <c r="AA774" s="208"/>
      <c r="AB774" s="208"/>
      <c r="AC774" s="208"/>
      <c r="AD774" s="208"/>
      <c r="AE774" s="208"/>
      <c r="AF774" s="208"/>
      <c r="AG774" s="208"/>
      <c r="AH774" s="208"/>
      <c r="AI774" s="100"/>
    </row>
    <row r="775" ht="14.25" customHeight="1">
      <c r="A775" s="195"/>
      <c r="B775" s="100"/>
      <c r="C775" s="100"/>
      <c r="D775" s="100"/>
      <c r="E775" s="100"/>
      <c r="F775" s="206"/>
      <c r="G775" s="206"/>
      <c r="H775" s="207"/>
      <c r="I775" s="207"/>
      <c r="J775" s="207"/>
      <c r="K775" s="207"/>
      <c r="L775" s="207"/>
      <c r="M775" s="207"/>
      <c r="N775" s="207"/>
      <c r="O775" s="207"/>
      <c r="P775" s="207"/>
      <c r="Q775" s="207"/>
      <c r="R775" s="207"/>
      <c r="S775" s="207"/>
      <c r="T775" s="207"/>
      <c r="U775" s="207"/>
      <c r="V775" s="207"/>
      <c r="W775" s="208"/>
      <c r="X775" s="208"/>
      <c r="Y775" s="208"/>
      <c r="Z775" s="208"/>
      <c r="AA775" s="208"/>
      <c r="AB775" s="208"/>
      <c r="AC775" s="208"/>
      <c r="AD775" s="208"/>
      <c r="AE775" s="208"/>
      <c r="AF775" s="208"/>
      <c r="AG775" s="208"/>
      <c r="AH775" s="208"/>
      <c r="AI775" s="100"/>
    </row>
    <row r="776" ht="14.25" customHeight="1">
      <c r="A776" s="195"/>
      <c r="B776" s="100"/>
      <c r="C776" s="100"/>
      <c r="D776" s="100"/>
      <c r="E776" s="100"/>
      <c r="F776" s="206"/>
      <c r="G776" s="206"/>
      <c r="H776" s="207"/>
      <c r="I776" s="207"/>
      <c r="J776" s="207"/>
      <c r="K776" s="207"/>
      <c r="L776" s="207"/>
      <c r="M776" s="207"/>
      <c r="N776" s="207"/>
      <c r="O776" s="207"/>
      <c r="P776" s="207"/>
      <c r="Q776" s="207"/>
      <c r="R776" s="207"/>
      <c r="S776" s="207"/>
      <c r="T776" s="207"/>
      <c r="U776" s="207"/>
      <c r="V776" s="207"/>
      <c r="W776" s="208"/>
      <c r="X776" s="208"/>
      <c r="Y776" s="208"/>
      <c r="Z776" s="208"/>
      <c r="AA776" s="208"/>
      <c r="AB776" s="208"/>
      <c r="AC776" s="208"/>
      <c r="AD776" s="208"/>
      <c r="AE776" s="208"/>
      <c r="AF776" s="208"/>
      <c r="AG776" s="208"/>
      <c r="AH776" s="208"/>
      <c r="AI776" s="100"/>
    </row>
    <row r="777" ht="14.25" customHeight="1">
      <c r="A777" s="195"/>
      <c r="B777" s="100"/>
      <c r="C777" s="100"/>
      <c r="D777" s="100"/>
      <c r="E777" s="100"/>
      <c r="F777" s="206"/>
      <c r="G777" s="206"/>
      <c r="H777" s="207"/>
      <c r="I777" s="207"/>
      <c r="J777" s="207"/>
      <c r="K777" s="207"/>
      <c r="L777" s="207"/>
      <c r="M777" s="207"/>
      <c r="N777" s="207"/>
      <c r="O777" s="207"/>
      <c r="P777" s="207"/>
      <c r="Q777" s="207"/>
      <c r="R777" s="207"/>
      <c r="S777" s="207"/>
      <c r="T777" s="207"/>
      <c r="U777" s="207"/>
      <c r="V777" s="207"/>
      <c r="W777" s="208"/>
      <c r="X777" s="208"/>
      <c r="Y777" s="208"/>
      <c r="Z777" s="208"/>
      <c r="AA777" s="208"/>
      <c r="AB777" s="208"/>
      <c r="AC777" s="208"/>
      <c r="AD777" s="208"/>
      <c r="AE777" s="208"/>
      <c r="AF777" s="208"/>
      <c r="AG777" s="208"/>
      <c r="AH777" s="208"/>
      <c r="AI777" s="100"/>
    </row>
    <row r="778" ht="14.25" customHeight="1">
      <c r="A778" s="195"/>
      <c r="B778" s="100"/>
      <c r="C778" s="100"/>
      <c r="D778" s="100"/>
      <c r="E778" s="100"/>
      <c r="F778" s="206"/>
      <c r="G778" s="206"/>
      <c r="H778" s="207"/>
      <c r="I778" s="207"/>
      <c r="J778" s="207"/>
      <c r="K778" s="207"/>
      <c r="L778" s="207"/>
      <c r="M778" s="207"/>
      <c r="N778" s="207"/>
      <c r="O778" s="207"/>
      <c r="P778" s="207"/>
      <c r="Q778" s="207"/>
      <c r="R778" s="207"/>
      <c r="S778" s="207"/>
      <c r="T778" s="207"/>
      <c r="U778" s="207"/>
      <c r="V778" s="207"/>
      <c r="W778" s="208"/>
      <c r="X778" s="208"/>
      <c r="Y778" s="208"/>
      <c r="Z778" s="208"/>
      <c r="AA778" s="208"/>
      <c r="AB778" s="208"/>
      <c r="AC778" s="208"/>
      <c r="AD778" s="208"/>
      <c r="AE778" s="208"/>
      <c r="AF778" s="208"/>
      <c r="AG778" s="208"/>
      <c r="AH778" s="208"/>
      <c r="AI778" s="100"/>
    </row>
    <row r="779" ht="14.25" customHeight="1">
      <c r="A779" s="195"/>
      <c r="B779" s="100"/>
      <c r="C779" s="100"/>
      <c r="D779" s="100"/>
      <c r="E779" s="100"/>
      <c r="F779" s="206"/>
      <c r="G779" s="206"/>
      <c r="H779" s="207"/>
      <c r="I779" s="207"/>
      <c r="J779" s="207"/>
      <c r="K779" s="207"/>
      <c r="L779" s="207"/>
      <c r="M779" s="207"/>
      <c r="N779" s="207"/>
      <c r="O779" s="207"/>
      <c r="P779" s="207"/>
      <c r="Q779" s="207"/>
      <c r="R779" s="207"/>
      <c r="S779" s="207"/>
      <c r="T779" s="207"/>
      <c r="U779" s="207"/>
      <c r="V779" s="207"/>
      <c r="W779" s="208"/>
      <c r="X779" s="208"/>
      <c r="Y779" s="208"/>
      <c r="Z779" s="208"/>
      <c r="AA779" s="208"/>
      <c r="AB779" s="208"/>
      <c r="AC779" s="208"/>
      <c r="AD779" s="208"/>
      <c r="AE779" s="208"/>
      <c r="AF779" s="208"/>
      <c r="AG779" s="208"/>
      <c r="AH779" s="208"/>
      <c r="AI779" s="100"/>
    </row>
    <row r="780" ht="14.25" customHeight="1">
      <c r="A780" s="195"/>
      <c r="B780" s="100"/>
      <c r="C780" s="100"/>
      <c r="D780" s="100"/>
      <c r="E780" s="100"/>
      <c r="F780" s="206"/>
      <c r="G780" s="206"/>
      <c r="H780" s="207"/>
      <c r="I780" s="207"/>
      <c r="J780" s="207"/>
      <c r="K780" s="207"/>
      <c r="L780" s="207"/>
      <c r="M780" s="207"/>
      <c r="N780" s="207"/>
      <c r="O780" s="207"/>
      <c r="P780" s="207"/>
      <c r="Q780" s="207"/>
      <c r="R780" s="207"/>
      <c r="S780" s="207"/>
      <c r="T780" s="207"/>
      <c r="U780" s="207"/>
      <c r="V780" s="207"/>
      <c r="W780" s="208"/>
      <c r="X780" s="208"/>
      <c r="Y780" s="208"/>
      <c r="Z780" s="208"/>
      <c r="AA780" s="208"/>
      <c r="AB780" s="208"/>
      <c r="AC780" s="208"/>
      <c r="AD780" s="208"/>
      <c r="AE780" s="208"/>
      <c r="AF780" s="208"/>
      <c r="AG780" s="208"/>
      <c r="AH780" s="208"/>
      <c r="AI780" s="100"/>
    </row>
    <row r="781" ht="14.25" customHeight="1">
      <c r="A781" s="195"/>
      <c r="B781" s="100"/>
      <c r="C781" s="100"/>
      <c r="D781" s="100"/>
      <c r="E781" s="100"/>
      <c r="F781" s="206"/>
      <c r="G781" s="206"/>
      <c r="H781" s="207"/>
      <c r="I781" s="207"/>
      <c r="J781" s="207"/>
      <c r="K781" s="207"/>
      <c r="L781" s="207"/>
      <c r="M781" s="207"/>
      <c r="N781" s="207"/>
      <c r="O781" s="207"/>
      <c r="P781" s="207"/>
      <c r="Q781" s="207"/>
      <c r="R781" s="207"/>
      <c r="S781" s="207"/>
      <c r="T781" s="207"/>
      <c r="U781" s="207"/>
      <c r="V781" s="207"/>
      <c r="W781" s="208"/>
      <c r="X781" s="208"/>
      <c r="Y781" s="208"/>
      <c r="Z781" s="208"/>
      <c r="AA781" s="208"/>
      <c r="AB781" s="208"/>
      <c r="AC781" s="208"/>
      <c r="AD781" s="208"/>
      <c r="AE781" s="208"/>
      <c r="AF781" s="208"/>
      <c r="AG781" s="208"/>
      <c r="AH781" s="208"/>
      <c r="AI781" s="100"/>
    </row>
    <row r="782" ht="14.25" customHeight="1">
      <c r="A782" s="195"/>
      <c r="B782" s="100"/>
      <c r="C782" s="100"/>
      <c r="D782" s="100"/>
      <c r="E782" s="100"/>
      <c r="F782" s="206"/>
      <c r="G782" s="206"/>
      <c r="H782" s="207"/>
      <c r="I782" s="207"/>
      <c r="J782" s="207"/>
      <c r="K782" s="207"/>
      <c r="L782" s="207"/>
      <c r="M782" s="207"/>
      <c r="N782" s="207"/>
      <c r="O782" s="207"/>
      <c r="P782" s="207"/>
      <c r="Q782" s="207"/>
      <c r="R782" s="207"/>
      <c r="S782" s="207"/>
      <c r="T782" s="207"/>
      <c r="U782" s="207"/>
      <c r="V782" s="207"/>
      <c r="W782" s="208"/>
      <c r="X782" s="208"/>
      <c r="Y782" s="208"/>
      <c r="Z782" s="208"/>
      <c r="AA782" s="208"/>
      <c r="AB782" s="208"/>
      <c r="AC782" s="208"/>
      <c r="AD782" s="208"/>
      <c r="AE782" s="208"/>
      <c r="AF782" s="208"/>
      <c r="AG782" s="208"/>
      <c r="AH782" s="208"/>
      <c r="AI782" s="100"/>
    </row>
    <row r="783" ht="14.25" customHeight="1">
      <c r="A783" s="195"/>
      <c r="B783" s="100"/>
      <c r="C783" s="100"/>
      <c r="D783" s="100"/>
      <c r="E783" s="100"/>
      <c r="F783" s="206"/>
      <c r="G783" s="206"/>
      <c r="H783" s="207"/>
      <c r="I783" s="207"/>
      <c r="J783" s="207"/>
      <c r="K783" s="207"/>
      <c r="L783" s="207"/>
      <c r="M783" s="207"/>
      <c r="N783" s="207"/>
      <c r="O783" s="207"/>
      <c r="P783" s="207"/>
      <c r="Q783" s="207"/>
      <c r="R783" s="207"/>
      <c r="S783" s="207"/>
      <c r="T783" s="207"/>
      <c r="U783" s="207"/>
      <c r="V783" s="207"/>
      <c r="W783" s="208"/>
      <c r="X783" s="208"/>
      <c r="Y783" s="208"/>
      <c r="Z783" s="208"/>
      <c r="AA783" s="208"/>
      <c r="AB783" s="208"/>
      <c r="AC783" s="208"/>
      <c r="AD783" s="208"/>
      <c r="AE783" s="208"/>
      <c r="AF783" s="208"/>
      <c r="AG783" s="208"/>
      <c r="AH783" s="208"/>
      <c r="AI783" s="100"/>
    </row>
    <row r="784" ht="14.25" customHeight="1">
      <c r="A784" s="195"/>
      <c r="B784" s="100"/>
      <c r="C784" s="100"/>
      <c r="D784" s="100"/>
      <c r="E784" s="100"/>
      <c r="F784" s="206"/>
      <c r="G784" s="206"/>
      <c r="H784" s="207"/>
      <c r="I784" s="207"/>
      <c r="J784" s="207"/>
      <c r="K784" s="207"/>
      <c r="L784" s="207"/>
      <c r="M784" s="207"/>
      <c r="N784" s="207"/>
      <c r="O784" s="207"/>
      <c r="P784" s="207"/>
      <c r="Q784" s="207"/>
      <c r="R784" s="207"/>
      <c r="S784" s="207"/>
      <c r="T784" s="207"/>
      <c r="U784" s="207"/>
      <c r="V784" s="207"/>
      <c r="W784" s="208"/>
      <c r="X784" s="208"/>
      <c r="Y784" s="208"/>
      <c r="Z784" s="208"/>
      <c r="AA784" s="208"/>
      <c r="AB784" s="208"/>
      <c r="AC784" s="208"/>
      <c r="AD784" s="208"/>
      <c r="AE784" s="208"/>
      <c r="AF784" s="208"/>
      <c r="AG784" s="208"/>
      <c r="AH784" s="208"/>
      <c r="AI784" s="100"/>
    </row>
    <row r="785" ht="14.25" customHeight="1">
      <c r="A785" s="195"/>
      <c r="B785" s="100"/>
      <c r="C785" s="100"/>
      <c r="D785" s="100"/>
      <c r="E785" s="100"/>
      <c r="F785" s="206"/>
      <c r="G785" s="206"/>
      <c r="H785" s="207"/>
      <c r="I785" s="207"/>
      <c r="J785" s="207"/>
      <c r="K785" s="207"/>
      <c r="L785" s="207"/>
      <c r="M785" s="207"/>
      <c r="N785" s="207"/>
      <c r="O785" s="207"/>
      <c r="P785" s="207"/>
      <c r="Q785" s="207"/>
      <c r="R785" s="207"/>
      <c r="S785" s="207"/>
      <c r="T785" s="207"/>
      <c r="U785" s="207"/>
      <c r="V785" s="207"/>
      <c r="W785" s="208"/>
      <c r="X785" s="208"/>
      <c r="Y785" s="208"/>
      <c r="Z785" s="208"/>
      <c r="AA785" s="208"/>
      <c r="AB785" s="208"/>
      <c r="AC785" s="208"/>
      <c r="AD785" s="208"/>
      <c r="AE785" s="208"/>
      <c r="AF785" s="208"/>
      <c r="AG785" s="208"/>
      <c r="AH785" s="208"/>
      <c r="AI785" s="100"/>
    </row>
    <row r="786" ht="14.25" customHeight="1">
      <c r="A786" s="195"/>
      <c r="B786" s="100"/>
      <c r="C786" s="100"/>
      <c r="D786" s="100"/>
      <c r="E786" s="100"/>
      <c r="F786" s="206"/>
      <c r="G786" s="206"/>
      <c r="H786" s="207"/>
      <c r="I786" s="207"/>
      <c r="J786" s="207"/>
      <c r="K786" s="207"/>
      <c r="L786" s="207"/>
      <c r="M786" s="207"/>
      <c r="N786" s="207"/>
      <c r="O786" s="207"/>
      <c r="P786" s="207"/>
      <c r="Q786" s="207"/>
      <c r="R786" s="207"/>
      <c r="S786" s="207"/>
      <c r="T786" s="207"/>
      <c r="U786" s="207"/>
      <c r="V786" s="207"/>
      <c r="W786" s="208"/>
      <c r="X786" s="208"/>
      <c r="Y786" s="208"/>
      <c r="Z786" s="208"/>
      <c r="AA786" s="208"/>
      <c r="AB786" s="208"/>
      <c r="AC786" s="208"/>
      <c r="AD786" s="208"/>
      <c r="AE786" s="208"/>
      <c r="AF786" s="208"/>
      <c r="AG786" s="208"/>
      <c r="AH786" s="208"/>
      <c r="AI786" s="100"/>
    </row>
    <row r="787" ht="14.25" customHeight="1">
      <c r="A787" s="195"/>
      <c r="B787" s="100"/>
      <c r="C787" s="100"/>
      <c r="D787" s="100"/>
      <c r="E787" s="100"/>
      <c r="F787" s="206"/>
      <c r="G787" s="206"/>
      <c r="H787" s="207"/>
      <c r="I787" s="207"/>
      <c r="J787" s="207"/>
      <c r="K787" s="207"/>
      <c r="L787" s="207"/>
      <c r="M787" s="207"/>
      <c r="N787" s="207"/>
      <c r="O787" s="207"/>
      <c r="P787" s="207"/>
      <c r="Q787" s="207"/>
      <c r="R787" s="207"/>
      <c r="S787" s="207"/>
      <c r="T787" s="207"/>
      <c r="U787" s="207"/>
      <c r="V787" s="207"/>
      <c r="W787" s="208"/>
      <c r="X787" s="208"/>
      <c r="Y787" s="208"/>
      <c r="Z787" s="208"/>
      <c r="AA787" s="208"/>
      <c r="AB787" s="208"/>
      <c r="AC787" s="208"/>
      <c r="AD787" s="208"/>
      <c r="AE787" s="208"/>
      <c r="AF787" s="208"/>
      <c r="AG787" s="208"/>
      <c r="AH787" s="208"/>
      <c r="AI787" s="100"/>
    </row>
    <row r="788" ht="14.25" customHeight="1">
      <c r="A788" s="195"/>
      <c r="B788" s="100"/>
      <c r="C788" s="100"/>
      <c r="D788" s="100"/>
      <c r="E788" s="100"/>
      <c r="F788" s="206"/>
      <c r="G788" s="206"/>
      <c r="H788" s="207"/>
      <c r="I788" s="207"/>
      <c r="J788" s="207"/>
      <c r="K788" s="207"/>
      <c r="L788" s="207"/>
      <c r="M788" s="207"/>
      <c r="N788" s="207"/>
      <c r="O788" s="207"/>
      <c r="P788" s="207"/>
      <c r="Q788" s="207"/>
      <c r="R788" s="207"/>
      <c r="S788" s="207"/>
      <c r="T788" s="207"/>
      <c r="U788" s="207"/>
      <c r="V788" s="207"/>
      <c r="W788" s="208"/>
      <c r="X788" s="208"/>
      <c r="Y788" s="208"/>
      <c r="Z788" s="208"/>
      <c r="AA788" s="208"/>
      <c r="AB788" s="208"/>
      <c r="AC788" s="208"/>
      <c r="AD788" s="208"/>
      <c r="AE788" s="208"/>
      <c r="AF788" s="208"/>
      <c r="AG788" s="208"/>
      <c r="AH788" s="208"/>
      <c r="AI788" s="100"/>
    </row>
    <row r="789" ht="14.25" customHeight="1">
      <c r="A789" s="195"/>
      <c r="B789" s="100"/>
      <c r="C789" s="100"/>
      <c r="D789" s="100"/>
      <c r="E789" s="100"/>
      <c r="F789" s="206"/>
      <c r="G789" s="206"/>
      <c r="H789" s="207"/>
      <c r="I789" s="207"/>
      <c r="J789" s="207"/>
      <c r="K789" s="207"/>
      <c r="L789" s="207"/>
      <c r="M789" s="207"/>
      <c r="N789" s="207"/>
      <c r="O789" s="207"/>
      <c r="P789" s="207"/>
      <c r="Q789" s="207"/>
      <c r="R789" s="207"/>
      <c r="S789" s="207"/>
      <c r="T789" s="207"/>
      <c r="U789" s="207"/>
      <c r="V789" s="207"/>
      <c r="W789" s="208"/>
      <c r="X789" s="208"/>
      <c r="Y789" s="208"/>
      <c r="Z789" s="208"/>
      <c r="AA789" s="208"/>
      <c r="AB789" s="208"/>
      <c r="AC789" s="208"/>
      <c r="AD789" s="208"/>
      <c r="AE789" s="208"/>
      <c r="AF789" s="208"/>
      <c r="AG789" s="208"/>
      <c r="AH789" s="208"/>
      <c r="AI789" s="100"/>
    </row>
    <row r="790" ht="14.25" customHeight="1">
      <c r="A790" s="195"/>
      <c r="B790" s="100"/>
      <c r="C790" s="100"/>
      <c r="D790" s="100"/>
      <c r="E790" s="100"/>
      <c r="F790" s="206"/>
      <c r="G790" s="206"/>
      <c r="H790" s="207"/>
      <c r="I790" s="207"/>
      <c r="J790" s="207"/>
      <c r="K790" s="207"/>
      <c r="L790" s="207"/>
      <c r="M790" s="207"/>
      <c r="N790" s="207"/>
      <c r="O790" s="207"/>
      <c r="P790" s="207"/>
      <c r="Q790" s="207"/>
      <c r="R790" s="207"/>
      <c r="S790" s="207"/>
      <c r="T790" s="207"/>
      <c r="U790" s="207"/>
      <c r="V790" s="207"/>
      <c r="W790" s="208"/>
      <c r="X790" s="208"/>
      <c r="Y790" s="208"/>
      <c r="Z790" s="208"/>
      <c r="AA790" s="208"/>
      <c r="AB790" s="208"/>
      <c r="AC790" s="208"/>
      <c r="AD790" s="208"/>
      <c r="AE790" s="208"/>
      <c r="AF790" s="208"/>
      <c r="AG790" s="208"/>
      <c r="AH790" s="208"/>
      <c r="AI790" s="100"/>
    </row>
    <row r="791" ht="14.25" customHeight="1">
      <c r="A791" s="195"/>
      <c r="B791" s="100"/>
      <c r="C791" s="100"/>
      <c r="D791" s="100"/>
      <c r="E791" s="100"/>
      <c r="F791" s="206"/>
      <c r="G791" s="206"/>
      <c r="H791" s="207"/>
      <c r="I791" s="207"/>
      <c r="J791" s="207"/>
      <c r="K791" s="207"/>
      <c r="L791" s="207"/>
      <c r="M791" s="207"/>
      <c r="N791" s="207"/>
      <c r="O791" s="207"/>
      <c r="P791" s="207"/>
      <c r="Q791" s="207"/>
      <c r="R791" s="207"/>
      <c r="S791" s="207"/>
      <c r="T791" s="207"/>
      <c r="U791" s="207"/>
      <c r="V791" s="207"/>
      <c r="W791" s="208"/>
      <c r="X791" s="208"/>
      <c r="Y791" s="208"/>
      <c r="Z791" s="208"/>
      <c r="AA791" s="208"/>
      <c r="AB791" s="208"/>
      <c r="AC791" s="208"/>
      <c r="AD791" s="208"/>
      <c r="AE791" s="208"/>
      <c r="AF791" s="208"/>
      <c r="AG791" s="208"/>
      <c r="AH791" s="208"/>
      <c r="AI791" s="100"/>
    </row>
    <row r="792" ht="14.25" customHeight="1">
      <c r="A792" s="195"/>
      <c r="B792" s="100"/>
      <c r="C792" s="100"/>
      <c r="D792" s="100"/>
      <c r="E792" s="100"/>
      <c r="F792" s="206"/>
      <c r="G792" s="206"/>
      <c r="H792" s="207"/>
      <c r="I792" s="207"/>
      <c r="J792" s="207"/>
      <c r="K792" s="207"/>
      <c r="L792" s="207"/>
      <c r="M792" s="207"/>
      <c r="N792" s="207"/>
      <c r="O792" s="207"/>
      <c r="P792" s="207"/>
      <c r="Q792" s="207"/>
      <c r="R792" s="207"/>
      <c r="S792" s="207"/>
      <c r="T792" s="207"/>
      <c r="U792" s="207"/>
      <c r="V792" s="207"/>
      <c r="W792" s="208"/>
      <c r="X792" s="208"/>
      <c r="Y792" s="208"/>
      <c r="Z792" s="208"/>
      <c r="AA792" s="208"/>
      <c r="AB792" s="208"/>
      <c r="AC792" s="208"/>
      <c r="AD792" s="208"/>
      <c r="AE792" s="208"/>
      <c r="AF792" s="208"/>
      <c r="AG792" s="208"/>
      <c r="AH792" s="208"/>
      <c r="AI792" s="100"/>
    </row>
    <row r="793" ht="14.25" customHeight="1">
      <c r="A793" s="195"/>
      <c r="B793" s="100"/>
      <c r="C793" s="100"/>
      <c r="D793" s="100"/>
      <c r="E793" s="100"/>
      <c r="F793" s="206"/>
      <c r="G793" s="206"/>
      <c r="H793" s="207"/>
      <c r="I793" s="207"/>
      <c r="J793" s="207"/>
      <c r="K793" s="207"/>
      <c r="L793" s="207"/>
      <c r="M793" s="207"/>
      <c r="N793" s="207"/>
      <c r="O793" s="207"/>
      <c r="P793" s="207"/>
      <c r="Q793" s="207"/>
      <c r="R793" s="207"/>
      <c r="S793" s="207"/>
      <c r="T793" s="207"/>
      <c r="U793" s="207"/>
      <c r="V793" s="207"/>
      <c r="W793" s="208"/>
      <c r="X793" s="208"/>
      <c r="Y793" s="208"/>
      <c r="Z793" s="208"/>
      <c r="AA793" s="208"/>
      <c r="AB793" s="208"/>
      <c r="AC793" s="208"/>
      <c r="AD793" s="208"/>
      <c r="AE793" s="208"/>
      <c r="AF793" s="208"/>
      <c r="AG793" s="208"/>
      <c r="AH793" s="208"/>
      <c r="AI793" s="100"/>
    </row>
    <row r="794" ht="14.25" customHeight="1">
      <c r="A794" s="195"/>
      <c r="B794" s="100"/>
      <c r="C794" s="100"/>
      <c r="D794" s="100"/>
      <c r="E794" s="100"/>
      <c r="F794" s="206"/>
      <c r="G794" s="206"/>
      <c r="H794" s="207"/>
      <c r="I794" s="207"/>
      <c r="J794" s="207"/>
      <c r="K794" s="207"/>
      <c r="L794" s="207"/>
      <c r="M794" s="207"/>
      <c r="N794" s="207"/>
      <c r="O794" s="207"/>
      <c r="P794" s="207"/>
      <c r="Q794" s="207"/>
      <c r="R794" s="207"/>
      <c r="S794" s="207"/>
      <c r="T794" s="207"/>
      <c r="U794" s="207"/>
      <c r="V794" s="207"/>
      <c r="W794" s="208"/>
      <c r="X794" s="208"/>
      <c r="Y794" s="208"/>
      <c r="Z794" s="208"/>
      <c r="AA794" s="208"/>
      <c r="AB794" s="208"/>
      <c r="AC794" s="208"/>
      <c r="AD794" s="208"/>
      <c r="AE794" s="208"/>
      <c r="AF794" s="208"/>
      <c r="AG794" s="208"/>
      <c r="AH794" s="208"/>
      <c r="AI794" s="100"/>
    </row>
    <row r="795" ht="14.25" customHeight="1">
      <c r="A795" s="195"/>
      <c r="B795" s="100"/>
      <c r="C795" s="100"/>
      <c r="D795" s="100"/>
      <c r="E795" s="100"/>
      <c r="F795" s="206"/>
      <c r="G795" s="206"/>
      <c r="H795" s="207"/>
      <c r="I795" s="207"/>
      <c r="J795" s="207"/>
      <c r="K795" s="207"/>
      <c r="L795" s="207"/>
      <c r="M795" s="207"/>
      <c r="N795" s="207"/>
      <c r="O795" s="207"/>
      <c r="P795" s="207"/>
      <c r="Q795" s="207"/>
      <c r="R795" s="207"/>
      <c r="S795" s="207"/>
      <c r="T795" s="207"/>
      <c r="U795" s="207"/>
      <c r="V795" s="207"/>
      <c r="W795" s="208"/>
      <c r="X795" s="208"/>
      <c r="Y795" s="208"/>
      <c r="Z795" s="208"/>
      <c r="AA795" s="208"/>
      <c r="AB795" s="208"/>
      <c r="AC795" s="208"/>
      <c r="AD795" s="208"/>
      <c r="AE795" s="208"/>
      <c r="AF795" s="208"/>
      <c r="AG795" s="208"/>
      <c r="AH795" s="208"/>
      <c r="AI795" s="100"/>
    </row>
    <row r="796" ht="14.25" customHeight="1">
      <c r="A796" s="195"/>
      <c r="B796" s="100"/>
      <c r="C796" s="100"/>
      <c r="D796" s="100"/>
      <c r="E796" s="100"/>
      <c r="F796" s="206"/>
      <c r="G796" s="206"/>
      <c r="H796" s="207"/>
      <c r="I796" s="207"/>
      <c r="J796" s="207"/>
      <c r="K796" s="207"/>
      <c r="L796" s="207"/>
      <c r="M796" s="207"/>
      <c r="N796" s="207"/>
      <c r="O796" s="207"/>
      <c r="P796" s="207"/>
      <c r="Q796" s="207"/>
      <c r="R796" s="207"/>
      <c r="S796" s="207"/>
      <c r="T796" s="207"/>
      <c r="U796" s="207"/>
      <c r="V796" s="207"/>
      <c r="W796" s="208"/>
      <c r="X796" s="208"/>
      <c r="Y796" s="208"/>
      <c r="Z796" s="208"/>
      <c r="AA796" s="208"/>
      <c r="AB796" s="208"/>
      <c r="AC796" s="208"/>
      <c r="AD796" s="208"/>
      <c r="AE796" s="208"/>
      <c r="AF796" s="208"/>
      <c r="AG796" s="208"/>
      <c r="AH796" s="208"/>
      <c r="AI796" s="100"/>
    </row>
    <row r="797" ht="14.25" customHeight="1">
      <c r="A797" s="195"/>
      <c r="B797" s="100"/>
      <c r="C797" s="100"/>
      <c r="D797" s="100"/>
      <c r="E797" s="100"/>
      <c r="F797" s="206"/>
      <c r="G797" s="206"/>
      <c r="H797" s="207"/>
      <c r="I797" s="207"/>
      <c r="J797" s="207"/>
      <c r="K797" s="207"/>
      <c r="L797" s="207"/>
      <c r="M797" s="207"/>
      <c r="N797" s="207"/>
      <c r="O797" s="207"/>
      <c r="P797" s="207"/>
      <c r="Q797" s="207"/>
      <c r="R797" s="207"/>
      <c r="S797" s="207"/>
      <c r="T797" s="207"/>
      <c r="U797" s="207"/>
      <c r="V797" s="207"/>
      <c r="W797" s="208"/>
      <c r="X797" s="208"/>
      <c r="Y797" s="208"/>
      <c r="Z797" s="208"/>
      <c r="AA797" s="208"/>
      <c r="AB797" s="208"/>
      <c r="AC797" s="208"/>
      <c r="AD797" s="208"/>
      <c r="AE797" s="208"/>
      <c r="AF797" s="208"/>
      <c r="AG797" s="208"/>
      <c r="AH797" s="208"/>
      <c r="AI797" s="100"/>
    </row>
    <row r="798" ht="14.25" customHeight="1">
      <c r="A798" s="195"/>
      <c r="B798" s="100"/>
      <c r="C798" s="100"/>
      <c r="D798" s="100"/>
      <c r="E798" s="100"/>
      <c r="F798" s="206"/>
      <c r="G798" s="206"/>
      <c r="H798" s="207"/>
      <c r="I798" s="207"/>
      <c r="J798" s="207"/>
      <c r="K798" s="207"/>
      <c r="L798" s="207"/>
      <c r="M798" s="207"/>
      <c r="N798" s="207"/>
      <c r="O798" s="207"/>
      <c r="P798" s="207"/>
      <c r="Q798" s="207"/>
      <c r="R798" s="207"/>
      <c r="S798" s="207"/>
      <c r="T798" s="207"/>
      <c r="U798" s="207"/>
      <c r="V798" s="207"/>
      <c r="W798" s="208"/>
      <c r="X798" s="208"/>
      <c r="Y798" s="208"/>
      <c r="Z798" s="208"/>
      <c r="AA798" s="208"/>
      <c r="AB798" s="208"/>
      <c r="AC798" s="208"/>
      <c r="AD798" s="208"/>
      <c r="AE798" s="208"/>
      <c r="AF798" s="208"/>
      <c r="AG798" s="208"/>
      <c r="AH798" s="208"/>
      <c r="AI798" s="100"/>
    </row>
    <row r="799" ht="14.25" customHeight="1">
      <c r="A799" s="195"/>
      <c r="B799" s="100"/>
      <c r="C799" s="100"/>
      <c r="D799" s="100"/>
      <c r="E799" s="100"/>
      <c r="F799" s="206"/>
      <c r="G799" s="206"/>
      <c r="H799" s="207"/>
      <c r="I799" s="207"/>
      <c r="J799" s="207"/>
      <c r="K799" s="207"/>
      <c r="L799" s="207"/>
      <c r="M799" s="207"/>
      <c r="N799" s="207"/>
      <c r="O799" s="207"/>
      <c r="P799" s="207"/>
      <c r="Q799" s="207"/>
      <c r="R799" s="207"/>
      <c r="S799" s="207"/>
      <c r="T799" s="207"/>
      <c r="U799" s="207"/>
      <c r="V799" s="207"/>
      <c r="W799" s="208"/>
      <c r="X799" s="208"/>
      <c r="Y799" s="208"/>
      <c r="Z799" s="208"/>
      <c r="AA799" s="208"/>
      <c r="AB799" s="208"/>
      <c r="AC799" s="208"/>
      <c r="AD799" s="208"/>
      <c r="AE799" s="208"/>
      <c r="AF799" s="208"/>
      <c r="AG799" s="208"/>
      <c r="AH799" s="208"/>
      <c r="AI799" s="100"/>
    </row>
    <row r="800" ht="14.25" customHeight="1">
      <c r="A800" s="195"/>
      <c r="B800" s="100"/>
      <c r="C800" s="100"/>
      <c r="D800" s="100"/>
      <c r="E800" s="100"/>
      <c r="F800" s="206"/>
      <c r="G800" s="206"/>
      <c r="H800" s="207"/>
      <c r="I800" s="207"/>
      <c r="J800" s="207"/>
      <c r="K800" s="207"/>
      <c r="L800" s="207"/>
      <c r="M800" s="207"/>
      <c r="N800" s="207"/>
      <c r="O800" s="207"/>
      <c r="P800" s="207"/>
      <c r="Q800" s="207"/>
      <c r="R800" s="207"/>
      <c r="S800" s="207"/>
      <c r="T800" s="207"/>
      <c r="U800" s="207"/>
      <c r="V800" s="207"/>
      <c r="W800" s="208"/>
      <c r="X800" s="208"/>
      <c r="Y800" s="208"/>
      <c r="Z800" s="208"/>
      <c r="AA800" s="208"/>
      <c r="AB800" s="208"/>
      <c r="AC800" s="208"/>
      <c r="AD800" s="208"/>
      <c r="AE800" s="208"/>
      <c r="AF800" s="208"/>
      <c r="AG800" s="208"/>
      <c r="AH800" s="208"/>
      <c r="AI800" s="100"/>
    </row>
    <row r="801" ht="14.25" customHeight="1">
      <c r="A801" s="195"/>
      <c r="B801" s="100"/>
      <c r="C801" s="100"/>
      <c r="D801" s="100"/>
      <c r="E801" s="100"/>
      <c r="F801" s="206"/>
      <c r="G801" s="206"/>
      <c r="H801" s="207"/>
      <c r="I801" s="207"/>
      <c r="J801" s="207"/>
      <c r="K801" s="207"/>
      <c r="L801" s="207"/>
      <c r="M801" s="207"/>
      <c r="N801" s="207"/>
      <c r="O801" s="207"/>
      <c r="P801" s="207"/>
      <c r="Q801" s="207"/>
      <c r="R801" s="207"/>
      <c r="S801" s="207"/>
      <c r="T801" s="207"/>
      <c r="U801" s="207"/>
      <c r="V801" s="207"/>
      <c r="W801" s="208"/>
      <c r="X801" s="208"/>
      <c r="Y801" s="208"/>
      <c r="Z801" s="208"/>
      <c r="AA801" s="208"/>
      <c r="AB801" s="208"/>
      <c r="AC801" s="208"/>
      <c r="AD801" s="208"/>
      <c r="AE801" s="208"/>
      <c r="AF801" s="208"/>
      <c r="AG801" s="208"/>
      <c r="AH801" s="208"/>
      <c r="AI801" s="100"/>
    </row>
    <row r="802" ht="14.25" customHeight="1">
      <c r="A802" s="195"/>
      <c r="B802" s="100"/>
      <c r="C802" s="100"/>
      <c r="D802" s="100"/>
      <c r="E802" s="100"/>
      <c r="F802" s="206"/>
      <c r="G802" s="206"/>
      <c r="H802" s="207"/>
      <c r="I802" s="207"/>
      <c r="J802" s="207"/>
      <c r="K802" s="207"/>
      <c r="L802" s="207"/>
      <c r="M802" s="207"/>
      <c r="N802" s="207"/>
      <c r="O802" s="207"/>
      <c r="P802" s="207"/>
      <c r="Q802" s="207"/>
      <c r="R802" s="207"/>
      <c r="S802" s="207"/>
      <c r="T802" s="207"/>
      <c r="U802" s="207"/>
      <c r="V802" s="207"/>
      <c r="W802" s="208"/>
      <c r="X802" s="208"/>
      <c r="Y802" s="208"/>
      <c r="Z802" s="208"/>
      <c r="AA802" s="208"/>
      <c r="AB802" s="208"/>
      <c r="AC802" s="208"/>
      <c r="AD802" s="208"/>
      <c r="AE802" s="208"/>
      <c r="AF802" s="208"/>
      <c r="AG802" s="208"/>
      <c r="AH802" s="208"/>
      <c r="AI802" s="100"/>
    </row>
    <row r="803" ht="14.25" customHeight="1">
      <c r="A803" s="195"/>
      <c r="B803" s="100"/>
      <c r="C803" s="100"/>
      <c r="D803" s="100"/>
      <c r="E803" s="100"/>
      <c r="F803" s="206"/>
      <c r="G803" s="206"/>
      <c r="H803" s="207"/>
      <c r="I803" s="207"/>
      <c r="J803" s="207"/>
      <c r="K803" s="207"/>
      <c r="L803" s="207"/>
      <c r="M803" s="207"/>
      <c r="N803" s="207"/>
      <c r="O803" s="207"/>
      <c r="P803" s="207"/>
      <c r="Q803" s="207"/>
      <c r="R803" s="207"/>
      <c r="S803" s="207"/>
      <c r="T803" s="207"/>
      <c r="U803" s="207"/>
      <c r="V803" s="207"/>
      <c r="W803" s="208"/>
      <c r="X803" s="208"/>
      <c r="Y803" s="208"/>
      <c r="Z803" s="208"/>
      <c r="AA803" s="208"/>
      <c r="AB803" s="208"/>
      <c r="AC803" s="208"/>
      <c r="AD803" s="208"/>
      <c r="AE803" s="208"/>
      <c r="AF803" s="208"/>
      <c r="AG803" s="208"/>
      <c r="AH803" s="208"/>
      <c r="AI803" s="100"/>
    </row>
    <row r="804" ht="14.25" customHeight="1">
      <c r="A804" s="195"/>
      <c r="B804" s="100"/>
      <c r="C804" s="100"/>
      <c r="D804" s="100"/>
      <c r="E804" s="100"/>
      <c r="F804" s="206"/>
      <c r="G804" s="206"/>
      <c r="H804" s="207"/>
      <c r="I804" s="207"/>
      <c r="J804" s="207"/>
      <c r="K804" s="207"/>
      <c r="L804" s="207"/>
      <c r="M804" s="207"/>
      <c r="N804" s="207"/>
      <c r="O804" s="207"/>
      <c r="P804" s="207"/>
      <c r="Q804" s="207"/>
      <c r="R804" s="207"/>
      <c r="S804" s="207"/>
      <c r="T804" s="207"/>
      <c r="U804" s="207"/>
      <c r="V804" s="207"/>
      <c r="W804" s="208"/>
      <c r="X804" s="208"/>
      <c r="Y804" s="208"/>
      <c r="Z804" s="208"/>
      <c r="AA804" s="208"/>
      <c r="AB804" s="208"/>
      <c r="AC804" s="208"/>
      <c r="AD804" s="208"/>
      <c r="AE804" s="208"/>
      <c r="AF804" s="208"/>
      <c r="AG804" s="208"/>
      <c r="AH804" s="208"/>
      <c r="AI804" s="100"/>
    </row>
    <row r="805" ht="14.25" customHeight="1">
      <c r="A805" s="195"/>
      <c r="B805" s="100"/>
      <c r="C805" s="100"/>
      <c r="D805" s="100"/>
      <c r="E805" s="100"/>
      <c r="F805" s="206"/>
      <c r="G805" s="206"/>
      <c r="H805" s="207"/>
      <c r="I805" s="207"/>
      <c r="J805" s="207"/>
      <c r="K805" s="207"/>
      <c r="L805" s="207"/>
      <c r="M805" s="207"/>
      <c r="N805" s="207"/>
      <c r="O805" s="207"/>
      <c r="P805" s="207"/>
      <c r="Q805" s="207"/>
      <c r="R805" s="207"/>
      <c r="S805" s="207"/>
      <c r="T805" s="207"/>
      <c r="U805" s="207"/>
      <c r="V805" s="207"/>
      <c r="W805" s="208"/>
      <c r="X805" s="208"/>
      <c r="Y805" s="208"/>
      <c r="Z805" s="208"/>
      <c r="AA805" s="208"/>
      <c r="AB805" s="208"/>
      <c r="AC805" s="208"/>
      <c r="AD805" s="208"/>
      <c r="AE805" s="208"/>
      <c r="AF805" s="208"/>
      <c r="AG805" s="208"/>
      <c r="AH805" s="208"/>
      <c r="AI805" s="100"/>
    </row>
    <row r="806" ht="14.25" customHeight="1">
      <c r="A806" s="195"/>
      <c r="B806" s="100"/>
      <c r="C806" s="100"/>
      <c r="D806" s="100"/>
      <c r="E806" s="100"/>
      <c r="F806" s="206"/>
      <c r="G806" s="206"/>
      <c r="H806" s="207"/>
      <c r="I806" s="207"/>
      <c r="J806" s="207"/>
      <c r="K806" s="207"/>
      <c r="L806" s="207"/>
      <c r="M806" s="207"/>
      <c r="N806" s="207"/>
      <c r="O806" s="207"/>
      <c r="P806" s="207"/>
      <c r="Q806" s="207"/>
      <c r="R806" s="207"/>
      <c r="S806" s="207"/>
      <c r="T806" s="207"/>
      <c r="U806" s="207"/>
      <c r="V806" s="207"/>
      <c r="W806" s="208"/>
      <c r="X806" s="208"/>
      <c r="Y806" s="208"/>
      <c r="Z806" s="208"/>
      <c r="AA806" s="208"/>
      <c r="AB806" s="208"/>
      <c r="AC806" s="208"/>
      <c r="AD806" s="208"/>
      <c r="AE806" s="208"/>
      <c r="AF806" s="208"/>
      <c r="AG806" s="208"/>
      <c r="AH806" s="208"/>
      <c r="AI806" s="100"/>
    </row>
    <row r="807" ht="14.25" customHeight="1">
      <c r="A807" s="195"/>
      <c r="B807" s="100"/>
      <c r="C807" s="100"/>
      <c r="D807" s="100"/>
      <c r="E807" s="100"/>
      <c r="F807" s="206"/>
      <c r="G807" s="206"/>
      <c r="H807" s="207"/>
      <c r="I807" s="207"/>
      <c r="J807" s="207"/>
      <c r="K807" s="207"/>
      <c r="L807" s="207"/>
      <c r="M807" s="207"/>
      <c r="N807" s="207"/>
      <c r="O807" s="207"/>
      <c r="P807" s="207"/>
      <c r="Q807" s="207"/>
      <c r="R807" s="207"/>
      <c r="S807" s="207"/>
      <c r="T807" s="207"/>
      <c r="U807" s="207"/>
      <c r="V807" s="207"/>
      <c r="W807" s="208"/>
      <c r="X807" s="208"/>
      <c r="Y807" s="208"/>
      <c r="Z807" s="208"/>
      <c r="AA807" s="208"/>
      <c r="AB807" s="208"/>
      <c r="AC807" s="208"/>
      <c r="AD807" s="208"/>
      <c r="AE807" s="208"/>
      <c r="AF807" s="208"/>
      <c r="AG807" s="208"/>
      <c r="AH807" s="208"/>
      <c r="AI807" s="100"/>
    </row>
    <row r="808" ht="14.25" customHeight="1">
      <c r="A808" s="195"/>
      <c r="B808" s="100"/>
      <c r="C808" s="100"/>
      <c r="D808" s="100"/>
      <c r="E808" s="100"/>
      <c r="F808" s="206"/>
      <c r="G808" s="206"/>
      <c r="H808" s="207"/>
      <c r="I808" s="207"/>
      <c r="J808" s="207"/>
      <c r="K808" s="207"/>
      <c r="L808" s="207"/>
      <c r="M808" s="207"/>
      <c r="N808" s="207"/>
      <c r="O808" s="207"/>
      <c r="P808" s="207"/>
      <c r="Q808" s="207"/>
      <c r="R808" s="207"/>
      <c r="S808" s="207"/>
      <c r="T808" s="207"/>
      <c r="U808" s="207"/>
      <c r="V808" s="207"/>
      <c r="W808" s="208"/>
      <c r="X808" s="208"/>
      <c r="Y808" s="208"/>
      <c r="Z808" s="208"/>
      <c r="AA808" s="208"/>
      <c r="AB808" s="208"/>
      <c r="AC808" s="208"/>
      <c r="AD808" s="208"/>
      <c r="AE808" s="208"/>
      <c r="AF808" s="208"/>
      <c r="AG808" s="208"/>
      <c r="AH808" s="208"/>
      <c r="AI808" s="100"/>
    </row>
    <row r="809" ht="14.25" customHeight="1">
      <c r="A809" s="195"/>
      <c r="B809" s="100"/>
      <c r="C809" s="100"/>
      <c r="D809" s="100"/>
      <c r="E809" s="100"/>
      <c r="F809" s="206"/>
      <c r="G809" s="206"/>
      <c r="H809" s="207"/>
      <c r="I809" s="207"/>
      <c r="J809" s="207"/>
      <c r="K809" s="207"/>
      <c r="L809" s="207"/>
      <c r="M809" s="207"/>
      <c r="N809" s="207"/>
      <c r="O809" s="207"/>
      <c r="P809" s="207"/>
      <c r="Q809" s="207"/>
      <c r="R809" s="207"/>
      <c r="S809" s="207"/>
      <c r="T809" s="207"/>
      <c r="U809" s="207"/>
      <c r="V809" s="207"/>
      <c r="W809" s="208"/>
      <c r="X809" s="208"/>
      <c r="Y809" s="208"/>
      <c r="Z809" s="208"/>
      <c r="AA809" s="208"/>
      <c r="AB809" s="208"/>
      <c r="AC809" s="208"/>
      <c r="AD809" s="208"/>
      <c r="AE809" s="208"/>
      <c r="AF809" s="208"/>
      <c r="AG809" s="208"/>
      <c r="AH809" s="208"/>
      <c r="AI809" s="100"/>
    </row>
    <row r="810" ht="14.25" customHeight="1">
      <c r="A810" s="195"/>
      <c r="B810" s="100"/>
      <c r="C810" s="100"/>
      <c r="D810" s="100"/>
      <c r="E810" s="100"/>
      <c r="F810" s="206"/>
      <c r="G810" s="206"/>
      <c r="H810" s="207"/>
      <c r="I810" s="207"/>
      <c r="J810" s="207"/>
      <c r="K810" s="207"/>
      <c r="L810" s="207"/>
      <c r="M810" s="207"/>
      <c r="N810" s="207"/>
      <c r="O810" s="207"/>
      <c r="P810" s="207"/>
      <c r="Q810" s="207"/>
      <c r="R810" s="207"/>
      <c r="S810" s="207"/>
      <c r="T810" s="207"/>
      <c r="U810" s="207"/>
      <c r="V810" s="207"/>
      <c r="W810" s="208"/>
      <c r="X810" s="208"/>
      <c r="Y810" s="208"/>
      <c r="Z810" s="208"/>
      <c r="AA810" s="208"/>
      <c r="AB810" s="208"/>
      <c r="AC810" s="208"/>
      <c r="AD810" s="208"/>
      <c r="AE810" s="208"/>
      <c r="AF810" s="208"/>
      <c r="AG810" s="208"/>
      <c r="AH810" s="208"/>
      <c r="AI810" s="100"/>
    </row>
    <row r="811" ht="14.25" customHeight="1">
      <c r="A811" s="195"/>
      <c r="B811" s="100"/>
      <c r="C811" s="100"/>
      <c r="D811" s="100"/>
      <c r="E811" s="100"/>
      <c r="F811" s="206"/>
      <c r="G811" s="206"/>
      <c r="H811" s="207"/>
      <c r="I811" s="207"/>
      <c r="J811" s="207"/>
      <c r="K811" s="207"/>
      <c r="L811" s="207"/>
      <c r="M811" s="207"/>
      <c r="N811" s="207"/>
      <c r="O811" s="207"/>
      <c r="P811" s="207"/>
      <c r="Q811" s="207"/>
      <c r="R811" s="207"/>
      <c r="S811" s="207"/>
      <c r="T811" s="207"/>
      <c r="U811" s="207"/>
      <c r="V811" s="207"/>
      <c r="W811" s="208"/>
      <c r="X811" s="208"/>
      <c r="Y811" s="208"/>
      <c r="Z811" s="208"/>
      <c r="AA811" s="208"/>
      <c r="AB811" s="208"/>
      <c r="AC811" s="208"/>
      <c r="AD811" s="208"/>
      <c r="AE811" s="208"/>
      <c r="AF811" s="208"/>
      <c r="AG811" s="208"/>
      <c r="AH811" s="208"/>
      <c r="AI811" s="100"/>
    </row>
    <row r="812" ht="14.25" customHeight="1">
      <c r="A812" s="195"/>
      <c r="B812" s="100"/>
      <c r="C812" s="100"/>
      <c r="D812" s="100"/>
      <c r="E812" s="100"/>
      <c r="F812" s="206"/>
      <c r="G812" s="206"/>
      <c r="H812" s="207"/>
      <c r="I812" s="207"/>
      <c r="J812" s="207"/>
      <c r="K812" s="207"/>
      <c r="L812" s="207"/>
      <c r="M812" s="207"/>
      <c r="N812" s="207"/>
      <c r="O812" s="207"/>
      <c r="P812" s="207"/>
      <c r="Q812" s="207"/>
      <c r="R812" s="207"/>
      <c r="S812" s="207"/>
      <c r="T812" s="207"/>
      <c r="U812" s="207"/>
      <c r="V812" s="207"/>
      <c r="W812" s="208"/>
      <c r="X812" s="208"/>
      <c r="Y812" s="208"/>
      <c r="Z812" s="208"/>
      <c r="AA812" s="208"/>
      <c r="AB812" s="208"/>
      <c r="AC812" s="208"/>
      <c r="AD812" s="208"/>
      <c r="AE812" s="208"/>
      <c r="AF812" s="208"/>
      <c r="AG812" s="208"/>
      <c r="AH812" s="208"/>
      <c r="AI812" s="100"/>
    </row>
    <row r="813" ht="14.25" customHeight="1">
      <c r="A813" s="195"/>
      <c r="B813" s="100"/>
      <c r="C813" s="100"/>
      <c r="D813" s="100"/>
      <c r="E813" s="100"/>
      <c r="F813" s="206"/>
      <c r="G813" s="206"/>
      <c r="H813" s="207"/>
      <c r="I813" s="207"/>
      <c r="J813" s="207"/>
      <c r="K813" s="207"/>
      <c r="L813" s="207"/>
      <c r="M813" s="207"/>
      <c r="N813" s="207"/>
      <c r="O813" s="207"/>
      <c r="P813" s="207"/>
      <c r="Q813" s="207"/>
      <c r="R813" s="207"/>
      <c r="S813" s="207"/>
      <c r="T813" s="207"/>
      <c r="U813" s="207"/>
      <c r="V813" s="207"/>
      <c r="W813" s="208"/>
      <c r="X813" s="208"/>
      <c r="Y813" s="208"/>
      <c r="Z813" s="208"/>
      <c r="AA813" s="208"/>
      <c r="AB813" s="208"/>
      <c r="AC813" s="208"/>
      <c r="AD813" s="208"/>
      <c r="AE813" s="208"/>
      <c r="AF813" s="208"/>
      <c r="AG813" s="208"/>
      <c r="AH813" s="208"/>
      <c r="AI813" s="100"/>
    </row>
    <row r="814" ht="14.25" customHeight="1">
      <c r="A814" s="195"/>
      <c r="B814" s="100"/>
      <c r="C814" s="100"/>
      <c r="D814" s="100"/>
      <c r="E814" s="100"/>
      <c r="F814" s="206"/>
      <c r="G814" s="206"/>
      <c r="H814" s="207"/>
      <c r="I814" s="207"/>
      <c r="J814" s="207"/>
      <c r="K814" s="207"/>
      <c r="L814" s="207"/>
      <c r="M814" s="207"/>
      <c r="N814" s="207"/>
      <c r="O814" s="207"/>
      <c r="P814" s="207"/>
      <c r="Q814" s="207"/>
      <c r="R814" s="207"/>
      <c r="S814" s="207"/>
      <c r="T814" s="207"/>
      <c r="U814" s="207"/>
      <c r="V814" s="207"/>
      <c r="W814" s="208"/>
      <c r="X814" s="208"/>
      <c r="Y814" s="208"/>
      <c r="Z814" s="208"/>
      <c r="AA814" s="208"/>
      <c r="AB814" s="208"/>
      <c r="AC814" s="208"/>
      <c r="AD814" s="208"/>
      <c r="AE814" s="208"/>
      <c r="AF814" s="208"/>
      <c r="AG814" s="208"/>
      <c r="AH814" s="208"/>
      <c r="AI814" s="100"/>
    </row>
    <row r="815" ht="14.25" customHeight="1">
      <c r="A815" s="195"/>
      <c r="B815" s="100"/>
      <c r="C815" s="100"/>
      <c r="D815" s="100"/>
      <c r="E815" s="100"/>
      <c r="F815" s="206"/>
      <c r="G815" s="206"/>
      <c r="H815" s="207"/>
      <c r="I815" s="207"/>
      <c r="J815" s="207"/>
      <c r="K815" s="207"/>
      <c r="L815" s="207"/>
      <c r="M815" s="207"/>
      <c r="N815" s="207"/>
      <c r="O815" s="207"/>
      <c r="P815" s="207"/>
      <c r="Q815" s="207"/>
      <c r="R815" s="207"/>
      <c r="S815" s="207"/>
      <c r="T815" s="207"/>
      <c r="U815" s="207"/>
      <c r="V815" s="207"/>
      <c r="W815" s="208"/>
      <c r="X815" s="208"/>
      <c r="Y815" s="208"/>
      <c r="Z815" s="208"/>
      <c r="AA815" s="208"/>
      <c r="AB815" s="208"/>
      <c r="AC815" s="208"/>
      <c r="AD815" s="208"/>
      <c r="AE815" s="208"/>
      <c r="AF815" s="208"/>
      <c r="AG815" s="208"/>
      <c r="AH815" s="208"/>
      <c r="AI815" s="100"/>
    </row>
    <row r="816" ht="14.25" customHeight="1">
      <c r="A816" s="195"/>
      <c r="B816" s="100"/>
      <c r="C816" s="100"/>
      <c r="D816" s="100"/>
      <c r="E816" s="100"/>
      <c r="F816" s="206"/>
      <c r="G816" s="206"/>
      <c r="H816" s="207"/>
      <c r="I816" s="207"/>
      <c r="J816" s="207"/>
      <c r="K816" s="207"/>
      <c r="L816" s="207"/>
      <c r="M816" s="207"/>
      <c r="N816" s="207"/>
      <c r="O816" s="207"/>
      <c r="P816" s="207"/>
      <c r="Q816" s="207"/>
      <c r="R816" s="207"/>
      <c r="S816" s="207"/>
      <c r="T816" s="207"/>
      <c r="U816" s="207"/>
      <c r="V816" s="207"/>
      <c r="W816" s="208"/>
      <c r="X816" s="208"/>
      <c r="Y816" s="208"/>
      <c r="Z816" s="208"/>
      <c r="AA816" s="208"/>
      <c r="AB816" s="208"/>
      <c r="AC816" s="208"/>
      <c r="AD816" s="208"/>
      <c r="AE816" s="208"/>
      <c r="AF816" s="208"/>
      <c r="AG816" s="208"/>
      <c r="AH816" s="208"/>
      <c r="AI816" s="100"/>
    </row>
    <row r="817" ht="14.25" customHeight="1">
      <c r="A817" s="195"/>
      <c r="B817" s="100"/>
      <c r="C817" s="100"/>
      <c r="D817" s="100"/>
      <c r="E817" s="100"/>
      <c r="F817" s="206"/>
      <c r="G817" s="206"/>
      <c r="H817" s="207"/>
      <c r="I817" s="207"/>
      <c r="J817" s="207"/>
      <c r="K817" s="207"/>
      <c r="L817" s="207"/>
      <c r="M817" s="207"/>
      <c r="N817" s="207"/>
      <c r="O817" s="207"/>
      <c r="P817" s="207"/>
      <c r="Q817" s="207"/>
      <c r="R817" s="207"/>
      <c r="S817" s="207"/>
      <c r="T817" s="207"/>
      <c r="U817" s="207"/>
      <c r="V817" s="207"/>
      <c r="W817" s="208"/>
      <c r="X817" s="208"/>
      <c r="Y817" s="208"/>
      <c r="Z817" s="208"/>
      <c r="AA817" s="208"/>
      <c r="AB817" s="208"/>
      <c r="AC817" s="208"/>
      <c r="AD817" s="208"/>
      <c r="AE817" s="208"/>
      <c r="AF817" s="208"/>
      <c r="AG817" s="208"/>
      <c r="AH817" s="208"/>
      <c r="AI817" s="100"/>
    </row>
    <row r="818" ht="14.25" customHeight="1">
      <c r="A818" s="195"/>
      <c r="B818" s="100"/>
      <c r="C818" s="100"/>
      <c r="D818" s="100"/>
      <c r="E818" s="100"/>
      <c r="F818" s="206"/>
      <c r="G818" s="206"/>
      <c r="H818" s="207"/>
      <c r="I818" s="207"/>
      <c r="J818" s="207"/>
      <c r="K818" s="207"/>
      <c r="L818" s="207"/>
      <c r="M818" s="207"/>
      <c r="N818" s="207"/>
      <c r="O818" s="207"/>
      <c r="P818" s="207"/>
      <c r="Q818" s="207"/>
      <c r="R818" s="207"/>
      <c r="S818" s="207"/>
      <c r="T818" s="207"/>
      <c r="U818" s="207"/>
      <c r="V818" s="207"/>
      <c r="W818" s="208"/>
      <c r="X818" s="208"/>
      <c r="Y818" s="208"/>
      <c r="Z818" s="208"/>
      <c r="AA818" s="208"/>
      <c r="AB818" s="208"/>
      <c r="AC818" s="208"/>
      <c r="AD818" s="208"/>
      <c r="AE818" s="208"/>
      <c r="AF818" s="208"/>
      <c r="AG818" s="208"/>
      <c r="AH818" s="208"/>
      <c r="AI818" s="100"/>
    </row>
    <row r="819" ht="14.25" customHeight="1">
      <c r="A819" s="195"/>
      <c r="B819" s="100"/>
      <c r="C819" s="100"/>
      <c r="D819" s="100"/>
      <c r="E819" s="100"/>
      <c r="F819" s="206"/>
      <c r="G819" s="206"/>
      <c r="H819" s="207"/>
      <c r="I819" s="207"/>
      <c r="J819" s="207"/>
      <c r="K819" s="207"/>
      <c r="L819" s="207"/>
      <c r="M819" s="207"/>
      <c r="N819" s="207"/>
      <c r="O819" s="207"/>
      <c r="P819" s="207"/>
      <c r="Q819" s="207"/>
      <c r="R819" s="207"/>
      <c r="S819" s="207"/>
      <c r="T819" s="207"/>
      <c r="U819" s="207"/>
      <c r="V819" s="207"/>
      <c r="W819" s="208"/>
      <c r="X819" s="208"/>
      <c r="Y819" s="208"/>
      <c r="Z819" s="208"/>
      <c r="AA819" s="208"/>
      <c r="AB819" s="208"/>
      <c r="AC819" s="208"/>
      <c r="AD819" s="208"/>
      <c r="AE819" s="208"/>
      <c r="AF819" s="208"/>
      <c r="AG819" s="208"/>
      <c r="AH819" s="208"/>
      <c r="AI819" s="100"/>
    </row>
    <row r="820" ht="14.25" customHeight="1">
      <c r="A820" s="195"/>
      <c r="B820" s="100"/>
      <c r="C820" s="100"/>
      <c r="D820" s="100"/>
      <c r="E820" s="100"/>
      <c r="F820" s="206"/>
      <c r="G820" s="206"/>
      <c r="H820" s="207"/>
      <c r="I820" s="207"/>
      <c r="J820" s="207"/>
      <c r="K820" s="207"/>
      <c r="L820" s="207"/>
      <c r="M820" s="207"/>
      <c r="N820" s="207"/>
      <c r="O820" s="207"/>
      <c r="P820" s="207"/>
      <c r="Q820" s="207"/>
      <c r="R820" s="207"/>
      <c r="S820" s="207"/>
      <c r="T820" s="207"/>
      <c r="U820" s="207"/>
      <c r="V820" s="207"/>
      <c r="W820" s="208"/>
      <c r="X820" s="208"/>
      <c r="Y820" s="208"/>
      <c r="Z820" s="208"/>
      <c r="AA820" s="208"/>
      <c r="AB820" s="208"/>
      <c r="AC820" s="208"/>
      <c r="AD820" s="208"/>
      <c r="AE820" s="208"/>
      <c r="AF820" s="208"/>
      <c r="AG820" s="208"/>
      <c r="AH820" s="208"/>
      <c r="AI820" s="100"/>
    </row>
    <row r="821" ht="14.25" customHeight="1">
      <c r="A821" s="195"/>
      <c r="B821" s="100"/>
      <c r="C821" s="100"/>
      <c r="D821" s="100"/>
      <c r="E821" s="100"/>
      <c r="F821" s="206"/>
      <c r="G821" s="206"/>
      <c r="H821" s="207"/>
      <c r="I821" s="207"/>
      <c r="J821" s="207"/>
      <c r="K821" s="207"/>
      <c r="L821" s="207"/>
      <c r="M821" s="207"/>
      <c r="N821" s="207"/>
      <c r="O821" s="207"/>
      <c r="P821" s="207"/>
      <c r="Q821" s="207"/>
      <c r="R821" s="207"/>
      <c r="S821" s="207"/>
      <c r="T821" s="207"/>
      <c r="U821" s="207"/>
      <c r="V821" s="207"/>
      <c r="W821" s="208"/>
      <c r="X821" s="208"/>
      <c r="Y821" s="208"/>
      <c r="Z821" s="208"/>
      <c r="AA821" s="208"/>
      <c r="AB821" s="208"/>
      <c r="AC821" s="208"/>
      <c r="AD821" s="208"/>
      <c r="AE821" s="208"/>
      <c r="AF821" s="208"/>
      <c r="AG821" s="208"/>
      <c r="AH821" s="208"/>
      <c r="AI821" s="100"/>
    </row>
    <row r="822" ht="14.25" customHeight="1">
      <c r="A822" s="195"/>
      <c r="B822" s="100"/>
      <c r="C822" s="100"/>
      <c r="D822" s="100"/>
      <c r="E822" s="100"/>
      <c r="F822" s="206"/>
      <c r="G822" s="206"/>
      <c r="H822" s="207"/>
      <c r="I822" s="207"/>
      <c r="J822" s="207"/>
      <c r="K822" s="207"/>
      <c r="L822" s="207"/>
      <c r="M822" s="207"/>
      <c r="N822" s="207"/>
      <c r="O822" s="207"/>
      <c r="P822" s="207"/>
      <c r="Q822" s="207"/>
      <c r="R822" s="207"/>
      <c r="S822" s="207"/>
      <c r="T822" s="207"/>
      <c r="U822" s="207"/>
      <c r="V822" s="207"/>
      <c r="W822" s="208"/>
      <c r="X822" s="208"/>
      <c r="Y822" s="208"/>
      <c r="Z822" s="208"/>
      <c r="AA822" s="208"/>
      <c r="AB822" s="208"/>
      <c r="AC822" s="208"/>
      <c r="AD822" s="208"/>
      <c r="AE822" s="208"/>
      <c r="AF822" s="208"/>
      <c r="AG822" s="208"/>
      <c r="AH822" s="208"/>
      <c r="AI822" s="100"/>
    </row>
    <row r="823" ht="14.25" customHeight="1">
      <c r="A823" s="195"/>
      <c r="B823" s="100"/>
      <c r="C823" s="100"/>
      <c r="D823" s="100"/>
      <c r="E823" s="100"/>
      <c r="F823" s="206"/>
      <c r="G823" s="206"/>
      <c r="H823" s="207"/>
      <c r="I823" s="207"/>
      <c r="J823" s="207"/>
      <c r="K823" s="207"/>
      <c r="L823" s="207"/>
      <c r="M823" s="207"/>
      <c r="N823" s="207"/>
      <c r="O823" s="207"/>
      <c r="P823" s="207"/>
      <c r="Q823" s="207"/>
      <c r="R823" s="207"/>
      <c r="S823" s="207"/>
      <c r="T823" s="207"/>
      <c r="U823" s="207"/>
      <c r="V823" s="207"/>
      <c r="W823" s="208"/>
      <c r="X823" s="208"/>
      <c r="Y823" s="208"/>
      <c r="Z823" s="208"/>
      <c r="AA823" s="208"/>
      <c r="AB823" s="208"/>
      <c r="AC823" s="208"/>
      <c r="AD823" s="208"/>
      <c r="AE823" s="208"/>
      <c r="AF823" s="208"/>
      <c r="AG823" s="208"/>
      <c r="AH823" s="208"/>
      <c r="AI823" s="100"/>
    </row>
    <row r="824" ht="14.25" customHeight="1">
      <c r="A824" s="195"/>
      <c r="B824" s="100"/>
      <c r="C824" s="100"/>
      <c r="D824" s="100"/>
      <c r="E824" s="100"/>
      <c r="F824" s="206"/>
      <c r="G824" s="206"/>
      <c r="H824" s="207"/>
      <c r="I824" s="207"/>
      <c r="J824" s="207"/>
      <c r="K824" s="207"/>
      <c r="L824" s="207"/>
      <c r="M824" s="207"/>
      <c r="N824" s="207"/>
      <c r="O824" s="207"/>
      <c r="P824" s="207"/>
      <c r="Q824" s="207"/>
      <c r="R824" s="207"/>
      <c r="S824" s="207"/>
      <c r="T824" s="207"/>
      <c r="U824" s="207"/>
      <c r="V824" s="207"/>
      <c r="W824" s="208"/>
      <c r="X824" s="208"/>
      <c r="Y824" s="208"/>
      <c r="Z824" s="208"/>
      <c r="AA824" s="208"/>
      <c r="AB824" s="208"/>
      <c r="AC824" s="208"/>
      <c r="AD824" s="208"/>
      <c r="AE824" s="208"/>
      <c r="AF824" s="208"/>
      <c r="AG824" s="208"/>
      <c r="AH824" s="208"/>
      <c r="AI824" s="100"/>
    </row>
    <row r="825" ht="14.25" customHeight="1">
      <c r="A825" s="195"/>
      <c r="B825" s="100"/>
      <c r="C825" s="100"/>
      <c r="D825" s="100"/>
      <c r="E825" s="100"/>
      <c r="F825" s="206"/>
      <c r="G825" s="206"/>
      <c r="H825" s="207"/>
      <c r="I825" s="207"/>
      <c r="J825" s="207"/>
      <c r="K825" s="207"/>
      <c r="L825" s="207"/>
      <c r="M825" s="207"/>
      <c r="N825" s="207"/>
      <c r="O825" s="207"/>
      <c r="P825" s="207"/>
      <c r="Q825" s="207"/>
      <c r="R825" s="207"/>
      <c r="S825" s="207"/>
      <c r="T825" s="207"/>
      <c r="U825" s="207"/>
      <c r="V825" s="207"/>
      <c r="W825" s="208"/>
      <c r="X825" s="208"/>
      <c r="Y825" s="208"/>
      <c r="Z825" s="208"/>
      <c r="AA825" s="208"/>
      <c r="AB825" s="208"/>
      <c r="AC825" s="208"/>
      <c r="AD825" s="208"/>
      <c r="AE825" s="208"/>
      <c r="AF825" s="208"/>
      <c r="AG825" s="208"/>
      <c r="AH825" s="208"/>
      <c r="AI825" s="100"/>
    </row>
    <row r="826" ht="14.25" customHeight="1">
      <c r="A826" s="195"/>
      <c r="B826" s="100"/>
      <c r="C826" s="100"/>
      <c r="D826" s="100"/>
      <c r="E826" s="100"/>
      <c r="F826" s="206"/>
      <c r="G826" s="206"/>
      <c r="H826" s="207"/>
      <c r="I826" s="207"/>
      <c r="J826" s="207"/>
      <c r="K826" s="207"/>
      <c r="L826" s="207"/>
      <c r="M826" s="207"/>
      <c r="N826" s="207"/>
      <c r="O826" s="207"/>
      <c r="P826" s="207"/>
      <c r="Q826" s="207"/>
      <c r="R826" s="207"/>
      <c r="S826" s="207"/>
      <c r="T826" s="207"/>
      <c r="U826" s="207"/>
      <c r="V826" s="207"/>
      <c r="W826" s="208"/>
      <c r="X826" s="208"/>
      <c r="Y826" s="208"/>
      <c r="Z826" s="208"/>
      <c r="AA826" s="208"/>
      <c r="AB826" s="208"/>
      <c r="AC826" s="208"/>
      <c r="AD826" s="208"/>
      <c r="AE826" s="208"/>
      <c r="AF826" s="208"/>
      <c r="AG826" s="208"/>
      <c r="AH826" s="208"/>
      <c r="AI826" s="100"/>
    </row>
    <row r="827" ht="14.25" customHeight="1">
      <c r="A827" s="195"/>
      <c r="B827" s="100"/>
      <c r="C827" s="100"/>
      <c r="D827" s="100"/>
      <c r="E827" s="100"/>
      <c r="F827" s="206"/>
      <c r="G827" s="206"/>
      <c r="H827" s="207"/>
      <c r="I827" s="207"/>
      <c r="J827" s="207"/>
      <c r="K827" s="207"/>
      <c r="L827" s="207"/>
      <c r="M827" s="207"/>
      <c r="N827" s="207"/>
      <c r="O827" s="207"/>
      <c r="P827" s="207"/>
      <c r="Q827" s="207"/>
      <c r="R827" s="207"/>
      <c r="S827" s="207"/>
      <c r="T827" s="207"/>
      <c r="U827" s="207"/>
      <c r="V827" s="207"/>
      <c r="W827" s="208"/>
      <c r="X827" s="208"/>
      <c r="Y827" s="208"/>
      <c r="Z827" s="208"/>
      <c r="AA827" s="208"/>
      <c r="AB827" s="208"/>
      <c r="AC827" s="208"/>
      <c r="AD827" s="208"/>
      <c r="AE827" s="208"/>
      <c r="AF827" s="208"/>
      <c r="AG827" s="208"/>
      <c r="AH827" s="208"/>
      <c r="AI827" s="100"/>
    </row>
    <row r="828" ht="14.25" customHeight="1">
      <c r="A828" s="195"/>
      <c r="B828" s="100"/>
      <c r="C828" s="100"/>
      <c r="D828" s="100"/>
      <c r="E828" s="100"/>
      <c r="F828" s="206"/>
      <c r="G828" s="206"/>
      <c r="H828" s="207"/>
      <c r="I828" s="207"/>
      <c r="J828" s="207"/>
      <c r="K828" s="207"/>
      <c r="L828" s="207"/>
      <c r="M828" s="207"/>
      <c r="N828" s="207"/>
      <c r="O828" s="207"/>
      <c r="P828" s="207"/>
      <c r="Q828" s="207"/>
      <c r="R828" s="207"/>
      <c r="S828" s="207"/>
      <c r="T828" s="207"/>
      <c r="U828" s="207"/>
      <c r="V828" s="207"/>
      <c r="W828" s="208"/>
      <c r="X828" s="208"/>
      <c r="Y828" s="208"/>
      <c r="Z828" s="208"/>
      <c r="AA828" s="208"/>
      <c r="AB828" s="208"/>
      <c r="AC828" s="208"/>
      <c r="AD828" s="208"/>
      <c r="AE828" s="208"/>
      <c r="AF828" s="208"/>
      <c r="AG828" s="208"/>
      <c r="AH828" s="208"/>
      <c r="AI828" s="100"/>
    </row>
    <row r="829" ht="14.25" customHeight="1">
      <c r="A829" s="195"/>
      <c r="B829" s="100"/>
      <c r="C829" s="100"/>
      <c r="D829" s="100"/>
      <c r="E829" s="100"/>
      <c r="F829" s="206"/>
      <c r="G829" s="206"/>
      <c r="H829" s="207"/>
      <c r="I829" s="207"/>
      <c r="J829" s="207"/>
      <c r="K829" s="207"/>
      <c r="L829" s="207"/>
      <c r="M829" s="207"/>
      <c r="N829" s="207"/>
      <c r="O829" s="207"/>
      <c r="P829" s="207"/>
      <c r="Q829" s="207"/>
      <c r="R829" s="207"/>
      <c r="S829" s="207"/>
      <c r="T829" s="207"/>
      <c r="U829" s="207"/>
      <c r="V829" s="207"/>
      <c r="W829" s="208"/>
      <c r="X829" s="208"/>
      <c r="Y829" s="208"/>
      <c r="Z829" s="208"/>
      <c r="AA829" s="208"/>
      <c r="AB829" s="208"/>
      <c r="AC829" s="208"/>
      <c r="AD829" s="208"/>
      <c r="AE829" s="208"/>
      <c r="AF829" s="208"/>
      <c r="AG829" s="208"/>
      <c r="AH829" s="208"/>
      <c r="AI829" s="100"/>
    </row>
    <row r="830" ht="14.25" customHeight="1">
      <c r="A830" s="195"/>
      <c r="B830" s="100"/>
      <c r="C830" s="100"/>
      <c r="D830" s="100"/>
      <c r="E830" s="100"/>
      <c r="F830" s="206"/>
      <c r="G830" s="206"/>
      <c r="H830" s="207"/>
      <c r="I830" s="207"/>
      <c r="J830" s="207"/>
      <c r="K830" s="207"/>
      <c r="L830" s="207"/>
      <c r="M830" s="207"/>
      <c r="N830" s="207"/>
      <c r="O830" s="207"/>
      <c r="P830" s="207"/>
      <c r="Q830" s="207"/>
      <c r="R830" s="207"/>
      <c r="S830" s="207"/>
      <c r="T830" s="207"/>
      <c r="U830" s="207"/>
      <c r="V830" s="207"/>
      <c r="W830" s="208"/>
      <c r="X830" s="208"/>
      <c r="Y830" s="208"/>
      <c r="Z830" s="208"/>
      <c r="AA830" s="208"/>
      <c r="AB830" s="208"/>
      <c r="AC830" s="208"/>
      <c r="AD830" s="208"/>
      <c r="AE830" s="208"/>
      <c r="AF830" s="208"/>
      <c r="AG830" s="208"/>
      <c r="AH830" s="208"/>
      <c r="AI830" s="100"/>
    </row>
    <row r="831" ht="14.25" customHeight="1">
      <c r="A831" s="195"/>
      <c r="B831" s="100"/>
      <c r="C831" s="100"/>
      <c r="D831" s="100"/>
      <c r="E831" s="100"/>
      <c r="F831" s="206"/>
      <c r="G831" s="206"/>
      <c r="H831" s="207"/>
      <c r="I831" s="207"/>
      <c r="J831" s="207"/>
      <c r="K831" s="207"/>
      <c r="L831" s="207"/>
      <c r="M831" s="207"/>
      <c r="N831" s="207"/>
      <c r="O831" s="207"/>
      <c r="P831" s="207"/>
      <c r="Q831" s="207"/>
      <c r="R831" s="207"/>
      <c r="S831" s="207"/>
      <c r="T831" s="207"/>
      <c r="U831" s="207"/>
      <c r="V831" s="207"/>
      <c r="W831" s="208"/>
      <c r="X831" s="208"/>
      <c r="Y831" s="208"/>
      <c r="Z831" s="208"/>
      <c r="AA831" s="208"/>
      <c r="AB831" s="208"/>
      <c r="AC831" s="208"/>
      <c r="AD831" s="208"/>
      <c r="AE831" s="208"/>
      <c r="AF831" s="208"/>
      <c r="AG831" s="208"/>
      <c r="AH831" s="208"/>
      <c r="AI831" s="100"/>
    </row>
    <row r="832" ht="14.25" customHeight="1">
      <c r="A832" s="195"/>
      <c r="B832" s="100"/>
      <c r="C832" s="100"/>
      <c r="D832" s="100"/>
      <c r="E832" s="100"/>
      <c r="F832" s="206"/>
      <c r="G832" s="206"/>
      <c r="H832" s="207"/>
      <c r="I832" s="207"/>
      <c r="J832" s="207"/>
      <c r="K832" s="207"/>
      <c r="L832" s="207"/>
      <c r="M832" s="207"/>
      <c r="N832" s="207"/>
      <c r="O832" s="207"/>
      <c r="P832" s="207"/>
      <c r="Q832" s="207"/>
      <c r="R832" s="207"/>
      <c r="S832" s="207"/>
      <c r="T832" s="207"/>
      <c r="U832" s="207"/>
      <c r="V832" s="207"/>
      <c r="W832" s="208"/>
      <c r="X832" s="208"/>
      <c r="Y832" s="208"/>
      <c r="Z832" s="208"/>
      <c r="AA832" s="208"/>
      <c r="AB832" s="208"/>
      <c r="AC832" s="208"/>
      <c r="AD832" s="208"/>
      <c r="AE832" s="208"/>
      <c r="AF832" s="208"/>
      <c r="AG832" s="208"/>
      <c r="AH832" s="208"/>
      <c r="AI832" s="100"/>
    </row>
    <row r="833" ht="14.25" customHeight="1">
      <c r="A833" s="195"/>
      <c r="B833" s="100"/>
      <c r="C833" s="100"/>
      <c r="D833" s="100"/>
      <c r="E833" s="100"/>
      <c r="F833" s="206"/>
      <c r="G833" s="206"/>
      <c r="H833" s="207"/>
      <c r="I833" s="207"/>
      <c r="J833" s="207"/>
      <c r="K833" s="207"/>
      <c r="L833" s="207"/>
      <c r="M833" s="207"/>
      <c r="N833" s="207"/>
      <c r="O833" s="207"/>
      <c r="P833" s="207"/>
      <c r="Q833" s="207"/>
      <c r="R833" s="207"/>
      <c r="S833" s="207"/>
      <c r="T833" s="207"/>
      <c r="U833" s="207"/>
      <c r="V833" s="207"/>
      <c r="W833" s="208"/>
      <c r="X833" s="208"/>
      <c r="Y833" s="208"/>
      <c r="Z833" s="208"/>
      <c r="AA833" s="208"/>
      <c r="AB833" s="208"/>
      <c r="AC833" s="208"/>
      <c r="AD833" s="208"/>
      <c r="AE833" s="208"/>
      <c r="AF833" s="208"/>
      <c r="AG833" s="208"/>
      <c r="AH833" s="208"/>
      <c r="AI833" s="100"/>
    </row>
    <row r="834" ht="14.25" customHeight="1">
      <c r="A834" s="195"/>
      <c r="B834" s="100"/>
      <c r="C834" s="100"/>
      <c r="D834" s="100"/>
      <c r="E834" s="100"/>
      <c r="F834" s="206"/>
      <c r="G834" s="206"/>
      <c r="H834" s="207"/>
      <c r="I834" s="207"/>
      <c r="J834" s="207"/>
      <c r="K834" s="207"/>
      <c r="L834" s="207"/>
      <c r="M834" s="207"/>
      <c r="N834" s="207"/>
      <c r="O834" s="207"/>
      <c r="P834" s="207"/>
      <c r="Q834" s="207"/>
      <c r="R834" s="207"/>
      <c r="S834" s="207"/>
      <c r="T834" s="207"/>
      <c r="U834" s="207"/>
      <c r="V834" s="207"/>
      <c r="W834" s="208"/>
      <c r="X834" s="208"/>
      <c r="Y834" s="208"/>
      <c r="Z834" s="208"/>
      <c r="AA834" s="208"/>
      <c r="AB834" s="208"/>
      <c r="AC834" s="208"/>
      <c r="AD834" s="208"/>
      <c r="AE834" s="208"/>
      <c r="AF834" s="208"/>
      <c r="AG834" s="208"/>
      <c r="AH834" s="208"/>
      <c r="AI834" s="100"/>
    </row>
    <row r="835" ht="14.25" customHeight="1">
      <c r="A835" s="195"/>
      <c r="B835" s="100"/>
      <c r="C835" s="100"/>
      <c r="D835" s="100"/>
      <c r="E835" s="100"/>
      <c r="F835" s="206"/>
      <c r="G835" s="206"/>
      <c r="H835" s="207"/>
      <c r="I835" s="207"/>
      <c r="J835" s="207"/>
      <c r="K835" s="207"/>
      <c r="L835" s="207"/>
      <c r="M835" s="207"/>
      <c r="N835" s="207"/>
      <c r="O835" s="207"/>
      <c r="P835" s="207"/>
      <c r="Q835" s="207"/>
      <c r="R835" s="207"/>
      <c r="S835" s="207"/>
      <c r="T835" s="207"/>
      <c r="U835" s="207"/>
      <c r="V835" s="207"/>
      <c r="W835" s="208"/>
      <c r="X835" s="208"/>
      <c r="Y835" s="208"/>
      <c r="Z835" s="208"/>
      <c r="AA835" s="208"/>
      <c r="AB835" s="208"/>
      <c r="AC835" s="208"/>
      <c r="AD835" s="208"/>
      <c r="AE835" s="208"/>
      <c r="AF835" s="208"/>
      <c r="AG835" s="208"/>
      <c r="AH835" s="208"/>
      <c r="AI835" s="100"/>
    </row>
    <row r="836" ht="14.25" customHeight="1">
      <c r="A836" s="195"/>
      <c r="B836" s="100"/>
      <c r="C836" s="100"/>
      <c r="D836" s="100"/>
      <c r="E836" s="100"/>
      <c r="F836" s="206"/>
      <c r="G836" s="206"/>
      <c r="H836" s="207"/>
      <c r="I836" s="207"/>
      <c r="J836" s="207"/>
      <c r="K836" s="207"/>
      <c r="L836" s="207"/>
      <c r="M836" s="207"/>
      <c r="N836" s="207"/>
      <c r="O836" s="207"/>
      <c r="P836" s="207"/>
      <c r="Q836" s="207"/>
      <c r="R836" s="207"/>
      <c r="S836" s="207"/>
      <c r="T836" s="207"/>
      <c r="U836" s="207"/>
      <c r="V836" s="207"/>
      <c r="W836" s="208"/>
      <c r="X836" s="208"/>
      <c r="Y836" s="208"/>
      <c r="Z836" s="208"/>
      <c r="AA836" s="208"/>
      <c r="AB836" s="208"/>
      <c r="AC836" s="208"/>
      <c r="AD836" s="208"/>
      <c r="AE836" s="208"/>
      <c r="AF836" s="208"/>
      <c r="AG836" s="208"/>
      <c r="AH836" s="208"/>
      <c r="AI836" s="100"/>
    </row>
    <row r="837" ht="14.25" customHeight="1">
      <c r="A837" s="195"/>
      <c r="B837" s="100"/>
      <c r="C837" s="100"/>
      <c r="D837" s="100"/>
      <c r="E837" s="100"/>
      <c r="F837" s="206"/>
      <c r="G837" s="206"/>
      <c r="H837" s="207"/>
      <c r="I837" s="207"/>
      <c r="J837" s="207"/>
      <c r="K837" s="207"/>
      <c r="L837" s="207"/>
      <c r="M837" s="207"/>
      <c r="N837" s="207"/>
      <c r="O837" s="207"/>
      <c r="P837" s="207"/>
      <c r="Q837" s="207"/>
      <c r="R837" s="207"/>
      <c r="S837" s="207"/>
      <c r="T837" s="207"/>
      <c r="U837" s="207"/>
      <c r="V837" s="207"/>
      <c r="W837" s="208"/>
      <c r="X837" s="208"/>
      <c r="Y837" s="208"/>
      <c r="Z837" s="208"/>
      <c r="AA837" s="208"/>
      <c r="AB837" s="208"/>
      <c r="AC837" s="208"/>
      <c r="AD837" s="208"/>
      <c r="AE837" s="208"/>
      <c r="AF837" s="208"/>
      <c r="AG837" s="208"/>
      <c r="AH837" s="208"/>
      <c r="AI837" s="100"/>
    </row>
    <row r="838" ht="14.25" customHeight="1">
      <c r="A838" s="195"/>
      <c r="B838" s="100"/>
      <c r="C838" s="100"/>
      <c r="D838" s="100"/>
      <c r="E838" s="100"/>
      <c r="F838" s="206"/>
      <c r="G838" s="206"/>
      <c r="H838" s="207"/>
      <c r="I838" s="207"/>
      <c r="J838" s="207"/>
      <c r="K838" s="207"/>
      <c r="L838" s="207"/>
      <c r="M838" s="207"/>
      <c r="N838" s="207"/>
      <c r="O838" s="207"/>
      <c r="P838" s="207"/>
      <c r="Q838" s="207"/>
      <c r="R838" s="207"/>
      <c r="S838" s="207"/>
      <c r="T838" s="207"/>
      <c r="U838" s="207"/>
      <c r="V838" s="207"/>
      <c r="W838" s="208"/>
      <c r="X838" s="208"/>
      <c r="Y838" s="208"/>
      <c r="Z838" s="208"/>
      <c r="AA838" s="208"/>
      <c r="AB838" s="208"/>
      <c r="AC838" s="208"/>
      <c r="AD838" s="208"/>
      <c r="AE838" s="208"/>
      <c r="AF838" s="208"/>
      <c r="AG838" s="208"/>
      <c r="AH838" s="208"/>
      <c r="AI838" s="100"/>
    </row>
    <row r="839" ht="14.25" customHeight="1">
      <c r="A839" s="195"/>
      <c r="B839" s="100"/>
      <c r="C839" s="100"/>
      <c r="D839" s="100"/>
      <c r="E839" s="100"/>
      <c r="F839" s="206"/>
      <c r="G839" s="206"/>
      <c r="H839" s="207"/>
      <c r="I839" s="207"/>
      <c r="J839" s="207"/>
      <c r="K839" s="207"/>
      <c r="L839" s="207"/>
      <c r="M839" s="207"/>
      <c r="N839" s="207"/>
      <c r="O839" s="207"/>
      <c r="P839" s="207"/>
      <c r="Q839" s="207"/>
      <c r="R839" s="207"/>
      <c r="S839" s="207"/>
      <c r="T839" s="207"/>
      <c r="U839" s="207"/>
      <c r="V839" s="207"/>
      <c r="W839" s="208"/>
      <c r="X839" s="208"/>
      <c r="Y839" s="208"/>
      <c r="Z839" s="208"/>
      <c r="AA839" s="208"/>
      <c r="AB839" s="208"/>
      <c r="AC839" s="208"/>
      <c r="AD839" s="208"/>
      <c r="AE839" s="208"/>
      <c r="AF839" s="208"/>
      <c r="AG839" s="208"/>
      <c r="AH839" s="208"/>
      <c r="AI839" s="100"/>
    </row>
    <row r="840" ht="14.25" customHeight="1">
      <c r="A840" s="195"/>
      <c r="B840" s="100"/>
      <c r="C840" s="100"/>
      <c r="D840" s="100"/>
      <c r="E840" s="100"/>
      <c r="F840" s="206"/>
      <c r="G840" s="206"/>
      <c r="H840" s="207"/>
      <c r="I840" s="207"/>
      <c r="J840" s="207"/>
      <c r="K840" s="207"/>
      <c r="L840" s="207"/>
      <c r="M840" s="207"/>
      <c r="N840" s="207"/>
      <c r="O840" s="207"/>
      <c r="P840" s="207"/>
      <c r="Q840" s="207"/>
      <c r="R840" s="207"/>
      <c r="S840" s="207"/>
      <c r="T840" s="207"/>
      <c r="U840" s="207"/>
      <c r="V840" s="207"/>
      <c r="W840" s="208"/>
      <c r="X840" s="208"/>
      <c r="Y840" s="208"/>
      <c r="Z840" s="208"/>
      <c r="AA840" s="208"/>
      <c r="AB840" s="208"/>
      <c r="AC840" s="208"/>
      <c r="AD840" s="208"/>
      <c r="AE840" s="208"/>
      <c r="AF840" s="208"/>
      <c r="AG840" s="208"/>
      <c r="AH840" s="208"/>
      <c r="AI840" s="100"/>
    </row>
    <row r="841" ht="14.25" customHeight="1">
      <c r="A841" s="195"/>
      <c r="B841" s="100"/>
      <c r="C841" s="100"/>
      <c r="D841" s="100"/>
      <c r="E841" s="100"/>
      <c r="F841" s="206"/>
      <c r="G841" s="206"/>
      <c r="H841" s="207"/>
      <c r="I841" s="207"/>
      <c r="J841" s="207"/>
      <c r="K841" s="207"/>
      <c r="L841" s="207"/>
      <c r="M841" s="207"/>
      <c r="N841" s="207"/>
      <c r="O841" s="207"/>
      <c r="P841" s="207"/>
      <c r="Q841" s="207"/>
      <c r="R841" s="207"/>
      <c r="S841" s="207"/>
      <c r="T841" s="207"/>
      <c r="U841" s="207"/>
      <c r="V841" s="207"/>
      <c r="W841" s="208"/>
      <c r="X841" s="208"/>
      <c r="Y841" s="208"/>
      <c r="Z841" s="208"/>
      <c r="AA841" s="208"/>
      <c r="AB841" s="208"/>
      <c r="AC841" s="208"/>
      <c r="AD841" s="208"/>
      <c r="AE841" s="208"/>
      <c r="AF841" s="208"/>
      <c r="AG841" s="208"/>
      <c r="AH841" s="208"/>
      <c r="AI841" s="100"/>
    </row>
    <row r="842" ht="14.25" customHeight="1">
      <c r="A842" s="195"/>
      <c r="B842" s="100"/>
      <c r="C842" s="100"/>
      <c r="D842" s="100"/>
      <c r="E842" s="100"/>
      <c r="F842" s="206"/>
      <c r="G842" s="206"/>
      <c r="H842" s="207"/>
      <c r="I842" s="207"/>
      <c r="J842" s="207"/>
      <c r="K842" s="207"/>
      <c r="L842" s="207"/>
      <c r="M842" s="207"/>
      <c r="N842" s="207"/>
      <c r="O842" s="207"/>
      <c r="P842" s="207"/>
      <c r="Q842" s="207"/>
      <c r="R842" s="207"/>
      <c r="S842" s="207"/>
      <c r="T842" s="207"/>
      <c r="U842" s="207"/>
      <c r="V842" s="207"/>
      <c r="W842" s="208"/>
      <c r="X842" s="208"/>
      <c r="Y842" s="208"/>
      <c r="Z842" s="208"/>
      <c r="AA842" s="208"/>
      <c r="AB842" s="208"/>
      <c r="AC842" s="208"/>
      <c r="AD842" s="208"/>
      <c r="AE842" s="208"/>
      <c r="AF842" s="208"/>
      <c r="AG842" s="208"/>
      <c r="AH842" s="208"/>
      <c r="AI842" s="100"/>
    </row>
    <row r="843" ht="14.25" customHeight="1">
      <c r="A843" s="195"/>
      <c r="B843" s="100"/>
      <c r="C843" s="100"/>
      <c r="D843" s="100"/>
      <c r="E843" s="100"/>
      <c r="F843" s="206"/>
      <c r="G843" s="206"/>
      <c r="H843" s="207"/>
      <c r="I843" s="207"/>
      <c r="J843" s="207"/>
      <c r="K843" s="207"/>
      <c r="L843" s="207"/>
      <c r="M843" s="207"/>
      <c r="N843" s="207"/>
      <c r="O843" s="207"/>
      <c r="P843" s="207"/>
      <c r="Q843" s="207"/>
      <c r="R843" s="207"/>
      <c r="S843" s="207"/>
      <c r="T843" s="207"/>
      <c r="U843" s="207"/>
      <c r="V843" s="207"/>
      <c r="W843" s="208"/>
      <c r="X843" s="208"/>
      <c r="Y843" s="208"/>
      <c r="Z843" s="208"/>
      <c r="AA843" s="208"/>
      <c r="AB843" s="208"/>
      <c r="AC843" s="208"/>
      <c r="AD843" s="208"/>
      <c r="AE843" s="208"/>
      <c r="AF843" s="208"/>
      <c r="AG843" s="208"/>
      <c r="AH843" s="208"/>
      <c r="AI843" s="100"/>
    </row>
    <row r="844" ht="14.25" customHeight="1">
      <c r="A844" s="195"/>
      <c r="B844" s="100"/>
      <c r="C844" s="100"/>
      <c r="D844" s="100"/>
      <c r="E844" s="100"/>
      <c r="F844" s="206"/>
      <c r="G844" s="206"/>
      <c r="H844" s="207"/>
      <c r="I844" s="207"/>
      <c r="J844" s="207"/>
      <c r="K844" s="207"/>
      <c r="L844" s="207"/>
      <c r="M844" s="207"/>
      <c r="N844" s="207"/>
      <c r="O844" s="207"/>
      <c r="P844" s="207"/>
      <c r="Q844" s="207"/>
      <c r="R844" s="207"/>
      <c r="S844" s="207"/>
      <c r="T844" s="207"/>
      <c r="U844" s="207"/>
      <c r="V844" s="207"/>
      <c r="W844" s="208"/>
      <c r="X844" s="208"/>
      <c r="Y844" s="208"/>
      <c r="Z844" s="208"/>
      <c r="AA844" s="208"/>
      <c r="AB844" s="208"/>
      <c r="AC844" s="208"/>
      <c r="AD844" s="208"/>
      <c r="AE844" s="208"/>
      <c r="AF844" s="208"/>
      <c r="AG844" s="208"/>
      <c r="AH844" s="208"/>
      <c r="AI844" s="100"/>
    </row>
    <row r="845" ht="14.25" customHeight="1">
      <c r="A845" s="195"/>
      <c r="B845" s="100"/>
      <c r="C845" s="100"/>
      <c r="D845" s="100"/>
      <c r="E845" s="100"/>
      <c r="F845" s="206"/>
      <c r="G845" s="206"/>
      <c r="H845" s="207"/>
      <c r="I845" s="207"/>
      <c r="J845" s="207"/>
      <c r="K845" s="207"/>
      <c r="L845" s="207"/>
      <c r="M845" s="207"/>
      <c r="N845" s="207"/>
      <c r="O845" s="207"/>
      <c r="P845" s="207"/>
      <c r="Q845" s="207"/>
      <c r="R845" s="207"/>
      <c r="S845" s="207"/>
      <c r="T845" s="207"/>
      <c r="U845" s="207"/>
      <c r="V845" s="207"/>
      <c r="W845" s="208"/>
      <c r="X845" s="208"/>
      <c r="Y845" s="208"/>
      <c r="Z845" s="208"/>
      <c r="AA845" s="208"/>
      <c r="AB845" s="208"/>
      <c r="AC845" s="208"/>
      <c r="AD845" s="208"/>
      <c r="AE845" s="208"/>
      <c r="AF845" s="208"/>
      <c r="AG845" s="208"/>
      <c r="AH845" s="208"/>
      <c r="AI845" s="100"/>
    </row>
    <row r="846" ht="14.25" customHeight="1">
      <c r="A846" s="195"/>
      <c r="B846" s="100"/>
      <c r="C846" s="100"/>
      <c r="D846" s="100"/>
      <c r="E846" s="100"/>
      <c r="F846" s="206"/>
      <c r="G846" s="206"/>
      <c r="H846" s="207"/>
      <c r="I846" s="207"/>
      <c r="J846" s="207"/>
      <c r="K846" s="207"/>
      <c r="L846" s="207"/>
      <c r="M846" s="207"/>
      <c r="N846" s="207"/>
      <c r="O846" s="207"/>
      <c r="P846" s="207"/>
      <c r="Q846" s="207"/>
      <c r="R846" s="207"/>
      <c r="S846" s="207"/>
      <c r="T846" s="207"/>
      <c r="U846" s="207"/>
      <c r="V846" s="207"/>
      <c r="W846" s="208"/>
      <c r="X846" s="208"/>
      <c r="Y846" s="208"/>
      <c r="Z846" s="208"/>
      <c r="AA846" s="208"/>
      <c r="AB846" s="208"/>
      <c r="AC846" s="208"/>
      <c r="AD846" s="208"/>
      <c r="AE846" s="208"/>
      <c r="AF846" s="208"/>
      <c r="AG846" s="208"/>
      <c r="AH846" s="208"/>
      <c r="AI846" s="100"/>
    </row>
    <row r="847" ht="14.25" customHeight="1">
      <c r="A847" s="195"/>
      <c r="B847" s="100"/>
      <c r="C847" s="100"/>
      <c r="D847" s="100"/>
      <c r="E847" s="100"/>
      <c r="F847" s="206"/>
      <c r="G847" s="206"/>
      <c r="H847" s="207"/>
      <c r="I847" s="207"/>
      <c r="J847" s="207"/>
      <c r="K847" s="207"/>
      <c r="L847" s="207"/>
      <c r="M847" s="207"/>
      <c r="N847" s="207"/>
      <c r="O847" s="207"/>
      <c r="P847" s="207"/>
      <c r="Q847" s="207"/>
      <c r="R847" s="207"/>
      <c r="S847" s="207"/>
      <c r="T847" s="207"/>
      <c r="U847" s="207"/>
      <c r="V847" s="207"/>
      <c r="W847" s="208"/>
      <c r="X847" s="208"/>
      <c r="Y847" s="208"/>
      <c r="Z847" s="208"/>
      <c r="AA847" s="208"/>
      <c r="AB847" s="208"/>
      <c r="AC847" s="208"/>
      <c r="AD847" s="208"/>
      <c r="AE847" s="208"/>
      <c r="AF847" s="208"/>
      <c r="AG847" s="208"/>
      <c r="AH847" s="208"/>
      <c r="AI847" s="100"/>
    </row>
    <row r="848" ht="14.25" customHeight="1">
      <c r="A848" s="195"/>
      <c r="B848" s="100"/>
      <c r="C848" s="100"/>
      <c r="D848" s="100"/>
      <c r="E848" s="100"/>
      <c r="F848" s="206"/>
      <c r="G848" s="206"/>
      <c r="H848" s="207"/>
      <c r="I848" s="207"/>
      <c r="J848" s="207"/>
      <c r="K848" s="207"/>
      <c r="L848" s="207"/>
      <c r="M848" s="207"/>
      <c r="N848" s="207"/>
      <c r="O848" s="207"/>
      <c r="P848" s="207"/>
      <c r="Q848" s="207"/>
      <c r="R848" s="207"/>
      <c r="S848" s="207"/>
      <c r="T848" s="207"/>
      <c r="U848" s="207"/>
      <c r="V848" s="207"/>
      <c r="W848" s="208"/>
      <c r="X848" s="208"/>
      <c r="Y848" s="208"/>
      <c r="Z848" s="208"/>
      <c r="AA848" s="208"/>
      <c r="AB848" s="208"/>
      <c r="AC848" s="208"/>
      <c r="AD848" s="208"/>
      <c r="AE848" s="208"/>
      <c r="AF848" s="208"/>
      <c r="AG848" s="208"/>
      <c r="AH848" s="208"/>
      <c r="AI848" s="100"/>
    </row>
    <row r="849" ht="14.25" customHeight="1">
      <c r="A849" s="195"/>
      <c r="B849" s="100"/>
      <c r="C849" s="100"/>
      <c r="D849" s="100"/>
      <c r="E849" s="100"/>
      <c r="F849" s="206"/>
      <c r="G849" s="206"/>
      <c r="H849" s="207"/>
      <c r="I849" s="207"/>
      <c r="J849" s="207"/>
      <c r="K849" s="207"/>
      <c r="L849" s="207"/>
      <c r="M849" s="207"/>
      <c r="N849" s="207"/>
      <c r="O849" s="207"/>
      <c r="P849" s="207"/>
      <c r="Q849" s="207"/>
      <c r="R849" s="207"/>
      <c r="S849" s="207"/>
      <c r="T849" s="207"/>
      <c r="U849" s="207"/>
      <c r="V849" s="207"/>
      <c r="W849" s="208"/>
      <c r="X849" s="208"/>
      <c r="Y849" s="208"/>
      <c r="Z849" s="208"/>
      <c r="AA849" s="208"/>
      <c r="AB849" s="208"/>
      <c r="AC849" s="208"/>
      <c r="AD849" s="208"/>
      <c r="AE849" s="208"/>
      <c r="AF849" s="208"/>
      <c r="AG849" s="208"/>
      <c r="AH849" s="208"/>
      <c r="AI849" s="100"/>
    </row>
    <row r="850" ht="14.25" customHeight="1">
      <c r="A850" s="195"/>
      <c r="B850" s="100"/>
      <c r="C850" s="100"/>
      <c r="D850" s="100"/>
      <c r="E850" s="100"/>
      <c r="F850" s="206"/>
      <c r="G850" s="206"/>
      <c r="H850" s="207"/>
      <c r="I850" s="207"/>
      <c r="J850" s="207"/>
      <c r="K850" s="207"/>
      <c r="L850" s="207"/>
      <c r="M850" s="207"/>
      <c r="N850" s="207"/>
      <c r="O850" s="207"/>
      <c r="P850" s="207"/>
      <c r="Q850" s="207"/>
      <c r="R850" s="207"/>
      <c r="S850" s="207"/>
      <c r="T850" s="207"/>
      <c r="U850" s="207"/>
      <c r="V850" s="207"/>
      <c r="W850" s="208"/>
      <c r="X850" s="208"/>
      <c r="Y850" s="208"/>
      <c r="Z850" s="208"/>
      <c r="AA850" s="208"/>
      <c r="AB850" s="208"/>
      <c r="AC850" s="208"/>
      <c r="AD850" s="208"/>
      <c r="AE850" s="208"/>
      <c r="AF850" s="208"/>
      <c r="AG850" s="208"/>
      <c r="AH850" s="208"/>
      <c r="AI850" s="100"/>
    </row>
    <row r="851" ht="14.25" customHeight="1">
      <c r="A851" s="195"/>
      <c r="B851" s="100"/>
      <c r="C851" s="100"/>
      <c r="D851" s="100"/>
      <c r="E851" s="100"/>
      <c r="F851" s="206"/>
      <c r="G851" s="206"/>
      <c r="H851" s="207"/>
      <c r="I851" s="207"/>
      <c r="J851" s="207"/>
      <c r="K851" s="207"/>
      <c r="L851" s="207"/>
      <c r="M851" s="207"/>
      <c r="N851" s="207"/>
      <c r="O851" s="207"/>
      <c r="P851" s="207"/>
      <c r="Q851" s="207"/>
      <c r="R851" s="207"/>
      <c r="S851" s="207"/>
      <c r="T851" s="207"/>
      <c r="U851" s="207"/>
      <c r="V851" s="207"/>
      <c r="W851" s="208"/>
      <c r="X851" s="208"/>
      <c r="Y851" s="208"/>
      <c r="Z851" s="208"/>
      <c r="AA851" s="208"/>
      <c r="AB851" s="208"/>
      <c r="AC851" s="208"/>
      <c r="AD851" s="208"/>
      <c r="AE851" s="208"/>
      <c r="AF851" s="208"/>
      <c r="AG851" s="208"/>
      <c r="AH851" s="208"/>
      <c r="AI851" s="100"/>
    </row>
    <row r="852" ht="14.25" customHeight="1">
      <c r="A852" s="195"/>
      <c r="B852" s="100"/>
      <c r="C852" s="100"/>
      <c r="D852" s="100"/>
      <c r="E852" s="100"/>
      <c r="F852" s="206"/>
      <c r="G852" s="206"/>
      <c r="H852" s="207"/>
      <c r="I852" s="207"/>
      <c r="J852" s="207"/>
      <c r="K852" s="207"/>
      <c r="L852" s="207"/>
      <c r="M852" s="207"/>
      <c r="N852" s="207"/>
      <c r="O852" s="207"/>
      <c r="P852" s="207"/>
      <c r="Q852" s="207"/>
      <c r="R852" s="207"/>
      <c r="S852" s="207"/>
      <c r="T852" s="207"/>
      <c r="U852" s="207"/>
      <c r="V852" s="207"/>
      <c r="W852" s="208"/>
      <c r="X852" s="208"/>
      <c r="Y852" s="208"/>
      <c r="Z852" s="208"/>
      <c r="AA852" s="208"/>
      <c r="AB852" s="208"/>
      <c r="AC852" s="208"/>
      <c r="AD852" s="208"/>
      <c r="AE852" s="208"/>
      <c r="AF852" s="208"/>
      <c r="AG852" s="208"/>
      <c r="AH852" s="208"/>
      <c r="AI852" s="100"/>
    </row>
    <row r="853" ht="14.25" customHeight="1">
      <c r="A853" s="195"/>
      <c r="B853" s="100"/>
      <c r="C853" s="100"/>
      <c r="D853" s="100"/>
      <c r="E853" s="100"/>
      <c r="F853" s="206"/>
      <c r="G853" s="206"/>
      <c r="H853" s="207"/>
      <c r="I853" s="207"/>
      <c r="J853" s="207"/>
      <c r="K853" s="207"/>
      <c r="L853" s="207"/>
      <c r="M853" s="207"/>
      <c r="N853" s="207"/>
      <c r="O853" s="207"/>
      <c r="P853" s="207"/>
      <c r="Q853" s="207"/>
      <c r="R853" s="207"/>
      <c r="S853" s="207"/>
      <c r="T853" s="207"/>
      <c r="U853" s="207"/>
      <c r="V853" s="207"/>
      <c r="W853" s="208"/>
      <c r="X853" s="208"/>
      <c r="Y853" s="208"/>
      <c r="Z853" s="208"/>
      <c r="AA853" s="208"/>
      <c r="AB853" s="208"/>
      <c r="AC853" s="208"/>
      <c r="AD853" s="208"/>
      <c r="AE853" s="208"/>
      <c r="AF853" s="208"/>
      <c r="AG853" s="208"/>
      <c r="AH853" s="208"/>
      <c r="AI853" s="100"/>
    </row>
    <row r="854" ht="14.25" customHeight="1">
      <c r="A854" s="195"/>
      <c r="B854" s="100"/>
      <c r="C854" s="100"/>
      <c r="D854" s="100"/>
      <c r="E854" s="100"/>
      <c r="F854" s="206"/>
      <c r="G854" s="206"/>
      <c r="H854" s="207"/>
      <c r="I854" s="207"/>
      <c r="J854" s="207"/>
      <c r="K854" s="207"/>
      <c r="L854" s="207"/>
      <c r="M854" s="207"/>
      <c r="N854" s="207"/>
      <c r="O854" s="207"/>
      <c r="P854" s="207"/>
      <c r="Q854" s="207"/>
      <c r="R854" s="207"/>
      <c r="S854" s="207"/>
      <c r="T854" s="207"/>
      <c r="U854" s="207"/>
      <c r="V854" s="207"/>
      <c r="W854" s="208"/>
      <c r="X854" s="208"/>
      <c r="Y854" s="208"/>
      <c r="Z854" s="208"/>
      <c r="AA854" s="208"/>
      <c r="AB854" s="208"/>
      <c r="AC854" s="208"/>
      <c r="AD854" s="208"/>
      <c r="AE854" s="208"/>
      <c r="AF854" s="208"/>
      <c r="AG854" s="208"/>
      <c r="AH854" s="208"/>
      <c r="AI854" s="100"/>
    </row>
    <row r="855" ht="14.25" customHeight="1">
      <c r="A855" s="195"/>
      <c r="B855" s="100"/>
      <c r="C855" s="100"/>
      <c r="D855" s="100"/>
      <c r="E855" s="100"/>
      <c r="F855" s="206"/>
      <c r="G855" s="206"/>
      <c r="H855" s="207"/>
      <c r="I855" s="207"/>
      <c r="J855" s="207"/>
      <c r="K855" s="207"/>
      <c r="L855" s="207"/>
      <c r="M855" s="207"/>
      <c r="N855" s="207"/>
      <c r="O855" s="207"/>
      <c r="P855" s="207"/>
      <c r="Q855" s="207"/>
      <c r="R855" s="207"/>
      <c r="S855" s="207"/>
      <c r="T855" s="207"/>
      <c r="U855" s="207"/>
      <c r="V855" s="207"/>
      <c r="W855" s="208"/>
      <c r="X855" s="208"/>
      <c r="Y855" s="208"/>
      <c r="Z855" s="208"/>
      <c r="AA855" s="208"/>
      <c r="AB855" s="208"/>
      <c r="AC855" s="208"/>
      <c r="AD855" s="208"/>
      <c r="AE855" s="208"/>
      <c r="AF855" s="208"/>
      <c r="AG855" s="208"/>
      <c r="AH855" s="208"/>
      <c r="AI855" s="100"/>
    </row>
    <row r="856" ht="14.25" customHeight="1">
      <c r="A856" s="195"/>
      <c r="B856" s="100"/>
      <c r="C856" s="100"/>
      <c r="D856" s="100"/>
      <c r="E856" s="100"/>
      <c r="F856" s="206"/>
      <c r="G856" s="206"/>
      <c r="H856" s="207"/>
      <c r="I856" s="207"/>
      <c r="J856" s="207"/>
      <c r="K856" s="207"/>
      <c r="L856" s="207"/>
      <c r="M856" s="207"/>
      <c r="N856" s="207"/>
      <c r="O856" s="207"/>
      <c r="P856" s="207"/>
      <c r="Q856" s="207"/>
      <c r="R856" s="207"/>
      <c r="S856" s="207"/>
      <c r="T856" s="207"/>
      <c r="U856" s="207"/>
      <c r="V856" s="207"/>
      <c r="W856" s="208"/>
      <c r="X856" s="208"/>
      <c r="Y856" s="208"/>
      <c r="Z856" s="208"/>
      <c r="AA856" s="208"/>
      <c r="AB856" s="208"/>
      <c r="AC856" s="208"/>
      <c r="AD856" s="208"/>
      <c r="AE856" s="208"/>
      <c r="AF856" s="208"/>
      <c r="AG856" s="208"/>
      <c r="AH856" s="208"/>
      <c r="AI856" s="100"/>
    </row>
    <row r="857" ht="14.25" customHeight="1">
      <c r="A857" s="195"/>
      <c r="B857" s="100"/>
      <c r="C857" s="100"/>
      <c r="D857" s="100"/>
      <c r="E857" s="100"/>
      <c r="F857" s="206"/>
      <c r="G857" s="206"/>
      <c r="H857" s="207"/>
      <c r="I857" s="207"/>
      <c r="J857" s="207"/>
      <c r="K857" s="207"/>
      <c r="L857" s="207"/>
      <c r="M857" s="207"/>
      <c r="N857" s="207"/>
      <c r="O857" s="207"/>
      <c r="P857" s="207"/>
      <c r="Q857" s="207"/>
      <c r="R857" s="207"/>
      <c r="S857" s="207"/>
      <c r="T857" s="207"/>
      <c r="U857" s="207"/>
      <c r="V857" s="207"/>
      <c r="W857" s="208"/>
      <c r="X857" s="208"/>
      <c r="Y857" s="208"/>
      <c r="Z857" s="208"/>
      <c r="AA857" s="208"/>
      <c r="AB857" s="208"/>
      <c r="AC857" s="208"/>
      <c r="AD857" s="208"/>
      <c r="AE857" s="208"/>
      <c r="AF857" s="208"/>
      <c r="AG857" s="208"/>
      <c r="AH857" s="208"/>
      <c r="AI857" s="100"/>
    </row>
    <row r="858" ht="14.25" customHeight="1">
      <c r="A858" s="195"/>
      <c r="B858" s="100"/>
      <c r="C858" s="100"/>
      <c r="D858" s="100"/>
      <c r="E858" s="100"/>
      <c r="F858" s="206"/>
      <c r="G858" s="206"/>
      <c r="H858" s="207"/>
      <c r="I858" s="207"/>
      <c r="J858" s="207"/>
      <c r="K858" s="207"/>
      <c r="L858" s="207"/>
      <c r="M858" s="207"/>
      <c r="N858" s="207"/>
      <c r="O858" s="207"/>
      <c r="P858" s="207"/>
      <c r="Q858" s="207"/>
      <c r="R858" s="207"/>
      <c r="S858" s="207"/>
      <c r="T858" s="207"/>
      <c r="U858" s="207"/>
      <c r="V858" s="207"/>
      <c r="W858" s="208"/>
      <c r="X858" s="208"/>
      <c r="Y858" s="208"/>
      <c r="Z858" s="208"/>
      <c r="AA858" s="208"/>
      <c r="AB858" s="208"/>
      <c r="AC858" s="208"/>
      <c r="AD858" s="208"/>
      <c r="AE858" s="208"/>
      <c r="AF858" s="208"/>
      <c r="AG858" s="208"/>
      <c r="AH858" s="208"/>
      <c r="AI858" s="100"/>
    </row>
    <row r="859" ht="14.25" customHeight="1">
      <c r="A859" s="195"/>
      <c r="B859" s="100"/>
      <c r="C859" s="100"/>
      <c r="D859" s="100"/>
      <c r="E859" s="100"/>
      <c r="F859" s="206"/>
      <c r="G859" s="206"/>
      <c r="H859" s="207"/>
      <c r="I859" s="207"/>
      <c r="J859" s="207"/>
      <c r="K859" s="207"/>
      <c r="L859" s="207"/>
      <c r="M859" s="207"/>
      <c r="N859" s="207"/>
      <c r="O859" s="207"/>
      <c r="P859" s="207"/>
      <c r="Q859" s="207"/>
      <c r="R859" s="207"/>
      <c r="S859" s="207"/>
      <c r="T859" s="207"/>
      <c r="U859" s="207"/>
      <c r="V859" s="207"/>
      <c r="W859" s="208"/>
      <c r="X859" s="208"/>
      <c r="Y859" s="208"/>
      <c r="Z859" s="208"/>
      <c r="AA859" s="208"/>
      <c r="AB859" s="208"/>
      <c r="AC859" s="208"/>
      <c r="AD859" s="208"/>
      <c r="AE859" s="208"/>
      <c r="AF859" s="208"/>
      <c r="AG859" s="208"/>
      <c r="AH859" s="208"/>
      <c r="AI859" s="100"/>
    </row>
    <row r="860" ht="14.25" customHeight="1">
      <c r="A860" s="195"/>
      <c r="B860" s="100"/>
      <c r="C860" s="100"/>
      <c r="D860" s="100"/>
      <c r="E860" s="100"/>
      <c r="F860" s="206"/>
      <c r="G860" s="206"/>
      <c r="H860" s="207"/>
      <c r="I860" s="207"/>
      <c r="J860" s="207"/>
      <c r="K860" s="207"/>
      <c r="L860" s="207"/>
      <c r="M860" s="207"/>
      <c r="N860" s="207"/>
      <c r="O860" s="207"/>
      <c r="P860" s="207"/>
      <c r="Q860" s="207"/>
      <c r="R860" s="207"/>
      <c r="S860" s="207"/>
      <c r="T860" s="207"/>
      <c r="U860" s="207"/>
      <c r="V860" s="207"/>
      <c r="W860" s="208"/>
      <c r="X860" s="208"/>
      <c r="Y860" s="208"/>
      <c r="Z860" s="208"/>
      <c r="AA860" s="208"/>
      <c r="AB860" s="208"/>
      <c r="AC860" s="208"/>
      <c r="AD860" s="208"/>
      <c r="AE860" s="208"/>
      <c r="AF860" s="208"/>
      <c r="AG860" s="208"/>
      <c r="AH860" s="208"/>
      <c r="AI860" s="100"/>
    </row>
    <row r="861" ht="14.25" customHeight="1">
      <c r="A861" s="195"/>
      <c r="B861" s="100"/>
      <c r="C861" s="100"/>
      <c r="D861" s="100"/>
      <c r="E861" s="100"/>
      <c r="F861" s="206"/>
      <c r="G861" s="206"/>
      <c r="H861" s="207"/>
      <c r="I861" s="207"/>
      <c r="J861" s="207"/>
      <c r="K861" s="207"/>
      <c r="L861" s="207"/>
      <c r="M861" s="207"/>
      <c r="N861" s="207"/>
      <c r="O861" s="207"/>
      <c r="P861" s="207"/>
      <c r="Q861" s="207"/>
      <c r="R861" s="207"/>
      <c r="S861" s="207"/>
      <c r="T861" s="207"/>
      <c r="U861" s="207"/>
      <c r="V861" s="207"/>
      <c r="W861" s="208"/>
      <c r="X861" s="208"/>
      <c r="Y861" s="208"/>
      <c r="Z861" s="208"/>
      <c r="AA861" s="208"/>
      <c r="AB861" s="208"/>
      <c r="AC861" s="208"/>
      <c r="AD861" s="208"/>
      <c r="AE861" s="208"/>
      <c r="AF861" s="208"/>
      <c r="AG861" s="208"/>
      <c r="AH861" s="208"/>
      <c r="AI861" s="100"/>
    </row>
    <row r="862" ht="14.25" customHeight="1">
      <c r="A862" s="195"/>
      <c r="B862" s="100"/>
      <c r="C862" s="100"/>
      <c r="D862" s="100"/>
      <c r="E862" s="100"/>
      <c r="F862" s="206"/>
      <c r="G862" s="206"/>
      <c r="H862" s="207"/>
      <c r="I862" s="207"/>
      <c r="J862" s="207"/>
      <c r="K862" s="207"/>
      <c r="L862" s="207"/>
      <c r="M862" s="207"/>
      <c r="N862" s="207"/>
      <c r="O862" s="207"/>
      <c r="P862" s="207"/>
      <c r="Q862" s="207"/>
      <c r="R862" s="207"/>
      <c r="S862" s="207"/>
      <c r="T862" s="207"/>
      <c r="U862" s="207"/>
      <c r="V862" s="207"/>
      <c r="W862" s="208"/>
      <c r="X862" s="208"/>
      <c r="Y862" s="208"/>
      <c r="Z862" s="208"/>
      <c r="AA862" s="208"/>
      <c r="AB862" s="208"/>
      <c r="AC862" s="208"/>
      <c r="AD862" s="208"/>
      <c r="AE862" s="208"/>
      <c r="AF862" s="208"/>
      <c r="AG862" s="208"/>
      <c r="AH862" s="208"/>
      <c r="AI862" s="100"/>
    </row>
    <row r="863" ht="14.25" customHeight="1">
      <c r="A863" s="195"/>
      <c r="B863" s="100"/>
      <c r="C863" s="100"/>
      <c r="D863" s="100"/>
      <c r="E863" s="100"/>
      <c r="F863" s="206"/>
      <c r="G863" s="206"/>
      <c r="H863" s="207"/>
      <c r="I863" s="207"/>
      <c r="J863" s="207"/>
      <c r="K863" s="207"/>
      <c r="L863" s="207"/>
      <c r="M863" s="207"/>
      <c r="N863" s="207"/>
      <c r="O863" s="207"/>
      <c r="P863" s="207"/>
      <c r="Q863" s="207"/>
      <c r="R863" s="207"/>
      <c r="S863" s="207"/>
      <c r="T863" s="207"/>
      <c r="U863" s="207"/>
      <c r="V863" s="207"/>
      <c r="W863" s="208"/>
      <c r="X863" s="208"/>
      <c r="Y863" s="208"/>
      <c r="Z863" s="208"/>
      <c r="AA863" s="208"/>
      <c r="AB863" s="208"/>
      <c r="AC863" s="208"/>
      <c r="AD863" s="208"/>
      <c r="AE863" s="208"/>
      <c r="AF863" s="208"/>
      <c r="AG863" s="208"/>
      <c r="AH863" s="208"/>
      <c r="AI863" s="100"/>
    </row>
    <row r="864" ht="14.25" customHeight="1">
      <c r="A864" s="195"/>
      <c r="B864" s="100"/>
      <c r="C864" s="100"/>
      <c r="D864" s="100"/>
      <c r="E864" s="100"/>
      <c r="F864" s="206"/>
      <c r="G864" s="206"/>
      <c r="H864" s="207"/>
      <c r="I864" s="207"/>
      <c r="J864" s="207"/>
      <c r="K864" s="207"/>
      <c r="L864" s="207"/>
      <c r="M864" s="207"/>
      <c r="N864" s="207"/>
      <c r="O864" s="207"/>
      <c r="P864" s="207"/>
      <c r="Q864" s="207"/>
      <c r="R864" s="207"/>
      <c r="S864" s="207"/>
      <c r="T864" s="207"/>
      <c r="U864" s="207"/>
      <c r="V864" s="207"/>
      <c r="W864" s="208"/>
      <c r="X864" s="208"/>
      <c r="Y864" s="208"/>
      <c r="Z864" s="208"/>
      <c r="AA864" s="208"/>
      <c r="AB864" s="208"/>
      <c r="AC864" s="208"/>
      <c r="AD864" s="208"/>
      <c r="AE864" s="208"/>
      <c r="AF864" s="208"/>
      <c r="AG864" s="208"/>
      <c r="AH864" s="208"/>
      <c r="AI864" s="100"/>
    </row>
    <row r="865" ht="14.25" customHeight="1">
      <c r="A865" s="195"/>
      <c r="B865" s="100"/>
      <c r="C865" s="100"/>
      <c r="D865" s="100"/>
      <c r="E865" s="100"/>
      <c r="F865" s="206"/>
      <c r="G865" s="206"/>
      <c r="H865" s="207"/>
      <c r="I865" s="207"/>
      <c r="J865" s="207"/>
      <c r="K865" s="207"/>
      <c r="L865" s="207"/>
      <c r="M865" s="207"/>
      <c r="N865" s="207"/>
      <c r="O865" s="207"/>
      <c r="P865" s="207"/>
      <c r="Q865" s="207"/>
      <c r="R865" s="207"/>
      <c r="S865" s="207"/>
      <c r="T865" s="207"/>
      <c r="U865" s="207"/>
      <c r="V865" s="207"/>
      <c r="W865" s="208"/>
      <c r="X865" s="208"/>
      <c r="Y865" s="208"/>
      <c r="Z865" s="208"/>
      <c r="AA865" s="208"/>
      <c r="AB865" s="208"/>
      <c r="AC865" s="208"/>
      <c r="AD865" s="208"/>
      <c r="AE865" s="208"/>
      <c r="AF865" s="208"/>
      <c r="AG865" s="208"/>
      <c r="AH865" s="208"/>
      <c r="AI865" s="100"/>
    </row>
    <row r="866" ht="14.25" customHeight="1">
      <c r="A866" s="195"/>
      <c r="B866" s="100"/>
      <c r="C866" s="100"/>
      <c r="D866" s="100"/>
      <c r="E866" s="100"/>
      <c r="F866" s="206"/>
      <c r="G866" s="206"/>
      <c r="H866" s="207"/>
      <c r="I866" s="207"/>
      <c r="J866" s="207"/>
      <c r="K866" s="207"/>
      <c r="L866" s="207"/>
      <c r="M866" s="207"/>
      <c r="N866" s="207"/>
      <c r="O866" s="207"/>
      <c r="P866" s="207"/>
      <c r="Q866" s="207"/>
      <c r="R866" s="207"/>
      <c r="S866" s="207"/>
      <c r="T866" s="207"/>
      <c r="U866" s="207"/>
      <c r="V866" s="207"/>
      <c r="W866" s="208"/>
      <c r="X866" s="208"/>
      <c r="Y866" s="208"/>
      <c r="Z866" s="208"/>
      <c r="AA866" s="208"/>
      <c r="AB866" s="208"/>
      <c r="AC866" s="208"/>
      <c r="AD866" s="208"/>
      <c r="AE866" s="208"/>
      <c r="AF866" s="208"/>
      <c r="AG866" s="208"/>
      <c r="AH866" s="208"/>
      <c r="AI866" s="100"/>
    </row>
    <row r="867" ht="14.25" customHeight="1">
      <c r="A867" s="195"/>
      <c r="B867" s="100"/>
      <c r="C867" s="100"/>
      <c r="D867" s="100"/>
      <c r="E867" s="100"/>
      <c r="F867" s="206"/>
      <c r="G867" s="206"/>
      <c r="H867" s="207"/>
      <c r="I867" s="207"/>
      <c r="J867" s="207"/>
      <c r="K867" s="207"/>
      <c r="L867" s="207"/>
      <c r="M867" s="207"/>
      <c r="N867" s="207"/>
      <c r="O867" s="207"/>
      <c r="P867" s="207"/>
      <c r="Q867" s="207"/>
      <c r="R867" s="207"/>
      <c r="S867" s="207"/>
      <c r="T867" s="207"/>
      <c r="U867" s="207"/>
      <c r="V867" s="207"/>
      <c r="W867" s="208"/>
      <c r="X867" s="208"/>
      <c r="Y867" s="208"/>
      <c r="Z867" s="208"/>
      <c r="AA867" s="208"/>
      <c r="AB867" s="208"/>
      <c r="AC867" s="208"/>
      <c r="AD867" s="208"/>
      <c r="AE867" s="208"/>
      <c r="AF867" s="208"/>
      <c r="AG867" s="208"/>
      <c r="AH867" s="208"/>
      <c r="AI867" s="100"/>
    </row>
    <row r="868" ht="14.25" customHeight="1">
      <c r="A868" s="195"/>
      <c r="B868" s="100"/>
      <c r="C868" s="100"/>
      <c r="D868" s="100"/>
      <c r="E868" s="100"/>
      <c r="F868" s="206"/>
      <c r="G868" s="206"/>
      <c r="H868" s="207"/>
      <c r="I868" s="207"/>
      <c r="J868" s="207"/>
      <c r="K868" s="207"/>
      <c r="L868" s="207"/>
      <c r="M868" s="207"/>
      <c r="N868" s="207"/>
      <c r="O868" s="207"/>
      <c r="P868" s="207"/>
      <c r="Q868" s="207"/>
      <c r="R868" s="207"/>
      <c r="S868" s="207"/>
      <c r="T868" s="207"/>
      <c r="U868" s="207"/>
      <c r="V868" s="207"/>
      <c r="W868" s="208"/>
      <c r="X868" s="208"/>
      <c r="Y868" s="208"/>
      <c r="Z868" s="208"/>
      <c r="AA868" s="208"/>
      <c r="AB868" s="208"/>
      <c r="AC868" s="208"/>
      <c r="AD868" s="208"/>
      <c r="AE868" s="208"/>
      <c r="AF868" s="208"/>
      <c r="AG868" s="208"/>
      <c r="AH868" s="208"/>
      <c r="AI868" s="100"/>
    </row>
    <row r="869" ht="14.25" customHeight="1">
      <c r="A869" s="195"/>
      <c r="B869" s="100"/>
      <c r="C869" s="100"/>
      <c r="D869" s="100"/>
      <c r="E869" s="100"/>
      <c r="F869" s="206"/>
      <c r="G869" s="206"/>
      <c r="H869" s="207"/>
      <c r="I869" s="207"/>
      <c r="J869" s="207"/>
      <c r="K869" s="207"/>
      <c r="L869" s="207"/>
      <c r="M869" s="207"/>
      <c r="N869" s="207"/>
      <c r="O869" s="207"/>
      <c r="P869" s="207"/>
      <c r="Q869" s="207"/>
      <c r="R869" s="207"/>
      <c r="S869" s="207"/>
      <c r="T869" s="207"/>
      <c r="U869" s="207"/>
      <c r="V869" s="207"/>
      <c r="W869" s="208"/>
      <c r="X869" s="208"/>
      <c r="Y869" s="208"/>
      <c r="Z869" s="208"/>
      <c r="AA869" s="208"/>
      <c r="AB869" s="208"/>
      <c r="AC869" s="208"/>
      <c r="AD869" s="208"/>
      <c r="AE869" s="208"/>
      <c r="AF869" s="208"/>
      <c r="AG869" s="208"/>
      <c r="AH869" s="208"/>
      <c r="AI869" s="100"/>
    </row>
    <row r="870" ht="14.25" customHeight="1">
      <c r="A870" s="195"/>
      <c r="B870" s="100"/>
      <c r="C870" s="100"/>
      <c r="D870" s="100"/>
      <c r="E870" s="100"/>
      <c r="F870" s="206"/>
      <c r="G870" s="206"/>
      <c r="H870" s="207"/>
      <c r="I870" s="207"/>
      <c r="J870" s="207"/>
      <c r="K870" s="207"/>
      <c r="L870" s="207"/>
      <c r="M870" s="207"/>
      <c r="N870" s="207"/>
      <c r="O870" s="207"/>
      <c r="P870" s="207"/>
      <c r="Q870" s="207"/>
      <c r="R870" s="207"/>
      <c r="S870" s="207"/>
      <c r="T870" s="207"/>
      <c r="U870" s="207"/>
      <c r="V870" s="207"/>
      <c r="W870" s="208"/>
      <c r="X870" s="208"/>
      <c r="Y870" s="208"/>
      <c r="Z870" s="208"/>
      <c r="AA870" s="208"/>
      <c r="AB870" s="208"/>
      <c r="AC870" s="208"/>
      <c r="AD870" s="208"/>
      <c r="AE870" s="208"/>
      <c r="AF870" s="208"/>
      <c r="AG870" s="208"/>
      <c r="AH870" s="208"/>
      <c r="AI870" s="100"/>
    </row>
    <row r="871" ht="14.25" customHeight="1">
      <c r="A871" s="195"/>
      <c r="B871" s="100"/>
      <c r="C871" s="100"/>
      <c r="D871" s="100"/>
      <c r="E871" s="100"/>
      <c r="F871" s="206"/>
      <c r="G871" s="206"/>
      <c r="H871" s="207"/>
      <c r="I871" s="207"/>
      <c r="J871" s="207"/>
      <c r="K871" s="207"/>
      <c r="L871" s="207"/>
      <c r="M871" s="207"/>
      <c r="N871" s="207"/>
      <c r="O871" s="207"/>
      <c r="P871" s="207"/>
      <c r="Q871" s="207"/>
      <c r="R871" s="207"/>
      <c r="S871" s="207"/>
      <c r="T871" s="207"/>
      <c r="U871" s="207"/>
      <c r="V871" s="207"/>
      <c r="W871" s="208"/>
      <c r="X871" s="208"/>
      <c r="Y871" s="208"/>
      <c r="Z871" s="208"/>
      <c r="AA871" s="208"/>
      <c r="AB871" s="208"/>
      <c r="AC871" s="208"/>
      <c r="AD871" s="208"/>
      <c r="AE871" s="208"/>
      <c r="AF871" s="208"/>
      <c r="AG871" s="208"/>
      <c r="AH871" s="208"/>
      <c r="AI871" s="100"/>
    </row>
    <row r="872" ht="14.25" customHeight="1">
      <c r="A872" s="195"/>
      <c r="B872" s="100"/>
      <c r="C872" s="100"/>
      <c r="D872" s="100"/>
      <c r="E872" s="100"/>
      <c r="F872" s="206"/>
      <c r="G872" s="206"/>
      <c r="H872" s="207"/>
      <c r="I872" s="207"/>
      <c r="J872" s="207"/>
      <c r="K872" s="207"/>
      <c r="L872" s="207"/>
      <c r="M872" s="207"/>
      <c r="N872" s="207"/>
      <c r="O872" s="207"/>
      <c r="P872" s="207"/>
      <c r="Q872" s="207"/>
      <c r="R872" s="207"/>
      <c r="S872" s="207"/>
      <c r="T872" s="207"/>
      <c r="U872" s="207"/>
      <c r="V872" s="207"/>
      <c r="W872" s="208"/>
      <c r="X872" s="208"/>
      <c r="Y872" s="208"/>
      <c r="Z872" s="208"/>
      <c r="AA872" s="208"/>
      <c r="AB872" s="208"/>
      <c r="AC872" s="208"/>
      <c r="AD872" s="208"/>
      <c r="AE872" s="208"/>
      <c r="AF872" s="208"/>
      <c r="AG872" s="208"/>
      <c r="AH872" s="208"/>
      <c r="AI872" s="100"/>
    </row>
    <row r="873" ht="14.25" customHeight="1">
      <c r="A873" s="195"/>
      <c r="B873" s="100"/>
      <c r="C873" s="100"/>
      <c r="D873" s="100"/>
      <c r="E873" s="100"/>
      <c r="F873" s="206"/>
      <c r="G873" s="206"/>
      <c r="H873" s="207"/>
      <c r="I873" s="207"/>
      <c r="J873" s="207"/>
      <c r="K873" s="207"/>
      <c r="L873" s="207"/>
      <c r="M873" s="207"/>
      <c r="N873" s="207"/>
      <c r="O873" s="207"/>
      <c r="P873" s="207"/>
      <c r="Q873" s="207"/>
      <c r="R873" s="207"/>
      <c r="S873" s="207"/>
      <c r="T873" s="207"/>
      <c r="U873" s="207"/>
      <c r="V873" s="207"/>
      <c r="W873" s="208"/>
      <c r="X873" s="208"/>
      <c r="Y873" s="208"/>
      <c r="Z873" s="208"/>
      <c r="AA873" s="208"/>
      <c r="AB873" s="208"/>
      <c r="AC873" s="208"/>
      <c r="AD873" s="208"/>
      <c r="AE873" s="208"/>
      <c r="AF873" s="208"/>
      <c r="AG873" s="208"/>
      <c r="AH873" s="208"/>
      <c r="AI873" s="100"/>
    </row>
    <row r="874" ht="14.25" customHeight="1">
      <c r="A874" s="195"/>
      <c r="B874" s="100"/>
      <c r="C874" s="100"/>
      <c r="D874" s="100"/>
      <c r="E874" s="100"/>
      <c r="F874" s="206"/>
      <c r="G874" s="206"/>
      <c r="H874" s="207"/>
      <c r="I874" s="207"/>
      <c r="J874" s="207"/>
      <c r="K874" s="207"/>
      <c r="L874" s="207"/>
      <c r="M874" s="207"/>
      <c r="N874" s="207"/>
      <c r="O874" s="207"/>
      <c r="P874" s="207"/>
      <c r="Q874" s="207"/>
      <c r="R874" s="207"/>
      <c r="S874" s="207"/>
      <c r="T874" s="207"/>
      <c r="U874" s="207"/>
      <c r="V874" s="207"/>
      <c r="W874" s="208"/>
      <c r="X874" s="208"/>
      <c r="Y874" s="208"/>
      <c r="Z874" s="208"/>
      <c r="AA874" s="208"/>
      <c r="AB874" s="208"/>
      <c r="AC874" s="208"/>
      <c r="AD874" s="208"/>
      <c r="AE874" s="208"/>
      <c r="AF874" s="208"/>
      <c r="AG874" s="208"/>
      <c r="AH874" s="208"/>
      <c r="AI874" s="100"/>
    </row>
    <row r="875" ht="14.25" customHeight="1">
      <c r="A875" s="195"/>
      <c r="B875" s="100"/>
      <c r="C875" s="100"/>
      <c r="D875" s="100"/>
      <c r="E875" s="100"/>
      <c r="F875" s="206"/>
      <c r="G875" s="206"/>
      <c r="H875" s="207"/>
      <c r="I875" s="207"/>
      <c r="J875" s="207"/>
      <c r="K875" s="207"/>
      <c r="L875" s="207"/>
      <c r="M875" s="207"/>
      <c r="N875" s="207"/>
      <c r="O875" s="207"/>
      <c r="P875" s="207"/>
      <c r="Q875" s="207"/>
      <c r="R875" s="207"/>
      <c r="S875" s="207"/>
      <c r="T875" s="207"/>
      <c r="U875" s="207"/>
      <c r="V875" s="207"/>
      <c r="W875" s="208"/>
      <c r="X875" s="208"/>
      <c r="Y875" s="208"/>
      <c r="Z875" s="208"/>
      <c r="AA875" s="208"/>
      <c r="AB875" s="208"/>
      <c r="AC875" s="208"/>
      <c r="AD875" s="208"/>
      <c r="AE875" s="208"/>
      <c r="AF875" s="208"/>
      <c r="AG875" s="208"/>
      <c r="AH875" s="208"/>
      <c r="AI875" s="100"/>
    </row>
    <row r="876" ht="14.25" customHeight="1">
      <c r="A876" s="195"/>
      <c r="B876" s="100"/>
      <c r="C876" s="100"/>
      <c r="D876" s="100"/>
      <c r="E876" s="100"/>
      <c r="F876" s="206"/>
      <c r="G876" s="206"/>
      <c r="H876" s="207"/>
      <c r="I876" s="207"/>
      <c r="J876" s="207"/>
      <c r="K876" s="207"/>
      <c r="L876" s="207"/>
      <c r="M876" s="207"/>
      <c r="N876" s="207"/>
      <c r="O876" s="207"/>
      <c r="P876" s="207"/>
      <c r="Q876" s="207"/>
      <c r="R876" s="207"/>
      <c r="S876" s="207"/>
      <c r="T876" s="207"/>
      <c r="U876" s="207"/>
      <c r="V876" s="207"/>
      <c r="W876" s="208"/>
      <c r="X876" s="208"/>
      <c r="Y876" s="208"/>
      <c r="Z876" s="208"/>
      <c r="AA876" s="208"/>
      <c r="AB876" s="208"/>
      <c r="AC876" s="208"/>
      <c r="AD876" s="208"/>
      <c r="AE876" s="208"/>
      <c r="AF876" s="208"/>
      <c r="AG876" s="208"/>
      <c r="AH876" s="208"/>
      <c r="AI876" s="100"/>
    </row>
    <row r="877" ht="14.25" customHeight="1">
      <c r="A877" s="195"/>
      <c r="B877" s="100"/>
      <c r="C877" s="100"/>
      <c r="D877" s="100"/>
      <c r="E877" s="100"/>
      <c r="F877" s="206"/>
      <c r="G877" s="206"/>
      <c r="H877" s="207"/>
      <c r="I877" s="207"/>
      <c r="J877" s="207"/>
      <c r="K877" s="207"/>
      <c r="L877" s="207"/>
      <c r="M877" s="207"/>
      <c r="N877" s="207"/>
      <c r="O877" s="207"/>
      <c r="P877" s="207"/>
      <c r="Q877" s="207"/>
      <c r="R877" s="207"/>
      <c r="S877" s="207"/>
      <c r="T877" s="207"/>
      <c r="U877" s="207"/>
      <c r="V877" s="207"/>
      <c r="W877" s="208"/>
      <c r="X877" s="208"/>
      <c r="Y877" s="208"/>
      <c r="Z877" s="208"/>
      <c r="AA877" s="208"/>
      <c r="AB877" s="208"/>
      <c r="AC877" s="208"/>
      <c r="AD877" s="208"/>
      <c r="AE877" s="208"/>
      <c r="AF877" s="208"/>
      <c r="AG877" s="208"/>
      <c r="AH877" s="208"/>
      <c r="AI877" s="100"/>
    </row>
    <row r="878" ht="14.25" customHeight="1">
      <c r="A878" s="195"/>
      <c r="B878" s="100"/>
      <c r="C878" s="100"/>
      <c r="D878" s="100"/>
      <c r="E878" s="100"/>
      <c r="F878" s="206"/>
      <c r="G878" s="206"/>
      <c r="H878" s="207"/>
      <c r="I878" s="207"/>
      <c r="J878" s="207"/>
      <c r="K878" s="207"/>
      <c r="L878" s="207"/>
      <c r="M878" s="207"/>
      <c r="N878" s="207"/>
      <c r="O878" s="207"/>
      <c r="P878" s="207"/>
      <c r="Q878" s="207"/>
      <c r="R878" s="207"/>
      <c r="S878" s="207"/>
      <c r="T878" s="207"/>
      <c r="U878" s="207"/>
      <c r="V878" s="207"/>
      <c r="W878" s="208"/>
      <c r="X878" s="208"/>
      <c r="Y878" s="208"/>
      <c r="Z878" s="208"/>
      <c r="AA878" s="208"/>
      <c r="AB878" s="208"/>
      <c r="AC878" s="208"/>
      <c r="AD878" s="208"/>
      <c r="AE878" s="208"/>
      <c r="AF878" s="208"/>
      <c r="AG878" s="208"/>
      <c r="AH878" s="208"/>
      <c r="AI878" s="100"/>
    </row>
    <row r="879" ht="14.25" customHeight="1">
      <c r="A879" s="195"/>
      <c r="B879" s="100"/>
      <c r="C879" s="100"/>
      <c r="D879" s="100"/>
      <c r="E879" s="100"/>
      <c r="F879" s="206"/>
      <c r="G879" s="206"/>
      <c r="H879" s="207"/>
      <c r="I879" s="207"/>
      <c r="J879" s="207"/>
      <c r="K879" s="207"/>
      <c r="L879" s="207"/>
      <c r="M879" s="207"/>
      <c r="N879" s="207"/>
      <c r="O879" s="207"/>
      <c r="P879" s="207"/>
      <c r="Q879" s="207"/>
      <c r="R879" s="207"/>
      <c r="S879" s="207"/>
      <c r="T879" s="207"/>
      <c r="U879" s="207"/>
      <c r="V879" s="207"/>
      <c r="W879" s="208"/>
      <c r="X879" s="208"/>
      <c r="Y879" s="208"/>
      <c r="Z879" s="208"/>
      <c r="AA879" s="208"/>
      <c r="AB879" s="208"/>
      <c r="AC879" s="208"/>
      <c r="AD879" s="208"/>
      <c r="AE879" s="208"/>
      <c r="AF879" s="208"/>
      <c r="AG879" s="208"/>
      <c r="AH879" s="208"/>
      <c r="AI879" s="100"/>
    </row>
    <row r="880" ht="14.25" customHeight="1">
      <c r="A880" s="195"/>
      <c r="B880" s="100"/>
      <c r="C880" s="100"/>
      <c r="D880" s="100"/>
      <c r="E880" s="100"/>
      <c r="F880" s="206"/>
      <c r="G880" s="206"/>
      <c r="H880" s="207"/>
      <c r="I880" s="207"/>
      <c r="J880" s="207"/>
      <c r="K880" s="207"/>
      <c r="L880" s="207"/>
      <c r="M880" s="207"/>
      <c r="N880" s="207"/>
      <c r="O880" s="207"/>
      <c r="P880" s="207"/>
      <c r="Q880" s="207"/>
      <c r="R880" s="207"/>
      <c r="S880" s="207"/>
      <c r="T880" s="207"/>
      <c r="U880" s="207"/>
      <c r="V880" s="207"/>
      <c r="W880" s="208"/>
      <c r="X880" s="208"/>
      <c r="Y880" s="208"/>
      <c r="Z880" s="208"/>
      <c r="AA880" s="208"/>
      <c r="AB880" s="208"/>
      <c r="AC880" s="208"/>
      <c r="AD880" s="208"/>
      <c r="AE880" s="208"/>
      <c r="AF880" s="208"/>
      <c r="AG880" s="208"/>
      <c r="AH880" s="208"/>
      <c r="AI880" s="100"/>
    </row>
    <row r="881" ht="14.25" customHeight="1">
      <c r="A881" s="195"/>
      <c r="B881" s="100"/>
      <c r="C881" s="100"/>
      <c r="D881" s="100"/>
      <c r="E881" s="100"/>
      <c r="F881" s="206"/>
      <c r="G881" s="206"/>
      <c r="H881" s="207"/>
      <c r="I881" s="207"/>
      <c r="J881" s="207"/>
      <c r="K881" s="207"/>
      <c r="L881" s="207"/>
      <c r="M881" s="207"/>
      <c r="N881" s="207"/>
      <c r="O881" s="207"/>
      <c r="P881" s="207"/>
      <c r="Q881" s="207"/>
      <c r="R881" s="207"/>
      <c r="S881" s="207"/>
      <c r="T881" s="207"/>
      <c r="U881" s="207"/>
      <c r="V881" s="207"/>
      <c r="W881" s="208"/>
      <c r="X881" s="208"/>
      <c r="Y881" s="208"/>
      <c r="Z881" s="208"/>
      <c r="AA881" s="208"/>
      <c r="AB881" s="208"/>
      <c r="AC881" s="208"/>
      <c r="AD881" s="208"/>
      <c r="AE881" s="208"/>
      <c r="AF881" s="208"/>
      <c r="AG881" s="208"/>
      <c r="AH881" s="208"/>
      <c r="AI881" s="100"/>
    </row>
    <row r="882" ht="14.25" customHeight="1">
      <c r="A882" s="195"/>
      <c r="B882" s="100"/>
      <c r="C882" s="100"/>
      <c r="D882" s="100"/>
      <c r="E882" s="100"/>
      <c r="F882" s="206"/>
      <c r="G882" s="206"/>
      <c r="H882" s="207"/>
      <c r="I882" s="207"/>
      <c r="J882" s="207"/>
      <c r="K882" s="207"/>
      <c r="L882" s="207"/>
      <c r="M882" s="207"/>
      <c r="N882" s="207"/>
      <c r="O882" s="207"/>
      <c r="P882" s="207"/>
      <c r="Q882" s="207"/>
      <c r="R882" s="207"/>
      <c r="S882" s="207"/>
      <c r="T882" s="207"/>
      <c r="U882" s="207"/>
      <c r="V882" s="207"/>
      <c r="W882" s="208"/>
      <c r="X882" s="208"/>
      <c r="Y882" s="208"/>
      <c r="Z882" s="208"/>
      <c r="AA882" s="208"/>
      <c r="AB882" s="208"/>
      <c r="AC882" s="208"/>
      <c r="AD882" s="208"/>
      <c r="AE882" s="208"/>
      <c r="AF882" s="208"/>
      <c r="AG882" s="208"/>
      <c r="AH882" s="208"/>
      <c r="AI882" s="100"/>
    </row>
    <row r="883" ht="14.25" customHeight="1">
      <c r="A883" s="195"/>
      <c r="B883" s="100"/>
      <c r="C883" s="100"/>
      <c r="D883" s="100"/>
      <c r="E883" s="100"/>
      <c r="F883" s="206"/>
      <c r="G883" s="206"/>
      <c r="H883" s="207"/>
      <c r="I883" s="207"/>
      <c r="J883" s="207"/>
      <c r="K883" s="207"/>
      <c r="L883" s="207"/>
      <c r="M883" s="207"/>
      <c r="N883" s="207"/>
      <c r="O883" s="207"/>
      <c r="P883" s="207"/>
      <c r="Q883" s="207"/>
      <c r="R883" s="207"/>
      <c r="S883" s="207"/>
      <c r="T883" s="207"/>
      <c r="U883" s="207"/>
      <c r="V883" s="207"/>
      <c r="W883" s="208"/>
      <c r="X883" s="208"/>
      <c r="Y883" s="208"/>
      <c r="Z883" s="208"/>
      <c r="AA883" s="208"/>
      <c r="AB883" s="208"/>
      <c r="AC883" s="208"/>
      <c r="AD883" s="208"/>
      <c r="AE883" s="208"/>
      <c r="AF883" s="208"/>
      <c r="AG883" s="208"/>
      <c r="AH883" s="208"/>
      <c r="AI883" s="100"/>
    </row>
    <row r="884" ht="14.25" customHeight="1">
      <c r="A884" s="195"/>
      <c r="B884" s="100"/>
      <c r="C884" s="100"/>
      <c r="D884" s="100"/>
      <c r="E884" s="100"/>
      <c r="F884" s="206"/>
      <c r="G884" s="206"/>
      <c r="H884" s="207"/>
      <c r="I884" s="207"/>
      <c r="J884" s="207"/>
      <c r="K884" s="207"/>
      <c r="L884" s="207"/>
      <c r="M884" s="207"/>
      <c r="N884" s="207"/>
      <c r="O884" s="207"/>
      <c r="P884" s="207"/>
      <c r="Q884" s="207"/>
      <c r="R884" s="207"/>
      <c r="S884" s="207"/>
      <c r="T884" s="207"/>
      <c r="U884" s="207"/>
      <c r="V884" s="207"/>
      <c r="W884" s="208"/>
      <c r="X884" s="208"/>
      <c r="Y884" s="208"/>
      <c r="Z884" s="208"/>
      <c r="AA884" s="208"/>
      <c r="AB884" s="208"/>
      <c r="AC884" s="208"/>
      <c r="AD884" s="208"/>
      <c r="AE884" s="208"/>
      <c r="AF884" s="208"/>
      <c r="AG884" s="208"/>
      <c r="AH884" s="208"/>
      <c r="AI884" s="100"/>
    </row>
    <row r="885" ht="14.25" customHeight="1">
      <c r="A885" s="195"/>
      <c r="B885" s="100"/>
      <c r="C885" s="100"/>
      <c r="D885" s="100"/>
      <c r="E885" s="100"/>
      <c r="F885" s="206"/>
      <c r="G885" s="206"/>
      <c r="H885" s="207"/>
      <c r="I885" s="207"/>
      <c r="J885" s="207"/>
      <c r="K885" s="207"/>
      <c r="L885" s="207"/>
      <c r="M885" s="207"/>
      <c r="N885" s="207"/>
      <c r="O885" s="207"/>
      <c r="P885" s="207"/>
      <c r="Q885" s="207"/>
      <c r="R885" s="207"/>
      <c r="S885" s="207"/>
      <c r="T885" s="207"/>
      <c r="U885" s="207"/>
      <c r="V885" s="207"/>
      <c r="W885" s="208"/>
      <c r="X885" s="208"/>
      <c r="Y885" s="208"/>
      <c r="Z885" s="208"/>
      <c r="AA885" s="208"/>
      <c r="AB885" s="208"/>
      <c r="AC885" s="208"/>
      <c r="AD885" s="208"/>
      <c r="AE885" s="208"/>
      <c r="AF885" s="208"/>
      <c r="AG885" s="208"/>
      <c r="AH885" s="208"/>
      <c r="AI885" s="100"/>
    </row>
    <row r="886" ht="14.25" customHeight="1">
      <c r="A886" s="195"/>
      <c r="B886" s="100"/>
      <c r="C886" s="100"/>
      <c r="D886" s="100"/>
      <c r="E886" s="100"/>
      <c r="F886" s="206"/>
      <c r="G886" s="206"/>
      <c r="H886" s="207"/>
      <c r="I886" s="207"/>
      <c r="J886" s="207"/>
      <c r="K886" s="207"/>
      <c r="L886" s="207"/>
      <c r="M886" s="207"/>
      <c r="N886" s="207"/>
      <c r="O886" s="207"/>
      <c r="P886" s="207"/>
      <c r="Q886" s="207"/>
      <c r="R886" s="207"/>
      <c r="S886" s="207"/>
      <c r="T886" s="207"/>
      <c r="U886" s="207"/>
      <c r="V886" s="207"/>
      <c r="W886" s="208"/>
      <c r="X886" s="208"/>
      <c r="Y886" s="208"/>
      <c r="Z886" s="208"/>
      <c r="AA886" s="208"/>
      <c r="AB886" s="208"/>
      <c r="AC886" s="208"/>
      <c r="AD886" s="208"/>
      <c r="AE886" s="208"/>
      <c r="AF886" s="208"/>
      <c r="AG886" s="208"/>
      <c r="AH886" s="208"/>
      <c r="AI886" s="100"/>
    </row>
    <row r="887" ht="14.25" customHeight="1">
      <c r="A887" s="195"/>
      <c r="B887" s="100"/>
      <c r="C887" s="100"/>
      <c r="D887" s="100"/>
      <c r="E887" s="100"/>
      <c r="F887" s="206"/>
      <c r="G887" s="206"/>
      <c r="H887" s="207"/>
      <c r="I887" s="207"/>
      <c r="J887" s="207"/>
      <c r="K887" s="207"/>
      <c r="L887" s="207"/>
      <c r="M887" s="207"/>
      <c r="N887" s="207"/>
      <c r="O887" s="207"/>
      <c r="P887" s="207"/>
      <c r="Q887" s="207"/>
      <c r="R887" s="207"/>
      <c r="S887" s="207"/>
      <c r="T887" s="207"/>
      <c r="U887" s="207"/>
      <c r="V887" s="207"/>
      <c r="W887" s="208"/>
      <c r="X887" s="208"/>
      <c r="Y887" s="208"/>
      <c r="Z887" s="208"/>
      <c r="AA887" s="208"/>
      <c r="AB887" s="208"/>
      <c r="AC887" s="208"/>
      <c r="AD887" s="208"/>
      <c r="AE887" s="208"/>
      <c r="AF887" s="208"/>
      <c r="AG887" s="208"/>
      <c r="AH887" s="208"/>
      <c r="AI887" s="100"/>
    </row>
    <row r="888" ht="14.25" customHeight="1">
      <c r="A888" s="195"/>
      <c r="B888" s="100"/>
      <c r="C888" s="100"/>
      <c r="D888" s="100"/>
      <c r="E888" s="100"/>
      <c r="F888" s="206"/>
      <c r="G888" s="206"/>
      <c r="H888" s="207"/>
      <c r="I888" s="207"/>
      <c r="J888" s="207"/>
      <c r="K888" s="207"/>
      <c r="L888" s="207"/>
      <c r="M888" s="207"/>
      <c r="N888" s="207"/>
      <c r="O888" s="207"/>
      <c r="P888" s="207"/>
      <c r="Q888" s="207"/>
      <c r="R888" s="207"/>
      <c r="S888" s="207"/>
      <c r="T888" s="207"/>
      <c r="U888" s="207"/>
      <c r="V888" s="207"/>
      <c r="W888" s="208"/>
      <c r="X888" s="208"/>
      <c r="Y888" s="208"/>
      <c r="Z888" s="208"/>
      <c r="AA888" s="208"/>
      <c r="AB888" s="208"/>
      <c r="AC888" s="208"/>
      <c r="AD888" s="208"/>
      <c r="AE888" s="208"/>
      <c r="AF888" s="208"/>
      <c r="AG888" s="208"/>
      <c r="AH888" s="208"/>
      <c r="AI888" s="100"/>
    </row>
    <row r="889" ht="14.25" customHeight="1">
      <c r="A889" s="195"/>
      <c r="B889" s="100"/>
      <c r="C889" s="100"/>
      <c r="D889" s="100"/>
      <c r="E889" s="100"/>
      <c r="F889" s="206"/>
      <c r="G889" s="206"/>
      <c r="H889" s="207"/>
      <c r="I889" s="207"/>
      <c r="J889" s="207"/>
      <c r="K889" s="207"/>
      <c r="L889" s="207"/>
      <c r="M889" s="207"/>
      <c r="N889" s="207"/>
      <c r="O889" s="207"/>
      <c r="P889" s="207"/>
      <c r="Q889" s="207"/>
      <c r="R889" s="207"/>
      <c r="S889" s="207"/>
      <c r="T889" s="207"/>
      <c r="U889" s="207"/>
      <c r="V889" s="207"/>
      <c r="W889" s="208"/>
      <c r="X889" s="208"/>
      <c r="Y889" s="208"/>
      <c r="Z889" s="208"/>
      <c r="AA889" s="208"/>
      <c r="AB889" s="208"/>
      <c r="AC889" s="208"/>
      <c r="AD889" s="208"/>
      <c r="AE889" s="208"/>
      <c r="AF889" s="208"/>
      <c r="AG889" s="208"/>
      <c r="AH889" s="208"/>
      <c r="AI889" s="100"/>
    </row>
    <row r="890" ht="14.25" customHeight="1">
      <c r="A890" s="195"/>
      <c r="B890" s="100"/>
      <c r="C890" s="100"/>
      <c r="D890" s="100"/>
      <c r="E890" s="100"/>
      <c r="F890" s="206"/>
      <c r="G890" s="206"/>
      <c r="H890" s="207"/>
      <c r="I890" s="207"/>
      <c r="J890" s="207"/>
      <c r="K890" s="207"/>
      <c r="L890" s="207"/>
      <c r="M890" s="207"/>
      <c r="N890" s="207"/>
      <c r="O890" s="207"/>
      <c r="P890" s="207"/>
      <c r="Q890" s="207"/>
      <c r="R890" s="207"/>
      <c r="S890" s="207"/>
      <c r="T890" s="207"/>
      <c r="U890" s="207"/>
      <c r="V890" s="207"/>
      <c r="W890" s="208"/>
      <c r="X890" s="208"/>
      <c r="Y890" s="208"/>
      <c r="Z890" s="208"/>
      <c r="AA890" s="208"/>
      <c r="AB890" s="208"/>
      <c r="AC890" s="208"/>
      <c r="AD890" s="208"/>
      <c r="AE890" s="208"/>
      <c r="AF890" s="208"/>
      <c r="AG890" s="208"/>
      <c r="AH890" s="208"/>
      <c r="AI890" s="100"/>
    </row>
    <row r="891" ht="14.25" customHeight="1">
      <c r="A891" s="195"/>
      <c r="B891" s="100"/>
      <c r="C891" s="100"/>
      <c r="D891" s="100"/>
      <c r="E891" s="100"/>
      <c r="F891" s="206"/>
      <c r="G891" s="206"/>
      <c r="H891" s="207"/>
      <c r="I891" s="207"/>
      <c r="J891" s="207"/>
      <c r="K891" s="207"/>
      <c r="L891" s="207"/>
      <c r="M891" s="207"/>
      <c r="N891" s="207"/>
      <c r="O891" s="207"/>
      <c r="P891" s="207"/>
      <c r="Q891" s="207"/>
      <c r="R891" s="207"/>
      <c r="S891" s="207"/>
      <c r="T891" s="207"/>
      <c r="U891" s="207"/>
      <c r="V891" s="207"/>
      <c r="W891" s="208"/>
      <c r="X891" s="208"/>
      <c r="Y891" s="208"/>
      <c r="Z891" s="208"/>
      <c r="AA891" s="208"/>
      <c r="AB891" s="208"/>
      <c r="AC891" s="208"/>
      <c r="AD891" s="208"/>
      <c r="AE891" s="208"/>
      <c r="AF891" s="208"/>
      <c r="AG891" s="208"/>
      <c r="AH891" s="208"/>
      <c r="AI891" s="100"/>
    </row>
    <row r="892" ht="14.25" customHeight="1">
      <c r="A892" s="195"/>
      <c r="B892" s="100"/>
      <c r="C892" s="100"/>
      <c r="D892" s="100"/>
      <c r="E892" s="100"/>
      <c r="F892" s="206"/>
      <c r="G892" s="206"/>
      <c r="H892" s="207"/>
      <c r="I892" s="207"/>
      <c r="J892" s="207"/>
      <c r="K892" s="207"/>
      <c r="L892" s="207"/>
      <c r="M892" s="207"/>
      <c r="N892" s="207"/>
      <c r="O892" s="207"/>
      <c r="P892" s="207"/>
      <c r="Q892" s="207"/>
      <c r="R892" s="207"/>
      <c r="S892" s="207"/>
      <c r="T892" s="207"/>
      <c r="U892" s="207"/>
      <c r="V892" s="207"/>
      <c r="W892" s="208"/>
      <c r="X892" s="208"/>
      <c r="Y892" s="208"/>
      <c r="Z892" s="208"/>
      <c r="AA892" s="208"/>
      <c r="AB892" s="208"/>
      <c r="AC892" s="208"/>
      <c r="AD892" s="208"/>
      <c r="AE892" s="208"/>
      <c r="AF892" s="208"/>
      <c r="AG892" s="208"/>
      <c r="AH892" s="208"/>
      <c r="AI892" s="100"/>
    </row>
    <row r="893" ht="14.25" customHeight="1">
      <c r="A893" s="195"/>
      <c r="B893" s="100"/>
      <c r="C893" s="100"/>
      <c r="D893" s="100"/>
      <c r="E893" s="100"/>
      <c r="F893" s="206"/>
      <c r="G893" s="206"/>
      <c r="H893" s="207"/>
      <c r="I893" s="207"/>
      <c r="J893" s="207"/>
      <c r="K893" s="207"/>
      <c r="L893" s="207"/>
      <c r="M893" s="207"/>
      <c r="N893" s="207"/>
      <c r="O893" s="207"/>
      <c r="P893" s="207"/>
      <c r="Q893" s="207"/>
      <c r="R893" s="207"/>
      <c r="S893" s="207"/>
      <c r="T893" s="207"/>
      <c r="U893" s="207"/>
      <c r="V893" s="207"/>
      <c r="W893" s="208"/>
      <c r="X893" s="208"/>
      <c r="Y893" s="208"/>
      <c r="Z893" s="208"/>
      <c r="AA893" s="208"/>
      <c r="AB893" s="208"/>
      <c r="AC893" s="208"/>
      <c r="AD893" s="208"/>
      <c r="AE893" s="208"/>
      <c r="AF893" s="208"/>
      <c r="AG893" s="208"/>
      <c r="AH893" s="208"/>
      <c r="AI893" s="100"/>
    </row>
    <row r="894" ht="14.25" customHeight="1">
      <c r="A894" s="195"/>
      <c r="B894" s="100"/>
      <c r="C894" s="100"/>
      <c r="D894" s="100"/>
      <c r="E894" s="100"/>
      <c r="F894" s="206"/>
      <c r="G894" s="206"/>
      <c r="H894" s="207"/>
      <c r="I894" s="207"/>
      <c r="J894" s="207"/>
      <c r="K894" s="207"/>
      <c r="L894" s="207"/>
      <c r="M894" s="207"/>
      <c r="N894" s="207"/>
      <c r="O894" s="207"/>
      <c r="P894" s="207"/>
      <c r="Q894" s="207"/>
      <c r="R894" s="207"/>
      <c r="S894" s="207"/>
      <c r="T894" s="207"/>
      <c r="U894" s="207"/>
      <c r="V894" s="207"/>
      <c r="W894" s="208"/>
      <c r="X894" s="208"/>
      <c r="Y894" s="208"/>
      <c r="Z894" s="208"/>
      <c r="AA894" s="208"/>
      <c r="AB894" s="208"/>
      <c r="AC894" s="208"/>
      <c r="AD894" s="208"/>
      <c r="AE894" s="208"/>
      <c r="AF894" s="208"/>
      <c r="AG894" s="208"/>
      <c r="AH894" s="208"/>
      <c r="AI894" s="100"/>
    </row>
    <row r="895" ht="14.25" customHeight="1">
      <c r="A895" s="195"/>
      <c r="B895" s="100"/>
      <c r="C895" s="100"/>
      <c r="D895" s="100"/>
      <c r="E895" s="100"/>
      <c r="F895" s="206"/>
      <c r="G895" s="206"/>
      <c r="H895" s="207"/>
      <c r="I895" s="207"/>
      <c r="J895" s="207"/>
      <c r="K895" s="207"/>
      <c r="L895" s="207"/>
      <c r="M895" s="207"/>
      <c r="N895" s="207"/>
      <c r="O895" s="207"/>
      <c r="P895" s="207"/>
      <c r="Q895" s="207"/>
      <c r="R895" s="207"/>
      <c r="S895" s="207"/>
      <c r="T895" s="207"/>
      <c r="U895" s="207"/>
      <c r="V895" s="207"/>
      <c r="W895" s="208"/>
      <c r="X895" s="208"/>
      <c r="Y895" s="208"/>
      <c r="Z895" s="208"/>
      <c r="AA895" s="208"/>
      <c r="AB895" s="208"/>
      <c r="AC895" s="208"/>
      <c r="AD895" s="208"/>
      <c r="AE895" s="208"/>
      <c r="AF895" s="208"/>
      <c r="AG895" s="208"/>
      <c r="AH895" s="208"/>
      <c r="AI895" s="100"/>
    </row>
    <row r="896" ht="14.25" customHeight="1">
      <c r="A896" s="195"/>
      <c r="B896" s="100"/>
      <c r="C896" s="100"/>
      <c r="D896" s="100"/>
      <c r="E896" s="100"/>
      <c r="F896" s="206"/>
      <c r="G896" s="206"/>
      <c r="H896" s="207"/>
      <c r="I896" s="207"/>
      <c r="J896" s="207"/>
      <c r="K896" s="207"/>
      <c r="L896" s="207"/>
      <c r="M896" s="207"/>
      <c r="N896" s="207"/>
      <c r="O896" s="207"/>
      <c r="P896" s="207"/>
      <c r="Q896" s="207"/>
      <c r="R896" s="207"/>
      <c r="S896" s="207"/>
      <c r="T896" s="207"/>
      <c r="U896" s="207"/>
      <c r="V896" s="207"/>
      <c r="W896" s="208"/>
      <c r="X896" s="208"/>
      <c r="Y896" s="208"/>
      <c r="Z896" s="208"/>
      <c r="AA896" s="208"/>
      <c r="AB896" s="208"/>
      <c r="AC896" s="208"/>
      <c r="AD896" s="208"/>
      <c r="AE896" s="208"/>
      <c r="AF896" s="208"/>
      <c r="AG896" s="208"/>
      <c r="AH896" s="208"/>
      <c r="AI896" s="100"/>
    </row>
    <row r="897" ht="14.25" customHeight="1">
      <c r="A897" s="195"/>
      <c r="B897" s="100"/>
      <c r="C897" s="100"/>
      <c r="D897" s="100"/>
      <c r="E897" s="100"/>
      <c r="F897" s="206"/>
      <c r="G897" s="206"/>
      <c r="H897" s="207"/>
      <c r="I897" s="207"/>
      <c r="J897" s="207"/>
      <c r="K897" s="207"/>
      <c r="L897" s="207"/>
      <c r="M897" s="207"/>
      <c r="N897" s="207"/>
      <c r="O897" s="207"/>
      <c r="P897" s="207"/>
      <c r="Q897" s="207"/>
      <c r="R897" s="207"/>
      <c r="S897" s="207"/>
      <c r="T897" s="207"/>
      <c r="U897" s="207"/>
      <c r="V897" s="207"/>
      <c r="W897" s="208"/>
      <c r="X897" s="208"/>
      <c r="Y897" s="208"/>
      <c r="Z897" s="208"/>
      <c r="AA897" s="208"/>
      <c r="AB897" s="208"/>
      <c r="AC897" s="208"/>
      <c r="AD897" s="208"/>
      <c r="AE897" s="208"/>
      <c r="AF897" s="208"/>
      <c r="AG897" s="208"/>
      <c r="AH897" s="208"/>
      <c r="AI897" s="100"/>
    </row>
    <row r="898" ht="14.25" customHeight="1">
      <c r="A898" s="195"/>
      <c r="B898" s="100"/>
      <c r="C898" s="100"/>
      <c r="D898" s="100"/>
      <c r="E898" s="100"/>
      <c r="F898" s="206"/>
      <c r="G898" s="206"/>
      <c r="H898" s="207"/>
      <c r="I898" s="207"/>
      <c r="J898" s="207"/>
      <c r="K898" s="207"/>
      <c r="L898" s="207"/>
      <c r="M898" s="207"/>
      <c r="N898" s="207"/>
      <c r="O898" s="207"/>
      <c r="P898" s="207"/>
      <c r="Q898" s="207"/>
      <c r="R898" s="207"/>
      <c r="S898" s="207"/>
      <c r="T898" s="207"/>
      <c r="U898" s="207"/>
      <c r="V898" s="207"/>
      <c r="W898" s="208"/>
      <c r="X898" s="208"/>
      <c r="Y898" s="208"/>
      <c r="Z898" s="208"/>
      <c r="AA898" s="208"/>
      <c r="AB898" s="208"/>
      <c r="AC898" s="208"/>
      <c r="AD898" s="208"/>
      <c r="AE898" s="208"/>
      <c r="AF898" s="208"/>
      <c r="AG898" s="208"/>
      <c r="AH898" s="208"/>
      <c r="AI898" s="100"/>
    </row>
    <row r="899" ht="14.25" customHeight="1">
      <c r="A899" s="195"/>
      <c r="B899" s="100"/>
      <c r="C899" s="100"/>
      <c r="D899" s="100"/>
      <c r="E899" s="100"/>
      <c r="F899" s="206"/>
      <c r="G899" s="206"/>
      <c r="H899" s="207"/>
      <c r="I899" s="207"/>
      <c r="J899" s="207"/>
      <c r="K899" s="207"/>
      <c r="L899" s="207"/>
      <c r="M899" s="207"/>
      <c r="N899" s="207"/>
      <c r="O899" s="207"/>
      <c r="P899" s="207"/>
      <c r="Q899" s="207"/>
      <c r="R899" s="207"/>
      <c r="S899" s="207"/>
      <c r="T899" s="207"/>
      <c r="U899" s="207"/>
      <c r="V899" s="207"/>
      <c r="W899" s="208"/>
      <c r="X899" s="208"/>
      <c r="Y899" s="208"/>
      <c r="Z899" s="208"/>
      <c r="AA899" s="208"/>
      <c r="AB899" s="208"/>
      <c r="AC899" s="208"/>
      <c r="AD899" s="208"/>
      <c r="AE899" s="208"/>
      <c r="AF899" s="208"/>
      <c r="AG899" s="208"/>
      <c r="AH899" s="208"/>
      <c r="AI899" s="100"/>
    </row>
    <row r="900" ht="14.25" customHeight="1">
      <c r="A900" s="195"/>
      <c r="B900" s="100"/>
      <c r="C900" s="100"/>
      <c r="D900" s="100"/>
      <c r="E900" s="100"/>
      <c r="F900" s="206"/>
      <c r="G900" s="206"/>
      <c r="H900" s="207"/>
      <c r="I900" s="207"/>
      <c r="J900" s="207"/>
      <c r="K900" s="207"/>
      <c r="L900" s="207"/>
      <c r="M900" s="207"/>
      <c r="N900" s="207"/>
      <c r="O900" s="207"/>
      <c r="P900" s="207"/>
      <c r="Q900" s="207"/>
      <c r="R900" s="207"/>
      <c r="S900" s="207"/>
      <c r="T900" s="207"/>
      <c r="U900" s="207"/>
      <c r="V900" s="207"/>
      <c r="W900" s="208"/>
      <c r="X900" s="208"/>
      <c r="Y900" s="208"/>
      <c r="Z900" s="208"/>
      <c r="AA900" s="208"/>
      <c r="AB900" s="208"/>
      <c r="AC900" s="208"/>
      <c r="AD900" s="208"/>
      <c r="AE900" s="208"/>
      <c r="AF900" s="208"/>
      <c r="AG900" s="208"/>
      <c r="AH900" s="208"/>
      <c r="AI900" s="100"/>
    </row>
    <row r="901" ht="14.25" customHeight="1">
      <c r="A901" s="195"/>
      <c r="B901" s="100"/>
      <c r="C901" s="100"/>
      <c r="D901" s="100"/>
      <c r="E901" s="100"/>
      <c r="F901" s="206"/>
      <c r="G901" s="206"/>
      <c r="H901" s="207"/>
      <c r="I901" s="207"/>
      <c r="J901" s="207"/>
      <c r="K901" s="207"/>
      <c r="L901" s="207"/>
      <c r="M901" s="207"/>
      <c r="N901" s="207"/>
      <c r="O901" s="207"/>
      <c r="P901" s="207"/>
      <c r="Q901" s="207"/>
      <c r="R901" s="207"/>
      <c r="S901" s="207"/>
      <c r="T901" s="207"/>
      <c r="U901" s="207"/>
      <c r="V901" s="207"/>
      <c r="W901" s="208"/>
      <c r="X901" s="208"/>
      <c r="Y901" s="208"/>
      <c r="Z901" s="208"/>
      <c r="AA901" s="208"/>
      <c r="AB901" s="208"/>
      <c r="AC901" s="208"/>
      <c r="AD901" s="208"/>
      <c r="AE901" s="208"/>
      <c r="AF901" s="208"/>
      <c r="AG901" s="208"/>
      <c r="AH901" s="208"/>
      <c r="AI901" s="100"/>
    </row>
    <row r="902" ht="14.25" customHeight="1">
      <c r="A902" s="195"/>
      <c r="B902" s="100"/>
      <c r="C902" s="100"/>
      <c r="D902" s="100"/>
      <c r="E902" s="100"/>
      <c r="F902" s="206"/>
      <c r="G902" s="206"/>
      <c r="H902" s="207"/>
      <c r="I902" s="207"/>
      <c r="J902" s="207"/>
      <c r="K902" s="207"/>
      <c r="L902" s="207"/>
      <c r="M902" s="207"/>
      <c r="N902" s="207"/>
      <c r="O902" s="207"/>
      <c r="P902" s="207"/>
      <c r="Q902" s="207"/>
      <c r="R902" s="207"/>
      <c r="S902" s="207"/>
      <c r="T902" s="207"/>
      <c r="U902" s="207"/>
      <c r="V902" s="207"/>
      <c r="W902" s="208"/>
      <c r="X902" s="208"/>
      <c r="Y902" s="208"/>
      <c r="Z902" s="208"/>
      <c r="AA902" s="208"/>
      <c r="AB902" s="208"/>
      <c r="AC902" s="208"/>
      <c r="AD902" s="208"/>
      <c r="AE902" s="208"/>
      <c r="AF902" s="208"/>
      <c r="AG902" s="208"/>
      <c r="AH902" s="208"/>
      <c r="AI902" s="100"/>
    </row>
    <row r="903" ht="14.25" customHeight="1">
      <c r="A903" s="195"/>
      <c r="B903" s="100"/>
      <c r="C903" s="100"/>
      <c r="D903" s="100"/>
      <c r="E903" s="100"/>
      <c r="F903" s="206"/>
      <c r="G903" s="206"/>
      <c r="H903" s="207"/>
      <c r="I903" s="207"/>
      <c r="J903" s="207"/>
      <c r="K903" s="207"/>
      <c r="L903" s="207"/>
      <c r="M903" s="207"/>
      <c r="N903" s="207"/>
      <c r="O903" s="207"/>
      <c r="P903" s="207"/>
      <c r="Q903" s="207"/>
      <c r="R903" s="207"/>
      <c r="S903" s="207"/>
      <c r="T903" s="207"/>
      <c r="U903" s="207"/>
      <c r="V903" s="207"/>
      <c r="W903" s="208"/>
      <c r="X903" s="208"/>
      <c r="Y903" s="208"/>
      <c r="Z903" s="208"/>
      <c r="AA903" s="208"/>
      <c r="AB903" s="208"/>
      <c r="AC903" s="208"/>
      <c r="AD903" s="208"/>
      <c r="AE903" s="208"/>
      <c r="AF903" s="208"/>
      <c r="AG903" s="208"/>
      <c r="AH903" s="208"/>
      <c r="AI903" s="100"/>
    </row>
    <row r="904" ht="14.25" customHeight="1">
      <c r="A904" s="195"/>
      <c r="B904" s="100"/>
      <c r="C904" s="100"/>
      <c r="D904" s="100"/>
      <c r="E904" s="100"/>
      <c r="F904" s="206"/>
      <c r="G904" s="206"/>
      <c r="H904" s="207"/>
      <c r="I904" s="207"/>
      <c r="J904" s="207"/>
      <c r="K904" s="207"/>
      <c r="L904" s="207"/>
      <c r="M904" s="207"/>
      <c r="N904" s="207"/>
      <c r="O904" s="207"/>
      <c r="P904" s="207"/>
      <c r="Q904" s="207"/>
      <c r="R904" s="207"/>
      <c r="S904" s="207"/>
      <c r="T904" s="207"/>
      <c r="U904" s="207"/>
      <c r="V904" s="207"/>
      <c r="W904" s="208"/>
      <c r="X904" s="208"/>
      <c r="Y904" s="208"/>
      <c r="Z904" s="208"/>
      <c r="AA904" s="208"/>
      <c r="AB904" s="208"/>
      <c r="AC904" s="208"/>
      <c r="AD904" s="208"/>
      <c r="AE904" s="208"/>
      <c r="AF904" s="208"/>
      <c r="AG904" s="208"/>
      <c r="AH904" s="208"/>
      <c r="AI904" s="100"/>
    </row>
    <row r="905" ht="14.25" customHeight="1">
      <c r="A905" s="195"/>
      <c r="B905" s="100"/>
      <c r="C905" s="100"/>
      <c r="D905" s="100"/>
      <c r="E905" s="100"/>
      <c r="F905" s="206"/>
      <c r="G905" s="206"/>
      <c r="H905" s="207"/>
      <c r="I905" s="207"/>
      <c r="J905" s="207"/>
      <c r="K905" s="207"/>
      <c r="L905" s="207"/>
      <c r="M905" s="207"/>
      <c r="N905" s="207"/>
      <c r="O905" s="207"/>
      <c r="P905" s="207"/>
      <c r="Q905" s="207"/>
      <c r="R905" s="207"/>
      <c r="S905" s="207"/>
      <c r="T905" s="207"/>
      <c r="U905" s="207"/>
      <c r="V905" s="207"/>
      <c r="W905" s="208"/>
      <c r="X905" s="208"/>
      <c r="Y905" s="208"/>
      <c r="Z905" s="208"/>
      <c r="AA905" s="208"/>
      <c r="AB905" s="208"/>
      <c r="AC905" s="208"/>
      <c r="AD905" s="208"/>
      <c r="AE905" s="208"/>
      <c r="AF905" s="208"/>
      <c r="AG905" s="208"/>
      <c r="AH905" s="208"/>
      <c r="AI905" s="100"/>
    </row>
    <row r="906" ht="14.25" customHeight="1">
      <c r="A906" s="195"/>
      <c r="B906" s="100"/>
      <c r="C906" s="100"/>
      <c r="D906" s="100"/>
      <c r="E906" s="100"/>
      <c r="F906" s="206"/>
      <c r="G906" s="206"/>
      <c r="H906" s="207"/>
      <c r="I906" s="207"/>
      <c r="J906" s="207"/>
      <c r="K906" s="207"/>
      <c r="L906" s="207"/>
      <c r="M906" s="207"/>
      <c r="N906" s="207"/>
      <c r="O906" s="207"/>
      <c r="P906" s="207"/>
      <c r="Q906" s="207"/>
      <c r="R906" s="207"/>
      <c r="S906" s="207"/>
      <c r="T906" s="207"/>
      <c r="U906" s="207"/>
      <c r="V906" s="207"/>
      <c r="W906" s="208"/>
      <c r="X906" s="208"/>
      <c r="Y906" s="208"/>
      <c r="Z906" s="208"/>
      <c r="AA906" s="208"/>
      <c r="AB906" s="208"/>
      <c r="AC906" s="208"/>
      <c r="AD906" s="208"/>
      <c r="AE906" s="208"/>
      <c r="AF906" s="208"/>
      <c r="AG906" s="208"/>
      <c r="AH906" s="208"/>
      <c r="AI906" s="100"/>
    </row>
    <row r="907" ht="14.25" customHeight="1">
      <c r="A907" s="195"/>
      <c r="B907" s="100"/>
      <c r="C907" s="100"/>
      <c r="D907" s="100"/>
      <c r="E907" s="100"/>
      <c r="F907" s="206"/>
      <c r="G907" s="206"/>
      <c r="H907" s="207"/>
      <c r="I907" s="207"/>
      <c r="J907" s="207"/>
      <c r="K907" s="207"/>
      <c r="L907" s="207"/>
      <c r="M907" s="207"/>
      <c r="N907" s="207"/>
      <c r="O907" s="207"/>
      <c r="P907" s="207"/>
      <c r="Q907" s="207"/>
      <c r="R907" s="207"/>
      <c r="S907" s="207"/>
      <c r="T907" s="207"/>
      <c r="U907" s="207"/>
      <c r="V907" s="207"/>
      <c r="W907" s="208"/>
      <c r="X907" s="208"/>
      <c r="Y907" s="208"/>
      <c r="Z907" s="208"/>
      <c r="AA907" s="208"/>
      <c r="AB907" s="208"/>
      <c r="AC907" s="208"/>
      <c r="AD907" s="208"/>
      <c r="AE907" s="208"/>
      <c r="AF907" s="208"/>
      <c r="AG907" s="208"/>
      <c r="AH907" s="208"/>
      <c r="AI907" s="100"/>
    </row>
    <row r="908" ht="14.25" customHeight="1">
      <c r="A908" s="195"/>
      <c r="B908" s="100"/>
      <c r="C908" s="100"/>
      <c r="D908" s="100"/>
      <c r="E908" s="100"/>
      <c r="F908" s="206"/>
      <c r="G908" s="206"/>
      <c r="H908" s="207"/>
      <c r="I908" s="207"/>
      <c r="J908" s="207"/>
      <c r="K908" s="207"/>
      <c r="L908" s="207"/>
      <c r="M908" s="207"/>
      <c r="N908" s="207"/>
      <c r="O908" s="207"/>
      <c r="P908" s="207"/>
      <c r="Q908" s="207"/>
      <c r="R908" s="207"/>
      <c r="S908" s="207"/>
      <c r="T908" s="207"/>
      <c r="U908" s="207"/>
      <c r="V908" s="207"/>
      <c r="W908" s="208"/>
      <c r="X908" s="208"/>
      <c r="Y908" s="208"/>
      <c r="Z908" s="208"/>
      <c r="AA908" s="208"/>
      <c r="AB908" s="208"/>
      <c r="AC908" s="208"/>
      <c r="AD908" s="208"/>
      <c r="AE908" s="208"/>
      <c r="AF908" s="208"/>
      <c r="AG908" s="208"/>
      <c r="AH908" s="208"/>
      <c r="AI908" s="100"/>
    </row>
    <row r="909" ht="14.25" customHeight="1">
      <c r="A909" s="195"/>
      <c r="B909" s="100"/>
      <c r="C909" s="100"/>
      <c r="D909" s="100"/>
      <c r="E909" s="100"/>
      <c r="F909" s="206"/>
      <c r="G909" s="206"/>
      <c r="H909" s="207"/>
      <c r="I909" s="207"/>
      <c r="J909" s="207"/>
      <c r="K909" s="207"/>
      <c r="L909" s="207"/>
      <c r="M909" s="207"/>
      <c r="N909" s="207"/>
      <c r="O909" s="207"/>
      <c r="P909" s="207"/>
      <c r="Q909" s="207"/>
      <c r="R909" s="207"/>
      <c r="S909" s="207"/>
      <c r="T909" s="207"/>
      <c r="U909" s="207"/>
      <c r="V909" s="207"/>
      <c r="W909" s="208"/>
      <c r="X909" s="208"/>
      <c r="Y909" s="208"/>
      <c r="Z909" s="208"/>
      <c r="AA909" s="208"/>
      <c r="AB909" s="208"/>
      <c r="AC909" s="208"/>
      <c r="AD909" s="208"/>
      <c r="AE909" s="208"/>
      <c r="AF909" s="208"/>
      <c r="AG909" s="208"/>
      <c r="AH909" s="208"/>
      <c r="AI909" s="100"/>
    </row>
    <row r="910" ht="14.25" customHeight="1">
      <c r="A910" s="195"/>
      <c r="B910" s="100"/>
      <c r="C910" s="100"/>
      <c r="D910" s="100"/>
      <c r="E910" s="100"/>
      <c r="F910" s="206"/>
      <c r="G910" s="206"/>
      <c r="H910" s="207"/>
      <c r="I910" s="207"/>
      <c r="J910" s="207"/>
      <c r="K910" s="207"/>
      <c r="L910" s="207"/>
      <c r="M910" s="207"/>
      <c r="N910" s="207"/>
      <c r="O910" s="207"/>
      <c r="P910" s="207"/>
      <c r="Q910" s="207"/>
      <c r="R910" s="207"/>
      <c r="S910" s="207"/>
      <c r="T910" s="207"/>
      <c r="U910" s="207"/>
      <c r="V910" s="207"/>
      <c r="W910" s="208"/>
      <c r="X910" s="208"/>
      <c r="Y910" s="208"/>
      <c r="Z910" s="208"/>
      <c r="AA910" s="208"/>
      <c r="AB910" s="208"/>
      <c r="AC910" s="208"/>
      <c r="AD910" s="208"/>
      <c r="AE910" s="208"/>
      <c r="AF910" s="208"/>
      <c r="AG910" s="208"/>
      <c r="AH910" s="208"/>
      <c r="AI910" s="100"/>
    </row>
    <row r="911" ht="14.25" customHeight="1">
      <c r="A911" s="195"/>
      <c r="B911" s="100"/>
      <c r="C911" s="100"/>
      <c r="D911" s="100"/>
      <c r="E911" s="100"/>
      <c r="F911" s="206"/>
      <c r="G911" s="206"/>
      <c r="H911" s="207"/>
      <c r="I911" s="207"/>
      <c r="J911" s="207"/>
      <c r="K911" s="207"/>
      <c r="L911" s="207"/>
      <c r="M911" s="207"/>
      <c r="N911" s="207"/>
      <c r="O911" s="207"/>
      <c r="P911" s="207"/>
      <c r="Q911" s="207"/>
      <c r="R911" s="207"/>
      <c r="S911" s="207"/>
      <c r="T911" s="207"/>
      <c r="U911" s="207"/>
      <c r="V911" s="207"/>
      <c r="W911" s="208"/>
      <c r="X911" s="208"/>
      <c r="Y911" s="208"/>
      <c r="Z911" s="208"/>
      <c r="AA911" s="208"/>
      <c r="AB911" s="208"/>
      <c r="AC911" s="208"/>
      <c r="AD911" s="208"/>
      <c r="AE911" s="208"/>
      <c r="AF911" s="208"/>
      <c r="AG911" s="208"/>
      <c r="AH911" s="208"/>
      <c r="AI911" s="100"/>
    </row>
    <row r="912" ht="14.25" customHeight="1">
      <c r="A912" s="195"/>
      <c r="B912" s="100"/>
      <c r="C912" s="100"/>
      <c r="D912" s="100"/>
      <c r="E912" s="100"/>
      <c r="F912" s="206"/>
      <c r="G912" s="206"/>
      <c r="H912" s="207"/>
      <c r="I912" s="207"/>
      <c r="J912" s="207"/>
      <c r="K912" s="207"/>
      <c r="L912" s="207"/>
      <c r="M912" s="207"/>
      <c r="N912" s="207"/>
      <c r="O912" s="207"/>
      <c r="P912" s="207"/>
      <c r="Q912" s="207"/>
      <c r="R912" s="207"/>
      <c r="S912" s="207"/>
      <c r="T912" s="207"/>
      <c r="U912" s="207"/>
      <c r="V912" s="207"/>
      <c r="W912" s="208"/>
      <c r="X912" s="208"/>
      <c r="Y912" s="208"/>
      <c r="Z912" s="208"/>
      <c r="AA912" s="208"/>
      <c r="AB912" s="208"/>
      <c r="AC912" s="208"/>
      <c r="AD912" s="208"/>
      <c r="AE912" s="208"/>
      <c r="AF912" s="208"/>
      <c r="AG912" s="208"/>
      <c r="AH912" s="208"/>
      <c r="AI912" s="100"/>
    </row>
    <row r="913" ht="14.25" customHeight="1">
      <c r="A913" s="195"/>
      <c r="B913" s="100"/>
      <c r="C913" s="100"/>
      <c r="D913" s="100"/>
      <c r="E913" s="100"/>
      <c r="F913" s="206"/>
      <c r="G913" s="206"/>
      <c r="H913" s="207"/>
      <c r="I913" s="207"/>
      <c r="J913" s="207"/>
      <c r="K913" s="207"/>
      <c r="L913" s="207"/>
      <c r="M913" s="207"/>
      <c r="N913" s="207"/>
      <c r="O913" s="207"/>
      <c r="P913" s="207"/>
      <c r="Q913" s="207"/>
      <c r="R913" s="207"/>
      <c r="S913" s="207"/>
      <c r="T913" s="207"/>
      <c r="U913" s="207"/>
      <c r="V913" s="207"/>
      <c r="W913" s="208"/>
      <c r="X913" s="208"/>
      <c r="Y913" s="208"/>
      <c r="Z913" s="208"/>
      <c r="AA913" s="208"/>
      <c r="AB913" s="208"/>
      <c r="AC913" s="208"/>
      <c r="AD913" s="208"/>
      <c r="AE913" s="208"/>
      <c r="AF913" s="208"/>
      <c r="AG913" s="208"/>
      <c r="AH913" s="208"/>
      <c r="AI913" s="100"/>
    </row>
    <row r="914" ht="14.25" customHeight="1">
      <c r="A914" s="195"/>
      <c r="B914" s="100"/>
      <c r="C914" s="100"/>
      <c r="D914" s="100"/>
      <c r="E914" s="100"/>
      <c r="F914" s="206"/>
      <c r="G914" s="206"/>
      <c r="H914" s="207"/>
      <c r="I914" s="207"/>
      <c r="J914" s="207"/>
      <c r="K914" s="207"/>
      <c r="L914" s="207"/>
      <c r="M914" s="207"/>
      <c r="N914" s="207"/>
      <c r="O914" s="207"/>
      <c r="P914" s="207"/>
      <c r="Q914" s="207"/>
      <c r="R914" s="207"/>
      <c r="S914" s="207"/>
      <c r="T914" s="207"/>
      <c r="U914" s="207"/>
      <c r="V914" s="207"/>
      <c r="W914" s="208"/>
      <c r="X914" s="208"/>
      <c r="Y914" s="208"/>
      <c r="Z914" s="208"/>
      <c r="AA914" s="208"/>
      <c r="AB914" s="208"/>
      <c r="AC914" s="208"/>
      <c r="AD914" s="208"/>
      <c r="AE914" s="208"/>
      <c r="AF914" s="208"/>
      <c r="AG914" s="208"/>
      <c r="AH914" s="208"/>
      <c r="AI914" s="100"/>
    </row>
    <row r="915" ht="14.25" customHeight="1">
      <c r="A915" s="195"/>
      <c r="B915" s="100"/>
      <c r="C915" s="100"/>
      <c r="D915" s="100"/>
      <c r="E915" s="100"/>
      <c r="F915" s="206"/>
      <c r="G915" s="206"/>
      <c r="H915" s="207"/>
      <c r="I915" s="207"/>
      <c r="J915" s="207"/>
      <c r="K915" s="207"/>
      <c r="L915" s="207"/>
      <c r="M915" s="207"/>
      <c r="N915" s="207"/>
      <c r="O915" s="207"/>
      <c r="P915" s="207"/>
      <c r="Q915" s="207"/>
      <c r="R915" s="207"/>
      <c r="S915" s="207"/>
      <c r="T915" s="207"/>
      <c r="U915" s="207"/>
      <c r="V915" s="207"/>
      <c r="W915" s="208"/>
      <c r="X915" s="208"/>
      <c r="Y915" s="208"/>
      <c r="Z915" s="208"/>
      <c r="AA915" s="208"/>
      <c r="AB915" s="208"/>
      <c r="AC915" s="208"/>
      <c r="AD915" s="208"/>
      <c r="AE915" s="208"/>
      <c r="AF915" s="208"/>
      <c r="AG915" s="208"/>
      <c r="AH915" s="208"/>
      <c r="AI915" s="100"/>
    </row>
    <row r="916" ht="14.25" customHeight="1">
      <c r="A916" s="195"/>
      <c r="B916" s="100"/>
      <c r="C916" s="100"/>
      <c r="D916" s="100"/>
      <c r="E916" s="100"/>
      <c r="F916" s="206"/>
      <c r="G916" s="206"/>
      <c r="H916" s="207"/>
      <c r="I916" s="207"/>
      <c r="J916" s="207"/>
      <c r="K916" s="207"/>
      <c r="L916" s="207"/>
      <c r="M916" s="207"/>
      <c r="N916" s="207"/>
      <c r="O916" s="207"/>
      <c r="P916" s="207"/>
      <c r="Q916" s="207"/>
      <c r="R916" s="207"/>
      <c r="S916" s="207"/>
      <c r="T916" s="207"/>
      <c r="U916" s="207"/>
      <c r="V916" s="207"/>
      <c r="W916" s="208"/>
      <c r="X916" s="208"/>
      <c r="Y916" s="208"/>
      <c r="Z916" s="208"/>
      <c r="AA916" s="208"/>
      <c r="AB916" s="208"/>
      <c r="AC916" s="208"/>
      <c r="AD916" s="208"/>
      <c r="AE916" s="208"/>
      <c r="AF916" s="208"/>
      <c r="AG916" s="208"/>
      <c r="AH916" s="208"/>
      <c r="AI916" s="100"/>
    </row>
    <row r="917" ht="14.25" customHeight="1">
      <c r="A917" s="195"/>
      <c r="B917" s="100"/>
      <c r="C917" s="100"/>
      <c r="D917" s="100"/>
      <c r="E917" s="100"/>
      <c r="F917" s="206"/>
      <c r="G917" s="206"/>
      <c r="H917" s="207"/>
      <c r="I917" s="207"/>
      <c r="J917" s="207"/>
      <c r="K917" s="207"/>
      <c r="L917" s="207"/>
      <c r="M917" s="207"/>
      <c r="N917" s="207"/>
      <c r="O917" s="207"/>
      <c r="P917" s="207"/>
      <c r="Q917" s="207"/>
      <c r="R917" s="207"/>
      <c r="S917" s="207"/>
      <c r="T917" s="207"/>
      <c r="U917" s="207"/>
      <c r="V917" s="207"/>
      <c r="W917" s="208"/>
      <c r="X917" s="208"/>
      <c r="Y917" s="208"/>
      <c r="Z917" s="208"/>
      <c r="AA917" s="208"/>
      <c r="AB917" s="208"/>
      <c r="AC917" s="208"/>
      <c r="AD917" s="208"/>
      <c r="AE917" s="208"/>
      <c r="AF917" s="208"/>
      <c r="AG917" s="208"/>
      <c r="AH917" s="208"/>
      <c r="AI917" s="100"/>
    </row>
    <row r="918" ht="14.25" customHeight="1">
      <c r="A918" s="195"/>
      <c r="B918" s="100"/>
      <c r="C918" s="100"/>
      <c r="D918" s="100"/>
      <c r="E918" s="100"/>
      <c r="F918" s="206"/>
      <c r="G918" s="206"/>
      <c r="H918" s="207"/>
      <c r="I918" s="207"/>
      <c r="J918" s="207"/>
      <c r="K918" s="207"/>
      <c r="L918" s="207"/>
      <c r="M918" s="207"/>
      <c r="N918" s="207"/>
      <c r="O918" s="207"/>
      <c r="P918" s="207"/>
      <c r="Q918" s="207"/>
      <c r="R918" s="207"/>
      <c r="S918" s="207"/>
      <c r="T918" s="207"/>
      <c r="U918" s="207"/>
      <c r="V918" s="207"/>
      <c r="W918" s="208"/>
      <c r="X918" s="208"/>
      <c r="Y918" s="208"/>
      <c r="Z918" s="208"/>
      <c r="AA918" s="208"/>
      <c r="AB918" s="208"/>
      <c r="AC918" s="208"/>
      <c r="AD918" s="208"/>
      <c r="AE918" s="208"/>
      <c r="AF918" s="208"/>
      <c r="AG918" s="208"/>
      <c r="AH918" s="208"/>
      <c r="AI918" s="100"/>
    </row>
    <row r="919" ht="14.25" customHeight="1">
      <c r="A919" s="195"/>
      <c r="B919" s="100"/>
      <c r="C919" s="100"/>
      <c r="D919" s="100"/>
      <c r="E919" s="100"/>
      <c r="F919" s="206"/>
      <c r="G919" s="206"/>
      <c r="H919" s="207"/>
      <c r="I919" s="207"/>
      <c r="J919" s="207"/>
      <c r="K919" s="207"/>
      <c r="L919" s="207"/>
      <c r="M919" s="207"/>
      <c r="N919" s="207"/>
      <c r="O919" s="207"/>
      <c r="P919" s="207"/>
      <c r="Q919" s="207"/>
      <c r="R919" s="207"/>
      <c r="S919" s="207"/>
      <c r="T919" s="207"/>
      <c r="U919" s="207"/>
      <c r="V919" s="207"/>
      <c r="W919" s="208"/>
      <c r="X919" s="208"/>
      <c r="Y919" s="208"/>
      <c r="Z919" s="208"/>
      <c r="AA919" s="208"/>
      <c r="AB919" s="208"/>
      <c r="AC919" s="208"/>
      <c r="AD919" s="208"/>
      <c r="AE919" s="208"/>
      <c r="AF919" s="208"/>
      <c r="AG919" s="208"/>
      <c r="AH919" s="208"/>
      <c r="AI919" s="100"/>
    </row>
    <row r="920" ht="14.25" customHeight="1">
      <c r="A920" s="195"/>
      <c r="B920" s="100"/>
      <c r="C920" s="100"/>
      <c r="D920" s="100"/>
      <c r="E920" s="100"/>
      <c r="F920" s="206"/>
      <c r="G920" s="206"/>
      <c r="H920" s="207"/>
      <c r="I920" s="207"/>
      <c r="J920" s="207"/>
      <c r="K920" s="207"/>
      <c r="L920" s="207"/>
      <c r="M920" s="207"/>
      <c r="N920" s="207"/>
      <c r="O920" s="207"/>
      <c r="P920" s="207"/>
      <c r="Q920" s="207"/>
      <c r="R920" s="207"/>
      <c r="S920" s="207"/>
      <c r="T920" s="207"/>
      <c r="U920" s="207"/>
      <c r="V920" s="207"/>
      <c r="W920" s="208"/>
      <c r="X920" s="208"/>
      <c r="Y920" s="208"/>
      <c r="Z920" s="208"/>
      <c r="AA920" s="208"/>
      <c r="AB920" s="208"/>
      <c r="AC920" s="208"/>
      <c r="AD920" s="208"/>
      <c r="AE920" s="208"/>
      <c r="AF920" s="208"/>
      <c r="AG920" s="208"/>
      <c r="AH920" s="208"/>
      <c r="AI920" s="100"/>
    </row>
    <row r="921" ht="14.25" customHeight="1">
      <c r="A921" s="195"/>
      <c r="B921" s="100"/>
      <c r="C921" s="100"/>
      <c r="D921" s="100"/>
      <c r="E921" s="100"/>
      <c r="F921" s="206"/>
      <c r="G921" s="206"/>
      <c r="H921" s="207"/>
      <c r="I921" s="207"/>
      <c r="J921" s="207"/>
      <c r="K921" s="207"/>
      <c r="L921" s="207"/>
      <c r="M921" s="207"/>
      <c r="N921" s="207"/>
      <c r="O921" s="207"/>
      <c r="P921" s="207"/>
      <c r="Q921" s="207"/>
      <c r="R921" s="207"/>
      <c r="S921" s="207"/>
      <c r="T921" s="207"/>
      <c r="U921" s="207"/>
      <c r="V921" s="207"/>
      <c r="W921" s="208"/>
      <c r="X921" s="208"/>
      <c r="Y921" s="208"/>
      <c r="Z921" s="208"/>
      <c r="AA921" s="208"/>
      <c r="AB921" s="208"/>
      <c r="AC921" s="208"/>
      <c r="AD921" s="208"/>
      <c r="AE921" s="208"/>
      <c r="AF921" s="208"/>
      <c r="AG921" s="208"/>
      <c r="AH921" s="208"/>
      <c r="AI921" s="100"/>
    </row>
    <row r="922" ht="14.25" customHeight="1">
      <c r="A922" s="195"/>
      <c r="B922" s="100"/>
      <c r="C922" s="100"/>
      <c r="D922" s="100"/>
      <c r="E922" s="100"/>
      <c r="F922" s="206"/>
      <c r="G922" s="206"/>
      <c r="H922" s="207"/>
      <c r="I922" s="207"/>
      <c r="J922" s="207"/>
      <c r="K922" s="207"/>
      <c r="L922" s="207"/>
      <c r="M922" s="207"/>
      <c r="N922" s="207"/>
      <c r="O922" s="207"/>
      <c r="P922" s="207"/>
      <c r="Q922" s="207"/>
      <c r="R922" s="207"/>
      <c r="S922" s="207"/>
      <c r="T922" s="207"/>
      <c r="U922" s="207"/>
      <c r="V922" s="207"/>
      <c r="W922" s="208"/>
      <c r="X922" s="208"/>
      <c r="Y922" s="208"/>
      <c r="Z922" s="208"/>
      <c r="AA922" s="208"/>
      <c r="AB922" s="208"/>
      <c r="AC922" s="208"/>
      <c r="AD922" s="208"/>
      <c r="AE922" s="208"/>
      <c r="AF922" s="208"/>
      <c r="AG922" s="208"/>
      <c r="AH922" s="208"/>
      <c r="AI922" s="100"/>
    </row>
    <row r="923" ht="14.25" customHeight="1">
      <c r="A923" s="195"/>
      <c r="B923" s="100"/>
      <c r="C923" s="100"/>
      <c r="D923" s="100"/>
      <c r="E923" s="100"/>
      <c r="F923" s="206"/>
      <c r="G923" s="206"/>
      <c r="H923" s="207"/>
      <c r="I923" s="207"/>
      <c r="J923" s="207"/>
      <c r="K923" s="207"/>
      <c r="L923" s="207"/>
      <c r="M923" s="207"/>
      <c r="N923" s="207"/>
      <c r="O923" s="207"/>
      <c r="P923" s="207"/>
      <c r="Q923" s="207"/>
      <c r="R923" s="207"/>
      <c r="S923" s="207"/>
      <c r="T923" s="207"/>
      <c r="U923" s="207"/>
      <c r="V923" s="207"/>
      <c r="W923" s="208"/>
      <c r="X923" s="208"/>
      <c r="Y923" s="208"/>
      <c r="Z923" s="208"/>
      <c r="AA923" s="208"/>
      <c r="AB923" s="208"/>
      <c r="AC923" s="208"/>
      <c r="AD923" s="208"/>
      <c r="AE923" s="208"/>
      <c r="AF923" s="208"/>
      <c r="AG923" s="208"/>
      <c r="AH923" s="208"/>
      <c r="AI923" s="100"/>
    </row>
    <row r="924" ht="14.25" customHeight="1">
      <c r="A924" s="195"/>
      <c r="B924" s="100"/>
      <c r="C924" s="100"/>
      <c r="D924" s="100"/>
      <c r="E924" s="100"/>
      <c r="F924" s="206"/>
      <c r="G924" s="206"/>
      <c r="H924" s="207"/>
      <c r="I924" s="207"/>
      <c r="J924" s="207"/>
      <c r="K924" s="207"/>
      <c r="L924" s="207"/>
      <c r="M924" s="207"/>
      <c r="N924" s="207"/>
      <c r="O924" s="207"/>
      <c r="P924" s="207"/>
      <c r="Q924" s="207"/>
      <c r="R924" s="207"/>
      <c r="S924" s="207"/>
      <c r="T924" s="207"/>
      <c r="U924" s="207"/>
      <c r="V924" s="207"/>
      <c r="W924" s="208"/>
      <c r="X924" s="208"/>
      <c r="Y924" s="208"/>
      <c r="Z924" s="208"/>
      <c r="AA924" s="208"/>
      <c r="AB924" s="208"/>
      <c r="AC924" s="208"/>
      <c r="AD924" s="208"/>
      <c r="AE924" s="208"/>
      <c r="AF924" s="208"/>
      <c r="AG924" s="208"/>
      <c r="AH924" s="208"/>
      <c r="AI924" s="100"/>
    </row>
    <row r="925" ht="14.25" customHeight="1">
      <c r="A925" s="195"/>
      <c r="B925" s="100"/>
      <c r="C925" s="100"/>
      <c r="D925" s="100"/>
      <c r="E925" s="100"/>
      <c r="F925" s="206"/>
      <c r="G925" s="206"/>
      <c r="H925" s="207"/>
      <c r="I925" s="207"/>
      <c r="J925" s="207"/>
      <c r="K925" s="207"/>
      <c r="L925" s="207"/>
      <c r="M925" s="207"/>
      <c r="N925" s="207"/>
      <c r="O925" s="207"/>
      <c r="P925" s="207"/>
      <c r="Q925" s="207"/>
      <c r="R925" s="207"/>
      <c r="S925" s="207"/>
      <c r="T925" s="207"/>
      <c r="U925" s="207"/>
      <c r="V925" s="207"/>
      <c r="W925" s="208"/>
      <c r="X925" s="208"/>
      <c r="Y925" s="208"/>
      <c r="Z925" s="208"/>
      <c r="AA925" s="208"/>
      <c r="AB925" s="208"/>
      <c r="AC925" s="208"/>
      <c r="AD925" s="208"/>
      <c r="AE925" s="208"/>
      <c r="AF925" s="208"/>
      <c r="AG925" s="208"/>
      <c r="AH925" s="208"/>
      <c r="AI925" s="100"/>
    </row>
    <row r="926" ht="14.25" customHeight="1">
      <c r="A926" s="195"/>
      <c r="B926" s="100"/>
      <c r="C926" s="100"/>
      <c r="D926" s="100"/>
      <c r="E926" s="100"/>
      <c r="F926" s="206"/>
      <c r="G926" s="206"/>
      <c r="H926" s="207"/>
      <c r="I926" s="207"/>
      <c r="J926" s="207"/>
      <c r="K926" s="207"/>
      <c r="L926" s="207"/>
      <c r="M926" s="207"/>
      <c r="N926" s="207"/>
      <c r="O926" s="207"/>
      <c r="P926" s="207"/>
      <c r="Q926" s="207"/>
      <c r="R926" s="207"/>
      <c r="S926" s="207"/>
      <c r="T926" s="207"/>
      <c r="U926" s="207"/>
      <c r="V926" s="207"/>
      <c r="W926" s="208"/>
      <c r="X926" s="208"/>
      <c r="Y926" s="208"/>
      <c r="Z926" s="208"/>
      <c r="AA926" s="208"/>
      <c r="AB926" s="208"/>
      <c r="AC926" s="208"/>
      <c r="AD926" s="208"/>
      <c r="AE926" s="208"/>
      <c r="AF926" s="208"/>
      <c r="AG926" s="208"/>
      <c r="AH926" s="208"/>
      <c r="AI926" s="100"/>
    </row>
    <row r="927" ht="14.25" customHeight="1">
      <c r="A927" s="195"/>
      <c r="B927" s="100"/>
      <c r="C927" s="100"/>
      <c r="D927" s="100"/>
      <c r="E927" s="100"/>
      <c r="F927" s="206"/>
      <c r="G927" s="206"/>
      <c r="H927" s="207"/>
      <c r="I927" s="207"/>
      <c r="J927" s="207"/>
      <c r="K927" s="207"/>
      <c r="L927" s="207"/>
      <c r="M927" s="207"/>
      <c r="N927" s="207"/>
      <c r="O927" s="207"/>
      <c r="P927" s="207"/>
      <c r="Q927" s="207"/>
      <c r="R927" s="207"/>
      <c r="S927" s="207"/>
      <c r="T927" s="207"/>
      <c r="U927" s="207"/>
      <c r="V927" s="207"/>
      <c r="W927" s="208"/>
      <c r="X927" s="208"/>
      <c r="Y927" s="208"/>
      <c r="Z927" s="208"/>
      <c r="AA927" s="208"/>
      <c r="AB927" s="208"/>
      <c r="AC927" s="208"/>
      <c r="AD927" s="208"/>
      <c r="AE927" s="208"/>
      <c r="AF927" s="208"/>
      <c r="AG927" s="208"/>
      <c r="AH927" s="208"/>
      <c r="AI927" s="100"/>
    </row>
    <row r="928" ht="14.25" customHeight="1">
      <c r="A928" s="195"/>
      <c r="B928" s="100"/>
      <c r="C928" s="100"/>
      <c r="D928" s="100"/>
      <c r="E928" s="100"/>
      <c r="F928" s="206"/>
      <c r="G928" s="206"/>
      <c r="H928" s="207"/>
      <c r="I928" s="207"/>
      <c r="J928" s="207"/>
      <c r="K928" s="207"/>
      <c r="L928" s="207"/>
      <c r="M928" s="207"/>
      <c r="N928" s="207"/>
      <c r="O928" s="207"/>
      <c r="P928" s="207"/>
      <c r="Q928" s="207"/>
      <c r="R928" s="207"/>
      <c r="S928" s="207"/>
      <c r="T928" s="207"/>
      <c r="U928" s="207"/>
      <c r="V928" s="207"/>
      <c r="W928" s="208"/>
      <c r="X928" s="208"/>
      <c r="Y928" s="208"/>
      <c r="Z928" s="208"/>
      <c r="AA928" s="208"/>
      <c r="AB928" s="208"/>
      <c r="AC928" s="208"/>
      <c r="AD928" s="208"/>
      <c r="AE928" s="208"/>
      <c r="AF928" s="208"/>
      <c r="AG928" s="208"/>
      <c r="AH928" s="208"/>
      <c r="AI928" s="100"/>
    </row>
    <row r="929" ht="14.25" customHeight="1">
      <c r="A929" s="195"/>
      <c r="B929" s="100"/>
      <c r="C929" s="100"/>
      <c r="D929" s="100"/>
      <c r="E929" s="100"/>
      <c r="F929" s="206"/>
      <c r="G929" s="206"/>
      <c r="H929" s="207"/>
      <c r="I929" s="207"/>
      <c r="J929" s="207"/>
      <c r="K929" s="207"/>
      <c r="L929" s="207"/>
      <c r="M929" s="207"/>
      <c r="N929" s="207"/>
      <c r="O929" s="207"/>
      <c r="P929" s="207"/>
      <c r="Q929" s="207"/>
      <c r="R929" s="207"/>
      <c r="S929" s="207"/>
      <c r="T929" s="207"/>
      <c r="U929" s="207"/>
      <c r="V929" s="207"/>
      <c r="W929" s="208"/>
      <c r="X929" s="208"/>
      <c r="Y929" s="208"/>
      <c r="Z929" s="208"/>
      <c r="AA929" s="208"/>
      <c r="AB929" s="208"/>
      <c r="AC929" s="208"/>
      <c r="AD929" s="208"/>
      <c r="AE929" s="208"/>
      <c r="AF929" s="208"/>
      <c r="AG929" s="208"/>
      <c r="AH929" s="208"/>
      <c r="AI929" s="100"/>
    </row>
    <row r="930" ht="14.25" customHeight="1">
      <c r="A930" s="195"/>
      <c r="B930" s="100"/>
      <c r="C930" s="100"/>
      <c r="D930" s="100"/>
      <c r="E930" s="100"/>
      <c r="F930" s="206"/>
      <c r="G930" s="206"/>
      <c r="H930" s="207"/>
      <c r="I930" s="207"/>
      <c r="J930" s="207"/>
      <c r="K930" s="207"/>
      <c r="L930" s="207"/>
      <c r="M930" s="207"/>
      <c r="N930" s="207"/>
      <c r="O930" s="207"/>
      <c r="P930" s="207"/>
      <c r="Q930" s="207"/>
      <c r="R930" s="207"/>
      <c r="S930" s="207"/>
      <c r="T930" s="207"/>
      <c r="U930" s="207"/>
      <c r="V930" s="207"/>
      <c r="W930" s="208"/>
      <c r="X930" s="208"/>
      <c r="Y930" s="208"/>
      <c r="Z930" s="208"/>
      <c r="AA930" s="208"/>
      <c r="AB930" s="208"/>
      <c r="AC930" s="208"/>
      <c r="AD930" s="208"/>
      <c r="AE930" s="208"/>
      <c r="AF930" s="208"/>
      <c r="AG930" s="208"/>
      <c r="AH930" s="208"/>
      <c r="AI930" s="100"/>
    </row>
    <row r="931" ht="14.25" customHeight="1">
      <c r="A931" s="195"/>
      <c r="B931" s="100"/>
      <c r="C931" s="100"/>
      <c r="D931" s="100"/>
      <c r="E931" s="100"/>
      <c r="F931" s="206"/>
      <c r="G931" s="206"/>
      <c r="H931" s="207"/>
      <c r="I931" s="207"/>
      <c r="J931" s="207"/>
      <c r="K931" s="207"/>
      <c r="L931" s="207"/>
      <c r="M931" s="207"/>
      <c r="N931" s="207"/>
      <c r="O931" s="207"/>
      <c r="P931" s="207"/>
      <c r="Q931" s="207"/>
      <c r="R931" s="207"/>
      <c r="S931" s="207"/>
      <c r="T931" s="207"/>
      <c r="U931" s="207"/>
      <c r="V931" s="207"/>
      <c r="W931" s="208"/>
      <c r="X931" s="208"/>
      <c r="Y931" s="208"/>
      <c r="Z931" s="208"/>
      <c r="AA931" s="208"/>
      <c r="AB931" s="208"/>
      <c r="AC931" s="208"/>
      <c r="AD931" s="208"/>
      <c r="AE931" s="208"/>
      <c r="AF931" s="208"/>
      <c r="AG931" s="208"/>
      <c r="AH931" s="208"/>
      <c r="AI931" s="100"/>
    </row>
    <row r="932" ht="14.25" customHeight="1">
      <c r="A932" s="195"/>
      <c r="B932" s="100"/>
      <c r="C932" s="100"/>
      <c r="D932" s="100"/>
      <c r="E932" s="100"/>
      <c r="F932" s="206"/>
      <c r="G932" s="206"/>
      <c r="H932" s="207"/>
      <c r="I932" s="207"/>
      <c r="J932" s="207"/>
      <c r="K932" s="207"/>
      <c r="L932" s="207"/>
      <c r="M932" s="207"/>
      <c r="N932" s="207"/>
      <c r="O932" s="207"/>
      <c r="P932" s="207"/>
      <c r="Q932" s="207"/>
      <c r="R932" s="207"/>
      <c r="S932" s="207"/>
      <c r="T932" s="207"/>
      <c r="U932" s="207"/>
      <c r="V932" s="207"/>
      <c r="W932" s="208"/>
      <c r="X932" s="208"/>
      <c r="Y932" s="208"/>
      <c r="Z932" s="208"/>
      <c r="AA932" s="208"/>
      <c r="AB932" s="208"/>
      <c r="AC932" s="208"/>
      <c r="AD932" s="208"/>
      <c r="AE932" s="208"/>
      <c r="AF932" s="208"/>
      <c r="AG932" s="208"/>
      <c r="AH932" s="208"/>
      <c r="AI932" s="100"/>
    </row>
    <row r="933" ht="14.25" customHeight="1">
      <c r="A933" s="195"/>
      <c r="B933" s="100"/>
      <c r="C933" s="100"/>
      <c r="D933" s="100"/>
      <c r="E933" s="100"/>
      <c r="F933" s="206"/>
      <c r="G933" s="206"/>
      <c r="H933" s="207"/>
      <c r="I933" s="207"/>
      <c r="J933" s="207"/>
      <c r="K933" s="207"/>
      <c r="L933" s="207"/>
      <c r="M933" s="207"/>
      <c r="N933" s="207"/>
      <c r="O933" s="207"/>
      <c r="P933" s="207"/>
      <c r="Q933" s="207"/>
      <c r="R933" s="207"/>
      <c r="S933" s="207"/>
      <c r="T933" s="207"/>
      <c r="U933" s="207"/>
      <c r="V933" s="207"/>
      <c r="W933" s="208"/>
      <c r="X933" s="208"/>
      <c r="Y933" s="208"/>
      <c r="Z933" s="208"/>
      <c r="AA933" s="208"/>
      <c r="AB933" s="208"/>
      <c r="AC933" s="208"/>
      <c r="AD933" s="208"/>
      <c r="AE933" s="208"/>
      <c r="AF933" s="208"/>
      <c r="AG933" s="208"/>
      <c r="AH933" s="208"/>
      <c r="AI933" s="100"/>
    </row>
    <row r="934" ht="14.25" customHeight="1">
      <c r="A934" s="195"/>
      <c r="B934" s="100"/>
      <c r="C934" s="100"/>
      <c r="D934" s="100"/>
      <c r="E934" s="100"/>
      <c r="F934" s="206"/>
      <c r="G934" s="206"/>
      <c r="H934" s="207"/>
      <c r="I934" s="207"/>
      <c r="J934" s="207"/>
      <c r="K934" s="207"/>
      <c r="L934" s="207"/>
      <c r="M934" s="207"/>
      <c r="N934" s="207"/>
      <c r="O934" s="207"/>
      <c r="P934" s="207"/>
      <c r="Q934" s="207"/>
      <c r="R934" s="207"/>
      <c r="S934" s="207"/>
      <c r="T934" s="207"/>
      <c r="U934" s="207"/>
      <c r="V934" s="207"/>
      <c r="W934" s="208"/>
      <c r="X934" s="208"/>
      <c r="Y934" s="208"/>
      <c r="Z934" s="208"/>
      <c r="AA934" s="208"/>
      <c r="AB934" s="208"/>
      <c r="AC934" s="208"/>
      <c r="AD934" s="208"/>
      <c r="AE934" s="208"/>
      <c r="AF934" s="208"/>
      <c r="AG934" s="208"/>
      <c r="AH934" s="208"/>
      <c r="AI934" s="100"/>
    </row>
    <row r="935" ht="14.25" customHeight="1">
      <c r="A935" s="195"/>
      <c r="B935" s="100"/>
      <c r="C935" s="100"/>
      <c r="D935" s="100"/>
      <c r="E935" s="100"/>
      <c r="F935" s="206"/>
      <c r="G935" s="206"/>
      <c r="H935" s="207"/>
      <c r="I935" s="207"/>
      <c r="J935" s="207"/>
      <c r="K935" s="207"/>
      <c r="L935" s="207"/>
      <c r="M935" s="207"/>
      <c r="N935" s="207"/>
      <c r="O935" s="207"/>
      <c r="P935" s="207"/>
      <c r="Q935" s="207"/>
      <c r="R935" s="207"/>
      <c r="S935" s="207"/>
      <c r="T935" s="207"/>
      <c r="U935" s="207"/>
      <c r="V935" s="207"/>
      <c r="W935" s="208"/>
      <c r="X935" s="208"/>
      <c r="Y935" s="208"/>
      <c r="Z935" s="208"/>
      <c r="AA935" s="208"/>
      <c r="AB935" s="208"/>
      <c r="AC935" s="208"/>
      <c r="AD935" s="208"/>
      <c r="AE935" s="208"/>
      <c r="AF935" s="208"/>
      <c r="AG935" s="208"/>
      <c r="AH935" s="208"/>
      <c r="AI935" s="100"/>
    </row>
    <row r="936" ht="14.25" customHeight="1">
      <c r="A936" s="195"/>
      <c r="B936" s="100"/>
      <c r="C936" s="100"/>
      <c r="D936" s="100"/>
      <c r="E936" s="100"/>
      <c r="F936" s="206"/>
      <c r="G936" s="206"/>
      <c r="H936" s="207"/>
      <c r="I936" s="207"/>
      <c r="J936" s="207"/>
      <c r="K936" s="207"/>
      <c r="L936" s="207"/>
      <c r="M936" s="207"/>
      <c r="N936" s="207"/>
      <c r="O936" s="207"/>
      <c r="P936" s="207"/>
      <c r="Q936" s="207"/>
      <c r="R936" s="207"/>
      <c r="S936" s="207"/>
      <c r="T936" s="207"/>
      <c r="U936" s="207"/>
      <c r="V936" s="207"/>
      <c r="W936" s="208"/>
      <c r="X936" s="208"/>
      <c r="Y936" s="208"/>
      <c r="Z936" s="208"/>
      <c r="AA936" s="208"/>
      <c r="AB936" s="208"/>
      <c r="AC936" s="208"/>
      <c r="AD936" s="208"/>
      <c r="AE936" s="208"/>
      <c r="AF936" s="208"/>
      <c r="AG936" s="208"/>
      <c r="AH936" s="208"/>
      <c r="AI936" s="100"/>
    </row>
    <row r="937" ht="14.25" customHeight="1">
      <c r="A937" s="195"/>
      <c r="B937" s="100"/>
      <c r="C937" s="100"/>
      <c r="D937" s="100"/>
      <c r="E937" s="100"/>
      <c r="F937" s="206"/>
      <c r="G937" s="206"/>
      <c r="H937" s="207"/>
      <c r="I937" s="207"/>
      <c r="J937" s="207"/>
      <c r="K937" s="207"/>
      <c r="L937" s="207"/>
      <c r="M937" s="207"/>
      <c r="N937" s="207"/>
      <c r="O937" s="207"/>
      <c r="P937" s="207"/>
      <c r="Q937" s="207"/>
      <c r="R937" s="207"/>
      <c r="S937" s="207"/>
      <c r="T937" s="207"/>
      <c r="U937" s="207"/>
      <c r="V937" s="207"/>
      <c r="W937" s="208"/>
      <c r="X937" s="208"/>
      <c r="Y937" s="208"/>
      <c r="Z937" s="208"/>
      <c r="AA937" s="208"/>
      <c r="AB937" s="208"/>
      <c r="AC937" s="208"/>
      <c r="AD937" s="208"/>
      <c r="AE937" s="208"/>
      <c r="AF937" s="208"/>
      <c r="AG937" s="208"/>
      <c r="AH937" s="208"/>
      <c r="AI937" s="100"/>
    </row>
    <row r="938" ht="14.25" customHeight="1">
      <c r="A938" s="195"/>
      <c r="B938" s="100"/>
      <c r="C938" s="100"/>
      <c r="D938" s="100"/>
      <c r="E938" s="100"/>
      <c r="F938" s="206"/>
      <c r="G938" s="206"/>
      <c r="H938" s="207"/>
      <c r="I938" s="207"/>
      <c r="J938" s="207"/>
      <c r="K938" s="207"/>
      <c r="L938" s="207"/>
      <c r="M938" s="207"/>
      <c r="N938" s="207"/>
      <c r="O938" s="207"/>
      <c r="P938" s="207"/>
      <c r="Q938" s="207"/>
      <c r="R938" s="207"/>
      <c r="S938" s="207"/>
      <c r="T938" s="207"/>
      <c r="U938" s="207"/>
      <c r="V938" s="207"/>
      <c r="W938" s="208"/>
      <c r="X938" s="208"/>
      <c r="Y938" s="208"/>
      <c r="Z938" s="208"/>
      <c r="AA938" s="208"/>
      <c r="AB938" s="208"/>
      <c r="AC938" s="208"/>
      <c r="AD938" s="208"/>
      <c r="AE938" s="208"/>
      <c r="AF938" s="208"/>
      <c r="AG938" s="208"/>
      <c r="AH938" s="208"/>
      <c r="AI938" s="100"/>
    </row>
    <row r="939" ht="14.25" customHeight="1">
      <c r="A939" s="195"/>
      <c r="B939" s="100"/>
      <c r="C939" s="100"/>
      <c r="D939" s="100"/>
      <c r="E939" s="100"/>
      <c r="F939" s="206"/>
      <c r="G939" s="206"/>
      <c r="H939" s="207"/>
      <c r="I939" s="207"/>
      <c r="J939" s="207"/>
      <c r="K939" s="207"/>
      <c r="L939" s="207"/>
      <c r="M939" s="207"/>
      <c r="N939" s="207"/>
      <c r="O939" s="207"/>
      <c r="P939" s="207"/>
      <c r="Q939" s="207"/>
      <c r="R939" s="207"/>
      <c r="S939" s="207"/>
      <c r="T939" s="207"/>
      <c r="U939" s="207"/>
      <c r="V939" s="207"/>
      <c r="W939" s="208"/>
      <c r="X939" s="208"/>
      <c r="Y939" s="208"/>
      <c r="Z939" s="208"/>
      <c r="AA939" s="208"/>
      <c r="AB939" s="208"/>
      <c r="AC939" s="208"/>
      <c r="AD939" s="208"/>
      <c r="AE939" s="208"/>
      <c r="AF939" s="208"/>
      <c r="AG939" s="208"/>
      <c r="AH939" s="208"/>
      <c r="AI939" s="100"/>
    </row>
    <row r="940" ht="14.25" customHeight="1">
      <c r="A940" s="195"/>
      <c r="B940" s="100"/>
      <c r="C940" s="100"/>
      <c r="D940" s="100"/>
      <c r="E940" s="100"/>
      <c r="F940" s="206"/>
      <c r="G940" s="206"/>
      <c r="H940" s="207"/>
      <c r="I940" s="207"/>
      <c r="J940" s="207"/>
      <c r="K940" s="207"/>
      <c r="L940" s="207"/>
      <c r="M940" s="207"/>
      <c r="N940" s="207"/>
      <c r="O940" s="207"/>
      <c r="P940" s="207"/>
      <c r="Q940" s="207"/>
      <c r="R940" s="207"/>
      <c r="S940" s="207"/>
      <c r="T940" s="207"/>
      <c r="U940" s="207"/>
      <c r="V940" s="207"/>
      <c r="W940" s="208"/>
      <c r="X940" s="208"/>
      <c r="Y940" s="208"/>
      <c r="Z940" s="208"/>
      <c r="AA940" s="208"/>
      <c r="AB940" s="208"/>
      <c r="AC940" s="208"/>
      <c r="AD940" s="208"/>
      <c r="AE940" s="208"/>
      <c r="AF940" s="208"/>
      <c r="AG940" s="208"/>
      <c r="AH940" s="208"/>
      <c r="AI940" s="100"/>
    </row>
    <row r="941" ht="14.25" customHeight="1">
      <c r="A941" s="195"/>
      <c r="B941" s="100"/>
      <c r="C941" s="100"/>
      <c r="D941" s="100"/>
      <c r="E941" s="100"/>
      <c r="F941" s="206"/>
      <c r="G941" s="206"/>
      <c r="H941" s="207"/>
      <c r="I941" s="207"/>
      <c r="J941" s="207"/>
      <c r="K941" s="207"/>
      <c r="L941" s="207"/>
      <c r="M941" s="207"/>
      <c r="N941" s="207"/>
      <c r="O941" s="207"/>
      <c r="P941" s="207"/>
      <c r="Q941" s="207"/>
      <c r="R941" s="207"/>
      <c r="S941" s="207"/>
      <c r="T941" s="207"/>
      <c r="U941" s="207"/>
      <c r="V941" s="207"/>
      <c r="W941" s="208"/>
      <c r="X941" s="208"/>
      <c r="Y941" s="208"/>
      <c r="Z941" s="208"/>
      <c r="AA941" s="208"/>
      <c r="AB941" s="208"/>
      <c r="AC941" s="208"/>
      <c r="AD941" s="208"/>
      <c r="AE941" s="208"/>
      <c r="AF941" s="208"/>
      <c r="AG941" s="208"/>
      <c r="AH941" s="208"/>
      <c r="AI941" s="100"/>
    </row>
    <row r="942" ht="14.25" customHeight="1">
      <c r="A942" s="195"/>
      <c r="B942" s="100"/>
      <c r="C942" s="100"/>
      <c r="D942" s="100"/>
      <c r="E942" s="100"/>
      <c r="F942" s="206"/>
      <c r="G942" s="206"/>
      <c r="H942" s="207"/>
      <c r="I942" s="207"/>
      <c r="J942" s="207"/>
      <c r="K942" s="207"/>
      <c r="L942" s="207"/>
      <c r="M942" s="207"/>
      <c r="N942" s="207"/>
      <c r="O942" s="207"/>
      <c r="P942" s="207"/>
      <c r="Q942" s="207"/>
      <c r="R942" s="207"/>
      <c r="S942" s="207"/>
      <c r="T942" s="207"/>
      <c r="U942" s="207"/>
      <c r="V942" s="207"/>
      <c r="W942" s="208"/>
      <c r="X942" s="208"/>
      <c r="Y942" s="208"/>
      <c r="Z942" s="208"/>
      <c r="AA942" s="208"/>
      <c r="AB942" s="208"/>
      <c r="AC942" s="208"/>
      <c r="AD942" s="208"/>
      <c r="AE942" s="208"/>
      <c r="AF942" s="208"/>
      <c r="AG942" s="208"/>
      <c r="AH942" s="208"/>
      <c r="AI942" s="100"/>
    </row>
    <row r="943" ht="14.25" customHeight="1">
      <c r="A943" s="195"/>
      <c r="B943" s="100"/>
      <c r="C943" s="100"/>
      <c r="D943" s="100"/>
      <c r="E943" s="100"/>
      <c r="F943" s="206"/>
      <c r="G943" s="206"/>
      <c r="H943" s="207"/>
      <c r="I943" s="207"/>
      <c r="J943" s="207"/>
      <c r="K943" s="207"/>
      <c r="L943" s="207"/>
      <c r="M943" s="207"/>
      <c r="N943" s="207"/>
      <c r="O943" s="207"/>
      <c r="P943" s="207"/>
      <c r="Q943" s="207"/>
      <c r="R943" s="207"/>
      <c r="S943" s="207"/>
      <c r="T943" s="207"/>
      <c r="U943" s="207"/>
      <c r="V943" s="207"/>
      <c r="W943" s="208"/>
      <c r="X943" s="208"/>
      <c r="Y943" s="208"/>
      <c r="Z943" s="208"/>
      <c r="AA943" s="208"/>
      <c r="AB943" s="208"/>
      <c r="AC943" s="208"/>
      <c r="AD943" s="208"/>
      <c r="AE943" s="208"/>
      <c r="AF943" s="208"/>
      <c r="AG943" s="208"/>
      <c r="AH943" s="208"/>
      <c r="AI943" s="100"/>
    </row>
    <row r="944" ht="14.25" customHeight="1">
      <c r="A944" s="195"/>
      <c r="B944" s="100"/>
      <c r="C944" s="100"/>
      <c r="D944" s="100"/>
      <c r="E944" s="100"/>
      <c r="F944" s="206"/>
      <c r="G944" s="206"/>
      <c r="H944" s="207"/>
      <c r="I944" s="207"/>
      <c r="J944" s="207"/>
      <c r="K944" s="207"/>
      <c r="L944" s="207"/>
      <c r="M944" s="207"/>
      <c r="N944" s="207"/>
      <c r="O944" s="207"/>
      <c r="P944" s="207"/>
      <c r="Q944" s="207"/>
      <c r="R944" s="207"/>
      <c r="S944" s="207"/>
      <c r="T944" s="207"/>
      <c r="U944" s="207"/>
      <c r="V944" s="207"/>
      <c r="W944" s="208"/>
      <c r="X944" s="208"/>
      <c r="Y944" s="208"/>
      <c r="Z944" s="208"/>
      <c r="AA944" s="208"/>
      <c r="AB944" s="208"/>
      <c r="AC944" s="208"/>
      <c r="AD944" s="208"/>
      <c r="AE944" s="208"/>
      <c r="AF944" s="208"/>
      <c r="AG944" s="208"/>
      <c r="AH944" s="208"/>
      <c r="AI944" s="100"/>
    </row>
    <row r="945" ht="14.25" customHeight="1">
      <c r="A945" s="195"/>
      <c r="B945" s="100"/>
      <c r="C945" s="100"/>
      <c r="D945" s="100"/>
      <c r="E945" s="100"/>
      <c r="F945" s="206"/>
      <c r="G945" s="206"/>
      <c r="H945" s="207"/>
      <c r="I945" s="207"/>
      <c r="J945" s="207"/>
      <c r="K945" s="207"/>
      <c r="L945" s="207"/>
      <c r="M945" s="207"/>
      <c r="N945" s="207"/>
      <c r="O945" s="207"/>
      <c r="P945" s="207"/>
      <c r="Q945" s="207"/>
      <c r="R945" s="207"/>
      <c r="S945" s="207"/>
      <c r="T945" s="207"/>
      <c r="U945" s="207"/>
      <c r="V945" s="207"/>
      <c r="W945" s="208"/>
      <c r="X945" s="208"/>
      <c r="Y945" s="208"/>
      <c r="Z945" s="208"/>
      <c r="AA945" s="208"/>
      <c r="AB945" s="208"/>
      <c r="AC945" s="208"/>
      <c r="AD945" s="208"/>
      <c r="AE945" s="208"/>
      <c r="AF945" s="208"/>
      <c r="AG945" s="208"/>
      <c r="AH945" s="208"/>
      <c r="AI945" s="100"/>
    </row>
    <row r="946" ht="14.25" customHeight="1">
      <c r="A946" s="195"/>
      <c r="B946" s="100"/>
      <c r="C946" s="100"/>
      <c r="D946" s="100"/>
      <c r="E946" s="100"/>
      <c r="F946" s="206"/>
      <c r="G946" s="206"/>
      <c r="H946" s="207"/>
      <c r="I946" s="207"/>
      <c r="J946" s="207"/>
      <c r="K946" s="207"/>
      <c r="L946" s="207"/>
      <c r="M946" s="207"/>
      <c r="N946" s="207"/>
      <c r="O946" s="207"/>
      <c r="P946" s="207"/>
      <c r="Q946" s="207"/>
      <c r="R946" s="207"/>
      <c r="S946" s="207"/>
      <c r="T946" s="207"/>
      <c r="U946" s="207"/>
      <c r="V946" s="207"/>
      <c r="W946" s="208"/>
      <c r="X946" s="208"/>
      <c r="Y946" s="208"/>
      <c r="Z946" s="208"/>
      <c r="AA946" s="208"/>
      <c r="AB946" s="208"/>
      <c r="AC946" s="208"/>
      <c r="AD946" s="208"/>
      <c r="AE946" s="208"/>
      <c r="AF946" s="208"/>
      <c r="AG946" s="208"/>
      <c r="AH946" s="208"/>
      <c r="AI946" s="100"/>
    </row>
    <row r="947" ht="14.25" customHeight="1">
      <c r="A947" s="195"/>
      <c r="B947" s="100"/>
      <c r="C947" s="100"/>
      <c r="D947" s="100"/>
      <c r="E947" s="100"/>
      <c r="F947" s="206"/>
      <c r="G947" s="206"/>
      <c r="H947" s="207"/>
      <c r="I947" s="207"/>
      <c r="J947" s="207"/>
      <c r="K947" s="207"/>
      <c r="L947" s="207"/>
      <c r="M947" s="207"/>
      <c r="N947" s="207"/>
      <c r="O947" s="207"/>
      <c r="P947" s="207"/>
      <c r="Q947" s="207"/>
      <c r="R947" s="207"/>
      <c r="S947" s="207"/>
      <c r="T947" s="207"/>
      <c r="U947" s="207"/>
      <c r="V947" s="207"/>
      <c r="W947" s="208"/>
      <c r="X947" s="208"/>
      <c r="Y947" s="208"/>
      <c r="Z947" s="208"/>
      <c r="AA947" s="208"/>
      <c r="AB947" s="208"/>
      <c r="AC947" s="208"/>
      <c r="AD947" s="208"/>
      <c r="AE947" s="208"/>
      <c r="AF947" s="208"/>
      <c r="AG947" s="208"/>
      <c r="AH947" s="208"/>
      <c r="AI947" s="100"/>
    </row>
    <row r="948" ht="14.25" customHeight="1">
      <c r="A948" s="195"/>
      <c r="B948" s="100"/>
      <c r="C948" s="100"/>
      <c r="D948" s="100"/>
      <c r="E948" s="100"/>
      <c r="F948" s="206"/>
      <c r="G948" s="206"/>
      <c r="H948" s="207"/>
      <c r="I948" s="207"/>
      <c r="J948" s="207"/>
      <c r="K948" s="207"/>
      <c r="L948" s="207"/>
      <c r="M948" s="207"/>
      <c r="N948" s="207"/>
      <c r="O948" s="207"/>
      <c r="P948" s="207"/>
      <c r="Q948" s="207"/>
      <c r="R948" s="207"/>
      <c r="S948" s="207"/>
      <c r="T948" s="207"/>
      <c r="U948" s="207"/>
      <c r="V948" s="207"/>
      <c r="W948" s="208"/>
      <c r="X948" s="208"/>
      <c r="Y948" s="208"/>
      <c r="Z948" s="208"/>
      <c r="AA948" s="208"/>
      <c r="AB948" s="208"/>
      <c r="AC948" s="208"/>
      <c r="AD948" s="208"/>
      <c r="AE948" s="208"/>
      <c r="AF948" s="208"/>
      <c r="AG948" s="208"/>
      <c r="AH948" s="208"/>
      <c r="AI948" s="100"/>
    </row>
    <row r="949" ht="14.25" customHeight="1">
      <c r="A949" s="195"/>
      <c r="B949" s="100"/>
      <c r="C949" s="100"/>
      <c r="D949" s="100"/>
      <c r="E949" s="100"/>
      <c r="F949" s="206"/>
      <c r="G949" s="206"/>
      <c r="H949" s="207"/>
      <c r="I949" s="207"/>
      <c r="J949" s="207"/>
      <c r="K949" s="207"/>
      <c r="L949" s="207"/>
      <c r="M949" s="207"/>
      <c r="N949" s="207"/>
      <c r="O949" s="207"/>
      <c r="P949" s="207"/>
      <c r="Q949" s="207"/>
      <c r="R949" s="207"/>
      <c r="S949" s="207"/>
      <c r="T949" s="207"/>
      <c r="U949" s="207"/>
      <c r="V949" s="207"/>
      <c r="W949" s="208"/>
      <c r="X949" s="208"/>
      <c r="Y949" s="208"/>
      <c r="Z949" s="208"/>
      <c r="AA949" s="208"/>
      <c r="AB949" s="208"/>
      <c r="AC949" s="208"/>
      <c r="AD949" s="208"/>
      <c r="AE949" s="208"/>
      <c r="AF949" s="208"/>
      <c r="AG949" s="208"/>
      <c r="AH949" s="208"/>
      <c r="AI949" s="100"/>
    </row>
    <row r="950" ht="14.25" customHeight="1">
      <c r="A950" s="195"/>
      <c r="B950" s="100"/>
      <c r="C950" s="100"/>
      <c r="D950" s="100"/>
      <c r="E950" s="100"/>
      <c r="F950" s="206"/>
      <c r="G950" s="206"/>
      <c r="H950" s="207"/>
      <c r="I950" s="207"/>
      <c r="J950" s="207"/>
      <c r="K950" s="207"/>
      <c r="L950" s="207"/>
      <c r="M950" s="207"/>
      <c r="N950" s="207"/>
      <c r="O950" s="207"/>
      <c r="P950" s="207"/>
      <c r="Q950" s="207"/>
      <c r="R950" s="207"/>
      <c r="S950" s="207"/>
      <c r="T950" s="207"/>
      <c r="U950" s="207"/>
      <c r="V950" s="207"/>
      <c r="W950" s="208"/>
      <c r="X950" s="208"/>
      <c r="Y950" s="208"/>
      <c r="Z950" s="208"/>
      <c r="AA950" s="208"/>
      <c r="AB950" s="208"/>
      <c r="AC950" s="208"/>
      <c r="AD950" s="208"/>
      <c r="AE950" s="208"/>
      <c r="AF950" s="208"/>
      <c r="AG950" s="208"/>
      <c r="AH950" s="208"/>
      <c r="AI950" s="100"/>
    </row>
    <row r="951" ht="14.25" customHeight="1">
      <c r="A951" s="195"/>
      <c r="B951" s="100"/>
      <c r="C951" s="100"/>
      <c r="D951" s="100"/>
      <c r="E951" s="100"/>
      <c r="F951" s="206"/>
      <c r="G951" s="206"/>
      <c r="H951" s="207"/>
      <c r="I951" s="207"/>
      <c r="J951" s="207"/>
      <c r="K951" s="207"/>
      <c r="L951" s="207"/>
      <c r="M951" s="207"/>
      <c r="N951" s="207"/>
      <c r="O951" s="207"/>
      <c r="P951" s="207"/>
      <c r="Q951" s="207"/>
      <c r="R951" s="207"/>
      <c r="S951" s="207"/>
      <c r="T951" s="207"/>
      <c r="U951" s="207"/>
      <c r="V951" s="207"/>
      <c r="W951" s="208"/>
      <c r="X951" s="208"/>
      <c r="Y951" s="208"/>
      <c r="Z951" s="208"/>
      <c r="AA951" s="208"/>
      <c r="AB951" s="208"/>
      <c r="AC951" s="208"/>
      <c r="AD951" s="208"/>
      <c r="AE951" s="208"/>
      <c r="AF951" s="208"/>
      <c r="AG951" s="208"/>
      <c r="AH951" s="208"/>
      <c r="AI951" s="100"/>
    </row>
    <row r="952" ht="14.25" customHeight="1">
      <c r="A952" s="195"/>
      <c r="B952" s="100"/>
      <c r="C952" s="100"/>
      <c r="D952" s="100"/>
      <c r="E952" s="100"/>
      <c r="F952" s="206"/>
      <c r="G952" s="206"/>
      <c r="H952" s="207"/>
      <c r="I952" s="207"/>
      <c r="J952" s="207"/>
      <c r="K952" s="207"/>
      <c r="L952" s="207"/>
      <c r="M952" s="207"/>
      <c r="N952" s="207"/>
      <c r="O952" s="207"/>
      <c r="P952" s="207"/>
      <c r="Q952" s="207"/>
      <c r="R952" s="207"/>
      <c r="S952" s="207"/>
      <c r="T952" s="207"/>
      <c r="U952" s="207"/>
      <c r="V952" s="207"/>
      <c r="W952" s="208"/>
      <c r="X952" s="208"/>
      <c r="Y952" s="208"/>
      <c r="Z952" s="208"/>
      <c r="AA952" s="208"/>
      <c r="AB952" s="208"/>
      <c r="AC952" s="208"/>
      <c r="AD952" s="208"/>
      <c r="AE952" s="208"/>
      <c r="AF952" s="208"/>
      <c r="AG952" s="208"/>
      <c r="AH952" s="208"/>
      <c r="AI952" s="100"/>
    </row>
    <row r="953" ht="14.25" customHeight="1">
      <c r="A953" s="195"/>
      <c r="B953" s="100"/>
      <c r="C953" s="100"/>
      <c r="D953" s="100"/>
      <c r="E953" s="100"/>
      <c r="F953" s="206"/>
      <c r="G953" s="206"/>
      <c r="H953" s="207"/>
      <c r="I953" s="207"/>
      <c r="J953" s="207"/>
      <c r="K953" s="207"/>
      <c r="L953" s="207"/>
      <c r="M953" s="207"/>
      <c r="N953" s="207"/>
      <c r="O953" s="207"/>
      <c r="P953" s="207"/>
      <c r="Q953" s="207"/>
      <c r="R953" s="207"/>
      <c r="S953" s="207"/>
      <c r="T953" s="207"/>
      <c r="U953" s="207"/>
      <c r="V953" s="207"/>
      <c r="W953" s="208"/>
      <c r="X953" s="208"/>
      <c r="Y953" s="208"/>
      <c r="Z953" s="208"/>
      <c r="AA953" s="208"/>
      <c r="AB953" s="208"/>
      <c r="AC953" s="208"/>
      <c r="AD953" s="208"/>
      <c r="AE953" s="208"/>
      <c r="AF953" s="208"/>
      <c r="AG953" s="208"/>
      <c r="AH953" s="208"/>
      <c r="AI953" s="100"/>
    </row>
    <row r="954" ht="14.25" customHeight="1">
      <c r="A954" s="195"/>
      <c r="B954" s="100"/>
      <c r="C954" s="100"/>
      <c r="D954" s="100"/>
      <c r="E954" s="100"/>
      <c r="F954" s="206"/>
      <c r="G954" s="206"/>
      <c r="H954" s="207"/>
      <c r="I954" s="207"/>
      <c r="J954" s="207"/>
      <c r="K954" s="207"/>
      <c r="L954" s="207"/>
      <c r="M954" s="207"/>
      <c r="N954" s="207"/>
      <c r="O954" s="207"/>
      <c r="P954" s="207"/>
      <c r="Q954" s="207"/>
      <c r="R954" s="207"/>
      <c r="S954" s="207"/>
      <c r="T954" s="207"/>
      <c r="U954" s="207"/>
      <c r="V954" s="207"/>
      <c r="W954" s="208"/>
      <c r="X954" s="208"/>
      <c r="Y954" s="208"/>
      <c r="Z954" s="208"/>
      <c r="AA954" s="208"/>
      <c r="AB954" s="208"/>
      <c r="AC954" s="208"/>
      <c r="AD954" s="208"/>
      <c r="AE954" s="208"/>
      <c r="AF954" s="208"/>
      <c r="AG954" s="208"/>
      <c r="AH954" s="208"/>
      <c r="AI954" s="100"/>
    </row>
    <row r="955" ht="14.25" customHeight="1">
      <c r="A955" s="195"/>
      <c r="B955" s="100"/>
      <c r="C955" s="100"/>
      <c r="D955" s="100"/>
      <c r="E955" s="100"/>
      <c r="F955" s="206"/>
      <c r="G955" s="206"/>
      <c r="H955" s="207"/>
      <c r="I955" s="207"/>
      <c r="J955" s="207"/>
      <c r="K955" s="207"/>
      <c r="L955" s="207"/>
      <c r="M955" s="207"/>
      <c r="N955" s="207"/>
      <c r="O955" s="207"/>
      <c r="P955" s="207"/>
      <c r="Q955" s="207"/>
      <c r="R955" s="207"/>
      <c r="S955" s="207"/>
      <c r="T955" s="207"/>
      <c r="U955" s="207"/>
      <c r="V955" s="207"/>
      <c r="W955" s="208"/>
      <c r="X955" s="208"/>
      <c r="Y955" s="208"/>
      <c r="Z955" s="208"/>
      <c r="AA955" s="208"/>
      <c r="AB955" s="208"/>
      <c r="AC955" s="208"/>
      <c r="AD955" s="208"/>
      <c r="AE955" s="208"/>
      <c r="AF955" s="208"/>
      <c r="AG955" s="208"/>
      <c r="AH955" s="208"/>
      <c r="AI955" s="100"/>
    </row>
    <row r="956" ht="14.25" customHeight="1">
      <c r="A956" s="195"/>
      <c r="B956" s="100"/>
      <c r="C956" s="100"/>
      <c r="D956" s="100"/>
      <c r="E956" s="100"/>
      <c r="F956" s="206"/>
      <c r="G956" s="206"/>
      <c r="H956" s="207"/>
      <c r="I956" s="207"/>
      <c r="J956" s="207"/>
      <c r="K956" s="207"/>
      <c r="L956" s="207"/>
      <c r="M956" s="207"/>
      <c r="N956" s="207"/>
      <c r="O956" s="207"/>
      <c r="P956" s="207"/>
      <c r="Q956" s="207"/>
      <c r="R956" s="207"/>
      <c r="S956" s="207"/>
      <c r="T956" s="207"/>
      <c r="U956" s="207"/>
      <c r="V956" s="207"/>
      <c r="W956" s="208"/>
      <c r="X956" s="208"/>
      <c r="Y956" s="208"/>
      <c r="Z956" s="208"/>
      <c r="AA956" s="208"/>
      <c r="AB956" s="208"/>
      <c r="AC956" s="208"/>
      <c r="AD956" s="208"/>
      <c r="AE956" s="208"/>
      <c r="AF956" s="208"/>
      <c r="AG956" s="208"/>
      <c r="AH956" s="208"/>
      <c r="AI956" s="100"/>
    </row>
    <row r="957" ht="14.25" customHeight="1">
      <c r="A957" s="195"/>
      <c r="B957" s="100"/>
      <c r="C957" s="100"/>
      <c r="D957" s="100"/>
      <c r="E957" s="100"/>
      <c r="F957" s="206"/>
      <c r="G957" s="206"/>
      <c r="H957" s="207"/>
      <c r="I957" s="207"/>
      <c r="J957" s="207"/>
      <c r="K957" s="207"/>
      <c r="L957" s="207"/>
      <c r="M957" s="207"/>
      <c r="N957" s="207"/>
      <c r="O957" s="207"/>
      <c r="P957" s="207"/>
      <c r="Q957" s="207"/>
      <c r="R957" s="207"/>
      <c r="S957" s="207"/>
      <c r="T957" s="207"/>
      <c r="U957" s="207"/>
      <c r="V957" s="207"/>
      <c r="W957" s="208"/>
      <c r="X957" s="208"/>
      <c r="Y957" s="208"/>
      <c r="Z957" s="208"/>
      <c r="AA957" s="208"/>
      <c r="AB957" s="208"/>
      <c r="AC957" s="208"/>
      <c r="AD957" s="208"/>
      <c r="AE957" s="208"/>
      <c r="AF957" s="208"/>
      <c r="AG957" s="208"/>
      <c r="AH957" s="208"/>
      <c r="AI957" s="100"/>
    </row>
    <row r="958" ht="14.25" customHeight="1">
      <c r="A958" s="195"/>
      <c r="B958" s="100"/>
      <c r="C958" s="100"/>
      <c r="D958" s="100"/>
      <c r="E958" s="100"/>
      <c r="F958" s="206"/>
      <c r="G958" s="206"/>
      <c r="H958" s="207"/>
      <c r="I958" s="207"/>
      <c r="J958" s="207"/>
      <c r="K958" s="207"/>
      <c r="L958" s="207"/>
      <c r="M958" s="207"/>
      <c r="N958" s="207"/>
      <c r="O958" s="207"/>
      <c r="P958" s="207"/>
      <c r="Q958" s="207"/>
      <c r="R958" s="207"/>
      <c r="S958" s="207"/>
      <c r="T958" s="207"/>
      <c r="U958" s="207"/>
      <c r="V958" s="207"/>
      <c r="W958" s="208"/>
      <c r="X958" s="208"/>
      <c r="Y958" s="208"/>
      <c r="Z958" s="208"/>
      <c r="AA958" s="208"/>
      <c r="AB958" s="208"/>
      <c r="AC958" s="208"/>
      <c r="AD958" s="208"/>
      <c r="AE958" s="208"/>
      <c r="AF958" s="208"/>
      <c r="AG958" s="208"/>
      <c r="AH958" s="208"/>
      <c r="AI958" s="100"/>
    </row>
    <row r="959" ht="14.25" customHeight="1">
      <c r="A959" s="195"/>
      <c r="B959" s="100"/>
      <c r="C959" s="100"/>
      <c r="D959" s="100"/>
      <c r="E959" s="100"/>
      <c r="F959" s="206"/>
      <c r="G959" s="206"/>
      <c r="H959" s="207"/>
      <c r="I959" s="207"/>
      <c r="J959" s="207"/>
      <c r="K959" s="207"/>
      <c r="L959" s="207"/>
      <c r="M959" s="207"/>
      <c r="N959" s="207"/>
      <c r="O959" s="207"/>
      <c r="P959" s="207"/>
      <c r="Q959" s="207"/>
      <c r="R959" s="207"/>
      <c r="S959" s="207"/>
      <c r="T959" s="207"/>
      <c r="U959" s="207"/>
      <c r="V959" s="207"/>
      <c r="W959" s="208"/>
      <c r="X959" s="208"/>
      <c r="Y959" s="208"/>
      <c r="Z959" s="208"/>
      <c r="AA959" s="208"/>
      <c r="AB959" s="208"/>
      <c r="AC959" s="208"/>
      <c r="AD959" s="208"/>
      <c r="AE959" s="208"/>
      <c r="AF959" s="208"/>
      <c r="AG959" s="208"/>
      <c r="AH959" s="208"/>
      <c r="AI959" s="100"/>
    </row>
    <row r="960" ht="14.25" customHeight="1">
      <c r="A960" s="195"/>
      <c r="B960" s="100"/>
      <c r="C960" s="100"/>
      <c r="D960" s="100"/>
      <c r="E960" s="100"/>
      <c r="F960" s="206"/>
      <c r="G960" s="206"/>
      <c r="H960" s="207"/>
      <c r="I960" s="207"/>
      <c r="J960" s="207"/>
      <c r="K960" s="207"/>
      <c r="L960" s="207"/>
      <c r="M960" s="207"/>
      <c r="N960" s="207"/>
      <c r="O960" s="207"/>
      <c r="P960" s="207"/>
      <c r="Q960" s="207"/>
      <c r="R960" s="207"/>
      <c r="S960" s="207"/>
      <c r="T960" s="207"/>
      <c r="U960" s="207"/>
      <c r="V960" s="207"/>
      <c r="W960" s="208"/>
      <c r="X960" s="208"/>
      <c r="Y960" s="208"/>
      <c r="Z960" s="208"/>
      <c r="AA960" s="208"/>
      <c r="AB960" s="208"/>
      <c r="AC960" s="208"/>
      <c r="AD960" s="208"/>
      <c r="AE960" s="208"/>
      <c r="AF960" s="208"/>
      <c r="AG960" s="208"/>
      <c r="AH960" s="208"/>
      <c r="AI960" s="100"/>
    </row>
    <row r="961" ht="14.25" customHeight="1">
      <c r="A961" s="195"/>
      <c r="B961" s="100"/>
      <c r="C961" s="100"/>
      <c r="D961" s="100"/>
      <c r="E961" s="100"/>
      <c r="F961" s="206"/>
      <c r="G961" s="206"/>
      <c r="H961" s="207"/>
      <c r="I961" s="207"/>
      <c r="J961" s="207"/>
      <c r="K961" s="207"/>
      <c r="L961" s="207"/>
      <c r="M961" s="207"/>
      <c r="N961" s="207"/>
      <c r="O961" s="207"/>
      <c r="P961" s="207"/>
      <c r="Q961" s="207"/>
      <c r="R961" s="207"/>
      <c r="S961" s="207"/>
      <c r="T961" s="207"/>
      <c r="U961" s="207"/>
      <c r="V961" s="207"/>
      <c r="W961" s="208"/>
      <c r="X961" s="208"/>
      <c r="Y961" s="208"/>
      <c r="Z961" s="208"/>
      <c r="AA961" s="208"/>
      <c r="AB961" s="208"/>
      <c r="AC961" s="208"/>
      <c r="AD961" s="208"/>
      <c r="AE961" s="208"/>
      <c r="AF961" s="208"/>
      <c r="AG961" s="208"/>
      <c r="AH961" s="208"/>
      <c r="AI961" s="100"/>
    </row>
    <row r="962" ht="14.25" customHeight="1">
      <c r="A962" s="195"/>
      <c r="B962" s="100"/>
      <c r="C962" s="100"/>
      <c r="D962" s="100"/>
      <c r="E962" s="100"/>
      <c r="F962" s="206"/>
      <c r="G962" s="206"/>
      <c r="H962" s="207"/>
      <c r="I962" s="207"/>
      <c r="J962" s="207"/>
      <c r="K962" s="207"/>
      <c r="L962" s="207"/>
      <c r="M962" s="207"/>
      <c r="N962" s="207"/>
      <c r="O962" s="207"/>
      <c r="P962" s="207"/>
      <c r="Q962" s="207"/>
      <c r="R962" s="207"/>
      <c r="S962" s="207"/>
      <c r="T962" s="207"/>
      <c r="U962" s="207"/>
      <c r="V962" s="207"/>
      <c r="W962" s="208"/>
      <c r="X962" s="208"/>
      <c r="Y962" s="208"/>
      <c r="Z962" s="208"/>
      <c r="AA962" s="208"/>
      <c r="AB962" s="208"/>
      <c r="AC962" s="208"/>
      <c r="AD962" s="208"/>
      <c r="AE962" s="208"/>
      <c r="AF962" s="208"/>
      <c r="AG962" s="208"/>
      <c r="AH962" s="208"/>
      <c r="AI962" s="100"/>
    </row>
    <row r="963" ht="14.25" customHeight="1">
      <c r="A963" s="195"/>
      <c r="B963" s="100"/>
      <c r="C963" s="100"/>
      <c r="D963" s="100"/>
      <c r="E963" s="100"/>
      <c r="F963" s="206"/>
      <c r="G963" s="206"/>
      <c r="H963" s="207"/>
      <c r="I963" s="207"/>
      <c r="J963" s="207"/>
      <c r="K963" s="207"/>
      <c r="L963" s="207"/>
      <c r="M963" s="207"/>
      <c r="N963" s="207"/>
      <c r="O963" s="207"/>
      <c r="P963" s="207"/>
      <c r="Q963" s="207"/>
      <c r="R963" s="207"/>
      <c r="S963" s="207"/>
      <c r="T963" s="207"/>
      <c r="U963" s="207"/>
      <c r="V963" s="207"/>
      <c r="W963" s="208"/>
      <c r="X963" s="208"/>
      <c r="Y963" s="208"/>
      <c r="Z963" s="208"/>
      <c r="AA963" s="208"/>
      <c r="AB963" s="208"/>
      <c r="AC963" s="208"/>
      <c r="AD963" s="208"/>
      <c r="AE963" s="208"/>
      <c r="AF963" s="208"/>
      <c r="AG963" s="208"/>
      <c r="AH963" s="208"/>
      <c r="AI963" s="100"/>
    </row>
    <row r="964" ht="14.25" customHeight="1">
      <c r="A964" s="195"/>
      <c r="B964" s="100"/>
      <c r="C964" s="100"/>
      <c r="D964" s="100"/>
      <c r="E964" s="100"/>
      <c r="F964" s="206"/>
      <c r="G964" s="206"/>
      <c r="H964" s="207"/>
      <c r="I964" s="207"/>
      <c r="J964" s="207"/>
      <c r="K964" s="207"/>
      <c r="L964" s="207"/>
      <c r="M964" s="207"/>
      <c r="N964" s="207"/>
      <c r="O964" s="207"/>
      <c r="P964" s="207"/>
      <c r="Q964" s="207"/>
      <c r="R964" s="207"/>
      <c r="S964" s="207"/>
      <c r="T964" s="207"/>
      <c r="U964" s="207"/>
      <c r="V964" s="207"/>
      <c r="W964" s="208"/>
      <c r="X964" s="208"/>
      <c r="Y964" s="208"/>
      <c r="Z964" s="208"/>
      <c r="AA964" s="208"/>
      <c r="AB964" s="208"/>
      <c r="AC964" s="208"/>
      <c r="AD964" s="208"/>
      <c r="AE964" s="208"/>
      <c r="AF964" s="208"/>
      <c r="AG964" s="208"/>
      <c r="AH964" s="208"/>
      <c r="AI964" s="100"/>
    </row>
    <row r="965" ht="14.25" customHeight="1">
      <c r="A965" s="195"/>
      <c r="B965" s="100"/>
      <c r="C965" s="100"/>
      <c r="D965" s="100"/>
      <c r="E965" s="100"/>
      <c r="F965" s="206"/>
      <c r="G965" s="206"/>
      <c r="H965" s="207"/>
      <c r="I965" s="207"/>
      <c r="J965" s="207"/>
      <c r="K965" s="207"/>
      <c r="L965" s="207"/>
      <c r="M965" s="207"/>
      <c r="N965" s="207"/>
      <c r="O965" s="207"/>
      <c r="P965" s="207"/>
      <c r="Q965" s="207"/>
      <c r="R965" s="207"/>
      <c r="S965" s="207"/>
      <c r="T965" s="207"/>
      <c r="U965" s="207"/>
      <c r="V965" s="207"/>
      <c r="W965" s="208"/>
      <c r="X965" s="208"/>
      <c r="Y965" s="208"/>
      <c r="Z965" s="208"/>
      <c r="AA965" s="208"/>
      <c r="AB965" s="208"/>
      <c r="AC965" s="208"/>
      <c r="AD965" s="208"/>
      <c r="AE965" s="208"/>
      <c r="AF965" s="208"/>
      <c r="AG965" s="208"/>
      <c r="AH965" s="208"/>
      <c r="AI965" s="100"/>
    </row>
    <row r="966" ht="14.25" customHeight="1">
      <c r="A966" s="195"/>
      <c r="B966" s="100"/>
      <c r="C966" s="100"/>
      <c r="D966" s="100"/>
      <c r="E966" s="100"/>
      <c r="F966" s="206"/>
      <c r="G966" s="206"/>
      <c r="H966" s="207"/>
      <c r="I966" s="207"/>
      <c r="J966" s="207"/>
      <c r="K966" s="207"/>
      <c r="L966" s="207"/>
      <c r="M966" s="207"/>
      <c r="N966" s="207"/>
      <c r="O966" s="207"/>
      <c r="P966" s="207"/>
      <c r="Q966" s="207"/>
      <c r="R966" s="207"/>
      <c r="S966" s="207"/>
      <c r="T966" s="207"/>
      <c r="U966" s="207"/>
      <c r="V966" s="207"/>
      <c r="W966" s="208"/>
      <c r="X966" s="208"/>
      <c r="Y966" s="208"/>
      <c r="Z966" s="208"/>
      <c r="AA966" s="208"/>
      <c r="AB966" s="208"/>
      <c r="AC966" s="208"/>
      <c r="AD966" s="208"/>
      <c r="AE966" s="208"/>
      <c r="AF966" s="208"/>
      <c r="AG966" s="208"/>
      <c r="AH966" s="208"/>
      <c r="AI966" s="100"/>
    </row>
    <row r="967" ht="14.25" customHeight="1">
      <c r="A967" s="195"/>
      <c r="B967" s="100"/>
      <c r="C967" s="100"/>
      <c r="D967" s="100"/>
      <c r="E967" s="100"/>
      <c r="F967" s="206"/>
      <c r="G967" s="206"/>
      <c r="H967" s="207"/>
      <c r="I967" s="207"/>
      <c r="J967" s="207"/>
      <c r="K967" s="207"/>
      <c r="L967" s="207"/>
      <c r="M967" s="207"/>
      <c r="N967" s="207"/>
      <c r="O967" s="207"/>
      <c r="P967" s="207"/>
      <c r="Q967" s="207"/>
      <c r="R967" s="207"/>
      <c r="S967" s="207"/>
      <c r="T967" s="207"/>
      <c r="U967" s="207"/>
      <c r="V967" s="207"/>
      <c r="W967" s="208"/>
      <c r="X967" s="208"/>
      <c r="Y967" s="208"/>
      <c r="Z967" s="208"/>
      <c r="AA967" s="208"/>
      <c r="AB967" s="208"/>
      <c r="AC967" s="208"/>
      <c r="AD967" s="208"/>
      <c r="AE967" s="208"/>
      <c r="AF967" s="208"/>
      <c r="AG967" s="208"/>
      <c r="AH967" s="208"/>
      <c r="AI967" s="100"/>
    </row>
    <row r="968" ht="14.25" customHeight="1">
      <c r="A968" s="195"/>
      <c r="B968" s="100"/>
      <c r="C968" s="100"/>
      <c r="D968" s="100"/>
      <c r="E968" s="100"/>
      <c r="F968" s="206"/>
      <c r="G968" s="206"/>
      <c r="H968" s="207"/>
      <c r="I968" s="207"/>
      <c r="J968" s="207"/>
      <c r="K968" s="207"/>
      <c r="L968" s="207"/>
      <c r="M968" s="207"/>
      <c r="N968" s="207"/>
      <c r="O968" s="207"/>
      <c r="P968" s="207"/>
      <c r="Q968" s="207"/>
      <c r="R968" s="207"/>
      <c r="S968" s="207"/>
      <c r="T968" s="207"/>
      <c r="U968" s="207"/>
      <c r="V968" s="207"/>
      <c r="W968" s="208"/>
      <c r="X968" s="208"/>
      <c r="Y968" s="208"/>
      <c r="Z968" s="208"/>
      <c r="AA968" s="208"/>
      <c r="AB968" s="208"/>
      <c r="AC968" s="208"/>
      <c r="AD968" s="208"/>
      <c r="AE968" s="208"/>
      <c r="AF968" s="208"/>
      <c r="AG968" s="208"/>
      <c r="AH968" s="208"/>
      <c r="AI968" s="100"/>
    </row>
    <row r="969" ht="14.25" customHeight="1">
      <c r="A969" s="195"/>
      <c r="B969" s="100"/>
      <c r="C969" s="100"/>
      <c r="D969" s="100"/>
      <c r="E969" s="100"/>
      <c r="F969" s="206"/>
      <c r="G969" s="206"/>
      <c r="H969" s="207"/>
      <c r="I969" s="207"/>
      <c r="J969" s="207"/>
      <c r="K969" s="207"/>
      <c r="L969" s="207"/>
      <c r="M969" s="207"/>
      <c r="N969" s="207"/>
      <c r="O969" s="207"/>
      <c r="P969" s="207"/>
      <c r="Q969" s="207"/>
      <c r="R969" s="207"/>
      <c r="S969" s="207"/>
      <c r="T969" s="207"/>
      <c r="U969" s="207"/>
      <c r="V969" s="207"/>
      <c r="W969" s="208"/>
      <c r="X969" s="208"/>
      <c r="Y969" s="208"/>
      <c r="Z969" s="208"/>
      <c r="AA969" s="208"/>
      <c r="AB969" s="208"/>
      <c r="AC969" s="208"/>
      <c r="AD969" s="208"/>
      <c r="AE969" s="208"/>
      <c r="AF969" s="208"/>
      <c r="AG969" s="208"/>
      <c r="AH969" s="208"/>
      <c r="AI969" s="100"/>
    </row>
    <row r="970" ht="14.25" customHeight="1">
      <c r="A970" s="195"/>
      <c r="B970" s="100"/>
      <c r="C970" s="100"/>
      <c r="D970" s="100"/>
      <c r="E970" s="100"/>
      <c r="F970" s="206"/>
      <c r="G970" s="206"/>
      <c r="H970" s="207"/>
      <c r="I970" s="207"/>
      <c r="J970" s="207"/>
      <c r="K970" s="207"/>
      <c r="L970" s="207"/>
      <c r="M970" s="207"/>
      <c r="N970" s="207"/>
      <c r="O970" s="207"/>
      <c r="P970" s="207"/>
      <c r="Q970" s="207"/>
      <c r="R970" s="207"/>
      <c r="S970" s="207"/>
      <c r="T970" s="207"/>
      <c r="U970" s="207"/>
      <c r="V970" s="207"/>
      <c r="W970" s="208"/>
      <c r="X970" s="208"/>
      <c r="Y970" s="208"/>
      <c r="Z970" s="208"/>
      <c r="AA970" s="208"/>
      <c r="AB970" s="208"/>
      <c r="AC970" s="208"/>
      <c r="AD970" s="208"/>
      <c r="AE970" s="208"/>
      <c r="AF970" s="208"/>
      <c r="AG970" s="208"/>
      <c r="AH970" s="208"/>
      <c r="AI970" s="100"/>
    </row>
    <row r="971" ht="14.25" customHeight="1">
      <c r="A971" s="195"/>
      <c r="B971" s="100"/>
      <c r="C971" s="100"/>
      <c r="D971" s="100"/>
      <c r="E971" s="100"/>
      <c r="F971" s="206"/>
      <c r="G971" s="206"/>
      <c r="H971" s="207"/>
      <c r="I971" s="207"/>
      <c r="J971" s="207"/>
      <c r="K971" s="207"/>
      <c r="L971" s="207"/>
      <c r="M971" s="207"/>
      <c r="N971" s="207"/>
      <c r="O971" s="207"/>
      <c r="P971" s="207"/>
      <c r="Q971" s="207"/>
      <c r="R971" s="207"/>
      <c r="S971" s="207"/>
      <c r="T971" s="207"/>
      <c r="U971" s="207"/>
      <c r="V971" s="207"/>
      <c r="W971" s="208"/>
      <c r="X971" s="208"/>
      <c r="Y971" s="208"/>
      <c r="Z971" s="208"/>
      <c r="AA971" s="208"/>
      <c r="AB971" s="208"/>
      <c r="AC971" s="208"/>
      <c r="AD971" s="208"/>
      <c r="AE971" s="208"/>
      <c r="AF971" s="208"/>
      <c r="AG971" s="208"/>
      <c r="AH971" s="208"/>
      <c r="AI971" s="100"/>
    </row>
    <row r="972" ht="14.25" customHeight="1">
      <c r="A972" s="195"/>
      <c r="B972" s="100"/>
      <c r="C972" s="100"/>
      <c r="D972" s="100"/>
      <c r="E972" s="100"/>
      <c r="F972" s="206"/>
      <c r="G972" s="206"/>
      <c r="H972" s="207"/>
      <c r="I972" s="207"/>
      <c r="J972" s="207"/>
      <c r="K972" s="207"/>
      <c r="L972" s="207"/>
      <c r="M972" s="207"/>
      <c r="N972" s="207"/>
      <c r="O972" s="207"/>
      <c r="P972" s="207"/>
      <c r="Q972" s="207"/>
      <c r="R972" s="207"/>
      <c r="S972" s="207"/>
      <c r="T972" s="207"/>
      <c r="U972" s="207"/>
      <c r="V972" s="207"/>
      <c r="W972" s="208"/>
      <c r="X972" s="208"/>
      <c r="Y972" s="208"/>
      <c r="Z972" s="208"/>
      <c r="AA972" s="208"/>
      <c r="AB972" s="208"/>
      <c r="AC972" s="208"/>
      <c r="AD972" s="208"/>
      <c r="AE972" s="208"/>
      <c r="AF972" s="208"/>
      <c r="AG972" s="208"/>
      <c r="AH972" s="208"/>
      <c r="AI972" s="100"/>
    </row>
    <row r="973" ht="14.25" customHeight="1">
      <c r="A973" s="195"/>
      <c r="B973" s="100"/>
      <c r="C973" s="100"/>
      <c r="D973" s="100"/>
      <c r="E973" s="100"/>
      <c r="F973" s="206"/>
      <c r="G973" s="206"/>
      <c r="H973" s="207"/>
      <c r="I973" s="207"/>
      <c r="J973" s="207"/>
      <c r="K973" s="207"/>
      <c r="L973" s="207"/>
      <c r="M973" s="207"/>
      <c r="N973" s="207"/>
      <c r="O973" s="207"/>
      <c r="P973" s="207"/>
      <c r="Q973" s="207"/>
      <c r="R973" s="207"/>
      <c r="S973" s="207"/>
      <c r="T973" s="207"/>
      <c r="U973" s="207"/>
      <c r="V973" s="207"/>
      <c r="W973" s="208"/>
      <c r="X973" s="208"/>
      <c r="Y973" s="208"/>
      <c r="Z973" s="208"/>
      <c r="AA973" s="208"/>
      <c r="AB973" s="208"/>
      <c r="AC973" s="208"/>
      <c r="AD973" s="208"/>
      <c r="AE973" s="208"/>
      <c r="AF973" s="208"/>
      <c r="AG973" s="208"/>
      <c r="AH973" s="208"/>
      <c r="AI973" s="100"/>
    </row>
    <row r="974" ht="14.25" customHeight="1">
      <c r="A974" s="195"/>
      <c r="B974" s="100"/>
      <c r="C974" s="100"/>
      <c r="D974" s="100"/>
      <c r="E974" s="100"/>
      <c r="F974" s="206"/>
      <c r="G974" s="206"/>
      <c r="H974" s="207"/>
      <c r="I974" s="207"/>
      <c r="J974" s="207"/>
      <c r="K974" s="207"/>
      <c r="L974" s="207"/>
      <c r="M974" s="207"/>
      <c r="N974" s="207"/>
      <c r="O974" s="207"/>
      <c r="P974" s="207"/>
      <c r="Q974" s="207"/>
      <c r="R974" s="207"/>
      <c r="S974" s="207"/>
      <c r="T974" s="207"/>
      <c r="U974" s="207"/>
      <c r="V974" s="207"/>
      <c r="W974" s="208"/>
      <c r="X974" s="208"/>
      <c r="Y974" s="208"/>
      <c r="Z974" s="208"/>
      <c r="AA974" s="208"/>
      <c r="AB974" s="208"/>
      <c r="AC974" s="208"/>
      <c r="AD974" s="208"/>
      <c r="AE974" s="208"/>
      <c r="AF974" s="208"/>
      <c r="AG974" s="208"/>
      <c r="AH974" s="208"/>
      <c r="AI974" s="100"/>
    </row>
    <row r="975" ht="14.25" customHeight="1">
      <c r="A975" s="195"/>
      <c r="B975" s="100"/>
      <c r="C975" s="100"/>
      <c r="D975" s="100"/>
      <c r="E975" s="100"/>
      <c r="F975" s="206"/>
      <c r="G975" s="206"/>
      <c r="H975" s="207"/>
      <c r="I975" s="207"/>
      <c r="J975" s="207"/>
      <c r="K975" s="207"/>
      <c r="L975" s="207"/>
      <c r="M975" s="207"/>
      <c r="N975" s="207"/>
      <c r="O975" s="207"/>
      <c r="P975" s="207"/>
      <c r="Q975" s="207"/>
      <c r="R975" s="207"/>
      <c r="S975" s="207"/>
      <c r="T975" s="207"/>
      <c r="U975" s="207"/>
      <c r="V975" s="207"/>
      <c r="W975" s="208"/>
      <c r="X975" s="208"/>
      <c r="Y975" s="208"/>
      <c r="Z975" s="208"/>
      <c r="AA975" s="208"/>
      <c r="AB975" s="208"/>
      <c r="AC975" s="208"/>
      <c r="AD975" s="208"/>
      <c r="AE975" s="208"/>
      <c r="AF975" s="208"/>
      <c r="AG975" s="208"/>
      <c r="AH975" s="208"/>
      <c r="AI975" s="100"/>
    </row>
    <row r="976" ht="14.25" customHeight="1">
      <c r="A976" s="195"/>
      <c r="B976" s="100"/>
      <c r="C976" s="100"/>
      <c r="D976" s="100"/>
      <c r="E976" s="100"/>
      <c r="F976" s="206"/>
      <c r="G976" s="206"/>
      <c r="H976" s="207"/>
      <c r="I976" s="207"/>
      <c r="J976" s="207"/>
      <c r="K976" s="207"/>
      <c r="L976" s="207"/>
      <c r="M976" s="207"/>
      <c r="N976" s="207"/>
      <c r="O976" s="207"/>
      <c r="P976" s="207"/>
      <c r="Q976" s="207"/>
      <c r="R976" s="207"/>
      <c r="S976" s="207"/>
      <c r="T976" s="207"/>
      <c r="U976" s="207"/>
      <c r="V976" s="207"/>
      <c r="W976" s="208"/>
      <c r="X976" s="208"/>
      <c r="Y976" s="208"/>
      <c r="Z976" s="208"/>
      <c r="AA976" s="208"/>
      <c r="AB976" s="208"/>
      <c r="AC976" s="208"/>
      <c r="AD976" s="208"/>
      <c r="AE976" s="208"/>
      <c r="AF976" s="208"/>
      <c r="AG976" s="208"/>
      <c r="AH976" s="208"/>
      <c r="AI976" s="100"/>
    </row>
    <row r="977" ht="14.25" customHeight="1">
      <c r="A977" s="195"/>
      <c r="B977" s="100"/>
      <c r="C977" s="100"/>
      <c r="D977" s="100"/>
      <c r="E977" s="100"/>
      <c r="F977" s="206"/>
      <c r="G977" s="206"/>
      <c r="H977" s="207"/>
      <c r="I977" s="207"/>
      <c r="J977" s="207"/>
      <c r="K977" s="207"/>
      <c r="L977" s="207"/>
      <c r="M977" s="207"/>
      <c r="N977" s="207"/>
      <c r="O977" s="207"/>
      <c r="P977" s="207"/>
      <c r="Q977" s="207"/>
      <c r="R977" s="207"/>
      <c r="S977" s="207"/>
      <c r="T977" s="207"/>
      <c r="U977" s="207"/>
      <c r="V977" s="207"/>
      <c r="W977" s="208"/>
      <c r="X977" s="208"/>
      <c r="Y977" s="208"/>
      <c r="Z977" s="208"/>
      <c r="AA977" s="208"/>
      <c r="AB977" s="208"/>
      <c r="AC977" s="208"/>
      <c r="AD977" s="208"/>
      <c r="AE977" s="208"/>
      <c r="AF977" s="208"/>
      <c r="AG977" s="208"/>
      <c r="AH977" s="208"/>
      <c r="AI977" s="100"/>
    </row>
    <row r="978" ht="14.25" customHeight="1">
      <c r="A978" s="195"/>
      <c r="B978" s="100"/>
      <c r="C978" s="100"/>
      <c r="D978" s="100"/>
      <c r="E978" s="100"/>
      <c r="F978" s="206"/>
      <c r="G978" s="206"/>
      <c r="H978" s="207"/>
      <c r="I978" s="207"/>
      <c r="J978" s="207"/>
      <c r="K978" s="207"/>
      <c r="L978" s="207"/>
      <c r="M978" s="207"/>
      <c r="N978" s="207"/>
      <c r="O978" s="207"/>
      <c r="P978" s="207"/>
      <c r="Q978" s="207"/>
      <c r="R978" s="207"/>
      <c r="S978" s="207"/>
      <c r="T978" s="207"/>
      <c r="U978" s="207"/>
      <c r="V978" s="207"/>
      <c r="W978" s="208"/>
      <c r="X978" s="208"/>
      <c r="Y978" s="208"/>
      <c r="Z978" s="208"/>
      <c r="AA978" s="208"/>
      <c r="AB978" s="208"/>
      <c r="AC978" s="208"/>
      <c r="AD978" s="208"/>
      <c r="AE978" s="208"/>
      <c r="AF978" s="208"/>
      <c r="AG978" s="208"/>
      <c r="AH978" s="208"/>
      <c r="AI978" s="100"/>
    </row>
    <row r="979" ht="14.25" customHeight="1">
      <c r="A979" s="195"/>
      <c r="B979" s="100"/>
      <c r="C979" s="100"/>
      <c r="D979" s="100"/>
      <c r="E979" s="100"/>
      <c r="F979" s="206"/>
      <c r="G979" s="206"/>
      <c r="H979" s="207"/>
      <c r="I979" s="207"/>
      <c r="J979" s="207"/>
      <c r="K979" s="207"/>
      <c r="L979" s="207"/>
      <c r="M979" s="207"/>
      <c r="N979" s="207"/>
      <c r="O979" s="207"/>
      <c r="P979" s="207"/>
      <c r="Q979" s="207"/>
      <c r="R979" s="207"/>
      <c r="S979" s="207"/>
      <c r="T979" s="207"/>
      <c r="U979" s="207"/>
      <c r="V979" s="207"/>
      <c r="W979" s="208"/>
      <c r="X979" s="208"/>
      <c r="Y979" s="208"/>
      <c r="Z979" s="208"/>
      <c r="AA979" s="208"/>
      <c r="AB979" s="208"/>
      <c r="AC979" s="208"/>
      <c r="AD979" s="208"/>
      <c r="AE979" s="208"/>
      <c r="AF979" s="208"/>
      <c r="AG979" s="208"/>
      <c r="AH979" s="208"/>
      <c r="AI979" s="100"/>
    </row>
    <row r="980" ht="14.25" customHeight="1">
      <c r="A980" s="195"/>
      <c r="B980" s="100"/>
      <c r="C980" s="100"/>
      <c r="D980" s="100"/>
      <c r="E980" s="100"/>
      <c r="F980" s="206"/>
      <c r="G980" s="206"/>
      <c r="H980" s="207"/>
      <c r="I980" s="207"/>
      <c r="J980" s="207"/>
      <c r="K980" s="207"/>
      <c r="L980" s="207"/>
      <c r="M980" s="207"/>
      <c r="N980" s="207"/>
      <c r="O980" s="207"/>
      <c r="P980" s="207"/>
      <c r="Q980" s="207"/>
      <c r="R980" s="207"/>
      <c r="S980" s="207"/>
      <c r="T980" s="207"/>
      <c r="U980" s="207"/>
      <c r="V980" s="207"/>
      <c r="W980" s="208"/>
      <c r="X980" s="208"/>
      <c r="Y980" s="208"/>
      <c r="Z980" s="208"/>
      <c r="AA980" s="208"/>
      <c r="AB980" s="208"/>
      <c r="AC980" s="208"/>
      <c r="AD980" s="208"/>
      <c r="AE980" s="208"/>
      <c r="AF980" s="208"/>
      <c r="AG980" s="208"/>
      <c r="AH980" s="208"/>
      <c r="AI980" s="100"/>
    </row>
    <row r="981" ht="14.25" customHeight="1">
      <c r="A981" s="195"/>
      <c r="B981" s="100"/>
      <c r="C981" s="100"/>
      <c r="D981" s="100"/>
      <c r="E981" s="100"/>
      <c r="F981" s="206"/>
      <c r="G981" s="206"/>
      <c r="H981" s="207"/>
      <c r="I981" s="207"/>
      <c r="J981" s="207"/>
      <c r="K981" s="207"/>
      <c r="L981" s="207"/>
      <c r="M981" s="207"/>
      <c r="N981" s="207"/>
      <c r="O981" s="207"/>
      <c r="P981" s="207"/>
      <c r="Q981" s="207"/>
      <c r="R981" s="207"/>
      <c r="S981" s="207"/>
      <c r="T981" s="207"/>
      <c r="U981" s="207"/>
      <c r="V981" s="207"/>
      <c r="W981" s="208"/>
      <c r="X981" s="208"/>
      <c r="Y981" s="208"/>
      <c r="Z981" s="208"/>
      <c r="AA981" s="208"/>
      <c r="AB981" s="208"/>
      <c r="AC981" s="208"/>
      <c r="AD981" s="208"/>
      <c r="AE981" s="208"/>
      <c r="AF981" s="208"/>
      <c r="AG981" s="208"/>
      <c r="AH981" s="208"/>
      <c r="AI981" s="100"/>
    </row>
    <row r="982" ht="14.25" customHeight="1">
      <c r="A982" s="195"/>
      <c r="B982" s="100"/>
      <c r="C982" s="100"/>
      <c r="D982" s="100"/>
      <c r="E982" s="100"/>
      <c r="F982" s="206"/>
      <c r="G982" s="206"/>
      <c r="H982" s="207"/>
      <c r="I982" s="207"/>
      <c r="J982" s="207"/>
      <c r="K982" s="207"/>
      <c r="L982" s="207"/>
      <c r="M982" s="207"/>
      <c r="N982" s="207"/>
      <c r="O982" s="207"/>
      <c r="P982" s="207"/>
      <c r="Q982" s="207"/>
      <c r="R982" s="207"/>
      <c r="S982" s="207"/>
      <c r="T982" s="207"/>
      <c r="U982" s="207"/>
      <c r="V982" s="207"/>
      <c r="W982" s="208"/>
      <c r="X982" s="208"/>
      <c r="Y982" s="208"/>
      <c r="Z982" s="208"/>
      <c r="AA982" s="208"/>
      <c r="AB982" s="208"/>
      <c r="AC982" s="208"/>
      <c r="AD982" s="208"/>
      <c r="AE982" s="208"/>
      <c r="AF982" s="208"/>
      <c r="AG982" s="208"/>
      <c r="AH982" s="208"/>
      <c r="AI982" s="100"/>
    </row>
    <row r="983" ht="14.25" customHeight="1">
      <c r="A983" s="195"/>
      <c r="B983" s="100"/>
      <c r="C983" s="100"/>
      <c r="D983" s="100"/>
      <c r="E983" s="100"/>
      <c r="F983" s="206"/>
      <c r="G983" s="206"/>
      <c r="H983" s="207"/>
      <c r="I983" s="207"/>
      <c r="J983" s="207"/>
      <c r="K983" s="207"/>
      <c r="L983" s="207"/>
      <c r="M983" s="207"/>
      <c r="N983" s="207"/>
      <c r="O983" s="207"/>
      <c r="P983" s="207"/>
      <c r="Q983" s="207"/>
      <c r="R983" s="207"/>
      <c r="S983" s="207"/>
      <c r="T983" s="207"/>
      <c r="U983" s="207"/>
      <c r="V983" s="207"/>
      <c r="W983" s="208"/>
      <c r="X983" s="208"/>
      <c r="Y983" s="208"/>
      <c r="Z983" s="208"/>
      <c r="AA983" s="208"/>
      <c r="AB983" s="208"/>
      <c r="AC983" s="208"/>
      <c r="AD983" s="208"/>
      <c r="AE983" s="208"/>
      <c r="AF983" s="208"/>
      <c r="AG983" s="208"/>
      <c r="AH983" s="208"/>
      <c r="AI983" s="100"/>
    </row>
    <row r="984" ht="14.25" customHeight="1">
      <c r="A984" s="195"/>
      <c r="B984" s="100"/>
      <c r="C984" s="100"/>
      <c r="D984" s="100"/>
      <c r="E984" s="100"/>
      <c r="F984" s="206"/>
      <c r="G984" s="206"/>
      <c r="H984" s="207"/>
      <c r="I984" s="207"/>
      <c r="J984" s="207"/>
      <c r="K984" s="207"/>
      <c r="L984" s="207"/>
      <c r="M984" s="207"/>
      <c r="N984" s="207"/>
      <c r="O984" s="207"/>
      <c r="P984" s="207"/>
      <c r="Q984" s="207"/>
      <c r="R984" s="207"/>
      <c r="S984" s="207"/>
      <c r="T984" s="207"/>
      <c r="U984" s="207"/>
      <c r="V984" s="207"/>
      <c r="W984" s="208"/>
      <c r="X984" s="208"/>
      <c r="Y984" s="208"/>
      <c r="Z984" s="208"/>
      <c r="AA984" s="208"/>
      <c r="AB984" s="208"/>
      <c r="AC984" s="208"/>
      <c r="AD984" s="208"/>
      <c r="AE984" s="208"/>
      <c r="AF984" s="208"/>
      <c r="AG984" s="208"/>
      <c r="AH984" s="208"/>
      <c r="AI984" s="100"/>
    </row>
    <row r="985" ht="14.25" customHeight="1">
      <c r="A985" s="195"/>
      <c r="B985" s="100"/>
      <c r="C985" s="100"/>
      <c r="D985" s="100"/>
      <c r="E985" s="100"/>
      <c r="F985" s="206"/>
      <c r="G985" s="206"/>
      <c r="H985" s="207"/>
      <c r="I985" s="207"/>
      <c r="J985" s="207"/>
      <c r="K985" s="207"/>
      <c r="L985" s="207"/>
      <c r="M985" s="207"/>
      <c r="N985" s="207"/>
      <c r="O985" s="207"/>
      <c r="P985" s="207"/>
      <c r="Q985" s="207"/>
      <c r="R985" s="207"/>
      <c r="S985" s="207"/>
      <c r="T985" s="207"/>
      <c r="U985" s="207"/>
      <c r="V985" s="207"/>
      <c r="W985" s="208"/>
      <c r="X985" s="208"/>
      <c r="Y985" s="208"/>
      <c r="Z985" s="208"/>
      <c r="AA985" s="208"/>
      <c r="AB985" s="208"/>
      <c r="AC985" s="208"/>
      <c r="AD985" s="208"/>
      <c r="AE985" s="208"/>
      <c r="AF985" s="208"/>
      <c r="AG985" s="208"/>
      <c r="AH985" s="208"/>
      <c r="AI985" s="100"/>
    </row>
    <row r="986" ht="14.25" customHeight="1">
      <c r="A986" s="195"/>
      <c r="B986" s="100"/>
      <c r="C986" s="100"/>
      <c r="D986" s="100"/>
      <c r="E986" s="100"/>
      <c r="F986" s="206"/>
      <c r="G986" s="206"/>
      <c r="H986" s="207"/>
      <c r="I986" s="207"/>
      <c r="J986" s="207"/>
      <c r="K986" s="207"/>
      <c r="L986" s="207"/>
      <c r="M986" s="207"/>
      <c r="N986" s="207"/>
      <c r="O986" s="207"/>
      <c r="P986" s="207"/>
      <c r="Q986" s="207"/>
      <c r="R986" s="207"/>
      <c r="S986" s="207"/>
      <c r="T986" s="207"/>
      <c r="U986" s="207"/>
      <c r="V986" s="207"/>
      <c r="W986" s="208"/>
      <c r="X986" s="208"/>
      <c r="Y986" s="208"/>
      <c r="Z986" s="208"/>
      <c r="AA986" s="208"/>
      <c r="AB986" s="208"/>
      <c r="AC986" s="208"/>
      <c r="AD986" s="208"/>
      <c r="AE986" s="208"/>
      <c r="AF986" s="208"/>
      <c r="AG986" s="208"/>
      <c r="AH986" s="208"/>
      <c r="AI986" s="100"/>
    </row>
    <row r="987" ht="14.25" customHeight="1">
      <c r="A987" s="195"/>
      <c r="B987" s="100"/>
      <c r="C987" s="100"/>
      <c r="D987" s="100"/>
      <c r="E987" s="100"/>
      <c r="F987" s="206"/>
      <c r="G987" s="206"/>
      <c r="H987" s="207"/>
      <c r="I987" s="207"/>
      <c r="J987" s="207"/>
      <c r="K987" s="207"/>
      <c r="L987" s="207"/>
      <c r="M987" s="207"/>
      <c r="N987" s="207"/>
      <c r="O987" s="207"/>
      <c r="P987" s="207"/>
      <c r="Q987" s="207"/>
      <c r="R987" s="207"/>
      <c r="S987" s="207"/>
      <c r="T987" s="207"/>
      <c r="U987" s="207"/>
      <c r="V987" s="207"/>
      <c r="W987" s="208"/>
      <c r="X987" s="208"/>
      <c r="Y987" s="208"/>
      <c r="Z987" s="208"/>
      <c r="AA987" s="208"/>
      <c r="AB987" s="208"/>
      <c r="AC987" s="208"/>
      <c r="AD987" s="208"/>
      <c r="AE987" s="208"/>
      <c r="AF987" s="208"/>
      <c r="AG987" s="208"/>
      <c r="AH987" s="208"/>
      <c r="AI987" s="100"/>
    </row>
    <row r="988" ht="14.25" customHeight="1">
      <c r="A988" s="195"/>
      <c r="B988" s="100"/>
      <c r="C988" s="100"/>
      <c r="D988" s="100"/>
      <c r="E988" s="100"/>
      <c r="F988" s="206"/>
      <c r="G988" s="206"/>
      <c r="H988" s="207"/>
      <c r="I988" s="207"/>
      <c r="J988" s="207"/>
      <c r="K988" s="207"/>
      <c r="L988" s="207"/>
      <c r="M988" s="207"/>
      <c r="N988" s="207"/>
      <c r="O988" s="207"/>
      <c r="P988" s="207"/>
      <c r="Q988" s="207"/>
      <c r="R988" s="207"/>
      <c r="S988" s="207"/>
      <c r="T988" s="207"/>
      <c r="U988" s="207"/>
      <c r="V988" s="207"/>
      <c r="W988" s="208"/>
      <c r="X988" s="208"/>
      <c r="Y988" s="208"/>
      <c r="Z988" s="208"/>
      <c r="AA988" s="208"/>
      <c r="AB988" s="208"/>
      <c r="AC988" s="208"/>
      <c r="AD988" s="208"/>
      <c r="AE988" s="208"/>
      <c r="AF988" s="208"/>
      <c r="AG988" s="208"/>
      <c r="AH988" s="208"/>
      <c r="AI988" s="100"/>
    </row>
    <row r="989" ht="14.25" customHeight="1">
      <c r="A989" s="195"/>
      <c r="B989" s="100"/>
      <c r="C989" s="100"/>
      <c r="D989" s="100"/>
      <c r="E989" s="100"/>
      <c r="F989" s="206"/>
      <c r="G989" s="206"/>
      <c r="H989" s="207"/>
      <c r="I989" s="207"/>
      <c r="J989" s="207"/>
      <c r="K989" s="207"/>
      <c r="L989" s="207"/>
      <c r="M989" s="207"/>
      <c r="N989" s="207"/>
      <c r="O989" s="207"/>
      <c r="P989" s="207"/>
      <c r="Q989" s="207"/>
      <c r="R989" s="207"/>
      <c r="S989" s="207"/>
      <c r="T989" s="207"/>
      <c r="U989" s="207"/>
      <c r="V989" s="207"/>
      <c r="W989" s="208"/>
      <c r="X989" s="208"/>
      <c r="Y989" s="208"/>
      <c r="Z989" s="208"/>
      <c r="AA989" s="208"/>
      <c r="AB989" s="208"/>
      <c r="AC989" s="208"/>
      <c r="AD989" s="208"/>
      <c r="AE989" s="208"/>
      <c r="AF989" s="208"/>
      <c r="AG989" s="208"/>
      <c r="AH989" s="208"/>
      <c r="AI989" s="100"/>
    </row>
    <row r="990" ht="14.25" customHeight="1">
      <c r="A990" s="195"/>
      <c r="B990" s="100"/>
      <c r="C990" s="100"/>
      <c r="D990" s="100"/>
      <c r="E990" s="100"/>
      <c r="F990" s="206"/>
      <c r="G990" s="206"/>
      <c r="H990" s="207"/>
      <c r="I990" s="207"/>
      <c r="J990" s="207"/>
      <c r="K990" s="207"/>
      <c r="L990" s="207"/>
      <c r="M990" s="207"/>
      <c r="N990" s="207"/>
      <c r="O990" s="207"/>
      <c r="P990" s="207"/>
      <c r="Q990" s="207"/>
      <c r="R990" s="207"/>
      <c r="S990" s="207"/>
      <c r="T990" s="207"/>
      <c r="U990" s="207"/>
      <c r="V990" s="207"/>
      <c r="W990" s="208"/>
      <c r="X990" s="208"/>
      <c r="Y990" s="208"/>
      <c r="Z990" s="208"/>
      <c r="AA990" s="208"/>
      <c r="AB990" s="208"/>
      <c r="AC990" s="208"/>
      <c r="AD990" s="208"/>
      <c r="AE990" s="208"/>
      <c r="AF990" s="208"/>
      <c r="AG990" s="208"/>
      <c r="AH990" s="208"/>
      <c r="AI990" s="100"/>
    </row>
    <row r="991" ht="14.25" customHeight="1">
      <c r="A991" s="195"/>
      <c r="B991" s="100"/>
      <c r="C991" s="100"/>
      <c r="D991" s="100"/>
      <c r="E991" s="100"/>
      <c r="F991" s="206"/>
      <c r="G991" s="206"/>
      <c r="H991" s="207"/>
      <c r="I991" s="207"/>
      <c r="J991" s="207"/>
      <c r="K991" s="207"/>
      <c r="L991" s="207"/>
      <c r="M991" s="207"/>
      <c r="N991" s="207"/>
      <c r="O991" s="207"/>
      <c r="P991" s="207"/>
      <c r="Q991" s="207"/>
      <c r="R991" s="207"/>
      <c r="S991" s="207"/>
      <c r="T991" s="207"/>
      <c r="U991" s="207"/>
      <c r="V991" s="207"/>
      <c r="W991" s="208"/>
      <c r="X991" s="208"/>
      <c r="Y991" s="208"/>
      <c r="Z991" s="208"/>
      <c r="AA991" s="208"/>
      <c r="AB991" s="208"/>
      <c r="AC991" s="208"/>
      <c r="AD991" s="208"/>
      <c r="AE991" s="208"/>
      <c r="AF991" s="208"/>
      <c r="AG991" s="208"/>
      <c r="AH991" s="208"/>
      <c r="AI991" s="100"/>
    </row>
    <row r="992" ht="14.25" customHeight="1">
      <c r="A992" s="195"/>
      <c r="B992" s="100"/>
      <c r="C992" s="100"/>
      <c r="D992" s="100"/>
      <c r="E992" s="100"/>
      <c r="F992" s="206"/>
      <c r="G992" s="206"/>
      <c r="H992" s="207"/>
      <c r="I992" s="207"/>
      <c r="J992" s="207"/>
      <c r="K992" s="207"/>
      <c r="L992" s="207"/>
      <c r="M992" s="207"/>
      <c r="N992" s="207"/>
      <c r="O992" s="207"/>
      <c r="P992" s="207"/>
      <c r="Q992" s="207"/>
      <c r="R992" s="207"/>
      <c r="S992" s="207"/>
      <c r="T992" s="207"/>
      <c r="U992" s="207"/>
      <c r="V992" s="207"/>
      <c r="W992" s="208"/>
      <c r="X992" s="208"/>
      <c r="Y992" s="208"/>
      <c r="Z992" s="208"/>
      <c r="AA992" s="208"/>
      <c r="AB992" s="208"/>
      <c r="AC992" s="208"/>
      <c r="AD992" s="208"/>
      <c r="AE992" s="208"/>
      <c r="AF992" s="208"/>
      <c r="AG992" s="208"/>
      <c r="AH992" s="208"/>
      <c r="AI992" s="100"/>
    </row>
    <row r="993" ht="14.25" customHeight="1">
      <c r="A993" s="195"/>
      <c r="B993" s="100"/>
      <c r="C993" s="100"/>
      <c r="D993" s="100"/>
      <c r="E993" s="100"/>
      <c r="F993" s="206"/>
      <c r="G993" s="206"/>
      <c r="H993" s="207"/>
      <c r="I993" s="207"/>
      <c r="J993" s="207"/>
      <c r="K993" s="207"/>
      <c r="L993" s="207"/>
      <c r="M993" s="207"/>
      <c r="N993" s="207"/>
      <c r="O993" s="207"/>
      <c r="P993" s="207"/>
      <c r="Q993" s="207"/>
      <c r="R993" s="207"/>
      <c r="S993" s="207"/>
      <c r="T993" s="207"/>
      <c r="U993" s="207"/>
      <c r="V993" s="207"/>
      <c r="W993" s="208"/>
      <c r="X993" s="208"/>
      <c r="Y993" s="208"/>
      <c r="Z993" s="208"/>
      <c r="AA993" s="208"/>
      <c r="AB993" s="208"/>
      <c r="AC993" s="208"/>
      <c r="AD993" s="208"/>
      <c r="AE993" s="208"/>
      <c r="AF993" s="208"/>
      <c r="AG993" s="208"/>
      <c r="AH993" s="208"/>
      <c r="AI993" s="100"/>
    </row>
    <row r="994" ht="14.25" customHeight="1">
      <c r="A994" s="195"/>
      <c r="B994" s="100"/>
      <c r="C994" s="100"/>
      <c r="D994" s="100"/>
      <c r="E994" s="100"/>
      <c r="F994" s="206"/>
      <c r="G994" s="206"/>
      <c r="H994" s="207"/>
      <c r="I994" s="207"/>
      <c r="J994" s="207"/>
      <c r="K994" s="207"/>
      <c r="L994" s="207"/>
      <c r="M994" s="207"/>
      <c r="N994" s="207"/>
      <c r="O994" s="207"/>
      <c r="P994" s="207"/>
      <c r="Q994" s="207"/>
      <c r="R994" s="207"/>
      <c r="S994" s="207"/>
      <c r="T994" s="207"/>
      <c r="U994" s="207"/>
      <c r="V994" s="207"/>
      <c r="W994" s="208"/>
      <c r="X994" s="208"/>
      <c r="Y994" s="208"/>
      <c r="Z994" s="208"/>
      <c r="AA994" s="208"/>
      <c r="AB994" s="208"/>
      <c r="AC994" s="208"/>
      <c r="AD994" s="208"/>
      <c r="AE994" s="208"/>
      <c r="AF994" s="208"/>
      <c r="AG994" s="208"/>
      <c r="AH994" s="208"/>
      <c r="AI994" s="100"/>
    </row>
    <row r="995" ht="14.25" customHeight="1">
      <c r="A995" s="195"/>
      <c r="B995" s="100"/>
      <c r="C995" s="100"/>
      <c r="D995" s="100"/>
      <c r="E995" s="100"/>
      <c r="F995" s="206"/>
      <c r="G995" s="206"/>
      <c r="H995" s="207"/>
      <c r="I995" s="207"/>
      <c r="J995" s="207"/>
      <c r="K995" s="207"/>
      <c r="L995" s="207"/>
      <c r="M995" s="207"/>
      <c r="N995" s="207"/>
      <c r="O995" s="207"/>
      <c r="P995" s="207"/>
      <c r="Q995" s="207"/>
      <c r="R995" s="207"/>
      <c r="S995" s="207"/>
      <c r="T995" s="207"/>
      <c r="U995" s="207"/>
      <c r="V995" s="207"/>
      <c r="W995" s="208"/>
      <c r="X995" s="208"/>
      <c r="Y995" s="208"/>
      <c r="Z995" s="208"/>
      <c r="AA995" s="208"/>
      <c r="AB995" s="208"/>
      <c r="AC995" s="208"/>
      <c r="AD995" s="208"/>
      <c r="AE995" s="208"/>
      <c r="AF995" s="208"/>
      <c r="AG995" s="208"/>
      <c r="AH995" s="208"/>
      <c r="AI995" s="100"/>
    </row>
    <row r="996" ht="14.25" customHeight="1">
      <c r="A996" s="195"/>
      <c r="B996" s="100"/>
      <c r="C996" s="100"/>
      <c r="D996" s="100"/>
      <c r="E996" s="100"/>
      <c r="F996" s="206"/>
      <c r="G996" s="206"/>
      <c r="H996" s="207"/>
      <c r="I996" s="207"/>
      <c r="J996" s="207"/>
      <c r="K996" s="207"/>
      <c r="L996" s="207"/>
      <c r="M996" s="207"/>
      <c r="N996" s="207"/>
      <c r="O996" s="207"/>
      <c r="P996" s="207"/>
      <c r="Q996" s="207"/>
      <c r="R996" s="207"/>
      <c r="S996" s="207"/>
      <c r="T996" s="207"/>
      <c r="U996" s="207"/>
      <c r="V996" s="207"/>
      <c r="W996" s="208"/>
      <c r="X996" s="208"/>
      <c r="Y996" s="208"/>
      <c r="Z996" s="208"/>
      <c r="AA996" s="208"/>
      <c r="AB996" s="208"/>
      <c r="AC996" s="208"/>
      <c r="AD996" s="208"/>
      <c r="AE996" s="208"/>
      <c r="AF996" s="208"/>
      <c r="AG996" s="208"/>
      <c r="AH996" s="208"/>
      <c r="AI996" s="100"/>
    </row>
    <row r="997" ht="14.25" customHeight="1">
      <c r="A997" s="195"/>
      <c r="B997" s="100"/>
      <c r="C997" s="100"/>
      <c r="D997" s="100"/>
      <c r="E997" s="100"/>
      <c r="F997" s="206"/>
      <c r="G997" s="206"/>
      <c r="H997" s="207"/>
      <c r="I997" s="207"/>
      <c r="J997" s="207"/>
      <c r="K997" s="207"/>
      <c r="L997" s="207"/>
      <c r="M997" s="207"/>
      <c r="N997" s="207"/>
      <c r="O997" s="207"/>
      <c r="P997" s="207"/>
      <c r="Q997" s="207"/>
      <c r="R997" s="207"/>
      <c r="S997" s="207"/>
      <c r="T997" s="207"/>
      <c r="U997" s="207"/>
      <c r="V997" s="207"/>
      <c r="W997" s="208"/>
      <c r="X997" s="208"/>
      <c r="Y997" s="208"/>
      <c r="Z997" s="208"/>
      <c r="AA997" s="208"/>
      <c r="AB997" s="208"/>
      <c r="AC997" s="208"/>
      <c r="AD997" s="208"/>
      <c r="AE997" s="208"/>
      <c r="AF997" s="208"/>
      <c r="AG997" s="208"/>
      <c r="AH997" s="208"/>
      <c r="AI997" s="100"/>
    </row>
    <row r="998" ht="14.25" customHeight="1">
      <c r="A998" s="195"/>
      <c r="B998" s="100"/>
      <c r="C998" s="100"/>
      <c r="D998" s="100"/>
      <c r="E998" s="100"/>
      <c r="F998" s="206"/>
      <c r="G998" s="206"/>
      <c r="H998" s="207"/>
      <c r="I998" s="207"/>
      <c r="J998" s="207"/>
      <c r="K998" s="207"/>
      <c r="L998" s="207"/>
      <c r="M998" s="207"/>
      <c r="N998" s="207"/>
      <c r="O998" s="207"/>
      <c r="P998" s="207"/>
      <c r="Q998" s="207"/>
      <c r="R998" s="207"/>
      <c r="S998" s="207"/>
      <c r="T998" s="207"/>
      <c r="U998" s="207"/>
      <c r="V998" s="207"/>
      <c r="W998" s="208"/>
      <c r="X998" s="208"/>
      <c r="Y998" s="208"/>
      <c r="Z998" s="208"/>
      <c r="AA998" s="208"/>
      <c r="AB998" s="208"/>
      <c r="AC998" s="208"/>
      <c r="AD998" s="208"/>
      <c r="AE998" s="208"/>
      <c r="AF998" s="208"/>
      <c r="AG998" s="208"/>
      <c r="AH998" s="208"/>
      <c r="AI998" s="100"/>
    </row>
    <row r="999" ht="14.25" customHeight="1">
      <c r="A999" s="195"/>
      <c r="B999" s="100"/>
      <c r="C999" s="100"/>
      <c r="D999" s="100"/>
      <c r="E999" s="100"/>
      <c r="F999" s="206"/>
      <c r="G999" s="206"/>
      <c r="H999" s="207"/>
      <c r="I999" s="207"/>
      <c r="J999" s="207"/>
      <c r="K999" s="207"/>
      <c r="L999" s="207"/>
      <c r="M999" s="207"/>
      <c r="N999" s="207"/>
      <c r="O999" s="207"/>
      <c r="P999" s="207"/>
      <c r="Q999" s="207"/>
      <c r="R999" s="207"/>
      <c r="S999" s="207"/>
      <c r="T999" s="207"/>
      <c r="U999" s="207"/>
      <c r="V999" s="207"/>
      <c r="W999" s="208"/>
      <c r="X999" s="208"/>
      <c r="Y999" s="208"/>
      <c r="Z999" s="208"/>
      <c r="AA999" s="208"/>
      <c r="AB999" s="208"/>
      <c r="AC999" s="208"/>
      <c r="AD999" s="208"/>
      <c r="AE999" s="208"/>
      <c r="AF999" s="208"/>
      <c r="AG999" s="208"/>
      <c r="AH999" s="208"/>
      <c r="AI999" s="100"/>
    </row>
    <row r="1000" ht="14.25" customHeight="1">
      <c r="A1000" s="195"/>
      <c r="B1000" s="100"/>
      <c r="C1000" s="100"/>
      <c r="D1000" s="100"/>
      <c r="E1000" s="100"/>
      <c r="F1000" s="206"/>
      <c r="G1000" s="206"/>
      <c r="H1000" s="207"/>
      <c r="I1000" s="207"/>
      <c r="J1000" s="207"/>
      <c r="K1000" s="207"/>
      <c r="L1000" s="207"/>
      <c r="M1000" s="207"/>
      <c r="N1000" s="207"/>
      <c r="O1000" s="207"/>
      <c r="P1000" s="207"/>
      <c r="Q1000" s="207"/>
      <c r="R1000" s="207"/>
      <c r="S1000" s="207"/>
      <c r="T1000" s="207"/>
      <c r="U1000" s="207"/>
      <c r="V1000" s="207"/>
      <c r="W1000" s="208"/>
      <c r="X1000" s="208"/>
      <c r="Y1000" s="208"/>
      <c r="Z1000" s="208"/>
      <c r="AA1000" s="208"/>
      <c r="AB1000" s="208"/>
      <c r="AC1000" s="208"/>
      <c r="AD1000" s="208"/>
      <c r="AE1000" s="208"/>
      <c r="AF1000" s="208"/>
      <c r="AG1000" s="208"/>
      <c r="AH1000" s="208"/>
      <c r="AI1000" s="100"/>
    </row>
  </sheetData>
  <mergeCells count="1">
    <mergeCell ref="A1:E1"/>
  </mergeCells>
  <conditionalFormatting sqref="A240">
    <cfRule type="expression" dxfId="0" priority="1">
      <formula>NOT(ISERROR(SEARCH("Missing",A240)))</formula>
    </cfRule>
  </conditionalFormatting>
  <conditionalFormatting sqref="A240">
    <cfRule type="expression" dxfId="0" priority="2">
      <formula>NOT(ISERROR(SEARCH("Warning",A240)))</formula>
    </cfRule>
  </conditionalFormatting>
  <conditionalFormatting sqref="A1:AI48 A50:AI51 A52:D53 A56:D59 A71:AI87 A91:AI97 A102:D102 A103:AI120 A122:AI134 A141:AI143 A145:AI151 A152:G153 A156:G159 A160:AI185 A186:D187 A191:AI191 A193:G196 A197:AI217 A224:AI239 A250:AI1000 E49:AI49 E52:AI59 E88:AI90 E98:AI102 E121:AI121 E144:H144 E154:G155 E186:AI189 E192:G192 H152:AI159 H192:AI196 J144:AI144">
    <cfRule type="expression" dxfId="0" priority="3">
      <formula>NOT(ISERROR(SEARCH("Warning",A1)))</formula>
    </cfRule>
  </conditionalFormatting>
  <conditionalFormatting sqref="A1:AI48 A50:AI51 A52:D53 A56:D59 A71:AI87 A91:AI97 A102:D102 A103:AI120 A122:AI134 A141:AI143 A145:AI151 A152:G153 A156:G159 A160:AI185 A186:D187 A191:AI191 A193:G196 A197:AI217 A224:AI239 A250:AI1000 E49:AI49 E52:AI59 E88:AI90 E98:AI102 E121:AI121 E144:H144 E154:G155 E186:AI189 E192:G192 H152:AI159 H192:AI196 J144:AI144">
    <cfRule type="expression" dxfId="0" priority="4">
      <formula>NOT(ISERROR(SEARCH("Inconsistent",A1)))</formula>
    </cfRule>
  </conditionalFormatting>
  <conditionalFormatting sqref="A1:AI48 A50:AI51 A52:D53 A56:D59 A71:AI87 A91:AI97 A102:D102 A103:AI120 A122:AI134 A141:AI143 A145:AI151 A152:G153 A156:G159 A160:AI185 A186:D187 A191:AI191 A193:G196 A197:AI217 A224:AI239 A250:AI1000 E49:AI49 E52:AI59 E88:AI90 E98:AI102 E121:AI121 E144:H144 E154:G155 E186:AI189 E192:G192 H152:AI159 H192:AI196 J144:AI144">
    <cfRule type="expression" dxfId="0" priority="5">
      <formula>NOT(ISERROR(SEARCH("Missing",A1)))</formula>
    </cfRule>
  </conditionalFormatting>
  <conditionalFormatting sqref="A60:AI60 A69:D70 E61:AI70">
    <cfRule type="expression" dxfId="0" priority="6">
      <formula>NOT(ISERROR(SEARCH("Warning",A60)))</formula>
    </cfRule>
  </conditionalFormatting>
  <conditionalFormatting sqref="A60:AI60 A69:D70 E61:AI70">
    <cfRule type="expression" dxfId="0" priority="7">
      <formula>NOT(ISERROR(SEARCH("Inconsistent",A60)))</formula>
    </cfRule>
  </conditionalFormatting>
  <conditionalFormatting sqref="A60:AI60 A69:D70 E61:AI70">
    <cfRule type="expression" dxfId="0" priority="8">
      <formula>NOT(ISERROR(SEARCH("Missing",A60)))</formula>
    </cfRule>
  </conditionalFormatting>
  <conditionalFormatting sqref="A244:AI244">
    <cfRule type="expression" dxfId="0" priority="9">
      <formula>NOT(ISERROR(SEARCH("warning",A244)))</formula>
    </cfRule>
  </conditionalFormatting>
  <conditionalFormatting sqref="B135">
    <cfRule type="expression" dxfId="0" priority="10">
      <formula>NOT(ISERROR(SEARCH("Warning",B135)))</formula>
    </cfRule>
  </conditionalFormatting>
  <conditionalFormatting sqref="B135">
    <cfRule type="expression" dxfId="0" priority="11">
      <formula>NOT(ISERROR(SEARCH("Inconsistent",B135)))</formula>
    </cfRule>
  </conditionalFormatting>
  <conditionalFormatting sqref="B135">
    <cfRule type="expression" dxfId="0" priority="12">
      <formula>NOT(ISERROR(SEARCH("Missing",B135)))</formula>
    </cfRule>
  </conditionalFormatting>
  <conditionalFormatting sqref="B218">
    <cfRule type="expression" dxfId="0" priority="13">
      <formula>NOT(ISERROR(SEARCH("Warning",B218)))</formula>
    </cfRule>
  </conditionalFormatting>
  <conditionalFormatting sqref="B218">
    <cfRule type="expression" dxfId="0" priority="14">
      <formula>NOT(ISERROR(SEARCH("Inconsistent",B218)))</formula>
    </cfRule>
  </conditionalFormatting>
  <conditionalFormatting sqref="B218">
    <cfRule type="expression" dxfId="0" priority="15">
      <formula>NOT(ISERROR(SEARCH("Missing",B218)))</formula>
    </cfRule>
  </conditionalFormatting>
  <conditionalFormatting sqref="E243:F243">
    <cfRule type="expression" dxfId="0" priority="16">
      <formula>NOT(ISERROR(SEARCH("warning",E243)))</formula>
    </cfRule>
  </conditionalFormatting>
  <conditionalFormatting sqref="E246:F247">
    <cfRule type="expression" dxfId="0" priority="17">
      <formula>NOT(ISERROR(SEARCH("warning",E246)))</formula>
    </cfRule>
  </conditionalFormatting>
  <conditionalFormatting sqref="E241:G242">
    <cfRule type="expression" dxfId="0" priority="18">
      <formula>NOT(ISERROR(SEARCH("warning",E241)))</formula>
    </cfRule>
  </conditionalFormatting>
  <conditionalFormatting sqref="E245:G245">
    <cfRule type="expression" dxfId="0" priority="19">
      <formula>NOT(ISERROR(SEARCH("warning",E245)))</formula>
    </cfRule>
  </conditionalFormatting>
  <conditionalFormatting sqref="F44:G44">
    <cfRule type="expression" dxfId="0" priority="20">
      <formula>$F$44&lt;&gt;"Ok"</formula>
    </cfRule>
  </conditionalFormatting>
  <conditionalFormatting sqref="F47:G47">
    <cfRule type="expression" dxfId="1" priority="21">
      <formula>$F$47&lt;&gt;"Ok"</formula>
    </cfRule>
  </conditionalFormatting>
  <conditionalFormatting sqref="G247">
    <cfRule type="expression" dxfId="0" priority="22">
      <formula>NOT(ISERROR(SEARCH("Warning",G247)))</formula>
    </cfRule>
  </conditionalFormatting>
  <conditionalFormatting sqref="G247">
    <cfRule type="expression" dxfId="0" priority="23">
      <formula>NOT(ISERROR(SEARCH("Inconsistent",G247)))</formula>
    </cfRule>
  </conditionalFormatting>
  <conditionalFormatting sqref="G247">
    <cfRule type="expression" dxfId="0" priority="24">
      <formula>NOT(ISERROR(SEARCH("Missing",G247)))</formula>
    </cfRule>
  </conditionalFormatting>
  <hyperlinks>
    <hyperlink r:id="rId1" ref="I30"/>
    <hyperlink r:id="rId2" ref="I31"/>
  </hyperlinks>
  <printOptions/>
  <pageMargins bottom="0.75" footer="0.0" header="0.0" left="0.7" right="0.7" top="0.75"/>
  <pageSetup paperSize="9" orientation="portrait"/>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4D2F2"/>
    <pageSetUpPr/>
  </sheetPr>
  <sheetViews>
    <sheetView showGridLines="0" workbookViewId="0"/>
  </sheetViews>
  <sheetFormatPr customHeight="1" defaultColWidth="14.43" defaultRowHeight="15.0"/>
  <cols>
    <col customWidth="1" min="1" max="1" width="29.43"/>
    <col customWidth="1" min="2" max="26" width="10.57"/>
  </cols>
  <sheetData>
    <row r="1" ht="14.25" customHeight="1">
      <c r="A1" s="340" t="s">
        <v>2068</v>
      </c>
      <c r="B1" s="62">
        <f>ReferenceYear</f>
        <v>2015</v>
      </c>
      <c r="C1" s="62">
        <f>IFERROR(IF(B1+5&lt;=TargetYear,B1+5,""),"")</f>
        <v>2020</v>
      </c>
      <c r="D1" s="62">
        <f>IFERROR(IF(C1+5&lt;=TargetYear,C1+5,""),"")</f>
        <v>2025</v>
      </c>
      <c r="E1" s="62">
        <f>IFERROR(IF(D1+5&lt;=TargetYear,D1+5,""),"")</f>
        <v>2030</v>
      </c>
      <c r="F1" s="62">
        <f>IFERROR(IF(E1+5&lt;=TargetYear,E1+5,""),"")</f>
        <v>2035</v>
      </c>
      <c r="G1" s="62">
        <f>IFERROR(IF(F1+5&lt;=TargetYear,F1+5,""),"")</f>
        <v>2040</v>
      </c>
      <c r="H1" s="62">
        <f>IFERROR(IF(G1+5&lt;=TargetYear,G1+5,""),"")</f>
        <v>2045</v>
      </c>
      <c r="I1" s="62">
        <f>IFERROR(IF(H1+5&lt;=TargetYear,H1+5,""),"")</f>
        <v>2050</v>
      </c>
      <c r="J1" s="341" t="s">
        <v>812</v>
      </c>
      <c r="L1" s="342" t="s">
        <v>248</v>
      </c>
      <c r="M1" s="1">
        <f>MATCH($L$1,$A$2:$A$6,0)</f>
        <v>1</v>
      </c>
    </row>
    <row r="2" ht="14.25" customHeight="1">
      <c r="A2" s="343" t="s">
        <v>248</v>
      </c>
      <c r="B2" s="274" t="str">
        <f>SUMPRODUCT(caltoccftra*(Years=B$1))</f>
        <v>#DIV/0!</v>
      </c>
      <c r="C2" s="274" t="str">
        <f>SUMPRODUCT(caltoccftra*(Years=C$1))</f>
        <v>#DIV/0!</v>
      </c>
      <c r="D2" s="274" t="str">
        <f>SUMPRODUCT(caltoccftra*(Years=D$1))</f>
        <v>#DIV/0!</v>
      </c>
      <c r="E2" s="274" t="str">
        <f>SUMPRODUCT(caltoccftra*(Years=E$1))</f>
        <v>#DIV/0!</v>
      </c>
      <c r="F2" s="274" t="str">
        <f>SUMPRODUCT(caltoccftra*(Years=F$1))</f>
        <v>#DIV/0!</v>
      </c>
      <c r="G2" s="274" t="str">
        <f>SUMPRODUCT(caltoccftra*(Years=G$1))</f>
        <v>#DIV/0!</v>
      </c>
      <c r="H2" s="274" t="str">
        <f>SUMPRODUCT(caltoccftra*(Years=H$1))</f>
        <v>#DIV/0!</v>
      </c>
      <c r="I2" s="274" t="str">
        <f>SUMPRODUCT(caltoccftra*(Years=I$1))</f>
        <v>#DIV/0!</v>
      </c>
      <c r="J2" s="344" t="str">
        <f t="shared" ref="J2:J6" si="1">(I2-B2)/B2</f>
        <v>#DIV/0!</v>
      </c>
      <c r="M2" s="1">
        <v>1.0</v>
      </c>
      <c r="N2" s="1">
        <v>2.0</v>
      </c>
      <c r="O2" s="1">
        <v>3.0</v>
      </c>
      <c r="P2" s="1">
        <v>4.0</v>
      </c>
      <c r="Q2" s="1">
        <v>5.0</v>
      </c>
      <c r="R2" s="1">
        <v>6.0</v>
      </c>
      <c r="S2" s="1">
        <v>7.0</v>
      </c>
      <c r="T2" s="1">
        <v>8.0</v>
      </c>
    </row>
    <row r="3" ht="14.25" customHeight="1">
      <c r="A3" s="345" t="s">
        <v>2069</v>
      </c>
      <c r="B3" s="274" t="str">
        <f>SUMPRODUCT(callqfcftra*(Years=B$1))</f>
        <v>#DIV/0!</v>
      </c>
      <c r="C3" s="274" t="str">
        <f>SUMPRODUCT(callqfcftra*(Years=C$1))</f>
        <v>#DIV/0!</v>
      </c>
      <c r="D3" s="274" t="str">
        <f>SUMPRODUCT(callqfcftra*(Years=D$1))</f>
        <v>#DIV/0!</v>
      </c>
      <c r="E3" s="274" t="str">
        <f>SUMPRODUCT(callqfcftra*(Years=E$1))</f>
        <v>#DIV/0!</v>
      </c>
      <c r="F3" s="274" t="str">
        <f>SUMPRODUCT(callqfcftra*(Years=F$1))</f>
        <v>#DIV/0!</v>
      </c>
      <c r="G3" s="274" t="str">
        <f>SUMPRODUCT(callqfcftra*(Years=G$1))</f>
        <v>#DIV/0!</v>
      </c>
      <c r="H3" s="274" t="str">
        <f>SUMPRODUCT(callqfcftra*(Years=H$1))</f>
        <v>#DIV/0!</v>
      </c>
      <c r="I3" s="274" t="str">
        <f>SUMPRODUCT(callqfcftra*(Years=I$1))</f>
        <v>#DIV/0!</v>
      </c>
      <c r="J3" s="344" t="str">
        <f t="shared" si="1"/>
        <v>#DIV/0!</v>
      </c>
      <c r="L3" s="1" t="s">
        <v>814</v>
      </c>
      <c r="M3" s="455" t="str">
        <f t="shared" ref="M3:T3" si="2">INDEX($B$2:$I$6,$M$1,M$2)</f>
        <v>#DIV/0!</v>
      </c>
      <c r="N3" s="455" t="str">
        <f t="shared" si="2"/>
        <v>#DIV/0!</v>
      </c>
      <c r="O3" s="455" t="str">
        <f t="shared" si="2"/>
        <v>#DIV/0!</v>
      </c>
      <c r="P3" s="455" t="str">
        <f t="shared" si="2"/>
        <v>#DIV/0!</v>
      </c>
      <c r="Q3" s="455" t="str">
        <f t="shared" si="2"/>
        <v>#DIV/0!</v>
      </c>
      <c r="R3" s="455" t="str">
        <f t="shared" si="2"/>
        <v>#DIV/0!</v>
      </c>
      <c r="S3" s="455" t="str">
        <f t="shared" si="2"/>
        <v>#DIV/0!</v>
      </c>
      <c r="T3" s="455" t="str">
        <f t="shared" si="2"/>
        <v>#DIV/0!</v>
      </c>
    </row>
    <row r="4" ht="14.25" customHeight="1">
      <c r="A4" s="345" t="s">
        <v>2070</v>
      </c>
      <c r="B4" s="274" t="str">
        <f>SUMPRODUCT(calgazcftra*(Years=B$1))</f>
        <v>#DIV/0!</v>
      </c>
      <c r="C4" s="274" t="str">
        <f>SUMPRODUCT(calgazcftra*(Years=C$1))</f>
        <v>#DIV/0!</v>
      </c>
      <c r="D4" s="274" t="str">
        <f>SUMPRODUCT(calgazcftra*(Years=D$1))</f>
        <v>#DIV/0!</v>
      </c>
      <c r="E4" s="274" t="str">
        <f>SUMPRODUCT(calgazcftra*(Years=E$1))</f>
        <v>#DIV/0!</v>
      </c>
      <c r="F4" s="274" t="str">
        <f>SUMPRODUCT(calgazcftra*(Years=F$1))</f>
        <v>#DIV/0!</v>
      </c>
      <c r="G4" s="274" t="str">
        <f>SUMPRODUCT(calgazcftra*(Years=G$1))</f>
        <v>#DIV/0!</v>
      </c>
      <c r="H4" s="274" t="str">
        <f>SUMPRODUCT(calgazcftra*(Years=H$1))</f>
        <v>#DIV/0!</v>
      </c>
      <c r="I4" s="274" t="str">
        <f>SUMPRODUCT(calgazcftra*(Years=I$1))</f>
        <v>#DIV/0!</v>
      </c>
      <c r="J4" s="344" t="str">
        <f t="shared" si="1"/>
        <v>#DIV/0!</v>
      </c>
      <c r="L4" s="1" t="s">
        <v>815</v>
      </c>
      <c r="M4" s="346">
        <f t="shared" ref="M4:T4" si="3">INDEX($B$8:$I$12,$M$1,M$2)</f>
        <v>103.2048584</v>
      </c>
      <c r="N4" s="346">
        <f t="shared" si="3"/>
        <v>102.4127966</v>
      </c>
      <c r="O4" s="346">
        <f t="shared" si="3"/>
        <v>0</v>
      </c>
      <c r="P4" s="346">
        <f t="shared" si="3"/>
        <v>0</v>
      </c>
      <c r="Q4" s="346">
        <f t="shared" si="3"/>
        <v>0</v>
      </c>
      <c r="R4" s="346">
        <f t="shared" si="3"/>
        <v>0</v>
      </c>
      <c r="S4" s="346">
        <f t="shared" si="3"/>
        <v>0</v>
      </c>
      <c r="T4" s="346">
        <f t="shared" si="3"/>
        <v>0</v>
      </c>
    </row>
    <row r="5" ht="14.25" customHeight="1">
      <c r="A5" s="345" t="s">
        <v>2071</v>
      </c>
      <c r="B5" s="274" t="str">
        <f>SUMPRODUCT(calhydcftra*(Years=B$1))</f>
        <v>#DIV/0!</v>
      </c>
      <c r="C5" s="274" t="str">
        <f>SUMPRODUCT(calhydcftra*(Years=C$1))</f>
        <v>#DIV/0!</v>
      </c>
      <c r="D5" s="274" t="str">
        <f>SUMPRODUCT(calhydcftra*(Years=D$1))</f>
        <v>#DIV/0!</v>
      </c>
      <c r="E5" s="274" t="str">
        <f>SUMPRODUCT(calhydcftra*(Years=E$1))</f>
        <v>#DIV/0!</v>
      </c>
      <c r="F5" s="274" t="str">
        <f>SUMPRODUCT(calhydcftra*(Years=F$1))</f>
        <v>#DIV/0!</v>
      </c>
      <c r="G5" s="274" t="str">
        <f>SUMPRODUCT(calhydcftra*(Years=G$1))</f>
        <v>#DIV/0!</v>
      </c>
      <c r="H5" s="274" t="str">
        <f>SUMPRODUCT(calhydcftra*(Years=H$1))</f>
        <v>#DIV/0!</v>
      </c>
      <c r="I5" s="274" t="str">
        <f>SUMPRODUCT(calhydcftra*(Years=I$1))</f>
        <v>#DIV/0!</v>
      </c>
      <c r="J5" s="344" t="str">
        <f t="shared" si="1"/>
        <v>#DIV/0!</v>
      </c>
    </row>
    <row r="6" ht="14.25" customHeight="1">
      <c r="A6" s="345" t="s">
        <v>817</v>
      </c>
      <c r="B6" s="274" t="str">
        <f>SUMPRODUCT(calelccftra*(Years=B$1))</f>
        <v>#DIV/0!</v>
      </c>
      <c r="C6" s="274" t="str">
        <f>SUMPRODUCT(calelccftra*(Years=C$1))</f>
        <v>#DIV/0!</v>
      </c>
      <c r="D6" s="274" t="str">
        <f>SUMPRODUCT(calelccftra*(Years=D$1))</f>
        <v>#DIV/0!</v>
      </c>
      <c r="E6" s="274" t="str">
        <f>SUMPRODUCT(calelccftra*(Years=E$1))</f>
        <v>#DIV/0!</v>
      </c>
      <c r="F6" s="274" t="str">
        <f>SUMPRODUCT(calelccftra*(Years=F$1))</f>
        <v>#DIV/0!</v>
      </c>
      <c r="G6" s="274" t="str">
        <f>SUMPRODUCT(calelccftra*(Years=G$1))</f>
        <v>#DIV/0!</v>
      </c>
      <c r="H6" s="274" t="str">
        <f>SUMPRODUCT(calelccftra*(Years=H$1))</f>
        <v>#DIV/0!</v>
      </c>
      <c r="I6" s="274" t="str">
        <f>SUMPRODUCT(calelccftra*(Years=I$1))</f>
        <v>#DIV/0!</v>
      </c>
      <c r="J6" s="344" t="str">
        <f t="shared" si="1"/>
        <v>#DIV/0!</v>
      </c>
    </row>
    <row r="7" ht="14.25" customHeight="1">
      <c r="A7" s="347" t="s">
        <v>821</v>
      </c>
      <c r="B7" s="67"/>
      <c r="C7" s="67"/>
      <c r="D7" s="67"/>
      <c r="E7" s="67"/>
      <c r="F7" s="67"/>
      <c r="G7" s="67"/>
      <c r="H7" s="67"/>
      <c r="I7" s="67"/>
      <c r="J7" s="68"/>
    </row>
    <row r="8" ht="14.25" customHeight="1">
      <c r="A8" s="180" t="s">
        <v>822</v>
      </c>
      <c r="B8" s="348">
        <f>SUMPRODUCT(toccftra*(Years=B$1))</f>
        <v>103.2048584</v>
      </c>
      <c r="C8" s="348">
        <f>SUMPRODUCT(toccftra*(Years=C$1))</f>
        <v>102.4127966</v>
      </c>
      <c r="D8" s="348">
        <f>SUMPRODUCT(toccftra*(Years=D$1))</f>
        <v>0</v>
      </c>
      <c r="E8" s="348">
        <f>SUMPRODUCT(toccftra*(Years=E$1))</f>
        <v>0</v>
      </c>
      <c r="F8" s="348">
        <f>SUMPRODUCT(toccftra*(Years=F$1))</f>
        <v>0</v>
      </c>
      <c r="G8" s="348">
        <f>SUMPRODUCT(toccftra*(Years=G$1))</f>
        <v>0</v>
      </c>
      <c r="H8" s="348">
        <f>SUMPRODUCT(toccftra*(Years=H$1))</f>
        <v>0</v>
      </c>
      <c r="I8" s="348">
        <f>SUMPRODUCT(toccftra*(Years=I$1))</f>
        <v>0</v>
      </c>
      <c r="J8" s="349">
        <f t="shared" ref="J8:J12" si="4">(I8-B8)/B8</f>
        <v>-1</v>
      </c>
    </row>
    <row r="9" ht="14.25" customHeight="1">
      <c r="A9" s="122" t="s">
        <v>2072</v>
      </c>
      <c r="B9" s="348">
        <f>SUMPRODUCT(lqfcftra*(Years=B$1))</f>
        <v>101.5995551</v>
      </c>
      <c r="C9" s="348">
        <f>SUMPRODUCT(lqfcftra*(Years=C$1))</f>
        <v>100.3812667</v>
      </c>
      <c r="D9" s="348">
        <f>SUMPRODUCT(lqfcftra*(Years=D$1))</f>
        <v>0</v>
      </c>
      <c r="E9" s="348">
        <f>SUMPRODUCT(lqfcftra*(Years=E$1))</f>
        <v>0</v>
      </c>
      <c r="F9" s="348">
        <f>SUMPRODUCT(lqfcftra*(Years=F$1))</f>
        <v>0</v>
      </c>
      <c r="G9" s="348">
        <f>SUMPRODUCT(lqfcftra*(Years=G$1))</f>
        <v>0</v>
      </c>
      <c r="H9" s="348">
        <f>SUMPRODUCT(lqfcftra*(Years=H$1))</f>
        <v>0</v>
      </c>
      <c r="I9" s="348">
        <f>SUMPRODUCT(lqfcftra*(Years=I$1))</f>
        <v>0</v>
      </c>
      <c r="J9" s="349">
        <f t="shared" si="4"/>
        <v>-1</v>
      </c>
    </row>
    <row r="10" ht="14.25" customHeight="1">
      <c r="A10" s="122" t="s">
        <v>2073</v>
      </c>
      <c r="B10" s="348">
        <f>SUMPRODUCT(gazcftra*(Years=B$1))</f>
        <v>0.03860325453</v>
      </c>
      <c r="C10" s="348">
        <f>SUMPRODUCT(gazcftra*(Years=C$1))</f>
        <v>0.3249299614</v>
      </c>
      <c r="D10" s="348">
        <f>SUMPRODUCT(gazcftra*(Years=D$1))</f>
        <v>0</v>
      </c>
      <c r="E10" s="348">
        <f>SUMPRODUCT(gazcftra*(Years=E$1))</f>
        <v>0</v>
      </c>
      <c r="F10" s="348">
        <f>SUMPRODUCT(gazcftra*(Years=F$1))</f>
        <v>0</v>
      </c>
      <c r="G10" s="348">
        <f>SUMPRODUCT(gazcftra*(Years=G$1))</f>
        <v>0</v>
      </c>
      <c r="H10" s="348">
        <f>SUMPRODUCT(gazcftra*(Years=H$1))</f>
        <v>0</v>
      </c>
      <c r="I10" s="348">
        <f>SUMPRODUCT(gazcftra*(Years=I$1))</f>
        <v>0</v>
      </c>
      <c r="J10" s="349">
        <f t="shared" si="4"/>
        <v>-1</v>
      </c>
    </row>
    <row r="11" ht="14.25" customHeight="1">
      <c r="A11" s="122" t="s">
        <v>2074</v>
      </c>
      <c r="B11" s="348">
        <f>SUMPRODUCT(hydcftra*(Years=B$1))</f>
        <v>0</v>
      </c>
      <c r="C11" s="348">
        <f>SUMPRODUCT(hydcftra*(Years=C$1))</f>
        <v>0</v>
      </c>
      <c r="D11" s="348">
        <f>SUMPRODUCT(hydcftra*(Years=D$1))</f>
        <v>0</v>
      </c>
      <c r="E11" s="348">
        <f>SUMPRODUCT(hydcftra*(Years=E$1))</f>
        <v>0</v>
      </c>
      <c r="F11" s="348">
        <f>SUMPRODUCT(hydcftra*(Years=F$1))</f>
        <v>0</v>
      </c>
      <c r="G11" s="348">
        <f>SUMPRODUCT(hydcftra*(Years=G$1))</f>
        <v>0</v>
      </c>
      <c r="H11" s="348">
        <f>SUMPRODUCT(hydcftra*(Years=H$1))</f>
        <v>0</v>
      </c>
      <c r="I11" s="348">
        <f>SUMPRODUCT(hydcftra*(Years=I$1))</f>
        <v>0</v>
      </c>
      <c r="J11" s="349" t="str">
        <f t="shared" si="4"/>
        <v>#DIV/0!</v>
      </c>
    </row>
    <row r="12" ht="14.25" customHeight="1">
      <c r="A12" s="122" t="s">
        <v>827</v>
      </c>
      <c r="B12" s="348">
        <f>SUMPRODUCT(elccftra*(Years=B$1))</f>
        <v>1.5667</v>
      </c>
      <c r="C12" s="348">
        <f>SUMPRODUCT(elccftra*(Years=C$1))</f>
        <v>1.7066</v>
      </c>
      <c r="D12" s="348">
        <f>SUMPRODUCT(elccftra*(Years=D$1))</f>
        <v>0</v>
      </c>
      <c r="E12" s="348">
        <f>SUMPRODUCT(elccftra*(Years=E$1))</f>
        <v>0</v>
      </c>
      <c r="F12" s="348">
        <f>SUMPRODUCT(elccftra*(Years=F$1))</f>
        <v>0</v>
      </c>
      <c r="G12" s="348">
        <f>SUMPRODUCT(elccftra*(Years=G$1))</f>
        <v>0</v>
      </c>
      <c r="H12" s="348">
        <f>SUMPRODUCT(elccftra*(Years=H$1))</f>
        <v>0</v>
      </c>
      <c r="I12" s="348">
        <f>SUMPRODUCT(elccftra*(Years=I$1))</f>
        <v>0</v>
      </c>
      <c r="J12" s="349">
        <f t="shared" si="4"/>
        <v>-1</v>
      </c>
    </row>
    <row r="13" ht="14.25" customHeight="1"/>
    <row r="14" ht="14.25" customHeight="1"/>
    <row r="15" ht="14.25" customHeight="1">
      <c r="A15" s="340" t="s">
        <v>2075</v>
      </c>
      <c r="B15" s="62">
        <f>ReferenceYear</f>
        <v>2015</v>
      </c>
      <c r="C15" s="62">
        <f>IFERROR(IF(B15+5&lt;=TargetYear,B15+5,""),"")</f>
        <v>2020</v>
      </c>
      <c r="D15" s="62">
        <f>IFERROR(IF(C15+5&lt;=TargetYear,C15+5,""),"")</f>
        <v>2025</v>
      </c>
      <c r="E15" s="62">
        <f>IFERROR(IF(D15+5&lt;=TargetYear,D15+5,""),"")</f>
        <v>2030</v>
      </c>
      <c r="F15" s="62">
        <f>IFERROR(IF(E15+5&lt;=TargetYear,E15+5,""),"")</f>
        <v>2035</v>
      </c>
      <c r="G15" s="62">
        <f>IFERROR(IF(F15+5&lt;=TargetYear,F15+5,""),"")</f>
        <v>2040</v>
      </c>
      <c r="H15" s="62">
        <f>IFERROR(IF(G15+5&lt;=TargetYear,G15+5,""),"")</f>
        <v>2045</v>
      </c>
      <c r="I15" s="62">
        <f>IFERROR(IF(H15+5&lt;=TargetYear,H15+5,""),"")</f>
        <v>2050</v>
      </c>
      <c r="J15" s="341" t="s">
        <v>812</v>
      </c>
    </row>
    <row r="16" ht="14.25" customHeight="1">
      <c r="A16" s="343" t="s">
        <v>248</v>
      </c>
      <c r="B16" s="274" t="str">
        <f>SUMPRODUCT(caltoccftra*(Years=B$1))</f>
        <v>#DIV/0!</v>
      </c>
      <c r="C16" s="274" t="str">
        <f>SUMPRODUCT(caltoccftra*(Years=C$1))</f>
        <v>#DIV/0!</v>
      </c>
      <c r="D16" s="274" t="str">
        <f>SUMPRODUCT(caltoccftra*(Years=D$1))</f>
        <v>#DIV/0!</v>
      </c>
      <c r="E16" s="274" t="str">
        <f>SUMPRODUCT(caltoccftra*(Years=E$1))</f>
        <v>#DIV/0!</v>
      </c>
      <c r="F16" s="274" t="str">
        <f>SUMPRODUCT(caltoccftra*(Years=F$1))</f>
        <v>#DIV/0!</v>
      </c>
      <c r="G16" s="274" t="str">
        <f>SUMPRODUCT(caltoccftra*(Years=G$1))</f>
        <v>#DIV/0!</v>
      </c>
      <c r="H16" s="274" t="str">
        <f>SUMPRODUCT(caltoccftra*(Years=H$1))</f>
        <v>#DIV/0!</v>
      </c>
      <c r="I16" s="274" t="str">
        <f>SUMPRODUCT(caltoccftra*(Years=I$1))</f>
        <v>#DIV/0!</v>
      </c>
      <c r="J16" s="344" t="str">
        <f t="shared" ref="J16:J18" si="5">(I16-B16)/B16</f>
        <v>#DIV/0!</v>
      </c>
    </row>
    <row r="17" ht="14.25" customHeight="1">
      <c r="A17" s="345" t="s">
        <v>28</v>
      </c>
      <c r="B17" s="274" t="str">
        <f t="array" ref="B17">SUMPRODUCT(recaltoccfmob*(Years=B$1))</f>
        <v>#DIV/0!</v>
      </c>
      <c r="C17" s="274" t="str">
        <f t="array" ref="C17">SUMPRODUCT(recaltoccfmob*(Years=C$1))</f>
        <v>#DIV/0!</v>
      </c>
      <c r="D17" s="274" t="str">
        <f t="array" ref="D17">SUMPRODUCT(recaltoccfmob*(Years=D$1))</f>
        <v>#DIV/0!</v>
      </c>
      <c r="E17" s="274" t="str">
        <f t="array" ref="E17">SUMPRODUCT(recaltoccfmob*(Years=E$1))</f>
        <v>#DIV/0!</v>
      </c>
      <c r="F17" s="274" t="str">
        <f t="array" ref="F17">SUMPRODUCT(recaltoccfmob*(Years=F$1))</f>
        <v>#DIV/0!</v>
      </c>
      <c r="G17" s="274" t="str">
        <f t="array" ref="G17">SUMPRODUCT(recaltoccfmob*(Years=G$1))</f>
        <v>#DIV/0!</v>
      </c>
      <c r="H17" s="274" t="str">
        <f t="array" ref="H17">SUMPRODUCT(recaltoccfmob*(Years=H$1))</f>
        <v>#DIV/0!</v>
      </c>
      <c r="I17" s="274" t="str">
        <f t="array" ref="I17">SUMPRODUCT(recaltoccfmob*(Years=I$1))</f>
        <v>#DIV/0!</v>
      </c>
      <c r="J17" s="344" t="str">
        <f t="shared" si="5"/>
        <v>#DIV/0!</v>
      </c>
    </row>
    <row r="18" ht="14.25" customHeight="1">
      <c r="A18" s="345" t="s">
        <v>29</v>
      </c>
      <c r="B18" s="274" t="str">
        <f t="array" ref="B18">SUMPRODUCT(recaltoccffre*(Years=B$1))</f>
        <v>#DIV/0!</v>
      </c>
      <c r="C18" s="274" t="str">
        <f t="array" ref="C18">SUMPRODUCT(recaltoccffre*(Years=C$1))</f>
        <v>#DIV/0!</v>
      </c>
      <c r="D18" s="274" t="str">
        <f t="array" ref="D18">SUMPRODUCT(recaltoccffre*(Years=D$1))</f>
        <v>#DIV/0!</v>
      </c>
      <c r="E18" s="274" t="str">
        <f t="array" ref="E18">SUMPRODUCT(recaltoccffre*(Years=E$1))</f>
        <v>#DIV/0!</v>
      </c>
      <c r="F18" s="274" t="str">
        <f t="array" ref="F18">SUMPRODUCT(recaltoccffre*(Years=F$1))</f>
        <v>#DIV/0!</v>
      </c>
      <c r="G18" s="274" t="str">
        <f t="array" ref="G18">SUMPRODUCT(recaltoccffre*(Years=G$1))</f>
        <v>#DIV/0!</v>
      </c>
      <c r="H18" s="274" t="str">
        <f t="array" ref="H18">SUMPRODUCT(recaltoccffre*(Years=H$1))</f>
        <v>#DIV/0!</v>
      </c>
      <c r="I18" s="274" t="str">
        <f t="array" ref="I18">SUMPRODUCT(recaltoccffre*(Years=I$1))</f>
        <v>#DIV/0!</v>
      </c>
      <c r="J18" s="344" t="str">
        <f t="shared" si="5"/>
        <v>#DIV/0!</v>
      </c>
    </row>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7:J7"/>
  </mergeCells>
  <dataValidations>
    <dataValidation type="list" allowBlank="1" showErrorMessage="1" sqref="L1">
      <formula1>$A$2:$A$6</formula1>
    </dataValidation>
  </dataValidations>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4D2F2"/>
    <pageSetUpPr/>
  </sheetPr>
  <sheetViews>
    <sheetView showGridLines="0" workbookViewId="0"/>
  </sheetViews>
  <sheetFormatPr customHeight="1" defaultColWidth="14.43" defaultRowHeight="15.0"/>
  <cols>
    <col customWidth="1" min="1" max="26" width="10.57"/>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paperSize="9"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43C3C"/>
    <pageSetUpPr/>
  </sheetPr>
  <sheetViews>
    <sheetView showGridLines="0" workbookViewId="0">
      <pane xSplit="7.0" ySplit="2.0" topLeftCell="H3" activePane="bottomRight" state="frozen"/>
      <selection activeCell="H1" sqref="H1" pane="topRight"/>
      <selection activeCell="A3" sqref="A3" pane="bottomLeft"/>
      <selection activeCell="H3" sqref="H3" pane="bottomRight"/>
    </sheetView>
  </sheetViews>
  <sheetFormatPr customHeight="1" defaultColWidth="14.43" defaultRowHeight="15.0" outlineLevelCol="1" outlineLevelRow="3"/>
  <cols>
    <col customWidth="1" min="1" max="4" width="2.43"/>
    <col customWidth="1" min="5" max="5" width="78.43"/>
    <col customWidth="1" min="6" max="6" width="19.43"/>
    <col customWidth="1" min="7" max="7" width="15.57"/>
    <col customWidth="1" hidden="1" min="8" max="22" width="10.57" outlineLevel="1"/>
    <col customWidth="1" min="23" max="23" width="10.57"/>
    <col customWidth="1" hidden="1" min="24" max="27" width="10.57" outlineLevel="1"/>
    <col customWidth="1" min="28" max="37" width="10.57"/>
    <col customWidth="1" min="38" max="38" width="55.43"/>
    <col customWidth="1" min="39" max="39" width="97.43"/>
    <col customWidth="1" min="40" max="40" width="6.43"/>
  </cols>
  <sheetData>
    <row r="1" ht="14.25" customHeight="1">
      <c r="A1" s="147" t="s">
        <v>49</v>
      </c>
      <c r="B1" s="148"/>
      <c r="C1" s="148"/>
      <c r="D1" s="148"/>
      <c r="E1" s="149"/>
      <c r="F1" s="114" t="s">
        <v>50</v>
      </c>
      <c r="G1" s="114" t="s">
        <v>51</v>
      </c>
      <c r="H1" s="114">
        <v>2000.0</v>
      </c>
      <c r="I1" s="114">
        <v>2001.0</v>
      </c>
      <c r="J1" s="114">
        <v>2002.0</v>
      </c>
      <c r="K1" s="114">
        <v>2003.0</v>
      </c>
      <c r="L1" s="114">
        <v>2004.0</v>
      </c>
      <c r="M1" s="114">
        <v>2005.0</v>
      </c>
      <c r="N1" s="114">
        <v>2006.0</v>
      </c>
      <c r="O1" s="114">
        <v>2007.0</v>
      </c>
      <c r="P1" s="114">
        <v>2008.0</v>
      </c>
      <c r="Q1" s="114">
        <v>2009.0</v>
      </c>
      <c r="R1" s="114">
        <v>2010.0</v>
      </c>
      <c r="S1" s="114">
        <v>2011.0</v>
      </c>
      <c r="T1" s="114">
        <v>2012.0</v>
      </c>
      <c r="U1" s="114">
        <v>2013.0</v>
      </c>
      <c r="V1" s="114">
        <v>2014.0</v>
      </c>
      <c r="W1" s="114">
        <f>ReferenceYear</f>
        <v>2015</v>
      </c>
      <c r="X1" s="114">
        <v>2016.0</v>
      </c>
      <c r="Y1" s="114">
        <v>2017.0</v>
      </c>
      <c r="Z1" s="114">
        <v>2018.0</v>
      </c>
      <c r="AA1" s="114">
        <v>2019.0</v>
      </c>
      <c r="AB1" s="114">
        <f>IFERROR(IF(W1+5&lt;=TargetYear,W1+5,""),"")</f>
        <v>2020</v>
      </c>
      <c r="AC1" s="114">
        <f>IFERROR(IF(AB1+5&lt;=TargetYear,AB1+5,""),"")</f>
        <v>2025</v>
      </c>
      <c r="AD1" s="114">
        <f>IFERROR(IF(AC1+5&lt;=TargetYear,AC1+5,""),"")</f>
        <v>2030</v>
      </c>
      <c r="AE1" s="114">
        <f>IFERROR(IF(AD1+5&lt;=TargetYear,AD1+5,""),"")</f>
        <v>2035</v>
      </c>
      <c r="AF1" s="114">
        <f>IFERROR(IF(AE1+5&lt;=TargetYear,AE1+5,""),"")</f>
        <v>2040</v>
      </c>
      <c r="AG1" s="114">
        <f>IFERROR(IF(AF1+5&lt;=TargetYear,AF1+5,""),"")</f>
        <v>2045</v>
      </c>
      <c r="AH1" s="114">
        <f>IFERROR(IF(AG1+5&lt;=TargetYear,AG1+5,""),"")</f>
        <v>2050</v>
      </c>
      <c r="AI1" s="114" t="s">
        <v>52</v>
      </c>
      <c r="AJ1" s="114" t="s">
        <v>53</v>
      </c>
      <c r="AK1" s="114" t="s">
        <v>54</v>
      </c>
      <c r="AL1" s="114" t="s">
        <v>55</v>
      </c>
      <c r="AM1" s="114" t="s">
        <v>56</v>
      </c>
      <c r="AN1" s="150"/>
    </row>
    <row r="2" ht="14.25" customHeight="1">
      <c r="A2" s="456"/>
      <c r="B2" s="457"/>
      <c r="C2" s="457"/>
      <c r="D2" s="457"/>
      <c r="E2" s="457"/>
      <c r="F2" s="457"/>
      <c r="G2" s="457"/>
      <c r="H2" s="457" t="s">
        <v>2076</v>
      </c>
      <c r="I2" s="457" t="s">
        <v>2076</v>
      </c>
      <c r="J2" s="457" t="s">
        <v>2076</v>
      </c>
      <c r="K2" s="457" t="s">
        <v>2076</v>
      </c>
      <c r="L2" s="457" t="s">
        <v>2076</v>
      </c>
      <c r="M2" s="457" t="s">
        <v>2076</v>
      </c>
      <c r="N2" s="457" t="s">
        <v>2076</v>
      </c>
      <c r="O2" s="457" t="s">
        <v>2076</v>
      </c>
      <c r="P2" s="457" t="s">
        <v>2076</v>
      </c>
      <c r="Q2" s="457" t="s">
        <v>2076</v>
      </c>
      <c r="R2" s="457" t="s">
        <v>2076</v>
      </c>
      <c r="S2" s="457" t="s">
        <v>2076</v>
      </c>
      <c r="T2" s="457" t="s">
        <v>2076</v>
      </c>
      <c r="U2" s="457" t="s">
        <v>2076</v>
      </c>
      <c r="V2" s="457" t="s">
        <v>2076</v>
      </c>
      <c r="W2" s="457" t="s">
        <v>2077</v>
      </c>
      <c r="X2" s="457" t="s">
        <v>2076</v>
      </c>
      <c r="Y2" s="457" t="s">
        <v>2076</v>
      </c>
      <c r="Z2" s="457" t="s">
        <v>2076</v>
      </c>
      <c r="AA2" s="457" t="s">
        <v>2077</v>
      </c>
      <c r="AB2" s="457" t="s">
        <v>2077</v>
      </c>
      <c r="AC2" s="457" t="s">
        <v>2077</v>
      </c>
      <c r="AD2" s="457" t="s">
        <v>2077</v>
      </c>
      <c r="AE2" s="457" t="s">
        <v>2077</v>
      </c>
      <c r="AF2" s="457" t="s">
        <v>2077</v>
      </c>
      <c r="AG2" s="457" t="s">
        <v>2077</v>
      </c>
      <c r="AH2" s="457" t="s">
        <v>2077</v>
      </c>
      <c r="AI2" s="457"/>
      <c r="AJ2" s="457"/>
      <c r="AK2" s="457"/>
      <c r="AL2" s="457"/>
      <c r="AM2" s="457"/>
      <c r="AN2" s="458"/>
    </row>
    <row r="3" ht="14.25" customHeight="1">
      <c r="A3" s="222" t="str">
        <f>"Industry"&amp;Industry_Calculation!E27</f>
        <v>Industry - Belgium</v>
      </c>
      <c r="B3" s="223"/>
      <c r="C3" s="223"/>
      <c r="D3" s="223"/>
      <c r="E3" s="223"/>
      <c r="F3" s="223"/>
      <c r="G3" s="223"/>
      <c r="H3" s="459"/>
      <c r="I3" s="459"/>
      <c r="J3" s="459"/>
      <c r="K3" s="459"/>
      <c r="L3" s="459"/>
      <c r="M3" s="459"/>
      <c r="N3" s="459"/>
      <c r="O3" s="459"/>
      <c r="P3" s="459"/>
      <c r="Q3" s="459"/>
      <c r="R3" s="459"/>
      <c r="S3" s="459"/>
      <c r="T3" s="459"/>
      <c r="U3" s="459"/>
      <c r="V3" s="459"/>
      <c r="W3" s="460"/>
      <c r="X3" s="460"/>
      <c r="Y3" s="460"/>
      <c r="Z3" s="460"/>
      <c r="AA3" s="460"/>
      <c r="AB3" s="460"/>
      <c r="AC3" s="460"/>
      <c r="AD3" s="460"/>
      <c r="AE3" s="460"/>
      <c r="AF3" s="460"/>
      <c r="AG3" s="460"/>
      <c r="AH3" s="460"/>
      <c r="AI3" s="461"/>
      <c r="AJ3" s="461"/>
      <c r="AK3" s="461"/>
      <c r="AL3" s="461"/>
      <c r="AM3" s="462"/>
      <c r="AN3" s="176"/>
    </row>
    <row r="4" ht="9.75" customHeight="1">
      <c r="A4" s="166"/>
      <c r="B4" s="167"/>
      <c r="C4" s="167"/>
      <c r="D4" s="167"/>
      <c r="E4" s="167"/>
      <c r="F4" s="168"/>
      <c r="G4" s="168"/>
      <c r="H4" s="169"/>
      <c r="I4" s="169"/>
      <c r="J4" s="169"/>
      <c r="K4" s="169"/>
      <c r="L4" s="169"/>
      <c r="M4" s="169"/>
      <c r="N4" s="169"/>
      <c r="O4" s="169"/>
      <c r="P4" s="169"/>
      <c r="Q4" s="169"/>
      <c r="R4" s="169"/>
      <c r="S4" s="169"/>
      <c r="T4" s="169"/>
      <c r="U4" s="169"/>
      <c r="V4" s="169"/>
      <c r="W4" s="169"/>
      <c r="X4" s="169"/>
      <c r="Y4" s="169"/>
      <c r="Z4" s="169"/>
      <c r="AA4" s="169"/>
      <c r="AB4" s="169"/>
      <c r="AC4" s="169"/>
      <c r="AD4" s="169"/>
      <c r="AE4" s="169"/>
      <c r="AF4" s="169"/>
      <c r="AG4" s="169"/>
      <c r="AH4" s="169"/>
      <c r="AI4" s="448"/>
      <c r="AJ4" s="448"/>
      <c r="AK4" s="448"/>
      <c r="AL4" s="448"/>
      <c r="AM4" s="167"/>
      <c r="AN4" s="102"/>
    </row>
    <row r="5" ht="14.25" customHeight="1">
      <c r="A5" s="463" t="s">
        <v>2078</v>
      </c>
      <c r="B5" s="162"/>
      <c r="C5" s="162"/>
      <c r="D5" s="195"/>
      <c r="E5" s="162"/>
      <c r="F5" s="464" t="str">
        <f>"Dashboard"&amp;Industry_Calculation!E27</f>
        <v>Dashboard - Belgium</v>
      </c>
      <c r="G5" s="162"/>
      <c r="H5" s="178"/>
      <c r="I5" s="178"/>
      <c r="J5" s="178"/>
      <c r="K5" s="178"/>
      <c r="L5" s="178"/>
      <c r="M5" s="178"/>
      <c r="N5" s="178"/>
      <c r="O5" s="178"/>
      <c r="P5" s="178"/>
      <c r="Q5" s="178"/>
      <c r="R5" s="178"/>
      <c r="S5" s="178"/>
      <c r="T5" s="178"/>
      <c r="U5" s="178"/>
      <c r="V5" s="178"/>
      <c r="W5" s="178"/>
      <c r="X5" s="178"/>
      <c r="Y5" s="178"/>
      <c r="Z5" s="178"/>
      <c r="AA5" s="178"/>
      <c r="AB5" s="178"/>
      <c r="AC5" s="178"/>
      <c r="AD5" s="178"/>
      <c r="AE5" s="178"/>
      <c r="AF5" s="178"/>
      <c r="AG5" s="178"/>
      <c r="AH5" s="178"/>
      <c r="AI5" s="271"/>
      <c r="AJ5" s="271"/>
      <c r="AK5" s="271"/>
      <c r="AL5" s="271"/>
      <c r="AM5" s="100"/>
      <c r="AN5" s="176"/>
    </row>
    <row r="6" ht="14.25" customHeight="1" outlineLevel="1">
      <c r="A6" s="465"/>
      <c r="B6" s="466" t="s">
        <v>2079</v>
      </c>
      <c r="C6" s="466"/>
      <c r="D6" s="467"/>
      <c r="E6" s="162"/>
      <c r="F6" s="162"/>
      <c r="G6" s="162"/>
      <c r="H6" s="178"/>
      <c r="I6" s="178"/>
      <c r="J6" s="178"/>
      <c r="K6" s="178"/>
      <c r="L6" s="178"/>
      <c r="M6" s="178"/>
      <c r="N6" s="178"/>
      <c r="O6" s="178"/>
      <c r="P6" s="178"/>
      <c r="Q6" s="178"/>
      <c r="R6" s="178"/>
      <c r="S6" s="178"/>
      <c r="T6" s="178"/>
      <c r="U6" s="178"/>
      <c r="V6" s="178"/>
      <c r="W6" s="178"/>
      <c r="X6" s="178"/>
      <c r="Y6" s="178"/>
      <c r="Z6" s="178"/>
      <c r="AA6" s="178"/>
      <c r="AB6" s="178"/>
      <c r="AC6" s="178"/>
      <c r="AD6" s="178"/>
      <c r="AE6" s="178"/>
      <c r="AF6" s="178"/>
      <c r="AG6" s="178"/>
      <c r="AH6" s="178"/>
      <c r="AI6" s="271"/>
      <c r="AJ6" s="271"/>
      <c r="AK6" s="271"/>
      <c r="AL6" s="271"/>
      <c r="AM6" s="100"/>
      <c r="AN6" s="176"/>
    </row>
    <row r="7" ht="14.25" customHeight="1" outlineLevel="2">
      <c r="A7" s="468"/>
      <c r="B7" s="466"/>
      <c r="C7" s="466" t="s">
        <v>2080</v>
      </c>
      <c r="D7" s="467"/>
      <c r="E7" s="162"/>
      <c r="F7" s="162"/>
      <c r="G7" s="162"/>
      <c r="H7" s="178"/>
      <c r="I7" s="178"/>
      <c r="J7" s="178"/>
      <c r="K7" s="178"/>
      <c r="L7" s="178"/>
      <c r="M7" s="178"/>
      <c r="N7" s="178"/>
      <c r="O7" s="178"/>
      <c r="P7" s="178"/>
      <c r="Q7" s="178"/>
      <c r="R7" s="178"/>
      <c r="S7" s="178"/>
      <c r="T7" s="178"/>
      <c r="U7" s="178"/>
      <c r="V7" s="178"/>
      <c r="W7" s="178"/>
      <c r="X7" s="178"/>
      <c r="Y7" s="178"/>
      <c r="Z7" s="178"/>
      <c r="AA7" s="178"/>
      <c r="AB7" s="178"/>
      <c r="AC7" s="178"/>
      <c r="AD7" s="178"/>
      <c r="AE7" s="178"/>
      <c r="AF7" s="178"/>
      <c r="AG7" s="178"/>
      <c r="AH7" s="178"/>
      <c r="AI7" s="271"/>
      <c r="AJ7" s="271"/>
      <c r="AK7" s="271"/>
      <c r="AL7" s="271"/>
      <c r="AM7" s="100"/>
      <c r="AN7" s="176"/>
    </row>
    <row r="8" ht="14.25" customHeight="1" outlineLevel="2">
      <c r="A8" s="468"/>
      <c r="B8" s="466"/>
      <c r="C8" s="469"/>
      <c r="D8" s="470" t="s">
        <v>2081</v>
      </c>
      <c r="E8" s="162"/>
      <c r="F8" s="162"/>
      <c r="G8" s="162"/>
      <c r="H8" s="178"/>
      <c r="I8" s="178"/>
      <c r="J8" s="178"/>
      <c r="K8" s="178"/>
      <c r="L8" s="178"/>
      <c r="M8" s="178"/>
      <c r="N8" s="178"/>
      <c r="O8" s="178"/>
      <c r="P8" s="178"/>
      <c r="Q8" s="178"/>
      <c r="R8" s="178"/>
      <c r="S8" s="178"/>
      <c r="T8" s="178"/>
      <c r="U8" s="178"/>
      <c r="V8" s="178"/>
      <c r="W8" s="178"/>
      <c r="X8" s="178"/>
      <c r="Y8" s="178"/>
      <c r="Z8" s="178"/>
      <c r="AA8" s="178"/>
      <c r="AB8" s="178"/>
      <c r="AC8" s="178"/>
      <c r="AD8" s="178"/>
      <c r="AE8" s="178"/>
      <c r="AF8" s="178"/>
      <c r="AG8" s="178"/>
      <c r="AH8" s="178"/>
      <c r="AI8" s="271"/>
      <c r="AJ8" s="271"/>
      <c r="AK8" s="271"/>
      <c r="AL8" s="271"/>
      <c r="AM8" s="100"/>
      <c r="AN8" s="176"/>
    </row>
    <row r="9" ht="14.25" customHeight="1" outlineLevel="3">
      <c r="A9" s="468"/>
      <c r="B9" s="162"/>
      <c r="C9" s="100"/>
      <c r="D9" s="100"/>
      <c r="E9" s="270" t="s">
        <v>2082</v>
      </c>
      <c r="F9" s="249" t="s">
        <v>2083</v>
      </c>
      <c r="G9" s="249" t="s">
        <v>2084</v>
      </c>
      <c r="H9" s="471" t="str">
        <f t="array" ref="H9">IFERROR(INDEX(Industry_Historical_Data!$A$1:$S$3000,MATCH(Industry!$G9&amp;Industry_Calculation!$D$27,Industry_Historical_Data!$A$1:$A$3000&amp;Industry_Historical_Data!$C$1:$C$3000,0&amp;0),MATCH(Industry!H$1,Industry_Historical_Data!$A$1:$S$1,0)),"")</f>
        <v/>
      </c>
      <c r="I9" s="471" t="str">
        <f t="array" ref="I9">IFERROR(INDEX(Industry_Historical_Data!$A$1:$S$3000,MATCH(Industry!$G9&amp;Industry_Calculation!$D$27,Industry_Historical_Data!$A$1:$A$3000&amp;Industry_Historical_Data!$C$1:$C$3000,0&amp;0),MATCH(Industry!I$1,Industry_Historical_Data!$A$1:$S$1,0)),"")</f>
        <v/>
      </c>
      <c r="J9" s="471" t="str">
        <f t="array" ref="J9">IFERROR(INDEX(Industry_Historical_Data!$A$1:$S$3000,MATCH(Industry!$G9&amp;Industry_Calculation!$D$27,Industry_Historical_Data!$A$1:$A$3000&amp;Industry_Historical_Data!$C$1:$C$3000,0&amp;0),MATCH(Industry!J$1,Industry_Historical_Data!$A$1:$S$1,0)),"")</f>
        <v/>
      </c>
      <c r="K9" s="471" t="str">
        <f t="array" ref="K9">IFERROR(INDEX(Industry_Historical_Data!$A$1:$S$3000,MATCH(Industry!$G9&amp;Industry_Calculation!$D$27,Industry_Historical_Data!$A$1:$A$3000&amp;Industry_Historical_Data!$C$1:$C$3000,0&amp;0),MATCH(Industry!K$1,Industry_Historical_Data!$A$1:$S$1,0)),"")</f>
        <v/>
      </c>
      <c r="L9" s="471" t="str">
        <f t="array" ref="L9">IFERROR(INDEX(Industry_Historical_Data!$A$1:$S$3000,MATCH(Industry!$G9&amp;Industry_Calculation!$D$27,Industry_Historical_Data!$A$1:$A$3000&amp;Industry_Historical_Data!$C$1:$C$3000,0&amp;0),MATCH(Industry!L$1,Industry_Historical_Data!$A$1:$S$1,0)),"")</f>
        <v/>
      </c>
      <c r="M9" s="471" t="str">
        <f t="array" ref="M9">IFERROR(INDEX(Industry_Historical_Data!$A$1:$S$3000,MATCH(Industry!$G9&amp;Industry_Calculation!$D$27,Industry_Historical_Data!$A$1:$A$3000&amp;Industry_Historical_Data!$C$1:$C$3000,0&amp;0),MATCH(Industry!M$1,Industry_Historical_Data!$A$1:$S$1,0)),"")</f>
        <v/>
      </c>
      <c r="N9" s="471" t="str">
        <f t="array" ref="N9">IFERROR(INDEX(Industry_Historical_Data!$A$1:$S$3000,MATCH(Industry!$G9&amp;Industry_Calculation!$D$27,Industry_Historical_Data!$A$1:$A$3000&amp;Industry_Historical_Data!$C$1:$C$3000,0&amp;0),MATCH(Industry!N$1,Industry_Historical_Data!$A$1:$S$1,0)),"")</f>
        <v/>
      </c>
      <c r="O9" s="471" t="str">
        <f t="array" ref="O9">IFERROR(INDEX(Industry_Historical_Data!$A$1:$S$3000,MATCH(Industry!$G9&amp;Industry_Calculation!$D$27,Industry_Historical_Data!$A$1:$A$3000&amp;Industry_Historical_Data!$C$1:$C$3000,0&amp;0),MATCH(Industry!O$1,Industry_Historical_Data!$A$1:$S$1,0)),"")</f>
        <v/>
      </c>
      <c r="P9" s="471" t="str">
        <f t="array" ref="P9">IFERROR(INDEX(Industry_Historical_Data!$A$1:$S$3000,MATCH(Industry!$G9&amp;Industry_Calculation!$D$27,Industry_Historical_Data!$A$1:$A$3000&amp;Industry_Historical_Data!$C$1:$C$3000,0&amp;0),MATCH(Industry!P$1,Industry_Historical_Data!$A$1:$S$1,0)),"")</f>
        <v/>
      </c>
      <c r="Q9" s="471" t="str">
        <f t="array" ref="Q9">IFERROR(INDEX(Industry_Historical_Data!$A$1:$S$3000,MATCH(Industry!$G9&amp;Industry_Calculation!$D$27,Industry_Historical_Data!$A$1:$A$3000&amp;Industry_Historical_Data!$C$1:$C$3000,0&amp;0),MATCH(Industry!Q$1,Industry_Historical_Data!$A$1:$S$1,0)),"")</f>
        <v/>
      </c>
      <c r="R9" s="471">
        <f t="array" ref="R9">IFERROR(INDEX(Industry_Historical_Data!$A$1:$S$3000,MATCH(Industry!$G9&amp;Industry_Calculation!$D$27,Industry_Historical_Data!$A$1:$A$3000&amp;Industry_Historical_Data!$C$1:$C$3000,0&amp;0),MATCH(Industry!R$1,Industry_Historical_Data!$A$1:$S$1,0)),"")</f>
        <v>7973</v>
      </c>
      <c r="S9" s="471">
        <f t="array" ref="S9">IFERROR(INDEX(Industry_Historical_Data!$A$1:$S$3000,MATCH(Industry!$G9&amp;Industry_Calculation!$D$27,Industry_Historical_Data!$A$1:$A$3000&amp;Industry_Historical_Data!$C$1:$C$3000,0&amp;0),MATCH(Industry!S$1,Industry_Historical_Data!$A$1:$S$1,0)),"")</f>
        <v>8026</v>
      </c>
      <c r="T9" s="471">
        <f t="array" ref="T9">IFERROR(INDEX(Industry_Historical_Data!$A$1:$S$3000,MATCH(Industry!$G9&amp;Industry_Calculation!$D$27,Industry_Historical_Data!$A$1:$A$3000&amp;Industry_Historical_Data!$C$1:$C$3000,0&amp;0),MATCH(Industry!T$1,Industry_Historical_Data!$A$1:$S$1,0)),"")</f>
        <v>7301</v>
      </c>
      <c r="U9" s="471">
        <f t="array" ref="U9">IFERROR(INDEX(Industry_Historical_Data!$A$1:$S$3000,MATCH(Industry!$G9&amp;Industry_Calculation!$D$27,Industry_Historical_Data!$A$1:$A$3000&amp;Industry_Historical_Data!$C$1:$C$3000,0&amp;0),MATCH(Industry!U$1,Industry_Historical_Data!$A$1:$S$1,0)),"")</f>
        <v>7127</v>
      </c>
      <c r="V9" s="471">
        <f t="array" ref="V9">IFERROR(INDEX(Industry_Historical_Data!$A$1:$S$3000,MATCH(Industry!$G9&amp;Industry_Calculation!$D$27,Industry_Historical_Data!$A$1:$A$3000&amp;Industry_Historical_Data!$C$1:$C$3000,0&amp;0),MATCH(Industry!V$1,Industry_Historical_Data!$A$1:$S$1,0)),"")</f>
        <v>7331</v>
      </c>
      <c r="W9" s="472">
        <f t="array" ref="W9">IFERROR(INDEX(Industry_Calculation!$A$110:$M$158,MATCH(Industry!$G9,Industry_Calculation!$A$110:$A$158,0),MATCH(Industry!W$1,Industry_Calculation!$A$110:$M$110,0)),"")</f>
        <v>7257</v>
      </c>
      <c r="X9" s="473">
        <f t="array" ref="X9">IFERROR(INDEX(Industry_Historical_Data!$A$1:$S$3000,MATCH(Industry!$G9&amp;Industry_Calculation!$D$27,Industry_Historical_Data!$A$1:$A$3000&amp;Industry_Historical_Data!$C$1:$C$3000,0&amp;0),MATCH(Industry!X$1,Industry_Historical_Data!$A$1:$S$1,0)),"")</f>
        <v>7690</v>
      </c>
      <c r="Y9" s="473">
        <f t="array" ref="Y9">IFERROR(INDEX(Industry_Historical_Data!$A$1:$S$3000,MATCH(Industry!$G9&amp;Industry_Calculation!$D$27,Industry_Historical_Data!$A$1:$A$3000&amp;Industry_Historical_Data!$C$1:$C$3000,0&amp;0),MATCH(Industry!Y$1,Industry_Historical_Data!$A$1:$S$1,0)),"")</f>
        <v>7840</v>
      </c>
      <c r="Z9" s="473">
        <f t="array" ref="Z9">IFERROR(INDEX(Industry_Historical_Data!$A$1:$S$3000,MATCH(Industry!$G9&amp;Industry_Calculation!$D$27,Industry_Historical_Data!$A$1:$A$3000&amp;Industry_Historical_Data!$C$1:$C$3000,0&amp;0),MATCH(Industry!Z$1,Industry_Historical_Data!$A$1:$S$1,0)),"")</f>
        <v>7980</v>
      </c>
      <c r="AA9" s="472">
        <f t="array" ref="AA9">IFERROR(INDEX(Industry_Calculation!$A$110:$M$158,MATCH(Industry!$G9,Industry_Calculation!$A$110:$A$158,0),MATCH(Industry!AA$1,Industry_Calculation!$A$110:$M$110,0)),"")</f>
        <v>7760</v>
      </c>
      <c r="AB9" s="472">
        <f t="shared" ref="AB9:AB16" si="1">IFERROR(AA9,"")</f>
        <v>7760</v>
      </c>
      <c r="AC9" s="472">
        <f>IFERROR(AVERAGE(AD9,AB9),"")</f>
        <v>7409.859</v>
      </c>
      <c r="AD9" s="472">
        <f t="array" ref="AD9">IFERROR(INDEX(Industry_Calculation!$A$110:$M$158,MATCH(Industry!$G9,Industry_Calculation!$A$110:$A$158,0),MATCH(Industry!AD$1,Industry_Calculation!$A$110:$M$110,0)),"")</f>
        <v>7059.718</v>
      </c>
      <c r="AE9" s="472">
        <f>IFERROR(AVERAGE(AF9,AD9),"")</f>
        <v>6701.168</v>
      </c>
      <c r="AF9" s="472">
        <f t="array" ref="AF9">IFERROR(INDEX(Industry_Calculation!$A$110:$M$158,MATCH(Industry!$G9,Industry_Calculation!$A$110:$A$158,0),MATCH(Industry!AF$1,Industry_Calculation!$A$110:$M$110,0)),"")</f>
        <v>6342.618</v>
      </c>
      <c r="AG9" s="472">
        <f>IFERROR(AVERAGE(AH9,AF9),"")</f>
        <v>6255.534</v>
      </c>
      <c r="AH9" s="472">
        <f t="array" ref="AH9">IFERROR(INDEX(Industry_Calculation!$A$110:$M$158,MATCH(Industry!$G9,Industry_Calculation!$A$110:$A$158,0),MATCH(Industry!AH$1,Industry_Calculation!$A$110:$M$110,0)),"")</f>
        <v>6168.45</v>
      </c>
      <c r="AI9" s="474"/>
      <c r="AJ9" s="475"/>
      <c r="AK9" s="475"/>
      <c r="AL9" s="475"/>
      <c r="AM9" s="186"/>
      <c r="AN9" s="176"/>
    </row>
    <row r="10" ht="14.25" customHeight="1" outlineLevel="3">
      <c r="A10" s="468"/>
      <c r="B10" s="162"/>
      <c r="C10" s="100"/>
      <c r="D10" s="100"/>
      <c r="E10" s="270" t="s">
        <v>2085</v>
      </c>
      <c r="F10" s="249" t="s">
        <v>2083</v>
      </c>
      <c r="G10" s="249" t="s">
        <v>2086</v>
      </c>
      <c r="H10" s="471" t="str">
        <f t="array" ref="H10">IFERROR(INDEX(Industry_Historical_Data!$A$1:$S$3000,MATCH(Industry!$G10&amp;Industry_Calculation!$D$27,Industry_Historical_Data!$A$1:$A$3000&amp;Industry_Historical_Data!$C$1:$C$3000,0&amp;0),MATCH(Industry!H$1,Industry_Historical_Data!$A$1:$S$1,0)),"")</f>
        <v/>
      </c>
      <c r="I10" s="471" t="str">
        <f t="array" ref="I10">IFERROR(INDEX(Industry_Historical_Data!$A$1:$S$3000,MATCH(Industry!$G10&amp;Industry_Calculation!$D$27,Industry_Historical_Data!$A$1:$A$3000&amp;Industry_Historical_Data!$C$1:$C$3000,0&amp;0),MATCH(Industry!I$1,Industry_Historical_Data!$A$1:$S$1,0)),"")</f>
        <v/>
      </c>
      <c r="J10" s="471" t="str">
        <f t="array" ref="J10">IFERROR(INDEX(Industry_Historical_Data!$A$1:$S$3000,MATCH(Industry!$G10&amp;Industry_Calculation!$D$27,Industry_Historical_Data!$A$1:$A$3000&amp;Industry_Historical_Data!$C$1:$C$3000,0&amp;0),MATCH(Industry!J$1,Industry_Historical_Data!$A$1:$S$1,0)),"")</f>
        <v/>
      </c>
      <c r="K10" s="471" t="str">
        <f t="array" ref="K10">IFERROR(INDEX(Industry_Historical_Data!$A$1:$S$3000,MATCH(Industry!$G10&amp;Industry_Calculation!$D$27,Industry_Historical_Data!$A$1:$A$3000&amp;Industry_Historical_Data!$C$1:$C$3000,0&amp;0),MATCH(Industry!K$1,Industry_Historical_Data!$A$1:$S$1,0)),"")</f>
        <v/>
      </c>
      <c r="L10" s="471" t="str">
        <f t="array" ref="L10">IFERROR(INDEX(Industry_Historical_Data!$A$1:$S$3000,MATCH(Industry!$G10&amp;Industry_Calculation!$D$27,Industry_Historical_Data!$A$1:$A$3000&amp;Industry_Historical_Data!$C$1:$C$3000,0&amp;0),MATCH(Industry!L$1,Industry_Historical_Data!$A$1:$S$1,0)),"")</f>
        <v/>
      </c>
      <c r="M10" s="471" t="str">
        <f t="array" ref="M10">IFERROR(INDEX(Industry_Historical_Data!$A$1:$S$3000,MATCH(Industry!$G10&amp;Industry_Calculation!$D$27,Industry_Historical_Data!$A$1:$A$3000&amp;Industry_Historical_Data!$C$1:$C$3000,0&amp;0),MATCH(Industry!M$1,Industry_Historical_Data!$A$1:$S$1,0)),"")</f>
        <v/>
      </c>
      <c r="N10" s="471" t="str">
        <f t="array" ref="N10">IFERROR(INDEX(Industry_Historical_Data!$A$1:$S$3000,MATCH(Industry!$G10&amp;Industry_Calculation!$D$27,Industry_Historical_Data!$A$1:$A$3000&amp;Industry_Historical_Data!$C$1:$C$3000,0&amp;0),MATCH(Industry!N$1,Industry_Historical_Data!$A$1:$S$1,0)),"")</f>
        <v/>
      </c>
      <c r="O10" s="471" t="str">
        <f t="array" ref="O10">IFERROR(INDEX(Industry_Historical_Data!$A$1:$S$3000,MATCH(Industry!$G10&amp;Industry_Calculation!$D$27,Industry_Historical_Data!$A$1:$A$3000&amp;Industry_Historical_Data!$C$1:$C$3000,0&amp;0),MATCH(Industry!O$1,Industry_Historical_Data!$A$1:$S$1,0)),"")</f>
        <v/>
      </c>
      <c r="P10" s="471" t="str">
        <f t="array" ref="P10">IFERROR(INDEX(Industry_Historical_Data!$A$1:$S$3000,MATCH(Industry!$G10&amp;Industry_Calculation!$D$27,Industry_Historical_Data!$A$1:$A$3000&amp;Industry_Historical_Data!$C$1:$C$3000,0&amp;0),MATCH(Industry!P$1,Industry_Historical_Data!$A$1:$S$1,0)),"")</f>
        <v/>
      </c>
      <c r="Q10" s="471" t="str">
        <f t="array" ref="Q10">IFERROR(INDEX(Industry_Historical_Data!$A$1:$S$3000,MATCH(Industry!$G10&amp;Industry_Calculation!$D$27,Industry_Historical_Data!$A$1:$A$3000&amp;Industry_Historical_Data!$C$1:$C$3000,0&amp;0),MATCH(Industry!Q$1,Industry_Historical_Data!$A$1:$S$1,0)),"")</f>
        <v/>
      </c>
      <c r="R10" s="471">
        <f t="array" ref="R10">IFERROR(INDEX(Industry_Historical_Data!$A$1:$S$3000,MATCH(Industry!$G10&amp;Industry_Calculation!$D$27,Industry_Historical_Data!$A$1:$A$3000&amp;Industry_Historical_Data!$C$1:$C$3000,0&amp;0),MATCH(Industry!R$1,Industry_Historical_Data!$A$1:$S$1,0)),"")</f>
        <v>5177</v>
      </c>
      <c r="S10" s="471">
        <f t="array" ref="S10">IFERROR(INDEX(Industry_Historical_Data!$A$1:$S$3000,MATCH(Industry!$G10&amp;Industry_Calculation!$D$27,Industry_Historical_Data!$A$1:$A$3000&amp;Industry_Historical_Data!$C$1:$C$3000,0&amp;0),MATCH(Industry!S$1,Industry_Historical_Data!$A$1:$S$1,0)),"")</f>
        <v>5253</v>
      </c>
      <c r="T10" s="471">
        <f t="array" ref="T10">IFERROR(INDEX(Industry_Historical_Data!$A$1:$S$3000,MATCH(Industry!$G10&amp;Industry_Calculation!$D$27,Industry_Historical_Data!$A$1:$A$3000&amp;Industry_Historical_Data!$C$1:$C$3000,0&amp;0),MATCH(Industry!T$1,Industry_Historical_Data!$A$1:$S$1,0)),"")</f>
        <v>4647</v>
      </c>
      <c r="U10" s="471">
        <f t="array" ref="U10">IFERROR(INDEX(Industry_Historical_Data!$A$1:$S$3000,MATCH(Industry!$G10&amp;Industry_Calculation!$D$27,Industry_Historical_Data!$A$1:$A$3000&amp;Industry_Historical_Data!$C$1:$C$3000,0&amp;0),MATCH(Industry!U$1,Industry_Historical_Data!$A$1:$S$1,0)),"")</f>
        <v>4738</v>
      </c>
      <c r="V10" s="471">
        <f t="array" ref="V10">IFERROR(INDEX(Industry_Historical_Data!$A$1:$S$3000,MATCH(Industry!$G10&amp;Industry_Calculation!$D$27,Industry_Historical_Data!$A$1:$A$3000&amp;Industry_Historical_Data!$C$1:$C$3000,0&amp;0),MATCH(Industry!V$1,Industry_Historical_Data!$A$1:$S$1,0)),"")</f>
        <v>4952</v>
      </c>
      <c r="W10" s="472">
        <f t="array" ref="W10">IFERROR(INDEX(Industry_Calculation!$A$110:$M$158,MATCH(Industry!$G10,Industry_Calculation!$A$110:$A$158,0),MATCH(Industry!W$1,Industry_Calculation!$A$110:$M$110,0)),"")</f>
        <v>4809</v>
      </c>
      <c r="X10" s="473">
        <f t="array" ref="X10">IFERROR(INDEX(Industry_Historical_Data!$A$1:$S$3000,MATCH(Industry!$G10&amp;Industry_Calculation!$D$27,Industry_Historical_Data!$A$1:$A$3000&amp;Industry_Historical_Data!$C$1:$C$3000,0&amp;0),MATCH(Industry!X$1,Industry_Historical_Data!$A$1:$S$1,0)),"")</f>
        <v>5306.1</v>
      </c>
      <c r="Y10" s="473">
        <f t="array" ref="Y10">IFERROR(INDEX(Industry_Historical_Data!$A$1:$S$3000,MATCH(Industry!$G10&amp;Industry_Calculation!$D$27,Industry_Historical_Data!$A$1:$A$3000&amp;Industry_Historical_Data!$C$1:$C$3000,0&amp;0),MATCH(Industry!Y$1,Industry_Historical_Data!$A$1:$S$1,0)),"")</f>
        <v>5410</v>
      </c>
      <c r="Z10" s="473">
        <f t="array" ref="Z10">IFERROR(INDEX(Industry_Historical_Data!$A$1:$S$3000,MATCH(Industry!$G10&amp;Industry_Calculation!$D$27,Industry_Historical_Data!$A$1:$A$3000&amp;Industry_Historical_Data!$C$1:$C$3000,0&amp;0),MATCH(Industry!Z$1,Industry_Historical_Data!$A$1:$S$1,0)),"")</f>
        <v>5426.4</v>
      </c>
      <c r="AA10" s="472">
        <f t="array" ref="AA10">IFERROR(INDEX(Industry_Calculation!$A$110:$M$158,MATCH(Industry!$G10,Industry_Calculation!$A$110:$A$158,0),MATCH(Industry!AA$1,Industry_Calculation!$A$110:$M$110,0)),"")</f>
        <v>5664.8</v>
      </c>
      <c r="AB10" s="472">
        <f t="shared" si="1"/>
        <v>5664.8</v>
      </c>
      <c r="AC10" s="472">
        <f t="shared" ref="AC10:AG10" si="2">AC9-AC11</f>
        <v>5056.36173</v>
      </c>
      <c r="AD10" s="472">
        <f t="shared" si="2"/>
        <v>4447.92346</v>
      </c>
      <c r="AE10" s="472">
        <f t="shared" si="2"/>
        <v>3826.33376</v>
      </c>
      <c r="AF10" s="472">
        <f t="shared" si="2"/>
        <v>3204.74406</v>
      </c>
      <c r="AG10" s="472">
        <f t="shared" si="2"/>
        <v>3051.95778</v>
      </c>
      <c r="AH10" s="472">
        <f t="array" ref="AH10">IFERROR(INDEX(Industry_Calculation!$A$110:$M$158,MATCH(Industry!$G10,Industry_Calculation!$A$110:$A$158,0),MATCH(Industry!AH$1,Industry_Calculation!$A$110:$M$110,0)),"")</f>
        <v>2899.1715</v>
      </c>
      <c r="AI10" s="474"/>
      <c r="AJ10" s="475"/>
      <c r="AK10" s="475"/>
      <c r="AL10" s="475"/>
      <c r="AM10" s="186"/>
      <c r="AN10" s="176"/>
    </row>
    <row r="11" ht="14.25" customHeight="1" outlineLevel="3">
      <c r="A11" s="468"/>
      <c r="B11" s="162"/>
      <c r="C11" s="100"/>
      <c r="D11" s="100"/>
      <c r="E11" s="270" t="s">
        <v>2087</v>
      </c>
      <c r="F11" s="249" t="s">
        <v>2083</v>
      </c>
      <c r="G11" s="249" t="s">
        <v>2088</v>
      </c>
      <c r="H11" s="471" t="str">
        <f t="array" ref="H11">IFERROR(INDEX(Industry_Historical_Data!$A$1:$S$3000,MATCH(Industry!$G11&amp;Industry_Calculation!$D$27,Industry_Historical_Data!$A$1:$A$3000&amp;Industry_Historical_Data!$C$1:$C$3000,0&amp;0),MATCH(Industry!H$1,Industry_Historical_Data!$A$1:$S$1,0)),"")</f>
        <v/>
      </c>
      <c r="I11" s="471" t="str">
        <f t="array" ref="I11">IFERROR(INDEX(Industry_Historical_Data!$A$1:$S$3000,MATCH(Industry!$G11&amp;Industry_Calculation!$D$27,Industry_Historical_Data!$A$1:$A$3000&amp;Industry_Historical_Data!$C$1:$C$3000,0&amp;0),MATCH(Industry!I$1,Industry_Historical_Data!$A$1:$S$1,0)),"")</f>
        <v/>
      </c>
      <c r="J11" s="471" t="str">
        <f t="array" ref="J11">IFERROR(INDEX(Industry_Historical_Data!$A$1:$S$3000,MATCH(Industry!$G11&amp;Industry_Calculation!$D$27,Industry_Historical_Data!$A$1:$A$3000&amp;Industry_Historical_Data!$C$1:$C$3000,0&amp;0),MATCH(Industry!J$1,Industry_Historical_Data!$A$1:$S$1,0)),"")</f>
        <v/>
      </c>
      <c r="K11" s="471" t="str">
        <f t="array" ref="K11">IFERROR(INDEX(Industry_Historical_Data!$A$1:$S$3000,MATCH(Industry!$G11&amp;Industry_Calculation!$D$27,Industry_Historical_Data!$A$1:$A$3000&amp;Industry_Historical_Data!$C$1:$C$3000,0&amp;0),MATCH(Industry!K$1,Industry_Historical_Data!$A$1:$S$1,0)),"")</f>
        <v/>
      </c>
      <c r="L11" s="471" t="str">
        <f t="array" ref="L11">IFERROR(INDEX(Industry_Historical_Data!$A$1:$S$3000,MATCH(Industry!$G11&amp;Industry_Calculation!$D$27,Industry_Historical_Data!$A$1:$A$3000&amp;Industry_Historical_Data!$C$1:$C$3000,0&amp;0),MATCH(Industry!L$1,Industry_Historical_Data!$A$1:$S$1,0)),"")</f>
        <v/>
      </c>
      <c r="M11" s="471" t="str">
        <f t="array" ref="M11">IFERROR(INDEX(Industry_Historical_Data!$A$1:$S$3000,MATCH(Industry!$G11&amp;Industry_Calculation!$D$27,Industry_Historical_Data!$A$1:$A$3000&amp;Industry_Historical_Data!$C$1:$C$3000,0&amp;0),MATCH(Industry!M$1,Industry_Historical_Data!$A$1:$S$1,0)),"")</f>
        <v/>
      </c>
      <c r="N11" s="471" t="str">
        <f t="array" ref="N11">IFERROR(INDEX(Industry_Historical_Data!$A$1:$S$3000,MATCH(Industry!$G11&amp;Industry_Calculation!$D$27,Industry_Historical_Data!$A$1:$A$3000&amp;Industry_Historical_Data!$C$1:$C$3000,0&amp;0),MATCH(Industry!N$1,Industry_Historical_Data!$A$1:$S$1,0)),"")</f>
        <v/>
      </c>
      <c r="O11" s="471" t="str">
        <f t="array" ref="O11">IFERROR(INDEX(Industry_Historical_Data!$A$1:$S$3000,MATCH(Industry!$G11&amp;Industry_Calculation!$D$27,Industry_Historical_Data!$A$1:$A$3000&amp;Industry_Historical_Data!$C$1:$C$3000,0&amp;0),MATCH(Industry!O$1,Industry_Historical_Data!$A$1:$S$1,0)),"")</f>
        <v/>
      </c>
      <c r="P11" s="471" t="str">
        <f t="array" ref="P11">IFERROR(INDEX(Industry_Historical_Data!$A$1:$S$3000,MATCH(Industry!$G11&amp;Industry_Calculation!$D$27,Industry_Historical_Data!$A$1:$A$3000&amp;Industry_Historical_Data!$C$1:$C$3000,0&amp;0),MATCH(Industry!P$1,Industry_Historical_Data!$A$1:$S$1,0)),"")</f>
        <v/>
      </c>
      <c r="Q11" s="471" t="str">
        <f t="array" ref="Q11">IFERROR(INDEX(Industry_Historical_Data!$A$1:$S$3000,MATCH(Industry!$G11&amp;Industry_Calculation!$D$27,Industry_Historical_Data!$A$1:$A$3000&amp;Industry_Historical_Data!$C$1:$C$3000,0&amp;0),MATCH(Industry!Q$1,Industry_Historical_Data!$A$1:$S$1,0)),"")</f>
        <v/>
      </c>
      <c r="R11" s="471">
        <f t="array" ref="R11">IFERROR(INDEX(Industry_Historical_Data!$A$1:$S$3000,MATCH(Industry!$G11&amp;Industry_Calculation!$D$27,Industry_Historical_Data!$A$1:$A$3000&amp;Industry_Historical_Data!$C$1:$C$3000,0&amp;0),MATCH(Industry!R$1,Industry_Historical_Data!$A$1:$S$1,0)),"")</f>
        <v>2796</v>
      </c>
      <c r="S11" s="471">
        <f t="array" ref="S11">IFERROR(INDEX(Industry_Historical_Data!$A$1:$S$3000,MATCH(Industry!$G11&amp;Industry_Calculation!$D$27,Industry_Historical_Data!$A$1:$A$3000&amp;Industry_Historical_Data!$C$1:$C$3000,0&amp;0),MATCH(Industry!S$1,Industry_Historical_Data!$A$1:$S$1,0)),"")</f>
        <v>2773</v>
      </c>
      <c r="T11" s="471">
        <f t="array" ref="T11">IFERROR(INDEX(Industry_Historical_Data!$A$1:$S$3000,MATCH(Industry!$G11&amp;Industry_Calculation!$D$27,Industry_Historical_Data!$A$1:$A$3000&amp;Industry_Historical_Data!$C$1:$C$3000,0&amp;0),MATCH(Industry!T$1,Industry_Historical_Data!$A$1:$S$1,0)),"")</f>
        <v>2654</v>
      </c>
      <c r="U11" s="471">
        <f t="array" ref="U11">IFERROR(INDEX(Industry_Historical_Data!$A$1:$S$3000,MATCH(Industry!$G11&amp;Industry_Calculation!$D$27,Industry_Historical_Data!$A$1:$A$3000&amp;Industry_Historical_Data!$C$1:$C$3000,0&amp;0),MATCH(Industry!U$1,Industry_Historical_Data!$A$1:$S$1,0)),"")</f>
        <v>2389</v>
      </c>
      <c r="V11" s="471">
        <f t="array" ref="V11">IFERROR(INDEX(Industry_Historical_Data!$A$1:$S$3000,MATCH(Industry!$G11&amp;Industry_Calculation!$D$27,Industry_Historical_Data!$A$1:$A$3000&amp;Industry_Historical_Data!$C$1:$C$3000,0&amp;0),MATCH(Industry!V$1,Industry_Historical_Data!$A$1:$S$1,0)),"")</f>
        <v>2379</v>
      </c>
      <c r="W11" s="472">
        <f t="array" ref="W11">IFERROR(INDEX(Industry_Calculation!$A$110:$M$158,MATCH(Industry!$G11,Industry_Calculation!$A$110:$A$158,0),MATCH(Industry!W$1,Industry_Calculation!$A$110:$M$110,0)),"")</f>
        <v>2448</v>
      </c>
      <c r="X11" s="473">
        <f t="array" ref="X11">IFERROR(INDEX(Industry_Historical_Data!$A$1:$S$3000,MATCH(Industry!$G11&amp;Industry_Calculation!$D$27,Industry_Historical_Data!$A$1:$A$3000&amp;Industry_Historical_Data!$C$1:$C$3000,0&amp;0),MATCH(Industry!X$1,Industry_Historical_Data!$A$1:$S$1,0)),"")</f>
        <v>2383.9</v>
      </c>
      <c r="Y11" s="473">
        <f t="array" ref="Y11">IFERROR(INDEX(Industry_Historical_Data!$A$1:$S$3000,MATCH(Industry!$G11&amp;Industry_Calculation!$D$27,Industry_Historical_Data!$A$1:$A$3000&amp;Industry_Historical_Data!$C$1:$C$3000,0&amp;0),MATCH(Industry!Y$1,Industry_Historical_Data!$A$1:$S$1,0)),"")</f>
        <v>2430</v>
      </c>
      <c r="Z11" s="473">
        <f t="array" ref="Z11">IFERROR(INDEX(Industry_Historical_Data!$A$1:$S$3000,MATCH(Industry!$G11&amp;Industry_Calculation!$D$27,Industry_Historical_Data!$A$1:$A$3000&amp;Industry_Historical_Data!$C$1:$C$3000,0&amp;0),MATCH(Industry!Z$1,Industry_Historical_Data!$A$1:$S$1,0)),"")</f>
        <v>2553.6</v>
      </c>
      <c r="AA11" s="472">
        <f t="array" ref="AA11">IFERROR(INDEX(Industry_Calculation!$A$110:$M$158,MATCH(Industry!$G11,Industry_Calculation!$A$110:$A$158,0),MATCH(Industry!AA$1,Industry_Calculation!$A$110:$M$110,0)),"")</f>
        <v>2095.2</v>
      </c>
      <c r="AB11" s="472">
        <f t="shared" si="1"/>
        <v>2095.2</v>
      </c>
      <c r="AC11" s="472">
        <f t="shared" ref="AC11:AC16" si="3">IFERROR(AVERAGE(AD11,AB11),"")</f>
        <v>2353.49727</v>
      </c>
      <c r="AD11" s="472">
        <f t="array" ref="AD11">IFERROR(INDEX(Industry_Calculation!$A$110:$M$158,MATCH(Industry!$G11,Industry_Calculation!$A$110:$A$158,0),MATCH(Industry!AD$1,Industry_Calculation!$A$110:$M$110,0)),"")</f>
        <v>2611.79454</v>
      </c>
      <c r="AE11" s="472">
        <f t="shared" ref="AE11:AE16" si="4">IFERROR(AVERAGE(AF11,AD11),"")</f>
        <v>2874.83424</v>
      </c>
      <c r="AF11" s="472">
        <f t="array" ref="AF11">IFERROR(INDEX(Industry_Calculation!$A$110:$M$158,MATCH(Industry!$G11,Industry_Calculation!$A$110:$A$158,0),MATCH(Industry!AF$1,Industry_Calculation!$A$110:$M$110,0)),"")</f>
        <v>3137.87394</v>
      </c>
      <c r="AG11" s="472">
        <f t="shared" ref="AG11:AG16" si="5">IFERROR(AVERAGE(AH11,AF11),"")</f>
        <v>3203.57622</v>
      </c>
      <c r="AH11" s="472">
        <f t="array" ref="AH11">IFERROR(INDEX(Industry_Calculation!$A$110:$M$158,MATCH(Industry!$G11,Industry_Calculation!$A$110:$A$158,0),MATCH(Industry!AH$1,Industry_Calculation!$A$110:$M$110,0)),"")</f>
        <v>3269.2785</v>
      </c>
      <c r="AI11" s="474"/>
      <c r="AJ11" s="475"/>
      <c r="AK11" s="475"/>
      <c r="AL11" s="475"/>
      <c r="AM11" s="186"/>
      <c r="AN11" s="176"/>
    </row>
    <row r="12" ht="14.25" customHeight="1" outlineLevel="3">
      <c r="A12" s="468"/>
      <c r="B12" s="162"/>
      <c r="C12" s="100"/>
      <c r="D12" s="100"/>
      <c r="E12" s="270" t="s">
        <v>2089</v>
      </c>
      <c r="F12" s="249" t="s">
        <v>2083</v>
      </c>
      <c r="G12" s="249" t="s">
        <v>2090</v>
      </c>
      <c r="H12" s="471" t="str">
        <f t="array" ref="H12">IFERROR(INDEX(Industry_Historical_Data!$A$1:$S$3000,MATCH(Industry!$G12&amp;Industry_Calculation!$D$27,Industry_Historical_Data!$A$1:$A$3000&amp;Industry_Historical_Data!$C$1:$C$3000,0&amp;0),MATCH(Industry!H$1,Industry_Historical_Data!$A$1:$S$1,0)),"")</f>
        <v/>
      </c>
      <c r="I12" s="471" t="str">
        <f t="array" ref="I12">IFERROR(INDEX(Industry_Historical_Data!$A$1:$S$3000,MATCH(Industry!$G12&amp;Industry_Calculation!$D$27,Industry_Historical_Data!$A$1:$A$3000&amp;Industry_Historical_Data!$C$1:$C$3000,0&amp;0),MATCH(Industry!I$1,Industry_Historical_Data!$A$1:$S$1,0)),"")</f>
        <v/>
      </c>
      <c r="J12" s="471" t="str">
        <f t="array" ref="J12">IFERROR(INDEX(Industry_Historical_Data!$A$1:$S$3000,MATCH(Industry!$G12&amp;Industry_Calculation!$D$27,Industry_Historical_Data!$A$1:$A$3000&amp;Industry_Historical_Data!$C$1:$C$3000,0&amp;0),MATCH(Industry!J$1,Industry_Historical_Data!$A$1:$S$1,0)),"")</f>
        <v/>
      </c>
      <c r="K12" s="471" t="str">
        <f t="array" ref="K12">IFERROR(INDEX(Industry_Historical_Data!$A$1:$S$3000,MATCH(Industry!$G12&amp;Industry_Calculation!$D$27,Industry_Historical_Data!$A$1:$A$3000&amp;Industry_Historical_Data!$C$1:$C$3000,0&amp;0),MATCH(Industry!K$1,Industry_Historical_Data!$A$1:$S$1,0)),"")</f>
        <v/>
      </c>
      <c r="L12" s="471" t="str">
        <f t="array" ref="L12">IFERROR(INDEX(Industry_Historical_Data!$A$1:$S$3000,MATCH(Industry!$G12&amp;Industry_Calculation!$D$27,Industry_Historical_Data!$A$1:$A$3000&amp;Industry_Historical_Data!$C$1:$C$3000,0&amp;0),MATCH(Industry!L$1,Industry_Historical_Data!$A$1:$S$1,0)),"")</f>
        <v/>
      </c>
      <c r="M12" s="471" t="str">
        <f t="array" ref="M12">IFERROR(INDEX(Industry_Historical_Data!$A$1:$S$3000,MATCH(Industry!$G12&amp;Industry_Calculation!$D$27,Industry_Historical_Data!$A$1:$A$3000&amp;Industry_Historical_Data!$C$1:$C$3000,0&amp;0),MATCH(Industry!M$1,Industry_Historical_Data!$A$1:$S$1,0)),"")</f>
        <v/>
      </c>
      <c r="N12" s="471" t="str">
        <f t="array" ref="N12">IFERROR(INDEX(Industry_Historical_Data!$A$1:$S$3000,MATCH(Industry!$G12&amp;Industry_Calculation!$D$27,Industry_Historical_Data!$A$1:$A$3000&amp;Industry_Historical_Data!$C$1:$C$3000,0&amp;0),MATCH(Industry!N$1,Industry_Historical_Data!$A$1:$S$1,0)),"")</f>
        <v/>
      </c>
      <c r="O12" s="471" t="str">
        <f t="array" ref="O12">IFERROR(INDEX(Industry_Historical_Data!$A$1:$S$3000,MATCH(Industry!$G12&amp;Industry_Calculation!$D$27,Industry_Historical_Data!$A$1:$A$3000&amp;Industry_Historical_Data!$C$1:$C$3000,0&amp;0),MATCH(Industry!O$1,Industry_Historical_Data!$A$1:$S$1,0)),"")</f>
        <v/>
      </c>
      <c r="P12" s="471" t="str">
        <f t="array" ref="P12">IFERROR(INDEX(Industry_Historical_Data!$A$1:$S$3000,MATCH(Industry!$G12&amp;Industry_Calculation!$D$27,Industry_Historical_Data!$A$1:$A$3000&amp;Industry_Historical_Data!$C$1:$C$3000,0&amp;0),MATCH(Industry!P$1,Industry_Historical_Data!$A$1:$S$1,0)),"")</f>
        <v/>
      </c>
      <c r="Q12" s="471" t="str">
        <f t="array" ref="Q12">IFERROR(INDEX(Industry_Historical_Data!$A$1:$S$3000,MATCH(Industry!$G12&amp;Industry_Calculation!$D$27,Industry_Historical_Data!$A$1:$A$3000&amp;Industry_Historical_Data!$C$1:$C$3000,0&amp;0),MATCH(Industry!Q$1,Industry_Historical_Data!$A$1:$S$1,0)),"")</f>
        <v/>
      </c>
      <c r="R12" s="471" t="str">
        <f t="array" ref="R12">IFERROR(INDEX(Industry_Historical_Data!$A$1:$S$3000,MATCH(Industry!$G12&amp;Industry_Calculation!$D$27,Industry_Historical_Data!$A$1:$A$3000&amp;Industry_Historical_Data!$C$1:$C$3000,0&amp;0),MATCH(Industry!R$1,Industry_Historical_Data!$A$1:$S$1,0)),"")</f>
        <v/>
      </c>
      <c r="S12" s="471" t="str">
        <f t="array" ref="S12">IFERROR(INDEX(Industry_Historical_Data!$A$1:$S$3000,MATCH(Industry!$G12&amp;Industry_Calculation!$D$27,Industry_Historical_Data!$A$1:$A$3000&amp;Industry_Historical_Data!$C$1:$C$3000,0&amp;0),MATCH(Industry!S$1,Industry_Historical_Data!$A$1:$S$1,0)),"")</f>
        <v/>
      </c>
      <c r="T12" s="471" t="str">
        <f t="array" ref="T12">IFERROR(INDEX(Industry_Historical_Data!$A$1:$S$3000,MATCH(Industry!$G12&amp;Industry_Calculation!$D$27,Industry_Historical_Data!$A$1:$A$3000&amp;Industry_Historical_Data!$C$1:$C$3000,0&amp;0),MATCH(Industry!T$1,Industry_Historical_Data!$A$1:$S$1,0)),"")</f>
        <v/>
      </c>
      <c r="U12" s="471" t="str">
        <f t="array" ref="U12">IFERROR(INDEX(Industry_Historical_Data!$A$1:$S$3000,MATCH(Industry!$G12&amp;Industry_Calculation!$D$27,Industry_Historical_Data!$A$1:$A$3000&amp;Industry_Historical_Data!$C$1:$C$3000,0&amp;0),MATCH(Industry!U$1,Industry_Historical_Data!$A$1:$S$1,0)),"")</f>
        <v/>
      </c>
      <c r="V12" s="471" t="str">
        <f t="array" ref="V12">IFERROR(INDEX(Industry_Historical_Data!$A$1:$S$3000,MATCH(Industry!$G12&amp;Industry_Calculation!$D$27,Industry_Historical_Data!$A$1:$A$3000&amp;Industry_Historical_Data!$C$1:$C$3000,0&amp;0),MATCH(Industry!V$1,Industry_Historical_Data!$A$1:$S$1,0)),"")</f>
        <v/>
      </c>
      <c r="W12" s="472" t="str">
        <f t="array" ref="W12">IFERROR(INDEX(Industry_Calculation!$A$110:$M$158,MATCH(Industry!$G12,Industry_Calculation!$A$110:$A$158,0),MATCH(Industry!W$1,Industry_Calculation!$A$110:$M$110,0)),"")</f>
        <v/>
      </c>
      <c r="X12" s="473" t="str">
        <f t="array" ref="X12">IFERROR(INDEX(Industry_Historical_Data!$A$1:$S$3000,MATCH(Industry!$G12&amp;Industry_Calculation!$D$27,Industry_Historical_Data!$A$1:$A$3000&amp;Industry_Historical_Data!$C$1:$C$3000,0&amp;0),MATCH(Industry!X$1,Industry_Historical_Data!$A$1:$S$1,0)),"")</f>
        <v/>
      </c>
      <c r="Y12" s="473" t="str">
        <f t="array" ref="Y12">IFERROR(INDEX(Industry_Historical_Data!$A$1:$S$3000,MATCH(Industry!$G12&amp;Industry_Calculation!$D$27,Industry_Historical_Data!$A$1:$A$3000&amp;Industry_Historical_Data!$C$1:$C$3000,0&amp;0),MATCH(Industry!Y$1,Industry_Historical_Data!$A$1:$S$1,0)),"")</f>
        <v/>
      </c>
      <c r="Z12" s="473" t="str">
        <f t="array" ref="Z12">IFERROR(INDEX(Industry_Historical_Data!$A$1:$S$3000,MATCH(Industry!$G12&amp;Industry_Calculation!$D$27,Industry_Historical_Data!$A$1:$A$3000&amp;Industry_Historical_Data!$C$1:$C$3000,0&amp;0),MATCH(Industry!Z$1,Industry_Historical_Data!$A$1:$S$1,0)),"")</f>
        <v/>
      </c>
      <c r="AA12" s="472" t="str">
        <f t="array" ref="AA12">IFERROR(INDEX(Industry_Calculation!$A$110:$M$158,MATCH(Industry!$G12,Industry_Calculation!$A$110:$A$158,0),MATCH(Industry!AA$1,Industry_Calculation!$A$110:$M$110,0)),"")</f>
        <v/>
      </c>
      <c r="AB12" s="472" t="str">
        <f t="shared" si="1"/>
        <v/>
      </c>
      <c r="AC12" s="472" t="str">
        <f t="shared" si="3"/>
        <v/>
      </c>
      <c r="AD12" s="472" t="str">
        <f t="array" ref="AD12">IFERROR(INDEX(Industry_Calculation!$A$110:$M$158,MATCH(Industry!$G12,Industry_Calculation!$A$110:$A$158,0),MATCH(Industry!AD$1,Industry_Calculation!$A$110:$M$110,0)),"")</f>
        <v/>
      </c>
      <c r="AE12" s="472" t="str">
        <f t="shared" si="4"/>
        <v/>
      </c>
      <c r="AF12" s="472" t="str">
        <f t="array" ref="AF12">IFERROR(INDEX(Industry_Calculation!$A$110:$M$158,MATCH(Industry!$G12,Industry_Calculation!$A$110:$A$158,0),MATCH(Industry!AF$1,Industry_Calculation!$A$110:$M$110,0)),"")</f>
        <v/>
      </c>
      <c r="AG12" s="472" t="str">
        <f t="shared" si="5"/>
        <v/>
      </c>
      <c r="AH12" s="472" t="str">
        <f t="array" ref="AH12">IFERROR(INDEX(Industry_Calculation!$A$110:$M$158,MATCH(Industry!$G12,Industry_Calculation!$A$110:$A$158,0),MATCH(Industry!AH$1,Industry_Calculation!$A$110:$M$110,0)),"")</f>
        <v/>
      </c>
      <c r="AI12" s="474"/>
      <c r="AJ12" s="475"/>
      <c r="AK12" s="475"/>
      <c r="AL12" s="475"/>
      <c r="AM12" s="186"/>
      <c r="AN12" s="176"/>
    </row>
    <row r="13" ht="14.25" customHeight="1" outlineLevel="3">
      <c r="A13" s="468"/>
      <c r="B13" s="162"/>
      <c r="C13" s="100"/>
      <c r="D13" s="100"/>
      <c r="E13" s="270" t="s">
        <v>2091</v>
      </c>
      <c r="F13" s="249" t="s">
        <v>2083</v>
      </c>
      <c r="G13" s="249" t="s">
        <v>2092</v>
      </c>
      <c r="H13" s="471" t="str">
        <f t="array" ref="H13">IFERROR(INDEX(Industry_Historical_Data!$A$1:$S$3000,MATCH(Industry!$G13&amp;Industry_Calculation!$D$27,Industry_Historical_Data!$A$1:$A$3000&amp;Industry_Historical_Data!$C$1:$C$3000,0&amp;0),MATCH(Industry!H$1,Industry_Historical_Data!$A$1:$S$1,0)),"")</f>
        <v/>
      </c>
      <c r="I13" s="471" t="str">
        <f t="array" ref="I13">IFERROR(INDEX(Industry_Historical_Data!$A$1:$S$3000,MATCH(Industry!$G13&amp;Industry_Calculation!$D$27,Industry_Historical_Data!$A$1:$A$3000&amp;Industry_Historical_Data!$C$1:$C$3000,0&amp;0),MATCH(Industry!I$1,Industry_Historical_Data!$A$1:$S$1,0)),"")</f>
        <v/>
      </c>
      <c r="J13" s="471" t="str">
        <f t="array" ref="J13">IFERROR(INDEX(Industry_Historical_Data!$A$1:$S$3000,MATCH(Industry!$G13&amp;Industry_Calculation!$D$27,Industry_Historical_Data!$A$1:$A$3000&amp;Industry_Historical_Data!$C$1:$C$3000,0&amp;0),MATCH(Industry!J$1,Industry_Historical_Data!$A$1:$S$1,0)),"")</f>
        <v/>
      </c>
      <c r="K13" s="471" t="str">
        <f t="array" ref="K13">IFERROR(INDEX(Industry_Historical_Data!$A$1:$S$3000,MATCH(Industry!$G13&amp;Industry_Calculation!$D$27,Industry_Historical_Data!$A$1:$A$3000&amp;Industry_Historical_Data!$C$1:$C$3000,0&amp;0),MATCH(Industry!K$1,Industry_Historical_Data!$A$1:$S$1,0)),"")</f>
        <v/>
      </c>
      <c r="L13" s="471" t="str">
        <f t="array" ref="L13">IFERROR(INDEX(Industry_Historical_Data!$A$1:$S$3000,MATCH(Industry!$G13&amp;Industry_Calculation!$D$27,Industry_Historical_Data!$A$1:$A$3000&amp;Industry_Historical_Data!$C$1:$C$3000,0&amp;0),MATCH(Industry!L$1,Industry_Historical_Data!$A$1:$S$1,0)),"")</f>
        <v/>
      </c>
      <c r="M13" s="471" t="str">
        <f t="array" ref="M13">IFERROR(INDEX(Industry_Historical_Data!$A$1:$S$3000,MATCH(Industry!$G13&amp;Industry_Calculation!$D$27,Industry_Historical_Data!$A$1:$A$3000&amp;Industry_Historical_Data!$C$1:$C$3000,0&amp;0),MATCH(Industry!M$1,Industry_Historical_Data!$A$1:$S$1,0)),"")</f>
        <v/>
      </c>
      <c r="N13" s="471" t="str">
        <f t="array" ref="N13">IFERROR(INDEX(Industry_Historical_Data!$A$1:$S$3000,MATCH(Industry!$G13&amp;Industry_Calculation!$D$27,Industry_Historical_Data!$A$1:$A$3000&amp;Industry_Historical_Data!$C$1:$C$3000,0&amp;0),MATCH(Industry!N$1,Industry_Historical_Data!$A$1:$S$1,0)),"")</f>
        <v/>
      </c>
      <c r="O13" s="471" t="str">
        <f t="array" ref="O13">IFERROR(INDEX(Industry_Historical_Data!$A$1:$S$3000,MATCH(Industry!$G13&amp;Industry_Calculation!$D$27,Industry_Historical_Data!$A$1:$A$3000&amp;Industry_Historical_Data!$C$1:$C$3000,0&amp;0),MATCH(Industry!O$1,Industry_Historical_Data!$A$1:$S$1,0)),"")</f>
        <v/>
      </c>
      <c r="P13" s="471" t="str">
        <f t="array" ref="P13">IFERROR(INDEX(Industry_Historical_Data!$A$1:$S$3000,MATCH(Industry!$G13&amp;Industry_Calculation!$D$27,Industry_Historical_Data!$A$1:$A$3000&amp;Industry_Historical_Data!$C$1:$C$3000,0&amp;0),MATCH(Industry!P$1,Industry_Historical_Data!$A$1:$S$1,0)),"")</f>
        <v/>
      </c>
      <c r="Q13" s="471" t="str">
        <f t="array" ref="Q13">IFERROR(INDEX(Industry_Historical_Data!$A$1:$S$3000,MATCH(Industry!$G13&amp;Industry_Calculation!$D$27,Industry_Historical_Data!$A$1:$A$3000&amp;Industry_Historical_Data!$C$1:$C$3000,0&amp;0),MATCH(Industry!Q$1,Industry_Historical_Data!$A$1:$S$1,0)),"")</f>
        <v/>
      </c>
      <c r="R13" s="471">
        <f t="array" ref="R13">IFERROR(INDEX(Industry_Historical_Data!$A$1:$S$3000,MATCH(Industry!$G13&amp;Industry_Calculation!$D$27,Industry_Historical_Data!$A$1:$A$3000&amp;Industry_Historical_Data!$C$1:$C$3000,0&amp;0),MATCH(Industry!R$1,Industry_Historical_Data!$A$1:$S$1,0)),"")</f>
        <v>5990</v>
      </c>
      <c r="S13" s="471">
        <f t="array" ref="S13">IFERROR(INDEX(Industry_Historical_Data!$A$1:$S$3000,MATCH(Industry!$G13&amp;Industry_Calculation!$D$27,Industry_Historical_Data!$A$1:$A$3000&amp;Industry_Historical_Data!$C$1:$C$3000,0&amp;0),MATCH(Industry!S$1,Industry_Historical_Data!$A$1:$S$1,0)),"")</f>
        <v>6844</v>
      </c>
      <c r="T13" s="471">
        <f t="array" ref="T13">IFERROR(INDEX(Industry_Historical_Data!$A$1:$S$3000,MATCH(Industry!$G13&amp;Industry_Calculation!$D$27,Industry_Historical_Data!$A$1:$A$3000&amp;Industry_Historical_Data!$C$1:$C$3000,0&amp;0),MATCH(Industry!T$1,Industry_Historical_Data!$A$1:$S$1,0)),"")</f>
        <v>6280</v>
      </c>
      <c r="U13" s="471">
        <f t="array" ref="U13">IFERROR(INDEX(Industry_Historical_Data!$A$1:$S$3000,MATCH(Industry!$G13&amp;Industry_Calculation!$D$27,Industry_Historical_Data!$A$1:$A$3000&amp;Industry_Historical_Data!$C$1:$C$3000,0&amp;0),MATCH(Industry!U$1,Industry_Historical_Data!$A$1:$S$1,0)),"")</f>
        <v>6119</v>
      </c>
      <c r="V13" s="471">
        <f t="array" ref="V13">IFERROR(INDEX(Industry_Historical_Data!$A$1:$S$3000,MATCH(Industry!$G13&amp;Industry_Calculation!$D$27,Industry_Historical_Data!$A$1:$A$3000&amp;Industry_Historical_Data!$C$1:$C$3000,0&amp;0),MATCH(Industry!V$1,Industry_Historical_Data!$A$1:$S$1,0)),"")</f>
        <v>6364</v>
      </c>
      <c r="W13" s="472">
        <f t="array" ref="W13">IFERROR(INDEX(Industry_Calculation!$A$110:$M$158,MATCH(Industry!$G13,Industry_Calculation!$A$110:$A$158,0),MATCH(Industry!W$1,Industry_Calculation!$A$110:$M$110,0)),"")</f>
        <v>6275</v>
      </c>
      <c r="X13" s="473">
        <f t="array" ref="X13">IFERROR(INDEX(Industry_Historical_Data!$A$1:$S$3000,MATCH(Industry!$G13&amp;Industry_Calculation!$D$27,Industry_Historical_Data!$A$1:$A$3000&amp;Industry_Historical_Data!$C$1:$C$3000,0&amp;0),MATCH(Industry!X$1,Industry_Historical_Data!$A$1:$S$1,0)),"")</f>
        <v>6255</v>
      </c>
      <c r="Y13" s="473">
        <f t="array" ref="Y13">IFERROR(INDEX(Industry_Historical_Data!$A$1:$S$3000,MATCH(Industry!$G13&amp;Industry_Calculation!$D$27,Industry_Historical_Data!$A$1:$A$3000&amp;Industry_Historical_Data!$C$1:$C$3000,0&amp;0),MATCH(Industry!Y$1,Industry_Historical_Data!$A$1:$S$1,0)),"")</f>
        <v>6491</v>
      </c>
      <c r="Z13" s="473">
        <f t="array" ref="Z13">IFERROR(INDEX(Industry_Historical_Data!$A$1:$S$3000,MATCH(Industry!$G13&amp;Industry_Calculation!$D$27,Industry_Historical_Data!$A$1:$A$3000&amp;Industry_Historical_Data!$C$1:$C$3000,0&amp;0),MATCH(Industry!Z$1,Industry_Historical_Data!$A$1:$S$1,0)),"")</f>
        <v>6643</v>
      </c>
      <c r="AA13" s="472">
        <f t="array" ref="AA13">IFERROR(INDEX(Industry_Calculation!$A$110:$M$158,MATCH(Industry!$G13,Industry_Calculation!$A$110:$A$158,0),MATCH(Industry!AA$1,Industry_Calculation!$A$110:$M$110,0)),"")</f>
        <v>6773</v>
      </c>
      <c r="AB13" s="472">
        <f t="shared" si="1"/>
        <v>6773</v>
      </c>
      <c r="AC13" s="472">
        <f t="shared" si="3"/>
        <v>6318.315</v>
      </c>
      <c r="AD13" s="472">
        <f t="array" ref="AD13">IFERROR(INDEX(Industry_Calculation!$A$110:$M$158,MATCH(Industry!$G13,Industry_Calculation!$A$110:$A$158,0),MATCH(Industry!AD$1,Industry_Calculation!$A$110:$M$110,0)),"")</f>
        <v>5863.63</v>
      </c>
      <c r="AE13" s="472">
        <f t="shared" si="4"/>
        <v>5410.44</v>
      </c>
      <c r="AF13" s="472">
        <f t="array" ref="AF13">IFERROR(INDEX(Industry_Calculation!$A$110:$M$158,MATCH(Industry!$G13,Industry_Calculation!$A$110:$A$158,0),MATCH(Industry!AF$1,Industry_Calculation!$A$110:$M$110,0)),"")</f>
        <v>4957.25</v>
      </c>
      <c r="AG13" s="472">
        <f t="shared" si="5"/>
        <v>4831.75</v>
      </c>
      <c r="AH13" s="472">
        <f t="array" ref="AH13">IFERROR(INDEX(Industry_Calculation!$A$110:$M$158,MATCH(Industry!$G13,Industry_Calculation!$A$110:$A$158,0),MATCH(Industry!AH$1,Industry_Calculation!$A$110:$M$110,0)),"")</f>
        <v>4706.25</v>
      </c>
      <c r="AI13" s="474"/>
      <c r="AJ13" s="475"/>
      <c r="AK13" s="475"/>
      <c r="AL13" s="475"/>
      <c r="AM13" s="186"/>
      <c r="AN13" s="176"/>
    </row>
    <row r="14" ht="14.25" customHeight="1" outlineLevel="3">
      <c r="A14" s="468"/>
      <c r="B14" s="162"/>
      <c r="C14" s="100"/>
      <c r="D14" s="100"/>
      <c r="E14" s="270" t="s">
        <v>2093</v>
      </c>
      <c r="F14" s="249" t="s">
        <v>2083</v>
      </c>
      <c r="G14" s="249" t="s">
        <v>2094</v>
      </c>
      <c r="H14" s="471" t="str">
        <f t="array" ref="H14">IFERROR(INDEX(Industry_Historical_Data!$A$1:$S$3000,MATCH(Industry!$G14&amp;Industry_Calculation!$D$27,Industry_Historical_Data!$A$1:$A$3000&amp;Industry_Historical_Data!$C$1:$C$3000,0&amp;0),MATCH(Industry!H$1,Industry_Historical_Data!$A$1:$S$1,0)),"")</f>
        <v/>
      </c>
      <c r="I14" s="471" t="str">
        <f t="array" ref="I14">IFERROR(INDEX(Industry_Historical_Data!$A$1:$S$3000,MATCH(Industry!$G14&amp;Industry_Calculation!$D$27,Industry_Historical_Data!$A$1:$A$3000&amp;Industry_Historical_Data!$C$1:$C$3000,0&amp;0),MATCH(Industry!I$1,Industry_Historical_Data!$A$1:$S$1,0)),"")</f>
        <v/>
      </c>
      <c r="J14" s="471" t="str">
        <f t="array" ref="J14">IFERROR(INDEX(Industry_Historical_Data!$A$1:$S$3000,MATCH(Industry!$G14&amp;Industry_Calculation!$D$27,Industry_Historical_Data!$A$1:$A$3000&amp;Industry_Historical_Data!$C$1:$C$3000,0&amp;0),MATCH(Industry!J$1,Industry_Historical_Data!$A$1:$S$1,0)),"")</f>
        <v/>
      </c>
      <c r="K14" s="471" t="str">
        <f t="array" ref="K14">IFERROR(INDEX(Industry_Historical_Data!$A$1:$S$3000,MATCH(Industry!$G14&amp;Industry_Calculation!$D$27,Industry_Historical_Data!$A$1:$A$3000&amp;Industry_Historical_Data!$C$1:$C$3000,0&amp;0),MATCH(Industry!K$1,Industry_Historical_Data!$A$1:$S$1,0)),"")</f>
        <v/>
      </c>
      <c r="L14" s="471" t="str">
        <f t="array" ref="L14">IFERROR(INDEX(Industry_Historical_Data!$A$1:$S$3000,MATCH(Industry!$G14&amp;Industry_Calculation!$D$27,Industry_Historical_Data!$A$1:$A$3000&amp;Industry_Historical_Data!$C$1:$C$3000,0&amp;0),MATCH(Industry!L$1,Industry_Historical_Data!$A$1:$S$1,0)),"")</f>
        <v/>
      </c>
      <c r="M14" s="471" t="str">
        <f t="array" ref="M14">IFERROR(INDEX(Industry_Historical_Data!$A$1:$S$3000,MATCH(Industry!$G14&amp;Industry_Calculation!$D$27,Industry_Historical_Data!$A$1:$A$3000&amp;Industry_Historical_Data!$C$1:$C$3000,0&amp;0),MATCH(Industry!M$1,Industry_Historical_Data!$A$1:$S$1,0)),"")</f>
        <v/>
      </c>
      <c r="N14" s="471" t="str">
        <f t="array" ref="N14">IFERROR(INDEX(Industry_Historical_Data!$A$1:$S$3000,MATCH(Industry!$G14&amp;Industry_Calculation!$D$27,Industry_Historical_Data!$A$1:$A$3000&amp;Industry_Historical_Data!$C$1:$C$3000,0&amp;0),MATCH(Industry!N$1,Industry_Historical_Data!$A$1:$S$1,0)),"")</f>
        <v/>
      </c>
      <c r="O14" s="471" t="str">
        <f t="array" ref="O14">IFERROR(INDEX(Industry_Historical_Data!$A$1:$S$3000,MATCH(Industry!$G14&amp;Industry_Calculation!$D$27,Industry_Historical_Data!$A$1:$A$3000&amp;Industry_Historical_Data!$C$1:$C$3000,0&amp;0),MATCH(Industry!O$1,Industry_Historical_Data!$A$1:$S$1,0)),"")</f>
        <v/>
      </c>
      <c r="P14" s="471" t="str">
        <f t="array" ref="P14">IFERROR(INDEX(Industry_Historical_Data!$A$1:$S$3000,MATCH(Industry!$G14&amp;Industry_Calculation!$D$27,Industry_Historical_Data!$A$1:$A$3000&amp;Industry_Historical_Data!$C$1:$C$3000,0&amp;0),MATCH(Industry!P$1,Industry_Historical_Data!$A$1:$S$1,0)),"")</f>
        <v/>
      </c>
      <c r="Q14" s="471" t="str">
        <f t="array" ref="Q14">IFERROR(INDEX(Industry_Historical_Data!$A$1:$S$3000,MATCH(Industry!$G14&amp;Industry_Calculation!$D$27,Industry_Historical_Data!$A$1:$A$3000&amp;Industry_Historical_Data!$C$1:$C$3000,0&amp;0),MATCH(Industry!Q$1,Industry_Historical_Data!$A$1:$S$1,0)),"")</f>
        <v/>
      </c>
      <c r="R14" s="471">
        <f t="array" ref="R14">IFERROR(INDEX(Industry_Historical_Data!$A$1:$S$3000,MATCH(Industry!$G14&amp;Industry_Calculation!$D$27,Industry_Historical_Data!$A$1:$A$3000&amp;Industry_Historical_Data!$C$1:$C$3000,0&amp;0),MATCH(Industry!R$1,Industry_Historical_Data!$A$1:$S$1,0)),"")</f>
        <v>1105</v>
      </c>
      <c r="S14" s="471">
        <f t="array" ref="S14">IFERROR(INDEX(Industry_Historical_Data!$A$1:$S$3000,MATCH(Industry!$G14&amp;Industry_Calculation!$D$27,Industry_Historical_Data!$A$1:$A$3000&amp;Industry_Historical_Data!$C$1:$C$3000,0&amp;0),MATCH(Industry!S$1,Industry_Historical_Data!$A$1:$S$1,0)),"")</f>
        <v>1016</v>
      </c>
      <c r="T14" s="471">
        <f t="array" ref="T14">IFERROR(INDEX(Industry_Historical_Data!$A$1:$S$3000,MATCH(Industry!$G14&amp;Industry_Calculation!$D$27,Industry_Historical_Data!$A$1:$A$3000&amp;Industry_Historical_Data!$C$1:$C$3000,0&amp;0),MATCH(Industry!T$1,Industry_Historical_Data!$A$1:$S$1,0)),"")</f>
        <v>970</v>
      </c>
      <c r="U14" s="471">
        <f t="array" ref="U14">IFERROR(INDEX(Industry_Historical_Data!$A$1:$S$3000,MATCH(Industry!$G14&amp;Industry_Calculation!$D$27,Industry_Historical_Data!$A$1:$A$3000&amp;Industry_Historical_Data!$C$1:$C$3000,0&amp;0),MATCH(Industry!U$1,Industry_Historical_Data!$A$1:$S$1,0)),"")</f>
        <v>750</v>
      </c>
      <c r="V14" s="471" t="str">
        <f t="array" ref="V14">IFERROR(INDEX(Industry_Historical_Data!$A$1:$S$3000,MATCH(Industry!$G14&amp;Industry_Calculation!$D$27,Industry_Historical_Data!$A$1:$A$3000&amp;Industry_Historical_Data!$C$1:$C$3000,0&amp;0),MATCH(Industry!V$1,Industry_Historical_Data!$A$1:$S$1,0)),"")</f>
        <v>n.a.</v>
      </c>
      <c r="W14" s="472">
        <f t="array" ref="W14">IFERROR(INDEX(Industry_Calculation!$A$110:$M$158,MATCH(Industry!$G14,Industry_Calculation!$A$110:$A$158,0),MATCH(Industry!W$1,Industry_Calculation!$A$110:$M$110,0)),"")</f>
        <v>1000</v>
      </c>
      <c r="X14" s="473" t="str">
        <f t="array" ref="X14">IFERROR(INDEX(Industry_Historical_Data!$A$1:$S$3000,MATCH(Industry!$G14&amp;Industry_Calculation!$D$27,Industry_Historical_Data!$A$1:$A$3000&amp;Industry_Historical_Data!$C$1:$C$3000,0&amp;0),MATCH(Industry!X$1,Industry_Historical_Data!$A$1:$S$1,0)),"")</f>
        <v>n.a.</v>
      </c>
      <c r="Y14" s="473" t="str">
        <f t="array" ref="Y14">IFERROR(INDEX(Industry_Historical_Data!$A$1:$S$3000,MATCH(Industry!$G14&amp;Industry_Calculation!$D$27,Industry_Historical_Data!$A$1:$A$3000&amp;Industry_Historical_Data!$C$1:$C$3000,0&amp;0),MATCH(Industry!Y$1,Industry_Historical_Data!$A$1:$S$1,0)),"")</f>
        <v>n.a.</v>
      </c>
      <c r="Z14" s="473" t="str">
        <f t="array" ref="Z14">IFERROR(INDEX(Industry_Historical_Data!$A$1:$S$3000,MATCH(Industry!$G14&amp;Industry_Calculation!$D$27,Industry_Historical_Data!$A$1:$A$3000&amp;Industry_Historical_Data!$C$1:$C$3000,0&amp;0),MATCH(Industry!Z$1,Industry_Historical_Data!$A$1:$S$1,0)),"")</f>
        <v>n.a.</v>
      </c>
      <c r="AA14" s="472">
        <f t="array" ref="AA14">IFERROR(INDEX(Industry_Calculation!$A$110:$M$158,MATCH(Industry!$G14,Industry_Calculation!$A$110:$A$158,0),MATCH(Industry!AA$1,Industry_Calculation!$A$110:$M$110,0)),"")</f>
        <v>1000</v>
      </c>
      <c r="AB14" s="472">
        <f t="shared" si="1"/>
        <v>1000</v>
      </c>
      <c r="AC14" s="472">
        <f t="shared" si="3"/>
        <v>967</v>
      </c>
      <c r="AD14" s="472">
        <f t="array" ref="AD14">IFERROR(INDEX(Industry_Calculation!$A$110:$M$158,MATCH(Industry!$G14,Industry_Calculation!$A$110:$A$158,0),MATCH(Industry!AD$1,Industry_Calculation!$A$110:$M$110,0)),"")</f>
        <v>934</v>
      </c>
      <c r="AE14" s="472">
        <f t="shared" si="4"/>
        <v>904</v>
      </c>
      <c r="AF14" s="472">
        <f t="array" ref="AF14">IFERROR(INDEX(Industry_Calculation!$A$110:$M$158,MATCH(Industry!$G14,Industry_Calculation!$A$110:$A$158,0),MATCH(Industry!AF$1,Industry_Calculation!$A$110:$M$110,0)),"")</f>
        <v>874</v>
      </c>
      <c r="AG14" s="472">
        <f t="shared" si="5"/>
        <v>862</v>
      </c>
      <c r="AH14" s="472">
        <f t="array" ref="AH14">IFERROR(INDEX(Industry_Calculation!$A$110:$M$158,MATCH(Industry!$G14,Industry_Calculation!$A$110:$A$158,0),MATCH(Industry!AH$1,Industry_Calculation!$A$110:$M$110,0)),"")</f>
        <v>850</v>
      </c>
      <c r="AI14" s="474"/>
      <c r="AJ14" s="475"/>
      <c r="AK14" s="475"/>
      <c r="AL14" s="475"/>
      <c r="AM14" s="186"/>
      <c r="AN14" s="176"/>
    </row>
    <row r="15" ht="14.25" customHeight="1" outlineLevel="3">
      <c r="A15" s="468"/>
      <c r="B15" s="162"/>
      <c r="C15" s="100"/>
      <c r="D15" s="100"/>
      <c r="E15" s="270" t="s">
        <v>2095</v>
      </c>
      <c r="F15" s="249" t="s">
        <v>2083</v>
      </c>
      <c r="G15" s="249" t="s">
        <v>2096</v>
      </c>
      <c r="H15" s="471" t="str">
        <f t="array" ref="H15">IFERROR(INDEX(Industry_Historical_Data!$A$1:$S$3000,MATCH(Industry!$G15&amp;Industry_Calculation!$D$27,Industry_Historical_Data!$A$1:$A$3000&amp;Industry_Historical_Data!$C$1:$C$3000,0&amp;0),MATCH(Industry!H$1,Industry_Historical_Data!$A$1:$S$1,0)),"")</f>
        <v/>
      </c>
      <c r="I15" s="471" t="str">
        <f t="array" ref="I15">IFERROR(INDEX(Industry_Historical_Data!$A$1:$S$3000,MATCH(Industry!$G15&amp;Industry_Calculation!$D$27,Industry_Historical_Data!$A$1:$A$3000&amp;Industry_Historical_Data!$C$1:$C$3000,0&amp;0),MATCH(Industry!I$1,Industry_Historical_Data!$A$1:$S$1,0)),"")</f>
        <v/>
      </c>
      <c r="J15" s="471" t="str">
        <f t="array" ref="J15">IFERROR(INDEX(Industry_Historical_Data!$A$1:$S$3000,MATCH(Industry!$G15&amp;Industry_Calculation!$D$27,Industry_Historical_Data!$A$1:$A$3000&amp;Industry_Historical_Data!$C$1:$C$3000,0&amp;0),MATCH(Industry!J$1,Industry_Historical_Data!$A$1:$S$1,0)),"")</f>
        <v/>
      </c>
      <c r="K15" s="471" t="str">
        <f t="array" ref="K15">IFERROR(INDEX(Industry_Historical_Data!$A$1:$S$3000,MATCH(Industry!$G15&amp;Industry_Calculation!$D$27,Industry_Historical_Data!$A$1:$A$3000&amp;Industry_Historical_Data!$C$1:$C$3000,0&amp;0),MATCH(Industry!K$1,Industry_Historical_Data!$A$1:$S$1,0)),"")</f>
        <v/>
      </c>
      <c r="L15" s="471" t="str">
        <f t="array" ref="L15">IFERROR(INDEX(Industry_Historical_Data!$A$1:$S$3000,MATCH(Industry!$G15&amp;Industry_Calculation!$D$27,Industry_Historical_Data!$A$1:$A$3000&amp;Industry_Historical_Data!$C$1:$C$3000,0&amp;0),MATCH(Industry!L$1,Industry_Historical_Data!$A$1:$S$1,0)),"")</f>
        <v/>
      </c>
      <c r="M15" s="471" t="str">
        <f t="array" ref="M15">IFERROR(INDEX(Industry_Historical_Data!$A$1:$S$3000,MATCH(Industry!$G15&amp;Industry_Calculation!$D$27,Industry_Historical_Data!$A$1:$A$3000&amp;Industry_Historical_Data!$C$1:$C$3000,0&amp;0),MATCH(Industry!M$1,Industry_Historical_Data!$A$1:$S$1,0)),"")</f>
        <v/>
      </c>
      <c r="N15" s="471" t="str">
        <f t="array" ref="N15">IFERROR(INDEX(Industry_Historical_Data!$A$1:$S$3000,MATCH(Industry!$G15&amp;Industry_Calculation!$D$27,Industry_Historical_Data!$A$1:$A$3000&amp;Industry_Historical_Data!$C$1:$C$3000,0&amp;0),MATCH(Industry!N$1,Industry_Historical_Data!$A$1:$S$1,0)),"")</f>
        <v/>
      </c>
      <c r="O15" s="471" t="str">
        <f t="array" ref="O15">IFERROR(INDEX(Industry_Historical_Data!$A$1:$S$3000,MATCH(Industry!$G15&amp;Industry_Calculation!$D$27,Industry_Historical_Data!$A$1:$A$3000&amp;Industry_Historical_Data!$C$1:$C$3000,0&amp;0),MATCH(Industry!O$1,Industry_Historical_Data!$A$1:$S$1,0)),"")</f>
        <v/>
      </c>
      <c r="P15" s="471" t="str">
        <f t="array" ref="P15">IFERROR(INDEX(Industry_Historical_Data!$A$1:$S$3000,MATCH(Industry!$G15&amp;Industry_Calculation!$D$27,Industry_Historical_Data!$A$1:$A$3000&amp;Industry_Historical_Data!$C$1:$C$3000,0&amp;0),MATCH(Industry!P$1,Industry_Historical_Data!$A$1:$S$1,0)),"")</f>
        <v/>
      </c>
      <c r="Q15" s="471" t="str">
        <f t="array" ref="Q15">IFERROR(INDEX(Industry_Historical_Data!$A$1:$S$3000,MATCH(Industry!$G15&amp;Industry_Calculation!$D$27,Industry_Historical_Data!$A$1:$A$3000&amp;Industry_Historical_Data!$C$1:$C$3000,0&amp;0),MATCH(Industry!Q$1,Industry_Historical_Data!$A$1:$S$1,0)),"")</f>
        <v/>
      </c>
      <c r="R15" s="471" t="str">
        <f t="array" ref="R15">IFERROR(INDEX(Industry_Historical_Data!$A$1:$S$3000,MATCH(Industry!$G15&amp;Industry_Calculation!$D$27,Industry_Historical_Data!$A$1:$A$3000&amp;Industry_Historical_Data!$C$1:$C$3000,0&amp;0),MATCH(Industry!R$1,Industry_Historical_Data!$A$1:$S$1,0)),"")</f>
        <v/>
      </c>
      <c r="S15" s="471" t="str">
        <f t="array" ref="S15">IFERROR(INDEX(Industry_Historical_Data!$A$1:$S$3000,MATCH(Industry!$G15&amp;Industry_Calculation!$D$27,Industry_Historical_Data!$A$1:$A$3000&amp;Industry_Historical_Data!$C$1:$C$3000,0&amp;0),MATCH(Industry!S$1,Industry_Historical_Data!$A$1:$S$1,0)),"")</f>
        <v/>
      </c>
      <c r="T15" s="471" t="str">
        <f t="array" ref="T15">IFERROR(INDEX(Industry_Historical_Data!$A$1:$S$3000,MATCH(Industry!$G15&amp;Industry_Calculation!$D$27,Industry_Historical_Data!$A$1:$A$3000&amp;Industry_Historical_Data!$C$1:$C$3000,0&amp;0),MATCH(Industry!T$1,Industry_Historical_Data!$A$1:$S$1,0)),"")</f>
        <v/>
      </c>
      <c r="U15" s="471" t="str">
        <f t="array" ref="U15">IFERROR(INDEX(Industry_Historical_Data!$A$1:$S$3000,MATCH(Industry!$G15&amp;Industry_Calculation!$D$27,Industry_Historical_Data!$A$1:$A$3000&amp;Industry_Historical_Data!$C$1:$C$3000,0&amp;0),MATCH(Industry!U$1,Industry_Historical_Data!$A$1:$S$1,0)),"")</f>
        <v/>
      </c>
      <c r="V15" s="471" t="str">
        <f t="array" ref="V15">IFERROR(INDEX(Industry_Historical_Data!$A$1:$S$3000,MATCH(Industry!$G15&amp;Industry_Calculation!$D$27,Industry_Historical_Data!$A$1:$A$3000&amp;Industry_Historical_Data!$C$1:$C$3000,0&amp;0),MATCH(Industry!V$1,Industry_Historical_Data!$A$1:$S$1,0)),"")</f>
        <v/>
      </c>
      <c r="W15" s="472">
        <f t="array" ref="W15">IFERROR(INDEX(Industry_Calculation!$A$110:$M$158,MATCH(Industry!$G15,Industry_Calculation!$A$110:$A$158,0),MATCH(Industry!W$1,Industry_Calculation!$A$110:$M$110,0)),"")</f>
        <v>1050</v>
      </c>
      <c r="X15" s="473" t="str">
        <f t="array" ref="X15">IFERROR(INDEX(Industry_Historical_Data!$A$1:$S$3000,MATCH(Industry!$G15&amp;Industry_Calculation!$D$27,Industry_Historical_Data!$A$1:$A$3000&amp;Industry_Historical_Data!$C$1:$C$3000,0&amp;0),MATCH(Industry!X$1,Industry_Historical_Data!$A$1:$S$1,0)),"")</f>
        <v/>
      </c>
      <c r="Y15" s="473" t="str">
        <f t="array" ref="Y15">IFERROR(INDEX(Industry_Historical_Data!$A$1:$S$3000,MATCH(Industry!$G15&amp;Industry_Calculation!$D$27,Industry_Historical_Data!$A$1:$A$3000&amp;Industry_Historical_Data!$C$1:$C$3000,0&amp;0),MATCH(Industry!Y$1,Industry_Historical_Data!$A$1:$S$1,0)),"")</f>
        <v/>
      </c>
      <c r="Z15" s="473" t="str">
        <f t="array" ref="Z15">IFERROR(INDEX(Industry_Historical_Data!$A$1:$S$3000,MATCH(Industry!$G15&amp;Industry_Calculation!$D$27,Industry_Historical_Data!$A$1:$A$3000&amp;Industry_Historical_Data!$C$1:$C$3000,0&amp;0),MATCH(Industry!Z$1,Industry_Historical_Data!$A$1:$S$1,0)),"")</f>
        <v/>
      </c>
      <c r="AA15" s="472">
        <f t="array" ref="AA15">IFERROR(INDEX(Industry_Calculation!$A$110:$M$158,MATCH(Industry!$G15,Industry_Calculation!$A$110:$A$158,0),MATCH(Industry!AA$1,Industry_Calculation!$A$110:$M$110,0)),"")</f>
        <v>1050</v>
      </c>
      <c r="AB15" s="472">
        <f t="shared" si="1"/>
        <v>1050</v>
      </c>
      <c r="AC15" s="472">
        <f t="shared" si="3"/>
        <v>980.7</v>
      </c>
      <c r="AD15" s="472">
        <f t="array" ref="AD15">IFERROR(INDEX(Industry_Calculation!$A$110:$M$158,MATCH(Industry!$G15,Industry_Calculation!$A$110:$A$158,0),MATCH(Industry!AD$1,Industry_Calculation!$A$110:$M$110,0)),"")</f>
        <v>911.4</v>
      </c>
      <c r="AE15" s="472">
        <f t="shared" si="4"/>
        <v>848.4</v>
      </c>
      <c r="AF15" s="472">
        <f t="array" ref="AF15">IFERROR(INDEX(Industry_Calculation!$A$110:$M$158,MATCH(Industry!$G15,Industry_Calculation!$A$110:$A$158,0),MATCH(Industry!AF$1,Industry_Calculation!$A$110:$M$110,0)),"")</f>
        <v>785.4</v>
      </c>
      <c r="AG15" s="472">
        <f t="shared" si="5"/>
        <v>760.2</v>
      </c>
      <c r="AH15" s="472">
        <f t="array" ref="AH15">IFERROR(INDEX(Industry_Calculation!$A$110:$M$158,MATCH(Industry!$G15,Industry_Calculation!$A$110:$A$158,0),MATCH(Industry!AH$1,Industry_Calculation!$A$110:$M$110,0)),"")</f>
        <v>735</v>
      </c>
      <c r="AI15" s="474"/>
      <c r="AJ15" s="475"/>
      <c r="AK15" s="475"/>
      <c r="AL15" s="475"/>
      <c r="AM15" s="186"/>
      <c r="AN15" s="176"/>
    </row>
    <row r="16" ht="14.25" customHeight="1" outlineLevel="3">
      <c r="A16" s="468"/>
      <c r="B16" s="162"/>
      <c r="C16" s="100"/>
      <c r="D16" s="100"/>
      <c r="E16" s="122" t="s">
        <v>2097</v>
      </c>
      <c r="F16" s="123" t="s">
        <v>2083</v>
      </c>
      <c r="G16" s="123" t="s">
        <v>2098</v>
      </c>
      <c r="H16" s="471" t="str">
        <f t="array" ref="H16">IFERROR(INDEX(Industry_Historical_Data!$A$1:$S$3000,MATCH(Industry!$G16&amp;Industry_Calculation!$D$27,Industry_Historical_Data!$A$1:$A$3000&amp;Industry_Historical_Data!$C$1:$C$3000,0&amp;0),MATCH(Industry!H$1,Industry_Historical_Data!$A$1:$S$1,0)),"")</f>
        <v/>
      </c>
      <c r="I16" s="471" t="str">
        <f t="array" ref="I16">IFERROR(INDEX(Industry_Historical_Data!$A$1:$S$3000,MATCH(Industry!$G16&amp;Industry_Calculation!$D$27,Industry_Historical_Data!$A$1:$A$3000&amp;Industry_Historical_Data!$C$1:$C$3000,0&amp;0),MATCH(Industry!I$1,Industry_Historical_Data!$A$1:$S$1,0)),"")</f>
        <v/>
      </c>
      <c r="J16" s="471" t="str">
        <f t="array" ref="J16">IFERROR(INDEX(Industry_Historical_Data!$A$1:$S$3000,MATCH(Industry!$G16&amp;Industry_Calculation!$D$27,Industry_Historical_Data!$A$1:$A$3000&amp;Industry_Historical_Data!$C$1:$C$3000,0&amp;0),MATCH(Industry!J$1,Industry_Historical_Data!$A$1:$S$1,0)),"")</f>
        <v/>
      </c>
      <c r="K16" s="471" t="str">
        <f t="array" ref="K16">IFERROR(INDEX(Industry_Historical_Data!$A$1:$S$3000,MATCH(Industry!$G16&amp;Industry_Calculation!$D$27,Industry_Historical_Data!$A$1:$A$3000&amp;Industry_Historical_Data!$C$1:$C$3000,0&amp;0),MATCH(Industry!K$1,Industry_Historical_Data!$A$1:$S$1,0)),"")</f>
        <v/>
      </c>
      <c r="L16" s="471" t="str">
        <f t="array" ref="L16">IFERROR(INDEX(Industry_Historical_Data!$A$1:$S$3000,MATCH(Industry!$G16&amp;Industry_Calculation!$D$27,Industry_Historical_Data!$A$1:$A$3000&amp;Industry_Historical_Data!$C$1:$C$3000,0&amp;0),MATCH(Industry!L$1,Industry_Historical_Data!$A$1:$S$1,0)),"")</f>
        <v/>
      </c>
      <c r="M16" s="471" t="str">
        <f t="array" ref="M16">IFERROR(INDEX(Industry_Historical_Data!$A$1:$S$3000,MATCH(Industry!$G16&amp;Industry_Calculation!$D$27,Industry_Historical_Data!$A$1:$A$3000&amp;Industry_Historical_Data!$C$1:$C$3000,0&amp;0),MATCH(Industry!M$1,Industry_Historical_Data!$A$1:$S$1,0)),"")</f>
        <v/>
      </c>
      <c r="N16" s="471" t="str">
        <f t="array" ref="N16">IFERROR(INDEX(Industry_Historical_Data!$A$1:$S$3000,MATCH(Industry!$G16&amp;Industry_Calculation!$D$27,Industry_Historical_Data!$A$1:$A$3000&amp;Industry_Historical_Data!$C$1:$C$3000,0&amp;0),MATCH(Industry!N$1,Industry_Historical_Data!$A$1:$S$1,0)),"")</f>
        <v/>
      </c>
      <c r="O16" s="471" t="str">
        <f t="array" ref="O16">IFERROR(INDEX(Industry_Historical_Data!$A$1:$S$3000,MATCH(Industry!$G16&amp;Industry_Calculation!$D$27,Industry_Historical_Data!$A$1:$A$3000&amp;Industry_Historical_Data!$C$1:$C$3000,0&amp;0),MATCH(Industry!O$1,Industry_Historical_Data!$A$1:$S$1,0)),"")</f>
        <v/>
      </c>
      <c r="P16" s="471" t="str">
        <f t="array" ref="P16">IFERROR(INDEX(Industry_Historical_Data!$A$1:$S$3000,MATCH(Industry!$G16&amp;Industry_Calculation!$D$27,Industry_Historical_Data!$A$1:$A$3000&amp;Industry_Historical_Data!$C$1:$C$3000,0&amp;0),MATCH(Industry!P$1,Industry_Historical_Data!$A$1:$S$1,0)),"")</f>
        <v/>
      </c>
      <c r="Q16" s="471" t="str">
        <f t="array" ref="Q16">IFERROR(INDEX(Industry_Historical_Data!$A$1:$S$3000,MATCH(Industry!$G16&amp;Industry_Calculation!$D$27,Industry_Historical_Data!$A$1:$A$3000&amp;Industry_Historical_Data!$C$1:$C$3000,0&amp;0),MATCH(Industry!Q$1,Industry_Historical_Data!$A$1:$S$1,0)),"")</f>
        <v/>
      </c>
      <c r="R16" s="471" t="str">
        <f t="array" ref="R16">IFERROR(INDEX(Industry_Historical_Data!$A$1:$S$3000,MATCH(Industry!$G16&amp;Industry_Calculation!$D$27,Industry_Historical_Data!$A$1:$A$3000&amp;Industry_Historical_Data!$C$1:$C$3000,0&amp;0),MATCH(Industry!R$1,Industry_Historical_Data!$A$1:$S$1,0)),"")</f>
        <v/>
      </c>
      <c r="S16" s="471" t="str">
        <f t="array" ref="S16">IFERROR(INDEX(Industry_Historical_Data!$A$1:$S$3000,MATCH(Industry!$G16&amp;Industry_Calculation!$D$27,Industry_Historical_Data!$A$1:$A$3000&amp;Industry_Historical_Data!$C$1:$C$3000,0&amp;0),MATCH(Industry!S$1,Industry_Historical_Data!$A$1:$S$1,0)),"")</f>
        <v/>
      </c>
      <c r="T16" s="471" t="str">
        <f t="array" ref="T16">IFERROR(INDEX(Industry_Historical_Data!$A$1:$S$3000,MATCH(Industry!$G16&amp;Industry_Calculation!$D$27,Industry_Historical_Data!$A$1:$A$3000&amp;Industry_Historical_Data!$C$1:$C$3000,0&amp;0),MATCH(Industry!T$1,Industry_Historical_Data!$A$1:$S$1,0)),"")</f>
        <v/>
      </c>
      <c r="U16" s="471" t="str">
        <f t="array" ref="U16">IFERROR(INDEX(Industry_Historical_Data!$A$1:$S$3000,MATCH(Industry!$G16&amp;Industry_Calculation!$D$27,Industry_Historical_Data!$A$1:$A$3000&amp;Industry_Historical_Data!$C$1:$C$3000,0&amp;0),MATCH(Industry!U$1,Industry_Historical_Data!$A$1:$S$1,0)),"")</f>
        <v/>
      </c>
      <c r="V16" s="471" t="str">
        <f t="array" ref="V16">IFERROR(INDEX(Industry_Historical_Data!$A$1:$S$3000,MATCH(Industry!$G16&amp;Industry_Calculation!$D$27,Industry_Historical_Data!$A$1:$A$3000&amp;Industry_Historical_Data!$C$1:$C$3000,0&amp;0),MATCH(Industry!V$1,Industry_Historical_Data!$A$1:$S$1,0)),"")</f>
        <v/>
      </c>
      <c r="W16" s="472">
        <f t="array" ref="W16">IFERROR(INDEX(Industry_Calculation!$A$110:$M$158,MATCH(Industry!$G16,Industry_Calculation!$A$110:$A$158,0),MATCH(Industry!W$1,Industry_Calculation!$A$110:$M$110,0)),"")</f>
        <v>5580</v>
      </c>
      <c r="X16" s="473" t="str">
        <f t="array" ref="X16">IFERROR(INDEX(Industry_Historical_Data!$A$1:$S$3000,MATCH(Industry!$G16&amp;Industry_Calculation!$D$27,Industry_Historical_Data!$A$1:$A$3000&amp;Industry_Historical_Data!$C$1:$C$3000,0&amp;0),MATCH(Industry!X$1,Industry_Historical_Data!$A$1:$S$1,0)),"")</f>
        <v/>
      </c>
      <c r="Y16" s="473" t="str">
        <f t="array" ref="Y16">IFERROR(INDEX(Industry_Historical_Data!$A$1:$S$3000,MATCH(Industry!$G16&amp;Industry_Calculation!$D$27,Industry_Historical_Data!$A$1:$A$3000&amp;Industry_Historical_Data!$C$1:$C$3000,0&amp;0),MATCH(Industry!Y$1,Industry_Historical_Data!$A$1:$S$1,0)),"")</f>
        <v/>
      </c>
      <c r="Z16" s="473" t="str">
        <f t="array" ref="Z16">IFERROR(INDEX(Industry_Historical_Data!$A$1:$S$3000,MATCH(Industry!$G16&amp;Industry_Calculation!$D$27,Industry_Historical_Data!$A$1:$A$3000&amp;Industry_Historical_Data!$C$1:$C$3000,0&amp;0),MATCH(Industry!Z$1,Industry_Historical_Data!$A$1:$S$1,0)),"")</f>
        <v/>
      </c>
      <c r="AA16" s="472">
        <f t="array" ref="AA16">IFERROR(INDEX(Industry_Calculation!$A$110:$M$158,MATCH(Industry!$G16,Industry_Calculation!$A$110:$A$158,0),MATCH(Industry!AA$1,Industry_Calculation!$A$110:$M$110,0)),"")</f>
        <v>5580</v>
      </c>
      <c r="AB16" s="472">
        <f t="shared" si="1"/>
        <v>5580</v>
      </c>
      <c r="AC16" s="472">
        <f t="shared" si="3"/>
        <v>5457.24</v>
      </c>
      <c r="AD16" s="472">
        <f t="array" ref="AD16">IFERROR(INDEX(Industry_Calculation!$A$110:$M$158,MATCH(Industry!$G16,Industry_Calculation!$A$110:$A$158,0),MATCH(Industry!AD$1,Industry_Calculation!$A$110:$M$110,0)),"")</f>
        <v>5334.48</v>
      </c>
      <c r="AE16" s="472">
        <f t="shared" si="4"/>
        <v>5222.88</v>
      </c>
      <c r="AF16" s="472">
        <f t="array" ref="AF16">IFERROR(INDEX(Industry_Calculation!$A$110:$M$158,MATCH(Industry!$G16,Industry_Calculation!$A$110:$A$158,0),MATCH(Industry!AF$1,Industry_Calculation!$A$110:$M$110,0)),"")</f>
        <v>5111.28</v>
      </c>
      <c r="AG16" s="472">
        <f t="shared" si="5"/>
        <v>5066.64</v>
      </c>
      <c r="AH16" s="472">
        <f t="array" ref="AH16">IFERROR(INDEX(Industry_Calculation!$A$110:$M$158,MATCH(Industry!$G16,Industry_Calculation!$A$110:$A$158,0),MATCH(Industry!AH$1,Industry_Calculation!$A$110:$M$110,0)),"")</f>
        <v>5022</v>
      </c>
      <c r="AI16" s="474"/>
      <c r="AJ16" s="475"/>
      <c r="AK16" s="475"/>
      <c r="AL16" s="475"/>
      <c r="AM16" s="186"/>
      <c r="AN16" s="176"/>
    </row>
    <row r="17" ht="6.0" customHeight="1" outlineLevel="2">
      <c r="A17" s="468"/>
      <c r="B17" s="466"/>
      <c r="C17" s="476"/>
      <c r="D17" s="470"/>
      <c r="E17" s="162"/>
      <c r="F17" s="162"/>
      <c r="G17" s="162"/>
      <c r="H17" s="178"/>
      <c r="I17" s="178"/>
      <c r="J17" s="178"/>
      <c r="K17" s="178"/>
      <c r="L17" s="178"/>
      <c r="M17" s="178"/>
      <c r="N17" s="178"/>
      <c r="O17" s="178"/>
      <c r="P17" s="178"/>
      <c r="Q17" s="178"/>
      <c r="R17" s="178"/>
      <c r="S17" s="178"/>
      <c r="T17" s="178"/>
      <c r="U17" s="178"/>
      <c r="V17" s="178"/>
      <c r="W17" s="477"/>
      <c r="X17" s="178"/>
      <c r="Y17" s="178"/>
      <c r="Z17" s="178"/>
      <c r="AA17" s="178"/>
      <c r="AB17" s="178"/>
      <c r="AC17" s="178"/>
      <c r="AD17" s="178"/>
      <c r="AE17" s="178"/>
      <c r="AF17" s="178"/>
      <c r="AG17" s="178"/>
      <c r="AH17" s="178"/>
      <c r="AI17" s="271"/>
      <c r="AJ17" s="271"/>
      <c r="AK17" s="271"/>
      <c r="AL17" s="271"/>
      <c r="AM17" s="100"/>
      <c r="AN17" s="176"/>
    </row>
    <row r="18" ht="14.25" customHeight="1" outlineLevel="3">
      <c r="A18" s="468"/>
      <c r="B18" s="162"/>
      <c r="C18" s="100"/>
      <c r="D18" s="100"/>
      <c r="E18" s="270" t="s">
        <v>2099</v>
      </c>
      <c r="F18" s="249" t="s">
        <v>2100</v>
      </c>
      <c r="G18" s="249" t="s">
        <v>2101</v>
      </c>
      <c r="H18" s="478">
        <f t="shared" ref="H18:V18" si="6">IFERROR(H9*$W18/$W9,"")</f>
        <v>0</v>
      </c>
      <c r="I18" s="478">
        <f t="shared" si="6"/>
        <v>0</v>
      </c>
      <c r="J18" s="478">
        <f t="shared" si="6"/>
        <v>0</v>
      </c>
      <c r="K18" s="478">
        <f t="shared" si="6"/>
        <v>0</v>
      </c>
      <c r="L18" s="478">
        <f t="shared" si="6"/>
        <v>0</v>
      </c>
      <c r="M18" s="478">
        <f t="shared" si="6"/>
        <v>0</v>
      </c>
      <c r="N18" s="478">
        <f t="shared" si="6"/>
        <v>0</v>
      </c>
      <c r="O18" s="478">
        <f t="shared" si="6"/>
        <v>0</v>
      </c>
      <c r="P18" s="478">
        <f t="shared" si="6"/>
        <v>0</v>
      </c>
      <c r="Q18" s="478">
        <f t="shared" si="6"/>
        <v>0</v>
      </c>
      <c r="R18" s="478">
        <f t="shared" si="6"/>
        <v>109.866336</v>
      </c>
      <c r="S18" s="478">
        <f t="shared" si="6"/>
        <v>110.5966653</v>
      </c>
      <c r="T18" s="478">
        <f t="shared" si="6"/>
        <v>100.6063111</v>
      </c>
      <c r="U18" s="478">
        <f t="shared" si="6"/>
        <v>98.20862615</v>
      </c>
      <c r="V18" s="478">
        <f t="shared" si="6"/>
        <v>101.0197051</v>
      </c>
      <c r="W18" s="478">
        <v>100.0</v>
      </c>
      <c r="X18" s="478">
        <f t="shared" ref="X18:AH18" si="7">IFERROR(X9*$W18/$W9,"")</f>
        <v>105.9666529</v>
      </c>
      <c r="Y18" s="478">
        <f t="shared" si="7"/>
        <v>108.0336227</v>
      </c>
      <c r="Z18" s="478">
        <f t="shared" si="7"/>
        <v>109.9627945</v>
      </c>
      <c r="AA18" s="478">
        <f t="shared" si="7"/>
        <v>106.9312388</v>
      </c>
      <c r="AB18" s="478">
        <f t="shared" si="7"/>
        <v>106.9312388</v>
      </c>
      <c r="AC18" s="478">
        <f t="shared" si="7"/>
        <v>102.1063663</v>
      </c>
      <c r="AD18" s="478">
        <f t="shared" si="7"/>
        <v>97.28149373</v>
      </c>
      <c r="AE18" s="478">
        <f t="shared" si="7"/>
        <v>92.34074687</v>
      </c>
      <c r="AF18" s="478">
        <f t="shared" si="7"/>
        <v>87.4</v>
      </c>
      <c r="AG18" s="478">
        <f t="shared" si="7"/>
        <v>86.2</v>
      </c>
      <c r="AH18" s="478">
        <f t="shared" si="7"/>
        <v>85</v>
      </c>
      <c r="AI18" s="474"/>
      <c r="AJ18" s="475"/>
      <c r="AK18" s="475"/>
      <c r="AL18" s="475"/>
      <c r="AM18" s="186"/>
      <c r="AN18" s="176"/>
    </row>
    <row r="19" ht="14.25" customHeight="1" outlineLevel="3">
      <c r="A19" s="468"/>
      <c r="B19" s="162"/>
      <c r="C19" s="100"/>
      <c r="D19" s="100"/>
      <c r="E19" s="270" t="s">
        <v>2102</v>
      </c>
      <c r="F19" s="249" t="s">
        <v>2100</v>
      </c>
      <c r="G19" s="249" t="s">
        <v>2103</v>
      </c>
      <c r="H19" s="478">
        <f t="shared" ref="H19:V19" si="8">IFERROR(H10*$W19/$W10,"")</f>
        <v>0</v>
      </c>
      <c r="I19" s="478">
        <f t="shared" si="8"/>
        <v>0</v>
      </c>
      <c r="J19" s="478">
        <f t="shared" si="8"/>
        <v>0</v>
      </c>
      <c r="K19" s="478">
        <f t="shared" si="8"/>
        <v>0</v>
      </c>
      <c r="L19" s="478">
        <f t="shared" si="8"/>
        <v>0</v>
      </c>
      <c r="M19" s="478">
        <f t="shared" si="8"/>
        <v>0</v>
      </c>
      <c r="N19" s="478">
        <f t="shared" si="8"/>
        <v>0</v>
      </c>
      <c r="O19" s="478">
        <f t="shared" si="8"/>
        <v>0</v>
      </c>
      <c r="P19" s="478">
        <f t="shared" si="8"/>
        <v>0</v>
      </c>
      <c r="Q19" s="478">
        <f t="shared" si="8"/>
        <v>0</v>
      </c>
      <c r="R19" s="478">
        <f t="shared" si="8"/>
        <v>107.6523186</v>
      </c>
      <c r="S19" s="478">
        <f t="shared" si="8"/>
        <v>109.2326887</v>
      </c>
      <c r="T19" s="478">
        <f t="shared" si="8"/>
        <v>96.63131628</v>
      </c>
      <c r="U19" s="478">
        <f t="shared" si="8"/>
        <v>98.52360158</v>
      </c>
      <c r="V19" s="478">
        <f t="shared" si="8"/>
        <v>102.9735912</v>
      </c>
      <c r="W19" s="478">
        <v>100.0</v>
      </c>
      <c r="X19" s="478">
        <f t="shared" ref="X19:AH19" si="9">IFERROR(X10*$W19/$W10,"")</f>
        <v>110.3368684</v>
      </c>
      <c r="Y19" s="478">
        <f t="shared" si="9"/>
        <v>112.4974007</v>
      </c>
      <c r="Z19" s="478">
        <f t="shared" si="9"/>
        <v>112.8384279</v>
      </c>
      <c r="AA19" s="478">
        <f t="shared" si="9"/>
        <v>117.7957995</v>
      </c>
      <c r="AB19" s="478">
        <f t="shared" si="9"/>
        <v>117.7957995</v>
      </c>
      <c r="AC19" s="478">
        <f t="shared" si="9"/>
        <v>105.1437249</v>
      </c>
      <c r="AD19" s="478">
        <f t="shared" si="9"/>
        <v>92.49165024</v>
      </c>
      <c r="AE19" s="478">
        <f t="shared" si="9"/>
        <v>79.56610023</v>
      </c>
      <c r="AF19" s="478">
        <f t="shared" si="9"/>
        <v>66.64055022</v>
      </c>
      <c r="AG19" s="478">
        <f t="shared" si="9"/>
        <v>63.46345976</v>
      </c>
      <c r="AH19" s="478">
        <f t="shared" si="9"/>
        <v>60.28636931</v>
      </c>
      <c r="AI19" s="474"/>
      <c r="AJ19" s="475"/>
      <c r="AK19" s="475"/>
      <c r="AL19" s="475"/>
      <c r="AM19" s="186"/>
      <c r="AN19" s="176"/>
    </row>
    <row r="20" ht="14.25" customHeight="1" outlineLevel="3">
      <c r="A20" s="468"/>
      <c r="B20" s="162"/>
      <c r="C20" s="100"/>
      <c r="D20" s="100"/>
      <c r="E20" s="270" t="s">
        <v>2104</v>
      </c>
      <c r="F20" s="249" t="s">
        <v>2100</v>
      </c>
      <c r="G20" s="249" t="s">
        <v>2105</v>
      </c>
      <c r="H20" s="478">
        <f t="shared" ref="H20:V20" si="10">IFERROR(H11*$W20/$W11,"")</f>
        <v>0</v>
      </c>
      <c r="I20" s="478">
        <f t="shared" si="10"/>
        <v>0</v>
      </c>
      <c r="J20" s="478">
        <f t="shared" si="10"/>
        <v>0</v>
      </c>
      <c r="K20" s="478">
        <f t="shared" si="10"/>
        <v>0</v>
      </c>
      <c r="L20" s="478">
        <f t="shared" si="10"/>
        <v>0</v>
      </c>
      <c r="M20" s="478">
        <f t="shared" si="10"/>
        <v>0</v>
      </c>
      <c r="N20" s="478">
        <f t="shared" si="10"/>
        <v>0</v>
      </c>
      <c r="O20" s="478">
        <f t="shared" si="10"/>
        <v>0</v>
      </c>
      <c r="P20" s="478">
        <f t="shared" si="10"/>
        <v>0</v>
      </c>
      <c r="Q20" s="478">
        <f t="shared" si="10"/>
        <v>0</v>
      </c>
      <c r="R20" s="478">
        <f t="shared" si="10"/>
        <v>114.2156863</v>
      </c>
      <c r="S20" s="478">
        <f t="shared" si="10"/>
        <v>113.2761438</v>
      </c>
      <c r="T20" s="478">
        <f t="shared" si="10"/>
        <v>108.4150327</v>
      </c>
      <c r="U20" s="478">
        <f t="shared" si="10"/>
        <v>97.58986928</v>
      </c>
      <c r="V20" s="478">
        <f t="shared" si="10"/>
        <v>97.18137255</v>
      </c>
      <c r="W20" s="478">
        <v>100.0</v>
      </c>
      <c r="X20" s="478">
        <f t="shared" ref="X20:AH20" si="11">IFERROR(X11*$W20/$W11,"")</f>
        <v>97.38153595</v>
      </c>
      <c r="Y20" s="478">
        <f t="shared" si="11"/>
        <v>99.26470588</v>
      </c>
      <c r="Z20" s="478">
        <f t="shared" si="11"/>
        <v>104.3137255</v>
      </c>
      <c r="AA20" s="478">
        <f t="shared" si="11"/>
        <v>85.58823529</v>
      </c>
      <c r="AB20" s="478">
        <f t="shared" si="11"/>
        <v>85.58823529</v>
      </c>
      <c r="AC20" s="478">
        <f t="shared" si="11"/>
        <v>96.13959436</v>
      </c>
      <c r="AD20" s="478">
        <f t="shared" si="11"/>
        <v>106.6909534</v>
      </c>
      <c r="AE20" s="478">
        <f t="shared" si="11"/>
        <v>117.4360392</v>
      </c>
      <c r="AF20" s="478">
        <f t="shared" si="11"/>
        <v>128.181125</v>
      </c>
      <c r="AG20" s="478">
        <f t="shared" si="11"/>
        <v>130.8650417</v>
      </c>
      <c r="AH20" s="478">
        <f t="shared" si="11"/>
        <v>133.5489583</v>
      </c>
      <c r="AI20" s="474"/>
      <c r="AJ20" s="475"/>
      <c r="AK20" s="475"/>
      <c r="AL20" s="475"/>
      <c r="AM20" s="186"/>
      <c r="AN20" s="176"/>
    </row>
    <row r="21" ht="14.25" customHeight="1" outlineLevel="3">
      <c r="A21" s="468"/>
      <c r="B21" s="162"/>
      <c r="C21" s="100"/>
      <c r="D21" s="100"/>
      <c r="E21" s="270" t="s">
        <v>2106</v>
      </c>
      <c r="F21" s="249" t="s">
        <v>2100</v>
      </c>
      <c r="G21" s="249" t="s">
        <v>2107</v>
      </c>
      <c r="H21" s="478" t="str">
        <f t="shared" ref="H21:V21" si="12">IFERROR(H12*$W21/$W12,"")</f>
        <v/>
      </c>
      <c r="I21" s="478" t="str">
        <f t="shared" si="12"/>
        <v/>
      </c>
      <c r="J21" s="478" t="str">
        <f t="shared" si="12"/>
        <v/>
      </c>
      <c r="K21" s="478" t="str">
        <f t="shared" si="12"/>
        <v/>
      </c>
      <c r="L21" s="478" t="str">
        <f t="shared" si="12"/>
        <v/>
      </c>
      <c r="M21" s="478" t="str">
        <f t="shared" si="12"/>
        <v/>
      </c>
      <c r="N21" s="478" t="str">
        <f t="shared" si="12"/>
        <v/>
      </c>
      <c r="O21" s="478" t="str">
        <f t="shared" si="12"/>
        <v/>
      </c>
      <c r="P21" s="478" t="str">
        <f t="shared" si="12"/>
        <v/>
      </c>
      <c r="Q21" s="478" t="str">
        <f t="shared" si="12"/>
        <v/>
      </c>
      <c r="R21" s="478" t="str">
        <f t="shared" si="12"/>
        <v/>
      </c>
      <c r="S21" s="478" t="str">
        <f t="shared" si="12"/>
        <v/>
      </c>
      <c r="T21" s="478" t="str">
        <f t="shared" si="12"/>
        <v/>
      </c>
      <c r="U21" s="478" t="str">
        <f t="shared" si="12"/>
        <v/>
      </c>
      <c r="V21" s="478" t="str">
        <f t="shared" si="12"/>
        <v/>
      </c>
      <c r="W21" s="478">
        <v>100.0</v>
      </c>
      <c r="X21" s="478" t="str">
        <f t="shared" ref="X21:AH21" si="13">IFERROR(X12*$W21/$W12,"")</f>
        <v/>
      </c>
      <c r="Y21" s="478" t="str">
        <f t="shared" si="13"/>
        <v/>
      </c>
      <c r="Z21" s="478" t="str">
        <f t="shared" si="13"/>
        <v/>
      </c>
      <c r="AA21" s="478" t="str">
        <f t="shared" si="13"/>
        <v/>
      </c>
      <c r="AB21" s="478" t="str">
        <f t="shared" si="13"/>
        <v/>
      </c>
      <c r="AC21" s="478" t="str">
        <f t="shared" si="13"/>
        <v/>
      </c>
      <c r="AD21" s="478" t="str">
        <f t="shared" si="13"/>
        <v/>
      </c>
      <c r="AE21" s="478" t="str">
        <f t="shared" si="13"/>
        <v/>
      </c>
      <c r="AF21" s="478" t="str">
        <f t="shared" si="13"/>
        <v/>
      </c>
      <c r="AG21" s="478" t="str">
        <f t="shared" si="13"/>
        <v/>
      </c>
      <c r="AH21" s="478" t="str">
        <f t="shared" si="13"/>
        <v/>
      </c>
      <c r="AI21" s="474"/>
      <c r="AJ21" s="475"/>
      <c r="AK21" s="475"/>
      <c r="AL21" s="475"/>
      <c r="AM21" s="186"/>
      <c r="AN21" s="176"/>
    </row>
    <row r="22" ht="14.25" customHeight="1" outlineLevel="3">
      <c r="A22" s="468"/>
      <c r="B22" s="162"/>
      <c r="C22" s="100"/>
      <c r="D22" s="100"/>
      <c r="E22" s="270" t="s">
        <v>2108</v>
      </c>
      <c r="F22" s="249" t="s">
        <v>2100</v>
      </c>
      <c r="G22" s="249" t="s">
        <v>2109</v>
      </c>
      <c r="H22" s="478">
        <f t="shared" ref="H22:V22" si="14">IFERROR(H13*$W22/$W13,"")</f>
        <v>0</v>
      </c>
      <c r="I22" s="478">
        <f t="shared" si="14"/>
        <v>0</v>
      </c>
      <c r="J22" s="478">
        <f t="shared" si="14"/>
        <v>0</v>
      </c>
      <c r="K22" s="478">
        <f t="shared" si="14"/>
        <v>0</v>
      </c>
      <c r="L22" s="478">
        <f t="shared" si="14"/>
        <v>0</v>
      </c>
      <c r="M22" s="478">
        <f t="shared" si="14"/>
        <v>0</v>
      </c>
      <c r="N22" s="478">
        <f t="shared" si="14"/>
        <v>0</v>
      </c>
      <c r="O22" s="478">
        <f t="shared" si="14"/>
        <v>0</v>
      </c>
      <c r="P22" s="478">
        <f t="shared" si="14"/>
        <v>0</v>
      </c>
      <c r="Q22" s="478">
        <f t="shared" si="14"/>
        <v>0</v>
      </c>
      <c r="R22" s="478">
        <f t="shared" si="14"/>
        <v>95.45816733</v>
      </c>
      <c r="S22" s="478">
        <f t="shared" si="14"/>
        <v>109.0677291</v>
      </c>
      <c r="T22" s="478">
        <f t="shared" si="14"/>
        <v>100.0796813</v>
      </c>
      <c r="U22" s="478">
        <f t="shared" si="14"/>
        <v>97.51394422</v>
      </c>
      <c r="V22" s="478">
        <f t="shared" si="14"/>
        <v>101.4183267</v>
      </c>
      <c r="W22" s="478">
        <v>100.0</v>
      </c>
      <c r="X22" s="478">
        <f t="shared" ref="X22:AH22" si="15">IFERROR(X13*$W22/$W13,"")</f>
        <v>99.6812749</v>
      </c>
      <c r="Y22" s="478">
        <f t="shared" si="15"/>
        <v>103.4422311</v>
      </c>
      <c r="Z22" s="478">
        <f t="shared" si="15"/>
        <v>105.8645418</v>
      </c>
      <c r="AA22" s="478">
        <f t="shared" si="15"/>
        <v>107.936255</v>
      </c>
      <c r="AB22" s="478">
        <f t="shared" si="15"/>
        <v>107.936255</v>
      </c>
      <c r="AC22" s="478">
        <f t="shared" si="15"/>
        <v>100.6902789</v>
      </c>
      <c r="AD22" s="478">
        <f t="shared" si="15"/>
        <v>93.44430279</v>
      </c>
      <c r="AE22" s="478">
        <f t="shared" si="15"/>
        <v>86.22215139</v>
      </c>
      <c r="AF22" s="478">
        <f t="shared" si="15"/>
        <v>79</v>
      </c>
      <c r="AG22" s="478">
        <f t="shared" si="15"/>
        <v>77</v>
      </c>
      <c r="AH22" s="478">
        <f t="shared" si="15"/>
        <v>75</v>
      </c>
      <c r="AI22" s="474"/>
      <c r="AJ22" s="475"/>
      <c r="AK22" s="475"/>
      <c r="AL22" s="475"/>
      <c r="AM22" s="186"/>
      <c r="AN22" s="176"/>
    </row>
    <row r="23" ht="14.25" customHeight="1" outlineLevel="3">
      <c r="A23" s="468"/>
      <c r="B23" s="162"/>
      <c r="C23" s="100"/>
      <c r="D23" s="100"/>
      <c r="E23" s="270" t="s">
        <v>2110</v>
      </c>
      <c r="F23" s="249" t="s">
        <v>2100</v>
      </c>
      <c r="G23" s="249" t="s">
        <v>2111</v>
      </c>
      <c r="H23" s="478">
        <f t="shared" ref="H23:V23" si="16">IFERROR(H14*$W23/$W14,"")</f>
        <v>0</v>
      </c>
      <c r="I23" s="478">
        <f t="shared" si="16"/>
        <v>0</v>
      </c>
      <c r="J23" s="478">
        <f t="shared" si="16"/>
        <v>0</v>
      </c>
      <c r="K23" s="478">
        <f t="shared" si="16"/>
        <v>0</v>
      </c>
      <c r="L23" s="478">
        <f t="shared" si="16"/>
        <v>0</v>
      </c>
      <c r="M23" s="478">
        <f t="shared" si="16"/>
        <v>0</v>
      </c>
      <c r="N23" s="478">
        <f t="shared" si="16"/>
        <v>0</v>
      </c>
      <c r="O23" s="478">
        <f t="shared" si="16"/>
        <v>0</v>
      </c>
      <c r="P23" s="478">
        <f t="shared" si="16"/>
        <v>0</v>
      </c>
      <c r="Q23" s="478">
        <f t="shared" si="16"/>
        <v>0</v>
      </c>
      <c r="R23" s="478">
        <f t="shared" si="16"/>
        <v>110.5</v>
      </c>
      <c r="S23" s="478">
        <f t="shared" si="16"/>
        <v>101.6</v>
      </c>
      <c r="T23" s="478">
        <f t="shared" si="16"/>
        <v>97</v>
      </c>
      <c r="U23" s="478">
        <f t="shared" si="16"/>
        <v>75</v>
      </c>
      <c r="V23" s="478" t="str">
        <f t="shared" si="16"/>
        <v/>
      </c>
      <c r="W23" s="478">
        <v>100.0</v>
      </c>
      <c r="X23" s="478" t="str">
        <f t="shared" ref="X23:AH23" si="17">IFERROR(X14*$W23/$W14,"")</f>
        <v/>
      </c>
      <c r="Y23" s="478" t="str">
        <f t="shared" si="17"/>
        <v/>
      </c>
      <c r="Z23" s="478" t="str">
        <f t="shared" si="17"/>
        <v/>
      </c>
      <c r="AA23" s="478">
        <f t="shared" si="17"/>
        <v>100</v>
      </c>
      <c r="AB23" s="478">
        <f t="shared" si="17"/>
        <v>100</v>
      </c>
      <c r="AC23" s="478">
        <f t="shared" si="17"/>
        <v>96.7</v>
      </c>
      <c r="AD23" s="478">
        <f t="shared" si="17"/>
        <v>93.4</v>
      </c>
      <c r="AE23" s="478">
        <f t="shared" si="17"/>
        <v>90.4</v>
      </c>
      <c r="AF23" s="478">
        <f t="shared" si="17"/>
        <v>87.4</v>
      </c>
      <c r="AG23" s="478">
        <f t="shared" si="17"/>
        <v>86.2</v>
      </c>
      <c r="AH23" s="478">
        <f t="shared" si="17"/>
        <v>85</v>
      </c>
      <c r="AI23" s="474"/>
      <c r="AJ23" s="475"/>
      <c r="AK23" s="475"/>
      <c r="AL23" s="475"/>
      <c r="AM23" s="186"/>
      <c r="AN23" s="176"/>
    </row>
    <row r="24" ht="14.25" customHeight="1" outlineLevel="3">
      <c r="A24" s="468"/>
      <c r="B24" s="162"/>
      <c r="C24" s="100"/>
      <c r="D24" s="100"/>
      <c r="E24" s="270" t="s">
        <v>2112</v>
      </c>
      <c r="F24" s="249" t="s">
        <v>2100</v>
      </c>
      <c r="G24" s="249" t="s">
        <v>2113</v>
      </c>
      <c r="H24" s="478">
        <f t="shared" ref="H24:V24" si="18">IFERROR(H15*$W24/$W15,"")</f>
        <v>0</v>
      </c>
      <c r="I24" s="478">
        <f t="shared" si="18"/>
        <v>0</v>
      </c>
      <c r="J24" s="478">
        <f t="shared" si="18"/>
        <v>0</v>
      </c>
      <c r="K24" s="478">
        <f t="shared" si="18"/>
        <v>0</v>
      </c>
      <c r="L24" s="478">
        <f t="shared" si="18"/>
        <v>0</v>
      </c>
      <c r="M24" s="478">
        <f t="shared" si="18"/>
        <v>0</v>
      </c>
      <c r="N24" s="478">
        <f t="shared" si="18"/>
        <v>0</v>
      </c>
      <c r="O24" s="478">
        <f t="shared" si="18"/>
        <v>0</v>
      </c>
      <c r="P24" s="478">
        <f t="shared" si="18"/>
        <v>0</v>
      </c>
      <c r="Q24" s="478">
        <f t="shared" si="18"/>
        <v>0</v>
      </c>
      <c r="R24" s="478">
        <f t="shared" si="18"/>
        <v>0</v>
      </c>
      <c r="S24" s="478">
        <f t="shared" si="18"/>
        <v>0</v>
      </c>
      <c r="T24" s="478">
        <f t="shared" si="18"/>
        <v>0</v>
      </c>
      <c r="U24" s="478">
        <f t="shared" si="18"/>
        <v>0</v>
      </c>
      <c r="V24" s="478">
        <f t="shared" si="18"/>
        <v>0</v>
      </c>
      <c r="W24" s="478">
        <v>100.0</v>
      </c>
      <c r="X24" s="478">
        <f t="shared" ref="X24:AH24" si="19">IFERROR(X15*$W24/$W15,"")</f>
        <v>0</v>
      </c>
      <c r="Y24" s="478">
        <f t="shared" si="19"/>
        <v>0</v>
      </c>
      <c r="Z24" s="478">
        <f t="shared" si="19"/>
        <v>0</v>
      </c>
      <c r="AA24" s="478">
        <f t="shared" si="19"/>
        <v>100</v>
      </c>
      <c r="AB24" s="478">
        <f t="shared" si="19"/>
        <v>100</v>
      </c>
      <c r="AC24" s="478">
        <f t="shared" si="19"/>
        <v>93.4</v>
      </c>
      <c r="AD24" s="478">
        <f t="shared" si="19"/>
        <v>86.8</v>
      </c>
      <c r="AE24" s="478">
        <f t="shared" si="19"/>
        <v>80.8</v>
      </c>
      <c r="AF24" s="478">
        <f t="shared" si="19"/>
        <v>74.8</v>
      </c>
      <c r="AG24" s="478">
        <f t="shared" si="19"/>
        <v>72.4</v>
      </c>
      <c r="AH24" s="478">
        <f t="shared" si="19"/>
        <v>70</v>
      </c>
      <c r="AI24" s="474"/>
      <c r="AJ24" s="475"/>
      <c r="AK24" s="475"/>
      <c r="AL24" s="475"/>
      <c r="AM24" s="186"/>
      <c r="AN24" s="176"/>
    </row>
    <row r="25" ht="14.25" customHeight="1" outlineLevel="3">
      <c r="A25" s="468"/>
      <c r="B25" s="162"/>
      <c r="C25" s="100"/>
      <c r="D25" s="100"/>
      <c r="E25" s="122" t="s">
        <v>2114</v>
      </c>
      <c r="F25" s="123" t="s">
        <v>2100</v>
      </c>
      <c r="G25" s="123" t="s">
        <v>2115</v>
      </c>
      <c r="H25" s="478">
        <f t="shared" ref="H25:V25" si="20">IFERROR(H16*$W25/$W16,"")</f>
        <v>0</v>
      </c>
      <c r="I25" s="478">
        <f t="shared" si="20"/>
        <v>0</v>
      </c>
      <c r="J25" s="478">
        <f t="shared" si="20"/>
        <v>0</v>
      </c>
      <c r="K25" s="478">
        <f t="shared" si="20"/>
        <v>0</v>
      </c>
      <c r="L25" s="478">
        <f t="shared" si="20"/>
        <v>0</v>
      </c>
      <c r="M25" s="478">
        <f t="shared" si="20"/>
        <v>0</v>
      </c>
      <c r="N25" s="478">
        <f t="shared" si="20"/>
        <v>0</v>
      </c>
      <c r="O25" s="478">
        <f t="shared" si="20"/>
        <v>0</v>
      </c>
      <c r="P25" s="478">
        <f t="shared" si="20"/>
        <v>0</v>
      </c>
      <c r="Q25" s="478">
        <f t="shared" si="20"/>
        <v>0</v>
      </c>
      <c r="R25" s="478">
        <f t="shared" si="20"/>
        <v>0</v>
      </c>
      <c r="S25" s="478">
        <f t="shared" si="20"/>
        <v>0</v>
      </c>
      <c r="T25" s="478">
        <f t="shared" si="20"/>
        <v>0</v>
      </c>
      <c r="U25" s="478">
        <f t="shared" si="20"/>
        <v>0</v>
      </c>
      <c r="V25" s="478">
        <f t="shared" si="20"/>
        <v>0</v>
      </c>
      <c r="W25" s="478">
        <v>100.0</v>
      </c>
      <c r="X25" s="478">
        <f t="shared" ref="X25:AH25" si="21">IFERROR(X16*$W25/$W16,"")</f>
        <v>0</v>
      </c>
      <c r="Y25" s="478">
        <f t="shared" si="21"/>
        <v>0</v>
      </c>
      <c r="Z25" s="478">
        <f t="shared" si="21"/>
        <v>0</v>
      </c>
      <c r="AA25" s="478">
        <f t="shared" si="21"/>
        <v>100</v>
      </c>
      <c r="AB25" s="478">
        <f t="shared" si="21"/>
        <v>100</v>
      </c>
      <c r="AC25" s="478">
        <f t="shared" si="21"/>
        <v>97.8</v>
      </c>
      <c r="AD25" s="478">
        <f t="shared" si="21"/>
        <v>95.6</v>
      </c>
      <c r="AE25" s="478">
        <f t="shared" si="21"/>
        <v>93.6</v>
      </c>
      <c r="AF25" s="478">
        <f t="shared" si="21"/>
        <v>91.6</v>
      </c>
      <c r="AG25" s="478">
        <f t="shared" si="21"/>
        <v>90.8</v>
      </c>
      <c r="AH25" s="478">
        <f t="shared" si="21"/>
        <v>90</v>
      </c>
      <c r="AI25" s="474"/>
      <c r="AJ25" s="475"/>
      <c r="AK25" s="475"/>
      <c r="AL25" s="475"/>
      <c r="AM25" s="186"/>
      <c r="AN25" s="176"/>
    </row>
    <row r="26" ht="14.25" customHeight="1" outlineLevel="2">
      <c r="A26" s="468"/>
      <c r="B26" s="466"/>
      <c r="C26" s="476"/>
      <c r="D26" s="470" t="s">
        <v>2116</v>
      </c>
      <c r="E26" s="162"/>
      <c r="F26" s="162"/>
      <c r="G26" s="162"/>
      <c r="H26" s="178"/>
      <c r="I26" s="178"/>
      <c r="J26" s="178"/>
      <c r="K26" s="178"/>
      <c r="L26" s="178"/>
      <c r="M26" s="178"/>
      <c r="N26" s="178"/>
      <c r="O26" s="178"/>
      <c r="P26" s="178"/>
      <c r="Q26" s="178"/>
      <c r="R26" s="178"/>
      <c r="S26" s="178"/>
      <c r="T26" s="178"/>
      <c r="U26" s="178"/>
      <c r="V26" s="178"/>
      <c r="W26" s="477"/>
      <c r="X26" s="178"/>
      <c r="Y26" s="178"/>
      <c r="Z26" s="178"/>
      <c r="AA26" s="178"/>
      <c r="AB26" s="178"/>
      <c r="AC26" s="178"/>
      <c r="AD26" s="178"/>
      <c r="AE26" s="178"/>
      <c r="AF26" s="178"/>
      <c r="AG26" s="178"/>
      <c r="AH26" s="178"/>
      <c r="AI26" s="271"/>
      <c r="AJ26" s="271"/>
      <c r="AK26" s="271"/>
      <c r="AL26" s="271"/>
      <c r="AM26" s="100"/>
      <c r="AN26" s="176"/>
    </row>
    <row r="27" ht="14.25" customHeight="1" outlineLevel="3">
      <c r="A27" s="468"/>
      <c r="B27" s="466"/>
      <c r="C27" s="476"/>
      <c r="D27" s="476"/>
      <c r="E27" s="270" t="s">
        <v>2117</v>
      </c>
      <c r="F27" s="249" t="s">
        <v>2083</v>
      </c>
      <c r="G27" s="249" t="s">
        <v>2118</v>
      </c>
      <c r="H27" s="471" t="str">
        <f t="array" ref="H27">IFERROR(INDEX(Industry_Historical_Data!$A$1:$S$3000,MATCH(Industry!$G27&amp;Industry_Calculation!$D$27,Industry_Historical_Data!$A$1:$A$3000&amp;Industry_Historical_Data!$C$1:$C$3000,0&amp;0),MATCH(Industry!H$1,Industry_Historical_Data!$A$1:$S$1,0)),"")</f>
        <v/>
      </c>
      <c r="I27" s="471" t="str">
        <f t="array" ref="I27">IFERROR(INDEX(Industry_Historical_Data!$A$1:$S$3000,MATCH(Industry!$G27&amp;Industry_Calculation!$D$27,Industry_Historical_Data!$A$1:$A$3000&amp;Industry_Historical_Data!$C$1:$C$3000,0&amp;0),MATCH(Industry!I$1,Industry_Historical_Data!$A$1:$S$1,0)),"")</f>
        <v/>
      </c>
      <c r="J27" s="471" t="str">
        <f t="array" ref="J27">IFERROR(INDEX(Industry_Historical_Data!$A$1:$S$3000,MATCH(Industry!$G27&amp;Industry_Calculation!$D$27,Industry_Historical_Data!$A$1:$A$3000&amp;Industry_Historical_Data!$C$1:$C$3000,0&amp;0),MATCH(Industry!J$1,Industry_Historical_Data!$A$1:$S$1,0)),"")</f>
        <v/>
      </c>
      <c r="K27" s="471" t="str">
        <f t="array" ref="K27">IFERROR(INDEX(Industry_Historical_Data!$A$1:$S$3000,MATCH(Industry!$G27&amp;Industry_Calculation!$D$27,Industry_Historical_Data!$A$1:$A$3000&amp;Industry_Historical_Data!$C$1:$C$3000,0&amp;0),MATCH(Industry!K$1,Industry_Historical_Data!$A$1:$S$1,0)),"")</f>
        <v/>
      </c>
      <c r="L27" s="471" t="str">
        <f t="array" ref="L27">IFERROR(INDEX(Industry_Historical_Data!$A$1:$S$3000,MATCH(Industry!$G27&amp;Industry_Calculation!$D$27,Industry_Historical_Data!$A$1:$A$3000&amp;Industry_Historical_Data!$C$1:$C$3000,0&amp;0),MATCH(Industry!L$1,Industry_Historical_Data!$A$1:$S$1,0)),"")</f>
        <v/>
      </c>
      <c r="M27" s="471" t="str">
        <f t="array" ref="M27">IFERROR(INDEX(Industry_Historical_Data!$A$1:$S$3000,MATCH(Industry!$G27&amp;Industry_Calculation!$D$27,Industry_Historical_Data!$A$1:$A$3000&amp;Industry_Historical_Data!$C$1:$C$3000,0&amp;0),MATCH(Industry!M$1,Industry_Historical_Data!$A$1:$S$1,0)),"")</f>
        <v/>
      </c>
      <c r="N27" s="471" t="str">
        <f t="array" ref="N27">IFERROR(INDEX(Industry_Historical_Data!$A$1:$S$3000,MATCH(Industry!$G27&amp;Industry_Calculation!$D$27,Industry_Historical_Data!$A$1:$A$3000&amp;Industry_Historical_Data!$C$1:$C$3000,0&amp;0),MATCH(Industry!N$1,Industry_Historical_Data!$A$1:$S$1,0)),"")</f>
        <v/>
      </c>
      <c r="O27" s="471" t="str">
        <f t="array" ref="O27">IFERROR(INDEX(Industry_Historical_Data!$A$1:$S$3000,MATCH(Industry!$G27&amp;Industry_Calculation!$D$27,Industry_Historical_Data!$A$1:$A$3000&amp;Industry_Historical_Data!$C$1:$C$3000,0&amp;0),MATCH(Industry!O$1,Industry_Historical_Data!$A$1:$S$1,0)),"")</f>
        <v/>
      </c>
      <c r="P27" s="471" t="str">
        <f t="array" ref="P27">IFERROR(INDEX(Industry_Historical_Data!$A$1:$S$3000,MATCH(Industry!$G27&amp;Industry_Calculation!$D$27,Industry_Historical_Data!$A$1:$A$3000&amp;Industry_Historical_Data!$C$1:$C$3000,0&amp;0),MATCH(Industry!P$1,Industry_Historical_Data!$A$1:$S$1,0)),"")</f>
        <v/>
      </c>
      <c r="Q27" s="471" t="str">
        <f t="array" ref="Q27">IFERROR(INDEX(Industry_Historical_Data!$A$1:$S$3000,MATCH(Industry!$G27&amp;Industry_Calculation!$D$27,Industry_Historical_Data!$A$1:$A$3000&amp;Industry_Historical_Data!$C$1:$C$3000,0&amp;0),MATCH(Industry!Q$1,Industry_Historical_Data!$A$1:$S$1,0)),"")</f>
        <v/>
      </c>
      <c r="R27" s="471">
        <f t="array" ref="R27">IFERROR(INDEX(Industry_Historical_Data!$A$1:$S$3000,MATCH(Industry!$G27&amp;Industry_Calculation!$D$27,Industry_Historical_Data!$A$1:$A$3000&amp;Industry_Historical_Data!$C$1:$C$3000,0&amp;0),MATCH(Industry!R$1,Industry_Historical_Data!$A$1:$S$1,0)),"")</f>
        <v>1974</v>
      </c>
      <c r="S27" s="471">
        <f t="array" ref="S27">IFERROR(INDEX(Industry_Historical_Data!$A$1:$S$3000,MATCH(Industry!$G27&amp;Industry_Calculation!$D$27,Industry_Historical_Data!$A$1:$A$3000&amp;Industry_Historical_Data!$C$1:$C$3000,0&amp;0),MATCH(Industry!S$1,Industry_Historical_Data!$A$1:$S$1,0)),"")</f>
        <v>1961</v>
      </c>
      <c r="T27" s="471">
        <f t="array" ref="T27">IFERROR(INDEX(Industry_Historical_Data!$A$1:$S$3000,MATCH(Industry!$G27&amp;Industry_Calculation!$D$27,Industry_Historical_Data!$A$1:$A$3000&amp;Industry_Historical_Data!$C$1:$C$3000,0&amp;0),MATCH(Industry!T$1,Industry_Historical_Data!$A$1:$S$1,0)),"")</f>
        <v>2008</v>
      </c>
      <c r="U27" s="471">
        <f t="array" ref="U27">IFERROR(INDEX(Industry_Historical_Data!$A$1:$S$3000,MATCH(Industry!$G27&amp;Industry_Calculation!$D$27,Industry_Historical_Data!$A$1:$A$3000&amp;Industry_Historical_Data!$C$1:$C$3000,0&amp;0),MATCH(Industry!U$1,Industry_Historical_Data!$A$1:$S$1,0)),"")</f>
        <v>1982</v>
      </c>
      <c r="V27" s="471">
        <f t="array" ref="V27">IFERROR(INDEX(Industry_Historical_Data!$A$1:$S$3000,MATCH(Industry!$G27&amp;Industry_Calculation!$D$27,Industry_Historical_Data!$A$1:$A$3000&amp;Industry_Historical_Data!$C$1:$C$3000,0&amp;0),MATCH(Industry!V$1,Industry_Historical_Data!$A$1:$S$1,0)),"")</f>
        <v>2044</v>
      </c>
      <c r="W27" s="472">
        <f t="array" ref="W27">IFERROR(INDEX(Industry_Calculation!$A$110:$M$158,MATCH(Industry!$G27,Industry_Calculation!$A$110:$A$158,0),MATCH(Industry!W$1,Industry_Calculation!$A$110:$M$110,0)),"")</f>
        <v>2123</v>
      </c>
      <c r="X27" s="479">
        <f t="array" ref="X27">IFERROR(INDEX(Industry_Historical_Data!$A$1:$S$3000,MATCH(Industry!$G27&amp;Industry_Calculation!$D$27,Industry_Historical_Data!$A$1:$A$3000&amp;Industry_Historical_Data!$C$1:$C$3000,0&amp;0),MATCH(Industry!X$1,Industry_Historical_Data!$A$1:$S$1,0)),"")</f>
        <v>2077</v>
      </c>
      <c r="Y27" s="479">
        <f t="array" ref="Y27">IFERROR(INDEX(Industry_Historical_Data!$A$1:$S$3000,MATCH(Industry!$G27&amp;Industry_Calculation!$D$27,Industry_Historical_Data!$A$1:$A$3000&amp;Industry_Historical_Data!$C$1:$C$3000,0&amp;0),MATCH(Industry!Y$1,Industry_Historical_Data!$A$1:$S$1,0)),"")</f>
        <v>2022</v>
      </c>
      <c r="Z27" s="479">
        <f t="array" ref="Z27">IFERROR(INDEX(Industry_Historical_Data!$A$1:$S$3000,MATCH(Industry!$G27&amp;Industry_Calculation!$D$27,Industry_Historical_Data!$A$1:$A$3000&amp;Industry_Historical_Data!$C$1:$C$3000,0&amp;0),MATCH(Industry!Z$1,Industry_Historical_Data!$A$1:$S$1,0)),"")</f>
        <v>1946</v>
      </c>
      <c r="AA27" s="472">
        <f t="array" ref="AA27">IFERROR(INDEX(Industry_Calculation!$A$110:$M$158,MATCH(Industry!$G27,Industry_Calculation!$A$110:$A$158,0),MATCH(Industry!AA$1,Industry_Calculation!$A$110:$M$110,0)),"")</f>
        <v>1765</v>
      </c>
      <c r="AB27" s="472">
        <f t="shared" ref="AB27:AB28" si="22">IFERROR(AA27,"")</f>
        <v>1765</v>
      </c>
      <c r="AC27" s="472">
        <f t="shared" ref="AC27:AC28" si="23">IFERROR(AVERAGE(AD27,AB27),"")</f>
        <v>1773.701</v>
      </c>
      <c r="AD27" s="472">
        <f t="array" ref="AD27">IFERROR(INDEX(Industry_Calculation!$A$110:$M$158,MATCH(Industry!$G27,Industry_Calculation!$A$110:$A$158,0),MATCH(Industry!AD$1,Industry_Calculation!$A$110:$M$110,0)),"")</f>
        <v>1782.402</v>
      </c>
      <c r="AE27" s="472">
        <f t="shared" ref="AE27:AE28" si="24">IFERROR(AVERAGE(AF27,AD27),"")</f>
        <v>1818.952</v>
      </c>
      <c r="AF27" s="472">
        <f t="array" ref="AF27">IFERROR(INDEX(Industry_Calculation!$A$110:$M$158,MATCH(Industry!$G27,Industry_Calculation!$A$110:$A$158,0),MATCH(Industry!AF$1,Industry_Calculation!$A$110:$M$110,0)),"")</f>
        <v>1855.502</v>
      </c>
      <c r="AG27" s="472">
        <f t="shared" ref="AG27:AG28" si="25">IFERROR(AVERAGE(AH27,AF27),"")</f>
        <v>1830.026</v>
      </c>
      <c r="AH27" s="472">
        <f t="array" ref="AH27">IFERROR(INDEX(Industry_Calculation!$A$110:$M$158,MATCH(Industry!$G27,Industry_Calculation!$A$110:$A$158,0),MATCH(Industry!AH$1,Industry_Calculation!$A$110:$M$110,0)),"")</f>
        <v>1804.55</v>
      </c>
      <c r="AI27" s="474"/>
      <c r="AJ27" s="475"/>
      <c r="AK27" s="475"/>
      <c r="AL27" s="475"/>
      <c r="AM27" s="186"/>
      <c r="AN27" s="176"/>
    </row>
    <row r="28" ht="14.25" customHeight="1" outlineLevel="3">
      <c r="A28" s="294"/>
      <c r="B28" s="466"/>
      <c r="C28" s="476"/>
      <c r="D28" s="476"/>
      <c r="E28" s="122" t="s">
        <v>2119</v>
      </c>
      <c r="F28" s="123" t="s">
        <v>2083</v>
      </c>
      <c r="G28" s="123" t="s">
        <v>2120</v>
      </c>
      <c r="H28" s="471" t="str">
        <f t="array" ref="H28">IFERROR(INDEX(Industry_Historical_Data!$A$1:$S$3000,MATCH(Industry!$G28&amp;Industry_Calculation!$D$27,Industry_Historical_Data!$A$1:$A$3000&amp;Industry_Historical_Data!$C$1:$C$3000,0&amp;0),MATCH(Industry!H$1,Industry_Historical_Data!$A$1:$S$1,0)),"")</f>
        <v/>
      </c>
      <c r="I28" s="471" t="str">
        <f t="array" ref="I28">IFERROR(INDEX(Industry_Historical_Data!$A$1:$S$3000,MATCH(Industry!$G28&amp;Industry_Calculation!$D$27,Industry_Historical_Data!$A$1:$A$3000&amp;Industry_Historical_Data!$C$1:$C$3000,0&amp;0),MATCH(Industry!I$1,Industry_Historical_Data!$A$1:$S$1,0)),"")</f>
        <v/>
      </c>
      <c r="J28" s="471" t="str">
        <f t="array" ref="J28">IFERROR(INDEX(Industry_Historical_Data!$A$1:$S$3000,MATCH(Industry!$G28&amp;Industry_Calculation!$D$27,Industry_Historical_Data!$A$1:$A$3000&amp;Industry_Historical_Data!$C$1:$C$3000,0&amp;0),MATCH(Industry!J$1,Industry_Historical_Data!$A$1:$S$1,0)),"")</f>
        <v/>
      </c>
      <c r="K28" s="471" t="str">
        <f t="array" ref="K28">IFERROR(INDEX(Industry_Historical_Data!$A$1:$S$3000,MATCH(Industry!$G28&amp;Industry_Calculation!$D$27,Industry_Historical_Data!$A$1:$A$3000&amp;Industry_Historical_Data!$C$1:$C$3000,0&amp;0),MATCH(Industry!K$1,Industry_Historical_Data!$A$1:$S$1,0)),"")</f>
        <v/>
      </c>
      <c r="L28" s="471" t="str">
        <f t="array" ref="L28">IFERROR(INDEX(Industry_Historical_Data!$A$1:$S$3000,MATCH(Industry!$G28&amp;Industry_Calculation!$D$27,Industry_Historical_Data!$A$1:$A$3000&amp;Industry_Historical_Data!$C$1:$C$3000,0&amp;0),MATCH(Industry!L$1,Industry_Historical_Data!$A$1:$S$1,0)),"")</f>
        <v/>
      </c>
      <c r="M28" s="471" t="str">
        <f t="array" ref="M28">IFERROR(INDEX(Industry_Historical_Data!$A$1:$S$3000,MATCH(Industry!$G28&amp;Industry_Calculation!$D$27,Industry_Historical_Data!$A$1:$A$3000&amp;Industry_Historical_Data!$C$1:$C$3000,0&amp;0),MATCH(Industry!M$1,Industry_Historical_Data!$A$1:$S$1,0)),"")</f>
        <v/>
      </c>
      <c r="N28" s="471" t="str">
        <f t="array" ref="N28">IFERROR(INDEX(Industry_Historical_Data!$A$1:$S$3000,MATCH(Industry!$G28&amp;Industry_Calculation!$D$27,Industry_Historical_Data!$A$1:$A$3000&amp;Industry_Historical_Data!$C$1:$C$3000,0&amp;0),MATCH(Industry!N$1,Industry_Historical_Data!$A$1:$S$1,0)),"")</f>
        <v/>
      </c>
      <c r="O28" s="471" t="str">
        <f t="array" ref="O28">IFERROR(INDEX(Industry_Historical_Data!$A$1:$S$3000,MATCH(Industry!$G28&amp;Industry_Calculation!$D$27,Industry_Historical_Data!$A$1:$A$3000&amp;Industry_Historical_Data!$C$1:$C$3000,0&amp;0),MATCH(Industry!O$1,Industry_Historical_Data!$A$1:$S$1,0)),"")</f>
        <v/>
      </c>
      <c r="P28" s="471" t="str">
        <f t="array" ref="P28">IFERROR(INDEX(Industry_Historical_Data!$A$1:$S$3000,MATCH(Industry!$G28&amp;Industry_Calculation!$D$27,Industry_Historical_Data!$A$1:$A$3000&amp;Industry_Historical_Data!$C$1:$C$3000,0&amp;0),MATCH(Industry!P$1,Industry_Historical_Data!$A$1:$S$1,0)),"")</f>
        <v/>
      </c>
      <c r="Q28" s="471" t="str">
        <f t="array" ref="Q28">IFERROR(INDEX(Industry_Historical_Data!$A$1:$S$3000,MATCH(Industry!$G28&amp;Industry_Calculation!$D$27,Industry_Historical_Data!$A$1:$A$3000&amp;Industry_Historical_Data!$C$1:$C$3000,0&amp;0),MATCH(Industry!Q$1,Industry_Historical_Data!$A$1:$S$1,0)),"")</f>
        <v/>
      </c>
      <c r="R28" s="471">
        <f t="array" ref="R28">IFERROR(INDEX(Industry_Historical_Data!$A$1:$S$3000,MATCH(Industry!$G28&amp;Industry_Calculation!$D$27,Industry_Historical_Data!$A$1:$A$3000&amp;Industry_Historical_Data!$C$1:$C$3000,0&amp;0),MATCH(Industry!R$1,Industry_Historical_Data!$A$1:$S$1,0)),"")</f>
        <v>498</v>
      </c>
      <c r="S28" s="471">
        <f t="array" ref="S28">IFERROR(INDEX(Industry_Historical_Data!$A$1:$S$3000,MATCH(Industry!$G28&amp;Industry_Calculation!$D$27,Industry_Historical_Data!$A$1:$A$3000&amp;Industry_Historical_Data!$C$1:$C$3000,0&amp;0),MATCH(Industry!S$1,Industry_Historical_Data!$A$1:$S$1,0)),"")</f>
        <v>503</v>
      </c>
      <c r="T28" s="471">
        <f t="array" ref="T28">IFERROR(INDEX(Industry_Historical_Data!$A$1:$S$3000,MATCH(Industry!$G28&amp;Industry_Calculation!$D$27,Industry_Historical_Data!$A$1:$A$3000&amp;Industry_Historical_Data!$C$1:$C$3000,0&amp;0),MATCH(Industry!T$1,Industry_Historical_Data!$A$1:$S$1,0)),"")</f>
        <v>495</v>
      </c>
      <c r="U28" s="471">
        <f t="array" ref="U28">IFERROR(INDEX(Industry_Historical_Data!$A$1:$S$3000,MATCH(Industry!$G28&amp;Industry_Calculation!$D$27,Industry_Historical_Data!$A$1:$A$3000&amp;Industry_Historical_Data!$C$1:$C$3000,0&amp;0),MATCH(Industry!U$1,Industry_Historical_Data!$A$1:$S$1,0)),"")</f>
        <v>501</v>
      </c>
      <c r="V28" s="471">
        <f t="array" ref="V28">IFERROR(INDEX(Industry_Historical_Data!$A$1:$S$3000,MATCH(Industry!$G28&amp;Industry_Calculation!$D$27,Industry_Historical_Data!$A$1:$A$3000&amp;Industry_Historical_Data!$C$1:$C$3000,0&amp;0),MATCH(Industry!V$1,Industry_Historical_Data!$A$1:$S$1,0)),"")</f>
        <v>502</v>
      </c>
      <c r="W28" s="472" t="str">
        <f t="array" ref="W28">IFERROR(INDEX(Industry_Calculation!$A$110:$M$158,MATCH(Industry!$G28,Industry_Calculation!$A$110:$A$158,0),MATCH(Industry!W$1,Industry_Calculation!$A$110:$M$110,0)),"")</f>
        <v/>
      </c>
      <c r="X28" s="479">
        <f t="array" ref="X28">IFERROR(INDEX(Industry_Historical_Data!$A$1:$S$3000,MATCH(Industry!$G28&amp;Industry_Calculation!$D$27,Industry_Historical_Data!$A$1:$A$3000&amp;Industry_Historical_Data!$C$1:$C$3000,0&amp;0),MATCH(Industry!X$1,Industry_Historical_Data!$A$1:$S$1,0)),"")</f>
        <v>500</v>
      </c>
      <c r="Y28" s="479">
        <f t="array" ref="Y28">IFERROR(INDEX(Industry_Historical_Data!$A$1:$S$3000,MATCH(Industry!$G28&amp;Industry_Calculation!$D$27,Industry_Historical_Data!$A$1:$A$3000&amp;Industry_Historical_Data!$C$1:$C$3000,0&amp;0),MATCH(Industry!Y$1,Industry_Historical_Data!$A$1:$S$1,0)),"")</f>
        <v>501</v>
      </c>
      <c r="Z28" s="479">
        <f t="array" ref="Z28">IFERROR(INDEX(Industry_Historical_Data!$A$1:$S$3000,MATCH(Industry!$G28&amp;Industry_Calculation!$D$27,Industry_Historical_Data!$A$1:$A$3000&amp;Industry_Historical_Data!$C$1:$C$3000,0&amp;0),MATCH(Industry!Z$1,Industry_Historical_Data!$A$1:$S$1,0)),"")</f>
        <v>515</v>
      </c>
      <c r="AA28" s="472" t="str">
        <f t="array" ref="AA28">IFERROR(INDEX(Industry_Calculation!$A$110:$M$158,MATCH(Industry!$G28,Industry_Calculation!$A$110:$A$158,0),MATCH(Industry!AA$1,Industry_Calculation!$A$110:$M$110,0)),"")</f>
        <v/>
      </c>
      <c r="AB28" s="472" t="str">
        <f t="shared" si="22"/>
        <v/>
      </c>
      <c r="AC28" s="472" t="str">
        <f t="shared" si="23"/>
        <v/>
      </c>
      <c r="AD28" s="472" t="str">
        <f t="array" ref="AD28">IFERROR(INDEX(Industry_Calculation!$A$110:$M$158,MATCH(Industry!$G28,Industry_Calculation!$A$110:$A$158,0),MATCH(Industry!AD$1,Industry_Calculation!$A$110:$M$110,0)),"")</f>
        <v/>
      </c>
      <c r="AE28" s="472" t="str">
        <f t="shared" si="24"/>
        <v/>
      </c>
      <c r="AF28" s="472" t="str">
        <f t="array" ref="AF28">IFERROR(INDEX(Industry_Calculation!$A$110:$M$158,MATCH(Industry!$G28,Industry_Calculation!$A$110:$A$158,0),MATCH(Industry!AF$1,Industry_Calculation!$A$110:$M$110,0)),"")</f>
        <v/>
      </c>
      <c r="AG28" s="472" t="str">
        <f t="shared" si="25"/>
        <v/>
      </c>
      <c r="AH28" s="472" t="str">
        <f t="array" ref="AH28">IFERROR(INDEX(Industry_Calculation!$A$110:$M$158,MATCH(Industry!$G28,Industry_Calculation!$A$110:$A$158,0),MATCH(Industry!AH$1,Industry_Calculation!$A$110:$M$110,0)),"")</f>
        <v/>
      </c>
      <c r="AI28" s="474"/>
      <c r="AJ28" s="475"/>
      <c r="AK28" s="475"/>
      <c r="AL28" s="475"/>
      <c r="AM28" s="186"/>
      <c r="AN28" s="176"/>
    </row>
    <row r="29" ht="6.0" customHeight="1" outlineLevel="2">
      <c r="A29" s="468"/>
      <c r="B29" s="466"/>
      <c r="C29" s="476"/>
      <c r="D29" s="470"/>
      <c r="E29" s="162"/>
      <c r="F29" s="162"/>
      <c r="G29" s="162"/>
      <c r="H29" s="178"/>
      <c r="I29" s="178"/>
      <c r="J29" s="178"/>
      <c r="K29" s="178"/>
      <c r="L29" s="178"/>
      <c r="M29" s="178"/>
      <c r="N29" s="178"/>
      <c r="O29" s="178"/>
      <c r="P29" s="178"/>
      <c r="Q29" s="178"/>
      <c r="R29" s="178"/>
      <c r="S29" s="178"/>
      <c r="T29" s="178"/>
      <c r="U29" s="178"/>
      <c r="V29" s="178"/>
      <c r="W29" s="477"/>
      <c r="X29" s="178"/>
      <c r="Y29" s="178"/>
      <c r="Z29" s="178"/>
      <c r="AA29" s="480"/>
      <c r="AB29" s="480"/>
      <c r="AC29" s="480"/>
      <c r="AD29" s="480"/>
      <c r="AE29" s="480"/>
      <c r="AF29" s="480"/>
      <c r="AG29" s="480"/>
      <c r="AH29" s="480"/>
      <c r="AI29" s="271"/>
      <c r="AJ29" s="271"/>
      <c r="AK29" s="271"/>
      <c r="AL29" s="271"/>
      <c r="AM29" s="100"/>
      <c r="AN29" s="176"/>
    </row>
    <row r="30" ht="14.25" customHeight="1" outlineLevel="3">
      <c r="A30" s="468"/>
      <c r="B30" s="466"/>
      <c r="C30" s="476"/>
      <c r="D30" s="476"/>
      <c r="E30" s="122" t="s">
        <v>2121</v>
      </c>
      <c r="F30" s="123" t="s">
        <v>2100</v>
      </c>
      <c r="G30" s="123" t="s">
        <v>2122</v>
      </c>
      <c r="H30" s="478">
        <f t="shared" ref="H30:V30" si="26">IFERROR(H27*$W30/$W27,"")</f>
        <v>0</v>
      </c>
      <c r="I30" s="478">
        <f t="shared" si="26"/>
        <v>0</v>
      </c>
      <c r="J30" s="478">
        <f t="shared" si="26"/>
        <v>0</v>
      </c>
      <c r="K30" s="478">
        <f t="shared" si="26"/>
        <v>0</v>
      </c>
      <c r="L30" s="478">
        <f t="shared" si="26"/>
        <v>0</v>
      </c>
      <c r="M30" s="478">
        <f t="shared" si="26"/>
        <v>0</v>
      </c>
      <c r="N30" s="478">
        <f t="shared" si="26"/>
        <v>0</v>
      </c>
      <c r="O30" s="478">
        <f t="shared" si="26"/>
        <v>0</v>
      </c>
      <c r="P30" s="478">
        <f t="shared" si="26"/>
        <v>0</v>
      </c>
      <c r="Q30" s="478">
        <f t="shared" si="26"/>
        <v>0</v>
      </c>
      <c r="R30" s="478">
        <f t="shared" si="26"/>
        <v>92.98162977</v>
      </c>
      <c r="S30" s="478">
        <f t="shared" si="26"/>
        <v>92.36928874</v>
      </c>
      <c r="T30" s="478">
        <f t="shared" si="26"/>
        <v>94.58313707</v>
      </c>
      <c r="U30" s="478">
        <f t="shared" si="26"/>
        <v>93.35845502</v>
      </c>
      <c r="V30" s="478">
        <f t="shared" si="26"/>
        <v>96.27885068</v>
      </c>
      <c r="W30" s="478">
        <v>100.0</v>
      </c>
      <c r="X30" s="478">
        <f t="shared" ref="X30:AH30" si="27">IFERROR(X27*$W30/$W27,"")</f>
        <v>97.83325483</v>
      </c>
      <c r="Y30" s="478">
        <f t="shared" si="27"/>
        <v>95.24258125</v>
      </c>
      <c r="Z30" s="478">
        <f t="shared" si="27"/>
        <v>91.6627414</v>
      </c>
      <c r="AA30" s="478">
        <f t="shared" si="27"/>
        <v>83.13707018</v>
      </c>
      <c r="AB30" s="478">
        <f t="shared" si="27"/>
        <v>83.13707018</v>
      </c>
      <c r="AC30" s="478">
        <f t="shared" si="27"/>
        <v>83.54691474</v>
      </c>
      <c r="AD30" s="478">
        <f t="shared" si="27"/>
        <v>83.9567593</v>
      </c>
      <c r="AE30" s="478">
        <f t="shared" si="27"/>
        <v>85.67837965</v>
      </c>
      <c r="AF30" s="478">
        <f t="shared" si="27"/>
        <v>87.4</v>
      </c>
      <c r="AG30" s="478">
        <f t="shared" si="27"/>
        <v>86.2</v>
      </c>
      <c r="AH30" s="478">
        <f t="shared" si="27"/>
        <v>85</v>
      </c>
      <c r="AI30" s="474"/>
      <c r="AJ30" s="475"/>
      <c r="AK30" s="475"/>
      <c r="AL30" s="475"/>
      <c r="AM30" s="186"/>
      <c r="AN30" s="176"/>
    </row>
    <row r="31" ht="14.25" customHeight="1" outlineLevel="1">
      <c r="A31" s="465"/>
      <c r="B31" s="466" t="s">
        <v>2123</v>
      </c>
      <c r="C31" s="466"/>
      <c r="D31" s="467"/>
      <c r="E31" s="162"/>
      <c r="F31" s="162"/>
      <c r="G31" s="162"/>
      <c r="H31" s="178"/>
      <c r="I31" s="178"/>
      <c r="J31" s="178"/>
      <c r="K31" s="178"/>
      <c r="L31" s="178"/>
      <c r="M31" s="178"/>
      <c r="N31" s="178"/>
      <c r="O31" s="178"/>
      <c r="P31" s="178"/>
      <c r="Q31" s="178"/>
      <c r="R31" s="178"/>
      <c r="S31" s="178"/>
      <c r="T31" s="178"/>
      <c r="U31" s="178"/>
      <c r="V31" s="178"/>
      <c r="W31" s="178"/>
      <c r="X31" s="178"/>
      <c r="Y31" s="178"/>
      <c r="Z31" s="178"/>
      <c r="AA31" s="178"/>
      <c r="AB31" s="178"/>
      <c r="AC31" s="178"/>
      <c r="AD31" s="178"/>
      <c r="AE31" s="178"/>
      <c r="AF31" s="178"/>
      <c r="AG31" s="178"/>
      <c r="AH31" s="178"/>
      <c r="AI31" s="271"/>
      <c r="AJ31" s="271"/>
      <c r="AK31" s="271"/>
      <c r="AL31" s="271"/>
      <c r="AM31" s="100"/>
      <c r="AN31" s="176"/>
    </row>
    <row r="32" ht="14.25" customHeight="1" outlineLevel="2">
      <c r="A32" s="465"/>
      <c r="B32" s="476"/>
      <c r="C32" s="466" t="s">
        <v>2124</v>
      </c>
      <c r="D32" s="467"/>
      <c r="E32" s="162"/>
      <c r="F32" s="162"/>
      <c r="G32" s="162"/>
      <c r="H32" s="178"/>
      <c r="I32" s="178"/>
      <c r="J32" s="178"/>
      <c r="K32" s="178"/>
      <c r="L32" s="178"/>
      <c r="M32" s="178"/>
      <c r="N32" s="178"/>
      <c r="O32" s="178"/>
      <c r="P32" s="178"/>
      <c r="Q32" s="178"/>
      <c r="R32" s="178"/>
      <c r="S32" s="178"/>
      <c r="T32" s="178"/>
      <c r="U32" s="178"/>
      <c r="V32" s="178"/>
      <c r="W32" s="178"/>
      <c r="X32" s="178"/>
      <c r="Y32" s="178"/>
      <c r="Z32" s="178"/>
      <c r="AA32" s="178"/>
      <c r="AB32" s="178"/>
      <c r="AC32" s="178"/>
      <c r="AD32" s="178"/>
      <c r="AE32" s="178"/>
      <c r="AF32" s="178"/>
      <c r="AG32" s="178"/>
      <c r="AH32" s="178"/>
      <c r="AI32" s="271"/>
      <c r="AJ32" s="271"/>
      <c r="AK32" s="271"/>
      <c r="AL32" s="271"/>
      <c r="AM32" s="100"/>
      <c r="AN32" s="176"/>
    </row>
    <row r="33" ht="14.25" customHeight="1" outlineLevel="3">
      <c r="A33" s="465"/>
      <c r="B33" s="476"/>
      <c r="C33" s="476"/>
      <c r="D33" s="467"/>
      <c r="E33" s="270" t="s">
        <v>2125</v>
      </c>
      <c r="F33" s="249" t="s">
        <v>261</v>
      </c>
      <c r="G33" s="249" t="s">
        <v>2126</v>
      </c>
      <c r="H33" s="339"/>
      <c r="I33" s="339"/>
      <c r="J33" s="339"/>
      <c r="K33" s="339"/>
      <c r="L33" s="339"/>
      <c r="M33" s="339"/>
      <c r="N33" s="339"/>
      <c r="O33" s="339"/>
      <c r="P33" s="339"/>
      <c r="Q33" s="339"/>
      <c r="R33" s="339"/>
      <c r="S33" s="339"/>
      <c r="T33" s="339"/>
      <c r="U33" s="339"/>
      <c r="V33" s="339"/>
      <c r="W33" s="339"/>
      <c r="X33" s="339"/>
      <c r="Y33" s="339"/>
      <c r="Z33" s="339"/>
      <c r="AA33" s="339"/>
      <c r="AB33" s="339"/>
      <c r="AC33" s="339"/>
      <c r="AD33" s="339"/>
      <c r="AE33" s="339"/>
      <c r="AF33" s="339"/>
      <c r="AG33" s="339"/>
      <c r="AH33" s="339"/>
      <c r="AI33" s="475"/>
      <c r="AJ33" s="475"/>
      <c r="AK33" s="475"/>
      <c r="AL33" s="475"/>
      <c r="AM33" s="190" t="s">
        <v>2127</v>
      </c>
      <c r="AN33" s="176"/>
    </row>
    <row r="34" ht="14.25" customHeight="1" outlineLevel="3">
      <c r="A34" s="465"/>
      <c r="B34" s="476"/>
      <c r="C34" s="476"/>
      <c r="D34" s="467"/>
      <c r="E34" s="270" t="s">
        <v>2128</v>
      </c>
      <c r="F34" s="249" t="s">
        <v>261</v>
      </c>
      <c r="G34" s="249" t="s">
        <v>2129</v>
      </c>
      <c r="H34" s="339" t="str">
        <f t="shared" ref="H34:AA34" si="28">IFERROR(H11/H9,"")</f>
        <v/>
      </c>
      <c r="I34" s="339" t="str">
        <f t="shared" si="28"/>
        <v/>
      </c>
      <c r="J34" s="339" t="str">
        <f t="shared" si="28"/>
        <v/>
      </c>
      <c r="K34" s="339" t="str">
        <f t="shared" si="28"/>
        <v/>
      </c>
      <c r="L34" s="339" t="str">
        <f t="shared" si="28"/>
        <v/>
      </c>
      <c r="M34" s="339" t="str">
        <f t="shared" si="28"/>
        <v/>
      </c>
      <c r="N34" s="339" t="str">
        <f t="shared" si="28"/>
        <v/>
      </c>
      <c r="O34" s="339" t="str">
        <f t="shared" si="28"/>
        <v/>
      </c>
      <c r="P34" s="339" t="str">
        <f t="shared" si="28"/>
        <v/>
      </c>
      <c r="Q34" s="339" t="str">
        <f t="shared" si="28"/>
        <v/>
      </c>
      <c r="R34" s="339">
        <f t="shared" si="28"/>
        <v>0.350683557</v>
      </c>
      <c r="S34" s="339">
        <f t="shared" si="28"/>
        <v>0.3455021181</v>
      </c>
      <c r="T34" s="339">
        <f t="shared" si="28"/>
        <v>0.3635118477</v>
      </c>
      <c r="U34" s="339">
        <f t="shared" si="28"/>
        <v>0.3352041532</v>
      </c>
      <c r="V34" s="339">
        <f t="shared" si="28"/>
        <v>0.3245123448</v>
      </c>
      <c r="W34" s="339">
        <f t="shared" si="28"/>
        <v>0.337329475</v>
      </c>
      <c r="X34" s="339">
        <f t="shared" si="28"/>
        <v>0.31</v>
      </c>
      <c r="Y34" s="339">
        <f t="shared" si="28"/>
        <v>0.3099489796</v>
      </c>
      <c r="Z34" s="339">
        <f t="shared" si="28"/>
        <v>0.32</v>
      </c>
      <c r="AA34" s="339">
        <f t="shared" si="28"/>
        <v>0.27</v>
      </c>
      <c r="AB34" s="339">
        <f>IFERROR(AA34,"")</f>
        <v>0.27</v>
      </c>
      <c r="AC34" s="339">
        <f t="shared" ref="AC34:AH34" si="29">IFERROR(AC11/AC9,"")</f>
        <v>0.3176170113</v>
      </c>
      <c r="AD34" s="339">
        <f t="shared" si="29"/>
        <v>0.3699573467</v>
      </c>
      <c r="AE34" s="339">
        <f t="shared" si="29"/>
        <v>0.4290049496</v>
      </c>
      <c r="AF34" s="339">
        <f t="shared" si="29"/>
        <v>0.494728508</v>
      </c>
      <c r="AG34" s="339">
        <f t="shared" si="29"/>
        <v>0.5121187448</v>
      </c>
      <c r="AH34" s="339">
        <f t="shared" si="29"/>
        <v>0.53</v>
      </c>
      <c r="AI34" s="475"/>
      <c r="AJ34" s="475"/>
      <c r="AK34" s="475"/>
      <c r="AL34" s="475"/>
      <c r="AM34" s="190" t="s">
        <v>2127</v>
      </c>
      <c r="AN34" s="176"/>
    </row>
    <row r="35" ht="14.25" customHeight="1" outlineLevel="3">
      <c r="A35" s="465"/>
      <c r="B35" s="476"/>
      <c r="C35" s="476"/>
      <c r="D35" s="467"/>
      <c r="E35" s="270" t="s">
        <v>2130</v>
      </c>
      <c r="F35" s="249" t="s">
        <v>261</v>
      </c>
      <c r="G35" s="249" t="s">
        <v>2131</v>
      </c>
      <c r="H35" s="339"/>
      <c r="I35" s="339"/>
      <c r="J35" s="339"/>
      <c r="K35" s="339"/>
      <c r="L35" s="339"/>
      <c r="M35" s="339"/>
      <c r="N35" s="339"/>
      <c r="O35" s="339"/>
      <c r="P35" s="339"/>
      <c r="Q35" s="339"/>
      <c r="R35" s="339"/>
      <c r="S35" s="339"/>
      <c r="T35" s="339"/>
      <c r="U35" s="339"/>
      <c r="V35" s="339"/>
      <c r="W35" s="339"/>
      <c r="X35" s="339"/>
      <c r="Y35" s="339"/>
      <c r="Z35" s="339"/>
      <c r="AA35" s="339"/>
      <c r="AB35" s="339"/>
      <c r="AC35" s="339"/>
      <c r="AD35" s="339"/>
      <c r="AE35" s="339"/>
      <c r="AF35" s="339"/>
      <c r="AG35" s="339"/>
      <c r="AH35" s="339"/>
      <c r="AI35" s="475"/>
      <c r="AJ35" s="475"/>
      <c r="AK35" s="475"/>
      <c r="AL35" s="475"/>
      <c r="AM35" s="190" t="s">
        <v>2127</v>
      </c>
      <c r="AN35" s="176"/>
    </row>
    <row r="36" ht="14.25" customHeight="1" outlineLevel="3">
      <c r="A36" s="465"/>
      <c r="B36" s="476"/>
      <c r="C36" s="476"/>
      <c r="D36" s="467"/>
      <c r="E36" s="270" t="s">
        <v>2132</v>
      </c>
      <c r="F36" s="249" t="s">
        <v>261</v>
      </c>
      <c r="G36" s="249" t="s">
        <v>2133</v>
      </c>
      <c r="H36" s="339"/>
      <c r="I36" s="339"/>
      <c r="J36" s="339"/>
      <c r="K36" s="339"/>
      <c r="L36" s="339"/>
      <c r="M36" s="339"/>
      <c r="N36" s="339"/>
      <c r="O36" s="339"/>
      <c r="P36" s="339"/>
      <c r="Q36" s="339"/>
      <c r="R36" s="339"/>
      <c r="S36" s="339"/>
      <c r="T36" s="339"/>
      <c r="U36" s="339"/>
      <c r="V36" s="339"/>
      <c r="W36" s="339"/>
      <c r="X36" s="339"/>
      <c r="Y36" s="339"/>
      <c r="Z36" s="339"/>
      <c r="AA36" s="339"/>
      <c r="AB36" s="339"/>
      <c r="AC36" s="339"/>
      <c r="AD36" s="339"/>
      <c r="AE36" s="339"/>
      <c r="AF36" s="339"/>
      <c r="AG36" s="339"/>
      <c r="AH36" s="339"/>
      <c r="AI36" s="475"/>
      <c r="AJ36" s="475"/>
      <c r="AK36" s="475"/>
      <c r="AL36" s="475"/>
      <c r="AM36" s="190" t="s">
        <v>2127</v>
      </c>
      <c r="AN36" s="176"/>
    </row>
    <row r="37" ht="14.25" customHeight="1" outlineLevel="3">
      <c r="A37" s="465"/>
      <c r="B37" s="476"/>
      <c r="C37" s="476"/>
      <c r="D37" s="467"/>
      <c r="E37" s="122" t="s">
        <v>2134</v>
      </c>
      <c r="F37" s="123" t="s">
        <v>261</v>
      </c>
      <c r="G37" s="123" t="s">
        <v>2135</v>
      </c>
      <c r="H37" s="339"/>
      <c r="I37" s="339"/>
      <c r="J37" s="339"/>
      <c r="K37" s="339"/>
      <c r="L37" s="339"/>
      <c r="M37" s="339"/>
      <c r="N37" s="339"/>
      <c r="O37" s="339"/>
      <c r="P37" s="339"/>
      <c r="Q37" s="339"/>
      <c r="R37" s="339"/>
      <c r="S37" s="339"/>
      <c r="T37" s="339"/>
      <c r="U37" s="339"/>
      <c r="V37" s="339"/>
      <c r="W37" s="339"/>
      <c r="X37" s="339"/>
      <c r="Y37" s="339"/>
      <c r="Z37" s="339"/>
      <c r="AA37" s="339"/>
      <c r="AB37" s="339"/>
      <c r="AC37" s="339"/>
      <c r="AD37" s="339"/>
      <c r="AE37" s="339"/>
      <c r="AF37" s="339"/>
      <c r="AG37" s="339"/>
      <c r="AH37" s="339"/>
      <c r="AI37" s="475"/>
      <c r="AJ37" s="475"/>
      <c r="AK37" s="475"/>
      <c r="AL37" s="475"/>
      <c r="AM37" s="190" t="s">
        <v>2127</v>
      </c>
      <c r="AN37" s="176"/>
    </row>
    <row r="38" ht="14.25" customHeight="1">
      <c r="A38" s="463" t="s">
        <v>2136</v>
      </c>
      <c r="B38" s="162"/>
      <c r="C38" s="162"/>
      <c r="D38" s="195"/>
      <c r="E38" s="162"/>
      <c r="F38" s="162"/>
      <c r="G38" s="162"/>
      <c r="H38" s="178"/>
      <c r="I38" s="178"/>
      <c r="J38" s="178"/>
      <c r="K38" s="178"/>
      <c r="L38" s="178"/>
      <c r="M38" s="178"/>
      <c r="N38" s="178"/>
      <c r="O38" s="178"/>
      <c r="P38" s="178"/>
      <c r="Q38" s="178"/>
      <c r="R38" s="178"/>
      <c r="S38" s="178"/>
      <c r="T38" s="178"/>
      <c r="U38" s="178"/>
      <c r="V38" s="178"/>
      <c r="W38" s="178"/>
      <c r="X38" s="178"/>
      <c r="Y38" s="178"/>
      <c r="Z38" s="178"/>
      <c r="AA38" s="178"/>
      <c r="AB38" s="178"/>
      <c r="AC38" s="178"/>
      <c r="AD38" s="178"/>
      <c r="AE38" s="178"/>
      <c r="AF38" s="178"/>
      <c r="AG38" s="178"/>
      <c r="AH38" s="178"/>
      <c r="AI38" s="271"/>
      <c r="AJ38" s="271"/>
      <c r="AK38" s="271"/>
      <c r="AL38" s="271"/>
      <c r="AM38" s="100"/>
      <c r="AN38" s="176"/>
    </row>
    <row r="39" ht="14.25" customHeight="1" outlineLevel="2">
      <c r="A39" s="465"/>
      <c r="B39" s="476"/>
      <c r="C39" s="469"/>
      <c r="D39" s="470" t="s">
        <v>2081</v>
      </c>
      <c r="E39" s="162"/>
      <c r="F39" s="162"/>
      <c r="G39" s="162"/>
      <c r="H39" s="178"/>
      <c r="I39" s="178"/>
      <c r="J39" s="178"/>
      <c r="K39" s="178"/>
      <c r="L39" s="178"/>
      <c r="M39" s="178"/>
      <c r="N39" s="178"/>
      <c r="O39" s="178"/>
      <c r="P39" s="178"/>
      <c r="Q39" s="178"/>
      <c r="R39" s="178"/>
      <c r="S39" s="178"/>
      <c r="T39" s="178"/>
      <c r="U39" s="178"/>
      <c r="V39" s="178"/>
      <c r="W39" s="178"/>
      <c r="X39" s="178"/>
      <c r="Y39" s="178"/>
      <c r="Z39" s="178"/>
      <c r="AA39" s="178"/>
      <c r="AB39" s="178"/>
      <c r="AC39" s="178"/>
      <c r="AD39" s="178"/>
      <c r="AE39" s="178"/>
      <c r="AF39" s="178"/>
      <c r="AG39" s="178"/>
      <c r="AH39" s="178"/>
      <c r="AI39" s="271"/>
      <c r="AJ39" s="271"/>
      <c r="AK39" s="271"/>
      <c r="AL39" s="271"/>
      <c r="AM39" s="100"/>
      <c r="AN39" s="176"/>
    </row>
    <row r="40" ht="14.25" customHeight="1" outlineLevel="3">
      <c r="A40" s="468"/>
      <c r="B40" s="466"/>
      <c r="C40" s="476"/>
      <c r="D40" s="476"/>
      <c r="E40" s="270" t="s">
        <v>2137</v>
      </c>
      <c r="F40" s="249" t="s">
        <v>2138</v>
      </c>
      <c r="G40" s="249" t="s">
        <v>2139</v>
      </c>
      <c r="H40" s="481" t="str">
        <f t="shared" ref="H40:V40" si="30">IFERROR(H55/H9*1000000,"")</f>
        <v/>
      </c>
      <c r="I40" s="481" t="str">
        <f t="shared" si="30"/>
        <v/>
      </c>
      <c r="J40" s="481" t="str">
        <f t="shared" si="30"/>
        <v/>
      </c>
      <c r="K40" s="481" t="str">
        <f t="shared" si="30"/>
        <v/>
      </c>
      <c r="L40" s="481" t="str">
        <f t="shared" si="30"/>
        <v/>
      </c>
      <c r="M40" s="481" t="str">
        <f t="shared" si="30"/>
        <v/>
      </c>
      <c r="N40" s="481" t="str">
        <f t="shared" si="30"/>
        <v/>
      </c>
      <c r="O40" s="481" t="str">
        <f t="shared" si="30"/>
        <v/>
      </c>
      <c r="P40" s="481" t="str">
        <f t="shared" si="30"/>
        <v/>
      </c>
      <c r="Q40" s="481" t="str">
        <f t="shared" si="30"/>
        <v/>
      </c>
      <c r="R40" s="481">
        <f t="shared" si="30"/>
        <v>3750.457795</v>
      </c>
      <c r="S40" s="481">
        <f t="shared" si="30"/>
        <v>3606.204834</v>
      </c>
      <c r="T40" s="481">
        <f t="shared" si="30"/>
        <v>3542.213395</v>
      </c>
      <c r="U40" s="481">
        <f t="shared" si="30"/>
        <v>3906.973481</v>
      </c>
      <c r="V40" s="481">
        <f t="shared" si="30"/>
        <v>3754.003547</v>
      </c>
      <c r="W40" s="482">
        <f t="array" ref="W40">IFERROR(INDEX(Industry_Calculation!$C$37:$O$86,MATCH(Industry!$G40,Industry_Calculation!$C$37:$C$86,0),MATCH(Industry!W$2&amp;Industry!W$1,Industry_Calculation!$C$37:$O$37&amp;Industry_Calculation!C$38:M$38,0&amp;0)),"")</f>
        <v>3909.811217</v>
      </c>
      <c r="X40" s="163">
        <f t="shared" ref="X40:Z40" si="31">IFERROR(X55/X9*1000000,"")</f>
        <v>4030.338101</v>
      </c>
      <c r="Y40" s="163">
        <f t="shared" si="31"/>
        <v>4010.612245</v>
      </c>
      <c r="Z40" s="163">
        <f t="shared" si="31"/>
        <v>3932.042607</v>
      </c>
      <c r="AA40" s="482">
        <f t="array" ref="AA40">IFERROR(INDEX(Industry_Calculation!$A$110:$M$158,MATCH(Industry!$G40,Industry_Calculation!$A$110:$A$158,0),MATCH(Industry!AA$1,Industry_Calculation!$A$110:$M$110,0)),"")</f>
        <v>3954.281765</v>
      </c>
      <c r="AB40" s="472">
        <f>IFERROR(AA40,"")</f>
        <v>3954.281765</v>
      </c>
      <c r="AC40" s="482">
        <f>IFERROR(AVERAGE(AD40,AB40),"")</f>
        <v>3590.339776</v>
      </c>
      <c r="AD40" s="482">
        <f t="array" ref="AD40">IFERROR(INDEX(Industry_Calculation!$A$110:$M$158,MATCH(Industry!$G40,Industry_Calculation!$A$110:$A$158,0),MATCH(Industry!AD$1,Industry_Calculation!$A$110:$M$110,0)),"")</f>
        <v>3226.397788</v>
      </c>
      <c r="AE40" s="482">
        <f>IFERROR(AVERAGE(AF40,AD40),"")</f>
        <v>2891.983791</v>
      </c>
      <c r="AF40" s="482">
        <f t="array" ref="AF40">IFERROR(INDEX(Industry_Calculation!$A$110:$M$158,MATCH(Industry!$G40,Industry_Calculation!$A$110:$A$158,0),MATCH(Industry!AF$1,Industry_Calculation!$A$110:$M$110,0)),"")</f>
        <v>2557.569795</v>
      </c>
      <c r="AG40" s="482">
        <f>IFERROR(AVERAGE(AH40,AF40),"")</f>
        <v>2428.784897</v>
      </c>
      <c r="AH40" s="482">
        <f t="array" ref="AH40">IFERROR(INDEX(Industry_Calculation!$A$110:$M$158,MATCH(Industry!$G40,Industry_Calculation!$A$110:$A$158,0),MATCH(Industry!AH$1,Industry_Calculation!$A$110:$M$110,0)),"")</f>
        <v>2300</v>
      </c>
      <c r="AI40" s="475"/>
      <c r="AJ40" s="475"/>
      <c r="AK40" s="475"/>
      <c r="AL40" s="475"/>
      <c r="AM40" s="186"/>
      <c r="AN40" s="176"/>
    </row>
    <row r="41" ht="14.25" customHeight="1" outlineLevel="3">
      <c r="A41" s="468"/>
      <c r="B41" s="466"/>
      <c r="C41" s="476"/>
      <c r="D41" s="476"/>
      <c r="E41" s="270" t="s">
        <v>2140</v>
      </c>
      <c r="F41" s="249" t="s">
        <v>2138</v>
      </c>
      <c r="G41" s="249" t="s">
        <v>2141</v>
      </c>
      <c r="H41" s="481" t="str">
        <f t="shared" ref="H41:V41" si="32">IFERROR(H56/H10*1000000,"")</f>
        <v/>
      </c>
      <c r="I41" s="481" t="str">
        <f t="shared" si="32"/>
        <v/>
      </c>
      <c r="J41" s="481" t="str">
        <f t="shared" si="32"/>
        <v/>
      </c>
      <c r="K41" s="481" t="str">
        <f t="shared" si="32"/>
        <v/>
      </c>
      <c r="L41" s="481" t="str">
        <f t="shared" si="32"/>
        <v/>
      </c>
      <c r="M41" s="481" t="str">
        <f t="shared" si="32"/>
        <v/>
      </c>
      <c r="N41" s="481" t="str">
        <f t="shared" si="32"/>
        <v/>
      </c>
      <c r="O41" s="481" t="str">
        <f t="shared" si="32"/>
        <v/>
      </c>
      <c r="P41" s="481" t="str">
        <f t="shared" si="32"/>
        <v/>
      </c>
      <c r="Q41" s="481" t="str">
        <f t="shared" si="32"/>
        <v/>
      </c>
      <c r="R41" s="481">
        <f t="shared" si="32"/>
        <v>0</v>
      </c>
      <c r="S41" s="481">
        <f t="shared" si="32"/>
        <v>0</v>
      </c>
      <c r="T41" s="481">
        <f t="shared" si="32"/>
        <v>0</v>
      </c>
      <c r="U41" s="481">
        <f t="shared" si="32"/>
        <v>0</v>
      </c>
      <c r="V41" s="481">
        <f t="shared" si="32"/>
        <v>0</v>
      </c>
      <c r="W41" s="482" t="str">
        <f t="array" ref="W41">IF(IFERROR(INDEX(Industry_Calculation!$C$37:$O$86,MATCH(Industry!$G41,Industry_Calculation!$C$37:$C$86,0),MATCH(Industry!W$2&amp;Industry!W$1,Industry_Calculation!$C$37:$O$37&amp;Industry_Calculation!C$38:M$38,0&amp;0)),"")=0,"",IFERROR(INDEX(Industry_Calculation!$C$37:$O$86,MATCH(Industry!$G41,Industry_Calculation!$C$37:$C$86,0),MATCH(Industry!W$2&amp;Industry!W$1,Industry_Calculation!$C$37:$O$37&amp;Industry_Calculation!C$38:M$38,0&amp;0)),""))</f>
        <v/>
      </c>
      <c r="X41" s="163">
        <f t="shared" ref="X41:Z41" si="33">IFERROR(X56/X10*1000000,"")</f>
        <v>0</v>
      </c>
      <c r="Y41" s="163">
        <f t="shared" si="33"/>
        <v>0</v>
      </c>
      <c r="Z41" s="163">
        <f t="shared" si="33"/>
        <v>0</v>
      </c>
      <c r="AA41" s="482" t="str">
        <f t="array" ref="AA41">IF(IFERROR(INDEX(Industry_Calculation!$C$37:$O$86,MATCH(Industry!$G41,Industry_Calculation!$C$37:$C$86,0),MATCH(Industry!AA$2&amp;Industry!AA$1,Industry_Calculation!$C$37:$O$37&amp;Industry_Calculation!G$38:Q$38,0&amp;0)),"")=0,"",IFERROR(INDEX(Industry_Calculation!$C$37:$O$86,MATCH(Industry!$G41,Industry_Calculation!$C$37:$C$86,0),MATCH(Industry!AA$2&amp;Industry!AA$1,Industry_Calculation!$C$37:$O$37&amp;Industry_Calculation!G$38:Q$38,0&amp;0)),""))</f>
        <v/>
      </c>
      <c r="AB41" s="482" t="str">
        <f t="array" ref="AB41">IF(IFERROR(INDEX(Industry_Calculation!$C$37:$O$86,MATCH(Industry!$G41,Industry_Calculation!$C$37:$C$86,0),MATCH(Industry!AB$2&amp;Industry!AB$1,Industry_Calculation!$C$37:$O$37&amp;Industry_Calculation!H$38:R$38,0&amp;0)),"")=0,"",IFERROR(INDEX(Industry_Calculation!$C$37:$O$86,MATCH(Industry!$G41,Industry_Calculation!$C$37:$C$86,0),MATCH(Industry!AB$2&amp;Industry!AB$1,Industry_Calculation!$C$37:$O$37&amp;Industry_Calculation!H$38:R$38,0&amp;0)),""))</f>
        <v/>
      </c>
      <c r="AC41" s="482" t="str">
        <f t="array" ref="AC41">IF(IFERROR(INDEX(Industry_Calculation!$C$37:$O$86,MATCH(Industry!$G41,Industry_Calculation!$C$37:$C$86,0),MATCH(Industry!AC$2&amp;Industry!AC$1,Industry_Calculation!$C$37:$O$37&amp;Industry_Calculation!I$38:S$38,0&amp;0)),"")=0,"",IFERROR(INDEX(Industry_Calculation!$C$37:$O$86,MATCH(Industry!$G41,Industry_Calculation!$C$37:$C$86,0),MATCH(Industry!AC$2&amp;Industry!AC$1,Industry_Calculation!$C$37:$O$37&amp;Industry_Calculation!I$38:S$38,0&amp;0)),""))</f>
        <v/>
      </c>
      <c r="AD41" s="482" t="str">
        <f t="array" ref="AD41">IF(IFERROR(INDEX(Industry_Calculation!$C$37:$O$86,MATCH(Industry!$G41,Industry_Calculation!$C$37:$C$86,0),MATCH(Industry!AD$2&amp;Industry!AD$1,Industry_Calculation!$C$37:$O$37&amp;Industry_Calculation!J$38:T$38,0&amp;0)),"")=0,"",IFERROR(INDEX(Industry_Calculation!$C$37:$O$86,MATCH(Industry!$G41,Industry_Calculation!$C$37:$C$86,0),MATCH(Industry!AD$2&amp;Industry!AD$1,Industry_Calculation!$C$37:$O$37&amp;Industry_Calculation!J$38:T$38,0&amp;0)),""))</f>
        <v/>
      </c>
      <c r="AE41" s="482" t="str">
        <f t="array" ref="AE41">IF(IFERROR(INDEX(Industry_Calculation!$C$37:$O$86,MATCH(Industry!$G41,Industry_Calculation!$C$37:$C$86,0),MATCH(Industry!AE$2&amp;Industry!AE$1,Industry_Calculation!$C$37:$O$37&amp;Industry_Calculation!K$38:U$38,0&amp;0)),"")=0,"",IFERROR(INDEX(Industry_Calculation!$C$37:$O$86,MATCH(Industry!$G41,Industry_Calculation!$C$37:$C$86,0),MATCH(Industry!AE$2&amp;Industry!AE$1,Industry_Calculation!$C$37:$O$37&amp;Industry_Calculation!K$38:U$38,0&amp;0)),""))</f>
        <v/>
      </c>
      <c r="AF41" s="482" t="str">
        <f t="array" ref="AF41">IF(IFERROR(INDEX(Industry_Calculation!$C$37:$O$86,MATCH(Industry!$G41,Industry_Calculation!$C$37:$C$86,0),MATCH(Industry!AF$2&amp;Industry!AF$1,Industry_Calculation!$C$37:$O$37&amp;Industry_Calculation!L$38:X$38,0&amp;0)),"")=0,"",IFERROR(INDEX(Industry_Calculation!$C$37:$O$86,MATCH(Industry!$G41,Industry_Calculation!$C$37:$C$86,0),MATCH(Industry!AF$2&amp;Industry!AF$1,Industry_Calculation!$C$37:$O$37&amp;Industry_Calculation!L$38:X$38,0&amp;0)),""))</f>
        <v/>
      </c>
      <c r="AG41" s="482" t="str">
        <f t="array" ref="AG41">IF(IFERROR(INDEX(Industry_Calculation!$C$37:$O$86,MATCH(Industry!$G41,Industry_Calculation!$C$37:$C$86,0),MATCH(Industry!AG$2&amp;Industry!AG$1,Industry_Calculation!$C$37:$O$37&amp;Industry_Calculation!M$38:Z$38,0&amp;0)),"")=0,"",IFERROR(INDEX(Industry_Calculation!$C$37:$O$86,MATCH(Industry!$G41,Industry_Calculation!$C$37:$C$86,0),MATCH(Industry!AG$2&amp;Industry!AG$1,Industry_Calculation!$C$37:$O$37&amp;Industry_Calculation!M$38:Z$38,0&amp;0)),""))</f>
        <v/>
      </c>
      <c r="AH41" s="482" t="str">
        <f t="array" ref="AH41">IF(IFERROR(INDEX(Industry_Calculation!$C$37:$O$86,MATCH(Industry!$G41,Industry_Calculation!$C$37:$C$86,0),MATCH(Industry!AH$2&amp;Industry!AH$1,Industry_Calculation!$C$37:$O$37&amp;Industry_Calculation!N$38:AB$38,0&amp;0)),"")=0,"",IFERROR(INDEX(Industry_Calculation!$C$37:$O$86,MATCH(Industry!$G41,Industry_Calculation!$C$37:$C$86,0),MATCH(Industry!AH$2&amp;Industry!AH$1,Industry_Calculation!$C$37:$O$37&amp;Industry_Calculation!N$38:AB$38,0&amp;0)),""))</f>
        <v/>
      </c>
      <c r="AI41" s="475"/>
      <c r="AJ41" s="475"/>
      <c r="AK41" s="475"/>
      <c r="AL41" s="475"/>
      <c r="AM41" s="186"/>
      <c r="AN41" s="176"/>
    </row>
    <row r="42" ht="14.25" customHeight="1" outlineLevel="3">
      <c r="A42" s="468"/>
      <c r="B42" s="466"/>
      <c r="C42" s="476"/>
      <c r="D42" s="476"/>
      <c r="E42" s="270" t="s">
        <v>2142</v>
      </c>
      <c r="F42" s="249" t="s">
        <v>2138</v>
      </c>
      <c r="G42" s="249" t="s">
        <v>2143</v>
      </c>
      <c r="H42" s="481" t="str">
        <f t="shared" ref="H42:V42" si="34">IFERROR(H57/H11*1000000,"")</f>
        <v/>
      </c>
      <c r="I42" s="481" t="str">
        <f t="shared" si="34"/>
        <v/>
      </c>
      <c r="J42" s="481" t="str">
        <f t="shared" si="34"/>
        <v/>
      </c>
      <c r="K42" s="481" t="str">
        <f t="shared" si="34"/>
        <v/>
      </c>
      <c r="L42" s="481" t="str">
        <f t="shared" si="34"/>
        <v/>
      </c>
      <c r="M42" s="481" t="str">
        <f t="shared" si="34"/>
        <v/>
      </c>
      <c r="N42" s="481" t="str">
        <f t="shared" si="34"/>
        <v/>
      </c>
      <c r="O42" s="481" t="str">
        <f t="shared" si="34"/>
        <v/>
      </c>
      <c r="P42" s="481" t="str">
        <f t="shared" si="34"/>
        <v/>
      </c>
      <c r="Q42" s="481" t="str">
        <f t="shared" si="34"/>
        <v/>
      </c>
      <c r="R42" s="481">
        <f t="shared" si="34"/>
        <v>0</v>
      </c>
      <c r="S42" s="481">
        <f t="shared" si="34"/>
        <v>0</v>
      </c>
      <c r="T42" s="481">
        <f t="shared" si="34"/>
        <v>0</v>
      </c>
      <c r="U42" s="481">
        <f t="shared" si="34"/>
        <v>0</v>
      </c>
      <c r="V42" s="481">
        <f t="shared" si="34"/>
        <v>0</v>
      </c>
      <c r="W42" s="482" t="str">
        <f t="array" ref="W42">IF(IFERROR(INDEX(Industry_Calculation!$C$37:$O$86,MATCH(Industry!$G42,Industry_Calculation!$C$37:$C$86,0),MATCH(Industry!W$2&amp;Industry!W$1,Industry_Calculation!$C$37:$O$37&amp;Industry_Calculation!C$38:M$38,0&amp;0)),"")=0,"",IFERROR(INDEX(Industry_Calculation!$C$37:$O$86,MATCH(Industry!$G42,Industry_Calculation!$C$37:$C$86,0),MATCH(Industry!W$2&amp;Industry!W$1,Industry_Calculation!$C$37:$O$37&amp;Industry_Calculation!C$38:M$38,0&amp;0)),""))</f>
        <v/>
      </c>
      <c r="X42" s="163">
        <f t="shared" ref="X42:Z42" si="35">IFERROR(X57/X11*1000000,"")</f>
        <v>0</v>
      </c>
      <c r="Y42" s="163">
        <f t="shared" si="35"/>
        <v>0</v>
      </c>
      <c r="Z42" s="163">
        <f t="shared" si="35"/>
        <v>0</v>
      </c>
      <c r="AA42" s="482" t="str">
        <f t="array" ref="AA42">IF(IFERROR(INDEX(Industry_Calculation!$C$37:$O$86,MATCH(Industry!$G42,Industry_Calculation!$C$37:$C$86,0),MATCH(Industry!AA$2&amp;Industry!AA$1,Industry_Calculation!$C$37:$O$37&amp;Industry_Calculation!G$38:Q$38,0&amp;0)),"")=0,"",IFERROR(INDEX(Industry_Calculation!$C$37:$O$86,MATCH(Industry!$G42,Industry_Calculation!$C$37:$C$86,0),MATCH(Industry!AA$2&amp;Industry!AA$1,Industry_Calculation!$C$37:$O$37&amp;Industry_Calculation!G$38:Q$38,0&amp;0)),""))</f>
        <v/>
      </c>
      <c r="AB42" s="482" t="str">
        <f t="array" ref="AB42">IF(IFERROR(INDEX(Industry_Calculation!$C$37:$O$86,MATCH(Industry!$G42,Industry_Calculation!$C$37:$C$86,0),MATCH(Industry!AB$2&amp;Industry!AB$1,Industry_Calculation!$C$37:$O$37&amp;Industry_Calculation!H$38:R$38,0&amp;0)),"")=0,"",IFERROR(INDEX(Industry_Calculation!$C$37:$O$86,MATCH(Industry!$G42,Industry_Calculation!$C$37:$C$86,0),MATCH(Industry!AB$2&amp;Industry!AB$1,Industry_Calculation!$C$37:$O$37&amp;Industry_Calculation!H$38:R$38,0&amp;0)),""))</f>
        <v/>
      </c>
      <c r="AC42" s="482" t="str">
        <f t="array" ref="AC42">IF(IFERROR(INDEX(Industry_Calculation!$C$37:$O$86,MATCH(Industry!$G42,Industry_Calculation!$C$37:$C$86,0),MATCH(Industry!AC$2&amp;Industry!AC$1,Industry_Calculation!$C$37:$O$37&amp;Industry_Calculation!I$38:S$38,0&amp;0)),"")=0,"",IFERROR(INDEX(Industry_Calculation!$C$37:$O$86,MATCH(Industry!$G42,Industry_Calculation!$C$37:$C$86,0),MATCH(Industry!AC$2&amp;Industry!AC$1,Industry_Calculation!$C$37:$O$37&amp;Industry_Calculation!I$38:S$38,0&amp;0)),""))</f>
        <v/>
      </c>
      <c r="AD42" s="482" t="str">
        <f t="array" ref="AD42">IF(IFERROR(INDEX(Industry_Calculation!$C$37:$O$86,MATCH(Industry!$G42,Industry_Calculation!$C$37:$C$86,0),MATCH(Industry!AD$2&amp;Industry!AD$1,Industry_Calculation!$C$37:$O$37&amp;Industry_Calculation!J$38:T$38,0&amp;0)),"")=0,"",IFERROR(INDEX(Industry_Calculation!$C$37:$O$86,MATCH(Industry!$G42,Industry_Calculation!$C$37:$C$86,0),MATCH(Industry!AD$2&amp;Industry!AD$1,Industry_Calculation!$C$37:$O$37&amp;Industry_Calculation!J$38:T$38,0&amp;0)),""))</f>
        <v/>
      </c>
      <c r="AE42" s="482" t="str">
        <f t="array" ref="AE42">IF(IFERROR(INDEX(Industry_Calculation!$C$37:$O$86,MATCH(Industry!$G42,Industry_Calculation!$C$37:$C$86,0),MATCH(Industry!AE$2&amp;Industry!AE$1,Industry_Calculation!$C$37:$O$37&amp;Industry_Calculation!K$38:U$38,0&amp;0)),"")=0,"",IFERROR(INDEX(Industry_Calculation!$C$37:$O$86,MATCH(Industry!$G42,Industry_Calculation!$C$37:$C$86,0),MATCH(Industry!AE$2&amp;Industry!AE$1,Industry_Calculation!$C$37:$O$37&amp;Industry_Calculation!K$38:U$38,0&amp;0)),""))</f>
        <v/>
      </c>
      <c r="AF42" s="482" t="str">
        <f t="array" ref="AF42">IF(IFERROR(INDEX(Industry_Calculation!$C$37:$O$86,MATCH(Industry!$G42,Industry_Calculation!$C$37:$C$86,0),MATCH(Industry!AF$2&amp;Industry!AF$1,Industry_Calculation!$C$37:$O$37&amp;Industry_Calculation!L$38:X$38,0&amp;0)),"")=0,"",IFERROR(INDEX(Industry_Calculation!$C$37:$O$86,MATCH(Industry!$G42,Industry_Calculation!$C$37:$C$86,0),MATCH(Industry!AF$2&amp;Industry!AF$1,Industry_Calculation!$C$37:$O$37&amp;Industry_Calculation!L$38:X$38,0&amp;0)),""))</f>
        <v/>
      </c>
      <c r="AG42" s="482" t="str">
        <f t="array" ref="AG42">IF(IFERROR(INDEX(Industry_Calculation!$C$37:$O$86,MATCH(Industry!$G42,Industry_Calculation!$C$37:$C$86,0),MATCH(Industry!AG$2&amp;Industry!AG$1,Industry_Calculation!$C$37:$O$37&amp;Industry_Calculation!M$38:Z$38,0&amp;0)),"")=0,"",IFERROR(INDEX(Industry_Calculation!$C$37:$O$86,MATCH(Industry!$G42,Industry_Calculation!$C$37:$C$86,0),MATCH(Industry!AG$2&amp;Industry!AG$1,Industry_Calculation!$C$37:$O$37&amp;Industry_Calculation!M$38:Z$38,0&amp;0)),""))</f>
        <v/>
      </c>
      <c r="AH42" s="482" t="str">
        <f t="array" ref="AH42">IF(IFERROR(INDEX(Industry_Calculation!$C$37:$O$86,MATCH(Industry!$G42,Industry_Calculation!$C$37:$C$86,0),MATCH(Industry!AH$2&amp;Industry!AH$1,Industry_Calculation!$C$37:$O$37&amp;Industry_Calculation!N$38:AB$38,0&amp;0)),"")=0,"",IFERROR(INDEX(Industry_Calculation!$C$37:$O$86,MATCH(Industry!$G42,Industry_Calculation!$C$37:$C$86,0),MATCH(Industry!AH$2&amp;Industry!AH$1,Industry_Calculation!$C$37:$O$37&amp;Industry_Calculation!N$38:AB$38,0&amp;0)),""))</f>
        <v/>
      </c>
      <c r="AI42" s="475"/>
      <c r="AJ42" s="475"/>
      <c r="AK42" s="475"/>
      <c r="AL42" s="475"/>
      <c r="AM42" s="186"/>
      <c r="AN42" s="176"/>
    </row>
    <row r="43" ht="14.25" customHeight="1" outlineLevel="3">
      <c r="A43" s="468"/>
      <c r="B43" s="466"/>
      <c r="C43" s="476"/>
      <c r="D43" s="476"/>
      <c r="E43" s="270" t="s">
        <v>2144</v>
      </c>
      <c r="F43" s="249" t="s">
        <v>2138</v>
      </c>
      <c r="G43" s="249" t="s">
        <v>2145</v>
      </c>
      <c r="H43" s="481" t="str">
        <f t="shared" ref="H43:V43" si="36">IFERROR(H58/H12*1000000,"")</f>
        <v/>
      </c>
      <c r="I43" s="481" t="str">
        <f t="shared" si="36"/>
        <v/>
      </c>
      <c r="J43" s="481" t="str">
        <f t="shared" si="36"/>
        <v/>
      </c>
      <c r="K43" s="481" t="str">
        <f t="shared" si="36"/>
        <v/>
      </c>
      <c r="L43" s="481" t="str">
        <f t="shared" si="36"/>
        <v/>
      </c>
      <c r="M43" s="481" t="str">
        <f t="shared" si="36"/>
        <v/>
      </c>
      <c r="N43" s="481" t="str">
        <f t="shared" si="36"/>
        <v/>
      </c>
      <c r="O43" s="481" t="str">
        <f t="shared" si="36"/>
        <v/>
      </c>
      <c r="P43" s="481" t="str">
        <f t="shared" si="36"/>
        <v/>
      </c>
      <c r="Q43" s="481" t="str">
        <f t="shared" si="36"/>
        <v/>
      </c>
      <c r="R43" s="481" t="str">
        <f t="shared" si="36"/>
        <v/>
      </c>
      <c r="S43" s="481" t="str">
        <f t="shared" si="36"/>
        <v/>
      </c>
      <c r="T43" s="481" t="str">
        <f t="shared" si="36"/>
        <v/>
      </c>
      <c r="U43" s="481" t="str">
        <f t="shared" si="36"/>
        <v/>
      </c>
      <c r="V43" s="481" t="str">
        <f t="shared" si="36"/>
        <v/>
      </c>
      <c r="W43" s="482" t="str">
        <f t="array" ref="W43">IFERROR(INDEX(Industry_Calculation!$C$37:$O$86,MATCH(Industry!$G43,Industry_Calculation!$C$37:$C$86,0),MATCH(Industry!W$2&amp;Industry!W$1,Industry_Calculation!$C$37:$O$37&amp;Industry_Calculation!C$38:M$38,0&amp;0)),"")</f>
        <v/>
      </c>
      <c r="X43" s="163" t="str">
        <f t="shared" ref="X43:Z43" si="37">IFERROR(X58/X12*1000000,"")</f>
        <v/>
      </c>
      <c r="Y43" s="163" t="str">
        <f t="shared" si="37"/>
        <v/>
      </c>
      <c r="Z43" s="163" t="str">
        <f t="shared" si="37"/>
        <v/>
      </c>
      <c r="AA43" s="482" t="str">
        <f t="array" ref="AA43">IFERROR(INDEX(Industry_Calculation!$A$110:$M$158,MATCH(Industry!$G43,Industry_Calculation!$A$110:$A$158,0),MATCH(Industry!AA$1,Industry_Calculation!$A$110:$M$110,0)),"")</f>
        <v/>
      </c>
      <c r="AB43" s="472" t="str">
        <f t="shared" ref="AB43:AB47" si="40">IFERROR(AA43,"")</f>
        <v/>
      </c>
      <c r="AC43" s="482" t="str">
        <f t="shared" ref="AC43:AC47" si="41">IFERROR(AVERAGE(AD43,AB43),"")</f>
        <v/>
      </c>
      <c r="AD43" s="482" t="str">
        <f t="array" ref="AD43">IFERROR(INDEX(Industry_Calculation!$A$110:$M$158,MATCH(Industry!$G43,Industry_Calculation!$A$110:$A$158,0),MATCH(Industry!AD$1,Industry_Calculation!$A$110:$M$110,0)),"")</f>
        <v/>
      </c>
      <c r="AE43" s="482" t="str">
        <f t="shared" ref="AE43:AE47" si="42">IFERROR(AVERAGE(AF43,AD43),"")</f>
        <v/>
      </c>
      <c r="AF43" s="482" t="str">
        <f t="array" ref="AF43">IFERROR(INDEX(Industry_Calculation!$A$110:$M$158,MATCH(Industry!$G43,Industry_Calculation!$A$110:$A$158,0),MATCH(Industry!AF$1,Industry_Calculation!$A$110:$M$110,0)),"")</f>
        <v/>
      </c>
      <c r="AG43" s="482" t="str">
        <f t="shared" ref="AG43:AG47" si="43">IFERROR(AVERAGE(AH43,AF43),"")</f>
        <v/>
      </c>
      <c r="AH43" s="482" t="str">
        <f t="array" ref="AH43">IFERROR(INDEX(Industry_Calculation!$A$110:$M$158,MATCH(Industry!$G43,Industry_Calculation!$A$110:$A$158,0),MATCH(Industry!AH$1,Industry_Calculation!$A$110:$M$110,0)),"")</f>
        <v/>
      </c>
      <c r="AI43" s="475"/>
      <c r="AJ43" s="475"/>
      <c r="AK43" s="475"/>
      <c r="AL43" s="475"/>
      <c r="AM43" s="186"/>
      <c r="AN43" s="176"/>
    </row>
    <row r="44" ht="14.25" customHeight="1" outlineLevel="3">
      <c r="A44" s="468"/>
      <c r="B44" s="466"/>
      <c r="C44" s="476"/>
      <c r="D44" s="476"/>
      <c r="E44" s="270" t="s">
        <v>2146</v>
      </c>
      <c r="F44" s="249" t="s">
        <v>2138</v>
      </c>
      <c r="G44" s="249" t="s">
        <v>2147</v>
      </c>
      <c r="H44" s="481" t="str">
        <f t="shared" ref="H44:V44" si="38">IFERROR(H59/H13*1000000,"")</f>
        <v/>
      </c>
      <c r="I44" s="481" t="str">
        <f t="shared" si="38"/>
        <v/>
      </c>
      <c r="J44" s="481" t="str">
        <f t="shared" si="38"/>
        <v/>
      </c>
      <c r="K44" s="481" t="str">
        <f t="shared" si="38"/>
        <v/>
      </c>
      <c r="L44" s="481" t="str">
        <f t="shared" si="38"/>
        <v/>
      </c>
      <c r="M44" s="481" t="str">
        <f t="shared" si="38"/>
        <v/>
      </c>
      <c r="N44" s="481" t="str">
        <f t="shared" si="38"/>
        <v/>
      </c>
      <c r="O44" s="481" t="str">
        <f t="shared" si="38"/>
        <v/>
      </c>
      <c r="P44" s="481" t="str">
        <f t="shared" si="38"/>
        <v/>
      </c>
      <c r="Q44" s="481" t="str">
        <f t="shared" si="38"/>
        <v/>
      </c>
      <c r="R44" s="481">
        <f t="shared" si="38"/>
        <v>1042.387312</v>
      </c>
      <c r="S44" s="481">
        <f t="shared" si="38"/>
        <v>980.6253653</v>
      </c>
      <c r="T44" s="481">
        <f t="shared" si="38"/>
        <v>998.5031847</v>
      </c>
      <c r="U44" s="481">
        <f t="shared" si="38"/>
        <v>1011.979082</v>
      </c>
      <c r="V44" s="481">
        <f t="shared" si="38"/>
        <v>982.3224387</v>
      </c>
      <c r="W44" s="482">
        <f t="array" ref="W44">IFERROR(INDEX(Industry_Calculation!$C$37:$O$86,MATCH(Industry!$G44,Industry_Calculation!$C$37:$C$86,0),MATCH(Industry!W$2&amp;Industry!W$1,Industry_Calculation!$C$37:$O$37&amp;Industry_Calculation!C$38:M$38,0&amp;0)),"")</f>
        <v>879.6812749</v>
      </c>
      <c r="X44" s="163">
        <f t="shared" ref="X44:Z44" si="39">IFERROR(X59/X13*1000000,"")</f>
        <v>894.1167066</v>
      </c>
      <c r="Y44" s="163">
        <f t="shared" si="39"/>
        <v>792.204591</v>
      </c>
      <c r="Z44" s="163">
        <f t="shared" si="39"/>
        <v>842.7517688</v>
      </c>
      <c r="AA44" s="482">
        <f t="array" ref="AA44">IFERROR(INDEX(Industry_Calculation!$A$110:$M$158,MATCH(Industry!$G44,Industry_Calculation!$A$110:$A$158,0),MATCH(Industry!AA$1,Industry_Calculation!$A$110:$M$110,0)),"")</f>
        <v>904.1144541</v>
      </c>
      <c r="AB44" s="472">
        <f t="shared" si="40"/>
        <v>904.1144541</v>
      </c>
      <c r="AC44" s="482">
        <f t="shared" si="41"/>
        <v>848.2092742</v>
      </c>
      <c r="AD44" s="482">
        <f t="array" ref="AD44">IFERROR(INDEX(Industry_Calculation!$A$110:$M$158,MATCH(Industry!$G44,Industry_Calculation!$A$110:$A$158,0),MATCH(Industry!AD$1,Industry_Calculation!$A$110:$M$110,0)),"")</f>
        <v>792.3040943</v>
      </c>
      <c r="AE44" s="482">
        <f t="shared" si="42"/>
        <v>739.5265491</v>
      </c>
      <c r="AF44" s="482">
        <f t="array" ref="AF44">IFERROR(INDEX(Industry_Calculation!$A$110:$M$158,MATCH(Industry!$G44,Industry_Calculation!$A$110:$A$158,0),MATCH(Industry!AF$1,Industry_Calculation!$A$110:$M$110,0)),"")</f>
        <v>686.749004</v>
      </c>
      <c r="AG44" s="482">
        <f t="shared" si="43"/>
        <v>668.374502</v>
      </c>
      <c r="AH44" s="482">
        <f t="array" ref="AH44">IFERROR(INDEX(Industry_Calculation!$A$110:$M$158,MATCH(Industry!$G44,Industry_Calculation!$A$110:$A$158,0),MATCH(Industry!AH$1,Industry_Calculation!$A$110:$M$110,0)),"")</f>
        <v>650</v>
      </c>
      <c r="AI44" s="475"/>
      <c r="AJ44" s="475"/>
      <c r="AK44" s="475"/>
      <c r="AL44" s="475"/>
      <c r="AM44" s="186"/>
      <c r="AN44" s="176"/>
    </row>
    <row r="45" ht="14.25" customHeight="1" outlineLevel="3">
      <c r="A45" s="468"/>
      <c r="B45" s="466"/>
      <c r="C45" s="476"/>
      <c r="D45" s="476"/>
      <c r="E45" s="270" t="s">
        <v>2148</v>
      </c>
      <c r="F45" s="249" t="s">
        <v>2138</v>
      </c>
      <c r="G45" s="249" t="s">
        <v>2149</v>
      </c>
      <c r="H45" s="481" t="str">
        <f t="shared" ref="H45:V45" si="44">IFERROR(H60/H14*1000000,"")</f>
        <v/>
      </c>
      <c r="I45" s="481" t="str">
        <f t="shared" si="44"/>
        <v/>
      </c>
      <c r="J45" s="481" t="str">
        <f t="shared" si="44"/>
        <v/>
      </c>
      <c r="K45" s="481" t="str">
        <f t="shared" si="44"/>
        <v/>
      </c>
      <c r="L45" s="481" t="str">
        <f t="shared" si="44"/>
        <v/>
      </c>
      <c r="M45" s="481" t="str">
        <f t="shared" si="44"/>
        <v/>
      </c>
      <c r="N45" s="481" t="str">
        <f t="shared" si="44"/>
        <v/>
      </c>
      <c r="O45" s="481" t="str">
        <f t="shared" si="44"/>
        <v/>
      </c>
      <c r="P45" s="481" t="str">
        <f t="shared" si="44"/>
        <v/>
      </c>
      <c r="Q45" s="481" t="str">
        <f t="shared" si="44"/>
        <v/>
      </c>
      <c r="R45" s="481" t="str">
        <f t="shared" si="44"/>
        <v/>
      </c>
      <c r="S45" s="481" t="str">
        <f t="shared" si="44"/>
        <v/>
      </c>
      <c r="T45" s="481" t="str">
        <f t="shared" si="44"/>
        <v/>
      </c>
      <c r="U45" s="481" t="str">
        <f t="shared" si="44"/>
        <v/>
      </c>
      <c r="V45" s="481" t="str">
        <f t="shared" si="44"/>
        <v/>
      </c>
      <c r="W45" s="482">
        <f t="array" ref="W45">IFERROR(INDEX(Industry_Calculation!$C$37:$O$86,MATCH(Industry!$G45,Industry_Calculation!$C$37:$C$86,0),MATCH(Industry!W$2&amp;Industry!W$1,Industry_Calculation!$C$37:$O$37&amp;Industry_Calculation!C$38:M$38,0&amp;0)),"")</f>
        <v>4300</v>
      </c>
      <c r="X45" s="163" t="str">
        <f t="shared" ref="X45:Z45" si="45">IFERROR(X60/X14*1000000,"")</f>
        <v/>
      </c>
      <c r="Y45" s="163" t="str">
        <f t="shared" si="45"/>
        <v/>
      </c>
      <c r="Z45" s="163" t="str">
        <f t="shared" si="45"/>
        <v/>
      </c>
      <c r="AA45" s="482">
        <f t="array" ref="AA45">IFERROR(INDEX(Industry_Calculation!$A$110:$M$158,MATCH(Industry!$G45,Industry_Calculation!$A$110:$A$158,0),MATCH(Industry!AA$1,Industry_Calculation!$A$110:$M$110,0)),"")</f>
        <v>4300</v>
      </c>
      <c r="AB45" s="472">
        <f t="shared" si="40"/>
        <v>4300</v>
      </c>
      <c r="AC45" s="482">
        <f t="shared" si="41"/>
        <v>3662</v>
      </c>
      <c r="AD45" s="482">
        <f t="array" ref="AD45">IFERROR(INDEX(Industry_Calculation!$A$110:$M$158,MATCH(Industry!$G45,Industry_Calculation!$A$110:$A$158,0),MATCH(Industry!AD$1,Industry_Calculation!$A$110:$M$110,0)),"")</f>
        <v>3024</v>
      </c>
      <c r="AE45" s="482">
        <f t="shared" si="42"/>
        <v>2444</v>
      </c>
      <c r="AF45" s="482">
        <f t="array" ref="AF45">IFERROR(INDEX(Industry_Calculation!$A$110:$M$158,MATCH(Industry!$G45,Industry_Calculation!$A$110:$A$158,0),MATCH(Industry!AF$1,Industry_Calculation!$A$110:$M$110,0)),"")</f>
        <v>1864</v>
      </c>
      <c r="AG45" s="482">
        <f t="shared" si="43"/>
        <v>1632</v>
      </c>
      <c r="AH45" s="482">
        <f t="array" ref="AH45">IFERROR(INDEX(Industry_Calculation!$A$110:$M$158,MATCH(Industry!$G45,Industry_Calculation!$A$110:$A$158,0),MATCH(Industry!AH$1,Industry_Calculation!$A$110:$M$110,0)),"")</f>
        <v>1400</v>
      </c>
      <c r="AI45" s="475"/>
      <c r="AJ45" s="475"/>
      <c r="AK45" s="475"/>
      <c r="AL45" s="475"/>
      <c r="AM45" s="186"/>
      <c r="AN45" s="176"/>
    </row>
    <row r="46" ht="14.25" customHeight="1" outlineLevel="3">
      <c r="A46" s="468"/>
      <c r="B46" s="466"/>
      <c r="C46" s="476"/>
      <c r="D46" s="476"/>
      <c r="E46" s="270" t="s">
        <v>2150</v>
      </c>
      <c r="F46" s="249" t="s">
        <v>2138</v>
      </c>
      <c r="G46" s="249" t="s">
        <v>2151</v>
      </c>
      <c r="H46" s="481" t="str">
        <f t="shared" ref="H46:V46" si="46">IFERROR(H62/H15*1000000,"")</f>
        <v/>
      </c>
      <c r="I46" s="481" t="str">
        <f t="shared" si="46"/>
        <v/>
      </c>
      <c r="J46" s="481" t="str">
        <f t="shared" si="46"/>
        <v/>
      </c>
      <c r="K46" s="481" t="str">
        <f t="shared" si="46"/>
        <v/>
      </c>
      <c r="L46" s="481" t="str">
        <f t="shared" si="46"/>
        <v/>
      </c>
      <c r="M46" s="481" t="str">
        <f t="shared" si="46"/>
        <v/>
      </c>
      <c r="N46" s="481" t="str">
        <f t="shared" si="46"/>
        <v/>
      </c>
      <c r="O46" s="481" t="str">
        <f t="shared" si="46"/>
        <v/>
      </c>
      <c r="P46" s="481" t="str">
        <f t="shared" si="46"/>
        <v/>
      </c>
      <c r="Q46" s="481" t="str">
        <f t="shared" si="46"/>
        <v/>
      </c>
      <c r="R46" s="481" t="str">
        <f t="shared" si="46"/>
        <v/>
      </c>
      <c r="S46" s="481" t="str">
        <f t="shared" si="46"/>
        <v/>
      </c>
      <c r="T46" s="481" t="str">
        <f t="shared" si="46"/>
        <v/>
      </c>
      <c r="U46" s="481" t="str">
        <f t="shared" si="46"/>
        <v/>
      </c>
      <c r="V46" s="481" t="str">
        <f t="shared" si="46"/>
        <v/>
      </c>
      <c r="W46" s="482">
        <f t="array" ref="W46">IFERROR(INDEX(Industry_Calculation!$C$37:$O$86,MATCH(Industry!$G46,Industry_Calculation!$C$37:$C$86,0),MATCH(Industry!W$2&amp;Industry!W$1,Industry_Calculation!$C$37:$O$37&amp;Industry_Calculation!C$38:M$38,0&amp;0)),"")</f>
        <v>5085.714286</v>
      </c>
      <c r="X46" s="163" t="str">
        <f t="shared" ref="X46:Z46" si="47">IFERROR(X62/X15*1000000,"")</f>
        <v/>
      </c>
      <c r="Y46" s="163" t="str">
        <f t="shared" si="47"/>
        <v/>
      </c>
      <c r="Z46" s="163" t="str">
        <f t="shared" si="47"/>
        <v/>
      </c>
      <c r="AA46" s="482">
        <f t="array" ref="AA46">IFERROR(INDEX(Industry_Calculation!$A$110:$M$158,MATCH(Industry!$G46,Industry_Calculation!$A$110:$A$158,0),MATCH(Industry!AA$1,Industry_Calculation!$A$110:$M$110,0)),"")</f>
        <v>5085.714286</v>
      </c>
      <c r="AB46" s="472">
        <f t="shared" si="40"/>
        <v>5085.714286</v>
      </c>
      <c r="AC46" s="482">
        <f t="shared" si="41"/>
        <v>4406.857143</v>
      </c>
      <c r="AD46" s="482">
        <f t="array" ref="AD46">IFERROR(INDEX(Industry_Calculation!$A$110:$M$158,MATCH(Industry!$G46,Industry_Calculation!$A$110:$A$158,0),MATCH(Industry!AD$1,Industry_Calculation!$A$110:$M$110,0)),"")</f>
        <v>3728</v>
      </c>
      <c r="AE46" s="482">
        <f t="shared" si="42"/>
        <v>3110.857143</v>
      </c>
      <c r="AF46" s="482">
        <f t="array" ref="AF46">IFERROR(INDEX(Industry_Calculation!$A$110:$M$158,MATCH(Industry!$G46,Industry_Calculation!$A$110:$A$158,0),MATCH(Industry!AF$1,Industry_Calculation!$A$110:$M$110,0)),"")</f>
        <v>2493.714286</v>
      </c>
      <c r="AG46" s="482">
        <f t="shared" si="43"/>
        <v>2246.857143</v>
      </c>
      <c r="AH46" s="482">
        <f t="array" ref="AH46">IFERROR(INDEX(Industry_Calculation!$A$110:$M$158,MATCH(Industry!$G46,Industry_Calculation!$A$110:$A$158,0),MATCH(Industry!AH$1,Industry_Calculation!$A$110:$M$110,0)),"")</f>
        <v>2000</v>
      </c>
      <c r="AI46" s="475"/>
      <c r="AJ46" s="475"/>
      <c r="AK46" s="475"/>
      <c r="AL46" s="475"/>
      <c r="AM46" s="186"/>
      <c r="AN46" s="176"/>
    </row>
    <row r="47" ht="14.25" customHeight="1" outlineLevel="3">
      <c r="A47" s="468"/>
      <c r="B47" s="466"/>
      <c r="C47" s="476"/>
      <c r="D47" s="476"/>
      <c r="E47" s="122" t="s">
        <v>2152</v>
      </c>
      <c r="F47" s="123" t="s">
        <v>2138</v>
      </c>
      <c r="G47" s="123" t="s">
        <v>2153</v>
      </c>
      <c r="H47" s="481" t="str">
        <f t="shared" ref="H47:V47" si="48">IFERROR(H63/H16*1000000,"")</f>
        <v/>
      </c>
      <c r="I47" s="481" t="str">
        <f t="shared" si="48"/>
        <v/>
      </c>
      <c r="J47" s="481" t="str">
        <f t="shared" si="48"/>
        <v/>
      </c>
      <c r="K47" s="481" t="str">
        <f t="shared" si="48"/>
        <v/>
      </c>
      <c r="L47" s="481" t="str">
        <f t="shared" si="48"/>
        <v/>
      </c>
      <c r="M47" s="481" t="str">
        <f t="shared" si="48"/>
        <v/>
      </c>
      <c r="N47" s="481" t="str">
        <f t="shared" si="48"/>
        <v/>
      </c>
      <c r="O47" s="481" t="str">
        <f t="shared" si="48"/>
        <v/>
      </c>
      <c r="P47" s="481" t="str">
        <f t="shared" si="48"/>
        <v/>
      </c>
      <c r="Q47" s="481" t="str">
        <f t="shared" si="48"/>
        <v/>
      </c>
      <c r="R47" s="481" t="str">
        <f t="shared" si="48"/>
        <v/>
      </c>
      <c r="S47" s="481" t="str">
        <f t="shared" si="48"/>
        <v/>
      </c>
      <c r="T47" s="481" t="str">
        <f t="shared" si="48"/>
        <v/>
      </c>
      <c r="U47" s="481" t="str">
        <f t="shared" si="48"/>
        <v/>
      </c>
      <c r="V47" s="481" t="str">
        <f t="shared" si="48"/>
        <v/>
      </c>
      <c r="W47" s="482">
        <f t="array" ref="W47">IFERROR(INDEX(Industry_Calculation!$C$37:$O$86,MATCH(Industry!$G47,Industry_Calculation!$C$37:$C$86,0),MATCH(Industry!W$2&amp;Industry!W$1,Industry_Calculation!$C$37:$O$37&amp;Industry_Calculation!C$38:M$38,0&amp;0)),"")</f>
        <v>5376.344086</v>
      </c>
      <c r="X47" s="163" t="str">
        <f t="shared" ref="X47:Z47" si="49">IFERROR(X63/X16*1000000,"")</f>
        <v/>
      </c>
      <c r="Y47" s="163" t="str">
        <f t="shared" si="49"/>
        <v/>
      </c>
      <c r="Z47" s="163" t="str">
        <f t="shared" si="49"/>
        <v/>
      </c>
      <c r="AA47" s="482">
        <f t="array" ref="AA47">IFERROR(INDEX(Industry_Calculation!$A$110:$M$158,MATCH(Industry!$G47,Industry_Calculation!$A$110:$A$158,0),MATCH(Industry!AA$1,Industry_Calculation!$A$110:$M$110,0)),"")</f>
        <v>5376.344086</v>
      </c>
      <c r="AB47" s="472">
        <f t="shared" si="40"/>
        <v>5376.344086</v>
      </c>
      <c r="AC47" s="482">
        <f t="shared" si="41"/>
        <v>5161.548387</v>
      </c>
      <c r="AD47" s="482">
        <f t="array" ref="AD47">IFERROR(INDEX(Industry_Calculation!$A$110:$M$158,MATCH(Industry!$G47,Industry_Calculation!$A$110:$A$158,0),MATCH(Industry!AD$1,Industry_Calculation!$A$110:$M$110,0)),"")</f>
        <v>4946.752688</v>
      </c>
      <c r="AE47" s="482">
        <f t="shared" si="42"/>
        <v>4751.483871</v>
      </c>
      <c r="AF47" s="482">
        <f t="array" ref="AF47">IFERROR(INDEX(Industry_Calculation!$A$110:$M$158,MATCH(Industry!$G47,Industry_Calculation!$A$110:$A$158,0),MATCH(Industry!AF$1,Industry_Calculation!$A$110:$M$110,0)),"")</f>
        <v>4556.215054</v>
      </c>
      <c r="AG47" s="482">
        <f t="shared" si="43"/>
        <v>4478.107527</v>
      </c>
      <c r="AH47" s="482">
        <f t="array" ref="AH47">IFERROR(INDEX(Industry_Calculation!$A$110:$M$158,MATCH(Industry!$G47,Industry_Calculation!$A$110:$A$158,0),MATCH(Industry!AH$1,Industry_Calculation!$A$110:$M$110,0)),"")</f>
        <v>4400</v>
      </c>
      <c r="AI47" s="475"/>
      <c r="AJ47" s="475"/>
      <c r="AK47" s="475"/>
      <c r="AL47" s="475"/>
      <c r="AM47" s="186"/>
      <c r="AN47" s="176"/>
    </row>
    <row r="48" ht="14.25" customHeight="1" outlineLevel="2">
      <c r="A48" s="468"/>
      <c r="B48" s="466"/>
      <c r="C48" s="476"/>
      <c r="D48" s="470" t="s">
        <v>2116</v>
      </c>
      <c r="E48" s="162"/>
      <c r="F48" s="162"/>
      <c r="G48" s="162"/>
      <c r="H48" s="483"/>
      <c r="I48" s="483"/>
      <c r="J48" s="483"/>
      <c r="K48" s="483"/>
      <c r="L48" s="483"/>
      <c r="M48" s="483"/>
      <c r="N48" s="483"/>
      <c r="O48" s="483"/>
      <c r="P48" s="483"/>
      <c r="Q48" s="483"/>
      <c r="R48" s="483"/>
      <c r="S48" s="483"/>
      <c r="T48" s="483"/>
      <c r="U48" s="483"/>
      <c r="V48" s="483"/>
      <c r="W48" s="483"/>
      <c r="X48" s="483"/>
      <c r="Y48" s="483"/>
      <c r="Z48" s="483"/>
      <c r="AA48" s="483"/>
      <c r="AB48" s="483"/>
      <c r="AC48" s="483"/>
      <c r="AD48" s="483"/>
      <c r="AE48" s="483"/>
      <c r="AF48" s="483"/>
      <c r="AG48" s="483"/>
      <c r="AH48" s="483"/>
      <c r="AI48" s="271"/>
      <c r="AJ48" s="271"/>
      <c r="AK48" s="271"/>
      <c r="AL48" s="271"/>
      <c r="AM48" s="100"/>
      <c r="AN48" s="176"/>
    </row>
    <row r="49" ht="14.25" customHeight="1" outlineLevel="3">
      <c r="A49" s="468"/>
      <c r="B49" s="466"/>
      <c r="C49" s="476"/>
      <c r="D49" s="476"/>
      <c r="E49" s="122" t="s">
        <v>2154</v>
      </c>
      <c r="F49" s="123" t="s">
        <v>2138</v>
      </c>
      <c r="G49" s="123" t="s">
        <v>2155</v>
      </c>
      <c r="H49" s="481" t="str">
        <f t="shared" ref="H49:V49" si="50">IFERROR(H67/H27*1000000,"")</f>
        <v/>
      </c>
      <c r="I49" s="481" t="str">
        <f t="shared" si="50"/>
        <v/>
      </c>
      <c r="J49" s="481" t="str">
        <f t="shared" si="50"/>
        <v/>
      </c>
      <c r="K49" s="481" t="str">
        <f t="shared" si="50"/>
        <v/>
      </c>
      <c r="L49" s="481" t="str">
        <f t="shared" si="50"/>
        <v/>
      </c>
      <c r="M49" s="481" t="str">
        <f t="shared" si="50"/>
        <v/>
      </c>
      <c r="N49" s="481" t="str">
        <f t="shared" si="50"/>
        <v/>
      </c>
      <c r="O49" s="481" t="str">
        <f t="shared" si="50"/>
        <v/>
      </c>
      <c r="P49" s="481" t="str">
        <f t="shared" si="50"/>
        <v/>
      </c>
      <c r="Q49" s="481" t="str">
        <f t="shared" si="50"/>
        <v/>
      </c>
      <c r="R49" s="481">
        <f t="shared" si="50"/>
        <v>4561.803445</v>
      </c>
      <c r="S49" s="481">
        <f t="shared" si="50"/>
        <v>4120.142784</v>
      </c>
      <c r="T49" s="481">
        <f t="shared" si="50"/>
        <v>3893.027888</v>
      </c>
      <c r="U49" s="481">
        <f t="shared" si="50"/>
        <v>4311.806256</v>
      </c>
      <c r="V49" s="481">
        <f t="shared" si="50"/>
        <v>4135.322896</v>
      </c>
      <c r="W49" s="482">
        <f t="array" ref="W49">IFERROR(INDEX(Industry_Calculation!$C$37:$O$86,MATCH(Industry!$G49,Industry_Calculation!$C$37:$C$86,0),MATCH(Industry!W$2&amp;Industry!W$1,Industry_Calculation!$C$37:$O$37&amp;Industry_Calculation!C$38:M$38,0&amp;0)),"")</f>
        <v>3888.553933</v>
      </c>
      <c r="X49" s="163">
        <f t="shared" ref="X49:Z49" si="51">IFERROR(X67/X27*1000000,"")</f>
        <v>4123.928743</v>
      </c>
      <c r="Y49" s="163">
        <f t="shared" si="51"/>
        <v>4026.508408</v>
      </c>
      <c r="Z49" s="163">
        <f t="shared" si="51"/>
        <v>4145.375128</v>
      </c>
      <c r="AA49" s="482">
        <f t="array" ref="AA49">IFERROR(INDEX(Industry_Calculation!$A$110:$M$158,MATCH(Industry!$G49,Industry_Calculation!$A$110:$A$158,0),MATCH(Industry!AA$1,Industry_Calculation!$A$110:$M$110,0)),"")</f>
        <v>4275.630802</v>
      </c>
      <c r="AB49" s="472">
        <f>IFERROR(AA49,"")</f>
        <v>4275.630802</v>
      </c>
      <c r="AC49" s="482">
        <f>IFERROR(AVERAGE(AD49,AB49),"")</f>
        <v>3884.992026</v>
      </c>
      <c r="AD49" s="482">
        <f t="array" ref="AD49">IFERROR(INDEX(Industry_Calculation!$A$110:$M$158,MATCH(Industry!$G49,Industry_Calculation!$A$110:$A$158,0),MATCH(Industry!AD$1,Industry_Calculation!$A$110:$M$110,0)),"")</f>
        <v>3494.353249</v>
      </c>
      <c r="AE49" s="482">
        <f>IFERROR(AVERAGE(AF49,AD49),"")</f>
        <v>3108.260939</v>
      </c>
      <c r="AF49" s="482">
        <f t="array" ref="AF49">IFERROR(INDEX(Industry_Calculation!$A$110:$M$158,MATCH(Industry!$G49,Industry_Calculation!$A$110:$A$158,0),MATCH(Industry!AF$1,Industry_Calculation!$A$110:$M$110,0)),"")</f>
        <v>2722.168629</v>
      </c>
      <c r="AG49" s="482">
        <f>IFERROR(AVERAGE(AH49,AF49),"")</f>
        <v>2611.084315</v>
      </c>
      <c r="AH49" s="482">
        <f t="array" ref="AH49">IFERROR(INDEX(Industry_Calculation!$A$110:$M$158,MATCH(Industry!$G49,Industry_Calculation!$A$110:$A$158,0),MATCH(Industry!AH$1,Industry_Calculation!$A$110:$M$110,0)),"")</f>
        <v>2500</v>
      </c>
      <c r="AI49" s="475"/>
      <c r="AJ49" s="475"/>
      <c r="AK49" s="475"/>
      <c r="AL49" s="475"/>
      <c r="AM49" s="186"/>
      <c r="AN49" s="176"/>
    </row>
    <row r="50" ht="14.25" customHeight="1">
      <c r="A50" s="463" t="s">
        <v>2156</v>
      </c>
      <c r="B50" s="100"/>
      <c r="C50" s="100"/>
      <c r="D50" s="195"/>
      <c r="E50" s="162"/>
      <c r="F50" s="162"/>
      <c r="G50" s="162"/>
      <c r="H50" s="178"/>
      <c r="I50" s="178"/>
      <c r="J50" s="178"/>
      <c r="K50" s="178"/>
      <c r="L50" s="178"/>
      <c r="M50" s="178"/>
      <c r="N50" s="178"/>
      <c r="O50" s="178"/>
      <c r="P50" s="178"/>
      <c r="Q50" s="178"/>
      <c r="R50" s="178"/>
      <c r="S50" s="178"/>
      <c r="T50" s="178"/>
      <c r="U50" s="178"/>
      <c r="V50" s="178"/>
      <c r="W50" s="178"/>
      <c r="X50" s="178"/>
      <c r="Y50" s="178"/>
      <c r="Z50" s="178"/>
      <c r="AA50" s="178"/>
      <c r="AB50" s="178"/>
      <c r="AC50" s="178"/>
      <c r="AD50" s="178"/>
      <c r="AE50" s="178"/>
      <c r="AF50" s="178"/>
      <c r="AG50" s="178"/>
      <c r="AH50" s="178"/>
      <c r="AI50" s="271"/>
      <c r="AJ50" s="271"/>
      <c r="AK50" s="271"/>
      <c r="AL50" s="271"/>
      <c r="AM50" s="100"/>
      <c r="AN50" s="176"/>
    </row>
    <row r="51" ht="14.25" customHeight="1">
      <c r="A51" s="484" t="s">
        <v>2157</v>
      </c>
      <c r="B51" s="100"/>
      <c r="C51" s="100"/>
      <c r="D51" s="195"/>
      <c r="E51" s="162"/>
      <c r="F51" s="162"/>
      <c r="G51" s="162"/>
      <c r="H51" s="178"/>
      <c r="I51" s="178"/>
      <c r="J51" s="178"/>
      <c r="K51" s="178"/>
      <c r="L51" s="178"/>
      <c r="M51" s="178"/>
      <c r="N51" s="178"/>
      <c r="O51" s="178"/>
      <c r="P51" s="178"/>
      <c r="Q51" s="178"/>
      <c r="R51" s="178"/>
      <c r="S51" s="178"/>
      <c r="T51" s="178"/>
      <c r="U51" s="178"/>
      <c r="V51" s="178"/>
      <c r="W51" s="178"/>
      <c r="X51" s="178"/>
      <c r="Y51" s="178"/>
      <c r="Z51" s="178"/>
      <c r="AA51" s="178"/>
      <c r="AB51" s="178"/>
      <c r="AC51" s="178"/>
      <c r="AD51" s="178"/>
      <c r="AE51" s="178"/>
      <c r="AF51" s="178"/>
      <c r="AG51" s="178"/>
      <c r="AH51" s="178"/>
      <c r="AI51" s="271"/>
      <c r="AJ51" s="271"/>
      <c r="AK51" s="271"/>
      <c r="AL51" s="271"/>
      <c r="AM51" s="100"/>
      <c r="AN51" s="176"/>
    </row>
    <row r="52" ht="14.25" customHeight="1" outlineLevel="1">
      <c r="A52" s="465"/>
      <c r="B52" s="476"/>
      <c r="C52" s="476"/>
      <c r="D52" s="467"/>
      <c r="E52" s="180" t="s">
        <v>2158</v>
      </c>
      <c r="F52" s="123" t="s">
        <v>135</v>
      </c>
      <c r="G52" s="123" t="s">
        <v>2159</v>
      </c>
      <c r="H52" s="471" t="str">
        <f t="array" ref="H52">IFERROR(INDEX(Industry_Historical_Data!$A$1:$S$3000,MATCH(Industry!$G52&amp;Industry_Calculation!$D$27,Industry_Historical_Data!$A$1:$A$3000&amp;Industry_Historical_Data!$C$1:$C$3000,0&amp;0),MATCH(Industry!H$1,Industry_Historical_Data!$A$1:$S$1,0)),"")</f>
        <v/>
      </c>
      <c r="I52" s="471" t="str">
        <f t="array" ref="I52">IFERROR(INDEX(Industry_Historical_Data!$A$1:$S$3000,MATCH(Industry!$G52&amp;Industry_Calculation!$D$27,Industry_Historical_Data!$A$1:$A$3000&amp;Industry_Historical_Data!$C$1:$C$3000,0&amp;0),MATCH(Industry!I$1,Industry_Historical_Data!$A$1:$S$1,0)),"")</f>
        <v/>
      </c>
      <c r="J52" s="471" t="str">
        <f t="array" ref="J52">IFERROR(INDEX(Industry_Historical_Data!$A$1:$S$3000,MATCH(Industry!$G52&amp;Industry_Calculation!$D$27,Industry_Historical_Data!$A$1:$A$3000&amp;Industry_Historical_Data!$C$1:$C$3000,0&amp;0),MATCH(Industry!J$1,Industry_Historical_Data!$A$1:$S$1,0)),"")</f>
        <v/>
      </c>
      <c r="K52" s="471" t="str">
        <f t="array" ref="K52">IFERROR(INDEX(Industry_Historical_Data!$A$1:$S$3000,MATCH(Industry!$G52&amp;Industry_Calculation!$D$27,Industry_Historical_Data!$A$1:$A$3000&amp;Industry_Historical_Data!$C$1:$C$3000,0&amp;0),MATCH(Industry!K$1,Industry_Historical_Data!$A$1:$S$1,0)),"")</f>
        <v/>
      </c>
      <c r="L52" s="471" t="str">
        <f t="array" ref="L52">IFERROR(INDEX(Industry_Historical_Data!$A$1:$S$3000,MATCH(Industry!$G52&amp;Industry_Calculation!$D$27,Industry_Historical_Data!$A$1:$A$3000&amp;Industry_Historical_Data!$C$1:$C$3000,0&amp;0),MATCH(Industry!L$1,Industry_Historical_Data!$A$1:$S$1,0)),"")</f>
        <v/>
      </c>
      <c r="M52" s="471" t="str">
        <f t="array" ref="M52">IFERROR(INDEX(Industry_Historical_Data!$A$1:$S$3000,MATCH(Industry!$G52&amp;Industry_Calculation!$D$27,Industry_Historical_Data!$A$1:$A$3000&amp;Industry_Historical_Data!$C$1:$C$3000,0&amp;0),MATCH(Industry!M$1,Industry_Historical_Data!$A$1:$S$1,0)),"")</f>
        <v/>
      </c>
      <c r="N52" s="471" t="str">
        <f t="array" ref="N52">IFERROR(INDEX(Industry_Historical_Data!$A$1:$S$3000,MATCH(Industry!$G52&amp;Industry_Calculation!$D$27,Industry_Historical_Data!$A$1:$A$3000&amp;Industry_Historical_Data!$C$1:$C$3000,0&amp;0),MATCH(Industry!N$1,Industry_Historical_Data!$A$1:$S$1,0)),"")</f>
        <v/>
      </c>
      <c r="O52" s="471" t="str">
        <f t="array" ref="O52">IFERROR(INDEX(Industry_Historical_Data!$A$1:$S$3000,MATCH(Industry!$G52&amp;Industry_Calculation!$D$27,Industry_Historical_Data!$A$1:$A$3000&amp;Industry_Historical_Data!$C$1:$C$3000,0&amp;0),MATCH(Industry!O$1,Industry_Historical_Data!$A$1:$S$1,0)),"")</f>
        <v/>
      </c>
      <c r="P52" s="471" t="str">
        <f t="array" ref="P52">IFERROR(INDEX(Industry_Historical_Data!$A$1:$S$3000,MATCH(Industry!$G52&amp;Industry_Calculation!$D$27,Industry_Historical_Data!$A$1:$A$3000&amp;Industry_Historical_Data!$C$1:$C$3000,0&amp;0),MATCH(Industry!P$1,Industry_Historical_Data!$A$1:$S$1,0)),"")</f>
        <v/>
      </c>
      <c r="Q52" s="471" t="str">
        <f t="array" ref="Q52">IFERROR(INDEX(Industry_Historical_Data!$A$1:$S$3000,MATCH(Industry!$G52&amp;Industry_Calculation!$D$27,Industry_Historical_Data!$A$1:$A$3000&amp;Industry_Historical_Data!$C$1:$C$3000,0&amp;0),MATCH(Industry!Q$1,Industry_Historical_Data!$A$1:$S$1,0)),"")</f>
        <v/>
      </c>
      <c r="R52" s="471">
        <f t="array" ref="R52">IFERROR(INDEX(Industry_Historical_Data!$A$1:$S$3000,MATCH(Industry!$G52&amp;Industry_Calculation!$D$27,Industry_Historical_Data!$A$1:$A$3000&amp;Industry_Historical_Data!$C$1:$C$3000,0&amp;0),MATCH(Industry!R$1,Industry_Historical_Data!$A$1:$S$1,0)),"")</f>
        <v>142.7726</v>
      </c>
      <c r="S52" s="471">
        <f t="array" ref="S52">IFERROR(INDEX(Industry_Historical_Data!$A$1:$S$3000,MATCH(Industry!$G52&amp;Industry_Calculation!$D$27,Industry_Historical_Data!$A$1:$A$3000&amp;Industry_Historical_Data!$C$1:$C$3000,0&amp;0),MATCH(Industry!S$1,Industry_Historical_Data!$A$1:$S$1,0)),"")</f>
        <v>137.7632</v>
      </c>
      <c r="T52" s="471">
        <f t="array" ref="T52">IFERROR(INDEX(Industry_Historical_Data!$A$1:$S$3000,MATCH(Industry!$G52&amp;Industry_Calculation!$D$27,Industry_Historical_Data!$A$1:$A$3000&amp;Industry_Historical_Data!$C$1:$C$3000,0&amp;0),MATCH(Industry!T$1,Industry_Historical_Data!$A$1:$S$1,0)),"")</f>
        <v>135.7638</v>
      </c>
      <c r="U52" s="471">
        <f t="array" ref="U52">IFERROR(INDEX(Industry_Historical_Data!$A$1:$S$3000,MATCH(Industry!$G52&amp;Industry_Calculation!$D$27,Industry_Historical_Data!$A$1:$A$3000&amp;Industry_Historical_Data!$C$1:$C$3000,0&amp;0),MATCH(Industry!U$1,Industry_Historical_Data!$A$1:$S$1,0)),"")</f>
        <v>141.0645</v>
      </c>
      <c r="V52" s="471">
        <f t="array" ref="V52">IFERROR(INDEX(Industry_Historical_Data!$A$1:$S$3000,MATCH(Industry!$G52&amp;Industry_Calculation!$D$27,Industry_Historical_Data!$A$1:$A$3000&amp;Industry_Historical_Data!$C$1:$C$3000,0&amp;0),MATCH(Industry!V$1,Industry_Historical_Data!$A$1:$S$1,0)),"")</f>
        <v>139.4801</v>
      </c>
      <c r="W52" s="472">
        <f t="array" ref="W52">INDEX(Industry_Calculation!$C$37:$O$86,MATCH(Industry!$G52,Industry_Calculation!$C$37:$C$86,0),MATCH(Industry!W$2&amp;Industry!W$1,Industry_Calculation!$C$37:$O$37&amp;Industry_Calculation!C$38:M$38,0&amp;0))</f>
        <v>139.5678</v>
      </c>
      <c r="X52" s="479">
        <f t="array" ref="X52">IFERROR(INDEX(Industry_Historical_Data!$A$1:$S$3000,MATCH(Industry!$G52&amp;Industry_Calculation!$D$27,Industry_Historical_Data!$A$1:$A$3000&amp;Industry_Historical_Data!$C$1:$C$3000,0&amp;0),MATCH(Industry!X$1,Industry_Historical_Data!$A$1:$S$1,0)),"")</f>
        <v>142.687</v>
      </c>
      <c r="Y52" s="479">
        <f t="array" ref="Y52">IFERROR(INDEX(Industry_Historical_Data!$A$1:$S$3000,MATCH(Industry!$G52&amp;Industry_Calculation!$D$27,Industry_Historical_Data!$A$1:$A$3000&amp;Industry_Historical_Data!$C$1:$C$3000,0&amp;0),MATCH(Industry!Y$1,Industry_Historical_Data!$A$1:$S$1,0)),"")</f>
        <v>140.7188</v>
      </c>
      <c r="Z52" s="479">
        <f t="array" ref="Z52">IFERROR(INDEX(Industry_Historical_Data!$A$1:$S$3000,MATCH(Industry!$G52&amp;Industry_Calculation!$D$27,Industry_Historical_Data!$A$1:$A$3000&amp;Industry_Historical_Data!$C$1:$C$3000,0&amp;0),MATCH(Industry!Z$1,Industry_Historical_Data!$A$1:$S$1,0)),"")</f>
        <v>143.12</v>
      </c>
      <c r="AA52" s="472">
        <f t="array" ref="AA52">IFERROR(INDEX(Industry_Calculation!$A$110:$M$159,MATCH(Industry!$G52,Industry_Calculation!$A$110:$A$159,0),MATCH(Industry!AA$1,Industry_Calculation!$A$110:$M$110,0)),"")</f>
        <v>138.6691</v>
      </c>
      <c r="AB52" s="472">
        <f>IFERROR(AA52,"")</f>
        <v>138.6691</v>
      </c>
      <c r="AC52" s="472">
        <f>AVERAGE(AD52,AB52)</f>
        <v>126.2441557</v>
      </c>
      <c r="AD52" s="472">
        <f t="array" ref="AD52">INDEX(Industry_Calculation!$A$110:$M$159,MATCH(Industry!$G52,Industry_Calculation!$A$110:$A$159,0),MATCH(Industry!AD$1,Industry_Calculation!$A$110:$M$110,0))</f>
        <v>113.8192114</v>
      </c>
      <c r="AE52" s="472">
        <f>AVERAGE(AF52,AD52)</f>
        <v>102.0444495</v>
      </c>
      <c r="AF52" s="472">
        <f t="array" ref="AF52">INDEX(Industry_Calculation!$A$110:$M$159,MATCH(Industry!$G52,Industry_Calculation!$A$110:$A$159,0),MATCH(Industry!AF$1,Industry_Calculation!$A$110:$M$110,0))</f>
        <v>90.26968761</v>
      </c>
      <c r="AG52" s="472">
        <f>AVERAGE(AH52,AF52)</f>
        <v>86.23088398</v>
      </c>
      <c r="AH52" s="472">
        <f t="array" ref="AH52">INDEX(Industry_Calculation!$A$110:$M$159,MATCH(Industry!$G52,Industry_Calculation!$A$110:$A$159,0),MATCH(Industry!AH$1,Industry_Calculation!$A$110:$M$110,0))</f>
        <v>82.19208036</v>
      </c>
      <c r="AI52" s="475"/>
      <c r="AJ52" s="475"/>
      <c r="AK52" s="475"/>
      <c r="AL52" s="475"/>
      <c r="AM52" s="186"/>
      <c r="AN52" s="176"/>
    </row>
    <row r="53" ht="14.25" customHeight="1" outlineLevel="1">
      <c r="A53" s="465"/>
      <c r="B53" s="466" t="s">
        <v>2160</v>
      </c>
      <c r="C53" s="466"/>
      <c r="D53" s="467"/>
      <c r="E53" s="162"/>
      <c r="F53" s="162"/>
      <c r="G53" s="162"/>
      <c r="H53" s="480"/>
      <c r="I53" s="480"/>
      <c r="J53" s="480"/>
      <c r="K53" s="480"/>
      <c r="L53" s="480"/>
      <c r="M53" s="480"/>
      <c r="N53" s="480"/>
      <c r="O53" s="480"/>
      <c r="P53" s="480"/>
      <c r="Q53" s="480"/>
      <c r="R53" s="480"/>
      <c r="S53" s="480"/>
      <c r="T53" s="480"/>
      <c r="U53" s="480"/>
      <c r="V53" s="480"/>
      <c r="W53" s="480">
        <f t="shared" ref="W53:AH53" si="52">SUM(W55:W69)-W61</f>
        <v>139.5678</v>
      </c>
      <c r="X53" s="480">
        <f t="shared" si="52"/>
        <v>81.5456</v>
      </c>
      <c r="Y53" s="480">
        <f t="shared" si="52"/>
        <v>80.5288</v>
      </c>
      <c r="Z53" s="480">
        <f t="shared" si="52"/>
        <v>82.7604</v>
      </c>
      <c r="AA53" s="480">
        <f t="shared" si="52"/>
        <v>138.6691</v>
      </c>
      <c r="AB53" s="480">
        <f t="shared" si="52"/>
        <v>138.6691</v>
      </c>
      <c r="AC53" s="480">
        <f t="shared" si="52"/>
        <v>126.2441557</v>
      </c>
      <c r="AD53" s="480">
        <f t="shared" si="52"/>
        <v>113.8192114</v>
      </c>
      <c r="AE53" s="480">
        <f t="shared" si="52"/>
        <v>102.0444495</v>
      </c>
      <c r="AF53" s="480">
        <f t="shared" si="52"/>
        <v>90.26968761</v>
      </c>
      <c r="AG53" s="480">
        <f t="shared" si="52"/>
        <v>86.23088398</v>
      </c>
      <c r="AH53" s="480">
        <f t="shared" si="52"/>
        <v>82.19208036</v>
      </c>
      <c r="AI53" s="271"/>
      <c r="AJ53" s="271"/>
      <c r="AK53" s="271"/>
      <c r="AL53" s="271"/>
      <c r="AM53" s="100"/>
      <c r="AN53" s="176"/>
    </row>
    <row r="54" ht="14.25" customHeight="1" outlineLevel="2">
      <c r="A54" s="468"/>
      <c r="B54" s="466"/>
      <c r="C54" s="476"/>
      <c r="D54" s="470" t="s">
        <v>2081</v>
      </c>
      <c r="E54" s="162"/>
      <c r="F54" s="162"/>
      <c r="G54" s="162"/>
      <c r="H54" s="480"/>
      <c r="I54" s="480"/>
      <c r="J54" s="480"/>
      <c r="K54" s="480"/>
      <c r="L54" s="480"/>
      <c r="M54" s="480"/>
      <c r="N54" s="480"/>
      <c r="O54" s="480"/>
      <c r="P54" s="480"/>
      <c r="Q54" s="480"/>
      <c r="R54" s="480"/>
      <c r="S54" s="480"/>
      <c r="T54" s="480"/>
      <c r="U54" s="480"/>
      <c r="V54" s="480"/>
      <c r="W54" s="480">
        <f t="shared" ref="W54:AH54" si="53">SUM(W71:W80)</f>
        <v>139.5678</v>
      </c>
      <c r="X54" s="480">
        <f t="shared" si="53"/>
        <v>137.7594</v>
      </c>
      <c r="Y54" s="480">
        <f t="shared" si="53"/>
        <v>136.6477</v>
      </c>
      <c r="Z54" s="480">
        <f t="shared" si="53"/>
        <v>138.6858</v>
      </c>
      <c r="AA54" s="480">
        <f t="shared" si="53"/>
        <v>138.6691</v>
      </c>
      <c r="AB54" s="480">
        <f t="shared" si="53"/>
        <v>138.6691</v>
      </c>
      <c r="AC54" s="480">
        <f t="shared" si="53"/>
        <v>131.3270874</v>
      </c>
      <c r="AD54" s="480">
        <f t="shared" si="53"/>
        <v>113.8192114</v>
      </c>
      <c r="AE54" s="480">
        <f t="shared" si="53"/>
        <v>100.8294968</v>
      </c>
      <c r="AF54" s="480">
        <f t="shared" si="53"/>
        <v>90.26968761</v>
      </c>
      <c r="AG54" s="480">
        <f t="shared" si="53"/>
        <v>83.88639095</v>
      </c>
      <c r="AH54" s="480">
        <f t="shared" si="53"/>
        <v>82.19208036</v>
      </c>
      <c r="AI54" s="271"/>
      <c r="AJ54" s="271"/>
      <c r="AK54" s="271"/>
      <c r="AL54" s="271"/>
      <c r="AM54" s="100"/>
      <c r="AN54" s="176"/>
    </row>
    <row r="55" ht="14.25" customHeight="1" outlineLevel="2">
      <c r="A55" s="269"/>
      <c r="B55" s="466"/>
      <c r="C55" s="476"/>
      <c r="D55" s="476"/>
      <c r="E55" s="287" t="s">
        <v>2161</v>
      </c>
      <c r="F55" s="249" t="s">
        <v>135</v>
      </c>
      <c r="G55" s="249" t="s">
        <v>2162</v>
      </c>
      <c r="H55" s="471" t="str">
        <f t="array" ref="H55">IFERROR(INDEX(Industry_Historical_Data!$A$1:$S$3000,MATCH(Industry!$G55&amp;Industry_Calculation!$D$27,Industry_Historical_Data!$A$1:$A$3000&amp;Industry_Historical_Data!$C$1:$C$3000,0&amp;0),MATCH(Industry!H$1,Industry_Historical_Data!$A$1:$S$1,0)),"")</f>
        <v/>
      </c>
      <c r="I55" s="471" t="str">
        <f t="array" ref="I55">IFERROR(INDEX(Industry_Historical_Data!$A$1:$S$3000,MATCH(Industry!$G55&amp;Industry_Calculation!$D$27,Industry_Historical_Data!$A$1:$A$3000&amp;Industry_Historical_Data!$C$1:$C$3000,0&amp;0),MATCH(Industry!I$1,Industry_Historical_Data!$A$1:$S$1,0)),"")</f>
        <v/>
      </c>
      <c r="J55" s="471" t="str">
        <f t="array" ref="J55">IFERROR(INDEX(Industry_Historical_Data!$A$1:$S$3000,MATCH(Industry!$G55&amp;Industry_Calculation!$D$27,Industry_Historical_Data!$A$1:$A$3000&amp;Industry_Historical_Data!$C$1:$C$3000,0&amp;0),MATCH(Industry!J$1,Industry_Historical_Data!$A$1:$S$1,0)),"")</f>
        <v/>
      </c>
      <c r="K55" s="471" t="str">
        <f t="array" ref="K55">IFERROR(INDEX(Industry_Historical_Data!$A$1:$S$3000,MATCH(Industry!$G55&amp;Industry_Calculation!$D$27,Industry_Historical_Data!$A$1:$A$3000&amp;Industry_Historical_Data!$C$1:$C$3000,0&amp;0),MATCH(Industry!K$1,Industry_Historical_Data!$A$1:$S$1,0)),"")</f>
        <v/>
      </c>
      <c r="L55" s="471" t="str">
        <f t="array" ref="L55">IFERROR(INDEX(Industry_Historical_Data!$A$1:$S$3000,MATCH(Industry!$G55&amp;Industry_Calculation!$D$27,Industry_Historical_Data!$A$1:$A$3000&amp;Industry_Historical_Data!$C$1:$C$3000,0&amp;0),MATCH(Industry!L$1,Industry_Historical_Data!$A$1:$S$1,0)),"")</f>
        <v/>
      </c>
      <c r="M55" s="471" t="str">
        <f t="array" ref="M55">IFERROR(INDEX(Industry_Historical_Data!$A$1:$S$3000,MATCH(Industry!$G55&amp;Industry_Calculation!$D$27,Industry_Historical_Data!$A$1:$A$3000&amp;Industry_Historical_Data!$C$1:$C$3000,0&amp;0),MATCH(Industry!M$1,Industry_Historical_Data!$A$1:$S$1,0)),"")</f>
        <v/>
      </c>
      <c r="N55" s="471" t="str">
        <f t="array" ref="N55">IFERROR(INDEX(Industry_Historical_Data!$A$1:$S$3000,MATCH(Industry!$G55&amp;Industry_Calculation!$D$27,Industry_Historical_Data!$A$1:$A$3000&amp;Industry_Historical_Data!$C$1:$C$3000,0&amp;0),MATCH(Industry!N$1,Industry_Historical_Data!$A$1:$S$1,0)),"")</f>
        <v/>
      </c>
      <c r="O55" s="471" t="str">
        <f t="array" ref="O55">IFERROR(INDEX(Industry_Historical_Data!$A$1:$S$3000,MATCH(Industry!$G55&amp;Industry_Calculation!$D$27,Industry_Historical_Data!$A$1:$A$3000&amp;Industry_Historical_Data!$C$1:$C$3000,0&amp;0),MATCH(Industry!O$1,Industry_Historical_Data!$A$1:$S$1,0)),"")</f>
        <v/>
      </c>
      <c r="P55" s="471" t="str">
        <f t="array" ref="P55">IFERROR(INDEX(Industry_Historical_Data!$A$1:$S$3000,MATCH(Industry!$G55&amp;Industry_Calculation!$D$27,Industry_Historical_Data!$A$1:$A$3000&amp;Industry_Historical_Data!$C$1:$C$3000,0&amp;0),MATCH(Industry!P$1,Industry_Historical_Data!$A$1:$S$1,0)),"")</f>
        <v/>
      </c>
      <c r="Q55" s="471" t="str">
        <f t="array" ref="Q55">IFERROR(INDEX(Industry_Historical_Data!$A$1:$S$3000,MATCH(Industry!$G55&amp;Industry_Calculation!$D$27,Industry_Historical_Data!$A$1:$A$3000&amp;Industry_Historical_Data!$C$1:$C$3000,0&amp;0),MATCH(Industry!Q$1,Industry_Historical_Data!$A$1:$S$1,0)),"")</f>
        <v/>
      </c>
      <c r="R55" s="471">
        <f t="array" ref="R55">IFERROR(INDEX(Industry_Historical_Data!$A$1:$S$3000,MATCH(Industry!$G55&amp;Industry_Calculation!$D$27,Industry_Historical_Data!$A$1:$A$3000&amp;Industry_Historical_Data!$C$1:$C$3000,0&amp;0),MATCH(Industry!R$1,Industry_Historical_Data!$A$1:$S$1,0)),"")</f>
        <v>29.9024</v>
      </c>
      <c r="S55" s="471">
        <f t="array" ref="S55">IFERROR(INDEX(Industry_Historical_Data!$A$1:$S$3000,MATCH(Industry!$G55&amp;Industry_Calculation!$D$27,Industry_Historical_Data!$A$1:$A$3000&amp;Industry_Historical_Data!$C$1:$C$3000,0&amp;0),MATCH(Industry!S$1,Industry_Historical_Data!$A$1:$S$1,0)),"")</f>
        <v>28.9434</v>
      </c>
      <c r="T55" s="471">
        <f t="array" ref="T55">IFERROR(INDEX(Industry_Historical_Data!$A$1:$S$3000,MATCH(Industry!$G55&amp;Industry_Calculation!$D$27,Industry_Historical_Data!$A$1:$A$3000&amp;Industry_Historical_Data!$C$1:$C$3000,0&amp;0),MATCH(Industry!T$1,Industry_Historical_Data!$A$1:$S$1,0)),"")</f>
        <v>25.8617</v>
      </c>
      <c r="U55" s="471">
        <f t="array" ref="U55">IFERROR(INDEX(Industry_Historical_Data!$A$1:$S$3000,MATCH(Industry!$G55&amp;Industry_Calculation!$D$27,Industry_Historical_Data!$A$1:$A$3000&amp;Industry_Historical_Data!$C$1:$C$3000,0&amp;0),MATCH(Industry!U$1,Industry_Historical_Data!$A$1:$S$1,0)),"")</f>
        <v>27.845</v>
      </c>
      <c r="V55" s="471">
        <f t="array" ref="V55">IFERROR(INDEX(Industry_Historical_Data!$A$1:$S$3000,MATCH(Industry!$G55&amp;Industry_Calculation!$D$27,Industry_Historical_Data!$A$1:$A$3000&amp;Industry_Historical_Data!$C$1:$C$3000,0&amp;0),MATCH(Industry!V$1,Industry_Historical_Data!$A$1:$S$1,0)),"")</f>
        <v>27.5206</v>
      </c>
      <c r="W55" s="472">
        <f t="array" ref="W55">IFERROR(INDEX(Industry_Calculation!$A$110:$M$158,MATCH(Industry!$G55,Industry_Calculation!$A$110:$A$158,0),MATCH(Industry!W$1,Industry_Calculation!$A$110:$M$110,0)),"")</f>
        <v>28.3735</v>
      </c>
      <c r="X55" s="479">
        <f t="array" ref="X55">IFERROR(INDEX(Industry_Historical_Data!$A$1:$S$3000,MATCH(Industry!$G55&amp;Industry_Calculation!$D$27,Industry_Historical_Data!$A$1:$A$3000&amp;Industry_Historical_Data!$C$1:$C$3000,0&amp;0),MATCH(Industry!X$1,Industry_Historical_Data!$A$1:$S$1,0)),"")</f>
        <v>30.9933</v>
      </c>
      <c r="Y55" s="479">
        <f t="array" ref="Y55">IFERROR(INDEX(Industry_Historical_Data!$A$1:$S$3000,MATCH(Industry!$G55&amp;Industry_Calculation!$D$27,Industry_Historical_Data!$A$1:$A$3000&amp;Industry_Historical_Data!$C$1:$C$3000,0&amp;0),MATCH(Industry!Y$1,Industry_Historical_Data!$A$1:$S$1,0)),"")</f>
        <v>31.4432</v>
      </c>
      <c r="Z55" s="479">
        <f t="array" ref="Z55">IFERROR(INDEX(Industry_Historical_Data!$A$1:$S$3000,MATCH(Industry!$G55&amp;Industry_Calculation!$D$27,Industry_Historical_Data!$A$1:$A$3000&amp;Industry_Historical_Data!$C$1:$C$3000,0&amp;0),MATCH(Industry!Z$1,Industry_Historical_Data!$A$1:$S$1,0)),"")</f>
        <v>31.3777</v>
      </c>
      <c r="AA55" s="472">
        <f t="array" ref="AA55">IFERROR(INDEX(Industry_Calculation!$A$110:$M$158,MATCH(Industry!$G55,Industry_Calculation!$A$110:$A$158,0),MATCH(Industry!AA$1,Industry_Calculation!$A$110:$M$110,0)),"")</f>
        <v>30.68522649</v>
      </c>
      <c r="AB55" s="472">
        <f t="shared" ref="AB55:AB65" si="54">IFERROR(AA55,"")</f>
        <v>30.68522649</v>
      </c>
      <c r="AC55" s="482">
        <f t="shared" ref="AC55:AC65" si="55">IFERROR(AVERAGE(AD55,AB55),"")</f>
        <v>27.05571236</v>
      </c>
      <c r="AD55" s="472">
        <f t="array" ref="AD55">IFERROR(INDEX(Industry_Calculation!$A$110:$M$158,MATCH(Industry!$G55,Industry_Calculation!$A$110:$A$158,0),MATCH(Industry!AD$1,Industry_Calculation!$A$110:$M$110,0)),"")</f>
        <v>23.42619824</v>
      </c>
      <c r="AE55" s="482">
        <f t="shared" ref="AE55:AE65" si="56">IFERROR(AVERAGE(AF55,AD55),"")</f>
        <v>19.82394323</v>
      </c>
      <c r="AF55" s="472">
        <f t="array" ref="AF55">IFERROR(INDEX(Industry_Calculation!$A$110:$M$158,MATCH(Industry!$G55,Industry_Calculation!$A$110:$A$158,0),MATCH(Industry!AF$1,Industry_Calculation!$A$110:$M$110,0)),"")</f>
        <v>16.22168822</v>
      </c>
      <c r="AG55" s="482">
        <f t="shared" ref="AG55:AG65" si="57">IFERROR(AVERAGE(AH55,AF55),"")</f>
        <v>15.20456161</v>
      </c>
      <c r="AH55" s="472">
        <f t="array" ref="AH55">IFERROR(INDEX(Industry_Calculation!$A$110:$M$158,MATCH(Industry!$G55,Industry_Calculation!$A$110:$A$158,0),MATCH(Industry!AH$1,Industry_Calculation!$A$110:$M$110,0)),"")</f>
        <v>14.187435</v>
      </c>
      <c r="AI55" s="475"/>
      <c r="AJ55" s="475"/>
      <c r="AK55" s="475"/>
      <c r="AL55" s="475"/>
      <c r="AM55" s="186"/>
      <c r="AN55" s="176"/>
    </row>
    <row r="56" ht="14.25" customHeight="1" outlineLevel="2">
      <c r="A56" s="269"/>
      <c r="B56" s="466"/>
      <c r="C56" s="476"/>
      <c r="D56" s="476"/>
      <c r="E56" s="270" t="s">
        <v>2163</v>
      </c>
      <c r="F56" s="249" t="s">
        <v>135</v>
      </c>
      <c r="G56" s="249" t="s">
        <v>2164</v>
      </c>
      <c r="H56" s="471" t="str">
        <f t="array" ref="H56">IFERROR(INDEX(Industry_Historical_Data!$A$1:$S$3000,MATCH(Industry!$G56&amp;Industry_Calculation!$D$27,Industry_Historical_Data!$A$1:$A$3000&amp;Industry_Historical_Data!$C$1:$C$3000,0&amp;0),MATCH(Industry!H$1,Industry_Historical_Data!$A$1:$S$1,0)),"")</f>
        <v/>
      </c>
      <c r="I56" s="471" t="str">
        <f t="array" ref="I56">IFERROR(INDEX(Industry_Historical_Data!$A$1:$S$3000,MATCH(Industry!$G56&amp;Industry_Calculation!$D$27,Industry_Historical_Data!$A$1:$A$3000&amp;Industry_Historical_Data!$C$1:$C$3000,0&amp;0),MATCH(Industry!I$1,Industry_Historical_Data!$A$1:$S$1,0)),"")</f>
        <v/>
      </c>
      <c r="J56" s="471" t="str">
        <f t="array" ref="J56">IFERROR(INDEX(Industry_Historical_Data!$A$1:$S$3000,MATCH(Industry!$G56&amp;Industry_Calculation!$D$27,Industry_Historical_Data!$A$1:$A$3000&amp;Industry_Historical_Data!$C$1:$C$3000,0&amp;0),MATCH(Industry!J$1,Industry_Historical_Data!$A$1:$S$1,0)),"")</f>
        <v/>
      </c>
      <c r="K56" s="471" t="str">
        <f t="array" ref="K56">IFERROR(INDEX(Industry_Historical_Data!$A$1:$S$3000,MATCH(Industry!$G56&amp;Industry_Calculation!$D$27,Industry_Historical_Data!$A$1:$A$3000&amp;Industry_Historical_Data!$C$1:$C$3000,0&amp;0),MATCH(Industry!K$1,Industry_Historical_Data!$A$1:$S$1,0)),"")</f>
        <v/>
      </c>
      <c r="L56" s="471" t="str">
        <f t="array" ref="L56">IFERROR(INDEX(Industry_Historical_Data!$A$1:$S$3000,MATCH(Industry!$G56&amp;Industry_Calculation!$D$27,Industry_Historical_Data!$A$1:$A$3000&amp;Industry_Historical_Data!$C$1:$C$3000,0&amp;0),MATCH(Industry!L$1,Industry_Historical_Data!$A$1:$S$1,0)),"")</f>
        <v/>
      </c>
      <c r="M56" s="471" t="str">
        <f t="array" ref="M56">IFERROR(INDEX(Industry_Historical_Data!$A$1:$S$3000,MATCH(Industry!$G56&amp;Industry_Calculation!$D$27,Industry_Historical_Data!$A$1:$A$3000&amp;Industry_Historical_Data!$C$1:$C$3000,0&amp;0),MATCH(Industry!M$1,Industry_Historical_Data!$A$1:$S$1,0)),"")</f>
        <v/>
      </c>
      <c r="N56" s="471" t="str">
        <f t="array" ref="N56">IFERROR(INDEX(Industry_Historical_Data!$A$1:$S$3000,MATCH(Industry!$G56&amp;Industry_Calculation!$D$27,Industry_Historical_Data!$A$1:$A$3000&amp;Industry_Historical_Data!$C$1:$C$3000,0&amp;0),MATCH(Industry!N$1,Industry_Historical_Data!$A$1:$S$1,0)),"")</f>
        <v/>
      </c>
      <c r="O56" s="471" t="str">
        <f t="array" ref="O56">IFERROR(INDEX(Industry_Historical_Data!$A$1:$S$3000,MATCH(Industry!$G56&amp;Industry_Calculation!$D$27,Industry_Historical_Data!$A$1:$A$3000&amp;Industry_Historical_Data!$C$1:$C$3000,0&amp;0),MATCH(Industry!O$1,Industry_Historical_Data!$A$1:$S$1,0)),"")</f>
        <v/>
      </c>
      <c r="P56" s="471" t="str">
        <f t="array" ref="P56">IFERROR(INDEX(Industry_Historical_Data!$A$1:$S$3000,MATCH(Industry!$G56&amp;Industry_Calculation!$D$27,Industry_Historical_Data!$A$1:$A$3000&amp;Industry_Historical_Data!$C$1:$C$3000,0&amp;0),MATCH(Industry!P$1,Industry_Historical_Data!$A$1:$S$1,0)),"")</f>
        <v/>
      </c>
      <c r="Q56" s="471" t="str">
        <f t="array" ref="Q56">IFERROR(INDEX(Industry_Historical_Data!$A$1:$S$3000,MATCH(Industry!$G56&amp;Industry_Calculation!$D$27,Industry_Historical_Data!$A$1:$A$3000&amp;Industry_Historical_Data!$C$1:$C$3000,0&amp;0),MATCH(Industry!Q$1,Industry_Historical_Data!$A$1:$S$1,0)),"")</f>
        <v/>
      </c>
      <c r="R56" s="471" t="str">
        <f t="array" ref="R56">IFERROR(INDEX(Industry_Historical_Data!$A$1:$S$3000,MATCH(Industry!$G56&amp;Industry_Calculation!$D$27,Industry_Historical_Data!$A$1:$A$3000&amp;Industry_Historical_Data!$C$1:$C$3000,0&amp;0),MATCH(Industry!R$1,Industry_Historical_Data!$A$1:$S$1,0)),"")</f>
        <v/>
      </c>
      <c r="S56" s="471" t="str">
        <f t="array" ref="S56">IFERROR(INDEX(Industry_Historical_Data!$A$1:$S$3000,MATCH(Industry!$G56&amp;Industry_Calculation!$D$27,Industry_Historical_Data!$A$1:$A$3000&amp;Industry_Historical_Data!$C$1:$C$3000,0&amp;0),MATCH(Industry!S$1,Industry_Historical_Data!$A$1:$S$1,0)),"")</f>
        <v/>
      </c>
      <c r="T56" s="471" t="str">
        <f t="array" ref="T56">IFERROR(INDEX(Industry_Historical_Data!$A$1:$S$3000,MATCH(Industry!$G56&amp;Industry_Calculation!$D$27,Industry_Historical_Data!$A$1:$A$3000&amp;Industry_Historical_Data!$C$1:$C$3000,0&amp;0),MATCH(Industry!T$1,Industry_Historical_Data!$A$1:$S$1,0)),"")</f>
        <v/>
      </c>
      <c r="U56" s="471" t="str">
        <f t="array" ref="U56">IFERROR(INDEX(Industry_Historical_Data!$A$1:$S$3000,MATCH(Industry!$G56&amp;Industry_Calculation!$D$27,Industry_Historical_Data!$A$1:$A$3000&amp;Industry_Historical_Data!$C$1:$C$3000,0&amp;0),MATCH(Industry!U$1,Industry_Historical_Data!$A$1:$S$1,0)),"")</f>
        <v/>
      </c>
      <c r="V56" s="471" t="str">
        <f t="array" ref="V56">IFERROR(INDEX(Industry_Historical_Data!$A$1:$S$3000,MATCH(Industry!$G56&amp;Industry_Calculation!$D$27,Industry_Historical_Data!$A$1:$A$3000&amp;Industry_Historical_Data!$C$1:$C$3000,0&amp;0),MATCH(Industry!V$1,Industry_Historical_Data!$A$1:$S$1,0)),"")</f>
        <v/>
      </c>
      <c r="W56" s="472" t="str">
        <f t="array" ref="W56">IFERROR(INDEX(Industry_Calculation!$A$110:$M$158,MATCH(Industry!$G56,Industry_Calculation!$A$110:$A$158,0),MATCH(Industry!W$1,Industry_Calculation!$A$110:$M$110,0)),"")</f>
        <v/>
      </c>
      <c r="X56" s="479" t="str">
        <f t="array" ref="X56">IFERROR(INDEX(Industry_Historical_Data!$A$1:$S$3000,MATCH(Industry!$G56&amp;Industry_Calculation!$D$27,Industry_Historical_Data!$A$1:$A$3000&amp;Industry_Historical_Data!$C$1:$C$3000,0&amp;0),MATCH(Industry!X$1,Industry_Historical_Data!$A$1:$S$1,0)),"")</f>
        <v/>
      </c>
      <c r="Y56" s="479" t="str">
        <f t="array" ref="Y56">IFERROR(INDEX(Industry_Historical_Data!$A$1:$S$3000,MATCH(Industry!$G56&amp;Industry_Calculation!$D$27,Industry_Historical_Data!$A$1:$A$3000&amp;Industry_Historical_Data!$C$1:$C$3000,0&amp;0),MATCH(Industry!Y$1,Industry_Historical_Data!$A$1:$S$1,0)),"")</f>
        <v/>
      </c>
      <c r="Z56" s="479" t="str">
        <f t="array" ref="Z56">IFERROR(INDEX(Industry_Historical_Data!$A$1:$S$3000,MATCH(Industry!$G56&amp;Industry_Calculation!$D$27,Industry_Historical_Data!$A$1:$A$3000&amp;Industry_Historical_Data!$C$1:$C$3000,0&amp;0),MATCH(Industry!Z$1,Industry_Historical_Data!$A$1:$S$1,0)),"")</f>
        <v/>
      </c>
      <c r="AA56" s="472" t="str">
        <f t="array" ref="AA56">IFERROR(INDEX(Industry_Calculation!$A$110:$M$158,MATCH(Industry!$G56,Industry_Calculation!$A$110:$A$158,0),MATCH(Industry!AA$1,Industry_Calculation!$A$110:$M$110,0)),"")</f>
        <v/>
      </c>
      <c r="AB56" s="472" t="str">
        <f t="shared" si="54"/>
        <v/>
      </c>
      <c r="AC56" s="482" t="str">
        <f t="shared" si="55"/>
        <v/>
      </c>
      <c r="AD56" s="472" t="str">
        <f t="array" ref="AD56">IFERROR(INDEX(Industry_Calculation!$A$110:$M$158,MATCH(Industry!$G56,Industry_Calculation!$A$110:$A$158,0),MATCH(Industry!AD$1,Industry_Calculation!$A$110:$M$110,0)),"")</f>
        <v/>
      </c>
      <c r="AE56" s="482" t="str">
        <f t="shared" si="56"/>
        <v/>
      </c>
      <c r="AF56" s="472" t="str">
        <f t="array" ref="AF56">IFERROR(INDEX(Industry_Calculation!$A$110:$M$158,MATCH(Industry!$G56,Industry_Calculation!$A$110:$A$158,0),MATCH(Industry!AF$1,Industry_Calculation!$A$110:$M$110,0)),"")</f>
        <v/>
      </c>
      <c r="AG56" s="482" t="str">
        <f t="shared" si="57"/>
        <v/>
      </c>
      <c r="AH56" s="472" t="str">
        <f t="array" ref="AH56">IFERROR(INDEX(Industry_Calculation!$A$110:$M$158,MATCH(Industry!$G56,Industry_Calculation!$A$110:$A$158,0),MATCH(Industry!AH$1,Industry_Calculation!$A$110:$M$110,0)),"")</f>
        <v/>
      </c>
      <c r="AI56" s="475"/>
      <c r="AJ56" s="475"/>
      <c r="AK56" s="475"/>
      <c r="AL56" s="475"/>
      <c r="AM56" s="186"/>
      <c r="AN56" s="176"/>
    </row>
    <row r="57" ht="14.25" customHeight="1" outlineLevel="2">
      <c r="A57" s="269"/>
      <c r="B57" s="466"/>
      <c r="C57" s="476"/>
      <c r="D57" s="476"/>
      <c r="E57" s="270" t="s">
        <v>2165</v>
      </c>
      <c r="F57" s="249" t="s">
        <v>135</v>
      </c>
      <c r="G57" s="249" t="s">
        <v>2166</v>
      </c>
      <c r="H57" s="471" t="str">
        <f t="array" ref="H57">IFERROR(INDEX(Industry_Historical_Data!$A$1:$S$3000,MATCH(Industry!$G57&amp;Industry_Calculation!$D$27,Industry_Historical_Data!$A$1:$A$3000&amp;Industry_Historical_Data!$C$1:$C$3000,0&amp;0),MATCH(Industry!H$1,Industry_Historical_Data!$A$1:$S$1,0)),"")</f>
        <v/>
      </c>
      <c r="I57" s="471" t="str">
        <f t="array" ref="I57">IFERROR(INDEX(Industry_Historical_Data!$A$1:$S$3000,MATCH(Industry!$G57&amp;Industry_Calculation!$D$27,Industry_Historical_Data!$A$1:$A$3000&amp;Industry_Historical_Data!$C$1:$C$3000,0&amp;0),MATCH(Industry!I$1,Industry_Historical_Data!$A$1:$S$1,0)),"")</f>
        <v/>
      </c>
      <c r="J57" s="471" t="str">
        <f t="array" ref="J57">IFERROR(INDEX(Industry_Historical_Data!$A$1:$S$3000,MATCH(Industry!$G57&amp;Industry_Calculation!$D$27,Industry_Historical_Data!$A$1:$A$3000&amp;Industry_Historical_Data!$C$1:$C$3000,0&amp;0),MATCH(Industry!J$1,Industry_Historical_Data!$A$1:$S$1,0)),"")</f>
        <v/>
      </c>
      <c r="K57" s="471" t="str">
        <f t="array" ref="K57">IFERROR(INDEX(Industry_Historical_Data!$A$1:$S$3000,MATCH(Industry!$G57&amp;Industry_Calculation!$D$27,Industry_Historical_Data!$A$1:$A$3000&amp;Industry_Historical_Data!$C$1:$C$3000,0&amp;0),MATCH(Industry!K$1,Industry_Historical_Data!$A$1:$S$1,0)),"")</f>
        <v/>
      </c>
      <c r="L57" s="471" t="str">
        <f t="array" ref="L57">IFERROR(INDEX(Industry_Historical_Data!$A$1:$S$3000,MATCH(Industry!$G57&amp;Industry_Calculation!$D$27,Industry_Historical_Data!$A$1:$A$3000&amp;Industry_Historical_Data!$C$1:$C$3000,0&amp;0),MATCH(Industry!L$1,Industry_Historical_Data!$A$1:$S$1,0)),"")</f>
        <v/>
      </c>
      <c r="M57" s="471" t="str">
        <f t="array" ref="M57">IFERROR(INDEX(Industry_Historical_Data!$A$1:$S$3000,MATCH(Industry!$G57&amp;Industry_Calculation!$D$27,Industry_Historical_Data!$A$1:$A$3000&amp;Industry_Historical_Data!$C$1:$C$3000,0&amp;0),MATCH(Industry!M$1,Industry_Historical_Data!$A$1:$S$1,0)),"")</f>
        <v/>
      </c>
      <c r="N57" s="471" t="str">
        <f t="array" ref="N57">IFERROR(INDEX(Industry_Historical_Data!$A$1:$S$3000,MATCH(Industry!$G57&amp;Industry_Calculation!$D$27,Industry_Historical_Data!$A$1:$A$3000&amp;Industry_Historical_Data!$C$1:$C$3000,0&amp;0),MATCH(Industry!N$1,Industry_Historical_Data!$A$1:$S$1,0)),"")</f>
        <v/>
      </c>
      <c r="O57" s="471" t="str">
        <f t="array" ref="O57">IFERROR(INDEX(Industry_Historical_Data!$A$1:$S$3000,MATCH(Industry!$G57&amp;Industry_Calculation!$D$27,Industry_Historical_Data!$A$1:$A$3000&amp;Industry_Historical_Data!$C$1:$C$3000,0&amp;0),MATCH(Industry!O$1,Industry_Historical_Data!$A$1:$S$1,0)),"")</f>
        <v/>
      </c>
      <c r="P57" s="471" t="str">
        <f t="array" ref="P57">IFERROR(INDEX(Industry_Historical_Data!$A$1:$S$3000,MATCH(Industry!$G57&amp;Industry_Calculation!$D$27,Industry_Historical_Data!$A$1:$A$3000&amp;Industry_Historical_Data!$C$1:$C$3000,0&amp;0),MATCH(Industry!P$1,Industry_Historical_Data!$A$1:$S$1,0)),"")</f>
        <v/>
      </c>
      <c r="Q57" s="471" t="str">
        <f t="array" ref="Q57">IFERROR(INDEX(Industry_Historical_Data!$A$1:$S$3000,MATCH(Industry!$G57&amp;Industry_Calculation!$D$27,Industry_Historical_Data!$A$1:$A$3000&amp;Industry_Historical_Data!$C$1:$C$3000,0&amp;0),MATCH(Industry!Q$1,Industry_Historical_Data!$A$1:$S$1,0)),"")</f>
        <v/>
      </c>
      <c r="R57" s="471" t="str">
        <f t="array" ref="R57">IFERROR(INDEX(Industry_Historical_Data!$A$1:$S$3000,MATCH(Industry!$G57&amp;Industry_Calculation!$D$27,Industry_Historical_Data!$A$1:$A$3000&amp;Industry_Historical_Data!$C$1:$C$3000,0&amp;0),MATCH(Industry!R$1,Industry_Historical_Data!$A$1:$S$1,0)),"")</f>
        <v/>
      </c>
      <c r="S57" s="471" t="str">
        <f t="array" ref="S57">IFERROR(INDEX(Industry_Historical_Data!$A$1:$S$3000,MATCH(Industry!$G57&amp;Industry_Calculation!$D$27,Industry_Historical_Data!$A$1:$A$3000&amp;Industry_Historical_Data!$C$1:$C$3000,0&amp;0),MATCH(Industry!S$1,Industry_Historical_Data!$A$1:$S$1,0)),"")</f>
        <v/>
      </c>
      <c r="T57" s="471" t="str">
        <f t="array" ref="T57">IFERROR(INDEX(Industry_Historical_Data!$A$1:$S$3000,MATCH(Industry!$G57&amp;Industry_Calculation!$D$27,Industry_Historical_Data!$A$1:$A$3000&amp;Industry_Historical_Data!$C$1:$C$3000,0&amp;0),MATCH(Industry!T$1,Industry_Historical_Data!$A$1:$S$1,0)),"")</f>
        <v/>
      </c>
      <c r="U57" s="471" t="str">
        <f t="array" ref="U57">IFERROR(INDEX(Industry_Historical_Data!$A$1:$S$3000,MATCH(Industry!$G57&amp;Industry_Calculation!$D$27,Industry_Historical_Data!$A$1:$A$3000&amp;Industry_Historical_Data!$C$1:$C$3000,0&amp;0),MATCH(Industry!U$1,Industry_Historical_Data!$A$1:$S$1,0)),"")</f>
        <v/>
      </c>
      <c r="V57" s="471" t="str">
        <f t="array" ref="V57">IFERROR(INDEX(Industry_Historical_Data!$A$1:$S$3000,MATCH(Industry!$G57&amp;Industry_Calculation!$D$27,Industry_Historical_Data!$A$1:$A$3000&amp;Industry_Historical_Data!$C$1:$C$3000,0&amp;0),MATCH(Industry!V$1,Industry_Historical_Data!$A$1:$S$1,0)),"")</f>
        <v/>
      </c>
      <c r="W57" s="472" t="str">
        <f t="array" ref="W57">IFERROR(INDEX(Industry_Calculation!$A$110:$M$158,MATCH(Industry!$G57,Industry_Calculation!$A$110:$A$158,0),MATCH(Industry!W$1,Industry_Calculation!$A$110:$M$110,0)),"")</f>
        <v/>
      </c>
      <c r="X57" s="479" t="str">
        <f t="array" ref="X57">IFERROR(INDEX(Industry_Historical_Data!$A$1:$S$3000,MATCH(Industry!$G57&amp;Industry_Calculation!$D$27,Industry_Historical_Data!$A$1:$A$3000&amp;Industry_Historical_Data!$C$1:$C$3000,0&amp;0),MATCH(Industry!X$1,Industry_Historical_Data!$A$1:$S$1,0)),"")</f>
        <v/>
      </c>
      <c r="Y57" s="479" t="str">
        <f t="array" ref="Y57">IFERROR(INDEX(Industry_Historical_Data!$A$1:$S$3000,MATCH(Industry!$G57&amp;Industry_Calculation!$D$27,Industry_Historical_Data!$A$1:$A$3000&amp;Industry_Historical_Data!$C$1:$C$3000,0&amp;0),MATCH(Industry!Y$1,Industry_Historical_Data!$A$1:$S$1,0)),"")</f>
        <v/>
      </c>
      <c r="Z57" s="479" t="str">
        <f t="array" ref="Z57">IFERROR(INDEX(Industry_Historical_Data!$A$1:$S$3000,MATCH(Industry!$G57&amp;Industry_Calculation!$D$27,Industry_Historical_Data!$A$1:$A$3000&amp;Industry_Historical_Data!$C$1:$C$3000,0&amp;0),MATCH(Industry!Z$1,Industry_Historical_Data!$A$1:$S$1,0)),"")</f>
        <v/>
      </c>
      <c r="AA57" s="472" t="str">
        <f t="array" ref="AA57">IFERROR(INDEX(Industry_Calculation!$A$110:$M$158,MATCH(Industry!$G57,Industry_Calculation!$A$110:$A$158,0),MATCH(Industry!AA$1,Industry_Calculation!$A$110:$M$110,0)),"")</f>
        <v/>
      </c>
      <c r="AB57" s="472" t="str">
        <f t="shared" si="54"/>
        <v/>
      </c>
      <c r="AC57" s="482" t="str">
        <f t="shared" si="55"/>
        <v/>
      </c>
      <c r="AD57" s="472" t="str">
        <f t="array" ref="AD57">IFERROR(INDEX(Industry_Calculation!$A$110:$M$158,MATCH(Industry!$G57,Industry_Calculation!$A$110:$A$158,0),MATCH(Industry!AD$1,Industry_Calculation!$A$110:$M$110,0)),"")</f>
        <v/>
      </c>
      <c r="AE57" s="482" t="str">
        <f t="shared" si="56"/>
        <v/>
      </c>
      <c r="AF57" s="472" t="str">
        <f t="array" ref="AF57">IFERROR(INDEX(Industry_Calculation!$A$110:$M$158,MATCH(Industry!$G57,Industry_Calculation!$A$110:$A$158,0),MATCH(Industry!AF$1,Industry_Calculation!$A$110:$M$110,0)),"")</f>
        <v/>
      </c>
      <c r="AG57" s="482" t="str">
        <f t="shared" si="57"/>
        <v/>
      </c>
      <c r="AH57" s="472" t="str">
        <f t="array" ref="AH57">IFERROR(INDEX(Industry_Calculation!$A$110:$M$158,MATCH(Industry!$G57,Industry_Calculation!$A$110:$A$158,0),MATCH(Industry!AH$1,Industry_Calculation!$A$110:$M$110,0)),"")</f>
        <v/>
      </c>
      <c r="AI57" s="475"/>
      <c r="AJ57" s="475"/>
      <c r="AK57" s="475"/>
      <c r="AL57" s="475"/>
      <c r="AM57" s="186"/>
      <c r="AN57" s="176"/>
    </row>
    <row r="58" ht="14.25" customHeight="1" outlineLevel="2">
      <c r="A58" s="269"/>
      <c r="B58" s="466"/>
      <c r="C58" s="476"/>
      <c r="D58" s="476"/>
      <c r="E58" s="287" t="s">
        <v>2167</v>
      </c>
      <c r="F58" s="249" t="s">
        <v>135</v>
      </c>
      <c r="G58" s="249" t="s">
        <v>2168</v>
      </c>
      <c r="H58" s="471" t="str">
        <f t="array" ref="H58">IFERROR(INDEX(Industry_Historical_Data!$A$1:$S$3000,MATCH(Industry!$G58&amp;Industry_Calculation!$D$27,Industry_Historical_Data!$A$1:$A$3000&amp;Industry_Historical_Data!$C$1:$C$3000,0&amp;0),MATCH(Industry!H$1,Industry_Historical_Data!$A$1:$S$1,0)),"")</f>
        <v/>
      </c>
      <c r="I58" s="471" t="str">
        <f t="array" ref="I58">IFERROR(INDEX(Industry_Historical_Data!$A$1:$S$3000,MATCH(Industry!$G58&amp;Industry_Calculation!$D$27,Industry_Historical_Data!$A$1:$A$3000&amp;Industry_Historical_Data!$C$1:$C$3000,0&amp;0),MATCH(Industry!I$1,Industry_Historical_Data!$A$1:$S$1,0)),"")</f>
        <v/>
      </c>
      <c r="J58" s="471" t="str">
        <f t="array" ref="J58">IFERROR(INDEX(Industry_Historical_Data!$A$1:$S$3000,MATCH(Industry!$G58&amp;Industry_Calculation!$D$27,Industry_Historical_Data!$A$1:$A$3000&amp;Industry_Historical_Data!$C$1:$C$3000,0&amp;0),MATCH(Industry!J$1,Industry_Historical_Data!$A$1:$S$1,0)),"")</f>
        <v/>
      </c>
      <c r="K58" s="471" t="str">
        <f t="array" ref="K58">IFERROR(INDEX(Industry_Historical_Data!$A$1:$S$3000,MATCH(Industry!$G58&amp;Industry_Calculation!$D$27,Industry_Historical_Data!$A$1:$A$3000&amp;Industry_Historical_Data!$C$1:$C$3000,0&amp;0),MATCH(Industry!K$1,Industry_Historical_Data!$A$1:$S$1,0)),"")</f>
        <v/>
      </c>
      <c r="L58" s="471" t="str">
        <f t="array" ref="L58">IFERROR(INDEX(Industry_Historical_Data!$A$1:$S$3000,MATCH(Industry!$G58&amp;Industry_Calculation!$D$27,Industry_Historical_Data!$A$1:$A$3000&amp;Industry_Historical_Data!$C$1:$C$3000,0&amp;0),MATCH(Industry!L$1,Industry_Historical_Data!$A$1:$S$1,0)),"")</f>
        <v/>
      </c>
      <c r="M58" s="471" t="str">
        <f t="array" ref="M58">IFERROR(INDEX(Industry_Historical_Data!$A$1:$S$3000,MATCH(Industry!$G58&amp;Industry_Calculation!$D$27,Industry_Historical_Data!$A$1:$A$3000&amp;Industry_Historical_Data!$C$1:$C$3000,0&amp;0),MATCH(Industry!M$1,Industry_Historical_Data!$A$1:$S$1,0)),"")</f>
        <v/>
      </c>
      <c r="N58" s="471" t="str">
        <f t="array" ref="N58">IFERROR(INDEX(Industry_Historical_Data!$A$1:$S$3000,MATCH(Industry!$G58&amp;Industry_Calculation!$D$27,Industry_Historical_Data!$A$1:$A$3000&amp;Industry_Historical_Data!$C$1:$C$3000,0&amp;0),MATCH(Industry!N$1,Industry_Historical_Data!$A$1:$S$1,0)),"")</f>
        <v/>
      </c>
      <c r="O58" s="471" t="str">
        <f t="array" ref="O58">IFERROR(INDEX(Industry_Historical_Data!$A$1:$S$3000,MATCH(Industry!$G58&amp;Industry_Calculation!$D$27,Industry_Historical_Data!$A$1:$A$3000&amp;Industry_Historical_Data!$C$1:$C$3000,0&amp;0),MATCH(Industry!O$1,Industry_Historical_Data!$A$1:$S$1,0)),"")</f>
        <v/>
      </c>
      <c r="P58" s="471" t="str">
        <f t="array" ref="P58">IFERROR(INDEX(Industry_Historical_Data!$A$1:$S$3000,MATCH(Industry!$G58&amp;Industry_Calculation!$D$27,Industry_Historical_Data!$A$1:$A$3000&amp;Industry_Historical_Data!$C$1:$C$3000,0&amp;0),MATCH(Industry!P$1,Industry_Historical_Data!$A$1:$S$1,0)),"")</f>
        <v/>
      </c>
      <c r="Q58" s="471" t="str">
        <f t="array" ref="Q58">IFERROR(INDEX(Industry_Historical_Data!$A$1:$S$3000,MATCH(Industry!$G58&amp;Industry_Calculation!$D$27,Industry_Historical_Data!$A$1:$A$3000&amp;Industry_Historical_Data!$C$1:$C$3000,0&amp;0),MATCH(Industry!Q$1,Industry_Historical_Data!$A$1:$S$1,0)),"")</f>
        <v/>
      </c>
      <c r="R58" s="471">
        <f t="array" ref="R58">IFERROR(INDEX(Industry_Historical_Data!$A$1:$S$3000,MATCH(Industry!$G58&amp;Industry_Calculation!$D$27,Industry_Historical_Data!$A$1:$A$3000&amp;Industry_Historical_Data!$C$1:$C$3000,0&amp;0),MATCH(Industry!R$1,Industry_Historical_Data!$A$1:$S$1,0)),"")</f>
        <v>14.6235</v>
      </c>
      <c r="S58" s="471">
        <f t="array" ref="S58">IFERROR(INDEX(Industry_Historical_Data!$A$1:$S$3000,MATCH(Industry!$G58&amp;Industry_Calculation!$D$27,Industry_Historical_Data!$A$1:$A$3000&amp;Industry_Historical_Data!$C$1:$C$3000,0&amp;0),MATCH(Industry!S$1,Industry_Historical_Data!$A$1:$S$1,0)),"")</f>
        <v>16.8322</v>
      </c>
      <c r="T58" s="471">
        <f t="array" ref="T58">IFERROR(INDEX(Industry_Historical_Data!$A$1:$S$3000,MATCH(Industry!$G58&amp;Industry_Calculation!$D$27,Industry_Historical_Data!$A$1:$A$3000&amp;Industry_Historical_Data!$C$1:$C$3000,0&amp;0),MATCH(Industry!T$1,Industry_Historical_Data!$A$1:$S$1,0)),"")</f>
        <v>15.7966</v>
      </c>
      <c r="U58" s="471">
        <f t="array" ref="U58">IFERROR(INDEX(Industry_Historical_Data!$A$1:$S$3000,MATCH(Industry!$G58&amp;Industry_Calculation!$D$27,Industry_Historical_Data!$A$1:$A$3000&amp;Industry_Historical_Data!$C$1:$C$3000,0&amp;0),MATCH(Industry!U$1,Industry_Historical_Data!$A$1:$S$1,0)),"")</f>
        <v>15.8424</v>
      </c>
      <c r="V58" s="471">
        <f t="array" ref="V58">IFERROR(INDEX(Industry_Historical_Data!$A$1:$S$3000,MATCH(Industry!$G58&amp;Industry_Calculation!$D$27,Industry_Historical_Data!$A$1:$A$3000&amp;Industry_Historical_Data!$C$1:$C$3000,0&amp;0),MATCH(Industry!V$1,Industry_Historical_Data!$A$1:$S$1,0)),"")</f>
        <v>16.1662</v>
      </c>
      <c r="W58" s="472" t="str">
        <f t="array" ref="W58">IFERROR(INDEX(Industry_Calculation!$A$110:$M$158,MATCH(Industry!$G58,Industry_Calculation!$A$110:$A$158,0),MATCH(Industry!W$1,Industry_Calculation!$A$110:$M$110,0)),"")</f>
        <v/>
      </c>
      <c r="X58" s="479">
        <f t="array" ref="X58">IFERROR(INDEX(Industry_Historical_Data!$A$1:$S$3000,MATCH(Industry!$G58&amp;Industry_Calculation!$D$27,Industry_Historical_Data!$A$1:$A$3000&amp;Industry_Historical_Data!$C$1:$C$3000,0&amp;0),MATCH(Industry!X$1,Industry_Historical_Data!$A$1:$S$1,0)),"")</f>
        <v>15.8496</v>
      </c>
      <c r="Y58" s="479">
        <f t="array" ref="Y58">IFERROR(INDEX(Industry_Historical_Data!$A$1:$S$3000,MATCH(Industry!$G58&amp;Industry_Calculation!$D$27,Industry_Historical_Data!$A$1:$A$3000&amp;Industry_Historical_Data!$C$1:$C$3000,0&amp;0),MATCH(Industry!Y$1,Industry_Historical_Data!$A$1:$S$1,0)),"")</f>
        <v>14.6154</v>
      </c>
      <c r="Z58" s="479">
        <f t="array" ref="Z58">IFERROR(INDEX(Industry_Historical_Data!$A$1:$S$3000,MATCH(Industry!$G58&amp;Industry_Calculation!$D$27,Industry_Historical_Data!$A$1:$A$3000&amp;Industry_Historical_Data!$C$1:$C$3000,0&amp;0),MATCH(Industry!Z$1,Industry_Historical_Data!$A$1:$S$1,0)),"")</f>
        <v>15.3414</v>
      </c>
      <c r="AA58" s="472" t="str">
        <f t="array" ref="AA58">IFERROR(INDEX(Industry_Calculation!$A$110:$M$158,MATCH(Industry!$G58,Industry_Calculation!$A$110:$A$158,0),MATCH(Industry!AA$1,Industry_Calculation!$A$110:$M$110,0)),"")</f>
        <v/>
      </c>
      <c r="AB58" s="472" t="str">
        <f t="shared" si="54"/>
        <v/>
      </c>
      <c r="AC58" s="482" t="str">
        <f t="shared" si="55"/>
        <v/>
      </c>
      <c r="AD58" s="472" t="str">
        <f t="array" ref="AD58">IFERROR(INDEX(Industry_Calculation!$A$110:$M$158,MATCH(Industry!$G58,Industry_Calculation!$A$110:$A$158,0),MATCH(Industry!AD$1,Industry_Calculation!$A$110:$M$110,0)),"")</f>
        <v/>
      </c>
      <c r="AE58" s="482" t="str">
        <f t="shared" si="56"/>
        <v/>
      </c>
      <c r="AF58" s="472" t="str">
        <f t="array" ref="AF58">IFERROR(INDEX(Industry_Calculation!$A$110:$M$158,MATCH(Industry!$G58,Industry_Calculation!$A$110:$A$158,0),MATCH(Industry!AF$1,Industry_Calculation!$A$110:$M$110,0)),"")</f>
        <v/>
      </c>
      <c r="AG58" s="482" t="str">
        <f t="shared" si="57"/>
        <v/>
      </c>
      <c r="AH58" s="472" t="str">
        <f t="array" ref="AH58">IFERROR(INDEX(Industry_Calculation!$A$110:$M$158,MATCH(Industry!$G58,Industry_Calculation!$A$110:$A$158,0),MATCH(Industry!AH$1,Industry_Calculation!$A$110:$M$110,0)),"")</f>
        <v/>
      </c>
      <c r="AI58" s="475"/>
      <c r="AJ58" s="475"/>
      <c r="AK58" s="475"/>
      <c r="AL58" s="475"/>
      <c r="AM58" s="186"/>
      <c r="AN58" s="176"/>
    </row>
    <row r="59" ht="14.25" customHeight="1" outlineLevel="2">
      <c r="A59" s="269"/>
      <c r="B59" s="466"/>
      <c r="C59" s="476"/>
      <c r="D59" s="476"/>
      <c r="E59" s="270" t="s">
        <v>2169</v>
      </c>
      <c r="F59" s="249" t="s">
        <v>135</v>
      </c>
      <c r="G59" s="249" t="s">
        <v>2170</v>
      </c>
      <c r="H59" s="471" t="str">
        <f t="array" ref="H59">IFERROR(INDEX(Industry_Historical_Data!$A$1:$S$3000,MATCH(Industry!$G59&amp;Industry_Calculation!$D$27,Industry_Historical_Data!$A$1:$A$3000&amp;Industry_Historical_Data!$C$1:$C$3000,0&amp;0),MATCH(Industry!H$1,Industry_Historical_Data!$A$1:$S$1,0)),"")</f>
        <v/>
      </c>
      <c r="I59" s="471" t="str">
        <f t="array" ref="I59">IFERROR(INDEX(Industry_Historical_Data!$A$1:$S$3000,MATCH(Industry!$G59&amp;Industry_Calculation!$D$27,Industry_Historical_Data!$A$1:$A$3000&amp;Industry_Historical_Data!$C$1:$C$3000,0&amp;0),MATCH(Industry!I$1,Industry_Historical_Data!$A$1:$S$1,0)),"")</f>
        <v/>
      </c>
      <c r="J59" s="471" t="str">
        <f t="array" ref="J59">IFERROR(INDEX(Industry_Historical_Data!$A$1:$S$3000,MATCH(Industry!$G59&amp;Industry_Calculation!$D$27,Industry_Historical_Data!$A$1:$A$3000&amp;Industry_Historical_Data!$C$1:$C$3000,0&amp;0),MATCH(Industry!J$1,Industry_Historical_Data!$A$1:$S$1,0)),"")</f>
        <v/>
      </c>
      <c r="K59" s="471" t="str">
        <f t="array" ref="K59">IFERROR(INDEX(Industry_Historical_Data!$A$1:$S$3000,MATCH(Industry!$G59&amp;Industry_Calculation!$D$27,Industry_Historical_Data!$A$1:$A$3000&amp;Industry_Historical_Data!$C$1:$C$3000,0&amp;0),MATCH(Industry!K$1,Industry_Historical_Data!$A$1:$S$1,0)),"")</f>
        <v/>
      </c>
      <c r="L59" s="471" t="str">
        <f t="array" ref="L59">IFERROR(INDEX(Industry_Historical_Data!$A$1:$S$3000,MATCH(Industry!$G59&amp;Industry_Calculation!$D$27,Industry_Historical_Data!$A$1:$A$3000&amp;Industry_Historical_Data!$C$1:$C$3000,0&amp;0),MATCH(Industry!L$1,Industry_Historical_Data!$A$1:$S$1,0)),"")</f>
        <v/>
      </c>
      <c r="M59" s="471" t="str">
        <f t="array" ref="M59">IFERROR(INDEX(Industry_Historical_Data!$A$1:$S$3000,MATCH(Industry!$G59&amp;Industry_Calculation!$D$27,Industry_Historical_Data!$A$1:$A$3000&amp;Industry_Historical_Data!$C$1:$C$3000,0&amp;0),MATCH(Industry!M$1,Industry_Historical_Data!$A$1:$S$1,0)),"")</f>
        <v/>
      </c>
      <c r="N59" s="471" t="str">
        <f t="array" ref="N59">IFERROR(INDEX(Industry_Historical_Data!$A$1:$S$3000,MATCH(Industry!$G59&amp;Industry_Calculation!$D$27,Industry_Historical_Data!$A$1:$A$3000&amp;Industry_Historical_Data!$C$1:$C$3000,0&amp;0),MATCH(Industry!N$1,Industry_Historical_Data!$A$1:$S$1,0)),"")</f>
        <v/>
      </c>
      <c r="O59" s="471" t="str">
        <f t="array" ref="O59">IFERROR(INDEX(Industry_Historical_Data!$A$1:$S$3000,MATCH(Industry!$G59&amp;Industry_Calculation!$D$27,Industry_Historical_Data!$A$1:$A$3000&amp;Industry_Historical_Data!$C$1:$C$3000,0&amp;0),MATCH(Industry!O$1,Industry_Historical_Data!$A$1:$S$1,0)),"")</f>
        <v/>
      </c>
      <c r="P59" s="471" t="str">
        <f t="array" ref="P59">IFERROR(INDEX(Industry_Historical_Data!$A$1:$S$3000,MATCH(Industry!$G59&amp;Industry_Calculation!$D$27,Industry_Historical_Data!$A$1:$A$3000&amp;Industry_Historical_Data!$C$1:$C$3000,0&amp;0),MATCH(Industry!P$1,Industry_Historical_Data!$A$1:$S$1,0)),"")</f>
        <v/>
      </c>
      <c r="Q59" s="471" t="str">
        <f t="array" ref="Q59">IFERROR(INDEX(Industry_Historical_Data!$A$1:$S$3000,MATCH(Industry!$G59&amp;Industry_Calculation!$D$27,Industry_Historical_Data!$A$1:$A$3000&amp;Industry_Historical_Data!$C$1:$C$3000,0&amp;0),MATCH(Industry!Q$1,Industry_Historical_Data!$A$1:$S$1,0)),"")</f>
        <v/>
      </c>
      <c r="R59" s="471">
        <f t="array" ref="R59">IFERROR(INDEX(Industry_Historical_Data!$A$1:$S$3000,MATCH(Industry!$G59&amp;Industry_Calculation!$D$27,Industry_Historical_Data!$A$1:$A$3000&amp;Industry_Historical_Data!$C$1:$C$3000,0&amp;0),MATCH(Industry!R$1,Industry_Historical_Data!$A$1:$S$1,0)),"")</f>
        <v>6.2439</v>
      </c>
      <c r="S59" s="471">
        <f t="array" ref="S59">IFERROR(INDEX(Industry_Historical_Data!$A$1:$S$3000,MATCH(Industry!$G59&amp;Industry_Calculation!$D$27,Industry_Historical_Data!$A$1:$A$3000&amp;Industry_Historical_Data!$C$1:$C$3000,0&amp;0),MATCH(Industry!S$1,Industry_Historical_Data!$A$1:$S$1,0)),"")</f>
        <v>6.7114</v>
      </c>
      <c r="T59" s="471">
        <f t="array" ref="T59">IFERROR(INDEX(Industry_Historical_Data!$A$1:$S$3000,MATCH(Industry!$G59&amp;Industry_Calculation!$D$27,Industry_Historical_Data!$A$1:$A$3000&amp;Industry_Historical_Data!$C$1:$C$3000,0&amp;0),MATCH(Industry!T$1,Industry_Historical_Data!$A$1:$S$1,0)),"")</f>
        <v>6.2706</v>
      </c>
      <c r="U59" s="471">
        <f t="array" ref="U59">IFERROR(INDEX(Industry_Historical_Data!$A$1:$S$3000,MATCH(Industry!$G59&amp;Industry_Calculation!$D$27,Industry_Historical_Data!$A$1:$A$3000&amp;Industry_Historical_Data!$C$1:$C$3000,0&amp;0),MATCH(Industry!U$1,Industry_Historical_Data!$A$1:$S$1,0)),"")</f>
        <v>6.1923</v>
      </c>
      <c r="V59" s="471">
        <f t="array" ref="V59">IFERROR(INDEX(Industry_Historical_Data!$A$1:$S$3000,MATCH(Industry!$G59&amp;Industry_Calculation!$D$27,Industry_Historical_Data!$A$1:$A$3000&amp;Industry_Historical_Data!$C$1:$C$3000,0&amp;0),MATCH(Industry!V$1,Industry_Historical_Data!$A$1:$S$1,0)),"")</f>
        <v>6.2515</v>
      </c>
      <c r="W59" s="472">
        <f t="array" ref="W59">IFERROR(INDEX(Industry_Calculation!$A$110:$M$158,MATCH(Industry!$G59,Industry_Calculation!$A$110:$A$158,0),MATCH(Industry!W$1,Industry_Calculation!$A$110:$M$110,0)),"")</f>
        <v>5.52</v>
      </c>
      <c r="X59" s="479">
        <f t="array" ref="X59">IFERROR(INDEX(Industry_Historical_Data!$A$1:$S$3000,MATCH(Industry!$G59&amp;Industry_Calculation!$D$27,Industry_Historical_Data!$A$1:$A$3000&amp;Industry_Historical_Data!$C$1:$C$3000,0&amp;0),MATCH(Industry!X$1,Industry_Historical_Data!$A$1:$S$1,0)),"")</f>
        <v>5.5927</v>
      </c>
      <c r="Y59" s="479">
        <f t="array" ref="Y59">IFERROR(INDEX(Industry_Historical_Data!$A$1:$S$3000,MATCH(Industry!$G59&amp;Industry_Calculation!$D$27,Industry_Historical_Data!$A$1:$A$3000&amp;Industry_Historical_Data!$C$1:$C$3000,0&amp;0),MATCH(Industry!Y$1,Industry_Historical_Data!$A$1:$S$1,0)),"")</f>
        <v>5.1422</v>
      </c>
      <c r="Z59" s="479">
        <f t="array" ref="Z59">IFERROR(INDEX(Industry_Historical_Data!$A$1:$S$3000,MATCH(Industry!$G59&amp;Industry_Calculation!$D$27,Industry_Historical_Data!$A$1:$A$3000&amp;Industry_Historical_Data!$C$1:$C$3000,0&amp;0),MATCH(Industry!Z$1,Industry_Historical_Data!$A$1:$S$1,0)),"")</f>
        <v>5.5984</v>
      </c>
      <c r="AA59" s="472">
        <f t="array" ref="AA59">IFERROR(INDEX(Industry_Calculation!$A$110:$M$158,MATCH(Industry!$G59,Industry_Calculation!$A$110:$A$158,0),MATCH(Industry!AA$1,Industry_Calculation!$A$110:$M$110,0)),"")</f>
        <v>6.123567197</v>
      </c>
      <c r="AB59" s="472">
        <f t="shared" si="54"/>
        <v>6.123567197</v>
      </c>
      <c r="AC59" s="482">
        <f t="shared" si="55"/>
        <v>5.449376164</v>
      </c>
      <c r="AD59" s="472">
        <f t="array" ref="AD59">IFERROR(INDEX(Industry_Calculation!$A$110:$M$158,MATCH(Industry!$G59,Industry_Calculation!$A$110:$A$158,0),MATCH(Industry!AD$1,Industry_Calculation!$A$110:$M$110,0)),"")</f>
        <v>4.775185131</v>
      </c>
      <c r="AE59" s="482">
        <f t="shared" si="56"/>
        <v>4.089785815</v>
      </c>
      <c r="AF59" s="472">
        <f t="array" ref="AF59">IFERROR(INDEX(Industry_Calculation!$A$110:$M$158,MATCH(Industry!$G59,Industry_Calculation!$A$110:$A$158,0),MATCH(Industry!AF$1,Industry_Calculation!$A$110:$M$110,0)),"")</f>
        <v>3.4043865</v>
      </c>
      <c r="AG59" s="482">
        <f t="shared" si="57"/>
        <v>3.2317245</v>
      </c>
      <c r="AH59" s="472">
        <f t="array" ref="AH59">IFERROR(INDEX(Industry_Calculation!$A$110:$M$158,MATCH(Industry!$G59,Industry_Calculation!$A$110:$A$158,0),MATCH(Industry!AH$1,Industry_Calculation!$A$110:$M$110,0)),"")</f>
        <v>3.0590625</v>
      </c>
      <c r="AI59" s="475"/>
      <c r="AJ59" s="475"/>
      <c r="AK59" s="475"/>
      <c r="AL59" s="475"/>
      <c r="AM59" s="186"/>
      <c r="AN59" s="176"/>
    </row>
    <row r="60" ht="14.25" customHeight="1" outlineLevel="2">
      <c r="A60" s="269"/>
      <c r="B60" s="466"/>
      <c r="C60" s="476"/>
      <c r="D60" s="476"/>
      <c r="E60" s="270" t="s">
        <v>2171</v>
      </c>
      <c r="F60" s="249" t="s">
        <v>135</v>
      </c>
      <c r="G60" s="249" t="s">
        <v>2172</v>
      </c>
      <c r="H60" s="471" t="str">
        <f t="array" ref="H60">IFERROR(INDEX(Industry_Historical_Data!$A$1:$S$3000,MATCH(Industry!$G60&amp;Industry_Calculation!$D$27,Industry_Historical_Data!$A$1:$A$3000&amp;Industry_Historical_Data!$C$1:$C$3000,0&amp;0),MATCH(Industry!H$1,Industry_Historical_Data!$A$1:$S$1,0)),"")</f>
        <v/>
      </c>
      <c r="I60" s="471" t="str">
        <f t="array" ref="I60">IFERROR(INDEX(Industry_Historical_Data!$A$1:$S$3000,MATCH(Industry!$G60&amp;Industry_Calculation!$D$27,Industry_Historical_Data!$A$1:$A$3000&amp;Industry_Historical_Data!$C$1:$C$3000,0&amp;0),MATCH(Industry!I$1,Industry_Historical_Data!$A$1:$S$1,0)),"")</f>
        <v/>
      </c>
      <c r="J60" s="471" t="str">
        <f t="array" ref="J60">IFERROR(INDEX(Industry_Historical_Data!$A$1:$S$3000,MATCH(Industry!$G60&amp;Industry_Calculation!$D$27,Industry_Historical_Data!$A$1:$A$3000&amp;Industry_Historical_Data!$C$1:$C$3000,0&amp;0),MATCH(Industry!J$1,Industry_Historical_Data!$A$1:$S$1,0)),"")</f>
        <v/>
      </c>
      <c r="K60" s="471" t="str">
        <f t="array" ref="K60">IFERROR(INDEX(Industry_Historical_Data!$A$1:$S$3000,MATCH(Industry!$G60&amp;Industry_Calculation!$D$27,Industry_Historical_Data!$A$1:$A$3000&amp;Industry_Historical_Data!$C$1:$C$3000,0&amp;0),MATCH(Industry!K$1,Industry_Historical_Data!$A$1:$S$1,0)),"")</f>
        <v/>
      </c>
      <c r="L60" s="471" t="str">
        <f t="array" ref="L60">IFERROR(INDEX(Industry_Historical_Data!$A$1:$S$3000,MATCH(Industry!$G60&amp;Industry_Calculation!$D$27,Industry_Historical_Data!$A$1:$A$3000&amp;Industry_Historical_Data!$C$1:$C$3000,0&amp;0),MATCH(Industry!L$1,Industry_Historical_Data!$A$1:$S$1,0)),"")</f>
        <v/>
      </c>
      <c r="M60" s="471" t="str">
        <f t="array" ref="M60">IFERROR(INDEX(Industry_Historical_Data!$A$1:$S$3000,MATCH(Industry!$G60&amp;Industry_Calculation!$D$27,Industry_Historical_Data!$A$1:$A$3000&amp;Industry_Historical_Data!$C$1:$C$3000,0&amp;0),MATCH(Industry!M$1,Industry_Historical_Data!$A$1:$S$1,0)),"")</f>
        <v/>
      </c>
      <c r="N60" s="471" t="str">
        <f t="array" ref="N60">IFERROR(INDEX(Industry_Historical_Data!$A$1:$S$3000,MATCH(Industry!$G60&amp;Industry_Calculation!$D$27,Industry_Historical_Data!$A$1:$A$3000&amp;Industry_Historical_Data!$C$1:$C$3000,0&amp;0),MATCH(Industry!N$1,Industry_Historical_Data!$A$1:$S$1,0)),"")</f>
        <v/>
      </c>
      <c r="O60" s="471" t="str">
        <f t="array" ref="O60">IFERROR(INDEX(Industry_Historical_Data!$A$1:$S$3000,MATCH(Industry!$G60&amp;Industry_Calculation!$D$27,Industry_Historical_Data!$A$1:$A$3000&amp;Industry_Historical_Data!$C$1:$C$3000,0&amp;0),MATCH(Industry!O$1,Industry_Historical_Data!$A$1:$S$1,0)),"")</f>
        <v/>
      </c>
      <c r="P60" s="471" t="str">
        <f t="array" ref="P60">IFERROR(INDEX(Industry_Historical_Data!$A$1:$S$3000,MATCH(Industry!$G60&amp;Industry_Calculation!$D$27,Industry_Historical_Data!$A$1:$A$3000&amp;Industry_Historical_Data!$C$1:$C$3000,0&amp;0),MATCH(Industry!P$1,Industry_Historical_Data!$A$1:$S$1,0)),"")</f>
        <v/>
      </c>
      <c r="Q60" s="471" t="str">
        <f t="array" ref="Q60">IFERROR(INDEX(Industry_Historical_Data!$A$1:$S$3000,MATCH(Industry!$G60&amp;Industry_Calculation!$D$27,Industry_Historical_Data!$A$1:$A$3000&amp;Industry_Historical_Data!$C$1:$C$3000,0&amp;0),MATCH(Industry!Q$1,Industry_Historical_Data!$A$1:$S$1,0)),"")</f>
        <v/>
      </c>
      <c r="R60" s="471" t="str">
        <f t="array" ref="R60">IFERROR(INDEX(Industry_Historical_Data!$A$1:$S$3000,MATCH(Industry!$G60&amp;Industry_Calculation!$D$27,Industry_Historical_Data!$A$1:$A$3000&amp;Industry_Historical_Data!$C$1:$C$3000,0&amp;0),MATCH(Industry!R$1,Industry_Historical_Data!$A$1:$S$1,0)),"")</f>
        <v>n.a.</v>
      </c>
      <c r="S60" s="471" t="str">
        <f t="array" ref="S60">IFERROR(INDEX(Industry_Historical_Data!$A$1:$S$3000,MATCH(Industry!$G60&amp;Industry_Calculation!$D$27,Industry_Historical_Data!$A$1:$A$3000&amp;Industry_Historical_Data!$C$1:$C$3000,0&amp;0),MATCH(Industry!S$1,Industry_Historical_Data!$A$1:$S$1,0)),"")</f>
        <v>n.a.</v>
      </c>
      <c r="T60" s="471" t="str">
        <f t="array" ref="T60">IFERROR(INDEX(Industry_Historical_Data!$A$1:$S$3000,MATCH(Industry!$G60&amp;Industry_Calculation!$D$27,Industry_Historical_Data!$A$1:$A$3000&amp;Industry_Historical_Data!$C$1:$C$3000,0&amp;0),MATCH(Industry!T$1,Industry_Historical_Data!$A$1:$S$1,0)),"")</f>
        <v>n.a.</v>
      </c>
      <c r="U60" s="471" t="str">
        <f t="array" ref="U60">IFERROR(INDEX(Industry_Historical_Data!$A$1:$S$3000,MATCH(Industry!$G60&amp;Industry_Calculation!$D$27,Industry_Historical_Data!$A$1:$A$3000&amp;Industry_Historical_Data!$C$1:$C$3000,0&amp;0),MATCH(Industry!U$1,Industry_Historical_Data!$A$1:$S$1,0)),"")</f>
        <v>n.a.</v>
      </c>
      <c r="V60" s="471" t="str">
        <f t="array" ref="V60">IFERROR(INDEX(Industry_Historical_Data!$A$1:$S$3000,MATCH(Industry!$G60&amp;Industry_Calculation!$D$27,Industry_Historical_Data!$A$1:$A$3000&amp;Industry_Historical_Data!$C$1:$C$3000,0&amp;0),MATCH(Industry!V$1,Industry_Historical_Data!$A$1:$S$1,0)),"")</f>
        <v>n.a.</v>
      </c>
      <c r="W60" s="472">
        <f t="array" ref="W60">IFERROR(INDEX(Industry_Calculation!$A$110:$M$158,MATCH(Industry!$G60,Industry_Calculation!$A$110:$A$158,0),MATCH(Industry!W$1,Industry_Calculation!$A$110:$M$110,0)),"")</f>
        <v>4.3</v>
      </c>
      <c r="X60" s="479" t="str">
        <f t="array" ref="X60">IFERROR(INDEX(Industry_Historical_Data!$A$1:$S$3000,MATCH(Industry!$G60&amp;Industry_Calculation!$D$27,Industry_Historical_Data!$A$1:$A$3000&amp;Industry_Historical_Data!$C$1:$C$3000,0&amp;0),MATCH(Industry!X$1,Industry_Historical_Data!$A$1:$S$1,0)),"")</f>
        <v>n.a.</v>
      </c>
      <c r="Y60" s="479" t="str">
        <f t="array" ref="Y60">IFERROR(INDEX(Industry_Historical_Data!$A$1:$S$3000,MATCH(Industry!$G60&amp;Industry_Calculation!$D$27,Industry_Historical_Data!$A$1:$A$3000&amp;Industry_Historical_Data!$C$1:$C$3000,0&amp;0),MATCH(Industry!Y$1,Industry_Historical_Data!$A$1:$S$1,0)),"")</f>
        <v>n.a.</v>
      </c>
      <c r="Z60" s="479" t="str">
        <f t="array" ref="Z60">IFERROR(INDEX(Industry_Historical_Data!$A$1:$S$3000,MATCH(Industry!$G60&amp;Industry_Calculation!$D$27,Industry_Historical_Data!$A$1:$A$3000&amp;Industry_Historical_Data!$C$1:$C$3000,0&amp;0),MATCH(Industry!Z$1,Industry_Historical_Data!$A$1:$S$1,0)),"")</f>
        <v>n.a.</v>
      </c>
      <c r="AA60" s="472">
        <f t="array" ref="AA60">IFERROR(INDEX(Industry_Calculation!$A$110:$M$158,MATCH(Industry!$G60,Industry_Calculation!$A$110:$A$158,0),MATCH(Industry!AA$1,Industry_Calculation!$A$110:$M$110,0)),"")</f>
        <v>4.3</v>
      </c>
      <c r="AB60" s="472">
        <f t="shared" si="54"/>
        <v>4.3</v>
      </c>
      <c r="AC60" s="482">
        <f t="shared" si="55"/>
        <v>3.6158</v>
      </c>
      <c r="AD60" s="472">
        <f t="array" ref="AD60">IFERROR(INDEX(Industry_Calculation!$A$110:$M$158,MATCH(Industry!$G60,Industry_Calculation!$A$110:$A$158,0),MATCH(Industry!AD$1,Industry_Calculation!$A$110:$M$110,0)),"")</f>
        <v>2.9316</v>
      </c>
      <c r="AE60" s="482">
        <f t="shared" si="56"/>
        <v>2.280368</v>
      </c>
      <c r="AF60" s="472">
        <f t="array" ref="AF60">IFERROR(INDEX(Industry_Calculation!$A$110:$M$158,MATCH(Industry!$G60,Industry_Calculation!$A$110:$A$158,0),MATCH(Industry!AF$1,Industry_Calculation!$A$110:$M$110,0)),"")</f>
        <v>1.629136</v>
      </c>
      <c r="AG60" s="482">
        <f t="shared" si="57"/>
        <v>1.409568</v>
      </c>
      <c r="AH60" s="472">
        <f t="array" ref="AH60">IFERROR(INDEX(Industry_Calculation!$A$110:$M$158,MATCH(Industry!$G60,Industry_Calculation!$A$110:$A$158,0),MATCH(Industry!AH$1,Industry_Calculation!$A$110:$M$110,0)),"")</f>
        <v>1.19</v>
      </c>
      <c r="AI60" s="475"/>
      <c r="AJ60" s="475"/>
      <c r="AK60" s="475"/>
      <c r="AL60" s="475"/>
      <c r="AM60" s="186"/>
      <c r="AN60" s="176"/>
    </row>
    <row r="61" ht="14.25" customHeight="1" outlineLevel="2">
      <c r="A61" s="269"/>
      <c r="B61" s="466"/>
      <c r="C61" s="476"/>
      <c r="D61" s="476"/>
      <c r="E61" s="287" t="s">
        <v>2173</v>
      </c>
      <c r="F61" s="249" t="s">
        <v>135</v>
      </c>
      <c r="G61" s="249" t="s">
        <v>2174</v>
      </c>
      <c r="H61" s="471" t="str">
        <f t="array" ref="H61">IFERROR(INDEX(Industry_Historical_Data!$A$1:$S$3000,MATCH(Industry!$G61&amp;Industry_Calculation!$D$27,Industry_Historical_Data!$A$1:$A$3000&amp;Industry_Historical_Data!$C$1:$C$3000,0&amp;0),MATCH(Industry!H$1,Industry_Historical_Data!$A$1:$S$1,0)),"")</f>
        <v/>
      </c>
      <c r="I61" s="471" t="str">
        <f t="array" ref="I61">IFERROR(INDEX(Industry_Historical_Data!$A$1:$S$3000,MATCH(Industry!$G61&amp;Industry_Calculation!$D$27,Industry_Historical_Data!$A$1:$A$3000&amp;Industry_Historical_Data!$C$1:$C$3000,0&amp;0),MATCH(Industry!I$1,Industry_Historical_Data!$A$1:$S$1,0)),"")</f>
        <v/>
      </c>
      <c r="J61" s="471" t="str">
        <f t="array" ref="J61">IFERROR(INDEX(Industry_Historical_Data!$A$1:$S$3000,MATCH(Industry!$G61&amp;Industry_Calculation!$D$27,Industry_Historical_Data!$A$1:$A$3000&amp;Industry_Historical_Data!$C$1:$C$3000,0&amp;0),MATCH(Industry!J$1,Industry_Historical_Data!$A$1:$S$1,0)),"")</f>
        <v/>
      </c>
      <c r="K61" s="471" t="str">
        <f t="array" ref="K61">IFERROR(INDEX(Industry_Historical_Data!$A$1:$S$3000,MATCH(Industry!$G61&amp;Industry_Calculation!$D$27,Industry_Historical_Data!$A$1:$A$3000&amp;Industry_Historical_Data!$C$1:$C$3000,0&amp;0),MATCH(Industry!K$1,Industry_Historical_Data!$A$1:$S$1,0)),"")</f>
        <v/>
      </c>
      <c r="L61" s="471" t="str">
        <f t="array" ref="L61">IFERROR(INDEX(Industry_Historical_Data!$A$1:$S$3000,MATCH(Industry!$G61&amp;Industry_Calculation!$D$27,Industry_Historical_Data!$A$1:$A$3000&amp;Industry_Historical_Data!$C$1:$C$3000,0&amp;0),MATCH(Industry!L$1,Industry_Historical_Data!$A$1:$S$1,0)),"")</f>
        <v/>
      </c>
      <c r="M61" s="471" t="str">
        <f t="array" ref="M61">IFERROR(INDEX(Industry_Historical_Data!$A$1:$S$3000,MATCH(Industry!$G61&amp;Industry_Calculation!$D$27,Industry_Historical_Data!$A$1:$A$3000&amp;Industry_Historical_Data!$C$1:$C$3000,0&amp;0),MATCH(Industry!M$1,Industry_Historical_Data!$A$1:$S$1,0)),"")</f>
        <v/>
      </c>
      <c r="N61" s="471" t="str">
        <f t="array" ref="N61">IFERROR(INDEX(Industry_Historical_Data!$A$1:$S$3000,MATCH(Industry!$G61&amp;Industry_Calculation!$D$27,Industry_Historical_Data!$A$1:$A$3000&amp;Industry_Historical_Data!$C$1:$C$3000,0&amp;0),MATCH(Industry!N$1,Industry_Historical_Data!$A$1:$S$1,0)),"")</f>
        <v/>
      </c>
      <c r="O61" s="471" t="str">
        <f t="array" ref="O61">IFERROR(INDEX(Industry_Historical_Data!$A$1:$S$3000,MATCH(Industry!$G61&amp;Industry_Calculation!$D$27,Industry_Historical_Data!$A$1:$A$3000&amp;Industry_Historical_Data!$C$1:$C$3000,0&amp;0),MATCH(Industry!O$1,Industry_Historical_Data!$A$1:$S$1,0)),"")</f>
        <v/>
      </c>
      <c r="P61" s="471" t="str">
        <f t="array" ref="P61">IFERROR(INDEX(Industry_Historical_Data!$A$1:$S$3000,MATCH(Industry!$G61&amp;Industry_Calculation!$D$27,Industry_Historical_Data!$A$1:$A$3000&amp;Industry_Historical_Data!$C$1:$C$3000,0&amp;0),MATCH(Industry!P$1,Industry_Historical_Data!$A$1:$S$1,0)),"")</f>
        <v/>
      </c>
      <c r="Q61" s="471" t="str">
        <f t="array" ref="Q61">IFERROR(INDEX(Industry_Historical_Data!$A$1:$S$3000,MATCH(Industry!$G61&amp;Industry_Calculation!$D$27,Industry_Historical_Data!$A$1:$A$3000&amp;Industry_Historical_Data!$C$1:$C$3000,0&amp;0),MATCH(Industry!Q$1,Industry_Historical_Data!$A$1:$S$1,0)),"")</f>
        <v/>
      </c>
      <c r="R61" s="471">
        <f t="array" ref="R61">IFERROR(INDEX(Industry_Historical_Data!$A$1:$S$3000,MATCH(Industry!$G61&amp;Industry_Calculation!$D$27,Industry_Historical_Data!$A$1:$A$3000&amp;Industry_Historical_Data!$C$1:$C$3000,0&amp;0),MATCH(Industry!R$1,Industry_Historical_Data!$A$1:$S$1,0)),"")</f>
        <v>48.6315</v>
      </c>
      <c r="S61" s="471">
        <f t="array" ref="S61">IFERROR(INDEX(Industry_Historical_Data!$A$1:$S$3000,MATCH(Industry!$G61&amp;Industry_Calculation!$D$27,Industry_Historical_Data!$A$1:$A$3000&amp;Industry_Historical_Data!$C$1:$C$3000,0&amp;0),MATCH(Industry!S$1,Industry_Historical_Data!$A$1:$S$1,0)),"")</f>
        <v>45.6598</v>
      </c>
      <c r="T61" s="471">
        <f t="array" ref="T61">IFERROR(INDEX(Industry_Historical_Data!$A$1:$S$3000,MATCH(Industry!$G61&amp;Industry_Calculation!$D$27,Industry_Historical_Data!$A$1:$A$3000&amp;Industry_Historical_Data!$C$1:$C$3000,0&amp;0),MATCH(Industry!T$1,Industry_Historical_Data!$A$1:$S$1,0)),"")</f>
        <v>46.8846</v>
      </c>
      <c r="U61" s="471">
        <f t="array" ref="U61">IFERROR(INDEX(Industry_Historical_Data!$A$1:$S$3000,MATCH(Industry!$G61&amp;Industry_Calculation!$D$27,Industry_Historical_Data!$A$1:$A$3000&amp;Industry_Historical_Data!$C$1:$C$3000,0&amp;0),MATCH(Industry!U$1,Industry_Historical_Data!$A$1:$S$1,0)),"")</f>
        <v>48.6282</v>
      </c>
      <c r="V61" s="471">
        <f t="array" ref="V61">IFERROR(INDEX(Industry_Historical_Data!$A$1:$S$3000,MATCH(Industry!$G61&amp;Industry_Calculation!$D$27,Industry_Historical_Data!$A$1:$A$3000&amp;Industry_Historical_Data!$C$1:$C$3000,0&amp;0),MATCH(Industry!V$1,Industry_Historical_Data!$A$1:$S$1,0)),"")</f>
        <v>49.9682</v>
      </c>
      <c r="W61" s="472">
        <f t="array" ref="W61">IFERROR(INDEX(Industry_Calculation!$A$110:$M$158,MATCH(Industry!$G61,Industry_Calculation!$A$110:$A$158,0),MATCH(Industry!W$1,Industry_Calculation!$A$110:$M$110,0)),"")</f>
        <v>49.388</v>
      </c>
      <c r="X61" s="479">
        <f t="array" ref="X61">IFERROR(INDEX(Industry_Historical_Data!$A$1:$S$3000,MATCH(Industry!$G61&amp;Industry_Calculation!$D$27,Industry_Historical_Data!$A$1:$A$3000&amp;Industry_Historical_Data!$C$1:$C$3000,0&amp;0),MATCH(Industry!X$1,Industry_Historical_Data!$A$1:$S$1,0)),"")</f>
        <v>50.0862</v>
      </c>
      <c r="Y61" s="479">
        <f t="array" ref="Y61">IFERROR(INDEX(Industry_Historical_Data!$A$1:$S$3000,MATCH(Industry!$G61&amp;Industry_Calculation!$D$27,Industry_Historical_Data!$A$1:$A$3000&amp;Industry_Historical_Data!$C$1:$C$3000,0&amp;0),MATCH(Industry!Y$1,Industry_Historical_Data!$A$1:$S$1,0)),"")</f>
        <v>48.3166</v>
      </c>
      <c r="Z61" s="479">
        <f t="array" ref="Z61">IFERROR(INDEX(Industry_Historical_Data!$A$1:$S$3000,MATCH(Industry!$G61&amp;Industry_Calculation!$D$27,Industry_Historical_Data!$A$1:$A$3000&amp;Industry_Historical_Data!$C$1:$C$3000,0&amp;0),MATCH(Industry!Z$1,Industry_Historical_Data!$A$1:$S$1,0)),"")</f>
        <v>48.7276</v>
      </c>
      <c r="AA61" s="472">
        <f t="array" ref="AA61">IFERROR(INDEX(Industry_Calculation!$A$110:$M$158,MATCH(Industry!$G61,Industry_Calculation!$A$110:$A$158,0),MATCH(Industry!AA$1,Industry_Calculation!$A$110:$M$110,0)),"")</f>
        <v>49.388</v>
      </c>
      <c r="AB61" s="472">
        <f t="shared" si="54"/>
        <v>49.388</v>
      </c>
      <c r="AC61" s="482">
        <f t="shared" si="55"/>
        <v>46.1488784</v>
      </c>
      <c r="AD61" s="472">
        <f t="array" ref="AD61">IFERROR(INDEX(Industry_Calculation!$A$110:$M$158,MATCH(Industry!$G61,Industry_Calculation!$A$110:$A$158,0),MATCH(Industry!AD$1,Industry_Calculation!$A$110:$M$110,0)),"")</f>
        <v>42.9097568</v>
      </c>
      <c r="AE61" s="482">
        <f t="shared" si="56"/>
        <v>39.86317184</v>
      </c>
      <c r="AF61" s="472">
        <f t="array" ref="AF61">IFERROR(INDEX(Industry_Calculation!$A$110:$M$158,MATCH(Industry!$G61,Industry_Calculation!$A$110:$A$158,0),MATCH(Industry!AF$1,Industry_Calculation!$A$110:$M$110,0)),"")</f>
        <v>36.81658688</v>
      </c>
      <c r="AG61" s="482">
        <f t="shared" si="57"/>
        <v>35.74065344</v>
      </c>
      <c r="AH61" s="472">
        <f t="array" ref="AH61">IFERROR(INDEX(Industry_Calculation!$A$110:$M$158,MATCH(Industry!$G61,Industry_Calculation!$A$110:$A$158,0),MATCH(Industry!AH$1,Industry_Calculation!$A$110:$M$110,0)),"")</f>
        <v>34.66472</v>
      </c>
      <c r="AI61" s="475"/>
      <c r="AJ61" s="475"/>
      <c r="AK61" s="475"/>
      <c r="AL61" s="475"/>
      <c r="AM61" s="186"/>
      <c r="AN61" s="176"/>
    </row>
    <row r="62" ht="14.25" customHeight="1" outlineLevel="2">
      <c r="A62" s="269"/>
      <c r="B62" s="466"/>
      <c r="C62" s="476"/>
      <c r="D62" s="476"/>
      <c r="E62" s="270" t="s">
        <v>2175</v>
      </c>
      <c r="F62" s="249" t="s">
        <v>135</v>
      </c>
      <c r="G62" s="249" t="s">
        <v>2176</v>
      </c>
      <c r="H62" s="471" t="str">
        <f t="array" ref="H62">IFERROR(INDEX(Industry_Historical_Data!$A$1:$S$3000,MATCH(Industry!$G62&amp;Industry_Calculation!$D$27,Industry_Historical_Data!$A$1:$A$3000&amp;Industry_Historical_Data!$C$1:$C$3000,0&amp;0),MATCH(Industry!H$1,Industry_Historical_Data!$A$1:$S$1,0)),"")</f>
        <v/>
      </c>
      <c r="I62" s="471" t="str">
        <f t="array" ref="I62">IFERROR(INDEX(Industry_Historical_Data!$A$1:$S$3000,MATCH(Industry!$G62&amp;Industry_Calculation!$D$27,Industry_Historical_Data!$A$1:$A$3000&amp;Industry_Historical_Data!$C$1:$C$3000,0&amp;0),MATCH(Industry!I$1,Industry_Historical_Data!$A$1:$S$1,0)),"")</f>
        <v/>
      </c>
      <c r="J62" s="471" t="str">
        <f t="array" ref="J62">IFERROR(INDEX(Industry_Historical_Data!$A$1:$S$3000,MATCH(Industry!$G62&amp;Industry_Calculation!$D$27,Industry_Historical_Data!$A$1:$A$3000&amp;Industry_Historical_Data!$C$1:$C$3000,0&amp;0),MATCH(Industry!J$1,Industry_Historical_Data!$A$1:$S$1,0)),"")</f>
        <v/>
      </c>
      <c r="K62" s="471" t="str">
        <f t="array" ref="K62">IFERROR(INDEX(Industry_Historical_Data!$A$1:$S$3000,MATCH(Industry!$G62&amp;Industry_Calculation!$D$27,Industry_Historical_Data!$A$1:$A$3000&amp;Industry_Historical_Data!$C$1:$C$3000,0&amp;0),MATCH(Industry!K$1,Industry_Historical_Data!$A$1:$S$1,0)),"")</f>
        <v/>
      </c>
      <c r="L62" s="471" t="str">
        <f t="array" ref="L62">IFERROR(INDEX(Industry_Historical_Data!$A$1:$S$3000,MATCH(Industry!$G62&amp;Industry_Calculation!$D$27,Industry_Historical_Data!$A$1:$A$3000&amp;Industry_Historical_Data!$C$1:$C$3000,0&amp;0),MATCH(Industry!L$1,Industry_Historical_Data!$A$1:$S$1,0)),"")</f>
        <v/>
      </c>
      <c r="M62" s="471" t="str">
        <f t="array" ref="M62">IFERROR(INDEX(Industry_Historical_Data!$A$1:$S$3000,MATCH(Industry!$G62&amp;Industry_Calculation!$D$27,Industry_Historical_Data!$A$1:$A$3000&amp;Industry_Historical_Data!$C$1:$C$3000,0&amp;0),MATCH(Industry!M$1,Industry_Historical_Data!$A$1:$S$1,0)),"")</f>
        <v/>
      </c>
      <c r="N62" s="471" t="str">
        <f t="array" ref="N62">IFERROR(INDEX(Industry_Historical_Data!$A$1:$S$3000,MATCH(Industry!$G62&amp;Industry_Calculation!$D$27,Industry_Historical_Data!$A$1:$A$3000&amp;Industry_Historical_Data!$C$1:$C$3000,0&amp;0),MATCH(Industry!N$1,Industry_Historical_Data!$A$1:$S$1,0)),"")</f>
        <v/>
      </c>
      <c r="O62" s="471" t="str">
        <f t="array" ref="O62">IFERROR(INDEX(Industry_Historical_Data!$A$1:$S$3000,MATCH(Industry!$G62&amp;Industry_Calculation!$D$27,Industry_Historical_Data!$A$1:$A$3000&amp;Industry_Historical_Data!$C$1:$C$3000,0&amp;0),MATCH(Industry!O$1,Industry_Historical_Data!$A$1:$S$1,0)),"")</f>
        <v/>
      </c>
      <c r="P62" s="471" t="str">
        <f t="array" ref="P62">IFERROR(INDEX(Industry_Historical_Data!$A$1:$S$3000,MATCH(Industry!$G62&amp;Industry_Calculation!$D$27,Industry_Historical_Data!$A$1:$A$3000&amp;Industry_Historical_Data!$C$1:$C$3000,0&amp;0),MATCH(Industry!P$1,Industry_Historical_Data!$A$1:$S$1,0)),"")</f>
        <v/>
      </c>
      <c r="Q62" s="471" t="str">
        <f t="array" ref="Q62">IFERROR(INDEX(Industry_Historical_Data!$A$1:$S$3000,MATCH(Industry!$G62&amp;Industry_Calculation!$D$27,Industry_Historical_Data!$A$1:$A$3000&amp;Industry_Historical_Data!$C$1:$C$3000,0&amp;0),MATCH(Industry!Q$1,Industry_Historical_Data!$A$1:$S$1,0)),"")</f>
        <v/>
      </c>
      <c r="R62" s="471" t="str">
        <f t="array" ref="R62">IFERROR(INDEX(Industry_Historical_Data!$A$1:$S$3000,MATCH(Industry!$G62&amp;Industry_Calculation!$D$27,Industry_Historical_Data!$A$1:$A$3000&amp;Industry_Historical_Data!$C$1:$C$3000,0&amp;0),MATCH(Industry!R$1,Industry_Historical_Data!$A$1:$S$1,0)),"")</f>
        <v/>
      </c>
      <c r="S62" s="471" t="str">
        <f t="array" ref="S62">IFERROR(INDEX(Industry_Historical_Data!$A$1:$S$3000,MATCH(Industry!$G62&amp;Industry_Calculation!$D$27,Industry_Historical_Data!$A$1:$A$3000&amp;Industry_Historical_Data!$C$1:$C$3000,0&amp;0),MATCH(Industry!S$1,Industry_Historical_Data!$A$1:$S$1,0)),"")</f>
        <v/>
      </c>
      <c r="T62" s="471" t="str">
        <f t="array" ref="T62">IFERROR(INDEX(Industry_Historical_Data!$A$1:$S$3000,MATCH(Industry!$G62&amp;Industry_Calculation!$D$27,Industry_Historical_Data!$A$1:$A$3000&amp;Industry_Historical_Data!$C$1:$C$3000,0&amp;0),MATCH(Industry!T$1,Industry_Historical_Data!$A$1:$S$1,0)),"")</f>
        <v/>
      </c>
      <c r="U62" s="471" t="str">
        <f t="array" ref="U62">IFERROR(INDEX(Industry_Historical_Data!$A$1:$S$3000,MATCH(Industry!$G62&amp;Industry_Calculation!$D$27,Industry_Historical_Data!$A$1:$A$3000&amp;Industry_Historical_Data!$C$1:$C$3000,0&amp;0),MATCH(Industry!U$1,Industry_Historical_Data!$A$1:$S$1,0)),"")</f>
        <v/>
      </c>
      <c r="V62" s="471" t="str">
        <f t="array" ref="V62">IFERROR(INDEX(Industry_Historical_Data!$A$1:$S$3000,MATCH(Industry!$G62&amp;Industry_Calculation!$D$27,Industry_Historical_Data!$A$1:$A$3000&amp;Industry_Historical_Data!$C$1:$C$3000,0&amp;0),MATCH(Industry!V$1,Industry_Historical_Data!$A$1:$S$1,0)),"")</f>
        <v/>
      </c>
      <c r="W62" s="472">
        <f t="array" ref="W62">IFERROR(INDEX(Industry_Calculation!$A$110:$M$158,MATCH(Industry!$G62,Industry_Calculation!$A$110:$A$158,0),MATCH(Industry!W$1,Industry_Calculation!$A$110:$M$110,0)),"")</f>
        <v>5.34</v>
      </c>
      <c r="X62" s="479" t="str">
        <f t="array" ref="X62">IFERROR(INDEX(Industry_Historical_Data!$A$1:$S$3000,MATCH(Industry!$G62&amp;Industry_Calculation!$D$27,Industry_Historical_Data!$A$1:$A$3000&amp;Industry_Historical_Data!$C$1:$C$3000,0&amp;0),MATCH(Industry!X$1,Industry_Historical_Data!$A$1:$S$1,0)),"")</f>
        <v/>
      </c>
      <c r="Y62" s="479" t="str">
        <f t="array" ref="Y62">IFERROR(INDEX(Industry_Historical_Data!$A$1:$S$3000,MATCH(Industry!$G62&amp;Industry_Calculation!$D$27,Industry_Historical_Data!$A$1:$A$3000&amp;Industry_Historical_Data!$C$1:$C$3000,0&amp;0),MATCH(Industry!Y$1,Industry_Historical_Data!$A$1:$S$1,0)),"")</f>
        <v/>
      </c>
      <c r="Z62" s="479" t="str">
        <f t="array" ref="Z62">IFERROR(INDEX(Industry_Historical_Data!$A$1:$S$3000,MATCH(Industry!$G62&amp;Industry_Calculation!$D$27,Industry_Historical_Data!$A$1:$A$3000&amp;Industry_Historical_Data!$C$1:$C$3000,0&amp;0),MATCH(Industry!Z$1,Industry_Historical_Data!$A$1:$S$1,0)),"")</f>
        <v/>
      </c>
      <c r="AA62" s="472">
        <f t="array" ref="AA62">IFERROR(INDEX(Industry_Calculation!$A$110:$M$158,MATCH(Industry!$G62,Industry_Calculation!$A$110:$A$158,0),MATCH(Industry!AA$1,Industry_Calculation!$A$110:$M$110,0)),"")</f>
        <v>5.34</v>
      </c>
      <c r="AB62" s="472">
        <f t="shared" si="54"/>
        <v>5.34</v>
      </c>
      <c r="AC62" s="482">
        <f t="shared" si="55"/>
        <v>4.4886</v>
      </c>
      <c r="AD62" s="472">
        <f t="array" ref="AD62">IFERROR(INDEX(Industry_Calculation!$A$110:$M$158,MATCH(Industry!$G62,Industry_Calculation!$A$110:$A$158,0),MATCH(Industry!AD$1,Industry_Calculation!$A$110:$M$110,0)),"")</f>
        <v>3.6372</v>
      </c>
      <c r="AE62" s="482">
        <f t="shared" si="56"/>
        <v>2.7978816</v>
      </c>
      <c r="AF62" s="472">
        <f t="array" ref="AF62">IFERROR(INDEX(Industry_Calculation!$A$110:$M$158,MATCH(Industry!$G62,Industry_Calculation!$A$110:$A$158,0),MATCH(Industry!AF$1,Industry_Calculation!$A$110:$M$110,0)),"")</f>
        <v>1.9585632</v>
      </c>
      <c r="AG62" s="482">
        <f t="shared" si="57"/>
        <v>1.7142816</v>
      </c>
      <c r="AH62" s="472">
        <f t="array" ref="AH62">IFERROR(INDEX(Industry_Calculation!$A$110:$M$158,MATCH(Industry!$G62,Industry_Calculation!$A$110:$A$158,0),MATCH(Industry!AH$1,Industry_Calculation!$A$110:$M$110,0)),"")</f>
        <v>1.47</v>
      </c>
      <c r="AI62" s="475"/>
      <c r="AJ62" s="475"/>
      <c r="AK62" s="475"/>
      <c r="AL62" s="475"/>
      <c r="AM62" s="186"/>
      <c r="AN62" s="176"/>
    </row>
    <row r="63" ht="14.25" customHeight="1" outlineLevel="2">
      <c r="A63" s="269"/>
      <c r="B63" s="466"/>
      <c r="C63" s="476"/>
      <c r="D63" s="476"/>
      <c r="E63" s="270" t="s">
        <v>2177</v>
      </c>
      <c r="F63" s="249" t="s">
        <v>135</v>
      </c>
      <c r="G63" s="249" t="s">
        <v>2178</v>
      </c>
      <c r="H63" s="471" t="str">
        <f t="array" ref="H63">IFERROR(INDEX(Industry_Historical_Data!$A$1:$S$3000,MATCH(Industry!$G63&amp;Industry_Calculation!$D$27,Industry_Historical_Data!$A$1:$A$3000&amp;Industry_Historical_Data!$C$1:$C$3000,0&amp;0),MATCH(Industry!H$1,Industry_Historical_Data!$A$1:$S$1,0)),"")</f>
        <v/>
      </c>
      <c r="I63" s="471" t="str">
        <f t="array" ref="I63">IFERROR(INDEX(Industry_Historical_Data!$A$1:$S$3000,MATCH(Industry!$G63&amp;Industry_Calculation!$D$27,Industry_Historical_Data!$A$1:$A$3000&amp;Industry_Historical_Data!$C$1:$C$3000,0&amp;0),MATCH(Industry!I$1,Industry_Historical_Data!$A$1:$S$1,0)),"")</f>
        <v/>
      </c>
      <c r="J63" s="471" t="str">
        <f t="array" ref="J63">IFERROR(INDEX(Industry_Historical_Data!$A$1:$S$3000,MATCH(Industry!$G63&amp;Industry_Calculation!$D$27,Industry_Historical_Data!$A$1:$A$3000&amp;Industry_Historical_Data!$C$1:$C$3000,0&amp;0),MATCH(Industry!J$1,Industry_Historical_Data!$A$1:$S$1,0)),"")</f>
        <v/>
      </c>
      <c r="K63" s="471" t="str">
        <f t="array" ref="K63">IFERROR(INDEX(Industry_Historical_Data!$A$1:$S$3000,MATCH(Industry!$G63&amp;Industry_Calculation!$D$27,Industry_Historical_Data!$A$1:$A$3000&amp;Industry_Historical_Data!$C$1:$C$3000,0&amp;0),MATCH(Industry!K$1,Industry_Historical_Data!$A$1:$S$1,0)),"")</f>
        <v/>
      </c>
      <c r="L63" s="471" t="str">
        <f t="array" ref="L63">IFERROR(INDEX(Industry_Historical_Data!$A$1:$S$3000,MATCH(Industry!$G63&amp;Industry_Calculation!$D$27,Industry_Historical_Data!$A$1:$A$3000&amp;Industry_Historical_Data!$C$1:$C$3000,0&amp;0),MATCH(Industry!L$1,Industry_Historical_Data!$A$1:$S$1,0)),"")</f>
        <v/>
      </c>
      <c r="M63" s="471" t="str">
        <f t="array" ref="M63">IFERROR(INDEX(Industry_Historical_Data!$A$1:$S$3000,MATCH(Industry!$G63&amp;Industry_Calculation!$D$27,Industry_Historical_Data!$A$1:$A$3000&amp;Industry_Historical_Data!$C$1:$C$3000,0&amp;0),MATCH(Industry!M$1,Industry_Historical_Data!$A$1:$S$1,0)),"")</f>
        <v/>
      </c>
      <c r="N63" s="471" t="str">
        <f t="array" ref="N63">IFERROR(INDEX(Industry_Historical_Data!$A$1:$S$3000,MATCH(Industry!$G63&amp;Industry_Calculation!$D$27,Industry_Historical_Data!$A$1:$A$3000&amp;Industry_Historical_Data!$C$1:$C$3000,0&amp;0),MATCH(Industry!N$1,Industry_Historical_Data!$A$1:$S$1,0)),"")</f>
        <v/>
      </c>
      <c r="O63" s="471" t="str">
        <f t="array" ref="O63">IFERROR(INDEX(Industry_Historical_Data!$A$1:$S$3000,MATCH(Industry!$G63&amp;Industry_Calculation!$D$27,Industry_Historical_Data!$A$1:$A$3000&amp;Industry_Historical_Data!$C$1:$C$3000,0&amp;0),MATCH(Industry!O$1,Industry_Historical_Data!$A$1:$S$1,0)),"")</f>
        <v/>
      </c>
      <c r="P63" s="471" t="str">
        <f t="array" ref="P63">IFERROR(INDEX(Industry_Historical_Data!$A$1:$S$3000,MATCH(Industry!$G63&amp;Industry_Calculation!$D$27,Industry_Historical_Data!$A$1:$A$3000&amp;Industry_Historical_Data!$C$1:$C$3000,0&amp;0),MATCH(Industry!P$1,Industry_Historical_Data!$A$1:$S$1,0)),"")</f>
        <v/>
      </c>
      <c r="Q63" s="471" t="str">
        <f t="array" ref="Q63">IFERROR(INDEX(Industry_Historical_Data!$A$1:$S$3000,MATCH(Industry!$G63&amp;Industry_Calculation!$D$27,Industry_Historical_Data!$A$1:$A$3000&amp;Industry_Historical_Data!$C$1:$C$3000,0&amp;0),MATCH(Industry!Q$1,Industry_Historical_Data!$A$1:$S$1,0)),"")</f>
        <v/>
      </c>
      <c r="R63" s="471" t="str">
        <f t="array" ref="R63">IFERROR(INDEX(Industry_Historical_Data!$A$1:$S$3000,MATCH(Industry!$G63&amp;Industry_Calculation!$D$27,Industry_Historical_Data!$A$1:$A$3000&amp;Industry_Historical_Data!$C$1:$C$3000,0&amp;0),MATCH(Industry!R$1,Industry_Historical_Data!$A$1:$S$1,0)),"")</f>
        <v/>
      </c>
      <c r="S63" s="471" t="str">
        <f t="array" ref="S63">IFERROR(INDEX(Industry_Historical_Data!$A$1:$S$3000,MATCH(Industry!$G63&amp;Industry_Calculation!$D$27,Industry_Historical_Data!$A$1:$A$3000&amp;Industry_Historical_Data!$C$1:$C$3000,0&amp;0),MATCH(Industry!S$1,Industry_Historical_Data!$A$1:$S$1,0)),"")</f>
        <v/>
      </c>
      <c r="T63" s="471" t="str">
        <f t="array" ref="T63">IFERROR(INDEX(Industry_Historical_Data!$A$1:$S$3000,MATCH(Industry!$G63&amp;Industry_Calculation!$D$27,Industry_Historical_Data!$A$1:$A$3000&amp;Industry_Historical_Data!$C$1:$C$3000,0&amp;0),MATCH(Industry!T$1,Industry_Historical_Data!$A$1:$S$1,0)),"")</f>
        <v/>
      </c>
      <c r="U63" s="471" t="str">
        <f t="array" ref="U63">IFERROR(INDEX(Industry_Historical_Data!$A$1:$S$3000,MATCH(Industry!$G63&amp;Industry_Calculation!$D$27,Industry_Historical_Data!$A$1:$A$3000&amp;Industry_Historical_Data!$C$1:$C$3000,0&amp;0),MATCH(Industry!U$1,Industry_Historical_Data!$A$1:$S$1,0)),"")</f>
        <v/>
      </c>
      <c r="V63" s="471" t="str">
        <f t="array" ref="V63">IFERROR(INDEX(Industry_Historical_Data!$A$1:$S$3000,MATCH(Industry!$G63&amp;Industry_Calculation!$D$27,Industry_Historical_Data!$A$1:$A$3000&amp;Industry_Historical_Data!$C$1:$C$3000,0&amp;0),MATCH(Industry!V$1,Industry_Historical_Data!$A$1:$S$1,0)),"")</f>
        <v/>
      </c>
      <c r="W63" s="472">
        <f t="array" ref="W63">IFERROR(INDEX(Industry_Calculation!$A$110:$M$158,MATCH(Industry!$G63,Industry_Calculation!$A$110:$A$158,0),MATCH(Industry!W$1,Industry_Calculation!$A$110:$M$110,0)),"")</f>
        <v>30</v>
      </c>
      <c r="X63" s="479" t="str">
        <f t="array" ref="X63">IFERROR(INDEX(Industry_Historical_Data!$A$1:$S$3000,MATCH(Industry!$G63&amp;Industry_Calculation!$D$27,Industry_Historical_Data!$A$1:$A$3000&amp;Industry_Historical_Data!$C$1:$C$3000,0&amp;0),MATCH(Industry!X$1,Industry_Historical_Data!$A$1:$S$1,0)),"")</f>
        <v/>
      </c>
      <c r="Y63" s="479" t="str">
        <f t="array" ref="Y63">IFERROR(INDEX(Industry_Historical_Data!$A$1:$S$3000,MATCH(Industry!$G63&amp;Industry_Calculation!$D$27,Industry_Historical_Data!$A$1:$A$3000&amp;Industry_Historical_Data!$C$1:$C$3000,0&amp;0),MATCH(Industry!Y$1,Industry_Historical_Data!$A$1:$S$1,0)),"")</f>
        <v/>
      </c>
      <c r="Z63" s="479" t="str">
        <f t="array" ref="Z63">IFERROR(INDEX(Industry_Historical_Data!$A$1:$S$3000,MATCH(Industry!$G63&amp;Industry_Calculation!$D$27,Industry_Historical_Data!$A$1:$A$3000&amp;Industry_Historical_Data!$C$1:$C$3000,0&amp;0),MATCH(Industry!Z$1,Industry_Historical_Data!$A$1:$S$1,0)),"")</f>
        <v/>
      </c>
      <c r="AA63" s="472">
        <f t="array" ref="AA63">IFERROR(INDEX(Industry_Calculation!$A$110:$M$158,MATCH(Industry!$G63,Industry_Calculation!$A$110:$A$158,0),MATCH(Industry!AA$1,Industry_Calculation!$A$110:$M$110,0)),"")</f>
        <v>30</v>
      </c>
      <c r="AB63" s="472">
        <f t="shared" si="54"/>
        <v>30</v>
      </c>
      <c r="AC63" s="482">
        <f t="shared" si="55"/>
        <v>28.261296</v>
      </c>
      <c r="AD63" s="472">
        <f t="array" ref="AD63">IFERROR(INDEX(Industry_Calculation!$A$110:$M$158,MATCH(Industry!$G63,Industry_Calculation!$A$110:$A$158,0),MATCH(Industry!AD$1,Industry_Calculation!$A$110:$M$110,0)),"")</f>
        <v>26.522592</v>
      </c>
      <c r="AE63" s="482">
        <f t="shared" si="56"/>
        <v>24.90534144</v>
      </c>
      <c r="AF63" s="472">
        <f t="array" ref="AF63">IFERROR(INDEX(Industry_Calculation!$A$110:$M$158,MATCH(Industry!$G63,Industry_Calculation!$A$110:$A$158,0),MATCH(Industry!AF$1,Industry_Calculation!$A$110:$M$110,0)),"")</f>
        <v>23.28809088</v>
      </c>
      <c r="AG63" s="482">
        <f t="shared" si="57"/>
        <v>22.69244544</v>
      </c>
      <c r="AH63" s="472">
        <f t="array" ref="AH63">IFERROR(INDEX(Industry_Calculation!$A$110:$M$158,MATCH(Industry!$G63,Industry_Calculation!$A$110:$A$158,0),MATCH(Industry!AH$1,Industry_Calculation!$A$110:$M$110,0)),"")</f>
        <v>22.0968</v>
      </c>
      <c r="AI63" s="475"/>
      <c r="AJ63" s="475"/>
      <c r="AK63" s="475"/>
      <c r="AL63" s="475"/>
      <c r="AM63" s="186"/>
      <c r="AN63" s="176"/>
    </row>
    <row r="64" ht="15.75" customHeight="1" outlineLevel="2">
      <c r="A64" s="269"/>
      <c r="B64" s="466"/>
      <c r="C64" s="476"/>
      <c r="D64" s="476"/>
      <c r="E64" s="270" t="s">
        <v>2179</v>
      </c>
      <c r="F64" s="249" t="s">
        <v>135</v>
      </c>
      <c r="G64" s="249" t="s">
        <v>2180</v>
      </c>
      <c r="H64" s="471" t="str">
        <f t="array" ref="H64">IFERROR(INDEX(Industry_Historical_Data!$A$1:$S$3000,MATCH(Industry!$G64&amp;Industry_Calculation!$D$27,Industry_Historical_Data!$A$1:$A$3000&amp;Industry_Historical_Data!$C$1:$C$3000,0&amp;0),MATCH(Industry!H$1,Industry_Historical_Data!$A$1:$S$1,0)),"")</f>
        <v/>
      </c>
      <c r="I64" s="471" t="str">
        <f t="array" ref="I64">IFERROR(INDEX(Industry_Historical_Data!$A$1:$S$3000,MATCH(Industry!$G64&amp;Industry_Calculation!$D$27,Industry_Historical_Data!$A$1:$A$3000&amp;Industry_Historical_Data!$C$1:$C$3000,0&amp;0),MATCH(Industry!I$1,Industry_Historical_Data!$A$1:$S$1,0)),"")</f>
        <v/>
      </c>
      <c r="J64" s="471" t="str">
        <f t="array" ref="J64">IFERROR(INDEX(Industry_Historical_Data!$A$1:$S$3000,MATCH(Industry!$G64&amp;Industry_Calculation!$D$27,Industry_Historical_Data!$A$1:$A$3000&amp;Industry_Historical_Data!$C$1:$C$3000,0&amp;0),MATCH(Industry!J$1,Industry_Historical_Data!$A$1:$S$1,0)),"")</f>
        <v/>
      </c>
      <c r="K64" s="471" t="str">
        <f t="array" ref="K64">IFERROR(INDEX(Industry_Historical_Data!$A$1:$S$3000,MATCH(Industry!$G64&amp;Industry_Calculation!$D$27,Industry_Historical_Data!$A$1:$A$3000&amp;Industry_Historical_Data!$C$1:$C$3000,0&amp;0),MATCH(Industry!K$1,Industry_Historical_Data!$A$1:$S$1,0)),"")</f>
        <v/>
      </c>
      <c r="L64" s="471" t="str">
        <f t="array" ref="L64">IFERROR(INDEX(Industry_Historical_Data!$A$1:$S$3000,MATCH(Industry!$G64&amp;Industry_Calculation!$D$27,Industry_Historical_Data!$A$1:$A$3000&amp;Industry_Historical_Data!$C$1:$C$3000,0&amp;0),MATCH(Industry!L$1,Industry_Historical_Data!$A$1:$S$1,0)),"")</f>
        <v/>
      </c>
      <c r="M64" s="471" t="str">
        <f t="array" ref="M64">IFERROR(INDEX(Industry_Historical_Data!$A$1:$S$3000,MATCH(Industry!$G64&amp;Industry_Calculation!$D$27,Industry_Historical_Data!$A$1:$A$3000&amp;Industry_Historical_Data!$C$1:$C$3000,0&amp;0),MATCH(Industry!M$1,Industry_Historical_Data!$A$1:$S$1,0)),"")</f>
        <v/>
      </c>
      <c r="N64" s="471" t="str">
        <f t="array" ref="N64">IFERROR(INDEX(Industry_Historical_Data!$A$1:$S$3000,MATCH(Industry!$G64&amp;Industry_Calculation!$D$27,Industry_Historical_Data!$A$1:$A$3000&amp;Industry_Historical_Data!$C$1:$C$3000,0&amp;0),MATCH(Industry!N$1,Industry_Historical_Data!$A$1:$S$1,0)),"")</f>
        <v/>
      </c>
      <c r="O64" s="471" t="str">
        <f t="array" ref="O64">IFERROR(INDEX(Industry_Historical_Data!$A$1:$S$3000,MATCH(Industry!$G64&amp;Industry_Calculation!$D$27,Industry_Historical_Data!$A$1:$A$3000&amp;Industry_Historical_Data!$C$1:$C$3000,0&amp;0),MATCH(Industry!O$1,Industry_Historical_Data!$A$1:$S$1,0)),"")</f>
        <v/>
      </c>
      <c r="P64" s="471" t="str">
        <f t="array" ref="P64">IFERROR(INDEX(Industry_Historical_Data!$A$1:$S$3000,MATCH(Industry!$G64&amp;Industry_Calculation!$D$27,Industry_Historical_Data!$A$1:$A$3000&amp;Industry_Historical_Data!$C$1:$C$3000,0&amp;0),MATCH(Industry!P$1,Industry_Historical_Data!$A$1:$S$1,0)),"")</f>
        <v/>
      </c>
      <c r="Q64" s="471" t="str">
        <f t="array" ref="Q64">IFERROR(INDEX(Industry_Historical_Data!$A$1:$S$3000,MATCH(Industry!$G64&amp;Industry_Calculation!$D$27,Industry_Historical_Data!$A$1:$A$3000&amp;Industry_Historical_Data!$C$1:$C$3000,0&amp;0),MATCH(Industry!Q$1,Industry_Historical_Data!$A$1:$S$1,0)),"")</f>
        <v/>
      </c>
      <c r="R64" s="471" t="str">
        <f t="array" ref="R64">IFERROR(INDEX(Industry_Historical_Data!$A$1:$S$3000,MATCH(Industry!$G64&amp;Industry_Calculation!$D$27,Industry_Historical_Data!$A$1:$A$3000&amp;Industry_Historical_Data!$C$1:$C$3000,0&amp;0),MATCH(Industry!R$1,Industry_Historical_Data!$A$1:$S$1,0)),"")</f>
        <v/>
      </c>
      <c r="S64" s="471" t="str">
        <f t="array" ref="S64">IFERROR(INDEX(Industry_Historical_Data!$A$1:$S$3000,MATCH(Industry!$G64&amp;Industry_Calculation!$D$27,Industry_Historical_Data!$A$1:$A$3000&amp;Industry_Historical_Data!$C$1:$C$3000,0&amp;0),MATCH(Industry!S$1,Industry_Historical_Data!$A$1:$S$1,0)),"")</f>
        <v/>
      </c>
      <c r="T64" s="471" t="str">
        <f t="array" ref="T64">IFERROR(INDEX(Industry_Historical_Data!$A$1:$S$3000,MATCH(Industry!$G64&amp;Industry_Calculation!$D$27,Industry_Historical_Data!$A$1:$A$3000&amp;Industry_Historical_Data!$C$1:$C$3000,0&amp;0),MATCH(Industry!T$1,Industry_Historical_Data!$A$1:$S$1,0)),"")</f>
        <v/>
      </c>
      <c r="U64" s="471" t="str">
        <f t="array" ref="U64">IFERROR(INDEX(Industry_Historical_Data!$A$1:$S$3000,MATCH(Industry!$G64&amp;Industry_Calculation!$D$27,Industry_Historical_Data!$A$1:$A$3000&amp;Industry_Historical_Data!$C$1:$C$3000,0&amp;0),MATCH(Industry!U$1,Industry_Historical_Data!$A$1:$S$1,0)),"")</f>
        <v/>
      </c>
      <c r="V64" s="471" t="str">
        <f t="array" ref="V64">IFERROR(INDEX(Industry_Historical_Data!$A$1:$S$3000,MATCH(Industry!$G64&amp;Industry_Calculation!$D$27,Industry_Historical_Data!$A$1:$A$3000&amp;Industry_Historical_Data!$C$1:$C$3000,0&amp;0),MATCH(Industry!V$1,Industry_Historical_Data!$A$1:$S$1,0)),"")</f>
        <v/>
      </c>
      <c r="W64" s="472">
        <f t="array" ref="W64">IFERROR(INDEX(Industry_Calculation!$A$110:$M$158,MATCH(Industry!$G64,Industry_Calculation!$A$110:$A$158,0),MATCH(Industry!W$1,Industry_Calculation!$A$110:$M$110,0)),"")</f>
        <v>14.048</v>
      </c>
      <c r="X64" s="479" t="str">
        <f t="array" ref="X64">IFERROR(INDEX(Industry_Historical_Data!$A$1:$S$3000,MATCH(Industry!$G64&amp;Industry_Calculation!$D$27,Industry_Historical_Data!$A$1:$A$3000&amp;Industry_Historical_Data!$C$1:$C$3000,0&amp;0),MATCH(Industry!X$1,Industry_Historical_Data!$A$1:$S$1,0)),"")</f>
        <v/>
      </c>
      <c r="Y64" s="479" t="str">
        <f t="array" ref="Y64">IFERROR(INDEX(Industry_Historical_Data!$A$1:$S$3000,MATCH(Industry!$G64&amp;Industry_Calculation!$D$27,Industry_Historical_Data!$A$1:$A$3000&amp;Industry_Historical_Data!$C$1:$C$3000,0&amp;0),MATCH(Industry!Y$1,Industry_Historical_Data!$A$1:$S$1,0)),"")</f>
        <v/>
      </c>
      <c r="Z64" s="479" t="str">
        <f t="array" ref="Z64">IFERROR(INDEX(Industry_Historical_Data!$A$1:$S$3000,MATCH(Industry!$G64&amp;Industry_Calculation!$D$27,Industry_Historical_Data!$A$1:$A$3000&amp;Industry_Historical_Data!$C$1:$C$3000,0&amp;0),MATCH(Industry!Z$1,Industry_Historical_Data!$A$1:$S$1,0)),"")</f>
        <v/>
      </c>
      <c r="AA64" s="472">
        <f t="array" ref="AA64">IFERROR(INDEX(Industry_Calculation!$A$110:$M$158,MATCH(Industry!$G64,Industry_Calculation!$A$110:$A$158,0),MATCH(Industry!AA$1,Industry_Calculation!$A$110:$M$110,0)),"")</f>
        <v>14.048</v>
      </c>
      <c r="AB64" s="472">
        <f t="shared" si="54"/>
        <v>14.048</v>
      </c>
      <c r="AC64" s="482">
        <f t="shared" si="55"/>
        <v>13.3989824</v>
      </c>
      <c r="AD64" s="472">
        <f t="array" ref="AD64">IFERROR(INDEX(Industry_Calculation!$A$110:$M$158,MATCH(Industry!$G64,Industry_Calculation!$A$110:$A$158,0),MATCH(Industry!AD$1,Industry_Calculation!$A$110:$M$110,0)),"")</f>
        <v>12.7499648</v>
      </c>
      <c r="AE64" s="482">
        <f t="shared" si="56"/>
        <v>12.1599488</v>
      </c>
      <c r="AF64" s="472">
        <f t="array" ref="AF64">IFERROR(INDEX(Industry_Calculation!$A$110:$M$158,MATCH(Industry!$G64,Industry_Calculation!$A$110:$A$158,0),MATCH(Industry!AF$1,Industry_Calculation!$A$110:$M$110,0)),"")</f>
        <v>11.5699328</v>
      </c>
      <c r="AG64" s="482">
        <f t="shared" si="57"/>
        <v>11.3339264</v>
      </c>
      <c r="AH64" s="472">
        <f t="array" ref="AH64">IFERROR(INDEX(Industry_Calculation!$A$110:$M$158,MATCH(Industry!$G64,Industry_Calculation!$A$110:$A$158,0),MATCH(Industry!AH$1,Industry_Calculation!$A$110:$M$110,0)),"")</f>
        <v>11.09792</v>
      </c>
      <c r="AI64" s="475"/>
      <c r="AJ64" s="475"/>
      <c r="AK64" s="475"/>
      <c r="AL64" s="475"/>
      <c r="AM64" s="186"/>
      <c r="AN64" s="176"/>
    </row>
    <row r="65" ht="14.25" customHeight="1" outlineLevel="2">
      <c r="A65" s="269"/>
      <c r="B65" s="466"/>
      <c r="C65" s="476"/>
      <c r="D65" s="476"/>
      <c r="E65" s="180" t="s">
        <v>2181</v>
      </c>
      <c r="F65" s="123" t="s">
        <v>135</v>
      </c>
      <c r="G65" s="123" t="s">
        <v>2182</v>
      </c>
      <c r="H65" s="471" t="str">
        <f t="array" ref="H65">IFERROR(INDEX(Industry_Historical_Data!$A$1:$S$3000,MATCH(Industry!$G65&amp;Industry_Calculation!$D$27,Industry_Historical_Data!$A$1:$A$3000&amp;Industry_Historical_Data!$C$1:$C$3000,0&amp;0),MATCH(Industry!H$1,Industry_Historical_Data!$A$1:$S$1,0)),"")</f>
        <v/>
      </c>
      <c r="I65" s="471" t="str">
        <f t="array" ref="I65">IFERROR(INDEX(Industry_Historical_Data!$A$1:$S$3000,MATCH(Industry!$G65&amp;Industry_Calculation!$D$27,Industry_Historical_Data!$A$1:$A$3000&amp;Industry_Historical_Data!$C$1:$C$3000,0&amp;0),MATCH(Industry!I$1,Industry_Historical_Data!$A$1:$S$1,0)),"")</f>
        <v/>
      </c>
      <c r="J65" s="471" t="str">
        <f t="array" ref="J65">IFERROR(INDEX(Industry_Historical_Data!$A$1:$S$3000,MATCH(Industry!$G65&amp;Industry_Calculation!$D$27,Industry_Historical_Data!$A$1:$A$3000&amp;Industry_Historical_Data!$C$1:$C$3000,0&amp;0),MATCH(Industry!J$1,Industry_Historical_Data!$A$1:$S$1,0)),"")</f>
        <v/>
      </c>
      <c r="K65" s="471" t="str">
        <f t="array" ref="K65">IFERROR(INDEX(Industry_Historical_Data!$A$1:$S$3000,MATCH(Industry!$G65&amp;Industry_Calculation!$D$27,Industry_Historical_Data!$A$1:$A$3000&amp;Industry_Historical_Data!$C$1:$C$3000,0&amp;0),MATCH(Industry!K$1,Industry_Historical_Data!$A$1:$S$1,0)),"")</f>
        <v/>
      </c>
      <c r="L65" s="471" t="str">
        <f t="array" ref="L65">IFERROR(INDEX(Industry_Historical_Data!$A$1:$S$3000,MATCH(Industry!$G65&amp;Industry_Calculation!$D$27,Industry_Historical_Data!$A$1:$A$3000&amp;Industry_Historical_Data!$C$1:$C$3000,0&amp;0),MATCH(Industry!L$1,Industry_Historical_Data!$A$1:$S$1,0)),"")</f>
        <v/>
      </c>
      <c r="M65" s="471" t="str">
        <f t="array" ref="M65">IFERROR(INDEX(Industry_Historical_Data!$A$1:$S$3000,MATCH(Industry!$G65&amp;Industry_Calculation!$D$27,Industry_Historical_Data!$A$1:$A$3000&amp;Industry_Historical_Data!$C$1:$C$3000,0&amp;0),MATCH(Industry!M$1,Industry_Historical_Data!$A$1:$S$1,0)),"")</f>
        <v/>
      </c>
      <c r="N65" s="471" t="str">
        <f t="array" ref="N65">IFERROR(INDEX(Industry_Historical_Data!$A$1:$S$3000,MATCH(Industry!$G65&amp;Industry_Calculation!$D$27,Industry_Historical_Data!$A$1:$A$3000&amp;Industry_Historical_Data!$C$1:$C$3000,0&amp;0),MATCH(Industry!N$1,Industry_Historical_Data!$A$1:$S$1,0)),"")</f>
        <v/>
      </c>
      <c r="O65" s="471" t="str">
        <f t="array" ref="O65">IFERROR(INDEX(Industry_Historical_Data!$A$1:$S$3000,MATCH(Industry!$G65&amp;Industry_Calculation!$D$27,Industry_Historical_Data!$A$1:$A$3000&amp;Industry_Historical_Data!$C$1:$C$3000,0&amp;0),MATCH(Industry!O$1,Industry_Historical_Data!$A$1:$S$1,0)),"")</f>
        <v/>
      </c>
      <c r="P65" s="471" t="str">
        <f t="array" ref="P65">IFERROR(INDEX(Industry_Historical_Data!$A$1:$S$3000,MATCH(Industry!$G65&amp;Industry_Calculation!$D$27,Industry_Historical_Data!$A$1:$A$3000&amp;Industry_Historical_Data!$C$1:$C$3000,0&amp;0),MATCH(Industry!P$1,Industry_Historical_Data!$A$1:$S$1,0)),"")</f>
        <v/>
      </c>
      <c r="Q65" s="471" t="str">
        <f t="array" ref="Q65">IFERROR(INDEX(Industry_Historical_Data!$A$1:$S$3000,MATCH(Industry!$G65&amp;Industry_Calculation!$D$27,Industry_Historical_Data!$A$1:$A$3000&amp;Industry_Historical_Data!$C$1:$C$3000,0&amp;0),MATCH(Industry!Q$1,Industry_Historical_Data!$A$1:$S$1,0)),"")</f>
        <v/>
      </c>
      <c r="R65" s="471">
        <f t="array" ref="R65">IFERROR(INDEX(Industry_Historical_Data!$A$1:$S$3000,MATCH(Industry!$G65&amp;Industry_Calculation!$D$27,Industry_Historical_Data!$A$1:$A$3000&amp;Industry_Historical_Data!$C$1:$C$3000,0&amp;0),MATCH(Industry!R$1,Industry_Historical_Data!$A$1:$S$1,0)),"")</f>
        <v>3.428</v>
      </c>
      <c r="S65" s="471">
        <f t="array" ref="S65">IFERROR(INDEX(Industry_Historical_Data!$A$1:$S$3000,MATCH(Industry!$G65&amp;Industry_Calculation!$D$27,Industry_Historical_Data!$A$1:$A$3000&amp;Industry_Historical_Data!$C$1:$C$3000,0&amp;0),MATCH(Industry!S$1,Industry_Historical_Data!$A$1:$S$1,0)),"")</f>
        <v>3.3483</v>
      </c>
      <c r="T65" s="471">
        <f t="array" ref="T65">IFERROR(INDEX(Industry_Historical_Data!$A$1:$S$3000,MATCH(Industry!$G65&amp;Industry_Calculation!$D$27,Industry_Historical_Data!$A$1:$A$3000&amp;Industry_Historical_Data!$C$1:$C$3000,0&amp;0),MATCH(Industry!T$1,Industry_Historical_Data!$A$1:$S$1,0)),"")</f>
        <v>3.3622</v>
      </c>
      <c r="U65" s="471">
        <f t="array" ref="U65">IFERROR(INDEX(Industry_Historical_Data!$A$1:$S$3000,MATCH(Industry!$G65&amp;Industry_Calculation!$D$27,Industry_Historical_Data!$A$1:$A$3000&amp;Industry_Historical_Data!$C$1:$C$3000,0&amp;0),MATCH(Industry!U$1,Industry_Historical_Data!$A$1:$S$1,0)),"")</f>
        <v>3.4521</v>
      </c>
      <c r="V65" s="471">
        <f t="array" ref="V65">IFERROR(INDEX(Industry_Historical_Data!$A$1:$S$3000,MATCH(Industry!$G65&amp;Industry_Calculation!$D$27,Industry_Historical_Data!$A$1:$A$3000&amp;Industry_Historical_Data!$C$1:$C$3000,0&amp;0),MATCH(Industry!V$1,Industry_Historical_Data!$A$1:$S$1,0)),"")</f>
        <v>3.4135</v>
      </c>
      <c r="W65" s="472">
        <f t="array" ref="W65">IFERROR(INDEX(Industry_Calculation!$A$110:$M$158,MATCH(Industry!$G65,Industry_Calculation!$A$110:$A$158,0),MATCH(Industry!W$1,Industry_Calculation!$A$110:$M$110,0)),"")</f>
        <v>3.4152</v>
      </c>
      <c r="X65" s="479">
        <f t="array" ref="X65">IFERROR(INDEX(Industry_Historical_Data!$A$1:$S$3000,MATCH(Industry!$G65&amp;Industry_Calculation!$D$27,Industry_Historical_Data!$A$1:$A$3000&amp;Industry_Historical_Data!$C$1:$C$3000,0&amp;0),MATCH(Industry!X$1,Industry_Historical_Data!$A$1:$S$1,0)),"")</f>
        <v>3.4069</v>
      </c>
      <c r="Y65" s="479">
        <f t="array" ref="Y65">IFERROR(INDEX(Industry_Historical_Data!$A$1:$S$3000,MATCH(Industry!$G65&amp;Industry_Calculation!$D$27,Industry_Historical_Data!$A$1:$A$3000&amp;Industry_Historical_Data!$C$1:$C$3000,0&amp;0),MATCH(Industry!Y$1,Industry_Historical_Data!$A$1:$S$1,0)),"")</f>
        <v>3.4824</v>
      </c>
      <c r="Z65" s="479">
        <f t="array" ref="Z65">IFERROR(INDEX(Industry_Historical_Data!$A$1:$S$3000,MATCH(Industry!$G65&amp;Industry_Calculation!$D$27,Industry_Historical_Data!$A$1:$A$3000&amp;Industry_Historical_Data!$C$1:$C$3000,0&amp;0),MATCH(Industry!Z$1,Industry_Historical_Data!$A$1:$S$1,0)),"")</f>
        <v>3.6202</v>
      </c>
      <c r="AA65" s="472">
        <f t="array" ref="AA65">IFERROR(INDEX(Industry_Calculation!$A$110:$M$158,MATCH(Industry!$G65,Industry_Calculation!$A$110:$A$158,0),MATCH(Industry!AA$1,Industry_Calculation!$A$110:$M$110,0)),"")</f>
        <v>3.474788333</v>
      </c>
      <c r="AB65" s="472">
        <f t="shared" si="54"/>
        <v>3.474788333</v>
      </c>
      <c r="AC65" s="482">
        <f t="shared" si="55"/>
        <v>3.207229631</v>
      </c>
      <c r="AD65" s="472">
        <f t="array" ref="AD65">IFERROR(INDEX(Industry_Calculation!$A$110:$M$158,MATCH(Industry!$G65,Industry_Calculation!$A$110:$A$158,0),MATCH(Industry!AD$1,Industry_Calculation!$A$110:$M$110,0)),"")</f>
        <v>2.93967093</v>
      </c>
      <c r="AE65" s="482">
        <f t="shared" si="56"/>
        <v>2.696435746</v>
      </c>
      <c r="AF65" s="472">
        <f t="array" ref="AF65">IFERROR(INDEX(Industry_Calculation!$A$110:$M$158,MATCH(Industry!$G65,Industry_Calculation!$A$110:$A$158,0),MATCH(Industry!AF$1,Industry_Calculation!$A$110:$M$110,0)),"")</f>
        <v>2.453200563</v>
      </c>
      <c r="AG65" s="482">
        <f t="shared" si="57"/>
        <v>2.35590649</v>
      </c>
      <c r="AH65" s="472">
        <f t="array" ref="AH65">IFERROR(INDEX(Industry_Calculation!$A$110:$M$158,MATCH(Industry!$G65,Industry_Calculation!$A$110:$A$158,0),MATCH(Industry!AH$1,Industry_Calculation!$A$110:$M$110,0)),"")</f>
        <v>2.258612416</v>
      </c>
      <c r="AI65" s="475"/>
      <c r="AJ65" s="475"/>
      <c r="AK65" s="475"/>
      <c r="AL65" s="475"/>
      <c r="AM65" s="186"/>
      <c r="AN65" s="176"/>
    </row>
    <row r="66" ht="14.25" customHeight="1" outlineLevel="2">
      <c r="A66" s="468"/>
      <c r="B66" s="466"/>
      <c r="C66" s="476"/>
      <c r="D66" s="470" t="s">
        <v>2116</v>
      </c>
      <c r="E66" s="162"/>
      <c r="F66" s="162"/>
      <c r="G66" s="162"/>
      <c r="H66" s="480"/>
      <c r="I66" s="480"/>
      <c r="J66" s="480"/>
      <c r="K66" s="480"/>
      <c r="L66" s="480"/>
      <c r="M66" s="480"/>
      <c r="N66" s="480"/>
      <c r="O66" s="480"/>
      <c r="P66" s="480"/>
      <c r="Q66" s="480"/>
      <c r="R66" s="480"/>
      <c r="S66" s="480"/>
      <c r="T66" s="480"/>
      <c r="U66" s="480"/>
      <c r="V66" s="480"/>
      <c r="W66" s="480"/>
      <c r="X66" s="480"/>
      <c r="Y66" s="480"/>
      <c r="Z66" s="480"/>
      <c r="AA66" s="480"/>
      <c r="AB66" s="480"/>
      <c r="AC66" s="480"/>
      <c r="AD66" s="480"/>
      <c r="AE66" s="480"/>
      <c r="AF66" s="480"/>
      <c r="AG66" s="480"/>
      <c r="AH66" s="480"/>
      <c r="AI66" s="271"/>
      <c r="AJ66" s="271"/>
      <c r="AK66" s="271"/>
      <c r="AL66" s="271"/>
      <c r="AM66" s="100"/>
      <c r="AN66" s="176"/>
    </row>
    <row r="67" ht="14.25" customHeight="1" outlineLevel="2">
      <c r="A67" s="269"/>
      <c r="B67" s="466"/>
      <c r="C67" s="476"/>
      <c r="D67" s="476"/>
      <c r="E67" s="287" t="s">
        <v>2183</v>
      </c>
      <c r="F67" s="249" t="s">
        <v>135</v>
      </c>
      <c r="G67" s="249" t="s">
        <v>2184</v>
      </c>
      <c r="H67" s="471" t="str">
        <f t="array" ref="H67">IFERROR(INDEX(Industry_Historical_Data!$A$1:$S$3000,MATCH(Industry!$G67&amp;Industry_Calculation!$D$27,Industry_Historical_Data!$A$1:$A$3000&amp;Industry_Historical_Data!$C$1:$C$3000,0&amp;0),MATCH(Industry!H$1,Industry_Historical_Data!$A$1:$S$1,0)),"")</f>
        <v/>
      </c>
      <c r="I67" s="471" t="str">
        <f t="array" ref="I67">IFERROR(INDEX(Industry_Historical_Data!$A$1:$S$3000,MATCH(Industry!$G67&amp;Industry_Calculation!$D$27,Industry_Historical_Data!$A$1:$A$3000&amp;Industry_Historical_Data!$C$1:$C$3000,0&amp;0),MATCH(Industry!I$1,Industry_Historical_Data!$A$1:$S$1,0)),"")</f>
        <v/>
      </c>
      <c r="J67" s="471" t="str">
        <f t="array" ref="J67">IFERROR(INDEX(Industry_Historical_Data!$A$1:$S$3000,MATCH(Industry!$G67&amp;Industry_Calculation!$D$27,Industry_Historical_Data!$A$1:$A$3000&amp;Industry_Historical_Data!$C$1:$C$3000,0&amp;0),MATCH(Industry!J$1,Industry_Historical_Data!$A$1:$S$1,0)),"")</f>
        <v/>
      </c>
      <c r="K67" s="471" t="str">
        <f t="array" ref="K67">IFERROR(INDEX(Industry_Historical_Data!$A$1:$S$3000,MATCH(Industry!$G67&amp;Industry_Calculation!$D$27,Industry_Historical_Data!$A$1:$A$3000&amp;Industry_Historical_Data!$C$1:$C$3000,0&amp;0),MATCH(Industry!K$1,Industry_Historical_Data!$A$1:$S$1,0)),"")</f>
        <v/>
      </c>
      <c r="L67" s="471" t="str">
        <f t="array" ref="L67">IFERROR(INDEX(Industry_Historical_Data!$A$1:$S$3000,MATCH(Industry!$G67&amp;Industry_Calculation!$D$27,Industry_Historical_Data!$A$1:$A$3000&amp;Industry_Historical_Data!$C$1:$C$3000,0&amp;0),MATCH(Industry!L$1,Industry_Historical_Data!$A$1:$S$1,0)),"")</f>
        <v/>
      </c>
      <c r="M67" s="471" t="str">
        <f t="array" ref="M67">IFERROR(INDEX(Industry_Historical_Data!$A$1:$S$3000,MATCH(Industry!$G67&amp;Industry_Calculation!$D$27,Industry_Historical_Data!$A$1:$A$3000&amp;Industry_Historical_Data!$C$1:$C$3000,0&amp;0),MATCH(Industry!M$1,Industry_Historical_Data!$A$1:$S$1,0)),"")</f>
        <v/>
      </c>
      <c r="N67" s="471" t="str">
        <f t="array" ref="N67">IFERROR(INDEX(Industry_Historical_Data!$A$1:$S$3000,MATCH(Industry!$G67&amp;Industry_Calculation!$D$27,Industry_Historical_Data!$A$1:$A$3000&amp;Industry_Historical_Data!$C$1:$C$3000,0&amp;0),MATCH(Industry!N$1,Industry_Historical_Data!$A$1:$S$1,0)),"")</f>
        <v/>
      </c>
      <c r="O67" s="471" t="str">
        <f t="array" ref="O67">IFERROR(INDEX(Industry_Historical_Data!$A$1:$S$3000,MATCH(Industry!$G67&amp;Industry_Calculation!$D$27,Industry_Historical_Data!$A$1:$A$3000&amp;Industry_Historical_Data!$C$1:$C$3000,0&amp;0),MATCH(Industry!O$1,Industry_Historical_Data!$A$1:$S$1,0)),"")</f>
        <v/>
      </c>
      <c r="P67" s="471" t="str">
        <f t="array" ref="P67">IFERROR(INDEX(Industry_Historical_Data!$A$1:$S$3000,MATCH(Industry!$G67&amp;Industry_Calculation!$D$27,Industry_Historical_Data!$A$1:$A$3000&amp;Industry_Historical_Data!$C$1:$C$3000,0&amp;0),MATCH(Industry!P$1,Industry_Historical_Data!$A$1:$S$1,0)),"")</f>
        <v/>
      </c>
      <c r="Q67" s="471" t="str">
        <f t="array" ref="Q67">IFERROR(INDEX(Industry_Historical_Data!$A$1:$S$3000,MATCH(Industry!$G67&amp;Industry_Calculation!$D$27,Industry_Historical_Data!$A$1:$A$3000&amp;Industry_Historical_Data!$C$1:$C$3000,0&amp;0),MATCH(Industry!Q$1,Industry_Historical_Data!$A$1:$S$1,0)),"")</f>
        <v/>
      </c>
      <c r="R67" s="471">
        <f t="array" ref="R67">IFERROR(INDEX(Industry_Historical_Data!$A$1:$S$3000,MATCH(Industry!$G67&amp;Industry_Calculation!$D$27,Industry_Historical_Data!$A$1:$A$3000&amp;Industry_Historical_Data!$C$1:$C$3000,0&amp;0),MATCH(Industry!R$1,Industry_Historical_Data!$A$1:$S$1,0)),"")</f>
        <v>9.005</v>
      </c>
      <c r="S67" s="471">
        <f t="array" ref="S67">IFERROR(INDEX(Industry_Historical_Data!$A$1:$S$3000,MATCH(Industry!$G67&amp;Industry_Calculation!$D$27,Industry_Historical_Data!$A$1:$A$3000&amp;Industry_Historical_Data!$C$1:$C$3000,0&amp;0),MATCH(Industry!S$1,Industry_Historical_Data!$A$1:$S$1,0)),"")</f>
        <v>8.0796</v>
      </c>
      <c r="T67" s="471">
        <f t="array" ref="T67">IFERROR(INDEX(Industry_Historical_Data!$A$1:$S$3000,MATCH(Industry!$G67&amp;Industry_Calculation!$D$27,Industry_Historical_Data!$A$1:$A$3000&amp;Industry_Historical_Data!$C$1:$C$3000,0&amp;0),MATCH(Industry!T$1,Industry_Historical_Data!$A$1:$S$1,0)),"")</f>
        <v>7.8172</v>
      </c>
      <c r="U67" s="471">
        <f t="array" ref="U67">IFERROR(INDEX(Industry_Historical_Data!$A$1:$S$3000,MATCH(Industry!$G67&amp;Industry_Calculation!$D$27,Industry_Historical_Data!$A$1:$A$3000&amp;Industry_Historical_Data!$C$1:$C$3000,0&amp;0),MATCH(Industry!U$1,Industry_Historical_Data!$A$1:$S$1,0)),"")</f>
        <v>8.546</v>
      </c>
      <c r="V67" s="471">
        <f t="array" ref="V67">IFERROR(INDEX(Industry_Historical_Data!$A$1:$S$3000,MATCH(Industry!$G67&amp;Industry_Calculation!$D$27,Industry_Historical_Data!$A$1:$A$3000&amp;Industry_Historical_Data!$C$1:$C$3000,0&amp;0),MATCH(Industry!V$1,Industry_Historical_Data!$A$1:$S$1,0)),"")</f>
        <v>8.4526</v>
      </c>
      <c r="W67" s="472">
        <f t="array" ref="W67">IFERROR(INDEX(Industry_Calculation!$A$110:$M$158,MATCH(Industry!$G67,Industry_Calculation!$A$110:$A$158,0),MATCH(Industry!W$1,Industry_Calculation!$A$110:$M$110,0)),"")</f>
        <v>8.2554</v>
      </c>
      <c r="X67" s="479">
        <f t="array" ref="X67">IFERROR(INDEX(Industry_Historical_Data!$A$1:$S$3000,MATCH(Industry!$G67&amp;Industry_Calculation!$D$27,Industry_Historical_Data!$A$1:$A$3000&amp;Industry_Historical_Data!$C$1:$C$3000,0&amp;0),MATCH(Industry!X$1,Industry_Historical_Data!$A$1:$S$1,0)),"")</f>
        <v>8.5654</v>
      </c>
      <c r="Y67" s="479">
        <f t="array" ref="Y67">IFERROR(INDEX(Industry_Historical_Data!$A$1:$S$3000,MATCH(Industry!$G67&amp;Industry_Calculation!$D$27,Industry_Historical_Data!$A$1:$A$3000&amp;Industry_Historical_Data!$C$1:$C$3000,0&amp;0),MATCH(Industry!Y$1,Industry_Historical_Data!$A$1:$S$1,0)),"")</f>
        <v>8.1416</v>
      </c>
      <c r="Z67" s="479">
        <f t="array" ref="Z67">IFERROR(INDEX(Industry_Historical_Data!$A$1:$S$3000,MATCH(Industry!$G67&amp;Industry_Calculation!$D$27,Industry_Historical_Data!$A$1:$A$3000&amp;Industry_Historical_Data!$C$1:$C$3000,0&amp;0),MATCH(Industry!Z$1,Industry_Historical_Data!$A$1:$S$1,0)),"")</f>
        <v>8.0669</v>
      </c>
      <c r="AA67" s="472">
        <f t="array" ref="AA67">IFERROR(INDEX(Industry_Calculation!$A$110:$M$158,MATCH(Industry!$G67,Industry_Calculation!$A$110:$A$158,0),MATCH(Industry!AA$1,Industry_Calculation!$A$110:$M$110,0)),"")</f>
        <v>7.546488366</v>
      </c>
      <c r="AB67" s="472">
        <f t="shared" ref="AB67:AB69" si="58">IFERROR(AA67,"")</f>
        <v>7.546488366</v>
      </c>
      <c r="AC67" s="482">
        <f t="shared" ref="AC67:AC69" si="59">IFERROR(AVERAGE(AD67,AB67),"")</f>
        <v>6.878763425</v>
      </c>
      <c r="AD67" s="472">
        <f t="array" ref="AD67">IFERROR(INDEX(Industry_Calculation!$A$110:$M$158,MATCH(Industry!$G67,Industry_Calculation!$A$110:$A$158,0),MATCH(Industry!AD$1,Industry_Calculation!$A$110:$M$110,0)),"")</f>
        <v>6.211038485</v>
      </c>
      <c r="AE67" s="482">
        <f t="shared" ref="AE67:AE69" si="60">IFERROR(AVERAGE(AF67,AD67),"")</f>
        <v>5.63101391</v>
      </c>
      <c r="AF67" s="472">
        <f t="array" ref="AF67">IFERROR(INDEX(Industry_Calculation!$A$110:$M$158,MATCH(Industry!$G67,Industry_Calculation!$A$110:$A$158,0),MATCH(Industry!AF$1,Industry_Calculation!$A$110:$M$110,0)),"")</f>
        <v>5.050989336</v>
      </c>
      <c r="AG67" s="482">
        <f t="shared" ref="AG67:AG69" si="61">IFERROR(AVERAGE(AH67,AF67),"")</f>
        <v>4.781182168</v>
      </c>
      <c r="AH67" s="472">
        <f t="array" ref="AH67">IFERROR(INDEX(Industry_Calculation!$A$110:$M$158,MATCH(Industry!$G67,Industry_Calculation!$A$110:$A$158,0),MATCH(Industry!AH$1,Industry_Calculation!$A$110:$M$110,0)),"")</f>
        <v>4.511375</v>
      </c>
      <c r="AI67" s="475"/>
      <c r="AJ67" s="475"/>
      <c r="AK67" s="475"/>
      <c r="AL67" s="475"/>
      <c r="AM67" s="186"/>
      <c r="AN67" s="176"/>
    </row>
    <row r="68" ht="14.25" customHeight="1" outlineLevel="2">
      <c r="A68" s="269"/>
      <c r="B68" s="466"/>
      <c r="C68" s="476"/>
      <c r="D68" s="476"/>
      <c r="E68" s="287" t="s">
        <v>2185</v>
      </c>
      <c r="F68" s="249" t="s">
        <v>135</v>
      </c>
      <c r="G68" s="249" t="s">
        <v>2186</v>
      </c>
      <c r="H68" s="471" t="str">
        <f t="array" ref="H68">IFERROR(INDEX(Industry_Historical_Data!$A$1:$S$3000,MATCH(Industry!$G68&amp;Industry_Calculation!$D$27,Industry_Historical_Data!$A$1:$A$3000&amp;Industry_Historical_Data!$C$1:$C$3000,0&amp;0),MATCH(Industry!H$1,Industry_Historical_Data!$A$1:$S$1,0)),"")</f>
        <v/>
      </c>
      <c r="I68" s="471" t="str">
        <f t="array" ref="I68">IFERROR(INDEX(Industry_Historical_Data!$A$1:$S$3000,MATCH(Industry!$G68&amp;Industry_Calculation!$D$27,Industry_Historical_Data!$A$1:$A$3000&amp;Industry_Historical_Data!$C$1:$C$3000,0&amp;0),MATCH(Industry!I$1,Industry_Historical_Data!$A$1:$S$1,0)),"")</f>
        <v/>
      </c>
      <c r="J68" s="471" t="str">
        <f t="array" ref="J68">IFERROR(INDEX(Industry_Historical_Data!$A$1:$S$3000,MATCH(Industry!$G68&amp;Industry_Calculation!$D$27,Industry_Historical_Data!$A$1:$A$3000&amp;Industry_Historical_Data!$C$1:$C$3000,0&amp;0),MATCH(Industry!J$1,Industry_Historical_Data!$A$1:$S$1,0)),"")</f>
        <v/>
      </c>
      <c r="K68" s="471" t="str">
        <f t="array" ref="K68">IFERROR(INDEX(Industry_Historical_Data!$A$1:$S$3000,MATCH(Industry!$G68&amp;Industry_Calculation!$D$27,Industry_Historical_Data!$A$1:$A$3000&amp;Industry_Historical_Data!$C$1:$C$3000,0&amp;0),MATCH(Industry!K$1,Industry_Historical_Data!$A$1:$S$1,0)),"")</f>
        <v/>
      </c>
      <c r="L68" s="471" t="str">
        <f t="array" ref="L68">IFERROR(INDEX(Industry_Historical_Data!$A$1:$S$3000,MATCH(Industry!$G68&amp;Industry_Calculation!$D$27,Industry_Historical_Data!$A$1:$A$3000&amp;Industry_Historical_Data!$C$1:$C$3000,0&amp;0),MATCH(Industry!L$1,Industry_Historical_Data!$A$1:$S$1,0)),"")</f>
        <v/>
      </c>
      <c r="M68" s="471" t="str">
        <f t="array" ref="M68">IFERROR(INDEX(Industry_Historical_Data!$A$1:$S$3000,MATCH(Industry!$G68&amp;Industry_Calculation!$D$27,Industry_Historical_Data!$A$1:$A$3000&amp;Industry_Historical_Data!$C$1:$C$3000,0&amp;0),MATCH(Industry!M$1,Industry_Historical_Data!$A$1:$S$1,0)),"")</f>
        <v/>
      </c>
      <c r="N68" s="471" t="str">
        <f t="array" ref="N68">IFERROR(INDEX(Industry_Historical_Data!$A$1:$S$3000,MATCH(Industry!$G68&amp;Industry_Calculation!$D$27,Industry_Historical_Data!$A$1:$A$3000&amp;Industry_Historical_Data!$C$1:$C$3000,0&amp;0),MATCH(Industry!N$1,Industry_Historical_Data!$A$1:$S$1,0)),"")</f>
        <v/>
      </c>
      <c r="O68" s="471" t="str">
        <f t="array" ref="O68">IFERROR(INDEX(Industry_Historical_Data!$A$1:$S$3000,MATCH(Industry!$G68&amp;Industry_Calculation!$D$27,Industry_Historical_Data!$A$1:$A$3000&amp;Industry_Historical_Data!$C$1:$C$3000,0&amp;0),MATCH(Industry!O$1,Industry_Historical_Data!$A$1:$S$1,0)),"")</f>
        <v/>
      </c>
      <c r="P68" s="471" t="str">
        <f t="array" ref="P68">IFERROR(INDEX(Industry_Historical_Data!$A$1:$S$3000,MATCH(Industry!$G68&amp;Industry_Calculation!$D$27,Industry_Historical_Data!$A$1:$A$3000&amp;Industry_Historical_Data!$C$1:$C$3000,0&amp;0),MATCH(Industry!P$1,Industry_Historical_Data!$A$1:$S$1,0)),"")</f>
        <v/>
      </c>
      <c r="Q68" s="471" t="str">
        <f t="array" ref="Q68">IFERROR(INDEX(Industry_Historical_Data!$A$1:$S$3000,MATCH(Industry!$G68&amp;Industry_Calculation!$D$27,Industry_Historical_Data!$A$1:$A$3000&amp;Industry_Historical_Data!$C$1:$C$3000,0&amp;0),MATCH(Industry!Q$1,Industry_Historical_Data!$A$1:$S$1,0)),"")</f>
        <v/>
      </c>
      <c r="R68" s="471">
        <f t="array" ref="R68">IFERROR(INDEX(Industry_Historical_Data!$A$1:$S$3000,MATCH(Industry!$G68&amp;Industry_Calculation!$D$27,Industry_Historical_Data!$A$1:$A$3000&amp;Industry_Historical_Data!$C$1:$C$3000,0&amp;0),MATCH(Industry!R$1,Industry_Historical_Data!$A$1:$S$1,0)),"")</f>
        <v>16.1924</v>
      </c>
      <c r="S68" s="471">
        <f t="array" ref="S68">IFERROR(INDEX(Industry_Historical_Data!$A$1:$S$3000,MATCH(Industry!$G68&amp;Industry_Calculation!$D$27,Industry_Historical_Data!$A$1:$A$3000&amp;Industry_Historical_Data!$C$1:$C$3000,0&amp;0),MATCH(Industry!S$1,Industry_Historical_Data!$A$1:$S$1,0)),"")</f>
        <v>15.4086</v>
      </c>
      <c r="T68" s="471">
        <f t="array" ref="T68">IFERROR(INDEX(Industry_Historical_Data!$A$1:$S$3000,MATCH(Industry!$G68&amp;Industry_Calculation!$D$27,Industry_Historical_Data!$A$1:$A$3000&amp;Industry_Historical_Data!$C$1:$C$3000,0&amp;0),MATCH(Industry!T$1,Industry_Historical_Data!$A$1:$S$1,0)),"")</f>
        <v>15.5922</v>
      </c>
      <c r="U68" s="471">
        <f t="array" ref="U68">IFERROR(INDEX(Industry_Historical_Data!$A$1:$S$3000,MATCH(Industry!$G68&amp;Industry_Calculation!$D$27,Industry_Historical_Data!$A$1:$A$3000&amp;Industry_Historical_Data!$C$1:$C$3000,0&amp;0),MATCH(Industry!U$1,Industry_Historical_Data!$A$1:$S$1,0)),"")</f>
        <v>15.8963</v>
      </c>
      <c r="V68" s="471">
        <f t="array" ref="V68">IFERROR(INDEX(Industry_Historical_Data!$A$1:$S$3000,MATCH(Industry!$G68&amp;Industry_Calculation!$D$27,Industry_Historical_Data!$A$1:$A$3000&amp;Industry_Historical_Data!$C$1:$C$3000,0&amp;0),MATCH(Industry!V$1,Industry_Historical_Data!$A$1:$S$1,0)),"")</f>
        <v>16.5381</v>
      </c>
      <c r="W68" s="472">
        <f t="array" ref="W68">IFERROR(INDEX(Industry_Calculation!$A$110:$M$158,MATCH(Industry!$G68,Industry_Calculation!$A$110:$A$158,0),MATCH(Industry!W$1,Industry_Calculation!$A$110:$M$110,0)),"")</f>
        <v>16.5379</v>
      </c>
      <c r="X68" s="479">
        <f t="array" ref="X68">IFERROR(INDEX(Industry_Historical_Data!$A$1:$S$3000,MATCH(Industry!$G68&amp;Industry_Calculation!$D$27,Industry_Historical_Data!$A$1:$A$3000&amp;Industry_Historical_Data!$C$1:$C$3000,0&amp;0),MATCH(Industry!X$1,Industry_Historical_Data!$A$1:$S$1,0)),"")</f>
        <v>17.1377</v>
      </c>
      <c r="Y68" s="479">
        <f t="array" ref="Y68">IFERROR(INDEX(Industry_Historical_Data!$A$1:$S$3000,MATCH(Industry!$G68&amp;Industry_Calculation!$D$27,Industry_Historical_Data!$A$1:$A$3000&amp;Industry_Historical_Data!$C$1:$C$3000,0&amp;0),MATCH(Industry!Y$1,Industry_Historical_Data!$A$1:$S$1,0)),"")</f>
        <v>17.704</v>
      </c>
      <c r="Z68" s="479">
        <f t="array" ref="Z68">IFERROR(INDEX(Industry_Historical_Data!$A$1:$S$3000,MATCH(Industry!$G68&amp;Industry_Calculation!$D$27,Industry_Historical_Data!$A$1:$A$3000&amp;Industry_Historical_Data!$C$1:$C$3000,0&amp;0),MATCH(Industry!Z$1,Industry_Historical_Data!$A$1:$S$1,0)),"")</f>
        <v>18.7558</v>
      </c>
      <c r="AA68" s="472">
        <f t="array" ref="AA68">IFERROR(INDEX(Industry_Calculation!$A$110:$M$158,MATCH(Industry!$G68,Industry_Calculation!$A$110:$A$158,0),MATCH(Industry!AA$1,Industry_Calculation!$A$110:$M$110,0)),"")</f>
        <v>18.47465588</v>
      </c>
      <c r="AB68" s="472">
        <f t="shared" si="58"/>
        <v>18.47465588</v>
      </c>
      <c r="AC68" s="482">
        <f t="shared" si="59"/>
        <v>16.23922252</v>
      </c>
      <c r="AD68" s="472">
        <f t="array" ref="AD68">IFERROR(INDEX(Industry_Calculation!$A$110:$M$158,MATCH(Industry!$G68,Industry_Calculation!$A$110:$A$158,0),MATCH(Industry!AD$1,Industry_Calculation!$A$110:$M$110,0)),"")</f>
        <v>14.00378916</v>
      </c>
      <c r="AE68" s="482">
        <f t="shared" si="60"/>
        <v>11.97157701</v>
      </c>
      <c r="AF68" s="472">
        <f t="array" ref="AF68">IFERROR(INDEX(Industry_Calculation!$A$110:$M$158,MATCH(Industry!$G68,Industry_Calculation!$A$110:$A$158,0),MATCH(Industry!AF$1,Industry_Calculation!$A$110:$M$110,0)),"")</f>
        <v>9.939364864</v>
      </c>
      <c r="AG68" s="482">
        <f t="shared" si="61"/>
        <v>9.126480005</v>
      </c>
      <c r="AH68" s="472">
        <f t="array" ref="AH68">IFERROR(INDEX(Industry_Calculation!$A$110:$M$158,MATCH(Industry!$G68,Industry_Calculation!$A$110:$A$158,0),MATCH(Industry!AH$1,Industry_Calculation!$A$110:$M$110,0)),"")</f>
        <v>8.313595146</v>
      </c>
      <c r="AI68" s="475"/>
      <c r="AJ68" s="475"/>
      <c r="AK68" s="475"/>
      <c r="AL68" s="475"/>
      <c r="AM68" s="186"/>
      <c r="AN68" s="176"/>
    </row>
    <row r="69" ht="14.25" customHeight="1" outlineLevel="2">
      <c r="A69" s="269"/>
      <c r="B69" s="466"/>
      <c r="C69" s="476"/>
      <c r="D69" s="476"/>
      <c r="E69" s="180" t="s">
        <v>2187</v>
      </c>
      <c r="F69" s="123" t="s">
        <v>135</v>
      </c>
      <c r="G69" s="123" t="s">
        <v>2188</v>
      </c>
      <c r="H69" s="471" t="str">
        <f t="array" ref="H69">IFERROR(INDEX(Industry_Historical_Data!$A$1:$S$3000,MATCH(Industry!$G69&amp;Industry_Calculation!$D$27,Industry_Historical_Data!$A$1:$A$3000&amp;Industry_Historical_Data!$C$1:$C$3000,0&amp;0),MATCH(Industry!H$1,Industry_Historical_Data!$A$1:$S$1,0)),"")</f>
        <v/>
      </c>
      <c r="I69" s="471" t="str">
        <f t="array" ref="I69">IFERROR(INDEX(Industry_Historical_Data!$A$1:$S$3000,MATCH(Industry!$G69&amp;Industry_Calculation!$D$27,Industry_Historical_Data!$A$1:$A$3000&amp;Industry_Historical_Data!$C$1:$C$3000,0&amp;0),MATCH(Industry!I$1,Industry_Historical_Data!$A$1:$S$1,0)),"")</f>
        <v/>
      </c>
      <c r="J69" s="471" t="str">
        <f t="array" ref="J69">IFERROR(INDEX(Industry_Historical_Data!$A$1:$S$3000,MATCH(Industry!$G69&amp;Industry_Calculation!$D$27,Industry_Historical_Data!$A$1:$A$3000&amp;Industry_Historical_Data!$C$1:$C$3000,0&amp;0),MATCH(Industry!J$1,Industry_Historical_Data!$A$1:$S$1,0)),"")</f>
        <v/>
      </c>
      <c r="K69" s="471" t="str">
        <f t="array" ref="K69">IFERROR(INDEX(Industry_Historical_Data!$A$1:$S$3000,MATCH(Industry!$G69&amp;Industry_Calculation!$D$27,Industry_Historical_Data!$A$1:$A$3000&amp;Industry_Historical_Data!$C$1:$C$3000,0&amp;0),MATCH(Industry!K$1,Industry_Historical_Data!$A$1:$S$1,0)),"")</f>
        <v/>
      </c>
      <c r="L69" s="471" t="str">
        <f t="array" ref="L69">IFERROR(INDEX(Industry_Historical_Data!$A$1:$S$3000,MATCH(Industry!$G69&amp;Industry_Calculation!$D$27,Industry_Historical_Data!$A$1:$A$3000&amp;Industry_Historical_Data!$C$1:$C$3000,0&amp;0),MATCH(Industry!L$1,Industry_Historical_Data!$A$1:$S$1,0)),"")</f>
        <v/>
      </c>
      <c r="M69" s="471" t="str">
        <f t="array" ref="M69">IFERROR(INDEX(Industry_Historical_Data!$A$1:$S$3000,MATCH(Industry!$G69&amp;Industry_Calculation!$D$27,Industry_Historical_Data!$A$1:$A$3000&amp;Industry_Historical_Data!$C$1:$C$3000,0&amp;0),MATCH(Industry!M$1,Industry_Historical_Data!$A$1:$S$1,0)),"")</f>
        <v/>
      </c>
      <c r="N69" s="471" t="str">
        <f t="array" ref="N69">IFERROR(INDEX(Industry_Historical_Data!$A$1:$S$3000,MATCH(Industry!$G69&amp;Industry_Calculation!$D$27,Industry_Historical_Data!$A$1:$A$3000&amp;Industry_Historical_Data!$C$1:$C$3000,0&amp;0),MATCH(Industry!N$1,Industry_Historical_Data!$A$1:$S$1,0)),"")</f>
        <v/>
      </c>
      <c r="O69" s="471" t="str">
        <f t="array" ref="O69">IFERROR(INDEX(Industry_Historical_Data!$A$1:$S$3000,MATCH(Industry!$G69&amp;Industry_Calculation!$D$27,Industry_Historical_Data!$A$1:$A$3000&amp;Industry_Historical_Data!$C$1:$C$3000,0&amp;0),MATCH(Industry!O$1,Industry_Historical_Data!$A$1:$S$1,0)),"")</f>
        <v/>
      </c>
      <c r="P69" s="471" t="str">
        <f t="array" ref="P69">IFERROR(INDEX(Industry_Historical_Data!$A$1:$S$3000,MATCH(Industry!$G69&amp;Industry_Calculation!$D$27,Industry_Historical_Data!$A$1:$A$3000&amp;Industry_Historical_Data!$C$1:$C$3000,0&amp;0),MATCH(Industry!P$1,Industry_Historical_Data!$A$1:$S$1,0)),"")</f>
        <v/>
      </c>
      <c r="Q69" s="471" t="str">
        <f t="array" ref="Q69">IFERROR(INDEX(Industry_Historical_Data!$A$1:$S$3000,MATCH(Industry!$G69&amp;Industry_Calculation!$D$27,Industry_Historical_Data!$A$1:$A$3000&amp;Industry_Historical_Data!$C$1:$C$3000,0&amp;0),MATCH(Industry!Q$1,Industry_Historical_Data!$A$1:$S$1,0)),"")</f>
        <v/>
      </c>
      <c r="R69" s="471" t="str">
        <f t="array" ref="R69">IFERROR(INDEX(Industry_Historical_Data!$A$1:$S$3000,MATCH(Industry!$G69&amp;Industry_Calculation!$D$27,Industry_Historical_Data!$A$1:$A$3000&amp;Industry_Historical_Data!$C$1:$C$3000,0&amp;0),MATCH(Industry!R$1,Industry_Historical_Data!$A$1:$S$1,0)),"")</f>
        <v/>
      </c>
      <c r="S69" s="471" t="str">
        <f t="array" ref="S69">IFERROR(INDEX(Industry_Historical_Data!$A$1:$S$3000,MATCH(Industry!$G69&amp;Industry_Calculation!$D$27,Industry_Historical_Data!$A$1:$A$3000&amp;Industry_Historical_Data!$C$1:$C$3000,0&amp;0),MATCH(Industry!S$1,Industry_Historical_Data!$A$1:$S$1,0)),"")</f>
        <v/>
      </c>
      <c r="T69" s="471" t="str">
        <f t="array" ref="T69">IFERROR(INDEX(Industry_Historical_Data!$A$1:$S$3000,MATCH(Industry!$G69&amp;Industry_Calculation!$D$27,Industry_Historical_Data!$A$1:$A$3000&amp;Industry_Historical_Data!$C$1:$C$3000,0&amp;0),MATCH(Industry!T$1,Industry_Historical_Data!$A$1:$S$1,0)),"")</f>
        <v/>
      </c>
      <c r="U69" s="471" t="str">
        <f t="array" ref="U69">IFERROR(INDEX(Industry_Historical_Data!$A$1:$S$3000,MATCH(Industry!$G69&amp;Industry_Calculation!$D$27,Industry_Historical_Data!$A$1:$A$3000&amp;Industry_Historical_Data!$C$1:$C$3000,0&amp;0),MATCH(Industry!U$1,Industry_Historical_Data!$A$1:$S$1,0)),"")</f>
        <v/>
      </c>
      <c r="V69" s="471" t="str">
        <f t="array" ref="V69">IFERROR(INDEX(Industry_Historical_Data!$A$1:$S$3000,MATCH(Industry!$G69&amp;Industry_Calculation!$D$27,Industry_Historical_Data!$A$1:$A$3000&amp;Industry_Historical_Data!$C$1:$C$3000,0&amp;0),MATCH(Industry!V$1,Industry_Historical_Data!$A$1:$S$1,0)),"")</f>
        <v/>
      </c>
      <c r="W69" s="472">
        <f t="array" ref="W69">IFERROR(INDEX(Industry_Calculation!$A$110:$M$158,MATCH(Industry!$G69,Industry_Calculation!$A$110:$A$158,0),MATCH(Industry!W$1,Industry_Calculation!$A$110:$M$110,0)),"")</f>
        <v>23.7778</v>
      </c>
      <c r="X69" s="479" t="str">
        <f t="array" ref="X69">IFERROR(INDEX(Industry_Historical_Data!$A$1:$S$3000,MATCH(Industry!$G69&amp;Industry_Calculation!$D$27,Industry_Historical_Data!$A$1:$A$3000&amp;Industry_Historical_Data!$C$1:$C$3000,0&amp;0),MATCH(Industry!X$1,Industry_Historical_Data!$A$1:$S$1,0)),"")</f>
        <v/>
      </c>
      <c r="Y69" s="479" t="str">
        <f t="array" ref="Y69">IFERROR(INDEX(Industry_Historical_Data!$A$1:$S$3000,MATCH(Industry!$G69&amp;Industry_Calculation!$D$27,Industry_Historical_Data!$A$1:$A$3000&amp;Industry_Historical_Data!$C$1:$C$3000,0&amp;0),MATCH(Industry!Y$1,Industry_Historical_Data!$A$1:$S$1,0)),"")</f>
        <v/>
      </c>
      <c r="Z69" s="479" t="str">
        <f t="array" ref="Z69">IFERROR(INDEX(Industry_Historical_Data!$A$1:$S$3000,MATCH(Industry!$G69&amp;Industry_Calculation!$D$27,Industry_Historical_Data!$A$1:$A$3000&amp;Industry_Historical_Data!$C$1:$C$3000,0&amp;0),MATCH(Industry!Z$1,Industry_Historical_Data!$A$1:$S$1,0)),"")</f>
        <v/>
      </c>
      <c r="AA69" s="472">
        <f t="array" ref="AA69">IFERROR(INDEX(Industry_Calculation!$A$110:$M$158,MATCH(Industry!$G69,Industry_Calculation!$A$110:$A$158,0),MATCH(Industry!AA$1,Industry_Calculation!$A$110:$M$110,0)),"")</f>
        <v>18.67637373</v>
      </c>
      <c r="AB69" s="472">
        <f t="shared" si="58"/>
        <v>18.67637373</v>
      </c>
      <c r="AC69" s="482">
        <f t="shared" si="59"/>
        <v>17.64917318</v>
      </c>
      <c r="AD69" s="472">
        <f t="array" ref="AD69">IFERROR(INDEX(Industry_Calculation!$A$110:$M$158,MATCH(Industry!$G69,Industry_Calculation!$A$110:$A$158,0),MATCH(Industry!AD$1,Industry_Calculation!$A$110:$M$110,0)),"")</f>
        <v>16.62197262</v>
      </c>
      <c r="AE69" s="482">
        <f t="shared" si="60"/>
        <v>15.68815393</v>
      </c>
      <c r="AF69" s="472">
        <f t="array" ref="AF69">IFERROR(INDEX(Industry_Calculation!$A$110:$M$158,MATCH(Industry!$G69,Industry_Calculation!$A$110:$A$158,0),MATCH(Industry!AF$1,Industry_Calculation!$A$110:$M$110,0)),"")</f>
        <v>14.75433525</v>
      </c>
      <c r="AG69" s="482">
        <f t="shared" si="61"/>
        <v>14.38080777</v>
      </c>
      <c r="AH69" s="472">
        <f t="array" ref="AH69">IFERROR(INDEX(Industry_Calculation!$A$110:$M$158,MATCH(Industry!$G69,Industry_Calculation!$A$110:$A$158,0),MATCH(Industry!AH$1,Industry_Calculation!$A$110:$M$110,0)),"")</f>
        <v>14.0072803</v>
      </c>
      <c r="AI69" s="475"/>
      <c r="AJ69" s="475"/>
      <c r="AK69" s="475"/>
      <c r="AL69" s="475"/>
      <c r="AM69" s="186"/>
      <c r="AN69" s="176"/>
    </row>
    <row r="70" ht="14.25" customHeight="1" outlineLevel="1">
      <c r="A70" s="269"/>
      <c r="B70" s="466" t="s">
        <v>2189</v>
      </c>
      <c r="C70" s="476"/>
      <c r="D70" s="467"/>
      <c r="E70" s="162"/>
      <c r="F70" s="162"/>
      <c r="G70" s="162"/>
      <c r="H70" s="480"/>
      <c r="I70" s="480"/>
      <c r="J70" s="480"/>
      <c r="K70" s="480"/>
      <c r="L70" s="480"/>
      <c r="M70" s="480"/>
      <c r="N70" s="480"/>
      <c r="O70" s="480"/>
      <c r="P70" s="480"/>
      <c r="Q70" s="480"/>
      <c r="R70" s="480"/>
      <c r="S70" s="480"/>
      <c r="T70" s="480"/>
      <c r="U70" s="480"/>
      <c r="V70" s="480"/>
      <c r="W70" s="480"/>
      <c r="X70" s="480"/>
      <c r="Y70" s="480"/>
      <c r="Z70" s="480"/>
      <c r="AA70" s="480"/>
      <c r="AB70" s="480"/>
      <c r="AC70" s="480"/>
      <c r="AD70" s="480"/>
      <c r="AE70" s="480"/>
      <c r="AF70" s="480"/>
      <c r="AG70" s="480"/>
      <c r="AH70" s="480"/>
      <c r="AI70" s="271"/>
      <c r="AJ70" s="271"/>
      <c r="AK70" s="271"/>
      <c r="AL70" s="271"/>
      <c r="AM70" s="100"/>
      <c r="AN70" s="176"/>
    </row>
    <row r="71" ht="14.25" customHeight="1" outlineLevel="2">
      <c r="A71" s="247"/>
      <c r="B71" s="476"/>
      <c r="C71" s="485"/>
      <c r="D71" s="476"/>
      <c r="E71" s="180" t="s">
        <v>2190</v>
      </c>
      <c r="F71" s="249" t="s">
        <v>135</v>
      </c>
      <c r="G71" s="249" t="s">
        <v>2191</v>
      </c>
      <c r="H71" s="486" t="str">
        <f t="array" ref="H71">IFERROR(INDEX(Industry_Historical_Data!$A$1:$S$3000,MATCH(Industry!$G71&amp;Industry_Calculation!$D$27,Industry_Historical_Data!$A$1:$A$3000&amp;Industry_Historical_Data!$C$1:$C$3000,0&amp;0),MATCH(Industry!H$1,Industry_Historical_Data!$A$1:$S$1,0)),"")</f>
        <v/>
      </c>
      <c r="I71" s="486" t="str">
        <f t="array" ref="I71">IFERROR(INDEX(Industry_Historical_Data!$A$1:$S$3000,MATCH(Industry!$G71&amp;Industry_Calculation!$D$27,Industry_Historical_Data!$A$1:$A$3000&amp;Industry_Historical_Data!$C$1:$C$3000,0&amp;0),MATCH(Industry!I$1,Industry_Historical_Data!$A$1:$S$1,0)),"")</f>
        <v/>
      </c>
      <c r="J71" s="486" t="str">
        <f t="array" ref="J71">IFERROR(INDEX(Industry_Historical_Data!$A$1:$S$3000,MATCH(Industry!$G71&amp;Industry_Calculation!$D$27,Industry_Historical_Data!$A$1:$A$3000&amp;Industry_Historical_Data!$C$1:$C$3000,0&amp;0),MATCH(Industry!J$1,Industry_Historical_Data!$A$1:$S$1,0)),"")</f>
        <v/>
      </c>
      <c r="K71" s="486" t="str">
        <f t="array" ref="K71">IFERROR(INDEX(Industry_Historical_Data!$A$1:$S$3000,MATCH(Industry!$G71&amp;Industry_Calculation!$D$27,Industry_Historical_Data!$A$1:$A$3000&amp;Industry_Historical_Data!$C$1:$C$3000,0&amp;0),MATCH(Industry!K$1,Industry_Historical_Data!$A$1:$S$1,0)),"")</f>
        <v/>
      </c>
      <c r="L71" s="486" t="str">
        <f t="array" ref="L71">IFERROR(INDEX(Industry_Historical_Data!$A$1:$S$3000,MATCH(Industry!$G71&amp;Industry_Calculation!$D$27,Industry_Historical_Data!$A$1:$A$3000&amp;Industry_Historical_Data!$C$1:$C$3000,0&amp;0),MATCH(Industry!L$1,Industry_Historical_Data!$A$1:$S$1,0)),"")</f>
        <v/>
      </c>
      <c r="M71" s="486" t="str">
        <f t="array" ref="M71">IFERROR(INDEX(Industry_Historical_Data!$A$1:$S$3000,MATCH(Industry!$G71&amp;Industry_Calculation!$D$27,Industry_Historical_Data!$A$1:$A$3000&amp;Industry_Historical_Data!$C$1:$C$3000,0&amp;0),MATCH(Industry!M$1,Industry_Historical_Data!$A$1:$S$1,0)),"")</f>
        <v/>
      </c>
      <c r="N71" s="486" t="str">
        <f t="array" ref="N71">IFERROR(INDEX(Industry_Historical_Data!$A$1:$S$3000,MATCH(Industry!$G71&amp;Industry_Calculation!$D$27,Industry_Historical_Data!$A$1:$A$3000&amp;Industry_Historical_Data!$C$1:$C$3000,0&amp;0),MATCH(Industry!N$1,Industry_Historical_Data!$A$1:$S$1,0)),"")</f>
        <v/>
      </c>
      <c r="O71" s="486" t="str">
        <f t="array" ref="O71">IFERROR(INDEX(Industry_Historical_Data!$A$1:$S$3000,MATCH(Industry!$G71&amp;Industry_Calculation!$D$27,Industry_Historical_Data!$A$1:$A$3000&amp;Industry_Historical_Data!$C$1:$C$3000,0&amp;0),MATCH(Industry!O$1,Industry_Historical_Data!$A$1:$S$1,0)),"")</f>
        <v/>
      </c>
      <c r="P71" s="486" t="str">
        <f t="array" ref="P71">IFERROR(INDEX(Industry_Historical_Data!$A$1:$S$3000,MATCH(Industry!$G71&amp;Industry_Calculation!$D$27,Industry_Historical_Data!$A$1:$A$3000&amp;Industry_Historical_Data!$C$1:$C$3000,0&amp;0),MATCH(Industry!P$1,Industry_Historical_Data!$A$1:$S$1,0)),"")</f>
        <v/>
      </c>
      <c r="Q71" s="486" t="str">
        <f t="array" ref="Q71">IFERROR(INDEX(Industry_Historical_Data!$A$1:$S$3000,MATCH(Industry!$G71&amp;Industry_Calculation!$D$27,Industry_Historical_Data!$A$1:$A$3000&amp;Industry_Historical_Data!$C$1:$C$3000,0&amp;0),MATCH(Industry!Q$1,Industry_Historical_Data!$A$1:$S$1,0)),"")</f>
        <v/>
      </c>
      <c r="R71" s="486">
        <f t="array" ref="R71">IFERROR(INDEX(Industry_Historical_Data!$A$1:$S$3000,MATCH(Industry!$G71&amp;Industry_Calculation!$D$27,Industry_Historical_Data!$A$1:$A$3000&amp;Industry_Historical_Data!$C$1:$C$3000,0&amp;0),MATCH(Industry!R$1,Industry_Historical_Data!$A$1:$S$1,0)),"")</f>
        <v>17.6468</v>
      </c>
      <c r="S71" s="486">
        <f t="array" ref="S71">IFERROR(INDEX(Industry_Historical_Data!$A$1:$S$3000,MATCH(Industry!$G71&amp;Industry_Calculation!$D$27,Industry_Historical_Data!$A$1:$A$3000&amp;Industry_Historical_Data!$C$1:$C$3000,0&amp;0),MATCH(Industry!S$1,Industry_Historical_Data!$A$1:$S$1,0)),"")</f>
        <v>17.0644</v>
      </c>
      <c r="T71" s="486">
        <f t="array" ref="T71">IFERROR(INDEX(Industry_Historical_Data!$A$1:$S$3000,MATCH(Industry!$G71&amp;Industry_Calculation!$D$27,Industry_Historical_Data!$A$1:$A$3000&amp;Industry_Historical_Data!$C$1:$C$3000,0&amp;0),MATCH(Industry!T$1,Industry_Historical_Data!$A$1:$S$1,0)),"")</f>
        <v>15.5819</v>
      </c>
      <c r="U71" s="486">
        <f t="array" ref="U71">IFERROR(INDEX(Industry_Historical_Data!$A$1:$S$3000,MATCH(Industry!$G71&amp;Industry_Calculation!$D$27,Industry_Historical_Data!$A$1:$A$3000&amp;Industry_Historical_Data!$C$1:$C$3000,0&amp;0),MATCH(Industry!U$1,Industry_Historical_Data!$A$1:$S$1,0)),"")</f>
        <v>18.6272</v>
      </c>
      <c r="V71" s="486">
        <f t="array" ref="V71">IFERROR(INDEX(Industry_Historical_Data!$A$1:$S$3000,MATCH(Industry!$G71&amp;Industry_Calculation!$D$27,Industry_Historical_Data!$A$1:$A$3000&amp;Industry_Historical_Data!$C$1:$C$3000,0&amp;0),MATCH(Industry!V$1,Industry_Historical_Data!$A$1:$S$1,0)),"")</f>
        <v>19.1046</v>
      </c>
      <c r="W71" s="487">
        <f t="array" ref="W71">IFERROR(INDEX(Industry_Calculation!$AU$5:$BF$14,MATCH(Industry!$G71,Industry_Calculation!$AW$5:$AW$14,0),MATCH(Industry!W$1,Industry_Calculation!$AU$5:$BF$5,0)),"")</f>
        <v>19.539492</v>
      </c>
      <c r="X71" s="486">
        <f t="array" ref="X71">IFERROR(INDEX(Industry_Historical_Data!$A$1:$S$3000,MATCH(Industry!$G71&amp;Industry_Calculation!$D$27,Industry_Historical_Data!$A$1:$A$3000&amp;Industry_Historical_Data!$C$1:$C$3000,0&amp;0),MATCH(Industry!X$1,Industry_Historical_Data!$A$1:$S$1,0)),"")</f>
        <v>21.8822</v>
      </c>
      <c r="Y71" s="486">
        <f t="array" ref="Y71">IFERROR(INDEX(Industry_Historical_Data!$A$1:$S$3000,MATCH(Industry!$G71&amp;Industry_Calculation!$D$27,Industry_Historical_Data!$A$1:$A$3000&amp;Industry_Historical_Data!$C$1:$C$3000,0&amp;0),MATCH(Industry!Y$1,Industry_Historical_Data!$A$1:$S$1,0)),"")</f>
        <v>21.7616</v>
      </c>
      <c r="Z71" s="486">
        <f t="array" ref="Z71">IFERROR(INDEX(Industry_Historical_Data!$A$1:$S$3000,MATCH(Industry!$G71&amp;Industry_Calculation!$D$27,Industry_Historical_Data!$A$1:$A$3000&amp;Industry_Historical_Data!$C$1:$C$3000,0&amp;0),MATCH(Industry!Z$1,Industry_Historical_Data!$A$1:$S$1,0)),"")</f>
        <v>21.7186</v>
      </c>
      <c r="AA71" s="487">
        <f t="array" ref="AA71">IFERROR(INDEX(Industry_Calculation!$AU$5:$BF$14,MATCH(Industry!$G71,Industry_Calculation!$AW$5:$AW$14,0),MATCH(Industry!AA$1,Industry_Calculation!$AU$5:$BF$5,0)),"")</f>
        <v>21.59995092</v>
      </c>
      <c r="AB71" s="487">
        <f t="shared" ref="AB71:AB77" si="62">IFERROR(AA71,"")</f>
        <v>21.59995092</v>
      </c>
      <c r="AC71" s="487">
        <f t="array" ref="AC71">IFERROR(INDEX(Industry_Calculation!$AU$5:$BF$14,MATCH(Industry!$G71,Industry_Calculation!$AW$5:$AW$14,0),MATCH(Industry!AC$1,Industry_Calculation!$AU$5:$BF$5,0)),"")</f>
        <v>15.95592488</v>
      </c>
      <c r="AD71" s="487">
        <f t="array" ref="AD71">IFERROR(INDEX(Industry_Calculation!$AU$5:$BF$14,MATCH(Industry!$G71,Industry_Calculation!$AW$5:$AW$14,0),MATCH(Industry!AD$1,Industry_Calculation!$AU$5:$BF$5,0)),"")</f>
        <v>9.928340579</v>
      </c>
      <c r="AE71" s="487">
        <f t="array" ref="AE71">IFERROR(INDEX(Industry_Calculation!$AU$5:$BF$14,MATCH(Industry!$G71,Industry_Calculation!$AW$5:$AW$14,0),MATCH(Industry!AE$1,Industry_Calculation!$AU$5:$BF$5,0)),"")</f>
        <v>5.182921217</v>
      </c>
      <c r="AF71" s="487">
        <f t="array" ref="AF71">IFERROR(INDEX(Industry_Calculation!$AU$5:$BF$14,MATCH(Industry!$G71,Industry_Calculation!$AW$5:$AW$14,0),MATCH(Industry!AF$1,Industry_Calculation!$AU$5:$BF$5,0)),"")</f>
        <v>0</v>
      </c>
      <c r="AG71" s="487">
        <f t="array" ref="AG71">IFERROR(INDEX(Industry_Calculation!$AU$5:$BF$14,MATCH(Industry!$G71,Industry_Calculation!$AW$5:$AW$14,0),MATCH(Industry!AG$1,Industry_Calculation!$AU$5:$BF$5,0)),"")</f>
        <v>0</v>
      </c>
      <c r="AH71" s="487">
        <f t="array" ref="AH71">IFERROR(INDEX(Industry_Calculation!$AU$5:$BF$14,MATCH(Industry!$G71,Industry_Calculation!$AW$5:$AW$14,0),MATCH(Industry!AH$1,Industry_Calculation!$AU$5:$BF$5,0)),"")</f>
        <v>0</v>
      </c>
      <c r="AI71" s="204"/>
      <c r="AJ71" s="275"/>
      <c r="AK71" s="204"/>
      <c r="AL71" s="204"/>
      <c r="AM71" s="251"/>
      <c r="AN71" s="102"/>
    </row>
    <row r="72" ht="14.25" customHeight="1" outlineLevel="2">
      <c r="A72" s="247"/>
      <c r="B72" s="476"/>
      <c r="C72" s="485"/>
      <c r="D72" s="476"/>
      <c r="E72" s="180" t="s">
        <v>2192</v>
      </c>
      <c r="F72" s="249" t="s">
        <v>135</v>
      </c>
      <c r="G72" s="249" t="s">
        <v>2193</v>
      </c>
      <c r="H72" s="486" t="str">
        <f t="array" ref="H72">IFERROR(INDEX(Industry_Historical_Data!$A$1:$S$3000,MATCH(Industry!$G72&amp;Industry_Calculation!$D$27,Industry_Historical_Data!$A$1:$A$3000&amp;Industry_Historical_Data!$C$1:$C$3000,0&amp;0),MATCH(Industry!H$1,Industry_Historical_Data!$A$1:$S$1,0)),"")</f>
        <v/>
      </c>
      <c r="I72" s="486" t="str">
        <f t="array" ref="I72">IFERROR(INDEX(Industry_Historical_Data!$A$1:$S$3000,MATCH(Industry!$G72&amp;Industry_Calculation!$D$27,Industry_Historical_Data!$A$1:$A$3000&amp;Industry_Historical_Data!$C$1:$C$3000,0&amp;0),MATCH(Industry!I$1,Industry_Historical_Data!$A$1:$S$1,0)),"")</f>
        <v/>
      </c>
      <c r="J72" s="486" t="str">
        <f t="array" ref="J72">IFERROR(INDEX(Industry_Historical_Data!$A$1:$S$3000,MATCH(Industry!$G72&amp;Industry_Calculation!$D$27,Industry_Historical_Data!$A$1:$A$3000&amp;Industry_Historical_Data!$C$1:$C$3000,0&amp;0),MATCH(Industry!J$1,Industry_Historical_Data!$A$1:$S$1,0)),"")</f>
        <v/>
      </c>
      <c r="K72" s="486" t="str">
        <f t="array" ref="K72">IFERROR(INDEX(Industry_Historical_Data!$A$1:$S$3000,MATCH(Industry!$G72&amp;Industry_Calculation!$D$27,Industry_Historical_Data!$A$1:$A$3000&amp;Industry_Historical_Data!$C$1:$C$3000,0&amp;0),MATCH(Industry!K$1,Industry_Historical_Data!$A$1:$S$1,0)),"")</f>
        <v/>
      </c>
      <c r="L72" s="486" t="str">
        <f t="array" ref="L72">IFERROR(INDEX(Industry_Historical_Data!$A$1:$S$3000,MATCH(Industry!$G72&amp;Industry_Calculation!$D$27,Industry_Historical_Data!$A$1:$A$3000&amp;Industry_Historical_Data!$C$1:$C$3000,0&amp;0),MATCH(Industry!L$1,Industry_Historical_Data!$A$1:$S$1,0)),"")</f>
        <v/>
      </c>
      <c r="M72" s="486" t="str">
        <f t="array" ref="M72">IFERROR(INDEX(Industry_Historical_Data!$A$1:$S$3000,MATCH(Industry!$G72&amp;Industry_Calculation!$D$27,Industry_Historical_Data!$A$1:$A$3000&amp;Industry_Historical_Data!$C$1:$C$3000,0&amp;0),MATCH(Industry!M$1,Industry_Historical_Data!$A$1:$S$1,0)),"")</f>
        <v/>
      </c>
      <c r="N72" s="486" t="str">
        <f t="array" ref="N72">IFERROR(INDEX(Industry_Historical_Data!$A$1:$S$3000,MATCH(Industry!$G72&amp;Industry_Calculation!$D$27,Industry_Historical_Data!$A$1:$A$3000&amp;Industry_Historical_Data!$C$1:$C$3000,0&amp;0),MATCH(Industry!N$1,Industry_Historical_Data!$A$1:$S$1,0)),"")</f>
        <v/>
      </c>
      <c r="O72" s="486" t="str">
        <f t="array" ref="O72">IFERROR(INDEX(Industry_Historical_Data!$A$1:$S$3000,MATCH(Industry!$G72&amp;Industry_Calculation!$D$27,Industry_Historical_Data!$A$1:$A$3000&amp;Industry_Historical_Data!$C$1:$C$3000,0&amp;0),MATCH(Industry!O$1,Industry_Historical_Data!$A$1:$S$1,0)),"")</f>
        <v/>
      </c>
      <c r="P72" s="486" t="str">
        <f t="array" ref="P72">IFERROR(INDEX(Industry_Historical_Data!$A$1:$S$3000,MATCH(Industry!$G72&amp;Industry_Calculation!$D$27,Industry_Historical_Data!$A$1:$A$3000&amp;Industry_Historical_Data!$C$1:$C$3000,0&amp;0),MATCH(Industry!P$1,Industry_Historical_Data!$A$1:$S$1,0)),"")</f>
        <v/>
      </c>
      <c r="Q72" s="486" t="str">
        <f t="array" ref="Q72">IFERROR(INDEX(Industry_Historical_Data!$A$1:$S$3000,MATCH(Industry!$G72&amp;Industry_Calculation!$D$27,Industry_Historical_Data!$A$1:$A$3000&amp;Industry_Historical_Data!$C$1:$C$3000,0&amp;0),MATCH(Industry!Q$1,Industry_Historical_Data!$A$1:$S$1,0)),"")</f>
        <v/>
      </c>
      <c r="R72" s="486">
        <f t="array" ref="R72">IFERROR(INDEX(Industry_Historical_Data!$A$1:$S$3000,MATCH(Industry!$G72&amp;Industry_Calculation!$D$27,Industry_Historical_Data!$A$1:$A$3000&amp;Industry_Historical_Data!$C$1:$C$3000,0&amp;0),MATCH(Industry!R$1,Industry_Historical_Data!$A$1:$S$1,0)),"")</f>
        <v>9.0867</v>
      </c>
      <c r="S72" s="486">
        <f t="array" ref="S72">IFERROR(INDEX(Industry_Historical_Data!$A$1:$S$3000,MATCH(Industry!$G72&amp;Industry_Calculation!$D$27,Industry_Historical_Data!$A$1:$A$3000&amp;Industry_Historical_Data!$C$1:$C$3000,0&amp;0),MATCH(Industry!S$1,Industry_Historical_Data!$A$1:$S$1,0)),"")</f>
        <v>9.45</v>
      </c>
      <c r="T72" s="486">
        <f t="array" ref="T72">IFERROR(INDEX(Industry_Historical_Data!$A$1:$S$3000,MATCH(Industry!$G72&amp;Industry_Calculation!$D$27,Industry_Historical_Data!$A$1:$A$3000&amp;Industry_Historical_Data!$C$1:$C$3000,0&amp;0),MATCH(Industry!T$1,Industry_Historical_Data!$A$1:$S$1,0)),"")</f>
        <v>8.817</v>
      </c>
      <c r="U72" s="486">
        <f t="array" ref="U72">IFERROR(INDEX(Industry_Historical_Data!$A$1:$S$3000,MATCH(Industry!$G72&amp;Industry_Calculation!$D$27,Industry_Historical_Data!$A$1:$A$3000&amp;Industry_Historical_Data!$C$1:$C$3000,0&amp;0),MATCH(Industry!U$1,Industry_Historical_Data!$A$1:$S$1,0)),"")</f>
        <v>9.7941</v>
      </c>
      <c r="V72" s="486">
        <f t="array" ref="V72">IFERROR(INDEX(Industry_Historical_Data!$A$1:$S$3000,MATCH(Industry!$G72&amp;Industry_Calculation!$D$27,Industry_Historical_Data!$A$1:$A$3000&amp;Industry_Historical_Data!$C$1:$C$3000,0&amp;0),MATCH(Industry!V$1,Industry_Historical_Data!$A$1:$S$1,0)),"")</f>
        <v>9.7652</v>
      </c>
      <c r="W72" s="487">
        <f t="array" ref="W72">IFERROR(INDEX(Industry_Calculation!$AU$5:$BF$14,MATCH(Industry!$G72,Industry_Calculation!$AW$5:$AW$14,0),MATCH(Industry!W$1,Industry_Calculation!$AU$5:$BF$5,0)),"")</f>
        <v>9.769746</v>
      </c>
      <c r="X72" s="486">
        <f t="array" ref="X72">IFERROR(INDEX(Industry_Historical_Data!$A$1:$S$3000,MATCH(Industry!$G72&amp;Industry_Calculation!$D$27,Industry_Historical_Data!$A$1:$A$3000&amp;Industry_Historical_Data!$C$1:$C$3000,0&amp;0),MATCH(Industry!X$1,Industry_Historical_Data!$A$1:$S$1,0)),"")</f>
        <v>9.7913</v>
      </c>
      <c r="Y72" s="486">
        <f t="array" ref="Y72">IFERROR(INDEX(Industry_Historical_Data!$A$1:$S$3000,MATCH(Industry!$G72&amp;Industry_Calculation!$D$27,Industry_Historical_Data!$A$1:$A$3000&amp;Industry_Historical_Data!$C$1:$C$3000,0&amp;0),MATCH(Industry!Y$1,Industry_Historical_Data!$A$1:$S$1,0)),"")</f>
        <v>9.3616</v>
      </c>
      <c r="Z72" s="486">
        <f t="array" ref="Z72">IFERROR(INDEX(Industry_Historical_Data!$A$1:$S$3000,MATCH(Industry!$G72&amp;Industry_Calculation!$D$27,Industry_Historical_Data!$A$1:$A$3000&amp;Industry_Historical_Data!$C$1:$C$3000,0&amp;0),MATCH(Industry!Z$1,Industry_Historical_Data!$A$1:$S$1,0)),"")</f>
        <v>9.9401</v>
      </c>
      <c r="AA72" s="487">
        <f t="array" ref="AA72">IFERROR(INDEX(Industry_Calculation!$AU$5:$BF$14,MATCH(Industry!$G72,Industry_Calculation!$AW$5:$AW$14,0),MATCH(Industry!AA$1,Industry_Calculation!$AU$5:$BF$5,0)),"")</f>
        <v>9.479139872</v>
      </c>
      <c r="AB72" s="487">
        <f t="shared" si="62"/>
        <v>9.479139872</v>
      </c>
      <c r="AC72" s="487">
        <f t="array" ref="AC72">IFERROR(INDEX(Industry_Calculation!$AU$5:$BF$14,MATCH(Industry!$G72,Industry_Calculation!$AW$5:$AW$14,0),MATCH(Industry!AC$1,Industry_Calculation!$AU$5:$BF$5,0)),"")</f>
        <v>9.024695819</v>
      </c>
      <c r="AD72" s="487">
        <f t="array" ref="AD72">IFERROR(INDEX(Industry_Calculation!$AU$5:$BF$14,MATCH(Industry!$G72,Industry_Calculation!$AW$5:$AW$14,0),MATCH(Industry!AD$1,Industry_Calculation!$AU$5:$BF$5,0)),"")</f>
        <v>7.86268462</v>
      </c>
      <c r="AE72" s="487">
        <f t="array" ref="AE72">IFERROR(INDEX(Industry_Calculation!$AU$5:$BF$14,MATCH(Industry!$G72,Industry_Calculation!$AW$5:$AW$14,0),MATCH(Industry!AE$1,Industry_Calculation!$AU$5:$BF$5,0)),"")</f>
        <v>7.003428716</v>
      </c>
      <c r="AF72" s="487">
        <f t="array" ref="AF72">IFERROR(INDEX(Industry_Calculation!$AU$5:$BF$14,MATCH(Industry!$G72,Industry_Calculation!$AW$5:$AW$14,0),MATCH(Industry!AF$1,Industry_Calculation!$AU$5:$BF$5,0)),"")</f>
        <v>6.318878132</v>
      </c>
      <c r="AG72" s="487">
        <f t="array" ref="AG72">IFERROR(INDEX(Industry_Calculation!$AU$5:$BF$14,MATCH(Industry!$G72,Industry_Calculation!$AW$5:$AW$14,0),MATCH(Industry!AG$1,Industry_Calculation!$AU$5:$BF$5,0)),"")</f>
        <v>5.872047366</v>
      </c>
      <c r="AH72" s="487">
        <f t="array" ref="AH72">IFERROR(INDEX(Industry_Calculation!$AU$5:$BF$14,MATCH(Industry!$G72,Industry_Calculation!$AW$5:$AW$14,0),MATCH(Industry!AH$1,Industry_Calculation!$AU$5:$BF$5,0)),"")</f>
        <v>5.753445625</v>
      </c>
      <c r="AI72" s="204"/>
      <c r="AJ72" s="275"/>
      <c r="AK72" s="204"/>
      <c r="AL72" s="204"/>
      <c r="AM72" s="251"/>
      <c r="AN72" s="102"/>
    </row>
    <row r="73" ht="14.25" customHeight="1" outlineLevel="2">
      <c r="A73" s="247"/>
      <c r="B73" s="476"/>
      <c r="C73" s="485"/>
      <c r="D73" s="476"/>
      <c r="E73" s="180" t="s">
        <v>2194</v>
      </c>
      <c r="F73" s="249" t="s">
        <v>135</v>
      </c>
      <c r="G73" s="249" t="s">
        <v>2195</v>
      </c>
      <c r="H73" s="486" t="str">
        <f t="array" ref="H73">IFERROR(INDEX(Industry_Historical_Data!$A$1:$S$3000,MATCH(Industry!$G73&amp;Industry_Calculation!$D$27,Industry_Historical_Data!$A$1:$A$3000&amp;Industry_Historical_Data!$C$1:$C$3000,0&amp;0),MATCH(Industry!H$1,Industry_Historical_Data!$A$1:$S$1,0)),"")</f>
        <v/>
      </c>
      <c r="I73" s="486" t="str">
        <f t="array" ref="I73">IFERROR(INDEX(Industry_Historical_Data!$A$1:$S$3000,MATCH(Industry!$G73&amp;Industry_Calculation!$D$27,Industry_Historical_Data!$A$1:$A$3000&amp;Industry_Historical_Data!$C$1:$C$3000,0&amp;0),MATCH(Industry!I$1,Industry_Historical_Data!$A$1:$S$1,0)),"")</f>
        <v/>
      </c>
      <c r="J73" s="486" t="str">
        <f t="array" ref="J73">IFERROR(INDEX(Industry_Historical_Data!$A$1:$S$3000,MATCH(Industry!$G73&amp;Industry_Calculation!$D$27,Industry_Historical_Data!$A$1:$A$3000&amp;Industry_Historical_Data!$C$1:$C$3000,0&amp;0),MATCH(Industry!J$1,Industry_Historical_Data!$A$1:$S$1,0)),"")</f>
        <v/>
      </c>
      <c r="K73" s="486" t="str">
        <f t="array" ref="K73">IFERROR(INDEX(Industry_Historical_Data!$A$1:$S$3000,MATCH(Industry!$G73&amp;Industry_Calculation!$D$27,Industry_Historical_Data!$A$1:$A$3000&amp;Industry_Historical_Data!$C$1:$C$3000,0&amp;0),MATCH(Industry!K$1,Industry_Historical_Data!$A$1:$S$1,0)),"")</f>
        <v/>
      </c>
      <c r="L73" s="486" t="str">
        <f t="array" ref="L73">IFERROR(INDEX(Industry_Historical_Data!$A$1:$S$3000,MATCH(Industry!$G73&amp;Industry_Calculation!$D$27,Industry_Historical_Data!$A$1:$A$3000&amp;Industry_Historical_Data!$C$1:$C$3000,0&amp;0),MATCH(Industry!L$1,Industry_Historical_Data!$A$1:$S$1,0)),"")</f>
        <v/>
      </c>
      <c r="M73" s="486" t="str">
        <f t="array" ref="M73">IFERROR(INDEX(Industry_Historical_Data!$A$1:$S$3000,MATCH(Industry!$G73&amp;Industry_Calculation!$D$27,Industry_Historical_Data!$A$1:$A$3000&amp;Industry_Historical_Data!$C$1:$C$3000,0&amp;0),MATCH(Industry!M$1,Industry_Historical_Data!$A$1:$S$1,0)),"")</f>
        <v/>
      </c>
      <c r="N73" s="486" t="str">
        <f t="array" ref="N73">IFERROR(INDEX(Industry_Historical_Data!$A$1:$S$3000,MATCH(Industry!$G73&amp;Industry_Calculation!$D$27,Industry_Historical_Data!$A$1:$A$3000&amp;Industry_Historical_Data!$C$1:$C$3000,0&amp;0),MATCH(Industry!N$1,Industry_Historical_Data!$A$1:$S$1,0)),"")</f>
        <v/>
      </c>
      <c r="O73" s="486" t="str">
        <f t="array" ref="O73">IFERROR(INDEX(Industry_Historical_Data!$A$1:$S$3000,MATCH(Industry!$G73&amp;Industry_Calculation!$D$27,Industry_Historical_Data!$A$1:$A$3000&amp;Industry_Historical_Data!$C$1:$C$3000,0&amp;0),MATCH(Industry!O$1,Industry_Historical_Data!$A$1:$S$1,0)),"")</f>
        <v/>
      </c>
      <c r="P73" s="486" t="str">
        <f t="array" ref="P73">IFERROR(INDEX(Industry_Historical_Data!$A$1:$S$3000,MATCH(Industry!$G73&amp;Industry_Calculation!$D$27,Industry_Historical_Data!$A$1:$A$3000&amp;Industry_Historical_Data!$C$1:$C$3000,0&amp;0),MATCH(Industry!P$1,Industry_Historical_Data!$A$1:$S$1,0)),"")</f>
        <v/>
      </c>
      <c r="Q73" s="486" t="str">
        <f t="array" ref="Q73">IFERROR(INDEX(Industry_Historical_Data!$A$1:$S$3000,MATCH(Industry!$G73&amp;Industry_Calculation!$D$27,Industry_Historical_Data!$A$1:$A$3000&amp;Industry_Historical_Data!$C$1:$C$3000,0&amp;0),MATCH(Industry!Q$1,Industry_Historical_Data!$A$1:$S$1,0)),"")</f>
        <v/>
      </c>
      <c r="R73" s="486">
        <f t="array" ref="R73">IFERROR(INDEX(Industry_Historical_Data!$A$1:$S$3000,MATCH(Industry!$G73&amp;Industry_Calculation!$D$27,Industry_Historical_Data!$A$1:$A$3000&amp;Industry_Historical_Data!$C$1:$C$3000,0&amp;0),MATCH(Industry!R$1,Industry_Historical_Data!$A$1:$S$1,0)),"")</f>
        <v>20.9695</v>
      </c>
      <c r="S73" s="486">
        <f t="array" ref="S73">IFERROR(INDEX(Industry_Historical_Data!$A$1:$S$3000,MATCH(Industry!$G73&amp;Industry_Calculation!$D$27,Industry_Historical_Data!$A$1:$A$3000&amp;Industry_Historical_Data!$C$1:$C$3000,0&amp;0),MATCH(Industry!S$1,Industry_Historical_Data!$A$1:$S$1,0)),"")</f>
        <v>18.0384</v>
      </c>
      <c r="T73" s="486">
        <f t="array" ref="T73">IFERROR(INDEX(Industry_Historical_Data!$A$1:$S$3000,MATCH(Industry!$G73&amp;Industry_Calculation!$D$27,Industry_Historical_Data!$A$1:$A$3000&amp;Industry_Historical_Data!$C$1:$C$3000,0&amp;0),MATCH(Industry!T$1,Industry_Historical_Data!$A$1:$S$1,0)),"")</f>
        <v>19.0388</v>
      </c>
      <c r="U73" s="486">
        <f t="array" ref="U73">IFERROR(INDEX(Industry_Historical_Data!$A$1:$S$3000,MATCH(Industry!$G73&amp;Industry_Calculation!$D$27,Industry_Historical_Data!$A$1:$A$3000&amp;Industry_Historical_Data!$C$1:$C$3000,0&amp;0),MATCH(Industry!U$1,Industry_Historical_Data!$A$1:$S$1,0)),"")</f>
        <v>20.4399</v>
      </c>
      <c r="V73" s="486">
        <f t="array" ref="V73">IFERROR(INDEX(Industry_Historical_Data!$A$1:$S$3000,MATCH(Industry!$G73&amp;Industry_Calculation!$D$27,Industry_Historical_Data!$A$1:$A$3000&amp;Industry_Historical_Data!$C$1:$C$3000,0&amp;0),MATCH(Industry!V$1,Industry_Historical_Data!$A$1:$S$1,0)),"")</f>
        <v>20.9068</v>
      </c>
      <c r="W73" s="487">
        <f t="array" ref="W73">IFERROR(INDEX(Industry_Calculation!$AU$5:$BF$14,MATCH(Industry!$G73,Industry_Calculation!$AW$5:$AW$14,0),MATCH(Industry!W$1,Industry_Calculation!$AU$5:$BF$5,0)),"")</f>
        <v>19.539492</v>
      </c>
      <c r="X73" s="486">
        <f t="array" ref="X73">IFERROR(INDEX(Industry_Historical_Data!$A$1:$S$3000,MATCH(Industry!$G73&amp;Industry_Calculation!$D$27,Industry_Historical_Data!$A$1:$A$3000&amp;Industry_Historical_Data!$C$1:$C$3000,0&amp;0),MATCH(Industry!X$1,Industry_Historical_Data!$A$1:$S$1,0)),"")</f>
        <v>19.7795</v>
      </c>
      <c r="Y73" s="486">
        <f t="array" ref="Y73">IFERROR(INDEX(Industry_Historical_Data!$A$1:$S$3000,MATCH(Industry!$G73&amp;Industry_Calculation!$D$27,Industry_Historical_Data!$A$1:$A$3000&amp;Industry_Historical_Data!$C$1:$C$3000,0&amp;0),MATCH(Industry!Y$1,Industry_Historical_Data!$A$1:$S$1,0)),"")</f>
        <v>16.4273</v>
      </c>
      <c r="Z73" s="486">
        <f t="array" ref="Z73">IFERROR(INDEX(Industry_Historical_Data!$A$1:$S$3000,MATCH(Industry!$G73&amp;Industry_Calculation!$D$27,Industry_Historical_Data!$A$1:$A$3000&amp;Industry_Historical_Data!$C$1:$C$3000,0&amp;0),MATCH(Industry!Z$1,Industry_Historical_Data!$A$1:$S$1,0)),"")</f>
        <v>17.1825</v>
      </c>
      <c r="AA73" s="487">
        <f t="array" ref="AA73">IFERROR(INDEX(Industry_Calculation!$AU$5:$BF$14,MATCH(Industry!$G73,Industry_Calculation!$AW$5:$AW$14,0),MATCH(Industry!AA$1,Industry_Calculation!$AU$5:$BF$5,0)),"")</f>
        <v>14.50751062</v>
      </c>
      <c r="AB73" s="487">
        <f t="shared" si="62"/>
        <v>14.50751062</v>
      </c>
      <c r="AC73" s="487">
        <f t="array" ref="AC73">IFERROR(INDEX(Industry_Calculation!$AU$5:$BF$14,MATCH(Industry!$G73,Industry_Calculation!$AW$5:$AW$14,0),MATCH(Industry!AC$1,Industry_Calculation!$AU$5:$BF$5,0)),"")</f>
        <v>10.71672572</v>
      </c>
      <c r="AD73" s="487">
        <f t="array" ref="AD73">IFERROR(INDEX(Industry_Calculation!$AU$5:$BF$14,MATCH(Industry!$G73,Industry_Calculation!$AW$5:$AW$14,0),MATCH(Industry!AD$1,Industry_Calculation!$AU$5:$BF$5,0)),"")</f>
        <v>6.668325632</v>
      </c>
      <c r="AE73" s="487">
        <f t="array" ref="AE73">IFERROR(INDEX(Industry_Calculation!$AU$5:$BF$14,MATCH(Industry!$G73,Industry_Calculation!$AW$5:$AW$14,0),MATCH(Industry!AE$1,Industry_Calculation!$AU$5:$BF$5,0)),"")</f>
        <v>3.4810859</v>
      </c>
      <c r="AF73" s="487">
        <f t="array" ref="AF73">IFERROR(INDEX(Industry_Calculation!$AU$5:$BF$14,MATCH(Industry!$G73,Industry_Calculation!$AW$5:$AW$14,0),MATCH(Industry!AF$1,Industry_Calculation!$AU$5:$BF$5,0)),"")</f>
        <v>2.022041002</v>
      </c>
      <c r="AG73" s="487">
        <f t="array" ref="AG73">IFERROR(INDEX(Industry_Calculation!$AU$5:$BF$14,MATCH(Industry!$G73,Industry_Calculation!$AW$5:$AW$14,0),MATCH(Industry!AG$1,Industry_Calculation!$AU$5:$BF$5,0)),"")</f>
        <v>0</v>
      </c>
      <c r="AH73" s="487">
        <f t="array" ref="AH73">IFERROR(INDEX(Industry_Calculation!$AU$5:$BF$14,MATCH(Industry!$G73,Industry_Calculation!$AW$5:$AW$14,0),MATCH(Industry!AH$1,Industry_Calculation!$AU$5:$BF$5,0)),"")</f>
        <v>0</v>
      </c>
      <c r="AI73" s="204"/>
      <c r="AJ73" s="275"/>
      <c r="AK73" s="204"/>
      <c r="AL73" s="204"/>
      <c r="AM73" s="251"/>
      <c r="AN73" s="102"/>
    </row>
    <row r="74" ht="14.25" customHeight="1" outlineLevel="2">
      <c r="A74" s="247"/>
      <c r="B74" s="476"/>
      <c r="C74" s="485"/>
      <c r="D74" s="476"/>
      <c r="E74" s="180" t="s">
        <v>2196</v>
      </c>
      <c r="F74" s="249" t="s">
        <v>135</v>
      </c>
      <c r="G74" s="249" t="s">
        <v>2197</v>
      </c>
      <c r="H74" s="486" t="str">
        <f t="array" ref="H74">IFERROR(INDEX(Industry_Historical_Data!$A$1:$S$3000,MATCH(Industry!$G74&amp;Industry_Calculation!$D$27,Industry_Historical_Data!$A$1:$A$3000&amp;Industry_Historical_Data!$C$1:$C$3000,0&amp;0),MATCH(Industry!H$1,Industry_Historical_Data!$A$1:$S$1,0)),"")</f>
        <v/>
      </c>
      <c r="I74" s="486" t="str">
        <f t="array" ref="I74">IFERROR(INDEX(Industry_Historical_Data!$A$1:$S$3000,MATCH(Industry!$G74&amp;Industry_Calculation!$D$27,Industry_Historical_Data!$A$1:$A$3000&amp;Industry_Historical_Data!$C$1:$C$3000,0&amp;0),MATCH(Industry!I$1,Industry_Historical_Data!$A$1:$S$1,0)),"")</f>
        <v/>
      </c>
      <c r="J74" s="486" t="str">
        <f t="array" ref="J74">IFERROR(INDEX(Industry_Historical_Data!$A$1:$S$3000,MATCH(Industry!$G74&amp;Industry_Calculation!$D$27,Industry_Historical_Data!$A$1:$A$3000&amp;Industry_Historical_Data!$C$1:$C$3000,0&amp;0),MATCH(Industry!J$1,Industry_Historical_Data!$A$1:$S$1,0)),"")</f>
        <v/>
      </c>
      <c r="K74" s="486" t="str">
        <f t="array" ref="K74">IFERROR(INDEX(Industry_Historical_Data!$A$1:$S$3000,MATCH(Industry!$G74&amp;Industry_Calculation!$D$27,Industry_Historical_Data!$A$1:$A$3000&amp;Industry_Historical_Data!$C$1:$C$3000,0&amp;0),MATCH(Industry!K$1,Industry_Historical_Data!$A$1:$S$1,0)),"")</f>
        <v/>
      </c>
      <c r="L74" s="486" t="str">
        <f t="array" ref="L74">IFERROR(INDEX(Industry_Historical_Data!$A$1:$S$3000,MATCH(Industry!$G74&amp;Industry_Calculation!$D$27,Industry_Historical_Data!$A$1:$A$3000&amp;Industry_Historical_Data!$C$1:$C$3000,0&amp;0),MATCH(Industry!L$1,Industry_Historical_Data!$A$1:$S$1,0)),"")</f>
        <v/>
      </c>
      <c r="M74" s="486" t="str">
        <f t="array" ref="M74">IFERROR(INDEX(Industry_Historical_Data!$A$1:$S$3000,MATCH(Industry!$G74&amp;Industry_Calculation!$D$27,Industry_Historical_Data!$A$1:$A$3000&amp;Industry_Historical_Data!$C$1:$C$3000,0&amp;0),MATCH(Industry!M$1,Industry_Historical_Data!$A$1:$S$1,0)),"")</f>
        <v/>
      </c>
      <c r="N74" s="486" t="str">
        <f t="array" ref="N74">IFERROR(INDEX(Industry_Historical_Data!$A$1:$S$3000,MATCH(Industry!$G74&amp;Industry_Calculation!$D$27,Industry_Historical_Data!$A$1:$A$3000&amp;Industry_Historical_Data!$C$1:$C$3000,0&amp;0),MATCH(Industry!N$1,Industry_Historical_Data!$A$1:$S$1,0)),"")</f>
        <v/>
      </c>
      <c r="O74" s="486" t="str">
        <f t="array" ref="O74">IFERROR(INDEX(Industry_Historical_Data!$A$1:$S$3000,MATCH(Industry!$G74&amp;Industry_Calculation!$D$27,Industry_Historical_Data!$A$1:$A$3000&amp;Industry_Historical_Data!$C$1:$C$3000,0&amp;0),MATCH(Industry!O$1,Industry_Historical_Data!$A$1:$S$1,0)),"")</f>
        <v/>
      </c>
      <c r="P74" s="486" t="str">
        <f t="array" ref="P74">IFERROR(INDEX(Industry_Historical_Data!$A$1:$S$3000,MATCH(Industry!$G74&amp;Industry_Calculation!$D$27,Industry_Historical_Data!$A$1:$A$3000&amp;Industry_Historical_Data!$C$1:$C$3000,0&amp;0),MATCH(Industry!P$1,Industry_Historical_Data!$A$1:$S$1,0)),"")</f>
        <v/>
      </c>
      <c r="Q74" s="486" t="str">
        <f t="array" ref="Q74">IFERROR(INDEX(Industry_Historical_Data!$A$1:$S$3000,MATCH(Industry!$G74&amp;Industry_Calculation!$D$27,Industry_Historical_Data!$A$1:$A$3000&amp;Industry_Historical_Data!$C$1:$C$3000,0&amp;0),MATCH(Industry!Q$1,Industry_Historical_Data!$A$1:$S$1,0)),"")</f>
        <v/>
      </c>
      <c r="R74" s="486">
        <f t="array" ref="R74">IFERROR(INDEX(Industry_Historical_Data!$A$1:$S$3000,MATCH(Industry!$G74&amp;Industry_Calculation!$D$27,Industry_Historical_Data!$A$1:$A$3000&amp;Industry_Historical_Data!$C$1:$C$3000,0&amp;0),MATCH(Industry!R$1,Industry_Historical_Data!$A$1:$S$1,0)),"")</f>
        <v>48.8281</v>
      </c>
      <c r="S74" s="486">
        <f t="array" ref="S74">IFERROR(INDEX(Industry_Historical_Data!$A$1:$S$3000,MATCH(Industry!$G74&amp;Industry_Calculation!$D$27,Industry_Historical_Data!$A$1:$A$3000&amp;Industry_Historical_Data!$C$1:$C$3000,0&amp;0),MATCH(Industry!S$1,Industry_Historical_Data!$A$1:$S$1,0)),"")</f>
        <v>47.76</v>
      </c>
      <c r="T74" s="486">
        <f t="array" ref="T74">IFERROR(INDEX(Industry_Historical_Data!$A$1:$S$3000,MATCH(Industry!$G74&amp;Industry_Calculation!$D$27,Industry_Historical_Data!$A$1:$A$3000&amp;Industry_Historical_Data!$C$1:$C$3000,0&amp;0),MATCH(Industry!T$1,Industry_Historical_Data!$A$1:$S$1,0)),"")</f>
        <v>47.6908</v>
      </c>
      <c r="U74" s="486">
        <f t="array" ref="U74">IFERROR(INDEX(Industry_Historical_Data!$A$1:$S$3000,MATCH(Industry!$G74&amp;Industry_Calculation!$D$27,Industry_Historical_Data!$A$1:$A$3000&amp;Industry_Historical_Data!$C$1:$C$3000,0&amp;0),MATCH(Industry!U$1,Industry_Historical_Data!$A$1:$S$1,0)),"")</f>
        <v>48.599</v>
      </c>
      <c r="V74" s="486">
        <f t="array" ref="V74">IFERROR(INDEX(Industry_Historical_Data!$A$1:$S$3000,MATCH(Industry!$G74&amp;Industry_Calculation!$D$27,Industry_Historical_Data!$A$1:$A$3000&amp;Industry_Historical_Data!$C$1:$C$3000,0&amp;0),MATCH(Industry!V$1,Industry_Historical_Data!$A$1:$S$1,0)),"")</f>
        <v>46.5285</v>
      </c>
      <c r="W74" s="487">
        <f t="array" ref="W74">IFERROR(INDEX(Industry_Calculation!$AU$5:$BF$14,MATCH(Industry!$G74,Industry_Calculation!$AW$5:$AW$14,0),MATCH(Industry!W$1,Industry_Calculation!$AU$5:$BF$5,0)),"")</f>
        <v>47.453052</v>
      </c>
      <c r="X74" s="486">
        <f t="array" ref="X74">IFERROR(INDEX(Industry_Historical_Data!$A$1:$S$3000,MATCH(Industry!$G74&amp;Industry_Calculation!$D$27,Industry_Historical_Data!$A$1:$A$3000&amp;Industry_Historical_Data!$C$1:$C$3000,0&amp;0),MATCH(Industry!X$1,Industry_Historical_Data!$A$1:$S$1,0)),"")</f>
        <v>47.9422</v>
      </c>
      <c r="Y74" s="486">
        <f t="array" ref="Y74">IFERROR(INDEX(Industry_Historical_Data!$A$1:$S$3000,MATCH(Industry!$G74&amp;Industry_Calculation!$D$27,Industry_Historical_Data!$A$1:$A$3000&amp;Industry_Historical_Data!$C$1:$C$3000,0&amp;0),MATCH(Industry!Y$1,Industry_Historical_Data!$A$1:$S$1,0)),"")</f>
        <v>50.5125</v>
      </c>
      <c r="Z74" s="486">
        <f t="array" ref="Z74">IFERROR(INDEX(Industry_Historical_Data!$A$1:$S$3000,MATCH(Industry!$G74&amp;Industry_Calculation!$D$27,Industry_Historical_Data!$A$1:$A$3000&amp;Industry_Historical_Data!$C$1:$C$3000,0&amp;0),MATCH(Industry!Z$1,Industry_Historical_Data!$A$1:$S$1,0)),"")</f>
        <v>50.7389</v>
      </c>
      <c r="AA74" s="487">
        <f t="array" ref="AA74">IFERROR(INDEX(Industry_Calculation!$AU$5:$BF$14,MATCH(Industry!$G74,Industry_Calculation!$AW$5:$AW$14,0),MATCH(Industry!AA$1,Industry_Calculation!$AU$5:$BF$5,0)),"")</f>
        <v>49.90785801</v>
      </c>
      <c r="AB74" s="487">
        <f t="shared" si="62"/>
        <v>49.90785801</v>
      </c>
      <c r="AC74" s="487">
        <f t="array" ref="AC74">IFERROR(INDEX(Industry_Calculation!$AU$5:$BF$14,MATCH(Industry!$G74,Industry_Calculation!$AW$5:$AW$14,0),MATCH(Industry!AC$1,Industry_Calculation!$AU$5:$BF$5,0)),"")</f>
        <v>42.0675824</v>
      </c>
      <c r="AD74" s="487">
        <f t="array" ref="AD74">IFERROR(INDEX(Industry_Calculation!$AU$5:$BF$14,MATCH(Industry!$G74,Industry_Calculation!$AW$5:$AW$14,0),MATCH(Industry!AD$1,Industry_Calculation!$AU$5:$BF$5,0)),"")</f>
        <v>31.95445088</v>
      </c>
      <c r="AE74" s="487">
        <f t="array" ref="AE74">IFERROR(INDEX(Industry_Calculation!$AU$5:$BF$14,MATCH(Industry!$G74,Industry_Calculation!$AW$5:$AW$14,0),MATCH(Industry!AE$1,Industry_Calculation!$AU$5:$BF$5,0)),"")</f>
        <v>15.06080315</v>
      </c>
      <c r="AF74" s="487">
        <f t="array" ref="AF74">IFERROR(INDEX(Industry_Calculation!$AU$5:$BF$14,MATCH(Industry!$G74,Industry_Calculation!$AW$5:$AW$14,0),MATCH(Industry!AF$1,Industry_Calculation!$AU$5:$BF$5,0)),"")</f>
        <v>11.73505939</v>
      </c>
      <c r="AG74" s="487">
        <f t="array" ref="AG74">IFERROR(INDEX(Industry_Calculation!$AU$5:$BF$14,MATCH(Industry!$G74,Industry_Calculation!$AW$5:$AW$14,0),MATCH(Industry!AG$1,Industry_Calculation!$AU$5:$BF$5,0)),"")</f>
        <v>7.549775185</v>
      </c>
      <c r="AH74" s="487">
        <f t="array" ref="AH74">IFERROR(INDEX(Industry_Calculation!$AU$5:$BF$14,MATCH(Industry!$G74,Industry_Calculation!$AW$5:$AW$14,0),MATCH(Industry!AH$1,Industry_Calculation!$AU$5:$BF$5,0)),"")</f>
        <v>7.397287232</v>
      </c>
      <c r="AI74" s="204"/>
      <c r="AJ74" s="275"/>
      <c r="AK74" s="204"/>
      <c r="AL74" s="204"/>
      <c r="AM74" s="251"/>
      <c r="AN74" s="102"/>
    </row>
    <row r="75" ht="14.25" customHeight="1" outlineLevel="2">
      <c r="A75" s="247"/>
      <c r="B75" s="476"/>
      <c r="C75" s="485"/>
      <c r="D75" s="476"/>
      <c r="E75" s="180" t="s">
        <v>2198</v>
      </c>
      <c r="F75" s="249" t="s">
        <v>135</v>
      </c>
      <c r="G75" s="249" t="s">
        <v>2199</v>
      </c>
      <c r="H75" s="486" t="str">
        <f t="array" ref="H75">IFERROR(INDEX(Industry_Historical_Data!$A$1:$S$3000,MATCH(Industry!$G75&amp;Industry_Calculation!$D$27,Industry_Historical_Data!$A$1:$A$3000&amp;Industry_Historical_Data!$C$1:$C$3000,0&amp;0),MATCH(Industry!H$1,Industry_Historical_Data!$A$1:$S$1,0)),"")</f>
        <v/>
      </c>
      <c r="I75" s="486" t="str">
        <f t="array" ref="I75">IFERROR(INDEX(Industry_Historical_Data!$A$1:$S$3000,MATCH(Industry!$G75&amp;Industry_Calculation!$D$27,Industry_Historical_Data!$A$1:$A$3000&amp;Industry_Historical_Data!$C$1:$C$3000,0&amp;0),MATCH(Industry!I$1,Industry_Historical_Data!$A$1:$S$1,0)),"")</f>
        <v/>
      </c>
      <c r="J75" s="486" t="str">
        <f t="array" ref="J75">IFERROR(INDEX(Industry_Historical_Data!$A$1:$S$3000,MATCH(Industry!$G75&amp;Industry_Calculation!$D$27,Industry_Historical_Data!$A$1:$A$3000&amp;Industry_Historical_Data!$C$1:$C$3000,0&amp;0),MATCH(Industry!J$1,Industry_Historical_Data!$A$1:$S$1,0)),"")</f>
        <v/>
      </c>
      <c r="K75" s="486" t="str">
        <f t="array" ref="K75">IFERROR(INDEX(Industry_Historical_Data!$A$1:$S$3000,MATCH(Industry!$G75&amp;Industry_Calculation!$D$27,Industry_Historical_Data!$A$1:$A$3000&amp;Industry_Historical_Data!$C$1:$C$3000,0&amp;0),MATCH(Industry!K$1,Industry_Historical_Data!$A$1:$S$1,0)),"")</f>
        <v/>
      </c>
      <c r="L75" s="486" t="str">
        <f t="array" ref="L75">IFERROR(INDEX(Industry_Historical_Data!$A$1:$S$3000,MATCH(Industry!$G75&amp;Industry_Calculation!$D$27,Industry_Historical_Data!$A$1:$A$3000&amp;Industry_Historical_Data!$C$1:$C$3000,0&amp;0),MATCH(Industry!L$1,Industry_Historical_Data!$A$1:$S$1,0)),"")</f>
        <v/>
      </c>
      <c r="M75" s="486" t="str">
        <f t="array" ref="M75">IFERROR(INDEX(Industry_Historical_Data!$A$1:$S$3000,MATCH(Industry!$G75&amp;Industry_Calculation!$D$27,Industry_Historical_Data!$A$1:$A$3000&amp;Industry_Historical_Data!$C$1:$C$3000,0&amp;0),MATCH(Industry!M$1,Industry_Historical_Data!$A$1:$S$1,0)),"")</f>
        <v/>
      </c>
      <c r="N75" s="486" t="str">
        <f t="array" ref="N75">IFERROR(INDEX(Industry_Historical_Data!$A$1:$S$3000,MATCH(Industry!$G75&amp;Industry_Calculation!$D$27,Industry_Historical_Data!$A$1:$A$3000&amp;Industry_Historical_Data!$C$1:$C$3000,0&amp;0),MATCH(Industry!N$1,Industry_Historical_Data!$A$1:$S$1,0)),"")</f>
        <v/>
      </c>
      <c r="O75" s="486" t="str">
        <f t="array" ref="O75">IFERROR(INDEX(Industry_Historical_Data!$A$1:$S$3000,MATCH(Industry!$G75&amp;Industry_Calculation!$D$27,Industry_Historical_Data!$A$1:$A$3000&amp;Industry_Historical_Data!$C$1:$C$3000,0&amp;0),MATCH(Industry!O$1,Industry_Historical_Data!$A$1:$S$1,0)),"")</f>
        <v/>
      </c>
      <c r="P75" s="486" t="str">
        <f t="array" ref="P75">IFERROR(INDEX(Industry_Historical_Data!$A$1:$S$3000,MATCH(Industry!$G75&amp;Industry_Calculation!$D$27,Industry_Historical_Data!$A$1:$A$3000&amp;Industry_Historical_Data!$C$1:$C$3000,0&amp;0),MATCH(Industry!P$1,Industry_Historical_Data!$A$1:$S$1,0)),"")</f>
        <v/>
      </c>
      <c r="Q75" s="486" t="str">
        <f t="array" ref="Q75">IFERROR(INDEX(Industry_Historical_Data!$A$1:$S$3000,MATCH(Industry!$G75&amp;Industry_Calculation!$D$27,Industry_Historical_Data!$A$1:$A$3000&amp;Industry_Historical_Data!$C$1:$C$3000,0&amp;0),MATCH(Industry!Q$1,Industry_Historical_Data!$A$1:$S$1,0)),"")</f>
        <v/>
      </c>
      <c r="R75" s="486">
        <f t="array" ref="R75">IFERROR(INDEX(Industry_Historical_Data!$A$1:$S$3000,MATCH(Industry!$G75&amp;Industry_Calculation!$D$27,Industry_Historical_Data!$A$1:$A$3000&amp;Industry_Historical_Data!$C$1:$C$3000,0&amp;0),MATCH(Industry!R$1,Industry_Historical_Data!$A$1:$S$1,0)),"")</f>
        <v>39.8417</v>
      </c>
      <c r="S75" s="486">
        <f t="array" ref="S75">IFERROR(INDEX(Industry_Historical_Data!$A$1:$S$3000,MATCH(Industry!$G75&amp;Industry_Calculation!$D$27,Industry_Historical_Data!$A$1:$A$3000&amp;Industry_Historical_Data!$C$1:$C$3000,0&amp;0),MATCH(Industry!S$1,Industry_Historical_Data!$A$1:$S$1,0)),"")</f>
        <v>39.249</v>
      </c>
      <c r="T75" s="486">
        <f t="array" ref="T75">IFERROR(INDEX(Industry_Historical_Data!$A$1:$S$3000,MATCH(Industry!$G75&amp;Industry_Calculation!$D$27,Industry_Historical_Data!$A$1:$A$3000&amp;Industry_Historical_Data!$C$1:$C$3000,0&amp;0),MATCH(Industry!T$1,Industry_Historical_Data!$A$1:$S$1,0)),"")</f>
        <v>38.2689</v>
      </c>
      <c r="U75" s="486">
        <f t="array" ref="U75">IFERROR(INDEX(Industry_Historical_Data!$A$1:$S$3000,MATCH(Industry!$G75&amp;Industry_Calculation!$D$27,Industry_Historical_Data!$A$1:$A$3000&amp;Industry_Historical_Data!$C$1:$C$3000,0&amp;0),MATCH(Industry!U$1,Industry_Historical_Data!$A$1:$S$1,0)),"")</f>
        <v>37.7682</v>
      </c>
      <c r="V75" s="486">
        <f t="array" ref="V75">IFERROR(INDEX(Industry_Historical_Data!$A$1:$S$3000,MATCH(Industry!$G75&amp;Industry_Calculation!$D$27,Industry_Historical_Data!$A$1:$A$3000&amp;Industry_Historical_Data!$C$1:$C$3000,0&amp;0),MATCH(Industry!V$1,Industry_Historical_Data!$A$1:$S$1,0)),"")</f>
        <v>37.9387</v>
      </c>
      <c r="W75" s="487">
        <f t="array" ref="W75">IFERROR(INDEX(Industry_Calculation!$AU$5:$BF$14,MATCH(Industry!$G75,Industry_Calculation!$AW$5:$AW$14,0),MATCH(Industry!W$1,Industry_Calculation!$AU$5:$BF$5,0)),"")</f>
        <v>37.683306</v>
      </c>
      <c r="X75" s="486">
        <f t="array" ref="X75">IFERROR(INDEX(Industry_Historical_Data!$A$1:$S$3000,MATCH(Industry!$G75&amp;Industry_Calculation!$D$27,Industry_Historical_Data!$A$1:$A$3000&amp;Industry_Historical_Data!$C$1:$C$3000,0&amp;0),MATCH(Industry!X$1,Industry_Historical_Data!$A$1:$S$1,0)),"")</f>
        <v>38.3642</v>
      </c>
      <c r="Y75" s="486">
        <f t="array" ref="Y75">IFERROR(INDEX(Industry_Historical_Data!$A$1:$S$3000,MATCH(Industry!$G75&amp;Industry_Calculation!$D$27,Industry_Historical_Data!$A$1:$A$3000&amp;Industry_Historical_Data!$C$1:$C$3000,0&amp;0),MATCH(Industry!Y$1,Industry_Historical_Data!$A$1:$S$1,0)),"")</f>
        <v>38.5847</v>
      </c>
      <c r="Z75" s="486">
        <f t="array" ref="Z75">IFERROR(INDEX(Industry_Historical_Data!$A$1:$S$3000,MATCH(Industry!$G75&amp;Industry_Calculation!$D$27,Industry_Historical_Data!$A$1:$A$3000&amp;Industry_Historical_Data!$C$1:$C$3000,0&amp;0),MATCH(Industry!Z$1,Industry_Historical_Data!$A$1:$S$1,0)),"")</f>
        <v>39.1057</v>
      </c>
      <c r="AA75" s="487">
        <f t="array" ref="AA75">IFERROR(INDEX(Industry_Calculation!$AU$5:$BF$14,MATCH(Industry!$G75,Industry_Calculation!$AW$5:$AW$14,0),MATCH(Industry!AA$1,Industry_Calculation!$AU$5:$BF$5,0)),"")</f>
        <v>37.9001557</v>
      </c>
      <c r="AB75" s="487">
        <f t="shared" si="62"/>
        <v>37.9001557</v>
      </c>
      <c r="AC75" s="487">
        <f t="array" ref="AC75">IFERROR(INDEX(Industry_Calculation!$AU$5:$BF$14,MATCH(Industry!$G75,Industry_Calculation!$AW$5:$AW$14,0),MATCH(Industry!AC$1,Industry_Calculation!$AU$5:$BF$5,0)),"")</f>
        <v>48.79912783</v>
      </c>
      <c r="AD75" s="487">
        <f t="array" ref="AD75">IFERROR(INDEX(Industry_Calculation!$AU$5:$BF$14,MATCH(Industry!$G75,Industry_Calculation!$AW$5:$AW$14,0),MATCH(Industry!AD$1,Industry_Calculation!$AU$5:$BF$5,0)),"")</f>
        <v>53.47859786</v>
      </c>
      <c r="AE75" s="487">
        <f t="array" ref="AE75">IFERROR(INDEX(Industry_Calculation!$AU$5:$BF$14,MATCH(Industry!$G75,Industry_Calculation!$AW$5:$AW$14,0),MATCH(Industry!AE$1,Industry_Calculation!$AU$5:$BF$5,0)),"")</f>
        <v>57.73431443</v>
      </c>
      <c r="AF75" s="487">
        <f t="array" ref="AF75">IFERROR(INDEX(Industry_Calculation!$AU$5:$BF$14,MATCH(Industry!$G75,Industry_Calculation!$AW$5:$AW$14,0),MATCH(Industry!AF$1,Industry_Calculation!$AU$5:$BF$5,0)),"")</f>
        <v>59.21691507</v>
      </c>
      <c r="AG75" s="487">
        <f t="array" ref="AG75">IFERROR(INDEX(Industry_Calculation!$AU$5:$BF$14,MATCH(Industry!$G75,Industry_Calculation!$AW$5:$AW$14,0),MATCH(Industry!AG$1,Industry_Calculation!$AU$5:$BF$5,0)),"")</f>
        <v>60.39820148</v>
      </c>
      <c r="AH75" s="487">
        <f t="array" ref="AH75">IFERROR(INDEX(Industry_Calculation!$AU$5:$BF$14,MATCH(Industry!$G75,Industry_Calculation!$AW$5:$AW$14,0),MATCH(Industry!AH$1,Industry_Calculation!$AU$5:$BF$5,0)),"")</f>
        <v>59.17829786</v>
      </c>
      <c r="AI75" s="204"/>
      <c r="AJ75" s="275"/>
      <c r="AK75" s="204"/>
      <c r="AL75" s="204"/>
      <c r="AM75" s="251"/>
      <c r="AN75" s="102"/>
    </row>
    <row r="76" ht="14.25" customHeight="1" outlineLevel="2">
      <c r="A76" s="247"/>
      <c r="B76" s="476"/>
      <c r="C76" s="485"/>
      <c r="D76" s="476"/>
      <c r="E76" s="180" t="s">
        <v>2200</v>
      </c>
      <c r="F76" s="249" t="s">
        <v>135</v>
      </c>
      <c r="G76" s="249" t="s">
        <v>2201</v>
      </c>
      <c r="H76" s="486" t="str">
        <f t="array" ref="H76">IFERROR(INDEX(Industry_Historical_Data!$A$1:$S$3000,MATCH(Industry!$G76&amp;Industry_Calculation!$D$27,Industry_Historical_Data!$A$1:$A$3000&amp;Industry_Historical_Data!$C$1:$C$3000,0&amp;0),MATCH(Industry!H$1,Industry_Historical_Data!$A$1:$S$1,0)),"")</f>
        <v/>
      </c>
      <c r="I76" s="486" t="str">
        <f t="array" ref="I76">IFERROR(INDEX(Industry_Historical_Data!$A$1:$S$3000,MATCH(Industry!$G76&amp;Industry_Calculation!$D$27,Industry_Historical_Data!$A$1:$A$3000&amp;Industry_Historical_Data!$C$1:$C$3000,0&amp;0),MATCH(Industry!I$1,Industry_Historical_Data!$A$1:$S$1,0)),"")</f>
        <v/>
      </c>
      <c r="J76" s="486" t="str">
        <f t="array" ref="J76">IFERROR(INDEX(Industry_Historical_Data!$A$1:$S$3000,MATCH(Industry!$G76&amp;Industry_Calculation!$D$27,Industry_Historical_Data!$A$1:$A$3000&amp;Industry_Historical_Data!$C$1:$C$3000,0&amp;0),MATCH(Industry!J$1,Industry_Historical_Data!$A$1:$S$1,0)),"")</f>
        <v/>
      </c>
      <c r="K76" s="486" t="str">
        <f t="array" ref="K76">IFERROR(INDEX(Industry_Historical_Data!$A$1:$S$3000,MATCH(Industry!$G76&amp;Industry_Calculation!$D$27,Industry_Historical_Data!$A$1:$A$3000&amp;Industry_Historical_Data!$C$1:$C$3000,0&amp;0),MATCH(Industry!K$1,Industry_Historical_Data!$A$1:$S$1,0)),"")</f>
        <v/>
      </c>
      <c r="L76" s="486" t="str">
        <f t="array" ref="L76">IFERROR(INDEX(Industry_Historical_Data!$A$1:$S$3000,MATCH(Industry!$G76&amp;Industry_Calculation!$D$27,Industry_Historical_Data!$A$1:$A$3000&amp;Industry_Historical_Data!$C$1:$C$3000,0&amp;0),MATCH(Industry!L$1,Industry_Historical_Data!$A$1:$S$1,0)),"")</f>
        <v/>
      </c>
      <c r="M76" s="486" t="str">
        <f t="array" ref="M76">IFERROR(INDEX(Industry_Historical_Data!$A$1:$S$3000,MATCH(Industry!$G76&amp;Industry_Calculation!$D$27,Industry_Historical_Data!$A$1:$A$3000&amp;Industry_Historical_Data!$C$1:$C$3000,0&amp;0),MATCH(Industry!M$1,Industry_Historical_Data!$A$1:$S$1,0)),"")</f>
        <v/>
      </c>
      <c r="N76" s="486" t="str">
        <f t="array" ref="N76">IFERROR(INDEX(Industry_Historical_Data!$A$1:$S$3000,MATCH(Industry!$G76&amp;Industry_Calculation!$D$27,Industry_Historical_Data!$A$1:$A$3000&amp;Industry_Historical_Data!$C$1:$C$3000,0&amp;0),MATCH(Industry!N$1,Industry_Historical_Data!$A$1:$S$1,0)),"")</f>
        <v/>
      </c>
      <c r="O76" s="486" t="str">
        <f t="array" ref="O76">IFERROR(INDEX(Industry_Historical_Data!$A$1:$S$3000,MATCH(Industry!$G76&amp;Industry_Calculation!$D$27,Industry_Historical_Data!$A$1:$A$3000&amp;Industry_Historical_Data!$C$1:$C$3000,0&amp;0),MATCH(Industry!O$1,Industry_Historical_Data!$A$1:$S$1,0)),"")</f>
        <v/>
      </c>
      <c r="P76" s="486" t="str">
        <f t="array" ref="P76">IFERROR(INDEX(Industry_Historical_Data!$A$1:$S$3000,MATCH(Industry!$G76&amp;Industry_Calculation!$D$27,Industry_Historical_Data!$A$1:$A$3000&amp;Industry_Historical_Data!$C$1:$C$3000,0&amp;0),MATCH(Industry!P$1,Industry_Historical_Data!$A$1:$S$1,0)),"")</f>
        <v/>
      </c>
      <c r="Q76" s="486" t="str">
        <f t="array" ref="Q76">IFERROR(INDEX(Industry_Historical_Data!$A$1:$S$3000,MATCH(Industry!$G76&amp;Industry_Calculation!$D$27,Industry_Historical_Data!$A$1:$A$3000&amp;Industry_Historical_Data!$C$1:$C$3000,0&amp;0),MATCH(Industry!Q$1,Industry_Historical_Data!$A$1:$S$1,0)),"")</f>
        <v/>
      </c>
      <c r="R76" s="486">
        <f t="array" ref="R76">IFERROR(INDEX(Industry_Historical_Data!$A$1:$S$3000,MATCH(Industry!$G76&amp;Industry_Calculation!$D$27,Industry_Historical_Data!$A$1:$A$3000&amp;Industry_Historical_Data!$C$1:$C$3000,0&amp;0),MATCH(Industry!R$1,Industry_Historical_Data!$A$1:$S$1,0)),"")</f>
        <v>6.3997</v>
      </c>
      <c r="S76" s="486">
        <f t="array" ref="S76">IFERROR(INDEX(Industry_Historical_Data!$A$1:$S$3000,MATCH(Industry!$G76&amp;Industry_Calculation!$D$27,Industry_Historical_Data!$A$1:$A$3000&amp;Industry_Historical_Data!$C$1:$C$3000,0&amp;0),MATCH(Industry!S$1,Industry_Historical_Data!$A$1:$S$1,0)),"")</f>
        <v>6.2014</v>
      </c>
      <c r="T76" s="486">
        <f t="array" ref="T76">IFERROR(INDEX(Industry_Historical_Data!$A$1:$S$3000,MATCH(Industry!$G76&amp;Industry_Calculation!$D$27,Industry_Historical_Data!$A$1:$A$3000&amp;Industry_Historical_Data!$C$1:$C$3000,0&amp;0),MATCH(Industry!T$1,Industry_Historical_Data!$A$1:$S$1,0)),"")</f>
        <v>6.3663</v>
      </c>
      <c r="U76" s="486">
        <f t="array" ref="U76">IFERROR(INDEX(Industry_Historical_Data!$A$1:$S$3000,MATCH(Industry!$G76&amp;Industry_Calculation!$D$27,Industry_Historical_Data!$A$1:$A$3000&amp;Industry_Historical_Data!$C$1:$C$3000,0&amp;0),MATCH(Industry!U$1,Industry_Historical_Data!$A$1:$S$1,0)),"")</f>
        <v>5.8362</v>
      </c>
      <c r="V76" s="486">
        <f t="array" ref="V76">IFERROR(INDEX(Industry_Historical_Data!$A$1:$S$3000,MATCH(Industry!$G76&amp;Industry_Calculation!$D$27,Industry_Historical_Data!$A$1:$A$3000&amp;Industry_Historical_Data!$C$1:$C$3000,0&amp;0),MATCH(Industry!V$1,Industry_Historical_Data!$A$1:$S$1,0)),"")</f>
        <v>5.2363</v>
      </c>
      <c r="W76" s="487">
        <f t="array" ref="W76">IFERROR(INDEX(Industry_Calculation!$AU$5:$BF$14,MATCH(Industry!$G76,Industry_Calculation!$AW$5:$AW$14,0),MATCH(Industry!W$1,Industry_Calculation!$AU$5:$BF$5,0)),"")</f>
        <v>5.582712</v>
      </c>
      <c r="X76" s="487" t="str">
        <f t="array" ref="X76">IFERROR(INDEX(Industry_Calculation!$AU$5:$BF$14,MATCH(Industry!$G76,Industry_Calculation!$AW$5:$AW$14,0),MATCH(Industry!X$1,Industry_Calculation!$AU$5:$BF$5,0)),"")</f>
        <v/>
      </c>
      <c r="Y76" s="487" t="str">
        <f t="array" ref="Y76">IFERROR(INDEX(Industry_Calculation!$AU$5:$BF$14,MATCH(Industry!$G76,Industry_Calculation!$AW$5:$AW$14,0),MATCH(Industry!Y$1,Industry_Calculation!$AU$5:$BF$5,0)),"")</f>
        <v/>
      </c>
      <c r="Z76" s="487" t="str">
        <f t="array" ref="Z76">IFERROR(INDEX(Industry_Calculation!$AU$5:$BF$14,MATCH(Industry!$G76,Industry_Calculation!$AW$5:$AW$14,0),MATCH(Industry!Z$1,Industry_Calculation!$AU$5:$BF$5,0)),"")</f>
        <v/>
      </c>
      <c r="AA76" s="487">
        <f t="array" ref="AA76">IFERROR(INDEX(Industry_Calculation!$AU$5:$BF$14,MATCH(Industry!$G76,Industry_Calculation!$AW$5:$AW$14,0),MATCH(Industry!AA$1,Industry_Calculation!$AU$5:$BF$5,0)),"")</f>
        <v>5.274484871</v>
      </c>
      <c r="AB76" s="487">
        <f t="shared" si="62"/>
        <v>5.274484871</v>
      </c>
      <c r="AC76" s="487">
        <f t="array" ref="AC76">IFERROR(INDEX(Industry_Calculation!$AU$5:$BF$14,MATCH(Industry!$G76,Industry_Calculation!$AW$5:$AW$14,0),MATCH(Industry!AC$1,Industry_Calculation!$AU$5:$BF$5,0)),"")</f>
        <v>4.763030794</v>
      </c>
      <c r="AD76" s="487">
        <f t="array" ref="AD76">IFERROR(INDEX(Industry_Calculation!$AU$5:$BF$14,MATCH(Industry!$G76,Industry_Calculation!$AW$5:$AW$14,0),MATCH(Industry!AD$1,Industry_Calculation!$AU$5:$BF$5,0)),"")</f>
        <v>3.926811791</v>
      </c>
      <c r="AE76" s="487">
        <f t="array" ref="AE76">IFERROR(INDEX(Industry_Calculation!$AU$5:$BF$14,MATCH(Industry!$G76,Industry_Calculation!$AW$5:$AW$14,0),MATCH(Industry!AE$1,Industry_Calculation!$AU$5:$BF$5,0)),"")</f>
        <v>3.292288704</v>
      </c>
      <c r="AF76" s="487">
        <f t="array" ref="AF76">IFERROR(INDEX(Industry_Calculation!$AU$5:$BF$14,MATCH(Industry!$G76,Industry_Calculation!$AW$5:$AW$14,0),MATCH(Industry!AF$1,Industry_Calculation!$AU$5:$BF$5,0)),"")</f>
        <v>2.852522128</v>
      </c>
      <c r="AG76" s="487">
        <f t="array" ref="AG76">IFERROR(INDEX(Industry_Calculation!$AU$5:$BF$14,MATCH(Industry!$G76,Industry_Calculation!$AW$5:$AW$14,0),MATCH(Industry!AG$1,Industry_Calculation!$AU$5:$BF$5,0)),"")</f>
        <v>2.516591728</v>
      </c>
      <c r="AH76" s="487">
        <f t="array" ref="AH76">IFERROR(INDEX(Industry_Calculation!$AU$5:$BF$14,MATCH(Industry!$G76,Industry_Calculation!$AW$5:$AW$14,0),MATCH(Industry!AH$1,Industry_Calculation!$AU$5:$BF$5,0)),"")</f>
        <v>2.465762411</v>
      </c>
      <c r="AI76" s="204"/>
      <c r="AJ76" s="275"/>
      <c r="AK76" s="204"/>
      <c r="AL76" s="204"/>
      <c r="AM76" s="251"/>
      <c r="AN76" s="102"/>
    </row>
    <row r="77" ht="14.25" customHeight="1" outlineLevel="2">
      <c r="A77" s="247"/>
      <c r="B77" s="476"/>
      <c r="C77" s="485"/>
      <c r="D77" s="476"/>
      <c r="E77" s="180" t="s">
        <v>2202</v>
      </c>
      <c r="F77" s="249" t="s">
        <v>135</v>
      </c>
      <c r="G77" s="249" t="s">
        <v>2203</v>
      </c>
      <c r="H77" s="486" t="str">
        <f t="array" ref="H77">IFERROR(INDEX(Industry_Historical_Data!$A$1:$S$3000,MATCH(Industry!$G77&amp;Industry_Calculation!$D$27,Industry_Historical_Data!$A$1:$A$3000&amp;Industry_Historical_Data!$C$1:$C$3000,0&amp;0),MATCH(Industry!H$1,Industry_Historical_Data!$A$1:$S$1,0)),"")</f>
        <v/>
      </c>
      <c r="I77" s="486" t="str">
        <f t="array" ref="I77">IFERROR(INDEX(Industry_Historical_Data!$A$1:$S$3000,MATCH(Industry!$G77&amp;Industry_Calculation!$D$27,Industry_Historical_Data!$A$1:$A$3000&amp;Industry_Historical_Data!$C$1:$C$3000,0&amp;0),MATCH(Industry!I$1,Industry_Historical_Data!$A$1:$S$1,0)),"")</f>
        <v/>
      </c>
      <c r="J77" s="486" t="str">
        <f t="array" ref="J77">IFERROR(INDEX(Industry_Historical_Data!$A$1:$S$3000,MATCH(Industry!$G77&amp;Industry_Calculation!$D$27,Industry_Historical_Data!$A$1:$A$3000&amp;Industry_Historical_Data!$C$1:$C$3000,0&amp;0),MATCH(Industry!J$1,Industry_Historical_Data!$A$1:$S$1,0)),"")</f>
        <v/>
      </c>
      <c r="K77" s="486" t="str">
        <f t="array" ref="K77">IFERROR(INDEX(Industry_Historical_Data!$A$1:$S$3000,MATCH(Industry!$G77&amp;Industry_Calculation!$D$27,Industry_Historical_Data!$A$1:$A$3000&amp;Industry_Historical_Data!$C$1:$C$3000,0&amp;0),MATCH(Industry!K$1,Industry_Historical_Data!$A$1:$S$1,0)),"")</f>
        <v/>
      </c>
      <c r="L77" s="486" t="str">
        <f t="array" ref="L77">IFERROR(INDEX(Industry_Historical_Data!$A$1:$S$3000,MATCH(Industry!$G77&amp;Industry_Calculation!$D$27,Industry_Historical_Data!$A$1:$A$3000&amp;Industry_Historical_Data!$C$1:$C$3000,0&amp;0),MATCH(Industry!L$1,Industry_Historical_Data!$A$1:$S$1,0)),"")</f>
        <v/>
      </c>
      <c r="M77" s="486" t="str">
        <f t="array" ref="M77">IFERROR(INDEX(Industry_Historical_Data!$A$1:$S$3000,MATCH(Industry!$G77&amp;Industry_Calculation!$D$27,Industry_Historical_Data!$A$1:$A$3000&amp;Industry_Historical_Data!$C$1:$C$3000,0&amp;0),MATCH(Industry!M$1,Industry_Historical_Data!$A$1:$S$1,0)),"")</f>
        <v/>
      </c>
      <c r="N77" s="486" t="str">
        <f t="array" ref="N77">IFERROR(INDEX(Industry_Historical_Data!$A$1:$S$3000,MATCH(Industry!$G77&amp;Industry_Calculation!$D$27,Industry_Historical_Data!$A$1:$A$3000&amp;Industry_Historical_Data!$C$1:$C$3000,0&amp;0),MATCH(Industry!N$1,Industry_Historical_Data!$A$1:$S$1,0)),"")</f>
        <v/>
      </c>
      <c r="O77" s="486" t="str">
        <f t="array" ref="O77">IFERROR(INDEX(Industry_Historical_Data!$A$1:$S$3000,MATCH(Industry!$G77&amp;Industry_Calculation!$D$27,Industry_Historical_Data!$A$1:$A$3000&amp;Industry_Historical_Data!$C$1:$C$3000,0&amp;0),MATCH(Industry!O$1,Industry_Historical_Data!$A$1:$S$1,0)),"")</f>
        <v/>
      </c>
      <c r="P77" s="486" t="str">
        <f t="array" ref="P77">IFERROR(INDEX(Industry_Historical_Data!$A$1:$S$3000,MATCH(Industry!$G77&amp;Industry_Calculation!$D$27,Industry_Historical_Data!$A$1:$A$3000&amp;Industry_Historical_Data!$C$1:$C$3000,0&amp;0),MATCH(Industry!P$1,Industry_Historical_Data!$A$1:$S$1,0)),"")</f>
        <v/>
      </c>
      <c r="Q77" s="486" t="str">
        <f t="array" ref="Q77">IFERROR(INDEX(Industry_Historical_Data!$A$1:$S$3000,MATCH(Industry!$G77&amp;Industry_Calculation!$D$27,Industry_Historical_Data!$A$1:$A$3000&amp;Industry_Historical_Data!$C$1:$C$3000,0&amp;0),MATCH(Industry!Q$1,Industry_Historical_Data!$A$1:$S$1,0)),"")</f>
        <v/>
      </c>
      <c r="R77" s="486" t="str">
        <f t="array" ref="R77">IFERROR(INDEX(Industry_Historical_Data!$A$1:$S$3000,MATCH(Industry!$G77&amp;Industry_Calculation!$D$27,Industry_Historical_Data!$A$1:$A$3000&amp;Industry_Historical_Data!$C$1:$C$3000,0&amp;0),MATCH(Industry!R$1,Industry_Historical_Data!$A$1:$S$1,0)),"")</f>
        <v/>
      </c>
      <c r="S77" s="486" t="str">
        <f t="array" ref="S77">IFERROR(INDEX(Industry_Historical_Data!$A$1:$S$3000,MATCH(Industry!$G77&amp;Industry_Calculation!$D$27,Industry_Historical_Data!$A$1:$A$3000&amp;Industry_Historical_Data!$C$1:$C$3000,0&amp;0),MATCH(Industry!S$1,Industry_Historical_Data!$A$1:$S$1,0)),"")</f>
        <v/>
      </c>
      <c r="T77" s="486" t="str">
        <f t="array" ref="T77">IFERROR(INDEX(Industry_Historical_Data!$A$1:$S$3000,MATCH(Industry!$G77&amp;Industry_Calculation!$D$27,Industry_Historical_Data!$A$1:$A$3000&amp;Industry_Historical_Data!$C$1:$C$3000,0&amp;0),MATCH(Industry!T$1,Industry_Historical_Data!$A$1:$S$1,0)),"")</f>
        <v/>
      </c>
      <c r="U77" s="486" t="str">
        <f t="array" ref="U77">IFERROR(INDEX(Industry_Historical_Data!$A$1:$S$3000,MATCH(Industry!$G77&amp;Industry_Calculation!$D$27,Industry_Historical_Data!$A$1:$A$3000&amp;Industry_Historical_Data!$C$1:$C$3000,0&amp;0),MATCH(Industry!U$1,Industry_Historical_Data!$A$1:$S$1,0)),"")</f>
        <v/>
      </c>
      <c r="V77" s="486" t="str">
        <f t="array" ref="V77">IFERROR(INDEX(Industry_Historical_Data!$A$1:$S$3000,MATCH(Industry!$G77&amp;Industry_Calculation!$D$27,Industry_Historical_Data!$A$1:$A$3000&amp;Industry_Historical_Data!$C$1:$C$3000,0&amp;0),MATCH(Industry!V$1,Industry_Historical_Data!$A$1:$S$1,0)),"")</f>
        <v/>
      </c>
      <c r="W77" s="487">
        <f t="array" ref="W77">IFERROR(INDEX(Industry_Calculation!$AU$5:$BF$14,MATCH(Industry!$G77,Industry_Calculation!$AW$5:$AW$14,0),MATCH(Industry!W$1,Industry_Calculation!$AU$5:$BF$5,0)),"")</f>
        <v>0</v>
      </c>
      <c r="X77" s="487" t="str">
        <f t="array" ref="X77">IFERROR(INDEX(Industry_Calculation!$AU$5:$BF$14,MATCH(Industry!$G77,Industry_Calculation!$AW$5:$AW$14,0),MATCH(Industry!X$1,Industry_Calculation!$AU$5:$BF$5,0)),"")</f>
        <v/>
      </c>
      <c r="Y77" s="487" t="str">
        <f t="array" ref="Y77">IFERROR(INDEX(Industry_Calculation!$AU$5:$BF$14,MATCH(Industry!$G77,Industry_Calculation!$AW$5:$AW$14,0),MATCH(Industry!Y$1,Industry_Calculation!$AU$5:$BF$5,0)),"")</f>
        <v/>
      </c>
      <c r="Z77" s="487" t="str">
        <f t="array" ref="Z77">IFERROR(INDEX(Industry_Calculation!$AU$5:$BF$14,MATCH(Industry!$G77,Industry_Calculation!$AW$5:$AW$14,0),MATCH(Industry!Z$1,Industry_Calculation!$AU$5:$BF$5,0)),"")</f>
        <v/>
      </c>
      <c r="AA77" s="487">
        <f t="array" ref="AA77">IFERROR(INDEX(Industry_Calculation!$AU$5:$BF$14,MATCH(Industry!$G77,Industry_Calculation!$AW$5:$AW$14,0),MATCH(Industry!AA$1,Industry_Calculation!$AU$5:$BF$5,0)),"")</f>
        <v>0</v>
      </c>
      <c r="AB77" s="487">
        <f t="shared" si="62"/>
        <v>0</v>
      </c>
      <c r="AC77" s="487">
        <f t="array" ref="AC77">IFERROR(INDEX(Industry_Calculation!$AU$5:$BF$14,MATCH(Industry!$G77,Industry_Calculation!$AW$5:$AW$14,0),MATCH(Industry!AC$1,Industry_Calculation!$AU$5:$BF$5,0)),"")</f>
        <v>0</v>
      </c>
      <c r="AD77" s="487">
        <f t="array" ref="AD77">IFERROR(INDEX(Industry_Calculation!$AU$5:$BF$14,MATCH(Industry!$G77,Industry_Calculation!$AW$5:$AW$14,0),MATCH(Industry!AD$1,Industry_Calculation!$AU$5:$BF$5,0)),"")</f>
        <v>0</v>
      </c>
      <c r="AE77" s="487">
        <f t="array" ref="AE77">IFERROR(INDEX(Industry_Calculation!$AU$5:$BF$14,MATCH(Industry!$G77,Industry_Calculation!$AW$5:$AW$14,0),MATCH(Industry!AE$1,Industry_Calculation!$AU$5:$BF$5,0)),"")</f>
        <v>9.074654716</v>
      </c>
      <c r="AF77" s="487">
        <f t="array" ref="AF77">IFERROR(INDEX(Industry_Calculation!$AU$5:$BF$14,MATCH(Industry!$G77,Industry_Calculation!$AW$5:$AW$14,0),MATCH(Industry!AF$1,Industry_Calculation!$AU$5:$BF$5,0)),"")</f>
        <v>8.124271884</v>
      </c>
      <c r="AG77" s="487">
        <f t="array" ref="AG77">IFERROR(INDEX(Industry_Calculation!$AU$5:$BF$14,MATCH(Industry!$G77,Industry_Calculation!$AW$5:$AW$14,0),MATCH(Industry!AG$1,Industry_Calculation!$AU$5:$BF$5,0)),"")</f>
        <v>7.549775185</v>
      </c>
      <c r="AH77" s="487">
        <f t="array" ref="AH77">IFERROR(INDEX(Industry_Calculation!$AU$5:$BF$14,MATCH(Industry!$G77,Industry_Calculation!$AW$5:$AW$14,0),MATCH(Industry!AH$1,Industry_Calculation!$AU$5:$BF$5,0)),"")</f>
        <v>7.397287232</v>
      </c>
      <c r="AI77" s="204"/>
      <c r="AJ77" s="275"/>
      <c r="AK77" s="204"/>
      <c r="AL77" s="204"/>
      <c r="AM77" s="251"/>
      <c r="AN77" s="102"/>
    </row>
    <row r="78" ht="14.25" customHeight="1" outlineLevel="2">
      <c r="A78" s="247"/>
      <c r="B78" s="476"/>
      <c r="C78" s="485"/>
      <c r="D78" s="476"/>
      <c r="E78" s="180" t="s">
        <v>2204</v>
      </c>
      <c r="F78" s="249" t="s">
        <v>135</v>
      </c>
      <c r="G78" s="249" t="s">
        <v>2205</v>
      </c>
      <c r="H78" s="486"/>
      <c r="I78" s="486"/>
      <c r="J78" s="486"/>
      <c r="K78" s="486"/>
      <c r="L78" s="486"/>
      <c r="M78" s="486"/>
      <c r="N78" s="486"/>
      <c r="O78" s="486"/>
      <c r="P78" s="486"/>
      <c r="Q78" s="486"/>
      <c r="R78" s="486"/>
      <c r="S78" s="486"/>
      <c r="T78" s="486"/>
      <c r="U78" s="486"/>
      <c r="V78" s="486"/>
      <c r="W78" s="487">
        <f t="array" ref="W78">IFERROR(INDEX(Industry_Calculation!$AU$5:$BF$14,MATCH(Industry!$G78,Industry_Calculation!$AW$5:$AW$14,0),MATCH(Industry!W$1,Industry_Calculation!$AU$5:$BF$5,0)),"")</f>
        <v>0</v>
      </c>
      <c r="X78" s="487" t="str">
        <f t="array" ref="X78">IFERROR(INDEX(Industry_Calculation!$AU$5:$BF$14,MATCH(Industry!$G78,Industry_Calculation!$AW$5:$AW$14,0),MATCH(Industry!X$1,Industry_Calculation!$AU$5:$BF$5,0)),"")</f>
        <v/>
      </c>
      <c r="Y78" s="487" t="str">
        <f t="array" ref="Y78">IFERROR(INDEX(Industry_Calculation!$AU$5:$BF$14,MATCH(Industry!$G78,Industry_Calculation!$AW$5:$AW$14,0),MATCH(Industry!Y$1,Industry_Calculation!$AU$5:$BF$5,0)),"")</f>
        <v/>
      </c>
      <c r="Z78" s="487" t="str">
        <f t="array" ref="Z78">IFERROR(INDEX(Industry_Calculation!$AU$5:$BF$14,MATCH(Industry!$G78,Industry_Calculation!$AW$5:$AW$14,0),MATCH(Industry!Z$1,Industry_Calculation!$AU$5:$BF$5,0)),"")</f>
        <v/>
      </c>
      <c r="AA78" s="487">
        <f t="array" ref="AA78">IFERROR(INDEX(Industry_Calculation!$AU$5:$BF$14,MATCH(Industry!$G78,Industry_Calculation!$AW$5:$AW$14,0),MATCH(Industry!AA$1,Industry_Calculation!$AU$5:$BF$5,0)),"")</f>
        <v>0</v>
      </c>
      <c r="AB78" s="487" t="str">
        <f t="array" ref="AB78">IFERROR(INDEX(Industry_Calculation!$AU$5:$BF$14,MATCH(Industry!$G78,Industry_Calculation!$AW$5:$AW$14,0),MATCH(Industry!AB$1,Industry_Calculation!$AU$5:$BF$5,0)),"")</f>
        <v/>
      </c>
      <c r="AC78" s="487">
        <f t="array" ref="AC78">IFERROR(INDEX(Industry_Calculation!$AU$5:$BF$14,MATCH(Industry!$G78,Industry_Calculation!$AW$5:$AW$14,0),MATCH(Industry!AC$1,Industry_Calculation!$AU$5:$BF$5,0)),"")</f>
        <v>0</v>
      </c>
      <c r="AD78" s="487">
        <f t="array" ref="AD78">IFERROR(INDEX(Industry_Calculation!$AU$5:$BF$14,MATCH(Industry!$G78,Industry_Calculation!$AW$5:$AW$14,0),MATCH(Industry!AD$1,Industry_Calculation!$AU$5:$BF$5,0)),"")</f>
        <v>0</v>
      </c>
      <c r="AE78" s="487">
        <f t="array" ref="AE78">IFERROR(INDEX(Industry_Calculation!$AU$5:$BF$14,MATCH(Industry!$G78,Industry_Calculation!$AW$5:$AW$14,0),MATCH(Industry!AE$1,Industry_Calculation!$AU$5:$BF$5,0)),"")</f>
        <v>0</v>
      </c>
      <c r="AF78" s="487">
        <f t="array" ref="AF78">IFERROR(INDEX(Industry_Calculation!$AU$5:$BF$14,MATCH(Industry!$G78,Industry_Calculation!$AW$5:$AW$14,0),MATCH(Industry!AF$1,Industry_Calculation!$AU$5:$BF$5,0)),"")</f>
        <v>0</v>
      </c>
      <c r="AG78" s="487">
        <f t="array" ref="AG78">IFERROR(INDEX(Industry_Calculation!$AU$5:$BF$14,MATCH(Industry!$G78,Industry_Calculation!$AW$5:$AW$14,0),MATCH(Industry!AG$1,Industry_Calculation!$AU$5:$BF$5,0)),"")</f>
        <v>0</v>
      </c>
      <c r="AH78" s="487">
        <f t="array" ref="AH78">IFERROR(INDEX(Industry_Calculation!$AU$5:$BF$14,MATCH(Industry!$G78,Industry_Calculation!$AW$5:$AW$14,0),MATCH(Industry!AH$1,Industry_Calculation!$AU$5:$BF$5,0)),"")</f>
        <v>0</v>
      </c>
      <c r="AI78" s="204"/>
      <c r="AJ78" s="275"/>
      <c r="AK78" s="204"/>
      <c r="AL78" s="204"/>
      <c r="AM78" s="251"/>
      <c r="AN78" s="102"/>
    </row>
    <row r="79" ht="14.25" customHeight="1" outlineLevel="2">
      <c r="A79" s="247"/>
      <c r="B79" s="476"/>
      <c r="C79" s="485"/>
      <c r="D79" s="476"/>
      <c r="E79" s="180" t="s">
        <v>2206</v>
      </c>
      <c r="F79" s="123" t="s">
        <v>135</v>
      </c>
      <c r="G79" s="123" t="s">
        <v>2207</v>
      </c>
      <c r="H79" s="486" t="str">
        <f t="array" ref="H79">IFERROR(INDEX(Industry_Historical_Data!$A$1:$S$3000,MATCH(Industry!$G79&amp;Industry_Calculation!$D$27,Industry_Historical_Data!$A$1:$A$3000&amp;Industry_Historical_Data!$C$1:$C$3000,0&amp;0),MATCH(Industry!H$1,Industry_Historical_Data!$A$1:$S$1,0)),"")</f>
        <v/>
      </c>
      <c r="I79" s="486" t="str">
        <f t="array" ref="I79">IFERROR(INDEX(Industry_Historical_Data!$A$1:$S$3000,MATCH(Industry!$G79&amp;Industry_Calculation!$D$27,Industry_Historical_Data!$A$1:$A$3000&amp;Industry_Historical_Data!$C$1:$C$3000,0&amp;0),MATCH(Industry!I$1,Industry_Historical_Data!$A$1:$S$1,0)),"")</f>
        <v/>
      </c>
      <c r="J79" s="486" t="str">
        <f t="array" ref="J79">IFERROR(INDEX(Industry_Historical_Data!$A$1:$S$3000,MATCH(Industry!$G79&amp;Industry_Calculation!$D$27,Industry_Historical_Data!$A$1:$A$3000&amp;Industry_Historical_Data!$C$1:$C$3000,0&amp;0),MATCH(Industry!J$1,Industry_Historical_Data!$A$1:$S$1,0)),"")</f>
        <v/>
      </c>
      <c r="K79" s="486" t="str">
        <f t="array" ref="K79">IFERROR(INDEX(Industry_Historical_Data!$A$1:$S$3000,MATCH(Industry!$G79&amp;Industry_Calculation!$D$27,Industry_Historical_Data!$A$1:$A$3000&amp;Industry_Historical_Data!$C$1:$C$3000,0&amp;0),MATCH(Industry!K$1,Industry_Historical_Data!$A$1:$S$1,0)),"")</f>
        <v/>
      </c>
      <c r="L79" s="486" t="str">
        <f t="array" ref="L79">IFERROR(INDEX(Industry_Historical_Data!$A$1:$S$3000,MATCH(Industry!$G79&amp;Industry_Calculation!$D$27,Industry_Historical_Data!$A$1:$A$3000&amp;Industry_Historical_Data!$C$1:$C$3000,0&amp;0),MATCH(Industry!L$1,Industry_Historical_Data!$A$1:$S$1,0)),"")</f>
        <v/>
      </c>
      <c r="M79" s="486" t="str">
        <f t="array" ref="M79">IFERROR(INDEX(Industry_Historical_Data!$A$1:$S$3000,MATCH(Industry!$G79&amp;Industry_Calculation!$D$27,Industry_Historical_Data!$A$1:$A$3000&amp;Industry_Historical_Data!$C$1:$C$3000,0&amp;0),MATCH(Industry!M$1,Industry_Historical_Data!$A$1:$S$1,0)),"")</f>
        <v/>
      </c>
      <c r="N79" s="486" t="str">
        <f t="array" ref="N79">IFERROR(INDEX(Industry_Historical_Data!$A$1:$S$3000,MATCH(Industry!$G79&amp;Industry_Calculation!$D$27,Industry_Historical_Data!$A$1:$A$3000&amp;Industry_Historical_Data!$C$1:$C$3000,0&amp;0),MATCH(Industry!N$1,Industry_Historical_Data!$A$1:$S$1,0)),"")</f>
        <v/>
      </c>
      <c r="O79" s="486" t="str">
        <f t="array" ref="O79">IFERROR(INDEX(Industry_Historical_Data!$A$1:$S$3000,MATCH(Industry!$G79&amp;Industry_Calculation!$D$27,Industry_Historical_Data!$A$1:$A$3000&amp;Industry_Historical_Data!$C$1:$C$3000,0&amp;0),MATCH(Industry!O$1,Industry_Historical_Data!$A$1:$S$1,0)),"")</f>
        <v/>
      </c>
      <c r="P79" s="486" t="str">
        <f t="array" ref="P79">IFERROR(INDEX(Industry_Historical_Data!$A$1:$S$3000,MATCH(Industry!$G79&amp;Industry_Calculation!$D$27,Industry_Historical_Data!$A$1:$A$3000&amp;Industry_Historical_Data!$C$1:$C$3000,0&amp;0),MATCH(Industry!P$1,Industry_Historical_Data!$A$1:$S$1,0)),"")</f>
        <v/>
      </c>
      <c r="Q79" s="486" t="str">
        <f t="array" ref="Q79">IFERROR(INDEX(Industry_Historical_Data!$A$1:$S$3000,MATCH(Industry!$G79&amp;Industry_Calculation!$D$27,Industry_Historical_Data!$A$1:$A$3000&amp;Industry_Historical_Data!$C$1:$C$3000,0&amp;0),MATCH(Industry!Q$1,Industry_Historical_Data!$A$1:$S$1,0)),"")</f>
        <v/>
      </c>
      <c r="R79" s="486" t="str">
        <f t="array" ref="R79">IFERROR(INDEX(Industry_Historical_Data!$A$1:$S$3000,MATCH(Industry!$G79&amp;Industry_Calculation!$D$27,Industry_Historical_Data!$A$1:$A$3000&amp;Industry_Historical_Data!$C$1:$C$3000,0&amp;0),MATCH(Industry!R$1,Industry_Historical_Data!$A$1:$S$1,0)),"")</f>
        <v/>
      </c>
      <c r="S79" s="486" t="str">
        <f t="array" ref="S79">IFERROR(INDEX(Industry_Historical_Data!$A$1:$S$3000,MATCH(Industry!$G79&amp;Industry_Calculation!$D$27,Industry_Historical_Data!$A$1:$A$3000&amp;Industry_Historical_Data!$C$1:$C$3000,0&amp;0),MATCH(Industry!S$1,Industry_Historical_Data!$A$1:$S$1,0)),"")</f>
        <v/>
      </c>
      <c r="T79" s="486" t="str">
        <f t="array" ref="T79">IFERROR(INDEX(Industry_Historical_Data!$A$1:$S$3000,MATCH(Industry!$G79&amp;Industry_Calculation!$D$27,Industry_Historical_Data!$A$1:$A$3000&amp;Industry_Historical_Data!$C$1:$C$3000,0&amp;0),MATCH(Industry!T$1,Industry_Historical_Data!$A$1:$S$1,0)),"")</f>
        <v/>
      </c>
      <c r="U79" s="486" t="str">
        <f t="array" ref="U79">IFERROR(INDEX(Industry_Historical_Data!$A$1:$S$3000,MATCH(Industry!$G79&amp;Industry_Calculation!$D$27,Industry_Historical_Data!$A$1:$A$3000&amp;Industry_Historical_Data!$C$1:$C$3000,0&amp;0),MATCH(Industry!U$1,Industry_Historical_Data!$A$1:$S$1,0)),"")</f>
        <v/>
      </c>
      <c r="V79" s="486" t="str">
        <f t="array" ref="V79">IFERROR(INDEX(Industry_Historical_Data!$A$1:$S$3000,MATCH(Industry!$G79&amp;Industry_Calculation!$D$27,Industry_Historical_Data!$A$1:$A$3000&amp;Industry_Historical_Data!$C$1:$C$3000,0&amp;0),MATCH(Industry!V$1,Industry_Historical_Data!$A$1:$S$1,0)),"")</f>
        <v/>
      </c>
      <c r="W79" s="488" t="str">
        <f t="array" ref="W79">IFERROR(INDEX(Industry_Calculation!$C$37:$O$86,MATCH(Industry!$G79,Industry_Calculation!$C$37:$C$86,0),MATCH(Industry!W$2&amp;Industry!W$1,Industry_Calculation!$C$37:$O$37&amp;Industry_Calculation!C$38:M$38,0&amp;0)),"")</f>
        <v/>
      </c>
      <c r="X79" s="486" t="str">
        <f t="array" ref="X79">IFERROR(INDEX(Industry_Historical_Data!$A$1:$S$3000,MATCH(Industry!$G79&amp;Industry_Calculation!$D$27,Industry_Historical_Data!$A$1:$A$3000&amp;Industry_Historical_Data!$C$1:$C$3000,0&amp;0),MATCH(Industry!X$1,Industry_Historical_Data!$A$1:$S$1,0)),"")</f>
        <v/>
      </c>
      <c r="Y79" s="486" t="str">
        <f t="array" ref="Y79">IFERROR(INDEX(Industry_Historical_Data!$A$1:$S$3000,MATCH(Industry!$G79&amp;Industry_Calculation!$D$27,Industry_Historical_Data!$A$1:$A$3000&amp;Industry_Historical_Data!$C$1:$C$3000,0&amp;0),MATCH(Industry!Y$1,Industry_Historical_Data!$A$1:$S$1,0)),"")</f>
        <v/>
      </c>
      <c r="Z79" s="486" t="str">
        <f t="array" ref="Z79">IFERROR(INDEX(Industry_Historical_Data!$A$1:$S$3000,MATCH(Industry!$G79&amp;Industry_Calculation!$D$27,Industry_Historical_Data!$A$1:$A$3000&amp;Industry_Historical_Data!$C$1:$C$3000,0&amp;0),MATCH(Industry!Z$1,Industry_Historical_Data!$A$1:$S$1,0)),"")</f>
        <v/>
      </c>
      <c r="AA79" s="487" t="str">
        <f t="array" ref="AA79">IFERROR(INDEX(Industry_Calculation!$AU$5:$BF$14,MATCH(Industry!$G79,Industry_Calculation!$AW$5:$AW$14,0),MATCH(Industry!AA$1,Industry_Calculation!$AU$5:$BF$5,0)),"")</f>
        <v/>
      </c>
      <c r="AB79" s="487" t="str">
        <f t="shared" ref="AB79:AB80" si="63">IFERROR(AA79,"")</f>
        <v/>
      </c>
      <c r="AC79" s="487" t="str">
        <f t="array" ref="AC79">IFERROR(INDEX(Industry_Calculation!$AU$5:$BF$14,MATCH(Industry!$G79,Industry_Calculation!$AW$5:$AW$14,0),MATCH(Industry!AC$1,Industry_Calculation!$AU$5:$BF$5,0)),"")</f>
        <v/>
      </c>
      <c r="AD79" s="487" t="str">
        <f t="array" ref="AD79">IFERROR(INDEX(Industry_Calculation!$AU$5:$BF$14,MATCH(Industry!$G79,Industry_Calculation!$AW$5:$AW$14,0),MATCH(Industry!AD$1,Industry_Calculation!$AU$5:$BF$5,0)),"")</f>
        <v/>
      </c>
      <c r="AE79" s="487" t="str">
        <f t="array" ref="AE79">IFERROR(INDEX(Industry_Calculation!$AU$5:$BF$14,MATCH(Industry!$G79,Industry_Calculation!$AW$5:$AW$14,0),MATCH(Industry!AE$1,Industry_Calculation!$AU$5:$BF$5,0)),"")</f>
        <v/>
      </c>
      <c r="AF79" s="487" t="str">
        <f t="array" ref="AF79">IFERROR(INDEX(Industry_Calculation!$AU$5:$BF$14,MATCH(Industry!$G79,Industry_Calculation!$AW$5:$AW$14,0),MATCH(Industry!AF$1,Industry_Calculation!$AU$5:$BF$5,0)),"")</f>
        <v/>
      </c>
      <c r="AG79" s="487" t="str">
        <f t="array" ref="AG79">IFERROR(INDEX(Industry_Calculation!$AU$5:$BF$14,MATCH(Industry!$G79,Industry_Calculation!$AW$5:$AW$14,0),MATCH(Industry!AG$1,Industry_Calculation!$AU$5:$BF$5,0)),"")</f>
        <v/>
      </c>
      <c r="AH79" s="487" t="str">
        <f t="array" ref="AH79">IFERROR(INDEX(Industry_Calculation!$AU$5:$BF$14,MATCH(Industry!$G79,Industry_Calculation!$AW$5:$AW$14,0),MATCH(Industry!AH$1,Industry_Calculation!$AU$5:$BF$5,0)),"")</f>
        <v/>
      </c>
      <c r="AI79" s="204"/>
      <c r="AJ79" s="275"/>
      <c r="AK79" s="204"/>
      <c r="AL79" s="204"/>
      <c r="AM79" s="251"/>
      <c r="AN79" s="102"/>
    </row>
    <row r="80" ht="14.25" customHeight="1" outlineLevel="2">
      <c r="A80" s="247"/>
      <c r="B80" s="476"/>
      <c r="C80" s="485"/>
      <c r="D80" s="476"/>
      <c r="E80" s="180" t="s">
        <v>2208</v>
      </c>
      <c r="F80" s="123" t="s">
        <v>135</v>
      </c>
      <c r="G80" s="123" t="s">
        <v>2209</v>
      </c>
      <c r="H80" s="486" t="str">
        <f t="array" ref="H80">IFERROR(INDEX(Industry_Historical_Data!$A$1:$S$3000,MATCH(Industry!$G80&amp;Industry_Calculation!$D$27,Industry_Historical_Data!$A$1:$A$3000&amp;Industry_Historical_Data!$C$1:$C$3000,0&amp;0),MATCH(Industry!H$1,Industry_Historical_Data!$A$1:$S$1,0)),"")</f>
        <v/>
      </c>
      <c r="I80" s="486" t="str">
        <f t="array" ref="I80">IFERROR(INDEX(Industry_Historical_Data!$A$1:$S$3000,MATCH(Industry!$G80&amp;Industry_Calculation!$D$27,Industry_Historical_Data!$A$1:$A$3000&amp;Industry_Historical_Data!$C$1:$C$3000,0&amp;0),MATCH(Industry!I$1,Industry_Historical_Data!$A$1:$S$1,0)),"")</f>
        <v/>
      </c>
      <c r="J80" s="486" t="str">
        <f t="array" ref="J80">IFERROR(INDEX(Industry_Historical_Data!$A$1:$S$3000,MATCH(Industry!$G80&amp;Industry_Calculation!$D$27,Industry_Historical_Data!$A$1:$A$3000&amp;Industry_Historical_Data!$C$1:$C$3000,0&amp;0),MATCH(Industry!J$1,Industry_Historical_Data!$A$1:$S$1,0)),"")</f>
        <v/>
      </c>
      <c r="K80" s="486" t="str">
        <f t="array" ref="K80">IFERROR(INDEX(Industry_Historical_Data!$A$1:$S$3000,MATCH(Industry!$G80&amp;Industry_Calculation!$D$27,Industry_Historical_Data!$A$1:$A$3000&amp;Industry_Historical_Data!$C$1:$C$3000,0&amp;0),MATCH(Industry!K$1,Industry_Historical_Data!$A$1:$S$1,0)),"")</f>
        <v/>
      </c>
      <c r="L80" s="486" t="str">
        <f t="array" ref="L80">IFERROR(INDEX(Industry_Historical_Data!$A$1:$S$3000,MATCH(Industry!$G80&amp;Industry_Calculation!$D$27,Industry_Historical_Data!$A$1:$A$3000&amp;Industry_Historical_Data!$C$1:$C$3000,0&amp;0),MATCH(Industry!L$1,Industry_Historical_Data!$A$1:$S$1,0)),"")</f>
        <v/>
      </c>
      <c r="M80" s="486" t="str">
        <f t="array" ref="M80">IFERROR(INDEX(Industry_Historical_Data!$A$1:$S$3000,MATCH(Industry!$G80&amp;Industry_Calculation!$D$27,Industry_Historical_Data!$A$1:$A$3000&amp;Industry_Historical_Data!$C$1:$C$3000,0&amp;0),MATCH(Industry!M$1,Industry_Historical_Data!$A$1:$S$1,0)),"")</f>
        <v/>
      </c>
      <c r="N80" s="486" t="str">
        <f t="array" ref="N80">IFERROR(INDEX(Industry_Historical_Data!$A$1:$S$3000,MATCH(Industry!$G80&amp;Industry_Calculation!$D$27,Industry_Historical_Data!$A$1:$A$3000&amp;Industry_Historical_Data!$C$1:$C$3000,0&amp;0),MATCH(Industry!N$1,Industry_Historical_Data!$A$1:$S$1,0)),"")</f>
        <v/>
      </c>
      <c r="O80" s="486" t="str">
        <f t="array" ref="O80">IFERROR(INDEX(Industry_Historical_Data!$A$1:$S$3000,MATCH(Industry!$G80&amp;Industry_Calculation!$D$27,Industry_Historical_Data!$A$1:$A$3000&amp;Industry_Historical_Data!$C$1:$C$3000,0&amp;0),MATCH(Industry!O$1,Industry_Historical_Data!$A$1:$S$1,0)),"")</f>
        <v/>
      </c>
      <c r="P80" s="486" t="str">
        <f t="array" ref="P80">IFERROR(INDEX(Industry_Historical_Data!$A$1:$S$3000,MATCH(Industry!$G80&amp;Industry_Calculation!$D$27,Industry_Historical_Data!$A$1:$A$3000&amp;Industry_Historical_Data!$C$1:$C$3000,0&amp;0),MATCH(Industry!P$1,Industry_Historical_Data!$A$1:$S$1,0)),"")</f>
        <v/>
      </c>
      <c r="Q80" s="486" t="str">
        <f t="array" ref="Q80">IFERROR(INDEX(Industry_Historical_Data!$A$1:$S$3000,MATCH(Industry!$G80&amp;Industry_Calculation!$D$27,Industry_Historical_Data!$A$1:$A$3000&amp;Industry_Historical_Data!$C$1:$C$3000,0&amp;0),MATCH(Industry!Q$1,Industry_Historical_Data!$A$1:$S$1,0)),"")</f>
        <v/>
      </c>
      <c r="R80" s="486" t="str">
        <f t="array" ref="R80">IFERROR(INDEX(Industry_Historical_Data!$A$1:$S$3000,MATCH(Industry!$G80&amp;Industry_Calculation!$D$27,Industry_Historical_Data!$A$1:$A$3000&amp;Industry_Historical_Data!$C$1:$C$3000,0&amp;0),MATCH(Industry!R$1,Industry_Historical_Data!$A$1:$S$1,0)),"")</f>
        <v/>
      </c>
      <c r="S80" s="486" t="str">
        <f t="array" ref="S80">IFERROR(INDEX(Industry_Historical_Data!$A$1:$S$3000,MATCH(Industry!$G80&amp;Industry_Calculation!$D$27,Industry_Historical_Data!$A$1:$A$3000&amp;Industry_Historical_Data!$C$1:$C$3000,0&amp;0),MATCH(Industry!S$1,Industry_Historical_Data!$A$1:$S$1,0)),"")</f>
        <v/>
      </c>
      <c r="T80" s="486" t="str">
        <f t="array" ref="T80">IFERROR(INDEX(Industry_Historical_Data!$A$1:$S$3000,MATCH(Industry!$G80&amp;Industry_Calculation!$D$27,Industry_Historical_Data!$A$1:$A$3000&amp;Industry_Historical_Data!$C$1:$C$3000,0&amp;0),MATCH(Industry!T$1,Industry_Historical_Data!$A$1:$S$1,0)),"")</f>
        <v/>
      </c>
      <c r="U80" s="486" t="str">
        <f t="array" ref="U80">IFERROR(INDEX(Industry_Historical_Data!$A$1:$S$3000,MATCH(Industry!$G80&amp;Industry_Calculation!$D$27,Industry_Historical_Data!$A$1:$A$3000&amp;Industry_Historical_Data!$C$1:$C$3000,0&amp;0),MATCH(Industry!U$1,Industry_Historical_Data!$A$1:$S$1,0)),"")</f>
        <v/>
      </c>
      <c r="V80" s="486" t="str">
        <f t="array" ref="V80">IFERROR(INDEX(Industry_Historical_Data!$A$1:$S$3000,MATCH(Industry!$G80&amp;Industry_Calculation!$D$27,Industry_Historical_Data!$A$1:$A$3000&amp;Industry_Historical_Data!$C$1:$C$3000,0&amp;0),MATCH(Industry!V$1,Industry_Historical_Data!$A$1:$S$1,0)),"")</f>
        <v/>
      </c>
      <c r="W80" s="488" t="str">
        <f t="array" ref="W80">IFERROR(INDEX(Industry_Calculation!$C$37:$O$86,MATCH(Industry!$G80,Industry_Calculation!$C$37:$C$86,0),MATCH(Industry!W$2&amp;Industry!W$1,Industry_Calculation!$C$37:$O$37&amp;Industry_Calculation!C$38:M$38,0&amp;0)),"")</f>
        <v/>
      </c>
      <c r="X80" s="486" t="str">
        <f t="array" ref="X80">IFERROR(INDEX(Industry_Historical_Data!$A$1:$S$3000,MATCH(Industry!$G80&amp;Industry_Calculation!$D$27,Industry_Historical_Data!$A$1:$A$3000&amp;Industry_Historical_Data!$C$1:$C$3000,0&amp;0),MATCH(Industry!X$1,Industry_Historical_Data!$A$1:$S$1,0)),"")</f>
        <v/>
      </c>
      <c r="Y80" s="486" t="str">
        <f t="array" ref="Y80">IFERROR(INDEX(Industry_Historical_Data!$A$1:$S$3000,MATCH(Industry!$G80&amp;Industry_Calculation!$D$27,Industry_Historical_Data!$A$1:$A$3000&amp;Industry_Historical_Data!$C$1:$C$3000,0&amp;0),MATCH(Industry!Y$1,Industry_Historical_Data!$A$1:$S$1,0)),"")</f>
        <v/>
      </c>
      <c r="Z80" s="486" t="str">
        <f t="array" ref="Z80">IFERROR(INDEX(Industry_Historical_Data!$A$1:$S$3000,MATCH(Industry!$G80&amp;Industry_Calculation!$D$27,Industry_Historical_Data!$A$1:$A$3000&amp;Industry_Historical_Data!$C$1:$C$3000,0&amp;0),MATCH(Industry!Z$1,Industry_Historical_Data!$A$1:$S$1,0)),"")</f>
        <v/>
      </c>
      <c r="AA80" s="487" t="str">
        <f t="array" ref="AA80">IFERROR(INDEX(Industry_Calculation!$AU$5:$BF$14,MATCH(Industry!$G80,Industry_Calculation!$AW$5:$AW$14,0),MATCH(Industry!AA$1,Industry_Calculation!$AU$5:$BF$5,0)),"")</f>
        <v/>
      </c>
      <c r="AB80" s="487" t="str">
        <f t="shared" si="63"/>
        <v/>
      </c>
      <c r="AC80" s="487" t="str">
        <f t="array" ref="AC80">IFERROR(INDEX(Industry_Calculation!$AU$5:$BF$14,MATCH(Industry!$G80,Industry_Calculation!$AW$5:$AW$14,0),MATCH(Industry!AC$1,Industry_Calculation!$AU$5:$BF$5,0)),"")</f>
        <v/>
      </c>
      <c r="AD80" s="487" t="str">
        <f t="array" ref="AD80">IFERROR(INDEX(Industry_Calculation!$AU$5:$BF$14,MATCH(Industry!$G80,Industry_Calculation!$AW$5:$AW$14,0),MATCH(Industry!AD$1,Industry_Calculation!$AU$5:$BF$5,0)),"")</f>
        <v/>
      </c>
      <c r="AE80" s="487" t="str">
        <f t="array" ref="AE80">IFERROR(INDEX(Industry_Calculation!$AU$5:$BF$14,MATCH(Industry!$G80,Industry_Calculation!$AW$5:$AW$14,0),MATCH(Industry!AE$1,Industry_Calculation!$AU$5:$BF$5,0)),"")</f>
        <v/>
      </c>
      <c r="AF80" s="487" t="str">
        <f t="array" ref="AF80">IFERROR(INDEX(Industry_Calculation!$AU$5:$BF$14,MATCH(Industry!$G80,Industry_Calculation!$AW$5:$AW$14,0),MATCH(Industry!AF$1,Industry_Calculation!$AU$5:$BF$5,0)),"")</f>
        <v/>
      </c>
      <c r="AG80" s="487" t="str">
        <f t="array" ref="AG80">IFERROR(INDEX(Industry_Calculation!$AU$5:$BF$14,MATCH(Industry!$G80,Industry_Calculation!$AW$5:$AW$14,0),MATCH(Industry!AG$1,Industry_Calculation!$AU$5:$BF$5,0)),"")</f>
        <v/>
      </c>
      <c r="AH80" s="487" t="str">
        <f t="array" ref="AH80">IFERROR(INDEX(Industry_Calculation!$AU$5:$BF$14,MATCH(Industry!$G80,Industry_Calculation!$AW$5:$AW$14,0),MATCH(Industry!AH$1,Industry_Calculation!$AU$5:$BF$5,0)),"")</f>
        <v/>
      </c>
      <c r="AI80" s="204"/>
      <c r="AJ80" s="275"/>
      <c r="AK80" s="204"/>
      <c r="AL80" s="204"/>
      <c r="AM80" s="251"/>
      <c r="AN80" s="102"/>
    </row>
    <row r="81" ht="14.25" customHeight="1">
      <c r="A81" s="463" t="s">
        <v>2210</v>
      </c>
      <c r="B81" s="195"/>
      <c r="C81" s="100"/>
      <c r="D81" s="100"/>
      <c r="E81" s="162"/>
      <c r="F81" s="162"/>
      <c r="G81" s="162"/>
      <c r="H81" s="480"/>
      <c r="I81" s="480"/>
      <c r="J81" s="480"/>
      <c r="K81" s="480"/>
      <c r="L81" s="480"/>
      <c r="M81" s="480"/>
      <c r="N81" s="480"/>
      <c r="O81" s="480"/>
      <c r="P81" s="480"/>
      <c r="Q81" s="480"/>
      <c r="R81" s="480"/>
      <c r="S81" s="480"/>
      <c r="T81" s="480"/>
      <c r="U81" s="480"/>
      <c r="V81" s="480"/>
      <c r="W81" s="480"/>
      <c r="X81" s="480"/>
      <c r="Y81" s="480"/>
      <c r="Z81" s="480"/>
      <c r="AA81" s="480"/>
      <c r="AB81" s="480"/>
      <c r="AC81" s="480"/>
      <c r="AD81" s="480"/>
      <c r="AE81" s="480"/>
      <c r="AF81" s="480"/>
      <c r="AG81" s="480"/>
      <c r="AH81" s="480"/>
      <c r="AI81" s="271"/>
      <c r="AJ81" s="271"/>
      <c r="AK81" s="271"/>
      <c r="AL81" s="271"/>
      <c r="AM81" s="100"/>
      <c r="AN81" s="176"/>
    </row>
    <row r="82" ht="14.25" customHeight="1" outlineLevel="1">
      <c r="A82" s="489"/>
      <c r="B82" s="162"/>
      <c r="C82" s="100"/>
      <c r="D82" s="490"/>
      <c r="E82" s="287" t="s">
        <v>2211</v>
      </c>
      <c r="F82" s="249" t="s">
        <v>135</v>
      </c>
      <c r="G82" s="249" t="s">
        <v>2212</v>
      </c>
      <c r="H82" s="471" t="str">
        <f t="array" ref="H82">IFERROR(INDEX(Industry_Historical_Data!$A$1:$S$3000,MATCH(Industry!$G82&amp;Industry_Calculation!$D$27,Industry_Historical_Data!$A$1:$A$3000&amp;Industry_Historical_Data!$C$1:$C$3000,0&amp;0),MATCH(Industry!H$1,Industry_Historical_Data!$A$1:$S$1,0)),"")</f>
        <v/>
      </c>
      <c r="I82" s="471" t="str">
        <f t="array" ref="I82">IFERROR(INDEX(Industry_Historical_Data!$A$1:$S$3000,MATCH(Industry!$G82&amp;Industry_Calculation!$D$27,Industry_Historical_Data!$A$1:$A$3000&amp;Industry_Historical_Data!$C$1:$C$3000,0&amp;0),MATCH(Industry!I$1,Industry_Historical_Data!$A$1:$S$1,0)),"")</f>
        <v/>
      </c>
      <c r="J82" s="471" t="str">
        <f t="array" ref="J82">IFERROR(INDEX(Industry_Historical_Data!$A$1:$S$3000,MATCH(Industry!$G82&amp;Industry_Calculation!$D$27,Industry_Historical_Data!$A$1:$A$3000&amp;Industry_Historical_Data!$C$1:$C$3000,0&amp;0),MATCH(Industry!J$1,Industry_Historical_Data!$A$1:$S$1,0)),"")</f>
        <v/>
      </c>
      <c r="K82" s="471" t="str">
        <f t="array" ref="K82">IFERROR(INDEX(Industry_Historical_Data!$A$1:$S$3000,MATCH(Industry!$G82&amp;Industry_Calculation!$D$27,Industry_Historical_Data!$A$1:$A$3000&amp;Industry_Historical_Data!$C$1:$C$3000,0&amp;0),MATCH(Industry!K$1,Industry_Historical_Data!$A$1:$S$1,0)),"")</f>
        <v/>
      </c>
      <c r="L82" s="471" t="str">
        <f t="array" ref="L82">IFERROR(INDEX(Industry_Historical_Data!$A$1:$S$3000,MATCH(Industry!$G82&amp;Industry_Calculation!$D$27,Industry_Historical_Data!$A$1:$A$3000&amp;Industry_Historical_Data!$C$1:$C$3000,0&amp;0),MATCH(Industry!L$1,Industry_Historical_Data!$A$1:$S$1,0)),"")</f>
        <v/>
      </c>
      <c r="M82" s="471" t="str">
        <f t="array" ref="M82">IFERROR(INDEX(Industry_Historical_Data!$A$1:$S$3000,MATCH(Industry!$G82&amp;Industry_Calculation!$D$27,Industry_Historical_Data!$A$1:$A$3000&amp;Industry_Historical_Data!$C$1:$C$3000,0&amp;0),MATCH(Industry!M$1,Industry_Historical_Data!$A$1:$S$1,0)),"")</f>
        <v/>
      </c>
      <c r="N82" s="471" t="str">
        <f t="array" ref="N82">IFERROR(INDEX(Industry_Historical_Data!$A$1:$S$3000,MATCH(Industry!$G82&amp;Industry_Calculation!$D$27,Industry_Historical_Data!$A$1:$A$3000&amp;Industry_Historical_Data!$C$1:$C$3000,0&amp;0),MATCH(Industry!N$1,Industry_Historical_Data!$A$1:$S$1,0)),"")</f>
        <v/>
      </c>
      <c r="O82" s="471" t="str">
        <f t="array" ref="O82">IFERROR(INDEX(Industry_Historical_Data!$A$1:$S$3000,MATCH(Industry!$G82&amp;Industry_Calculation!$D$27,Industry_Historical_Data!$A$1:$A$3000&amp;Industry_Historical_Data!$C$1:$C$3000,0&amp;0),MATCH(Industry!O$1,Industry_Historical_Data!$A$1:$S$1,0)),"")</f>
        <v/>
      </c>
      <c r="P82" s="471" t="str">
        <f t="array" ref="P82">IFERROR(INDEX(Industry_Historical_Data!$A$1:$S$3000,MATCH(Industry!$G82&amp;Industry_Calculation!$D$27,Industry_Historical_Data!$A$1:$A$3000&amp;Industry_Historical_Data!$C$1:$C$3000,0&amp;0),MATCH(Industry!P$1,Industry_Historical_Data!$A$1:$S$1,0)),"")</f>
        <v/>
      </c>
      <c r="Q82" s="471" t="str">
        <f t="array" ref="Q82">IFERROR(INDEX(Industry_Historical_Data!$A$1:$S$3000,MATCH(Industry!$G82&amp;Industry_Calculation!$D$27,Industry_Historical_Data!$A$1:$A$3000&amp;Industry_Historical_Data!$C$1:$C$3000,0&amp;0),MATCH(Industry!Q$1,Industry_Historical_Data!$A$1:$S$1,0)),"")</f>
        <v/>
      </c>
      <c r="R82" s="471" t="str">
        <f t="array" ref="R82">IFERROR(INDEX(Industry_Historical_Data!$A$1:$S$3000,MATCH(Industry!$G82&amp;Industry_Calculation!$D$27,Industry_Historical_Data!$A$1:$A$3000&amp;Industry_Historical_Data!$C$1:$C$3000,0&amp;0),MATCH(Industry!R$1,Industry_Historical_Data!$A$1:$S$1,0)),"")</f>
        <v/>
      </c>
      <c r="S82" s="471" t="str">
        <f t="array" ref="S82">IFERROR(INDEX(Industry_Historical_Data!$A$1:$S$3000,MATCH(Industry!$G82&amp;Industry_Calculation!$D$27,Industry_Historical_Data!$A$1:$A$3000&amp;Industry_Historical_Data!$C$1:$C$3000,0&amp;0),MATCH(Industry!S$1,Industry_Historical_Data!$A$1:$S$1,0)),"")</f>
        <v/>
      </c>
      <c r="T82" s="471" t="str">
        <f t="array" ref="T82">IFERROR(INDEX(Industry_Historical_Data!$A$1:$S$3000,MATCH(Industry!$G82&amp;Industry_Calculation!$D$27,Industry_Historical_Data!$A$1:$A$3000&amp;Industry_Historical_Data!$C$1:$C$3000,0&amp;0),MATCH(Industry!T$1,Industry_Historical_Data!$A$1:$S$1,0)),"")</f>
        <v/>
      </c>
      <c r="U82" s="471" t="str">
        <f t="array" ref="U82">IFERROR(INDEX(Industry_Historical_Data!$A$1:$S$3000,MATCH(Industry!$G82&amp;Industry_Calculation!$D$27,Industry_Historical_Data!$A$1:$A$3000&amp;Industry_Historical_Data!$C$1:$C$3000,0&amp;0),MATCH(Industry!U$1,Industry_Historical_Data!$A$1:$S$1,0)),"")</f>
        <v/>
      </c>
      <c r="V82" s="471" t="str">
        <f t="array" ref="V82">IFERROR(INDEX(Industry_Historical_Data!$A$1:$S$3000,MATCH(Industry!$G82&amp;Industry_Calculation!$D$27,Industry_Historical_Data!$A$1:$A$3000&amp;Industry_Historical_Data!$C$1:$C$3000,0&amp;0),MATCH(Industry!V$1,Industry_Historical_Data!$A$1:$S$1,0)),"")</f>
        <v/>
      </c>
      <c r="W82" s="472">
        <f t="array" ref="W82">IFERROR(INDEX(Industry_Calculation!$A$110:$M$200,MATCH(Industry!$G82,Industry_Calculation!$A$110:$A$200,0),MATCH(Industry!W$1,Industry_Calculation!$A$110:$M$110,0)),"")</f>
        <v>50.714348</v>
      </c>
      <c r="X82" s="479" t="str">
        <f t="array" ref="X82">IFERROR(INDEX(Industry_Historical_Data!$A$1:$S$3000,MATCH(Industry!$G82&amp;Industry_Calculation!$D$27,Industry_Historical_Data!$A$1:$A$3000&amp;Industry_Historical_Data!$C$1:$C$3000,0&amp;0),MATCH(Industry!X$1,Industry_Historical_Data!$A$1:$S$1,0)),"")</f>
        <v/>
      </c>
      <c r="Y82" s="479" t="str">
        <f t="array" ref="Y82">IFERROR(INDEX(Industry_Historical_Data!$A$1:$S$3000,MATCH(Industry!$G82&amp;Industry_Calculation!$D$27,Industry_Historical_Data!$A$1:$A$3000&amp;Industry_Historical_Data!$C$1:$C$3000,0&amp;0),MATCH(Industry!Y$1,Industry_Historical_Data!$A$1:$S$1,0)),"")</f>
        <v/>
      </c>
      <c r="Z82" s="479" t="str">
        <f t="array" ref="Z82">IFERROR(INDEX(Industry_Historical_Data!$A$1:$S$3000,MATCH(Industry!$G82&amp;Industry_Calculation!$D$27,Industry_Historical_Data!$A$1:$A$3000&amp;Industry_Historical_Data!$C$1:$C$3000,0&amp;0),MATCH(Industry!Z$1,Industry_Historical_Data!$A$1:$S$1,0)),"")</f>
        <v/>
      </c>
      <c r="AA82" s="472">
        <f t="array" ref="AA82">IFERROR(INDEX(Industry_Calculation!$A$110:$M$200,MATCH(Industry!$G82,Industry_Calculation!$A$110:$A$200,0),MATCH(Industry!AA$1,Industry_Calculation!$A$110:$M$110,0)),"")</f>
        <v>51.4777216</v>
      </c>
      <c r="AB82" s="472">
        <f t="shared" ref="AB82:AB87" si="64">IFERROR(AA82,"")</f>
        <v>51.4777216</v>
      </c>
      <c r="AC82" s="472">
        <f t="shared" ref="AC82:AC87" si="65">AVERAGE(AD82,AB82)</f>
        <v>48.34320289</v>
      </c>
      <c r="AD82" s="472">
        <f t="array" ref="AD82">IFERROR(INDEX(Industry_Calculation!$A$110:$M$200,MATCH(Industry!$G82,Industry_Calculation!$A$110:$A$200,0),MATCH(Industry!AD$1,Industry_Calculation!$A$110:$M$110,0)),"")</f>
        <v>45.20868418</v>
      </c>
      <c r="AE82" s="472">
        <f>AVERAGE(AF82,AD82)</f>
        <v>43.12075329</v>
      </c>
      <c r="AF82" s="472">
        <f t="array" ref="AF82">IFERROR(INDEX(Industry_Calculation!$A$110:$M$200,MATCH(Industry!$G82,Industry_Calculation!$A$110:$A$200,0),MATCH(Industry!AF$1,Industry_Calculation!$A$110:$M$110,0)),"")</f>
        <v>41.03282241</v>
      </c>
      <c r="AG82" s="472">
        <f t="shared" ref="AG82:AG87" si="66">AVERAGE(AH82,AF82)</f>
        <v>39.13136584</v>
      </c>
      <c r="AH82" s="472">
        <f t="array" ref="AH82">IFERROR(INDEX(Industry_Calculation!$A$110:$M$200,MATCH(Industry!$G82,Industry_Calculation!$A$110:$A$200,0),MATCH(Industry!AH$1,Industry_Calculation!$A$110:$M$110,0)),"")</f>
        <v>37.22990928</v>
      </c>
      <c r="AI82" s="204"/>
      <c r="AJ82" s="204"/>
      <c r="AK82" s="204"/>
      <c r="AL82" s="204"/>
      <c r="AM82" s="165" t="s">
        <v>2213</v>
      </c>
      <c r="AN82" s="102"/>
    </row>
    <row r="83" ht="14.25" customHeight="1" outlineLevel="1">
      <c r="A83" s="489"/>
      <c r="B83" s="162"/>
      <c r="C83" s="100"/>
      <c r="D83" s="490"/>
      <c r="E83" s="270" t="s">
        <v>2214</v>
      </c>
      <c r="F83" s="249" t="s">
        <v>135</v>
      </c>
      <c r="G83" s="249" t="s">
        <v>2215</v>
      </c>
      <c r="H83" s="471" t="str">
        <f t="array" ref="H83">IFERROR(INDEX(Industry_Historical_Data!$A$1:$S$3000,MATCH(Industry!$G83&amp;Industry_Calculation!$D$27,Industry_Historical_Data!$A$1:$A$3000&amp;Industry_Historical_Data!$C$1:$C$3000,0&amp;0),MATCH(Industry!H$1,Industry_Historical_Data!$A$1:$S$1,0)),"")</f>
        <v/>
      </c>
      <c r="I83" s="471" t="str">
        <f t="array" ref="I83">IFERROR(INDEX(Industry_Historical_Data!$A$1:$S$3000,MATCH(Industry!$G83&amp;Industry_Calculation!$D$27,Industry_Historical_Data!$A$1:$A$3000&amp;Industry_Historical_Data!$C$1:$C$3000,0&amp;0),MATCH(Industry!I$1,Industry_Historical_Data!$A$1:$S$1,0)),"")</f>
        <v/>
      </c>
      <c r="J83" s="471" t="str">
        <f t="array" ref="J83">IFERROR(INDEX(Industry_Historical_Data!$A$1:$S$3000,MATCH(Industry!$G83&amp;Industry_Calculation!$D$27,Industry_Historical_Data!$A$1:$A$3000&amp;Industry_Historical_Data!$C$1:$C$3000,0&amp;0),MATCH(Industry!J$1,Industry_Historical_Data!$A$1:$S$1,0)),"")</f>
        <v/>
      </c>
      <c r="K83" s="471" t="str">
        <f t="array" ref="K83">IFERROR(INDEX(Industry_Historical_Data!$A$1:$S$3000,MATCH(Industry!$G83&amp;Industry_Calculation!$D$27,Industry_Historical_Data!$A$1:$A$3000&amp;Industry_Historical_Data!$C$1:$C$3000,0&amp;0),MATCH(Industry!K$1,Industry_Historical_Data!$A$1:$S$1,0)),"")</f>
        <v/>
      </c>
      <c r="L83" s="471" t="str">
        <f t="array" ref="L83">IFERROR(INDEX(Industry_Historical_Data!$A$1:$S$3000,MATCH(Industry!$G83&amp;Industry_Calculation!$D$27,Industry_Historical_Data!$A$1:$A$3000&amp;Industry_Historical_Data!$C$1:$C$3000,0&amp;0),MATCH(Industry!L$1,Industry_Historical_Data!$A$1:$S$1,0)),"")</f>
        <v/>
      </c>
      <c r="M83" s="471" t="str">
        <f t="array" ref="M83">IFERROR(INDEX(Industry_Historical_Data!$A$1:$S$3000,MATCH(Industry!$G83&amp;Industry_Calculation!$D$27,Industry_Historical_Data!$A$1:$A$3000&amp;Industry_Historical_Data!$C$1:$C$3000,0&amp;0),MATCH(Industry!M$1,Industry_Historical_Data!$A$1:$S$1,0)),"")</f>
        <v/>
      </c>
      <c r="N83" s="471" t="str">
        <f t="array" ref="N83">IFERROR(INDEX(Industry_Historical_Data!$A$1:$S$3000,MATCH(Industry!$G83&amp;Industry_Calculation!$D$27,Industry_Historical_Data!$A$1:$A$3000&amp;Industry_Historical_Data!$C$1:$C$3000,0&amp;0),MATCH(Industry!N$1,Industry_Historical_Data!$A$1:$S$1,0)),"")</f>
        <v/>
      </c>
      <c r="O83" s="471" t="str">
        <f t="array" ref="O83">IFERROR(INDEX(Industry_Historical_Data!$A$1:$S$3000,MATCH(Industry!$G83&amp;Industry_Calculation!$D$27,Industry_Historical_Data!$A$1:$A$3000&amp;Industry_Historical_Data!$C$1:$C$3000,0&amp;0),MATCH(Industry!O$1,Industry_Historical_Data!$A$1:$S$1,0)),"")</f>
        <v/>
      </c>
      <c r="P83" s="471" t="str">
        <f t="array" ref="P83">IFERROR(INDEX(Industry_Historical_Data!$A$1:$S$3000,MATCH(Industry!$G83&amp;Industry_Calculation!$D$27,Industry_Historical_Data!$A$1:$A$3000&amp;Industry_Historical_Data!$C$1:$C$3000,0&amp;0),MATCH(Industry!P$1,Industry_Historical_Data!$A$1:$S$1,0)),"")</f>
        <v/>
      </c>
      <c r="Q83" s="471" t="str">
        <f t="array" ref="Q83">IFERROR(INDEX(Industry_Historical_Data!$A$1:$S$3000,MATCH(Industry!$G83&amp;Industry_Calculation!$D$27,Industry_Historical_Data!$A$1:$A$3000&amp;Industry_Historical_Data!$C$1:$C$3000,0&amp;0),MATCH(Industry!Q$1,Industry_Historical_Data!$A$1:$S$1,0)),"")</f>
        <v/>
      </c>
      <c r="R83" s="471" t="str">
        <f t="array" ref="R83">IFERROR(INDEX(Industry_Historical_Data!$A$1:$S$3000,MATCH(Industry!$G83&amp;Industry_Calculation!$D$27,Industry_Historical_Data!$A$1:$A$3000&amp;Industry_Historical_Data!$C$1:$C$3000,0&amp;0),MATCH(Industry!R$1,Industry_Historical_Data!$A$1:$S$1,0)),"")</f>
        <v/>
      </c>
      <c r="S83" s="471" t="str">
        <f t="array" ref="S83">IFERROR(INDEX(Industry_Historical_Data!$A$1:$S$3000,MATCH(Industry!$G83&amp;Industry_Calculation!$D$27,Industry_Historical_Data!$A$1:$A$3000&amp;Industry_Historical_Data!$C$1:$C$3000,0&amp;0),MATCH(Industry!S$1,Industry_Historical_Data!$A$1:$S$1,0)),"")</f>
        <v/>
      </c>
      <c r="T83" s="471" t="str">
        <f t="array" ref="T83">IFERROR(INDEX(Industry_Historical_Data!$A$1:$S$3000,MATCH(Industry!$G83&amp;Industry_Calculation!$D$27,Industry_Historical_Data!$A$1:$A$3000&amp;Industry_Historical_Data!$C$1:$C$3000,0&amp;0),MATCH(Industry!T$1,Industry_Historical_Data!$A$1:$S$1,0)),"")</f>
        <v/>
      </c>
      <c r="U83" s="471" t="str">
        <f t="array" ref="U83">IFERROR(INDEX(Industry_Historical_Data!$A$1:$S$3000,MATCH(Industry!$G83&amp;Industry_Calculation!$D$27,Industry_Historical_Data!$A$1:$A$3000&amp;Industry_Historical_Data!$C$1:$C$3000,0&amp;0),MATCH(Industry!U$1,Industry_Historical_Data!$A$1:$S$1,0)),"")</f>
        <v/>
      </c>
      <c r="V83" s="471" t="str">
        <f t="array" ref="V83">IFERROR(INDEX(Industry_Historical_Data!$A$1:$S$3000,MATCH(Industry!$G83&amp;Industry_Calculation!$D$27,Industry_Historical_Data!$A$1:$A$3000&amp;Industry_Historical_Data!$C$1:$C$3000,0&amp;0),MATCH(Industry!V$1,Industry_Historical_Data!$A$1:$S$1,0)),"")</f>
        <v/>
      </c>
      <c r="W83" s="472">
        <f t="array" ref="W83">IFERROR(INDEX(Industry_Calculation!$A$110:$M$200,MATCH(Industry!$G83,Industry_Calculation!$A$110:$A$200,0),MATCH(Industry!W$1,Industry_Calculation!$A$110:$M$110,0)),"")</f>
        <v>4.289628</v>
      </c>
      <c r="X83" s="479" t="str">
        <f t="array" ref="X83">IFERROR(INDEX(Industry_Historical_Data!$A$1:$S$3000,MATCH(Industry!$G83&amp;Industry_Calculation!$D$27,Industry_Historical_Data!$A$1:$A$3000&amp;Industry_Historical_Data!$C$1:$C$3000,0&amp;0),MATCH(Industry!X$1,Industry_Historical_Data!$A$1:$S$1,0)),"")</f>
        <v/>
      </c>
      <c r="Y83" s="479" t="str">
        <f t="array" ref="Y83">IFERROR(INDEX(Industry_Historical_Data!$A$1:$S$3000,MATCH(Industry!$G83&amp;Industry_Calculation!$D$27,Industry_Historical_Data!$A$1:$A$3000&amp;Industry_Historical_Data!$C$1:$C$3000,0&amp;0),MATCH(Industry!Y$1,Industry_Historical_Data!$A$1:$S$1,0)),"")</f>
        <v/>
      </c>
      <c r="Z83" s="479" t="str">
        <f t="array" ref="Z83">IFERROR(INDEX(Industry_Historical_Data!$A$1:$S$3000,MATCH(Industry!$G83&amp;Industry_Calculation!$D$27,Industry_Historical_Data!$A$1:$A$3000&amp;Industry_Historical_Data!$C$1:$C$3000,0&amp;0),MATCH(Industry!Z$1,Industry_Historical_Data!$A$1:$S$1,0)),"")</f>
        <v/>
      </c>
      <c r="AA83" s="472">
        <f t="array" ref="AA83">IFERROR(INDEX(Industry_Calculation!$A$110:$M$200,MATCH(Industry!$G83,Industry_Calculation!$A$110:$A$200,0),MATCH(Industry!AA$1,Industry_Calculation!$A$110:$M$110,0)),"")</f>
        <v>5.0530016</v>
      </c>
      <c r="AB83" s="472">
        <f t="shared" si="64"/>
        <v>5.0530016</v>
      </c>
      <c r="AC83" s="472">
        <f t="shared" si="65"/>
        <v>4.984318517</v>
      </c>
      <c r="AD83" s="472">
        <f t="array" ref="AD83">IFERROR(INDEX(Industry_Calculation!$A$110:$M$200,MATCH(Industry!$G83,Industry_Calculation!$A$110:$A$200,0),MATCH(Industry!AD$1,Industry_Calculation!$A$110:$M$110,0)),"")</f>
        <v>4.915635435</v>
      </c>
      <c r="AE83" s="472">
        <f>AF83</f>
        <v>0</v>
      </c>
      <c r="AF83" s="472">
        <f t="array" ref="AF83">IFERROR(INDEX(Industry_Calculation!$A$110:$M$200,MATCH(Industry!$G83,Industry_Calculation!$A$110:$A$200,0),MATCH(Industry!AF$1,Industry_Calculation!$A$110:$M$110,0)),"")</f>
        <v>0</v>
      </c>
      <c r="AG83" s="472">
        <f t="shared" si="66"/>
        <v>0</v>
      </c>
      <c r="AH83" s="472">
        <f t="array" ref="AH83">IFERROR(INDEX(Industry_Calculation!$A$110:$M$200,MATCH(Industry!$G83,Industry_Calculation!$A$110:$A$200,0),MATCH(Industry!AH$1,Industry_Calculation!$A$110:$M$110,0)),"")</f>
        <v>0</v>
      </c>
      <c r="AI83" s="204"/>
      <c r="AJ83" s="204"/>
      <c r="AK83" s="204"/>
      <c r="AL83" s="204"/>
      <c r="AM83" s="165"/>
      <c r="AN83" s="102"/>
    </row>
    <row r="84" ht="14.25" customHeight="1" outlineLevel="1">
      <c r="A84" s="489"/>
      <c r="B84" s="162"/>
      <c r="C84" s="100"/>
      <c r="D84" s="490"/>
      <c r="E84" s="270" t="s">
        <v>2216</v>
      </c>
      <c r="F84" s="249" t="s">
        <v>135</v>
      </c>
      <c r="G84" s="249" t="s">
        <v>2217</v>
      </c>
      <c r="H84" s="471" t="str">
        <f t="array" ref="H84">IFERROR(INDEX(Industry_Historical_Data!$A$1:$S$3000,MATCH(Industry!$G84&amp;Industry_Calculation!$D$27,Industry_Historical_Data!$A$1:$A$3000&amp;Industry_Historical_Data!$C$1:$C$3000,0&amp;0),MATCH(Industry!H$1,Industry_Historical_Data!$A$1:$S$1,0)),"")</f>
        <v/>
      </c>
      <c r="I84" s="471" t="str">
        <f t="array" ref="I84">IFERROR(INDEX(Industry_Historical_Data!$A$1:$S$3000,MATCH(Industry!$G84&amp;Industry_Calculation!$D$27,Industry_Historical_Data!$A$1:$A$3000&amp;Industry_Historical_Data!$C$1:$C$3000,0&amp;0),MATCH(Industry!I$1,Industry_Historical_Data!$A$1:$S$1,0)),"")</f>
        <v/>
      </c>
      <c r="J84" s="471" t="str">
        <f t="array" ref="J84">IFERROR(INDEX(Industry_Historical_Data!$A$1:$S$3000,MATCH(Industry!$G84&amp;Industry_Calculation!$D$27,Industry_Historical_Data!$A$1:$A$3000&amp;Industry_Historical_Data!$C$1:$C$3000,0&amp;0),MATCH(Industry!J$1,Industry_Historical_Data!$A$1:$S$1,0)),"")</f>
        <v/>
      </c>
      <c r="K84" s="471" t="str">
        <f t="array" ref="K84">IFERROR(INDEX(Industry_Historical_Data!$A$1:$S$3000,MATCH(Industry!$G84&amp;Industry_Calculation!$D$27,Industry_Historical_Data!$A$1:$A$3000&amp;Industry_Historical_Data!$C$1:$C$3000,0&amp;0),MATCH(Industry!K$1,Industry_Historical_Data!$A$1:$S$1,0)),"")</f>
        <v/>
      </c>
      <c r="L84" s="471" t="str">
        <f t="array" ref="L84">IFERROR(INDEX(Industry_Historical_Data!$A$1:$S$3000,MATCH(Industry!$G84&amp;Industry_Calculation!$D$27,Industry_Historical_Data!$A$1:$A$3000&amp;Industry_Historical_Data!$C$1:$C$3000,0&amp;0),MATCH(Industry!L$1,Industry_Historical_Data!$A$1:$S$1,0)),"")</f>
        <v/>
      </c>
      <c r="M84" s="471" t="str">
        <f t="array" ref="M84">IFERROR(INDEX(Industry_Historical_Data!$A$1:$S$3000,MATCH(Industry!$G84&amp;Industry_Calculation!$D$27,Industry_Historical_Data!$A$1:$A$3000&amp;Industry_Historical_Data!$C$1:$C$3000,0&amp;0),MATCH(Industry!M$1,Industry_Historical_Data!$A$1:$S$1,0)),"")</f>
        <v/>
      </c>
      <c r="N84" s="471" t="str">
        <f t="array" ref="N84">IFERROR(INDEX(Industry_Historical_Data!$A$1:$S$3000,MATCH(Industry!$G84&amp;Industry_Calculation!$D$27,Industry_Historical_Data!$A$1:$A$3000&amp;Industry_Historical_Data!$C$1:$C$3000,0&amp;0),MATCH(Industry!N$1,Industry_Historical_Data!$A$1:$S$1,0)),"")</f>
        <v/>
      </c>
      <c r="O84" s="471" t="str">
        <f t="array" ref="O84">IFERROR(INDEX(Industry_Historical_Data!$A$1:$S$3000,MATCH(Industry!$G84&amp;Industry_Calculation!$D$27,Industry_Historical_Data!$A$1:$A$3000&amp;Industry_Historical_Data!$C$1:$C$3000,0&amp;0),MATCH(Industry!O$1,Industry_Historical_Data!$A$1:$S$1,0)),"")</f>
        <v/>
      </c>
      <c r="P84" s="471" t="str">
        <f t="array" ref="P84">IFERROR(INDEX(Industry_Historical_Data!$A$1:$S$3000,MATCH(Industry!$G84&amp;Industry_Calculation!$D$27,Industry_Historical_Data!$A$1:$A$3000&amp;Industry_Historical_Data!$C$1:$C$3000,0&amp;0),MATCH(Industry!P$1,Industry_Historical_Data!$A$1:$S$1,0)),"")</f>
        <v/>
      </c>
      <c r="Q84" s="471" t="str">
        <f t="array" ref="Q84">IFERROR(INDEX(Industry_Historical_Data!$A$1:$S$3000,MATCH(Industry!$G84&amp;Industry_Calculation!$D$27,Industry_Historical_Data!$A$1:$A$3000&amp;Industry_Historical_Data!$C$1:$C$3000,0&amp;0),MATCH(Industry!Q$1,Industry_Historical_Data!$A$1:$S$1,0)),"")</f>
        <v/>
      </c>
      <c r="R84" s="471" t="str">
        <f t="array" ref="R84">IFERROR(INDEX(Industry_Historical_Data!$A$1:$S$3000,MATCH(Industry!$G84&amp;Industry_Calculation!$D$27,Industry_Historical_Data!$A$1:$A$3000&amp;Industry_Historical_Data!$C$1:$C$3000,0&amp;0),MATCH(Industry!R$1,Industry_Historical_Data!$A$1:$S$1,0)),"")</f>
        <v/>
      </c>
      <c r="S84" s="471" t="str">
        <f t="array" ref="S84">IFERROR(INDEX(Industry_Historical_Data!$A$1:$S$3000,MATCH(Industry!$G84&amp;Industry_Calculation!$D$27,Industry_Historical_Data!$A$1:$A$3000&amp;Industry_Historical_Data!$C$1:$C$3000,0&amp;0),MATCH(Industry!S$1,Industry_Historical_Data!$A$1:$S$1,0)),"")</f>
        <v/>
      </c>
      <c r="T84" s="471" t="str">
        <f t="array" ref="T84">IFERROR(INDEX(Industry_Historical_Data!$A$1:$S$3000,MATCH(Industry!$G84&amp;Industry_Calculation!$D$27,Industry_Historical_Data!$A$1:$A$3000&amp;Industry_Historical_Data!$C$1:$C$3000,0&amp;0),MATCH(Industry!T$1,Industry_Historical_Data!$A$1:$S$1,0)),"")</f>
        <v/>
      </c>
      <c r="U84" s="471" t="str">
        <f t="array" ref="U84">IFERROR(INDEX(Industry_Historical_Data!$A$1:$S$3000,MATCH(Industry!$G84&amp;Industry_Calculation!$D$27,Industry_Historical_Data!$A$1:$A$3000&amp;Industry_Historical_Data!$C$1:$C$3000,0&amp;0),MATCH(Industry!U$1,Industry_Historical_Data!$A$1:$S$1,0)),"")</f>
        <v/>
      </c>
      <c r="V84" s="471" t="str">
        <f t="array" ref="V84">IFERROR(INDEX(Industry_Historical_Data!$A$1:$S$3000,MATCH(Industry!$G84&amp;Industry_Calculation!$D$27,Industry_Historical_Data!$A$1:$A$3000&amp;Industry_Historical_Data!$C$1:$C$3000,0&amp;0),MATCH(Industry!V$1,Industry_Historical_Data!$A$1:$S$1,0)),"")</f>
        <v/>
      </c>
      <c r="W84" s="472">
        <f t="array" ref="W84">IFERROR(INDEX(Industry_Calculation!$A$110:$M$200,MATCH(Industry!$G84,Industry_Calculation!$A$110:$A$200,0),MATCH(Industry!W$1,Industry_Calculation!$A$110:$M$110,0)),"")</f>
        <v>0</v>
      </c>
      <c r="X84" s="479" t="str">
        <f t="array" ref="X84">IFERROR(INDEX(Industry_Historical_Data!$A$1:$S$3000,MATCH(Industry!$G84&amp;Industry_Calculation!$D$27,Industry_Historical_Data!$A$1:$A$3000&amp;Industry_Historical_Data!$C$1:$C$3000,0&amp;0),MATCH(Industry!X$1,Industry_Historical_Data!$A$1:$S$1,0)),"")</f>
        <v/>
      </c>
      <c r="Y84" s="479" t="str">
        <f t="array" ref="Y84">IFERROR(INDEX(Industry_Historical_Data!$A$1:$S$3000,MATCH(Industry!$G84&amp;Industry_Calculation!$D$27,Industry_Historical_Data!$A$1:$A$3000&amp;Industry_Historical_Data!$C$1:$C$3000,0&amp;0),MATCH(Industry!Y$1,Industry_Historical_Data!$A$1:$S$1,0)),"")</f>
        <v/>
      </c>
      <c r="Z84" s="479" t="str">
        <f t="array" ref="Z84">IFERROR(INDEX(Industry_Historical_Data!$A$1:$S$3000,MATCH(Industry!$G84&amp;Industry_Calculation!$D$27,Industry_Historical_Data!$A$1:$A$3000&amp;Industry_Historical_Data!$C$1:$C$3000,0&amp;0),MATCH(Industry!Z$1,Industry_Historical_Data!$A$1:$S$1,0)),"")</f>
        <v/>
      </c>
      <c r="AA84" s="472">
        <f t="array" ref="AA84">IFERROR(INDEX(Industry_Calculation!$A$110:$M$200,MATCH(Industry!$G84,Industry_Calculation!$A$110:$A$200,0),MATCH(Industry!AA$1,Industry_Calculation!$A$110:$M$110,0)),"")</f>
        <v>0</v>
      </c>
      <c r="AB84" s="472">
        <f t="shared" si="64"/>
        <v>0</v>
      </c>
      <c r="AC84" s="472">
        <f t="shared" si="65"/>
        <v>0</v>
      </c>
      <c r="AD84" s="472">
        <f t="array" ref="AD84">IFERROR(INDEX(Industry_Calculation!$A$110:$M$200,MATCH(Industry!$G84,Industry_Calculation!$A$110:$A$200,0),MATCH(Industry!AD$1,Industry_Calculation!$A$110:$M$110,0)),"")</f>
        <v>0</v>
      </c>
      <c r="AE84" s="472">
        <f t="shared" ref="AE84:AE87" si="67">AVERAGE(AF84,AD84)</f>
        <v>0</v>
      </c>
      <c r="AF84" s="472">
        <f t="array" ref="AF84">IFERROR(INDEX(Industry_Calculation!$A$110:$M$200,MATCH(Industry!$G84,Industry_Calculation!$A$110:$A$200,0),MATCH(Industry!AF$1,Industry_Calculation!$A$110:$M$110,0)),"")</f>
        <v>0</v>
      </c>
      <c r="AG84" s="472">
        <f t="shared" si="66"/>
        <v>0</v>
      </c>
      <c r="AH84" s="472">
        <f t="array" ref="AH84">IFERROR(INDEX(Industry_Calculation!$A$110:$M$200,MATCH(Industry!$G84,Industry_Calculation!$A$110:$A$200,0),MATCH(Industry!AH$1,Industry_Calculation!$A$110:$M$110,0)),"")</f>
        <v>0</v>
      </c>
      <c r="AI84" s="204"/>
      <c r="AJ84" s="204"/>
      <c r="AK84" s="204"/>
      <c r="AL84" s="204"/>
      <c r="AM84" s="165"/>
      <c r="AN84" s="102"/>
    </row>
    <row r="85" ht="14.25" customHeight="1" outlineLevel="1">
      <c r="A85" s="489"/>
      <c r="B85" s="162"/>
      <c r="C85" s="100"/>
      <c r="D85" s="490"/>
      <c r="E85" s="270" t="s">
        <v>2218</v>
      </c>
      <c r="F85" s="249" t="s">
        <v>135</v>
      </c>
      <c r="G85" s="249" t="s">
        <v>2219</v>
      </c>
      <c r="H85" s="471" t="str">
        <f t="array" ref="H85">IFERROR(INDEX(Industry_Historical_Data!$A$1:$S$3000,MATCH(Industry!$G85&amp;Industry_Calculation!$D$27,Industry_Historical_Data!$A$1:$A$3000&amp;Industry_Historical_Data!$C$1:$C$3000,0&amp;0),MATCH(Industry!H$1,Industry_Historical_Data!$A$1:$S$1,0)),"")</f>
        <v/>
      </c>
      <c r="I85" s="471" t="str">
        <f t="array" ref="I85">IFERROR(INDEX(Industry_Historical_Data!$A$1:$S$3000,MATCH(Industry!$G85&amp;Industry_Calculation!$D$27,Industry_Historical_Data!$A$1:$A$3000&amp;Industry_Historical_Data!$C$1:$C$3000,0&amp;0),MATCH(Industry!I$1,Industry_Historical_Data!$A$1:$S$1,0)),"")</f>
        <v/>
      </c>
      <c r="J85" s="471" t="str">
        <f t="array" ref="J85">IFERROR(INDEX(Industry_Historical_Data!$A$1:$S$3000,MATCH(Industry!$G85&amp;Industry_Calculation!$D$27,Industry_Historical_Data!$A$1:$A$3000&amp;Industry_Historical_Data!$C$1:$C$3000,0&amp;0),MATCH(Industry!J$1,Industry_Historical_Data!$A$1:$S$1,0)),"")</f>
        <v/>
      </c>
      <c r="K85" s="471" t="str">
        <f t="array" ref="K85">IFERROR(INDEX(Industry_Historical_Data!$A$1:$S$3000,MATCH(Industry!$G85&amp;Industry_Calculation!$D$27,Industry_Historical_Data!$A$1:$A$3000&amp;Industry_Historical_Data!$C$1:$C$3000,0&amp;0),MATCH(Industry!K$1,Industry_Historical_Data!$A$1:$S$1,0)),"")</f>
        <v/>
      </c>
      <c r="L85" s="471" t="str">
        <f t="array" ref="L85">IFERROR(INDEX(Industry_Historical_Data!$A$1:$S$3000,MATCH(Industry!$G85&amp;Industry_Calculation!$D$27,Industry_Historical_Data!$A$1:$A$3000&amp;Industry_Historical_Data!$C$1:$C$3000,0&amp;0),MATCH(Industry!L$1,Industry_Historical_Data!$A$1:$S$1,0)),"")</f>
        <v/>
      </c>
      <c r="M85" s="471" t="str">
        <f t="array" ref="M85">IFERROR(INDEX(Industry_Historical_Data!$A$1:$S$3000,MATCH(Industry!$G85&amp;Industry_Calculation!$D$27,Industry_Historical_Data!$A$1:$A$3000&amp;Industry_Historical_Data!$C$1:$C$3000,0&amp;0),MATCH(Industry!M$1,Industry_Historical_Data!$A$1:$S$1,0)),"")</f>
        <v/>
      </c>
      <c r="N85" s="471" t="str">
        <f t="array" ref="N85">IFERROR(INDEX(Industry_Historical_Data!$A$1:$S$3000,MATCH(Industry!$G85&amp;Industry_Calculation!$D$27,Industry_Historical_Data!$A$1:$A$3000&amp;Industry_Historical_Data!$C$1:$C$3000,0&amp;0),MATCH(Industry!N$1,Industry_Historical_Data!$A$1:$S$1,0)),"")</f>
        <v/>
      </c>
      <c r="O85" s="471" t="str">
        <f t="array" ref="O85">IFERROR(INDEX(Industry_Historical_Data!$A$1:$S$3000,MATCH(Industry!$G85&amp;Industry_Calculation!$D$27,Industry_Historical_Data!$A$1:$A$3000&amp;Industry_Historical_Data!$C$1:$C$3000,0&amp;0),MATCH(Industry!O$1,Industry_Historical_Data!$A$1:$S$1,0)),"")</f>
        <v/>
      </c>
      <c r="P85" s="471" t="str">
        <f t="array" ref="P85">IFERROR(INDEX(Industry_Historical_Data!$A$1:$S$3000,MATCH(Industry!$G85&amp;Industry_Calculation!$D$27,Industry_Historical_Data!$A$1:$A$3000&amp;Industry_Historical_Data!$C$1:$C$3000,0&amp;0),MATCH(Industry!P$1,Industry_Historical_Data!$A$1:$S$1,0)),"")</f>
        <v/>
      </c>
      <c r="Q85" s="471" t="str">
        <f t="array" ref="Q85">IFERROR(INDEX(Industry_Historical_Data!$A$1:$S$3000,MATCH(Industry!$G85&amp;Industry_Calculation!$D$27,Industry_Historical_Data!$A$1:$A$3000&amp;Industry_Historical_Data!$C$1:$C$3000,0&amp;0),MATCH(Industry!Q$1,Industry_Historical_Data!$A$1:$S$1,0)),"")</f>
        <v/>
      </c>
      <c r="R85" s="471" t="str">
        <f t="array" ref="R85">IFERROR(INDEX(Industry_Historical_Data!$A$1:$S$3000,MATCH(Industry!$G85&amp;Industry_Calculation!$D$27,Industry_Historical_Data!$A$1:$A$3000&amp;Industry_Historical_Data!$C$1:$C$3000,0&amp;0),MATCH(Industry!R$1,Industry_Historical_Data!$A$1:$S$1,0)),"")</f>
        <v/>
      </c>
      <c r="S85" s="471" t="str">
        <f t="array" ref="S85">IFERROR(INDEX(Industry_Historical_Data!$A$1:$S$3000,MATCH(Industry!$G85&amp;Industry_Calculation!$D$27,Industry_Historical_Data!$A$1:$A$3000&amp;Industry_Historical_Data!$C$1:$C$3000,0&amp;0),MATCH(Industry!S$1,Industry_Historical_Data!$A$1:$S$1,0)),"")</f>
        <v/>
      </c>
      <c r="T85" s="471" t="str">
        <f t="array" ref="T85">IFERROR(INDEX(Industry_Historical_Data!$A$1:$S$3000,MATCH(Industry!$G85&amp;Industry_Calculation!$D$27,Industry_Historical_Data!$A$1:$A$3000&amp;Industry_Historical_Data!$C$1:$C$3000,0&amp;0),MATCH(Industry!T$1,Industry_Historical_Data!$A$1:$S$1,0)),"")</f>
        <v/>
      </c>
      <c r="U85" s="471" t="str">
        <f t="array" ref="U85">IFERROR(INDEX(Industry_Historical_Data!$A$1:$S$3000,MATCH(Industry!$G85&amp;Industry_Calculation!$D$27,Industry_Historical_Data!$A$1:$A$3000&amp;Industry_Historical_Data!$C$1:$C$3000,0&amp;0),MATCH(Industry!U$1,Industry_Historical_Data!$A$1:$S$1,0)),"")</f>
        <v/>
      </c>
      <c r="V85" s="471" t="str">
        <f t="array" ref="V85">IFERROR(INDEX(Industry_Historical_Data!$A$1:$S$3000,MATCH(Industry!$G85&amp;Industry_Calculation!$D$27,Industry_Historical_Data!$A$1:$A$3000&amp;Industry_Historical_Data!$C$1:$C$3000,0&amp;0),MATCH(Industry!V$1,Industry_Historical_Data!$A$1:$S$1,0)),"")</f>
        <v/>
      </c>
      <c r="W85" s="472">
        <f t="array" ref="W85">IFERROR(INDEX(Industry_Calculation!$A$110:$M$200,MATCH(Industry!$G85,Industry_Calculation!$A$110:$A$200,0),MATCH(Industry!W$1,Industry_Calculation!$A$110:$M$110,0)),"")</f>
        <v>6.815544</v>
      </c>
      <c r="X85" s="479" t="str">
        <f t="array" ref="X85">IFERROR(INDEX(Industry_Historical_Data!$A$1:$S$3000,MATCH(Industry!$G85&amp;Industry_Calculation!$D$27,Industry_Historical_Data!$A$1:$A$3000&amp;Industry_Historical_Data!$C$1:$C$3000,0&amp;0),MATCH(Industry!X$1,Industry_Historical_Data!$A$1:$S$1,0)),"")</f>
        <v/>
      </c>
      <c r="Y85" s="479" t="str">
        <f t="array" ref="Y85">IFERROR(INDEX(Industry_Historical_Data!$A$1:$S$3000,MATCH(Industry!$G85&amp;Industry_Calculation!$D$27,Industry_Historical_Data!$A$1:$A$3000&amp;Industry_Historical_Data!$C$1:$C$3000,0&amp;0),MATCH(Industry!Y$1,Industry_Historical_Data!$A$1:$S$1,0)),"")</f>
        <v/>
      </c>
      <c r="Z85" s="479" t="str">
        <f t="array" ref="Z85">IFERROR(INDEX(Industry_Historical_Data!$A$1:$S$3000,MATCH(Industry!$G85&amp;Industry_Calculation!$D$27,Industry_Historical_Data!$A$1:$A$3000&amp;Industry_Historical_Data!$C$1:$C$3000,0&amp;0),MATCH(Industry!Z$1,Industry_Historical_Data!$A$1:$S$1,0)),"")</f>
        <v/>
      </c>
      <c r="AA85" s="472">
        <f t="array" ref="AA85">IFERROR(INDEX(Industry_Calculation!$A$110:$M$200,MATCH(Industry!$G85,Industry_Calculation!$A$110:$A$200,0),MATCH(Industry!AA$1,Industry_Calculation!$A$110:$M$110,0)),"")</f>
        <v>6.815544</v>
      </c>
      <c r="AB85" s="472">
        <f t="shared" si="64"/>
        <v>6.815544</v>
      </c>
      <c r="AC85" s="472">
        <f t="shared" si="65"/>
        <v>6.67923312</v>
      </c>
      <c r="AD85" s="472">
        <f t="array" ref="AD85">IFERROR(INDEX(Industry_Calculation!$A$110:$M$200,MATCH(Industry!$G85,Industry_Calculation!$A$110:$A$200,0),MATCH(Industry!AD$1,Industry_Calculation!$A$110:$M$110,0)),"")</f>
        <v>6.54292224</v>
      </c>
      <c r="AE85" s="472">
        <f t="shared" si="67"/>
        <v>4.956924467</v>
      </c>
      <c r="AF85" s="472">
        <f t="array" ref="AF85">IFERROR(INDEX(Industry_Calculation!$A$110:$M$200,MATCH(Industry!$G85,Industry_Calculation!$A$110:$A$200,0),MATCH(Industry!AF$1,Industry_Calculation!$A$110:$M$110,0)),"")</f>
        <v>3.370926695</v>
      </c>
      <c r="AG85" s="472">
        <f t="shared" si="66"/>
        <v>2.205434147</v>
      </c>
      <c r="AH85" s="472">
        <f t="array" ref="AH85">IFERROR(INDEX(Industry_Calculation!$A$110:$M$200,MATCH(Industry!$G85,Industry_Calculation!$A$110:$A$200,0),MATCH(Industry!AH$1,Industry_Calculation!$A$110:$M$110,0)),"")</f>
        <v>1.0399416</v>
      </c>
      <c r="AI85" s="204"/>
      <c r="AJ85" s="204"/>
      <c r="AK85" s="204"/>
      <c r="AL85" s="204"/>
      <c r="AM85" s="165"/>
      <c r="AN85" s="102"/>
    </row>
    <row r="86" ht="14.25" customHeight="1" outlineLevel="1">
      <c r="A86" s="489"/>
      <c r="B86" s="162"/>
      <c r="C86" s="100"/>
      <c r="D86" s="490"/>
      <c r="E86" s="122" t="s">
        <v>2220</v>
      </c>
      <c r="F86" s="123" t="s">
        <v>135</v>
      </c>
      <c r="G86" s="123" t="s">
        <v>2221</v>
      </c>
      <c r="H86" s="471" t="str">
        <f t="array" ref="H86">IFERROR(INDEX(Industry_Historical_Data!$A$1:$S$3000,MATCH(Industry!$G86&amp;Industry_Calculation!$D$27,Industry_Historical_Data!$A$1:$A$3000&amp;Industry_Historical_Data!$C$1:$C$3000,0&amp;0),MATCH(Industry!H$1,Industry_Historical_Data!$A$1:$S$1,0)),"")</f>
        <v/>
      </c>
      <c r="I86" s="471" t="str">
        <f t="array" ref="I86">IFERROR(INDEX(Industry_Historical_Data!$A$1:$S$3000,MATCH(Industry!$G86&amp;Industry_Calculation!$D$27,Industry_Historical_Data!$A$1:$A$3000&amp;Industry_Historical_Data!$C$1:$C$3000,0&amp;0),MATCH(Industry!I$1,Industry_Historical_Data!$A$1:$S$1,0)),"")</f>
        <v/>
      </c>
      <c r="J86" s="471" t="str">
        <f t="array" ref="J86">IFERROR(INDEX(Industry_Historical_Data!$A$1:$S$3000,MATCH(Industry!$G86&amp;Industry_Calculation!$D$27,Industry_Historical_Data!$A$1:$A$3000&amp;Industry_Historical_Data!$C$1:$C$3000,0&amp;0),MATCH(Industry!J$1,Industry_Historical_Data!$A$1:$S$1,0)),"")</f>
        <v/>
      </c>
      <c r="K86" s="471" t="str">
        <f t="array" ref="K86">IFERROR(INDEX(Industry_Historical_Data!$A$1:$S$3000,MATCH(Industry!$G86&amp;Industry_Calculation!$D$27,Industry_Historical_Data!$A$1:$A$3000&amp;Industry_Historical_Data!$C$1:$C$3000,0&amp;0),MATCH(Industry!K$1,Industry_Historical_Data!$A$1:$S$1,0)),"")</f>
        <v/>
      </c>
      <c r="L86" s="471" t="str">
        <f t="array" ref="L86">IFERROR(INDEX(Industry_Historical_Data!$A$1:$S$3000,MATCH(Industry!$G86&amp;Industry_Calculation!$D$27,Industry_Historical_Data!$A$1:$A$3000&amp;Industry_Historical_Data!$C$1:$C$3000,0&amp;0),MATCH(Industry!L$1,Industry_Historical_Data!$A$1:$S$1,0)),"")</f>
        <v/>
      </c>
      <c r="M86" s="471" t="str">
        <f t="array" ref="M86">IFERROR(INDEX(Industry_Historical_Data!$A$1:$S$3000,MATCH(Industry!$G86&amp;Industry_Calculation!$D$27,Industry_Historical_Data!$A$1:$A$3000&amp;Industry_Historical_Data!$C$1:$C$3000,0&amp;0),MATCH(Industry!M$1,Industry_Historical_Data!$A$1:$S$1,0)),"")</f>
        <v/>
      </c>
      <c r="N86" s="471" t="str">
        <f t="array" ref="N86">IFERROR(INDEX(Industry_Historical_Data!$A$1:$S$3000,MATCH(Industry!$G86&amp;Industry_Calculation!$D$27,Industry_Historical_Data!$A$1:$A$3000&amp;Industry_Historical_Data!$C$1:$C$3000,0&amp;0),MATCH(Industry!N$1,Industry_Historical_Data!$A$1:$S$1,0)),"")</f>
        <v/>
      </c>
      <c r="O86" s="471" t="str">
        <f t="array" ref="O86">IFERROR(INDEX(Industry_Historical_Data!$A$1:$S$3000,MATCH(Industry!$G86&amp;Industry_Calculation!$D$27,Industry_Historical_Data!$A$1:$A$3000&amp;Industry_Historical_Data!$C$1:$C$3000,0&amp;0),MATCH(Industry!O$1,Industry_Historical_Data!$A$1:$S$1,0)),"")</f>
        <v/>
      </c>
      <c r="P86" s="471" t="str">
        <f t="array" ref="P86">IFERROR(INDEX(Industry_Historical_Data!$A$1:$S$3000,MATCH(Industry!$G86&amp;Industry_Calculation!$D$27,Industry_Historical_Data!$A$1:$A$3000&amp;Industry_Historical_Data!$C$1:$C$3000,0&amp;0),MATCH(Industry!P$1,Industry_Historical_Data!$A$1:$S$1,0)),"")</f>
        <v/>
      </c>
      <c r="Q86" s="471" t="str">
        <f t="array" ref="Q86">IFERROR(INDEX(Industry_Historical_Data!$A$1:$S$3000,MATCH(Industry!$G86&amp;Industry_Calculation!$D$27,Industry_Historical_Data!$A$1:$A$3000&amp;Industry_Historical_Data!$C$1:$C$3000,0&amp;0),MATCH(Industry!Q$1,Industry_Historical_Data!$A$1:$S$1,0)),"")</f>
        <v/>
      </c>
      <c r="R86" s="471" t="str">
        <f t="array" ref="R86">IFERROR(INDEX(Industry_Historical_Data!$A$1:$S$3000,MATCH(Industry!$G86&amp;Industry_Calculation!$D$27,Industry_Historical_Data!$A$1:$A$3000&amp;Industry_Historical_Data!$C$1:$C$3000,0&amp;0),MATCH(Industry!R$1,Industry_Historical_Data!$A$1:$S$1,0)),"")</f>
        <v/>
      </c>
      <c r="S86" s="471" t="str">
        <f t="array" ref="S86">IFERROR(INDEX(Industry_Historical_Data!$A$1:$S$3000,MATCH(Industry!$G86&amp;Industry_Calculation!$D$27,Industry_Historical_Data!$A$1:$A$3000&amp;Industry_Historical_Data!$C$1:$C$3000,0&amp;0),MATCH(Industry!S$1,Industry_Historical_Data!$A$1:$S$1,0)),"")</f>
        <v/>
      </c>
      <c r="T86" s="471" t="str">
        <f t="array" ref="T86">IFERROR(INDEX(Industry_Historical_Data!$A$1:$S$3000,MATCH(Industry!$G86&amp;Industry_Calculation!$D$27,Industry_Historical_Data!$A$1:$A$3000&amp;Industry_Historical_Data!$C$1:$C$3000,0&amp;0),MATCH(Industry!T$1,Industry_Historical_Data!$A$1:$S$1,0)),"")</f>
        <v/>
      </c>
      <c r="U86" s="471" t="str">
        <f t="array" ref="U86">IFERROR(INDEX(Industry_Historical_Data!$A$1:$S$3000,MATCH(Industry!$G86&amp;Industry_Calculation!$D$27,Industry_Historical_Data!$A$1:$A$3000&amp;Industry_Historical_Data!$C$1:$C$3000,0&amp;0),MATCH(Industry!U$1,Industry_Historical_Data!$A$1:$S$1,0)),"")</f>
        <v/>
      </c>
      <c r="V86" s="471" t="str">
        <f t="array" ref="V86">IFERROR(INDEX(Industry_Historical_Data!$A$1:$S$3000,MATCH(Industry!$G86&amp;Industry_Calculation!$D$27,Industry_Historical_Data!$A$1:$A$3000&amp;Industry_Historical_Data!$C$1:$C$3000,0&amp;0),MATCH(Industry!V$1,Industry_Historical_Data!$A$1:$S$1,0)),"")</f>
        <v/>
      </c>
      <c r="W86" s="472">
        <f t="array" ref="W86">IFERROR(INDEX(Industry_Calculation!$A$110:$M$200,MATCH(Industry!$G86,Industry_Calculation!$A$110:$A$200,0),MATCH(Industry!W$1,Industry_Calculation!$A$110:$M$110,0)),"")</f>
        <v>39.609176</v>
      </c>
      <c r="X86" s="479" t="str">
        <f t="array" ref="X86">IFERROR(INDEX(Industry_Historical_Data!$A$1:$S$3000,MATCH(Industry!$G86&amp;Industry_Calculation!$D$27,Industry_Historical_Data!$A$1:$A$3000&amp;Industry_Historical_Data!$C$1:$C$3000,0&amp;0),MATCH(Industry!X$1,Industry_Historical_Data!$A$1:$S$1,0)),"")</f>
        <v/>
      </c>
      <c r="Y86" s="479" t="str">
        <f t="array" ref="Y86">IFERROR(INDEX(Industry_Historical_Data!$A$1:$S$3000,MATCH(Industry!$G86&amp;Industry_Calculation!$D$27,Industry_Historical_Data!$A$1:$A$3000&amp;Industry_Historical_Data!$C$1:$C$3000,0&amp;0),MATCH(Industry!Y$1,Industry_Historical_Data!$A$1:$S$1,0)),"")</f>
        <v/>
      </c>
      <c r="Z86" s="479" t="str">
        <f t="array" ref="Z86">IFERROR(INDEX(Industry_Historical_Data!$A$1:$S$3000,MATCH(Industry!$G86&amp;Industry_Calculation!$D$27,Industry_Historical_Data!$A$1:$A$3000&amp;Industry_Historical_Data!$C$1:$C$3000,0&amp;0),MATCH(Industry!Z$1,Industry_Historical_Data!$A$1:$S$1,0)),"")</f>
        <v/>
      </c>
      <c r="AA86" s="472">
        <f t="array" ref="AA86">IFERROR(INDEX(Industry_Calculation!$A$110:$M$200,MATCH(Industry!$G86,Industry_Calculation!$A$110:$A$200,0),MATCH(Industry!AA$1,Industry_Calculation!$A$110:$M$110,0)),"")</f>
        <v>39.609176</v>
      </c>
      <c r="AB86" s="472">
        <f t="shared" si="64"/>
        <v>39.609176</v>
      </c>
      <c r="AC86" s="472">
        <f t="shared" si="65"/>
        <v>38.81699248</v>
      </c>
      <c r="AD86" s="472">
        <f t="array" ref="AD86">IFERROR(INDEX(Industry_Calculation!$A$110:$M$200,MATCH(Industry!$G86,Industry_Calculation!$A$110:$A$200,0),MATCH(Industry!AD$1,Industry_Calculation!$A$110:$M$110,0)),"")</f>
        <v>38.02480896</v>
      </c>
      <c r="AE86" s="472">
        <f t="shared" si="67"/>
        <v>29.08192507</v>
      </c>
      <c r="AF86" s="472">
        <f t="array" ref="AF86">IFERROR(INDEX(Industry_Calculation!$A$110:$M$200,MATCH(Industry!$G86,Industry_Calculation!$A$110:$A$200,0),MATCH(Industry!AF$1,Industry_Calculation!$A$110:$M$110,0)),"")</f>
        <v>20.13904119</v>
      </c>
      <c r="AG86" s="472">
        <f t="shared" si="66"/>
        <v>13.69198383</v>
      </c>
      <c r="AH86" s="472">
        <f t="array" ref="AH86">IFERROR(INDEX(Industry_Calculation!$A$110:$M$200,MATCH(Industry!$G86,Industry_Calculation!$A$110:$A$200,0),MATCH(Industry!AH$1,Industry_Calculation!$A$110:$M$110,0)),"")</f>
        <v>7.24492648</v>
      </c>
      <c r="AI86" s="204"/>
      <c r="AJ86" s="204"/>
      <c r="AK86" s="204"/>
      <c r="AL86" s="204"/>
      <c r="AM86" s="165"/>
      <c r="AN86" s="102"/>
    </row>
    <row r="87" ht="14.25" customHeight="1" outlineLevel="1">
      <c r="A87" s="489"/>
      <c r="B87" s="162"/>
      <c r="C87" s="100"/>
      <c r="D87" s="490"/>
      <c r="E87" s="122" t="s">
        <v>2222</v>
      </c>
      <c r="F87" s="123" t="s">
        <v>135</v>
      </c>
      <c r="G87" s="123" t="s">
        <v>2223</v>
      </c>
      <c r="H87" s="471" t="str">
        <f t="array" ref="H87">IFERROR(INDEX(Industry_Historical_Data!$A$1:$S$3000,MATCH(Industry!$G87&amp;Industry_Calculation!$D$27,Industry_Historical_Data!$A$1:$A$3000&amp;Industry_Historical_Data!$C$1:$C$3000,0&amp;0),MATCH(Industry!H$1,Industry_Historical_Data!$A$1:$S$1,0)),"")</f>
        <v/>
      </c>
      <c r="I87" s="471" t="str">
        <f t="array" ref="I87">IFERROR(INDEX(Industry_Historical_Data!$A$1:$S$3000,MATCH(Industry!$G87&amp;Industry_Calculation!$D$27,Industry_Historical_Data!$A$1:$A$3000&amp;Industry_Historical_Data!$C$1:$C$3000,0&amp;0),MATCH(Industry!I$1,Industry_Historical_Data!$A$1:$S$1,0)),"")</f>
        <v/>
      </c>
      <c r="J87" s="471" t="str">
        <f t="array" ref="J87">IFERROR(INDEX(Industry_Historical_Data!$A$1:$S$3000,MATCH(Industry!$G87&amp;Industry_Calculation!$D$27,Industry_Historical_Data!$A$1:$A$3000&amp;Industry_Historical_Data!$C$1:$C$3000,0&amp;0),MATCH(Industry!J$1,Industry_Historical_Data!$A$1:$S$1,0)),"")</f>
        <v/>
      </c>
      <c r="K87" s="471" t="str">
        <f t="array" ref="K87">IFERROR(INDEX(Industry_Historical_Data!$A$1:$S$3000,MATCH(Industry!$G87&amp;Industry_Calculation!$D$27,Industry_Historical_Data!$A$1:$A$3000&amp;Industry_Historical_Data!$C$1:$C$3000,0&amp;0),MATCH(Industry!K$1,Industry_Historical_Data!$A$1:$S$1,0)),"")</f>
        <v/>
      </c>
      <c r="L87" s="471" t="str">
        <f t="array" ref="L87">IFERROR(INDEX(Industry_Historical_Data!$A$1:$S$3000,MATCH(Industry!$G87&amp;Industry_Calculation!$D$27,Industry_Historical_Data!$A$1:$A$3000&amp;Industry_Historical_Data!$C$1:$C$3000,0&amp;0),MATCH(Industry!L$1,Industry_Historical_Data!$A$1:$S$1,0)),"")</f>
        <v/>
      </c>
      <c r="M87" s="471" t="str">
        <f t="array" ref="M87">IFERROR(INDEX(Industry_Historical_Data!$A$1:$S$3000,MATCH(Industry!$G87&amp;Industry_Calculation!$D$27,Industry_Historical_Data!$A$1:$A$3000&amp;Industry_Historical_Data!$C$1:$C$3000,0&amp;0),MATCH(Industry!M$1,Industry_Historical_Data!$A$1:$S$1,0)),"")</f>
        <v/>
      </c>
      <c r="N87" s="471" t="str">
        <f t="array" ref="N87">IFERROR(INDEX(Industry_Historical_Data!$A$1:$S$3000,MATCH(Industry!$G87&amp;Industry_Calculation!$D$27,Industry_Historical_Data!$A$1:$A$3000&amp;Industry_Historical_Data!$C$1:$C$3000,0&amp;0),MATCH(Industry!N$1,Industry_Historical_Data!$A$1:$S$1,0)),"")</f>
        <v/>
      </c>
      <c r="O87" s="471" t="str">
        <f t="array" ref="O87">IFERROR(INDEX(Industry_Historical_Data!$A$1:$S$3000,MATCH(Industry!$G87&amp;Industry_Calculation!$D$27,Industry_Historical_Data!$A$1:$A$3000&amp;Industry_Historical_Data!$C$1:$C$3000,0&amp;0),MATCH(Industry!O$1,Industry_Historical_Data!$A$1:$S$1,0)),"")</f>
        <v/>
      </c>
      <c r="P87" s="471" t="str">
        <f t="array" ref="P87">IFERROR(INDEX(Industry_Historical_Data!$A$1:$S$3000,MATCH(Industry!$G87&amp;Industry_Calculation!$D$27,Industry_Historical_Data!$A$1:$A$3000&amp;Industry_Historical_Data!$C$1:$C$3000,0&amp;0),MATCH(Industry!P$1,Industry_Historical_Data!$A$1:$S$1,0)),"")</f>
        <v/>
      </c>
      <c r="Q87" s="471" t="str">
        <f t="array" ref="Q87">IFERROR(INDEX(Industry_Historical_Data!$A$1:$S$3000,MATCH(Industry!$G87&amp;Industry_Calculation!$D$27,Industry_Historical_Data!$A$1:$A$3000&amp;Industry_Historical_Data!$C$1:$C$3000,0&amp;0),MATCH(Industry!Q$1,Industry_Historical_Data!$A$1:$S$1,0)),"")</f>
        <v/>
      </c>
      <c r="R87" s="471" t="str">
        <f t="array" ref="R87">IFERROR(INDEX(Industry_Historical_Data!$A$1:$S$3000,MATCH(Industry!$G87&amp;Industry_Calculation!$D$27,Industry_Historical_Data!$A$1:$A$3000&amp;Industry_Historical_Data!$C$1:$C$3000,0&amp;0),MATCH(Industry!R$1,Industry_Historical_Data!$A$1:$S$1,0)),"")</f>
        <v/>
      </c>
      <c r="S87" s="471" t="str">
        <f t="array" ref="S87">IFERROR(INDEX(Industry_Historical_Data!$A$1:$S$3000,MATCH(Industry!$G87&amp;Industry_Calculation!$D$27,Industry_Historical_Data!$A$1:$A$3000&amp;Industry_Historical_Data!$C$1:$C$3000,0&amp;0),MATCH(Industry!S$1,Industry_Historical_Data!$A$1:$S$1,0)),"")</f>
        <v/>
      </c>
      <c r="T87" s="471" t="str">
        <f t="array" ref="T87">IFERROR(INDEX(Industry_Historical_Data!$A$1:$S$3000,MATCH(Industry!$G87&amp;Industry_Calculation!$D$27,Industry_Historical_Data!$A$1:$A$3000&amp;Industry_Historical_Data!$C$1:$C$3000,0&amp;0),MATCH(Industry!T$1,Industry_Historical_Data!$A$1:$S$1,0)),"")</f>
        <v/>
      </c>
      <c r="U87" s="471" t="str">
        <f t="array" ref="U87">IFERROR(INDEX(Industry_Historical_Data!$A$1:$S$3000,MATCH(Industry!$G87&amp;Industry_Calculation!$D$27,Industry_Historical_Data!$A$1:$A$3000&amp;Industry_Historical_Data!$C$1:$C$3000,0&amp;0),MATCH(Industry!U$1,Industry_Historical_Data!$A$1:$S$1,0)),"")</f>
        <v/>
      </c>
      <c r="V87" s="471" t="str">
        <f t="array" ref="V87">IFERROR(INDEX(Industry_Historical_Data!$A$1:$S$3000,MATCH(Industry!$G87&amp;Industry_Calculation!$D$27,Industry_Historical_Data!$A$1:$A$3000&amp;Industry_Historical_Data!$C$1:$C$3000,0&amp;0),MATCH(Industry!V$1,Industry_Historical_Data!$A$1:$S$1,0)),"")</f>
        <v/>
      </c>
      <c r="W87" s="472">
        <f t="array" ref="W87">IFERROR(INDEX(Industry_Calculation!$A$110:$M$200,MATCH(Industry!$G87,Industry_Calculation!$A$110:$A$200,0),MATCH(Industry!W$1,Industry_Calculation!$A$110:$M$110,0)),"")</f>
        <v>0</v>
      </c>
      <c r="X87" s="479" t="str">
        <f t="array" ref="X87">IFERROR(INDEX(Industry_Historical_Data!$A$1:$S$3000,MATCH(Industry!$G87&amp;Industry_Calculation!$D$27,Industry_Historical_Data!$A$1:$A$3000&amp;Industry_Historical_Data!$C$1:$C$3000,0&amp;0),MATCH(Industry!X$1,Industry_Historical_Data!$A$1:$S$1,0)),"")</f>
        <v/>
      </c>
      <c r="Y87" s="479" t="str">
        <f t="array" ref="Y87">IFERROR(INDEX(Industry_Historical_Data!$A$1:$S$3000,MATCH(Industry!$G87&amp;Industry_Calculation!$D$27,Industry_Historical_Data!$A$1:$A$3000&amp;Industry_Historical_Data!$C$1:$C$3000,0&amp;0),MATCH(Industry!Y$1,Industry_Historical_Data!$A$1:$S$1,0)),"")</f>
        <v/>
      </c>
      <c r="Z87" s="479" t="str">
        <f t="array" ref="Z87">IFERROR(INDEX(Industry_Historical_Data!$A$1:$S$3000,MATCH(Industry!$G87&amp;Industry_Calculation!$D$27,Industry_Historical_Data!$A$1:$A$3000&amp;Industry_Historical_Data!$C$1:$C$3000,0&amp;0),MATCH(Industry!Z$1,Industry_Historical_Data!$A$1:$S$1,0)),"")</f>
        <v/>
      </c>
      <c r="AA87" s="472">
        <f t="array" ref="AA87">IFERROR(INDEX(Industry_Calculation!$A$110:$M$200,MATCH(Industry!$G87,Industry_Calculation!$A$110:$A$200,0),MATCH(Industry!AA$1,Industry_Calculation!$A$110:$M$110,0)),"")</f>
        <v>0</v>
      </c>
      <c r="AB87" s="472">
        <f t="shared" si="64"/>
        <v>0</v>
      </c>
      <c r="AC87" s="472">
        <f t="shared" si="65"/>
        <v>0</v>
      </c>
      <c r="AD87" s="472">
        <f t="array" ref="AD87">IFERROR(INDEX(Industry_Calculation!$A$110:$M$200,MATCH(Industry!$G87,Industry_Calculation!$A$110:$A$200,0),MATCH(Industry!AD$1,Industry_Calculation!$A$110:$M$110,0)),"")</f>
        <v>0</v>
      </c>
      <c r="AE87" s="472">
        <f t="shared" si="67"/>
        <v>8.761427263</v>
      </c>
      <c r="AF87" s="472">
        <f t="array" ref="AF87">IFERROR(INDEX(Industry_Calculation!$A$110:$M$200,MATCH(Industry!$G87,Industry_Calculation!$A$110:$A$200,0),MATCH(Industry!AF$1,Industry_Calculation!$A$110:$M$110,0)),"")</f>
        <v>17.52285453</v>
      </c>
      <c r="AG87" s="472">
        <f t="shared" si="66"/>
        <v>23.23394786</v>
      </c>
      <c r="AH87" s="472">
        <f t="array" ref="AH87">IFERROR(INDEX(Industry_Calculation!$A$110:$M$200,MATCH(Industry!$G87,Industry_Calculation!$A$110:$A$200,0),MATCH(Industry!AH$1,Industry_Calculation!$A$110:$M$110,0)),"")</f>
        <v>28.9450412</v>
      </c>
      <c r="AI87" s="204"/>
      <c r="AJ87" s="204"/>
      <c r="AK87" s="204"/>
      <c r="AL87" s="204"/>
      <c r="AM87" s="165"/>
      <c r="AN87" s="102"/>
    </row>
    <row r="88" ht="14.25" customHeight="1">
      <c r="A88" s="463" t="s">
        <v>2224</v>
      </c>
      <c r="B88" s="195"/>
      <c r="C88" s="100"/>
      <c r="D88" s="100"/>
      <c r="E88" s="162"/>
      <c r="F88" s="162"/>
      <c r="G88" s="162"/>
      <c r="H88" s="480"/>
      <c r="I88" s="480"/>
      <c r="J88" s="480"/>
      <c r="K88" s="480"/>
      <c r="L88" s="480"/>
      <c r="M88" s="480"/>
      <c r="N88" s="480"/>
      <c r="O88" s="480"/>
      <c r="P88" s="480"/>
      <c r="Q88" s="480"/>
      <c r="R88" s="480"/>
      <c r="S88" s="480"/>
      <c r="T88" s="480"/>
      <c r="U88" s="480"/>
      <c r="V88" s="480"/>
      <c r="W88" s="480"/>
      <c r="X88" s="480"/>
      <c r="Y88" s="480"/>
      <c r="Z88" s="480"/>
      <c r="AA88" s="480"/>
      <c r="AB88" s="480"/>
      <c r="AC88" s="480"/>
      <c r="AD88" s="480"/>
      <c r="AE88" s="480"/>
      <c r="AF88" s="480"/>
      <c r="AG88" s="480"/>
      <c r="AH88" s="480"/>
      <c r="AI88" s="271"/>
      <c r="AJ88" s="271"/>
      <c r="AK88" s="271"/>
      <c r="AL88" s="271"/>
      <c r="AM88" s="100"/>
      <c r="AN88" s="176"/>
    </row>
    <row r="89" ht="14.25" customHeight="1" outlineLevel="1">
      <c r="A89" s="489"/>
      <c r="B89" s="162"/>
      <c r="C89" s="100"/>
      <c r="D89" s="490"/>
      <c r="E89" s="122" t="s">
        <v>2225</v>
      </c>
      <c r="F89" s="123" t="s">
        <v>2226</v>
      </c>
      <c r="G89" s="123" t="str">
        <f>Industry_Calculation!C101</f>
        <v>ghgindnes</v>
      </c>
      <c r="H89" s="471" t="str">
        <f t="array" ref="H89">IFERROR(INDEX(Industry_Historical_Data!$A$1:$S$3000,MATCH(Industry!$G89&amp;Industry_Calculation!$D$27,Industry_Historical_Data!$A$1:$A$3000&amp;Industry_Historical_Data!$C$1:$C$3000,0&amp;0),MATCH(Industry!H$1,Industry_Historical_Data!$A$1:$S$1,0)),"")</f>
        <v/>
      </c>
      <c r="I89" s="471" t="str">
        <f t="array" ref="I89">IFERROR(INDEX(Industry_Historical_Data!$A$1:$S$3000,MATCH(Industry!$G89&amp;Industry_Calculation!$D$27,Industry_Historical_Data!$A$1:$A$3000&amp;Industry_Historical_Data!$C$1:$C$3000,0&amp;0),MATCH(Industry!I$1,Industry_Historical_Data!$A$1:$S$1,0)),"")</f>
        <v/>
      </c>
      <c r="J89" s="471" t="str">
        <f t="array" ref="J89">IFERROR(INDEX(Industry_Historical_Data!$A$1:$S$3000,MATCH(Industry!$G89&amp;Industry_Calculation!$D$27,Industry_Historical_Data!$A$1:$A$3000&amp;Industry_Historical_Data!$C$1:$C$3000,0&amp;0),MATCH(Industry!J$1,Industry_Historical_Data!$A$1:$S$1,0)),"")</f>
        <v/>
      </c>
      <c r="K89" s="471" t="str">
        <f t="array" ref="K89">IFERROR(INDEX(Industry_Historical_Data!$A$1:$S$3000,MATCH(Industry!$G89&amp;Industry_Calculation!$D$27,Industry_Historical_Data!$A$1:$A$3000&amp;Industry_Historical_Data!$C$1:$C$3000,0&amp;0),MATCH(Industry!K$1,Industry_Historical_Data!$A$1:$S$1,0)),"")</f>
        <v/>
      </c>
      <c r="L89" s="471" t="str">
        <f t="array" ref="L89">IFERROR(INDEX(Industry_Historical_Data!$A$1:$S$3000,MATCH(Industry!$G89&amp;Industry_Calculation!$D$27,Industry_Historical_Data!$A$1:$A$3000&amp;Industry_Historical_Data!$C$1:$C$3000,0&amp;0),MATCH(Industry!L$1,Industry_Historical_Data!$A$1:$S$1,0)),"")</f>
        <v/>
      </c>
      <c r="M89" s="471" t="str">
        <f t="array" ref="M89">IFERROR(INDEX(Industry_Historical_Data!$A$1:$S$3000,MATCH(Industry!$G89&amp;Industry_Calculation!$D$27,Industry_Historical_Data!$A$1:$A$3000&amp;Industry_Historical_Data!$C$1:$C$3000,0&amp;0),MATCH(Industry!M$1,Industry_Historical_Data!$A$1:$S$1,0)),"")</f>
        <v/>
      </c>
      <c r="N89" s="471" t="str">
        <f t="array" ref="N89">IFERROR(INDEX(Industry_Historical_Data!$A$1:$S$3000,MATCH(Industry!$G89&amp;Industry_Calculation!$D$27,Industry_Historical_Data!$A$1:$A$3000&amp;Industry_Historical_Data!$C$1:$C$3000,0&amp;0),MATCH(Industry!N$1,Industry_Historical_Data!$A$1:$S$1,0)),"")</f>
        <v/>
      </c>
      <c r="O89" s="471" t="str">
        <f t="array" ref="O89">IFERROR(INDEX(Industry_Historical_Data!$A$1:$S$3000,MATCH(Industry!$G89&amp;Industry_Calculation!$D$27,Industry_Historical_Data!$A$1:$A$3000&amp;Industry_Historical_Data!$C$1:$C$3000,0&amp;0),MATCH(Industry!O$1,Industry_Historical_Data!$A$1:$S$1,0)),"")</f>
        <v/>
      </c>
      <c r="P89" s="471" t="str">
        <f t="array" ref="P89">IFERROR(INDEX(Industry_Historical_Data!$A$1:$S$3000,MATCH(Industry!$G89&amp;Industry_Calculation!$D$27,Industry_Historical_Data!$A$1:$A$3000&amp;Industry_Historical_Data!$C$1:$C$3000,0&amp;0),MATCH(Industry!P$1,Industry_Historical_Data!$A$1:$S$1,0)),"")</f>
        <v/>
      </c>
      <c r="Q89" s="471" t="str">
        <f t="array" ref="Q89">IFERROR(INDEX(Industry_Historical_Data!$A$1:$S$3000,MATCH(Industry!$G89&amp;Industry_Calculation!$D$27,Industry_Historical_Data!$A$1:$A$3000&amp;Industry_Historical_Data!$C$1:$C$3000,0&amp;0),MATCH(Industry!Q$1,Industry_Historical_Data!$A$1:$S$1,0)),"")</f>
        <v/>
      </c>
      <c r="R89" s="471" t="str">
        <f t="array" ref="R89">IFERROR(INDEX(Industry_Historical_Data!$A$1:$S$3000,MATCH(Industry!$G89&amp;Industry_Calculation!$D$27,Industry_Historical_Data!$A$1:$A$3000&amp;Industry_Historical_Data!$C$1:$C$3000,0&amp;0),MATCH(Industry!R$1,Industry_Historical_Data!$A$1:$S$1,0)),"")</f>
        <v/>
      </c>
      <c r="S89" s="471" t="str">
        <f t="array" ref="S89">IFERROR(INDEX(Industry_Historical_Data!$A$1:$S$3000,MATCH(Industry!$G89&amp;Industry_Calculation!$D$27,Industry_Historical_Data!$A$1:$A$3000&amp;Industry_Historical_Data!$C$1:$C$3000,0&amp;0),MATCH(Industry!S$1,Industry_Historical_Data!$A$1:$S$1,0)),"")</f>
        <v/>
      </c>
      <c r="T89" s="471" t="str">
        <f t="array" ref="T89">IFERROR(INDEX(Industry_Historical_Data!$A$1:$S$3000,MATCH(Industry!$G89&amp;Industry_Calculation!$D$27,Industry_Historical_Data!$A$1:$A$3000&amp;Industry_Historical_Data!$C$1:$C$3000,0&amp;0),MATCH(Industry!T$1,Industry_Historical_Data!$A$1:$S$1,0)),"")</f>
        <v/>
      </c>
      <c r="U89" s="471" t="str">
        <f t="array" ref="U89">IFERROR(INDEX(Industry_Historical_Data!$A$1:$S$3000,MATCH(Industry!$G89&amp;Industry_Calculation!$D$27,Industry_Historical_Data!$A$1:$A$3000&amp;Industry_Historical_Data!$C$1:$C$3000,0&amp;0),MATCH(Industry!U$1,Industry_Historical_Data!$A$1:$S$1,0)),"")</f>
        <v/>
      </c>
      <c r="V89" s="471" t="str">
        <f t="array" ref="V89">IF(COUNTBLANK(V90:V94)=5,IFERROR(INDEX(Industry_Historical_Data!$A$1:$S$3000,MATCH(Industry!$G89&amp;Industry_Calculation!$D$27,Industry_Historical_Data!$A$1:$A$3000&amp;Industry_Historical_Data!$C$1:$C$3000,0&amp;0),MATCH(Industry!V$1,Industry_Historical_Data!$A$1:$S$1,0)),""),SUM(V90:V94))</f>
        <v/>
      </c>
      <c r="W89" s="478">
        <f t="array" ref="W89">IFERROR(IF(COUNTBLANK(W90:W94)=0,SUM(W90:W94),INDEX(Industry_Calculation!$A$110:$M$200,MATCH(Industry!$G89,Industry_Calculation!$A$110:$A$200,0),MATCH(Industry!W$1,Industry_Calculation!$A$110:$M$110,7))),"")</f>
        <v>11.90930575</v>
      </c>
      <c r="X89" s="479"/>
      <c r="Y89" s="479"/>
      <c r="Z89" s="479"/>
      <c r="AA89" s="478">
        <f t="array" ref="AA89">IFERROR(IF(COUNTBLANK(AA90:AA94)=0,SUM(AA90:AA94),INDEX(Industry_Calculation!$A$110:$M$200,MATCH(Industry!$G89,Industry_Calculation!$A$110:$A$200,0),MATCH(Industry!AA$1,Industry_Calculation!$A$110:$M$110,7))),"")</f>
        <v>11.83261978</v>
      </c>
      <c r="AB89" s="478">
        <f t="array" ref="AB89">IFERROR(IF(COUNTBLANK(AB90:AB94)=0,SUM(AB90:AB94),INDEX(Industry_Calculation!$A$110:$M$200,MATCH(Industry!$G89,Industry_Calculation!$A$110:$A$200,0),MATCH(Industry!AB$1,Industry_Calculation!$A$110:$M$110,7))),"")</f>
        <v>11.83261978</v>
      </c>
      <c r="AC89" s="478">
        <f>IFERROR(IF(COUNTBLANK(AC90:AC94)=0,SUM(AC90:AC94),AVERAGE(AD89,AB89)),"")</f>
        <v>9.919166802</v>
      </c>
      <c r="AD89" s="478">
        <f t="array" ref="AD89">IFERROR(IF(COUNTBLANK(AD90:AD94)=0,SUM(AD90:AD94),INDEX(Industry_Calculation!$A$110:$M$200,MATCH(Industry!$G89,Industry_Calculation!$A$110:$A$200,0),MATCH(Industry!AD$1,Industry_Calculation!$A$110:$M$110,7))),"")</f>
        <v>8.005713829</v>
      </c>
      <c r="AE89" s="478">
        <f>IFERROR(IF(COUNTBLANK(AE90:AE94)=0,SUM(AE90:AE94),AVERAGE(AF89,AD89)),"")</f>
        <v>6.065223755</v>
      </c>
      <c r="AF89" s="478">
        <f t="array" ref="AF89">IFERROR(IF(COUNTBLANK(AF90:AF94)=0,SUM(AF90:AF94),INDEX(Industry_Calculation!$A$110:$M$200,MATCH(Industry!$G89,Industry_Calculation!$A$110:$A$200,0),MATCH(Industry!AF$1,Industry_Calculation!$A$110:$M$110,7))),"")</f>
        <v>4.12473368</v>
      </c>
      <c r="AG89" s="478">
        <f>IFERROR(IF(COUNTBLANK(AG90:AG94)=0,SUM(AG90:AG94),AVERAGE(AH89,AF89)),"")</f>
        <v>3.629919971</v>
      </c>
      <c r="AH89" s="478">
        <f t="array" ref="AH89">IFERROR(IF(COUNTBLANK(AH90:AH94)=0,SUM(AH90:AH94),INDEX(Industry_Calculation!$A$110:$M$200,MATCH(Industry!$G89,Industry_Calculation!$A$110:$A$200,0),MATCH(Industry!AH$1,Industry_Calculation!$A$110:$M$110,7))),"")</f>
        <v>3.135106262</v>
      </c>
      <c r="AI89" s="204"/>
      <c r="AJ89" s="204"/>
      <c r="AK89" s="204"/>
      <c r="AL89" s="204"/>
      <c r="AM89" s="165"/>
      <c r="AN89" s="102"/>
    </row>
    <row r="90" ht="14.25" customHeight="1" outlineLevel="1">
      <c r="A90" s="489"/>
      <c r="B90" s="162"/>
      <c r="C90" s="100"/>
      <c r="D90" s="490"/>
      <c r="E90" s="122" t="s">
        <v>2227</v>
      </c>
      <c r="F90" s="123" t="s">
        <v>2226</v>
      </c>
      <c r="G90" s="123" t="s">
        <v>2228</v>
      </c>
      <c r="H90" s="471"/>
      <c r="I90" s="471"/>
      <c r="J90" s="471"/>
      <c r="K90" s="471"/>
      <c r="L90" s="471"/>
      <c r="M90" s="471"/>
      <c r="N90" s="471"/>
      <c r="O90" s="471"/>
      <c r="P90" s="471"/>
      <c r="Q90" s="471"/>
      <c r="R90" s="471"/>
      <c r="S90" s="471"/>
      <c r="T90" s="471"/>
      <c r="U90" s="471"/>
      <c r="V90" s="471"/>
      <c r="W90" s="491"/>
      <c r="X90" s="479"/>
      <c r="Y90" s="479"/>
      <c r="Z90" s="479"/>
      <c r="AA90" s="491"/>
      <c r="AB90" s="491"/>
      <c r="AC90" s="491"/>
      <c r="AD90" s="491"/>
      <c r="AE90" s="491"/>
      <c r="AF90" s="491"/>
      <c r="AG90" s="491"/>
      <c r="AH90" s="491"/>
      <c r="AI90" s="204"/>
      <c r="AJ90" s="204"/>
      <c r="AK90" s="204"/>
      <c r="AL90" s="204"/>
      <c r="AM90" s="165"/>
      <c r="AN90" s="102"/>
    </row>
    <row r="91" ht="14.25" customHeight="1" outlineLevel="1">
      <c r="A91" s="489"/>
      <c r="B91" s="162"/>
      <c r="C91" s="100"/>
      <c r="D91" s="490"/>
      <c r="E91" s="122" t="s">
        <v>2229</v>
      </c>
      <c r="F91" s="123" t="s">
        <v>2226</v>
      </c>
      <c r="G91" s="123" t="s">
        <v>2230</v>
      </c>
      <c r="H91" s="471"/>
      <c r="I91" s="471"/>
      <c r="J91" s="471"/>
      <c r="K91" s="471"/>
      <c r="L91" s="471"/>
      <c r="M91" s="471"/>
      <c r="N91" s="471"/>
      <c r="O91" s="471"/>
      <c r="P91" s="471"/>
      <c r="Q91" s="471"/>
      <c r="R91" s="471"/>
      <c r="S91" s="471"/>
      <c r="T91" s="471"/>
      <c r="U91" s="471"/>
      <c r="V91" s="471"/>
      <c r="W91" s="491"/>
      <c r="X91" s="479"/>
      <c r="Y91" s="479"/>
      <c r="Z91" s="479"/>
      <c r="AA91" s="491"/>
      <c r="AB91" s="491"/>
      <c r="AC91" s="491"/>
      <c r="AD91" s="491"/>
      <c r="AE91" s="491"/>
      <c r="AF91" s="491"/>
      <c r="AG91" s="491"/>
      <c r="AH91" s="491"/>
      <c r="AI91" s="204"/>
      <c r="AJ91" s="204"/>
      <c r="AK91" s="204"/>
      <c r="AL91" s="204"/>
      <c r="AM91" s="165"/>
      <c r="AN91" s="102"/>
    </row>
    <row r="92" ht="14.25" customHeight="1" outlineLevel="1">
      <c r="A92" s="489"/>
      <c r="B92" s="162"/>
      <c r="C92" s="100"/>
      <c r="D92" s="490"/>
      <c r="E92" s="122" t="s">
        <v>2231</v>
      </c>
      <c r="F92" s="123" t="s">
        <v>2226</v>
      </c>
      <c r="G92" s="123" t="s">
        <v>2232</v>
      </c>
      <c r="H92" s="471"/>
      <c r="I92" s="471"/>
      <c r="J92" s="471"/>
      <c r="K92" s="471"/>
      <c r="L92" s="471"/>
      <c r="M92" s="471"/>
      <c r="N92" s="471"/>
      <c r="O92" s="471"/>
      <c r="P92" s="471"/>
      <c r="Q92" s="471"/>
      <c r="R92" s="471"/>
      <c r="S92" s="471"/>
      <c r="T92" s="471"/>
      <c r="U92" s="471"/>
      <c r="V92" s="471"/>
      <c r="W92" s="491"/>
      <c r="X92" s="479"/>
      <c r="Y92" s="479"/>
      <c r="Z92" s="479"/>
      <c r="AA92" s="491"/>
      <c r="AB92" s="491"/>
      <c r="AC92" s="491"/>
      <c r="AD92" s="491"/>
      <c r="AE92" s="491"/>
      <c r="AF92" s="491"/>
      <c r="AG92" s="491"/>
      <c r="AH92" s="491"/>
      <c r="AI92" s="204"/>
      <c r="AJ92" s="204"/>
      <c r="AK92" s="204"/>
      <c r="AL92" s="204"/>
      <c r="AM92" s="165"/>
      <c r="AN92" s="102"/>
    </row>
    <row r="93" ht="14.25" customHeight="1" outlineLevel="1">
      <c r="A93" s="489"/>
      <c r="B93" s="162"/>
      <c r="C93" s="100"/>
      <c r="D93" s="490"/>
      <c r="E93" s="122" t="s">
        <v>2233</v>
      </c>
      <c r="F93" s="123" t="s">
        <v>2226</v>
      </c>
      <c r="G93" s="123" t="s">
        <v>2234</v>
      </c>
      <c r="H93" s="471"/>
      <c r="I93" s="471"/>
      <c r="J93" s="471"/>
      <c r="K93" s="471"/>
      <c r="L93" s="471"/>
      <c r="M93" s="471"/>
      <c r="N93" s="471"/>
      <c r="O93" s="471"/>
      <c r="P93" s="471"/>
      <c r="Q93" s="471"/>
      <c r="R93" s="471"/>
      <c r="S93" s="471"/>
      <c r="T93" s="471"/>
      <c r="U93" s="471"/>
      <c r="V93" s="471"/>
      <c r="W93" s="491"/>
      <c r="X93" s="479"/>
      <c r="Y93" s="479"/>
      <c r="Z93" s="479"/>
      <c r="AA93" s="491"/>
      <c r="AB93" s="491"/>
      <c r="AC93" s="491"/>
      <c r="AD93" s="491"/>
      <c r="AE93" s="491"/>
      <c r="AF93" s="491"/>
      <c r="AG93" s="491"/>
      <c r="AH93" s="491"/>
      <c r="AI93" s="204"/>
      <c r="AJ93" s="204"/>
      <c r="AK93" s="204"/>
      <c r="AL93" s="204"/>
      <c r="AM93" s="165"/>
      <c r="AN93" s="102"/>
    </row>
    <row r="94" ht="14.25" customHeight="1" outlineLevel="1">
      <c r="A94" s="489"/>
      <c r="B94" s="162"/>
      <c r="C94" s="100"/>
      <c r="D94" s="490"/>
      <c r="E94" s="122" t="s">
        <v>2235</v>
      </c>
      <c r="F94" s="123" t="s">
        <v>2226</v>
      </c>
      <c r="G94" s="123" t="s">
        <v>2236</v>
      </c>
      <c r="H94" s="471"/>
      <c r="I94" s="471"/>
      <c r="J94" s="471"/>
      <c r="K94" s="471"/>
      <c r="L94" s="471"/>
      <c r="M94" s="471"/>
      <c r="N94" s="471"/>
      <c r="O94" s="471"/>
      <c r="P94" s="471"/>
      <c r="Q94" s="471"/>
      <c r="R94" s="471"/>
      <c r="S94" s="471"/>
      <c r="T94" s="471"/>
      <c r="U94" s="471"/>
      <c r="V94" s="471"/>
      <c r="W94" s="491"/>
      <c r="X94" s="479"/>
      <c r="Y94" s="479"/>
      <c r="Z94" s="479"/>
      <c r="AA94" s="491"/>
      <c r="AB94" s="491"/>
      <c r="AC94" s="491"/>
      <c r="AD94" s="491"/>
      <c r="AE94" s="491"/>
      <c r="AF94" s="491"/>
      <c r="AG94" s="491"/>
      <c r="AH94" s="491"/>
      <c r="AI94" s="204"/>
      <c r="AJ94" s="204"/>
      <c r="AK94" s="204"/>
      <c r="AL94" s="204"/>
      <c r="AM94" s="165"/>
      <c r="AN94" s="102"/>
    </row>
    <row r="95" ht="14.25" customHeight="1">
      <c r="A95" s="463" t="s">
        <v>2237</v>
      </c>
      <c r="B95" s="195"/>
      <c r="C95" s="100"/>
      <c r="D95" s="100"/>
      <c r="E95" s="162"/>
      <c r="F95" s="162"/>
      <c r="G95" s="162"/>
      <c r="H95" s="178"/>
      <c r="I95" s="178"/>
      <c r="J95" s="178"/>
      <c r="K95" s="178"/>
      <c r="L95" s="178"/>
      <c r="M95" s="178"/>
      <c r="N95" s="178"/>
      <c r="O95" s="178"/>
      <c r="P95" s="178"/>
      <c r="Q95" s="178"/>
      <c r="R95" s="178"/>
      <c r="S95" s="178"/>
      <c r="T95" s="178"/>
      <c r="U95" s="178"/>
      <c r="V95" s="178"/>
      <c r="W95" s="178"/>
      <c r="X95" s="178"/>
      <c r="Y95" s="178"/>
      <c r="Z95" s="178"/>
      <c r="AA95" s="178"/>
      <c r="AB95" s="178"/>
      <c r="AC95" s="178"/>
      <c r="AD95" s="178"/>
      <c r="AE95" s="178"/>
      <c r="AF95" s="178"/>
      <c r="AG95" s="178"/>
      <c r="AH95" s="178"/>
      <c r="AI95" s="271"/>
      <c r="AJ95" s="271"/>
      <c r="AK95" s="271"/>
      <c r="AL95" s="271"/>
      <c r="AM95" s="100"/>
      <c r="AN95" s="176"/>
    </row>
    <row r="96" ht="14.25" customHeight="1" outlineLevel="1">
      <c r="A96" s="484" t="s">
        <v>2238</v>
      </c>
      <c r="B96" s="100"/>
      <c r="C96" s="100"/>
      <c r="D96" s="195"/>
      <c r="E96" s="162"/>
      <c r="F96" s="162"/>
      <c r="G96" s="162"/>
      <c r="H96" s="178"/>
      <c r="I96" s="178"/>
      <c r="J96" s="178"/>
      <c r="K96" s="178"/>
      <c r="L96" s="178"/>
      <c r="M96" s="178"/>
      <c r="N96" s="178"/>
      <c r="O96" s="178"/>
      <c r="P96" s="178"/>
      <c r="Q96" s="178"/>
      <c r="R96" s="178"/>
      <c r="S96" s="178"/>
      <c r="T96" s="178"/>
      <c r="U96" s="178"/>
      <c r="V96" s="178"/>
      <c r="W96" s="178"/>
      <c r="X96" s="178"/>
      <c r="Y96" s="178"/>
      <c r="Z96" s="178"/>
      <c r="AA96" s="178"/>
      <c r="AB96" s="178"/>
      <c r="AC96" s="178"/>
      <c r="AD96" s="178"/>
      <c r="AE96" s="178"/>
      <c r="AF96" s="178"/>
      <c r="AG96" s="178"/>
      <c r="AH96" s="178"/>
      <c r="AI96" s="271"/>
      <c r="AJ96" s="271"/>
      <c r="AK96" s="271"/>
      <c r="AL96" s="271"/>
      <c r="AM96" s="100"/>
      <c r="AN96" s="176"/>
    </row>
    <row r="97" ht="14.25" customHeight="1" outlineLevel="1">
      <c r="A97" s="484" t="s">
        <v>2239</v>
      </c>
      <c r="B97" s="100"/>
      <c r="C97" s="100"/>
      <c r="D97" s="195"/>
      <c r="E97" s="162"/>
      <c r="F97" s="162"/>
      <c r="G97" s="162"/>
      <c r="H97" s="178"/>
      <c r="I97" s="178"/>
      <c r="J97" s="178"/>
      <c r="K97" s="178"/>
      <c r="L97" s="178"/>
      <c r="M97" s="178"/>
      <c r="N97" s="178"/>
      <c r="O97" s="178"/>
      <c r="P97" s="178"/>
      <c r="Q97" s="178"/>
      <c r="R97" s="178"/>
      <c r="S97" s="178"/>
      <c r="T97" s="178"/>
      <c r="U97" s="178"/>
      <c r="V97" s="178"/>
      <c r="W97" s="178"/>
      <c r="X97" s="178"/>
      <c r="Y97" s="178"/>
      <c r="Z97" s="178"/>
      <c r="AA97" s="178"/>
      <c r="AB97" s="178"/>
      <c r="AC97" s="178"/>
      <c r="AD97" s="178"/>
      <c r="AE97" s="178"/>
      <c r="AF97" s="178"/>
      <c r="AG97" s="178"/>
      <c r="AH97" s="178"/>
      <c r="AI97" s="271"/>
      <c r="AJ97" s="271"/>
      <c r="AK97" s="271"/>
      <c r="AL97" s="271"/>
      <c r="AM97" s="100"/>
      <c r="AN97" s="176"/>
    </row>
    <row r="98" ht="14.25" customHeight="1" outlineLevel="1">
      <c r="A98" s="484" t="s">
        <v>2240</v>
      </c>
      <c r="B98" s="100"/>
      <c r="C98" s="100"/>
      <c r="D98" s="195"/>
      <c r="E98" s="162"/>
      <c r="F98" s="162"/>
      <c r="G98" s="162"/>
      <c r="H98" s="178"/>
      <c r="I98" s="178"/>
      <c r="J98" s="178"/>
      <c r="K98" s="178"/>
      <c r="L98" s="178"/>
      <c r="M98" s="178"/>
      <c r="N98" s="178"/>
      <c r="O98" s="178"/>
      <c r="P98" s="178"/>
      <c r="Q98" s="178"/>
      <c r="R98" s="178"/>
      <c r="S98" s="178"/>
      <c r="T98" s="178"/>
      <c r="U98" s="178"/>
      <c r="V98" s="178"/>
      <c r="W98" s="178"/>
      <c r="X98" s="178"/>
      <c r="Y98" s="178"/>
      <c r="Z98" s="178"/>
      <c r="AA98" s="178"/>
      <c r="AB98" s="178"/>
      <c r="AC98" s="178"/>
      <c r="AD98" s="178"/>
      <c r="AE98" s="178"/>
      <c r="AF98" s="178"/>
      <c r="AG98" s="178"/>
      <c r="AH98" s="178"/>
      <c r="AI98" s="271"/>
      <c r="AJ98" s="271"/>
      <c r="AK98" s="271"/>
      <c r="AL98" s="271"/>
      <c r="AM98" s="100"/>
      <c r="AN98" s="176"/>
    </row>
    <row r="99" ht="14.25" customHeight="1" outlineLevel="1">
      <c r="A99" s="484" t="s">
        <v>2241</v>
      </c>
      <c r="B99" s="100"/>
      <c r="C99" s="100"/>
      <c r="D99" s="195"/>
      <c r="E99" s="162"/>
      <c r="F99" s="162"/>
      <c r="G99" s="162"/>
      <c r="H99" s="178"/>
      <c r="I99" s="178"/>
      <c r="J99" s="178"/>
      <c r="K99" s="178"/>
      <c r="L99" s="178"/>
      <c r="M99" s="178"/>
      <c r="N99" s="178"/>
      <c r="O99" s="178"/>
      <c r="P99" s="178"/>
      <c r="Q99" s="178"/>
      <c r="R99" s="178"/>
      <c r="S99" s="178"/>
      <c r="T99" s="178"/>
      <c r="U99" s="178"/>
      <c r="V99" s="178"/>
      <c r="W99" s="178"/>
      <c r="X99" s="178"/>
      <c r="Y99" s="178"/>
      <c r="Z99" s="178"/>
      <c r="AA99" s="178"/>
      <c r="AB99" s="178"/>
      <c r="AC99" s="178"/>
      <c r="AD99" s="178"/>
      <c r="AE99" s="178"/>
      <c r="AF99" s="178"/>
      <c r="AG99" s="178"/>
      <c r="AH99" s="178"/>
      <c r="AI99" s="271"/>
      <c r="AJ99" s="271"/>
      <c r="AK99" s="271"/>
      <c r="AL99" s="271"/>
      <c r="AM99" s="100"/>
      <c r="AN99" s="176"/>
    </row>
    <row r="100" ht="14.25" customHeight="1" outlineLevel="1">
      <c r="A100" s="484" t="s">
        <v>2242</v>
      </c>
      <c r="B100" s="100"/>
      <c r="C100" s="100"/>
      <c r="D100" s="195"/>
      <c r="E100" s="162"/>
      <c r="F100" s="162"/>
      <c r="G100" s="162"/>
      <c r="H100" s="178"/>
      <c r="I100" s="178"/>
      <c r="J100" s="178"/>
      <c r="K100" s="178"/>
      <c r="L100" s="178"/>
      <c r="M100" s="178"/>
      <c r="N100" s="178"/>
      <c r="O100" s="178"/>
      <c r="P100" s="178"/>
      <c r="Q100" s="178"/>
      <c r="R100" s="178"/>
      <c r="S100" s="178"/>
      <c r="T100" s="178"/>
      <c r="U100" s="178"/>
      <c r="V100" s="178"/>
      <c r="W100" s="178"/>
      <c r="X100" s="178"/>
      <c r="Y100" s="178"/>
      <c r="Z100" s="178"/>
      <c r="AA100" s="178"/>
      <c r="AB100" s="178"/>
      <c r="AC100" s="178"/>
      <c r="AD100" s="178"/>
      <c r="AE100" s="178"/>
      <c r="AF100" s="178"/>
      <c r="AG100" s="178"/>
      <c r="AH100" s="178"/>
      <c r="AI100" s="271"/>
      <c r="AJ100" s="271"/>
      <c r="AK100" s="271"/>
      <c r="AL100" s="271"/>
      <c r="AM100" s="100"/>
      <c r="AN100" s="176"/>
    </row>
    <row r="101" ht="14.25" customHeight="1" outlineLevel="3">
      <c r="A101" s="492"/>
      <c r="B101" s="162"/>
      <c r="C101" s="100"/>
      <c r="D101" s="100"/>
      <c r="E101" s="412" t="s">
        <v>2243</v>
      </c>
      <c r="F101" s="433" t="s">
        <v>2244</v>
      </c>
      <c r="G101" s="249" t="s">
        <v>2245</v>
      </c>
      <c r="H101" s="181">
        <v>0.0716691449979094</v>
      </c>
      <c r="I101" s="181">
        <f t="shared" ref="I101:I102" si="70">H101</f>
        <v>0.071669145</v>
      </c>
      <c r="J101" s="181">
        <v>0.0743021581538008</v>
      </c>
      <c r="K101" s="181">
        <f t="shared" ref="K101:AB101" si="68">J101</f>
        <v>0.07430215815</v>
      </c>
      <c r="L101" s="181">
        <f t="shared" si="68"/>
        <v>0.07430215815</v>
      </c>
      <c r="M101" s="181">
        <f t="shared" si="68"/>
        <v>0.07430215815</v>
      </c>
      <c r="N101" s="181">
        <f t="shared" si="68"/>
        <v>0.07430215815</v>
      </c>
      <c r="O101" s="181">
        <f t="shared" si="68"/>
        <v>0.07430215815</v>
      </c>
      <c r="P101" s="181">
        <f t="shared" si="68"/>
        <v>0.07430215815</v>
      </c>
      <c r="Q101" s="181">
        <f t="shared" si="68"/>
        <v>0.07430215815</v>
      </c>
      <c r="R101" s="181">
        <f t="shared" si="68"/>
        <v>0.07430215815</v>
      </c>
      <c r="S101" s="181">
        <f t="shared" si="68"/>
        <v>0.07430215815</v>
      </c>
      <c r="T101" s="181">
        <f t="shared" si="68"/>
        <v>0.07430215815</v>
      </c>
      <c r="U101" s="181">
        <f t="shared" si="68"/>
        <v>0.07430215815</v>
      </c>
      <c r="V101" s="181">
        <f t="shared" si="68"/>
        <v>0.07430215815</v>
      </c>
      <c r="W101" s="182">
        <f t="shared" si="68"/>
        <v>0.07430215815</v>
      </c>
      <c r="X101" s="181">
        <f t="shared" si="68"/>
        <v>0.07430215815</v>
      </c>
      <c r="Y101" s="181">
        <f t="shared" si="68"/>
        <v>0.07430215815</v>
      </c>
      <c r="Z101" s="181">
        <f t="shared" si="68"/>
        <v>0.07430215815</v>
      </c>
      <c r="AA101" s="182">
        <f t="shared" si="68"/>
        <v>0.07430215815</v>
      </c>
      <c r="AB101" s="182">
        <f t="shared" si="68"/>
        <v>0.07430215815</v>
      </c>
      <c r="AC101" s="274">
        <f t="shared" ref="AC101:AG101" si="69">$AB101+($AH101-$AB101)*(AC$1-$AB$1)/($AH$1-$AB$1)</f>
        <v>0.06191846513</v>
      </c>
      <c r="AD101" s="274">
        <f t="shared" si="69"/>
        <v>0.0495347721</v>
      </c>
      <c r="AE101" s="274">
        <f t="shared" si="69"/>
        <v>0.03715107908</v>
      </c>
      <c r="AF101" s="274">
        <f t="shared" si="69"/>
        <v>0.02476738605</v>
      </c>
      <c r="AG101" s="274">
        <f t="shared" si="69"/>
        <v>0.01238369303</v>
      </c>
      <c r="AH101" s="182">
        <v>0.0</v>
      </c>
      <c r="AI101" s="493"/>
      <c r="AJ101" s="493"/>
      <c r="AK101" s="493"/>
      <c r="AL101" s="493" t="s">
        <v>2246</v>
      </c>
      <c r="AM101" s="494" t="s">
        <v>2247</v>
      </c>
      <c r="AN101" s="176"/>
    </row>
    <row r="102" ht="14.25" customHeight="1" outlineLevel="3">
      <c r="A102" s="492"/>
      <c r="B102" s="162"/>
      <c r="C102" s="100"/>
      <c r="D102" s="100"/>
      <c r="E102" s="412" t="s">
        <v>2248</v>
      </c>
      <c r="F102" s="433" t="s">
        <v>2244</v>
      </c>
      <c r="G102" s="123" t="s">
        <v>2249</v>
      </c>
      <c r="H102" s="181">
        <v>0.0302146698819654</v>
      </c>
      <c r="I102" s="181">
        <f t="shared" si="70"/>
        <v>0.03021466988</v>
      </c>
      <c r="J102" s="181">
        <v>0.0312802568847026</v>
      </c>
      <c r="K102" s="181">
        <f t="shared" ref="K102:AB102" si="71">J102</f>
        <v>0.03128025688</v>
      </c>
      <c r="L102" s="181">
        <f t="shared" si="71"/>
        <v>0.03128025688</v>
      </c>
      <c r="M102" s="181">
        <f t="shared" si="71"/>
        <v>0.03128025688</v>
      </c>
      <c r="N102" s="181">
        <f t="shared" si="71"/>
        <v>0.03128025688</v>
      </c>
      <c r="O102" s="181">
        <f t="shared" si="71"/>
        <v>0.03128025688</v>
      </c>
      <c r="P102" s="181">
        <f t="shared" si="71"/>
        <v>0.03128025688</v>
      </c>
      <c r="Q102" s="181">
        <f t="shared" si="71"/>
        <v>0.03128025688</v>
      </c>
      <c r="R102" s="181">
        <f t="shared" si="71"/>
        <v>0.03128025688</v>
      </c>
      <c r="S102" s="181">
        <f t="shared" si="71"/>
        <v>0.03128025688</v>
      </c>
      <c r="T102" s="181">
        <f t="shared" si="71"/>
        <v>0.03128025688</v>
      </c>
      <c r="U102" s="181">
        <f t="shared" si="71"/>
        <v>0.03128025688</v>
      </c>
      <c r="V102" s="181">
        <f t="shared" si="71"/>
        <v>0.03128025688</v>
      </c>
      <c r="W102" s="182">
        <f t="shared" si="71"/>
        <v>0.03128025688</v>
      </c>
      <c r="X102" s="181">
        <f t="shared" si="71"/>
        <v>0.03128025688</v>
      </c>
      <c r="Y102" s="181">
        <f t="shared" si="71"/>
        <v>0.03128025688</v>
      </c>
      <c r="Z102" s="181">
        <f t="shared" si="71"/>
        <v>0.03128025688</v>
      </c>
      <c r="AA102" s="182">
        <f t="shared" si="71"/>
        <v>0.03128025688</v>
      </c>
      <c r="AB102" s="182">
        <f t="shared" si="71"/>
        <v>0.03128025688</v>
      </c>
      <c r="AC102" s="274">
        <f t="shared" ref="AC102:AH102" si="72">$AB102+$AB101-AC101</f>
        <v>0.04366394991</v>
      </c>
      <c r="AD102" s="274">
        <f t="shared" si="72"/>
        <v>0.05604764294</v>
      </c>
      <c r="AE102" s="274">
        <f t="shared" si="72"/>
        <v>0.06843133596</v>
      </c>
      <c r="AF102" s="274">
        <f t="shared" si="72"/>
        <v>0.08081502899</v>
      </c>
      <c r="AG102" s="274">
        <f t="shared" si="72"/>
        <v>0.09319872201</v>
      </c>
      <c r="AH102" s="274">
        <f t="shared" si="72"/>
        <v>0.105582415</v>
      </c>
      <c r="AI102" s="493"/>
      <c r="AJ102" s="493"/>
      <c r="AK102" s="493"/>
      <c r="AL102" s="493" t="s">
        <v>2246</v>
      </c>
      <c r="AM102" s="494" t="s">
        <v>2247</v>
      </c>
      <c r="AN102" s="176"/>
    </row>
    <row r="103" ht="14.25" customHeight="1" outlineLevel="1">
      <c r="A103" s="465"/>
      <c r="B103" s="466" t="s">
        <v>2250</v>
      </c>
      <c r="C103" s="466"/>
      <c r="D103" s="467"/>
      <c r="E103" s="162"/>
      <c r="F103" s="162"/>
      <c r="G103" s="162"/>
      <c r="H103" s="178"/>
      <c r="I103" s="178"/>
      <c r="J103" s="178"/>
      <c r="K103" s="178"/>
      <c r="L103" s="178"/>
      <c r="M103" s="178"/>
      <c r="N103" s="178"/>
      <c r="O103" s="178"/>
      <c r="P103" s="178"/>
      <c r="Q103" s="178"/>
      <c r="R103" s="178"/>
      <c r="S103" s="178"/>
      <c r="T103" s="178"/>
      <c r="U103" s="178"/>
      <c r="V103" s="178"/>
      <c r="W103" s="178"/>
      <c r="X103" s="178"/>
      <c r="Y103" s="178"/>
      <c r="Z103" s="178"/>
      <c r="AA103" s="178"/>
      <c r="AB103" s="178"/>
      <c r="AC103" s="178"/>
      <c r="AD103" s="178"/>
      <c r="AE103" s="178"/>
      <c r="AF103" s="178"/>
      <c r="AG103" s="178"/>
      <c r="AH103" s="178"/>
      <c r="AI103" s="271"/>
      <c r="AJ103" s="271"/>
      <c r="AK103" s="271"/>
      <c r="AL103" s="271"/>
      <c r="AM103" s="100"/>
      <c r="AN103" s="176"/>
    </row>
    <row r="104" ht="14.25" customHeight="1" outlineLevel="3">
      <c r="A104" s="489"/>
      <c r="B104" s="476"/>
      <c r="C104" s="485"/>
      <c r="D104" s="476"/>
      <c r="E104" s="270" t="s">
        <v>2251</v>
      </c>
      <c r="F104" s="249" t="s">
        <v>135</v>
      </c>
      <c r="G104" s="249" t="s">
        <v>2252</v>
      </c>
      <c r="H104" s="471"/>
      <c r="I104" s="471"/>
      <c r="J104" s="471"/>
      <c r="K104" s="471"/>
      <c r="L104" s="471"/>
      <c r="M104" s="471"/>
      <c r="N104" s="471"/>
      <c r="O104" s="471"/>
      <c r="P104" s="471"/>
      <c r="Q104" s="471"/>
      <c r="R104" s="471"/>
      <c r="S104" s="471"/>
      <c r="T104" s="471"/>
      <c r="U104" s="471"/>
      <c r="V104" s="471"/>
      <c r="W104" s="182"/>
      <c r="X104" s="479"/>
      <c r="Y104" s="479"/>
      <c r="Z104" s="479"/>
      <c r="AA104" s="182"/>
      <c r="AB104" s="182"/>
      <c r="AC104" s="182"/>
      <c r="AD104" s="182"/>
      <c r="AE104" s="182"/>
      <c r="AF104" s="182"/>
      <c r="AG104" s="182"/>
      <c r="AH104" s="182"/>
      <c r="AI104" s="475"/>
      <c r="AJ104" s="475"/>
      <c r="AK104" s="475"/>
      <c r="AL104" s="475"/>
      <c r="AM104" s="186"/>
      <c r="AN104" s="176"/>
    </row>
    <row r="105" ht="14.25" customHeight="1" outlineLevel="3">
      <c r="A105" s="489"/>
      <c r="B105" s="476"/>
      <c r="C105" s="485"/>
      <c r="D105" s="476"/>
      <c r="E105" s="270" t="s">
        <v>2253</v>
      </c>
      <c r="F105" s="249" t="s">
        <v>135</v>
      </c>
      <c r="G105" s="249" t="s">
        <v>2254</v>
      </c>
      <c r="H105" s="471"/>
      <c r="I105" s="471"/>
      <c r="J105" s="471"/>
      <c r="K105" s="471"/>
      <c r="L105" s="471"/>
      <c r="M105" s="471"/>
      <c r="N105" s="471"/>
      <c r="O105" s="471"/>
      <c r="P105" s="471"/>
      <c r="Q105" s="471"/>
      <c r="R105" s="471"/>
      <c r="S105" s="471"/>
      <c r="T105" s="471"/>
      <c r="U105" s="471"/>
      <c r="V105" s="471"/>
      <c r="W105" s="182"/>
      <c r="X105" s="479"/>
      <c r="Y105" s="479"/>
      <c r="Z105" s="479"/>
      <c r="AA105" s="182"/>
      <c r="AB105" s="182"/>
      <c r="AC105" s="182"/>
      <c r="AD105" s="182"/>
      <c r="AE105" s="182"/>
      <c r="AF105" s="182"/>
      <c r="AG105" s="182"/>
      <c r="AH105" s="182"/>
      <c r="AI105" s="475"/>
      <c r="AJ105" s="475"/>
      <c r="AK105" s="475"/>
      <c r="AL105" s="475"/>
      <c r="AM105" s="186"/>
      <c r="AN105" s="176"/>
    </row>
    <row r="106" ht="14.25" customHeight="1" outlineLevel="3">
      <c r="A106" s="489"/>
      <c r="B106" s="476"/>
      <c r="C106" s="485"/>
      <c r="D106" s="476"/>
      <c r="E106" s="270" t="s">
        <v>2255</v>
      </c>
      <c r="F106" s="249" t="s">
        <v>135</v>
      </c>
      <c r="G106" s="249" t="s">
        <v>2256</v>
      </c>
      <c r="H106" s="471"/>
      <c r="I106" s="471"/>
      <c r="J106" s="471"/>
      <c r="K106" s="471"/>
      <c r="L106" s="471"/>
      <c r="M106" s="471"/>
      <c r="N106" s="471"/>
      <c r="O106" s="471"/>
      <c r="P106" s="471"/>
      <c r="Q106" s="471"/>
      <c r="R106" s="471"/>
      <c r="S106" s="471"/>
      <c r="T106" s="471"/>
      <c r="U106" s="471"/>
      <c r="V106" s="471"/>
      <c r="W106" s="182"/>
      <c r="X106" s="479"/>
      <c r="Y106" s="479"/>
      <c r="Z106" s="479"/>
      <c r="AA106" s="182"/>
      <c r="AB106" s="182"/>
      <c r="AC106" s="182"/>
      <c r="AD106" s="182"/>
      <c r="AE106" s="182"/>
      <c r="AF106" s="182"/>
      <c r="AG106" s="182"/>
      <c r="AH106" s="182"/>
      <c r="AI106" s="475"/>
      <c r="AJ106" s="475"/>
      <c r="AK106" s="475"/>
      <c r="AL106" s="475"/>
      <c r="AM106" s="186"/>
      <c r="AN106" s="176"/>
    </row>
    <row r="107" ht="14.25" customHeight="1" outlineLevel="3">
      <c r="A107" s="489"/>
      <c r="B107" s="476"/>
      <c r="C107" s="485"/>
      <c r="D107" s="476"/>
      <c r="E107" s="248" t="s">
        <v>2257</v>
      </c>
      <c r="F107" s="249" t="s">
        <v>135</v>
      </c>
      <c r="G107" s="249" t="s">
        <v>2258</v>
      </c>
      <c r="H107" s="471"/>
      <c r="I107" s="471"/>
      <c r="J107" s="471"/>
      <c r="K107" s="471"/>
      <c r="L107" s="471"/>
      <c r="M107" s="471"/>
      <c r="N107" s="471"/>
      <c r="O107" s="471"/>
      <c r="P107" s="471"/>
      <c r="Q107" s="471"/>
      <c r="R107" s="471"/>
      <c r="S107" s="471"/>
      <c r="T107" s="471"/>
      <c r="U107" s="471"/>
      <c r="V107" s="471"/>
      <c r="W107" s="182"/>
      <c r="X107" s="479"/>
      <c r="Y107" s="479"/>
      <c r="Z107" s="479"/>
      <c r="AA107" s="182"/>
      <c r="AB107" s="182"/>
      <c r="AC107" s="182"/>
      <c r="AD107" s="182"/>
      <c r="AE107" s="182"/>
      <c r="AF107" s="182"/>
      <c r="AG107" s="182"/>
      <c r="AH107" s="182"/>
      <c r="AI107" s="475"/>
      <c r="AJ107" s="475"/>
      <c r="AK107" s="475"/>
      <c r="AL107" s="475"/>
      <c r="AM107" s="186"/>
      <c r="AN107" s="176"/>
    </row>
    <row r="108" ht="14.25" customHeight="1" outlineLevel="3">
      <c r="A108" s="489"/>
      <c r="B108" s="476"/>
      <c r="C108" s="485"/>
      <c r="D108" s="476"/>
      <c r="E108" s="270" t="s">
        <v>2259</v>
      </c>
      <c r="F108" s="249" t="s">
        <v>135</v>
      </c>
      <c r="G108" s="249" t="s">
        <v>2260</v>
      </c>
      <c r="H108" s="471"/>
      <c r="I108" s="471"/>
      <c r="J108" s="471"/>
      <c r="K108" s="471"/>
      <c r="L108" s="471"/>
      <c r="M108" s="471"/>
      <c r="N108" s="471"/>
      <c r="O108" s="471"/>
      <c r="P108" s="471"/>
      <c r="Q108" s="471"/>
      <c r="R108" s="471"/>
      <c r="S108" s="471"/>
      <c r="T108" s="471"/>
      <c r="U108" s="471"/>
      <c r="V108" s="471"/>
      <c r="W108" s="182">
        <v>1.4346</v>
      </c>
      <c r="X108" s="479">
        <v>1.3723</v>
      </c>
      <c r="Y108" s="479">
        <v>1.5138</v>
      </c>
      <c r="Z108" s="479">
        <v>1.556</v>
      </c>
      <c r="AA108" s="182">
        <v>1.6674</v>
      </c>
      <c r="AB108" s="182">
        <v>1.5178</v>
      </c>
      <c r="AC108" s="182">
        <f t="shared" ref="AC108:AF108" si="73">+AB108+($AG108-$AB108)/5</f>
        <v>1.21424</v>
      </c>
      <c r="AD108" s="182">
        <f t="shared" si="73"/>
        <v>0.91068</v>
      </c>
      <c r="AE108" s="182">
        <f t="shared" si="73"/>
        <v>0.60712</v>
      </c>
      <c r="AF108" s="182">
        <f t="shared" si="73"/>
        <v>0.30356</v>
      </c>
      <c r="AG108" s="182">
        <v>0.0</v>
      </c>
      <c r="AH108" s="182">
        <v>0.0</v>
      </c>
      <c r="AI108" s="475"/>
      <c r="AJ108" s="475"/>
      <c r="AK108" s="475"/>
      <c r="AL108" s="475"/>
      <c r="AM108" s="186"/>
      <c r="AN108" s="176"/>
    </row>
    <row r="109" ht="14.25" customHeight="1" outlineLevel="3">
      <c r="A109" s="489"/>
      <c r="B109" s="476"/>
      <c r="C109" s="485"/>
      <c r="D109" s="476"/>
      <c r="E109" s="122" t="s">
        <v>2261</v>
      </c>
      <c r="F109" s="123" t="s">
        <v>135</v>
      </c>
      <c r="G109" s="123" t="s">
        <v>2262</v>
      </c>
      <c r="H109" s="471"/>
      <c r="I109" s="471"/>
      <c r="J109" s="471"/>
      <c r="K109" s="471"/>
      <c r="L109" s="471"/>
      <c r="M109" s="471"/>
      <c r="N109" s="471"/>
      <c r="O109" s="471"/>
      <c r="P109" s="471"/>
      <c r="Q109" s="471"/>
      <c r="R109" s="471"/>
      <c r="S109" s="471"/>
      <c r="T109" s="471"/>
      <c r="U109" s="471"/>
      <c r="V109" s="471"/>
      <c r="W109" s="182">
        <v>1.370333</v>
      </c>
      <c r="X109" s="479">
        <v>1.292528</v>
      </c>
      <c r="Y109" s="479">
        <v>1.330028</v>
      </c>
      <c r="Z109" s="479">
        <v>1.449361</v>
      </c>
      <c r="AA109" s="182">
        <v>0.117778</v>
      </c>
      <c r="AB109" s="182">
        <v>0.122167</v>
      </c>
      <c r="AC109" s="182">
        <f t="shared" ref="AC109:AF109" si="74">+AB109+($AG109-$AB109)/5</f>
        <v>0.0977336</v>
      </c>
      <c r="AD109" s="182">
        <f t="shared" si="74"/>
        <v>0.0733002</v>
      </c>
      <c r="AE109" s="182">
        <f t="shared" si="74"/>
        <v>0.0488668</v>
      </c>
      <c r="AF109" s="182">
        <f t="shared" si="74"/>
        <v>0.0244334</v>
      </c>
      <c r="AG109" s="182">
        <v>0.0</v>
      </c>
      <c r="AH109" s="182">
        <v>0.0</v>
      </c>
      <c r="AI109" s="475"/>
      <c r="AJ109" s="475"/>
      <c r="AK109" s="475"/>
      <c r="AL109" s="475"/>
      <c r="AM109" s="186"/>
      <c r="AN109" s="176"/>
    </row>
    <row r="110" ht="14.25" customHeight="1">
      <c r="A110" s="247"/>
      <c r="B110" s="100"/>
      <c r="C110" s="100"/>
      <c r="D110" s="100"/>
      <c r="E110" s="100"/>
      <c r="F110" s="206"/>
      <c r="G110" s="206"/>
      <c r="H110" s="207"/>
      <c r="I110" s="207"/>
      <c r="J110" s="207"/>
      <c r="K110" s="207"/>
      <c r="L110" s="207"/>
      <c r="M110" s="207"/>
      <c r="N110" s="207"/>
      <c r="O110" s="207"/>
      <c r="P110" s="207"/>
      <c r="Q110" s="207"/>
      <c r="R110" s="207"/>
      <c r="S110" s="207"/>
      <c r="T110" s="207"/>
      <c r="U110" s="207"/>
      <c r="V110" s="207"/>
      <c r="W110" s="208"/>
      <c r="X110" s="208"/>
      <c r="Y110" s="208"/>
      <c r="Z110" s="208"/>
      <c r="AA110" s="208"/>
      <c r="AB110" s="208"/>
      <c r="AC110" s="208"/>
      <c r="AD110" s="208"/>
      <c r="AE110" s="208"/>
      <c r="AF110" s="208"/>
      <c r="AG110" s="208"/>
      <c r="AH110" s="208"/>
      <c r="AI110" s="271"/>
      <c r="AJ110" s="271"/>
      <c r="AK110" s="271"/>
      <c r="AL110" s="271"/>
      <c r="AM110" s="100"/>
      <c r="AN110" s="102"/>
    </row>
    <row r="111" ht="14.25" customHeight="1">
      <c r="A111" s="247" t="s">
        <v>2263</v>
      </c>
      <c r="B111" s="100"/>
      <c r="C111" s="100"/>
      <c r="D111" s="100"/>
      <c r="E111" s="100"/>
      <c r="F111" s="206"/>
      <c r="G111" s="206"/>
      <c r="H111" s="207"/>
      <c r="I111" s="207"/>
      <c r="J111" s="207"/>
      <c r="K111" s="207"/>
      <c r="L111" s="207"/>
      <c r="M111" s="207"/>
      <c r="N111" s="207"/>
      <c r="O111" s="207"/>
      <c r="P111" s="207"/>
      <c r="Q111" s="207"/>
      <c r="R111" s="207"/>
      <c r="S111" s="207"/>
      <c r="T111" s="207"/>
      <c r="U111" s="207"/>
      <c r="V111" s="207"/>
      <c r="W111" s="208"/>
      <c r="X111" s="208"/>
      <c r="Y111" s="208"/>
      <c r="Z111" s="208"/>
      <c r="AA111" s="208"/>
      <c r="AB111" s="208"/>
      <c r="AC111" s="208"/>
      <c r="AD111" s="208"/>
      <c r="AE111" s="208"/>
      <c r="AF111" s="208"/>
      <c r="AG111" s="208"/>
      <c r="AH111" s="208"/>
      <c r="AI111" s="271"/>
      <c r="AJ111" s="271"/>
      <c r="AK111" s="271"/>
      <c r="AL111" s="271"/>
      <c r="AM111" s="100"/>
      <c r="AN111" s="102"/>
    </row>
    <row r="112" ht="14.25" customHeight="1">
      <c r="A112" s="247"/>
      <c r="B112" s="100"/>
      <c r="C112" s="100"/>
      <c r="D112" s="100"/>
      <c r="E112" s="100"/>
      <c r="F112" s="206"/>
      <c r="G112" s="206"/>
      <c r="H112" s="207"/>
      <c r="I112" s="207"/>
      <c r="J112" s="207"/>
      <c r="K112" s="207"/>
      <c r="L112" s="207"/>
      <c r="M112" s="207"/>
      <c r="N112" s="207"/>
      <c r="O112" s="207"/>
      <c r="P112" s="207"/>
      <c r="Q112" s="207"/>
      <c r="R112" s="207"/>
      <c r="S112" s="207"/>
      <c r="T112" s="207"/>
      <c r="U112" s="207"/>
      <c r="V112" s="207"/>
      <c r="W112" s="208"/>
      <c r="X112" s="208"/>
      <c r="Y112" s="208"/>
      <c r="Z112" s="208"/>
      <c r="AA112" s="208"/>
      <c r="AB112" s="208"/>
      <c r="AC112" s="208"/>
      <c r="AD112" s="208"/>
      <c r="AE112" s="208"/>
      <c r="AF112" s="208"/>
      <c r="AG112" s="208"/>
      <c r="AH112" s="208"/>
      <c r="AI112" s="271"/>
      <c r="AJ112" s="271"/>
      <c r="AK112" s="271"/>
      <c r="AL112" s="271"/>
      <c r="AM112" s="100"/>
      <c r="AN112" s="102"/>
    </row>
    <row r="113" ht="14.25" customHeight="1">
      <c r="A113" s="247"/>
      <c r="B113" s="100"/>
      <c r="C113" s="100"/>
      <c r="D113" s="100"/>
      <c r="E113" s="495" t="s">
        <v>2264</v>
      </c>
      <c r="F113" s="206"/>
      <c r="G113" s="206"/>
      <c r="H113" s="207"/>
      <c r="I113" s="207"/>
      <c r="J113" s="207"/>
      <c r="K113" s="207"/>
      <c r="L113" s="207"/>
      <c r="M113" s="207"/>
      <c r="N113" s="207"/>
      <c r="O113" s="207"/>
      <c r="P113" s="207"/>
      <c r="Q113" s="207"/>
      <c r="R113" s="207"/>
      <c r="S113" s="207"/>
      <c r="T113" s="207"/>
      <c r="U113" s="207"/>
      <c r="V113" s="207"/>
      <c r="W113" s="208"/>
      <c r="X113" s="208"/>
      <c r="Y113" s="208"/>
      <c r="Z113" s="208"/>
      <c r="AA113" s="208"/>
      <c r="AB113" s="208"/>
      <c r="AC113" s="208"/>
      <c r="AD113" s="208"/>
      <c r="AE113" s="208"/>
      <c r="AF113" s="208"/>
      <c r="AG113" s="208"/>
      <c r="AH113" s="208"/>
      <c r="AI113" s="271"/>
      <c r="AJ113" s="271"/>
      <c r="AK113" s="271"/>
      <c r="AL113" s="271"/>
      <c r="AM113" s="100"/>
      <c r="AN113" s="102"/>
    </row>
    <row r="114" ht="60.0" customHeight="1">
      <c r="A114" s="247"/>
      <c r="B114" s="100"/>
      <c r="C114" s="100"/>
      <c r="D114" s="100"/>
      <c r="E114" s="304"/>
      <c r="F114" s="206"/>
      <c r="G114" s="206"/>
      <c r="H114" s="207"/>
      <c r="I114" s="207"/>
      <c r="J114" s="207"/>
      <c r="K114" s="207"/>
      <c r="L114" s="207"/>
      <c r="M114" s="207"/>
      <c r="N114" s="207"/>
      <c r="O114" s="207"/>
      <c r="P114" s="207"/>
      <c r="Q114" s="207"/>
      <c r="R114" s="207"/>
      <c r="S114" s="207"/>
      <c r="T114" s="207"/>
      <c r="U114" s="207"/>
      <c r="V114" s="207"/>
      <c r="W114" s="208"/>
      <c r="X114" s="208"/>
      <c r="Y114" s="208"/>
      <c r="Z114" s="208"/>
      <c r="AA114" s="208"/>
      <c r="AB114" s="208"/>
      <c r="AC114" s="208"/>
      <c r="AD114" s="208"/>
      <c r="AE114" s="208"/>
      <c r="AF114" s="208"/>
      <c r="AG114" s="208"/>
      <c r="AH114" s="208"/>
      <c r="AI114" s="271"/>
      <c r="AJ114" s="271"/>
      <c r="AK114" s="271"/>
      <c r="AL114" s="271"/>
      <c r="AM114" s="100"/>
      <c r="AN114" s="102"/>
    </row>
    <row r="115" ht="14.25" customHeight="1">
      <c r="A115" s="247"/>
      <c r="B115" s="100"/>
      <c r="C115" s="100"/>
      <c r="D115" s="100"/>
      <c r="E115" s="100"/>
      <c r="F115" s="206"/>
      <c r="G115" s="206"/>
      <c r="H115" s="207"/>
      <c r="I115" s="207"/>
      <c r="J115" s="207"/>
      <c r="K115" s="207"/>
      <c r="L115" s="207"/>
      <c r="M115" s="207"/>
      <c r="N115" s="207"/>
      <c r="O115" s="207"/>
      <c r="P115" s="207"/>
      <c r="Q115" s="207"/>
      <c r="R115" s="207"/>
      <c r="S115" s="207"/>
      <c r="T115" s="207"/>
      <c r="U115" s="207"/>
      <c r="V115" s="207"/>
      <c r="W115" s="208"/>
      <c r="X115" s="208"/>
      <c r="Y115" s="208"/>
      <c r="Z115" s="208"/>
      <c r="AA115" s="208"/>
      <c r="AB115" s="208"/>
      <c r="AC115" s="208"/>
      <c r="AD115" s="208"/>
      <c r="AE115" s="208"/>
      <c r="AF115" s="208"/>
      <c r="AG115" s="208"/>
      <c r="AH115" s="208"/>
      <c r="AI115" s="271"/>
      <c r="AJ115" s="271"/>
      <c r="AK115" s="271"/>
      <c r="AL115" s="271"/>
      <c r="AM115" s="100"/>
      <c r="AN115" s="102"/>
    </row>
    <row r="116" ht="14.25" customHeight="1">
      <c r="A116" s="247"/>
      <c r="B116" s="100"/>
      <c r="C116" s="100"/>
      <c r="D116" s="100"/>
      <c r="E116" s="100"/>
      <c r="F116" s="206"/>
      <c r="G116" s="206"/>
      <c r="H116" s="207"/>
      <c r="I116" s="207"/>
      <c r="J116" s="207"/>
      <c r="K116" s="207"/>
      <c r="L116" s="207"/>
      <c r="M116" s="207"/>
      <c r="N116" s="207"/>
      <c r="O116" s="207"/>
      <c r="P116" s="207"/>
      <c r="Q116" s="207"/>
      <c r="R116" s="207"/>
      <c r="S116" s="207"/>
      <c r="T116" s="207"/>
      <c r="U116" s="207"/>
      <c r="V116" s="207"/>
      <c r="W116" s="208"/>
      <c r="X116" s="208"/>
      <c r="Y116" s="208"/>
      <c r="Z116" s="208"/>
      <c r="AA116" s="208"/>
      <c r="AB116" s="208"/>
      <c r="AC116" s="208"/>
      <c r="AD116" s="208"/>
      <c r="AE116" s="208"/>
      <c r="AF116" s="208"/>
      <c r="AG116" s="208"/>
      <c r="AH116" s="208"/>
      <c r="AI116" s="271"/>
      <c r="AJ116" s="271"/>
      <c r="AK116" s="271"/>
      <c r="AL116" s="271"/>
      <c r="AM116" s="100"/>
      <c r="AN116" s="102"/>
    </row>
    <row r="117" ht="14.25" customHeight="1">
      <c r="A117" s="247"/>
      <c r="B117" s="100"/>
      <c r="C117" s="100"/>
      <c r="D117" s="100"/>
      <c r="E117" s="100"/>
      <c r="F117" s="206"/>
      <c r="G117" s="206"/>
      <c r="H117" s="207"/>
      <c r="I117" s="207"/>
      <c r="J117" s="207"/>
      <c r="K117" s="207"/>
      <c r="L117" s="207"/>
      <c r="M117" s="207"/>
      <c r="N117" s="207"/>
      <c r="O117" s="207"/>
      <c r="P117" s="207"/>
      <c r="Q117" s="207"/>
      <c r="R117" s="207"/>
      <c r="S117" s="207"/>
      <c r="T117" s="207"/>
      <c r="U117" s="207"/>
      <c r="V117" s="207"/>
      <c r="W117" s="208"/>
      <c r="X117" s="208"/>
      <c r="Y117" s="208"/>
      <c r="Z117" s="208"/>
      <c r="AA117" s="208"/>
      <c r="AB117" s="208"/>
      <c r="AC117" s="208"/>
      <c r="AD117" s="208"/>
      <c r="AE117" s="208"/>
      <c r="AF117" s="208"/>
      <c r="AG117" s="208"/>
      <c r="AH117" s="208"/>
      <c r="AI117" s="271"/>
      <c r="AJ117" s="271"/>
      <c r="AK117" s="271"/>
      <c r="AL117" s="271"/>
      <c r="AM117" s="100"/>
      <c r="AN117" s="102"/>
    </row>
    <row r="118" ht="14.25" customHeight="1">
      <c r="A118" s="136" t="s">
        <v>201</v>
      </c>
      <c r="B118" s="137"/>
      <c r="C118" s="137"/>
      <c r="D118" s="138"/>
      <c r="E118" s="137"/>
      <c r="F118" s="137"/>
      <c r="G118" s="137"/>
      <c r="H118" s="62">
        <v>2000.0</v>
      </c>
      <c r="I118" s="62">
        <v>2001.0</v>
      </c>
      <c r="J118" s="62">
        <v>2002.0</v>
      </c>
      <c r="K118" s="62">
        <v>2003.0</v>
      </c>
      <c r="L118" s="62">
        <v>2004.0</v>
      </c>
      <c r="M118" s="62">
        <v>2005.0</v>
      </c>
      <c r="N118" s="62">
        <v>2006.0</v>
      </c>
      <c r="O118" s="62">
        <v>2007.0</v>
      </c>
      <c r="P118" s="62">
        <v>2008.0</v>
      </c>
      <c r="Q118" s="62">
        <v>2009.0</v>
      </c>
      <c r="R118" s="62">
        <v>2010.0</v>
      </c>
      <c r="S118" s="62">
        <v>2011.0</v>
      </c>
      <c r="T118" s="62">
        <v>2012.0</v>
      </c>
      <c r="U118" s="62">
        <v>2013.0</v>
      </c>
      <c r="V118" s="62">
        <v>2014.0</v>
      </c>
      <c r="W118" s="62">
        <v>2015.0</v>
      </c>
      <c r="X118" s="62">
        <v>2016.0</v>
      </c>
      <c r="Y118" s="62">
        <v>2017.0</v>
      </c>
      <c r="Z118" s="62">
        <v>2018.0</v>
      </c>
      <c r="AA118" s="62">
        <v>2019.0</v>
      </c>
      <c r="AB118" s="62">
        <v>2020.0</v>
      </c>
      <c r="AC118" s="62">
        <v>2025.0</v>
      </c>
      <c r="AD118" s="62">
        <v>2030.0</v>
      </c>
      <c r="AE118" s="62">
        <v>2035.0</v>
      </c>
      <c r="AF118" s="62">
        <v>2040.0</v>
      </c>
      <c r="AG118" s="62">
        <v>2045.0</v>
      </c>
      <c r="AH118" s="62">
        <v>2050.0</v>
      </c>
      <c r="AI118" s="212" t="s">
        <v>243</v>
      </c>
      <c r="AJ118" s="212" t="s">
        <v>244</v>
      </c>
      <c r="AK118" s="212" t="s">
        <v>245</v>
      </c>
      <c r="AL118" s="212" t="s">
        <v>246</v>
      </c>
      <c r="AM118" s="212" t="s">
        <v>247</v>
      </c>
      <c r="AN118" s="102"/>
    </row>
    <row r="119" ht="14.25" customHeight="1">
      <c r="A119" s="222" t="s">
        <v>253</v>
      </c>
      <c r="B119" s="223"/>
      <c r="C119" s="223"/>
      <c r="D119" s="223"/>
      <c r="E119" s="223"/>
      <c r="F119" s="223"/>
      <c r="G119" s="223"/>
      <c r="H119" s="141">
        <f t="shared" ref="H119:AH119" si="75">AVERAGE(H120,H127,H130,H155)</f>
        <v>1.696521739</v>
      </c>
      <c r="I119" s="141">
        <f t="shared" si="75"/>
        <v>1.696521739</v>
      </c>
      <c r="J119" s="141">
        <f t="shared" si="75"/>
        <v>1.696521739</v>
      </c>
      <c r="K119" s="141">
        <f t="shared" si="75"/>
        <v>1.696521739</v>
      </c>
      <c r="L119" s="141">
        <f t="shared" si="75"/>
        <v>1.696521739</v>
      </c>
      <c r="M119" s="141">
        <f t="shared" si="75"/>
        <v>1.696521739</v>
      </c>
      <c r="N119" s="141">
        <f t="shared" si="75"/>
        <v>1.696521739</v>
      </c>
      <c r="O119" s="141">
        <f t="shared" si="75"/>
        <v>1.696521739</v>
      </c>
      <c r="P119" s="141">
        <f t="shared" si="75"/>
        <v>1.696521739</v>
      </c>
      <c r="Q119" s="141">
        <f t="shared" si="75"/>
        <v>1.696521739</v>
      </c>
      <c r="R119" s="141">
        <f t="shared" si="75"/>
        <v>1.696521739</v>
      </c>
      <c r="S119" s="141">
        <f t="shared" si="75"/>
        <v>1.696521739</v>
      </c>
      <c r="T119" s="141">
        <f t="shared" si="75"/>
        <v>1.696521739</v>
      </c>
      <c r="U119" s="141">
        <f t="shared" si="75"/>
        <v>1.696521739</v>
      </c>
      <c r="V119" s="141">
        <f t="shared" si="75"/>
        <v>1.696521739</v>
      </c>
      <c r="W119" s="141">
        <f t="shared" si="75"/>
        <v>1.726521739</v>
      </c>
      <c r="X119" s="141">
        <f t="shared" si="75"/>
        <v>1.726521739</v>
      </c>
      <c r="Y119" s="141">
        <f t="shared" si="75"/>
        <v>1.726521739</v>
      </c>
      <c r="Z119" s="141">
        <f t="shared" si="75"/>
        <v>1.726521739</v>
      </c>
      <c r="AA119" s="141">
        <f t="shared" si="75"/>
        <v>1.726521739</v>
      </c>
      <c r="AB119" s="141">
        <f t="shared" si="75"/>
        <v>1.726521739</v>
      </c>
      <c r="AC119" s="141">
        <f t="shared" si="75"/>
        <v>1.726521739</v>
      </c>
      <c r="AD119" s="141">
        <f t="shared" si="75"/>
        <v>1.726521739</v>
      </c>
      <c r="AE119" s="141">
        <f t="shared" si="75"/>
        <v>1.726521739</v>
      </c>
      <c r="AF119" s="141">
        <f t="shared" si="75"/>
        <v>1.726521739</v>
      </c>
      <c r="AG119" s="141">
        <f t="shared" si="75"/>
        <v>1.726521739</v>
      </c>
      <c r="AH119" s="141">
        <f t="shared" si="75"/>
        <v>1.726521739</v>
      </c>
      <c r="AI119" s="141">
        <f t="shared" ref="AI119:AI134" si="77">AVERAGE(H119:AA119)</f>
        <v>1.704021739</v>
      </c>
      <c r="AJ119" s="141">
        <f t="shared" ref="AJ119:AJ134" si="78">W119</f>
        <v>1.726521739</v>
      </c>
      <c r="AK119" s="141">
        <f t="shared" ref="AK119:AK134" si="79">AVERAGE(AB119:AH119)</f>
        <v>1.726521739</v>
      </c>
      <c r="AL119" s="141">
        <f t="shared" ref="AL119:AL134" si="80">AVERAGE(W119,AB119,AC119,AD119,AE119,AF119,AG119,AH119)</f>
        <v>1.726521739</v>
      </c>
      <c r="AM119" s="215">
        <f t="shared" ref="AM119:AM134" si="81">AVERAGE(H119:AH119)</f>
        <v>1.709855072</v>
      </c>
      <c r="AN119" s="102"/>
    </row>
    <row r="120" ht="14.25" customHeight="1">
      <c r="A120" s="463" t="s">
        <v>2078</v>
      </c>
      <c r="B120" s="162"/>
      <c r="C120" s="162"/>
      <c r="D120" s="100"/>
      <c r="E120" s="162"/>
      <c r="F120" s="162"/>
      <c r="G120" s="162"/>
      <c r="H120" s="141">
        <f t="shared" ref="H120:AH120" si="76">(COUNTA(H5:H37)-1)/(COUNTA($G$5:$G$37)-1)</f>
        <v>0.8260869565</v>
      </c>
      <c r="I120" s="141">
        <f t="shared" si="76"/>
        <v>0.8260869565</v>
      </c>
      <c r="J120" s="141">
        <f t="shared" si="76"/>
        <v>0.8260869565</v>
      </c>
      <c r="K120" s="141">
        <f t="shared" si="76"/>
        <v>0.8260869565</v>
      </c>
      <c r="L120" s="141">
        <f t="shared" si="76"/>
        <v>0.8260869565</v>
      </c>
      <c r="M120" s="141">
        <f t="shared" si="76"/>
        <v>0.8260869565</v>
      </c>
      <c r="N120" s="141">
        <f t="shared" si="76"/>
        <v>0.8260869565</v>
      </c>
      <c r="O120" s="141">
        <f t="shared" si="76"/>
        <v>0.8260869565</v>
      </c>
      <c r="P120" s="141">
        <f t="shared" si="76"/>
        <v>0.8260869565</v>
      </c>
      <c r="Q120" s="141">
        <f t="shared" si="76"/>
        <v>0.8260869565</v>
      </c>
      <c r="R120" s="141">
        <f t="shared" si="76"/>
        <v>0.8260869565</v>
      </c>
      <c r="S120" s="141">
        <f t="shared" si="76"/>
        <v>0.8260869565</v>
      </c>
      <c r="T120" s="141">
        <f t="shared" si="76"/>
        <v>0.8260869565</v>
      </c>
      <c r="U120" s="141">
        <f t="shared" si="76"/>
        <v>0.8260869565</v>
      </c>
      <c r="V120" s="141">
        <f t="shared" si="76"/>
        <v>0.8260869565</v>
      </c>
      <c r="W120" s="141">
        <f t="shared" si="76"/>
        <v>0.8260869565</v>
      </c>
      <c r="X120" s="141">
        <f t="shared" si="76"/>
        <v>0.8260869565</v>
      </c>
      <c r="Y120" s="141">
        <f t="shared" si="76"/>
        <v>0.8260869565</v>
      </c>
      <c r="Z120" s="141">
        <f t="shared" si="76"/>
        <v>0.8260869565</v>
      </c>
      <c r="AA120" s="141">
        <f t="shared" si="76"/>
        <v>0.8260869565</v>
      </c>
      <c r="AB120" s="141">
        <f t="shared" si="76"/>
        <v>0.8260869565</v>
      </c>
      <c r="AC120" s="141">
        <f t="shared" si="76"/>
        <v>0.8260869565</v>
      </c>
      <c r="AD120" s="141">
        <f t="shared" si="76"/>
        <v>0.8260869565</v>
      </c>
      <c r="AE120" s="141">
        <f t="shared" si="76"/>
        <v>0.8260869565</v>
      </c>
      <c r="AF120" s="141">
        <f t="shared" si="76"/>
        <v>0.8260869565</v>
      </c>
      <c r="AG120" s="141">
        <f t="shared" si="76"/>
        <v>0.8260869565</v>
      </c>
      <c r="AH120" s="141">
        <f t="shared" si="76"/>
        <v>0.8260869565</v>
      </c>
      <c r="AI120" s="141">
        <f t="shared" si="77"/>
        <v>0.8260869565</v>
      </c>
      <c r="AJ120" s="141">
        <f t="shared" si="78"/>
        <v>0.8260869565</v>
      </c>
      <c r="AK120" s="141">
        <f t="shared" si="79"/>
        <v>0.8260869565</v>
      </c>
      <c r="AL120" s="141">
        <f t="shared" si="80"/>
        <v>0.8260869565</v>
      </c>
      <c r="AM120" s="215">
        <f t="shared" si="81"/>
        <v>0.8260869565</v>
      </c>
      <c r="AN120" s="102"/>
    </row>
    <row r="121" ht="14.25" customHeight="1">
      <c r="A121" s="465"/>
      <c r="B121" s="466" t="s">
        <v>2079</v>
      </c>
      <c r="C121" s="466"/>
      <c r="D121" s="467"/>
      <c r="E121" s="496"/>
      <c r="F121" s="496"/>
      <c r="G121" s="496"/>
      <c r="H121" s="141">
        <f t="shared" ref="H121:AH121" si="82">(COUNTA(H6:H30)-1)/(COUNTA($G$6:$G$30)-1)</f>
        <v>1</v>
      </c>
      <c r="I121" s="141">
        <f t="shared" si="82"/>
        <v>1</v>
      </c>
      <c r="J121" s="141">
        <f t="shared" si="82"/>
        <v>1</v>
      </c>
      <c r="K121" s="141">
        <f t="shared" si="82"/>
        <v>1</v>
      </c>
      <c r="L121" s="141">
        <f t="shared" si="82"/>
        <v>1</v>
      </c>
      <c r="M121" s="141">
        <f t="shared" si="82"/>
        <v>1</v>
      </c>
      <c r="N121" s="141">
        <f t="shared" si="82"/>
        <v>1</v>
      </c>
      <c r="O121" s="141">
        <f t="shared" si="82"/>
        <v>1</v>
      </c>
      <c r="P121" s="141">
        <f t="shared" si="82"/>
        <v>1</v>
      </c>
      <c r="Q121" s="141">
        <f t="shared" si="82"/>
        <v>1</v>
      </c>
      <c r="R121" s="141">
        <f t="shared" si="82"/>
        <v>1</v>
      </c>
      <c r="S121" s="141">
        <f t="shared" si="82"/>
        <v>1</v>
      </c>
      <c r="T121" s="141">
        <f t="shared" si="82"/>
        <v>1</v>
      </c>
      <c r="U121" s="141">
        <f t="shared" si="82"/>
        <v>1</v>
      </c>
      <c r="V121" s="141">
        <f t="shared" si="82"/>
        <v>1</v>
      </c>
      <c r="W121" s="141">
        <f t="shared" si="82"/>
        <v>1</v>
      </c>
      <c r="X121" s="141">
        <f t="shared" si="82"/>
        <v>1</v>
      </c>
      <c r="Y121" s="141">
        <f t="shared" si="82"/>
        <v>1</v>
      </c>
      <c r="Z121" s="141">
        <f t="shared" si="82"/>
        <v>1</v>
      </c>
      <c r="AA121" s="141">
        <f t="shared" si="82"/>
        <v>1</v>
      </c>
      <c r="AB121" s="141">
        <f t="shared" si="82"/>
        <v>1</v>
      </c>
      <c r="AC121" s="141">
        <f t="shared" si="82"/>
        <v>1</v>
      </c>
      <c r="AD121" s="141">
        <f t="shared" si="82"/>
        <v>1</v>
      </c>
      <c r="AE121" s="141">
        <f t="shared" si="82"/>
        <v>1</v>
      </c>
      <c r="AF121" s="141">
        <f t="shared" si="82"/>
        <v>1</v>
      </c>
      <c r="AG121" s="141">
        <f t="shared" si="82"/>
        <v>1</v>
      </c>
      <c r="AH121" s="141">
        <f t="shared" si="82"/>
        <v>1</v>
      </c>
      <c r="AI121" s="141">
        <f t="shared" si="77"/>
        <v>1</v>
      </c>
      <c r="AJ121" s="141">
        <f t="shared" si="78"/>
        <v>1</v>
      </c>
      <c r="AK121" s="141">
        <f t="shared" si="79"/>
        <v>1</v>
      </c>
      <c r="AL121" s="141">
        <f t="shared" si="80"/>
        <v>1</v>
      </c>
      <c r="AM121" s="215">
        <f t="shared" si="81"/>
        <v>1</v>
      </c>
      <c r="AN121" s="102"/>
    </row>
    <row r="122" ht="14.25" customHeight="1">
      <c r="A122" s="465"/>
      <c r="B122" s="466"/>
      <c r="C122" s="466"/>
      <c r="D122" s="466" t="s">
        <v>2081</v>
      </c>
      <c r="E122" s="496"/>
      <c r="F122" s="496"/>
      <c r="G122" s="496"/>
      <c r="H122" s="141">
        <f t="shared" ref="H122:AH122" si="83">COUNTA(H8:H23)/COUNTA($G$8:$G$23)</f>
        <v>1</v>
      </c>
      <c r="I122" s="141">
        <f t="shared" si="83"/>
        <v>1</v>
      </c>
      <c r="J122" s="141">
        <f t="shared" si="83"/>
        <v>1</v>
      </c>
      <c r="K122" s="141">
        <f t="shared" si="83"/>
        <v>1</v>
      </c>
      <c r="L122" s="141">
        <f t="shared" si="83"/>
        <v>1</v>
      </c>
      <c r="M122" s="141">
        <f t="shared" si="83"/>
        <v>1</v>
      </c>
      <c r="N122" s="141">
        <f t="shared" si="83"/>
        <v>1</v>
      </c>
      <c r="O122" s="141">
        <f t="shared" si="83"/>
        <v>1</v>
      </c>
      <c r="P122" s="141">
        <f t="shared" si="83"/>
        <v>1</v>
      </c>
      <c r="Q122" s="141">
        <f t="shared" si="83"/>
        <v>1</v>
      </c>
      <c r="R122" s="141">
        <f t="shared" si="83"/>
        <v>1</v>
      </c>
      <c r="S122" s="141">
        <f t="shared" si="83"/>
        <v>1</v>
      </c>
      <c r="T122" s="141">
        <f t="shared" si="83"/>
        <v>1</v>
      </c>
      <c r="U122" s="141">
        <f t="shared" si="83"/>
        <v>1</v>
      </c>
      <c r="V122" s="141">
        <f t="shared" si="83"/>
        <v>1</v>
      </c>
      <c r="W122" s="141">
        <f t="shared" si="83"/>
        <v>1</v>
      </c>
      <c r="X122" s="141">
        <f t="shared" si="83"/>
        <v>1</v>
      </c>
      <c r="Y122" s="141">
        <f t="shared" si="83"/>
        <v>1</v>
      </c>
      <c r="Z122" s="141">
        <f t="shared" si="83"/>
        <v>1</v>
      </c>
      <c r="AA122" s="141">
        <f t="shared" si="83"/>
        <v>1</v>
      </c>
      <c r="AB122" s="141">
        <f t="shared" si="83"/>
        <v>1</v>
      </c>
      <c r="AC122" s="141">
        <f t="shared" si="83"/>
        <v>1</v>
      </c>
      <c r="AD122" s="141">
        <f t="shared" si="83"/>
        <v>1</v>
      </c>
      <c r="AE122" s="141">
        <f t="shared" si="83"/>
        <v>1</v>
      </c>
      <c r="AF122" s="141">
        <f t="shared" si="83"/>
        <v>1</v>
      </c>
      <c r="AG122" s="141">
        <f t="shared" si="83"/>
        <v>1</v>
      </c>
      <c r="AH122" s="141">
        <f t="shared" si="83"/>
        <v>1</v>
      </c>
      <c r="AI122" s="141">
        <f t="shared" si="77"/>
        <v>1</v>
      </c>
      <c r="AJ122" s="141">
        <f t="shared" si="78"/>
        <v>1</v>
      </c>
      <c r="AK122" s="141">
        <f t="shared" si="79"/>
        <v>1</v>
      </c>
      <c r="AL122" s="141">
        <f t="shared" si="80"/>
        <v>1</v>
      </c>
      <c r="AM122" s="215">
        <f t="shared" si="81"/>
        <v>1</v>
      </c>
      <c r="AN122" s="102"/>
    </row>
    <row r="123" ht="14.25" customHeight="1">
      <c r="A123" s="465"/>
      <c r="B123" s="466"/>
      <c r="C123" s="466"/>
      <c r="D123" s="466" t="s">
        <v>2116</v>
      </c>
      <c r="E123" s="496"/>
      <c r="F123" s="496"/>
      <c r="G123" s="496"/>
      <c r="H123" s="141">
        <f t="shared" ref="H123:AH123" si="84">(COUNTA(H26:H30)-1)/(COUNTA($G$26:$G$30)-1)</f>
        <v>1</v>
      </c>
      <c r="I123" s="141">
        <f t="shared" si="84"/>
        <v>1</v>
      </c>
      <c r="J123" s="141">
        <f t="shared" si="84"/>
        <v>1</v>
      </c>
      <c r="K123" s="141">
        <f t="shared" si="84"/>
        <v>1</v>
      </c>
      <c r="L123" s="141">
        <f t="shared" si="84"/>
        <v>1</v>
      </c>
      <c r="M123" s="141">
        <f t="shared" si="84"/>
        <v>1</v>
      </c>
      <c r="N123" s="141">
        <f t="shared" si="84"/>
        <v>1</v>
      </c>
      <c r="O123" s="141">
        <f t="shared" si="84"/>
        <v>1</v>
      </c>
      <c r="P123" s="141">
        <f t="shared" si="84"/>
        <v>1</v>
      </c>
      <c r="Q123" s="141">
        <f t="shared" si="84"/>
        <v>1</v>
      </c>
      <c r="R123" s="141">
        <f t="shared" si="84"/>
        <v>1</v>
      </c>
      <c r="S123" s="141">
        <f t="shared" si="84"/>
        <v>1</v>
      </c>
      <c r="T123" s="141">
        <f t="shared" si="84"/>
        <v>1</v>
      </c>
      <c r="U123" s="141">
        <f t="shared" si="84"/>
        <v>1</v>
      </c>
      <c r="V123" s="141">
        <f t="shared" si="84"/>
        <v>1</v>
      </c>
      <c r="W123" s="141">
        <f t="shared" si="84"/>
        <v>1</v>
      </c>
      <c r="X123" s="141">
        <f t="shared" si="84"/>
        <v>1</v>
      </c>
      <c r="Y123" s="141">
        <f t="shared" si="84"/>
        <v>1</v>
      </c>
      <c r="Z123" s="141">
        <f t="shared" si="84"/>
        <v>1</v>
      </c>
      <c r="AA123" s="141">
        <f t="shared" si="84"/>
        <v>1</v>
      </c>
      <c r="AB123" s="141">
        <f t="shared" si="84"/>
        <v>1</v>
      </c>
      <c r="AC123" s="141">
        <f t="shared" si="84"/>
        <v>1</v>
      </c>
      <c r="AD123" s="141">
        <f t="shared" si="84"/>
        <v>1</v>
      </c>
      <c r="AE123" s="141">
        <f t="shared" si="84"/>
        <v>1</v>
      </c>
      <c r="AF123" s="141">
        <f t="shared" si="84"/>
        <v>1</v>
      </c>
      <c r="AG123" s="141">
        <f t="shared" si="84"/>
        <v>1</v>
      </c>
      <c r="AH123" s="141">
        <f t="shared" si="84"/>
        <v>1</v>
      </c>
      <c r="AI123" s="141">
        <f t="shared" si="77"/>
        <v>1</v>
      </c>
      <c r="AJ123" s="141">
        <f t="shared" si="78"/>
        <v>1</v>
      </c>
      <c r="AK123" s="141">
        <f t="shared" si="79"/>
        <v>1</v>
      </c>
      <c r="AL123" s="141">
        <f t="shared" si="80"/>
        <v>1</v>
      </c>
      <c r="AM123" s="215">
        <f t="shared" si="81"/>
        <v>1</v>
      </c>
      <c r="AN123" s="102"/>
    </row>
    <row r="124" ht="14.25" customHeight="1">
      <c r="A124" s="465"/>
      <c r="B124" s="466" t="s">
        <v>2123</v>
      </c>
      <c r="C124" s="466"/>
      <c r="D124" s="467"/>
      <c r="E124" s="162"/>
      <c r="F124" s="162"/>
      <c r="G124" s="162"/>
      <c r="H124" s="141">
        <f t="shared" ref="H124:AH124" si="85">COUNTA(H32:H37)/COUNTA($G$32:$G$37)</f>
        <v>0.2</v>
      </c>
      <c r="I124" s="141">
        <f t="shared" si="85"/>
        <v>0.2</v>
      </c>
      <c r="J124" s="141">
        <f t="shared" si="85"/>
        <v>0.2</v>
      </c>
      <c r="K124" s="141">
        <f t="shared" si="85"/>
        <v>0.2</v>
      </c>
      <c r="L124" s="141">
        <f t="shared" si="85"/>
        <v>0.2</v>
      </c>
      <c r="M124" s="141">
        <f t="shared" si="85"/>
        <v>0.2</v>
      </c>
      <c r="N124" s="141">
        <f t="shared" si="85"/>
        <v>0.2</v>
      </c>
      <c r="O124" s="141">
        <f t="shared" si="85"/>
        <v>0.2</v>
      </c>
      <c r="P124" s="141">
        <f t="shared" si="85"/>
        <v>0.2</v>
      </c>
      <c r="Q124" s="141">
        <f t="shared" si="85"/>
        <v>0.2</v>
      </c>
      <c r="R124" s="141">
        <f t="shared" si="85"/>
        <v>0.2</v>
      </c>
      <c r="S124" s="141">
        <f t="shared" si="85"/>
        <v>0.2</v>
      </c>
      <c r="T124" s="141">
        <f t="shared" si="85"/>
        <v>0.2</v>
      </c>
      <c r="U124" s="141">
        <f t="shared" si="85"/>
        <v>0.2</v>
      </c>
      <c r="V124" s="141">
        <f t="shared" si="85"/>
        <v>0.2</v>
      </c>
      <c r="W124" s="141">
        <f t="shared" si="85"/>
        <v>0.2</v>
      </c>
      <c r="X124" s="141">
        <f t="shared" si="85"/>
        <v>0.2</v>
      </c>
      <c r="Y124" s="141">
        <f t="shared" si="85"/>
        <v>0.2</v>
      </c>
      <c r="Z124" s="141">
        <f t="shared" si="85"/>
        <v>0.2</v>
      </c>
      <c r="AA124" s="141">
        <f t="shared" si="85"/>
        <v>0.2</v>
      </c>
      <c r="AB124" s="141">
        <f t="shared" si="85"/>
        <v>0.2</v>
      </c>
      <c r="AC124" s="141">
        <f t="shared" si="85"/>
        <v>0.2</v>
      </c>
      <c r="AD124" s="141">
        <f t="shared" si="85"/>
        <v>0.2</v>
      </c>
      <c r="AE124" s="141">
        <f t="shared" si="85"/>
        <v>0.2</v>
      </c>
      <c r="AF124" s="141">
        <f t="shared" si="85"/>
        <v>0.2</v>
      </c>
      <c r="AG124" s="141">
        <f t="shared" si="85"/>
        <v>0.2</v>
      </c>
      <c r="AH124" s="141">
        <f t="shared" si="85"/>
        <v>0.2</v>
      </c>
      <c r="AI124" s="141">
        <f t="shared" si="77"/>
        <v>0.2</v>
      </c>
      <c r="AJ124" s="141">
        <f t="shared" si="78"/>
        <v>0.2</v>
      </c>
      <c r="AK124" s="141">
        <f t="shared" si="79"/>
        <v>0.2</v>
      </c>
      <c r="AL124" s="141">
        <f t="shared" si="80"/>
        <v>0.2</v>
      </c>
      <c r="AM124" s="215">
        <f t="shared" si="81"/>
        <v>0.2</v>
      </c>
      <c r="AN124" s="102"/>
    </row>
    <row r="125" ht="14.25" customHeight="1">
      <c r="A125" s="465"/>
      <c r="B125" s="466"/>
      <c r="C125" s="466" t="s">
        <v>2265</v>
      </c>
      <c r="D125" s="467"/>
      <c r="E125" s="162"/>
      <c r="F125" s="162"/>
      <c r="G125" s="162"/>
      <c r="H125" s="141">
        <f t="shared" ref="H125:AH125" si="86">COUNTA(H33:H37)/COUNTA($G$33:$G$37)</f>
        <v>0.2</v>
      </c>
      <c r="I125" s="141">
        <f t="shared" si="86"/>
        <v>0.2</v>
      </c>
      <c r="J125" s="141">
        <f t="shared" si="86"/>
        <v>0.2</v>
      </c>
      <c r="K125" s="141">
        <f t="shared" si="86"/>
        <v>0.2</v>
      </c>
      <c r="L125" s="141">
        <f t="shared" si="86"/>
        <v>0.2</v>
      </c>
      <c r="M125" s="141">
        <f t="shared" si="86"/>
        <v>0.2</v>
      </c>
      <c r="N125" s="141">
        <f t="shared" si="86"/>
        <v>0.2</v>
      </c>
      <c r="O125" s="141">
        <f t="shared" si="86"/>
        <v>0.2</v>
      </c>
      <c r="P125" s="141">
        <f t="shared" si="86"/>
        <v>0.2</v>
      </c>
      <c r="Q125" s="141">
        <f t="shared" si="86"/>
        <v>0.2</v>
      </c>
      <c r="R125" s="141">
        <f t="shared" si="86"/>
        <v>0.2</v>
      </c>
      <c r="S125" s="141">
        <f t="shared" si="86"/>
        <v>0.2</v>
      </c>
      <c r="T125" s="141">
        <f t="shared" si="86"/>
        <v>0.2</v>
      </c>
      <c r="U125" s="141">
        <f t="shared" si="86"/>
        <v>0.2</v>
      </c>
      <c r="V125" s="141">
        <f t="shared" si="86"/>
        <v>0.2</v>
      </c>
      <c r="W125" s="141">
        <f t="shared" si="86"/>
        <v>0.2</v>
      </c>
      <c r="X125" s="141">
        <f t="shared" si="86"/>
        <v>0.2</v>
      </c>
      <c r="Y125" s="141">
        <f t="shared" si="86"/>
        <v>0.2</v>
      </c>
      <c r="Z125" s="141">
        <f t="shared" si="86"/>
        <v>0.2</v>
      </c>
      <c r="AA125" s="141">
        <f t="shared" si="86"/>
        <v>0.2</v>
      </c>
      <c r="AB125" s="141">
        <f t="shared" si="86"/>
        <v>0.2</v>
      </c>
      <c r="AC125" s="141">
        <f t="shared" si="86"/>
        <v>0.2</v>
      </c>
      <c r="AD125" s="141">
        <f t="shared" si="86"/>
        <v>0.2</v>
      </c>
      <c r="AE125" s="141">
        <f t="shared" si="86"/>
        <v>0.2</v>
      </c>
      <c r="AF125" s="141">
        <f t="shared" si="86"/>
        <v>0.2</v>
      </c>
      <c r="AG125" s="141">
        <f t="shared" si="86"/>
        <v>0.2</v>
      </c>
      <c r="AH125" s="141">
        <f t="shared" si="86"/>
        <v>0.2</v>
      </c>
      <c r="AI125" s="141">
        <f t="shared" si="77"/>
        <v>0.2</v>
      </c>
      <c r="AJ125" s="141">
        <f t="shared" si="78"/>
        <v>0.2</v>
      </c>
      <c r="AK125" s="141">
        <f t="shared" si="79"/>
        <v>0.2</v>
      </c>
      <c r="AL125" s="141">
        <f t="shared" si="80"/>
        <v>0.2</v>
      </c>
      <c r="AM125" s="215">
        <f t="shared" si="81"/>
        <v>0.2</v>
      </c>
      <c r="AN125" s="102"/>
    </row>
    <row r="126" ht="14.25" customHeight="1">
      <c r="A126" s="465"/>
      <c r="B126" s="466"/>
      <c r="C126" s="466" t="s">
        <v>2266</v>
      </c>
      <c r="D126" s="467"/>
      <c r="E126" s="162"/>
      <c r="F126" s="162"/>
      <c r="G126" s="162"/>
      <c r="H126" s="141">
        <f t="shared" ref="H126:AH126" si="87">COUNTA(#REF!)/COUNTA(#REF!)</f>
        <v>1</v>
      </c>
      <c r="I126" s="141">
        <f t="shared" si="87"/>
        <v>1</v>
      </c>
      <c r="J126" s="141">
        <f t="shared" si="87"/>
        <v>1</v>
      </c>
      <c r="K126" s="141">
        <f t="shared" si="87"/>
        <v>1</v>
      </c>
      <c r="L126" s="141">
        <f t="shared" si="87"/>
        <v>1</v>
      </c>
      <c r="M126" s="141">
        <f t="shared" si="87"/>
        <v>1</v>
      </c>
      <c r="N126" s="141">
        <f t="shared" si="87"/>
        <v>1</v>
      </c>
      <c r="O126" s="141">
        <f t="shared" si="87"/>
        <v>1</v>
      </c>
      <c r="P126" s="141">
        <f t="shared" si="87"/>
        <v>1</v>
      </c>
      <c r="Q126" s="141">
        <f t="shared" si="87"/>
        <v>1</v>
      </c>
      <c r="R126" s="141">
        <f t="shared" si="87"/>
        <v>1</v>
      </c>
      <c r="S126" s="141">
        <f t="shared" si="87"/>
        <v>1</v>
      </c>
      <c r="T126" s="141">
        <f t="shared" si="87"/>
        <v>1</v>
      </c>
      <c r="U126" s="141">
        <f t="shared" si="87"/>
        <v>1</v>
      </c>
      <c r="V126" s="141">
        <f t="shared" si="87"/>
        <v>1</v>
      </c>
      <c r="W126" s="141">
        <f t="shared" si="87"/>
        <v>1</v>
      </c>
      <c r="X126" s="141">
        <f t="shared" si="87"/>
        <v>1</v>
      </c>
      <c r="Y126" s="141">
        <f t="shared" si="87"/>
        <v>1</v>
      </c>
      <c r="Z126" s="141">
        <f t="shared" si="87"/>
        <v>1</v>
      </c>
      <c r="AA126" s="141">
        <f t="shared" si="87"/>
        <v>1</v>
      </c>
      <c r="AB126" s="141">
        <f t="shared" si="87"/>
        <v>1</v>
      </c>
      <c r="AC126" s="141">
        <f t="shared" si="87"/>
        <v>1</v>
      </c>
      <c r="AD126" s="141">
        <f t="shared" si="87"/>
        <v>1</v>
      </c>
      <c r="AE126" s="141">
        <f t="shared" si="87"/>
        <v>1</v>
      </c>
      <c r="AF126" s="141">
        <f t="shared" si="87"/>
        <v>1</v>
      </c>
      <c r="AG126" s="141">
        <f t="shared" si="87"/>
        <v>1</v>
      </c>
      <c r="AH126" s="141">
        <f t="shared" si="87"/>
        <v>1</v>
      </c>
      <c r="AI126" s="141">
        <f t="shared" si="77"/>
        <v>1</v>
      </c>
      <c r="AJ126" s="141">
        <f t="shared" si="78"/>
        <v>1</v>
      </c>
      <c r="AK126" s="141">
        <f t="shared" si="79"/>
        <v>1</v>
      </c>
      <c r="AL126" s="141">
        <f t="shared" si="80"/>
        <v>1</v>
      </c>
      <c r="AM126" s="215">
        <f t="shared" si="81"/>
        <v>1</v>
      </c>
      <c r="AN126" s="102"/>
    </row>
    <row r="127" ht="14.25" customHeight="1">
      <c r="A127" s="463" t="s">
        <v>2136</v>
      </c>
      <c r="B127" s="496"/>
      <c r="C127" s="496"/>
      <c r="D127" s="496"/>
      <c r="E127" s="496"/>
      <c r="F127" s="496"/>
      <c r="G127" s="496"/>
      <c r="H127" s="141">
        <f t="shared" ref="H127:AH127" si="88">COUNTA(H38:H49)/(COUNTA($G$38:$G$49)/4)</f>
        <v>4</v>
      </c>
      <c r="I127" s="141">
        <f t="shared" si="88"/>
        <v>4</v>
      </c>
      <c r="J127" s="141">
        <f t="shared" si="88"/>
        <v>4</v>
      </c>
      <c r="K127" s="141">
        <f t="shared" si="88"/>
        <v>4</v>
      </c>
      <c r="L127" s="141">
        <f t="shared" si="88"/>
        <v>4</v>
      </c>
      <c r="M127" s="141">
        <f t="shared" si="88"/>
        <v>4</v>
      </c>
      <c r="N127" s="141">
        <f t="shared" si="88"/>
        <v>4</v>
      </c>
      <c r="O127" s="141">
        <f t="shared" si="88"/>
        <v>4</v>
      </c>
      <c r="P127" s="141">
        <f t="shared" si="88"/>
        <v>4</v>
      </c>
      <c r="Q127" s="141">
        <f t="shared" si="88"/>
        <v>4</v>
      </c>
      <c r="R127" s="141">
        <f t="shared" si="88"/>
        <v>4</v>
      </c>
      <c r="S127" s="141">
        <f t="shared" si="88"/>
        <v>4</v>
      </c>
      <c r="T127" s="141">
        <f t="shared" si="88"/>
        <v>4</v>
      </c>
      <c r="U127" s="141">
        <f t="shared" si="88"/>
        <v>4</v>
      </c>
      <c r="V127" s="141">
        <f t="shared" si="88"/>
        <v>4</v>
      </c>
      <c r="W127" s="141">
        <f t="shared" si="88"/>
        <v>4</v>
      </c>
      <c r="X127" s="141">
        <f t="shared" si="88"/>
        <v>4</v>
      </c>
      <c r="Y127" s="141">
        <f t="shared" si="88"/>
        <v>4</v>
      </c>
      <c r="Z127" s="141">
        <f t="shared" si="88"/>
        <v>4</v>
      </c>
      <c r="AA127" s="141">
        <f t="shared" si="88"/>
        <v>4</v>
      </c>
      <c r="AB127" s="141">
        <f t="shared" si="88"/>
        <v>4</v>
      </c>
      <c r="AC127" s="141">
        <f t="shared" si="88"/>
        <v>4</v>
      </c>
      <c r="AD127" s="141">
        <f t="shared" si="88"/>
        <v>4</v>
      </c>
      <c r="AE127" s="141">
        <f t="shared" si="88"/>
        <v>4</v>
      </c>
      <c r="AF127" s="141">
        <f t="shared" si="88"/>
        <v>4</v>
      </c>
      <c r="AG127" s="141">
        <f t="shared" si="88"/>
        <v>4</v>
      </c>
      <c r="AH127" s="141">
        <f t="shared" si="88"/>
        <v>4</v>
      </c>
      <c r="AI127" s="141">
        <f t="shared" si="77"/>
        <v>4</v>
      </c>
      <c r="AJ127" s="141">
        <f t="shared" si="78"/>
        <v>4</v>
      </c>
      <c r="AK127" s="141">
        <f t="shared" si="79"/>
        <v>4</v>
      </c>
      <c r="AL127" s="141">
        <f t="shared" si="80"/>
        <v>4</v>
      </c>
      <c r="AM127" s="215">
        <f t="shared" si="81"/>
        <v>4</v>
      </c>
      <c r="AN127" s="102"/>
    </row>
    <row r="128" ht="14.25" customHeight="1">
      <c r="A128" s="497"/>
      <c r="B128" s="496"/>
      <c r="C128" s="496"/>
      <c r="D128" s="466" t="s">
        <v>2081</v>
      </c>
      <c r="E128" s="496"/>
      <c r="F128" s="496"/>
      <c r="G128" s="496"/>
      <c r="H128" s="141">
        <f t="shared" ref="H128:AH128" si="89">COUNTA(H39:H45)/(COUNTA($G$39:$G$45)/4)</f>
        <v>4</v>
      </c>
      <c r="I128" s="141">
        <f t="shared" si="89"/>
        <v>4</v>
      </c>
      <c r="J128" s="141">
        <f t="shared" si="89"/>
        <v>4</v>
      </c>
      <c r="K128" s="141">
        <f t="shared" si="89"/>
        <v>4</v>
      </c>
      <c r="L128" s="141">
        <f t="shared" si="89"/>
        <v>4</v>
      </c>
      <c r="M128" s="141">
        <f t="shared" si="89"/>
        <v>4</v>
      </c>
      <c r="N128" s="141">
        <f t="shared" si="89"/>
        <v>4</v>
      </c>
      <c r="O128" s="141">
        <f t="shared" si="89"/>
        <v>4</v>
      </c>
      <c r="P128" s="141">
        <f t="shared" si="89"/>
        <v>4</v>
      </c>
      <c r="Q128" s="141">
        <f t="shared" si="89"/>
        <v>4</v>
      </c>
      <c r="R128" s="141">
        <f t="shared" si="89"/>
        <v>4</v>
      </c>
      <c r="S128" s="141">
        <f t="shared" si="89"/>
        <v>4</v>
      </c>
      <c r="T128" s="141">
        <f t="shared" si="89"/>
        <v>4</v>
      </c>
      <c r="U128" s="141">
        <f t="shared" si="89"/>
        <v>4</v>
      </c>
      <c r="V128" s="141">
        <f t="shared" si="89"/>
        <v>4</v>
      </c>
      <c r="W128" s="141">
        <f t="shared" si="89"/>
        <v>4</v>
      </c>
      <c r="X128" s="141">
        <f t="shared" si="89"/>
        <v>4</v>
      </c>
      <c r="Y128" s="141">
        <f t="shared" si="89"/>
        <v>4</v>
      </c>
      <c r="Z128" s="141">
        <f t="shared" si="89"/>
        <v>4</v>
      </c>
      <c r="AA128" s="141">
        <f t="shared" si="89"/>
        <v>4</v>
      </c>
      <c r="AB128" s="141">
        <f t="shared" si="89"/>
        <v>4</v>
      </c>
      <c r="AC128" s="141">
        <f t="shared" si="89"/>
        <v>4</v>
      </c>
      <c r="AD128" s="141">
        <f t="shared" si="89"/>
        <v>4</v>
      </c>
      <c r="AE128" s="141">
        <f t="shared" si="89"/>
        <v>4</v>
      </c>
      <c r="AF128" s="141">
        <f t="shared" si="89"/>
        <v>4</v>
      </c>
      <c r="AG128" s="141">
        <f t="shared" si="89"/>
        <v>4</v>
      </c>
      <c r="AH128" s="141">
        <f t="shared" si="89"/>
        <v>4</v>
      </c>
      <c r="AI128" s="141">
        <f t="shared" si="77"/>
        <v>4</v>
      </c>
      <c r="AJ128" s="141">
        <f t="shared" si="78"/>
        <v>4</v>
      </c>
      <c r="AK128" s="141">
        <f t="shared" si="79"/>
        <v>4</v>
      </c>
      <c r="AL128" s="141">
        <f t="shared" si="80"/>
        <v>4</v>
      </c>
      <c r="AM128" s="215">
        <f t="shared" si="81"/>
        <v>4</v>
      </c>
      <c r="AN128" s="102"/>
    </row>
    <row r="129" ht="14.25" customHeight="1">
      <c r="A129" s="497"/>
      <c r="B129" s="496"/>
      <c r="C129" s="496"/>
      <c r="D129" s="470" t="s">
        <v>2116</v>
      </c>
      <c r="E129" s="496"/>
      <c r="F129" s="496"/>
      <c r="G129" s="496"/>
      <c r="H129" s="141">
        <f t="shared" ref="H129:AH129" si="90">COUNTA(H48:H49)/(COUNTA($G$48:$G$49)/4)</f>
        <v>4</v>
      </c>
      <c r="I129" s="141">
        <f t="shared" si="90"/>
        <v>4</v>
      </c>
      <c r="J129" s="141">
        <f t="shared" si="90"/>
        <v>4</v>
      </c>
      <c r="K129" s="141">
        <f t="shared" si="90"/>
        <v>4</v>
      </c>
      <c r="L129" s="141">
        <f t="shared" si="90"/>
        <v>4</v>
      </c>
      <c r="M129" s="141">
        <f t="shared" si="90"/>
        <v>4</v>
      </c>
      <c r="N129" s="141">
        <f t="shared" si="90"/>
        <v>4</v>
      </c>
      <c r="O129" s="141">
        <f t="shared" si="90"/>
        <v>4</v>
      </c>
      <c r="P129" s="141">
        <f t="shared" si="90"/>
        <v>4</v>
      </c>
      <c r="Q129" s="141">
        <f t="shared" si="90"/>
        <v>4</v>
      </c>
      <c r="R129" s="141">
        <f t="shared" si="90"/>
        <v>4</v>
      </c>
      <c r="S129" s="141">
        <f t="shared" si="90"/>
        <v>4</v>
      </c>
      <c r="T129" s="141">
        <f t="shared" si="90"/>
        <v>4</v>
      </c>
      <c r="U129" s="141">
        <f t="shared" si="90"/>
        <v>4</v>
      </c>
      <c r="V129" s="141">
        <f t="shared" si="90"/>
        <v>4</v>
      </c>
      <c r="W129" s="141">
        <f t="shared" si="90"/>
        <v>4</v>
      </c>
      <c r="X129" s="141">
        <f t="shared" si="90"/>
        <v>4</v>
      </c>
      <c r="Y129" s="141">
        <f t="shared" si="90"/>
        <v>4</v>
      </c>
      <c r="Z129" s="141">
        <f t="shared" si="90"/>
        <v>4</v>
      </c>
      <c r="AA129" s="141">
        <f t="shared" si="90"/>
        <v>4</v>
      </c>
      <c r="AB129" s="141">
        <f t="shared" si="90"/>
        <v>4</v>
      </c>
      <c r="AC129" s="141">
        <f t="shared" si="90"/>
        <v>4</v>
      </c>
      <c r="AD129" s="141">
        <f t="shared" si="90"/>
        <v>4</v>
      </c>
      <c r="AE129" s="141">
        <f t="shared" si="90"/>
        <v>4</v>
      </c>
      <c r="AF129" s="141">
        <f t="shared" si="90"/>
        <v>4</v>
      </c>
      <c r="AG129" s="141">
        <f t="shared" si="90"/>
        <v>4</v>
      </c>
      <c r="AH129" s="141">
        <f t="shared" si="90"/>
        <v>4</v>
      </c>
      <c r="AI129" s="141">
        <f t="shared" si="77"/>
        <v>4</v>
      </c>
      <c r="AJ129" s="141">
        <f t="shared" si="78"/>
        <v>4</v>
      </c>
      <c r="AK129" s="141">
        <f t="shared" si="79"/>
        <v>4</v>
      </c>
      <c r="AL129" s="141">
        <f t="shared" si="80"/>
        <v>4</v>
      </c>
      <c r="AM129" s="215">
        <f t="shared" si="81"/>
        <v>4</v>
      </c>
      <c r="AN129" s="102"/>
    </row>
    <row r="130" ht="14.25" customHeight="1">
      <c r="A130" s="463" t="s">
        <v>2267</v>
      </c>
      <c r="B130" s="162"/>
      <c r="C130" s="162"/>
      <c r="D130" s="100"/>
      <c r="E130" s="162"/>
      <c r="F130" s="162"/>
      <c r="G130" s="162"/>
      <c r="H130" s="141">
        <f t="shared" ref="H130:AH130" si="91">COUNTA(H50:H80)/COUNTA($G$50:$G$80)</f>
        <v>0.96</v>
      </c>
      <c r="I130" s="141">
        <f t="shared" si="91"/>
        <v>0.96</v>
      </c>
      <c r="J130" s="141">
        <f t="shared" si="91"/>
        <v>0.96</v>
      </c>
      <c r="K130" s="141">
        <f t="shared" si="91"/>
        <v>0.96</v>
      </c>
      <c r="L130" s="141">
        <f t="shared" si="91"/>
        <v>0.96</v>
      </c>
      <c r="M130" s="141">
        <f t="shared" si="91"/>
        <v>0.96</v>
      </c>
      <c r="N130" s="141">
        <f t="shared" si="91"/>
        <v>0.96</v>
      </c>
      <c r="O130" s="141">
        <f t="shared" si="91"/>
        <v>0.96</v>
      </c>
      <c r="P130" s="141">
        <f t="shared" si="91"/>
        <v>0.96</v>
      </c>
      <c r="Q130" s="141">
        <f t="shared" si="91"/>
        <v>0.96</v>
      </c>
      <c r="R130" s="141">
        <f t="shared" si="91"/>
        <v>0.96</v>
      </c>
      <c r="S130" s="141">
        <f t="shared" si="91"/>
        <v>0.96</v>
      </c>
      <c r="T130" s="141">
        <f t="shared" si="91"/>
        <v>0.96</v>
      </c>
      <c r="U130" s="141">
        <f t="shared" si="91"/>
        <v>0.96</v>
      </c>
      <c r="V130" s="141">
        <f t="shared" si="91"/>
        <v>0.96</v>
      </c>
      <c r="W130" s="141">
        <f t="shared" si="91"/>
        <v>1.08</v>
      </c>
      <c r="X130" s="141">
        <f t="shared" si="91"/>
        <v>1.08</v>
      </c>
      <c r="Y130" s="141">
        <f t="shared" si="91"/>
        <v>1.08</v>
      </c>
      <c r="Z130" s="141">
        <f t="shared" si="91"/>
        <v>1.08</v>
      </c>
      <c r="AA130" s="141">
        <f t="shared" si="91"/>
        <v>1.08</v>
      </c>
      <c r="AB130" s="141">
        <f t="shared" si="91"/>
        <v>1.08</v>
      </c>
      <c r="AC130" s="141">
        <f t="shared" si="91"/>
        <v>1.08</v>
      </c>
      <c r="AD130" s="141">
        <f t="shared" si="91"/>
        <v>1.08</v>
      </c>
      <c r="AE130" s="141">
        <f t="shared" si="91"/>
        <v>1.08</v>
      </c>
      <c r="AF130" s="141">
        <f t="shared" si="91"/>
        <v>1.08</v>
      </c>
      <c r="AG130" s="141">
        <f t="shared" si="91"/>
        <v>1.08</v>
      </c>
      <c r="AH130" s="141">
        <f t="shared" si="91"/>
        <v>1.08</v>
      </c>
      <c r="AI130" s="141">
        <f t="shared" si="77"/>
        <v>0.99</v>
      </c>
      <c r="AJ130" s="141">
        <f t="shared" si="78"/>
        <v>1.08</v>
      </c>
      <c r="AK130" s="141">
        <f t="shared" si="79"/>
        <v>1.08</v>
      </c>
      <c r="AL130" s="141">
        <f t="shared" si="80"/>
        <v>1.08</v>
      </c>
      <c r="AM130" s="215">
        <f t="shared" si="81"/>
        <v>1.013333333</v>
      </c>
      <c r="AN130" s="102"/>
    </row>
    <row r="131" ht="14.25" customHeight="1">
      <c r="A131" s="463"/>
      <c r="B131" s="466" t="s">
        <v>2160</v>
      </c>
      <c r="C131" s="162"/>
      <c r="D131" s="100"/>
      <c r="E131" s="162"/>
      <c r="F131" s="162"/>
      <c r="G131" s="162"/>
      <c r="H131" s="141">
        <f t="shared" ref="H131:AH131" si="92">COUNTA(H55:H69)/COUNTA($G$55:$G$69)</f>
        <v>1</v>
      </c>
      <c r="I131" s="141">
        <f t="shared" si="92"/>
        <v>1</v>
      </c>
      <c r="J131" s="141">
        <f t="shared" si="92"/>
        <v>1</v>
      </c>
      <c r="K131" s="141">
        <f t="shared" si="92"/>
        <v>1</v>
      </c>
      <c r="L131" s="141">
        <f t="shared" si="92"/>
        <v>1</v>
      </c>
      <c r="M131" s="141">
        <f t="shared" si="92"/>
        <v>1</v>
      </c>
      <c r="N131" s="141">
        <f t="shared" si="92"/>
        <v>1</v>
      </c>
      <c r="O131" s="141">
        <f t="shared" si="92"/>
        <v>1</v>
      </c>
      <c r="P131" s="141">
        <f t="shared" si="92"/>
        <v>1</v>
      </c>
      <c r="Q131" s="141">
        <f t="shared" si="92"/>
        <v>1</v>
      </c>
      <c r="R131" s="141">
        <f t="shared" si="92"/>
        <v>1</v>
      </c>
      <c r="S131" s="141">
        <f t="shared" si="92"/>
        <v>1</v>
      </c>
      <c r="T131" s="141">
        <f t="shared" si="92"/>
        <v>1</v>
      </c>
      <c r="U131" s="141">
        <f t="shared" si="92"/>
        <v>1</v>
      </c>
      <c r="V131" s="141">
        <f t="shared" si="92"/>
        <v>1</v>
      </c>
      <c r="W131" s="141">
        <f t="shared" si="92"/>
        <v>1</v>
      </c>
      <c r="X131" s="141">
        <f t="shared" si="92"/>
        <v>1</v>
      </c>
      <c r="Y131" s="141">
        <f t="shared" si="92"/>
        <v>1</v>
      </c>
      <c r="Z131" s="141">
        <f t="shared" si="92"/>
        <v>1</v>
      </c>
      <c r="AA131" s="141">
        <f t="shared" si="92"/>
        <v>1</v>
      </c>
      <c r="AB131" s="141">
        <f t="shared" si="92"/>
        <v>1</v>
      </c>
      <c r="AC131" s="141">
        <f t="shared" si="92"/>
        <v>1</v>
      </c>
      <c r="AD131" s="141">
        <f t="shared" si="92"/>
        <v>1</v>
      </c>
      <c r="AE131" s="141">
        <f t="shared" si="92"/>
        <v>1</v>
      </c>
      <c r="AF131" s="141">
        <f t="shared" si="92"/>
        <v>1</v>
      </c>
      <c r="AG131" s="141">
        <f t="shared" si="92"/>
        <v>1</v>
      </c>
      <c r="AH131" s="141">
        <f t="shared" si="92"/>
        <v>1</v>
      </c>
      <c r="AI131" s="141">
        <f t="shared" si="77"/>
        <v>1</v>
      </c>
      <c r="AJ131" s="141">
        <f t="shared" si="78"/>
        <v>1</v>
      </c>
      <c r="AK131" s="141">
        <f t="shared" si="79"/>
        <v>1</v>
      </c>
      <c r="AL131" s="141">
        <f t="shared" si="80"/>
        <v>1</v>
      </c>
      <c r="AM131" s="215">
        <f t="shared" si="81"/>
        <v>1</v>
      </c>
      <c r="AN131" s="102"/>
    </row>
    <row r="132" ht="14.25" customHeight="1">
      <c r="A132" s="463"/>
      <c r="B132" s="162"/>
      <c r="C132" s="162"/>
      <c r="D132" s="466" t="s">
        <v>2081</v>
      </c>
      <c r="E132" s="162"/>
      <c r="F132" s="162"/>
      <c r="G132" s="162"/>
      <c r="H132" s="141">
        <f t="shared" ref="H132:AH132" si="93">COUNTA(H55:H60)/COUNTA($G$55:$G$60)</f>
        <v>1</v>
      </c>
      <c r="I132" s="141">
        <f t="shared" si="93"/>
        <v>1</v>
      </c>
      <c r="J132" s="141">
        <f t="shared" si="93"/>
        <v>1</v>
      </c>
      <c r="K132" s="141">
        <f t="shared" si="93"/>
        <v>1</v>
      </c>
      <c r="L132" s="141">
        <f t="shared" si="93"/>
        <v>1</v>
      </c>
      <c r="M132" s="141">
        <f t="shared" si="93"/>
        <v>1</v>
      </c>
      <c r="N132" s="141">
        <f t="shared" si="93"/>
        <v>1</v>
      </c>
      <c r="O132" s="141">
        <f t="shared" si="93"/>
        <v>1</v>
      </c>
      <c r="P132" s="141">
        <f t="shared" si="93"/>
        <v>1</v>
      </c>
      <c r="Q132" s="141">
        <f t="shared" si="93"/>
        <v>1</v>
      </c>
      <c r="R132" s="141">
        <f t="shared" si="93"/>
        <v>1</v>
      </c>
      <c r="S132" s="141">
        <f t="shared" si="93"/>
        <v>1</v>
      </c>
      <c r="T132" s="141">
        <f t="shared" si="93"/>
        <v>1</v>
      </c>
      <c r="U132" s="141">
        <f t="shared" si="93"/>
        <v>1</v>
      </c>
      <c r="V132" s="141">
        <f t="shared" si="93"/>
        <v>1</v>
      </c>
      <c r="W132" s="141">
        <f t="shared" si="93"/>
        <v>1</v>
      </c>
      <c r="X132" s="141">
        <f t="shared" si="93"/>
        <v>1</v>
      </c>
      <c r="Y132" s="141">
        <f t="shared" si="93"/>
        <v>1</v>
      </c>
      <c r="Z132" s="141">
        <f t="shared" si="93"/>
        <v>1</v>
      </c>
      <c r="AA132" s="141">
        <f t="shared" si="93"/>
        <v>1</v>
      </c>
      <c r="AB132" s="141">
        <f t="shared" si="93"/>
        <v>1</v>
      </c>
      <c r="AC132" s="141">
        <f t="shared" si="93"/>
        <v>1</v>
      </c>
      <c r="AD132" s="141">
        <f t="shared" si="93"/>
        <v>1</v>
      </c>
      <c r="AE132" s="141">
        <f t="shared" si="93"/>
        <v>1</v>
      </c>
      <c r="AF132" s="141">
        <f t="shared" si="93"/>
        <v>1</v>
      </c>
      <c r="AG132" s="141">
        <f t="shared" si="93"/>
        <v>1</v>
      </c>
      <c r="AH132" s="141">
        <f t="shared" si="93"/>
        <v>1</v>
      </c>
      <c r="AI132" s="141">
        <f t="shared" si="77"/>
        <v>1</v>
      </c>
      <c r="AJ132" s="141">
        <f t="shared" si="78"/>
        <v>1</v>
      </c>
      <c r="AK132" s="141">
        <f t="shared" si="79"/>
        <v>1</v>
      </c>
      <c r="AL132" s="141">
        <f t="shared" si="80"/>
        <v>1</v>
      </c>
      <c r="AM132" s="215">
        <f t="shared" si="81"/>
        <v>1</v>
      </c>
      <c r="AN132" s="102"/>
    </row>
    <row r="133" ht="14.25" customHeight="1">
      <c r="A133" s="463"/>
      <c r="B133" s="162"/>
      <c r="C133" s="162"/>
      <c r="D133" s="466" t="s">
        <v>2116</v>
      </c>
      <c r="E133" s="162"/>
      <c r="F133" s="162"/>
      <c r="G133" s="162"/>
      <c r="H133" s="141">
        <f t="shared" ref="H133:AH133" si="94">COUNTA(H67:H69)/COUNTA($G$67:$G$69)</f>
        <v>1</v>
      </c>
      <c r="I133" s="141">
        <f t="shared" si="94"/>
        <v>1</v>
      </c>
      <c r="J133" s="141">
        <f t="shared" si="94"/>
        <v>1</v>
      </c>
      <c r="K133" s="141">
        <f t="shared" si="94"/>
        <v>1</v>
      </c>
      <c r="L133" s="141">
        <f t="shared" si="94"/>
        <v>1</v>
      </c>
      <c r="M133" s="141">
        <f t="shared" si="94"/>
        <v>1</v>
      </c>
      <c r="N133" s="141">
        <f t="shared" si="94"/>
        <v>1</v>
      </c>
      <c r="O133" s="141">
        <f t="shared" si="94"/>
        <v>1</v>
      </c>
      <c r="P133" s="141">
        <f t="shared" si="94"/>
        <v>1</v>
      </c>
      <c r="Q133" s="141">
        <f t="shared" si="94"/>
        <v>1</v>
      </c>
      <c r="R133" s="141">
        <f t="shared" si="94"/>
        <v>1</v>
      </c>
      <c r="S133" s="141">
        <f t="shared" si="94"/>
        <v>1</v>
      </c>
      <c r="T133" s="141">
        <f t="shared" si="94"/>
        <v>1</v>
      </c>
      <c r="U133" s="141">
        <f t="shared" si="94"/>
        <v>1</v>
      </c>
      <c r="V133" s="141">
        <f t="shared" si="94"/>
        <v>1</v>
      </c>
      <c r="W133" s="141">
        <f t="shared" si="94"/>
        <v>1</v>
      </c>
      <c r="X133" s="141">
        <f t="shared" si="94"/>
        <v>1</v>
      </c>
      <c r="Y133" s="141">
        <f t="shared" si="94"/>
        <v>1</v>
      </c>
      <c r="Z133" s="141">
        <f t="shared" si="94"/>
        <v>1</v>
      </c>
      <c r="AA133" s="141">
        <f t="shared" si="94"/>
        <v>1</v>
      </c>
      <c r="AB133" s="141">
        <f t="shared" si="94"/>
        <v>1</v>
      </c>
      <c r="AC133" s="141">
        <f t="shared" si="94"/>
        <v>1</v>
      </c>
      <c r="AD133" s="141">
        <f t="shared" si="94"/>
        <v>1</v>
      </c>
      <c r="AE133" s="141">
        <f t="shared" si="94"/>
        <v>1</v>
      </c>
      <c r="AF133" s="141">
        <f t="shared" si="94"/>
        <v>1</v>
      </c>
      <c r="AG133" s="141">
        <f t="shared" si="94"/>
        <v>1</v>
      </c>
      <c r="AH133" s="141">
        <f t="shared" si="94"/>
        <v>1</v>
      </c>
      <c r="AI133" s="141">
        <f t="shared" si="77"/>
        <v>1</v>
      </c>
      <c r="AJ133" s="141">
        <f t="shared" si="78"/>
        <v>1</v>
      </c>
      <c r="AK133" s="141">
        <f t="shared" si="79"/>
        <v>1</v>
      </c>
      <c r="AL133" s="141">
        <f t="shared" si="80"/>
        <v>1</v>
      </c>
      <c r="AM133" s="215">
        <f t="shared" si="81"/>
        <v>1</v>
      </c>
      <c r="AN133" s="102"/>
    </row>
    <row r="134" ht="14.25" customHeight="1">
      <c r="A134" s="463"/>
      <c r="B134" s="466" t="s">
        <v>2189</v>
      </c>
      <c r="C134" s="162"/>
      <c r="D134" s="100"/>
      <c r="E134" s="162"/>
      <c r="F134" s="162"/>
      <c r="G134" s="162"/>
      <c r="H134" s="141">
        <f t="shared" ref="H134:AH134" si="95">COUNTA(H71:H80)/COUNTA($G$71:$G$80)</f>
        <v>0.9</v>
      </c>
      <c r="I134" s="141">
        <f t="shared" si="95"/>
        <v>0.9</v>
      </c>
      <c r="J134" s="141">
        <f t="shared" si="95"/>
        <v>0.9</v>
      </c>
      <c r="K134" s="141">
        <f t="shared" si="95"/>
        <v>0.9</v>
      </c>
      <c r="L134" s="141">
        <f t="shared" si="95"/>
        <v>0.9</v>
      </c>
      <c r="M134" s="141">
        <f t="shared" si="95"/>
        <v>0.9</v>
      </c>
      <c r="N134" s="141">
        <f t="shared" si="95"/>
        <v>0.9</v>
      </c>
      <c r="O134" s="141">
        <f t="shared" si="95"/>
        <v>0.9</v>
      </c>
      <c r="P134" s="141">
        <f t="shared" si="95"/>
        <v>0.9</v>
      </c>
      <c r="Q134" s="141">
        <f t="shared" si="95"/>
        <v>0.9</v>
      </c>
      <c r="R134" s="141">
        <f t="shared" si="95"/>
        <v>0.9</v>
      </c>
      <c r="S134" s="141">
        <f t="shared" si="95"/>
        <v>0.9</v>
      </c>
      <c r="T134" s="141">
        <f t="shared" si="95"/>
        <v>0.9</v>
      </c>
      <c r="U134" s="141">
        <f t="shared" si="95"/>
        <v>0.9</v>
      </c>
      <c r="V134" s="141">
        <f t="shared" si="95"/>
        <v>0.9</v>
      </c>
      <c r="W134" s="141">
        <f t="shared" si="95"/>
        <v>1</v>
      </c>
      <c r="X134" s="141">
        <f t="shared" si="95"/>
        <v>1</v>
      </c>
      <c r="Y134" s="141">
        <f t="shared" si="95"/>
        <v>1</v>
      </c>
      <c r="Z134" s="141">
        <f t="shared" si="95"/>
        <v>1</v>
      </c>
      <c r="AA134" s="141">
        <f t="shared" si="95"/>
        <v>1</v>
      </c>
      <c r="AB134" s="141">
        <f t="shared" si="95"/>
        <v>1</v>
      </c>
      <c r="AC134" s="141">
        <f t="shared" si="95"/>
        <v>1</v>
      </c>
      <c r="AD134" s="141">
        <f t="shared" si="95"/>
        <v>1</v>
      </c>
      <c r="AE134" s="141">
        <f t="shared" si="95"/>
        <v>1</v>
      </c>
      <c r="AF134" s="141">
        <f t="shared" si="95"/>
        <v>1</v>
      </c>
      <c r="AG134" s="141">
        <f t="shared" si="95"/>
        <v>1</v>
      </c>
      <c r="AH134" s="141">
        <f t="shared" si="95"/>
        <v>1</v>
      </c>
      <c r="AI134" s="141">
        <f t="shared" si="77"/>
        <v>0.925</v>
      </c>
      <c r="AJ134" s="141">
        <f t="shared" si="78"/>
        <v>1</v>
      </c>
      <c r="AK134" s="141">
        <f t="shared" si="79"/>
        <v>1</v>
      </c>
      <c r="AL134" s="141">
        <f t="shared" si="80"/>
        <v>1</v>
      </c>
      <c r="AM134" s="215">
        <f t="shared" si="81"/>
        <v>0.9444444444</v>
      </c>
      <c r="AN134" s="102"/>
    </row>
    <row r="135" ht="14.25" customHeight="1">
      <c r="A135" s="463" t="s">
        <v>2268</v>
      </c>
      <c r="B135" s="466"/>
      <c r="C135" s="466"/>
      <c r="D135" s="466"/>
      <c r="E135" s="162"/>
      <c r="F135" s="162"/>
      <c r="G135" s="162"/>
      <c r="H135" s="141"/>
      <c r="I135" s="141"/>
      <c r="J135" s="141"/>
      <c r="K135" s="141"/>
      <c r="L135" s="141"/>
      <c r="M135" s="141"/>
      <c r="N135" s="141"/>
      <c r="O135" s="141"/>
      <c r="P135" s="141"/>
      <c r="Q135" s="141"/>
      <c r="R135" s="141"/>
      <c r="S135" s="141"/>
      <c r="T135" s="141"/>
      <c r="U135" s="141"/>
      <c r="V135" s="141"/>
      <c r="W135" s="141"/>
      <c r="X135" s="141"/>
      <c r="Y135" s="141"/>
      <c r="Z135" s="141"/>
      <c r="AA135" s="141"/>
      <c r="AB135" s="141"/>
      <c r="AC135" s="141"/>
      <c r="AD135" s="141"/>
      <c r="AE135" s="141"/>
      <c r="AF135" s="141"/>
      <c r="AG135" s="141"/>
      <c r="AH135" s="141"/>
      <c r="AI135" s="141"/>
      <c r="AJ135" s="141"/>
      <c r="AK135" s="141"/>
      <c r="AL135" s="141"/>
      <c r="AM135" s="141"/>
      <c r="AN135" s="102"/>
    </row>
    <row r="136" ht="14.25" customHeight="1">
      <c r="A136" s="463"/>
      <c r="B136" s="466" t="s">
        <v>2269</v>
      </c>
      <c r="C136" s="466"/>
      <c r="D136" s="466"/>
      <c r="E136" s="162"/>
      <c r="F136" s="162"/>
      <c r="G136" s="162"/>
      <c r="H136" s="141">
        <f t="shared" ref="H136:AH136" si="96">AVERAGE(H137:H147)</f>
        <v>1.8</v>
      </c>
      <c r="I136" s="141">
        <f t="shared" si="96"/>
        <v>1.8</v>
      </c>
      <c r="J136" s="141">
        <f t="shared" si="96"/>
        <v>1.8</v>
      </c>
      <c r="K136" s="141">
        <f t="shared" si="96"/>
        <v>1.8</v>
      </c>
      <c r="L136" s="141">
        <f t="shared" si="96"/>
        <v>1.8</v>
      </c>
      <c r="M136" s="141">
        <f t="shared" si="96"/>
        <v>1.8</v>
      </c>
      <c r="N136" s="141">
        <f t="shared" si="96"/>
        <v>1.8</v>
      </c>
      <c r="O136" s="141">
        <f t="shared" si="96"/>
        <v>1.8</v>
      </c>
      <c r="P136" s="141">
        <f t="shared" si="96"/>
        <v>1.8</v>
      </c>
      <c r="Q136" s="141">
        <f t="shared" si="96"/>
        <v>1.8</v>
      </c>
      <c r="R136" s="141">
        <f t="shared" si="96"/>
        <v>1.8</v>
      </c>
      <c r="S136" s="141">
        <f t="shared" si="96"/>
        <v>1.8</v>
      </c>
      <c r="T136" s="141">
        <f t="shared" si="96"/>
        <v>1.8</v>
      </c>
      <c r="U136" s="141">
        <f t="shared" si="96"/>
        <v>1.8</v>
      </c>
      <c r="V136" s="141">
        <f t="shared" si="96"/>
        <v>1.8</v>
      </c>
      <c r="W136" s="141">
        <f t="shared" si="96"/>
        <v>1.8</v>
      </c>
      <c r="X136" s="141">
        <f t="shared" si="96"/>
        <v>1.8</v>
      </c>
      <c r="Y136" s="141">
        <f t="shared" si="96"/>
        <v>1.8</v>
      </c>
      <c r="Z136" s="141">
        <f t="shared" si="96"/>
        <v>1.8</v>
      </c>
      <c r="AA136" s="141">
        <f t="shared" si="96"/>
        <v>1.8</v>
      </c>
      <c r="AB136" s="141">
        <f t="shared" si="96"/>
        <v>1.8</v>
      </c>
      <c r="AC136" s="141">
        <f t="shared" si="96"/>
        <v>1.8</v>
      </c>
      <c r="AD136" s="141">
        <f t="shared" si="96"/>
        <v>1.8</v>
      </c>
      <c r="AE136" s="141">
        <f t="shared" si="96"/>
        <v>1.8</v>
      </c>
      <c r="AF136" s="141">
        <f t="shared" si="96"/>
        <v>1.8</v>
      </c>
      <c r="AG136" s="141">
        <f t="shared" si="96"/>
        <v>1.8</v>
      </c>
      <c r="AH136" s="141">
        <f t="shared" si="96"/>
        <v>1.8</v>
      </c>
      <c r="AI136" s="141">
        <f t="shared" ref="AI136:AI156" si="98">AVERAGE(H136:AA136)</f>
        <v>1.8</v>
      </c>
      <c r="AJ136" s="141">
        <f t="shared" ref="AJ136:AJ156" si="99">W136</f>
        <v>1.8</v>
      </c>
      <c r="AK136" s="141">
        <f t="shared" ref="AK136:AK156" si="100">AVERAGE(AB136:AH136)</f>
        <v>1.8</v>
      </c>
      <c r="AL136" s="141">
        <f t="shared" ref="AL136:AL156" si="101">AVERAGE(W136,AB136,AC136,AD136,AE136,AF136,AG136,AH136)</f>
        <v>1.8</v>
      </c>
      <c r="AM136" s="215">
        <f t="shared" ref="AM136:AM156" si="102">AVERAGE(H136:AH136)</f>
        <v>1.8</v>
      </c>
      <c r="AN136" s="102"/>
    </row>
    <row r="137" ht="14.25" customHeight="1">
      <c r="A137" s="498" t="str">
        <f t="shared" ref="A137:A139" si="103">$B$137&amp;D137</f>
        <v/>
      </c>
      <c r="B137" s="466"/>
      <c r="C137" s="466" t="s">
        <v>2270</v>
      </c>
      <c r="D137" s="100"/>
      <c r="E137" s="100"/>
      <c r="F137" s="206"/>
      <c r="G137" s="162"/>
      <c r="H137" s="141">
        <f t="shared" ref="H137:AH137" si="97">(COUNTA(H15:H25)+COUNTA(H46)+COUNTA(#REF!))/(1+1+1)</f>
        <v>4</v>
      </c>
      <c r="I137" s="141">
        <f t="shared" si="97"/>
        <v>4</v>
      </c>
      <c r="J137" s="141">
        <f t="shared" si="97"/>
        <v>4</v>
      </c>
      <c r="K137" s="141">
        <f t="shared" si="97"/>
        <v>4</v>
      </c>
      <c r="L137" s="141">
        <f t="shared" si="97"/>
        <v>4</v>
      </c>
      <c r="M137" s="141">
        <f t="shared" si="97"/>
        <v>4</v>
      </c>
      <c r="N137" s="141">
        <f t="shared" si="97"/>
        <v>4</v>
      </c>
      <c r="O137" s="141">
        <f t="shared" si="97"/>
        <v>4</v>
      </c>
      <c r="P137" s="141">
        <f t="shared" si="97"/>
        <v>4</v>
      </c>
      <c r="Q137" s="141">
        <f t="shared" si="97"/>
        <v>4</v>
      </c>
      <c r="R137" s="141">
        <f t="shared" si="97"/>
        <v>4</v>
      </c>
      <c r="S137" s="141">
        <f t="shared" si="97"/>
        <v>4</v>
      </c>
      <c r="T137" s="141">
        <f t="shared" si="97"/>
        <v>4</v>
      </c>
      <c r="U137" s="141">
        <f t="shared" si="97"/>
        <v>4</v>
      </c>
      <c r="V137" s="141">
        <f t="shared" si="97"/>
        <v>4</v>
      </c>
      <c r="W137" s="141">
        <f t="shared" si="97"/>
        <v>4</v>
      </c>
      <c r="X137" s="141">
        <f t="shared" si="97"/>
        <v>4</v>
      </c>
      <c r="Y137" s="141">
        <f t="shared" si="97"/>
        <v>4</v>
      </c>
      <c r="Z137" s="141">
        <f t="shared" si="97"/>
        <v>4</v>
      </c>
      <c r="AA137" s="141">
        <f t="shared" si="97"/>
        <v>4</v>
      </c>
      <c r="AB137" s="141">
        <f t="shared" si="97"/>
        <v>4</v>
      </c>
      <c r="AC137" s="141">
        <f t="shared" si="97"/>
        <v>4</v>
      </c>
      <c r="AD137" s="141">
        <f t="shared" si="97"/>
        <v>4</v>
      </c>
      <c r="AE137" s="141">
        <f t="shared" si="97"/>
        <v>4</v>
      </c>
      <c r="AF137" s="141">
        <f t="shared" si="97"/>
        <v>4</v>
      </c>
      <c r="AG137" s="141">
        <f t="shared" si="97"/>
        <v>4</v>
      </c>
      <c r="AH137" s="141">
        <f t="shared" si="97"/>
        <v>4</v>
      </c>
      <c r="AI137" s="141">
        <f t="shared" si="98"/>
        <v>4</v>
      </c>
      <c r="AJ137" s="141">
        <f t="shared" si="99"/>
        <v>4</v>
      </c>
      <c r="AK137" s="141">
        <f t="shared" si="100"/>
        <v>4</v>
      </c>
      <c r="AL137" s="141">
        <f t="shared" si="101"/>
        <v>4</v>
      </c>
      <c r="AM137" s="215">
        <f t="shared" si="102"/>
        <v>4</v>
      </c>
      <c r="AN137" s="102"/>
    </row>
    <row r="138" ht="14.25" customHeight="1">
      <c r="A138" s="498" t="str">
        <f t="shared" si="103"/>
        <v/>
      </c>
      <c r="B138" s="466"/>
      <c r="C138" s="466" t="s">
        <v>2271</v>
      </c>
      <c r="D138" s="162"/>
      <c r="E138" s="100"/>
      <c r="F138" s="162"/>
      <c r="G138" s="162"/>
      <c r="H138" s="141">
        <f t="shared" ref="H138:AH138" si="104">(COUNTA(#REF!)+COUNTA(H33,#REF!)+COUNTA(H47)+COUNTA(H64))/(1+2+1+1)</f>
        <v>0.8</v>
      </c>
      <c r="I138" s="141">
        <f t="shared" si="104"/>
        <v>0.8</v>
      </c>
      <c r="J138" s="141">
        <f t="shared" si="104"/>
        <v>0.8</v>
      </c>
      <c r="K138" s="141">
        <f t="shared" si="104"/>
        <v>0.8</v>
      </c>
      <c r="L138" s="141">
        <f t="shared" si="104"/>
        <v>0.8</v>
      </c>
      <c r="M138" s="141">
        <f t="shared" si="104"/>
        <v>0.8</v>
      </c>
      <c r="N138" s="141">
        <f t="shared" si="104"/>
        <v>0.8</v>
      </c>
      <c r="O138" s="141">
        <f t="shared" si="104"/>
        <v>0.8</v>
      </c>
      <c r="P138" s="141">
        <f t="shared" si="104"/>
        <v>0.8</v>
      </c>
      <c r="Q138" s="141">
        <f t="shared" si="104"/>
        <v>0.8</v>
      </c>
      <c r="R138" s="141">
        <f t="shared" si="104"/>
        <v>0.8</v>
      </c>
      <c r="S138" s="141">
        <f t="shared" si="104"/>
        <v>0.8</v>
      </c>
      <c r="T138" s="141">
        <f t="shared" si="104"/>
        <v>0.8</v>
      </c>
      <c r="U138" s="141">
        <f t="shared" si="104"/>
        <v>0.8</v>
      </c>
      <c r="V138" s="141">
        <f t="shared" si="104"/>
        <v>0.8</v>
      </c>
      <c r="W138" s="141">
        <f t="shared" si="104"/>
        <v>0.8</v>
      </c>
      <c r="X138" s="141">
        <f t="shared" si="104"/>
        <v>0.8</v>
      </c>
      <c r="Y138" s="141">
        <f t="shared" si="104"/>
        <v>0.8</v>
      </c>
      <c r="Z138" s="141">
        <f t="shared" si="104"/>
        <v>0.8</v>
      </c>
      <c r="AA138" s="141">
        <f t="shared" si="104"/>
        <v>0.8</v>
      </c>
      <c r="AB138" s="141">
        <f t="shared" si="104"/>
        <v>0.8</v>
      </c>
      <c r="AC138" s="141">
        <f t="shared" si="104"/>
        <v>0.8</v>
      </c>
      <c r="AD138" s="141">
        <f t="shared" si="104"/>
        <v>0.8</v>
      </c>
      <c r="AE138" s="141">
        <f t="shared" si="104"/>
        <v>0.8</v>
      </c>
      <c r="AF138" s="141">
        <f t="shared" si="104"/>
        <v>0.8</v>
      </c>
      <c r="AG138" s="141">
        <f t="shared" si="104"/>
        <v>0.8</v>
      </c>
      <c r="AH138" s="141">
        <f t="shared" si="104"/>
        <v>0.8</v>
      </c>
      <c r="AI138" s="141">
        <f t="shared" si="98"/>
        <v>0.8</v>
      </c>
      <c r="AJ138" s="141">
        <f t="shared" si="99"/>
        <v>0.8</v>
      </c>
      <c r="AK138" s="141">
        <f t="shared" si="100"/>
        <v>0.8</v>
      </c>
      <c r="AL138" s="141">
        <f t="shared" si="101"/>
        <v>0.8</v>
      </c>
      <c r="AM138" s="215">
        <f t="shared" si="102"/>
        <v>0.8</v>
      </c>
      <c r="AN138" s="102"/>
    </row>
    <row r="139" ht="14.25" customHeight="1">
      <c r="A139" s="498" t="str">
        <f t="shared" si="103"/>
        <v/>
      </c>
      <c r="B139" s="466"/>
      <c r="C139" s="466" t="s">
        <v>2272</v>
      </c>
      <c r="D139" s="162"/>
      <c r="E139" s="100"/>
      <c r="F139" s="162"/>
      <c r="G139" s="162"/>
      <c r="H139" s="141">
        <f t="shared" ref="H139:AH139" si="105">MAX(((COUNTA(#REF!)+COUNTA(#REF!)+COUNTA(#REF!))+(COUNTA(H40)+COUNTA(#REF!)+COUNTA(#REF!))+COUNTA(#REF!))/(1+1+1),AVERAGE(H140:H141))</f>
        <v>2.333333333</v>
      </c>
      <c r="I139" s="141">
        <f t="shared" si="105"/>
        <v>2.333333333</v>
      </c>
      <c r="J139" s="141">
        <f t="shared" si="105"/>
        <v>2.333333333</v>
      </c>
      <c r="K139" s="141">
        <f t="shared" si="105"/>
        <v>2.333333333</v>
      </c>
      <c r="L139" s="141">
        <f t="shared" si="105"/>
        <v>2.333333333</v>
      </c>
      <c r="M139" s="141">
        <f t="shared" si="105"/>
        <v>2.333333333</v>
      </c>
      <c r="N139" s="141">
        <f t="shared" si="105"/>
        <v>2.333333333</v>
      </c>
      <c r="O139" s="141">
        <f t="shared" si="105"/>
        <v>2.333333333</v>
      </c>
      <c r="P139" s="141">
        <f t="shared" si="105"/>
        <v>2.333333333</v>
      </c>
      <c r="Q139" s="141">
        <f t="shared" si="105"/>
        <v>2.333333333</v>
      </c>
      <c r="R139" s="141">
        <f t="shared" si="105"/>
        <v>2.333333333</v>
      </c>
      <c r="S139" s="141">
        <f t="shared" si="105"/>
        <v>2.333333333</v>
      </c>
      <c r="T139" s="141">
        <f t="shared" si="105"/>
        <v>2.333333333</v>
      </c>
      <c r="U139" s="141">
        <f t="shared" si="105"/>
        <v>2.333333333</v>
      </c>
      <c r="V139" s="141">
        <f t="shared" si="105"/>
        <v>2.333333333</v>
      </c>
      <c r="W139" s="141">
        <f t="shared" si="105"/>
        <v>2.333333333</v>
      </c>
      <c r="X139" s="141">
        <f t="shared" si="105"/>
        <v>2.333333333</v>
      </c>
      <c r="Y139" s="141">
        <f t="shared" si="105"/>
        <v>2.333333333</v>
      </c>
      <c r="Z139" s="141">
        <f t="shared" si="105"/>
        <v>2.333333333</v>
      </c>
      <c r="AA139" s="141">
        <f t="shared" si="105"/>
        <v>2.333333333</v>
      </c>
      <c r="AB139" s="141">
        <f t="shared" si="105"/>
        <v>2.333333333</v>
      </c>
      <c r="AC139" s="141">
        <f t="shared" si="105"/>
        <v>2.333333333</v>
      </c>
      <c r="AD139" s="141">
        <f t="shared" si="105"/>
        <v>2.333333333</v>
      </c>
      <c r="AE139" s="141">
        <f t="shared" si="105"/>
        <v>2.333333333</v>
      </c>
      <c r="AF139" s="141">
        <f t="shared" si="105"/>
        <v>2.333333333</v>
      </c>
      <c r="AG139" s="141">
        <f t="shared" si="105"/>
        <v>2.333333333</v>
      </c>
      <c r="AH139" s="141">
        <f t="shared" si="105"/>
        <v>2.333333333</v>
      </c>
      <c r="AI139" s="141">
        <f t="shared" si="98"/>
        <v>2.333333333</v>
      </c>
      <c r="AJ139" s="141">
        <f t="shared" si="99"/>
        <v>2.333333333</v>
      </c>
      <c r="AK139" s="141">
        <f t="shared" si="100"/>
        <v>2.333333333</v>
      </c>
      <c r="AL139" s="141">
        <f t="shared" si="101"/>
        <v>2.333333333</v>
      </c>
      <c r="AM139" s="215">
        <f t="shared" si="102"/>
        <v>2.333333333</v>
      </c>
      <c r="AN139" s="102"/>
    </row>
    <row r="140" ht="14.25" customHeight="1">
      <c r="A140" s="498"/>
      <c r="B140" s="466"/>
      <c r="C140" s="100"/>
      <c r="D140" s="466" t="s">
        <v>2273</v>
      </c>
      <c r="E140" s="100"/>
      <c r="F140" s="162"/>
      <c r="G140" s="162"/>
      <c r="H140" s="141">
        <f t="shared" ref="H140:AH140" si="106">((COUNTA(H10)+COUNTA(#REF!)+COUNTA(H18))+COUNTA(H34,#REF!)+(COUNTA(H41)+COUNTA(#REF!)+COUNTA(#REF!))+COUNTA(H55))/(1+2+1+1)</f>
        <v>1.8</v>
      </c>
      <c r="I140" s="141">
        <f t="shared" si="106"/>
        <v>1.8</v>
      </c>
      <c r="J140" s="141">
        <f t="shared" si="106"/>
        <v>1.8</v>
      </c>
      <c r="K140" s="141">
        <f t="shared" si="106"/>
        <v>1.8</v>
      </c>
      <c r="L140" s="141">
        <f t="shared" si="106"/>
        <v>1.8</v>
      </c>
      <c r="M140" s="141">
        <f t="shared" si="106"/>
        <v>1.8</v>
      </c>
      <c r="N140" s="141">
        <f t="shared" si="106"/>
        <v>1.8</v>
      </c>
      <c r="O140" s="141">
        <f t="shared" si="106"/>
        <v>1.8</v>
      </c>
      <c r="P140" s="141">
        <f t="shared" si="106"/>
        <v>1.8</v>
      </c>
      <c r="Q140" s="141">
        <f t="shared" si="106"/>
        <v>1.8</v>
      </c>
      <c r="R140" s="141">
        <f t="shared" si="106"/>
        <v>1.8</v>
      </c>
      <c r="S140" s="141">
        <f t="shared" si="106"/>
        <v>1.8</v>
      </c>
      <c r="T140" s="141">
        <f t="shared" si="106"/>
        <v>1.8</v>
      </c>
      <c r="U140" s="141">
        <f t="shared" si="106"/>
        <v>1.8</v>
      </c>
      <c r="V140" s="141">
        <f t="shared" si="106"/>
        <v>1.8</v>
      </c>
      <c r="W140" s="141">
        <f t="shared" si="106"/>
        <v>1.8</v>
      </c>
      <c r="X140" s="141">
        <f t="shared" si="106"/>
        <v>1.8</v>
      </c>
      <c r="Y140" s="141">
        <f t="shared" si="106"/>
        <v>1.8</v>
      </c>
      <c r="Z140" s="141">
        <f t="shared" si="106"/>
        <v>1.8</v>
      </c>
      <c r="AA140" s="141">
        <f t="shared" si="106"/>
        <v>1.8</v>
      </c>
      <c r="AB140" s="141">
        <f t="shared" si="106"/>
        <v>1.8</v>
      </c>
      <c r="AC140" s="141">
        <f t="shared" si="106"/>
        <v>1.8</v>
      </c>
      <c r="AD140" s="141">
        <f t="shared" si="106"/>
        <v>1.8</v>
      </c>
      <c r="AE140" s="141">
        <f t="shared" si="106"/>
        <v>1.8</v>
      </c>
      <c r="AF140" s="141">
        <f t="shared" si="106"/>
        <v>1.8</v>
      </c>
      <c r="AG140" s="141">
        <f t="shared" si="106"/>
        <v>1.8</v>
      </c>
      <c r="AH140" s="141">
        <f t="shared" si="106"/>
        <v>1.8</v>
      </c>
      <c r="AI140" s="141">
        <f t="shared" si="98"/>
        <v>1.8</v>
      </c>
      <c r="AJ140" s="141">
        <f t="shared" si="99"/>
        <v>1.8</v>
      </c>
      <c r="AK140" s="141">
        <f t="shared" si="100"/>
        <v>1.8</v>
      </c>
      <c r="AL140" s="141">
        <f t="shared" si="101"/>
        <v>1.8</v>
      </c>
      <c r="AM140" s="215">
        <f t="shared" si="102"/>
        <v>1.8</v>
      </c>
      <c r="AN140" s="102"/>
    </row>
    <row r="141" ht="14.25" customHeight="1">
      <c r="A141" s="498"/>
      <c r="B141" s="466"/>
      <c r="C141" s="100"/>
      <c r="D141" s="466" t="s">
        <v>2274</v>
      </c>
      <c r="E141" s="100"/>
      <c r="F141" s="162"/>
      <c r="G141" s="162"/>
      <c r="H141" s="141">
        <f t="shared" ref="H141:AH141" si="107">((COUNTA(H11)+COUNTA(#REF!)+COUNTA(H19))+COUNTA(H35,#REF!)+(COUNTA(H42)+COUNTA(#REF!)+COUNTA(#REF!))+COUNTA(H65))/(1+2+1+1)</f>
        <v>1.6</v>
      </c>
      <c r="I141" s="141">
        <f t="shared" si="107"/>
        <v>1.6</v>
      </c>
      <c r="J141" s="141">
        <f t="shared" si="107"/>
        <v>1.6</v>
      </c>
      <c r="K141" s="141">
        <f t="shared" si="107"/>
        <v>1.6</v>
      </c>
      <c r="L141" s="141">
        <f t="shared" si="107"/>
        <v>1.6</v>
      </c>
      <c r="M141" s="141">
        <f t="shared" si="107"/>
        <v>1.6</v>
      </c>
      <c r="N141" s="141">
        <f t="shared" si="107"/>
        <v>1.6</v>
      </c>
      <c r="O141" s="141">
        <f t="shared" si="107"/>
        <v>1.6</v>
      </c>
      <c r="P141" s="141">
        <f t="shared" si="107"/>
        <v>1.6</v>
      </c>
      <c r="Q141" s="141">
        <f t="shared" si="107"/>
        <v>1.6</v>
      </c>
      <c r="R141" s="141">
        <f t="shared" si="107"/>
        <v>1.6</v>
      </c>
      <c r="S141" s="141">
        <f t="shared" si="107"/>
        <v>1.6</v>
      </c>
      <c r="T141" s="141">
        <f t="shared" si="107"/>
        <v>1.6</v>
      </c>
      <c r="U141" s="141">
        <f t="shared" si="107"/>
        <v>1.6</v>
      </c>
      <c r="V141" s="141">
        <f t="shared" si="107"/>
        <v>1.6</v>
      </c>
      <c r="W141" s="141">
        <f t="shared" si="107"/>
        <v>1.6</v>
      </c>
      <c r="X141" s="141">
        <f t="shared" si="107"/>
        <v>1.6</v>
      </c>
      <c r="Y141" s="141">
        <f t="shared" si="107"/>
        <v>1.6</v>
      </c>
      <c r="Z141" s="141">
        <f t="shared" si="107"/>
        <v>1.6</v>
      </c>
      <c r="AA141" s="141">
        <f t="shared" si="107"/>
        <v>1.6</v>
      </c>
      <c r="AB141" s="141">
        <f t="shared" si="107"/>
        <v>1.6</v>
      </c>
      <c r="AC141" s="141">
        <f t="shared" si="107"/>
        <v>1.6</v>
      </c>
      <c r="AD141" s="141">
        <f t="shared" si="107"/>
        <v>1.6</v>
      </c>
      <c r="AE141" s="141">
        <f t="shared" si="107"/>
        <v>1.6</v>
      </c>
      <c r="AF141" s="141">
        <f t="shared" si="107"/>
        <v>1.6</v>
      </c>
      <c r="AG141" s="141">
        <f t="shared" si="107"/>
        <v>1.6</v>
      </c>
      <c r="AH141" s="141">
        <f t="shared" si="107"/>
        <v>1.6</v>
      </c>
      <c r="AI141" s="141">
        <f t="shared" si="98"/>
        <v>1.6</v>
      </c>
      <c r="AJ141" s="141">
        <f t="shared" si="99"/>
        <v>1.6</v>
      </c>
      <c r="AK141" s="141">
        <f t="shared" si="100"/>
        <v>1.6</v>
      </c>
      <c r="AL141" s="141">
        <f t="shared" si="101"/>
        <v>1.6</v>
      </c>
      <c r="AM141" s="215">
        <f t="shared" si="102"/>
        <v>1.6</v>
      </c>
      <c r="AN141" s="102"/>
    </row>
    <row r="142" ht="14.25" customHeight="1">
      <c r="A142" s="498"/>
      <c r="B142" s="466"/>
      <c r="C142" s="466" t="s">
        <v>2275</v>
      </c>
      <c r="D142" s="162"/>
      <c r="E142" s="100"/>
      <c r="F142" s="162"/>
      <c r="G142" s="162"/>
      <c r="H142" s="141">
        <f t="shared" ref="H142:AH142" si="108">MAX(((COUNTA(H12)+COUNTA(#REF!)+COUNTA(H21))+(COUNTA(H43)+COUNTA(#REF!)+COUNTA(#REF!))+COUNTA(H58))/(1+1+1),AVERAGE(H143:H144))</f>
        <v>2.333333333</v>
      </c>
      <c r="I142" s="141">
        <f t="shared" si="108"/>
        <v>2.333333333</v>
      </c>
      <c r="J142" s="141">
        <f t="shared" si="108"/>
        <v>2.333333333</v>
      </c>
      <c r="K142" s="141">
        <f t="shared" si="108"/>
        <v>2.333333333</v>
      </c>
      <c r="L142" s="141">
        <f t="shared" si="108"/>
        <v>2.333333333</v>
      </c>
      <c r="M142" s="141">
        <f t="shared" si="108"/>
        <v>2.333333333</v>
      </c>
      <c r="N142" s="141">
        <f t="shared" si="108"/>
        <v>2.333333333</v>
      </c>
      <c r="O142" s="141">
        <f t="shared" si="108"/>
        <v>2.333333333</v>
      </c>
      <c r="P142" s="141">
        <f t="shared" si="108"/>
        <v>2.333333333</v>
      </c>
      <c r="Q142" s="141">
        <f t="shared" si="108"/>
        <v>2.333333333</v>
      </c>
      <c r="R142" s="141">
        <f t="shared" si="108"/>
        <v>2.333333333</v>
      </c>
      <c r="S142" s="141">
        <f t="shared" si="108"/>
        <v>2.333333333</v>
      </c>
      <c r="T142" s="141">
        <f t="shared" si="108"/>
        <v>2.333333333</v>
      </c>
      <c r="U142" s="141">
        <f t="shared" si="108"/>
        <v>2.333333333</v>
      </c>
      <c r="V142" s="141">
        <f t="shared" si="108"/>
        <v>2.333333333</v>
      </c>
      <c r="W142" s="141">
        <f t="shared" si="108"/>
        <v>2.333333333</v>
      </c>
      <c r="X142" s="141">
        <f t="shared" si="108"/>
        <v>2.333333333</v>
      </c>
      <c r="Y142" s="141">
        <f t="shared" si="108"/>
        <v>2.333333333</v>
      </c>
      <c r="Z142" s="141">
        <f t="shared" si="108"/>
        <v>2.333333333</v>
      </c>
      <c r="AA142" s="141">
        <f t="shared" si="108"/>
        <v>2.333333333</v>
      </c>
      <c r="AB142" s="141">
        <f t="shared" si="108"/>
        <v>2.333333333</v>
      </c>
      <c r="AC142" s="141">
        <f t="shared" si="108"/>
        <v>2.333333333</v>
      </c>
      <c r="AD142" s="141">
        <f t="shared" si="108"/>
        <v>2.333333333</v>
      </c>
      <c r="AE142" s="141">
        <f t="shared" si="108"/>
        <v>2.333333333</v>
      </c>
      <c r="AF142" s="141">
        <f t="shared" si="108"/>
        <v>2.333333333</v>
      </c>
      <c r="AG142" s="141">
        <f t="shared" si="108"/>
        <v>2.333333333</v>
      </c>
      <c r="AH142" s="141">
        <f t="shared" si="108"/>
        <v>2.333333333</v>
      </c>
      <c r="AI142" s="141">
        <f t="shared" si="98"/>
        <v>2.333333333</v>
      </c>
      <c r="AJ142" s="141">
        <f t="shared" si="99"/>
        <v>2.333333333</v>
      </c>
      <c r="AK142" s="141">
        <f t="shared" si="100"/>
        <v>2.333333333</v>
      </c>
      <c r="AL142" s="141">
        <f t="shared" si="101"/>
        <v>2.333333333</v>
      </c>
      <c r="AM142" s="215">
        <f t="shared" si="102"/>
        <v>2.333333333</v>
      </c>
      <c r="AN142" s="102"/>
    </row>
    <row r="143" ht="14.25" customHeight="1">
      <c r="A143" s="498"/>
      <c r="B143" s="466"/>
      <c r="C143" s="100"/>
      <c r="D143" s="466" t="s">
        <v>2276</v>
      </c>
      <c r="E143" s="100"/>
      <c r="F143" s="162"/>
      <c r="G143" s="162"/>
      <c r="H143" s="141">
        <f t="shared" ref="H143:AH143" si="109">((COUNTA(H13)+COUNTA(#REF!)+COUNTA(H22))+(COUNTA(H44)+COUNTA(#REF!)+COUNTA(#REF!))+COUNTA(H59))/(1+1+1)</f>
        <v>2.333333333</v>
      </c>
      <c r="I143" s="141">
        <f t="shared" si="109"/>
        <v>2.333333333</v>
      </c>
      <c r="J143" s="141">
        <f t="shared" si="109"/>
        <v>2.333333333</v>
      </c>
      <c r="K143" s="141">
        <f t="shared" si="109"/>
        <v>2.333333333</v>
      </c>
      <c r="L143" s="141">
        <f t="shared" si="109"/>
        <v>2.333333333</v>
      </c>
      <c r="M143" s="141">
        <f t="shared" si="109"/>
        <v>2.333333333</v>
      </c>
      <c r="N143" s="141">
        <f t="shared" si="109"/>
        <v>2.333333333</v>
      </c>
      <c r="O143" s="141">
        <f t="shared" si="109"/>
        <v>2.333333333</v>
      </c>
      <c r="P143" s="141">
        <f t="shared" si="109"/>
        <v>2.333333333</v>
      </c>
      <c r="Q143" s="141">
        <f t="shared" si="109"/>
        <v>2.333333333</v>
      </c>
      <c r="R143" s="141">
        <f t="shared" si="109"/>
        <v>2.333333333</v>
      </c>
      <c r="S143" s="141">
        <f t="shared" si="109"/>
        <v>2.333333333</v>
      </c>
      <c r="T143" s="141">
        <f t="shared" si="109"/>
        <v>2.333333333</v>
      </c>
      <c r="U143" s="141">
        <f t="shared" si="109"/>
        <v>2.333333333</v>
      </c>
      <c r="V143" s="141">
        <f t="shared" si="109"/>
        <v>2.333333333</v>
      </c>
      <c r="W143" s="141">
        <f t="shared" si="109"/>
        <v>2.333333333</v>
      </c>
      <c r="X143" s="141">
        <f t="shared" si="109"/>
        <v>2.333333333</v>
      </c>
      <c r="Y143" s="141">
        <f t="shared" si="109"/>
        <v>2.333333333</v>
      </c>
      <c r="Z143" s="141">
        <f t="shared" si="109"/>
        <v>2.333333333</v>
      </c>
      <c r="AA143" s="141">
        <f t="shared" si="109"/>
        <v>2.333333333</v>
      </c>
      <c r="AB143" s="141">
        <f t="shared" si="109"/>
        <v>2.333333333</v>
      </c>
      <c r="AC143" s="141">
        <f t="shared" si="109"/>
        <v>2.333333333</v>
      </c>
      <c r="AD143" s="141">
        <f t="shared" si="109"/>
        <v>2.333333333</v>
      </c>
      <c r="AE143" s="141">
        <f t="shared" si="109"/>
        <v>2.333333333</v>
      </c>
      <c r="AF143" s="141">
        <f t="shared" si="109"/>
        <v>2.333333333</v>
      </c>
      <c r="AG143" s="141">
        <f t="shared" si="109"/>
        <v>2.333333333</v>
      </c>
      <c r="AH143" s="141">
        <f t="shared" si="109"/>
        <v>2.333333333</v>
      </c>
      <c r="AI143" s="141">
        <f t="shared" si="98"/>
        <v>2.333333333</v>
      </c>
      <c r="AJ143" s="141">
        <f t="shared" si="99"/>
        <v>2.333333333</v>
      </c>
      <c r="AK143" s="141">
        <f t="shared" si="100"/>
        <v>2.333333333</v>
      </c>
      <c r="AL143" s="141">
        <f t="shared" si="101"/>
        <v>2.333333333</v>
      </c>
      <c r="AM143" s="215">
        <f t="shared" si="102"/>
        <v>2.333333333</v>
      </c>
      <c r="AN143" s="102"/>
    </row>
    <row r="144" ht="14.25" customHeight="1">
      <c r="A144" s="498"/>
      <c r="B144" s="466"/>
      <c r="C144" s="100"/>
      <c r="D144" s="466" t="s">
        <v>2277</v>
      </c>
      <c r="E144" s="100"/>
      <c r="F144" s="162"/>
      <c r="G144" s="162"/>
      <c r="H144" s="141">
        <f t="shared" ref="H144:AH144" si="110">((COUNTA(H14)+COUNTA(#REF!)+COUNTA(H23))+COUNTA(H36,#REF!)+(COUNTA(H45)+COUNTA(#REF!)+COUNTA(#REF!))+COUNTA(H60))/(1+2+1+1)</f>
        <v>1.6</v>
      </c>
      <c r="I144" s="141">
        <f t="shared" si="110"/>
        <v>1.6</v>
      </c>
      <c r="J144" s="141">
        <f t="shared" si="110"/>
        <v>1.6</v>
      </c>
      <c r="K144" s="141">
        <f t="shared" si="110"/>
        <v>1.6</v>
      </c>
      <c r="L144" s="141">
        <f t="shared" si="110"/>
        <v>1.6</v>
      </c>
      <c r="M144" s="141">
        <f t="shared" si="110"/>
        <v>1.6</v>
      </c>
      <c r="N144" s="141">
        <f t="shared" si="110"/>
        <v>1.6</v>
      </c>
      <c r="O144" s="141">
        <f t="shared" si="110"/>
        <v>1.6</v>
      </c>
      <c r="P144" s="141">
        <f t="shared" si="110"/>
        <v>1.6</v>
      </c>
      <c r="Q144" s="141">
        <f t="shared" si="110"/>
        <v>1.6</v>
      </c>
      <c r="R144" s="141">
        <f t="shared" si="110"/>
        <v>1.6</v>
      </c>
      <c r="S144" s="141">
        <f t="shared" si="110"/>
        <v>1.6</v>
      </c>
      <c r="T144" s="141">
        <f t="shared" si="110"/>
        <v>1.6</v>
      </c>
      <c r="U144" s="141">
        <f t="shared" si="110"/>
        <v>1.6</v>
      </c>
      <c r="V144" s="141">
        <f t="shared" si="110"/>
        <v>1.6</v>
      </c>
      <c r="W144" s="141">
        <f t="shared" si="110"/>
        <v>1.6</v>
      </c>
      <c r="X144" s="141">
        <f t="shared" si="110"/>
        <v>1.6</v>
      </c>
      <c r="Y144" s="141">
        <f t="shared" si="110"/>
        <v>1.6</v>
      </c>
      <c r="Z144" s="141">
        <f t="shared" si="110"/>
        <v>1.6</v>
      </c>
      <c r="AA144" s="141">
        <f t="shared" si="110"/>
        <v>1.6</v>
      </c>
      <c r="AB144" s="141">
        <f t="shared" si="110"/>
        <v>1.6</v>
      </c>
      <c r="AC144" s="141">
        <f t="shared" si="110"/>
        <v>1.6</v>
      </c>
      <c r="AD144" s="141">
        <f t="shared" si="110"/>
        <v>1.6</v>
      </c>
      <c r="AE144" s="141">
        <f t="shared" si="110"/>
        <v>1.6</v>
      </c>
      <c r="AF144" s="141">
        <f t="shared" si="110"/>
        <v>1.6</v>
      </c>
      <c r="AG144" s="141">
        <f t="shared" si="110"/>
        <v>1.6</v>
      </c>
      <c r="AH144" s="141">
        <f t="shared" si="110"/>
        <v>1.6</v>
      </c>
      <c r="AI144" s="141">
        <f t="shared" si="98"/>
        <v>1.6</v>
      </c>
      <c r="AJ144" s="141">
        <f t="shared" si="99"/>
        <v>1.6</v>
      </c>
      <c r="AK144" s="141">
        <f t="shared" si="100"/>
        <v>1.6</v>
      </c>
      <c r="AL144" s="141">
        <f t="shared" si="101"/>
        <v>1.6</v>
      </c>
      <c r="AM144" s="215">
        <f t="shared" si="102"/>
        <v>1.6</v>
      </c>
      <c r="AN144" s="102"/>
    </row>
    <row r="145" ht="14.25" customHeight="1">
      <c r="A145" s="498"/>
      <c r="B145" s="466"/>
      <c r="C145" s="466" t="s">
        <v>2278</v>
      </c>
      <c r="D145" s="162"/>
      <c r="E145" s="100"/>
      <c r="F145" s="162"/>
      <c r="G145" s="162"/>
      <c r="H145" s="141">
        <f t="shared" ref="H145:AH145" si="111">(COUNTA(#REF!)+COUNTA(#REF!)+COUNTA(#REF!))/(1+1+1)</f>
        <v>1</v>
      </c>
      <c r="I145" s="141">
        <f t="shared" si="111"/>
        <v>1</v>
      </c>
      <c r="J145" s="141">
        <f t="shared" si="111"/>
        <v>1</v>
      </c>
      <c r="K145" s="141">
        <f t="shared" si="111"/>
        <v>1</v>
      </c>
      <c r="L145" s="141">
        <f t="shared" si="111"/>
        <v>1</v>
      </c>
      <c r="M145" s="141">
        <f t="shared" si="111"/>
        <v>1</v>
      </c>
      <c r="N145" s="141">
        <f t="shared" si="111"/>
        <v>1</v>
      </c>
      <c r="O145" s="141">
        <f t="shared" si="111"/>
        <v>1</v>
      </c>
      <c r="P145" s="141">
        <f t="shared" si="111"/>
        <v>1</v>
      </c>
      <c r="Q145" s="141">
        <f t="shared" si="111"/>
        <v>1</v>
      </c>
      <c r="R145" s="141">
        <f t="shared" si="111"/>
        <v>1</v>
      </c>
      <c r="S145" s="141">
        <f t="shared" si="111"/>
        <v>1</v>
      </c>
      <c r="T145" s="141">
        <f t="shared" si="111"/>
        <v>1</v>
      </c>
      <c r="U145" s="141">
        <f t="shared" si="111"/>
        <v>1</v>
      </c>
      <c r="V145" s="141">
        <f t="shared" si="111"/>
        <v>1</v>
      </c>
      <c r="W145" s="141">
        <f t="shared" si="111"/>
        <v>1</v>
      </c>
      <c r="X145" s="141">
        <f t="shared" si="111"/>
        <v>1</v>
      </c>
      <c r="Y145" s="141">
        <f t="shared" si="111"/>
        <v>1</v>
      </c>
      <c r="Z145" s="141">
        <f t="shared" si="111"/>
        <v>1</v>
      </c>
      <c r="AA145" s="141">
        <f t="shared" si="111"/>
        <v>1</v>
      </c>
      <c r="AB145" s="141">
        <f t="shared" si="111"/>
        <v>1</v>
      </c>
      <c r="AC145" s="141">
        <f t="shared" si="111"/>
        <v>1</v>
      </c>
      <c r="AD145" s="141">
        <f t="shared" si="111"/>
        <v>1</v>
      </c>
      <c r="AE145" s="141">
        <f t="shared" si="111"/>
        <v>1</v>
      </c>
      <c r="AF145" s="141">
        <f t="shared" si="111"/>
        <v>1</v>
      </c>
      <c r="AG145" s="141">
        <f t="shared" si="111"/>
        <v>1</v>
      </c>
      <c r="AH145" s="141">
        <f t="shared" si="111"/>
        <v>1</v>
      </c>
      <c r="AI145" s="141">
        <f t="shared" si="98"/>
        <v>1</v>
      </c>
      <c r="AJ145" s="141">
        <f t="shared" si="99"/>
        <v>1</v>
      </c>
      <c r="AK145" s="141">
        <f t="shared" si="100"/>
        <v>1</v>
      </c>
      <c r="AL145" s="141">
        <f t="shared" si="101"/>
        <v>1</v>
      </c>
      <c r="AM145" s="215">
        <f t="shared" si="102"/>
        <v>1</v>
      </c>
      <c r="AN145" s="102"/>
    </row>
    <row r="146" ht="14.25" customHeight="1">
      <c r="A146" s="498"/>
      <c r="B146" s="466"/>
      <c r="C146" s="466" t="s">
        <v>2279</v>
      </c>
      <c r="D146" s="162"/>
      <c r="E146" s="100"/>
      <c r="F146" s="162"/>
      <c r="G146" s="162"/>
      <c r="H146" s="141">
        <f t="shared" ref="H146:AH146" si="112">(COUNTA(#REF!)+COUNTA(#REF!)+COUNTA(#REF!))/(1+1+1)</f>
        <v>1</v>
      </c>
      <c r="I146" s="141">
        <f t="shared" si="112"/>
        <v>1</v>
      </c>
      <c r="J146" s="141">
        <f t="shared" si="112"/>
        <v>1</v>
      </c>
      <c r="K146" s="141">
        <f t="shared" si="112"/>
        <v>1</v>
      </c>
      <c r="L146" s="141">
        <f t="shared" si="112"/>
        <v>1</v>
      </c>
      <c r="M146" s="141">
        <f t="shared" si="112"/>
        <v>1</v>
      </c>
      <c r="N146" s="141">
        <f t="shared" si="112"/>
        <v>1</v>
      </c>
      <c r="O146" s="141">
        <f t="shared" si="112"/>
        <v>1</v>
      </c>
      <c r="P146" s="141">
        <f t="shared" si="112"/>
        <v>1</v>
      </c>
      <c r="Q146" s="141">
        <f t="shared" si="112"/>
        <v>1</v>
      </c>
      <c r="R146" s="141">
        <f t="shared" si="112"/>
        <v>1</v>
      </c>
      <c r="S146" s="141">
        <f t="shared" si="112"/>
        <v>1</v>
      </c>
      <c r="T146" s="141">
        <f t="shared" si="112"/>
        <v>1</v>
      </c>
      <c r="U146" s="141">
        <f t="shared" si="112"/>
        <v>1</v>
      </c>
      <c r="V146" s="141">
        <f t="shared" si="112"/>
        <v>1</v>
      </c>
      <c r="W146" s="141">
        <f t="shared" si="112"/>
        <v>1</v>
      </c>
      <c r="X146" s="141">
        <f t="shared" si="112"/>
        <v>1</v>
      </c>
      <c r="Y146" s="141">
        <f t="shared" si="112"/>
        <v>1</v>
      </c>
      <c r="Z146" s="141">
        <f t="shared" si="112"/>
        <v>1</v>
      </c>
      <c r="AA146" s="141">
        <f t="shared" si="112"/>
        <v>1</v>
      </c>
      <c r="AB146" s="141">
        <f t="shared" si="112"/>
        <v>1</v>
      </c>
      <c r="AC146" s="141">
        <f t="shared" si="112"/>
        <v>1</v>
      </c>
      <c r="AD146" s="141">
        <f t="shared" si="112"/>
        <v>1</v>
      </c>
      <c r="AE146" s="141">
        <f t="shared" si="112"/>
        <v>1</v>
      </c>
      <c r="AF146" s="141">
        <f t="shared" si="112"/>
        <v>1</v>
      </c>
      <c r="AG146" s="141">
        <f t="shared" si="112"/>
        <v>1</v>
      </c>
      <c r="AH146" s="141">
        <f t="shared" si="112"/>
        <v>1</v>
      </c>
      <c r="AI146" s="141">
        <f t="shared" si="98"/>
        <v>1</v>
      </c>
      <c r="AJ146" s="141">
        <f t="shared" si="99"/>
        <v>1</v>
      </c>
      <c r="AK146" s="141">
        <f t="shared" si="100"/>
        <v>1</v>
      </c>
      <c r="AL146" s="141">
        <f t="shared" si="101"/>
        <v>1</v>
      </c>
      <c r="AM146" s="215">
        <f t="shared" si="102"/>
        <v>1</v>
      </c>
      <c r="AN146" s="102"/>
    </row>
    <row r="147" ht="14.25" customHeight="1">
      <c r="A147" s="498"/>
      <c r="B147" s="466"/>
      <c r="C147" s="466" t="s">
        <v>2280</v>
      </c>
      <c r="D147" s="162"/>
      <c r="E147" s="100"/>
      <c r="F147" s="162"/>
      <c r="G147" s="162"/>
      <c r="H147" s="141">
        <f t="shared" ref="H147:AH147" si="113">(COUNTA(#REF!)+COUNTA(#REF!)+COUNTA(#REF!))/(1+1+1)</f>
        <v>1</v>
      </c>
      <c r="I147" s="141">
        <f t="shared" si="113"/>
        <v>1</v>
      </c>
      <c r="J147" s="141">
        <f t="shared" si="113"/>
        <v>1</v>
      </c>
      <c r="K147" s="141">
        <f t="shared" si="113"/>
        <v>1</v>
      </c>
      <c r="L147" s="141">
        <f t="shared" si="113"/>
        <v>1</v>
      </c>
      <c r="M147" s="141">
        <f t="shared" si="113"/>
        <v>1</v>
      </c>
      <c r="N147" s="141">
        <f t="shared" si="113"/>
        <v>1</v>
      </c>
      <c r="O147" s="141">
        <f t="shared" si="113"/>
        <v>1</v>
      </c>
      <c r="P147" s="141">
        <f t="shared" si="113"/>
        <v>1</v>
      </c>
      <c r="Q147" s="141">
        <f t="shared" si="113"/>
        <v>1</v>
      </c>
      <c r="R147" s="141">
        <f t="shared" si="113"/>
        <v>1</v>
      </c>
      <c r="S147" s="141">
        <f t="shared" si="113"/>
        <v>1</v>
      </c>
      <c r="T147" s="141">
        <f t="shared" si="113"/>
        <v>1</v>
      </c>
      <c r="U147" s="141">
        <f t="shared" si="113"/>
        <v>1</v>
      </c>
      <c r="V147" s="141">
        <f t="shared" si="113"/>
        <v>1</v>
      </c>
      <c r="W147" s="141">
        <f t="shared" si="113"/>
        <v>1</v>
      </c>
      <c r="X147" s="141">
        <f t="shared" si="113"/>
        <v>1</v>
      </c>
      <c r="Y147" s="141">
        <f t="shared" si="113"/>
        <v>1</v>
      </c>
      <c r="Z147" s="141">
        <f t="shared" si="113"/>
        <v>1</v>
      </c>
      <c r="AA147" s="141">
        <f t="shared" si="113"/>
        <v>1</v>
      </c>
      <c r="AB147" s="141">
        <f t="shared" si="113"/>
        <v>1</v>
      </c>
      <c r="AC147" s="141">
        <f t="shared" si="113"/>
        <v>1</v>
      </c>
      <c r="AD147" s="141">
        <f t="shared" si="113"/>
        <v>1</v>
      </c>
      <c r="AE147" s="141">
        <f t="shared" si="113"/>
        <v>1</v>
      </c>
      <c r="AF147" s="141">
        <f t="shared" si="113"/>
        <v>1</v>
      </c>
      <c r="AG147" s="141">
        <f t="shared" si="113"/>
        <v>1</v>
      </c>
      <c r="AH147" s="141">
        <f t="shared" si="113"/>
        <v>1</v>
      </c>
      <c r="AI147" s="141">
        <f t="shared" si="98"/>
        <v>1</v>
      </c>
      <c r="AJ147" s="141">
        <f t="shared" si="99"/>
        <v>1</v>
      </c>
      <c r="AK147" s="141">
        <f t="shared" si="100"/>
        <v>1</v>
      </c>
      <c r="AL147" s="141">
        <f t="shared" si="101"/>
        <v>1</v>
      </c>
      <c r="AM147" s="215">
        <f t="shared" si="102"/>
        <v>1</v>
      </c>
      <c r="AN147" s="102"/>
    </row>
    <row r="148" ht="14.25" customHeight="1">
      <c r="A148" s="463"/>
      <c r="B148" s="466" t="s">
        <v>2281</v>
      </c>
      <c r="C148" s="466"/>
      <c r="D148" s="466"/>
      <c r="E148" s="162"/>
      <c r="F148" s="162"/>
      <c r="G148" s="162"/>
      <c r="H148" s="141">
        <f t="shared" ref="H148:AH148" si="114">AVERAGE(H149:H154)</f>
        <v>0.9777777778</v>
      </c>
      <c r="I148" s="141">
        <f t="shared" si="114"/>
        <v>0.9777777778</v>
      </c>
      <c r="J148" s="141">
        <f t="shared" si="114"/>
        <v>0.9777777778</v>
      </c>
      <c r="K148" s="141">
        <f t="shared" si="114"/>
        <v>0.9777777778</v>
      </c>
      <c r="L148" s="141">
        <f t="shared" si="114"/>
        <v>0.9777777778</v>
      </c>
      <c r="M148" s="141">
        <f t="shared" si="114"/>
        <v>0.9777777778</v>
      </c>
      <c r="N148" s="141">
        <f t="shared" si="114"/>
        <v>0.9777777778</v>
      </c>
      <c r="O148" s="141">
        <f t="shared" si="114"/>
        <v>0.9777777778</v>
      </c>
      <c r="P148" s="141">
        <f t="shared" si="114"/>
        <v>0.9777777778</v>
      </c>
      <c r="Q148" s="141">
        <f t="shared" si="114"/>
        <v>0.9777777778</v>
      </c>
      <c r="R148" s="141">
        <f t="shared" si="114"/>
        <v>0.9777777778</v>
      </c>
      <c r="S148" s="141">
        <f t="shared" si="114"/>
        <v>0.9777777778</v>
      </c>
      <c r="T148" s="141">
        <f t="shared" si="114"/>
        <v>0.9777777778</v>
      </c>
      <c r="U148" s="141">
        <f t="shared" si="114"/>
        <v>0.9777777778</v>
      </c>
      <c r="V148" s="141">
        <f t="shared" si="114"/>
        <v>0.9777777778</v>
      </c>
      <c r="W148" s="141">
        <f t="shared" si="114"/>
        <v>0.9777777778</v>
      </c>
      <c r="X148" s="141">
        <f t="shared" si="114"/>
        <v>0.9777777778</v>
      </c>
      <c r="Y148" s="141">
        <f t="shared" si="114"/>
        <v>0.9777777778</v>
      </c>
      <c r="Z148" s="141">
        <f t="shared" si="114"/>
        <v>0.9777777778</v>
      </c>
      <c r="AA148" s="141">
        <f t="shared" si="114"/>
        <v>0.9777777778</v>
      </c>
      <c r="AB148" s="141">
        <f t="shared" si="114"/>
        <v>0.9777777778</v>
      </c>
      <c r="AC148" s="141">
        <f t="shared" si="114"/>
        <v>0.9777777778</v>
      </c>
      <c r="AD148" s="141">
        <f t="shared" si="114"/>
        <v>0.9777777778</v>
      </c>
      <c r="AE148" s="141">
        <f t="shared" si="114"/>
        <v>0.9777777778</v>
      </c>
      <c r="AF148" s="141">
        <f t="shared" si="114"/>
        <v>0.9777777778</v>
      </c>
      <c r="AG148" s="141">
        <f t="shared" si="114"/>
        <v>0.9777777778</v>
      </c>
      <c r="AH148" s="141">
        <f t="shared" si="114"/>
        <v>0.9777777778</v>
      </c>
      <c r="AI148" s="141">
        <f t="shared" si="98"/>
        <v>0.9777777778</v>
      </c>
      <c r="AJ148" s="141">
        <f t="shared" si="99"/>
        <v>0.9777777778</v>
      </c>
      <c r="AK148" s="141">
        <f t="shared" si="100"/>
        <v>0.9777777778</v>
      </c>
      <c r="AL148" s="141">
        <f t="shared" si="101"/>
        <v>0.9777777778</v>
      </c>
      <c r="AM148" s="215">
        <f t="shared" si="102"/>
        <v>0.9777777778</v>
      </c>
      <c r="AN148" s="102"/>
    </row>
    <row r="149" ht="14.25" customHeight="1">
      <c r="A149" s="463"/>
      <c r="B149" s="466"/>
      <c r="C149" s="466" t="s">
        <v>2282</v>
      </c>
      <c r="D149" s="162"/>
      <c r="E149" s="100"/>
      <c r="F149" s="162"/>
      <c r="G149" s="162"/>
      <c r="H149" s="141">
        <f t="shared" ref="H149:AH149" si="115">(COUNTA(H27:H30)+COUNTA(H37,#REF!)+COUNTA(H49)+COUNTA(H67))/(1+2+1+1)</f>
        <v>1.2</v>
      </c>
      <c r="I149" s="141">
        <f t="shared" si="115"/>
        <v>1.2</v>
      </c>
      <c r="J149" s="141">
        <f t="shared" si="115"/>
        <v>1.2</v>
      </c>
      <c r="K149" s="141">
        <f t="shared" si="115"/>
        <v>1.2</v>
      </c>
      <c r="L149" s="141">
        <f t="shared" si="115"/>
        <v>1.2</v>
      </c>
      <c r="M149" s="141">
        <f t="shared" si="115"/>
        <v>1.2</v>
      </c>
      <c r="N149" s="141">
        <f t="shared" si="115"/>
        <v>1.2</v>
      </c>
      <c r="O149" s="141">
        <f t="shared" si="115"/>
        <v>1.2</v>
      </c>
      <c r="P149" s="141">
        <f t="shared" si="115"/>
        <v>1.2</v>
      </c>
      <c r="Q149" s="141">
        <f t="shared" si="115"/>
        <v>1.2</v>
      </c>
      <c r="R149" s="141">
        <f t="shared" si="115"/>
        <v>1.2</v>
      </c>
      <c r="S149" s="141">
        <f t="shared" si="115"/>
        <v>1.2</v>
      </c>
      <c r="T149" s="141">
        <f t="shared" si="115"/>
        <v>1.2</v>
      </c>
      <c r="U149" s="141">
        <f t="shared" si="115"/>
        <v>1.2</v>
      </c>
      <c r="V149" s="141">
        <f t="shared" si="115"/>
        <v>1.2</v>
      </c>
      <c r="W149" s="141">
        <f t="shared" si="115"/>
        <v>1.2</v>
      </c>
      <c r="X149" s="141">
        <f t="shared" si="115"/>
        <v>1.2</v>
      </c>
      <c r="Y149" s="141">
        <f t="shared" si="115"/>
        <v>1.2</v>
      </c>
      <c r="Z149" s="141">
        <f t="shared" si="115"/>
        <v>1.2</v>
      </c>
      <c r="AA149" s="141">
        <f t="shared" si="115"/>
        <v>1.2</v>
      </c>
      <c r="AB149" s="141">
        <f t="shared" si="115"/>
        <v>1.2</v>
      </c>
      <c r="AC149" s="141">
        <f t="shared" si="115"/>
        <v>1.2</v>
      </c>
      <c r="AD149" s="141">
        <f t="shared" si="115"/>
        <v>1.2</v>
      </c>
      <c r="AE149" s="141">
        <f t="shared" si="115"/>
        <v>1.2</v>
      </c>
      <c r="AF149" s="141">
        <f t="shared" si="115"/>
        <v>1.2</v>
      </c>
      <c r="AG149" s="141">
        <f t="shared" si="115"/>
        <v>1.2</v>
      </c>
      <c r="AH149" s="141">
        <f t="shared" si="115"/>
        <v>1.2</v>
      </c>
      <c r="AI149" s="141">
        <f t="shared" si="98"/>
        <v>1.2</v>
      </c>
      <c r="AJ149" s="141">
        <f t="shared" si="99"/>
        <v>1.2</v>
      </c>
      <c r="AK149" s="141">
        <f t="shared" si="100"/>
        <v>1.2</v>
      </c>
      <c r="AL149" s="141">
        <f t="shared" si="101"/>
        <v>1.2</v>
      </c>
      <c r="AM149" s="215">
        <f t="shared" si="102"/>
        <v>1.2</v>
      </c>
      <c r="AN149" s="102"/>
    </row>
    <row r="150" ht="14.25" customHeight="1">
      <c r="A150" s="463"/>
      <c r="B150" s="466"/>
      <c r="C150" s="466" t="s">
        <v>2283</v>
      </c>
      <c r="D150" s="162"/>
      <c r="E150" s="100"/>
      <c r="F150" s="162"/>
      <c r="G150" s="162"/>
      <c r="H150" s="141">
        <f t="shared" ref="H150:AH150" si="116">(COUNTA(#REF!)+COUNTA(#REF!)+COUNTA(H68))/(1+1+1)</f>
        <v>1</v>
      </c>
      <c r="I150" s="141">
        <f t="shared" si="116"/>
        <v>1</v>
      </c>
      <c r="J150" s="141">
        <f t="shared" si="116"/>
        <v>1</v>
      </c>
      <c r="K150" s="141">
        <f t="shared" si="116"/>
        <v>1</v>
      </c>
      <c r="L150" s="141">
        <f t="shared" si="116"/>
        <v>1</v>
      </c>
      <c r="M150" s="141">
        <f t="shared" si="116"/>
        <v>1</v>
      </c>
      <c r="N150" s="141">
        <f t="shared" si="116"/>
        <v>1</v>
      </c>
      <c r="O150" s="141">
        <f t="shared" si="116"/>
        <v>1</v>
      </c>
      <c r="P150" s="141">
        <f t="shared" si="116"/>
        <v>1</v>
      </c>
      <c r="Q150" s="141">
        <f t="shared" si="116"/>
        <v>1</v>
      </c>
      <c r="R150" s="141">
        <f t="shared" si="116"/>
        <v>1</v>
      </c>
      <c r="S150" s="141">
        <f t="shared" si="116"/>
        <v>1</v>
      </c>
      <c r="T150" s="141">
        <f t="shared" si="116"/>
        <v>1</v>
      </c>
      <c r="U150" s="141">
        <f t="shared" si="116"/>
        <v>1</v>
      </c>
      <c r="V150" s="141">
        <f t="shared" si="116"/>
        <v>1</v>
      </c>
      <c r="W150" s="141">
        <f t="shared" si="116"/>
        <v>1</v>
      </c>
      <c r="X150" s="141">
        <f t="shared" si="116"/>
        <v>1</v>
      </c>
      <c r="Y150" s="141">
        <f t="shared" si="116"/>
        <v>1</v>
      </c>
      <c r="Z150" s="141">
        <f t="shared" si="116"/>
        <v>1</v>
      </c>
      <c r="AA150" s="141">
        <f t="shared" si="116"/>
        <v>1</v>
      </c>
      <c r="AB150" s="141">
        <f t="shared" si="116"/>
        <v>1</v>
      </c>
      <c r="AC150" s="141">
        <f t="shared" si="116"/>
        <v>1</v>
      </c>
      <c r="AD150" s="141">
        <f t="shared" si="116"/>
        <v>1</v>
      </c>
      <c r="AE150" s="141">
        <f t="shared" si="116"/>
        <v>1</v>
      </c>
      <c r="AF150" s="141">
        <f t="shared" si="116"/>
        <v>1</v>
      </c>
      <c r="AG150" s="141">
        <f t="shared" si="116"/>
        <v>1</v>
      </c>
      <c r="AH150" s="141">
        <f t="shared" si="116"/>
        <v>1</v>
      </c>
      <c r="AI150" s="141">
        <f t="shared" si="98"/>
        <v>1</v>
      </c>
      <c r="AJ150" s="141">
        <f t="shared" si="99"/>
        <v>1</v>
      </c>
      <c r="AK150" s="141">
        <f t="shared" si="100"/>
        <v>1</v>
      </c>
      <c r="AL150" s="141">
        <f t="shared" si="101"/>
        <v>1</v>
      </c>
      <c r="AM150" s="215">
        <f t="shared" si="102"/>
        <v>1</v>
      </c>
      <c r="AN150" s="102"/>
    </row>
    <row r="151" ht="14.25" customHeight="1">
      <c r="A151" s="463"/>
      <c r="B151" s="466"/>
      <c r="C151" s="466" t="s">
        <v>2284</v>
      </c>
      <c r="D151" s="162"/>
      <c r="E151" s="100"/>
      <c r="F151" s="162"/>
      <c r="G151" s="162"/>
      <c r="H151" s="141">
        <f t="shared" ref="H151:AH151" si="117">(COUNTA(#REF!)+COUNTA(#REF!)+COUNTA(#REF!))/(1+1+1)</f>
        <v>1</v>
      </c>
      <c r="I151" s="141">
        <f t="shared" si="117"/>
        <v>1</v>
      </c>
      <c r="J151" s="141">
        <f t="shared" si="117"/>
        <v>1</v>
      </c>
      <c r="K151" s="141">
        <f t="shared" si="117"/>
        <v>1</v>
      </c>
      <c r="L151" s="141">
        <f t="shared" si="117"/>
        <v>1</v>
      </c>
      <c r="M151" s="141">
        <f t="shared" si="117"/>
        <v>1</v>
      </c>
      <c r="N151" s="141">
        <f t="shared" si="117"/>
        <v>1</v>
      </c>
      <c r="O151" s="141">
        <f t="shared" si="117"/>
        <v>1</v>
      </c>
      <c r="P151" s="141">
        <f t="shared" si="117"/>
        <v>1</v>
      </c>
      <c r="Q151" s="141">
        <f t="shared" si="117"/>
        <v>1</v>
      </c>
      <c r="R151" s="141">
        <f t="shared" si="117"/>
        <v>1</v>
      </c>
      <c r="S151" s="141">
        <f t="shared" si="117"/>
        <v>1</v>
      </c>
      <c r="T151" s="141">
        <f t="shared" si="117"/>
        <v>1</v>
      </c>
      <c r="U151" s="141">
        <f t="shared" si="117"/>
        <v>1</v>
      </c>
      <c r="V151" s="141">
        <f t="shared" si="117"/>
        <v>1</v>
      </c>
      <c r="W151" s="141">
        <f t="shared" si="117"/>
        <v>1</v>
      </c>
      <c r="X151" s="141">
        <f t="shared" si="117"/>
        <v>1</v>
      </c>
      <c r="Y151" s="141">
        <f t="shared" si="117"/>
        <v>1</v>
      </c>
      <c r="Z151" s="141">
        <f t="shared" si="117"/>
        <v>1</v>
      </c>
      <c r="AA151" s="141">
        <f t="shared" si="117"/>
        <v>1</v>
      </c>
      <c r="AB151" s="141">
        <f t="shared" si="117"/>
        <v>1</v>
      </c>
      <c r="AC151" s="141">
        <f t="shared" si="117"/>
        <v>1</v>
      </c>
      <c r="AD151" s="141">
        <f t="shared" si="117"/>
        <v>1</v>
      </c>
      <c r="AE151" s="141">
        <f t="shared" si="117"/>
        <v>1</v>
      </c>
      <c r="AF151" s="141">
        <f t="shared" si="117"/>
        <v>1</v>
      </c>
      <c r="AG151" s="141">
        <f t="shared" si="117"/>
        <v>1</v>
      </c>
      <c r="AH151" s="141">
        <f t="shared" si="117"/>
        <v>1</v>
      </c>
      <c r="AI151" s="141">
        <f t="shared" si="98"/>
        <v>1</v>
      </c>
      <c r="AJ151" s="141">
        <f t="shared" si="99"/>
        <v>1</v>
      </c>
      <c r="AK151" s="141">
        <f t="shared" si="100"/>
        <v>1</v>
      </c>
      <c r="AL151" s="141">
        <f t="shared" si="101"/>
        <v>1</v>
      </c>
      <c r="AM151" s="215">
        <f t="shared" si="102"/>
        <v>1</v>
      </c>
      <c r="AN151" s="102"/>
    </row>
    <row r="152" ht="14.25" customHeight="1">
      <c r="A152" s="463"/>
      <c r="B152" s="466"/>
      <c r="C152" s="466" t="s">
        <v>2285</v>
      </c>
      <c r="D152" s="162"/>
      <c r="E152" s="100"/>
      <c r="F152" s="162"/>
      <c r="G152" s="162"/>
      <c r="H152" s="141">
        <f t="shared" ref="H152:AH152" si="118">(COUNTA(#REF!)+COUNTA(#REF!)+COUNTA(#REF!))/(1+1+1)</f>
        <v>1</v>
      </c>
      <c r="I152" s="141">
        <f t="shared" si="118"/>
        <v>1</v>
      </c>
      <c r="J152" s="141">
        <f t="shared" si="118"/>
        <v>1</v>
      </c>
      <c r="K152" s="141">
        <f t="shared" si="118"/>
        <v>1</v>
      </c>
      <c r="L152" s="141">
        <f t="shared" si="118"/>
        <v>1</v>
      </c>
      <c r="M152" s="141">
        <f t="shared" si="118"/>
        <v>1</v>
      </c>
      <c r="N152" s="141">
        <f t="shared" si="118"/>
        <v>1</v>
      </c>
      <c r="O152" s="141">
        <f t="shared" si="118"/>
        <v>1</v>
      </c>
      <c r="P152" s="141">
        <f t="shared" si="118"/>
        <v>1</v>
      </c>
      <c r="Q152" s="141">
        <f t="shared" si="118"/>
        <v>1</v>
      </c>
      <c r="R152" s="141">
        <f t="shared" si="118"/>
        <v>1</v>
      </c>
      <c r="S152" s="141">
        <f t="shared" si="118"/>
        <v>1</v>
      </c>
      <c r="T152" s="141">
        <f t="shared" si="118"/>
        <v>1</v>
      </c>
      <c r="U152" s="141">
        <f t="shared" si="118"/>
        <v>1</v>
      </c>
      <c r="V152" s="141">
        <f t="shared" si="118"/>
        <v>1</v>
      </c>
      <c r="W152" s="141">
        <f t="shared" si="118"/>
        <v>1</v>
      </c>
      <c r="X152" s="141">
        <f t="shared" si="118"/>
        <v>1</v>
      </c>
      <c r="Y152" s="141">
        <f t="shared" si="118"/>
        <v>1</v>
      </c>
      <c r="Z152" s="141">
        <f t="shared" si="118"/>
        <v>1</v>
      </c>
      <c r="AA152" s="141">
        <f t="shared" si="118"/>
        <v>1</v>
      </c>
      <c r="AB152" s="141">
        <f t="shared" si="118"/>
        <v>1</v>
      </c>
      <c r="AC152" s="141">
        <f t="shared" si="118"/>
        <v>1</v>
      </c>
      <c r="AD152" s="141">
        <f t="shared" si="118"/>
        <v>1</v>
      </c>
      <c r="AE152" s="141">
        <f t="shared" si="118"/>
        <v>1</v>
      </c>
      <c r="AF152" s="141">
        <f t="shared" si="118"/>
        <v>1</v>
      </c>
      <c r="AG152" s="141">
        <f t="shared" si="118"/>
        <v>1</v>
      </c>
      <c r="AH152" s="141">
        <f t="shared" si="118"/>
        <v>1</v>
      </c>
      <c r="AI152" s="141">
        <f t="shared" si="98"/>
        <v>1</v>
      </c>
      <c r="AJ152" s="141">
        <f t="shared" si="99"/>
        <v>1</v>
      </c>
      <c r="AK152" s="141">
        <f t="shared" si="100"/>
        <v>1</v>
      </c>
      <c r="AL152" s="141">
        <f t="shared" si="101"/>
        <v>1</v>
      </c>
      <c r="AM152" s="215">
        <f t="shared" si="102"/>
        <v>1</v>
      </c>
      <c r="AN152" s="102"/>
    </row>
    <row r="153" ht="14.25" customHeight="1">
      <c r="A153" s="463"/>
      <c r="B153" s="466"/>
      <c r="C153" s="466" t="s">
        <v>2286</v>
      </c>
      <c r="D153" s="162"/>
      <c r="E153" s="100"/>
      <c r="F153" s="162"/>
      <c r="G153" s="162"/>
      <c r="H153" s="141">
        <f t="shared" ref="H153:AH153" si="119">(COUNTA(#REF!)+COUNTA(#REF!)+COUNTA(#REF!))/(1+1+1)</f>
        <v>1</v>
      </c>
      <c r="I153" s="141">
        <f t="shared" si="119"/>
        <v>1</v>
      </c>
      <c r="J153" s="141">
        <f t="shared" si="119"/>
        <v>1</v>
      </c>
      <c r="K153" s="141">
        <f t="shared" si="119"/>
        <v>1</v>
      </c>
      <c r="L153" s="141">
        <f t="shared" si="119"/>
        <v>1</v>
      </c>
      <c r="M153" s="141">
        <f t="shared" si="119"/>
        <v>1</v>
      </c>
      <c r="N153" s="141">
        <f t="shared" si="119"/>
        <v>1</v>
      </c>
      <c r="O153" s="141">
        <f t="shared" si="119"/>
        <v>1</v>
      </c>
      <c r="P153" s="141">
        <f t="shared" si="119"/>
        <v>1</v>
      </c>
      <c r="Q153" s="141">
        <f t="shared" si="119"/>
        <v>1</v>
      </c>
      <c r="R153" s="141">
        <f t="shared" si="119"/>
        <v>1</v>
      </c>
      <c r="S153" s="141">
        <f t="shared" si="119"/>
        <v>1</v>
      </c>
      <c r="T153" s="141">
        <f t="shared" si="119"/>
        <v>1</v>
      </c>
      <c r="U153" s="141">
        <f t="shared" si="119"/>
        <v>1</v>
      </c>
      <c r="V153" s="141">
        <f t="shared" si="119"/>
        <v>1</v>
      </c>
      <c r="W153" s="141">
        <f t="shared" si="119"/>
        <v>1</v>
      </c>
      <c r="X153" s="141">
        <f t="shared" si="119"/>
        <v>1</v>
      </c>
      <c r="Y153" s="141">
        <f t="shared" si="119"/>
        <v>1</v>
      </c>
      <c r="Z153" s="141">
        <f t="shared" si="119"/>
        <v>1</v>
      </c>
      <c r="AA153" s="141">
        <f t="shared" si="119"/>
        <v>1</v>
      </c>
      <c r="AB153" s="141">
        <f t="shared" si="119"/>
        <v>1</v>
      </c>
      <c r="AC153" s="141">
        <f t="shared" si="119"/>
        <v>1</v>
      </c>
      <c r="AD153" s="141">
        <f t="shared" si="119"/>
        <v>1</v>
      </c>
      <c r="AE153" s="141">
        <f t="shared" si="119"/>
        <v>1</v>
      </c>
      <c r="AF153" s="141">
        <f t="shared" si="119"/>
        <v>1</v>
      </c>
      <c r="AG153" s="141">
        <f t="shared" si="119"/>
        <v>1</v>
      </c>
      <c r="AH153" s="141">
        <f t="shared" si="119"/>
        <v>1</v>
      </c>
      <c r="AI153" s="141">
        <f t="shared" si="98"/>
        <v>1</v>
      </c>
      <c r="AJ153" s="141">
        <f t="shared" si="99"/>
        <v>1</v>
      </c>
      <c r="AK153" s="141">
        <f t="shared" si="100"/>
        <v>1</v>
      </c>
      <c r="AL153" s="141">
        <f t="shared" si="101"/>
        <v>1</v>
      </c>
      <c r="AM153" s="215">
        <f t="shared" si="102"/>
        <v>1</v>
      </c>
      <c r="AN153" s="102"/>
    </row>
    <row r="154" ht="14.25" customHeight="1">
      <c r="A154" s="463"/>
      <c r="B154" s="466"/>
      <c r="C154" s="466" t="s">
        <v>2287</v>
      </c>
      <c r="D154" s="162"/>
      <c r="E154" s="100"/>
      <c r="F154" s="162"/>
      <c r="G154" s="162"/>
      <c r="H154" s="141">
        <f t="shared" ref="H154:AH154" si="120">((COUNTA(#REF!)-1)+COUNTA(#REF!)+COUNTA(H69))/(1+1+1)</f>
        <v>0.6666666667</v>
      </c>
      <c r="I154" s="141">
        <f t="shared" si="120"/>
        <v>0.6666666667</v>
      </c>
      <c r="J154" s="141">
        <f t="shared" si="120"/>
        <v>0.6666666667</v>
      </c>
      <c r="K154" s="141">
        <f t="shared" si="120"/>
        <v>0.6666666667</v>
      </c>
      <c r="L154" s="141">
        <f t="shared" si="120"/>
        <v>0.6666666667</v>
      </c>
      <c r="M154" s="141">
        <f t="shared" si="120"/>
        <v>0.6666666667</v>
      </c>
      <c r="N154" s="141">
        <f t="shared" si="120"/>
        <v>0.6666666667</v>
      </c>
      <c r="O154" s="141">
        <f t="shared" si="120"/>
        <v>0.6666666667</v>
      </c>
      <c r="P154" s="141">
        <f t="shared" si="120"/>
        <v>0.6666666667</v>
      </c>
      <c r="Q154" s="141">
        <f t="shared" si="120"/>
        <v>0.6666666667</v>
      </c>
      <c r="R154" s="141">
        <f t="shared" si="120"/>
        <v>0.6666666667</v>
      </c>
      <c r="S154" s="141">
        <f t="shared" si="120"/>
        <v>0.6666666667</v>
      </c>
      <c r="T154" s="141">
        <f t="shared" si="120"/>
        <v>0.6666666667</v>
      </c>
      <c r="U154" s="141">
        <f t="shared" si="120"/>
        <v>0.6666666667</v>
      </c>
      <c r="V154" s="141">
        <f t="shared" si="120"/>
        <v>0.6666666667</v>
      </c>
      <c r="W154" s="141">
        <f t="shared" si="120"/>
        <v>0.6666666667</v>
      </c>
      <c r="X154" s="141">
        <f t="shared" si="120"/>
        <v>0.6666666667</v>
      </c>
      <c r="Y154" s="141">
        <f t="shared" si="120"/>
        <v>0.6666666667</v>
      </c>
      <c r="Z154" s="141">
        <f t="shared" si="120"/>
        <v>0.6666666667</v>
      </c>
      <c r="AA154" s="141">
        <f t="shared" si="120"/>
        <v>0.6666666667</v>
      </c>
      <c r="AB154" s="141">
        <f t="shared" si="120"/>
        <v>0.6666666667</v>
      </c>
      <c r="AC154" s="141">
        <f t="shared" si="120"/>
        <v>0.6666666667</v>
      </c>
      <c r="AD154" s="141">
        <f t="shared" si="120"/>
        <v>0.6666666667</v>
      </c>
      <c r="AE154" s="141">
        <f t="shared" si="120"/>
        <v>0.6666666667</v>
      </c>
      <c r="AF154" s="141">
        <f t="shared" si="120"/>
        <v>0.6666666667</v>
      </c>
      <c r="AG154" s="141">
        <f t="shared" si="120"/>
        <v>0.6666666667</v>
      </c>
      <c r="AH154" s="141">
        <f t="shared" si="120"/>
        <v>0.6666666667</v>
      </c>
      <c r="AI154" s="141">
        <f t="shared" si="98"/>
        <v>0.6666666667</v>
      </c>
      <c r="AJ154" s="141">
        <f t="shared" si="99"/>
        <v>0.6666666667</v>
      </c>
      <c r="AK154" s="141">
        <f t="shared" si="100"/>
        <v>0.6666666667</v>
      </c>
      <c r="AL154" s="141">
        <f t="shared" si="101"/>
        <v>0.6666666667</v>
      </c>
      <c r="AM154" s="215">
        <f t="shared" si="102"/>
        <v>0.6666666667</v>
      </c>
      <c r="AN154" s="102"/>
    </row>
    <row r="155" ht="14.25" customHeight="1">
      <c r="A155" s="463" t="s">
        <v>2210</v>
      </c>
      <c r="B155" s="246"/>
      <c r="C155" s="246"/>
      <c r="D155" s="201"/>
      <c r="E155" s="162"/>
      <c r="F155" s="162"/>
      <c r="G155" s="162"/>
      <c r="H155" s="141">
        <f t="shared" ref="H155:AH155" si="121">COUNTA(H82:H87)/COUNTA($G$82:$G$87)</f>
        <v>1</v>
      </c>
      <c r="I155" s="141">
        <f t="shared" si="121"/>
        <v>1</v>
      </c>
      <c r="J155" s="141">
        <f t="shared" si="121"/>
        <v>1</v>
      </c>
      <c r="K155" s="141">
        <f t="shared" si="121"/>
        <v>1</v>
      </c>
      <c r="L155" s="141">
        <f t="shared" si="121"/>
        <v>1</v>
      </c>
      <c r="M155" s="141">
        <f t="shared" si="121"/>
        <v>1</v>
      </c>
      <c r="N155" s="141">
        <f t="shared" si="121"/>
        <v>1</v>
      </c>
      <c r="O155" s="141">
        <f t="shared" si="121"/>
        <v>1</v>
      </c>
      <c r="P155" s="141">
        <f t="shared" si="121"/>
        <v>1</v>
      </c>
      <c r="Q155" s="141">
        <f t="shared" si="121"/>
        <v>1</v>
      </c>
      <c r="R155" s="141">
        <f t="shared" si="121"/>
        <v>1</v>
      </c>
      <c r="S155" s="141">
        <f t="shared" si="121"/>
        <v>1</v>
      </c>
      <c r="T155" s="141">
        <f t="shared" si="121"/>
        <v>1</v>
      </c>
      <c r="U155" s="141">
        <f t="shared" si="121"/>
        <v>1</v>
      </c>
      <c r="V155" s="141">
        <f t="shared" si="121"/>
        <v>1</v>
      </c>
      <c r="W155" s="141">
        <f t="shared" si="121"/>
        <v>1</v>
      </c>
      <c r="X155" s="141">
        <f t="shared" si="121"/>
        <v>1</v>
      </c>
      <c r="Y155" s="141">
        <f t="shared" si="121"/>
        <v>1</v>
      </c>
      <c r="Z155" s="141">
        <f t="shared" si="121"/>
        <v>1</v>
      </c>
      <c r="AA155" s="141">
        <f t="shared" si="121"/>
        <v>1</v>
      </c>
      <c r="AB155" s="141">
        <f t="shared" si="121"/>
        <v>1</v>
      </c>
      <c r="AC155" s="141">
        <f t="shared" si="121"/>
        <v>1</v>
      </c>
      <c r="AD155" s="141">
        <f t="shared" si="121"/>
        <v>1</v>
      </c>
      <c r="AE155" s="141">
        <f t="shared" si="121"/>
        <v>1</v>
      </c>
      <c r="AF155" s="141">
        <f t="shared" si="121"/>
        <v>1</v>
      </c>
      <c r="AG155" s="141">
        <f t="shared" si="121"/>
        <v>1</v>
      </c>
      <c r="AH155" s="141">
        <f t="shared" si="121"/>
        <v>1</v>
      </c>
      <c r="AI155" s="141">
        <f t="shared" si="98"/>
        <v>1</v>
      </c>
      <c r="AJ155" s="141">
        <f t="shared" si="99"/>
        <v>1</v>
      </c>
      <c r="AK155" s="141">
        <f t="shared" si="100"/>
        <v>1</v>
      </c>
      <c r="AL155" s="141">
        <f t="shared" si="101"/>
        <v>1</v>
      </c>
      <c r="AM155" s="215">
        <f t="shared" si="102"/>
        <v>1</v>
      </c>
      <c r="AN155" s="102"/>
    </row>
    <row r="156" ht="14.25" customHeight="1">
      <c r="A156" s="499" t="s">
        <v>2288</v>
      </c>
      <c r="B156" s="100"/>
      <c r="C156" s="100"/>
      <c r="D156" s="100"/>
      <c r="E156" s="100"/>
      <c r="F156" s="206"/>
      <c r="G156" s="206"/>
      <c r="H156" s="215">
        <f t="shared" ref="H156:AH156" si="122">COUNTA(H104:H109)/COUNTA($G$104:$G$109)</f>
        <v>0</v>
      </c>
      <c r="I156" s="215">
        <f t="shared" si="122"/>
        <v>0</v>
      </c>
      <c r="J156" s="215">
        <f t="shared" si="122"/>
        <v>0</v>
      </c>
      <c r="K156" s="215">
        <f t="shared" si="122"/>
        <v>0</v>
      </c>
      <c r="L156" s="215">
        <f t="shared" si="122"/>
        <v>0</v>
      </c>
      <c r="M156" s="215">
        <f t="shared" si="122"/>
        <v>0</v>
      </c>
      <c r="N156" s="215">
        <f t="shared" si="122"/>
        <v>0</v>
      </c>
      <c r="O156" s="215">
        <f t="shared" si="122"/>
        <v>0</v>
      </c>
      <c r="P156" s="215">
        <f t="shared" si="122"/>
        <v>0</v>
      </c>
      <c r="Q156" s="215">
        <f t="shared" si="122"/>
        <v>0</v>
      </c>
      <c r="R156" s="215">
        <f t="shared" si="122"/>
        <v>0</v>
      </c>
      <c r="S156" s="215">
        <f t="shared" si="122"/>
        <v>0</v>
      </c>
      <c r="T156" s="215">
        <f t="shared" si="122"/>
        <v>0</v>
      </c>
      <c r="U156" s="215">
        <f t="shared" si="122"/>
        <v>0</v>
      </c>
      <c r="V156" s="215">
        <f t="shared" si="122"/>
        <v>0</v>
      </c>
      <c r="W156" s="215">
        <f t="shared" si="122"/>
        <v>0.3333333333</v>
      </c>
      <c r="X156" s="215">
        <f t="shared" si="122"/>
        <v>0.3333333333</v>
      </c>
      <c r="Y156" s="215">
        <f t="shared" si="122"/>
        <v>0.3333333333</v>
      </c>
      <c r="Z156" s="215">
        <f t="shared" si="122"/>
        <v>0.3333333333</v>
      </c>
      <c r="AA156" s="215">
        <f t="shared" si="122"/>
        <v>0.3333333333</v>
      </c>
      <c r="AB156" s="215">
        <f t="shared" si="122"/>
        <v>0.3333333333</v>
      </c>
      <c r="AC156" s="215">
        <f t="shared" si="122"/>
        <v>0.3333333333</v>
      </c>
      <c r="AD156" s="215">
        <f t="shared" si="122"/>
        <v>0.3333333333</v>
      </c>
      <c r="AE156" s="215">
        <f t="shared" si="122"/>
        <v>0.3333333333</v>
      </c>
      <c r="AF156" s="215">
        <f t="shared" si="122"/>
        <v>0.3333333333</v>
      </c>
      <c r="AG156" s="215">
        <f t="shared" si="122"/>
        <v>0.3333333333</v>
      </c>
      <c r="AH156" s="215">
        <f t="shared" si="122"/>
        <v>0.3333333333</v>
      </c>
      <c r="AI156" s="141">
        <f t="shared" si="98"/>
        <v>0.08333333333</v>
      </c>
      <c r="AJ156" s="141">
        <f t="shared" si="99"/>
        <v>0.3333333333</v>
      </c>
      <c r="AK156" s="141">
        <f t="shared" si="100"/>
        <v>0.3333333333</v>
      </c>
      <c r="AL156" s="141">
        <f t="shared" si="101"/>
        <v>0.3333333333</v>
      </c>
      <c r="AM156" s="215">
        <f t="shared" si="102"/>
        <v>0.1481481481</v>
      </c>
      <c r="AN156" s="102"/>
    </row>
    <row r="157" ht="14.25" customHeight="1">
      <c r="A157" s="247"/>
      <c r="B157" s="100"/>
      <c r="C157" s="100"/>
      <c r="D157" s="100"/>
      <c r="E157" s="100"/>
      <c r="F157" s="206"/>
      <c r="G157" s="206"/>
      <c r="H157" s="207"/>
      <c r="I157" s="207"/>
      <c r="J157" s="207"/>
      <c r="K157" s="207"/>
      <c r="L157" s="207"/>
      <c r="M157" s="207"/>
      <c r="N157" s="207"/>
      <c r="O157" s="207"/>
      <c r="P157" s="207"/>
      <c r="Q157" s="207"/>
      <c r="R157" s="207"/>
      <c r="S157" s="207"/>
      <c r="T157" s="207"/>
      <c r="U157" s="207"/>
      <c r="V157" s="207"/>
      <c r="W157" s="208"/>
      <c r="X157" s="208"/>
      <c r="Y157" s="208"/>
      <c r="Z157" s="208"/>
      <c r="AA157" s="208"/>
      <c r="AB157" s="208"/>
      <c r="AC157" s="208"/>
      <c r="AD157" s="208"/>
      <c r="AE157" s="208"/>
      <c r="AF157" s="208"/>
      <c r="AG157" s="208"/>
      <c r="AH157" s="208"/>
      <c r="AI157" s="271"/>
      <c r="AJ157" s="271"/>
      <c r="AK157" s="271"/>
      <c r="AL157" s="271"/>
      <c r="AM157" s="100"/>
      <c r="AN157" s="102"/>
    </row>
    <row r="158" ht="14.25" customHeight="1">
      <c r="A158" s="306"/>
      <c r="B158" s="230"/>
      <c r="C158" s="230"/>
      <c r="D158" s="230"/>
      <c r="E158" s="230"/>
      <c r="F158" s="231"/>
      <c r="G158" s="231"/>
      <c r="H158" s="232"/>
      <c r="I158" s="232"/>
      <c r="J158" s="232"/>
      <c r="K158" s="232"/>
      <c r="L158" s="232"/>
      <c r="M158" s="232"/>
      <c r="N158" s="232"/>
      <c r="O158" s="232"/>
      <c r="P158" s="232"/>
      <c r="Q158" s="232"/>
      <c r="R158" s="232"/>
      <c r="S158" s="232"/>
      <c r="T158" s="232"/>
      <c r="U158" s="232"/>
      <c r="V158" s="232"/>
      <c r="W158" s="233"/>
      <c r="X158" s="233"/>
      <c r="Y158" s="233"/>
      <c r="Z158" s="233"/>
      <c r="AA158" s="233"/>
      <c r="AB158" s="233"/>
      <c r="AC158" s="233"/>
      <c r="AD158" s="233"/>
      <c r="AE158" s="233"/>
      <c r="AF158" s="233"/>
      <c r="AG158" s="233"/>
      <c r="AH158" s="233"/>
      <c r="AI158" s="307"/>
      <c r="AJ158" s="307"/>
      <c r="AK158" s="307"/>
      <c r="AL158" s="307"/>
      <c r="AM158" s="230"/>
      <c r="AN158" s="234"/>
    </row>
    <row r="159" ht="14.25" customHeight="1">
      <c r="A159" s="179"/>
      <c r="B159" s="98"/>
      <c r="C159" s="98"/>
      <c r="D159" s="98"/>
      <c r="E159" s="98"/>
      <c r="F159" s="235"/>
      <c r="G159" s="235"/>
      <c r="H159" s="236"/>
      <c r="I159" s="236"/>
      <c r="J159" s="236"/>
      <c r="K159" s="236"/>
      <c r="L159" s="236"/>
      <c r="M159" s="236"/>
      <c r="N159" s="236"/>
      <c r="O159" s="236"/>
      <c r="P159" s="236"/>
      <c r="Q159" s="236"/>
      <c r="R159" s="236"/>
      <c r="S159" s="236"/>
      <c r="T159" s="236"/>
      <c r="U159" s="236"/>
      <c r="V159" s="236"/>
      <c r="W159" s="237"/>
      <c r="X159" s="237"/>
      <c r="Y159" s="237"/>
      <c r="Z159" s="237"/>
      <c r="AA159" s="237"/>
      <c r="AB159" s="237"/>
      <c r="AC159" s="237"/>
      <c r="AD159" s="237"/>
      <c r="AE159" s="237"/>
      <c r="AF159" s="237"/>
      <c r="AG159" s="237"/>
      <c r="AH159" s="237"/>
      <c r="AI159" s="308"/>
      <c r="AJ159" s="308"/>
      <c r="AK159" s="308"/>
      <c r="AL159" s="308"/>
      <c r="AM159" s="98"/>
      <c r="AN159" s="98"/>
    </row>
    <row r="160" ht="14.25" customHeight="1">
      <c r="A160" s="179"/>
      <c r="B160" s="98"/>
      <c r="C160" s="98"/>
      <c r="D160" s="98"/>
      <c r="E160" s="98"/>
      <c r="F160" s="235"/>
      <c r="G160" s="235"/>
      <c r="H160" s="236"/>
      <c r="I160" s="236"/>
      <c r="J160" s="236"/>
      <c r="K160" s="236"/>
      <c r="L160" s="236"/>
      <c r="M160" s="236"/>
      <c r="N160" s="236"/>
      <c r="O160" s="236"/>
      <c r="P160" s="236"/>
      <c r="Q160" s="236"/>
      <c r="R160" s="236"/>
      <c r="S160" s="236"/>
      <c r="T160" s="236"/>
      <c r="U160" s="236"/>
      <c r="V160" s="236"/>
      <c r="W160" s="237"/>
      <c r="X160" s="237"/>
      <c r="Y160" s="237"/>
      <c r="Z160" s="237"/>
      <c r="AA160" s="237"/>
      <c r="AB160" s="237"/>
      <c r="AC160" s="237"/>
      <c r="AD160" s="237"/>
      <c r="AE160" s="237"/>
      <c r="AF160" s="237"/>
      <c r="AG160" s="237"/>
      <c r="AH160" s="237"/>
      <c r="AI160" s="308"/>
      <c r="AJ160" s="308"/>
      <c r="AK160" s="308"/>
      <c r="AL160" s="308"/>
      <c r="AM160" s="98"/>
      <c r="AN160" s="98"/>
    </row>
    <row r="161" ht="14.25" customHeight="1">
      <c r="A161" s="179"/>
      <c r="B161" s="98"/>
      <c r="C161" s="98"/>
      <c r="D161" s="98"/>
      <c r="E161" s="98"/>
      <c r="F161" s="235"/>
      <c r="G161" s="235"/>
      <c r="H161" s="236"/>
      <c r="I161" s="236"/>
      <c r="J161" s="236"/>
      <c r="K161" s="236"/>
      <c r="L161" s="236"/>
      <c r="M161" s="236"/>
      <c r="N161" s="236"/>
      <c r="O161" s="236"/>
      <c r="P161" s="236"/>
      <c r="Q161" s="236"/>
      <c r="R161" s="236"/>
      <c r="S161" s="236"/>
      <c r="T161" s="236"/>
      <c r="U161" s="236"/>
      <c r="V161" s="236"/>
      <c r="W161" s="237"/>
      <c r="X161" s="237"/>
      <c r="Y161" s="237"/>
      <c r="Z161" s="237"/>
      <c r="AA161" s="237"/>
      <c r="AB161" s="237"/>
      <c r="AC161" s="237"/>
      <c r="AD161" s="237"/>
      <c r="AE161" s="237"/>
      <c r="AF161" s="237"/>
      <c r="AG161" s="237"/>
      <c r="AH161" s="237"/>
      <c r="AI161" s="308"/>
      <c r="AJ161" s="308"/>
      <c r="AK161" s="308"/>
      <c r="AL161" s="308"/>
      <c r="AM161" s="98"/>
      <c r="AN161" s="98"/>
    </row>
    <row r="162" ht="14.25" customHeight="1">
      <c r="A162" s="179"/>
      <c r="B162" s="98"/>
      <c r="C162" s="98"/>
      <c r="D162" s="98"/>
      <c r="E162" s="98"/>
      <c r="F162" s="235"/>
      <c r="G162" s="235"/>
      <c r="H162" s="236"/>
      <c r="I162" s="236"/>
      <c r="J162" s="236"/>
      <c r="K162" s="236"/>
      <c r="L162" s="236"/>
      <c r="M162" s="236"/>
      <c r="N162" s="236"/>
      <c r="O162" s="236"/>
      <c r="P162" s="236"/>
      <c r="Q162" s="236"/>
      <c r="R162" s="236"/>
      <c r="S162" s="236"/>
      <c r="T162" s="236"/>
      <c r="U162" s="236"/>
      <c r="V162" s="236"/>
      <c r="W162" s="237"/>
      <c r="X162" s="237"/>
      <c r="Y162" s="237"/>
      <c r="Z162" s="237"/>
      <c r="AA162" s="237"/>
      <c r="AB162" s="237"/>
      <c r="AC162" s="237"/>
      <c r="AD162" s="237"/>
      <c r="AE162" s="237"/>
      <c r="AF162" s="237"/>
      <c r="AG162" s="237"/>
      <c r="AH162" s="237"/>
      <c r="AI162" s="308"/>
      <c r="AJ162" s="308"/>
      <c r="AK162" s="308"/>
      <c r="AL162" s="308"/>
      <c r="AM162" s="98"/>
      <c r="AN162" s="98"/>
    </row>
    <row r="163" ht="14.25" customHeight="1">
      <c r="A163" s="179"/>
      <c r="B163" s="98"/>
      <c r="C163" s="98"/>
      <c r="D163" s="98"/>
      <c r="E163" s="98"/>
      <c r="F163" s="235"/>
      <c r="G163" s="235"/>
      <c r="H163" s="236"/>
      <c r="I163" s="236"/>
      <c r="J163" s="236"/>
      <c r="K163" s="236"/>
      <c r="L163" s="236"/>
      <c r="M163" s="236"/>
      <c r="N163" s="236"/>
      <c r="O163" s="236"/>
      <c r="P163" s="236"/>
      <c r="Q163" s="236"/>
      <c r="R163" s="236"/>
      <c r="S163" s="236"/>
      <c r="T163" s="236"/>
      <c r="U163" s="236"/>
      <c r="V163" s="236"/>
      <c r="W163" s="237"/>
      <c r="X163" s="237"/>
      <c r="Y163" s="237"/>
      <c r="Z163" s="237"/>
      <c r="AA163" s="237"/>
      <c r="AB163" s="237"/>
      <c r="AC163" s="237"/>
      <c r="AD163" s="237"/>
      <c r="AE163" s="237"/>
      <c r="AF163" s="237"/>
      <c r="AG163" s="237"/>
      <c r="AH163" s="237"/>
      <c r="AI163" s="308"/>
      <c r="AJ163" s="308"/>
      <c r="AK163" s="308"/>
      <c r="AL163" s="308"/>
      <c r="AM163" s="98"/>
      <c r="AN163" s="98"/>
    </row>
    <row r="164" ht="14.25" customHeight="1">
      <c r="A164" s="179"/>
      <c r="B164" s="98"/>
      <c r="C164" s="98"/>
      <c r="D164" s="98"/>
      <c r="E164" s="98"/>
      <c r="F164" s="235"/>
      <c r="G164" s="235"/>
      <c r="H164" s="236"/>
      <c r="I164" s="236"/>
      <c r="J164" s="236"/>
      <c r="K164" s="236"/>
      <c r="L164" s="236"/>
      <c r="M164" s="236"/>
      <c r="N164" s="236"/>
      <c r="O164" s="236"/>
      <c r="P164" s="236"/>
      <c r="Q164" s="236"/>
      <c r="R164" s="236"/>
      <c r="S164" s="236"/>
      <c r="T164" s="236"/>
      <c r="U164" s="236"/>
      <c r="V164" s="236"/>
      <c r="W164" s="237"/>
      <c r="X164" s="237"/>
      <c r="Y164" s="237"/>
      <c r="Z164" s="237"/>
      <c r="AA164" s="237"/>
      <c r="AB164" s="237"/>
      <c r="AC164" s="237"/>
      <c r="AD164" s="237"/>
      <c r="AE164" s="237"/>
      <c r="AF164" s="237"/>
      <c r="AG164" s="237"/>
      <c r="AH164" s="237"/>
      <c r="AI164" s="308"/>
      <c r="AJ164" s="308"/>
      <c r="AK164" s="308"/>
      <c r="AL164" s="308"/>
      <c r="AM164" s="98"/>
      <c r="AN164" s="98"/>
    </row>
    <row r="165" ht="14.25" customHeight="1">
      <c r="A165" s="179"/>
      <c r="B165" s="98"/>
      <c r="C165" s="98"/>
      <c r="D165" s="98"/>
      <c r="E165" s="98"/>
      <c r="F165" s="235"/>
      <c r="G165" s="235"/>
      <c r="H165" s="236"/>
      <c r="I165" s="236"/>
      <c r="J165" s="236"/>
      <c r="K165" s="236"/>
      <c r="L165" s="236"/>
      <c r="M165" s="236"/>
      <c r="N165" s="236"/>
      <c r="O165" s="236"/>
      <c r="P165" s="236"/>
      <c r="Q165" s="236"/>
      <c r="R165" s="236"/>
      <c r="S165" s="236"/>
      <c r="T165" s="236"/>
      <c r="U165" s="236"/>
      <c r="V165" s="236"/>
      <c r="W165" s="237"/>
      <c r="X165" s="237"/>
      <c r="Y165" s="237"/>
      <c r="Z165" s="237"/>
      <c r="AA165" s="237"/>
      <c r="AB165" s="237"/>
      <c r="AC165" s="237"/>
      <c r="AD165" s="237"/>
      <c r="AE165" s="237"/>
      <c r="AF165" s="237"/>
      <c r="AG165" s="237"/>
      <c r="AH165" s="237"/>
      <c r="AI165" s="308"/>
      <c r="AJ165" s="308"/>
      <c r="AK165" s="308"/>
      <c r="AL165" s="308"/>
      <c r="AM165" s="98"/>
      <c r="AN165" s="98"/>
    </row>
    <row r="166" ht="14.25" customHeight="1">
      <c r="A166" s="179"/>
      <c r="B166" s="98"/>
      <c r="C166" s="98"/>
      <c r="D166" s="98"/>
      <c r="E166" s="98"/>
      <c r="F166" s="235"/>
      <c r="G166" s="235"/>
      <c r="H166" s="236"/>
      <c r="I166" s="236"/>
      <c r="J166" s="236"/>
      <c r="K166" s="236"/>
      <c r="L166" s="236"/>
      <c r="M166" s="236"/>
      <c r="N166" s="236"/>
      <c r="O166" s="236"/>
      <c r="P166" s="236"/>
      <c r="Q166" s="236"/>
      <c r="R166" s="236"/>
      <c r="S166" s="236"/>
      <c r="T166" s="236"/>
      <c r="U166" s="236"/>
      <c r="V166" s="236"/>
      <c r="W166" s="237"/>
      <c r="X166" s="237"/>
      <c r="Y166" s="237"/>
      <c r="Z166" s="237"/>
      <c r="AA166" s="237"/>
      <c r="AB166" s="237"/>
      <c r="AC166" s="237"/>
      <c r="AD166" s="237"/>
      <c r="AE166" s="237"/>
      <c r="AF166" s="237"/>
      <c r="AG166" s="237"/>
      <c r="AH166" s="237"/>
      <c r="AI166" s="308"/>
      <c r="AJ166" s="308"/>
      <c r="AK166" s="308"/>
      <c r="AL166" s="308"/>
      <c r="AM166" s="98"/>
      <c r="AN166" s="98"/>
    </row>
    <row r="167" ht="14.25" customHeight="1">
      <c r="A167" s="179"/>
      <c r="B167" s="98"/>
      <c r="C167" s="98"/>
      <c r="D167" s="98"/>
      <c r="E167" s="98"/>
      <c r="F167" s="235"/>
      <c r="G167" s="235"/>
      <c r="H167" s="236"/>
      <c r="I167" s="236"/>
      <c r="J167" s="236"/>
      <c r="K167" s="236"/>
      <c r="L167" s="236"/>
      <c r="M167" s="236"/>
      <c r="N167" s="236"/>
      <c r="O167" s="236"/>
      <c r="P167" s="236"/>
      <c r="Q167" s="236"/>
      <c r="R167" s="236"/>
      <c r="S167" s="236"/>
      <c r="T167" s="236"/>
      <c r="U167" s="236"/>
      <c r="V167" s="236"/>
      <c r="W167" s="237"/>
      <c r="X167" s="237"/>
      <c r="Y167" s="237"/>
      <c r="Z167" s="237"/>
      <c r="AA167" s="237"/>
      <c r="AB167" s="237"/>
      <c r="AC167" s="237"/>
      <c r="AD167" s="237"/>
      <c r="AE167" s="237"/>
      <c r="AF167" s="237"/>
      <c r="AG167" s="237"/>
      <c r="AH167" s="237"/>
      <c r="AI167" s="308"/>
      <c r="AJ167" s="308"/>
      <c r="AK167" s="308"/>
      <c r="AL167" s="308"/>
      <c r="AM167" s="98"/>
      <c r="AN167" s="98"/>
    </row>
    <row r="168" ht="14.25" customHeight="1">
      <c r="A168" s="179"/>
      <c r="B168" s="98"/>
      <c r="C168" s="98"/>
      <c r="D168" s="98"/>
      <c r="E168" s="98"/>
      <c r="F168" s="235"/>
      <c r="G168" s="235"/>
      <c r="H168" s="236"/>
      <c r="I168" s="236"/>
      <c r="J168" s="236"/>
      <c r="K168" s="236"/>
      <c r="L168" s="236"/>
      <c r="M168" s="236"/>
      <c r="N168" s="236"/>
      <c r="O168" s="236"/>
      <c r="P168" s="236"/>
      <c r="Q168" s="236"/>
      <c r="R168" s="236"/>
      <c r="S168" s="236"/>
      <c r="T168" s="236"/>
      <c r="U168" s="236"/>
      <c r="V168" s="236"/>
      <c r="W168" s="237"/>
      <c r="X168" s="237"/>
      <c r="Y168" s="237"/>
      <c r="Z168" s="237"/>
      <c r="AA168" s="237"/>
      <c r="AB168" s="237"/>
      <c r="AC168" s="237"/>
      <c r="AD168" s="237"/>
      <c r="AE168" s="237"/>
      <c r="AF168" s="237"/>
      <c r="AG168" s="237"/>
      <c r="AH168" s="237"/>
      <c r="AI168" s="308"/>
      <c r="AJ168" s="308"/>
      <c r="AK168" s="308"/>
      <c r="AL168" s="308"/>
      <c r="AM168" s="98"/>
      <c r="AN168" s="98"/>
    </row>
    <row r="169" ht="14.25" customHeight="1">
      <c r="A169" s="179"/>
      <c r="B169" s="98"/>
      <c r="C169" s="98"/>
      <c r="D169" s="98"/>
      <c r="E169" s="98"/>
      <c r="F169" s="235"/>
      <c r="G169" s="235"/>
      <c r="H169" s="236"/>
      <c r="I169" s="236"/>
      <c r="J169" s="236"/>
      <c r="K169" s="236"/>
      <c r="L169" s="236"/>
      <c r="M169" s="236"/>
      <c r="N169" s="236"/>
      <c r="O169" s="236"/>
      <c r="P169" s="236"/>
      <c r="Q169" s="236"/>
      <c r="R169" s="236"/>
      <c r="S169" s="236"/>
      <c r="T169" s="236"/>
      <c r="U169" s="236"/>
      <c r="V169" s="236"/>
      <c r="W169" s="237"/>
      <c r="X169" s="237"/>
      <c r="Y169" s="237"/>
      <c r="Z169" s="237"/>
      <c r="AA169" s="237"/>
      <c r="AB169" s="237"/>
      <c r="AC169" s="237"/>
      <c r="AD169" s="237"/>
      <c r="AE169" s="237"/>
      <c r="AF169" s="237"/>
      <c r="AG169" s="237"/>
      <c r="AH169" s="237"/>
      <c r="AI169" s="308"/>
      <c r="AJ169" s="308"/>
      <c r="AK169" s="308"/>
      <c r="AL169" s="308"/>
      <c r="AM169" s="98"/>
      <c r="AN169" s="98"/>
    </row>
    <row r="170" ht="14.25" customHeight="1">
      <c r="A170" s="179"/>
      <c r="B170" s="98"/>
      <c r="C170" s="98"/>
      <c r="D170" s="98"/>
      <c r="E170" s="98"/>
      <c r="F170" s="235"/>
      <c r="G170" s="235"/>
      <c r="H170" s="236"/>
      <c r="I170" s="236"/>
      <c r="J170" s="236"/>
      <c r="K170" s="236"/>
      <c r="L170" s="236"/>
      <c r="M170" s="236"/>
      <c r="N170" s="236"/>
      <c r="O170" s="236"/>
      <c r="P170" s="236"/>
      <c r="Q170" s="236"/>
      <c r="R170" s="236"/>
      <c r="S170" s="236"/>
      <c r="T170" s="236"/>
      <c r="U170" s="236"/>
      <c r="V170" s="236"/>
      <c r="W170" s="237"/>
      <c r="X170" s="237"/>
      <c r="Y170" s="237"/>
      <c r="Z170" s="237"/>
      <c r="AA170" s="237"/>
      <c r="AB170" s="237"/>
      <c r="AC170" s="237"/>
      <c r="AD170" s="237"/>
      <c r="AE170" s="237"/>
      <c r="AF170" s="237"/>
      <c r="AG170" s="237"/>
      <c r="AH170" s="237"/>
      <c r="AI170" s="308"/>
      <c r="AJ170" s="308"/>
      <c r="AK170" s="308"/>
      <c r="AL170" s="308"/>
      <c r="AM170" s="98"/>
      <c r="AN170" s="98"/>
    </row>
    <row r="171" ht="14.25" customHeight="1">
      <c r="A171" s="179"/>
      <c r="B171" s="98"/>
      <c r="C171" s="98"/>
      <c r="D171" s="98"/>
      <c r="E171" s="98"/>
      <c r="F171" s="235"/>
      <c r="G171" s="235"/>
      <c r="H171" s="236"/>
      <c r="I171" s="236"/>
      <c r="J171" s="236"/>
      <c r="K171" s="236"/>
      <c r="L171" s="236"/>
      <c r="M171" s="236"/>
      <c r="N171" s="236"/>
      <c r="O171" s="236"/>
      <c r="P171" s="236"/>
      <c r="Q171" s="236"/>
      <c r="R171" s="236"/>
      <c r="S171" s="236"/>
      <c r="T171" s="236"/>
      <c r="U171" s="236"/>
      <c r="V171" s="236"/>
      <c r="W171" s="237"/>
      <c r="X171" s="237"/>
      <c r="Y171" s="237"/>
      <c r="Z171" s="237"/>
      <c r="AA171" s="237"/>
      <c r="AB171" s="237"/>
      <c r="AC171" s="237"/>
      <c r="AD171" s="237"/>
      <c r="AE171" s="237"/>
      <c r="AF171" s="237"/>
      <c r="AG171" s="237"/>
      <c r="AH171" s="237"/>
      <c r="AI171" s="308"/>
      <c r="AJ171" s="308"/>
      <c r="AK171" s="308"/>
      <c r="AL171" s="308"/>
      <c r="AM171" s="98"/>
      <c r="AN171" s="98"/>
    </row>
    <row r="172" ht="14.25" customHeight="1">
      <c r="A172" s="179"/>
      <c r="B172" s="98"/>
      <c r="C172" s="98"/>
      <c r="D172" s="98"/>
      <c r="E172" s="98"/>
      <c r="F172" s="235"/>
      <c r="G172" s="235"/>
      <c r="H172" s="236"/>
      <c r="I172" s="236"/>
      <c r="J172" s="236"/>
      <c r="K172" s="236"/>
      <c r="L172" s="236"/>
      <c r="M172" s="236"/>
      <c r="N172" s="236"/>
      <c r="O172" s="236"/>
      <c r="P172" s="236"/>
      <c r="Q172" s="236"/>
      <c r="R172" s="236"/>
      <c r="S172" s="236"/>
      <c r="T172" s="236"/>
      <c r="U172" s="236"/>
      <c r="V172" s="236"/>
      <c r="W172" s="237"/>
      <c r="X172" s="237"/>
      <c r="Y172" s="237"/>
      <c r="Z172" s="237"/>
      <c r="AA172" s="237"/>
      <c r="AB172" s="237"/>
      <c r="AC172" s="237"/>
      <c r="AD172" s="237"/>
      <c r="AE172" s="237"/>
      <c r="AF172" s="237"/>
      <c r="AG172" s="237"/>
      <c r="AH172" s="237"/>
      <c r="AI172" s="308"/>
      <c r="AJ172" s="308"/>
      <c r="AK172" s="308"/>
      <c r="AL172" s="308"/>
      <c r="AM172" s="98"/>
      <c r="AN172" s="98"/>
    </row>
    <row r="173" ht="14.25" customHeight="1">
      <c r="A173" s="179"/>
      <c r="B173" s="98"/>
      <c r="C173" s="98"/>
      <c r="D173" s="98"/>
      <c r="E173" s="98"/>
      <c r="F173" s="235"/>
      <c r="G173" s="235"/>
      <c r="H173" s="236"/>
      <c r="I173" s="236"/>
      <c r="J173" s="236"/>
      <c r="K173" s="236"/>
      <c r="L173" s="236"/>
      <c r="M173" s="236"/>
      <c r="N173" s="236"/>
      <c r="O173" s="236"/>
      <c r="P173" s="236"/>
      <c r="Q173" s="236"/>
      <c r="R173" s="236"/>
      <c r="S173" s="236"/>
      <c r="T173" s="236"/>
      <c r="U173" s="236"/>
      <c r="V173" s="236"/>
      <c r="W173" s="237"/>
      <c r="X173" s="237"/>
      <c r="Y173" s="237"/>
      <c r="Z173" s="237"/>
      <c r="AA173" s="237"/>
      <c r="AB173" s="237"/>
      <c r="AC173" s="237"/>
      <c r="AD173" s="237"/>
      <c r="AE173" s="237"/>
      <c r="AF173" s="237"/>
      <c r="AG173" s="237"/>
      <c r="AH173" s="237"/>
      <c r="AI173" s="308"/>
      <c r="AJ173" s="308"/>
      <c r="AK173" s="308"/>
      <c r="AL173" s="308"/>
      <c r="AM173" s="98"/>
      <c r="AN173" s="98"/>
    </row>
    <row r="174" ht="14.25" customHeight="1">
      <c r="A174" s="179"/>
      <c r="B174" s="98"/>
      <c r="C174" s="98"/>
      <c r="D174" s="98"/>
      <c r="E174" s="98"/>
      <c r="F174" s="235"/>
      <c r="G174" s="235"/>
      <c r="H174" s="236"/>
      <c r="I174" s="236"/>
      <c r="J174" s="236"/>
      <c r="K174" s="236"/>
      <c r="L174" s="236"/>
      <c r="M174" s="236"/>
      <c r="N174" s="236"/>
      <c r="O174" s="236"/>
      <c r="P174" s="236"/>
      <c r="Q174" s="236"/>
      <c r="R174" s="236"/>
      <c r="S174" s="236"/>
      <c r="T174" s="236"/>
      <c r="U174" s="236"/>
      <c r="V174" s="236"/>
      <c r="W174" s="237"/>
      <c r="X174" s="237"/>
      <c r="Y174" s="237"/>
      <c r="Z174" s="237"/>
      <c r="AA174" s="237"/>
      <c r="AB174" s="237"/>
      <c r="AC174" s="237"/>
      <c r="AD174" s="237"/>
      <c r="AE174" s="237"/>
      <c r="AF174" s="237"/>
      <c r="AG174" s="237"/>
      <c r="AH174" s="237"/>
      <c r="AI174" s="308"/>
      <c r="AJ174" s="308"/>
      <c r="AK174" s="308"/>
      <c r="AL174" s="308"/>
      <c r="AM174" s="98"/>
      <c r="AN174" s="98"/>
    </row>
    <row r="175" ht="14.25" customHeight="1">
      <c r="A175" s="179"/>
      <c r="B175" s="98"/>
      <c r="C175" s="98"/>
      <c r="D175" s="98"/>
      <c r="E175" s="98"/>
      <c r="F175" s="235"/>
      <c r="G175" s="235"/>
      <c r="H175" s="236"/>
      <c r="I175" s="236"/>
      <c r="J175" s="236"/>
      <c r="K175" s="236"/>
      <c r="L175" s="236"/>
      <c r="M175" s="236"/>
      <c r="N175" s="236"/>
      <c r="O175" s="236"/>
      <c r="P175" s="236"/>
      <c r="Q175" s="236"/>
      <c r="R175" s="236"/>
      <c r="S175" s="236"/>
      <c r="T175" s="236"/>
      <c r="U175" s="236"/>
      <c r="V175" s="236"/>
      <c r="W175" s="237"/>
      <c r="X175" s="237"/>
      <c r="Y175" s="237"/>
      <c r="Z175" s="237"/>
      <c r="AA175" s="237"/>
      <c r="AB175" s="237"/>
      <c r="AC175" s="237"/>
      <c r="AD175" s="237"/>
      <c r="AE175" s="237"/>
      <c r="AF175" s="237"/>
      <c r="AG175" s="237"/>
      <c r="AH175" s="237"/>
      <c r="AI175" s="308"/>
      <c r="AJ175" s="308"/>
      <c r="AK175" s="308"/>
      <c r="AL175" s="308"/>
      <c r="AM175" s="98"/>
      <c r="AN175" s="98"/>
    </row>
    <row r="176" ht="14.25" customHeight="1">
      <c r="A176" s="179"/>
      <c r="B176" s="98"/>
      <c r="C176" s="98"/>
      <c r="D176" s="98"/>
      <c r="E176" s="98"/>
      <c r="F176" s="235"/>
      <c r="G176" s="235"/>
      <c r="H176" s="236"/>
      <c r="I176" s="236"/>
      <c r="J176" s="236"/>
      <c r="K176" s="236"/>
      <c r="L176" s="236"/>
      <c r="M176" s="236"/>
      <c r="N176" s="236"/>
      <c r="O176" s="236"/>
      <c r="P176" s="236"/>
      <c r="Q176" s="236"/>
      <c r="R176" s="236"/>
      <c r="S176" s="236"/>
      <c r="T176" s="236"/>
      <c r="U176" s="236"/>
      <c r="V176" s="236"/>
      <c r="W176" s="237"/>
      <c r="X176" s="237"/>
      <c r="Y176" s="237"/>
      <c r="Z176" s="237"/>
      <c r="AA176" s="237"/>
      <c r="AB176" s="237"/>
      <c r="AC176" s="237"/>
      <c r="AD176" s="237"/>
      <c r="AE176" s="237"/>
      <c r="AF176" s="237"/>
      <c r="AG176" s="237"/>
      <c r="AH176" s="237"/>
      <c r="AI176" s="308"/>
      <c r="AJ176" s="308"/>
      <c r="AK176" s="308"/>
      <c r="AL176" s="308"/>
      <c r="AM176" s="98"/>
      <c r="AN176" s="98"/>
    </row>
    <row r="177" ht="14.25" customHeight="1">
      <c r="A177" s="179"/>
      <c r="B177" s="98"/>
      <c r="C177" s="98"/>
      <c r="D177" s="98"/>
      <c r="E177" s="98"/>
      <c r="F177" s="235"/>
      <c r="G177" s="235"/>
      <c r="H177" s="236"/>
      <c r="I177" s="236"/>
      <c r="J177" s="236"/>
      <c r="K177" s="236"/>
      <c r="L177" s="236"/>
      <c r="M177" s="236"/>
      <c r="N177" s="236"/>
      <c r="O177" s="236"/>
      <c r="P177" s="236"/>
      <c r="Q177" s="236"/>
      <c r="R177" s="236"/>
      <c r="S177" s="236"/>
      <c r="T177" s="236"/>
      <c r="U177" s="236"/>
      <c r="V177" s="236"/>
      <c r="W177" s="237"/>
      <c r="X177" s="237"/>
      <c r="Y177" s="237"/>
      <c r="Z177" s="237"/>
      <c r="AA177" s="237"/>
      <c r="AB177" s="237"/>
      <c r="AC177" s="237"/>
      <c r="AD177" s="237"/>
      <c r="AE177" s="237"/>
      <c r="AF177" s="237"/>
      <c r="AG177" s="237"/>
      <c r="AH177" s="237"/>
      <c r="AI177" s="308"/>
      <c r="AJ177" s="308"/>
      <c r="AK177" s="308"/>
      <c r="AL177" s="308"/>
      <c r="AM177" s="98"/>
      <c r="AN177" s="98"/>
    </row>
    <row r="178" ht="14.25" customHeight="1">
      <c r="A178" s="179"/>
      <c r="B178" s="98"/>
      <c r="C178" s="98"/>
      <c r="D178" s="98"/>
      <c r="E178" s="98"/>
      <c r="F178" s="235"/>
      <c r="G178" s="235"/>
      <c r="H178" s="236"/>
      <c r="I178" s="236"/>
      <c r="J178" s="236"/>
      <c r="K178" s="236"/>
      <c r="L178" s="236"/>
      <c r="M178" s="236"/>
      <c r="N178" s="236"/>
      <c r="O178" s="236"/>
      <c r="P178" s="236"/>
      <c r="Q178" s="236"/>
      <c r="R178" s="236"/>
      <c r="S178" s="236"/>
      <c r="T178" s="236"/>
      <c r="U178" s="236"/>
      <c r="V178" s="236"/>
      <c r="W178" s="237"/>
      <c r="X178" s="237"/>
      <c r="Y178" s="237"/>
      <c r="Z178" s="237"/>
      <c r="AA178" s="237"/>
      <c r="AB178" s="237"/>
      <c r="AC178" s="237"/>
      <c r="AD178" s="237"/>
      <c r="AE178" s="237"/>
      <c r="AF178" s="237"/>
      <c r="AG178" s="237"/>
      <c r="AH178" s="237"/>
      <c r="AI178" s="308"/>
      <c r="AJ178" s="308"/>
      <c r="AK178" s="308"/>
      <c r="AL178" s="308"/>
      <c r="AM178" s="98"/>
      <c r="AN178" s="98"/>
    </row>
    <row r="179" ht="14.25" customHeight="1">
      <c r="A179" s="179"/>
      <c r="B179" s="98"/>
      <c r="C179" s="98"/>
      <c r="D179" s="98"/>
      <c r="E179" s="98"/>
      <c r="F179" s="235"/>
      <c r="G179" s="235"/>
      <c r="H179" s="236"/>
      <c r="I179" s="236"/>
      <c r="J179" s="236"/>
      <c r="K179" s="236"/>
      <c r="L179" s="236"/>
      <c r="M179" s="236"/>
      <c r="N179" s="236"/>
      <c r="O179" s="236"/>
      <c r="P179" s="236"/>
      <c r="Q179" s="236"/>
      <c r="R179" s="236"/>
      <c r="S179" s="236"/>
      <c r="T179" s="236"/>
      <c r="U179" s="236"/>
      <c r="V179" s="236"/>
      <c r="W179" s="237"/>
      <c r="X179" s="237"/>
      <c r="Y179" s="237"/>
      <c r="Z179" s="237"/>
      <c r="AA179" s="237"/>
      <c r="AB179" s="237"/>
      <c r="AC179" s="237"/>
      <c r="AD179" s="237"/>
      <c r="AE179" s="237"/>
      <c r="AF179" s="237"/>
      <c r="AG179" s="237"/>
      <c r="AH179" s="237"/>
      <c r="AI179" s="308"/>
      <c r="AJ179" s="308"/>
      <c r="AK179" s="308"/>
      <c r="AL179" s="308"/>
      <c r="AM179" s="98"/>
      <c r="AN179" s="98"/>
    </row>
    <row r="180" ht="14.25" customHeight="1">
      <c r="A180" s="179"/>
      <c r="B180" s="98"/>
      <c r="C180" s="98"/>
      <c r="D180" s="98"/>
      <c r="E180" s="98"/>
      <c r="F180" s="235"/>
      <c r="G180" s="235"/>
      <c r="H180" s="236"/>
      <c r="I180" s="236"/>
      <c r="J180" s="236"/>
      <c r="K180" s="236"/>
      <c r="L180" s="236"/>
      <c r="M180" s="236"/>
      <c r="N180" s="236"/>
      <c r="O180" s="236"/>
      <c r="P180" s="236"/>
      <c r="Q180" s="236"/>
      <c r="R180" s="236"/>
      <c r="S180" s="236"/>
      <c r="T180" s="236"/>
      <c r="U180" s="236"/>
      <c r="V180" s="236"/>
      <c r="W180" s="237"/>
      <c r="X180" s="237"/>
      <c r="Y180" s="237"/>
      <c r="Z180" s="237"/>
      <c r="AA180" s="237"/>
      <c r="AB180" s="237"/>
      <c r="AC180" s="237"/>
      <c r="AD180" s="237"/>
      <c r="AE180" s="237"/>
      <c r="AF180" s="237"/>
      <c r="AG180" s="237"/>
      <c r="AH180" s="237"/>
      <c r="AI180" s="308"/>
      <c r="AJ180" s="308"/>
      <c r="AK180" s="308"/>
      <c r="AL180" s="308"/>
      <c r="AM180" s="98"/>
      <c r="AN180" s="98"/>
    </row>
    <row r="181" ht="14.25" customHeight="1">
      <c r="A181" s="179"/>
      <c r="B181" s="98"/>
      <c r="C181" s="98"/>
      <c r="D181" s="98"/>
      <c r="E181" s="98"/>
      <c r="F181" s="235"/>
      <c r="G181" s="235"/>
      <c r="H181" s="236"/>
      <c r="I181" s="236"/>
      <c r="J181" s="236"/>
      <c r="K181" s="236"/>
      <c r="L181" s="236"/>
      <c r="M181" s="236"/>
      <c r="N181" s="236"/>
      <c r="O181" s="236"/>
      <c r="P181" s="236"/>
      <c r="Q181" s="236"/>
      <c r="R181" s="236"/>
      <c r="S181" s="236"/>
      <c r="T181" s="236"/>
      <c r="U181" s="236"/>
      <c r="V181" s="236"/>
      <c r="W181" s="237"/>
      <c r="X181" s="237"/>
      <c r="Y181" s="237"/>
      <c r="Z181" s="237"/>
      <c r="AA181" s="237"/>
      <c r="AB181" s="237"/>
      <c r="AC181" s="237"/>
      <c r="AD181" s="237"/>
      <c r="AE181" s="237"/>
      <c r="AF181" s="237"/>
      <c r="AG181" s="237"/>
      <c r="AH181" s="237"/>
      <c r="AI181" s="308"/>
      <c r="AJ181" s="308"/>
      <c r="AK181" s="308"/>
      <c r="AL181" s="308"/>
      <c r="AM181" s="98"/>
      <c r="AN181" s="98"/>
    </row>
    <row r="182" ht="14.25" customHeight="1">
      <c r="A182" s="179"/>
      <c r="B182" s="98"/>
      <c r="C182" s="98"/>
      <c r="D182" s="98"/>
      <c r="E182" s="98"/>
      <c r="F182" s="235"/>
      <c r="G182" s="235"/>
      <c r="H182" s="236"/>
      <c r="I182" s="236"/>
      <c r="J182" s="236"/>
      <c r="K182" s="236"/>
      <c r="L182" s="236"/>
      <c r="M182" s="236"/>
      <c r="N182" s="236"/>
      <c r="O182" s="236"/>
      <c r="P182" s="236"/>
      <c r="Q182" s="236"/>
      <c r="R182" s="236"/>
      <c r="S182" s="236"/>
      <c r="T182" s="236"/>
      <c r="U182" s="236"/>
      <c r="V182" s="236"/>
      <c r="W182" s="237"/>
      <c r="X182" s="237"/>
      <c r="Y182" s="237"/>
      <c r="Z182" s="237"/>
      <c r="AA182" s="237"/>
      <c r="AB182" s="237"/>
      <c r="AC182" s="237"/>
      <c r="AD182" s="237"/>
      <c r="AE182" s="237"/>
      <c r="AF182" s="237"/>
      <c r="AG182" s="237"/>
      <c r="AH182" s="237"/>
      <c r="AI182" s="308"/>
      <c r="AJ182" s="308"/>
      <c r="AK182" s="308"/>
      <c r="AL182" s="308"/>
      <c r="AM182" s="98"/>
      <c r="AN182" s="98"/>
    </row>
    <row r="183" ht="14.25" customHeight="1">
      <c r="A183" s="179"/>
      <c r="B183" s="98"/>
      <c r="C183" s="98"/>
      <c r="D183" s="98"/>
      <c r="E183" s="98"/>
      <c r="F183" s="235"/>
      <c r="G183" s="235"/>
      <c r="H183" s="236"/>
      <c r="I183" s="236"/>
      <c r="J183" s="236"/>
      <c r="K183" s="236"/>
      <c r="L183" s="236"/>
      <c r="M183" s="236"/>
      <c r="N183" s="236"/>
      <c r="O183" s="236"/>
      <c r="P183" s="236"/>
      <c r="Q183" s="236"/>
      <c r="R183" s="236"/>
      <c r="S183" s="236"/>
      <c r="T183" s="236"/>
      <c r="U183" s="236"/>
      <c r="V183" s="236"/>
      <c r="W183" s="237"/>
      <c r="X183" s="237"/>
      <c r="Y183" s="237"/>
      <c r="Z183" s="237"/>
      <c r="AA183" s="237"/>
      <c r="AB183" s="237"/>
      <c r="AC183" s="237"/>
      <c r="AD183" s="237"/>
      <c r="AE183" s="237"/>
      <c r="AF183" s="237"/>
      <c r="AG183" s="237"/>
      <c r="AH183" s="237"/>
      <c r="AI183" s="308"/>
      <c r="AJ183" s="308"/>
      <c r="AK183" s="308"/>
      <c r="AL183" s="308"/>
      <c r="AM183" s="98"/>
      <c r="AN183" s="98"/>
    </row>
    <row r="184" ht="14.25" customHeight="1">
      <c r="A184" s="179"/>
      <c r="B184" s="98"/>
      <c r="C184" s="98"/>
      <c r="D184" s="98"/>
      <c r="E184" s="98"/>
      <c r="F184" s="235"/>
      <c r="G184" s="235"/>
      <c r="H184" s="236"/>
      <c r="I184" s="236"/>
      <c r="J184" s="236"/>
      <c r="K184" s="236"/>
      <c r="L184" s="236"/>
      <c r="M184" s="236"/>
      <c r="N184" s="236"/>
      <c r="O184" s="236"/>
      <c r="P184" s="236"/>
      <c r="Q184" s="236"/>
      <c r="R184" s="236"/>
      <c r="S184" s="236"/>
      <c r="T184" s="236"/>
      <c r="U184" s="236"/>
      <c r="V184" s="236"/>
      <c r="W184" s="237"/>
      <c r="X184" s="237"/>
      <c r="Y184" s="237"/>
      <c r="Z184" s="237"/>
      <c r="AA184" s="237"/>
      <c r="AB184" s="237"/>
      <c r="AC184" s="237"/>
      <c r="AD184" s="237"/>
      <c r="AE184" s="237"/>
      <c r="AF184" s="237"/>
      <c r="AG184" s="237"/>
      <c r="AH184" s="237"/>
      <c r="AI184" s="308"/>
      <c r="AJ184" s="308"/>
      <c r="AK184" s="308"/>
      <c r="AL184" s="308"/>
      <c r="AM184" s="98"/>
      <c r="AN184" s="98"/>
    </row>
    <row r="185" ht="14.25" customHeight="1">
      <c r="A185" s="179"/>
      <c r="B185" s="98"/>
      <c r="C185" s="98"/>
      <c r="D185" s="98"/>
      <c r="E185" s="98"/>
      <c r="F185" s="235"/>
      <c r="G185" s="235"/>
      <c r="H185" s="236"/>
      <c r="I185" s="236"/>
      <c r="J185" s="236"/>
      <c r="K185" s="236"/>
      <c r="L185" s="236"/>
      <c r="M185" s="236"/>
      <c r="N185" s="236"/>
      <c r="O185" s="236"/>
      <c r="P185" s="236"/>
      <c r="Q185" s="236"/>
      <c r="R185" s="236"/>
      <c r="S185" s="236"/>
      <c r="T185" s="236"/>
      <c r="U185" s="236"/>
      <c r="V185" s="236"/>
      <c r="W185" s="237"/>
      <c r="X185" s="237"/>
      <c r="Y185" s="237"/>
      <c r="Z185" s="237"/>
      <c r="AA185" s="237"/>
      <c r="AB185" s="237"/>
      <c r="AC185" s="237"/>
      <c r="AD185" s="237"/>
      <c r="AE185" s="237"/>
      <c r="AF185" s="237"/>
      <c r="AG185" s="237"/>
      <c r="AH185" s="237"/>
      <c r="AI185" s="308"/>
      <c r="AJ185" s="308"/>
      <c r="AK185" s="308"/>
      <c r="AL185" s="308"/>
      <c r="AM185" s="98"/>
      <c r="AN185" s="98"/>
    </row>
    <row r="186" ht="14.25" customHeight="1">
      <c r="A186" s="179"/>
      <c r="B186" s="98"/>
      <c r="C186" s="98"/>
      <c r="D186" s="98"/>
      <c r="E186" s="98"/>
      <c r="F186" s="235"/>
      <c r="G186" s="235"/>
      <c r="H186" s="236"/>
      <c r="I186" s="236"/>
      <c r="J186" s="236"/>
      <c r="K186" s="236"/>
      <c r="L186" s="236"/>
      <c r="M186" s="236"/>
      <c r="N186" s="236"/>
      <c r="O186" s="236"/>
      <c r="P186" s="236"/>
      <c r="Q186" s="236"/>
      <c r="R186" s="236"/>
      <c r="S186" s="236"/>
      <c r="T186" s="236"/>
      <c r="U186" s="236"/>
      <c r="V186" s="236"/>
      <c r="W186" s="237"/>
      <c r="X186" s="237"/>
      <c r="Y186" s="237"/>
      <c r="Z186" s="237"/>
      <c r="AA186" s="237"/>
      <c r="AB186" s="237"/>
      <c r="AC186" s="237"/>
      <c r="AD186" s="237"/>
      <c r="AE186" s="237"/>
      <c r="AF186" s="237"/>
      <c r="AG186" s="237"/>
      <c r="AH186" s="237"/>
      <c r="AI186" s="308"/>
      <c r="AJ186" s="308"/>
      <c r="AK186" s="308"/>
      <c r="AL186" s="308"/>
      <c r="AM186" s="98"/>
      <c r="AN186" s="98"/>
    </row>
    <row r="187" ht="14.25" customHeight="1">
      <c r="A187" s="179"/>
      <c r="B187" s="98"/>
      <c r="C187" s="98"/>
      <c r="D187" s="98"/>
      <c r="E187" s="98"/>
      <c r="F187" s="235"/>
      <c r="G187" s="235"/>
      <c r="H187" s="236"/>
      <c r="I187" s="236"/>
      <c r="J187" s="236"/>
      <c r="K187" s="236"/>
      <c r="L187" s="236"/>
      <c r="M187" s="236"/>
      <c r="N187" s="236"/>
      <c r="O187" s="236"/>
      <c r="P187" s="236"/>
      <c r="Q187" s="236"/>
      <c r="R187" s="236"/>
      <c r="S187" s="236"/>
      <c r="T187" s="236"/>
      <c r="U187" s="236"/>
      <c r="V187" s="236"/>
      <c r="W187" s="237"/>
      <c r="X187" s="237"/>
      <c r="Y187" s="237"/>
      <c r="Z187" s="237"/>
      <c r="AA187" s="237"/>
      <c r="AB187" s="237"/>
      <c r="AC187" s="237"/>
      <c r="AD187" s="237"/>
      <c r="AE187" s="237"/>
      <c r="AF187" s="237"/>
      <c r="AG187" s="237"/>
      <c r="AH187" s="237"/>
      <c r="AI187" s="308"/>
      <c r="AJ187" s="308"/>
      <c r="AK187" s="308"/>
      <c r="AL187" s="308"/>
      <c r="AM187" s="98"/>
      <c r="AN187" s="98"/>
    </row>
    <row r="188" ht="14.25" customHeight="1">
      <c r="A188" s="179"/>
      <c r="B188" s="98"/>
      <c r="C188" s="98"/>
      <c r="D188" s="98"/>
      <c r="E188" s="98"/>
      <c r="F188" s="235"/>
      <c r="G188" s="235"/>
      <c r="H188" s="236"/>
      <c r="I188" s="236"/>
      <c r="J188" s="236"/>
      <c r="K188" s="236"/>
      <c r="L188" s="236"/>
      <c r="M188" s="236"/>
      <c r="N188" s="236"/>
      <c r="O188" s="236"/>
      <c r="P188" s="236"/>
      <c r="Q188" s="236"/>
      <c r="R188" s="236"/>
      <c r="S188" s="236"/>
      <c r="T188" s="236"/>
      <c r="U188" s="236"/>
      <c r="V188" s="236"/>
      <c r="W188" s="237"/>
      <c r="X188" s="237"/>
      <c r="Y188" s="237"/>
      <c r="Z188" s="237"/>
      <c r="AA188" s="237"/>
      <c r="AB188" s="237"/>
      <c r="AC188" s="237"/>
      <c r="AD188" s="237"/>
      <c r="AE188" s="237"/>
      <c r="AF188" s="237"/>
      <c r="AG188" s="237"/>
      <c r="AH188" s="237"/>
      <c r="AI188" s="308"/>
      <c r="AJ188" s="308"/>
      <c r="AK188" s="308"/>
      <c r="AL188" s="308"/>
      <c r="AM188" s="98"/>
      <c r="AN188" s="98"/>
    </row>
    <row r="189" ht="14.25" customHeight="1">
      <c r="A189" s="179"/>
      <c r="B189" s="98"/>
      <c r="C189" s="98"/>
      <c r="D189" s="98"/>
      <c r="E189" s="98"/>
      <c r="F189" s="235"/>
      <c r="G189" s="235"/>
      <c r="H189" s="236"/>
      <c r="I189" s="236"/>
      <c r="J189" s="236"/>
      <c r="K189" s="236"/>
      <c r="L189" s="236"/>
      <c r="M189" s="236"/>
      <c r="N189" s="236"/>
      <c r="O189" s="236"/>
      <c r="P189" s="236"/>
      <c r="Q189" s="236"/>
      <c r="R189" s="236"/>
      <c r="S189" s="236"/>
      <c r="T189" s="236"/>
      <c r="U189" s="236"/>
      <c r="V189" s="236"/>
      <c r="W189" s="237"/>
      <c r="X189" s="237"/>
      <c r="Y189" s="237"/>
      <c r="Z189" s="237"/>
      <c r="AA189" s="237"/>
      <c r="AB189" s="237"/>
      <c r="AC189" s="237"/>
      <c r="AD189" s="237"/>
      <c r="AE189" s="237"/>
      <c r="AF189" s="237"/>
      <c r="AG189" s="237"/>
      <c r="AH189" s="237"/>
      <c r="AI189" s="308"/>
      <c r="AJ189" s="308"/>
      <c r="AK189" s="308"/>
      <c r="AL189" s="308"/>
      <c r="AM189" s="98"/>
      <c r="AN189" s="98"/>
    </row>
    <row r="190" ht="14.25" customHeight="1">
      <c r="A190" s="179"/>
      <c r="B190" s="98"/>
      <c r="C190" s="98"/>
      <c r="D190" s="98"/>
      <c r="E190" s="98"/>
      <c r="F190" s="235"/>
      <c r="G190" s="235"/>
      <c r="H190" s="236"/>
      <c r="I190" s="236"/>
      <c r="J190" s="236"/>
      <c r="K190" s="236"/>
      <c r="L190" s="236"/>
      <c r="M190" s="236"/>
      <c r="N190" s="236"/>
      <c r="O190" s="236"/>
      <c r="P190" s="236"/>
      <c r="Q190" s="236"/>
      <c r="R190" s="236"/>
      <c r="S190" s="236"/>
      <c r="T190" s="236"/>
      <c r="U190" s="236"/>
      <c r="V190" s="236"/>
      <c r="W190" s="237"/>
      <c r="X190" s="237"/>
      <c r="Y190" s="237"/>
      <c r="Z190" s="237"/>
      <c r="AA190" s="237"/>
      <c r="AB190" s="237"/>
      <c r="AC190" s="237"/>
      <c r="AD190" s="237"/>
      <c r="AE190" s="237"/>
      <c r="AF190" s="237"/>
      <c r="AG190" s="237"/>
      <c r="AH190" s="237"/>
      <c r="AI190" s="308"/>
      <c r="AJ190" s="308"/>
      <c r="AK190" s="308"/>
      <c r="AL190" s="308"/>
      <c r="AM190" s="98"/>
      <c r="AN190" s="98"/>
    </row>
    <row r="191" ht="14.25" customHeight="1">
      <c r="A191" s="179"/>
      <c r="B191" s="98"/>
      <c r="C191" s="98"/>
      <c r="D191" s="98"/>
      <c r="E191" s="98"/>
      <c r="F191" s="235"/>
      <c r="G191" s="235"/>
      <c r="H191" s="236"/>
      <c r="I191" s="236"/>
      <c r="J191" s="236"/>
      <c r="K191" s="236"/>
      <c r="L191" s="236"/>
      <c r="M191" s="236"/>
      <c r="N191" s="236"/>
      <c r="O191" s="236"/>
      <c r="P191" s="236"/>
      <c r="Q191" s="236"/>
      <c r="R191" s="236"/>
      <c r="S191" s="236"/>
      <c r="T191" s="236"/>
      <c r="U191" s="236"/>
      <c r="V191" s="236"/>
      <c r="W191" s="237"/>
      <c r="X191" s="237"/>
      <c r="Y191" s="237"/>
      <c r="Z191" s="237"/>
      <c r="AA191" s="237"/>
      <c r="AB191" s="237"/>
      <c r="AC191" s="237"/>
      <c r="AD191" s="237"/>
      <c r="AE191" s="237"/>
      <c r="AF191" s="237"/>
      <c r="AG191" s="237"/>
      <c r="AH191" s="237"/>
      <c r="AI191" s="308"/>
      <c r="AJ191" s="308"/>
      <c r="AK191" s="308"/>
      <c r="AL191" s="308"/>
      <c r="AM191" s="98"/>
      <c r="AN191" s="98"/>
    </row>
    <row r="192" ht="14.25" customHeight="1">
      <c r="A192" s="179"/>
      <c r="B192" s="98"/>
      <c r="C192" s="98"/>
      <c r="D192" s="98"/>
      <c r="E192" s="98"/>
      <c r="F192" s="235"/>
      <c r="G192" s="235"/>
      <c r="H192" s="236"/>
      <c r="I192" s="236"/>
      <c r="J192" s="236"/>
      <c r="K192" s="236"/>
      <c r="L192" s="236"/>
      <c r="M192" s="236"/>
      <c r="N192" s="236"/>
      <c r="O192" s="236"/>
      <c r="P192" s="236"/>
      <c r="Q192" s="236"/>
      <c r="R192" s="236"/>
      <c r="S192" s="236"/>
      <c r="T192" s="236"/>
      <c r="U192" s="236"/>
      <c r="V192" s="236"/>
      <c r="W192" s="237"/>
      <c r="X192" s="237"/>
      <c r="Y192" s="237"/>
      <c r="Z192" s="237"/>
      <c r="AA192" s="237"/>
      <c r="AB192" s="237"/>
      <c r="AC192" s="237"/>
      <c r="AD192" s="237"/>
      <c r="AE192" s="237"/>
      <c r="AF192" s="237"/>
      <c r="AG192" s="237"/>
      <c r="AH192" s="237"/>
      <c r="AI192" s="308"/>
      <c r="AJ192" s="308"/>
      <c r="AK192" s="308"/>
      <c r="AL192" s="308"/>
      <c r="AM192" s="98"/>
      <c r="AN192" s="98"/>
    </row>
    <row r="193" ht="14.25" customHeight="1">
      <c r="A193" s="179"/>
      <c r="B193" s="98"/>
      <c r="C193" s="98"/>
      <c r="D193" s="98"/>
      <c r="E193" s="98"/>
      <c r="F193" s="235"/>
      <c r="G193" s="235"/>
      <c r="H193" s="236"/>
      <c r="I193" s="236"/>
      <c r="J193" s="236"/>
      <c r="K193" s="236"/>
      <c r="L193" s="236"/>
      <c r="M193" s="236"/>
      <c r="N193" s="236"/>
      <c r="O193" s="236"/>
      <c r="P193" s="236"/>
      <c r="Q193" s="236"/>
      <c r="R193" s="236"/>
      <c r="S193" s="236"/>
      <c r="T193" s="236"/>
      <c r="U193" s="236"/>
      <c r="V193" s="236"/>
      <c r="W193" s="237"/>
      <c r="X193" s="237"/>
      <c r="Y193" s="237"/>
      <c r="Z193" s="237"/>
      <c r="AA193" s="237"/>
      <c r="AB193" s="237"/>
      <c r="AC193" s="237"/>
      <c r="AD193" s="237"/>
      <c r="AE193" s="237"/>
      <c r="AF193" s="237"/>
      <c r="AG193" s="237"/>
      <c r="AH193" s="237"/>
      <c r="AI193" s="308"/>
      <c r="AJ193" s="308"/>
      <c r="AK193" s="308"/>
      <c r="AL193" s="308"/>
      <c r="AM193" s="98"/>
      <c r="AN193" s="98"/>
    </row>
    <row r="194" ht="14.25" customHeight="1">
      <c r="A194" s="179"/>
      <c r="B194" s="98"/>
      <c r="C194" s="98"/>
      <c r="D194" s="98"/>
      <c r="E194" s="98"/>
      <c r="F194" s="235"/>
      <c r="G194" s="235"/>
      <c r="H194" s="236"/>
      <c r="I194" s="236"/>
      <c r="J194" s="236"/>
      <c r="K194" s="236"/>
      <c r="L194" s="236"/>
      <c r="M194" s="236"/>
      <c r="N194" s="236"/>
      <c r="O194" s="236"/>
      <c r="P194" s="236"/>
      <c r="Q194" s="236"/>
      <c r="R194" s="236"/>
      <c r="S194" s="236"/>
      <c r="T194" s="236"/>
      <c r="U194" s="236"/>
      <c r="V194" s="236"/>
      <c r="W194" s="237"/>
      <c r="X194" s="237"/>
      <c r="Y194" s="237"/>
      <c r="Z194" s="237"/>
      <c r="AA194" s="237"/>
      <c r="AB194" s="237"/>
      <c r="AC194" s="237"/>
      <c r="AD194" s="237"/>
      <c r="AE194" s="237"/>
      <c r="AF194" s="237"/>
      <c r="AG194" s="237"/>
      <c r="AH194" s="237"/>
      <c r="AI194" s="308"/>
      <c r="AJ194" s="308"/>
      <c r="AK194" s="308"/>
      <c r="AL194" s="308"/>
      <c r="AM194" s="98"/>
      <c r="AN194" s="98"/>
    </row>
    <row r="195" ht="14.25" customHeight="1">
      <c r="A195" s="179"/>
      <c r="B195" s="98"/>
      <c r="C195" s="98"/>
      <c r="D195" s="98"/>
      <c r="E195" s="98"/>
      <c r="F195" s="235"/>
      <c r="G195" s="235"/>
      <c r="H195" s="236"/>
      <c r="I195" s="236"/>
      <c r="J195" s="236"/>
      <c r="K195" s="236"/>
      <c r="L195" s="236"/>
      <c r="M195" s="236"/>
      <c r="N195" s="236"/>
      <c r="O195" s="236"/>
      <c r="P195" s="236"/>
      <c r="Q195" s="236"/>
      <c r="R195" s="236"/>
      <c r="S195" s="236"/>
      <c r="T195" s="236"/>
      <c r="U195" s="236"/>
      <c r="V195" s="236"/>
      <c r="W195" s="237"/>
      <c r="X195" s="237"/>
      <c r="Y195" s="237"/>
      <c r="Z195" s="237"/>
      <c r="AA195" s="237"/>
      <c r="AB195" s="237"/>
      <c r="AC195" s="237"/>
      <c r="AD195" s="237"/>
      <c r="AE195" s="237"/>
      <c r="AF195" s="237"/>
      <c r="AG195" s="237"/>
      <c r="AH195" s="237"/>
      <c r="AI195" s="308"/>
      <c r="AJ195" s="308"/>
      <c r="AK195" s="308"/>
      <c r="AL195" s="308"/>
      <c r="AM195" s="98"/>
      <c r="AN195" s="98"/>
    </row>
    <row r="196" ht="14.25" customHeight="1">
      <c r="A196" s="179"/>
      <c r="B196" s="98"/>
      <c r="C196" s="98"/>
      <c r="D196" s="98"/>
      <c r="E196" s="98"/>
      <c r="F196" s="235"/>
      <c r="G196" s="235"/>
      <c r="H196" s="236"/>
      <c r="I196" s="236"/>
      <c r="J196" s="236"/>
      <c r="K196" s="236"/>
      <c r="L196" s="236"/>
      <c r="M196" s="236"/>
      <c r="N196" s="236"/>
      <c r="O196" s="236"/>
      <c r="P196" s="236"/>
      <c r="Q196" s="236"/>
      <c r="R196" s="236"/>
      <c r="S196" s="236"/>
      <c r="T196" s="236"/>
      <c r="U196" s="236"/>
      <c r="V196" s="236"/>
      <c r="W196" s="237"/>
      <c r="X196" s="237"/>
      <c r="Y196" s="237"/>
      <c r="Z196" s="237"/>
      <c r="AA196" s="237"/>
      <c r="AB196" s="237"/>
      <c r="AC196" s="237"/>
      <c r="AD196" s="237"/>
      <c r="AE196" s="237"/>
      <c r="AF196" s="237"/>
      <c r="AG196" s="237"/>
      <c r="AH196" s="237"/>
      <c r="AI196" s="308"/>
      <c r="AJ196" s="308"/>
      <c r="AK196" s="308"/>
      <c r="AL196" s="308"/>
      <c r="AM196" s="98"/>
      <c r="AN196" s="98"/>
    </row>
    <row r="197" ht="14.25" customHeight="1">
      <c r="A197" s="179"/>
      <c r="B197" s="98"/>
      <c r="C197" s="98"/>
      <c r="D197" s="98"/>
      <c r="E197" s="98"/>
      <c r="F197" s="235"/>
      <c r="G197" s="235"/>
      <c r="H197" s="236"/>
      <c r="I197" s="236"/>
      <c r="J197" s="236"/>
      <c r="K197" s="236"/>
      <c r="L197" s="236"/>
      <c r="M197" s="236"/>
      <c r="N197" s="236"/>
      <c r="O197" s="236"/>
      <c r="P197" s="236"/>
      <c r="Q197" s="236"/>
      <c r="R197" s="236"/>
      <c r="S197" s="236"/>
      <c r="T197" s="236"/>
      <c r="U197" s="236"/>
      <c r="V197" s="236"/>
      <c r="W197" s="237"/>
      <c r="X197" s="237"/>
      <c r="Y197" s="237"/>
      <c r="Z197" s="237"/>
      <c r="AA197" s="237"/>
      <c r="AB197" s="237"/>
      <c r="AC197" s="237"/>
      <c r="AD197" s="237"/>
      <c r="AE197" s="237"/>
      <c r="AF197" s="237"/>
      <c r="AG197" s="237"/>
      <c r="AH197" s="237"/>
      <c r="AI197" s="308"/>
      <c r="AJ197" s="308"/>
      <c r="AK197" s="308"/>
      <c r="AL197" s="308"/>
      <c r="AM197" s="98"/>
      <c r="AN197" s="98"/>
    </row>
    <row r="198" ht="14.25" customHeight="1">
      <c r="A198" s="179"/>
      <c r="B198" s="98"/>
      <c r="C198" s="98"/>
      <c r="D198" s="98"/>
      <c r="E198" s="98"/>
      <c r="F198" s="235"/>
      <c r="G198" s="235"/>
      <c r="H198" s="236"/>
      <c r="I198" s="236"/>
      <c r="J198" s="236"/>
      <c r="K198" s="236"/>
      <c r="L198" s="236"/>
      <c r="M198" s="236"/>
      <c r="N198" s="236"/>
      <c r="O198" s="236"/>
      <c r="P198" s="236"/>
      <c r="Q198" s="236"/>
      <c r="R198" s="236"/>
      <c r="S198" s="236"/>
      <c r="T198" s="236"/>
      <c r="U198" s="236"/>
      <c r="V198" s="236"/>
      <c r="W198" s="237"/>
      <c r="X198" s="237"/>
      <c r="Y198" s="237"/>
      <c r="Z198" s="237"/>
      <c r="AA198" s="237"/>
      <c r="AB198" s="237"/>
      <c r="AC198" s="237"/>
      <c r="AD198" s="237"/>
      <c r="AE198" s="237"/>
      <c r="AF198" s="237"/>
      <c r="AG198" s="237"/>
      <c r="AH198" s="237"/>
      <c r="AI198" s="308"/>
      <c r="AJ198" s="308"/>
      <c r="AK198" s="308"/>
      <c r="AL198" s="308"/>
      <c r="AM198" s="98"/>
      <c r="AN198" s="98"/>
    </row>
    <row r="199" ht="14.25" customHeight="1">
      <c r="A199" s="179"/>
      <c r="B199" s="98"/>
      <c r="C199" s="98"/>
      <c r="D199" s="98"/>
      <c r="E199" s="98"/>
      <c r="F199" s="235"/>
      <c r="G199" s="235"/>
      <c r="H199" s="236"/>
      <c r="I199" s="236"/>
      <c r="J199" s="236"/>
      <c r="K199" s="236"/>
      <c r="L199" s="236"/>
      <c r="M199" s="236"/>
      <c r="N199" s="236"/>
      <c r="O199" s="236"/>
      <c r="P199" s="236"/>
      <c r="Q199" s="236"/>
      <c r="R199" s="236"/>
      <c r="S199" s="236"/>
      <c r="T199" s="236"/>
      <c r="U199" s="236"/>
      <c r="V199" s="236"/>
      <c r="W199" s="237"/>
      <c r="X199" s="237"/>
      <c r="Y199" s="237"/>
      <c r="Z199" s="237"/>
      <c r="AA199" s="237"/>
      <c r="AB199" s="237"/>
      <c r="AC199" s="237"/>
      <c r="AD199" s="237"/>
      <c r="AE199" s="237"/>
      <c r="AF199" s="237"/>
      <c r="AG199" s="237"/>
      <c r="AH199" s="237"/>
      <c r="AI199" s="308"/>
      <c r="AJ199" s="308"/>
      <c r="AK199" s="308"/>
      <c r="AL199" s="308"/>
      <c r="AM199" s="98"/>
      <c r="AN199" s="98"/>
    </row>
    <row r="200" ht="14.25" customHeight="1">
      <c r="A200" s="179"/>
      <c r="B200" s="98"/>
      <c r="C200" s="98"/>
      <c r="D200" s="98"/>
      <c r="E200" s="98"/>
      <c r="F200" s="235"/>
      <c r="G200" s="235"/>
      <c r="H200" s="236"/>
      <c r="I200" s="236"/>
      <c r="J200" s="236"/>
      <c r="K200" s="236"/>
      <c r="L200" s="236"/>
      <c r="M200" s="236"/>
      <c r="N200" s="236"/>
      <c r="O200" s="236"/>
      <c r="P200" s="236"/>
      <c r="Q200" s="236"/>
      <c r="R200" s="236"/>
      <c r="S200" s="236"/>
      <c r="T200" s="236"/>
      <c r="U200" s="236"/>
      <c r="V200" s="236"/>
      <c r="W200" s="237"/>
      <c r="X200" s="237"/>
      <c r="Y200" s="237"/>
      <c r="Z200" s="237"/>
      <c r="AA200" s="237"/>
      <c r="AB200" s="237"/>
      <c r="AC200" s="237"/>
      <c r="AD200" s="237"/>
      <c r="AE200" s="237"/>
      <c r="AF200" s="237"/>
      <c r="AG200" s="237"/>
      <c r="AH200" s="237"/>
      <c r="AI200" s="308"/>
      <c r="AJ200" s="308"/>
      <c r="AK200" s="308"/>
      <c r="AL200" s="308"/>
      <c r="AM200" s="98"/>
      <c r="AN200" s="98"/>
    </row>
    <row r="201" ht="14.25" customHeight="1">
      <c r="A201" s="179"/>
      <c r="B201" s="98"/>
      <c r="C201" s="98"/>
      <c r="D201" s="98"/>
      <c r="E201" s="98"/>
      <c r="F201" s="235"/>
      <c r="G201" s="235"/>
      <c r="H201" s="236"/>
      <c r="I201" s="236"/>
      <c r="J201" s="236"/>
      <c r="K201" s="236"/>
      <c r="L201" s="236"/>
      <c r="M201" s="236"/>
      <c r="N201" s="236"/>
      <c r="O201" s="236"/>
      <c r="P201" s="236"/>
      <c r="Q201" s="236"/>
      <c r="R201" s="236"/>
      <c r="S201" s="236"/>
      <c r="T201" s="236"/>
      <c r="U201" s="236"/>
      <c r="V201" s="236"/>
      <c r="W201" s="237"/>
      <c r="X201" s="237"/>
      <c r="Y201" s="237"/>
      <c r="Z201" s="237"/>
      <c r="AA201" s="237"/>
      <c r="AB201" s="237"/>
      <c r="AC201" s="237"/>
      <c r="AD201" s="237"/>
      <c r="AE201" s="237"/>
      <c r="AF201" s="237"/>
      <c r="AG201" s="237"/>
      <c r="AH201" s="237"/>
      <c r="AI201" s="308"/>
      <c r="AJ201" s="308"/>
      <c r="AK201" s="308"/>
      <c r="AL201" s="308"/>
      <c r="AM201" s="98"/>
      <c r="AN201" s="98"/>
    </row>
    <row r="202" ht="14.25" customHeight="1">
      <c r="A202" s="179"/>
      <c r="B202" s="98"/>
      <c r="C202" s="98"/>
      <c r="D202" s="98"/>
      <c r="E202" s="98"/>
      <c r="F202" s="235"/>
      <c r="G202" s="235"/>
      <c r="H202" s="236"/>
      <c r="I202" s="236"/>
      <c r="J202" s="236"/>
      <c r="K202" s="236"/>
      <c r="L202" s="236"/>
      <c r="M202" s="236"/>
      <c r="N202" s="236"/>
      <c r="O202" s="236"/>
      <c r="P202" s="236"/>
      <c r="Q202" s="236"/>
      <c r="R202" s="236"/>
      <c r="S202" s="236"/>
      <c r="T202" s="236"/>
      <c r="U202" s="236"/>
      <c r="V202" s="236"/>
      <c r="W202" s="237"/>
      <c r="X202" s="237"/>
      <c r="Y202" s="237"/>
      <c r="Z202" s="237"/>
      <c r="AA202" s="237"/>
      <c r="AB202" s="237"/>
      <c r="AC202" s="237"/>
      <c r="AD202" s="237"/>
      <c r="AE202" s="237"/>
      <c r="AF202" s="237"/>
      <c r="AG202" s="237"/>
      <c r="AH202" s="237"/>
      <c r="AI202" s="308"/>
      <c r="AJ202" s="308"/>
      <c r="AK202" s="308"/>
      <c r="AL202" s="308"/>
      <c r="AM202" s="98"/>
      <c r="AN202" s="98"/>
    </row>
    <row r="203" ht="14.25" customHeight="1">
      <c r="A203" s="179"/>
      <c r="B203" s="98"/>
      <c r="C203" s="98"/>
      <c r="D203" s="98"/>
      <c r="E203" s="98"/>
      <c r="F203" s="235"/>
      <c r="G203" s="235"/>
      <c r="H203" s="236"/>
      <c r="I203" s="236"/>
      <c r="J203" s="236"/>
      <c r="K203" s="236"/>
      <c r="L203" s="236"/>
      <c r="M203" s="236"/>
      <c r="N203" s="236"/>
      <c r="O203" s="236"/>
      <c r="P203" s="236"/>
      <c r="Q203" s="236"/>
      <c r="R203" s="236"/>
      <c r="S203" s="236"/>
      <c r="T203" s="236"/>
      <c r="U203" s="236"/>
      <c r="V203" s="236"/>
      <c r="W203" s="237"/>
      <c r="X203" s="237"/>
      <c r="Y203" s="237"/>
      <c r="Z203" s="237"/>
      <c r="AA203" s="237"/>
      <c r="AB203" s="237"/>
      <c r="AC203" s="237"/>
      <c r="AD203" s="237"/>
      <c r="AE203" s="237"/>
      <c r="AF203" s="237"/>
      <c r="AG203" s="237"/>
      <c r="AH203" s="237"/>
      <c r="AI203" s="308"/>
      <c r="AJ203" s="308"/>
      <c r="AK203" s="308"/>
      <c r="AL203" s="308"/>
      <c r="AM203" s="98"/>
      <c r="AN203" s="98"/>
    </row>
    <row r="204" ht="14.25" customHeight="1">
      <c r="A204" s="179"/>
      <c r="B204" s="98"/>
      <c r="C204" s="98"/>
      <c r="D204" s="98"/>
      <c r="E204" s="98"/>
      <c r="F204" s="235"/>
      <c r="G204" s="235"/>
      <c r="H204" s="236"/>
      <c r="I204" s="236"/>
      <c r="J204" s="236"/>
      <c r="K204" s="236"/>
      <c r="L204" s="236"/>
      <c r="M204" s="236"/>
      <c r="N204" s="236"/>
      <c r="O204" s="236"/>
      <c r="P204" s="236"/>
      <c r="Q204" s="236"/>
      <c r="R204" s="236"/>
      <c r="S204" s="236"/>
      <c r="T204" s="236"/>
      <c r="U204" s="236"/>
      <c r="V204" s="236"/>
      <c r="W204" s="237"/>
      <c r="X204" s="237"/>
      <c r="Y204" s="237"/>
      <c r="Z204" s="237"/>
      <c r="AA204" s="237"/>
      <c r="AB204" s="237"/>
      <c r="AC204" s="237"/>
      <c r="AD204" s="237"/>
      <c r="AE204" s="237"/>
      <c r="AF204" s="237"/>
      <c r="AG204" s="237"/>
      <c r="AH204" s="237"/>
      <c r="AI204" s="308"/>
      <c r="AJ204" s="308"/>
      <c r="AK204" s="308"/>
      <c r="AL204" s="308"/>
      <c r="AM204" s="98"/>
      <c r="AN204" s="98"/>
    </row>
    <row r="205" ht="14.25" customHeight="1">
      <c r="A205" s="179"/>
      <c r="B205" s="98"/>
      <c r="C205" s="98"/>
      <c r="D205" s="98"/>
      <c r="E205" s="98"/>
      <c r="F205" s="235"/>
      <c r="G205" s="235"/>
      <c r="H205" s="236"/>
      <c r="I205" s="236"/>
      <c r="J205" s="236"/>
      <c r="K205" s="236"/>
      <c r="L205" s="236"/>
      <c r="M205" s="236"/>
      <c r="N205" s="236"/>
      <c r="O205" s="236"/>
      <c r="P205" s="236"/>
      <c r="Q205" s="236"/>
      <c r="R205" s="236"/>
      <c r="S205" s="236"/>
      <c r="T205" s="236"/>
      <c r="U205" s="236"/>
      <c r="V205" s="236"/>
      <c r="W205" s="237"/>
      <c r="X205" s="237"/>
      <c r="Y205" s="237"/>
      <c r="Z205" s="237"/>
      <c r="AA205" s="237"/>
      <c r="AB205" s="237"/>
      <c r="AC205" s="237"/>
      <c r="AD205" s="237"/>
      <c r="AE205" s="237"/>
      <c r="AF205" s="237"/>
      <c r="AG205" s="237"/>
      <c r="AH205" s="237"/>
      <c r="AI205" s="308"/>
      <c r="AJ205" s="308"/>
      <c r="AK205" s="308"/>
      <c r="AL205" s="308"/>
      <c r="AM205" s="98"/>
      <c r="AN205" s="98"/>
    </row>
    <row r="206" ht="14.25" customHeight="1">
      <c r="A206" s="179"/>
      <c r="B206" s="98"/>
      <c r="C206" s="98"/>
      <c r="D206" s="98"/>
      <c r="E206" s="98"/>
      <c r="F206" s="235"/>
      <c r="G206" s="235"/>
      <c r="H206" s="236"/>
      <c r="I206" s="236"/>
      <c r="J206" s="236"/>
      <c r="K206" s="236"/>
      <c r="L206" s="236"/>
      <c r="M206" s="236"/>
      <c r="N206" s="236"/>
      <c r="O206" s="236"/>
      <c r="P206" s="236"/>
      <c r="Q206" s="236"/>
      <c r="R206" s="236"/>
      <c r="S206" s="236"/>
      <c r="T206" s="236"/>
      <c r="U206" s="236"/>
      <c r="V206" s="236"/>
      <c r="W206" s="237"/>
      <c r="X206" s="237"/>
      <c r="Y206" s="237"/>
      <c r="Z206" s="237"/>
      <c r="AA206" s="237"/>
      <c r="AB206" s="237"/>
      <c r="AC206" s="237"/>
      <c r="AD206" s="237"/>
      <c r="AE206" s="237"/>
      <c r="AF206" s="237"/>
      <c r="AG206" s="237"/>
      <c r="AH206" s="237"/>
      <c r="AI206" s="308"/>
      <c r="AJ206" s="308"/>
      <c r="AK206" s="308"/>
      <c r="AL206" s="308"/>
      <c r="AM206" s="98"/>
      <c r="AN206" s="98"/>
    </row>
    <row r="207" ht="14.25" customHeight="1">
      <c r="A207" s="179"/>
      <c r="B207" s="98"/>
      <c r="C207" s="98"/>
      <c r="D207" s="98"/>
      <c r="E207" s="98"/>
      <c r="F207" s="235"/>
      <c r="G207" s="235"/>
      <c r="H207" s="236"/>
      <c r="I207" s="236"/>
      <c r="J207" s="236"/>
      <c r="K207" s="236"/>
      <c r="L207" s="236"/>
      <c r="M207" s="236"/>
      <c r="N207" s="236"/>
      <c r="O207" s="236"/>
      <c r="P207" s="236"/>
      <c r="Q207" s="236"/>
      <c r="R207" s="236"/>
      <c r="S207" s="236"/>
      <c r="T207" s="236"/>
      <c r="U207" s="236"/>
      <c r="V207" s="236"/>
      <c r="W207" s="237"/>
      <c r="X207" s="237"/>
      <c r="Y207" s="237"/>
      <c r="Z207" s="237"/>
      <c r="AA207" s="237"/>
      <c r="AB207" s="237"/>
      <c r="AC207" s="237"/>
      <c r="AD207" s="237"/>
      <c r="AE207" s="237"/>
      <c r="AF207" s="237"/>
      <c r="AG207" s="237"/>
      <c r="AH207" s="237"/>
      <c r="AI207" s="308"/>
      <c r="AJ207" s="308"/>
      <c r="AK207" s="308"/>
      <c r="AL207" s="308"/>
      <c r="AM207" s="98"/>
      <c r="AN207" s="98"/>
    </row>
    <row r="208" ht="14.25" customHeight="1">
      <c r="A208" s="179"/>
      <c r="B208" s="98"/>
      <c r="C208" s="98"/>
      <c r="D208" s="98"/>
      <c r="E208" s="98"/>
      <c r="F208" s="235"/>
      <c r="G208" s="235"/>
      <c r="H208" s="236"/>
      <c r="I208" s="236"/>
      <c r="J208" s="236"/>
      <c r="K208" s="236"/>
      <c r="L208" s="236"/>
      <c r="M208" s="236"/>
      <c r="N208" s="236"/>
      <c r="O208" s="236"/>
      <c r="P208" s="236"/>
      <c r="Q208" s="236"/>
      <c r="R208" s="236"/>
      <c r="S208" s="236"/>
      <c r="T208" s="236"/>
      <c r="U208" s="236"/>
      <c r="V208" s="236"/>
      <c r="W208" s="237"/>
      <c r="X208" s="237"/>
      <c r="Y208" s="237"/>
      <c r="Z208" s="237"/>
      <c r="AA208" s="237"/>
      <c r="AB208" s="237"/>
      <c r="AC208" s="237"/>
      <c r="AD208" s="237"/>
      <c r="AE208" s="237"/>
      <c r="AF208" s="237"/>
      <c r="AG208" s="237"/>
      <c r="AH208" s="237"/>
      <c r="AI208" s="308"/>
      <c r="AJ208" s="308"/>
      <c r="AK208" s="308"/>
      <c r="AL208" s="308"/>
      <c r="AM208" s="98"/>
      <c r="AN208" s="98"/>
    </row>
    <row r="209" ht="14.25" customHeight="1">
      <c r="A209" s="179"/>
      <c r="B209" s="98"/>
      <c r="C209" s="98"/>
      <c r="D209" s="98"/>
      <c r="E209" s="98"/>
      <c r="F209" s="235"/>
      <c r="G209" s="235"/>
      <c r="H209" s="236"/>
      <c r="I209" s="236"/>
      <c r="J209" s="236"/>
      <c r="K209" s="236"/>
      <c r="L209" s="236"/>
      <c r="M209" s="236"/>
      <c r="N209" s="236"/>
      <c r="O209" s="236"/>
      <c r="P209" s="236"/>
      <c r="Q209" s="236"/>
      <c r="R209" s="236"/>
      <c r="S209" s="236"/>
      <c r="T209" s="236"/>
      <c r="U209" s="236"/>
      <c r="V209" s="236"/>
      <c r="W209" s="237"/>
      <c r="X209" s="237"/>
      <c r="Y209" s="237"/>
      <c r="Z209" s="237"/>
      <c r="AA209" s="237"/>
      <c r="AB209" s="237"/>
      <c r="AC209" s="237"/>
      <c r="AD209" s="237"/>
      <c r="AE209" s="237"/>
      <c r="AF209" s="237"/>
      <c r="AG209" s="237"/>
      <c r="AH209" s="237"/>
      <c r="AI209" s="308"/>
      <c r="AJ209" s="308"/>
      <c r="AK209" s="308"/>
      <c r="AL209" s="308"/>
      <c r="AM209" s="98"/>
      <c r="AN209" s="98"/>
    </row>
    <row r="210" ht="14.25" customHeight="1">
      <c r="A210" s="179"/>
      <c r="B210" s="98"/>
      <c r="C210" s="98"/>
      <c r="D210" s="98"/>
      <c r="E210" s="98"/>
      <c r="F210" s="235"/>
      <c r="G210" s="235"/>
      <c r="H210" s="236"/>
      <c r="I210" s="236"/>
      <c r="J210" s="236"/>
      <c r="K210" s="236"/>
      <c r="L210" s="236"/>
      <c r="M210" s="236"/>
      <c r="N210" s="236"/>
      <c r="O210" s="236"/>
      <c r="P210" s="236"/>
      <c r="Q210" s="236"/>
      <c r="R210" s="236"/>
      <c r="S210" s="236"/>
      <c r="T210" s="236"/>
      <c r="U210" s="236"/>
      <c r="V210" s="236"/>
      <c r="W210" s="237"/>
      <c r="X210" s="237"/>
      <c r="Y210" s="237"/>
      <c r="Z210" s="237"/>
      <c r="AA210" s="237"/>
      <c r="AB210" s="237"/>
      <c r="AC210" s="237"/>
      <c r="AD210" s="237"/>
      <c r="AE210" s="237"/>
      <c r="AF210" s="237"/>
      <c r="AG210" s="237"/>
      <c r="AH210" s="237"/>
      <c r="AI210" s="308"/>
      <c r="AJ210" s="308"/>
      <c r="AK210" s="308"/>
      <c r="AL210" s="308"/>
      <c r="AM210" s="98"/>
      <c r="AN210" s="98"/>
    </row>
    <row r="211" ht="14.25" customHeight="1">
      <c r="A211" s="179"/>
      <c r="B211" s="98"/>
      <c r="C211" s="98"/>
      <c r="D211" s="98"/>
      <c r="E211" s="98"/>
      <c r="F211" s="235"/>
      <c r="G211" s="235"/>
      <c r="H211" s="236"/>
      <c r="I211" s="236"/>
      <c r="J211" s="236"/>
      <c r="K211" s="236"/>
      <c r="L211" s="236"/>
      <c r="M211" s="236"/>
      <c r="N211" s="236"/>
      <c r="O211" s="236"/>
      <c r="P211" s="236"/>
      <c r="Q211" s="236"/>
      <c r="R211" s="236"/>
      <c r="S211" s="236"/>
      <c r="T211" s="236"/>
      <c r="U211" s="236"/>
      <c r="V211" s="236"/>
      <c r="W211" s="237"/>
      <c r="X211" s="237"/>
      <c r="Y211" s="237"/>
      <c r="Z211" s="237"/>
      <c r="AA211" s="237"/>
      <c r="AB211" s="237"/>
      <c r="AC211" s="237"/>
      <c r="AD211" s="237"/>
      <c r="AE211" s="237"/>
      <c r="AF211" s="237"/>
      <c r="AG211" s="237"/>
      <c r="AH211" s="237"/>
      <c r="AI211" s="308"/>
      <c r="AJ211" s="308"/>
      <c r="AK211" s="308"/>
      <c r="AL211" s="308"/>
      <c r="AM211" s="98"/>
      <c r="AN211" s="98"/>
    </row>
    <row r="212" ht="14.25" customHeight="1">
      <c r="A212" s="179"/>
      <c r="B212" s="98"/>
      <c r="C212" s="98"/>
      <c r="D212" s="98"/>
      <c r="E212" s="98"/>
      <c r="F212" s="235"/>
      <c r="G212" s="235"/>
      <c r="H212" s="236"/>
      <c r="I212" s="236"/>
      <c r="J212" s="236"/>
      <c r="K212" s="236"/>
      <c r="L212" s="236"/>
      <c r="M212" s="236"/>
      <c r="N212" s="236"/>
      <c r="O212" s="236"/>
      <c r="P212" s="236"/>
      <c r="Q212" s="236"/>
      <c r="R212" s="236"/>
      <c r="S212" s="236"/>
      <c r="T212" s="236"/>
      <c r="U212" s="236"/>
      <c r="V212" s="236"/>
      <c r="W212" s="237"/>
      <c r="X212" s="237"/>
      <c r="Y212" s="237"/>
      <c r="Z212" s="237"/>
      <c r="AA212" s="237"/>
      <c r="AB212" s="237"/>
      <c r="AC212" s="237"/>
      <c r="AD212" s="237"/>
      <c r="AE212" s="237"/>
      <c r="AF212" s="237"/>
      <c r="AG212" s="237"/>
      <c r="AH212" s="237"/>
      <c r="AI212" s="308"/>
      <c r="AJ212" s="308"/>
      <c r="AK212" s="308"/>
      <c r="AL212" s="308"/>
      <c r="AM212" s="98"/>
      <c r="AN212" s="98"/>
    </row>
    <row r="213" ht="14.25" customHeight="1">
      <c r="A213" s="179"/>
      <c r="B213" s="98"/>
      <c r="C213" s="98"/>
      <c r="D213" s="98"/>
      <c r="E213" s="98"/>
      <c r="F213" s="235"/>
      <c r="G213" s="235"/>
      <c r="H213" s="236"/>
      <c r="I213" s="236"/>
      <c r="J213" s="236"/>
      <c r="K213" s="236"/>
      <c r="L213" s="236"/>
      <c r="M213" s="236"/>
      <c r="N213" s="236"/>
      <c r="O213" s="236"/>
      <c r="P213" s="236"/>
      <c r="Q213" s="236"/>
      <c r="R213" s="236"/>
      <c r="S213" s="236"/>
      <c r="T213" s="236"/>
      <c r="U213" s="236"/>
      <c r="V213" s="236"/>
      <c r="W213" s="237"/>
      <c r="X213" s="237"/>
      <c r="Y213" s="237"/>
      <c r="Z213" s="237"/>
      <c r="AA213" s="237"/>
      <c r="AB213" s="237"/>
      <c r="AC213" s="237"/>
      <c r="AD213" s="237"/>
      <c r="AE213" s="237"/>
      <c r="AF213" s="237"/>
      <c r="AG213" s="237"/>
      <c r="AH213" s="237"/>
      <c r="AI213" s="308"/>
      <c r="AJ213" s="308"/>
      <c r="AK213" s="308"/>
      <c r="AL213" s="308"/>
      <c r="AM213" s="98"/>
      <c r="AN213" s="98"/>
    </row>
    <row r="214" ht="14.25" customHeight="1">
      <c r="A214" s="179"/>
      <c r="B214" s="98"/>
      <c r="C214" s="98"/>
      <c r="D214" s="98"/>
      <c r="E214" s="98"/>
      <c r="F214" s="235"/>
      <c r="G214" s="235"/>
      <c r="H214" s="236"/>
      <c r="I214" s="236"/>
      <c r="J214" s="236"/>
      <c r="K214" s="236"/>
      <c r="L214" s="236"/>
      <c r="M214" s="236"/>
      <c r="N214" s="236"/>
      <c r="O214" s="236"/>
      <c r="P214" s="236"/>
      <c r="Q214" s="236"/>
      <c r="R214" s="236"/>
      <c r="S214" s="236"/>
      <c r="T214" s="236"/>
      <c r="U214" s="236"/>
      <c r="V214" s="236"/>
      <c r="W214" s="237"/>
      <c r="X214" s="237"/>
      <c r="Y214" s="237"/>
      <c r="Z214" s="237"/>
      <c r="AA214" s="237"/>
      <c r="AB214" s="237"/>
      <c r="AC214" s="237"/>
      <c r="AD214" s="237"/>
      <c r="AE214" s="237"/>
      <c r="AF214" s="237"/>
      <c r="AG214" s="237"/>
      <c r="AH214" s="237"/>
      <c r="AI214" s="308"/>
      <c r="AJ214" s="308"/>
      <c r="AK214" s="308"/>
      <c r="AL214" s="308"/>
      <c r="AM214" s="98"/>
      <c r="AN214" s="98"/>
    </row>
    <row r="215" ht="14.25" customHeight="1">
      <c r="A215" s="179"/>
      <c r="B215" s="98"/>
      <c r="C215" s="98"/>
      <c r="D215" s="98"/>
      <c r="E215" s="98"/>
      <c r="F215" s="235"/>
      <c r="G215" s="235"/>
      <c r="H215" s="236"/>
      <c r="I215" s="236"/>
      <c r="J215" s="236"/>
      <c r="K215" s="236"/>
      <c r="L215" s="236"/>
      <c r="M215" s="236"/>
      <c r="N215" s="236"/>
      <c r="O215" s="236"/>
      <c r="P215" s="236"/>
      <c r="Q215" s="236"/>
      <c r="R215" s="236"/>
      <c r="S215" s="236"/>
      <c r="T215" s="236"/>
      <c r="U215" s="236"/>
      <c r="V215" s="236"/>
      <c r="W215" s="237"/>
      <c r="X215" s="237"/>
      <c r="Y215" s="237"/>
      <c r="Z215" s="237"/>
      <c r="AA215" s="237"/>
      <c r="AB215" s="237"/>
      <c r="AC215" s="237"/>
      <c r="AD215" s="237"/>
      <c r="AE215" s="237"/>
      <c r="AF215" s="237"/>
      <c r="AG215" s="237"/>
      <c r="AH215" s="237"/>
      <c r="AI215" s="308"/>
      <c r="AJ215" s="308"/>
      <c r="AK215" s="308"/>
      <c r="AL215" s="308"/>
      <c r="AM215" s="98"/>
      <c r="AN215" s="98"/>
    </row>
    <row r="216" ht="14.25" customHeight="1">
      <c r="A216" s="179"/>
      <c r="B216" s="98"/>
      <c r="C216" s="98"/>
      <c r="D216" s="98"/>
      <c r="E216" s="98"/>
      <c r="F216" s="235"/>
      <c r="G216" s="235"/>
      <c r="H216" s="236"/>
      <c r="I216" s="236"/>
      <c r="J216" s="236"/>
      <c r="K216" s="236"/>
      <c r="L216" s="236"/>
      <c r="M216" s="236"/>
      <c r="N216" s="236"/>
      <c r="O216" s="236"/>
      <c r="P216" s="236"/>
      <c r="Q216" s="236"/>
      <c r="R216" s="236"/>
      <c r="S216" s="236"/>
      <c r="T216" s="236"/>
      <c r="U216" s="236"/>
      <c r="V216" s="236"/>
      <c r="W216" s="237"/>
      <c r="X216" s="237"/>
      <c r="Y216" s="237"/>
      <c r="Z216" s="237"/>
      <c r="AA216" s="237"/>
      <c r="AB216" s="237"/>
      <c r="AC216" s="237"/>
      <c r="AD216" s="237"/>
      <c r="AE216" s="237"/>
      <c r="AF216" s="237"/>
      <c r="AG216" s="237"/>
      <c r="AH216" s="237"/>
      <c r="AI216" s="308"/>
      <c r="AJ216" s="308"/>
      <c r="AK216" s="308"/>
      <c r="AL216" s="308"/>
      <c r="AM216" s="98"/>
      <c r="AN216" s="98"/>
    </row>
    <row r="217" ht="14.25" customHeight="1">
      <c r="A217" s="179"/>
      <c r="B217" s="98"/>
      <c r="C217" s="98"/>
      <c r="D217" s="98"/>
      <c r="E217" s="98"/>
      <c r="F217" s="235"/>
      <c r="G217" s="235"/>
      <c r="H217" s="236"/>
      <c r="I217" s="236"/>
      <c r="J217" s="236"/>
      <c r="K217" s="236"/>
      <c r="L217" s="236"/>
      <c r="M217" s="236"/>
      <c r="N217" s="236"/>
      <c r="O217" s="236"/>
      <c r="P217" s="236"/>
      <c r="Q217" s="236"/>
      <c r="R217" s="236"/>
      <c r="S217" s="236"/>
      <c r="T217" s="236"/>
      <c r="U217" s="236"/>
      <c r="V217" s="236"/>
      <c r="W217" s="237"/>
      <c r="X217" s="237"/>
      <c r="Y217" s="237"/>
      <c r="Z217" s="237"/>
      <c r="AA217" s="237"/>
      <c r="AB217" s="237"/>
      <c r="AC217" s="237"/>
      <c r="AD217" s="237"/>
      <c r="AE217" s="237"/>
      <c r="AF217" s="237"/>
      <c r="AG217" s="237"/>
      <c r="AH217" s="237"/>
      <c r="AI217" s="308"/>
      <c r="AJ217" s="308"/>
      <c r="AK217" s="308"/>
      <c r="AL217" s="308"/>
      <c r="AM217" s="98"/>
      <c r="AN217" s="98"/>
    </row>
    <row r="218" ht="14.25" customHeight="1">
      <c r="A218" s="179"/>
      <c r="B218" s="98"/>
      <c r="C218" s="98"/>
      <c r="D218" s="98"/>
      <c r="E218" s="98"/>
      <c r="F218" s="235"/>
      <c r="G218" s="235"/>
      <c r="H218" s="236"/>
      <c r="I218" s="236"/>
      <c r="J218" s="236"/>
      <c r="K218" s="236"/>
      <c r="L218" s="236"/>
      <c r="M218" s="236"/>
      <c r="N218" s="236"/>
      <c r="O218" s="236"/>
      <c r="P218" s="236"/>
      <c r="Q218" s="236"/>
      <c r="R218" s="236"/>
      <c r="S218" s="236"/>
      <c r="T218" s="236"/>
      <c r="U218" s="236"/>
      <c r="V218" s="236"/>
      <c r="W218" s="237"/>
      <c r="X218" s="237"/>
      <c r="Y218" s="237"/>
      <c r="Z218" s="237"/>
      <c r="AA218" s="237"/>
      <c r="AB218" s="237"/>
      <c r="AC218" s="237"/>
      <c r="AD218" s="237"/>
      <c r="AE218" s="237"/>
      <c r="AF218" s="237"/>
      <c r="AG218" s="237"/>
      <c r="AH218" s="237"/>
      <c r="AI218" s="308"/>
      <c r="AJ218" s="308"/>
      <c r="AK218" s="308"/>
      <c r="AL218" s="308"/>
      <c r="AM218" s="98"/>
      <c r="AN218" s="98"/>
    </row>
    <row r="219" ht="14.25" customHeight="1">
      <c r="A219" s="179"/>
      <c r="B219" s="98"/>
      <c r="C219" s="98"/>
      <c r="D219" s="98"/>
      <c r="E219" s="98"/>
      <c r="F219" s="235"/>
      <c r="G219" s="235"/>
      <c r="H219" s="236"/>
      <c r="I219" s="236"/>
      <c r="J219" s="236"/>
      <c r="K219" s="236"/>
      <c r="L219" s="236"/>
      <c r="M219" s="236"/>
      <c r="N219" s="236"/>
      <c r="O219" s="236"/>
      <c r="P219" s="236"/>
      <c r="Q219" s="236"/>
      <c r="R219" s="236"/>
      <c r="S219" s="236"/>
      <c r="T219" s="236"/>
      <c r="U219" s="236"/>
      <c r="V219" s="236"/>
      <c r="W219" s="237"/>
      <c r="X219" s="237"/>
      <c r="Y219" s="237"/>
      <c r="Z219" s="237"/>
      <c r="AA219" s="237"/>
      <c r="AB219" s="237"/>
      <c r="AC219" s="237"/>
      <c r="AD219" s="237"/>
      <c r="AE219" s="237"/>
      <c r="AF219" s="237"/>
      <c r="AG219" s="237"/>
      <c r="AH219" s="237"/>
      <c r="AI219" s="308"/>
      <c r="AJ219" s="308"/>
      <c r="AK219" s="308"/>
      <c r="AL219" s="308"/>
      <c r="AM219" s="98"/>
      <c r="AN219" s="98"/>
    </row>
    <row r="220" ht="14.25" customHeight="1">
      <c r="A220" s="179"/>
      <c r="B220" s="98"/>
      <c r="C220" s="98"/>
      <c r="D220" s="98"/>
      <c r="E220" s="98"/>
      <c r="F220" s="235"/>
      <c r="G220" s="235"/>
      <c r="H220" s="236"/>
      <c r="I220" s="236"/>
      <c r="J220" s="236"/>
      <c r="K220" s="236"/>
      <c r="L220" s="236"/>
      <c r="M220" s="236"/>
      <c r="N220" s="236"/>
      <c r="O220" s="236"/>
      <c r="P220" s="236"/>
      <c r="Q220" s="236"/>
      <c r="R220" s="236"/>
      <c r="S220" s="236"/>
      <c r="T220" s="236"/>
      <c r="U220" s="236"/>
      <c r="V220" s="236"/>
      <c r="W220" s="237"/>
      <c r="X220" s="237"/>
      <c r="Y220" s="237"/>
      <c r="Z220" s="237"/>
      <c r="AA220" s="237"/>
      <c r="AB220" s="237"/>
      <c r="AC220" s="237"/>
      <c r="AD220" s="237"/>
      <c r="AE220" s="237"/>
      <c r="AF220" s="237"/>
      <c r="AG220" s="237"/>
      <c r="AH220" s="237"/>
      <c r="AI220" s="308"/>
      <c r="AJ220" s="308"/>
      <c r="AK220" s="308"/>
      <c r="AL220" s="308"/>
      <c r="AM220" s="98"/>
      <c r="AN220" s="98"/>
    </row>
    <row r="221" ht="14.25" customHeight="1">
      <c r="A221" s="179"/>
      <c r="B221" s="98"/>
      <c r="C221" s="98"/>
      <c r="D221" s="98"/>
      <c r="E221" s="98"/>
      <c r="F221" s="235"/>
      <c r="G221" s="235"/>
      <c r="H221" s="236"/>
      <c r="I221" s="236"/>
      <c r="J221" s="236"/>
      <c r="K221" s="236"/>
      <c r="L221" s="236"/>
      <c r="M221" s="236"/>
      <c r="N221" s="236"/>
      <c r="O221" s="236"/>
      <c r="P221" s="236"/>
      <c r="Q221" s="236"/>
      <c r="R221" s="236"/>
      <c r="S221" s="236"/>
      <c r="T221" s="236"/>
      <c r="U221" s="236"/>
      <c r="V221" s="236"/>
      <c r="W221" s="237"/>
      <c r="X221" s="237"/>
      <c r="Y221" s="237"/>
      <c r="Z221" s="237"/>
      <c r="AA221" s="237"/>
      <c r="AB221" s="237"/>
      <c r="AC221" s="237"/>
      <c r="AD221" s="237"/>
      <c r="AE221" s="237"/>
      <c r="AF221" s="237"/>
      <c r="AG221" s="237"/>
      <c r="AH221" s="237"/>
      <c r="AI221" s="308"/>
      <c r="AJ221" s="308"/>
      <c r="AK221" s="308"/>
      <c r="AL221" s="308"/>
      <c r="AM221" s="98"/>
      <c r="AN221" s="98"/>
    </row>
    <row r="222" ht="14.25" customHeight="1">
      <c r="A222" s="179"/>
      <c r="B222" s="98"/>
      <c r="C222" s="98"/>
      <c r="D222" s="98"/>
      <c r="E222" s="98"/>
      <c r="F222" s="235"/>
      <c r="G222" s="235"/>
      <c r="H222" s="236"/>
      <c r="I222" s="236"/>
      <c r="J222" s="236"/>
      <c r="K222" s="236"/>
      <c r="L222" s="236"/>
      <c r="M222" s="236"/>
      <c r="N222" s="236"/>
      <c r="O222" s="236"/>
      <c r="P222" s="236"/>
      <c r="Q222" s="236"/>
      <c r="R222" s="236"/>
      <c r="S222" s="236"/>
      <c r="T222" s="236"/>
      <c r="U222" s="236"/>
      <c r="V222" s="236"/>
      <c r="W222" s="237"/>
      <c r="X222" s="237"/>
      <c r="Y222" s="237"/>
      <c r="Z222" s="237"/>
      <c r="AA222" s="237"/>
      <c r="AB222" s="237"/>
      <c r="AC222" s="237"/>
      <c r="AD222" s="237"/>
      <c r="AE222" s="237"/>
      <c r="AF222" s="237"/>
      <c r="AG222" s="237"/>
      <c r="AH222" s="237"/>
      <c r="AI222" s="308"/>
      <c r="AJ222" s="308"/>
      <c r="AK222" s="308"/>
      <c r="AL222" s="308"/>
      <c r="AM222" s="98"/>
      <c r="AN222" s="98"/>
    </row>
    <row r="223" ht="14.25" customHeight="1">
      <c r="A223" s="179"/>
      <c r="B223" s="98"/>
      <c r="C223" s="98"/>
      <c r="D223" s="98"/>
      <c r="E223" s="98"/>
      <c r="F223" s="235"/>
      <c r="G223" s="235"/>
      <c r="H223" s="236"/>
      <c r="I223" s="236"/>
      <c r="J223" s="236"/>
      <c r="K223" s="236"/>
      <c r="L223" s="236"/>
      <c r="M223" s="236"/>
      <c r="N223" s="236"/>
      <c r="O223" s="236"/>
      <c r="P223" s="236"/>
      <c r="Q223" s="236"/>
      <c r="R223" s="236"/>
      <c r="S223" s="236"/>
      <c r="T223" s="236"/>
      <c r="U223" s="236"/>
      <c r="V223" s="236"/>
      <c r="W223" s="237"/>
      <c r="X223" s="237"/>
      <c r="Y223" s="237"/>
      <c r="Z223" s="237"/>
      <c r="AA223" s="237"/>
      <c r="AB223" s="237"/>
      <c r="AC223" s="237"/>
      <c r="AD223" s="237"/>
      <c r="AE223" s="237"/>
      <c r="AF223" s="237"/>
      <c r="AG223" s="237"/>
      <c r="AH223" s="237"/>
      <c r="AI223" s="308"/>
      <c r="AJ223" s="308"/>
      <c r="AK223" s="308"/>
      <c r="AL223" s="308"/>
      <c r="AM223" s="98"/>
      <c r="AN223" s="98"/>
    </row>
    <row r="224" ht="14.25" customHeight="1">
      <c r="A224" s="179"/>
      <c r="B224" s="98"/>
      <c r="C224" s="98"/>
      <c r="D224" s="98"/>
      <c r="E224" s="98"/>
      <c r="F224" s="235"/>
      <c r="G224" s="235"/>
      <c r="H224" s="236"/>
      <c r="I224" s="236"/>
      <c r="J224" s="236"/>
      <c r="K224" s="236"/>
      <c r="L224" s="236"/>
      <c r="M224" s="236"/>
      <c r="N224" s="236"/>
      <c r="O224" s="236"/>
      <c r="P224" s="236"/>
      <c r="Q224" s="236"/>
      <c r="R224" s="236"/>
      <c r="S224" s="236"/>
      <c r="T224" s="236"/>
      <c r="U224" s="236"/>
      <c r="V224" s="236"/>
      <c r="W224" s="237"/>
      <c r="X224" s="237"/>
      <c r="Y224" s="237"/>
      <c r="Z224" s="237"/>
      <c r="AA224" s="237"/>
      <c r="AB224" s="237"/>
      <c r="AC224" s="237"/>
      <c r="AD224" s="237"/>
      <c r="AE224" s="237"/>
      <c r="AF224" s="237"/>
      <c r="AG224" s="237"/>
      <c r="AH224" s="237"/>
      <c r="AI224" s="308"/>
      <c r="AJ224" s="308"/>
      <c r="AK224" s="308"/>
      <c r="AL224" s="308"/>
      <c r="AM224" s="98"/>
      <c r="AN224" s="98"/>
    </row>
    <row r="225" ht="14.25" customHeight="1">
      <c r="A225" s="179"/>
      <c r="B225" s="98"/>
      <c r="C225" s="98"/>
      <c r="D225" s="98"/>
      <c r="E225" s="98"/>
      <c r="F225" s="235"/>
      <c r="G225" s="235"/>
      <c r="H225" s="236"/>
      <c r="I225" s="236"/>
      <c r="J225" s="236"/>
      <c r="K225" s="236"/>
      <c r="L225" s="236"/>
      <c r="M225" s="236"/>
      <c r="N225" s="236"/>
      <c r="O225" s="236"/>
      <c r="P225" s="236"/>
      <c r="Q225" s="236"/>
      <c r="R225" s="236"/>
      <c r="S225" s="236"/>
      <c r="T225" s="236"/>
      <c r="U225" s="236"/>
      <c r="V225" s="236"/>
      <c r="W225" s="237"/>
      <c r="X225" s="237"/>
      <c r="Y225" s="237"/>
      <c r="Z225" s="237"/>
      <c r="AA225" s="237"/>
      <c r="AB225" s="237"/>
      <c r="AC225" s="237"/>
      <c r="AD225" s="237"/>
      <c r="AE225" s="237"/>
      <c r="AF225" s="237"/>
      <c r="AG225" s="237"/>
      <c r="AH225" s="237"/>
      <c r="AI225" s="308"/>
      <c r="AJ225" s="308"/>
      <c r="AK225" s="308"/>
      <c r="AL225" s="308"/>
      <c r="AM225" s="98"/>
      <c r="AN225" s="98"/>
    </row>
    <row r="226" ht="14.25" customHeight="1">
      <c r="A226" s="179"/>
      <c r="B226" s="98"/>
      <c r="C226" s="98"/>
      <c r="D226" s="98"/>
      <c r="E226" s="98"/>
      <c r="F226" s="235"/>
      <c r="G226" s="235"/>
      <c r="H226" s="236"/>
      <c r="I226" s="236"/>
      <c r="J226" s="236"/>
      <c r="K226" s="236"/>
      <c r="L226" s="236"/>
      <c r="M226" s="236"/>
      <c r="N226" s="236"/>
      <c r="O226" s="236"/>
      <c r="P226" s="236"/>
      <c r="Q226" s="236"/>
      <c r="R226" s="236"/>
      <c r="S226" s="236"/>
      <c r="T226" s="236"/>
      <c r="U226" s="236"/>
      <c r="V226" s="236"/>
      <c r="W226" s="237"/>
      <c r="X226" s="237"/>
      <c r="Y226" s="237"/>
      <c r="Z226" s="237"/>
      <c r="AA226" s="237"/>
      <c r="AB226" s="237"/>
      <c r="AC226" s="237"/>
      <c r="AD226" s="237"/>
      <c r="AE226" s="237"/>
      <c r="AF226" s="237"/>
      <c r="AG226" s="237"/>
      <c r="AH226" s="237"/>
      <c r="AI226" s="308"/>
      <c r="AJ226" s="308"/>
      <c r="AK226" s="308"/>
      <c r="AL226" s="308"/>
      <c r="AM226" s="98"/>
      <c r="AN226" s="98"/>
    </row>
    <row r="227" ht="14.25" customHeight="1">
      <c r="A227" s="179"/>
      <c r="B227" s="98"/>
      <c r="C227" s="98"/>
      <c r="D227" s="98"/>
      <c r="E227" s="98"/>
      <c r="F227" s="235"/>
      <c r="G227" s="235"/>
      <c r="H227" s="236"/>
      <c r="I227" s="236"/>
      <c r="J227" s="236"/>
      <c r="K227" s="236"/>
      <c r="L227" s="236"/>
      <c r="M227" s="236"/>
      <c r="N227" s="236"/>
      <c r="O227" s="236"/>
      <c r="P227" s="236"/>
      <c r="Q227" s="236"/>
      <c r="R227" s="236"/>
      <c r="S227" s="236"/>
      <c r="T227" s="236"/>
      <c r="U227" s="236"/>
      <c r="V227" s="236"/>
      <c r="W227" s="237"/>
      <c r="X227" s="237"/>
      <c r="Y227" s="237"/>
      <c r="Z227" s="237"/>
      <c r="AA227" s="237"/>
      <c r="AB227" s="237"/>
      <c r="AC227" s="237"/>
      <c r="AD227" s="237"/>
      <c r="AE227" s="237"/>
      <c r="AF227" s="237"/>
      <c r="AG227" s="237"/>
      <c r="AH227" s="237"/>
      <c r="AI227" s="308"/>
      <c r="AJ227" s="308"/>
      <c r="AK227" s="308"/>
      <c r="AL227" s="308"/>
      <c r="AM227" s="98"/>
      <c r="AN227" s="98"/>
    </row>
    <row r="228" ht="14.25" customHeight="1">
      <c r="A228" s="179"/>
      <c r="B228" s="98"/>
      <c r="C228" s="98"/>
      <c r="D228" s="98"/>
      <c r="E228" s="98"/>
      <c r="F228" s="235"/>
      <c r="G228" s="235"/>
      <c r="H228" s="236"/>
      <c r="I228" s="236"/>
      <c r="J228" s="236"/>
      <c r="K228" s="236"/>
      <c r="L228" s="236"/>
      <c r="M228" s="236"/>
      <c r="N228" s="236"/>
      <c r="O228" s="236"/>
      <c r="P228" s="236"/>
      <c r="Q228" s="236"/>
      <c r="R228" s="236"/>
      <c r="S228" s="236"/>
      <c r="T228" s="236"/>
      <c r="U228" s="236"/>
      <c r="V228" s="236"/>
      <c r="W228" s="237"/>
      <c r="X228" s="237"/>
      <c r="Y228" s="237"/>
      <c r="Z228" s="237"/>
      <c r="AA228" s="237"/>
      <c r="AB228" s="237"/>
      <c r="AC228" s="237"/>
      <c r="AD228" s="237"/>
      <c r="AE228" s="237"/>
      <c r="AF228" s="237"/>
      <c r="AG228" s="237"/>
      <c r="AH228" s="237"/>
      <c r="AI228" s="308"/>
      <c r="AJ228" s="308"/>
      <c r="AK228" s="308"/>
      <c r="AL228" s="308"/>
      <c r="AM228" s="98"/>
      <c r="AN228" s="98"/>
    </row>
    <row r="229" ht="14.25" customHeight="1">
      <c r="A229" s="179"/>
      <c r="B229" s="98"/>
      <c r="C229" s="98"/>
      <c r="D229" s="98"/>
      <c r="E229" s="98"/>
      <c r="F229" s="235"/>
      <c r="G229" s="235"/>
      <c r="H229" s="236"/>
      <c r="I229" s="236"/>
      <c r="J229" s="236"/>
      <c r="K229" s="236"/>
      <c r="L229" s="236"/>
      <c r="M229" s="236"/>
      <c r="N229" s="236"/>
      <c r="O229" s="236"/>
      <c r="P229" s="236"/>
      <c r="Q229" s="236"/>
      <c r="R229" s="236"/>
      <c r="S229" s="236"/>
      <c r="T229" s="236"/>
      <c r="U229" s="236"/>
      <c r="V229" s="236"/>
      <c r="W229" s="237"/>
      <c r="X229" s="237"/>
      <c r="Y229" s="237"/>
      <c r="Z229" s="237"/>
      <c r="AA229" s="237"/>
      <c r="AB229" s="237"/>
      <c r="AC229" s="237"/>
      <c r="AD229" s="237"/>
      <c r="AE229" s="237"/>
      <c r="AF229" s="237"/>
      <c r="AG229" s="237"/>
      <c r="AH229" s="237"/>
      <c r="AI229" s="308"/>
      <c r="AJ229" s="308"/>
      <c r="AK229" s="308"/>
      <c r="AL229" s="308"/>
      <c r="AM229" s="98"/>
      <c r="AN229" s="98"/>
    </row>
    <row r="230" ht="14.25" customHeight="1">
      <c r="A230" s="179"/>
      <c r="B230" s="98"/>
      <c r="C230" s="98"/>
      <c r="D230" s="98"/>
      <c r="E230" s="98"/>
      <c r="F230" s="235"/>
      <c r="G230" s="235"/>
      <c r="H230" s="236"/>
      <c r="I230" s="236"/>
      <c r="J230" s="236"/>
      <c r="K230" s="236"/>
      <c r="L230" s="236"/>
      <c r="M230" s="236"/>
      <c r="N230" s="236"/>
      <c r="O230" s="236"/>
      <c r="P230" s="236"/>
      <c r="Q230" s="236"/>
      <c r="R230" s="236"/>
      <c r="S230" s="236"/>
      <c r="T230" s="236"/>
      <c r="U230" s="236"/>
      <c r="V230" s="236"/>
      <c r="W230" s="237"/>
      <c r="X230" s="237"/>
      <c r="Y230" s="237"/>
      <c r="Z230" s="237"/>
      <c r="AA230" s="237"/>
      <c r="AB230" s="237"/>
      <c r="AC230" s="237"/>
      <c r="AD230" s="237"/>
      <c r="AE230" s="237"/>
      <c r="AF230" s="237"/>
      <c r="AG230" s="237"/>
      <c r="AH230" s="237"/>
      <c r="AI230" s="308"/>
      <c r="AJ230" s="308"/>
      <c r="AK230" s="308"/>
      <c r="AL230" s="308"/>
      <c r="AM230" s="98"/>
      <c r="AN230" s="98"/>
    </row>
    <row r="231" ht="14.25" customHeight="1">
      <c r="A231" s="179"/>
      <c r="B231" s="98"/>
      <c r="C231" s="98"/>
      <c r="D231" s="98"/>
      <c r="E231" s="98"/>
      <c r="F231" s="235"/>
      <c r="G231" s="235"/>
      <c r="H231" s="236"/>
      <c r="I231" s="236"/>
      <c r="J231" s="236"/>
      <c r="K231" s="236"/>
      <c r="L231" s="236"/>
      <c r="M231" s="236"/>
      <c r="N231" s="236"/>
      <c r="O231" s="236"/>
      <c r="P231" s="236"/>
      <c r="Q231" s="236"/>
      <c r="R231" s="236"/>
      <c r="S231" s="236"/>
      <c r="T231" s="236"/>
      <c r="U231" s="236"/>
      <c r="V231" s="236"/>
      <c r="W231" s="237"/>
      <c r="X231" s="237"/>
      <c r="Y231" s="237"/>
      <c r="Z231" s="237"/>
      <c r="AA231" s="237"/>
      <c r="AB231" s="237"/>
      <c r="AC231" s="237"/>
      <c r="AD231" s="237"/>
      <c r="AE231" s="237"/>
      <c r="AF231" s="237"/>
      <c r="AG231" s="237"/>
      <c r="AH231" s="237"/>
      <c r="AI231" s="308"/>
      <c r="AJ231" s="308"/>
      <c r="AK231" s="308"/>
      <c r="AL231" s="308"/>
      <c r="AM231" s="98"/>
      <c r="AN231" s="98"/>
    </row>
    <row r="232" ht="14.25" customHeight="1">
      <c r="A232" s="179"/>
      <c r="B232" s="98"/>
      <c r="C232" s="98"/>
      <c r="D232" s="98"/>
      <c r="E232" s="98"/>
      <c r="F232" s="235"/>
      <c r="G232" s="235"/>
      <c r="H232" s="236"/>
      <c r="I232" s="236"/>
      <c r="J232" s="236"/>
      <c r="K232" s="236"/>
      <c r="L232" s="236"/>
      <c r="M232" s="236"/>
      <c r="N232" s="236"/>
      <c r="O232" s="236"/>
      <c r="P232" s="236"/>
      <c r="Q232" s="236"/>
      <c r="R232" s="236"/>
      <c r="S232" s="236"/>
      <c r="T232" s="236"/>
      <c r="U232" s="236"/>
      <c r="V232" s="236"/>
      <c r="W232" s="237"/>
      <c r="X232" s="237"/>
      <c r="Y232" s="237"/>
      <c r="Z232" s="237"/>
      <c r="AA232" s="237"/>
      <c r="AB232" s="237"/>
      <c r="AC232" s="237"/>
      <c r="AD232" s="237"/>
      <c r="AE232" s="237"/>
      <c r="AF232" s="237"/>
      <c r="AG232" s="237"/>
      <c r="AH232" s="237"/>
      <c r="AI232" s="308"/>
      <c r="AJ232" s="308"/>
      <c r="AK232" s="308"/>
      <c r="AL232" s="308"/>
      <c r="AM232" s="98"/>
      <c r="AN232" s="98"/>
    </row>
    <row r="233" ht="14.25" customHeight="1">
      <c r="A233" s="179"/>
      <c r="B233" s="98"/>
      <c r="C233" s="98"/>
      <c r="D233" s="98"/>
      <c r="E233" s="98"/>
      <c r="F233" s="235"/>
      <c r="G233" s="235"/>
      <c r="H233" s="236"/>
      <c r="I233" s="236"/>
      <c r="J233" s="236"/>
      <c r="K233" s="236"/>
      <c r="L233" s="236"/>
      <c r="M233" s="236"/>
      <c r="N233" s="236"/>
      <c r="O233" s="236"/>
      <c r="P233" s="236"/>
      <c r="Q233" s="236"/>
      <c r="R233" s="236"/>
      <c r="S233" s="236"/>
      <c r="T233" s="236"/>
      <c r="U233" s="236"/>
      <c r="V233" s="236"/>
      <c r="W233" s="237"/>
      <c r="X233" s="237"/>
      <c r="Y233" s="237"/>
      <c r="Z233" s="237"/>
      <c r="AA233" s="237"/>
      <c r="AB233" s="237"/>
      <c r="AC233" s="237"/>
      <c r="AD233" s="237"/>
      <c r="AE233" s="237"/>
      <c r="AF233" s="237"/>
      <c r="AG233" s="237"/>
      <c r="AH233" s="237"/>
      <c r="AI233" s="308"/>
      <c r="AJ233" s="308"/>
      <c r="AK233" s="308"/>
      <c r="AL233" s="308"/>
      <c r="AM233" s="98"/>
      <c r="AN233" s="98"/>
    </row>
    <row r="234" ht="14.25" customHeight="1">
      <c r="A234" s="179"/>
      <c r="B234" s="98"/>
      <c r="C234" s="98"/>
      <c r="D234" s="98"/>
      <c r="E234" s="98"/>
      <c r="F234" s="235"/>
      <c r="G234" s="235"/>
      <c r="H234" s="236"/>
      <c r="I234" s="236"/>
      <c r="J234" s="236"/>
      <c r="K234" s="236"/>
      <c r="L234" s="236"/>
      <c r="M234" s="236"/>
      <c r="N234" s="236"/>
      <c r="O234" s="236"/>
      <c r="P234" s="236"/>
      <c r="Q234" s="236"/>
      <c r="R234" s="236"/>
      <c r="S234" s="236"/>
      <c r="T234" s="236"/>
      <c r="U234" s="236"/>
      <c r="V234" s="236"/>
      <c r="W234" s="237"/>
      <c r="X234" s="237"/>
      <c r="Y234" s="237"/>
      <c r="Z234" s="237"/>
      <c r="AA234" s="237"/>
      <c r="AB234" s="237"/>
      <c r="AC234" s="237"/>
      <c r="AD234" s="237"/>
      <c r="AE234" s="237"/>
      <c r="AF234" s="237"/>
      <c r="AG234" s="237"/>
      <c r="AH234" s="237"/>
      <c r="AI234" s="308"/>
      <c r="AJ234" s="308"/>
      <c r="AK234" s="308"/>
      <c r="AL234" s="308"/>
      <c r="AM234" s="98"/>
      <c r="AN234" s="98"/>
    </row>
    <row r="235" ht="14.25" customHeight="1">
      <c r="A235" s="179"/>
      <c r="B235" s="98"/>
      <c r="C235" s="98"/>
      <c r="D235" s="98"/>
      <c r="E235" s="98"/>
      <c r="F235" s="235"/>
      <c r="G235" s="235"/>
      <c r="H235" s="236"/>
      <c r="I235" s="236"/>
      <c r="J235" s="236"/>
      <c r="K235" s="236"/>
      <c r="L235" s="236"/>
      <c r="M235" s="236"/>
      <c r="N235" s="236"/>
      <c r="O235" s="236"/>
      <c r="P235" s="236"/>
      <c r="Q235" s="236"/>
      <c r="R235" s="236"/>
      <c r="S235" s="236"/>
      <c r="T235" s="236"/>
      <c r="U235" s="236"/>
      <c r="V235" s="236"/>
      <c r="W235" s="237"/>
      <c r="X235" s="237"/>
      <c r="Y235" s="237"/>
      <c r="Z235" s="237"/>
      <c r="AA235" s="237"/>
      <c r="AB235" s="237"/>
      <c r="AC235" s="237"/>
      <c r="AD235" s="237"/>
      <c r="AE235" s="237"/>
      <c r="AF235" s="237"/>
      <c r="AG235" s="237"/>
      <c r="AH235" s="237"/>
      <c r="AI235" s="308"/>
      <c r="AJ235" s="308"/>
      <c r="AK235" s="308"/>
      <c r="AL235" s="308"/>
      <c r="AM235" s="98"/>
      <c r="AN235" s="98"/>
    </row>
    <row r="236" ht="14.25" customHeight="1">
      <c r="A236" s="179"/>
      <c r="B236" s="98"/>
      <c r="C236" s="98"/>
      <c r="D236" s="98"/>
      <c r="E236" s="98"/>
      <c r="F236" s="235"/>
      <c r="G236" s="235"/>
      <c r="H236" s="236"/>
      <c r="I236" s="236"/>
      <c r="J236" s="236"/>
      <c r="K236" s="236"/>
      <c r="L236" s="236"/>
      <c r="M236" s="236"/>
      <c r="N236" s="236"/>
      <c r="O236" s="236"/>
      <c r="P236" s="236"/>
      <c r="Q236" s="236"/>
      <c r="R236" s="236"/>
      <c r="S236" s="236"/>
      <c r="T236" s="236"/>
      <c r="U236" s="236"/>
      <c r="V236" s="236"/>
      <c r="W236" s="237"/>
      <c r="X236" s="237"/>
      <c r="Y236" s="237"/>
      <c r="Z236" s="237"/>
      <c r="AA236" s="237"/>
      <c r="AB236" s="237"/>
      <c r="AC236" s="237"/>
      <c r="AD236" s="237"/>
      <c r="AE236" s="237"/>
      <c r="AF236" s="237"/>
      <c r="AG236" s="237"/>
      <c r="AH236" s="237"/>
      <c r="AI236" s="308"/>
      <c r="AJ236" s="308"/>
      <c r="AK236" s="308"/>
      <c r="AL236" s="308"/>
      <c r="AM236" s="98"/>
      <c r="AN236" s="98"/>
    </row>
    <row r="237" ht="14.25" customHeight="1">
      <c r="A237" s="179"/>
      <c r="B237" s="98"/>
      <c r="C237" s="98"/>
      <c r="D237" s="98"/>
      <c r="E237" s="98"/>
      <c r="F237" s="235"/>
      <c r="G237" s="235"/>
      <c r="H237" s="236"/>
      <c r="I237" s="236"/>
      <c r="J237" s="236"/>
      <c r="K237" s="236"/>
      <c r="L237" s="236"/>
      <c r="M237" s="236"/>
      <c r="N237" s="236"/>
      <c r="O237" s="236"/>
      <c r="P237" s="236"/>
      <c r="Q237" s="236"/>
      <c r="R237" s="236"/>
      <c r="S237" s="236"/>
      <c r="T237" s="236"/>
      <c r="U237" s="236"/>
      <c r="V237" s="236"/>
      <c r="W237" s="237"/>
      <c r="X237" s="237"/>
      <c r="Y237" s="237"/>
      <c r="Z237" s="237"/>
      <c r="AA237" s="237"/>
      <c r="AB237" s="237"/>
      <c r="AC237" s="237"/>
      <c r="AD237" s="237"/>
      <c r="AE237" s="237"/>
      <c r="AF237" s="237"/>
      <c r="AG237" s="237"/>
      <c r="AH237" s="237"/>
      <c r="AI237" s="308"/>
      <c r="AJ237" s="308"/>
      <c r="AK237" s="308"/>
      <c r="AL237" s="308"/>
      <c r="AM237" s="98"/>
      <c r="AN237" s="98"/>
    </row>
    <row r="238" ht="14.25" customHeight="1">
      <c r="A238" s="179"/>
      <c r="B238" s="98"/>
      <c r="C238" s="98"/>
      <c r="D238" s="98"/>
      <c r="E238" s="98"/>
      <c r="F238" s="235"/>
      <c r="G238" s="235"/>
      <c r="H238" s="236"/>
      <c r="I238" s="236"/>
      <c r="J238" s="236"/>
      <c r="K238" s="236"/>
      <c r="L238" s="236"/>
      <c r="M238" s="236"/>
      <c r="N238" s="236"/>
      <c r="O238" s="236"/>
      <c r="P238" s="236"/>
      <c r="Q238" s="236"/>
      <c r="R238" s="236"/>
      <c r="S238" s="236"/>
      <c r="T238" s="236"/>
      <c r="U238" s="236"/>
      <c r="V238" s="236"/>
      <c r="W238" s="237"/>
      <c r="X238" s="237"/>
      <c r="Y238" s="237"/>
      <c r="Z238" s="237"/>
      <c r="AA238" s="237"/>
      <c r="AB238" s="237"/>
      <c r="AC238" s="237"/>
      <c r="AD238" s="237"/>
      <c r="AE238" s="237"/>
      <c r="AF238" s="237"/>
      <c r="AG238" s="237"/>
      <c r="AH238" s="237"/>
      <c r="AI238" s="308"/>
      <c r="AJ238" s="308"/>
      <c r="AK238" s="308"/>
      <c r="AL238" s="308"/>
      <c r="AM238" s="98"/>
      <c r="AN238" s="98"/>
    </row>
    <row r="239" ht="14.25" customHeight="1">
      <c r="A239" s="179"/>
      <c r="B239" s="98"/>
      <c r="C239" s="98"/>
      <c r="D239" s="98"/>
      <c r="E239" s="98"/>
      <c r="F239" s="235"/>
      <c r="G239" s="235"/>
      <c r="H239" s="236"/>
      <c r="I239" s="236"/>
      <c r="J239" s="236"/>
      <c r="K239" s="236"/>
      <c r="L239" s="236"/>
      <c r="M239" s="236"/>
      <c r="N239" s="236"/>
      <c r="O239" s="236"/>
      <c r="P239" s="236"/>
      <c r="Q239" s="236"/>
      <c r="R239" s="236"/>
      <c r="S239" s="236"/>
      <c r="T239" s="236"/>
      <c r="U239" s="236"/>
      <c r="V239" s="236"/>
      <c r="W239" s="237"/>
      <c r="X239" s="237"/>
      <c r="Y239" s="237"/>
      <c r="Z239" s="237"/>
      <c r="AA239" s="237"/>
      <c r="AB239" s="237"/>
      <c r="AC239" s="237"/>
      <c r="AD239" s="237"/>
      <c r="AE239" s="237"/>
      <c r="AF239" s="237"/>
      <c r="AG239" s="237"/>
      <c r="AH239" s="237"/>
      <c r="AI239" s="308"/>
      <c r="AJ239" s="308"/>
      <c r="AK239" s="308"/>
      <c r="AL239" s="308"/>
      <c r="AM239" s="98"/>
      <c r="AN239" s="98"/>
    </row>
    <row r="240" ht="14.25" customHeight="1">
      <c r="A240" s="179"/>
      <c r="B240" s="98"/>
      <c r="C240" s="98"/>
      <c r="D240" s="98"/>
      <c r="E240" s="98"/>
      <c r="F240" s="235"/>
      <c r="G240" s="235"/>
      <c r="H240" s="236"/>
      <c r="I240" s="236"/>
      <c r="J240" s="236"/>
      <c r="K240" s="236"/>
      <c r="L240" s="236"/>
      <c r="M240" s="236"/>
      <c r="N240" s="236"/>
      <c r="O240" s="236"/>
      <c r="P240" s="236"/>
      <c r="Q240" s="236"/>
      <c r="R240" s="236"/>
      <c r="S240" s="236"/>
      <c r="T240" s="236"/>
      <c r="U240" s="236"/>
      <c r="V240" s="236"/>
      <c r="W240" s="237"/>
      <c r="X240" s="237"/>
      <c r="Y240" s="237"/>
      <c r="Z240" s="237"/>
      <c r="AA240" s="237"/>
      <c r="AB240" s="237"/>
      <c r="AC240" s="237"/>
      <c r="AD240" s="237"/>
      <c r="AE240" s="237"/>
      <c r="AF240" s="237"/>
      <c r="AG240" s="237"/>
      <c r="AH240" s="237"/>
      <c r="AI240" s="308"/>
      <c r="AJ240" s="308"/>
      <c r="AK240" s="308"/>
      <c r="AL240" s="308"/>
      <c r="AM240" s="98"/>
      <c r="AN240" s="98"/>
    </row>
    <row r="241" ht="14.25" customHeight="1">
      <c r="A241" s="179"/>
      <c r="B241" s="98"/>
      <c r="C241" s="98"/>
      <c r="D241" s="98"/>
      <c r="E241" s="98"/>
      <c r="F241" s="235"/>
      <c r="G241" s="235"/>
      <c r="H241" s="236"/>
      <c r="I241" s="236"/>
      <c r="J241" s="236"/>
      <c r="K241" s="236"/>
      <c r="L241" s="236"/>
      <c r="M241" s="236"/>
      <c r="N241" s="236"/>
      <c r="O241" s="236"/>
      <c r="P241" s="236"/>
      <c r="Q241" s="236"/>
      <c r="R241" s="236"/>
      <c r="S241" s="236"/>
      <c r="T241" s="236"/>
      <c r="U241" s="236"/>
      <c r="V241" s="236"/>
      <c r="W241" s="237"/>
      <c r="X241" s="237"/>
      <c r="Y241" s="237"/>
      <c r="Z241" s="237"/>
      <c r="AA241" s="237"/>
      <c r="AB241" s="237"/>
      <c r="AC241" s="237"/>
      <c r="AD241" s="237"/>
      <c r="AE241" s="237"/>
      <c r="AF241" s="237"/>
      <c r="AG241" s="237"/>
      <c r="AH241" s="237"/>
      <c r="AI241" s="308"/>
      <c r="AJ241" s="308"/>
      <c r="AK241" s="308"/>
      <c r="AL241" s="308"/>
      <c r="AM241" s="98"/>
      <c r="AN241" s="98"/>
    </row>
    <row r="242" ht="14.25" customHeight="1">
      <c r="A242" s="179"/>
      <c r="B242" s="98"/>
      <c r="C242" s="98"/>
      <c r="D242" s="98"/>
      <c r="E242" s="98"/>
      <c r="F242" s="235"/>
      <c r="G242" s="235"/>
      <c r="H242" s="236"/>
      <c r="I242" s="236"/>
      <c r="J242" s="236"/>
      <c r="K242" s="236"/>
      <c r="L242" s="236"/>
      <c r="M242" s="236"/>
      <c r="N242" s="236"/>
      <c r="O242" s="236"/>
      <c r="P242" s="236"/>
      <c r="Q242" s="236"/>
      <c r="R242" s="236"/>
      <c r="S242" s="236"/>
      <c r="T242" s="236"/>
      <c r="U242" s="236"/>
      <c r="V242" s="236"/>
      <c r="W242" s="237"/>
      <c r="X242" s="237"/>
      <c r="Y242" s="237"/>
      <c r="Z242" s="237"/>
      <c r="AA242" s="237"/>
      <c r="AB242" s="237"/>
      <c r="AC242" s="237"/>
      <c r="AD242" s="237"/>
      <c r="AE242" s="237"/>
      <c r="AF242" s="237"/>
      <c r="AG242" s="237"/>
      <c r="AH242" s="237"/>
      <c r="AI242" s="308"/>
      <c r="AJ242" s="308"/>
      <c r="AK242" s="308"/>
      <c r="AL242" s="308"/>
      <c r="AM242" s="98"/>
      <c r="AN242" s="98"/>
    </row>
    <row r="243" ht="14.25" customHeight="1">
      <c r="A243" s="179"/>
      <c r="B243" s="98"/>
      <c r="C243" s="98"/>
      <c r="D243" s="98"/>
      <c r="E243" s="98"/>
      <c r="F243" s="235"/>
      <c r="G243" s="235"/>
      <c r="H243" s="236"/>
      <c r="I243" s="236"/>
      <c r="J243" s="236"/>
      <c r="K243" s="236"/>
      <c r="L243" s="236"/>
      <c r="M243" s="236"/>
      <c r="N243" s="236"/>
      <c r="O243" s="236"/>
      <c r="P243" s="236"/>
      <c r="Q243" s="236"/>
      <c r="R243" s="236"/>
      <c r="S243" s="236"/>
      <c r="T243" s="236"/>
      <c r="U243" s="236"/>
      <c r="V243" s="236"/>
      <c r="W243" s="237"/>
      <c r="X243" s="237"/>
      <c r="Y243" s="237"/>
      <c r="Z243" s="237"/>
      <c r="AA243" s="237"/>
      <c r="AB243" s="237"/>
      <c r="AC243" s="237"/>
      <c r="AD243" s="237"/>
      <c r="AE243" s="237"/>
      <c r="AF243" s="237"/>
      <c r="AG243" s="237"/>
      <c r="AH243" s="237"/>
      <c r="AI243" s="308"/>
      <c r="AJ243" s="308"/>
      <c r="AK243" s="308"/>
      <c r="AL243" s="308"/>
      <c r="AM243" s="98"/>
      <c r="AN243" s="98"/>
    </row>
    <row r="244" ht="14.25" customHeight="1">
      <c r="A244" s="179"/>
      <c r="B244" s="98"/>
      <c r="C244" s="98"/>
      <c r="D244" s="98"/>
      <c r="E244" s="98"/>
      <c r="F244" s="235"/>
      <c r="G244" s="235"/>
      <c r="H244" s="236"/>
      <c r="I244" s="236"/>
      <c r="J244" s="236"/>
      <c r="K244" s="236"/>
      <c r="L244" s="236"/>
      <c r="M244" s="236"/>
      <c r="N244" s="236"/>
      <c r="O244" s="236"/>
      <c r="P244" s="236"/>
      <c r="Q244" s="236"/>
      <c r="R244" s="236"/>
      <c r="S244" s="236"/>
      <c r="T244" s="236"/>
      <c r="U244" s="236"/>
      <c r="V244" s="236"/>
      <c r="W244" s="237"/>
      <c r="X244" s="237"/>
      <c r="Y244" s="237"/>
      <c r="Z244" s="237"/>
      <c r="AA244" s="237"/>
      <c r="AB244" s="237"/>
      <c r="AC244" s="237"/>
      <c r="AD244" s="237"/>
      <c r="AE244" s="237"/>
      <c r="AF244" s="237"/>
      <c r="AG244" s="237"/>
      <c r="AH244" s="237"/>
      <c r="AI244" s="308"/>
      <c r="AJ244" s="308"/>
      <c r="AK244" s="308"/>
      <c r="AL244" s="308"/>
      <c r="AM244" s="98"/>
      <c r="AN244" s="98"/>
    </row>
    <row r="245" ht="14.25" customHeight="1">
      <c r="A245" s="179"/>
      <c r="B245" s="98"/>
      <c r="C245" s="98"/>
      <c r="D245" s="98"/>
      <c r="E245" s="98"/>
      <c r="F245" s="235"/>
      <c r="G245" s="235"/>
      <c r="H245" s="236"/>
      <c r="I245" s="236"/>
      <c r="J245" s="236"/>
      <c r="K245" s="236"/>
      <c r="L245" s="236"/>
      <c r="M245" s="236"/>
      <c r="N245" s="236"/>
      <c r="O245" s="236"/>
      <c r="P245" s="236"/>
      <c r="Q245" s="236"/>
      <c r="R245" s="236"/>
      <c r="S245" s="236"/>
      <c r="T245" s="236"/>
      <c r="U245" s="236"/>
      <c r="V245" s="236"/>
      <c r="W245" s="237"/>
      <c r="X245" s="237"/>
      <c r="Y245" s="237"/>
      <c r="Z245" s="237"/>
      <c r="AA245" s="237"/>
      <c r="AB245" s="237"/>
      <c r="AC245" s="237"/>
      <c r="AD245" s="237"/>
      <c r="AE245" s="237"/>
      <c r="AF245" s="237"/>
      <c r="AG245" s="237"/>
      <c r="AH245" s="237"/>
      <c r="AI245" s="308"/>
      <c r="AJ245" s="308"/>
      <c r="AK245" s="308"/>
      <c r="AL245" s="308"/>
      <c r="AM245" s="98"/>
      <c r="AN245" s="98"/>
    </row>
    <row r="246" ht="14.25" customHeight="1">
      <c r="A246" s="179"/>
      <c r="B246" s="98"/>
      <c r="C246" s="98"/>
      <c r="D246" s="98"/>
      <c r="E246" s="98"/>
      <c r="F246" s="235"/>
      <c r="G246" s="235"/>
      <c r="H246" s="236"/>
      <c r="I246" s="236"/>
      <c r="J246" s="236"/>
      <c r="K246" s="236"/>
      <c r="L246" s="236"/>
      <c r="M246" s="236"/>
      <c r="N246" s="236"/>
      <c r="O246" s="236"/>
      <c r="P246" s="236"/>
      <c r="Q246" s="236"/>
      <c r="R246" s="236"/>
      <c r="S246" s="236"/>
      <c r="T246" s="236"/>
      <c r="U246" s="236"/>
      <c r="V246" s="236"/>
      <c r="W246" s="237"/>
      <c r="X246" s="237"/>
      <c r="Y246" s="237"/>
      <c r="Z246" s="237"/>
      <c r="AA246" s="237"/>
      <c r="AB246" s="237"/>
      <c r="AC246" s="237"/>
      <c r="AD246" s="237"/>
      <c r="AE246" s="237"/>
      <c r="AF246" s="237"/>
      <c r="AG246" s="237"/>
      <c r="AH246" s="237"/>
      <c r="AI246" s="308"/>
      <c r="AJ246" s="308"/>
      <c r="AK246" s="308"/>
      <c r="AL246" s="308"/>
      <c r="AM246" s="98"/>
      <c r="AN246" s="98"/>
    </row>
    <row r="247" ht="14.25" customHeight="1">
      <c r="A247" s="179"/>
      <c r="B247" s="98"/>
      <c r="C247" s="98"/>
      <c r="D247" s="98"/>
      <c r="E247" s="98"/>
      <c r="F247" s="235"/>
      <c r="G247" s="235"/>
      <c r="H247" s="236"/>
      <c r="I247" s="236"/>
      <c r="J247" s="236"/>
      <c r="K247" s="236"/>
      <c r="L247" s="236"/>
      <c r="M247" s="236"/>
      <c r="N247" s="236"/>
      <c r="O247" s="236"/>
      <c r="P247" s="236"/>
      <c r="Q247" s="236"/>
      <c r="R247" s="236"/>
      <c r="S247" s="236"/>
      <c r="T247" s="236"/>
      <c r="U247" s="236"/>
      <c r="V247" s="236"/>
      <c r="W247" s="237"/>
      <c r="X247" s="237"/>
      <c r="Y247" s="237"/>
      <c r="Z247" s="237"/>
      <c r="AA247" s="237"/>
      <c r="AB247" s="237"/>
      <c r="AC247" s="237"/>
      <c r="AD247" s="237"/>
      <c r="AE247" s="237"/>
      <c r="AF247" s="237"/>
      <c r="AG247" s="237"/>
      <c r="AH247" s="237"/>
      <c r="AI247" s="308"/>
      <c r="AJ247" s="308"/>
      <c r="AK247" s="308"/>
      <c r="AL247" s="308"/>
      <c r="AM247" s="98"/>
      <c r="AN247" s="98"/>
    </row>
    <row r="248" ht="14.25" customHeight="1">
      <c r="A248" s="179"/>
      <c r="B248" s="98"/>
      <c r="C248" s="98"/>
      <c r="D248" s="98"/>
      <c r="E248" s="98"/>
      <c r="F248" s="235"/>
      <c r="G248" s="235"/>
      <c r="H248" s="236"/>
      <c r="I248" s="236"/>
      <c r="J248" s="236"/>
      <c r="K248" s="236"/>
      <c r="L248" s="236"/>
      <c r="M248" s="236"/>
      <c r="N248" s="236"/>
      <c r="O248" s="236"/>
      <c r="P248" s="236"/>
      <c r="Q248" s="236"/>
      <c r="R248" s="236"/>
      <c r="S248" s="236"/>
      <c r="T248" s="236"/>
      <c r="U248" s="236"/>
      <c r="V248" s="236"/>
      <c r="W248" s="237"/>
      <c r="X248" s="237"/>
      <c r="Y248" s="237"/>
      <c r="Z248" s="237"/>
      <c r="AA248" s="237"/>
      <c r="AB248" s="237"/>
      <c r="AC248" s="237"/>
      <c r="AD248" s="237"/>
      <c r="AE248" s="237"/>
      <c r="AF248" s="237"/>
      <c r="AG248" s="237"/>
      <c r="AH248" s="237"/>
      <c r="AI248" s="308"/>
      <c r="AJ248" s="308"/>
      <c r="AK248" s="308"/>
      <c r="AL248" s="308"/>
      <c r="AM248" s="98"/>
      <c r="AN248" s="98"/>
    </row>
    <row r="249" ht="14.25" customHeight="1">
      <c r="A249" s="179"/>
      <c r="B249" s="98"/>
      <c r="C249" s="98"/>
      <c r="D249" s="98"/>
      <c r="E249" s="98"/>
      <c r="F249" s="235"/>
      <c r="G249" s="235"/>
      <c r="H249" s="236"/>
      <c r="I249" s="236"/>
      <c r="J249" s="236"/>
      <c r="K249" s="236"/>
      <c r="L249" s="236"/>
      <c r="M249" s="236"/>
      <c r="N249" s="236"/>
      <c r="O249" s="236"/>
      <c r="P249" s="236"/>
      <c r="Q249" s="236"/>
      <c r="R249" s="236"/>
      <c r="S249" s="236"/>
      <c r="T249" s="236"/>
      <c r="U249" s="236"/>
      <c r="V249" s="236"/>
      <c r="W249" s="237"/>
      <c r="X249" s="237"/>
      <c r="Y249" s="237"/>
      <c r="Z249" s="237"/>
      <c r="AA249" s="237"/>
      <c r="AB249" s="237"/>
      <c r="AC249" s="237"/>
      <c r="AD249" s="237"/>
      <c r="AE249" s="237"/>
      <c r="AF249" s="237"/>
      <c r="AG249" s="237"/>
      <c r="AH249" s="237"/>
      <c r="AI249" s="308"/>
      <c r="AJ249" s="308"/>
      <c r="AK249" s="308"/>
      <c r="AL249" s="308"/>
      <c r="AM249" s="98"/>
      <c r="AN249" s="98"/>
    </row>
    <row r="250" ht="14.25" customHeight="1">
      <c r="A250" s="179"/>
      <c r="B250" s="98"/>
      <c r="C250" s="98"/>
      <c r="D250" s="98"/>
      <c r="E250" s="98"/>
      <c r="F250" s="235"/>
      <c r="G250" s="235"/>
      <c r="H250" s="236"/>
      <c r="I250" s="236"/>
      <c r="J250" s="236"/>
      <c r="K250" s="236"/>
      <c r="L250" s="236"/>
      <c r="M250" s="236"/>
      <c r="N250" s="236"/>
      <c r="O250" s="236"/>
      <c r="P250" s="236"/>
      <c r="Q250" s="236"/>
      <c r="R250" s="236"/>
      <c r="S250" s="236"/>
      <c r="T250" s="236"/>
      <c r="U250" s="236"/>
      <c r="V250" s="236"/>
      <c r="W250" s="237"/>
      <c r="X250" s="237"/>
      <c r="Y250" s="237"/>
      <c r="Z250" s="237"/>
      <c r="AA250" s="237"/>
      <c r="AB250" s="237"/>
      <c r="AC250" s="237"/>
      <c r="AD250" s="237"/>
      <c r="AE250" s="237"/>
      <c r="AF250" s="237"/>
      <c r="AG250" s="237"/>
      <c r="AH250" s="237"/>
      <c r="AI250" s="308"/>
      <c r="AJ250" s="308"/>
      <c r="AK250" s="308"/>
      <c r="AL250" s="308"/>
      <c r="AM250" s="98"/>
      <c r="AN250" s="98"/>
    </row>
    <row r="251" ht="14.25" customHeight="1">
      <c r="A251" s="179"/>
      <c r="B251" s="98"/>
      <c r="C251" s="98"/>
      <c r="D251" s="98"/>
      <c r="E251" s="98"/>
      <c r="F251" s="235"/>
      <c r="G251" s="235"/>
      <c r="H251" s="236"/>
      <c r="I251" s="236"/>
      <c r="J251" s="236"/>
      <c r="K251" s="236"/>
      <c r="L251" s="236"/>
      <c r="M251" s="236"/>
      <c r="N251" s="236"/>
      <c r="O251" s="236"/>
      <c r="P251" s="236"/>
      <c r="Q251" s="236"/>
      <c r="R251" s="236"/>
      <c r="S251" s="236"/>
      <c r="T251" s="236"/>
      <c r="U251" s="236"/>
      <c r="V251" s="236"/>
      <c r="W251" s="237"/>
      <c r="X251" s="237"/>
      <c r="Y251" s="237"/>
      <c r="Z251" s="237"/>
      <c r="AA251" s="237"/>
      <c r="AB251" s="237"/>
      <c r="AC251" s="237"/>
      <c r="AD251" s="237"/>
      <c r="AE251" s="237"/>
      <c r="AF251" s="237"/>
      <c r="AG251" s="237"/>
      <c r="AH251" s="237"/>
      <c r="AI251" s="308"/>
      <c r="AJ251" s="308"/>
      <c r="AK251" s="308"/>
      <c r="AL251" s="308"/>
      <c r="AM251" s="98"/>
      <c r="AN251" s="98"/>
    </row>
    <row r="252" ht="14.25" customHeight="1">
      <c r="A252" s="179"/>
      <c r="B252" s="98"/>
      <c r="C252" s="98"/>
      <c r="D252" s="98"/>
      <c r="E252" s="98"/>
      <c r="F252" s="235"/>
      <c r="G252" s="235"/>
      <c r="H252" s="236"/>
      <c r="I252" s="236"/>
      <c r="J252" s="236"/>
      <c r="K252" s="236"/>
      <c r="L252" s="236"/>
      <c r="M252" s="236"/>
      <c r="N252" s="236"/>
      <c r="O252" s="236"/>
      <c r="P252" s="236"/>
      <c r="Q252" s="236"/>
      <c r="R252" s="236"/>
      <c r="S252" s="236"/>
      <c r="T252" s="236"/>
      <c r="U252" s="236"/>
      <c r="V252" s="236"/>
      <c r="W252" s="237"/>
      <c r="X252" s="237"/>
      <c r="Y252" s="237"/>
      <c r="Z252" s="237"/>
      <c r="AA252" s="237"/>
      <c r="AB252" s="237"/>
      <c r="AC252" s="237"/>
      <c r="AD252" s="237"/>
      <c r="AE252" s="237"/>
      <c r="AF252" s="237"/>
      <c r="AG252" s="237"/>
      <c r="AH252" s="237"/>
      <c r="AI252" s="308"/>
      <c r="AJ252" s="308"/>
      <c r="AK252" s="308"/>
      <c r="AL252" s="308"/>
      <c r="AM252" s="98"/>
      <c r="AN252" s="98"/>
    </row>
    <row r="253" ht="14.25" customHeight="1">
      <c r="A253" s="179"/>
      <c r="B253" s="98"/>
      <c r="C253" s="98"/>
      <c r="D253" s="98"/>
      <c r="E253" s="98"/>
      <c r="F253" s="235"/>
      <c r="G253" s="235"/>
      <c r="H253" s="236"/>
      <c r="I253" s="236"/>
      <c r="J253" s="236"/>
      <c r="K253" s="236"/>
      <c r="L253" s="236"/>
      <c r="M253" s="236"/>
      <c r="N253" s="236"/>
      <c r="O253" s="236"/>
      <c r="P253" s="236"/>
      <c r="Q253" s="236"/>
      <c r="R253" s="236"/>
      <c r="S253" s="236"/>
      <c r="T253" s="236"/>
      <c r="U253" s="236"/>
      <c r="V253" s="236"/>
      <c r="W253" s="237"/>
      <c r="X253" s="237"/>
      <c r="Y253" s="237"/>
      <c r="Z253" s="237"/>
      <c r="AA253" s="237"/>
      <c r="AB253" s="237"/>
      <c r="AC253" s="237"/>
      <c r="AD253" s="237"/>
      <c r="AE253" s="237"/>
      <c r="AF253" s="237"/>
      <c r="AG253" s="237"/>
      <c r="AH253" s="237"/>
      <c r="AI253" s="308"/>
      <c r="AJ253" s="308"/>
      <c r="AK253" s="308"/>
      <c r="AL253" s="308"/>
      <c r="AM253" s="98"/>
      <c r="AN253" s="98"/>
    </row>
    <row r="254" ht="14.25" customHeight="1">
      <c r="A254" s="179"/>
      <c r="B254" s="98"/>
      <c r="C254" s="98"/>
      <c r="D254" s="98"/>
      <c r="E254" s="98"/>
      <c r="F254" s="235"/>
      <c r="G254" s="235"/>
      <c r="H254" s="236"/>
      <c r="I254" s="236"/>
      <c r="J254" s="236"/>
      <c r="K254" s="236"/>
      <c r="L254" s="236"/>
      <c r="M254" s="236"/>
      <c r="N254" s="236"/>
      <c r="O254" s="236"/>
      <c r="P254" s="236"/>
      <c r="Q254" s="236"/>
      <c r="R254" s="236"/>
      <c r="S254" s="236"/>
      <c r="T254" s="236"/>
      <c r="U254" s="236"/>
      <c r="V254" s="236"/>
      <c r="W254" s="237"/>
      <c r="X254" s="237"/>
      <c r="Y254" s="237"/>
      <c r="Z254" s="237"/>
      <c r="AA254" s="237"/>
      <c r="AB254" s="237"/>
      <c r="AC254" s="237"/>
      <c r="AD254" s="237"/>
      <c r="AE254" s="237"/>
      <c r="AF254" s="237"/>
      <c r="AG254" s="237"/>
      <c r="AH254" s="237"/>
      <c r="AI254" s="308"/>
      <c r="AJ254" s="308"/>
      <c r="AK254" s="308"/>
      <c r="AL254" s="308"/>
      <c r="AM254" s="98"/>
      <c r="AN254" s="98"/>
    </row>
    <row r="255" ht="14.25" customHeight="1">
      <c r="A255" s="179"/>
      <c r="B255" s="98"/>
      <c r="C255" s="98"/>
      <c r="D255" s="98"/>
      <c r="E255" s="98"/>
      <c r="F255" s="235"/>
      <c r="G255" s="235"/>
      <c r="H255" s="236"/>
      <c r="I255" s="236"/>
      <c r="J255" s="236"/>
      <c r="K255" s="236"/>
      <c r="L255" s="236"/>
      <c r="M255" s="236"/>
      <c r="N255" s="236"/>
      <c r="O255" s="236"/>
      <c r="P255" s="236"/>
      <c r="Q255" s="236"/>
      <c r="R255" s="236"/>
      <c r="S255" s="236"/>
      <c r="T255" s="236"/>
      <c r="U255" s="236"/>
      <c r="V255" s="236"/>
      <c r="W255" s="237"/>
      <c r="X255" s="237"/>
      <c r="Y255" s="237"/>
      <c r="Z255" s="237"/>
      <c r="AA255" s="237"/>
      <c r="AB255" s="237"/>
      <c r="AC255" s="237"/>
      <c r="AD255" s="237"/>
      <c r="AE255" s="237"/>
      <c r="AF255" s="237"/>
      <c r="AG255" s="237"/>
      <c r="AH255" s="237"/>
      <c r="AI255" s="308"/>
      <c r="AJ255" s="308"/>
      <c r="AK255" s="308"/>
      <c r="AL255" s="308"/>
      <c r="AM255" s="98"/>
      <c r="AN255" s="98"/>
    </row>
    <row r="256" ht="14.25" customHeight="1">
      <c r="A256" s="179"/>
      <c r="B256" s="98"/>
      <c r="C256" s="98"/>
      <c r="D256" s="98"/>
      <c r="E256" s="98"/>
      <c r="F256" s="235"/>
      <c r="G256" s="235"/>
      <c r="H256" s="236"/>
      <c r="I256" s="236"/>
      <c r="J256" s="236"/>
      <c r="K256" s="236"/>
      <c r="L256" s="236"/>
      <c r="M256" s="236"/>
      <c r="N256" s="236"/>
      <c r="O256" s="236"/>
      <c r="P256" s="236"/>
      <c r="Q256" s="236"/>
      <c r="R256" s="236"/>
      <c r="S256" s="236"/>
      <c r="T256" s="236"/>
      <c r="U256" s="236"/>
      <c r="V256" s="236"/>
      <c r="W256" s="237"/>
      <c r="X256" s="237"/>
      <c r="Y256" s="237"/>
      <c r="Z256" s="237"/>
      <c r="AA256" s="237"/>
      <c r="AB256" s="237"/>
      <c r="AC256" s="237"/>
      <c r="AD256" s="237"/>
      <c r="AE256" s="237"/>
      <c r="AF256" s="237"/>
      <c r="AG256" s="237"/>
      <c r="AH256" s="237"/>
      <c r="AI256" s="308"/>
      <c r="AJ256" s="308"/>
      <c r="AK256" s="308"/>
      <c r="AL256" s="308"/>
      <c r="AM256" s="98"/>
      <c r="AN256" s="98"/>
    </row>
    <row r="257" ht="14.25" customHeight="1">
      <c r="A257" s="179"/>
      <c r="B257" s="98"/>
      <c r="C257" s="98"/>
      <c r="D257" s="98"/>
      <c r="E257" s="98"/>
      <c r="F257" s="235"/>
      <c r="G257" s="235"/>
      <c r="H257" s="236"/>
      <c r="I257" s="236"/>
      <c r="J257" s="236"/>
      <c r="K257" s="236"/>
      <c r="L257" s="236"/>
      <c r="M257" s="236"/>
      <c r="N257" s="236"/>
      <c r="O257" s="236"/>
      <c r="P257" s="236"/>
      <c r="Q257" s="236"/>
      <c r="R257" s="236"/>
      <c r="S257" s="236"/>
      <c r="T257" s="236"/>
      <c r="U257" s="236"/>
      <c r="V257" s="236"/>
      <c r="W257" s="237"/>
      <c r="X257" s="237"/>
      <c r="Y257" s="237"/>
      <c r="Z257" s="237"/>
      <c r="AA257" s="237"/>
      <c r="AB257" s="237"/>
      <c r="AC257" s="237"/>
      <c r="AD257" s="237"/>
      <c r="AE257" s="237"/>
      <c r="AF257" s="237"/>
      <c r="AG257" s="237"/>
      <c r="AH257" s="237"/>
      <c r="AI257" s="308"/>
      <c r="AJ257" s="308"/>
      <c r="AK257" s="308"/>
      <c r="AL257" s="308"/>
      <c r="AM257" s="98"/>
      <c r="AN257" s="98"/>
    </row>
    <row r="258" ht="14.25" customHeight="1">
      <c r="A258" s="179"/>
      <c r="B258" s="98"/>
      <c r="C258" s="98"/>
      <c r="D258" s="98"/>
      <c r="E258" s="98"/>
      <c r="F258" s="235"/>
      <c r="G258" s="235"/>
      <c r="H258" s="236"/>
      <c r="I258" s="236"/>
      <c r="J258" s="236"/>
      <c r="K258" s="236"/>
      <c r="L258" s="236"/>
      <c r="M258" s="236"/>
      <c r="N258" s="236"/>
      <c r="O258" s="236"/>
      <c r="P258" s="236"/>
      <c r="Q258" s="236"/>
      <c r="R258" s="236"/>
      <c r="S258" s="236"/>
      <c r="T258" s="236"/>
      <c r="U258" s="236"/>
      <c r="V258" s="236"/>
      <c r="W258" s="237"/>
      <c r="X258" s="237"/>
      <c r="Y258" s="237"/>
      <c r="Z258" s="237"/>
      <c r="AA258" s="237"/>
      <c r="AB258" s="237"/>
      <c r="AC258" s="237"/>
      <c r="AD258" s="237"/>
      <c r="AE258" s="237"/>
      <c r="AF258" s="237"/>
      <c r="AG258" s="237"/>
      <c r="AH258" s="237"/>
      <c r="AI258" s="308"/>
      <c r="AJ258" s="308"/>
      <c r="AK258" s="308"/>
      <c r="AL258" s="308"/>
      <c r="AM258" s="98"/>
      <c r="AN258" s="98"/>
    </row>
    <row r="259" ht="14.25" customHeight="1">
      <c r="A259" s="179"/>
      <c r="B259" s="98"/>
      <c r="C259" s="98"/>
      <c r="D259" s="98"/>
      <c r="E259" s="98"/>
      <c r="F259" s="235"/>
      <c r="G259" s="235"/>
      <c r="H259" s="236"/>
      <c r="I259" s="236"/>
      <c r="J259" s="236"/>
      <c r="K259" s="236"/>
      <c r="L259" s="236"/>
      <c r="M259" s="236"/>
      <c r="N259" s="236"/>
      <c r="O259" s="236"/>
      <c r="P259" s="236"/>
      <c r="Q259" s="236"/>
      <c r="R259" s="236"/>
      <c r="S259" s="236"/>
      <c r="T259" s="236"/>
      <c r="U259" s="236"/>
      <c r="V259" s="236"/>
      <c r="W259" s="237"/>
      <c r="X259" s="237"/>
      <c r="Y259" s="237"/>
      <c r="Z259" s="237"/>
      <c r="AA259" s="237"/>
      <c r="AB259" s="237"/>
      <c r="AC259" s="237"/>
      <c r="AD259" s="237"/>
      <c r="AE259" s="237"/>
      <c r="AF259" s="237"/>
      <c r="AG259" s="237"/>
      <c r="AH259" s="237"/>
      <c r="AI259" s="308"/>
      <c r="AJ259" s="308"/>
      <c r="AK259" s="308"/>
      <c r="AL259" s="308"/>
      <c r="AM259" s="98"/>
      <c r="AN259" s="98"/>
    </row>
    <row r="260" ht="14.25" customHeight="1">
      <c r="A260" s="179"/>
      <c r="B260" s="98"/>
      <c r="C260" s="98"/>
      <c r="D260" s="98"/>
      <c r="E260" s="98"/>
      <c r="F260" s="235"/>
      <c r="G260" s="235"/>
      <c r="H260" s="236"/>
      <c r="I260" s="236"/>
      <c r="J260" s="236"/>
      <c r="K260" s="236"/>
      <c r="L260" s="236"/>
      <c r="M260" s="236"/>
      <c r="N260" s="236"/>
      <c r="O260" s="236"/>
      <c r="P260" s="236"/>
      <c r="Q260" s="236"/>
      <c r="R260" s="236"/>
      <c r="S260" s="236"/>
      <c r="T260" s="236"/>
      <c r="U260" s="236"/>
      <c r="V260" s="236"/>
      <c r="W260" s="237"/>
      <c r="X260" s="237"/>
      <c r="Y260" s="237"/>
      <c r="Z260" s="237"/>
      <c r="AA260" s="237"/>
      <c r="AB260" s="237"/>
      <c r="AC260" s="237"/>
      <c r="AD260" s="237"/>
      <c r="AE260" s="237"/>
      <c r="AF260" s="237"/>
      <c r="AG260" s="237"/>
      <c r="AH260" s="237"/>
      <c r="AI260" s="308"/>
      <c r="AJ260" s="308"/>
      <c r="AK260" s="308"/>
      <c r="AL260" s="308"/>
      <c r="AM260" s="98"/>
      <c r="AN260" s="98"/>
    </row>
    <row r="261" ht="14.25" customHeight="1">
      <c r="A261" s="179"/>
      <c r="B261" s="98"/>
      <c r="C261" s="98"/>
      <c r="D261" s="98"/>
      <c r="E261" s="98"/>
      <c r="F261" s="235"/>
      <c r="G261" s="235"/>
      <c r="H261" s="236"/>
      <c r="I261" s="236"/>
      <c r="J261" s="236"/>
      <c r="K261" s="236"/>
      <c r="L261" s="236"/>
      <c r="M261" s="236"/>
      <c r="N261" s="236"/>
      <c r="O261" s="236"/>
      <c r="P261" s="236"/>
      <c r="Q261" s="236"/>
      <c r="R261" s="236"/>
      <c r="S261" s="236"/>
      <c r="T261" s="236"/>
      <c r="U261" s="236"/>
      <c r="V261" s="236"/>
      <c r="W261" s="237"/>
      <c r="X261" s="237"/>
      <c r="Y261" s="237"/>
      <c r="Z261" s="237"/>
      <c r="AA261" s="237"/>
      <c r="AB261" s="237"/>
      <c r="AC261" s="237"/>
      <c r="AD261" s="237"/>
      <c r="AE261" s="237"/>
      <c r="AF261" s="237"/>
      <c r="AG261" s="237"/>
      <c r="AH261" s="237"/>
      <c r="AI261" s="308"/>
      <c r="AJ261" s="308"/>
      <c r="AK261" s="308"/>
      <c r="AL261" s="308"/>
      <c r="AM261" s="98"/>
      <c r="AN261" s="98"/>
    </row>
    <row r="262" ht="14.25" customHeight="1">
      <c r="A262" s="179"/>
      <c r="B262" s="98"/>
      <c r="C262" s="98"/>
      <c r="D262" s="98"/>
      <c r="E262" s="98"/>
      <c r="F262" s="235"/>
      <c r="G262" s="235"/>
      <c r="H262" s="236"/>
      <c r="I262" s="236"/>
      <c r="J262" s="236"/>
      <c r="K262" s="236"/>
      <c r="L262" s="236"/>
      <c r="M262" s="236"/>
      <c r="N262" s="236"/>
      <c r="O262" s="236"/>
      <c r="P262" s="236"/>
      <c r="Q262" s="236"/>
      <c r="R262" s="236"/>
      <c r="S262" s="236"/>
      <c r="T262" s="236"/>
      <c r="U262" s="236"/>
      <c r="V262" s="236"/>
      <c r="W262" s="237"/>
      <c r="X262" s="237"/>
      <c r="Y262" s="237"/>
      <c r="Z262" s="237"/>
      <c r="AA262" s="237"/>
      <c r="AB262" s="237"/>
      <c r="AC262" s="237"/>
      <c r="AD262" s="237"/>
      <c r="AE262" s="237"/>
      <c r="AF262" s="237"/>
      <c r="AG262" s="237"/>
      <c r="AH262" s="237"/>
      <c r="AI262" s="308"/>
      <c r="AJ262" s="308"/>
      <c r="AK262" s="308"/>
      <c r="AL262" s="308"/>
      <c r="AM262" s="98"/>
      <c r="AN262" s="98"/>
    </row>
    <row r="263" ht="14.25" customHeight="1">
      <c r="A263" s="179"/>
      <c r="B263" s="98"/>
      <c r="C263" s="98"/>
      <c r="D263" s="98"/>
      <c r="E263" s="98"/>
      <c r="F263" s="235"/>
      <c r="G263" s="235"/>
      <c r="H263" s="236"/>
      <c r="I263" s="236"/>
      <c r="J263" s="236"/>
      <c r="K263" s="236"/>
      <c r="L263" s="236"/>
      <c r="M263" s="236"/>
      <c r="N263" s="236"/>
      <c r="O263" s="236"/>
      <c r="P263" s="236"/>
      <c r="Q263" s="236"/>
      <c r="R263" s="236"/>
      <c r="S263" s="236"/>
      <c r="T263" s="236"/>
      <c r="U263" s="236"/>
      <c r="V263" s="236"/>
      <c r="W263" s="237"/>
      <c r="X263" s="237"/>
      <c r="Y263" s="237"/>
      <c r="Z263" s="237"/>
      <c r="AA263" s="237"/>
      <c r="AB263" s="237"/>
      <c r="AC263" s="237"/>
      <c r="AD263" s="237"/>
      <c r="AE263" s="237"/>
      <c r="AF263" s="237"/>
      <c r="AG263" s="237"/>
      <c r="AH263" s="237"/>
      <c r="AI263" s="308"/>
      <c r="AJ263" s="308"/>
      <c r="AK263" s="308"/>
      <c r="AL263" s="308"/>
      <c r="AM263" s="98"/>
      <c r="AN263" s="98"/>
    </row>
    <row r="264" ht="14.25" customHeight="1">
      <c r="A264" s="179"/>
      <c r="B264" s="98"/>
      <c r="C264" s="98"/>
      <c r="D264" s="98"/>
      <c r="E264" s="98"/>
      <c r="F264" s="235"/>
      <c r="G264" s="235"/>
      <c r="H264" s="236"/>
      <c r="I264" s="236"/>
      <c r="J264" s="236"/>
      <c r="K264" s="236"/>
      <c r="L264" s="236"/>
      <c r="M264" s="236"/>
      <c r="N264" s="236"/>
      <c r="O264" s="236"/>
      <c r="P264" s="236"/>
      <c r="Q264" s="236"/>
      <c r="R264" s="236"/>
      <c r="S264" s="236"/>
      <c r="T264" s="236"/>
      <c r="U264" s="236"/>
      <c r="V264" s="236"/>
      <c r="W264" s="237"/>
      <c r="X264" s="237"/>
      <c r="Y264" s="237"/>
      <c r="Z264" s="237"/>
      <c r="AA264" s="237"/>
      <c r="AB264" s="237"/>
      <c r="AC264" s="237"/>
      <c r="AD264" s="237"/>
      <c r="AE264" s="237"/>
      <c r="AF264" s="237"/>
      <c r="AG264" s="237"/>
      <c r="AH264" s="237"/>
      <c r="AI264" s="308"/>
      <c r="AJ264" s="308"/>
      <c r="AK264" s="308"/>
      <c r="AL264" s="308"/>
      <c r="AM264" s="98"/>
      <c r="AN264" s="98"/>
    </row>
    <row r="265" ht="14.25" customHeight="1">
      <c r="A265" s="179"/>
      <c r="B265" s="98"/>
      <c r="C265" s="98"/>
      <c r="D265" s="98"/>
      <c r="E265" s="98"/>
      <c r="F265" s="235"/>
      <c r="G265" s="235"/>
      <c r="H265" s="236"/>
      <c r="I265" s="236"/>
      <c r="J265" s="236"/>
      <c r="K265" s="236"/>
      <c r="L265" s="236"/>
      <c r="M265" s="236"/>
      <c r="N265" s="236"/>
      <c r="O265" s="236"/>
      <c r="P265" s="236"/>
      <c r="Q265" s="236"/>
      <c r="R265" s="236"/>
      <c r="S265" s="236"/>
      <c r="T265" s="236"/>
      <c r="U265" s="236"/>
      <c r="V265" s="236"/>
      <c r="W265" s="237"/>
      <c r="X265" s="237"/>
      <c r="Y265" s="237"/>
      <c r="Z265" s="237"/>
      <c r="AA265" s="237"/>
      <c r="AB265" s="237"/>
      <c r="AC265" s="237"/>
      <c r="AD265" s="237"/>
      <c r="AE265" s="237"/>
      <c r="AF265" s="237"/>
      <c r="AG265" s="237"/>
      <c r="AH265" s="237"/>
      <c r="AI265" s="308"/>
      <c r="AJ265" s="308"/>
      <c r="AK265" s="308"/>
      <c r="AL265" s="308"/>
      <c r="AM265" s="98"/>
      <c r="AN265" s="98"/>
    </row>
    <row r="266" ht="14.25" customHeight="1">
      <c r="A266" s="179"/>
      <c r="B266" s="98"/>
      <c r="C266" s="98"/>
      <c r="D266" s="98"/>
      <c r="E266" s="98"/>
      <c r="F266" s="235"/>
      <c r="G266" s="235"/>
      <c r="H266" s="236"/>
      <c r="I266" s="236"/>
      <c r="J266" s="236"/>
      <c r="K266" s="236"/>
      <c r="L266" s="236"/>
      <c r="M266" s="236"/>
      <c r="N266" s="236"/>
      <c r="O266" s="236"/>
      <c r="P266" s="236"/>
      <c r="Q266" s="236"/>
      <c r="R266" s="236"/>
      <c r="S266" s="236"/>
      <c r="T266" s="236"/>
      <c r="U266" s="236"/>
      <c r="V266" s="236"/>
      <c r="W266" s="237"/>
      <c r="X266" s="237"/>
      <c r="Y266" s="237"/>
      <c r="Z266" s="237"/>
      <c r="AA266" s="237"/>
      <c r="AB266" s="237"/>
      <c r="AC266" s="237"/>
      <c r="AD266" s="237"/>
      <c r="AE266" s="237"/>
      <c r="AF266" s="237"/>
      <c r="AG266" s="237"/>
      <c r="AH266" s="237"/>
      <c r="AI266" s="308"/>
      <c r="AJ266" s="308"/>
      <c r="AK266" s="308"/>
      <c r="AL266" s="308"/>
      <c r="AM266" s="98"/>
      <c r="AN266" s="98"/>
    </row>
    <row r="267" ht="14.25" customHeight="1">
      <c r="A267" s="179"/>
      <c r="B267" s="98"/>
      <c r="C267" s="98"/>
      <c r="D267" s="98"/>
      <c r="E267" s="98"/>
      <c r="F267" s="235"/>
      <c r="G267" s="235"/>
      <c r="H267" s="236"/>
      <c r="I267" s="236"/>
      <c r="J267" s="236"/>
      <c r="K267" s="236"/>
      <c r="L267" s="236"/>
      <c r="M267" s="236"/>
      <c r="N267" s="236"/>
      <c r="O267" s="236"/>
      <c r="P267" s="236"/>
      <c r="Q267" s="236"/>
      <c r="R267" s="236"/>
      <c r="S267" s="236"/>
      <c r="T267" s="236"/>
      <c r="U267" s="236"/>
      <c r="V267" s="236"/>
      <c r="W267" s="237"/>
      <c r="X267" s="237"/>
      <c r="Y267" s="237"/>
      <c r="Z267" s="237"/>
      <c r="AA267" s="237"/>
      <c r="AB267" s="237"/>
      <c r="AC267" s="237"/>
      <c r="AD267" s="237"/>
      <c r="AE267" s="237"/>
      <c r="AF267" s="237"/>
      <c r="AG267" s="237"/>
      <c r="AH267" s="237"/>
      <c r="AI267" s="308"/>
      <c r="AJ267" s="308"/>
      <c r="AK267" s="308"/>
      <c r="AL267" s="308"/>
      <c r="AM267" s="98"/>
      <c r="AN267" s="98"/>
    </row>
    <row r="268" ht="14.25" customHeight="1">
      <c r="A268" s="179"/>
      <c r="B268" s="98"/>
      <c r="C268" s="98"/>
      <c r="D268" s="98"/>
      <c r="E268" s="98"/>
      <c r="F268" s="235"/>
      <c r="G268" s="235"/>
      <c r="H268" s="236"/>
      <c r="I268" s="236"/>
      <c r="J268" s="236"/>
      <c r="K268" s="236"/>
      <c r="L268" s="236"/>
      <c r="M268" s="236"/>
      <c r="N268" s="236"/>
      <c r="O268" s="236"/>
      <c r="P268" s="236"/>
      <c r="Q268" s="236"/>
      <c r="R268" s="236"/>
      <c r="S268" s="236"/>
      <c r="T268" s="236"/>
      <c r="U268" s="236"/>
      <c r="V268" s="236"/>
      <c r="W268" s="237"/>
      <c r="X268" s="237"/>
      <c r="Y268" s="237"/>
      <c r="Z268" s="237"/>
      <c r="AA268" s="237"/>
      <c r="AB268" s="237"/>
      <c r="AC268" s="237"/>
      <c r="AD268" s="237"/>
      <c r="AE268" s="237"/>
      <c r="AF268" s="237"/>
      <c r="AG268" s="237"/>
      <c r="AH268" s="237"/>
      <c r="AI268" s="308"/>
      <c r="AJ268" s="308"/>
      <c r="AK268" s="308"/>
      <c r="AL268" s="308"/>
      <c r="AM268" s="98"/>
      <c r="AN268" s="98"/>
    </row>
    <row r="269" ht="14.25" customHeight="1">
      <c r="A269" s="179"/>
      <c r="B269" s="98"/>
      <c r="C269" s="98"/>
      <c r="D269" s="98"/>
      <c r="E269" s="98"/>
      <c r="F269" s="235"/>
      <c r="G269" s="235"/>
      <c r="H269" s="236"/>
      <c r="I269" s="236"/>
      <c r="J269" s="236"/>
      <c r="K269" s="236"/>
      <c r="L269" s="236"/>
      <c r="M269" s="236"/>
      <c r="N269" s="236"/>
      <c r="O269" s="236"/>
      <c r="P269" s="236"/>
      <c r="Q269" s="236"/>
      <c r="R269" s="236"/>
      <c r="S269" s="236"/>
      <c r="T269" s="236"/>
      <c r="U269" s="236"/>
      <c r="V269" s="236"/>
      <c r="W269" s="237"/>
      <c r="X269" s="237"/>
      <c r="Y269" s="237"/>
      <c r="Z269" s="237"/>
      <c r="AA269" s="237"/>
      <c r="AB269" s="237"/>
      <c r="AC269" s="237"/>
      <c r="AD269" s="237"/>
      <c r="AE269" s="237"/>
      <c r="AF269" s="237"/>
      <c r="AG269" s="237"/>
      <c r="AH269" s="237"/>
      <c r="AI269" s="308"/>
      <c r="AJ269" s="308"/>
      <c r="AK269" s="308"/>
      <c r="AL269" s="308"/>
      <c r="AM269" s="98"/>
      <c r="AN269" s="98"/>
    </row>
    <row r="270" ht="14.25" customHeight="1">
      <c r="A270" s="179"/>
      <c r="B270" s="98"/>
      <c r="C270" s="98"/>
      <c r="D270" s="98"/>
      <c r="E270" s="98"/>
      <c r="F270" s="235"/>
      <c r="G270" s="235"/>
      <c r="H270" s="236"/>
      <c r="I270" s="236"/>
      <c r="J270" s="236"/>
      <c r="K270" s="236"/>
      <c r="L270" s="236"/>
      <c r="M270" s="236"/>
      <c r="N270" s="236"/>
      <c r="O270" s="236"/>
      <c r="P270" s="236"/>
      <c r="Q270" s="236"/>
      <c r="R270" s="236"/>
      <c r="S270" s="236"/>
      <c r="T270" s="236"/>
      <c r="U270" s="236"/>
      <c r="V270" s="236"/>
      <c r="W270" s="237"/>
      <c r="X270" s="237"/>
      <c r="Y270" s="237"/>
      <c r="Z270" s="237"/>
      <c r="AA270" s="237"/>
      <c r="AB270" s="237"/>
      <c r="AC270" s="237"/>
      <c r="AD270" s="237"/>
      <c r="AE270" s="237"/>
      <c r="AF270" s="237"/>
      <c r="AG270" s="237"/>
      <c r="AH270" s="237"/>
      <c r="AI270" s="308"/>
      <c r="AJ270" s="308"/>
      <c r="AK270" s="308"/>
      <c r="AL270" s="308"/>
      <c r="AM270" s="98"/>
      <c r="AN270" s="98"/>
    </row>
    <row r="271" ht="14.25" customHeight="1">
      <c r="A271" s="179"/>
      <c r="B271" s="98"/>
      <c r="C271" s="98"/>
      <c r="D271" s="98"/>
      <c r="E271" s="98"/>
      <c r="F271" s="235"/>
      <c r="G271" s="235"/>
      <c r="H271" s="236"/>
      <c r="I271" s="236"/>
      <c r="J271" s="236"/>
      <c r="K271" s="236"/>
      <c r="L271" s="236"/>
      <c r="M271" s="236"/>
      <c r="N271" s="236"/>
      <c r="O271" s="236"/>
      <c r="P271" s="236"/>
      <c r="Q271" s="236"/>
      <c r="R271" s="236"/>
      <c r="S271" s="236"/>
      <c r="T271" s="236"/>
      <c r="U271" s="236"/>
      <c r="V271" s="236"/>
      <c r="W271" s="237"/>
      <c r="X271" s="237"/>
      <c r="Y271" s="237"/>
      <c r="Z271" s="237"/>
      <c r="AA271" s="237"/>
      <c r="AB271" s="237"/>
      <c r="AC271" s="237"/>
      <c r="AD271" s="237"/>
      <c r="AE271" s="237"/>
      <c r="AF271" s="237"/>
      <c r="AG271" s="237"/>
      <c r="AH271" s="237"/>
      <c r="AI271" s="308"/>
      <c r="AJ271" s="308"/>
      <c r="AK271" s="308"/>
      <c r="AL271" s="308"/>
      <c r="AM271" s="98"/>
      <c r="AN271" s="98"/>
    </row>
    <row r="272" ht="14.25" customHeight="1">
      <c r="A272" s="179"/>
      <c r="B272" s="98"/>
      <c r="C272" s="98"/>
      <c r="D272" s="98"/>
      <c r="E272" s="98"/>
      <c r="F272" s="235"/>
      <c r="G272" s="235"/>
      <c r="H272" s="236"/>
      <c r="I272" s="236"/>
      <c r="J272" s="236"/>
      <c r="K272" s="236"/>
      <c r="L272" s="236"/>
      <c r="M272" s="236"/>
      <c r="N272" s="236"/>
      <c r="O272" s="236"/>
      <c r="P272" s="236"/>
      <c r="Q272" s="236"/>
      <c r="R272" s="236"/>
      <c r="S272" s="236"/>
      <c r="T272" s="236"/>
      <c r="U272" s="236"/>
      <c r="V272" s="236"/>
      <c r="W272" s="237"/>
      <c r="X272" s="237"/>
      <c r="Y272" s="237"/>
      <c r="Z272" s="237"/>
      <c r="AA272" s="237"/>
      <c r="AB272" s="237"/>
      <c r="AC272" s="237"/>
      <c r="AD272" s="237"/>
      <c r="AE272" s="237"/>
      <c r="AF272" s="237"/>
      <c r="AG272" s="237"/>
      <c r="AH272" s="237"/>
      <c r="AI272" s="308"/>
      <c r="AJ272" s="308"/>
      <c r="AK272" s="308"/>
      <c r="AL272" s="308"/>
      <c r="AM272" s="98"/>
      <c r="AN272" s="98"/>
    </row>
    <row r="273" ht="14.25" customHeight="1">
      <c r="A273" s="179"/>
      <c r="B273" s="98"/>
      <c r="C273" s="98"/>
      <c r="D273" s="98"/>
      <c r="E273" s="98"/>
      <c r="F273" s="235"/>
      <c r="G273" s="235"/>
      <c r="H273" s="236"/>
      <c r="I273" s="236"/>
      <c r="J273" s="236"/>
      <c r="K273" s="236"/>
      <c r="L273" s="236"/>
      <c r="M273" s="236"/>
      <c r="N273" s="236"/>
      <c r="O273" s="236"/>
      <c r="P273" s="236"/>
      <c r="Q273" s="236"/>
      <c r="R273" s="236"/>
      <c r="S273" s="236"/>
      <c r="T273" s="236"/>
      <c r="U273" s="236"/>
      <c r="V273" s="236"/>
      <c r="W273" s="237"/>
      <c r="X273" s="237"/>
      <c r="Y273" s="237"/>
      <c r="Z273" s="237"/>
      <c r="AA273" s="237"/>
      <c r="AB273" s="237"/>
      <c r="AC273" s="237"/>
      <c r="AD273" s="237"/>
      <c r="AE273" s="237"/>
      <c r="AF273" s="237"/>
      <c r="AG273" s="237"/>
      <c r="AH273" s="237"/>
      <c r="AI273" s="308"/>
      <c r="AJ273" s="308"/>
      <c r="AK273" s="308"/>
      <c r="AL273" s="308"/>
      <c r="AM273" s="98"/>
      <c r="AN273" s="98"/>
    </row>
    <row r="274" ht="14.25" customHeight="1">
      <c r="A274" s="179"/>
      <c r="B274" s="98"/>
      <c r="C274" s="98"/>
      <c r="D274" s="98"/>
      <c r="E274" s="98"/>
      <c r="F274" s="235"/>
      <c r="G274" s="235"/>
      <c r="H274" s="236"/>
      <c r="I274" s="236"/>
      <c r="J274" s="236"/>
      <c r="K274" s="236"/>
      <c r="L274" s="236"/>
      <c r="M274" s="236"/>
      <c r="N274" s="236"/>
      <c r="O274" s="236"/>
      <c r="P274" s="236"/>
      <c r="Q274" s="236"/>
      <c r="R274" s="236"/>
      <c r="S274" s="236"/>
      <c r="T274" s="236"/>
      <c r="U274" s="236"/>
      <c r="V274" s="236"/>
      <c r="W274" s="237"/>
      <c r="X274" s="237"/>
      <c r="Y274" s="237"/>
      <c r="Z274" s="237"/>
      <c r="AA274" s="237"/>
      <c r="AB274" s="237"/>
      <c r="AC274" s="237"/>
      <c r="AD274" s="237"/>
      <c r="AE274" s="237"/>
      <c r="AF274" s="237"/>
      <c r="AG274" s="237"/>
      <c r="AH274" s="237"/>
      <c r="AI274" s="308"/>
      <c r="AJ274" s="308"/>
      <c r="AK274" s="308"/>
      <c r="AL274" s="308"/>
      <c r="AM274" s="98"/>
      <c r="AN274" s="98"/>
    </row>
    <row r="275" ht="14.25" customHeight="1">
      <c r="A275" s="179"/>
      <c r="B275" s="98"/>
      <c r="C275" s="98"/>
      <c r="D275" s="98"/>
      <c r="E275" s="98"/>
      <c r="F275" s="235"/>
      <c r="G275" s="235"/>
      <c r="H275" s="236"/>
      <c r="I275" s="236"/>
      <c r="J275" s="236"/>
      <c r="K275" s="236"/>
      <c r="L275" s="236"/>
      <c r="M275" s="236"/>
      <c r="N275" s="236"/>
      <c r="O275" s="236"/>
      <c r="P275" s="236"/>
      <c r="Q275" s="236"/>
      <c r="R275" s="236"/>
      <c r="S275" s="236"/>
      <c r="T275" s="236"/>
      <c r="U275" s="236"/>
      <c r="V275" s="236"/>
      <c r="W275" s="237"/>
      <c r="X275" s="237"/>
      <c r="Y275" s="237"/>
      <c r="Z275" s="237"/>
      <c r="AA275" s="237"/>
      <c r="AB275" s="237"/>
      <c r="AC275" s="237"/>
      <c r="AD275" s="237"/>
      <c r="AE275" s="237"/>
      <c r="AF275" s="237"/>
      <c r="AG275" s="237"/>
      <c r="AH275" s="237"/>
      <c r="AI275" s="308"/>
      <c r="AJ275" s="308"/>
      <c r="AK275" s="308"/>
      <c r="AL275" s="308"/>
      <c r="AM275" s="98"/>
      <c r="AN275" s="98"/>
    </row>
    <row r="276" ht="14.25" customHeight="1">
      <c r="A276" s="179"/>
      <c r="B276" s="98"/>
      <c r="C276" s="98"/>
      <c r="D276" s="98"/>
      <c r="E276" s="98"/>
      <c r="F276" s="235"/>
      <c r="G276" s="235"/>
      <c r="H276" s="236"/>
      <c r="I276" s="236"/>
      <c r="J276" s="236"/>
      <c r="K276" s="236"/>
      <c r="L276" s="236"/>
      <c r="M276" s="236"/>
      <c r="N276" s="236"/>
      <c r="O276" s="236"/>
      <c r="P276" s="236"/>
      <c r="Q276" s="236"/>
      <c r="R276" s="236"/>
      <c r="S276" s="236"/>
      <c r="T276" s="236"/>
      <c r="U276" s="236"/>
      <c r="V276" s="236"/>
      <c r="W276" s="237"/>
      <c r="X276" s="237"/>
      <c r="Y276" s="237"/>
      <c r="Z276" s="237"/>
      <c r="AA276" s="237"/>
      <c r="AB276" s="237"/>
      <c r="AC276" s="237"/>
      <c r="AD276" s="237"/>
      <c r="AE276" s="237"/>
      <c r="AF276" s="237"/>
      <c r="AG276" s="237"/>
      <c r="AH276" s="237"/>
      <c r="AI276" s="308"/>
      <c r="AJ276" s="308"/>
      <c r="AK276" s="308"/>
      <c r="AL276" s="308"/>
      <c r="AM276" s="98"/>
      <c r="AN276" s="98"/>
    </row>
    <row r="277" ht="14.25" customHeight="1">
      <c r="A277" s="179"/>
      <c r="B277" s="98"/>
      <c r="C277" s="98"/>
      <c r="D277" s="98"/>
      <c r="E277" s="98"/>
      <c r="F277" s="235"/>
      <c r="G277" s="235"/>
      <c r="H277" s="236"/>
      <c r="I277" s="236"/>
      <c r="J277" s="236"/>
      <c r="K277" s="236"/>
      <c r="L277" s="236"/>
      <c r="M277" s="236"/>
      <c r="N277" s="236"/>
      <c r="O277" s="236"/>
      <c r="P277" s="236"/>
      <c r="Q277" s="236"/>
      <c r="R277" s="236"/>
      <c r="S277" s="236"/>
      <c r="T277" s="236"/>
      <c r="U277" s="236"/>
      <c r="V277" s="236"/>
      <c r="W277" s="237"/>
      <c r="X277" s="237"/>
      <c r="Y277" s="237"/>
      <c r="Z277" s="237"/>
      <c r="AA277" s="237"/>
      <c r="AB277" s="237"/>
      <c r="AC277" s="237"/>
      <c r="AD277" s="237"/>
      <c r="AE277" s="237"/>
      <c r="AF277" s="237"/>
      <c r="AG277" s="237"/>
      <c r="AH277" s="237"/>
      <c r="AI277" s="308"/>
      <c r="AJ277" s="308"/>
      <c r="AK277" s="308"/>
      <c r="AL277" s="308"/>
      <c r="AM277" s="98"/>
      <c r="AN277" s="98"/>
    </row>
    <row r="278" ht="14.25" customHeight="1">
      <c r="A278" s="179"/>
      <c r="B278" s="98"/>
      <c r="C278" s="98"/>
      <c r="D278" s="98"/>
      <c r="E278" s="98"/>
      <c r="F278" s="235"/>
      <c r="G278" s="235"/>
      <c r="H278" s="236"/>
      <c r="I278" s="236"/>
      <c r="J278" s="236"/>
      <c r="K278" s="236"/>
      <c r="L278" s="236"/>
      <c r="M278" s="236"/>
      <c r="N278" s="236"/>
      <c r="O278" s="236"/>
      <c r="P278" s="236"/>
      <c r="Q278" s="236"/>
      <c r="R278" s="236"/>
      <c r="S278" s="236"/>
      <c r="T278" s="236"/>
      <c r="U278" s="236"/>
      <c r="V278" s="236"/>
      <c r="W278" s="237"/>
      <c r="X278" s="237"/>
      <c r="Y278" s="237"/>
      <c r="Z278" s="237"/>
      <c r="AA278" s="237"/>
      <c r="AB278" s="237"/>
      <c r="AC278" s="237"/>
      <c r="AD278" s="237"/>
      <c r="AE278" s="237"/>
      <c r="AF278" s="237"/>
      <c r="AG278" s="237"/>
      <c r="AH278" s="237"/>
      <c r="AI278" s="308"/>
      <c r="AJ278" s="308"/>
      <c r="AK278" s="308"/>
      <c r="AL278" s="308"/>
      <c r="AM278" s="98"/>
      <c r="AN278" s="98"/>
    </row>
    <row r="279" ht="14.25" customHeight="1">
      <c r="A279" s="179"/>
      <c r="B279" s="98"/>
      <c r="C279" s="98"/>
      <c r="D279" s="98"/>
      <c r="E279" s="98"/>
      <c r="F279" s="235"/>
      <c r="G279" s="235"/>
      <c r="H279" s="236"/>
      <c r="I279" s="236"/>
      <c r="J279" s="236"/>
      <c r="K279" s="236"/>
      <c r="L279" s="236"/>
      <c r="M279" s="236"/>
      <c r="N279" s="236"/>
      <c r="O279" s="236"/>
      <c r="P279" s="236"/>
      <c r="Q279" s="236"/>
      <c r="R279" s="236"/>
      <c r="S279" s="236"/>
      <c r="T279" s="236"/>
      <c r="U279" s="236"/>
      <c r="V279" s="236"/>
      <c r="W279" s="237"/>
      <c r="X279" s="237"/>
      <c r="Y279" s="237"/>
      <c r="Z279" s="237"/>
      <c r="AA279" s="237"/>
      <c r="AB279" s="237"/>
      <c r="AC279" s="237"/>
      <c r="AD279" s="237"/>
      <c r="AE279" s="237"/>
      <c r="AF279" s="237"/>
      <c r="AG279" s="237"/>
      <c r="AH279" s="237"/>
      <c r="AI279" s="308"/>
      <c r="AJ279" s="308"/>
      <c r="AK279" s="308"/>
      <c r="AL279" s="308"/>
      <c r="AM279" s="98"/>
      <c r="AN279" s="98"/>
    </row>
    <row r="280" ht="14.25" customHeight="1">
      <c r="A280" s="179"/>
      <c r="B280" s="98"/>
      <c r="C280" s="98"/>
      <c r="D280" s="98"/>
      <c r="E280" s="98"/>
      <c r="F280" s="235"/>
      <c r="G280" s="235"/>
      <c r="H280" s="236"/>
      <c r="I280" s="236"/>
      <c r="J280" s="236"/>
      <c r="K280" s="236"/>
      <c r="L280" s="236"/>
      <c r="M280" s="236"/>
      <c r="N280" s="236"/>
      <c r="O280" s="236"/>
      <c r="P280" s="236"/>
      <c r="Q280" s="236"/>
      <c r="R280" s="236"/>
      <c r="S280" s="236"/>
      <c r="T280" s="236"/>
      <c r="U280" s="236"/>
      <c r="V280" s="236"/>
      <c r="W280" s="237"/>
      <c r="X280" s="237"/>
      <c r="Y280" s="237"/>
      <c r="Z280" s="237"/>
      <c r="AA280" s="237"/>
      <c r="AB280" s="237"/>
      <c r="AC280" s="237"/>
      <c r="AD280" s="237"/>
      <c r="AE280" s="237"/>
      <c r="AF280" s="237"/>
      <c r="AG280" s="237"/>
      <c r="AH280" s="237"/>
      <c r="AI280" s="308"/>
      <c r="AJ280" s="308"/>
      <c r="AK280" s="308"/>
      <c r="AL280" s="308"/>
      <c r="AM280" s="98"/>
      <c r="AN280" s="98"/>
    </row>
    <row r="281" ht="14.25" customHeight="1">
      <c r="A281" s="179"/>
      <c r="B281" s="98"/>
      <c r="C281" s="98"/>
      <c r="D281" s="98"/>
      <c r="E281" s="98"/>
      <c r="F281" s="235"/>
      <c r="G281" s="235"/>
      <c r="H281" s="236"/>
      <c r="I281" s="236"/>
      <c r="J281" s="236"/>
      <c r="K281" s="236"/>
      <c r="L281" s="236"/>
      <c r="M281" s="236"/>
      <c r="N281" s="236"/>
      <c r="O281" s="236"/>
      <c r="P281" s="236"/>
      <c r="Q281" s="236"/>
      <c r="R281" s="236"/>
      <c r="S281" s="236"/>
      <c r="T281" s="236"/>
      <c r="U281" s="236"/>
      <c r="V281" s="236"/>
      <c r="W281" s="237"/>
      <c r="X281" s="237"/>
      <c r="Y281" s="237"/>
      <c r="Z281" s="237"/>
      <c r="AA281" s="237"/>
      <c r="AB281" s="237"/>
      <c r="AC281" s="237"/>
      <c r="AD281" s="237"/>
      <c r="AE281" s="237"/>
      <c r="AF281" s="237"/>
      <c r="AG281" s="237"/>
      <c r="AH281" s="237"/>
      <c r="AI281" s="308"/>
      <c r="AJ281" s="308"/>
      <c r="AK281" s="308"/>
      <c r="AL281" s="308"/>
      <c r="AM281" s="98"/>
      <c r="AN281" s="98"/>
    </row>
    <row r="282" ht="14.25" customHeight="1">
      <c r="A282" s="179"/>
      <c r="B282" s="98"/>
      <c r="C282" s="98"/>
      <c r="D282" s="98"/>
      <c r="E282" s="98"/>
      <c r="F282" s="235"/>
      <c r="G282" s="235"/>
      <c r="H282" s="236"/>
      <c r="I282" s="236"/>
      <c r="J282" s="236"/>
      <c r="K282" s="236"/>
      <c r="L282" s="236"/>
      <c r="M282" s="236"/>
      <c r="N282" s="236"/>
      <c r="O282" s="236"/>
      <c r="P282" s="236"/>
      <c r="Q282" s="236"/>
      <c r="R282" s="236"/>
      <c r="S282" s="236"/>
      <c r="T282" s="236"/>
      <c r="U282" s="236"/>
      <c r="V282" s="236"/>
      <c r="W282" s="237"/>
      <c r="X282" s="237"/>
      <c r="Y282" s="237"/>
      <c r="Z282" s="237"/>
      <c r="AA282" s="237"/>
      <c r="AB282" s="237"/>
      <c r="AC282" s="237"/>
      <c r="AD282" s="237"/>
      <c r="AE282" s="237"/>
      <c r="AF282" s="237"/>
      <c r="AG282" s="237"/>
      <c r="AH282" s="237"/>
      <c r="AI282" s="308"/>
      <c r="AJ282" s="308"/>
      <c r="AK282" s="308"/>
      <c r="AL282" s="308"/>
      <c r="AM282" s="98"/>
      <c r="AN282" s="98"/>
    </row>
    <row r="283" ht="14.25" customHeight="1">
      <c r="A283" s="179"/>
      <c r="B283" s="98"/>
      <c r="C283" s="98"/>
      <c r="D283" s="98"/>
      <c r="E283" s="98"/>
      <c r="F283" s="235"/>
      <c r="G283" s="235"/>
      <c r="H283" s="236"/>
      <c r="I283" s="236"/>
      <c r="J283" s="236"/>
      <c r="K283" s="236"/>
      <c r="L283" s="236"/>
      <c r="M283" s="236"/>
      <c r="N283" s="236"/>
      <c r="O283" s="236"/>
      <c r="P283" s="236"/>
      <c r="Q283" s="236"/>
      <c r="R283" s="236"/>
      <c r="S283" s="236"/>
      <c r="T283" s="236"/>
      <c r="U283" s="236"/>
      <c r="V283" s="236"/>
      <c r="W283" s="237"/>
      <c r="X283" s="237"/>
      <c r="Y283" s="237"/>
      <c r="Z283" s="237"/>
      <c r="AA283" s="237"/>
      <c r="AB283" s="237"/>
      <c r="AC283" s="237"/>
      <c r="AD283" s="237"/>
      <c r="AE283" s="237"/>
      <c r="AF283" s="237"/>
      <c r="AG283" s="237"/>
      <c r="AH283" s="237"/>
      <c r="AI283" s="308"/>
      <c r="AJ283" s="308"/>
      <c r="AK283" s="308"/>
      <c r="AL283" s="308"/>
      <c r="AM283" s="98"/>
      <c r="AN283" s="98"/>
    </row>
    <row r="284" ht="14.25" customHeight="1">
      <c r="A284" s="179"/>
      <c r="B284" s="98"/>
      <c r="C284" s="98"/>
      <c r="D284" s="98"/>
      <c r="E284" s="98"/>
      <c r="F284" s="235"/>
      <c r="G284" s="235"/>
      <c r="H284" s="236"/>
      <c r="I284" s="236"/>
      <c r="J284" s="236"/>
      <c r="K284" s="236"/>
      <c r="L284" s="236"/>
      <c r="M284" s="236"/>
      <c r="N284" s="236"/>
      <c r="O284" s="236"/>
      <c r="P284" s="236"/>
      <c r="Q284" s="236"/>
      <c r="R284" s="236"/>
      <c r="S284" s="236"/>
      <c r="T284" s="236"/>
      <c r="U284" s="236"/>
      <c r="V284" s="236"/>
      <c r="W284" s="237"/>
      <c r="X284" s="237"/>
      <c r="Y284" s="237"/>
      <c r="Z284" s="237"/>
      <c r="AA284" s="237"/>
      <c r="AB284" s="237"/>
      <c r="AC284" s="237"/>
      <c r="AD284" s="237"/>
      <c r="AE284" s="237"/>
      <c r="AF284" s="237"/>
      <c r="AG284" s="237"/>
      <c r="AH284" s="237"/>
      <c r="AI284" s="308"/>
      <c r="AJ284" s="308"/>
      <c r="AK284" s="308"/>
      <c r="AL284" s="308"/>
      <c r="AM284" s="98"/>
      <c r="AN284" s="98"/>
    </row>
    <row r="285" ht="14.25" customHeight="1">
      <c r="A285" s="179"/>
      <c r="B285" s="98"/>
      <c r="C285" s="98"/>
      <c r="D285" s="98"/>
      <c r="E285" s="98"/>
      <c r="F285" s="235"/>
      <c r="G285" s="235"/>
      <c r="H285" s="236"/>
      <c r="I285" s="236"/>
      <c r="J285" s="236"/>
      <c r="K285" s="236"/>
      <c r="L285" s="236"/>
      <c r="M285" s="236"/>
      <c r="N285" s="236"/>
      <c r="O285" s="236"/>
      <c r="P285" s="236"/>
      <c r="Q285" s="236"/>
      <c r="R285" s="236"/>
      <c r="S285" s="236"/>
      <c r="T285" s="236"/>
      <c r="U285" s="236"/>
      <c r="V285" s="236"/>
      <c r="W285" s="237"/>
      <c r="X285" s="237"/>
      <c r="Y285" s="237"/>
      <c r="Z285" s="237"/>
      <c r="AA285" s="237"/>
      <c r="AB285" s="237"/>
      <c r="AC285" s="237"/>
      <c r="AD285" s="237"/>
      <c r="AE285" s="237"/>
      <c r="AF285" s="237"/>
      <c r="AG285" s="237"/>
      <c r="AH285" s="237"/>
      <c r="AI285" s="308"/>
      <c r="AJ285" s="308"/>
      <c r="AK285" s="308"/>
      <c r="AL285" s="308"/>
      <c r="AM285" s="98"/>
      <c r="AN285" s="98"/>
    </row>
    <row r="286" ht="14.25" customHeight="1">
      <c r="A286" s="179"/>
      <c r="B286" s="98"/>
      <c r="C286" s="98"/>
      <c r="D286" s="98"/>
      <c r="E286" s="98"/>
      <c r="F286" s="235"/>
      <c r="G286" s="235"/>
      <c r="H286" s="236"/>
      <c r="I286" s="236"/>
      <c r="J286" s="236"/>
      <c r="K286" s="236"/>
      <c r="L286" s="236"/>
      <c r="M286" s="236"/>
      <c r="N286" s="236"/>
      <c r="O286" s="236"/>
      <c r="P286" s="236"/>
      <c r="Q286" s="236"/>
      <c r="R286" s="236"/>
      <c r="S286" s="236"/>
      <c r="T286" s="236"/>
      <c r="U286" s="236"/>
      <c r="V286" s="236"/>
      <c r="W286" s="237"/>
      <c r="X286" s="237"/>
      <c r="Y286" s="237"/>
      <c r="Z286" s="237"/>
      <c r="AA286" s="237"/>
      <c r="AB286" s="237"/>
      <c r="AC286" s="237"/>
      <c r="AD286" s="237"/>
      <c r="AE286" s="237"/>
      <c r="AF286" s="237"/>
      <c r="AG286" s="237"/>
      <c r="AH286" s="237"/>
      <c r="AI286" s="308"/>
      <c r="AJ286" s="308"/>
      <c r="AK286" s="308"/>
      <c r="AL286" s="308"/>
      <c r="AM286" s="98"/>
      <c r="AN286" s="98"/>
    </row>
    <row r="287" ht="14.25" customHeight="1">
      <c r="A287" s="179"/>
      <c r="B287" s="98"/>
      <c r="C287" s="98"/>
      <c r="D287" s="98"/>
      <c r="E287" s="98"/>
      <c r="F287" s="235"/>
      <c r="G287" s="235"/>
      <c r="H287" s="236"/>
      <c r="I287" s="236"/>
      <c r="J287" s="236"/>
      <c r="K287" s="236"/>
      <c r="L287" s="236"/>
      <c r="M287" s="236"/>
      <c r="N287" s="236"/>
      <c r="O287" s="236"/>
      <c r="P287" s="236"/>
      <c r="Q287" s="236"/>
      <c r="R287" s="236"/>
      <c r="S287" s="236"/>
      <c r="T287" s="236"/>
      <c r="U287" s="236"/>
      <c r="V287" s="236"/>
      <c r="W287" s="237"/>
      <c r="X287" s="237"/>
      <c r="Y287" s="237"/>
      <c r="Z287" s="237"/>
      <c r="AA287" s="237"/>
      <c r="AB287" s="237"/>
      <c r="AC287" s="237"/>
      <c r="AD287" s="237"/>
      <c r="AE287" s="237"/>
      <c r="AF287" s="237"/>
      <c r="AG287" s="237"/>
      <c r="AH287" s="237"/>
      <c r="AI287" s="308"/>
      <c r="AJ287" s="308"/>
      <c r="AK287" s="308"/>
      <c r="AL287" s="308"/>
      <c r="AM287" s="98"/>
      <c r="AN287" s="98"/>
    </row>
    <row r="288" ht="14.25" customHeight="1">
      <c r="A288" s="179"/>
      <c r="B288" s="98"/>
      <c r="C288" s="98"/>
      <c r="D288" s="98"/>
      <c r="E288" s="98"/>
      <c r="F288" s="235"/>
      <c r="G288" s="235"/>
      <c r="H288" s="236"/>
      <c r="I288" s="236"/>
      <c r="J288" s="236"/>
      <c r="K288" s="236"/>
      <c r="L288" s="236"/>
      <c r="M288" s="236"/>
      <c r="N288" s="236"/>
      <c r="O288" s="236"/>
      <c r="P288" s="236"/>
      <c r="Q288" s="236"/>
      <c r="R288" s="236"/>
      <c r="S288" s="236"/>
      <c r="T288" s="236"/>
      <c r="U288" s="236"/>
      <c r="V288" s="236"/>
      <c r="W288" s="237"/>
      <c r="X288" s="237"/>
      <c r="Y288" s="237"/>
      <c r="Z288" s="237"/>
      <c r="AA288" s="237"/>
      <c r="AB288" s="237"/>
      <c r="AC288" s="237"/>
      <c r="AD288" s="237"/>
      <c r="AE288" s="237"/>
      <c r="AF288" s="237"/>
      <c r="AG288" s="237"/>
      <c r="AH288" s="237"/>
      <c r="AI288" s="308"/>
      <c r="AJ288" s="308"/>
      <c r="AK288" s="308"/>
      <c r="AL288" s="308"/>
      <c r="AM288" s="98"/>
      <c r="AN288" s="98"/>
    </row>
    <row r="289" ht="14.25" customHeight="1">
      <c r="A289" s="179"/>
      <c r="B289" s="98"/>
      <c r="C289" s="98"/>
      <c r="D289" s="98"/>
      <c r="E289" s="98"/>
      <c r="F289" s="235"/>
      <c r="G289" s="235"/>
      <c r="H289" s="236"/>
      <c r="I289" s="236"/>
      <c r="J289" s="236"/>
      <c r="K289" s="236"/>
      <c r="L289" s="236"/>
      <c r="M289" s="236"/>
      <c r="N289" s="236"/>
      <c r="O289" s="236"/>
      <c r="P289" s="236"/>
      <c r="Q289" s="236"/>
      <c r="R289" s="236"/>
      <c r="S289" s="236"/>
      <c r="T289" s="236"/>
      <c r="U289" s="236"/>
      <c r="V289" s="236"/>
      <c r="W289" s="237"/>
      <c r="X289" s="237"/>
      <c r="Y289" s="237"/>
      <c r="Z289" s="237"/>
      <c r="AA289" s="237"/>
      <c r="AB289" s="237"/>
      <c r="AC289" s="237"/>
      <c r="AD289" s="237"/>
      <c r="AE289" s="237"/>
      <c r="AF289" s="237"/>
      <c r="AG289" s="237"/>
      <c r="AH289" s="237"/>
      <c r="AI289" s="308"/>
      <c r="AJ289" s="308"/>
      <c r="AK289" s="308"/>
      <c r="AL289" s="308"/>
      <c r="AM289" s="98"/>
      <c r="AN289" s="98"/>
    </row>
    <row r="290" ht="14.25" customHeight="1">
      <c r="A290" s="179"/>
      <c r="B290" s="98"/>
      <c r="C290" s="98"/>
      <c r="D290" s="98"/>
      <c r="E290" s="98"/>
      <c r="F290" s="235"/>
      <c r="G290" s="235"/>
      <c r="H290" s="236"/>
      <c r="I290" s="236"/>
      <c r="J290" s="236"/>
      <c r="K290" s="236"/>
      <c r="L290" s="236"/>
      <c r="M290" s="236"/>
      <c r="N290" s="236"/>
      <c r="O290" s="236"/>
      <c r="P290" s="236"/>
      <c r="Q290" s="236"/>
      <c r="R290" s="236"/>
      <c r="S290" s="236"/>
      <c r="T290" s="236"/>
      <c r="U290" s="236"/>
      <c r="V290" s="236"/>
      <c r="W290" s="237"/>
      <c r="X290" s="237"/>
      <c r="Y290" s="237"/>
      <c r="Z290" s="237"/>
      <c r="AA290" s="237"/>
      <c r="AB290" s="237"/>
      <c r="AC290" s="237"/>
      <c r="AD290" s="237"/>
      <c r="AE290" s="237"/>
      <c r="AF290" s="237"/>
      <c r="AG290" s="237"/>
      <c r="AH290" s="237"/>
      <c r="AI290" s="308"/>
      <c r="AJ290" s="308"/>
      <c r="AK290" s="308"/>
      <c r="AL290" s="308"/>
      <c r="AM290" s="98"/>
      <c r="AN290" s="98"/>
    </row>
    <row r="291" ht="14.25" customHeight="1">
      <c r="A291" s="179"/>
      <c r="B291" s="98"/>
      <c r="C291" s="98"/>
      <c r="D291" s="98"/>
      <c r="E291" s="98"/>
      <c r="F291" s="235"/>
      <c r="G291" s="235"/>
      <c r="H291" s="236"/>
      <c r="I291" s="236"/>
      <c r="J291" s="236"/>
      <c r="K291" s="236"/>
      <c r="L291" s="236"/>
      <c r="M291" s="236"/>
      <c r="N291" s="236"/>
      <c r="O291" s="236"/>
      <c r="P291" s="236"/>
      <c r="Q291" s="236"/>
      <c r="R291" s="236"/>
      <c r="S291" s="236"/>
      <c r="T291" s="236"/>
      <c r="U291" s="236"/>
      <c r="V291" s="236"/>
      <c r="W291" s="237"/>
      <c r="X291" s="237"/>
      <c r="Y291" s="237"/>
      <c r="Z291" s="237"/>
      <c r="AA291" s="237"/>
      <c r="AB291" s="237"/>
      <c r="AC291" s="237"/>
      <c r="AD291" s="237"/>
      <c r="AE291" s="237"/>
      <c r="AF291" s="237"/>
      <c r="AG291" s="237"/>
      <c r="AH291" s="237"/>
      <c r="AI291" s="308"/>
      <c r="AJ291" s="308"/>
      <c r="AK291" s="308"/>
      <c r="AL291" s="308"/>
      <c r="AM291" s="98"/>
      <c r="AN291" s="98"/>
    </row>
    <row r="292" ht="14.25" customHeight="1">
      <c r="A292" s="179"/>
      <c r="B292" s="98"/>
      <c r="C292" s="98"/>
      <c r="D292" s="98"/>
      <c r="E292" s="98"/>
      <c r="F292" s="235"/>
      <c r="G292" s="235"/>
      <c r="H292" s="236"/>
      <c r="I292" s="236"/>
      <c r="J292" s="236"/>
      <c r="K292" s="236"/>
      <c r="L292" s="236"/>
      <c r="M292" s="236"/>
      <c r="N292" s="236"/>
      <c r="O292" s="236"/>
      <c r="P292" s="236"/>
      <c r="Q292" s="236"/>
      <c r="R292" s="236"/>
      <c r="S292" s="236"/>
      <c r="T292" s="236"/>
      <c r="U292" s="236"/>
      <c r="V292" s="236"/>
      <c r="W292" s="237"/>
      <c r="X292" s="237"/>
      <c r="Y292" s="237"/>
      <c r="Z292" s="237"/>
      <c r="AA292" s="237"/>
      <c r="AB292" s="237"/>
      <c r="AC292" s="237"/>
      <c r="AD292" s="237"/>
      <c r="AE292" s="237"/>
      <c r="AF292" s="237"/>
      <c r="AG292" s="237"/>
      <c r="AH292" s="237"/>
      <c r="AI292" s="308"/>
      <c r="AJ292" s="308"/>
      <c r="AK292" s="308"/>
      <c r="AL292" s="308"/>
      <c r="AM292" s="98"/>
      <c r="AN292" s="98"/>
    </row>
    <row r="293" ht="14.25" customHeight="1">
      <c r="A293" s="179"/>
      <c r="B293" s="98"/>
      <c r="C293" s="98"/>
      <c r="D293" s="98"/>
      <c r="E293" s="98"/>
      <c r="F293" s="235"/>
      <c r="G293" s="235"/>
      <c r="H293" s="236"/>
      <c r="I293" s="236"/>
      <c r="J293" s="236"/>
      <c r="K293" s="236"/>
      <c r="L293" s="236"/>
      <c r="M293" s="236"/>
      <c r="N293" s="236"/>
      <c r="O293" s="236"/>
      <c r="P293" s="236"/>
      <c r="Q293" s="236"/>
      <c r="R293" s="236"/>
      <c r="S293" s="236"/>
      <c r="T293" s="236"/>
      <c r="U293" s="236"/>
      <c r="V293" s="236"/>
      <c r="W293" s="237"/>
      <c r="X293" s="237"/>
      <c r="Y293" s="237"/>
      <c r="Z293" s="237"/>
      <c r="AA293" s="237"/>
      <c r="AB293" s="237"/>
      <c r="AC293" s="237"/>
      <c r="AD293" s="237"/>
      <c r="AE293" s="237"/>
      <c r="AF293" s="237"/>
      <c r="AG293" s="237"/>
      <c r="AH293" s="237"/>
      <c r="AI293" s="308"/>
      <c r="AJ293" s="308"/>
      <c r="AK293" s="308"/>
      <c r="AL293" s="308"/>
      <c r="AM293" s="98"/>
      <c r="AN293" s="98"/>
    </row>
    <row r="294" ht="14.25" customHeight="1">
      <c r="A294" s="179"/>
      <c r="B294" s="98"/>
      <c r="C294" s="98"/>
      <c r="D294" s="98"/>
      <c r="E294" s="98"/>
      <c r="F294" s="235"/>
      <c r="G294" s="235"/>
      <c r="H294" s="236"/>
      <c r="I294" s="236"/>
      <c r="J294" s="236"/>
      <c r="K294" s="236"/>
      <c r="L294" s="236"/>
      <c r="M294" s="236"/>
      <c r="N294" s="236"/>
      <c r="O294" s="236"/>
      <c r="P294" s="236"/>
      <c r="Q294" s="236"/>
      <c r="R294" s="236"/>
      <c r="S294" s="236"/>
      <c r="T294" s="236"/>
      <c r="U294" s="236"/>
      <c r="V294" s="236"/>
      <c r="W294" s="237"/>
      <c r="X294" s="237"/>
      <c r="Y294" s="237"/>
      <c r="Z294" s="237"/>
      <c r="AA294" s="237"/>
      <c r="AB294" s="237"/>
      <c r="AC294" s="237"/>
      <c r="AD294" s="237"/>
      <c r="AE294" s="237"/>
      <c r="AF294" s="237"/>
      <c r="AG294" s="237"/>
      <c r="AH294" s="237"/>
      <c r="AI294" s="308"/>
      <c r="AJ294" s="308"/>
      <c r="AK294" s="308"/>
      <c r="AL294" s="308"/>
      <c r="AM294" s="98"/>
      <c r="AN294" s="98"/>
    </row>
    <row r="295" ht="14.25" customHeight="1">
      <c r="A295" s="179"/>
      <c r="B295" s="98"/>
      <c r="C295" s="98"/>
      <c r="D295" s="98"/>
      <c r="E295" s="98"/>
      <c r="F295" s="235"/>
      <c r="G295" s="235"/>
      <c r="H295" s="236"/>
      <c r="I295" s="236"/>
      <c r="J295" s="236"/>
      <c r="K295" s="236"/>
      <c r="L295" s="236"/>
      <c r="M295" s="236"/>
      <c r="N295" s="236"/>
      <c r="O295" s="236"/>
      <c r="P295" s="236"/>
      <c r="Q295" s="236"/>
      <c r="R295" s="236"/>
      <c r="S295" s="236"/>
      <c r="T295" s="236"/>
      <c r="U295" s="236"/>
      <c r="V295" s="236"/>
      <c r="W295" s="237"/>
      <c r="X295" s="237"/>
      <c r="Y295" s="237"/>
      <c r="Z295" s="237"/>
      <c r="AA295" s="237"/>
      <c r="AB295" s="237"/>
      <c r="AC295" s="237"/>
      <c r="AD295" s="237"/>
      <c r="AE295" s="237"/>
      <c r="AF295" s="237"/>
      <c r="AG295" s="237"/>
      <c r="AH295" s="237"/>
      <c r="AI295" s="308"/>
      <c r="AJ295" s="308"/>
      <c r="AK295" s="308"/>
      <c r="AL295" s="308"/>
      <c r="AM295" s="98"/>
      <c r="AN295" s="98"/>
    </row>
    <row r="296" ht="14.25" customHeight="1">
      <c r="A296" s="179"/>
      <c r="B296" s="98"/>
      <c r="C296" s="98"/>
      <c r="D296" s="98"/>
      <c r="E296" s="98"/>
      <c r="F296" s="235"/>
      <c r="G296" s="235"/>
      <c r="H296" s="236"/>
      <c r="I296" s="236"/>
      <c r="J296" s="236"/>
      <c r="K296" s="236"/>
      <c r="L296" s="236"/>
      <c r="M296" s="236"/>
      <c r="N296" s="236"/>
      <c r="O296" s="236"/>
      <c r="P296" s="236"/>
      <c r="Q296" s="236"/>
      <c r="R296" s="236"/>
      <c r="S296" s="236"/>
      <c r="T296" s="236"/>
      <c r="U296" s="236"/>
      <c r="V296" s="236"/>
      <c r="W296" s="237"/>
      <c r="X296" s="237"/>
      <c r="Y296" s="237"/>
      <c r="Z296" s="237"/>
      <c r="AA296" s="237"/>
      <c r="AB296" s="237"/>
      <c r="AC296" s="237"/>
      <c r="AD296" s="237"/>
      <c r="AE296" s="237"/>
      <c r="AF296" s="237"/>
      <c r="AG296" s="237"/>
      <c r="AH296" s="237"/>
      <c r="AI296" s="308"/>
      <c r="AJ296" s="308"/>
      <c r="AK296" s="308"/>
      <c r="AL296" s="308"/>
      <c r="AM296" s="98"/>
      <c r="AN296" s="98"/>
    </row>
    <row r="297" ht="14.25" customHeight="1">
      <c r="A297" s="179"/>
      <c r="B297" s="98"/>
      <c r="C297" s="98"/>
      <c r="D297" s="98"/>
      <c r="E297" s="98"/>
      <c r="F297" s="235"/>
      <c r="G297" s="235"/>
      <c r="H297" s="236"/>
      <c r="I297" s="236"/>
      <c r="J297" s="236"/>
      <c r="K297" s="236"/>
      <c r="L297" s="236"/>
      <c r="M297" s="236"/>
      <c r="N297" s="236"/>
      <c r="O297" s="236"/>
      <c r="P297" s="236"/>
      <c r="Q297" s="236"/>
      <c r="R297" s="236"/>
      <c r="S297" s="236"/>
      <c r="T297" s="236"/>
      <c r="U297" s="236"/>
      <c r="V297" s="236"/>
      <c r="W297" s="237"/>
      <c r="X297" s="237"/>
      <c r="Y297" s="237"/>
      <c r="Z297" s="237"/>
      <c r="AA297" s="237"/>
      <c r="AB297" s="237"/>
      <c r="AC297" s="237"/>
      <c r="AD297" s="237"/>
      <c r="AE297" s="237"/>
      <c r="AF297" s="237"/>
      <c r="AG297" s="237"/>
      <c r="AH297" s="237"/>
      <c r="AI297" s="308"/>
      <c r="AJ297" s="308"/>
      <c r="AK297" s="308"/>
      <c r="AL297" s="308"/>
      <c r="AM297" s="98"/>
      <c r="AN297" s="98"/>
    </row>
    <row r="298" ht="14.25" customHeight="1">
      <c r="A298" s="179"/>
      <c r="B298" s="98"/>
      <c r="C298" s="98"/>
      <c r="D298" s="98"/>
      <c r="E298" s="98"/>
      <c r="F298" s="235"/>
      <c r="G298" s="235"/>
      <c r="H298" s="236"/>
      <c r="I298" s="236"/>
      <c r="J298" s="236"/>
      <c r="K298" s="236"/>
      <c r="L298" s="236"/>
      <c r="M298" s="236"/>
      <c r="N298" s="236"/>
      <c r="O298" s="236"/>
      <c r="P298" s="236"/>
      <c r="Q298" s="236"/>
      <c r="R298" s="236"/>
      <c r="S298" s="236"/>
      <c r="T298" s="236"/>
      <c r="U298" s="236"/>
      <c r="V298" s="236"/>
      <c r="W298" s="237"/>
      <c r="X298" s="237"/>
      <c r="Y298" s="237"/>
      <c r="Z298" s="237"/>
      <c r="AA298" s="237"/>
      <c r="AB298" s="237"/>
      <c r="AC298" s="237"/>
      <c r="AD298" s="237"/>
      <c r="AE298" s="237"/>
      <c r="AF298" s="237"/>
      <c r="AG298" s="237"/>
      <c r="AH298" s="237"/>
      <c r="AI298" s="308"/>
      <c r="AJ298" s="308"/>
      <c r="AK298" s="308"/>
      <c r="AL298" s="308"/>
      <c r="AM298" s="98"/>
      <c r="AN298" s="98"/>
    </row>
    <row r="299" ht="14.25" customHeight="1">
      <c r="A299" s="179"/>
      <c r="B299" s="98"/>
      <c r="C299" s="98"/>
      <c r="D299" s="98"/>
      <c r="E299" s="98"/>
      <c r="F299" s="235"/>
      <c r="G299" s="235"/>
      <c r="H299" s="236"/>
      <c r="I299" s="236"/>
      <c r="J299" s="236"/>
      <c r="K299" s="236"/>
      <c r="L299" s="236"/>
      <c r="M299" s="236"/>
      <c r="N299" s="236"/>
      <c r="O299" s="236"/>
      <c r="P299" s="236"/>
      <c r="Q299" s="236"/>
      <c r="R299" s="236"/>
      <c r="S299" s="236"/>
      <c r="T299" s="236"/>
      <c r="U299" s="236"/>
      <c r="V299" s="236"/>
      <c r="W299" s="237"/>
      <c r="X299" s="237"/>
      <c r="Y299" s="237"/>
      <c r="Z299" s="237"/>
      <c r="AA299" s="237"/>
      <c r="AB299" s="237"/>
      <c r="AC299" s="237"/>
      <c r="AD299" s="237"/>
      <c r="AE299" s="237"/>
      <c r="AF299" s="237"/>
      <c r="AG299" s="237"/>
      <c r="AH299" s="237"/>
      <c r="AI299" s="308"/>
      <c r="AJ299" s="308"/>
      <c r="AK299" s="308"/>
      <c r="AL299" s="308"/>
      <c r="AM299" s="98"/>
      <c r="AN299" s="98"/>
    </row>
    <row r="300" ht="14.25" customHeight="1">
      <c r="A300" s="179"/>
      <c r="B300" s="98"/>
      <c r="C300" s="98"/>
      <c r="D300" s="98"/>
      <c r="E300" s="98"/>
      <c r="F300" s="235"/>
      <c r="G300" s="235"/>
      <c r="H300" s="236"/>
      <c r="I300" s="236"/>
      <c r="J300" s="236"/>
      <c r="K300" s="236"/>
      <c r="L300" s="236"/>
      <c r="M300" s="236"/>
      <c r="N300" s="236"/>
      <c r="O300" s="236"/>
      <c r="P300" s="236"/>
      <c r="Q300" s="236"/>
      <c r="R300" s="236"/>
      <c r="S300" s="236"/>
      <c r="T300" s="236"/>
      <c r="U300" s="236"/>
      <c r="V300" s="236"/>
      <c r="W300" s="237"/>
      <c r="X300" s="237"/>
      <c r="Y300" s="237"/>
      <c r="Z300" s="237"/>
      <c r="AA300" s="237"/>
      <c r="AB300" s="237"/>
      <c r="AC300" s="237"/>
      <c r="AD300" s="237"/>
      <c r="AE300" s="237"/>
      <c r="AF300" s="237"/>
      <c r="AG300" s="237"/>
      <c r="AH300" s="237"/>
      <c r="AI300" s="308"/>
      <c r="AJ300" s="308"/>
      <c r="AK300" s="308"/>
      <c r="AL300" s="308"/>
      <c r="AM300" s="98"/>
      <c r="AN300" s="98"/>
    </row>
    <row r="301" ht="14.25" customHeight="1">
      <c r="A301" s="179"/>
      <c r="B301" s="98"/>
      <c r="C301" s="98"/>
      <c r="D301" s="98"/>
      <c r="E301" s="98"/>
      <c r="F301" s="235"/>
      <c r="G301" s="235"/>
      <c r="H301" s="236"/>
      <c r="I301" s="236"/>
      <c r="J301" s="236"/>
      <c r="K301" s="236"/>
      <c r="L301" s="236"/>
      <c r="M301" s="236"/>
      <c r="N301" s="236"/>
      <c r="O301" s="236"/>
      <c r="P301" s="236"/>
      <c r="Q301" s="236"/>
      <c r="R301" s="236"/>
      <c r="S301" s="236"/>
      <c r="T301" s="236"/>
      <c r="U301" s="236"/>
      <c r="V301" s="236"/>
      <c r="W301" s="237"/>
      <c r="X301" s="237"/>
      <c r="Y301" s="237"/>
      <c r="Z301" s="237"/>
      <c r="AA301" s="237"/>
      <c r="AB301" s="237"/>
      <c r="AC301" s="237"/>
      <c r="AD301" s="237"/>
      <c r="AE301" s="237"/>
      <c r="AF301" s="237"/>
      <c r="AG301" s="237"/>
      <c r="AH301" s="237"/>
      <c r="AI301" s="308"/>
      <c r="AJ301" s="308"/>
      <c r="AK301" s="308"/>
      <c r="AL301" s="308"/>
      <c r="AM301" s="98"/>
      <c r="AN301" s="98"/>
    </row>
    <row r="302" ht="14.25" customHeight="1">
      <c r="A302" s="179"/>
      <c r="B302" s="98"/>
      <c r="C302" s="98"/>
      <c r="D302" s="98"/>
      <c r="E302" s="98"/>
      <c r="F302" s="235"/>
      <c r="G302" s="235"/>
      <c r="H302" s="236"/>
      <c r="I302" s="236"/>
      <c r="J302" s="236"/>
      <c r="K302" s="236"/>
      <c r="L302" s="236"/>
      <c r="M302" s="236"/>
      <c r="N302" s="236"/>
      <c r="O302" s="236"/>
      <c r="P302" s="236"/>
      <c r="Q302" s="236"/>
      <c r="R302" s="236"/>
      <c r="S302" s="236"/>
      <c r="T302" s="236"/>
      <c r="U302" s="236"/>
      <c r="V302" s="236"/>
      <c r="W302" s="237"/>
      <c r="X302" s="237"/>
      <c r="Y302" s="237"/>
      <c r="Z302" s="237"/>
      <c r="AA302" s="237"/>
      <c r="AB302" s="237"/>
      <c r="AC302" s="237"/>
      <c r="AD302" s="237"/>
      <c r="AE302" s="237"/>
      <c r="AF302" s="237"/>
      <c r="AG302" s="237"/>
      <c r="AH302" s="237"/>
      <c r="AI302" s="308"/>
      <c r="AJ302" s="308"/>
      <c r="AK302" s="308"/>
      <c r="AL302" s="308"/>
      <c r="AM302" s="98"/>
      <c r="AN302" s="98"/>
    </row>
    <row r="303" ht="14.25" customHeight="1">
      <c r="A303" s="179"/>
      <c r="B303" s="98"/>
      <c r="C303" s="98"/>
      <c r="D303" s="98"/>
      <c r="E303" s="98"/>
      <c r="F303" s="235"/>
      <c r="G303" s="235"/>
      <c r="H303" s="236"/>
      <c r="I303" s="236"/>
      <c r="J303" s="236"/>
      <c r="K303" s="236"/>
      <c r="L303" s="236"/>
      <c r="M303" s="236"/>
      <c r="N303" s="236"/>
      <c r="O303" s="236"/>
      <c r="P303" s="236"/>
      <c r="Q303" s="236"/>
      <c r="R303" s="236"/>
      <c r="S303" s="236"/>
      <c r="T303" s="236"/>
      <c r="U303" s="236"/>
      <c r="V303" s="236"/>
      <c r="W303" s="237"/>
      <c r="X303" s="237"/>
      <c r="Y303" s="237"/>
      <c r="Z303" s="237"/>
      <c r="AA303" s="237"/>
      <c r="AB303" s="237"/>
      <c r="AC303" s="237"/>
      <c r="AD303" s="237"/>
      <c r="AE303" s="237"/>
      <c r="AF303" s="237"/>
      <c r="AG303" s="237"/>
      <c r="AH303" s="237"/>
      <c r="AI303" s="308"/>
      <c r="AJ303" s="308"/>
      <c r="AK303" s="308"/>
      <c r="AL303" s="308"/>
      <c r="AM303" s="98"/>
      <c r="AN303" s="98"/>
    </row>
    <row r="304" ht="14.25" customHeight="1">
      <c r="A304" s="179"/>
      <c r="B304" s="98"/>
      <c r="C304" s="98"/>
      <c r="D304" s="98"/>
      <c r="E304" s="98"/>
      <c r="F304" s="235"/>
      <c r="G304" s="235"/>
      <c r="H304" s="236"/>
      <c r="I304" s="236"/>
      <c r="J304" s="236"/>
      <c r="K304" s="236"/>
      <c r="L304" s="236"/>
      <c r="M304" s="236"/>
      <c r="N304" s="236"/>
      <c r="O304" s="236"/>
      <c r="P304" s="236"/>
      <c r="Q304" s="236"/>
      <c r="R304" s="236"/>
      <c r="S304" s="236"/>
      <c r="T304" s="236"/>
      <c r="U304" s="236"/>
      <c r="V304" s="236"/>
      <c r="W304" s="237"/>
      <c r="X304" s="237"/>
      <c r="Y304" s="237"/>
      <c r="Z304" s="237"/>
      <c r="AA304" s="237"/>
      <c r="AB304" s="237"/>
      <c r="AC304" s="237"/>
      <c r="AD304" s="237"/>
      <c r="AE304" s="237"/>
      <c r="AF304" s="237"/>
      <c r="AG304" s="237"/>
      <c r="AH304" s="237"/>
      <c r="AI304" s="308"/>
      <c r="AJ304" s="308"/>
      <c r="AK304" s="308"/>
      <c r="AL304" s="308"/>
      <c r="AM304" s="98"/>
      <c r="AN304" s="98"/>
    </row>
    <row r="305" ht="14.25" customHeight="1">
      <c r="A305" s="179"/>
      <c r="B305" s="98"/>
      <c r="C305" s="98"/>
      <c r="D305" s="98"/>
      <c r="E305" s="98"/>
      <c r="F305" s="235"/>
      <c r="G305" s="235"/>
      <c r="H305" s="236"/>
      <c r="I305" s="236"/>
      <c r="J305" s="236"/>
      <c r="K305" s="236"/>
      <c r="L305" s="236"/>
      <c r="M305" s="236"/>
      <c r="N305" s="236"/>
      <c r="O305" s="236"/>
      <c r="P305" s="236"/>
      <c r="Q305" s="236"/>
      <c r="R305" s="236"/>
      <c r="S305" s="236"/>
      <c r="T305" s="236"/>
      <c r="U305" s="236"/>
      <c r="V305" s="236"/>
      <c r="W305" s="237"/>
      <c r="X305" s="237"/>
      <c r="Y305" s="237"/>
      <c r="Z305" s="237"/>
      <c r="AA305" s="237"/>
      <c r="AB305" s="237"/>
      <c r="AC305" s="237"/>
      <c r="AD305" s="237"/>
      <c r="AE305" s="237"/>
      <c r="AF305" s="237"/>
      <c r="AG305" s="237"/>
      <c r="AH305" s="237"/>
      <c r="AI305" s="308"/>
      <c r="AJ305" s="308"/>
      <c r="AK305" s="308"/>
      <c r="AL305" s="308"/>
      <c r="AM305" s="98"/>
      <c r="AN305" s="98"/>
    </row>
    <row r="306" ht="14.25" customHeight="1">
      <c r="A306" s="179"/>
      <c r="B306" s="98"/>
      <c r="C306" s="98"/>
      <c r="D306" s="98"/>
      <c r="E306" s="98"/>
      <c r="F306" s="235"/>
      <c r="G306" s="235"/>
      <c r="H306" s="236"/>
      <c r="I306" s="236"/>
      <c r="J306" s="236"/>
      <c r="K306" s="236"/>
      <c r="L306" s="236"/>
      <c r="M306" s="236"/>
      <c r="N306" s="236"/>
      <c r="O306" s="236"/>
      <c r="P306" s="236"/>
      <c r="Q306" s="236"/>
      <c r="R306" s="236"/>
      <c r="S306" s="236"/>
      <c r="T306" s="236"/>
      <c r="U306" s="236"/>
      <c r="V306" s="236"/>
      <c r="W306" s="237"/>
      <c r="X306" s="237"/>
      <c r="Y306" s="237"/>
      <c r="Z306" s="237"/>
      <c r="AA306" s="237"/>
      <c r="AB306" s="237"/>
      <c r="AC306" s="237"/>
      <c r="AD306" s="237"/>
      <c r="AE306" s="237"/>
      <c r="AF306" s="237"/>
      <c r="AG306" s="237"/>
      <c r="AH306" s="237"/>
      <c r="AI306" s="308"/>
      <c r="AJ306" s="308"/>
      <c r="AK306" s="308"/>
      <c r="AL306" s="308"/>
      <c r="AM306" s="98"/>
      <c r="AN306" s="98"/>
    </row>
    <row r="307" ht="14.25" customHeight="1">
      <c r="A307" s="179"/>
      <c r="B307" s="98"/>
      <c r="C307" s="98"/>
      <c r="D307" s="98"/>
      <c r="E307" s="98"/>
      <c r="F307" s="235"/>
      <c r="G307" s="235"/>
      <c r="H307" s="236"/>
      <c r="I307" s="236"/>
      <c r="J307" s="236"/>
      <c r="K307" s="236"/>
      <c r="L307" s="236"/>
      <c r="M307" s="236"/>
      <c r="N307" s="236"/>
      <c r="O307" s="236"/>
      <c r="P307" s="236"/>
      <c r="Q307" s="236"/>
      <c r="R307" s="236"/>
      <c r="S307" s="236"/>
      <c r="T307" s="236"/>
      <c r="U307" s="236"/>
      <c r="V307" s="236"/>
      <c r="W307" s="237"/>
      <c r="X307" s="237"/>
      <c r="Y307" s="237"/>
      <c r="Z307" s="237"/>
      <c r="AA307" s="237"/>
      <c r="AB307" s="237"/>
      <c r="AC307" s="237"/>
      <c r="AD307" s="237"/>
      <c r="AE307" s="237"/>
      <c r="AF307" s="237"/>
      <c r="AG307" s="237"/>
      <c r="AH307" s="237"/>
      <c r="AI307" s="308"/>
      <c r="AJ307" s="308"/>
      <c r="AK307" s="308"/>
      <c r="AL307" s="308"/>
      <c r="AM307" s="98"/>
      <c r="AN307" s="98"/>
    </row>
    <row r="308" ht="14.25" customHeight="1">
      <c r="A308" s="179"/>
      <c r="B308" s="98"/>
      <c r="C308" s="98"/>
      <c r="D308" s="98"/>
      <c r="E308" s="98"/>
      <c r="F308" s="235"/>
      <c r="G308" s="235"/>
      <c r="H308" s="236"/>
      <c r="I308" s="236"/>
      <c r="J308" s="236"/>
      <c r="K308" s="236"/>
      <c r="L308" s="236"/>
      <c r="M308" s="236"/>
      <c r="N308" s="236"/>
      <c r="O308" s="236"/>
      <c r="P308" s="236"/>
      <c r="Q308" s="236"/>
      <c r="R308" s="236"/>
      <c r="S308" s="236"/>
      <c r="T308" s="236"/>
      <c r="U308" s="236"/>
      <c r="V308" s="236"/>
      <c r="W308" s="237"/>
      <c r="X308" s="237"/>
      <c r="Y308" s="237"/>
      <c r="Z308" s="237"/>
      <c r="AA308" s="237"/>
      <c r="AB308" s="237"/>
      <c r="AC308" s="237"/>
      <c r="AD308" s="237"/>
      <c r="AE308" s="237"/>
      <c r="AF308" s="237"/>
      <c r="AG308" s="237"/>
      <c r="AH308" s="237"/>
      <c r="AI308" s="308"/>
      <c r="AJ308" s="308"/>
      <c r="AK308" s="308"/>
      <c r="AL308" s="308"/>
      <c r="AM308" s="98"/>
      <c r="AN308" s="98"/>
    </row>
    <row r="309" ht="14.25" customHeight="1">
      <c r="A309" s="179"/>
      <c r="B309" s="98"/>
      <c r="C309" s="98"/>
      <c r="D309" s="98"/>
      <c r="E309" s="98"/>
      <c r="F309" s="235"/>
      <c r="G309" s="235"/>
      <c r="H309" s="236"/>
      <c r="I309" s="236"/>
      <c r="J309" s="236"/>
      <c r="K309" s="236"/>
      <c r="L309" s="236"/>
      <c r="M309" s="236"/>
      <c r="N309" s="236"/>
      <c r="O309" s="236"/>
      <c r="P309" s="236"/>
      <c r="Q309" s="236"/>
      <c r="R309" s="236"/>
      <c r="S309" s="236"/>
      <c r="T309" s="236"/>
      <c r="U309" s="236"/>
      <c r="V309" s="236"/>
      <c r="W309" s="237"/>
      <c r="X309" s="237"/>
      <c r="Y309" s="237"/>
      <c r="Z309" s="237"/>
      <c r="AA309" s="237"/>
      <c r="AB309" s="237"/>
      <c r="AC309" s="237"/>
      <c r="AD309" s="237"/>
      <c r="AE309" s="237"/>
      <c r="AF309" s="237"/>
      <c r="AG309" s="237"/>
      <c r="AH309" s="237"/>
      <c r="AI309" s="308"/>
      <c r="AJ309" s="308"/>
      <c r="AK309" s="308"/>
      <c r="AL309" s="308"/>
      <c r="AM309" s="98"/>
      <c r="AN309" s="98"/>
    </row>
    <row r="310" ht="14.25" customHeight="1">
      <c r="A310" s="179"/>
      <c r="B310" s="98"/>
      <c r="C310" s="98"/>
      <c r="D310" s="98"/>
      <c r="E310" s="98"/>
      <c r="F310" s="235"/>
      <c r="G310" s="235"/>
      <c r="H310" s="236"/>
      <c r="I310" s="236"/>
      <c r="J310" s="236"/>
      <c r="K310" s="236"/>
      <c r="L310" s="236"/>
      <c r="M310" s="236"/>
      <c r="N310" s="236"/>
      <c r="O310" s="236"/>
      <c r="P310" s="236"/>
      <c r="Q310" s="236"/>
      <c r="R310" s="236"/>
      <c r="S310" s="236"/>
      <c r="T310" s="236"/>
      <c r="U310" s="236"/>
      <c r="V310" s="236"/>
      <c r="W310" s="237"/>
      <c r="X310" s="237"/>
      <c r="Y310" s="237"/>
      <c r="Z310" s="237"/>
      <c r="AA310" s="237"/>
      <c r="AB310" s="237"/>
      <c r="AC310" s="237"/>
      <c r="AD310" s="237"/>
      <c r="AE310" s="237"/>
      <c r="AF310" s="237"/>
      <c r="AG310" s="237"/>
      <c r="AH310" s="237"/>
      <c r="AI310" s="308"/>
      <c r="AJ310" s="308"/>
      <c r="AK310" s="308"/>
      <c r="AL310" s="308"/>
      <c r="AM310" s="98"/>
      <c r="AN310" s="98"/>
    </row>
    <row r="311" ht="14.25" customHeight="1">
      <c r="A311" s="179"/>
      <c r="B311" s="98"/>
      <c r="C311" s="98"/>
      <c r="D311" s="98"/>
      <c r="E311" s="98"/>
      <c r="F311" s="235"/>
      <c r="G311" s="235"/>
      <c r="H311" s="236"/>
      <c r="I311" s="236"/>
      <c r="J311" s="236"/>
      <c r="K311" s="236"/>
      <c r="L311" s="236"/>
      <c r="M311" s="236"/>
      <c r="N311" s="236"/>
      <c r="O311" s="236"/>
      <c r="P311" s="236"/>
      <c r="Q311" s="236"/>
      <c r="R311" s="236"/>
      <c r="S311" s="236"/>
      <c r="T311" s="236"/>
      <c r="U311" s="236"/>
      <c r="V311" s="236"/>
      <c r="W311" s="237"/>
      <c r="X311" s="237"/>
      <c r="Y311" s="237"/>
      <c r="Z311" s="237"/>
      <c r="AA311" s="237"/>
      <c r="AB311" s="237"/>
      <c r="AC311" s="237"/>
      <c r="AD311" s="237"/>
      <c r="AE311" s="237"/>
      <c r="AF311" s="237"/>
      <c r="AG311" s="237"/>
      <c r="AH311" s="237"/>
      <c r="AI311" s="308"/>
      <c r="AJ311" s="308"/>
      <c r="AK311" s="308"/>
      <c r="AL311" s="308"/>
      <c r="AM311" s="98"/>
      <c r="AN311" s="98"/>
    </row>
    <row r="312" ht="14.25" customHeight="1">
      <c r="A312" s="179"/>
      <c r="B312" s="98"/>
      <c r="C312" s="98"/>
      <c r="D312" s="98"/>
      <c r="E312" s="98"/>
      <c r="F312" s="235"/>
      <c r="G312" s="235"/>
      <c r="H312" s="236"/>
      <c r="I312" s="236"/>
      <c r="J312" s="236"/>
      <c r="K312" s="236"/>
      <c r="L312" s="236"/>
      <c r="M312" s="236"/>
      <c r="N312" s="236"/>
      <c r="O312" s="236"/>
      <c r="P312" s="236"/>
      <c r="Q312" s="236"/>
      <c r="R312" s="236"/>
      <c r="S312" s="236"/>
      <c r="T312" s="236"/>
      <c r="U312" s="236"/>
      <c r="V312" s="236"/>
      <c r="W312" s="237"/>
      <c r="X312" s="237"/>
      <c r="Y312" s="237"/>
      <c r="Z312" s="237"/>
      <c r="AA312" s="237"/>
      <c r="AB312" s="237"/>
      <c r="AC312" s="237"/>
      <c r="AD312" s="237"/>
      <c r="AE312" s="237"/>
      <c r="AF312" s="237"/>
      <c r="AG312" s="237"/>
      <c r="AH312" s="237"/>
      <c r="AI312" s="308"/>
      <c r="AJ312" s="308"/>
      <c r="AK312" s="308"/>
      <c r="AL312" s="308"/>
      <c r="AM312" s="98"/>
      <c r="AN312" s="98"/>
    </row>
    <row r="313" ht="14.25" customHeight="1">
      <c r="A313" s="179"/>
      <c r="B313" s="98"/>
      <c r="C313" s="98"/>
      <c r="D313" s="98"/>
      <c r="E313" s="98"/>
      <c r="F313" s="235"/>
      <c r="G313" s="235"/>
      <c r="H313" s="236"/>
      <c r="I313" s="236"/>
      <c r="J313" s="236"/>
      <c r="K313" s="236"/>
      <c r="L313" s="236"/>
      <c r="M313" s="236"/>
      <c r="N313" s="236"/>
      <c r="O313" s="236"/>
      <c r="P313" s="236"/>
      <c r="Q313" s="236"/>
      <c r="R313" s="236"/>
      <c r="S313" s="236"/>
      <c r="T313" s="236"/>
      <c r="U313" s="236"/>
      <c r="V313" s="236"/>
      <c r="W313" s="237"/>
      <c r="X313" s="237"/>
      <c r="Y313" s="237"/>
      <c r="Z313" s="237"/>
      <c r="AA313" s="237"/>
      <c r="AB313" s="237"/>
      <c r="AC313" s="237"/>
      <c r="AD313" s="237"/>
      <c r="AE313" s="237"/>
      <c r="AF313" s="237"/>
      <c r="AG313" s="237"/>
      <c r="AH313" s="237"/>
      <c r="AI313" s="308"/>
      <c r="AJ313" s="308"/>
      <c r="AK313" s="308"/>
      <c r="AL313" s="308"/>
      <c r="AM313" s="98"/>
      <c r="AN313" s="98"/>
    </row>
    <row r="314" ht="14.25" customHeight="1">
      <c r="A314" s="179"/>
      <c r="B314" s="98"/>
      <c r="C314" s="98"/>
      <c r="D314" s="98"/>
      <c r="E314" s="98"/>
      <c r="F314" s="235"/>
      <c r="G314" s="235"/>
      <c r="H314" s="236"/>
      <c r="I314" s="236"/>
      <c r="J314" s="236"/>
      <c r="K314" s="236"/>
      <c r="L314" s="236"/>
      <c r="M314" s="236"/>
      <c r="N314" s="236"/>
      <c r="O314" s="236"/>
      <c r="P314" s="236"/>
      <c r="Q314" s="236"/>
      <c r="R314" s="236"/>
      <c r="S314" s="236"/>
      <c r="T314" s="236"/>
      <c r="U314" s="236"/>
      <c r="V314" s="236"/>
      <c r="W314" s="237"/>
      <c r="X314" s="237"/>
      <c r="Y314" s="237"/>
      <c r="Z314" s="237"/>
      <c r="AA314" s="237"/>
      <c r="AB314" s="237"/>
      <c r="AC314" s="237"/>
      <c r="AD314" s="237"/>
      <c r="AE314" s="237"/>
      <c r="AF314" s="237"/>
      <c r="AG314" s="237"/>
      <c r="AH314" s="237"/>
      <c r="AI314" s="308"/>
      <c r="AJ314" s="308"/>
      <c r="AK314" s="308"/>
      <c r="AL314" s="308"/>
      <c r="AM314" s="98"/>
      <c r="AN314" s="98"/>
    </row>
    <row r="315" ht="14.25" customHeight="1">
      <c r="A315" s="179"/>
      <c r="B315" s="98"/>
      <c r="C315" s="98"/>
      <c r="D315" s="98"/>
      <c r="E315" s="98"/>
      <c r="F315" s="235"/>
      <c r="G315" s="235"/>
      <c r="H315" s="236"/>
      <c r="I315" s="236"/>
      <c r="J315" s="236"/>
      <c r="K315" s="236"/>
      <c r="L315" s="236"/>
      <c r="M315" s="236"/>
      <c r="N315" s="236"/>
      <c r="O315" s="236"/>
      <c r="P315" s="236"/>
      <c r="Q315" s="236"/>
      <c r="R315" s="236"/>
      <c r="S315" s="236"/>
      <c r="T315" s="236"/>
      <c r="U315" s="236"/>
      <c r="V315" s="236"/>
      <c r="W315" s="237"/>
      <c r="X315" s="237"/>
      <c r="Y315" s="237"/>
      <c r="Z315" s="237"/>
      <c r="AA315" s="237"/>
      <c r="AB315" s="237"/>
      <c r="AC315" s="237"/>
      <c r="AD315" s="237"/>
      <c r="AE315" s="237"/>
      <c r="AF315" s="237"/>
      <c r="AG315" s="237"/>
      <c r="AH315" s="237"/>
      <c r="AI315" s="308"/>
      <c r="AJ315" s="308"/>
      <c r="AK315" s="308"/>
      <c r="AL315" s="308"/>
      <c r="AM315" s="98"/>
      <c r="AN315" s="98"/>
    </row>
    <row r="316" ht="14.25" customHeight="1">
      <c r="A316" s="179"/>
      <c r="B316" s="98"/>
      <c r="C316" s="98"/>
      <c r="D316" s="98"/>
      <c r="E316" s="98"/>
      <c r="F316" s="235"/>
      <c r="G316" s="235"/>
      <c r="H316" s="236"/>
      <c r="I316" s="236"/>
      <c r="J316" s="236"/>
      <c r="K316" s="236"/>
      <c r="L316" s="236"/>
      <c r="M316" s="236"/>
      <c r="N316" s="236"/>
      <c r="O316" s="236"/>
      <c r="P316" s="236"/>
      <c r="Q316" s="236"/>
      <c r="R316" s="236"/>
      <c r="S316" s="236"/>
      <c r="T316" s="236"/>
      <c r="U316" s="236"/>
      <c r="V316" s="236"/>
      <c r="W316" s="237"/>
      <c r="X316" s="237"/>
      <c r="Y316" s="237"/>
      <c r="Z316" s="237"/>
      <c r="AA316" s="237"/>
      <c r="AB316" s="237"/>
      <c r="AC316" s="237"/>
      <c r="AD316" s="237"/>
      <c r="AE316" s="237"/>
      <c r="AF316" s="237"/>
      <c r="AG316" s="237"/>
      <c r="AH316" s="237"/>
      <c r="AI316" s="308"/>
      <c r="AJ316" s="308"/>
      <c r="AK316" s="308"/>
      <c r="AL316" s="308"/>
      <c r="AM316" s="98"/>
      <c r="AN316" s="98"/>
    </row>
    <row r="317" ht="14.25" customHeight="1">
      <c r="A317" s="179"/>
      <c r="B317" s="98"/>
      <c r="C317" s="98"/>
      <c r="D317" s="98"/>
      <c r="E317" s="98"/>
      <c r="F317" s="235"/>
      <c r="G317" s="235"/>
      <c r="H317" s="236"/>
      <c r="I317" s="236"/>
      <c r="J317" s="236"/>
      <c r="K317" s="236"/>
      <c r="L317" s="236"/>
      <c r="M317" s="236"/>
      <c r="N317" s="236"/>
      <c r="O317" s="236"/>
      <c r="P317" s="236"/>
      <c r="Q317" s="236"/>
      <c r="R317" s="236"/>
      <c r="S317" s="236"/>
      <c r="T317" s="236"/>
      <c r="U317" s="236"/>
      <c r="V317" s="236"/>
      <c r="W317" s="237"/>
      <c r="X317" s="237"/>
      <c r="Y317" s="237"/>
      <c r="Z317" s="237"/>
      <c r="AA317" s="237"/>
      <c r="AB317" s="237"/>
      <c r="AC317" s="237"/>
      <c r="AD317" s="237"/>
      <c r="AE317" s="237"/>
      <c r="AF317" s="237"/>
      <c r="AG317" s="237"/>
      <c r="AH317" s="237"/>
      <c r="AI317" s="308"/>
      <c r="AJ317" s="308"/>
      <c r="AK317" s="308"/>
      <c r="AL317" s="308"/>
      <c r="AM317" s="98"/>
      <c r="AN317" s="98"/>
    </row>
    <row r="318" ht="14.25" customHeight="1">
      <c r="A318" s="179"/>
      <c r="B318" s="98"/>
      <c r="C318" s="98"/>
      <c r="D318" s="98"/>
      <c r="E318" s="98"/>
      <c r="F318" s="235"/>
      <c r="G318" s="235"/>
      <c r="H318" s="236"/>
      <c r="I318" s="236"/>
      <c r="J318" s="236"/>
      <c r="K318" s="236"/>
      <c r="L318" s="236"/>
      <c r="M318" s="236"/>
      <c r="N318" s="236"/>
      <c r="O318" s="236"/>
      <c r="P318" s="236"/>
      <c r="Q318" s="236"/>
      <c r="R318" s="236"/>
      <c r="S318" s="236"/>
      <c r="T318" s="236"/>
      <c r="U318" s="236"/>
      <c r="V318" s="236"/>
      <c r="W318" s="237"/>
      <c r="X318" s="237"/>
      <c r="Y318" s="237"/>
      <c r="Z318" s="237"/>
      <c r="AA318" s="237"/>
      <c r="AB318" s="237"/>
      <c r="AC318" s="237"/>
      <c r="AD318" s="237"/>
      <c r="AE318" s="237"/>
      <c r="AF318" s="237"/>
      <c r="AG318" s="237"/>
      <c r="AH318" s="237"/>
      <c r="AI318" s="308"/>
      <c r="AJ318" s="308"/>
      <c r="AK318" s="308"/>
      <c r="AL318" s="308"/>
      <c r="AM318" s="98"/>
      <c r="AN318" s="98"/>
    </row>
    <row r="319" ht="14.25" customHeight="1">
      <c r="A319" s="179"/>
      <c r="B319" s="98"/>
      <c r="C319" s="98"/>
      <c r="D319" s="98"/>
      <c r="E319" s="98"/>
      <c r="F319" s="235"/>
      <c r="G319" s="235"/>
      <c r="H319" s="236"/>
      <c r="I319" s="236"/>
      <c r="J319" s="236"/>
      <c r="K319" s="236"/>
      <c r="L319" s="236"/>
      <c r="M319" s="236"/>
      <c r="N319" s="236"/>
      <c r="O319" s="236"/>
      <c r="P319" s="236"/>
      <c r="Q319" s="236"/>
      <c r="R319" s="236"/>
      <c r="S319" s="236"/>
      <c r="T319" s="236"/>
      <c r="U319" s="236"/>
      <c r="V319" s="236"/>
      <c r="W319" s="237"/>
      <c r="X319" s="237"/>
      <c r="Y319" s="237"/>
      <c r="Z319" s="237"/>
      <c r="AA319" s="237"/>
      <c r="AB319" s="237"/>
      <c r="AC319" s="237"/>
      <c r="AD319" s="237"/>
      <c r="AE319" s="237"/>
      <c r="AF319" s="237"/>
      <c r="AG319" s="237"/>
      <c r="AH319" s="237"/>
      <c r="AI319" s="308"/>
      <c r="AJ319" s="308"/>
      <c r="AK319" s="308"/>
      <c r="AL319" s="308"/>
      <c r="AM319" s="98"/>
      <c r="AN319" s="98"/>
    </row>
    <row r="320" ht="14.25" customHeight="1">
      <c r="A320" s="179"/>
      <c r="B320" s="98"/>
      <c r="C320" s="98"/>
      <c r="D320" s="98"/>
      <c r="E320" s="98"/>
      <c r="F320" s="235"/>
      <c r="G320" s="235"/>
      <c r="H320" s="236"/>
      <c r="I320" s="236"/>
      <c r="J320" s="236"/>
      <c r="K320" s="236"/>
      <c r="L320" s="236"/>
      <c r="M320" s="236"/>
      <c r="N320" s="236"/>
      <c r="O320" s="236"/>
      <c r="P320" s="236"/>
      <c r="Q320" s="236"/>
      <c r="R320" s="236"/>
      <c r="S320" s="236"/>
      <c r="T320" s="236"/>
      <c r="U320" s="236"/>
      <c r="V320" s="236"/>
      <c r="W320" s="237"/>
      <c r="X320" s="237"/>
      <c r="Y320" s="237"/>
      <c r="Z320" s="237"/>
      <c r="AA320" s="237"/>
      <c r="AB320" s="237"/>
      <c r="AC320" s="237"/>
      <c r="AD320" s="237"/>
      <c r="AE320" s="237"/>
      <c r="AF320" s="237"/>
      <c r="AG320" s="237"/>
      <c r="AH320" s="237"/>
      <c r="AI320" s="308"/>
      <c r="AJ320" s="308"/>
      <c r="AK320" s="308"/>
      <c r="AL320" s="308"/>
      <c r="AM320" s="98"/>
      <c r="AN320" s="98"/>
    </row>
    <row r="321" ht="14.25" customHeight="1">
      <c r="A321" s="179"/>
      <c r="B321" s="98"/>
      <c r="C321" s="98"/>
      <c r="D321" s="98"/>
      <c r="E321" s="98"/>
      <c r="F321" s="235"/>
      <c r="G321" s="235"/>
      <c r="H321" s="236"/>
      <c r="I321" s="236"/>
      <c r="J321" s="236"/>
      <c r="K321" s="236"/>
      <c r="L321" s="236"/>
      <c r="M321" s="236"/>
      <c r="N321" s="236"/>
      <c r="O321" s="236"/>
      <c r="P321" s="236"/>
      <c r="Q321" s="236"/>
      <c r="R321" s="236"/>
      <c r="S321" s="236"/>
      <c r="T321" s="236"/>
      <c r="U321" s="236"/>
      <c r="V321" s="236"/>
      <c r="W321" s="237"/>
      <c r="X321" s="237"/>
      <c r="Y321" s="237"/>
      <c r="Z321" s="237"/>
      <c r="AA321" s="237"/>
      <c r="AB321" s="237"/>
      <c r="AC321" s="237"/>
      <c r="AD321" s="237"/>
      <c r="AE321" s="237"/>
      <c r="AF321" s="237"/>
      <c r="AG321" s="237"/>
      <c r="AH321" s="237"/>
      <c r="AI321" s="308"/>
      <c r="AJ321" s="308"/>
      <c r="AK321" s="308"/>
      <c r="AL321" s="308"/>
      <c r="AM321" s="98"/>
      <c r="AN321" s="98"/>
    </row>
    <row r="322" ht="14.25" customHeight="1">
      <c r="A322" s="179"/>
      <c r="B322" s="98"/>
      <c r="C322" s="98"/>
      <c r="D322" s="98"/>
      <c r="E322" s="98"/>
      <c r="F322" s="235"/>
      <c r="G322" s="235"/>
      <c r="H322" s="236"/>
      <c r="I322" s="236"/>
      <c r="J322" s="236"/>
      <c r="K322" s="236"/>
      <c r="L322" s="236"/>
      <c r="M322" s="236"/>
      <c r="N322" s="236"/>
      <c r="O322" s="236"/>
      <c r="P322" s="236"/>
      <c r="Q322" s="236"/>
      <c r="R322" s="236"/>
      <c r="S322" s="236"/>
      <c r="T322" s="236"/>
      <c r="U322" s="236"/>
      <c r="V322" s="236"/>
      <c r="W322" s="237"/>
      <c r="X322" s="237"/>
      <c r="Y322" s="237"/>
      <c r="Z322" s="237"/>
      <c r="AA322" s="237"/>
      <c r="AB322" s="237"/>
      <c r="AC322" s="237"/>
      <c r="AD322" s="237"/>
      <c r="AE322" s="237"/>
      <c r="AF322" s="237"/>
      <c r="AG322" s="237"/>
      <c r="AH322" s="237"/>
      <c r="AI322" s="308"/>
      <c r="AJ322" s="308"/>
      <c r="AK322" s="308"/>
      <c r="AL322" s="308"/>
      <c r="AM322" s="98"/>
      <c r="AN322" s="98"/>
    </row>
    <row r="323" ht="14.25" customHeight="1">
      <c r="A323" s="179"/>
      <c r="B323" s="98"/>
      <c r="C323" s="98"/>
      <c r="D323" s="98"/>
      <c r="E323" s="98"/>
      <c r="F323" s="235"/>
      <c r="G323" s="235"/>
      <c r="H323" s="236"/>
      <c r="I323" s="236"/>
      <c r="J323" s="236"/>
      <c r="K323" s="236"/>
      <c r="L323" s="236"/>
      <c r="M323" s="236"/>
      <c r="N323" s="236"/>
      <c r="O323" s="236"/>
      <c r="P323" s="236"/>
      <c r="Q323" s="236"/>
      <c r="R323" s="236"/>
      <c r="S323" s="236"/>
      <c r="T323" s="236"/>
      <c r="U323" s="236"/>
      <c r="V323" s="236"/>
      <c r="W323" s="237"/>
      <c r="X323" s="237"/>
      <c r="Y323" s="237"/>
      <c r="Z323" s="237"/>
      <c r="AA323" s="237"/>
      <c r="AB323" s="237"/>
      <c r="AC323" s="237"/>
      <c r="AD323" s="237"/>
      <c r="AE323" s="237"/>
      <c r="AF323" s="237"/>
      <c r="AG323" s="237"/>
      <c r="AH323" s="237"/>
      <c r="AI323" s="308"/>
      <c r="AJ323" s="308"/>
      <c r="AK323" s="308"/>
      <c r="AL323" s="308"/>
      <c r="AM323" s="98"/>
      <c r="AN323" s="98"/>
    </row>
    <row r="324" ht="14.25" customHeight="1">
      <c r="A324" s="179"/>
      <c r="B324" s="98"/>
      <c r="C324" s="98"/>
      <c r="D324" s="98"/>
      <c r="E324" s="98"/>
      <c r="F324" s="235"/>
      <c r="G324" s="235"/>
      <c r="H324" s="236"/>
      <c r="I324" s="236"/>
      <c r="J324" s="236"/>
      <c r="K324" s="236"/>
      <c r="L324" s="236"/>
      <c r="M324" s="236"/>
      <c r="N324" s="236"/>
      <c r="O324" s="236"/>
      <c r="P324" s="236"/>
      <c r="Q324" s="236"/>
      <c r="R324" s="236"/>
      <c r="S324" s="236"/>
      <c r="T324" s="236"/>
      <c r="U324" s="236"/>
      <c r="V324" s="236"/>
      <c r="W324" s="237"/>
      <c r="X324" s="237"/>
      <c r="Y324" s="237"/>
      <c r="Z324" s="237"/>
      <c r="AA324" s="237"/>
      <c r="AB324" s="237"/>
      <c r="AC324" s="237"/>
      <c r="AD324" s="237"/>
      <c r="AE324" s="237"/>
      <c r="AF324" s="237"/>
      <c r="AG324" s="237"/>
      <c r="AH324" s="237"/>
      <c r="AI324" s="308"/>
      <c r="AJ324" s="308"/>
      <c r="AK324" s="308"/>
      <c r="AL324" s="308"/>
      <c r="AM324" s="98"/>
      <c r="AN324" s="98"/>
    </row>
    <row r="325" ht="14.25" customHeight="1">
      <c r="A325" s="179"/>
      <c r="B325" s="98"/>
      <c r="C325" s="98"/>
      <c r="D325" s="98"/>
      <c r="E325" s="98"/>
      <c r="F325" s="235"/>
      <c r="G325" s="235"/>
      <c r="H325" s="236"/>
      <c r="I325" s="236"/>
      <c r="J325" s="236"/>
      <c r="K325" s="236"/>
      <c r="L325" s="236"/>
      <c r="M325" s="236"/>
      <c r="N325" s="236"/>
      <c r="O325" s="236"/>
      <c r="P325" s="236"/>
      <c r="Q325" s="236"/>
      <c r="R325" s="236"/>
      <c r="S325" s="236"/>
      <c r="T325" s="236"/>
      <c r="U325" s="236"/>
      <c r="V325" s="236"/>
      <c r="W325" s="237"/>
      <c r="X325" s="237"/>
      <c r="Y325" s="237"/>
      <c r="Z325" s="237"/>
      <c r="AA325" s="237"/>
      <c r="AB325" s="237"/>
      <c r="AC325" s="237"/>
      <c r="AD325" s="237"/>
      <c r="AE325" s="237"/>
      <c r="AF325" s="237"/>
      <c r="AG325" s="237"/>
      <c r="AH325" s="237"/>
      <c r="AI325" s="308"/>
      <c r="AJ325" s="308"/>
      <c r="AK325" s="308"/>
      <c r="AL325" s="308"/>
      <c r="AM325" s="98"/>
      <c r="AN325" s="98"/>
    </row>
    <row r="326" ht="14.25" customHeight="1">
      <c r="A326" s="179"/>
      <c r="B326" s="98"/>
      <c r="C326" s="98"/>
      <c r="D326" s="98"/>
      <c r="E326" s="98"/>
      <c r="F326" s="235"/>
      <c r="G326" s="235"/>
      <c r="H326" s="236"/>
      <c r="I326" s="236"/>
      <c r="J326" s="236"/>
      <c r="K326" s="236"/>
      <c r="L326" s="236"/>
      <c r="M326" s="236"/>
      <c r="N326" s="236"/>
      <c r="O326" s="236"/>
      <c r="P326" s="236"/>
      <c r="Q326" s="236"/>
      <c r="R326" s="236"/>
      <c r="S326" s="236"/>
      <c r="T326" s="236"/>
      <c r="U326" s="236"/>
      <c r="V326" s="236"/>
      <c r="W326" s="237"/>
      <c r="X326" s="237"/>
      <c r="Y326" s="237"/>
      <c r="Z326" s="237"/>
      <c r="AA326" s="237"/>
      <c r="AB326" s="237"/>
      <c r="AC326" s="237"/>
      <c r="AD326" s="237"/>
      <c r="AE326" s="237"/>
      <c r="AF326" s="237"/>
      <c r="AG326" s="237"/>
      <c r="AH326" s="237"/>
      <c r="AI326" s="308"/>
      <c r="AJ326" s="308"/>
      <c r="AK326" s="308"/>
      <c r="AL326" s="308"/>
      <c r="AM326" s="98"/>
      <c r="AN326" s="98"/>
    </row>
    <row r="327" ht="14.25" customHeight="1">
      <c r="A327" s="179"/>
      <c r="B327" s="98"/>
      <c r="C327" s="98"/>
      <c r="D327" s="98"/>
      <c r="E327" s="98"/>
      <c r="F327" s="235"/>
      <c r="G327" s="235"/>
      <c r="H327" s="236"/>
      <c r="I327" s="236"/>
      <c r="J327" s="236"/>
      <c r="K327" s="236"/>
      <c r="L327" s="236"/>
      <c r="M327" s="236"/>
      <c r="N327" s="236"/>
      <c r="O327" s="236"/>
      <c r="P327" s="236"/>
      <c r="Q327" s="236"/>
      <c r="R327" s="236"/>
      <c r="S327" s="236"/>
      <c r="T327" s="236"/>
      <c r="U327" s="236"/>
      <c r="V327" s="236"/>
      <c r="W327" s="237"/>
      <c r="X327" s="237"/>
      <c r="Y327" s="237"/>
      <c r="Z327" s="237"/>
      <c r="AA327" s="237"/>
      <c r="AB327" s="237"/>
      <c r="AC327" s="237"/>
      <c r="AD327" s="237"/>
      <c r="AE327" s="237"/>
      <c r="AF327" s="237"/>
      <c r="AG327" s="237"/>
      <c r="AH327" s="237"/>
      <c r="AI327" s="308"/>
      <c r="AJ327" s="308"/>
      <c r="AK327" s="308"/>
      <c r="AL327" s="308"/>
      <c r="AM327" s="98"/>
      <c r="AN327" s="98"/>
    </row>
    <row r="328" ht="14.25" customHeight="1">
      <c r="A328" s="179"/>
      <c r="B328" s="98"/>
      <c r="C328" s="98"/>
      <c r="D328" s="98"/>
      <c r="E328" s="98"/>
      <c r="F328" s="235"/>
      <c r="G328" s="235"/>
      <c r="H328" s="236"/>
      <c r="I328" s="236"/>
      <c r="J328" s="236"/>
      <c r="K328" s="236"/>
      <c r="L328" s="236"/>
      <c r="M328" s="236"/>
      <c r="N328" s="236"/>
      <c r="O328" s="236"/>
      <c r="P328" s="236"/>
      <c r="Q328" s="236"/>
      <c r="R328" s="236"/>
      <c r="S328" s="236"/>
      <c r="T328" s="236"/>
      <c r="U328" s="236"/>
      <c r="V328" s="236"/>
      <c r="W328" s="237"/>
      <c r="X328" s="237"/>
      <c r="Y328" s="237"/>
      <c r="Z328" s="237"/>
      <c r="AA328" s="237"/>
      <c r="AB328" s="237"/>
      <c r="AC328" s="237"/>
      <c r="AD328" s="237"/>
      <c r="AE328" s="237"/>
      <c r="AF328" s="237"/>
      <c r="AG328" s="237"/>
      <c r="AH328" s="237"/>
      <c r="AI328" s="308"/>
      <c r="AJ328" s="308"/>
      <c r="AK328" s="308"/>
      <c r="AL328" s="308"/>
      <c r="AM328" s="98"/>
      <c r="AN328" s="98"/>
    </row>
    <row r="329" ht="14.25" customHeight="1">
      <c r="A329" s="179"/>
      <c r="B329" s="98"/>
      <c r="C329" s="98"/>
      <c r="D329" s="98"/>
      <c r="E329" s="98"/>
      <c r="F329" s="235"/>
      <c r="G329" s="235"/>
      <c r="H329" s="236"/>
      <c r="I329" s="236"/>
      <c r="J329" s="236"/>
      <c r="K329" s="236"/>
      <c r="L329" s="236"/>
      <c r="M329" s="236"/>
      <c r="N329" s="236"/>
      <c r="O329" s="236"/>
      <c r="P329" s="236"/>
      <c r="Q329" s="236"/>
      <c r="R329" s="236"/>
      <c r="S329" s="236"/>
      <c r="T329" s="236"/>
      <c r="U329" s="236"/>
      <c r="V329" s="236"/>
      <c r="W329" s="237"/>
      <c r="X329" s="237"/>
      <c r="Y329" s="237"/>
      <c r="Z329" s="237"/>
      <c r="AA329" s="237"/>
      <c r="AB329" s="237"/>
      <c r="AC329" s="237"/>
      <c r="AD329" s="237"/>
      <c r="AE329" s="237"/>
      <c r="AF329" s="237"/>
      <c r="AG329" s="237"/>
      <c r="AH329" s="237"/>
      <c r="AI329" s="308"/>
      <c r="AJ329" s="308"/>
      <c r="AK329" s="308"/>
      <c r="AL329" s="308"/>
      <c r="AM329" s="98"/>
      <c r="AN329" s="98"/>
    </row>
    <row r="330" ht="14.25" customHeight="1">
      <c r="A330" s="179"/>
      <c r="B330" s="98"/>
      <c r="C330" s="98"/>
      <c r="D330" s="98"/>
      <c r="E330" s="98"/>
      <c r="F330" s="235"/>
      <c r="G330" s="235"/>
      <c r="H330" s="236"/>
      <c r="I330" s="236"/>
      <c r="J330" s="236"/>
      <c r="K330" s="236"/>
      <c r="L330" s="236"/>
      <c r="M330" s="236"/>
      <c r="N330" s="236"/>
      <c r="O330" s="236"/>
      <c r="P330" s="236"/>
      <c r="Q330" s="236"/>
      <c r="R330" s="236"/>
      <c r="S330" s="236"/>
      <c r="T330" s="236"/>
      <c r="U330" s="236"/>
      <c r="V330" s="236"/>
      <c r="W330" s="237"/>
      <c r="X330" s="237"/>
      <c r="Y330" s="237"/>
      <c r="Z330" s="237"/>
      <c r="AA330" s="237"/>
      <c r="AB330" s="237"/>
      <c r="AC330" s="237"/>
      <c r="AD330" s="237"/>
      <c r="AE330" s="237"/>
      <c r="AF330" s="237"/>
      <c r="AG330" s="237"/>
      <c r="AH330" s="237"/>
      <c r="AI330" s="308"/>
      <c r="AJ330" s="308"/>
      <c r="AK330" s="308"/>
      <c r="AL330" s="308"/>
      <c r="AM330" s="98"/>
      <c r="AN330" s="98"/>
    </row>
    <row r="331" ht="14.25" customHeight="1">
      <c r="A331" s="179"/>
      <c r="B331" s="98"/>
      <c r="C331" s="98"/>
      <c r="D331" s="98"/>
      <c r="E331" s="98"/>
      <c r="F331" s="235"/>
      <c r="G331" s="235"/>
      <c r="H331" s="236"/>
      <c r="I331" s="236"/>
      <c r="J331" s="236"/>
      <c r="K331" s="236"/>
      <c r="L331" s="236"/>
      <c r="M331" s="236"/>
      <c r="N331" s="236"/>
      <c r="O331" s="236"/>
      <c r="P331" s="236"/>
      <c r="Q331" s="236"/>
      <c r="R331" s="236"/>
      <c r="S331" s="236"/>
      <c r="T331" s="236"/>
      <c r="U331" s="236"/>
      <c r="V331" s="236"/>
      <c r="W331" s="237"/>
      <c r="X331" s="237"/>
      <c r="Y331" s="237"/>
      <c r="Z331" s="237"/>
      <c r="AA331" s="237"/>
      <c r="AB331" s="237"/>
      <c r="AC331" s="237"/>
      <c r="AD331" s="237"/>
      <c r="AE331" s="237"/>
      <c r="AF331" s="237"/>
      <c r="AG331" s="237"/>
      <c r="AH331" s="237"/>
      <c r="AI331" s="308"/>
      <c r="AJ331" s="308"/>
      <c r="AK331" s="308"/>
      <c r="AL331" s="308"/>
      <c r="AM331" s="98"/>
      <c r="AN331" s="98"/>
    </row>
    <row r="332" ht="14.25" customHeight="1">
      <c r="A332" s="179"/>
      <c r="B332" s="98"/>
      <c r="C332" s="98"/>
      <c r="D332" s="98"/>
      <c r="E332" s="98"/>
      <c r="F332" s="235"/>
      <c r="G332" s="235"/>
      <c r="H332" s="236"/>
      <c r="I332" s="236"/>
      <c r="J332" s="236"/>
      <c r="K332" s="236"/>
      <c r="L332" s="236"/>
      <c r="M332" s="236"/>
      <c r="N332" s="236"/>
      <c r="O332" s="236"/>
      <c r="P332" s="236"/>
      <c r="Q332" s="236"/>
      <c r="R332" s="236"/>
      <c r="S332" s="236"/>
      <c r="T332" s="236"/>
      <c r="U332" s="236"/>
      <c r="V332" s="236"/>
      <c r="W332" s="237"/>
      <c r="X332" s="237"/>
      <c r="Y332" s="237"/>
      <c r="Z332" s="237"/>
      <c r="AA332" s="237"/>
      <c r="AB332" s="237"/>
      <c r="AC332" s="237"/>
      <c r="AD332" s="237"/>
      <c r="AE332" s="237"/>
      <c r="AF332" s="237"/>
      <c r="AG332" s="237"/>
      <c r="AH332" s="237"/>
      <c r="AI332" s="308"/>
      <c r="AJ332" s="308"/>
      <c r="AK332" s="308"/>
      <c r="AL332" s="308"/>
      <c r="AM332" s="98"/>
      <c r="AN332" s="98"/>
    </row>
    <row r="333" ht="14.25" customHeight="1">
      <c r="A333" s="179"/>
      <c r="B333" s="98"/>
      <c r="C333" s="98"/>
      <c r="D333" s="98"/>
      <c r="E333" s="98"/>
      <c r="F333" s="235"/>
      <c r="G333" s="235"/>
      <c r="H333" s="236"/>
      <c r="I333" s="236"/>
      <c r="J333" s="236"/>
      <c r="K333" s="236"/>
      <c r="L333" s="236"/>
      <c r="M333" s="236"/>
      <c r="N333" s="236"/>
      <c r="O333" s="236"/>
      <c r="P333" s="236"/>
      <c r="Q333" s="236"/>
      <c r="R333" s="236"/>
      <c r="S333" s="236"/>
      <c r="T333" s="236"/>
      <c r="U333" s="236"/>
      <c r="V333" s="236"/>
      <c r="W333" s="237"/>
      <c r="X333" s="237"/>
      <c r="Y333" s="237"/>
      <c r="Z333" s="237"/>
      <c r="AA333" s="237"/>
      <c r="AB333" s="237"/>
      <c r="AC333" s="237"/>
      <c r="AD333" s="237"/>
      <c r="AE333" s="237"/>
      <c r="AF333" s="237"/>
      <c r="AG333" s="237"/>
      <c r="AH333" s="237"/>
      <c r="AI333" s="308"/>
      <c r="AJ333" s="308"/>
      <c r="AK333" s="308"/>
      <c r="AL333" s="308"/>
      <c r="AM333" s="98"/>
      <c r="AN333" s="98"/>
    </row>
    <row r="334" ht="14.25" customHeight="1">
      <c r="A334" s="179"/>
      <c r="B334" s="98"/>
      <c r="C334" s="98"/>
      <c r="D334" s="98"/>
      <c r="E334" s="98"/>
      <c r="F334" s="235"/>
      <c r="G334" s="235"/>
      <c r="H334" s="236"/>
      <c r="I334" s="236"/>
      <c r="J334" s="236"/>
      <c r="K334" s="236"/>
      <c r="L334" s="236"/>
      <c r="M334" s="236"/>
      <c r="N334" s="236"/>
      <c r="O334" s="236"/>
      <c r="P334" s="236"/>
      <c r="Q334" s="236"/>
      <c r="R334" s="236"/>
      <c r="S334" s="236"/>
      <c r="T334" s="236"/>
      <c r="U334" s="236"/>
      <c r="V334" s="236"/>
      <c r="W334" s="237"/>
      <c r="X334" s="237"/>
      <c r="Y334" s="237"/>
      <c r="Z334" s="237"/>
      <c r="AA334" s="237"/>
      <c r="AB334" s="237"/>
      <c r="AC334" s="237"/>
      <c r="AD334" s="237"/>
      <c r="AE334" s="237"/>
      <c r="AF334" s="237"/>
      <c r="AG334" s="237"/>
      <c r="AH334" s="237"/>
      <c r="AI334" s="308"/>
      <c r="AJ334" s="308"/>
      <c r="AK334" s="308"/>
      <c r="AL334" s="308"/>
      <c r="AM334" s="98"/>
      <c r="AN334" s="98"/>
    </row>
    <row r="335" ht="14.25" customHeight="1">
      <c r="A335" s="179"/>
      <c r="B335" s="98"/>
      <c r="C335" s="98"/>
      <c r="D335" s="98"/>
      <c r="E335" s="98"/>
      <c r="F335" s="235"/>
      <c r="G335" s="235"/>
      <c r="H335" s="236"/>
      <c r="I335" s="236"/>
      <c r="J335" s="236"/>
      <c r="K335" s="236"/>
      <c r="L335" s="236"/>
      <c r="M335" s="236"/>
      <c r="N335" s="236"/>
      <c r="O335" s="236"/>
      <c r="P335" s="236"/>
      <c r="Q335" s="236"/>
      <c r="R335" s="236"/>
      <c r="S335" s="236"/>
      <c r="T335" s="236"/>
      <c r="U335" s="236"/>
      <c r="V335" s="236"/>
      <c r="W335" s="237"/>
      <c r="X335" s="237"/>
      <c r="Y335" s="237"/>
      <c r="Z335" s="237"/>
      <c r="AA335" s="237"/>
      <c r="AB335" s="237"/>
      <c r="AC335" s="237"/>
      <c r="AD335" s="237"/>
      <c r="AE335" s="237"/>
      <c r="AF335" s="237"/>
      <c r="AG335" s="237"/>
      <c r="AH335" s="237"/>
      <c r="AI335" s="308"/>
      <c r="AJ335" s="308"/>
      <c r="AK335" s="308"/>
      <c r="AL335" s="308"/>
      <c r="AM335" s="98"/>
      <c r="AN335" s="98"/>
    </row>
    <row r="336" ht="14.25" customHeight="1">
      <c r="A336" s="179"/>
      <c r="B336" s="98"/>
      <c r="C336" s="98"/>
      <c r="D336" s="98"/>
      <c r="E336" s="98"/>
      <c r="F336" s="235"/>
      <c r="G336" s="235"/>
      <c r="H336" s="236"/>
      <c r="I336" s="236"/>
      <c r="J336" s="236"/>
      <c r="K336" s="236"/>
      <c r="L336" s="236"/>
      <c r="M336" s="236"/>
      <c r="N336" s="236"/>
      <c r="O336" s="236"/>
      <c r="P336" s="236"/>
      <c r="Q336" s="236"/>
      <c r="R336" s="236"/>
      <c r="S336" s="236"/>
      <c r="T336" s="236"/>
      <c r="U336" s="236"/>
      <c r="V336" s="236"/>
      <c r="W336" s="237"/>
      <c r="X336" s="237"/>
      <c r="Y336" s="237"/>
      <c r="Z336" s="237"/>
      <c r="AA336" s="237"/>
      <c r="AB336" s="237"/>
      <c r="AC336" s="237"/>
      <c r="AD336" s="237"/>
      <c r="AE336" s="237"/>
      <c r="AF336" s="237"/>
      <c r="AG336" s="237"/>
      <c r="AH336" s="237"/>
      <c r="AI336" s="308"/>
      <c r="AJ336" s="308"/>
      <c r="AK336" s="308"/>
      <c r="AL336" s="308"/>
      <c r="AM336" s="98"/>
      <c r="AN336" s="98"/>
    </row>
    <row r="337" ht="14.25" customHeight="1">
      <c r="A337" s="179"/>
      <c r="B337" s="98"/>
      <c r="C337" s="98"/>
      <c r="D337" s="98"/>
      <c r="E337" s="98"/>
      <c r="F337" s="235"/>
      <c r="G337" s="235"/>
      <c r="H337" s="236"/>
      <c r="I337" s="236"/>
      <c r="J337" s="236"/>
      <c r="K337" s="236"/>
      <c r="L337" s="236"/>
      <c r="M337" s="236"/>
      <c r="N337" s="236"/>
      <c r="O337" s="236"/>
      <c r="P337" s="236"/>
      <c r="Q337" s="236"/>
      <c r="R337" s="236"/>
      <c r="S337" s="236"/>
      <c r="T337" s="236"/>
      <c r="U337" s="236"/>
      <c r="V337" s="236"/>
      <c r="W337" s="237"/>
      <c r="X337" s="237"/>
      <c r="Y337" s="237"/>
      <c r="Z337" s="237"/>
      <c r="AA337" s="237"/>
      <c r="AB337" s="237"/>
      <c r="AC337" s="237"/>
      <c r="AD337" s="237"/>
      <c r="AE337" s="237"/>
      <c r="AF337" s="237"/>
      <c r="AG337" s="237"/>
      <c r="AH337" s="237"/>
      <c r="AI337" s="308"/>
      <c r="AJ337" s="308"/>
      <c r="AK337" s="308"/>
      <c r="AL337" s="308"/>
      <c r="AM337" s="98"/>
      <c r="AN337" s="98"/>
    </row>
    <row r="338" ht="14.25" customHeight="1">
      <c r="A338" s="179"/>
      <c r="B338" s="98"/>
      <c r="C338" s="98"/>
      <c r="D338" s="98"/>
      <c r="E338" s="98"/>
      <c r="F338" s="235"/>
      <c r="G338" s="235"/>
      <c r="H338" s="236"/>
      <c r="I338" s="236"/>
      <c r="J338" s="236"/>
      <c r="K338" s="236"/>
      <c r="L338" s="236"/>
      <c r="M338" s="236"/>
      <c r="N338" s="236"/>
      <c r="O338" s="236"/>
      <c r="P338" s="236"/>
      <c r="Q338" s="236"/>
      <c r="R338" s="236"/>
      <c r="S338" s="236"/>
      <c r="T338" s="236"/>
      <c r="U338" s="236"/>
      <c r="V338" s="236"/>
      <c r="W338" s="237"/>
      <c r="X338" s="237"/>
      <c r="Y338" s="237"/>
      <c r="Z338" s="237"/>
      <c r="AA338" s="237"/>
      <c r="AB338" s="237"/>
      <c r="AC338" s="237"/>
      <c r="AD338" s="237"/>
      <c r="AE338" s="237"/>
      <c r="AF338" s="237"/>
      <c r="AG338" s="237"/>
      <c r="AH338" s="237"/>
      <c r="AI338" s="308"/>
      <c r="AJ338" s="308"/>
      <c r="AK338" s="308"/>
      <c r="AL338" s="308"/>
      <c r="AM338" s="98"/>
      <c r="AN338" s="98"/>
    </row>
    <row r="339" ht="14.25" customHeight="1">
      <c r="A339" s="179"/>
      <c r="B339" s="98"/>
      <c r="C339" s="98"/>
      <c r="D339" s="98"/>
      <c r="E339" s="98"/>
      <c r="F339" s="235"/>
      <c r="G339" s="235"/>
      <c r="H339" s="236"/>
      <c r="I339" s="236"/>
      <c r="J339" s="236"/>
      <c r="K339" s="236"/>
      <c r="L339" s="236"/>
      <c r="M339" s="236"/>
      <c r="N339" s="236"/>
      <c r="O339" s="236"/>
      <c r="P339" s="236"/>
      <c r="Q339" s="236"/>
      <c r="R339" s="236"/>
      <c r="S339" s="236"/>
      <c r="T339" s="236"/>
      <c r="U339" s="236"/>
      <c r="V339" s="236"/>
      <c r="W339" s="237"/>
      <c r="X339" s="237"/>
      <c r="Y339" s="237"/>
      <c r="Z339" s="237"/>
      <c r="AA339" s="237"/>
      <c r="AB339" s="237"/>
      <c r="AC339" s="237"/>
      <c r="AD339" s="237"/>
      <c r="AE339" s="237"/>
      <c r="AF339" s="237"/>
      <c r="AG339" s="237"/>
      <c r="AH339" s="237"/>
      <c r="AI339" s="308"/>
      <c r="AJ339" s="308"/>
      <c r="AK339" s="308"/>
      <c r="AL339" s="308"/>
      <c r="AM339" s="98"/>
      <c r="AN339" s="98"/>
    </row>
    <row r="340" ht="14.25" customHeight="1">
      <c r="A340" s="179"/>
      <c r="B340" s="98"/>
      <c r="C340" s="98"/>
      <c r="D340" s="98"/>
      <c r="E340" s="98"/>
      <c r="F340" s="235"/>
      <c r="G340" s="235"/>
      <c r="H340" s="236"/>
      <c r="I340" s="236"/>
      <c r="J340" s="236"/>
      <c r="K340" s="236"/>
      <c r="L340" s="236"/>
      <c r="M340" s="236"/>
      <c r="N340" s="236"/>
      <c r="O340" s="236"/>
      <c r="P340" s="236"/>
      <c r="Q340" s="236"/>
      <c r="R340" s="236"/>
      <c r="S340" s="236"/>
      <c r="T340" s="236"/>
      <c r="U340" s="236"/>
      <c r="V340" s="236"/>
      <c r="W340" s="237"/>
      <c r="X340" s="237"/>
      <c r="Y340" s="237"/>
      <c r="Z340" s="237"/>
      <c r="AA340" s="237"/>
      <c r="AB340" s="237"/>
      <c r="AC340" s="237"/>
      <c r="AD340" s="237"/>
      <c r="AE340" s="237"/>
      <c r="AF340" s="237"/>
      <c r="AG340" s="237"/>
      <c r="AH340" s="237"/>
      <c r="AI340" s="308"/>
      <c r="AJ340" s="308"/>
      <c r="AK340" s="308"/>
      <c r="AL340" s="308"/>
      <c r="AM340" s="98"/>
      <c r="AN340" s="98"/>
    </row>
    <row r="341" ht="14.25" customHeight="1">
      <c r="A341" s="179"/>
      <c r="B341" s="98"/>
      <c r="C341" s="98"/>
      <c r="D341" s="98"/>
      <c r="E341" s="98"/>
      <c r="F341" s="235"/>
      <c r="G341" s="235"/>
      <c r="H341" s="236"/>
      <c r="I341" s="236"/>
      <c r="J341" s="236"/>
      <c r="K341" s="236"/>
      <c r="L341" s="236"/>
      <c r="M341" s="236"/>
      <c r="N341" s="236"/>
      <c r="O341" s="236"/>
      <c r="P341" s="236"/>
      <c r="Q341" s="236"/>
      <c r="R341" s="236"/>
      <c r="S341" s="236"/>
      <c r="T341" s="236"/>
      <c r="U341" s="236"/>
      <c r="V341" s="236"/>
      <c r="W341" s="237"/>
      <c r="X341" s="237"/>
      <c r="Y341" s="237"/>
      <c r="Z341" s="237"/>
      <c r="AA341" s="237"/>
      <c r="AB341" s="237"/>
      <c r="AC341" s="237"/>
      <c r="AD341" s="237"/>
      <c r="AE341" s="237"/>
      <c r="AF341" s="237"/>
      <c r="AG341" s="237"/>
      <c r="AH341" s="237"/>
      <c r="AI341" s="308"/>
      <c r="AJ341" s="308"/>
      <c r="AK341" s="308"/>
      <c r="AL341" s="308"/>
      <c r="AM341" s="98"/>
      <c r="AN341" s="98"/>
    </row>
    <row r="342" ht="14.25" customHeight="1">
      <c r="A342" s="179"/>
      <c r="B342" s="98"/>
      <c r="C342" s="98"/>
      <c r="D342" s="98"/>
      <c r="E342" s="98"/>
      <c r="F342" s="235"/>
      <c r="G342" s="235"/>
      <c r="H342" s="236"/>
      <c r="I342" s="236"/>
      <c r="J342" s="236"/>
      <c r="K342" s="236"/>
      <c r="L342" s="236"/>
      <c r="M342" s="236"/>
      <c r="N342" s="236"/>
      <c r="O342" s="236"/>
      <c r="P342" s="236"/>
      <c r="Q342" s="236"/>
      <c r="R342" s="236"/>
      <c r="S342" s="236"/>
      <c r="T342" s="236"/>
      <c r="U342" s="236"/>
      <c r="V342" s="236"/>
      <c r="W342" s="237"/>
      <c r="X342" s="237"/>
      <c r="Y342" s="237"/>
      <c r="Z342" s="237"/>
      <c r="AA342" s="237"/>
      <c r="AB342" s="237"/>
      <c r="AC342" s="237"/>
      <c r="AD342" s="237"/>
      <c r="AE342" s="237"/>
      <c r="AF342" s="237"/>
      <c r="AG342" s="237"/>
      <c r="AH342" s="237"/>
      <c r="AI342" s="308"/>
      <c r="AJ342" s="308"/>
      <c r="AK342" s="308"/>
      <c r="AL342" s="308"/>
      <c r="AM342" s="98"/>
      <c r="AN342" s="98"/>
    </row>
    <row r="343" ht="14.25" customHeight="1">
      <c r="A343" s="179"/>
      <c r="B343" s="98"/>
      <c r="C343" s="98"/>
      <c r="D343" s="98"/>
      <c r="E343" s="98"/>
      <c r="F343" s="235"/>
      <c r="G343" s="235"/>
      <c r="H343" s="236"/>
      <c r="I343" s="236"/>
      <c r="J343" s="236"/>
      <c r="K343" s="236"/>
      <c r="L343" s="236"/>
      <c r="M343" s="236"/>
      <c r="N343" s="236"/>
      <c r="O343" s="236"/>
      <c r="P343" s="236"/>
      <c r="Q343" s="236"/>
      <c r="R343" s="236"/>
      <c r="S343" s="236"/>
      <c r="T343" s="236"/>
      <c r="U343" s="236"/>
      <c r="V343" s="236"/>
      <c r="W343" s="237"/>
      <c r="X343" s="237"/>
      <c r="Y343" s="237"/>
      <c r="Z343" s="237"/>
      <c r="AA343" s="237"/>
      <c r="AB343" s="237"/>
      <c r="AC343" s="237"/>
      <c r="AD343" s="237"/>
      <c r="AE343" s="237"/>
      <c r="AF343" s="237"/>
      <c r="AG343" s="237"/>
      <c r="AH343" s="237"/>
      <c r="AI343" s="308"/>
      <c r="AJ343" s="308"/>
      <c r="AK343" s="308"/>
      <c r="AL343" s="308"/>
      <c r="AM343" s="98"/>
      <c r="AN343" s="98"/>
    </row>
    <row r="344" ht="14.25" customHeight="1">
      <c r="A344" s="179"/>
      <c r="B344" s="98"/>
      <c r="C344" s="98"/>
      <c r="D344" s="98"/>
      <c r="E344" s="98"/>
      <c r="F344" s="235"/>
      <c r="G344" s="235"/>
      <c r="H344" s="236"/>
      <c r="I344" s="236"/>
      <c r="J344" s="236"/>
      <c r="K344" s="236"/>
      <c r="L344" s="236"/>
      <c r="M344" s="236"/>
      <c r="N344" s="236"/>
      <c r="O344" s="236"/>
      <c r="P344" s="236"/>
      <c r="Q344" s="236"/>
      <c r="R344" s="236"/>
      <c r="S344" s="236"/>
      <c r="T344" s="236"/>
      <c r="U344" s="236"/>
      <c r="V344" s="236"/>
      <c r="W344" s="237"/>
      <c r="X344" s="237"/>
      <c r="Y344" s="237"/>
      <c r="Z344" s="237"/>
      <c r="AA344" s="237"/>
      <c r="AB344" s="237"/>
      <c r="AC344" s="237"/>
      <c r="AD344" s="237"/>
      <c r="AE344" s="237"/>
      <c r="AF344" s="237"/>
      <c r="AG344" s="237"/>
      <c r="AH344" s="237"/>
      <c r="AI344" s="308"/>
      <c r="AJ344" s="308"/>
      <c r="AK344" s="308"/>
      <c r="AL344" s="308"/>
      <c r="AM344" s="98"/>
      <c r="AN344" s="98"/>
    </row>
    <row r="345" ht="14.25" customHeight="1">
      <c r="A345" s="179"/>
      <c r="B345" s="98"/>
      <c r="C345" s="98"/>
      <c r="D345" s="98"/>
      <c r="E345" s="98"/>
      <c r="F345" s="235"/>
      <c r="G345" s="235"/>
      <c r="H345" s="236"/>
      <c r="I345" s="236"/>
      <c r="J345" s="236"/>
      <c r="K345" s="236"/>
      <c r="L345" s="236"/>
      <c r="M345" s="236"/>
      <c r="N345" s="236"/>
      <c r="O345" s="236"/>
      <c r="P345" s="236"/>
      <c r="Q345" s="236"/>
      <c r="R345" s="236"/>
      <c r="S345" s="236"/>
      <c r="T345" s="236"/>
      <c r="U345" s="236"/>
      <c r="V345" s="236"/>
      <c r="W345" s="237"/>
      <c r="X345" s="237"/>
      <c r="Y345" s="237"/>
      <c r="Z345" s="237"/>
      <c r="AA345" s="237"/>
      <c r="AB345" s="237"/>
      <c r="AC345" s="237"/>
      <c r="AD345" s="237"/>
      <c r="AE345" s="237"/>
      <c r="AF345" s="237"/>
      <c r="AG345" s="237"/>
      <c r="AH345" s="237"/>
      <c r="AI345" s="308"/>
      <c r="AJ345" s="308"/>
      <c r="AK345" s="308"/>
      <c r="AL345" s="308"/>
      <c r="AM345" s="98"/>
      <c r="AN345" s="98"/>
    </row>
    <row r="346" ht="14.25" customHeight="1">
      <c r="A346" s="179"/>
      <c r="B346" s="98"/>
      <c r="C346" s="98"/>
      <c r="D346" s="98"/>
      <c r="E346" s="98"/>
      <c r="F346" s="235"/>
      <c r="G346" s="235"/>
      <c r="H346" s="236"/>
      <c r="I346" s="236"/>
      <c r="J346" s="236"/>
      <c r="K346" s="236"/>
      <c r="L346" s="236"/>
      <c r="M346" s="236"/>
      <c r="N346" s="236"/>
      <c r="O346" s="236"/>
      <c r="P346" s="236"/>
      <c r="Q346" s="236"/>
      <c r="R346" s="236"/>
      <c r="S346" s="236"/>
      <c r="T346" s="236"/>
      <c r="U346" s="236"/>
      <c r="V346" s="236"/>
      <c r="W346" s="237"/>
      <c r="X346" s="237"/>
      <c r="Y346" s="237"/>
      <c r="Z346" s="237"/>
      <c r="AA346" s="237"/>
      <c r="AB346" s="237"/>
      <c r="AC346" s="237"/>
      <c r="AD346" s="237"/>
      <c r="AE346" s="237"/>
      <c r="AF346" s="237"/>
      <c r="AG346" s="237"/>
      <c r="AH346" s="237"/>
      <c r="AI346" s="308"/>
      <c r="AJ346" s="308"/>
      <c r="AK346" s="308"/>
      <c r="AL346" s="308"/>
      <c r="AM346" s="98"/>
      <c r="AN346" s="98"/>
    </row>
    <row r="347" ht="14.25" customHeight="1">
      <c r="A347" s="179"/>
      <c r="B347" s="98"/>
      <c r="C347" s="98"/>
      <c r="D347" s="98"/>
      <c r="E347" s="98"/>
      <c r="F347" s="235"/>
      <c r="G347" s="235"/>
      <c r="H347" s="236"/>
      <c r="I347" s="236"/>
      <c r="J347" s="236"/>
      <c r="K347" s="236"/>
      <c r="L347" s="236"/>
      <c r="M347" s="236"/>
      <c r="N347" s="236"/>
      <c r="O347" s="236"/>
      <c r="P347" s="236"/>
      <c r="Q347" s="236"/>
      <c r="R347" s="236"/>
      <c r="S347" s="236"/>
      <c r="T347" s="236"/>
      <c r="U347" s="236"/>
      <c r="V347" s="236"/>
      <c r="W347" s="237"/>
      <c r="X347" s="237"/>
      <c r="Y347" s="237"/>
      <c r="Z347" s="237"/>
      <c r="AA347" s="237"/>
      <c r="AB347" s="237"/>
      <c r="AC347" s="237"/>
      <c r="AD347" s="237"/>
      <c r="AE347" s="237"/>
      <c r="AF347" s="237"/>
      <c r="AG347" s="237"/>
      <c r="AH347" s="237"/>
      <c r="AI347" s="308"/>
      <c r="AJ347" s="308"/>
      <c r="AK347" s="308"/>
      <c r="AL347" s="308"/>
      <c r="AM347" s="98"/>
      <c r="AN347" s="98"/>
    </row>
    <row r="348" ht="14.25" customHeight="1">
      <c r="A348" s="179"/>
      <c r="B348" s="98"/>
      <c r="C348" s="98"/>
      <c r="D348" s="98"/>
      <c r="E348" s="98"/>
      <c r="F348" s="235"/>
      <c r="G348" s="235"/>
      <c r="H348" s="236"/>
      <c r="I348" s="236"/>
      <c r="J348" s="236"/>
      <c r="K348" s="236"/>
      <c r="L348" s="236"/>
      <c r="M348" s="236"/>
      <c r="N348" s="236"/>
      <c r="O348" s="236"/>
      <c r="P348" s="236"/>
      <c r="Q348" s="236"/>
      <c r="R348" s="236"/>
      <c r="S348" s="236"/>
      <c r="T348" s="236"/>
      <c r="U348" s="236"/>
      <c r="V348" s="236"/>
      <c r="W348" s="237"/>
      <c r="X348" s="237"/>
      <c r="Y348" s="237"/>
      <c r="Z348" s="237"/>
      <c r="AA348" s="237"/>
      <c r="AB348" s="237"/>
      <c r="AC348" s="237"/>
      <c r="AD348" s="237"/>
      <c r="AE348" s="237"/>
      <c r="AF348" s="237"/>
      <c r="AG348" s="237"/>
      <c r="AH348" s="237"/>
      <c r="AI348" s="308"/>
      <c r="AJ348" s="308"/>
      <c r="AK348" s="308"/>
      <c r="AL348" s="308"/>
      <c r="AM348" s="98"/>
      <c r="AN348" s="98"/>
    </row>
    <row r="349" ht="14.25" customHeight="1">
      <c r="A349" s="179"/>
      <c r="B349" s="98"/>
      <c r="C349" s="98"/>
      <c r="D349" s="98"/>
      <c r="E349" s="98"/>
      <c r="F349" s="235"/>
      <c r="G349" s="235"/>
      <c r="H349" s="236"/>
      <c r="I349" s="236"/>
      <c r="J349" s="236"/>
      <c r="K349" s="236"/>
      <c r="L349" s="236"/>
      <c r="M349" s="236"/>
      <c r="N349" s="236"/>
      <c r="O349" s="236"/>
      <c r="P349" s="236"/>
      <c r="Q349" s="236"/>
      <c r="R349" s="236"/>
      <c r="S349" s="236"/>
      <c r="T349" s="236"/>
      <c r="U349" s="236"/>
      <c r="V349" s="236"/>
      <c r="W349" s="237"/>
      <c r="X349" s="237"/>
      <c r="Y349" s="237"/>
      <c r="Z349" s="237"/>
      <c r="AA349" s="237"/>
      <c r="AB349" s="237"/>
      <c r="AC349" s="237"/>
      <c r="AD349" s="237"/>
      <c r="AE349" s="237"/>
      <c r="AF349" s="237"/>
      <c r="AG349" s="237"/>
      <c r="AH349" s="237"/>
      <c r="AI349" s="308"/>
      <c r="AJ349" s="308"/>
      <c r="AK349" s="308"/>
      <c r="AL349" s="308"/>
      <c r="AM349" s="98"/>
      <c r="AN349" s="98"/>
    </row>
    <row r="350" ht="14.25" customHeight="1">
      <c r="A350" s="179"/>
      <c r="B350" s="98"/>
      <c r="C350" s="98"/>
      <c r="D350" s="98"/>
      <c r="E350" s="98"/>
      <c r="F350" s="235"/>
      <c r="G350" s="235"/>
      <c r="H350" s="236"/>
      <c r="I350" s="236"/>
      <c r="J350" s="236"/>
      <c r="K350" s="236"/>
      <c r="L350" s="236"/>
      <c r="M350" s="236"/>
      <c r="N350" s="236"/>
      <c r="O350" s="236"/>
      <c r="P350" s="236"/>
      <c r="Q350" s="236"/>
      <c r="R350" s="236"/>
      <c r="S350" s="236"/>
      <c r="T350" s="236"/>
      <c r="U350" s="236"/>
      <c r="V350" s="236"/>
      <c r="W350" s="237"/>
      <c r="X350" s="237"/>
      <c r="Y350" s="237"/>
      <c r="Z350" s="237"/>
      <c r="AA350" s="237"/>
      <c r="AB350" s="237"/>
      <c r="AC350" s="237"/>
      <c r="AD350" s="237"/>
      <c r="AE350" s="237"/>
      <c r="AF350" s="237"/>
      <c r="AG350" s="237"/>
      <c r="AH350" s="237"/>
      <c r="AI350" s="308"/>
      <c r="AJ350" s="308"/>
      <c r="AK350" s="308"/>
      <c r="AL350" s="308"/>
      <c r="AM350" s="98"/>
      <c r="AN350" s="98"/>
    </row>
    <row r="351" ht="14.25" customHeight="1">
      <c r="A351" s="179"/>
      <c r="B351" s="98"/>
      <c r="C351" s="98"/>
      <c r="D351" s="98"/>
      <c r="E351" s="98"/>
      <c r="F351" s="235"/>
      <c r="G351" s="235"/>
      <c r="H351" s="236"/>
      <c r="I351" s="236"/>
      <c r="J351" s="236"/>
      <c r="K351" s="236"/>
      <c r="L351" s="236"/>
      <c r="M351" s="236"/>
      <c r="N351" s="236"/>
      <c r="O351" s="236"/>
      <c r="P351" s="236"/>
      <c r="Q351" s="236"/>
      <c r="R351" s="236"/>
      <c r="S351" s="236"/>
      <c r="T351" s="236"/>
      <c r="U351" s="236"/>
      <c r="V351" s="236"/>
      <c r="W351" s="237"/>
      <c r="X351" s="237"/>
      <c r="Y351" s="237"/>
      <c r="Z351" s="237"/>
      <c r="AA351" s="237"/>
      <c r="AB351" s="237"/>
      <c r="AC351" s="237"/>
      <c r="AD351" s="237"/>
      <c r="AE351" s="237"/>
      <c r="AF351" s="237"/>
      <c r="AG351" s="237"/>
      <c r="AH351" s="237"/>
      <c r="AI351" s="308"/>
      <c r="AJ351" s="308"/>
      <c r="AK351" s="308"/>
      <c r="AL351" s="308"/>
      <c r="AM351" s="98"/>
      <c r="AN351" s="98"/>
    </row>
    <row r="352" ht="14.25" customHeight="1">
      <c r="A352" s="179"/>
      <c r="B352" s="98"/>
      <c r="C352" s="98"/>
      <c r="D352" s="98"/>
      <c r="E352" s="98"/>
      <c r="F352" s="235"/>
      <c r="G352" s="235"/>
      <c r="H352" s="236"/>
      <c r="I352" s="236"/>
      <c r="J352" s="236"/>
      <c r="K352" s="236"/>
      <c r="L352" s="236"/>
      <c r="M352" s="236"/>
      <c r="N352" s="236"/>
      <c r="O352" s="236"/>
      <c r="P352" s="236"/>
      <c r="Q352" s="236"/>
      <c r="R352" s="236"/>
      <c r="S352" s="236"/>
      <c r="T352" s="236"/>
      <c r="U352" s="236"/>
      <c r="V352" s="236"/>
      <c r="W352" s="237"/>
      <c r="X352" s="237"/>
      <c r="Y352" s="237"/>
      <c r="Z352" s="237"/>
      <c r="AA352" s="237"/>
      <c r="AB352" s="237"/>
      <c r="AC352" s="237"/>
      <c r="AD352" s="237"/>
      <c r="AE352" s="237"/>
      <c r="AF352" s="237"/>
      <c r="AG352" s="237"/>
      <c r="AH352" s="237"/>
      <c r="AI352" s="308"/>
      <c r="AJ352" s="308"/>
      <c r="AK352" s="308"/>
      <c r="AL352" s="308"/>
      <c r="AM352" s="98"/>
      <c r="AN352" s="98"/>
    </row>
    <row r="353" ht="14.25" customHeight="1">
      <c r="A353" s="179"/>
      <c r="B353" s="98"/>
      <c r="C353" s="98"/>
      <c r="D353" s="98"/>
      <c r="E353" s="98"/>
      <c r="F353" s="235"/>
      <c r="G353" s="235"/>
      <c r="H353" s="236"/>
      <c r="I353" s="236"/>
      <c r="J353" s="236"/>
      <c r="K353" s="236"/>
      <c r="L353" s="236"/>
      <c r="M353" s="236"/>
      <c r="N353" s="236"/>
      <c r="O353" s="236"/>
      <c r="P353" s="236"/>
      <c r="Q353" s="236"/>
      <c r="R353" s="236"/>
      <c r="S353" s="236"/>
      <c r="T353" s="236"/>
      <c r="U353" s="236"/>
      <c r="V353" s="236"/>
      <c r="W353" s="237"/>
      <c r="X353" s="237"/>
      <c r="Y353" s="237"/>
      <c r="Z353" s="237"/>
      <c r="AA353" s="237"/>
      <c r="AB353" s="237"/>
      <c r="AC353" s="237"/>
      <c r="AD353" s="237"/>
      <c r="AE353" s="237"/>
      <c r="AF353" s="237"/>
      <c r="AG353" s="237"/>
      <c r="AH353" s="237"/>
      <c r="AI353" s="308"/>
      <c r="AJ353" s="308"/>
      <c r="AK353" s="308"/>
      <c r="AL353" s="308"/>
      <c r="AM353" s="98"/>
      <c r="AN353" s="98"/>
    </row>
    <row r="354" ht="14.25" customHeight="1">
      <c r="A354" s="179"/>
      <c r="B354" s="98"/>
      <c r="C354" s="98"/>
      <c r="D354" s="98"/>
      <c r="E354" s="98"/>
      <c r="F354" s="235"/>
      <c r="G354" s="235"/>
      <c r="H354" s="236"/>
      <c r="I354" s="236"/>
      <c r="J354" s="236"/>
      <c r="K354" s="236"/>
      <c r="L354" s="236"/>
      <c r="M354" s="236"/>
      <c r="N354" s="236"/>
      <c r="O354" s="236"/>
      <c r="P354" s="236"/>
      <c r="Q354" s="236"/>
      <c r="R354" s="236"/>
      <c r="S354" s="236"/>
      <c r="T354" s="236"/>
      <c r="U354" s="236"/>
      <c r="V354" s="236"/>
      <c r="W354" s="237"/>
      <c r="X354" s="237"/>
      <c r="Y354" s="237"/>
      <c r="Z354" s="237"/>
      <c r="AA354" s="237"/>
      <c r="AB354" s="237"/>
      <c r="AC354" s="237"/>
      <c r="AD354" s="237"/>
      <c r="AE354" s="237"/>
      <c r="AF354" s="237"/>
      <c r="AG354" s="237"/>
      <c r="AH354" s="237"/>
      <c r="AI354" s="308"/>
      <c r="AJ354" s="308"/>
      <c r="AK354" s="308"/>
      <c r="AL354" s="308"/>
      <c r="AM354" s="98"/>
      <c r="AN354" s="98"/>
    </row>
    <row r="355" ht="14.25" customHeight="1">
      <c r="A355" s="179"/>
      <c r="B355" s="98"/>
      <c r="C355" s="98"/>
      <c r="D355" s="98"/>
      <c r="E355" s="98"/>
      <c r="F355" s="235"/>
      <c r="G355" s="235"/>
      <c r="H355" s="236"/>
      <c r="I355" s="236"/>
      <c r="J355" s="236"/>
      <c r="K355" s="236"/>
      <c r="L355" s="236"/>
      <c r="M355" s="236"/>
      <c r="N355" s="236"/>
      <c r="O355" s="236"/>
      <c r="P355" s="236"/>
      <c r="Q355" s="236"/>
      <c r="R355" s="236"/>
      <c r="S355" s="236"/>
      <c r="T355" s="236"/>
      <c r="U355" s="236"/>
      <c r="V355" s="236"/>
      <c r="W355" s="237"/>
      <c r="X355" s="237"/>
      <c r="Y355" s="237"/>
      <c r="Z355" s="237"/>
      <c r="AA355" s="237"/>
      <c r="AB355" s="237"/>
      <c r="AC355" s="237"/>
      <c r="AD355" s="237"/>
      <c r="AE355" s="237"/>
      <c r="AF355" s="237"/>
      <c r="AG355" s="237"/>
      <c r="AH355" s="237"/>
      <c r="AI355" s="308"/>
      <c r="AJ355" s="308"/>
      <c r="AK355" s="308"/>
      <c r="AL355" s="308"/>
      <c r="AM355" s="98"/>
      <c r="AN355" s="98"/>
    </row>
    <row r="356" ht="14.25" customHeight="1">
      <c r="A356" s="179"/>
      <c r="B356" s="98"/>
      <c r="C356" s="98"/>
      <c r="D356" s="98"/>
      <c r="E356" s="98"/>
      <c r="F356" s="235"/>
      <c r="G356" s="235"/>
      <c r="H356" s="236"/>
      <c r="I356" s="236"/>
      <c r="J356" s="236"/>
      <c r="K356" s="236"/>
      <c r="L356" s="236"/>
      <c r="M356" s="236"/>
      <c r="N356" s="236"/>
      <c r="O356" s="236"/>
      <c r="P356" s="236"/>
      <c r="Q356" s="236"/>
      <c r="R356" s="236"/>
      <c r="S356" s="236"/>
      <c r="T356" s="236"/>
      <c r="U356" s="236"/>
      <c r="V356" s="236"/>
      <c r="W356" s="237"/>
      <c r="X356" s="237"/>
      <c r="Y356" s="237"/>
      <c r="Z356" s="237"/>
      <c r="AA356" s="237"/>
      <c r="AB356" s="237"/>
      <c r="AC356" s="237"/>
      <c r="AD356" s="237"/>
      <c r="AE356" s="237"/>
      <c r="AF356" s="237"/>
      <c r="AG356" s="237"/>
      <c r="AH356" s="237"/>
      <c r="AI356" s="308"/>
      <c r="AJ356" s="308"/>
      <c r="AK356" s="308"/>
      <c r="AL356" s="308"/>
      <c r="AM356" s="98"/>
      <c r="AN356" s="98"/>
    </row>
    <row r="357" ht="14.25" customHeight="1">
      <c r="A357" s="179"/>
      <c r="B357" s="98"/>
      <c r="C357" s="98"/>
      <c r="D357" s="98"/>
      <c r="E357" s="98"/>
      <c r="F357" s="235"/>
      <c r="G357" s="235"/>
      <c r="H357" s="236"/>
      <c r="I357" s="236"/>
      <c r="J357" s="236"/>
      <c r="K357" s="236"/>
      <c r="L357" s="236"/>
      <c r="M357" s="236"/>
      <c r="N357" s="236"/>
      <c r="O357" s="236"/>
      <c r="P357" s="236"/>
      <c r="Q357" s="236"/>
      <c r="R357" s="236"/>
      <c r="S357" s="236"/>
      <c r="T357" s="236"/>
      <c r="U357" s="236"/>
      <c r="V357" s="236"/>
      <c r="W357" s="237"/>
      <c r="X357" s="237"/>
      <c r="Y357" s="237"/>
      <c r="Z357" s="237"/>
      <c r="AA357" s="237"/>
      <c r="AB357" s="237"/>
      <c r="AC357" s="237"/>
      <c r="AD357" s="237"/>
      <c r="AE357" s="237"/>
      <c r="AF357" s="237"/>
      <c r="AG357" s="237"/>
      <c r="AH357" s="237"/>
      <c r="AI357" s="308"/>
      <c r="AJ357" s="308"/>
      <c r="AK357" s="308"/>
      <c r="AL357" s="308"/>
      <c r="AM357" s="98"/>
      <c r="AN357" s="98"/>
    </row>
    <row r="358" ht="14.25" customHeight="1">
      <c r="A358" s="179"/>
      <c r="B358" s="98"/>
      <c r="C358" s="98"/>
      <c r="D358" s="98"/>
      <c r="E358" s="98"/>
      <c r="F358" s="235"/>
      <c r="G358" s="235"/>
      <c r="H358" s="236"/>
      <c r="I358" s="236"/>
      <c r="J358" s="236"/>
      <c r="K358" s="236"/>
      <c r="L358" s="236"/>
      <c r="M358" s="236"/>
      <c r="N358" s="236"/>
      <c r="O358" s="236"/>
      <c r="P358" s="236"/>
      <c r="Q358" s="236"/>
      <c r="R358" s="236"/>
      <c r="S358" s="236"/>
      <c r="T358" s="236"/>
      <c r="U358" s="236"/>
      <c r="V358" s="236"/>
      <c r="W358" s="237"/>
      <c r="X358" s="237"/>
      <c r="Y358" s="237"/>
      <c r="Z358" s="237"/>
      <c r="AA358" s="237"/>
      <c r="AB358" s="237"/>
      <c r="AC358" s="237"/>
      <c r="AD358" s="237"/>
      <c r="AE358" s="237"/>
      <c r="AF358" s="237"/>
      <c r="AG358" s="237"/>
      <c r="AH358" s="237"/>
      <c r="AI358" s="308"/>
      <c r="AJ358" s="308"/>
      <c r="AK358" s="308"/>
      <c r="AL358" s="308"/>
      <c r="AM358" s="98"/>
      <c r="AN358" s="98"/>
    </row>
    <row r="359" ht="14.25" customHeight="1">
      <c r="A359" s="179"/>
      <c r="B359" s="98"/>
      <c r="C359" s="98"/>
      <c r="D359" s="98"/>
      <c r="E359" s="98"/>
      <c r="F359" s="235"/>
      <c r="G359" s="235"/>
      <c r="H359" s="236"/>
      <c r="I359" s="236"/>
      <c r="J359" s="236"/>
      <c r="K359" s="236"/>
      <c r="L359" s="236"/>
      <c r="M359" s="236"/>
      <c r="N359" s="236"/>
      <c r="O359" s="236"/>
      <c r="P359" s="236"/>
      <c r="Q359" s="236"/>
      <c r="R359" s="236"/>
      <c r="S359" s="236"/>
      <c r="T359" s="236"/>
      <c r="U359" s="236"/>
      <c r="V359" s="236"/>
      <c r="W359" s="237"/>
      <c r="X359" s="237"/>
      <c r="Y359" s="237"/>
      <c r="Z359" s="237"/>
      <c r="AA359" s="237"/>
      <c r="AB359" s="237"/>
      <c r="AC359" s="237"/>
      <c r="AD359" s="237"/>
      <c r="AE359" s="237"/>
      <c r="AF359" s="237"/>
      <c r="AG359" s="237"/>
      <c r="AH359" s="237"/>
      <c r="AI359" s="308"/>
      <c r="AJ359" s="308"/>
      <c r="AK359" s="308"/>
      <c r="AL359" s="308"/>
      <c r="AM359" s="98"/>
      <c r="AN359" s="98"/>
    </row>
    <row r="360" ht="14.25" customHeight="1">
      <c r="A360" s="179"/>
      <c r="B360" s="98"/>
      <c r="C360" s="98"/>
      <c r="D360" s="98"/>
      <c r="E360" s="98"/>
      <c r="F360" s="235"/>
      <c r="G360" s="235"/>
      <c r="H360" s="236"/>
      <c r="I360" s="236"/>
      <c r="J360" s="236"/>
      <c r="K360" s="236"/>
      <c r="L360" s="236"/>
      <c r="M360" s="236"/>
      <c r="N360" s="236"/>
      <c r="O360" s="236"/>
      <c r="P360" s="236"/>
      <c r="Q360" s="236"/>
      <c r="R360" s="236"/>
      <c r="S360" s="236"/>
      <c r="T360" s="236"/>
      <c r="U360" s="236"/>
      <c r="V360" s="236"/>
      <c r="W360" s="237"/>
      <c r="X360" s="237"/>
      <c r="Y360" s="237"/>
      <c r="Z360" s="237"/>
      <c r="AA360" s="237"/>
      <c r="AB360" s="237"/>
      <c r="AC360" s="237"/>
      <c r="AD360" s="237"/>
      <c r="AE360" s="237"/>
      <c r="AF360" s="237"/>
      <c r="AG360" s="237"/>
      <c r="AH360" s="237"/>
      <c r="AI360" s="308"/>
      <c r="AJ360" s="308"/>
      <c r="AK360" s="308"/>
      <c r="AL360" s="308"/>
      <c r="AM360" s="98"/>
      <c r="AN360" s="98"/>
    </row>
    <row r="361" ht="14.25" customHeight="1">
      <c r="A361" s="179"/>
      <c r="B361" s="98"/>
      <c r="C361" s="98"/>
      <c r="D361" s="98"/>
      <c r="E361" s="98"/>
      <c r="F361" s="235"/>
      <c r="G361" s="235"/>
      <c r="H361" s="236"/>
      <c r="I361" s="236"/>
      <c r="J361" s="236"/>
      <c r="K361" s="236"/>
      <c r="L361" s="236"/>
      <c r="M361" s="236"/>
      <c r="N361" s="236"/>
      <c r="O361" s="236"/>
      <c r="P361" s="236"/>
      <c r="Q361" s="236"/>
      <c r="R361" s="236"/>
      <c r="S361" s="236"/>
      <c r="T361" s="236"/>
      <c r="U361" s="236"/>
      <c r="V361" s="236"/>
      <c r="W361" s="237"/>
      <c r="X361" s="237"/>
      <c r="Y361" s="237"/>
      <c r="Z361" s="237"/>
      <c r="AA361" s="237"/>
      <c r="AB361" s="237"/>
      <c r="AC361" s="237"/>
      <c r="AD361" s="237"/>
      <c r="AE361" s="237"/>
      <c r="AF361" s="237"/>
      <c r="AG361" s="237"/>
      <c r="AH361" s="237"/>
      <c r="AI361" s="308"/>
      <c r="AJ361" s="308"/>
      <c r="AK361" s="308"/>
      <c r="AL361" s="308"/>
      <c r="AM361" s="98"/>
      <c r="AN361" s="98"/>
    </row>
    <row r="362" ht="14.25" customHeight="1">
      <c r="A362" s="179"/>
      <c r="B362" s="98"/>
      <c r="C362" s="98"/>
      <c r="D362" s="98"/>
      <c r="E362" s="98"/>
      <c r="F362" s="235"/>
      <c r="G362" s="235"/>
      <c r="H362" s="236"/>
      <c r="I362" s="236"/>
      <c r="J362" s="236"/>
      <c r="K362" s="236"/>
      <c r="L362" s="236"/>
      <c r="M362" s="236"/>
      <c r="N362" s="236"/>
      <c r="O362" s="236"/>
      <c r="P362" s="236"/>
      <c r="Q362" s="236"/>
      <c r="R362" s="236"/>
      <c r="S362" s="236"/>
      <c r="T362" s="236"/>
      <c r="U362" s="236"/>
      <c r="V362" s="236"/>
      <c r="W362" s="237"/>
      <c r="X362" s="237"/>
      <c r="Y362" s="237"/>
      <c r="Z362" s="237"/>
      <c r="AA362" s="237"/>
      <c r="AB362" s="237"/>
      <c r="AC362" s="237"/>
      <c r="AD362" s="237"/>
      <c r="AE362" s="237"/>
      <c r="AF362" s="237"/>
      <c r="AG362" s="237"/>
      <c r="AH362" s="237"/>
      <c r="AI362" s="308"/>
      <c r="AJ362" s="308"/>
      <c r="AK362" s="308"/>
      <c r="AL362" s="308"/>
      <c r="AM362" s="98"/>
      <c r="AN362" s="98"/>
    </row>
    <row r="363" ht="14.25" customHeight="1">
      <c r="A363" s="179"/>
      <c r="B363" s="98"/>
      <c r="C363" s="98"/>
      <c r="D363" s="98"/>
      <c r="E363" s="98"/>
      <c r="F363" s="235"/>
      <c r="G363" s="235"/>
      <c r="H363" s="236"/>
      <c r="I363" s="236"/>
      <c r="J363" s="236"/>
      <c r="K363" s="236"/>
      <c r="L363" s="236"/>
      <c r="M363" s="236"/>
      <c r="N363" s="236"/>
      <c r="O363" s="236"/>
      <c r="P363" s="236"/>
      <c r="Q363" s="236"/>
      <c r="R363" s="236"/>
      <c r="S363" s="236"/>
      <c r="T363" s="236"/>
      <c r="U363" s="236"/>
      <c r="V363" s="236"/>
      <c r="W363" s="237"/>
      <c r="X363" s="237"/>
      <c r="Y363" s="237"/>
      <c r="Z363" s="237"/>
      <c r="AA363" s="237"/>
      <c r="AB363" s="237"/>
      <c r="AC363" s="237"/>
      <c r="AD363" s="237"/>
      <c r="AE363" s="237"/>
      <c r="AF363" s="237"/>
      <c r="AG363" s="237"/>
      <c r="AH363" s="237"/>
      <c r="AI363" s="308"/>
      <c r="AJ363" s="308"/>
      <c r="AK363" s="308"/>
      <c r="AL363" s="308"/>
      <c r="AM363" s="98"/>
      <c r="AN363" s="98"/>
    </row>
    <row r="364" ht="14.25" customHeight="1">
      <c r="A364" s="179"/>
      <c r="B364" s="98"/>
      <c r="C364" s="98"/>
      <c r="D364" s="98"/>
      <c r="E364" s="98"/>
      <c r="F364" s="235"/>
      <c r="G364" s="235"/>
      <c r="H364" s="236"/>
      <c r="I364" s="236"/>
      <c r="J364" s="236"/>
      <c r="K364" s="236"/>
      <c r="L364" s="236"/>
      <c r="M364" s="236"/>
      <c r="N364" s="236"/>
      <c r="O364" s="236"/>
      <c r="P364" s="236"/>
      <c r="Q364" s="236"/>
      <c r="R364" s="236"/>
      <c r="S364" s="236"/>
      <c r="T364" s="236"/>
      <c r="U364" s="236"/>
      <c r="V364" s="236"/>
      <c r="W364" s="237"/>
      <c r="X364" s="237"/>
      <c r="Y364" s="237"/>
      <c r="Z364" s="237"/>
      <c r="AA364" s="237"/>
      <c r="AB364" s="237"/>
      <c r="AC364" s="237"/>
      <c r="AD364" s="237"/>
      <c r="AE364" s="237"/>
      <c r="AF364" s="237"/>
      <c r="AG364" s="237"/>
      <c r="AH364" s="237"/>
      <c r="AI364" s="308"/>
      <c r="AJ364" s="308"/>
      <c r="AK364" s="308"/>
      <c r="AL364" s="308"/>
      <c r="AM364" s="98"/>
      <c r="AN364" s="98"/>
    </row>
    <row r="365" ht="14.25" customHeight="1">
      <c r="A365" s="179"/>
      <c r="B365" s="98"/>
      <c r="C365" s="98"/>
      <c r="D365" s="98"/>
      <c r="E365" s="98"/>
      <c r="F365" s="235"/>
      <c r="G365" s="235"/>
      <c r="H365" s="236"/>
      <c r="I365" s="236"/>
      <c r="J365" s="236"/>
      <c r="K365" s="236"/>
      <c r="L365" s="236"/>
      <c r="M365" s="236"/>
      <c r="N365" s="236"/>
      <c r="O365" s="236"/>
      <c r="P365" s="236"/>
      <c r="Q365" s="236"/>
      <c r="R365" s="236"/>
      <c r="S365" s="236"/>
      <c r="T365" s="236"/>
      <c r="U365" s="236"/>
      <c r="V365" s="236"/>
      <c r="W365" s="237"/>
      <c r="X365" s="237"/>
      <c r="Y365" s="237"/>
      <c r="Z365" s="237"/>
      <c r="AA365" s="237"/>
      <c r="AB365" s="237"/>
      <c r="AC365" s="237"/>
      <c r="AD365" s="237"/>
      <c r="AE365" s="237"/>
      <c r="AF365" s="237"/>
      <c r="AG365" s="237"/>
      <c r="AH365" s="237"/>
      <c r="AI365" s="308"/>
      <c r="AJ365" s="308"/>
      <c r="AK365" s="308"/>
      <c r="AL365" s="308"/>
      <c r="AM365" s="98"/>
      <c r="AN365" s="98"/>
    </row>
    <row r="366" ht="14.25" customHeight="1">
      <c r="A366" s="179"/>
      <c r="B366" s="98"/>
      <c r="C366" s="98"/>
      <c r="D366" s="98"/>
      <c r="E366" s="98"/>
      <c r="F366" s="235"/>
      <c r="G366" s="235"/>
      <c r="H366" s="236"/>
      <c r="I366" s="236"/>
      <c r="J366" s="236"/>
      <c r="K366" s="236"/>
      <c r="L366" s="236"/>
      <c r="M366" s="236"/>
      <c r="N366" s="236"/>
      <c r="O366" s="236"/>
      <c r="P366" s="236"/>
      <c r="Q366" s="236"/>
      <c r="R366" s="236"/>
      <c r="S366" s="236"/>
      <c r="T366" s="236"/>
      <c r="U366" s="236"/>
      <c r="V366" s="236"/>
      <c r="W366" s="237"/>
      <c r="X366" s="237"/>
      <c r="Y366" s="237"/>
      <c r="Z366" s="237"/>
      <c r="AA366" s="237"/>
      <c r="AB366" s="237"/>
      <c r="AC366" s="237"/>
      <c r="AD366" s="237"/>
      <c r="AE366" s="237"/>
      <c r="AF366" s="237"/>
      <c r="AG366" s="237"/>
      <c r="AH366" s="237"/>
      <c r="AI366" s="308"/>
      <c r="AJ366" s="308"/>
      <c r="AK366" s="308"/>
      <c r="AL366" s="308"/>
      <c r="AM366" s="98"/>
      <c r="AN366" s="98"/>
    </row>
    <row r="367" ht="14.25" customHeight="1">
      <c r="A367" s="179"/>
      <c r="B367" s="98"/>
      <c r="C367" s="98"/>
      <c r="D367" s="98"/>
      <c r="E367" s="98"/>
      <c r="F367" s="235"/>
      <c r="G367" s="235"/>
      <c r="H367" s="236"/>
      <c r="I367" s="236"/>
      <c r="J367" s="236"/>
      <c r="K367" s="236"/>
      <c r="L367" s="236"/>
      <c r="M367" s="236"/>
      <c r="N367" s="236"/>
      <c r="O367" s="236"/>
      <c r="P367" s="236"/>
      <c r="Q367" s="236"/>
      <c r="R367" s="236"/>
      <c r="S367" s="236"/>
      <c r="T367" s="236"/>
      <c r="U367" s="236"/>
      <c r="V367" s="236"/>
      <c r="W367" s="237"/>
      <c r="X367" s="237"/>
      <c r="Y367" s="237"/>
      <c r="Z367" s="237"/>
      <c r="AA367" s="237"/>
      <c r="AB367" s="237"/>
      <c r="AC367" s="237"/>
      <c r="AD367" s="237"/>
      <c r="AE367" s="237"/>
      <c r="AF367" s="237"/>
      <c r="AG367" s="237"/>
      <c r="AH367" s="237"/>
      <c r="AI367" s="308"/>
      <c r="AJ367" s="308"/>
      <c r="AK367" s="308"/>
      <c r="AL367" s="308"/>
      <c r="AM367" s="98"/>
      <c r="AN367" s="98"/>
    </row>
    <row r="368" ht="14.25" customHeight="1">
      <c r="A368" s="179"/>
      <c r="B368" s="98"/>
      <c r="C368" s="98"/>
      <c r="D368" s="98"/>
      <c r="E368" s="98"/>
      <c r="F368" s="235"/>
      <c r="G368" s="235"/>
      <c r="H368" s="236"/>
      <c r="I368" s="236"/>
      <c r="J368" s="236"/>
      <c r="K368" s="236"/>
      <c r="L368" s="236"/>
      <c r="M368" s="236"/>
      <c r="N368" s="236"/>
      <c r="O368" s="236"/>
      <c r="P368" s="236"/>
      <c r="Q368" s="236"/>
      <c r="R368" s="236"/>
      <c r="S368" s="236"/>
      <c r="T368" s="236"/>
      <c r="U368" s="236"/>
      <c r="V368" s="236"/>
      <c r="W368" s="237"/>
      <c r="X368" s="237"/>
      <c r="Y368" s="237"/>
      <c r="Z368" s="237"/>
      <c r="AA368" s="237"/>
      <c r="AB368" s="237"/>
      <c r="AC368" s="237"/>
      <c r="AD368" s="237"/>
      <c r="AE368" s="237"/>
      <c r="AF368" s="237"/>
      <c r="AG368" s="237"/>
      <c r="AH368" s="237"/>
      <c r="AI368" s="308"/>
      <c r="AJ368" s="308"/>
      <c r="AK368" s="308"/>
      <c r="AL368" s="308"/>
      <c r="AM368" s="98"/>
      <c r="AN368" s="98"/>
    </row>
    <row r="369" ht="14.25" customHeight="1">
      <c r="A369" s="179"/>
      <c r="B369" s="98"/>
      <c r="C369" s="98"/>
      <c r="D369" s="98"/>
      <c r="E369" s="98"/>
      <c r="F369" s="235"/>
      <c r="G369" s="235"/>
      <c r="H369" s="236"/>
      <c r="I369" s="236"/>
      <c r="J369" s="236"/>
      <c r="K369" s="236"/>
      <c r="L369" s="236"/>
      <c r="M369" s="236"/>
      <c r="N369" s="236"/>
      <c r="O369" s="236"/>
      <c r="P369" s="236"/>
      <c r="Q369" s="236"/>
      <c r="R369" s="236"/>
      <c r="S369" s="236"/>
      <c r="T369" s="236"/>
      <c r="U369" s="236"/>
      <c r="V369" s="236"/>
      <c r="W369" s="237"/>
      <c r="X369" s="237"/>
      <c r="Y369" s="237"/>
      <c r="Z369" s="237"/>
      <c r="AA369" s="237"/>
      <c r="AB369" s="237"/>
      <c r="AC369" s="237"/>
      <c r="AD369" s="237"/>
      <c r="AE369" s="237"/>
      <c r="AF369" s="237"/>
      <c r="AG369" s="237"/>
      <c r="AH369" s="237"/>
      <c r="AI369" s="308"/>
      <c r="AJ369" s="308"/>
      <c r="AK369" s="308"/>
      <c r="AL369" s="308"/>
      <c r="AM369" s="98"/>
      <c r="AN369" s="98"/>
    </row>
    <row r="370" ht="14.25" customHeight="1">
      <c r="A370" s="179"/>
      <c r="B370" s="98"/>
      <c r="C370" s="98"/>
      <c r="D370" s="98"/>
      <c r="E370" s="98"/>
      <c r="F370" s="235"/>
      <c r="G370" s="235"/>
      <c r="H370" s="236"/>
      <c r="I370" s="236"/>
      <c r="J370" s="236"/>
      <c r="K370" s="236"/>
      <c r="L370" s="236"/>
      <c r="M370" s="236"/>
      <c r="N370" s="236"/>
      <c r="O370" s="236"/>
      <c r="P370" s="236"/>
      <c r="Q370" s="236"/>
      <c r="R370" s="236"/>
      <c r="S370" s="236"/>
      <c r="T370" s="236"/>
      <c r="U370" s="236"/>
      <c r="V370" s="236"/>
      <c r="W370" s="237"/>
      <c r="X370" s="237"/>
      <c r="Y370" s="237"/>
      <c r="Z370" s="237"/>
      <c r="AA370" s="237"/>
      <c r="AB370" s="237"/>
      <c r="AC370" s="237"/>
      <c r="AD370" s="237"/>
      <c r="AE370" s="237"/>
      <c r="AF370" s="237"/>
      <c r="AG370" s="237"/>
      <c r="AH370" s="237"/>
      <c r="AI370" s="308"/>
      <c r="AJ370" s="308"/>
      <c r="AK370" s="308"/>
      <c r="AL370" s="308"/>
      <c r="AM370" s="98"/>
      <c r="AN370" s="98"/>
    </row>
    <row r="371" ht="14.25" customHeight="1">
      <c r="A371" s="179"/>
      <c r="B371" s="98"/>
      <c r="C371" s="98"/>
      <c r="D371" s="98"/>
      <c r="E371" s="98"/>
      <c r="F371" s="235"/>
      <c r="G371" s="235"/>
      <c r="H371" s="236"/>
      <c r="I371" s="236"/>
      <c r="J371" s="236"/>
      <c r="K371" s="236"/>
      <c r="L371" s="236"/>
      <c r="M371" s="236"/>
      <c r="N371" s="236"/>
      <c r="O371" s="236"/>
      <c r="P371" s="236"/>
      <c r="Q371" s="236"/>
      <c r="R371" s="236"/>
      <c r="S371" s="236"/>
      <c r="T371" s="236"/>
      <c r="U371" s="236"/>
      <c r="V371" s="236"/>
      <c r="W371" s="237"/>
      <c r="X371" s="237"/>
      <c r="Y371" s="237"/>
      <c r="Z371" s="237"/>
      <c r="AA371" s="237"/>
      <c r="AB371" s="237"/>
      <c r="AC371" s="237"/>
      <c r="AD371" s="237"/>
      <c r="AE371" s="237"/>
      <c r="AF371" s="237"/>
      <c r="AG371" s="237"/>
      <c r="AH371" s="237"/>
      <c r="AI371" s="308"/>
      <c r="AJ371" s="308"/>
      <c r="AK371" s="308"/>
      <c r="AL371" s="308"/>
      <c r="AM371" s="98"/>
      <c r="AN371" s="98"/>
    </row>
    <row r="372" ht="14.25" customHeight="1">
      <c r="A372" s="179"/>
      <c r="B372" s="98"/>
      <c r="C372" s="98"/>
      <c r="D372" s="98"/>
      <c r="E372" s="98"/>
      <c r="F372" s="235"/>
      <c r="G372" s="235"/>
      <c r="H372" s="236"/>
      <c r="I372" s="236"/>
      <c r="J372" s="236"/>
      <c r="K372" s="236"/>
      <c r="L372" s="236"/>
      <c r="M372" s="236"/>
      <c r="N372" s="236"/>
      <c r="O372" s="236"/>
      <c r="P372" s="236"/>
      <c r="Q372" s="236"/>
      <c r="R372" s="236"/>
      <c r="S372" s="236"/>
      <c r="T372" s="236"/>
      <c r="U372" s="236"/>
      <c r="V372" s="236"/>
      <c r="W372" s="237"/>
      <c r="X372" s="237"/>
      <c r="Y372" s="237"/>
      <c r="Z372" s="237"/>
      <c r="AA372" s="237"/>
      <c r="AB372" s="237"/>
      <c r="AC372" s="237"/>
      <c r="AD372" s="237"/>
      <c r="AE372" s="237"/>
      <c r="AF372" s="237"/>
      <c r="AG372" s="237"/>
      <c r="AH372" s="237"/>
      <c r="AI372" s="308"/>
      <c r="AJ372" s="308"/>
      <c r="AK372" s="308"/>
      <c r="AL372" s="308"/>
      <c r="AM372" s="98"/>
      <c r="AN372" s="98"/>
    </row>
    <row r="373" ht="14.25" customHeight="1">
      <c r="A373" s="179"/>
      <c r="B373" s="98"/>
      <c r="C373" s="98"/>
      <c r="D373" s="98"/>
      <c r="E373" s="98"/>
      <c r="F373" s="235"/>
      <c r="G373" s="235"/>
      <c r="H373" s="236"/>
      <c r="I373" s="236"/>
      <c r="J373" s="236"/>
      <c r="K373" s="236"/>
      <c r="L373" s="236"/>
      <c r="M373" s="236"/>
      <c r="N373" s="236"/>
      <c r="O373" s="236"/>
      <c r="P373" s="236"/>
      <c r="Q373" s="236"/>
      <c r="R373" s="236"/>
      <c r="S373" s="236"/>
      <c r="T373" s="236"/>
      <c r="U373" s="236"/>
      <c r="V373" s="236"/>
      <c r="W373" s="237"/>
      <c r="X373" s="237"/>
      <c r="Y373" s="237"/>
      <c r="Z373" s="237"/>
      <c r="AA373" s="237"/>
      <c r="AB373" s="237"/>
      <c r="AC373" s="237"/>
      <c r="AD373" s="237"/>
      <c r="AE373" s="237"/>
      <c r="AF373" s="237"/>
      <c r="AG373" s="237"/>
      <c r="AH373" s="237"/>
      <c r="AI373" s="308"/>
      <c r="AJ373" s="308"/>
      <c r="AK373" s="308"/>
      <c r="AL373" s="308"/>
      <c r="AM373" s="98"/>
      <c r="AN373" s="98"/>
    </row>
    <row r="374" ht="14.25" customHeight="1">
      <c r="A374" s="179"/>
      <c r="B374" s="98"/>
      <c r="C374" s="98"/>
      <c r="D374" s="98"/>
      <c r="E374" s="98"/>
      <c r="F374" s="235"/>
      <c r="G374" s="235"/>
      <c r="H374" s="236"/>
      <c r="I374" s="236"/>
      <c r="J374" s="236"/>
      <c r="K374" s="236"/>
      <c r="L374" s="236"/>
      <c r="M374" s="236"/>
      <c r="N374" s="236"/>
      <c r="O374" s="236"/>
      <c r="P374" s="236"/>
      <c r="Q374" s="236"/>
      <c r="R374" s="236"/>
      <c r="S374" s="236"/>
      <c r="T374" s="236"/>
      <c r="U374" s="236"/>
      <c r="V374" s="236"/>
      <c r="W374" s="237"/>
      <c r="X374" s="237"/>
      <c r="Y374" s="237"/>
      <c r="Z374" s="237"/>
      <c r="AA374" s="237"/>
      <c r="AB374" s="237"/>
      <c r="AC374" s="237"/>
      <c r="AD374" s="237"/>
      <c r="AE374" s="237"/>
      <c r="AF374" s="237"/>
      <c r="AG374" s="237"/>
      <c r="AH374" s="237"/>
      <c r="AI374" s="308"/>
      <c r="AJ374" s="308"/>
      <c r="AK374" s="308"/>
      <c r="AL374" s="308"/>
      <c r="AM374" s="98"/>
      <c r="AN374" s="98"/>
    </row>
    <row r="375" ht="14.25" customHeight="1">
      <c r="A375" s="179"/>
      <c r="B375" s="98"/>
      <c r="C375" s="98"/>
      <c r="D375" s="98"/>
      <c r="E375" s="98"/>
      <c r="F375" s="235"/>
      <c r="G375" s="235"/>
      <c r="H375" s="236"/>
      <c r="I375" s="236"/>
      <c r="J375" s="236"/>
      <c r="K375" s="236"/>
      <c r="L375" s="236"/>
      <c r="M375" s="236"/>
      <c r="N375" s="236"/>
      <c r="O375" s="236"/>
      <c r="P375" s="236"/>
      <c r="Q375" s="236"/>
      <c r="R375" s="236"/>
      <c r="S375" s="236"/>
      <c r="T375" s="236"/>
      <c r="U375" s="236"/>
      <c r="V375" s="236"/>
      <c r="W375" s="237"/>
      <c r="X375" s="237"/>
      <c r="Y375" s="237"/>
      <c r="Z375" s="237"/>
      <c r="AA375" s="237"/>
      <c r="AB375" s="237"/>
      <c r="AC375" s="237"/>
      <c r="AD375" s="237"/>
      <c r="AE375" s="237"/>
      <c r="AF375" s="237"/>
      <c r="AG375" s="237"/>
      <c r="AH375" s="237"/>
      <c r="AI375" s="308"/>
      <c r="AJ375" s="308"/>
      <c r="AK375" s="308"/>
      <c r="AL375" s="308"/>
      <c r="AM375" s="98"/>
      <c r="AN375" s="98"/>
    </row>
    <row r="376" ht="14.25" customHeight="1">
      <c r="A376" s="179"/>
      <c r="B376" s="98"/>
      <c r="C376" s="98"/>
      <c r="D376" s="98"/>
      <c r="E376" s="98"/>
      <c r="F376" s="235"/>
      <c r="G376" s="235"/>
      <c r="H376" s="236"/>
      <c r="I376" s="236"/>
      <c r="J376" s="236"/>
      <c r="K376" s="236"/>
      <c r="L376" s="236"/>
      <c r="M376" s="236"/>
      <c r="N376" s="236"/>
      <c r="O376" s="236"/>
      <c r="P376" s="236"/>
      <c r="Q376" s="236"/>
      <c r="R376" s="236"/>
      <c r="S376" s="236"/>
      <c r="T376" s="236"/>
      <c r="U376" s="236"/>
      <c r="V376" s="236"/>
      <c r="W376" s="237"/>
      <c r="X376" s="237"/>
      <c r="Y376" s="237"/>
      <c r="Z376" s="237"/>
      <c r="AA376" s="237"/>
      <c r="AB376" s="237"/>
      <c r="AC376" s="237"/>
      <c r="AD376" s="237"/>
      <c r="AE376" s="237"/>
      <c r="AF376" s="237"/>
      <c r="AG376" s="237"/>
      <c r="AH376" s="237"/>
      <c r="AI376" s="308"/>
      <c r="AJ376" s="308"/>
      <c r="AK376" s="308"/>
      <c r="AL376" s="308"/>
      <c r="AM376" s="98"/>
      <c r="AN376" s="98"/>
    </row>
    <row r="377" ht="14.25" customHeight="1">
      <c r="A377" s="179"/>
      <c r="B377" s="98"/>
      <c r="C377" s="98"/>
      <c r="D377" s="98"/>
      <c r="E377" s="98"/>
      <c r="F377" s="235"/>
      <c r="G377" s="235"/>
      <c r="H377" s="236"/>
      <c r="I377" s="236"/>
      <c r="J377" s="236"/>
      <c r="K377" s="236"/>
      <c r="L377" s="236"/>
      <c r="M377" s="236"/>
      <c r="N377" s="236"/>
      <c r="O377" s="236"/>
      <c r="P377" s="236"/>
      <c r="Q377" s="236"/>
      <c r="R377" s="236"/>
      <c r="S377" s="236"/>
      <c r="T377" s="236"/>
      <c r="U377" s="236"/>
      <c r="V377" s="236"/>
      <c r="W377" s="237"/>
      <c r="X377" s="237"/>
      <c r="Y377" s="237"/>
      <c r="Z377" s="237"/>
      <c r="AA377" s="237"/>
      <c r="AB377" s="237"/>
      <c r="AC377" s="237"/>
      <c r="AD377" s="237"/>
      <c r="AE377" s="237"/>
      <c r="AF377" s="237"/>
      <c r="AG377" s="237"/>
      <c r="AH377" s="237"/>
      <c r="AI377" s="308"/>
      <c r="AJ377" s="308"/>
      <c r="AK377" s="308"/>
      <c r="AL377" s="308"/>
      <c r="AM377" s="98"/>
      <c r="AN377" s="98"/>
    </row>
    <row r="378" ht="14.25" customHeight="1">
      <c r="A378" s="179"/>
      <c r="B378" s="98"/>
      <c r="C378" s="98"/>
      <c r="D378" s="98"/>
      <c r="E378" s="98"/>
      <c r="F378" s="235"/>
      <c r="G378" s="235"/>
      <c r="H378" s="236"/>
      <c r="I378" s="236"/>
      <c r="J378" s="236"/>
      <c r="K378" s="236"/>
      <c r="L378" s="236"/>
      <c r="M378" s="236"/>
      <c r="N378" s="236"/>
      <c r="O378" s="236"/>
      <c r="P378" s="236"/>
      <c r="Q378" s="236"/>
      <c r="R378" s="236"/>
      <c r="S378" s="236"/>
      <c r="T378" s="236"/>
      <c r="U378" s="236"/>
      <c r="V378" s="236"/>
      <c r="W378" s="237"/>
      <c r="X378" s="237"/>
      <c r="Y378" s="237"/>
      <c r="Z378" s="237"/>
      <c r="AA378" s="237"/>
      <c r="AB378" s="237"/>
      <c r="AC378" s="237"/>
      <c r="AD378" s="237"/>
      <c r="AE378" s="237"/>
      <c r="AF378" s="237"/>
      <c r="AG378" s="237"/>
      <c r="AH378" s="237"/>
      <c r="AI378" s="308"/>
      <c r="AJ378" s="308"/>
      <c r="AK378" s="308"/>
      <c r="AL378" s="308"/>
      <c r="AM378" s="98"/>
      <c r="AN378" s="98"/>
    </row>
    <row r="379" ht="14.25" customHeight="1">
      <c r="A379" s="179"/>
      <c r="B379" s="98"/>
      <c r="C379" s="98"/>
      <c r="D379" s="98"/>
      <c r="E379" s="98"/>
      <c r="F379" s="235"/>
      <c r="G379" s="235"/>
      <c r="H379" s="236"/>
      <c r="I379" s="236"/>
      <c r="J379" s="236"/>
      <c r="K379" s="236"/>
      <c r="L379" s="236"/>
      <c r="M379" s="236"/>
      <c r="N379" s="236"/>
      <c r="O379" s="236"/>
      <c r="P379" s="236"/>
      <c r="Q379" s="236"/>
      <c r="R379" s="236"/>
      <c r="S379" s="236"/>
      <c r="T379" s="236"/>
      <c r="U379" s="236"/>
      <c r="V379" s="236"/>
      <c r="W379" s="237"/>
      <c r="X379" s="237"/>
      <c r="Y379" s="237"/>
      <c r="Z379" s="237"/>
      <c r="AA379" s="237"/>
      <c r="AB379" s="237"/>
      <c r="AC379" s="237"/>
      <c r="AD379" s="237"/>
      <c r="AE379" s="237"/>
      <c r="AF379" s="237"/>
      <c r="AG379" s="237"/>
      <c r="AH379" s="237"/>
      <c r="AI379" s="308"/>
      <c r="AJ379" s="308"/>
      <c r="AK379" s="308"/>
      <c r="AL379" s="308"/>
      <c r="AM379" s="98"/>
      <c r="AN379" s="98"/>
    </row>
    <row r="380" ht="14.25" customHeight="1">
      <c r="A380" s="179"/>
      <c r="B380" s="98"/>
      <c r="C380" s="98"/>
      <c r="D380" s="98"/>
      <c r="E380" s="98"/>
      <c r="F380" s="235"/>
      <c r="G380" s="235"/>
      <c r="H380" s="236"/>
      <c r="I380" s="236"/>
      <c r="J380" s="236"/>
      <c r="K380" s="236"/>
      <c r="L380" s="236"/>
      <c r="M380" s="236"/>
      <c r="N380" s="236"/>
      <c r="O380" s="236"/>
      <c r="P380" s="236"/>
      <c r="Q380" s="236"/>
      <c r="R380" s="236"/>
      <c r="S380" s="236"/>
      <c r="T380" s="236"/>
      <c r="U380" s="236"/>
      <c r="V380" s="236"/>
      <c r="W380" s="237"/>
      <c r="X380" s="237"/>
      <c r="Y380" s="237"/>
      <c r="Z380" s="237"/>
      <c r="AA380" s="237"/>
      <c r="AB380" s="237"/>
      <c r="AC380" s="237"/>
      <c r="AD380" s="237"/>
      <c r="AE380" s="237"/>
      <c r="AF380" s="237"/>
      <c r="AG380" s="237"/>
      <c r="AH380" s="237"/>
      <c r="AI380" s="308"/>
      <c r="AJ380" s="308"/>
      <c r="AK380" s="308"/>
      <c r="AL380" s="308"/>
      <c r="AM380" s="98"/>
      <c r="AN380" s="98"/>
    </row>
    <row r="381" ht="14.25" customHeight="1">
      <c r="A381" s="179"/>
      <c r="B381" s="98"/>
      <c r="C381" s="98"/>
      <c r="D381" s="98"/>
      <c r="E381" s="98"/>
      <c r="F381" s="235"/>
      <c r="G381" s="235"/>
      <c r="H381" s="236"/>
      <c r="I381" s="236"/>
      <c r="J381" s="236"/>
      <c r="K381" s="236"/>
      <c r="L381" s="236"/>
      <c r="M381" s="236"/>
      <c r="N381" s="236"/>
      <c r="O381" s="236"/>
      <c r="P381" s="236"/>
      <c r="Q381" s="236"/>
      <c r="R381" s="236"/>
      <c r="S381" s="236"/>
      <c r="T381" s="236"/>
      <c r="U381" s="236"/>
      <c r="V381" s="236"/>
      <c r="W381" s="237"/>
      <c r="X381" s="237"/>
      <c r="Y381" s="237"/>
      <c r="Z381" s="237"/>
      <c r="AA381" s="237"/>
      <c r="AB381" s="237"/>
      <c r="AC381" s="237"/>
      <c r="AD381" s="237"/>
      <c r="AE381" s="237"/>
      <c r="AF381" s="237"/>
      <c r="AG381" s="237"/>
      <c r="AH381" s="237"/>
      <c r="AI381" s="308"/>
      <c r="AJ381" s="308"/>
      <c r="AK381" s="308"/>
      <c r="AL381" s="308"/>
      <c r="AM381" s="98"/>
      <c r="AN381" s="98"/>
    </row>
    <row r="382" ht="14.25" customHeight="1">
      <c r="A382" s="179"/>
      <c r="B382" s="98"/>
      <c r="C382" s="98"/>
      <c r="D382" s="98"/>
      <c r="E382" s="98"/>
      <c r="F382" s="235"/>
      <c r="G382" s="235"/>
      <c r="H382" s="236"/>
      <c r="I382" s="236"/>
      <c r="J382" s="236"/>
      <c r="K382" s="236"/>
      <c r="L382" s="236"/>
      <c r="M382" s="236"/>
      <c r="N382" s="236"/>
      <c r="O382" s="236"/>
      <c r="P382" s="236"/>
      <c r="Q382" s="236"/>
      <c r="R382" s="236"/>
      <c r="S382" s="236"/>
      <c r="T382" s="236"/>
      <c r="U382" s="236"/>
      <c r="V382" s="236"/>
      <c r="W382" s="237"/>
      <c r="X382" s="237"/>
      <c r="Y382" s="237"/>
      <c r="Z382" s="237"/>
      <c r="AA382" s="237"/>
      <c r="AB382" s="237"/>
      <c r="AC382" s="237"/>
      <c r="AD382" s="237"/>
      <c r="AE382" s="237"/>
      <c r="AF382" s="237"/>
      <c r="AG382" s="237"/>
      <c r="AH382" s="237"/>
      <c r="AI382" s="308"/>
      <c r="AJ382" s="308"/>
      <c r="AK382" s="308"/>
      <c r="AL382" s="308"/>
      <c r="AM382" s="98"/>
      <c r="AN382" s="98"/>
    </row>
    <row r="383" ht="14.25" customHeight="1">
      <c r="A383" s="179"/>
      <c r="B383" s="98"/>
      <c r="C383" s="98"/>
      <c r="D383" s="98"/>
      <c r="E383" s="98"/>
      <c r="F383" s="235"/>
      <c r="G383" s="235"/>
      <c r="H383" s="236"/>
      <c r="I383" s="236"/>
      <c r="J383" s="236"/>
      <c r="K383" s="236"/>
      <c r="L383" s="236"/>
      <c r="M383" s="236"/>
      <c r="N383" s="236"/>
      <c r="O383" s="236"/>
      <c r="P383" s="236"/>
      <c r="Q383" s="236"/>
      <c r="R383" s="236"/>
      <c r="S383" s="236"/>
      <c r="T383" s="236"/>
      <c r="U383" s="236"/>
      <c r="V383" s="236"/>
      <c r="W383" s="237"/>
      <c r="X383" s="237"/>
      <c r="Y383" s="237"/>
      <c r="Z383" s="237"/>
      <c r="AA383" s="237"/>
      <c r="AB383" s="237"/>
      <c r="AC383" s="237"/>
      <c r="AD383" s="237"/>
      <c r="AE383" s="237"/>
      <c r="AF383" s="237"/>
      <c r="AG383" s="237"/>
      <c r="AH383" s="237"/>
      <c r="AI383" s="308"/>
      <c r="AJ383" s="308"/>
      <c r="AK383" s="308"/>
      <c r="AL383" s="308"/>
      <c r="AM383" s="98"/>
      <c r="AN383" s="98"/>
    </row>
    <row r="384" ht="14.25" customHeight="1">
      <c r="A384" s="179"/>
      <c r="B384" s="98"/>
      <c r="C384" s="98"/>
      <c r="D384" s="98"/>
      <c r="E384" s="98"/>
      <c r="F384" s="235"/>
      <c r="G384" s="235"/>
      <c r="H384" s="236"/>
      <c r="I384" s="236"/>
      <c r="J384" s="236"/>
      <c r="K384" s="236"/>
      <c r="L384" s="236"/>
      <c r="M384" s="236"/>
      <c r="N384" s="236"/>
      <c r="O384" s="236"/>
      <c r="P384" s="236"/>
      <c r="Q384" s="236"/>
      <c r="R384" s="236"/>
      <c r="S384" s="236"/>
      <c r="T384" s="236"/>
      <c r="U384" s="236"/>
      <c r="V384" s="236"/>
      <c r="W384" s="237"/>
      <c r="X384" s="237"/>
      <c r="Y384" s="237"/>
      <c r="Z384" s="237"/>
      <c r="AA384" s="237"/>
      <c r="AB384" s="237"/>
      <c r="AC384" s="237"/>
      <c r="AD384" s="237"/>
      <c r="AE384" s="237"/>
      <c r="AF384" s="237"/>
      <c r="AG384" s="237"/>
      <c r="AH384" s="237"/>
      <c r="AI384" s="308"/>
      <c r="AJ384" s="308"/>
      <c r="AK384" s="308"/>
      <c r="AL384" s="308"/>
      <c r="AM384" s="98"/>
      <c r="AN384" s="98"/>
    </row>
    <row r="385" ht="14.25" customHeight="1">
      <c r="A385" s="179"/>
      <c r="B385" s="98"/>
      <c r="C385" s="98"/>
      <c r="D385" s="98"/>
      <c r="E385" s="98"/>
      <c r="F385" s="235"/>
      <c r="G385" s="235"/>
      <c r="H385" s="236"/>
      <c r="I385" s="236"/>
      <c r="J385" s="236"/>
      <c r="K385" s="236"/>
      <c r="L385" s="236"/>
      <c r="M385" s="236"/>
      <c r="N385" s="236"/>
      <c r="O385" s="236"/>
      <c r="P385" s="236"/>
      <c r="Q385" s="236"/>
      <c r="R385" s="236"/>
      <c r="S385" s="236"/>
      <c r="T385" s="236"/>
      <c r="U385" s="236"/>
      <c r="V385" s="236"/>
      <c r="W385" s="237"/>
      <c r="X385" s="237"/>
      <c r="Y385" s="237"/>
      <c r="Z385" s="237"/>
      <c r="AA385" s="237"/>
      <c r="AB385" s="237"/>
      <c r="AC385" s="237"/>
      <c r="AD385" s="237"/>
      <c r="AE385" s="237"/>
      <c r="AF385" s="237"/>
      <c r="AG385" s="237"/>
      <c r="AH385" s="237"/>
      <c r="AI385" s="308"/>
      <c r="AJ385" s="308"/>
      <c r="AK385" s="308"/>
      <c r="AL385" s="308"/>
      <c r="AM385" s="98"/>
      <c r="AN385" s="98"/>
    </row>
    <row r="386" ht="14.25" customHeight="1">
      <c r="A386" s="179"/>
      <c r="B386" s="98"/>
      <c r="C386" s="98"/>
      <c r="D386" s="98"/>
      <c r="E386" s="98"/>
      <c r="F386" s="235"/>
      <c r="G386" s="235"/>
      <c r="H386" s="236"/>
      <c r="I386" s="236"/>
      <c r="J386" s="236"/>
      <c r="K386" s="236"/>
      <c r="L386" s="236"/>
      <c r="M386" s="236"/>
      <c r="N386" s="236"/>
      <c r="O386" s="236"/>
      <c r="P386" s="236"/>
      <c r="Q386" s="236"/>
      <c r="R386" s="236"/>
      <c r="S386" s="236"/>
      <c r="T386" s="236"/>
      <c r="U386" s="236"/>
      <c r="V386" s="236"/>
      <c r="W386" s="237"/>
      <c r="X386" s="237"/>
      <c r="Y386" s="237"/>
      <c r="Z386" s="237"/>
      <c r="AA386" s="237"/>
      <c r="AB386" s="237"/>
      <c r="AC386" s="237"/>
      <c r="AD386" s="237"/>
      <c r="AE386" s="237"/>
      <c r="AF386" s="237"/>
      <c r="AG386" s="237"/>
      <c r="AH386" s="237"/>
      <c r="AI386" s="308"/>
      <c r="AJ386" s="308"/>
      <c r="AK386" s="308"/>
      <c r="AL386" s="308"/>
      <c r="AM386" s="98"/>
      <c r="AN386" s="98"/>
    </row>
    <row r="387" ht="14.25" customHeight="1">
      <c r="A387" s="179"/>
      <c r="B387" s="98"/>
      <c r="C387" s="98"/>
      <c r="D387" s="98"/>
      <c r="E387" s="98"/>
      <c r="F387" s="235"/>
      <c r="G387" s="235"/>
      <c r="H387" s="236"/>
      <c r="I387" s="236"/>
      <c r="J387" s="236"/>
      <c r="K387" s="236"/>
      <c r="L387" s="236"/>
      <c r="M387" s="236"/>
      <c r="N387" s="236"/>
      <c r="O387" s="236"/>
      <c r="P387" s="236"/>
      <c r="Q387" s="236"/>
      <c r="R387" s="236"/>
      <c r="S387" s="236"/>
      <c r="T387" s="236"/>
      <c r="U387" s="236"/>
      <c r="V387" s="236"/>
      <c r="W387" s="237"/>
      <c r="X387" s="237"/>
      <c r="Y387" s="237"/>
      <c r="Z387" s="237"/>
      <c r="AA387" s="237"/>
      <c r="AB387" s="237"/>
      <c r="AC387" s="237"/>
      <c r="AD387" s="237"/>
      <c r="AE387" s="237"/>
      <c r="AF387" s="237"/>
      <c r="AG387" s="237"/>
      <c r="AH387" s="237"/>
      <c r="AI387" s="308"/>
      <c r="AJ387" s="308"/>
      <c r="AK387" s="308"/>
      <c r="AL387" s="308"/>
      <c r="AM387" s="98"/>
      <c r="AN387" s="98"/>
    </row>
    <row r="388" ht="14.25" customHeight="1">
      <c r="A388" s="179"/>
      <c r="B388" s="98"/>
      <c r="C388" s="98"/>
      <c r="D388" s="98"/>
      <c r="E388" s="98"/>
      <c r="F388" s="235"/>
      <c r="G388" s="235"/>
      <c r="H388" s="236"/>
      <c r="I388" s="236"/>
      <c r="J388" s="236"/>
      <c r="K388" s="236"/>
      <c r="L388" s="236"/>
      <c r="M388" s="236"/>
      <c r="N388" s="236"/>
      <c r="O388" s="236"/>
      <c r="P388" s="236"/>
      <c r="Q388" s="236"/>
      <c r="R388" s="236"/>
      <c r="S388" s="236"/>
      <c r="T388" s="236"/>
      <c r="U388" s="236"/>
      <c r="V388" s="236"/>
      <c r="W388" s="237"/>
      <c r="X388" s="237"/>
      <c r="Y388" s="237"/>
      <c r="Z388" s="237"/>
      <c r="AA388" s="237"/>
      <c r="AB388" s="237"/>
      <c r="AC388" s="237"/>
      <c r="AD388" s="237"/>
      <c r="AE388" s="237"/>
      <c r="AF388" s="237"/>
      <c r="AG388" s="237"/>
      <c r="AH388" s="237"/>
      <c r="AI388" s="308"/>
      <c r="AJ388" s="308"/>
      <c r="AK388" s="308"/>
      <c r="AL388" s="308"/>
      <c r="AM388" s="98"/>
      <c r="AN388" s="98"/>
    </row>
    <row r="389" ht="14.25" customHeight="1">
      <c r="A389" s="179"/>
      <c r="B389" s="98"/>
      <c r="C389" s="98"/>
      <c r="D389" s="98"/>
      <c r="E389" s="98"/>
      <c r="F389" s="235"/>
      <c r="G389" s="235"/>
      <c r="H389" s="236"/>
      <c r="I389" s="236"/>
      <c r="J389" s="236"/>
      <c r="K389" s="236"/>
      <c r="L389" s="236"/>
      <c r="M389" s="236"/>
      <c r="N389" s="236"/>
      <c r="O389" s="236"/>
      <c r="P389" s="236"/>
      <c r="Q389" s="236"/>
      <c r="R389" s="236"/>
      <c r="S389" s="236"/>
      <c r="T389" s="236"/>
      <c r="U389" s="236"/>
      <c r="V389" s="236"/>
      <c r="W389" s="237"/>
      <c r="X389" s="237"/>
      <c r="Y389" s="237"/>
      <c r="Z389" s="237"/>
      <c r="AA389" s="237"/>
      <c r="AB389" s="237"/>
      <c r="AC389" s="237"/>
      <c r="AD389" s="237"/>
      <c r="AE389" s="237"/>
      <c r="AF389" s="237"/>
      <c r="AG389" s="237"/>
      <c r="AH389" s="237"/>
      <c r="AI389" s="308"/>
      <c r="AJ389" s="308"/>
      <c r="AK389" s="308"/>
      <c r="AL389" s="308"/>
      <c r="AM389" s="98"/>
      <c r="AN389" s="98"/>
    </row>
    <row r="390" ht="14.25" customHeight="1">
      <c r="A390" s="179"/>
      <c r="B390" s="98"/>
      <c r="C390" s="98"/>
      <c r="D390" s="98"/>
      <c r="E390" s="98"/>
      <c r="F390" s="235"/>
      <c r="G390" s="235"/>
      <c r="H390" s="236"/>
      <c r="I390" s="236"/>
      <c r="J390" s="236"/>
      <c r="K390" s="236"/>
      <c r="L390" s="236"/>
      <c r="M390" s="236"/>
      <c r="N390" s="236"/>
      <c r="O390" s="236"/>
      <c r="P390" s="236"/>
      <c r="Q390" s="236"/>
      <c r="R390" s="236"/>
      <c r="S390" s="236"/>
      <c r="T390" s="236"/>
      <c r="U390" s="236"/>
      <c r="V390" s="236"/>
      <c r="W390" s="237"/>
      <c r="X390" s="237"/>
      <c r="Y390" s="237"/>
      <c r="Z390" s="237"/>
      <c r="AA390" s="237"/>
      <c r="AB390" s="237"/>
      <c r="AC390" s="237"/>
      <c r="AD390" s="237"/>
      <c r="AE390" s="237"/>
      <c r="AF390" s="237"/>
      <c r="AG390" s="237"/>
      <c r="AH390" s="237"/>
      <c r="AI390" s="308"/>
      <c r="AJ390" s="308"/>
      <c r="AK390" s="308"/>
      <c r="AL390" s="308"/>
      <c r="AM390" s="98"/>
      <c r="AN390" s="98"/>
    </row>
    <row r="391" ht="14.25" customHeight="1">
      <c r="A391" s="179"/>
      <c r="B391" s="98"/>
      <c r="C391" s="98"/>
      <c r="D391" s="98"/>
      <c r="E391" s="98"/>
      <c r="F391" s="235"/>
      <c r="G391" s="235"/>
      <c r="H391" s="236"/>
      <c r="I391" s="236"/>
      <c r="J391" s="236"/>
      <c r="K391" s="236"/>
      <c r="L391" s="236"/>
      <c r="M391" s="236"/>
      <c r="N391" s="236"/>
      <c r="O391" s="236"/>
      <c r="P391" s="236"/>
      <c r="Q391" s="236"/>
      <c r="R391" s="236"/>
      <c r="S391" s="236"/>
      <c r="T391" s="236"/>
      <c r="U391" s="236"/>
      <c r="V391" s="236"/>
      <c r="W391" s="237"/>
      <c r="X391" s="237"/>
      <c r="Y391" s="237"/>
      <c r="Z391" s="237"/>
      <c r="AA391" s="237"/>
      <c r="AB391" s="237"/>
      <c r="AC391" s="237"/>
      <c r="AD391" s="237"/>
      <c r="AE391" s="237"/>
      <c r="AF391" s="237"/>
      <c r="AG391" s="237"/>
      <c r="AH391" s="237"/>
      <c r="AI391" s="308"/>
      <c r="AJ391" s="308"/>
      <c r="AK391" s="308"/>
      <c r="AL391" s="308"/>
      <c r="AM391" s="98"/>
      <c r="AN391" s="98"/>
    </row>
    <row r="392" ht="14.25" customHeight="1">
      <c r="A392" s="179"/>
      <c r="B392" s="98"/>
      <c r="C392" s="98"/>
      <c r="D392" s="98"/>
      <c r="E392" s="98"/>
      <c r="F392" s="235"/>
      <c r="G392" s="235"/>
      <c r="H392" s="236"/>
      <c r="I392" s="236"/>
      <c r="J392" s="236"/>
      <c r="K392" s="236"/>
      <c r="L392" s="236"/>
      <c r="M392" s="236"/>
      <c r="N392" s="236"/>
      <c r="O392" s="236"/>
      <c r="P392" s="236"/>
      <c r="Q392" s="236"/>
      <c r="R392" s="236"/>
      <c r="S392" s="236"/>
      <c r="T392" s="236"/>
      <c r="U392" s="236"/>
      <c r="V392" s="236"/>
      <c r="W392" s="237"/>
      <c r="X392" s="237"/>
      <c r="Y392" s="237"/>
      <c r="Z392" s="237"/>
      <c r="AA392" s="237"/>
      <c r="AB392" s="237"/>
      <c r="AC392" s="237"/>
      <c r="AD392" s="237"/>
      <c r="AE392" s="237"/>
      <c r="AF392" s="237"/>
      <c r="AG392" s="237"/>
      <c r="AH392" s="237"/>
      <c r="AI392" s="308"/>
      <c r="AJ392" s="308"/>
      <c r="AK392" s="308"/>
      <c r="AL392" s="308"/>
      <c r="AM392" s="98"/>
      <c r="AN392" s="98"/>
    </row>
    <row r="393" ht="14.25" customHeight="1">
      <c r="A393" s="179"/>
      <c r="B393" s="98"/>
      <c r="C393" s="98"/>
      <c r="D393" s="98"/>
      <c r="E393" s="98"/>
      <c r="F393" s="235"/>
      <c r="G393" s="235"/>
      <c r="H393" s="236"/>
      <c r="I393" s="236"/>
      <c r="J393" s="236"/>
      <c r="K393" s="236"/>
      <c r="L393" s="236"/>
      <c r="M393" s="236"/>
      <c r="N393" s="236"/>
      <c r="O393" s="236"/>
      <c r="P393" s="236"/>
      <c r="Q393" s="236"/>
      <c r="R393" s="236"/>
      <c r="S393" s="236"/>
      <c r="T393" s="236"/>
      <c r="U393" s="236"/>
      <c r="V393" s="236"/>
      <c r="W393" s="237"/>
      <c r="X393" s="237"/>
      <c r="Y393" s="237"/>
      <c r="Z393" s="237"/>
      <c r="AA393" s="237"/>
      <c r="AB393" s="237"/>
      <c r="AC393" s="237"/>
      <c r="AD393" s="237"/>
      <c r="AE393" s="237"/>
      <c r="AF393" s="237"/>
      <c r="AG393" s="237"/>
      <c r="AH393" s="237"/>
      <c r="AI393" s="308"/>
      <c r="AJ393" s="308"/>
      <c r="AK393" s="308"/>
      <c r="AL393" s="308"/>
      <c r="AM393" s="98"/>
      <c r="AN393" s="98"/>
    </row>
    <row r="394" ht="14.25" customHeight="1">
      <c r="A394" s="179"/>
      <c r="B394" s="98"/>
      <c r="C394" s="98"/>
      <c r="D394" s="98"/>
      <c r="E394" s="98"/>
      <c r="F394" s="235"/>
      <c r="G394" s="235"/>
      <c r="H394" s="236"/>
      <c r="I394" s="236"/>
      <c r="J394" s="236"/>
      <c r="K394" s="236"/>
      <c r="L394" s="236"/>
      <c r="M394" s="236"/>
      <c r="N394" s="236"/>
      <c r="O394" s="236"/>
      <c r="P394" s="236"/>
      <c r="Q394" s="236"/>
      <c r="R394" s="236"/>
      <c r="S394" s="236"/>
      <c r="T394" s="236"/>
      <c r="U394" s="236"/>
      <c r="V394" s="236"/>
      <c r="W394" s="237"/>
      <c r="X394" s="237"/>
      <c r="Y394" s="237"/>
      <c r="Z394" s="237"/>
      <c r="AA394" s="237"/>
      <c r="AB394" s="237"/>
      <c r="AC394" s="237"/>
      <c r="AD394" s="237"/>
      <c r="AE394" s="237"/>
      <c r="AF394" s="237"/>
      <c r="AG394" s="237"/>
      <c r="AH394" s="237"/>
      <c r="AI394" s="308"/>
      <c r="AJ394" s="308"/>
      <c r="AK394" s="308"/>
      <c r="AL394" s="308"/>
      <c r="AM394" s="98"/>
      <c r="AN394" s="98"/>
    </row>
    <row r="395" ht="14.25" customHeight="1">
      <c r="A395" s="179"/>
      <c r="B395" s="98"/>
      <c r="C395" s="98"/>
      <c r="D395" s="98"/>
      <c r="E395" s="98"/>
      <c r="F395" s="235"/>
      <c r="G395" s="235"/>
      <c r="H395" s="236"/>
      <c r="I395" s="236"/>
      <c r="J395" s="236"/>
      <c r="K395" s="236"/>
      <c r="L395" s="236"/>
      <c r="M395" s="236"/>
      <c r="N395" s="236"/>
      <c r="O395" s="236"/>
      <c r="P395" s="236"/>
      <c r="Q395" s="236"/>
      <c r="R395" s="236"/>
      <c r="S395" s="236"/>
      <c r="T395" s="236"/>
      <c r="U395" s="236"/>
      <c r="V395" s="236"/>
      <c r="W395" s="237"/>
      <c r="X395" s="237"/>
      <c r="Y395" s="237"/>
      <c r="Z395" s="237"/>
      <c r="AA395" s="237"/>
      <c r="AB395" s="237"/>
      <c r="AC395" s="237"/>
      <c r="AD395" s="237"/>
      <c r="AE395" s="237"/>
      <c r="AF395" s="237"/>
      <c r="AG395" s="237"/>
      <c r="AH395" s="237"/>
      <c r="AI395" s="308"/>
      <c r="AJ395" s="308"/>
      <c r="AK395" s="308"/>
      <c r="AL395" s="308"/>
      <c r="AM395" s="98"/>
      <c r="AN395" s="98"/>
    </row>
    <row r="396" ht="14.25" customHeight="1">
      <c r="A396" s="179"/>
      <c r="B396" s="98"/>
      <c r="C396" s="98"/>
      <c r="D396" s="98"/>
      <c r="E396" s="98"/>
      <c r="F396" s="235"/>
      <c r="G396" s="235"/>
      <c r="H396" s="236"/>
      <c r="I396" s="236"/>
      <c r="J396" s="236"/>
      <c r="K396" s="236"/>
      <c r="L396" s="236"/>
      <c r="M396" s="236"/>
      <c r="N396" s="236"/>
      <c r="O396" s="236"/>
      <c r="P396" s="236"/>
      <c r="Q396" s="236"/>
      <c r="R396" s="236"/>
      <c r="S396" s="236"/>
      <c r="T396" s="236"/>
      <c r="U396" s="236"/>
      <c r="V396" s="236"/>
      <c r="W396" s="237"/>
      <c r="X396" s="237"/>
      <c r="Y396" s="237"/>
      <c r="Z396" s="237"/>
      <c r="AA396" s="237"/>
      <c r="AB396" s="237"/>
      <c r="AC396" s="237"/>
      <c r="AD396" s="237"/>
      <c r="AE396" s="237"/>
      <c r="AF396" s="237"/>
      <c r="AG396" s="237"/>
      <c r="AH396" s="237"/>
      <c r="AI396" s="308"/>
      <c r="AJ396" s="308"/>
      <c r="AK396" s="308"/>
      <c r="AL396" s="308"/>
      <c r="AM396" s="98"/>
      <c r="AN396" s="98"/>
    </row>
    <row r="397" ht="14.25" customHeight="1">
      <c r="A397" s="179"/>
      <c r="B397" s="98"/>
      <c r="C397" s="98"/>
      <c r="D397" s="98"/>
      <c r="E397" s="98"/>
      <c r="F397" s="235"/>
      <c r="G397" s="235"/>
      <c r="H397" s="236"/>
      <c r="I397" s="236"/>
      <c r="J397" s="236"/>
      <c r="K397" s="236"/>
      <c r="L397" s="236"/>
      <c r="M397" s="236"/>
      <c r="N397" s="236"/>
      <c r="O397" s="236"/>
      <c r="P397" s="236"/>
      <c r="Q397" s="236"/>
      <c r="R397" s="236"/>
      <c r="S397" s="236"/>
      <c r="T397" s="236"/>
      <c r="U397" s="236"/>
      <c r="V397" s="236"/>
      <c r="W397" s="237"/>
      <c r="X397" s="237"/>
      <c r="Y397" s="237"/>
      <c r="Z397" s="237"/>
      <c r="AA397" s="237"/>
      <c r="AB397" s="237"/>
      <c r="AC397" s="237"/>
      <c r="AD397" s="237"/>
      <c r="AE397" s="237"/>
      <c r="AF397" s="237"/>
      <c r="AG397" s="237"/>
      <c r="AH397" s="237"/>
      <c r="AI397" s="308"/>
      <c r="AJ397" s="308"/>
      <c r="AK397" s="308"/>
      <c r="AL397" s="308"/>
      <c r="AM397" s="98"/>
      <c r="AN397" s="98"/>
    </row>
    <row r="398" ht="14.25" customHeight="1">
      <c r="A398" s="179"/>
      <c r="B398" s="98"/>
      <c r="C398" s="98"/>
      <c r="D398" s="98"/>
      <c r="E398" s="98"/>
      <c r="F398" s="235"/>
      <c r="G398" s="235"/>
      <c r="H398" s="236"/>
      <c r="I398" s="236"/>
      <c r="J398" s="236"/>
      <c r="K398" s="236"/>
      <c r="L398" s="236"/>
      <c r="M398" s="236"/>
      <c r="N398" s="236"/>
      <c r="O398" s="236"/>
      <c r="P398" s="236"/>
      <c r="Q398" s="236"/>
      <c r="R398" s="236"/>
      <c r="S398" s="236"/>
      <c r="T398" s="236"/>
      <c r="U398" s="236"/>
      <c r="V398" s="236"/>
      <c r="W398" s="237"/>
      <c r="X398" s="237"/>
      <c r="Y398" s="237"/>
      <c r="Z398" s="237"/>
      <c r="AA398" s="237"/>
      <c r="AB398" s="237"/>
      <c r="AC398" s="237"/>
      <c r="AD398" s="237"/>
      <c r="AE398" s="237"/>
      <c r="AF398" s="237"/>
      <c r="AG398" s="237"/>
      <c r="AH398" s="237"/>
      <c r="AI398" s="308"/>
      <c r="AJ398" s="308"/>
      <c r="AK398" s="308"/>
      <c r="AL398" s="308"/>
      <c r="AM398" s="98"/>
      <c r="AN398" s="98"/>
    </row>
    <row r="399" ht="14.25" customHeight="1">
      <c r="A399" s="179"/>
      <c r="B399" s="98"/>
      <c r="C399" s="98"/>
      <c r="D399" s="98"/>
      <c r="E399" s="98"/>
      <c r="F399" s="235"/>
      <c r="G399" s="235"/>
      <c r="H399" s="236"/>
      <c r="I399" s="236"/>
      <c r="J399" s="236"/>
      <c r="K399" s="236"/>
      <c r="L399" s="236"/>
      <c r="M399" s="236"/>
      <c r="N399" s="236"/>
      <c r="O399" s="236"/>
      <c r="P399" s="236"/>
      <c r="Q399" s="236"/>
      <c r="R399" s="236"/>
      <c r="S399" s="236"/>
      <c r="T399" s="236"/>
      <c r="U399" s="236"/>
      <c r="V399" s="236"/>
      <c r="W399" s="237"/>
      <c r="X399" s="237"/>
      <c r="Y399" s="237"/>
      <c r="Z399" s="237"/>
      <c r="AA399" s="237"/>
      <c r="AB399" s="237"/>
      <c r="AC399" s="237"/>
      <c r="AD399" s="237"/>
      <c r="AE399" s="237"/>
      <c r="AF399" s="237"/>
      <c r="AG399" s="237"/>
      <c r="AH399" s="237"/>
      <c r="AI399" s="308"/>
      <c r="AJ399" s="308"/>
      <c r="AK399" s="308"/>
      <c r="AL399" s="308"/>
      <c r="AM399" s="98"/>
      <c r="AN399" s="98"/>
    </row>
    <row r="400" ht="14.25" customHeight="1">
      <c r="A400" s="179"/>
      <c r="B400" s="98"/>
      <c r="C400" s="98"/>
      <c r="D400" s="98"/>
      <c r="E400" s="98"/>
      <c r="F400" s="235"/>
      <c r="G400" s="235"/>
      <c r="H400" s="236"/>
      <c r="I400" s="236"/>
      <c r="J400" s="236"/>
      <c r="K400" s="236"/>
      <c r="L400" s="236"/>
      <c r="M400" s="236"/>
      <c r="N400" s="236"/>
      <c r="O400" s="236"/>
      <c r="P400" s="236"/>
      <c r="Q400" s="236"/>
      <c r="R400" s="236"/>
      <c r="S400" s="236"/>
      <c r="T400" s="236"/>
      <c r="U400" s="236"/>
      <c r="V400" s="236"/>
      <c r="W400" s="237"/>
      <c r="X400" s="237"/>
      <c r="Y400" s="237"/>
      <c r="Z400" s="237"/>
      <c r="AA400" s="237"/>
      <c r="AB400" s="237"/>
      <c r="AC400" s="237"/>
      <c r="AD400" s="237"/>
      <c r="AE400" s="237"/>
      <c r="AF400" s="237"/>
      <c r="AG400" s="237"/>
      <c r="AH400" s="237"/>
      <c r="AI400" s="308"/>
      <c r="AJ400" s="308"/>
      <c r="AK400" s="308"/>
      <c r="AL400" s="308"/>
      <c r="AM400" s="98"/>
      <c r="AN400" s="98"/>
    </row>
    <row r="401" ht="14.25" customHeight="1">
      <c r="A401" s="179"/>
      <c r="B401" s="98"/>
      <c r="C401" s="98"/>
      <c r="D401" s="98"/>
      <c r="E401" s="98"/>
      <c r="F401" s="235"/>
      <c r="G401" s="235"/>
      <c r="H401" s="236"/>
      <c r="I401" s="236"/>
      <c r="J401" s="236"/>
      <c r="K401" s="236"/>
      <c r="L401" s="236"/>
      <c r="M401" s="236"/>
      <c r="N401" s="236"/>
      <c r="O401" s="236"/>
      <c r="P401" s="236"/>
      <c r="Q401" s="236"/>
      <c r="R401" s="236"/>
      <c r="S401" s="236"/>
      <c r="T401" s="236"/>
      <c r="U401" s="236"/>
      <c r="V401" s="236"/>
      <c r="W401" s="237"/>
      <c r="X401" s="237"/>
      <c r="Y401" s="237"/>
      <c r="Z401" s="237"/>
      <c r="AA401" s="237"/>
      <c r="AB401" s="237"/>
      <c r="AC401" s="237"/>
      <c r="AD401" s="237"/>
      <c r="AE401" s="237"/>
      <c r="AF401" s="237"/>
      <c r="AG401" s="237"/>
      <c r="AH401" s="237"/>
      <c r="AI401" s="308"/>
      <c r="AJ401" s="308"/>
      <c r="AK401" s="308"/>
      <c r="AL401" s="308"/>
      <c r="AM401" s="98"/>
      <c r="AN401" s="98"/>
    </row>
    <row r="402" ht="14.25" customHeight="1">
      <c r="A402" s="179"/>
      <c r="B402" s="98"/>
      <c r="C402" s="98"/>
      <c r="D402" s="98"/>
      <c r="E402" s="98"/>
      <c r="F402" s="235"/>
      <c r="G402" s="235"/>
      <c r="H402" s="236"/>
      <c r="I402" s="236"/>
      <c r="J402" s="236"/>
      <c r="K402" s="236"/>
      <c r="L402" s="236"/>
      <c r="M402" s="236"/>
      <c r="N402" s="236"/>
      <c r="O402" s="236"/>
      <c r="P402" s="236"/>
      <c r="Q402" s="236"/>
      <c r="R402" s="236"/>
      <c r="S402" s="236"/>
      <c r="T402" s="236"/>
      <c r="U402" s="236"/>
      <c r="V402" s="236"/>
      <c r="W402" s="237"/>
      <c r="X402" s="237"/>
      <c r="Y402" s="237"/>
      <c r="Z402" s="237"/>
      <c r="AA402" s="237"/>
      <c r="AB402" s="237"/>
      <c r="AC402" s="237"/>
      <c r="AD402" s="237"/>
      <c r="AE402" s="237"/>
      <c r="AF402" s="237"/>
      <c r="AG402" s="237"/>
      <c r="AH402" s="237"/>
      <c r="AI402" s="308"/>
      <c r="AJ402" s="308"/>
      <c r="AK402" s="308"/>
      <c r="AL402" s="308"/>
      <c r="AM402" s="98"/>
      <c r="AN402" s="98"/>
    </row>
    <row r="403" ht="14.25" customHeight="1">
      <c r="A403" s="179"/>
      <c r="B403" s="98"/>
      <c r="C403" s="98"/>
      <c r="D403" s="98"/>
      <c r="E403" s="98"/>
      <c r="F403" s="235"/>
      <c r="G403" s="235"/>
      <c r="H403" s="236"/>
      <c r="I403" s="236"/>
      <c r="J403" s="236"/>
      <c r="K403" s="236"/>
      <c r="L403" s="236"/>
      <c r="M403" s="236"/>
      <c r="N403" s="236"/>
      <c r="O403" s="236"/>
      <c r="P403" s="236"/>
      <c r="Q403" s="236"/>
      <c r="R403" s="236"/>
      <c r="S403" s="236"/>
      <c r="T403" s="236"/>
      <c r="U403" s="236"/>
      <c r="V403" s="236"/>
      <c r="W403" s="237"/>
      <c r="X403" s="237"/>
      <c r="Y403" s="237"/>
      <c r="Z403" s="237"/>
      <c r="AA403" s="237"/>
      <c r="AB403" s="237"/>
      <c r="AC403" s="237"/>
      <c r="AD403" s="237"/>
      <c r="AE403" s="237"/>
      <c r="AF403" s="237"/>
      <c r="AG403" s="237"/>
      <c r="AH403" s="237"/>
      <c r="AI403" s="308"/>
      <c r="AJ403" s="308"/>
      <c r="AK403" s="308"/>
      <c r="AL403" s="308"/>
      <c r="AM403" s="98"/>
      <c r="AN403" s="98"/>
    </row>
    <row r="404" ht="14.25" customHeight="1">
      <c r="A404" s="179"/>
      <c r="B404" s="98"/>
      <c r="C404" s="98"/>
      <c r="D404" s="98"/>
      <c r="E404" s="98"/>
      <c r="F404" s="235"/>
      <c r="G404" s="235"/>
      <c r="H404" s="236"/>
      <c r="I404" s="236"/>
      <c r="J404" s="236"/>
      <c r="K404" s="236"/>
      <c r="L404" s="236"/>
      <c r="M404" s="236"/>
      <c r="N404" s="236"/>
      <c r="O404" s="236"/>
      <c r="P404" s="236"/>
      <c r="Q404" s="236"/>
      <c r="R404" s="236"/>
      <c r="S404" s="236"/>
      <c r="T404" s="236"/>
      <c r="U404" s="236"/>
      <c r="V404" s="236"/>
      <c r="W404" s="237"/>
      <c r="X404" s="237"/>
      <c r="Y404" s="237"/>
      <c r="Z404" s="237"/>
      <c r="AA404" s="237"/>
      <c r="AB404" s="237"/>
      <c r="AC404" s="237"/>
      <c r="AD404" s="237"/>
      <c r="AE404" s="237"/>
      <c r="AF404" s="237"/>
      <c r="AG404" s="237"/>
      <c r="AH404" s="237"/>
      <c r="AI404" s="308"/>
      <c r="AJ404" s="308"/>
      <c r="AK404" s="308"/>
      <c r="AL404" s="308"/>
      <c r="AM404" s="98"/>
      <c r="AN404" s="98"/>
    </row>
    <row r="405" ht="14.25" customHeight="1">
      <c r="A405" s="179"/>
      <c r="B405" s="98"/>
      <c r="C405" s="98"/>
      <c r="D405" s="98"/>
      <c r="E405" s="98"/>
      <c r="F405" s="235"/>
      <c r="G405" s="235"/>
      <c r="H405" s="236"/>
      <c r="I405" s="236"/>
      <c r="J405" s="236"/>
      <c r="K405" s="236"/>
      <c r="L405" s="236"/>
      <c r="M405" s="236"/>
      <c r="N405" s="236"/>
      <c r="O405" s="236"/>
      <c r="P405" s="236"/>
      <c r="Q405" s="236"/>
      <c r="R405" s="236"/>
      <c r="S405" s="236"/>
      <c r="T405" s="236"/>
      <c r="U405" s="236"/>
      <c r="V405" s="236"/>
      <c r="W405" s="237"/>
      <c r="X405" s="237"/>
      <c r="Y405" s="237"/>
      <c r="Z405" s="237"/>
      <c r="AA405" s="237"/>
      <c r="AB405" s="237"/>
      <c r="AC405" s="237"/>
      <c r="AD405" s="237"/>
      <c r="AE405" s="237"/>
      <c r="AF405" s="237"/>
      <c r="AG405" s="237"/>
      <c r="AH405" s="237"/>
      <c r="AI405" s="308"/>
      <c r="AJ405" s="308"/>
      <c r="AK405" s="308"/>
      <c r="AL405" s="308"/>
      <c r="AM405" s="98"/>
      <c r="AN405" s="98"/>
    </row>
    <row r="406" ht="14.25" customHeight="1">
      <c r="A406" s="179"/>
      <c r="B406" s="98"/>
      <c r="C406" s="98"/>
      <c r="D406" s="98"/>
      <c r="E406" s="98"/>
      <c r="F406" s="235"/>
      <c r="G406" s="235"/>
      <c r="H406" s="236"/>
      <c r="I406" s="236"/>
      <c r="J406" s="236"/>
      <c r="K406" s="236"/>
      <c r="L406" s="236"/>
      <c r="M406" s="236"/>
      <c r="N406" s="236"/>
      <c r="O406" s="236"/>
      <c r="P406" s="236"/>
      <c r="Q406" s="236"/>
      <c r="R406" s="236"/>
      <c r="S406" s="236"/>
      <c r="T406" s="236"/>
      <c r="U406" s="236"/>
      <c r="V406" s="236"/>
      <c r="W406" s="237"/>
      <c r="X406" s="237"/>
      <c r="Y406" s="237"/>
      <c r="Z406" s="237"/>
      <c r="AA406" s="237"/>
      <c r="AB406" s="237"/>
      <c r="AC406" s="237"/>
      <c r="AD406" s="237"/>
      <c r="AE406" s="237"/>
      <c r="AF406" s="237"/>
      <c r="AG406" s="237"/>
      <c r="AH406" s="237"/>
      <c r="AI406" s="308"/>
      <c r="AJ406" s="308"/>
      <c r="AK406" s="308"/>
      <c r="AL406" s="308"/>
      <c r="AM406" s="98"/>
      <c r="AN406" s="98"/>
    </row>
    <row r="407" ht="14.25" customHeight="1">
      <c r="A407" s="179"/>
      <c r="B407" s="98"/>
      <c r="C407" s="98"/>
      <c r="D407" s="98"/>
      <c r="E407" s="98"/>
      <c r="F407" s="235"/>
      <c r="G407" s="235"/>
      <c r="H407" s="236"/>
      <c r="I407" s="236"/>
      <c r="J407" s="236"/>
      <c r="K407" s="236"/>
      <c r="L407" s="236"/>
      <c r="M407" s="236"/>
      <c r="N407" s="236"/>
      <c r="O407" s="236"/>
      <c r="P407" s="236"/>
      <c r="Q407" s="236"/>
      <c r="R407" s="236"/>
      <c r="S407" s="236"/>
      <c r="T407" s="236"/>
      <c r="U407" s="236"/>
      <c r="V407" s="236"/>
      <c r="W407" s="237"/>
      <c r="X407" s="237"/>
      <c r="Y407" s="237"/>
      <c r="Z407" s="237"/>
      <c r="AA407" s="237"/>
      <c r="AB407" s="237"/>
      <c r="AC407" s="237"/>
      <c r="AD407" s="237"/>
      <c r="AE407" s="237"/>
      <c r="AF407" s="237"/>
      <c r="AG407" s="237"/>
      <c r="AH407" s="237"/>
      <c r="AI407" s="308"/>
      <c r="AJ407" s="308"/>
      <c r="AK407" s="308"/>
      <c r="AL407" s="308"/>
      <c r="AM407" s="98"/>
      <c r="AN407" s="98"/>
    </row>
    <row r="408" ht="14.25" customHeight="1">
      <c r="A408" s="179"/>
      <c r="B408" s="98"/>
      <c r="C408" s="98"/>
      <c r="D408" s="98"/>
      <c r="E408" s="98"/>
      <c r="F408" s="235"/>
      <c r="G408" s="235"/>
      <c r="H408" s="236"/>
      <c r="I408" s="236"/>
      <c r="J408" s="236"/>
      <c r="K408" s="236"/>
      <c r="L408" s="236"/>
      <c r="M408" s="236"/>
      <c r="N408" s="236"/>
      <c r="O408" s="236"/>
      <c r="P408" s="236"/>
      <c r="Q408" s="236"/>
      <c r="R408" s="236"/>
      <c r="S408" s="236"/>
      <c r="T408" s="236"/>
      <c r="U408" s="236"/>
      <c r="V408" s="236"/>
      <c r="W408" s="237"/>
      <c r="X408" s="237"/>
      <c r="Y408" s="237"/>
      <c r="Z408" s="237"/>
      <c r="AA408" s="237"/>
      <c r="AB408" s="237"/>
      <c r="AC408" s="237"/>
      <c r="AD408" s="237"/>
      <c r="AE408" s="237"/>
      <c r="AF408" s="237"/>
      <c r="AG408" s="237"/>
      <c r="AH408" s="237"/>
      <c r="AI408" s="308"/>
      <c r="AJ408" s="308"/>
      <c r="AK408" s="308"/>
      <c r="AL408" s="308"/>
      <c r="AM408" s="98"/>
      <c r="AN408" s="98"/>
    </row>
    <row r="409" ht="14.25" customHeight="1">
      <c r="A409" s="179"/>
      <c r="B409" s="98"/>
      <c r="C409" s="98"/>
      <c r="D409" s="98"/>
      <c r="E409" s="98"/>
      <c r="F409" s="235"/>
      <c r="G409" s="235"/>
      <c r="H409" s="236"/>
      <c r="I409" s="236"/>
      <c r="J409" s="236"/>
      <c r="K409" s="236"/>
      <c r="L409" s="236"/>
      <c r="M409" s="236"/>
      <c r="N409" s="236"/>
      <c r="O409" s="236"/>
      <c r="P409" s="236"/>
      <c r="Q409" s="236"/>
      <c r="R409" s="236"/>
      <c r="S409" s="236"/>
      <c r="T409" s="236"/>
      <c r="U409" s="236"/>
      <c r="V409" s="236"/>
      <c r="W409" s="237"/>
      <c r="X409" s="237"/>
      <c r="Y409" s="237"/>
      <c r="Z409" s="237"/>
      <c r="AA409" s="237"/>
      <c r="AB409" s="237"/>
      <c r="AC409" s="237"/>
      <c r="AD409" s="237"/>
      <c r="AE409" s="237"/>
      <c r="AF409" s="237"/>
      <c r="AG409" s="237"/>
      <c r="AH409" s="237"/>
      <c r="AI409" s="308"/>
      <c r="AJ409" s="308"/>
      <c r="AK409" s="308"/>
      <c r="AL409" s="308"/>
      <c r="AM409" s="98"/>
      <c r="AN409" s="98"/>
    </row>
    <row r="410" ht="14.25" customHeight="1">
      <c r="A410" s="179"/>
      <c r="B410" s="98"/>
      <c r="C410" s="98"/>
      <c r="D410" s="98"/>
      <c r="E410" s="98"/>
      <c r="F410" s="235"/>
      <c r="G410" s="235"/>
      <c r="H410" s="236"/>
      <c r="I410" s="236"/>
      <c r="J410" s="236"/>
      <c r="K410" s="236"/>
      <c r="L410" s="236"/>
      <c r="M410" s="236"/>
      <c r="N410" s="236"/>
      <c r="O410" s="236"/>
      <c r="P410" s="236"/>
      <c r="Q410" s="236"/>
      <c r="R410" s="236"/>
      <c r="S410" s="236"/>
      <c r="T410" s="236"/>
      <c r="U410" s="236"/>
      <c r="V410" s="236"/>
      <c r="W410" s="237"/>
      <c r="X410" s="237"/>
      <c r="Y410" s="237"/>
      <c r="Z410" s="237"/>
      <c r="AA410" s="237"/>
      <c r="AB410" s="237"/>
      <c r="AC410" s="237"/>
      <c r="AD410" s="237"/>
      <c r="AE410" s="237"/>
      <c r="AF410" s="237"/>
      <c r="AG410" s="237"/>
      <c r="AH410" s="237"/>
      <c r="AI410" s="308"/>
      <c r="AJ410" s="308"/>
      <c r="AK410" s="308"/>
      <c r="AL410" s="308"/>
      <c r="AM410" s="98"/>
      <c r="AN410" s="98"/>
    </row>
    <row r="411" ht="14.25" customHeight="1">
      <c r="A411" s="179"/>
      <c r="B411" s="98"/>
      <c r="C411" s="98"/>
      <c r="D411" s="98"/>
      <c r="E411" s="98"/>
      <c r="F411" s="235"/>
      <c r="G411" s="235"/>
      <c r="H411" s="236"/>
      <c r="I411" s="236"/>
      <c r="J411" s="236"/>
      <c r="K411" s="236"/>
      <c r="L411" s="236"/>
      <c r="M411" s="236"/>
      <c r="N411" s="236"/>
      <c r="O411" s="236"/>
      <c r="P411" s="236"/>
      <c r="Q411" s="236"/>
      <c r="R411" s="236"/>
      <c r="S411" s="236"/>
      <c r="T411" s="236"/>
      <c r="U411" s="236"/>
      <c r="V411" s="236"/>
      <c r="W411" s="237"/>
      <c r="X411" s="237"/>
      <c r="Y411" s="237"/>
      <c r="Z411" s="237"/>
      <c r="AA411" s="237"/>
      <c r="AB411" s="237"/>
      <c r="AC411" s="237"/>
      <c r="AD411" s="237"/>
      <c r="AE411" s="237"/>
      <c r="AF411" s="237"/>
      <c r="AG411" s="237"/>
      <c r="AH411" s="237"/>
      <c r="AI411" s="308"/>
      <c r="AJ411" s="308"/>
      <c r="AK411" s="308"/>
      <c r="AL411" s="308"/>
      <c r="AM411" s="98"/>
      <c r="AN411" s="98"/>
    </row>
    <row r="412" ht="14.25" customHeight="1">
      <c r="A412" s="179"/>
      <c r="B412" s="98"/>
      <c r="C412" s="98"/>
      <c r="D412" s="98"/>
      <c r="E412" s="98"/>
      <c r="F412" s="235"/>
      <c r="G412" s="235"/>
      <c r="H412" s="236"/>
      <c r="I412" s="236"/>
      <c r="J412" s="236"/>
      <c r="K412" s="236"/>
      <c r="L412" s="236"/>
      <c r="M412" s="236"/>
      <c r="N412" s="236"/>
      <c r="O412" s="236"/>
      <c r="P412" s="236"/>
      <c r="Q412" s="236"/>
      <c r="R412" s="236"/>
      <c r="S412" s="236"/>
      <c r="T412" s="236"/>
      <c r="U412" s="236"/>
      <c r="V412" s="236"/>
      <c r="W412" s="237"/>
      <c r="X412" s="237"/>
      <c r="Y412" s="237"/>
      <c r="Z412" s="237"/>
      <c r="AA412" s="237"/>
      <c r="AB412" s="237"/>
      <c r="AC412" s="237"/>
      <c r="AD412" s="237"/>
      <c r="AE412" s="237"/>
      <c r="AF412" s="237"/>
      <c r="AG412" s="237"/>
      <c r="AH412" s="237"/>
      <c r="AI412" s="308"/>
      <c r="AJ412" s="308"/>
      <c r="AK412" s="308"/>
      <c r="AL412" s="308"/>
      <c r="AM412" s="98"/>
      <c r="AN412" s="98"/>
    </row>
    <row r="413" ht="14.25" customHeight="1">
      <c r="A413" s="179"/>
      <c r="B413" s="98"/>
      <c r="C413" s="98"/>
      <c r="D413" s="98"/>
      <c r="E413" s="98"/>
      <c r="F413" s="235"/>
      <c r="G413" s="235"/>
      <c r="H413" s="236"/>
      <c r="I413" s="236"/>
      <c r="J413" s="236"/>
      <c r="K413" s="236"/>
      <c r="L413" s="236"/>
      <c r="M413" s="236"/>
      <c r="N413" s="236"/>
      <c r="O413" s="236"/>
      <c r="P413" s="236"/>
      <c r="Q413" s="236"/>
      <c r="R413" s="236"/>
      <c r="S413" s="236"/>
      <c r="T413" s="236"/>
      <c r="U413" s="236"/>
      <c r="V413" s="236"/>
      <c r="W413" s="237"/>
      <c r="X413" s="237"/>
      <c r="Y413" s="237"/>
      <c r="Z413" s="237"/>
      <c r="AA413" s="237"/>
      <c r="AB413" s="237"/>
      <c r="AC413" s="237"/>
      <c r="AD413" s="237"/>
      <c r="AE413" s="237"/>
      <c r="AF413" s="237"/>
      <c r="AG413" s="237"/>
      <c r="AH413" s="237"/>
      <c r="AI413" s="308"/>
      <c r="AJ413" s="308"/>
      <c r="AK413" s="308"/>
      <c r="AL413" s="308"/>
      <c r="AM413" s="98"/>
      <c r="AN413" s="98"/>
    </row>
    <row r="414" ht="14.25" customHeight="1">
      <c r="A414" s="179"/>
      <c r="B414" s="98"/>
      <c r="C414" s="98"/>
      <c r="D414" s="98"/>
      <c r="E414" s="98"/>
      <c r="F414" s="235"/>
      <c r="G414" s="235"/>
      <c r="H414" s="236"/>
      <c r="I414" s="236"/>
      <c r="J414" s="236"/>
      <c r="K414" s="236"/>
      <c r="L414" s="236"/>
      <c r="M414" s="236"/>
      <c r="N414" s="236"/>
      <c r="O414" s="236"/>
      <c r="P414" s="236"/>
      <c r="Q414" s="236"/>
      <c r="R414" s="236"/>
      <c r="S414" s="236"/>
      <c r="T414" s="236"/>
      <c r="U414" s="236"/>
      <c r="V414" s="236"/>
      <c r="W414" s="237"/>
      <c r="X414" s="237"/>
      <c r="Y414" s="237"/>
      <c r="Z414" s="237"/>
      <c r="AA414" s="237"/>
      <c r="AB414" s="237"/>
      <c r="AC414" s="237"/>
      <c r="AD414" s="237"/>
      <c r="AE414" s="237"/>
      <c r="AF414" s="237"/>
      <c r="AG414" s="237"/>
      <c r="AH414" s="237"/>
      <c r="AI414" s="308"/>
      <c r="AJ414" s="308"/>
      <c r="AK414" s="308"/>
      <c r="AL414" s="308"/>
      <c r="AM414" s="98"/>
      <c r="AN414" s="98"/>
    </row>
    <row r="415" ht="14.25" customHeight="1">
      <c r="A415" s="179"/>
      <c r="B415" s="98"/>
      <c r="C415" s="98"/>
      <c r="D415" s="98"/>
      <c r="E415" s="98"/>
      <c r="F415" s="235"/>
      <c r="G415" s="235"/>
      <c r="H415" s="236"/>
      <c r="I415" s="236"/>
      <c r="J415" s="236"/>
      <c r="K415" s="236"/>
      <c r="L415" s="236"/>
      <c r="M415" s="236"/>
      <c r="N415" s="236"/>
      <c r="O415" s="236"/>
      <c r="P415" s="236"/>
      <c r="Q415" s="236"/>
      <c r="R415" s="236"/>
      <c r="S415" s="236"/>
      <c r="T415" s="236"/>
      <c r="U415" s="236"/>
      <c r="V415" s="236"/>
      <c r="W415" s="237"/>
      <c r="X415" s="237"/>
      <c r="Y415" s="237"/>
      <c r="Z415" s="237"/>
      <c r="AA415" s="237"/>
      <c r="AB415" s="237"/>
      <c r="AC415" s="237"/>
      <c r="AD415" s="237"/>
      <c r="AE415" s="237"/>
      <c r="AF415" s="237"/>
      <c r="AG415" s="237"/>
      <c r="AH415" s="237"/>
      <c r="AI415" s="308"/>
      <c r="AJ415" s="308"/>
      <c r="AK415" s="308"/>
      <c r="AL415" s="308"/>
      <c r="AM415" s="98"/>
      <c r="AN415" s="98"/>
    </row>
    <row r="416" ht="14.25" customHeight="1">
      <c r="A416" s="179"/>
      <c r="B416" s="98"/>
      <c r="C416" s="98"/>
      <c r="D416" s="98"/>
      <c r="E416" s="98"/>
      <c r="F416" s="235"/>
      <c r="G416" s="235"/>
      <c r="H416" s="236"/>
      <c r="I416" s="236"/>
      <c r="J416" s="236"/>
      <c r="K416" s="236"/>
      <c r="L416" s="236"/>
      <c r="M416" s="236"/>
      <c r="N416" s="236"/>
      <c r="O416" s="236"/>
      <c r="P416" s="236"/>
      <c r="Q416" s="236"/>
      <c r="R416" s="236"/>
      <c r="S416" s="236"/>
      <c r="T416" s="236"/>
      <c r="U416" s="236"/>
      <c r="V416" s="236"/>
      <c r="W416" s="237"/>
      <c r="X416" s="237"/>
      <c r="Y416" s="237"/>
      <c r="Z416" s="237"/>
      <c r="AA416" s="237"/>
      <c r="AB416" s="237"/>
      <c r="AC416" s="237"/>
      <c r="AD416" s="237"/>
      <c r="AE416" s="237"/>
      <c r="AF416" s="237"/>
      <c r="AG416" s="237"/>
      <c r="AH416" s="237"/>
      <c r="AI416" s="308"/>
      <c r="AJ416" s="308"/>
      <c r="AK416" s="308"/>
      <c r="AL416" s="308"/>
      <c r="AM416" s="98"/>
      <c r="AN416" s="98"/>
    </row>
    <row r="417" ht="14.25" customHeight="1">
      <c r="A417" s="179"/>
      <c r="B417" s="98"/>
      <c r="C417" s="98"/>
      <c r="D417" s="98"/>
      <c r="E417" s="98"/>
      <c r="F417" s="235"/>
      <c r="G417" s="235"/>
      <c r="H417" s="236"/>
      <c r="I417" s="236"/>
      <c r="J417" s="236"/>
      <c r="K417" s="236"/>
      <c r="L417" s="236"/>
      <c r="M417" s="236"/>
      <c r="N417" s="236"/>
      <c r="O417" s="236"/>
      <c r="P417" s="236"/>
      <c r="Q417" s="236"/>
      <c r="R417" s="236"/>
      <c r="S417" s="236"/>
      <c r="T417" s="236"/>
      <c r="U417" s="236"/>
      <c r="V417" s="236"/>
      <c r="W417" s="237"/>
      <c r="X417" s="237"/>
      <c r="Y417" s="237"/>
      <c r="Z417" s="237"/>
      <c r="AA417" s="237"/>
      <c r="AB417" s="237"/>
      <c r="AC417" s="237"/>
      <c r="AD417" s="237"/>
      <c r="AE417" s="237"/>
      <c r="AF417" s="237"/>
      <c r="AG417" s="237"/>
      <c r="AH417" s="237"/>
      <c r="AI417" s="308"/>
      <c r="AJ417" s="308"/>
      <c r="AK417" s="308"/>
      <c r="AL417" s="308"/>
      <c r="AM417" s="98"/>
      <c r="AN417" s="98"/>
    </row>
    <row r="418" ht="14.25" customHeight="1">
      <c r="A418" s="179"/>
      <c r="B418" s="98"/>
      <c r="C418" s="98"/>
      <c r="D418" s="98"/>
      <c r="E418" s="98"/>
      <c r="F418" s="235"/>
      <c r="G418" s="235"/>
      <c r="H418" s="236"/>
      <c r="I418" s="236"/>
      <c r="J418" s="236"/>
      <c r="K418" s="236"/>
      <c r="L418" s="236"/>
      <c r="M418" s="236"/>
      <c r="N418" s="236"/>
      <c r="O418" s="236"/>
      <c r="P418" s="236"/>
      <c r="Q418" s="236"/>
      <c r="R418" s="236"/>
      <c r="S418" s="236"/>
      <c r="T418" s="236"/>
      <c r="U418" s="236"/>
      <c r="V418" s="236"/>
      <c r="W418" s="237"/>
      <c r="X418" s="237"/>
      <c r="Y418" s="237"/>
      <c r="Z418" s="237"/>
      <c r="AA418" s="237"/>
      <c r="AB418" s="237"/>
      <c r="AC418" s="237"/>
      <c r="AD418" s="237"/>
      <c r="AE418" s="237"/>
      <c r="AF418" s="237"/>
      <c r="AG418" s="237"/>
      <c r="AH418" s="237"/>
      <c r="AI418" s="308"/>
      <c r="AJ418" s="308"/>
      <c r="AK418" s="308"/>
      <c r="AL418" s="308"/>
      <c r="AM418" s="98"/>
      <c r="AN418" s="98"/>
    </row>
    <row r="419" ht="14.25" customHeight="1">
      <c r="A419" s="179"/>
      <c r="B419" s="98"/>
      <c r="C419" s="98"/>
      <c r="D419" s="98"/>
      <c r="E419" s="98"/>
      <c r="F419" s="235"/>
      <c r="G419" s="235"/>
      <c r="H419" s="236"/>
      <c r="I419" s="236"/>
      <c r="J419" s="236"/>
      <c r="K419" s="236"/>
      <c r="L419" s="236"/>
      <c r="M419" s="236"/>
      <c r="N419" s="236"/>
      <c r="O419" s="236"/>
      <c r="P419" s="236"/>
      <c r="Q419" s="236"/>
      <c r="R419" s="236"/>
      <c r="S419" s="236"/>
      <c r="T419" s="236"/>
      <c r="U419" s="236"/>
      <c r="V419" s="236"/>
      <c r="W419" s="237"/>
      <c r="X419" s="237"/>
      <c r="Y419" s="237"/>
      <c r="Z419" s="237"/>
      <c r="AA419" s="237"/>
      <c r="AB419" s="237"/>
      <c r="AC419" s="237"/>
      <c r="AD419" s="237"/>
      <c r="AE419" s="237"/>
      <c r="AF419" s="237"/>
      <c r="AG419" s="237"/>
      <c r="AH419" s="237"/>
      <c r="AI419" s="308"/>
      <c r="AJ419" s="308"/>
      <c r="AK419" s="308"/>
      <c r="AL419" s="308"/>
      <c r="AM419" s="98"/>
      <c r="AN419" s="98"/>
    </row>
    <row r="420" ht="14.25" customHeight="1">
      <c r="A420" s="179"/>
      <c r="B420" s="98"/>
      <c r="C420" s="98"/>
      <c r="D420" s="98"/>
      <c r="E420" s="98"/>
      <c r="F420" s="235"/>
      <c r="G420" s="235"/>
      <c r="H420" s="236"/>
      <c r="I420" s="236"/>
      <c r="J420" s="236"/>
      <c r="K420" s="236"/>
      <c r="L420" s="236"/>
      <c r="M420" s="236"/>
      <c r="N420" s="236"/>
      <c r="O420" s="236"/>
      <c r="P420" s="236"/>
      <c r="Q420" s="236"/>
      <c r="R420" s="236"/>
      <c r="S420" s="236"/>
      <c r="T420" s="236"/>
      <c r="U420" s="236"/>
      <c r="V420" s="236"/>
      <c r="W420" s="237"/>
      <c r="X420" s="237"/>
      <c r="Y420" s="237"/>
      <c r="Z420" s="237"/>
      <c r="AA420" s="237"/>
      <c r="AB420" s="237"/>
      <c r="AC420" s="237"/>
      <c r="AD420" s="237"/>
      <c r="AE420" s="237"/>
      <c r="AF420" s="237"/>
      <c r="AG420" s="237"/>
      <c r="AH420" s="237"/>
      <c r="AI420" s="308"/>
      <c r="AJ420" s="308"/>
      <c r="AK420" s="308"/>
      <c r="AL420" s="308"/>
      <c r="AM420" s="98"/>
      <c r="AN420" s="98"/>
    </row>
    <row r="421" ht="14.25" customHeight="1">
      <c r="A421" s="179"/>
      <c r="B421" s="98"/>
      <c r="C421" s="98"/>
      <c r="D421" s="98"/>
      <c r="E421" s="98"/>
      <c r="F421" s="235"/>
      <c r="G421" s="235"/>
      <c r="H421" s="236"/>
      <c r="I421" s="236"/>
      <c r="J421" s="236"/>
      <c r="K421" s="236"/>
      <c r="L421" s="236"/>
      <c r="M421" s="236"/>
      <c r="N421" s="236"/>
      <c r="O421" s="236"/>
      <c r="P421" s="236"/>
      <c r="Q421" s="236"/>
      <c r="R421" s="236"/>
      <c r="S421" s="236"/>
      <c r="T421" s="236"/>
      <c r="U421" s="236"/>
      <c r="V421" s="236"/>
      <c r="W421" s="237"/>
      <c r="X421" s="237"/>
      <c r="Y421" s="237"/>
      <c r="Z421" s="237"/>
      <c r="AA421" s="237"/>
      <c r="AB421" s="237"/>
      <c r="AC421" s="237"/>
      <c r="AD421" s="237"/>
      <c r="AE421" s="237"/>
      <c r="AF421" s="237"/>
      <c r="AG421" s="237"/>
      <c r="AH421" s="237"/>
      <c r="AI421" s="308"/>
      <c r="AJ421" s="308"/>
      <c r="AK421" s="308"/>
      <c r="AL421" s="308"/>
      <c r="AM421" s="98"/>
      <c r="AN421" s="98"/>
    </row>
    <row r="422" ht="14.25" customHeight="1">
      <c r="A422" s="179"/>
      <c r="B422" s="98"/>
      <c r="C422" s="98"/>
      <c r="D422" s="98"/>
      <c r="E422" s="98"/>
      <c r="F422" s="235"/>
      <c r="G422" s="235"/>
      <c r="H422" s="236"/>
      <c r="I422" s="236"/>
      <c r="J422" s="236"/>
      <c r="K422" s="236"/>
      <c r="L422" s="236"/>
      <c r="M422" s="236"/>
      <c r="N422" s="236"/>
      <c r="O422" s="236"/>
      <c r="P422" s="236"/>
      <c r="Q422" s="236"/>
      <c r="R422" s="236"/>
      <c r="S422" s="236"/>
      <c r="T422" s="236"/>
      <c r="U422" s="236"/>
      <c r="V422" s="236"/>
      <c r="W422" s="237"/>
      <c r="X422" s="237"/>
      <c r="Y422" s="237"/>
      <c r="Z422" s="237"/>
      <c r="AA422" s="237"/>
      <c r="AB422" s="237"/>
      <c r="AC422" s="237"/>
      <c r="AD422" s="237"/>
      <c r="AE422" s="237"/>
      <c r="AF422" s="237"/>
      <c r="AG422" s="237"/>
      <c r="AH422" s="237"/>
      <c r="AI422" s="308"/>
      <c r="AJ422" s="308"/>
      <c r="AK422" s="308"/>
      <c r="AL422" s="308"/>
      <c r="AM422" s="98"/>
      <c r="AN422" s="98"/>
    </row>
    <row r="423" ht="14.25" customHeight="1">
      <c r="A423" s="179"/>
      <c r="B423" s="98"/>
      <c r="C423" s="98"/>
      <c r="D423" s="98"/>
      <c r="E423" s="98"/>
      <c r="F423" s="235"/>
      <c r="G423" s="235"/>
      <c r="H423" s="236"/>
      <c r="I423" s="236"/>
      <c r="J423" s="236"/>
      <c r="K423" s="236"/>
      <c r="L423" s="236"/>
      <c r="M423" s="236"/>
      <c r="N423" s="236"/>
      <c r="O423" s="236"/>
      <c r="P423" s="236"/>
      <c r="Q423" s="236"/>
      <c r="R423" s="236"/>
      <c r="S423" s="236"/>
      <c r="T423" s="236"/>
      <c r="U423" s="236"/>
      <c r="V423" s="236"/>
      <c r="W423" s="237"/>
      <c r="X423" s="237"/>
      <c r="Y423" s="237"/>
      <c r="Z423" s="237"/>
      <c r="AA423" s="237"/>
      <c r="AB423" s="237"/>
      <c r="AC423" s="237"/>
      <c r="AD423" s="237"/>
      <c r="AE423" s="237"/>
      <c r="AF423" s="237"/>
      <c r="AG423" s="237"/>
      <c r="AH423" s="237"/>
      <c r="AI423" s="308"/>
      <c r="AJ423" s="308"/>
      <c r="AK423" s="308"/>
      <c r="AL423" s="308"/>
      <c r="AM423" s="98"/>
      <c r="AN423" s="98"/>
    </row>
    <row r="424" ht="14.25" customHeight="1">
      <c r="A424" s="179"/>
      <c r="B424" s="98"/>
      <c r="C424" s="98"/>
      <c r="D424" s="98"/>
      <c r="E424" s="98"/>
      <c r="F424" s="235"/>
      <c r="G424" s="235"/>
      <c r="H424" s="236"/>
      <c r="I424" s="236"/>
      <c r="J424" s="236"/>
      <c r="K424" s="236"/>
      <c r="L424" s="236"/>
      <c r="M424" s="236"/>
      <c r="N424" s="236"/>
      <c r="O424" s="236"/>
      <c r="P424" s="236"/>
      <c r="Q424" s="236"/>
      <c r="R424" s="236"/>
      <c r="S424" s="236"/>
      <c r="T424" s="236"/>
      <c r="U424" s="236"/>
      <c r="V424" s="236"/>
      <c r="W424" s="237"/>
      <c r="X424" s="237"/>
      <c r="Y424" s="237"/>
      <c r="Z424" s="237"/>
      <c r="AA424" s="237"/>
      <c r="AB424" s="237"/>
      <c r="AC424" s="237"/>
      <c r="AD424" s="237"/>
      <c r="AE424" s="237"/>
      <c r="AF424" s="237"/>
      <c r="AG424" s="237"/>
      <c r="AH424" s="237"/>
      <c r="AI424" s="308"/>
      <c r="AJ424" s="308"/>
      <c r="AK424" s="308"/>
      <c r="AL424" s="308"/>
      <c r="AM424" s="98"/>
      <c r="AN424" s="98"/>
    </row>
    <row r="425" ht="14.25" customHeight="1">
      <c r="A425" s="179"/>
      <c r="B425" s="98"/>
      <c r="C425" s="98"/>
      <c r="D425" s="98"/>
      <c r="E425" s="98"/>
      <c r="F425" s="235"/>
      <c r="G425" s="235"/>
      <c r="H425" s="236"/>
      <c r="I425" s="236"/>
      <c r="J425" s="236"/>
      <c r="K425" s="236"/>
      <c r="L425" s="236"/>
      <c r="M425" s="236"/>
      <c r="N425" s="236"/>
      <c r="O425" s="236"/>
      <c r="P425" s="236"/>
      <c r="Q425" s="236"/>
      <c r="R425" s="236"/>
      <c r="S425" s="236"/>
      <c r="T425" s="236"/>
      <c r="U425" s="236"/>
      <c r="V425" s="236"/>
      <c r="W425" s="237"/>
      <c r="X425" s="237"/>
      <c r="Y425" s="237"/>
      <c r="Z425" s="237"/>
      <c r="AA425" s="237"/>
      <c r="AB425" s="237"/>
      <c r="AC425" s="237"/>
      <c r="AD425" s="237"/>
      <c r="AE425" s="237"/>
      <c r="AF425" s="237"/>
      <c r="AG425" s="237"/>
      <c r="AH425" s="237"/>
      <c r="AI425" s="308"/>
      <c r="AJ425" s="308"/>
      <c r="AK425" s="308"/>
      <c r="AL425" s="308"/>
      <c r="AM425" s="98"/>
      <c r="AN425" s="98"/>
    </row>
    <row r="426" ht="14.25" customHeight="1">
      <c r="A426" s="179"/>
      <c r="B426" s="98"/>
      <c r="C426" s="98"/>
      <c r="D426" s="98"/>
      <c r="E426" s="98"/>
      <c r="F426" s="235"/>
      <c r="G426" s="235"/>
      <c r="H426" s="236"/>
      <c r="I426" s="236"/>
      <c r="J426" s="236"/>
      <c r="K426" s="236"/>
      <c r="L426" s="236"/>
      <c r="M426" s="236"/>
      <c r="N426" s="236"/>
      <c r="O426" s="236"/>
      <c r="P426" s="236"/>
      <c r="Q426" s="236"/>
      <c r="R426" s="236"/>
      <c r="S426" s="236"/>
      <c r="T426" s="236"/>
      <c r="U426" s="236"/>
      <c r="V426" s="236"/>
      <c r="W426" s="237"/>
      <c r="X426" s="237"/>
      <c r="Y426" s="237"/>
      <c r="Z426" s="237"/>
      <c r="AA426" s="237"/>
      <c r="AB426" s="237"/>
      <c r="AC426" s="237"/>
      <c r="AD426" s="237"/>
      <c r="AE426" s="237"/>
      <c r="AF426" s="237"/>
      <c r="AG426" s="237"/>
      <c r="AH426" s="237"/>
      <c r="AI426" s="308"/>
      <c r="AJ426" s="308"/>
      <c r="AK426" s="308"/>
      <c r="AL426" s="308"/>
      <c r="AM426" s="98"/>
      <c r="AN426" s="98"/>
    </row>
    <row r="427" ht="14.25" customHeight="1">
      <c r="A427" s="179"/>
      <c r="B427" s="98"/>
      <c r="C427" s="98"/>
      <c r="D427" s="98"/>
      <c r="E427" s="98"/>
      <c r="F427" s="235"/>
      <c r="G427" s="235"/>
      <c r="H427" s="236"/>
      <c r="I427" s="236"/>
      <c r="J427" s="236"/>
      <c r="K427" s="236"/>
      <c r="L427" s="236"/>
      <c r="M427" s="236"/>
      <c r="N427" s="236"/>
      <c r="O427" s="236"/>
      <c r="P427" s="236"/>
      <c r="Q427" s="236"/>
      <c r="R427" s="236"/>
      <c r="S427" s="236"/>
      <c r="T427" s="236"/>
      <c r="U427" s="236"/>
      <c r="V427" s="236"/>
      <c r="W427" s="237"/>
      <c r="X427" s="237"/>
      <c r="Y427" s="237"/>
      <c r="Z427" s="237"/>
      <c r="AA427" s="237"/>
      <c r="AB427" s="237"/>
      <c r="AC427" s="237"/>
      <c r="AD427" s="237"/>
      <c r="AE427" s="237"/>
      <c r="AF427" s="237"/>
      <c r="AG427" s="237"/>
      <c r="AH427" s="237"/>
      <c r="AI427" s="308"/>
      <c r="AJ427" s="308"/>
      <c r="AK427" s="308"/>
      <c r="AL427" s="308"/>
      <c r="AM427" s="98"/>
      <c r="AN427" s="98"/>
    </row>
    <row r="428" ht="14.25" customHeight="1">
      <c r="A428" s="179"/>
      <c r="B428" s="98"/>
      <c r="C428" s="98"/>
      <c r="D428" s="98"/>
      <c r="E428" s="98"/>
      <c r="F428" s="235"/>
      <c r="G428" s="235"/>
      <c r="H428" s="236"/>
      <c r="I428" s="236"/>
      <c r="J428" s="236"/>
      <c r="K428" s="236"/>
      <c r="L428" s="236"/>
      <c r="M428" s="236"/>
      <c r="N428" s="236"/>
      <c r="O428" s="236"/>
      <c r="P428" s="236"/>
      <c r="Q428" s="236"/>
      <c r="R428" s="236"/>
      <c r="S428" s="236"/>
      <c r="T428" s="236"/>
      <c r="U428" s="236"/>
      <c r="V428" s="236"/>
      <c r="W428" s="237"/>
      <c r="X428" s="237"/>
      <c r="Y428" s="237"/>
      <c r="Z428" s="237"/>
      <c r="AA428" s="237"/>
      <c r="AB428" s="237"/>
      <c r="AC428" s="237"/>
      <c r="AD428" s="237"/>
      <c r="AE428" s="237"/>
      <c r="AF428" s="237"/>
      <c r="AG428" s="237"/>
      <c r="AH428" s="237"/>
      <c r="AI428" s="308"/>
      <c r="AJ428" s="308"/>
      <c r="AK428" s="308"/>
      <c r="AL428" s="308"/>
      <c r="AM428" s="98"/>
      <c r="AN428" s="98"/>
    </row>
    <row r="429" ht="14.25" customHeight="1">
      <c r="A429" s="179"/>
      <c r="B429" s="98"/>
      <c r="C429" s="98"/>
      <c r="D429" s="98"/>
      <c r="E429" s="98"/>
      <c r="F429" s="235"/>
      <c r="G429" s="235"/>
      <c r="H429" s="236"/>
      <c r="I429" s="236"/>
      <c r="J429" s="236"/>
      <c r="K429" s="236"/>
      <c r="L429" s="236"/>
      <c r="M429" s="236"/>
      <c r="N429" s="236"/>
      <c r="O429" s="236"/>
      <c r="P429" s="236"/>
      <c r="Q429" s="236"/>
      <c r="R429" s="236"/>
      <c r="S429" s="236"/>
      <c r="T429" s="236"/>
      <c r="U429" s="236"/>
      <c r="V429" s="236"/>
      <c r="W429" s="237"/>
      <c r="X429" s="237"/>
      <c r="Y429" s="237"/>
      <c r="Z429" s="237"/>
      <c r="AA429" s="237"/>
      <c r="AB429" s="237"/>
      <c r="AC429" s="237"/>
      <c r="AD429" s="237"/>
      <c r="AE429" s="237"/>
      <c r="AF429" s="237"/>
      <c r="AG429" s="237"/>
      <c r="AH429" s="237"/>
      <c r="AI429" s="308"/>
      <c r="AJ429" s="308"/>
      <c r="AK429" s="308"/>
      <c r="AL429" s="308"/>
      <c r="AM429" s="98"/>
      <c r="AN429" s="98"/>
    </row>
    <row r="430" ht="14.25" customHeight="1">
      <c r="A430" s="179"/>
      <c r="B430" s="98"/>
      <c r="C430" s="98"/>
      <c r="D430" s="98"/>
      <c r="E430" s="98"/>
      <c r="F430" s="235"/>
      <c r="G430" s="235"/>
      <c r="H430" s="236"/>
      <c r="I430" s="236"/>
      <c r="J430" s="236"/>
      <c r="K430" s="236"/>
      <c r="L430" s="236"/>
      <c r="M430" s="236"/>
      <c r="N430" s="236"/>
      <c r="O430" s="236"/>
      <c r="P430" s="236"/>
      <c r="Q430" s="236"/>
      <c r="R430" s="236"/>
      <c r="S430" s="236"/>
      <c r="T430" s="236"/>
      <c r="U430" s="236"/>
      <c r="V430" s="236"/>
      <c r="W430" s="237"/>
      <c r="X430" s="237"/>
      <c r="Y430" s="237"/>
      <c r="Z430" s="237"/>
      <c r="AA430" s="237"/>
      <c r="AB430" s="237"/>
      <c r="AC430" s="237"/>
      <c r="AD430" s="237"/>
      <c r="AE430" s="237"/>
      <c r="AF430" s="237"/>
      <c r="AG430" s="237"/>
      <c r="AH430" s="237"/>
      <c r="AI430" s="308"/>
      <c r="AJ430" s="308"/>
      <c r="AK430" s="308"/>
      <c r="AL430" s="308"/>
      <c r="AM430" s="98"/>
      <c r="AN430" s="98"/>
    </row>
    <row r="431" ht="14.25" customHeight="1">
      <c r="A431" s="179"/>
      <c r="B431" s="98"/>
      <c r="C431" s="98"/>
      <c r="D431" s="98"/>
      <c r="E431" s="98"/>
      <c r="F431" s="235"/>
      <c r="G431" s="235"/>
      <c r="H431" s="236"/>
      <c r="I431" s="236"/>
      <c r="J431" s="236"/>
      <c r="K431" s="236"/>
      <c r="L431" s="236"/>
      <c r="M431" s="236"/>
      <c r="N431" s="236"/>
      <c r="O431" s="236"/>
      <c r="P431" s="236"/>
      <c r="Q431" s="236"/>
      <c r="R431" s="236"/>
      <c r="S431" s="236"/>
      <c r="T431" s="236"/>
      <c r="U431" s="236"/>
      <c r="V431" s="236"/>
      <c r="W431" s="237"/>
      <c r="X431" s="237"/>
      <c r="Y431" s="237"/>
      <c r="Z431" s="237"/>
      <c r="AA431" s="237"/>
      <c r="AB431" s="237"/>
      <c r="AC431" s="237"/>
      <c r="AD431" s="237"/>
      <c r="AE431" s="237"/>
      <c r="AF431" s="237"/>
      <c r="AG431" s="237"/>
      <c r="AH431" s="237"/>
      <c r="AI431" s="308"/>
      <c r="AJ431" s="308"/>
      <c r="AK431" s="308"/>
      <c r="AL431" s="308"/>
      <c r="AM431" s="98"/>
      <c r="AN431" s="98"/>
    </row>
    <row r="432" ht="14.25" customHeight="1">
      <c r="A432" s="179"/>
      <c r="B432" s="98"/>
      <c r="C432" s="98"/>
      <c r="D432" s="98"/>
      <c r="E432" s="98"/>
      <c r="F432" s="235"/>
      <c r="G432" s="235"/>
      <c r="H432" s="236"/>
      <c r="I432" s="236"/>
      <c r="J432" s="236"/>
      <c r="K432" s="236"/>
      <c r="L432" s="236"/>
      <c r="M432" s="236"/>
      <c r="N432" s="236"/>
      <c r="O432" s="236"/>
      <c r="P432" s="236"/>
      <c r="Q432" s="236"/>
      <c r="R432" s="236"/>
      <c r="S432" s="236"/>
      <c r="T432" s="236"/>
      <c r="U432" s="236"/>
      <c r="V432" s="236"/>
      <c r="W432" s="237"/>
      <c r="X432" s="237"/>
      <c r="Y432" s="237"/>
      <c r="Z432" s="237"/>
      <c r="AA432" s="237"/>
      <c r="AB432" s="237"/>
      <c r="AC432" s="237"/>
      <c r="AD432" s="237"/>
      <c r="AE432" s="237"/>
      <c r="AF432" s="237"/>
      <c r="AG432" s="237"/>
      <c r="AH432" s="237"/>
      <c r="AI432" s="308"/>
      <c r="AJ432" s="308"/>
      <c r="AK432" s="308"/>
      <c r="AL432" s="308"/>
      <c r="AM432" s="98"/>
      <c r="AN432" s="98"/>
    </row>
    <row r="433" ht="14.25" customHeight="1">
      <c r="A433" s="179"/>
      <c r="B433" s="98"/>
      <c r="C433" s="98"/>
      <c r="D433" s="98"/>
      <c r="E433" s="98"/>
      <c r="F433" s="235"/>
      <c r="G433" s="235"/>
      <c r="H433" s="236"/>
      <c r="I433" s="236"/>
      <c r="J433" s="236"/>
      <c r="K433" s="236"/>
      <c r="L433" s="236"/>
      <c r="M433" s="236"/>
      <c r="N433" s="236"/>
      <c r="O433" s="236"/>
      <c r="P433" s="236"/>
      <c r="Q433" s="236"/>
      <c r="R433" s="236"/>
      <c r="S433" s="236"/>
      <c r="T433" s="236"/>
      <c r="U433" s="236"/>
      <c r="V433" s="236"/>
      <c r="W433" s="237"/>
      <c r="X433" s="237"/>
      <c r="Y433" s="237"/>
      <c r="Z433" s="237"/>
      <c r="AA433" s="237"/>
      <c r="AB433" s="237"/>
      <c r="AC433" s="237"/>
      <c r="AD433" s="237"/>
      <c r="AE433" s="237"/>
      <c r="AF433" s="237"/>
      <c r="AG433" s="237"/>
      <c r="AH433" s="237"/>
      <c r="AI433" s="308"/>
      <c r="AJ433" s="308"/>
      <c r="AK433" s="308"/>
      <c r="AL433" s="308"/>
      <c r="AM433" s="98"/>
      <c r="AN433" s="98"/>
    </row>
    <row r="434" ht="14.25" customHeight="1">
      <c r="A434" s="179"/>
      <c r="B434" s="98"/>
      <c r="C434" s="98"/>
      <c r="D434" s="98"/>
      <c r="E434" s="98"/>
      <c r="F434" s="235"/>
      <c r="G434" s="235"/>
      <c r="H434" s="236"/>
      <c r="I434" s="236"/>
      <c r="J434" s="236"/>
      <c r="K434" s="236"/>
      <c r="L434" s="236"/>
      <c r="M434" s="236"/>
      <c r="N434" s="236"/>
      <c r="O434" s="236"/>
      <c r="P434" s="236"/>
      <c r="Q434" s="236"/>
      <c r="R434" s="236"/>
      <c r="S434" s="236"/>
      <c r="T434" s="236"/>
      <c r="U434" s="236"/>
      <c r="V434" s="236"/>
      <c r="W434" s="237"/>
      <c r="X434" s="237"/>
      <c r="Y434" s="237"/>
      <c r="Z434" s="237"/>
      <c r="AA434" s="237"/>
      <c r="AB434" s="237"/>
      <c r="AC434" s="237"/>
      <c r="AD434" s="237"/>
      <c r="AE434" s="237"/>
      <c r="AF434" s="237"/>
      <c r="AG434" s="237"/>
      <c r="AH434" s="237"/>
      <c r="AI434" s="308"/>
      <c r="AJ434" s="308"/>
      <c r="AK434" s="308"/>
      <c r="AL434" s="308"/>
      <c r="AM434" s="98"/>
      <c r="AN434" s="98"/>
    </row>
    <row r="435" ht="14.25" customHeight="1">
      <c r="A435" s="179"/>
      <c r="B435" s="98"/>
      <c r="C435" s="98"/>
      <c r="D435" s="98"/>
      <c r="E435" s="98"/>
      <c r="F435" s="235"/>
      <c r="G435" s="235"/>
      <c r="H435" s="236"/>
      <c r="I435" s="236"/>
      <c r="J435" s="236"/>
      <c r="K435" s="236"/>
      <c r="L435" s="236"/>
      <c r="M435" s="236"/>
      <c r="N435" s="236"/>
      <c r="O435" s="236"/>
      <c r="P435" s="236"/>
      <c r="Q435" s="236"/>
      <c r="R435" s="236"/>
      <c r="S435" s="236"/>
      <c r="T435" s="236"/>
      <c r="U435" s="236"/>
      <c r="V435" s="236"/>
      <c r="W435" s="237"/>
      <c r="X435" s="237"/>
      <c r="Y435" s="237"/>
      <c r="Z435" s="237"/>
      <c r="AA435" s="237"/>
      <c r="AB435" s="237"/>
      <c r="AC435" s="237"/>
      <c r="AD435" s="237"/>
      <c r="AE435" s="237"/>
      <c r="AF435" s="237"/>
      <c r="AG435" s="237"/>
      <c r="AH435" s="237"/>
      <c r="AI435" s="308"/>
      <c r="AJ435" s="308"/>
      <c r="AK435" s="308"/>
      <c r="AL435" s="308"/>
      <c r="AM435" s="98"/>
      <c r="AN435" s="98"/>
    </row>
    <row r="436" ht="14.25" customHeight="1">
      <c r="A436" s="179"/>
      <c r="B436" s="98"/>
      <c r="C436" s="98"/>
      <c r="D436" s="98"/>
      <c r="E436" s="98"/>
      <c r="F436" s="235"/>
      <c r="G436" s="235"/>
      <c r="H436" s="236"/>
      <c r="I436" s="236"/>
      <c r="J436" s="236"/>
      <c r="K436" s="236"/>
      <c r="L436" s="236"/>
      <c r="M436" s="236"/>
      <c r="N436" s="236"/>
      <c r="O436" s="236"/>
      <c r="P436" s="236"/>
      <c r="Q436" s="236"/>
      <c r="R436" s="236"/>
      <c r="S436" s="236"/>
      <c r="T436" s="236"/>
      <c r="U436" s="236"/>
      <c r="V436" s="236"/>
      <c r="W436" s="237"/>
      <c r="X436" s="237"/>
      <c r="Y436" s="237"/>
      <c r="Z436" s="237"/>
      <c r="AA436" s="237"/>
      <c r="AB436" s="237"/>
      <c r="AC436" s="237"/>
      <c r="AD436" s="237"/>
      <c r="AE436" s="237"/>
      <c r="AF436" s="237"/>
      <c r="AG436" s="237"/>
      <c r="AH436" s="237"/>
      <c r="AI436" s="308"/>
      <c r="AJ436" s="308"/>
      <c r="AK436" s="308"/>
      <c r="AL436" s="308"/>
      <c r="AM436" s="98"/>
      <c r="AN436" s="98"/>
    </row>
    <row r="437" ht="14.25" customHeight="1">
      <c r="A437" s="179"/>
      <c r="B437" s="98"/>
      <c r="C437" s="98"/>
      <c r="D437" s="98"/>
      <c r="E437" s="98"/>
      <c r="F437" s="235"/>
      <c r="G437" s="235"/>
      <c r="H437" s="236"/>
      <c r="I437" s="236"/>
      <c r="J437" s="236"/>
      <c r="K437" s="236"/>
      <c r="L437" s="236"/>
      <c r="M437" s="236"/>
      <c r="N437" s="236"/>
      <c r="O437" s="236"/>
      <c r="P437" s="236"/>
      <c r="Q437" s="236"/>
      <c r="R437" s="236"/>
      <c r="S437" s="236"/>
      <c r="T437" s="236"/>
      <c r="U437" s="236"/>
      <c r="V437" s="236"/>
      <c r="W437" s="237"/>
      <c r="X437" s="237"/>
      <c r="Y437" s="237"/>
      <c r="Z437" s="237"/>
      <c r="AA437" s="237"/>
      <c r="AB437" s="237"/>
      <c r="AC437" s="237"/>
      <c r="AD437" s="237"/>
      <c r="AE437" s="237"/>
      <c r="AF437" s="237"/>
      <c r="AG437" s="237"/>
      <c r="AH437" s="237"/>
      <c r="AI437" s="308"/>
      <c r="AJ437" s="308"/>
      <c r="AK437" s="308"/>
      <c r="AL437" s="308"/>
      <c r="AM437" s="98"/>
      <c r="AN437" s="98"/>
    </row>
    <row r="438" ht="14.25" customHeight="1">
      <c r="A438" s="179"/>
      <c r="B438" s="98"/>
      <c r="C438" s="98"/>
      <c r="D438" s="98"/>
      <c r="E438" s="98"/>
      <c r="F438" s="235"/>
      <c r="G438" s="235"/>
      <c r="H438" s="236"/>
      <c r="I438" s="236"/>
      <c r="J438" s="236"/>
      <c r="K438" s="236"/>
      <c r="L438" s="236"/>
      <c r="M438" s="236"/>
      <c r="N438" s="236"/>
      <c r="O438" s="236"/>
      <c r="P438" s="236"/>
      <c r="Q438" s="236"/>
      <c r="R438" s="236"/>
      <c r="S438" s="236"/>
      <c r="T438" s="236"/>
      <c r="U438" s="236"/>
      <c r="V438" s="236"/>
      <c r="W438" s="237"/>
      <c r="X438" s="237"/>
      <c r="Y438" s="237"/>
      <c r="Z438" s="237"/>
      <c r="AA438" s="237"/>
      <c r="AB438" s="237"/>
      <c r="AC438" s="237"/>
      <c r="AD438" s="237"/>
      <c r="AE438" s="237"/>
      <c r="AF438" s="237"/>
      <c r="AG438" s="237"/>
      <c r="AH438" s="237"/>
      <c r="AI438" s="308"/>
      <c r="AJ438" s="308"/>
      <c r="AK438" s="308"/>
      <c r="AL438" s="308"/>
      <c r="AM438" s="98"/>
      <c r="AN438" s="98"/>
    </row>
    <row r="439" ht="14.25" customHeight="1">
      <c r="A439" s="179"/>
      <c r="B439" s="98"/>
      <c r="C439" s="98"/>
      <c r="D439" s="98"/>
      <c r="E439" s="98"/>
      <c r="F439" s="235"/>
      <c r="G439" s="235"/>
      <c r="H439" s="236"/>
      <c r="I439" s="236"/>
      <c r="J439" s="236"/>
      <c r="K439" s="236"/>
      <c r="L439" s="236"/>
      <c r="M439" s="236"/>
      <c r="N439" s="236"/>
      <c r="O439" s="236"/>
      <c r="P439" s="236"/>
      <c r="Q439" s="236"/>
      <c r="R439" s="236"/>
      <c r="S439" s="236"/>
      <c r="T439" s="236"/>
      <c r="U439" s="236"/>
      <c r="V439" s="236"/>
      <c r="W439" s="237"/>
      <c r="X439" s="237"/>
      <c r="Y439" s="237"/>
      <c r="Z439" s="237"/>
      <c r="AA439" s="237"/>
      <c r="AB439" s="237"/>
      <c r="AC439" s="237"/>
      <c r="AD439" s="237"/>
      <c r="AE439" s="237"/>
      <c r="AF439" s="237"/>
      <c r="AG439" s="237"/>
      <c r="AH439" s="237"/>
      <c r="AI439" s="308"/>
      <c r="AJ439" s="308"/>
      <c r="AK439" s="308"/>
      <c r="AL439" s="308"/>
      <c r="AM439" s="98"/>
      <c r="AN439" s="98"/>
    </row>
    <row r="440" ht="14.25" customHeight="1">
      <c r="A440" s="179"/>
      <c r="B440" s="98"/>
      <c r="C440" s="98"/>
      <c r="D440" s="98"/>
      <c r="E440" s="98"/>
      <c r="F440" s="235"/>
      <c r="G440" s="235"/>
      <c r="H440" s="236"/>
      <c r="I440" s="236"/>
      <c r="J440" s="236"/>
      <c r="K440" s="236"/>
      <c r="L440" s="236"/>
      <c r="M440" s="236"/>
      <c r="N440" s="236"/>
      <c r="O440" s="236"/>
      <c r="P440" s="236"/>
      <c r="Q440" s="236"/>
      <c r="R440" s="236"/>
      <c r="S440" s="236"/>
      <c r="T440" s="236"/>
      <c r="U440" s="236"/>
      <c r="V440" s="236"/>
      <c r="W440" s="237"/>
      <c r="X440" s="237"/>
      <c r="Y440" s="237"/>
      <c r="Z440" s="237"/>
      <c r="AA440" s="237"/>
      <c r="AB440" s="237"/>
      <c r="AC440" s="237"/>
      <c r="AD440" s="237"/>
      <c r="AE440" s="237"/>
      <c r="AF440" s="237"/>
      <c r="AG440" s="237"/>
      <c r="AH440" s="237"/>
      <c r="AI440" s="308"/>
      <c r="AJ440" s="308"/>
      <c r="AK440" s="308"/>
      <c r="AL440" s="308"/>
      <c r="AM440" s="98"/>
      <c r="AN440" s="98"/>
    </row>
    <row r="441" ht="14.25" customHeight="1">
      <c r="A441" s="179"/>
      <c r="B441" s="98"/>
      <c r="C441" s="98"/>
      <c r="D441" s="98"/>
      <c r="E441" s="98"/>
      <c r="F441" s="235"/>
      <c r="G441" s="235"/>
      <c r="H441" s="236"/>
      <c r="I441" s="236"/>
      <c r="J441" s="236"/>
      <c r="K441" s="236"/>
      <c r="L441" s="236"/>
      <c r="M441" s="236"/>
      <c r="N441" s="236"/>
      <c r="O441" s="236"/>
      <c r="P441" s="236"/>
      <c r="Q441" s="236"/>
      <c r="R441" s="236"/>
      <c r="S441" s="236"/>
      <c r="T441" s="236"/>
      <c r="U441" s="236"/>
      <c r="V441" s="236"/>
      <c r="W441" s="237"/>
      <c r="X441" s="237"/>
      <c r="Y441" s="237"/>
      <c r="Z441" s="237"/>
      <c r="AA441" s="237"/>
      <c r="AB441" s="237"/>
      <c r="AC441" s="237"/>
      <c r="AD441" s="237"/>
      <c r="AE441" s="237"/>
      <c r="AF441" s="237"/>
      <c r="AG441" s="237"/>
      <c r="AH441" s="237"/>
      <c r="AI441" s="308"/>
      <c r="AJ441" s="308"/>
      <c r="AK441" s="308"/>
      <c r="AL441" s="308"/>
      <c r="AM441" s="98"/>
      <c r="AN441" s="98"/>
    </row>
    <row r="442" ht="14.25" customHeight="1">
      <c r="A442" s="179"/>
      <c r="B442" s="98"/>
      <c r="C442" s="98"/>
      <c r="D442" s="98"/>
      <c r="E442" s="98"/>
      <c r="F442" s="235"/>
      <c r="G442" s="235"/>
      <c r="H442" s="236"/>
      <c r="I442" s="236"/>
      <c r="J442" s="236"/>
      <c r="K442" s="236"/>
      <c r="L442" s="236"/>
      <c r="M442" s="236"/>
      <c r="N442" s="236"/>
      <c r="O442" s="236"/>
      <c r="P442" s="236"/>
      <c r="Q442" s="236"/>
      <c r="R442" s="236"/>
      <c r="S442" s="236"/>
      <c r="T442" s="236"/>
      <c r="U442" s="236"/>
      <c r="V442" s="236"/>
      <c r="W442" s="237"/>
      <c r="X442" s="237"/>
      <c r="Y442" s="237"/>
      <c r="Z442" s="237"/>
      <c r="AA442" s="237"/>
      <c r="AB442" s="237"/>
      <c r="AC442" s="237"/>
      <c r="AD442" s="237"/>
      <c r="AE442" s="237"/>
      <c r="AF442" s="237"/>
      <c r="AG442" s="237"/>
      <c r="AH442" s="237"/>
      <c r="AI442" s="308"/>
      <c r="AJ442" s="308"/>
      <c r="AK442" s="308"/>
      <c r="AL442" s="308"/>
      <c r="AM442" s="98"/>
      <c r="AN442" s="98"/>
    </row>
    <row r="443" ht="14.25" customHeight="1">
      <c r="A443" s="179"/>
      <c r="B443" s="98"/>
      <c r="C443" s="98"/>
      <c r="D443" s="98"/>
      <c r="E443" s="98"/>
      <c r="F443" s="235"/>
      <c r="G443" s="235"/>
      <c r="H443" s="236"/>
      <c r="I443" s="236"/>
      <c r="J443" s="236"/>
      <c r="K443" s="236"/>
      <c r="L443" s="236"/>
      <c r="M443" s="236"/>
      <c r="N443" s="236"/>
      <c r="O443" s="236"/>
      <c r="P443" s="236"/>
      <c r="Q443" s="236"/>
      <c r="R443" s="236"/>
      <c r="S443" s="236"/>
      <c r="T443" s="236"/>
      <c r="U443" s="236"/>
      <c r="V443" s="236"/>
      <c r="W443" s="237"/>
      <c r="X443" s="237"/>
      <c r="Y443" s="237"/>
      <c r="Z443" s="237"/>
      <c r="AA443" s="237"/>
      <c r="AB443" s="237"/>
      <c r="AC443" s="237"/>
      <c r="AD443" s="237"/>
      <c r="AE443" s="237"/>
      <c r="AF443" s="237"/>
      <c r="AG443" s="237"/>
      <c r="AH443" s="237"/>
      <c r="AI443" s="308"/>
      <c r="AJ443" s="308"/>
      <c r="AK443" s="308"/>
      <c r="AL443" s="308"/>
      <c r="AM443" s="98"/>
      <c r="AN443" s="98"/>
    </row>
    <row r="444" ht="14.25" customHeight="1">
      <c r="A444" s="179"/>
      <c r="B444" s="98"/>
      <c r="C444" s="98"/>
      <c r="D444" s="98"/>
      <c r="E444" s="98"/>
      <c r="F444" s="235"/>
      <c r="G444" s="235"/>
      <c r="H444" s="236"/>
      <c r="I444" s="236"/>
      <c r="J444" s="236"/>
      <c r="K444" s="236"/>
      <c r="L444" s="236"/>
      <c r="M444" s="236"/>
      <c r="N444" s="236"/>
      <c r="O444" s="236"/>
      <c r="P444" s="236"/>
      <c r="Q444" s="236"/>
      <c r="R444" s="236"/>
      <c r="S444" s="236"/>
      <c r="T444" s="236"/>
      <c r="U444" s="236"/>
      <c r="V444" s="236"/>
      <c r="W444" s="237"/>
      <c r="X444" s="237"/>
      <c r="Y444" s="237"/>
      <c r="Z444" s="237"/>
      <c r="AA444" s="237"/>
      <c r="AB444" s="237"/>
      <c r="AC444" s="237"/>
      <c r="AD444" s="237"/>
      <c r="AE444" s="237"/>
      <c r="AF444" s="237"/>
      <c r="AG444" s="237"/>
      <c r="AH444" s="237"/>
      <c r="AI444" s="308"/>
      <c r="AJ444" s="308"/>
      <c r="AK444" s="308"/>
      <c r="AL444" s="308"/>
      <c r="AM444" s="98"/>
      <c r="AN444" s="98"/>
    </row>
    <row r="445" ht="14.25" customHeight="1">
      <c r="A445" s="179"/>
      <c r="B445" s="98"/>
      <c r="C445" s="98"/>
      <c r="D445" s="98"/>
      <c r="E445" s="98"/>
      <c r="F445" s="235"/>
      <c r="G445" s="235"/>
      <c r="H445" s="236"/>
      <c r="I445" s="236"/>
      <c r="J445" s="236"/>
      <c r="K445" s="236"/>
      <c r="L445" s="236"/>
      <c r="M445" s="236"/>
      <c r="N445" s="236"/>
      <c r="O445" s="236"/>
      <c r="P445" s="236"/>
      <c r="Q445" s="236"/>
      <c r="R445" s="236"/>
      <c r="S445" s="236"/>
      <c r="T445" s="236"/>
      <c r="U445" s="236"/>
      <c r="V445" s="236"/>
      <c r="W445" s="237"/>
      <c r="X445" s="237"/>
      <c r="Y445" s="237"/>
      <c r="Z445" s="237"/>
      <c r="AA445" s="237"/>
      <c r="AB445" s="237"/>
      <c r="AC445" s="237"/>
      <c r="AD445" s="237"/>
      <c r="AE445" s="237"/>
      <c r="AF445" s="237"/>
      <c r="AG445" s="237"/>
      <c r="AH445" s="237"/>
      <c r="AI445" s="308"/>
      <c r="AJ445" s="308"/>
      <c r="AK445" s="308"/>
      <c r="AL445" s="308"/>
      <c r="AM445" s="98"/>
      <c r="AN445" s="98"/>
    </row>
    <row r="446" ht="14.25" customHeight="1">
      <c r="A446" s="179"/>
      <c r="B446" s="98"/>
      <c r="C446" s="98"/>
      <c r="D446" s="98"/>
      <c r="E446" s="98"/>
      <c r="F446" s="235"/>
      <c r="G446" s="235"/>
      <c r="H446" s="236"/>
      <c r="I446" s="236"/>
      <c r="J446" s="236"/>
      <c r="K446" s="236"/>
      <c r="L446" s="236"/>
      <c r="M446" s="236"/>
      <c r="N446" s="236"/>
      <c r="O446" s="236"/>
      <c r="P446" s="236"/>
      <c r="Q446" s="236"/>
      <c r="R446" s="236"/>
      <c r="S446" s="236"/>
      <c r="T446" s="236"/>
      <c r="U446" s="236"/>
      <c r="V446" s="236"/>
      <c r="W446" s="237"/>
      <c r="X446" s="237"/>
      <c r="Y446" s="237"/>
      <c r="Z446" s="237"/>
      <c r="AA446" s="237"/>
      <c r="AB446" s="237"/>
      <c r="AC446" s="237"/>
      <c r="AD446" s="237"/>
      <c r="AE446" s="237"/>
      <c r="AF446" s="237"/>
      <c r="AG446" s="237"/>
      <c r="AH446" s="237"/>
      <c r="AI446" s="308"/>
      <c r="AJ446" s="308"/>
      <c r="AK446" s="308"/>
      <c r="AL446" s="308"/>
      <c r="AM446" s="98"/>
      <c r="AN446" s="98"/>
    </row>
    <row r="447" ht="14.25" customHeight="1">
      <c r="A447" s="179"/>
      <c r="B447" s="98"/>
      <c r="C447" s="98"/>
      <c r="D447" s="98"/>
      <c r="E447" s="98"/>
      <c r="F447" s="235"/>
      <c r="G447" s="235"/>
      <c r="H447" s="236"/>
      <c r="I447" s="236"/>
      <c r="J447" s="236"/>
      <c r="K447" s="236"/>
      <c r="L447" s="236"/>
      <c r="M447" s="236"/>
      <c r="N447" s="236"/>
      <c r="O447" s="236"/>
      <c r="P447" s="236"/>
      <c r="Q447" s="236"/>
      <c r="R447" s="236"/>
      <c r="S447" s="236"/>
      <c r="T447" s="236"/>
      <c r="U447" s="236"/>
      <c r="V447" s="236"/>
      <c r="W447" s="237"/>
      <c r="X447" s="237"/>
      <c r="Y447" s="237"/>
      <c r="Z447" s="237"/>
      <c r="AA447" s="237"/>
      <c r="AB447" s="237"/>
      <c r="AC447" s="237"/>
      <c r="AD447" s="237"/>
      <c r="AE447" s="237"/>
      <c r="AF447" s="237"/>
      <c r="AG447" s="237"/>
      <c r="AH447" s="237"/>
      <c r="AI447" s="308"/>
      <c r="AJ447" s="308"/>
      <c r="AK447" s="308"/>
      <c r="AL447" s="308"/>
      <c r="AM447" s="98"/>
      <c r="AN447" s="98"/>
    </row>
    <row r="448" ht="14.25" customHeight="1">
      <c r="A448" s="179"/>
      <c r="B448" s="98"/>
      <c r="C448" s="98"/>
      <c r="D448" s="98"/>
      <c r="E448" s="98"/>
      <c r="F448" s="235"/>
      <c r="G448" s="235"/>
      <c r="H448" s="236"/>
      <c r="I448" s="236"/>
      <c r="J448" s="236"/>
      <c r="K448" s="236"/>
      <c r="L448" s="236"/>
      <c r="M448" s="236"/>
      <c r="N448" s="236"/>
      <c r="O448" s="236"/>
      <c r="P448" s="236"/>
      <c r="Q448" s="236"/>
      <c r="R448" s="236"/>
      <c r="S448" s="236"/>
      <c r="T448" s="236"/>
      <c r="U448" s="236"/>
      <c r="V448" s="236"/>
      <c r="W448" s="237"/>
      <c r="X448" s="237"/>
      <c r="Y448" s="237"/>
      <c r="Z448" s="237"/>
      <c r="AA448" s="237"/>
      <c r="AB448" s="237"/>
      <c r="AC448" s="237"/>
      <c r="AD448" s="237"/>
      <c r="AE448" s="237"/>
      <c r="AF448" s="237"/>
      <c r="AG448" s="237"/>
      <c r="AH448" s="237"/>
      <c r="AI448" s="308"/>
      <c r="AJ448" s="308"/>
      <c r="AK448" s="308"/>
      <c r="AL448" s="308"/>
      <c r="AM448" s="98"/>
      <c r="AN448" s="98"/>
    </row>
    <row r="449" ht="14.25" customHeight="1">
      <c r="A449" s="179"/>
      <c r="B449" s="98"/>
      <c r="C449" s="98"/>
      <c r="D449" s="98"/>
      <c r="E449" s="98"/>
      <c r="F449" s="235"/>
      <c r="G449" s="235"/>
      <c r="H449" s="236"/>
      <c r="I449" s="236"/>
      <c r="J449" s="236"/>
      <c r="K449" s="236"/>
      <c r="L449" s="236"/>
      <c r="M449" s="236"/>
      <c r="N449" s="236"/>
      <c r="O449" s="236"/>
      <c r="P449" s="236"/>
      <c r="Q449" s="236"/>
      <c r="R449" s="236"/>
      <c r="S449" s="236"/>
      <c r="T449" s="236"/>
      <c r="U449" s="236"/>
      <c r="V449" s="236"/>
      <c r="W449" s="237"/>
      <c r="X449" s="237"/>
      <c r="Y449" s="237"/>
      <c r="Z449" s="237"/>
      <c r="AA449" s="237"/>
      <c r="AB449" s="237"/>
      <c r="AC449" s="237"/>
      <c r="AD449" s="237"/>
      <c r="AE449" s="237"/>
      <c r="AF449" s="237"/>
      <c r="AG449" s="237"/>
      <c r="AH449" s="237"/>
      <c r="AI449" s="308"/>
      <c r="AJ449" s="308"/>
      <c r="AK449" s="308"/>
      <c r="AL449" s="308"/>
      <c r="AM449" s="98"/>
      <c r="AN449" s="98"/>
    </row>
    <row r="450" ht="14.25" customHeight="1">
      <c r="A450" s="179"/>
      <c r="B450" s="98"/>
      <c r="C450" s="98"/>
      <c r="D450" s="98"/>
      <c r="E450" s="98"/>
      <c r="F450" s="235"/>
      <c r="G450" s="235"/>
      <c r="H450" s="236"/>
      <c r="I450" s="236"/>
      <c r="J450" s="236"/>
      <c r="K450" s="236"/>
      <c r="L450" s="236"/>
      <c r="M450" s="236"/>
      <c r="N450" s="236"/>
      <c r="O450" s="236"/>
      <c r="P450" s="236"/>
      <c r="Q450" s="236"/>
      <c r="R450" s="236"/>
      <c r="S450" s="236"/>
      <c r="T450" s="236"/>
      <c r="U450" s="236"/>
      <c r="V450" s="236"/>
      <c r="W450" s="237"/>
      <c r="X450" s="237"/>
      <c r="Y450" s="237"/>
      <c r="Z450" s="237"/>
      <c r="AA450" s="237"/>
      <c r="AB450" s="237"/>
      <c r="AC450" s="237"/>
      <c r="AD450" s="237"/>
      <c r="AE450" s="237"/>
      <c r="AF450" s="237"/>
      <c r="AG450" s="237"/>
      <c r="AH450" s="237"/>
      <c r="AI450" s="308"/>
      <c r="AJ450" s="308"/>
      <c r="AK450" s="308"/>
      <c r="AL450" s="308"/>
      <c r="AM450" s="98"/>
      <c r="AN450" s="98"/>
    </row>
    <row r="451" ht="14.25" customHeight="1">
      <c r="A451" s="179"/>
      <c r="B451" s="98"/>
      <c r="C451" s="98"/>
      <c r="D451" s="98"/>
      <c r="E451" s="98"/>
      <c r="F451" s="235"/>
      <c r="G451" s="235"/>
      <c r="H451" s="236"/>
      <c r="I451" s="236"/>
      <c r="J451" s="236"/>
      <c r="K451" s="236"/>
      <c r="L451" s="236"/>
      <c r="M451" s="236"/>
      <c r="N451" s="236"/>
      <c r="O451" s="236"/>
      <c r="P451" s="236"/>
      <c r="Q451" s="236"/>
      <c r="R451" s="236"/>
      <c r="S451" s="236"/>
      <c r="T451" s="236"/>
      <c r="U451" s="236"/>
      <c r="V451" s="236"/>
      <c r="W451" s="237"/>
      <c r="X451" s="237"/>
      <c r="Y451" s="237"/>
      <c r="Z451" s="237"/>
      <c r="AA451" s="237"/>
      <c r="AB451" s="237"/>
      <c r="AC451" s="237"/>
      <c r="AD451" s="237"/>
      <c r="AE451" s="237"/>
      <c r="AF451" s="237"/>
      <c r="AG451" s="237"/>
      <c r="AH451" s="237"/>
      <c r="AI451" s="308"/>
      <c r="AJ451" s="308"/>
      <c r="AK451" s="308"/>
      <c r="AL451" s="308"/>
      <c r="AM451" s="98"/>
      <c r="AN451" s="98"/>
    </row>
    <row r="452" ht="14.25" customHeight="1">
      <c r="A452" s="179"/>
      <c r="B452" s="98"/>
      <c r="C452" s="98"/>
      <c r="D452" s="98"/>
      <c r="E452" s="98"/>
      <c r="F452" s="235"/>
      <c r="G452" s="235"/>
      <c r="H452" s="236"/>
      <c r="I452" s="236"/>
      <c r="J452" s="236"/>
      <c r="K452" s="236"/>
      <c r="L452" s="236"/>
      <c r="M452" s="236"/>
      <c r="N452" s="236"/>
      <c r="O452" s="236"/>
      <c r="P452" s="236"/>
      <c r="Q452" s="236"/>
      <c r="R452" s="236"/>
      <c r="S452" s="236"/>
      <c r="T452" s="236"/>
      <c r="U452" s="236"/>
      <c r="V452" s="236"/>
      <c r="W452" s="237"/>
      <c r="X452" s="237"/>
      <c r="Y452" s="237"/>
      <c r="Z452" s="237"/>
      <c r="AA452" s="237"/>
      <c r="AB452" s="237"/>
      <c r="AC452" s="237"/>
      <c r="AD452" s="237"/>
      <c r="AE452" s="237"/>
      <c r="AF452" s="237"/>
      <c r="AG452" s="237"/>
      <c r="AH452" s="237"/>
      <c r="AI452" s="308"/>
      <c r="AJ452" s="308"/>
      <c r="AK452" s="308"/>
      <c r="AL452" s="308"/>
      <c r="AM452" s="98"/>
      <c r="AN452" s="98"/>
    </row>
    <row r="453" ht="14.25" customHeight="1">
      <c r="A453" s="179"/>
      <c r="B453" s="98"/>
      <c r="C453" s="98"/>
      <c r="D453" s="98"/>
      <c r="E453" s="98"/>
      <c r="F453" s="235"/>
      <c r="G453" s="235"/>
      <c r="H453" s="236"/>
      <c r="I453" s="236"/>
      <c r="J453" s="236"/>
      <c r="K453" s="236"/>
      <c r="L453" s="236"/>
      <c r="M453" s="236"/>
      <c r="N453" s="236"/>
      <c r="O453" s="236"/>
      <c r="P453" s="236"/>
      <c r="Q453" s="236"/>
      <c r="R453" s="236"/>
      <c r="S453" s="236"/>
      <c r="T453" s="236"/>
      <c r="U453" s="236"/>
      <c r="V453" s="236"/>
      <c r="W453" s="237"/>
      <c r="X453" s="237"/>
      <c r="Y453" s="237"/>
      <c r="Z453" s="237"/>
      <c r="AA453" s="237"/>
      <c r="AB453" s="237"/>
      <c r="AC453" s="237"/>
      <c r="AD453" s="237"/>
      <c r="AE453" s="237"/>
      <c r="AF453" s="237"/>
      <c r="AG453" s="237"/>
      <c r="AH453" s="237"/>
      <c r="AI453" s="308"/>
      <c r="AJ453" s="308"/>
      <c r="AK453" s="308"/>
      <c r="AL453" s="308"/>
      <c r="AM453" s="98"/>
      <c r="AN453" s="98"/>
    </row>
    <row r="454" ht="14.25" customHeight="1">
      <c r="A454" s="179"/>
      <c r="B454" s="98"/>
      <c r="C454" s="98"/>
      <c r="D454" s="98"/>
      <c r="E454" s="98"/>
      <c r="F454" s="235"/>
      <c r="G454" s="235"/>
      <c r="H454" s="236"/>
      <c r="I454" s="236"/>
      <c r="J454" s="236"/>
      <c r="K454" s="236"/>
      <c r="L454" s="236"/>
      <c r="M454" s="236"/>
      <c r="N454" s="236"/>
      <c r="O454" s="236"/>
      <c r="P454" s="236"/>
      <c r="Q454" s="236"/>
      <c r="R454" s="236"/>
      <c r="S454" s="236"/>
      <c r="T454" s="236"/>
      <c r="U454" s="236"/>
      <c r="V454" s="236"/>
      <c r="W454" s="237"/>
      <c r="X454" s="237"/>
      <c r="Y454" s="237"/>
      <c r="Z454" s="237"/>
      <c r="AA454" s="237"/>
      <c r="AB454" s="237"/>
      <c r="AC454" s="237"/>
      <c r="AD454" s="237"/>
      <c r="AE454" s="237"/>
      <c r="AF454" s="237"/>
      <c r="AG454" s="237"/>
      <c r="AH454" s="237"/>
      <c r="AI454" s="308"/>
      <c r="AJ454" s="308"/>
      <c r="AK454" s="308"/>
      <c r="AL454" s="308"/>
      <c r="AM454" s="98"/>
      <c r="AN454" s="98"/>
    </row>
    <row r="455" ht="14.25" customHeight="1">
      <c r="A455" s="179"/>
      <c r="B455" s="98"/>
      <c r="C455" s="98"/>
      <c r="D455" s="98"/>
      <c r="E455" s="98"/>
      <c r="F455" s="235"/>
      <c r="G455" s="235"/>
      <c r="H455" s="236"/>
      <c r="I455" s="236"/>
      <c r="J455" s="236"/>
      <c r="K455" s="236"/>
      <c r="L455" s="236"/>
      <c r="M455" s="236"/>
      <c r="N455" s="236"/>
      <c r="O455" s="236"/>
      <c r="P455" s="236"/>
      <c r="Q455" s="236"/>
      <c r="R455" s="236"/>
      <c r="S455" s="236"/>
      <c r="T455" s="236"/>
      <c r="U455" s="236"/>
      <c r="V455" s="236"/>
      <c r="W455" s="237"/>
      <c r="X455" s="237"/>
      <c r="Y455" s="237"/>
      <c r="Z455" s="237"/>
      <c r="AA455" s="237"/>
      <c r="AB455" s="237"/>
      <c r="AC455" s="237"/>
      <c r="AD455" s="237"/>
      <c r="AE455" s="237"/>
      <c r="AF455" s="237"/>
      <c r="AG455" s="237"/>
      <c r="AH455" s="237"/>
      <c r="AI455" s="308"/>
      <c r="AJ455" s="308"/>
      <c r="AK455" s="308"/>
      <c r="AL455" s="308"/>
      <c r="AM455" s="98"/>
      <c r="AN455" s="98"/>
    </row>
    <row r="456" ht="14.25" customHeight="1">
      <c r="A456" s="179"/>
      <c r="B456" s="98"/>
      <c r="C456" s="98"/>
      <c r="D456" s="98"/>
      <c r="E456" s="98"/>
      <c r="F456" s="235"/>
      <c r="G456" s="235"/>
      <c r="H456" s="236"/>
      <c r="I456" s="236"/>
      <c r="J456" s="236"/>
      <c r="K456" s="236"/>
      <c r="L456" s="236"/>
      <c r="M456" s="236"/>
      <c r="N456" s="236"/>
      <c r="O456" s="236"/>
      <c r="P456" s="236"/>
      <c r="Q456" s="236"/>
      <c r="R456" s="236"/>
      <c r="S456" s="236"/>
      <c r="T456" s="236"/>
      <c r="U456" s="236"/>
      <c r="V456" s="236"/>
      <c r="W456" s="237"/>
      <c r="X456" s="237"/>
      <c r="Y456" s="237"/>
      <c r="Z456" s="237"/>
      <c r="AA456" s="237"/>
      <c r="AB456" s="237"/>
      <c r="AC456" s="237"/>
      <c r="AD456" s="237"/>
      <c r="AE456" s="237"/>
      <c r="AF456" s="237"/>
      <c r="AG456" s="237"/>
      <c r="AH456" s="237"/>
      <c r="AI456" s="308"/>
      <c r="AJ456" s="308"/>
      <c r="AK456" s="308"/>
      <c r="AL456" s="308"/>
      <c r="AM456" s="98"/>
      <c r="AN456" s="98"/>
    </row>
    <row r="457" ht="14.25" customHeight="1">
      <c r="A457" s="179"/>
      <c r="B457" s="98"/>
      <c r="C457" s="98"/>
      <c r="D457" s="98"/>
      <c r="E457" s="98"/>
      <c r="F457" s="235"/>
      <c r="G457" s="235"/>
      <c r="H457" s="236"/>
      <c r="I457" s="236"/>
      <c r="J457" s="236"/>
      <c r="K457" s="236"/>
      <c r="L457" s="236"/>
      <c r="M457" s="236"/>
      <c r="N457" s="236"/>
      <c r="O457" s="236"/>
      <c r="P457" s="236"/>
      <c r="Q457" s="236"/>
      <c r="R457" s="236"/>
      <c r="S457" s="236"/>
      <c r="T457" s="236"/>
      <c r="U457" s="236"/>
      <c r="V457" s="236"/>
      <c r="W457" s="237"/>
      <c r="X457" s="237"/>
      <c r="Y457" s="237"/>
      <c r="Z457" s="237"/>
      <c r="AA457" s="237"/>
      <c r="AB457" s="237"/>
      <c r="AC457" s="237"/>
      <c r="AD457" s="237"/>
      <c r="AE457" s="237"/>
      <c r="AF457" s="237"/>
      <c r="AG457" s="237"/>
      <c r="AH457" s="237"/>
      <c r="AI457" s="308"/>
      <c r="AJ457" s="308"/>
      <c r="AK457" s="308"/>
      <c r="AL457" s="308"/>
      <c r="AM457" s="98"/>
      <c r="AN457" s="98"/>
    </row>
    <row r="458" ht="14.25" customHeight="1">
      <c r="A458" s="179"/>
      <c r="B458" s="98"/>
      <c r="C458" s="98"/>
      <c r="D458" s="98"/>
      <c r="E458" s="98"/>
      <c r="F458" s="235"/>
      <c r="G458" s="235"/>
      <c r="H458" s="236"/>
      <c r="I458" s="236"/>
      <c r="J458" s="236"/>
      <c r="K458" s="236"/>
      <c r="L458" s="236"/>
      <c r="M458" s="236"/>
      <c r="N458" s="236"/>
      <c r="O458" s="236"/>
      <c r="P458" s="236"/>
      <c r="Q458" s="236"/>
      <c r="R458" s="236"/>
      <c r="S458" s="236"/>
      <c r="T458" s="236"/>
      <c r="U458" s="236"/>
      <c r="V458" s="236"/>
      <c r="W458" s="237"/>
      <c r="X458" s="237"/>
      <c r="Y458" s="237"/>
      <c r="Z458" s="237"/>
      <c r="AA458" s="237"/>
      <c r="AB458" s="237"/>
      <c r="AC458" s="237"/>
      <c r="AD458" s="237"/>
      <c r="AE458" s="237"/>
      <c r="AF458" s="237"/>
      <c r="AG458" s="237"/>
      <c r="AH458" s="237"/>
      <c r="AI458" s="308"/>
      <c r="AJ458" s="308"/>
      <c r="AK458" s="308"/>
      <c r="AL458" s="308"/>
      <c r="AM458" s="98"/>
      <c r="AN458" s="98"/>
    </row>
    <row r="459" ht="14.25" customHeight="1">
      <c r="A459" s="179"/>
      <c r="B459" s="98"/>
      <c r="C459" s="98"/>
      <c r="D459" s="98"/>
      <c r="E459" s="98"/>
      <c r="F459" s="235"/>
      <c r="G459" s="235"/>
      <c r="H459" s="236"/>
      <c r="I459" s="236"/>
      <c r="J459" s="236"/>
      <c r="K459" s="236"/>
      <c r="L459" s="236"/>
      <c r="M459" s="236"/>
      <c r="N459" s="236"/>
      <c r="O459" s="236"/>
      <c r="P459" s="236"/>
      <c r="Q459" s="236"/>
      <c r="R459" s="236"/>
      <c r="S459" s="236"/>
      <c r="T459" s="236"/>
      <c r="U459" s="236"/>
      <c r="V459" s="236"/>
      <c r="W459" s="237"/>
      <c r="X459" s="237"/>
      <c r="Y459" s="237"/>
      <c r="Z459" s="237"/>
      <c r="AA459" s="237"/>
      <c r="AB459" s="237"/>
      <c r="AC459" s="237"/>
      <c r="AD459" s="237"/>
      <c r="AE459" s="237"/>
      <c r="AF459" s="237"/>
      <c r="AG459" s="237"/>
      <c r="AH459" s="237"/>
      <c r="AI459" s="308"/>
      <c r="AJ459" s="308"/>
      <c r="AK459" s="308"/>
      <c r="AL459" s="308"/>
      <c r="AM459" s="98"/>
      <c r="AN459" s="98"/>
    </row>
    <row r="460" ht="14.25" customHeight="1">
      <c r="A460" s="179"/>
      <c r="B460" s="98"/>
      <c r="C460" s="98"/>
      <c r="D460" s="98"/>
      <c r="E460" s="98"/>
      <c r="F460" s="235"/>
      <c r="G460" s="235"/>
      <c r="H460" s="236"/>
      <c r="I460" s="236"/>
      <c r="J460" s="236"/>
      <c r="K460" s="236"/>
      <c r="L460" s="236"/>
      <c r="M460" s="236"/>
      <c r="N460" s="236"/>
      <c r="O460" s="236"/>
      <c r="P460" s="236"/>
      <c r="Q460" s="236"/>
      <c r="R460" s="236"/>
      <c r="S460" s="236"/>
      <c r="T460" s="236"/>
      <c r="U460" s="236"/>
      <c r="V460" s="236"/>
      <c r="W460" s="237"/>
      <c r="X460" s="237"/>
      <c r="Y460" s="237"/>
      <c r="Z460" s="237"/>
      <c r="AA460" s="237"/>
      <c r="AB460" s="237"/>
      <c r="AC460" s="237"/>
      <c r="AD460" s="237"/>
      <c r="AE460" s="237"/>
      <c r="AF460" s="237"/>
      <c r="AG460" s="237"/>
      <c r="AH460" s="237"/>
      <c r="AI460" s="308"/>
      <c r="AJ460" s="308"/>
      <c r="AK460" s="308"/>
      <c r="AL460" s="308"/>
      <c r="AM460" s="98"/>
      <c r="AN460" s="98"/>
    </row>
    <row r="461" ht="14.25" customHeight="1">
      <c r="A461" s="179"/>
      <c r="B461" s="98"/>
      <c r="C461" s="98"/>
      <c r="D461" s="98"/>
      <c r="E461" s="98"/>
      <c r="F461" s="235"/>
      <c r="G461" s="235"/>
      <c r="H461" s="236"/>
      <c r="I461" s="236"/>
      <c r="J461" s="236"/>
      <c r="K461" s="236"/>
      <c r="L461" s="236"/>
      <c r="M461" s="236"/>
      <c r="N461" s="236"/>
      <c r="O461" s="236"/>
      <c r="P461" s="236"/>
      <c r="Q461" s="236"/>
      <c r="R461" s="236"/>
      <c r="S461" s="236"/>
      <c r="T461" s="236"/>
      <c r="U461" s="236"/>
      <c r="V461" s="236"/>
      <c r="W461" s="237"/>
      <c r="X461" s="237"/>
      <c r="Y461" s="237"/>
      <c r="Z461" s="237"/>
      <c r="AA461" s="237"/>
      <c r="AB461" s="237"/>
      <c r="AC461" s="237"/>
      <c r="AD461" s="237"/>
      <c r="AE461" s="237"/>
      <c r="AF461" s="237"/>
      <c r="AG461" s="237"/>
      <c r="AH461" s="237"/>
      <c r="AI461" s="308"/>
      <c r="AJ461" s="308"/>
      <c r="AK461" s="308"/>
      <c r="AL461" s="308"/>
      <c r="AM461" s="98"/>
      <c r="AN461" s="98"/>
    </row>
    <row r="462" ht="14.25" customHeight="1">
      <c r="A462" s="179"/>
      <c r="B462" s="98"/>
      <c r="C462" s="98"/>
      <c r="D462" s="98"/>
      <c r="E462" s="98"/>
      <c r="F462" s="235"/>
      <c r="G462" s="235"/>
      <c r="H462" s="236"/>
      <c r="I462" s="236"/>
      <c r="J462" s="236"/>
      <c r="K462" s="236"/>
      <c r="L462" s="236"/>
      <c r="M462" s="236"/>
      <c r="N462" s="236"/>
      <c r="O462" s="236"/>
      <c r="P462" s="236"/>
      <c r="Q462" s="236"/>
      <c r="R462" s="236"/>
      <c r="S462" s="236"/>
      <c r="T462" s="236"/>
      <c r="U462" s="236"/>
      <c r="V462" s="236"/>
      <c r="W462" s="237"/>
      <c r="X462" s="237"/>
      <c r="Y462" s="237"/>
      <c r="Z462" s="237"/>
      <c r="AA462" s="237"/>
      <c r="AB462" s="237"/>
      <c r="AC462" s="237"/>
      <c r="AD462" s="237"/>
      <c r="AE462" s="237"/>
      <c r="AF462" s="237"/>
      <c r="AG462" s="237"/>
      <c r="AH462" s="237"/>
      <c r="AI462" s="308"/>
      <c r="AJ462" s="308"/>
      <c r="AK462" s="308"/>
      <c r="AL462" s="308"/>
      <c r="AM462" s="98"/>
      <c r="AN462" s="98"/>
    </row>
    <row r="463" ht="14.25" customHeight="1">
      <c r="A463" s="179"/>
      <c r="B463" s="98"/>
      <c r="C463" s="98"/>
      <c r="D463" s="98"/>
      <c r="E463" s="98"/>
      <c r="F463" s="235"/>
      <c r="G463" s="235"/>
      <c r="H463" s="236"/>
      <c r="I463" s="236"/>
      <c r="J463" s="236"/>
      <c r="K463" s="236"/>
      <c r="L463" s="236"/>
      <c r="M463" s="236"/>
      <c r="N463" s="236"/>
      <c r="O463" s="236"/>
      <c r="P463" s="236"/>
      <c r="Q463" s="236"/>
      <c r="R463" s="236"/>
      <c r="S463" s="236"/>
      <c r="T463" s="236"/>
      <c r="U463" s="236"/>
      <c r="V463" s="236"/>
      <c r="W463" s="237"/>
      <c r="X463" s="237"/>
      <c r="Y463" s="237"/>
      <c r="Z463" s="237"/>
      <c r="AA463" s="237"/>
      <c r="AB463" s="237"/>
      <c r="AC463" s="237"/>
      <c r="AD463" s="237"/>
      <c r="AE463" s="237"/>
      <c r="AF463" s="237"/>
      <c r="AG463" s="237"/>
      <c r="AH463" s="237"/>
      <c r="AI463" s="308"/>
      <c r="AJ463" s="308"/>
      <c r="AK463" s="308"/>
      <c r="AL463" s="308"/>
      <c r="AM463" s="98"/>
      <c r="AN463" s="98"/>
    </row>
    <row r="464" ht="14.25" customHeight="1">
      <c r="A464" s="179"/>
      <c r="B464" s="98"/>
      <c r="C464" s="98"/>
      <c r="D464" s="98"/>
      <c r="E464" s="98"/>
      <c r="F464" s="235"/>
      <c r="G464" s="235"/>
      <c r="H464" s="236"/>
      <c r="I464" s="236"/>
      <c r="J464" s="236"/>
      <c r="K464" s="236"/>
      <c r="L464" s="236"/>
      <c r="M464" s="236"/>
      <c r="N464" s="236"/>
      <c r="O464" s="236"/>
      <c r="P464" s="236"/>
      <c r="Q464" s="236"/>
      <c r="R464" s="236"/>
      <c r="S464" s="236"/>
      <c r="T464" s="236"/>
      <c r="U464" s="236"/>
      <c r="V464" s="236"/>
      <c r="W464" s="237"/>
      <c r="X464" s="237"/>
      <c r="Y464" s="237"/>
      <c r="Z464" s="237"/>
      <c r="AA464" s="237"/>
      <c r="AB464" s="237"/>
      <c r="AC464" s="237"/>
      <c r="AD464" s="237"/>
      <c r="AE464" s="237"/>
      <c r="AF464" s="237"/>
      <c r="AG464" s="237"/>
      <c r="AH464" s="237"/>
      <c r="AI464" s="308"/>
      <c r="AJ464" s="308"/>
      <c r="AK464" s="308"/>
      <c r="AL464" s="308"/>
      <c r="AM464" s="98"/>
      <c r="AN464" s="98"/>
    </row>
    <row r="465" ht="14.25" customHeight="1">
      <c r="A465" s="179"/>
      <c r="B465" s="98"/>
      <c r="C465" s="98"/>
      <c r="D465" s="98"/>
      <c r="E465" s="98"/>
      <c r="F465" s="235"/>
      <c r="G465" s="235"/>
      <c r="H465" s="236"/>
      <c r="I465" s="236"/>
      <c r="J465" s="236"/>
      <c r="K465" s="236"/>
      <c r="L465" s="236"/>
      <c r="M465" s="236"/>
      <c r="N465" s="236"/>
      <c r="O465" s="236"/>
      <c r="P465" s="236"/>
      <c r="Q465" s="236"/>
      <c r="R465" s="236"/>
      <c r="S465" s="236"/>
      <c r="T465" s="236"/>
      <c r="U465" s="236"/>
      <c r="V465" s="236"/>
      <c r="W465" s="237"/>
      <c r="X465" s="237"/>
      <c r="Y465" s="237"/>
      <c r="Z465" s="237"/>
      <c r="AA465" s="237"/>
      <c r="AB465" s="237"/>
      <c r="AC465" s="237"/>
      <c r="AD465" s="237"/>
      <c r="AE465" s="237"/>
      <c r="AF465" s="237"/>
      <c r="AG465" s="237"/>
      <c r="AH465" s="237"/>
      <c r="AI465" s="308"/>
      <c r="AJ465" s="308"/>
      <c r="AK465" s="308"/>
      <c r="AL465" s="308"/>
      <c r="AM465" s="98"/>
      <c r="AN465" s="98"/>
    </row>
    <row r="466" ht="14.25" customHeight="1">
      <c r="A466" s="179"/>
      <c r="B466" s="98"/>
      <c r="C466" s="98"/>
      <c r="D466" s="98"/>
      <c r="E466" s="98"/>
      <c r="F466" s="235"/>
      <c r="G466" s="235"/>
      <c r="H466" s="236"/>
      <c r="I466" s="236"/>
      <c r="J466" s="236"/>
      <c r="K466" s="236"/>
      <c r="L466" s="236"/>
      <c r="M466" s="236"/>
      <c r="N466" s="236"/>
      <c r="O466" s="236"/>
      <c r="P466" s="236"/>
      <c r="Q466" s="236"/>
      <c r="R466" s="236"/>
      <c r="S466" s="236"/>
      <c r="T466" s="236"/>
      <c r="U466" s="236"/>
      <c r="V466" s="236"/>
      <c r="W466" s="237"/>
      <c r="X466" s="237"/>
      <c r="Y466" s="237"/>
      <c r="Z466" s="237"/>
      <c r="AA466" s="237"/>
      <c r="AB466" s="237"/>
      <c r="AC466" s="237"/>
      <c r="AD466" s="237"/>
      <c r="AE466" s="237"/>
      <c r="AF466" s="237"/>
      <c r="AG466" s="237"/>
      <c r="AH466" s="237"/>
      <c r="AI466" s="308"/>
      <c r="AJ466" s="308"/>
      <c r="AK466" s="308"/>
      <c r="AL466" s="308"/>
      <c r="AM466" s="98"/>
      <c r="AN466" s="98"/>
    </row>
    <row r="467" ht="14.25" customHeight="1">
      <c r="A467" s="179"/>
      <c r="B467" s="98"/>
      <c r="C467" s="98"/>
      <c r="D467" s="98"/>
      <c r="E467" s="98"/>
      <c r="F467" s="235"/>
      <c r="G467" s="235"/>
      <c r="H467" s="236"/>
      <c r="I467" s="236"/>
      <c r="J467" s="236"/>
      <c r="K467" s="236"/>
      <c r="L467" s="236"/>
      <c r="M467" s="236"/>
      <c r="N467" s="236"/>
      <c r="O467" s="236"/>
      <c r="P467" s="236"/>
      <c r="Q467" s="236"/>
      <c r="R467" s="236"/>
      <c r="S467" s="236"/>
      <c r="T467" s="236"/>
      <c r="U467" s="236"/>
      <c r="V467" s="236"/>
      <c r="W467" s="237"/>
      <c r="X467" s="237"/>
      <c r="Y467" s="237"/>
      <c r="Z467" s="237"/>
      <c r="AA467" s="237"/>
      <c r="AB467" s="237"/>
      <c r="AC467" s="237"/>
      <c r="AD467" s="237"/>
      <c r="AE467" s="237"/>
      <c r="AF467" s="237"/>
      <c r="AG467" s="237"/>
      <c r="AH467" s="237"/>
      <c r="AI467" s="308"/>
      <c r="AJ467" s="308"/>
      <c r="AK467" s="308"/>
      <c r="AL467" s="308"/>
      <c r="AM467" s="98"/>
      <c r="AN467" s="98"/>
    </row>
    <row r="468" ht="14.25" customHeight="1">
      <c r="A468" s="179"/>
      <c r="B468" s="98"/>
      <c r="C468" s="98"/>
      <c r="D468" s="98"/>
      <c r="E468" s="98"/>
      <c r="F468" s="235"/>
      <c r="G468" s="235"/>
      <c r="H468" s="236"/>
      <c r="I468" s="236"/>
      <c r="J468" s="236"/>
      <c r="K468" s="236"/>
      <c r="L468" s="236"/>
      <c r="M468" s="236"/>
      <c r="N468" s="236"/>
      <c r="O468" s="236"/>
      <c r="P468" s="236"/>
      <c r="Q468" s="236"/>
      <c r="R468" s="236"/>
      <c r="S468" s="236"/>
      <c r="T468" s="236"/>
      <c r="U468" s="236"/>
      <c r="V468" s="236"/>
      <c r="W468" s="237"/>
      <c r="X468" s="237"/>
      <c r="Y468" s="237"/>
      <c r="Z468" s="237"/>
      <c r="AA468" s="237"/>
      <c r="AB468" s="237"/>
      <c r="AC468" s="237"/>
      <c r="AD468" s="237"/>
      <c r="AE468" s="237"/>
      <c r="AF468" s="237"/>
      <c r="AG468" s="237"/>
      <c r="AH468" s="237"/>
      <c r="AI468" s="308"/>
      <c r="AJ468" s="308"/>
      <c r="AK468" s="308"/>
      <c r="AL468" s="308"/>
      <c r="AM468" s="98"/>
      <c r="AN468" s="98"/>
    </row>
    <row r="469" ht="14.25" customHeight="1">
      <c r="A469" s="179"/>
      <c r="B469" s="98"/>
      <c r="C469" s="98"/>
      <c r="D469" s="98"/>
      <c r="E469" s="98"/>
      <c r="F469" s="235"/>
      <c r="G469" s="235"/>
      <c r="H469" s="236"/>
      <c r="I469" s="236"/>
      <c r="J469" s="236"/>
      <c r="K469" s="236"/>
      <c r="L469" s="236"/>
      <c r="M469" s="236"/>
      <c r="N469" s="236"/>
      <c r="O469" s="236"/>
      <c r="P469" s="236"/>
      <c r="Q469" s="236"/>
      <c r="R469" s="236"/>
      <c r="S469" s="236"/>
      <c r="T469" s="236"/>
      <c r="U469" s="236"/>
      <c r="V469" s="236"/>
      <c r="W469" s="237"/>
      <c r="X469" s="237"/>
      <c r="Y469" s="237"/>
      <c r="Z469" s="237"/>
      <c r="AA469" s="237"/>
      <c r="AB469" s="237"/>
      <c r="AC469" s="237"/>
      <c r="AD469" s="237"/>
      <c r="AE469" s="237"/>
      <c r="AF469" s="237"/>
      <c r="AG469" s="237"/>
      <c r="AH469" s="237"/>
      <c r="AI469" s="308"/>
      <c r="AJ469" s="308"/>
      <c r="AK469" s="308"/>
      <c r="AL469" s="308"/>
      <c r="AM469" s="98"/>
      <c r="AN469" s="98"/>
    </row>
    <row r="470" ht="14.25" customHeight="1">
      <c r="A470" s="179"/>
      <c r="B470" s="98"/>
      <c r="C470" s="98"/>
      <c r="D470" s="98"/>
      <c r="E470" s="98"/>
      <c r="F470" s="235"/>
      <c r="G470" s="235"/>
      <c r="H470" s="236"/>
      <c r="I470" s="236"/>
      <c r="J470" s="236"/>
      <c r="K470" s="236"/>
      <c r="L470" s="236"/>
      <c r="M470" s="236"/>
      <c r="N470" s="236"/>
      <c r="O470" s="236"/>
      <c r="P470" s="236"/>
      <c r="Q470" s="236"/>
      <c r="R470" s="236"/>
      <c r="S470" s="236"/>
      <c r="T470" s="236"/>
      <c r="U470" s="236"/>
      <c r="V470" s="236"/>
      <c r="W470" s="237"/>
      <c r="X470" s="237"/>
      <c r="Y470" s="237"/>
      <c r="Z470" s="237"/>
      <c r="AA470" s="237"/>
      <c r="AB470" s="237"/>
      <c r="AC470" s="237"/>
      <c r="AD470" s="237"/>
      <c r="AE470" s="237"/>
      <c r="AF470" s="237"/>
      <c r="AG470" s="237"/>
      <c r="AH470" s="237"/>
      <c r="AI470" s="308"/>
      <c r="AJ470" s="308"/>
      <c r="AK470" s="308"/>
      <c r="AL470" s="308"/>
      <c r="AM470" s="98"/>
      <c r="AN470" s="98"/>
    </row>
    <row r="471" ht="14.25" customHeight="1">
      <c r="A471" s="179"/>
      <c r="B471" s="98"/>
      <c r="C471" s="98"/>
      <c r="D471" s="98"/>
      <c r="E471" s="98"/>
      <c r="F471" s="235"/>
      <c r="G471" s="235"/>
      <c r="H471" s="236"/>
      <c r="I471" s="236"/>
      <c r="J471" s="236"/>
      <c r="K471" s="236"/>
      <c r="L471" s="236"/>
      <c r="M471" s="236"/>
      <c r="N471" s="236"/>
      <c r="O471" s="236"/>
      <c r="P471" s="236"/>
      <c r="Q471" s="236"/>
      <c r="R471" s="236"/>
      <c r="S471" s="236"/>
      <c r="T471" s="236"/>
      <c r="U471" s="236"/>
      <c r="V471" s="236"/>
      <c r="W471" s="237"/>
      <c r="X471" s="237"/>
      <c r="Y471" s="237"/>
      <c r="Z471" s="237"/>
      <c r="AA471" s="237"/>
      <c r="AB471" s="237"/>
      <c r="AC471" s="237"/>
      <c r="AD471" s="237"/>
      <c r="AE471" s="237"/>
      <c r="AF471" s="237"/>
      <c r="AG471" s="237"/>
      <c r="AH471" s="237"/>
      <c r="AI471" s="308"/>
      <c r="AJ471" s="308"/>
      <c r="AK471" s="308"/>
      <c r="AL471" s="308"/>
      <c r="AM471" s="98"/>
      <c r="AN471" s="98"/>
    </row>
    <row r="472" ht="14.25" customHeight="1">
      <c r="A472" s="179"/>
      <c r="B472" s="98"/>
      <c r="C472" s="98"/>
      <c r="D472" s="98"/>
      <c r="E472" s="98"/>
      <c r="F472" s="235"/>
      <c r="G472" s="235"/>
      <c r="H472" s="236"/>
      <c r="I472" s="236"/>
      <c r="J472" s="236"/>
      <c r="K472" s="236"/>
      <c r="L472" s="236"/>
      <c r="M472" s="236"/>
      <c r="N472" s="236"/>
      <c r="O472" s="236"/>
      <c r="P472" s="236"/>
      <c r="Q472" s="236"/>
      <c r="R472" s="236"/>
      <c r="S472" s="236"/>
      <c r="T472" s="236"/>
      <c r="U472" s="236"/>
      <c r="V472" s="236"/>
      <c r="W472" s="237"/>
      <c r="X472" s="237"/>
      <c r="Y472" s="237"/>
      <c r="Z472" s="237"/>
      <c r="AA472" s="237"/>
      <c r="AB472" s="237"/>
      <c r="AC472" s="237"/>
      <c r="AD472" s="237"/>
      <c r="AE472" s="237"/>
      <c r="AF472" s="237"/>
      <c r="AG472" s="237"/>
      <c r="AH472" s="237"/>
      <c r="AI472" s="308"/>
      <c r="AJ472" s="308"/>
      <c r="AK472" s="308"/>
      <c r="AL472" s="308"/>
      <c r="AM472" s="98"/>
      <c r="AN472" s="98"/>
    </row>
    <row r="473" ht="14.25" customHeight="1">
      <c r="A473" s="179"/>
      <c r="B473" s="98"/>
      <c r="C473" s="98"/>
      <c r="D473" s="98"/>
      <c r="E473" s="98"/>
      <c r="F473" s="235"/>
      <c r="G473" s="235"/>
      <c r="H473" s="236"/>
      <c r="I473" s="236"/>
      <c r="J473" s="236"/>
      <c r="K473" s="236"/>
      <c r="L473" s="236"/>
      <c r="M473" s="236"/>
      <c r="N473" s="236"/>
      <c r="O473" s="236"/>
      <c r="P473" s="236"/>
      <c r="Q473" s="236"/>
      <c r="R473" s="236"/>
      <c r="S473" s="236"/>
      <c r="T473" s="236"/>
      <c r="U473" s="236"/>
      <c r="V473" s="236"/>
      <c r="W473" s="237"/>
      <c r="X473" s="237"/>
      <c r="Y473" s="237"/>
      <c r="Z473" s="237"/>
      <c r="AA473" s="237"/>
      <c r="AB473" s="237"/>
      <c r="AC473" s="237"/>
      <c r="AD473" s="237"/>
      <c r="AE473" s="237"/>
      <c r="AF473" s="237"/>
      <c r="AG473" s="237"/>
      <c r="AH473" s="237"/>
      <c r="AI473" s="308"/>
      <c r="AJ473" s="308"/>
      <c r="AK473" s="308"/>
      <c r="AL473" s="308"/>
      <c r="AM473" s="98"/>
      <c r="AN473" s="98"/>
    </row>
    <row r="474" ht="14.25" customHeight="1">
      <c r="A474" s="179"/>
      <c r="B474" s="98"/>
      <c r="C474" s="98"/>
      <c r="D474" s="98"/>
      <c r="E474" s="98"/>
      <c r="F474" s="235"/>
      <c r="G474" s="235"/>
      <c r="H474" s="236"/>
      <c r="I474" s="236"/>
      <c r="J474" s="236"/>
      <c r="K474" s="236"/>
      <c r="L474" s="236"/>
      <c r="M474" s="236"/>
      <c r="N474" s="236"/>
      <c r="O474" s="236"/>
      <c r="P474" s="236"/>
      <c r="Q474" s="236"/>
      <c r="R474" s="236"/>
      <c r="S474" s="236"/>
      <c r="T474" s="236"/>
      <c r="U474" s="236"/>
      <c r="V474" s="236"/>
      <c r="W474" s="237"/>
      <c r="X474" s="237"/>
      <c r="Y474" s="237"/>
      <c r="Z474" s="237"/>
      <c r="AA474" s="237"/>
      <c r="AB474" s="237"/>
      <c r="AC474" s="237"/>
      <c r="AD474" s="237"/>
      <c r="AE474" s="237"/>
      <c r="AF474" s="237"/>
      <c r="AG474" s="237"/>
      <c r="AH474" s="237"/>
      <c r="AI474" s="308"/>
      <c r="AJ474" s="308"/>
      <c r="AK474" s="308"/>
      <c r="AL474" s="308"/>
      <c r="AM474" s="98"/>
      <c r="AN474" s="98"/>
    </row>
    <row r="475" ht="14.25" customHeight="1">
      <c r="A475" s="179"/>
      <c r="B475" s="98"/>
      <c r="C475" s="98"/>
      <c r="D475" s="98"/>
      <c r="E475" s="98"/>
      <c r="F475" s="235"/>
      <c r="G475" s="235"/>
      <c r="H475" s="236"/>
      <c r="I475" s="236"/>
      <c r="J475" s="236"/>
      <c r="K475" s="236"/>
      <c r="L475" s="236"/>
      <c r="M475" s="236"/>
      <c r="N475" s="236"/>
      <c r="O475" s="236"/>
      <c r="P475" s="236"/>
      <c r="Q475" s="236"/>
      <c r="R475" s="236"/>
      <c r="S475" s="236"/>
      <c r="T475" s="236"/>
      <c r="U475" s="236"/>
      <c r="V475" s="236"/>
      <c r="W475" s="237"/>
      <c r="X475" s="237"/>
      <c r="Y475" s="237"/>
      <c r="Z475" s="237"/>
      <c r="AA475" s="237"/>
      <c r="AB475" s="237"/>
      <c r="AC475" s="237"/>
      <c r="AD475" s="237"/>
      <c r="AE475" s="237"/>
      <c r="AF475" s="237"/>
      <c r="AG475" s="237"/>
      <c r="AH475" s="237"/>
      <c r="AI475" s="308"/>
      <c r="AJ475" s="308"/>
      <c r="AK475" s="308"/>
      <c r="AL475" s="308"/>
      <c r="AM475" s="98"/>
      <c r="AN475" s="98"/>
    </row>
    <row r="476" ht="14.25" customHeight="1">
      <c r="A476" s="179"/>
      <c r="B476" s="98"/>
      <c r="C476" s="98"/>
      <c r="D476" s="98"/>
      <c r="E476" s="98"/>
      <c r="F476" s="235"/>
      <c r="G476" s="235"/>
      <c r="H476" s="236"/>
      <c r="I476" s="236"/>
      <c r="J476" s="236"/>
      <c r="K476" s="236"/>
      <c r="L476" s="236"/>
      <c r="M476" s="236"/>
      <c r="N476" s="236"/>
      <c r="O476" s="236"/>
      <c r="P476" s="236"/>
      <c r="Q476" s="236"/>
      <c r="R476" s="236"/>
      <c r="S476" s="236"/>
      <c r="T476" s="236"/>
      <c r="U476" s="236"/>
      <c r="V476" s="236"/>
      <c r="W476" s="237"/>
      <c r="X476" s="237"/>
      <c r="Y476" s="237"/>
      <c r="Z476" s="237"/>
      <c r="AA476" s="237"/>
      <c r="AB476" s="237"/>
      <c r="AC476" s="237"/>
      <c r="AD476" s="237"/>
      <c r="AE476" s="237"/>
      <c r="AF476" s="237"/>
      <c r="AG476" s="237"/>
      <c r="AH476" s="237"/>
      <c r="AI476" s="308"/>
      <c r="AJ476" s="308"/>
      <c r="AK476" s="308"/>
      <c r="AL476" s="308"/>
      <c r="AM476" s="98"/>
      <c r="AN476" s="98"/>
    </row>
    <row r="477" ht="14.25" customHeight="1">
      <c r="A477" s="179"/>
      <c r="B477" s="98"/>
      <c r="C477" s="98"/>
      <c r="D477" s="98"/>
      <c r="E477" s="98"/>
      <c r="F477" s="235"/>
      <c r="G477" s="235"/>
      <c r="H477" s="236"/>
      <c r="I477" s="236"/>
      <c r="J477" s="236"/>
      <c r="K477" s="236"/>
      <c r="L477" s="236"/>
      <c r="M477" s="236"/>
      <c r="N477" s="236"/>
      <c r="O477" s="236"/>
      <c r="P477" s="236"/>
      <c r="Q477" s="236"/>
      <c r="R477" s="236"/>
      <c r="S477" s="236"/>
      <c r="T477" s="236"/>
      <c r="U477" s="236"/>
      <c r="V477" s="236"/>
      <c r="W477" s="237"/>
      <c r="X477" s="237"/>
      <c r="Y477" s="237"/>
      <c r="Z477" s="237"/>
      <c r="AA477" s="237"/>
      <c r="AB477" s="237"/>
      <c r="AC477" s="237"/>
      <c r="AD477" s="237"/>
      <c r="AE477" s="237"/>
      <c r="AF477" s="237"/>
      <c r="AG477" s="237"/>
      <c r="AH477" s="237"/>
      <c r="AI477" s="308"/>
      <c r="AJ477" s="308"/>
      <c r="AK477" s="308"/>
      <c r="AL477" s="308"/>
      <c r="AM477" s="98"/>
      <c r="AN477" s="98"/>
    </row>
    <row r="478" ht="14.25" customHeight="1">
      <c r="A478" s="179"/>
      <c r="B478" s="98"/>
      <c r="C478" s="98"/>
      <c r="D478" s="98"/>
      <c r="E478" s="98"/>
      <c r="F478" s="235"/>
      <c r="G478" s="235"/>
      <c r="H478" s="236"/>
      <c r="I478" s="236"/>
      <c r="J478" s="236"/>
      <c r="K478" s="236"/>
      <c r="L478" s="236"/>
      <c r="M478" s="236"/>
      <c r="N478" s="236"/>
      <c r="O478" s="236"/>
      <c r="P478" s="236"/>
      <c r="Q478" s="236"/>
      <c r="R478" s="236"/>
      <c r="S478" s="236"/>
      <c r="T478" s="236"/>
      <c r="U478" s="236"/>
      <c r="V478" s="236"/>
      <c r="W478" s="237"/>
      <c r="X478" s="237"/>
      <c r="Y478" s="237"/>
      <c r="Z478" s="237"/>
      <c r="AA478" s="237"/>
      <c r="AB478" s="237"/>
      <c r="AC478" s="237"/>
      <c r="AD478" s="237"/>
      <c r="AE478" s="237"/>
      <c r="AF478" s="237"/>
      <c r="AG478" s="237"/>
      <c r="AH478" s="237"/>
      <c r="AI478" s="308"/>
      <c r="AJ478" s="308"/>
      <c r="AK478" s="308"/>
      <c r="AL478" s="308"/>
      <c r="AM478" s="98"/>
      <c r="AN478" s="98"/>
    </row>
    <row r="479" ht="14.25" customHeight="1">
      <c r="A479" s="179"/>
      <c r="B479" s="98"/>
      <c r="C479" s="98"/>
      <c r="D479" s="98"/>
      <c r="E479" s="98"/>
      <c r="F479" s="235"/>
      <c r="G479" s="235"/>
      <c r="H479" s="236"/>
      <c r="I479" s="236"/>
      <c r="J479" s="236"/>
      <c r="K479" s="236"/>
      <c r="L479" s="236"/>
      <c r="M479" s="236"/>
      <c r="N479" s="236"/>
      <c r="O479" s="236"/>
      <c r="P479" s="236"/>
      <c r="Q479" s="236"/>
      <c r="R479" s="236"/>
      <c r="S479" s="236"/>
      <c r="T479" s="236"/>
      <c r="U479" s="236"/>
      <c r="V479" s="236"/>
      <c r="W479" s="237"/>
      <c r="X479" s="237"/>
      <c r="Y479" s="237"/>
      <c r="Z479" s="237"/>
      <c r="AA479" s="237"/>
      <c r="AB479" s="237"/>
      <c r="AC479" s="237"/>
      <c r="AD479" s="237"/>
      <c r="AE479" s="237"/>
      <c r="AF479" s="237"/>
      <c r="AG479" s="237"/>
      <c r="AH479" s="237"/>
      <c r="AI479" s="308"/>
      <c r="AJ479" s="308"/>
      <c r="AK479" s="308"/>
      <c r="AL479" s="308"/>
      <c r="AM479" s="98"/>
      <c r="AN479" s="98"/>
    </row>
    <row r="480" ht="14.25" customHeight="1">
      <c r="A480" s="179"/>
      <c r="B480" s="98"/>
      <c r="C480" s="98"/>
      <c r="D480" s="98"/>
      <c r="E480" s="98"/>
      <c r="F480" s="235"/>
      <c r="G480" s="235"/>
      <c r="H480" s="236"/>
      <c r="I480" s="236"/>
      <c r="J480" s="236"/>
      <c r="K480" s="236"/>
      <c r="L480" s="236"/>
      <c r="M480" s="236"/>
      <c r="N480" s="236"/>
      <c r="O480" s="236"/>
      <c r="P480" s="236"/>
      <c r="Q480" s="236"/>
      <c r="R480" s="236"/>
      <c r="S480" s="236"/>
      <c r="T480" s="236"/>
      <c r="U480" s="236"/>
      <c r="V480" s="236"/>
      <c r="W480" s="237"/>
      <c r="X480" s="237"/>
      <c r="Y480" s="237"/>
      <c r="Z480" s="237"/>
      <c r="AA480" s="237"/>
      <c r="AB480" s="237"/>
      <c r="AC480" s="237"/>
      <c r="AD480" s="237"/>
      <c r="AE480" s="237"/>
      <c r="AF480" s="237"/>
      <c r="AG480" s="237"/>
      <c r="AH480" s="237"/>
      <c r="AI480" s="308"/>
      <c r="AJ480" s="308"/>
      <c r="AK480" s="308"/>
      <c r="AL480" s="308"/>
      <c r="AM480" s="98"/>
      <c r="AN480" s="98"/>
    </row>
    <row r="481" ht="14.25" customHeight="1">
      <c r="A481" s="179"/>
      <c r="B481" s="98"/>
      <c r="C481" s="98"/>
      <c r="D481" s="98"/>
      <c r="E481" s="98"/>
      <c r="F481" s="235"/>
      <c r="G481" s="235"/>
      <c r="H481" s="236"/>
      <c r="I481" s="236"/>
      <c r="J481" s="236"/>
      <c r="K481" s="236"/>
      <c r="L481" s="236"/>
      <c r="M481" s="236"/>
      <c r="N481" s="236"/>
      <c r="O481" s="236"/>
      <c r="P481" s="236"/>
      <c r="Q481" s="236"/>
      <c r="R481" s="236"/>
      <c r="S481" s="236"/>
      <c r="T481" s="236"/>
      <c r="U481" s="236"/>
      <c r="V481" s="236"/>
      <c r="W481" s="237"/>
      <c r="X481" s="237"/>
      <c r="Y481" s="237"/>
      <c r="Z481" s="237"/>
      <c r="AA481" s="237"/>
      <c r="AB481" s="237"/>
      <c r="AC481" s="237"/>
      <c r="AD481" s="237"/>
      <c r="AE481" s="237"/>
      <c r="AF481" s="237"/>
      <c r="AG481" s="237"/>
      <c r="AH481" s="237"/>
      <c r="AI481" s="308"/>
      <c r="AJ481" s="308"/>
      <c r="AK481" s="308"/>
      <c r="AL481" s="308"/>
      <c r="AM481" s="98"/>
      <c r="AN481" s="98"/>
    </row>
    <row r="482" ht="14.25" customHeight="1">
      <c r="A482" s="179"/>
      <c r="B482" s="98"/>
      <c r="C482" s="98"/>
      <c r="D482" s="98"/>
      <c r="E482" s="98"/>
      <c r="F482" s="235"/>
      <c r="G482" s="235"/>
      <c r="H482" s="236"/>
      <c r="I482" s="236"/>
      <c r="J482" s="236"/>
      <c r="K482" s="236"/>
      <c r="L482" s="236"/>
      <c r="M482" s="236"/>
      <c r="N482" s="236"/>
      <c r="O482" s="236"/>
      <c r="P482" s="236"/>
      <c r="Q482" s="236"/>
      <c r="R482" s="236"/>
      <c r="S482" s="236"/>
      <c r="T482" s="236"/>
      <c r="U482" s="236"/>
      <c r="V482" s="236"/>
      <c r="W482" s="237"/>
      <c r="X482" s="237"/>
      <c r="Y482" s="237"/>
      <c r="Z482" s="237"/>
      <c r="AA482" s="237"/>
      <c r="AB482" s="237"/>
      <c r="AC482" s="237"/>
      <c r="AD482" s="237"/>
      <c r="AE482" s="237"/>
      <c r="AF482" s="237"/>
      <c r="AG482" s="237"/>
      <c r="AH482" s="237"/>
      <c r="AI482" s="308"/>
      <c r="AJ482" s="308"/>
      <c r="AK482" s="308"/>
      <c r="AL482" s="308"/>
      <c r="AM482" s="98"/>
      <c r="AN482" s="98"/>
    </row>
    <row r="483" ht="14.25" customHeight="1">
      <c r="A483" s="179"/>
      <c r="B483" s="98"/>
      <c r="C483" s="98"/>
      <c r="D483" s="98"/>
      <c r="E483" s="98"/>
      <c r="F483" s="235"/>
      <c r="G483" s="235"/>
      <c r="H483" s="236"/>
      <c r="I483" s="236"/>
      <c r="J483" s="236"/>
      <c r="K483" s="236"/>
      <c r="L483" s="236"/>
      <c r="M483" s="236"/>
      <c r="N483" s="236"/>
      <c r="O483" s="236"/>
      <c r="P483" s="236"/>
      <c r="Q483" s="236"/>
      <c r="R483" s="236"/>
      <c r="S483" s="236"/>
      <c r="T483" s="236"/>
      <c r="U483" s="236"/>
      <c r="V483" s="236"/>
      <c r="W483" s="237"/>
      <c r="X483" s="237"/>
      <c r="Y483" s="237"/>
      <c r="Z483" s="237"/>
      <c r="AA483" s="237"/>
      <c r="AB483" s="237"/>
      <c r="AC483" s="237"/>
      <c r="AD483" s="237"/>
      <c r="AE483" s="237"/>
      <c r="AF483" s="237"/>
      <c r="AG483" s="237"/>
      <c r="AH483" s="237"/>
      <c r="AI483" s="308"/>
      <c r="AJ483" s="308"/>
      <c r="AK483" s="308"/>
      <c r="AL483" s="308"/>
      <c r="AM483" s="98"/>
      <c r="AN483" s="98"/>
    </row>
    <row r="484" ht="14.25" customHeight="1">
      <c r="A484" s="179"/>
      <c r="B484" s="98"/>
      <c r="C484" s="98"/>
      <c r="D484" s="98"/>
      <c r="E484" s="98"/>
      <c r="F484" s="235"/>
      <c r="G484" s="235"/>
      <c r="H484" s="236"/>
      <c r="I484" s="236"/>
      <c r="J484" s="236"/>
      <c r="K484" s="236"/>
      <c r="L484" s="236"/>
      <c r="M484" s="236"/>
      <c r="N484" s="236"/>
      <c r="O484" s="236"/>
      <c r="P484" s="236"/>
      <c r="Q484" s="236"/>
      <c r="R484" s="236"/>
      <c r="S484" s="236"/>
      <c r="T484" s="236"/>
      <c r="U484" s="236"/>
      <c r="V484" s="236"/>
      <c r="W484" s="237"/>
      <c r="X484" s="237"/>
      <c r="Y484" s="237"/>
      <c r="Z484" s="237"/>
      <c r="AA484" s="237"/>
      <c r="AB484" s="237"/>
      <c r="AC484" s="237"/>
      <c r="AD484" s="237"/>
      <c r="AE484" s="237"/>
      <c r="AF484" s="237"/>
      <c r="AG484" s="237"/>
      <c r="AH484" s="237"/>
      <c r="AI484" s="308"/>
      <c r="AJ484" s="308"/>
      <c r="AK484" s="308"/>
      <c r="AL484" s="308"/>
      <c r="AM484" s="98"/>
      <c r="AN484" s="98"/>
    </row>
    <row r="485" ht="14.25" customHeight="1">
      <c r="A485" s="179"/>
      <c r="B485" s="98"/>
      <c r="C485" s="98"/>
      <c r="D485" s="98"/>
      <c r="E485" s="98"/>
      <c r="F485" s="235"/>
      <c r="G485" s="235"/>
      <c r="H485" s="236"/>
      <c r="I485" s="236"/>
      <c r="J485" s="236"/>
      <c r="K485" s="236"/>
      <c r="L485" s="236"/>
      <c r="M485" s="236"/>
      <c r="N485" s="236"/>
      <c r="O485" s="236"/>
      <c r="P485" s="236"/>
      <c r="Q485" s="236"/>
      <c r="R485" s="236"/>
      <c r="S485" s="236"/>
      <c r="T485" s="236"/>
      <c r="U485" s="236"/>
      <c r="V485" s="236"/>
      <c r="W485" s="237"/>
      <c r="X485" s="237"/>
      <c r="Y485" s="237"/>
      <c r="Z485" s="237"/>
      <c r="AA485" s="237"/>
      <c r="AB485" s="237"/>
      <c r="AC485" s="237"/>
      <c r="AD485" s="237"/>
      <c r="AE485" s="237"/>
      <c r="AF485" s="237"/>
      <c r="AG485" s="237"/>
      <c r="AH485" s="237"/>
      <c r="AI485" s="308"/>
      <c r="AJ485" s="308"/>
      <c r="AK485" s="308"/>
      <c r="AL485" s="308"/>
      <c r="AM485" s="98"/>
      <c r="AN485" s="98"/>
    </row>
    <row r="486" ht="14.25" customHeight="1">
      <c r="A486" s="179"/>
      <c r="B486" s="98"/>
      <c r="C486" s="98"/>
      <c r="D486" s="98"/>
      <c r="E486" s="98"/>
      <c r="F486" s="235"/>
      <c r="G486" s="235"/>
      <c r="H486" s="236"/>
      <c r="I486" s="236"/>
      <c r="J486" s="236"/>
      <c r="K486" s="236"/>
      <c r="L486" s="236"/>
      <c r="M486" s="236"/>
      <c r="N486" s="236"/>
      <c r="O486" s="236"/>
      <c r="P486" s="236"/>
      <c r="Q486" s="236"/>
      <c r="R486" s="236"/>
      <c r="S486" s="236"/>
      <c r="T486" s="236"/>
      <c r="U486" s="236"/>
      <c r="V486" s="236"/>
      <c r="W486" s="237"/>
      <c r="X486" s="237"/>
      <c r="Y486" s="237"/>
      <c r="Z486" s="237"/>
      <c r="AA486" s="237"/>
      <c r="AB486" s="237"/>
      <c r="AC486" s="237"/>
      <c r="AD486" s="237"/>
      <c r="AE486" s="237"/>
      <c r="AF486" s="237"/>
      <c r="AG486" s="237"/>
      <c r="AH486" s="237"/>
      <c r="AI486" s="308"/>
      <c r="AJ486" s="308"/>
      <c r="AK486" s="308"/>
      <c r="AL486" s="308"/>
      <c r="AM486" s="98"/>
      <c r="AN486" s="98"/>
    </row>
    <row r="487" ht="14.25" customHeight="1">
      <c r="A487" s="179"/>
      <c r="B487" s="98"/>
      <c r="C487" s="98"/>
      <c r="D487" s="98"/>
      <c r="E487" s="98"/>
      <c r="F487" s="235"/>
      <c r="G487" s="235"/>
      <c r="H487" s="236"/>
      <c r="I487" s="236"/>
      <c r="J487" s="236"/>
      <c r="K487" s="236"/>
      <c r="L487" s="236"/>
      <c r="M487" s="236"/>
      <c r="N487" s="236"/>
      <c r="O487" s="236"/>
      <c r="P487" s="236"/>
      <c r="Q487" s="236"/>
      <c r="R487" s="236"/>
      <c r="S487" s="236"/>
      <c r="T487" s="236"/>
      <c r="U487" s="236"/>
      <c r="V487" s="236"/>
      <c r="W487" s="237"/>
      <c r="X487" s="237"/>
      <c r="Y487" s="237"/>
      <c r="Z487" s="237"/>
      <c r="AA487" s="237"/>
      <c r="AB487" s="237"/>
      <c r="AC487" s="237"/>
      <c r="AD487" s="237"/>
      <c r="AE487" s="237"/>
      <c r="AF487" s="237"/>
      <c r="AG487" s="237"/>
      <c r="AH487" s="237"/>
      <c r="AI487" s="308"/>
      <c r="AJ487" s="308"/>
      <c r="AK487" s="308"/>
      <c r="AL487" s="308"/>
      <c r="AM487" s="98"/>
      <c r="AN487" s="98"/>
    </row>
    <row r="488" ht="14.25" customHeight="1">
      <c r="A488" s="179"/>
      <c r="B488" s="98"/>
      <c r="C488" s="98"/>
      <c r="D488" s="98"/>
      <c r="E488" s="98"/>
      <c r="F488" s="235"/>
      <c r="G488" s="235"/>
      <c r="H488" s="236"/>
      <c r="I488" s="236"/>
      <c r="J488" s="236"/>
      <c r="K488" s="236"/>
      <c r="L488" s="236"/>
      <c r="M488" s="236"/>
      <c r="N488" s="236"/>
      <c r="O488" s="236"/>
      <c r="P488" s="236"/>
      <c r="Q488" s="236"/>
      <c r="R488" s="236"/>
      <c r="S488" s="236"/>
      <c r="T488" s="236"/>
      <c r="U488" s="236"/>
      <c r="V488" s="236"/>
      <c r="W488" s="237"/>
      <c r="X488" s="237"/>
      <c r="Y488" s="237"/>
      <c r="Z488" s="237"/>
      <c r="AA488" s="237"/>
      <c r="AB488" s="237"/>
      <c r="AC488" s="237"/>
      <c r="AD488" s="237"/>
      <c r="AE488" s="237"/>
      <c r="AF488" s="237"/>
      <c r="AG488" s="237"/>
      <c r="AH488" s="237"/>
      <c r="AI488" s="308"/>
      <c r="AJ488" s="308"/>
      <c r="AK488" s="308"/>
      <c r="AL488" s="308"/>
      <c r="AM488" s="98"/>
      <c r="AN488" s="98"/>
    </row>
    <row r="489" ht="14.25" customHeight="1">
      <c r="A489" s="179"/>
      <c r="B489" s="98"/>
      <c r="C489" s="98"/>
      <c r="D489" s="98"/>
      <c r="E489" s="98"/>
      <c r="F489" s="235"/>
      <c r="G489" s="235"/>
      <c r="H489" s="236"/>
      <c r="I489" s="236"/>
      <c r="J489" s="236"/>
      <c r="K489" s="236"/>
      <c r="L489" s="236"/>
      <c r="M489" s="236"/>
      <c r="N489" s="236"/>
      <c r="O489" s="236"/>
      <c r="P489" s="236"/>
      <c r="Q489" s="236"/>
      <c r="R489" s="236"/>
      <c r="S489" s="236"/>
      <c r="T489" s="236"/>
      <c r="U489" s="236"/>
      <c r="V489" s="236"/>
      <c r="W489" s="237"/>
      <c r="X489" s="237"/>
      <c r="Y489" s="237"/>
      <c r="Z489" s="237"/>
      <c r="AA489" s="237"/>
      <c r="AB489" s="237"/>
      <c r="AC489" s="237"/>
      <c r="AD489" s="237"/>
      <c r="AE489" s="237"/>
      <c r="AF489" s="237"/>
      <c r="AG489" s="237"/>
      <c r="AH489" s="237"/>
      <c r="AI489" s="308"/>
      <c r="AJ489" s="308"/>
      <c r="AK489" s="308"/>
      <c r="AL489" s="308"/>
      <c r="AM489" s="98"/>
      <c r="AN489" s="98"/>
    </row>
    <row r="490" ht="14.25" customHeight="1">
      <c r="A490" s="179"/>
      <c r="B490" s="98"/>
      <c r="C490" s="98"/>
      <c r="D490" s="98"/>
      <c r="E490" s="98"/>
      <c r="F490" s="235"/>
      <c r="G490" s="235"/>
      <c r="H490" s="236"/>
      <c r="I490" s="236"/>
      <c r="J490" s="236"/>
      <c r="K490" s="236"/>
      <c r="L490" s="236"/>
      <c r="M490" s="236"/>
      <c r="N490" s="236"/>
      <c r="O490" s="236"/>
      <c r="P490" s="236"/>
      <c r="Q490" s="236"/>
      <c r="R490" s="236"/>
      <c r="S490" s="236"/>
      <c r="T490" s="236"/>
      <c r="U490" s="236"/>
      <c r="V490" s="236"/>
      <c r="W490" s="237"/>
      <c r="X490" s="237"/>
      <c r="Y490" s="237"/>
      <c r="Z490" s="237"/>
      <c r="AA490" s="237"/>
      <c r="AB490" s="237"/>
      <c r="AC490" s="237"/>
      <c r="AD490" s="237"/>
      <c r="AE490" s="237"/>
      <c r="AF490" s="237"/>
      <c r="AG490" s="237"/>
      <c r="AH490" s="237"/>
      <c r="AI490" s="308"/>
      <c r="AJ490" s="308"/>
      <c r="AK490" s="308"/>
      <c r="AL490" s="308"/>
      <c r="AM490" s="98"/>
      <c r="AN490" s="98"/>
    </row>
    <row r="491" ht="14.25" customHeight="1">
      <c r="A491" s="179"/>
      <c r="B491" s="98"/>
      <c r="C491" s="98"/>
      <c r="D491" s="98"/>
      <c r="E491" s="98"/>
      <c r="F491" s="235"/>
      <c r="G491" s="235"/>
      <c r="H491" s="236"/>
      <c r="I491" s="236"/>
      <c r="J491" s="236"/>
      <c r="K491" s="236"/>
      <c r="L491" s="236"/>
      <c r="M491" s="236"/>
      <c r="N491" s="236"/>
      <c r="O491" s="236"/>
      <c r="P491" s="236"/>
      <c r="Q491" s="236"/>
      <c r="R491" s="236"/>
      <c r="S491" s="236"/>
      <c r="T491" s="236"/>
      <c r="U491" s="236"/>
      <c r="V491" s="236"/>
      <c r="W491" s="237"/>
      <c r="X491" s="237"/>
      <c r="Y491" s="237"/>
      <c r="Z491" s="237"/>
      <c r="AA491" s="237"/>
      <c r="AB491" s="237"/>
      <c r="AC491" s="237"/>
      <c r="AD491" s="237"/>
      <c r="AE491" s="237"/>
      <c r="AF491" s="237"/>
      <c r="AG491" s="237"/>
      <c r="AH491" s="237"/>
      <c r="AI491" s="308"/>
      <c r="AJ491" s="308"/>
      <c r="AK491" s="308"/>
      <c r="AL491" s="308"/>
      <c r="AM491" s="98"/>
      <c r="AN491" s="98"/>
    </row>
    <row r="492" ht="14.25" customHeight="1">
      <c r="A492" s="179"/>
      <c r="B492" s="98"/>
      <c r="C492" s="98"/>
      <c r="D492" s="98"/>
      <c r="E492" s="98"/>
      <c r="F492" s="235"/>
      <c r="G492" s="235"/>
      <c r="H492" s="236"/>
      <c r="I492" s="236"/>
      <c r="J492" s="236"/>
      <c r="K492" s="236"/>
      <c r="L492" s="236"/>
      <c r="M492" s="236"/>
      <c r="N492" s="236"/>
      <c r="O492" s="236"/>
      <c r="P492" s="236"/>
      <c r="Q492" s="236"/>
      <c r="R492" s="236"/>
      <c r="S492" s="236"/>
      <c r="T492" s="236"/>
      <c r="U492" s="236"/>
      <c r="V492" s="236"/>
      <c r="W492" s="237"/>
      <c r="X492" s="237"/>
      <c r="Y492" s="237"/>
      <c r="Z492" s="237"/>
      <c r="AA492" s="237"/>
      <c r="AB492" s="237"/>
      <c r="AC492" s="237"/>
      <c r="AD492" s="237"/>
      <c r="AE492" s="237"/>
      <c r="AF492" s="237"/>
      <c r="AG492" s="237"/>
      <c r="AH492" s="237"/>
      <c r="AI492" s="308"/>
      <c r="AJ492" s="308"/>
      <c r="AK492" s="308"/>
      <c r="AL492" s="308"/>
      <c r="AM492" s="98"/>
      <c r="AN492" s="98"/>
    </row>
    <row r="493" ht="14.25" customHeight="1">
      <c r="A493" s="179"/>
      <c r="B493" s="98"/>
      <c r="C493" s="98"/>
      <c r="D493" s="98"/>
      <c r="E493" s="98"/>
      <c r="F493" s="235"/>
      <c r="G493" s="235"/>
      <c r="H493" s="236"/>
      <c r="I493" s="236"/>
      <c r="J493" s="236"/>
      <c r="K493" s="236"/>
      <c r="L493" s="236"/>
      <c r="M493" s="236"/>
      <c r="N493" s="236"/>
      <c r="O493" s="236"/>
      <c r="P493" s="236"/>
      <c r="Q493" s="236"/>
      <c r="R493" s="236"/>
      <c r="S493" s="236"/>
      <c r="T493" s="236"/>
      <c r="U493" s="236"/>
      <c r="V493" s="236"/>
      <c r="W493" s="237"/>
      <c r="X493" s="237"/>
      <c r="Y493" s="237"/>
      <c r="Z493" s="237"/>
      <c r="AA493" s="237"/>
      <c r="AB493" s="237"/>
      <c r="AC493" s="237"/>
      <c r="AD493" s="237"/>
      <c r="AE493" s="237"/>
      <c r="AF493" s="237"/>
      <c r="AG493" s="237"/>
      <c r="AH493" s="237"/>
      <c r="AI493" s="308"/>
      <c r="AJ493" s="308"/>
      <c r="AK493" s="308"/>
      <c r="AL493" s="308"/>
      <c r="AM493" s="98"/>
      <c r="AN493" s="98"/>
    </row>
    <row r="494" ht="14.25" customHeight="1">
      <c r="A494" s="179"/>
      <c r="B494" s="98"/>
      <c r="C494" s="98"/>
      <c r="D494" s="98"/>
      <c r="E494" s="98"/>
      <c r="F494" s="235"/>
      <c r="G494" s="235"/>
      <c r="H494" s="236"/>
      <c r="I494" s="236"/>
      <c r="J494" s="236"/>
      <c r="K494" s="236"/>
      <c r="L494" s="236"/>
      <c r="M494" s="236"/>
      <c r="N494" s="236"/>
      <c r="O494" s="236"/>
      <c r="P494" s="236"/>
      <c r="Q494" s="236"/>
      <c r="R494" s="236"/>
      <c r="S494" s="236"/>
      <c r="T494" s="236"/>
      <c r="U494" s="236"/>
      <c r="V494" s="236"/>
      <c r="W494" s="237"/>
      <c r="X494" s="237"/>
      <c r="Y494" s="237"/>
      <c r="Z494" s="237"/>
      <c r="AA494" s="237"/>
      <c r="AB494" s="237"/>
      <c r="AC494" s="237"/>
      <c r="AD494" s="237"/>
      <c r="AE494" s="237"/>
      <c r="AF494" s="237"/>
      <c r="AG494" s="237"/>
      <c r="AH494" s="237"/>
      <c r="AI494" s="308"/>
      <c r="AJ494" s="308"/>
      <c r="AK494" s="308"/>
      <c r="AL494" s="308"/>
      <c r="AM494" s="98"/>
      <c r="AN494" s="98"/>
    </row>
    <row r="495" ht="14.25" customHeight="1">
      <c r="A495" s="179"/>
      <c r="B495" s="98"/>
      <c r="C495" s="98"/>
      <c r="D495" s="98"/>
      <c r="E495" s="98"/>
      <c r="F495" s="235"/>
      <c r="G495" s="235"/>
      <c r="H495" s="236"/>
      <c r="I495" s="236"/>
      <c r="J495" s="236"/>
      <c r="K495" s="236"/>
      <c r="L495" s="236"/>
      <c r="M495" s="236"/>
      <c r="N495" s="236"/>
      <c r="O495" s="236"/>
      <c r="P495" s="236"/>
      <c r="Q495" s="236"/>
      <c r="R495" s="236"/>
      <c r="S495" s="236"/>
      <c r="T495" s="236"/>
      <c r="U495" s="236"/>
      <c r="V495" s="236"/>
      <c r="W495" s="237"/>
      <c r="X495" s="237"/>
      <c r="Y495" s="237"/>
      <c r="Z495" s="237"/>
      <c r="AA495" s="237"/>
      <c r="AB495" s="237"/>
      <c r="AC495" s="237"/>
      <c r="AD495" s="237"/>
      <c r="AE495" s="237"/>
      <c r="AF495" s="237"/>
      <c r="AG495" s="237"/>
      <c r="AH495" s="237"/>
      <c r="AI495" s="308"/>
      <c r="AJ495" s="308"/>
      <c r="AK495" s="308"/>
      <c r="AL495" s="308"/>
      <c r="AM495" s="98"/>
      <c r="AN495" s="98"/>
    </row>
    <row r="496" ht="14.25" customHeight="1">
      <c r="A496" s="179"/>
      <c r="B496" s="98"/>
      <c r="C496" s="98"/>
      <c r="D496" s="98"/>
      <c r="E496" s="98"/>
      <c r="F496" s="235"/>
      <c r="G496" s="235"/>
      <c r="H496" s="236"/>
      <c r="I496" s="236"/>
      <c r="J496" s="236"/>
      <c r="K496" s="236"/>
      <c r="L496" s="236"/>
      <c r="M496" s="236"/>
      <c r="N496" s="236"/>
      <c r="O496" s="236"/>
      <c r="P496" s="236"/>
      <c r="Q496" s="236"/>
      <c r="R496" s="236"/>
      <c r="S496" s="236"/>
      <c r="T496" s="236"/>
      <c r="U496" s="236"/>
      <c r="V496" s="236"/>
      <c r="W496" s="237"/>
      <c r="X496" s="237"/>
      <c r="Y496" s="237"/>
      <c r="Z496" s="237"/>
      <c r="AA496" s="237"/>
      <c r="AB496" s="237"/>
      <c r="AC496" s="237"/>
      <c r="AD496" s="237"/>
      <c r="AE496" s="237"/>
      <c r="AF496" s="237"/>
      <c r="AG496" s="237"/>
      <c r="AH496" s="237"/>
      <c r="AI496" s="308"/>
      <c r="AJ496" s="308"/>
      <c r="AK496" s="308"/>
      <c r="AL496" s="308"/>
      <c r="AM496" s="98"/>
      <c r="AN496" s="98"/>
    </row>
    <row r="497" ht="14.25" customHeight="1">
      <c r="A497" s="179"/>
      <c r="B497" s="98"/>
      <c r="C497" s="98"/>
      <c r="D497" s="98"/>
      <c r="E497" s="98"/>
      <c r="F497" s="235"/>
      <c r="G497" s="235"/>
      <c r="H497" s="236"/>
      <c r="I497" s="236"/>
      <c r="J497" s="236"/>
      <c r="K497" s="236"/>
      <c r="L497" s="236"/>
      <c r="M497" s="236"/>
      <c r="N497" s="236"/>
      <c r="O497" s="236"/>
      <c r="P497" s="236"/>
      <c r="Q497" s="236"/>
      <c r="R497" s="236"/>
      <c r="S497" s="236"/>
      <c r="T497" s="236"/>
      <c r="U497" s="236"/>
      <c r="V497" s="236"/>
      <c r="W497" s="237"/>
      <c r="X497" s="237"/>
      <c r="Y497" s="237"/>
      <c r="Z497" s="237"/>
      <c r="AA497" s="237"/>
      <c r="AB497" s="237"/>
      <c r="AC497" s="237"/>
      <c r="AD497" s="237"/>
      <c r="AE497" s="237"/>
      <c r="AF497" s="237"/>
      <c r="AG497" s="237"/>
      <c r="AH497" s="237"/>
      <c r="AI497" s="308"/>
      <c r="AJ497" s="308"/>
      <c r="AK497" s="308"/>
      <c r="AL497" s="308"/>
      <c r="AM497" s="98"/>
      <c r="AN497" s="98"/>
    </row>
    <row r="498" ht="14.25" customHeight="1">
      <c r="A498" s="179"/>
      <c r="B498" s="98"/>
      <c r="C498" s="98"/>
      <c r="D498" s="98"/>
      <c r="E498" s="98"/>
      <c r="F498" s="235"/>
      <c r="G498" s="235"/>
      <c r="H498" s="236"/>
      <c r="I498" s="236"/>
      <c r="J498" s="236"/>
      <c r="K498" s="236"/>
      <c r="L498" s="236"/>
      <c r="M498" s="236"/>
      <c r="N498" s="236"/>
      <c r="O498" s="236"/>
      <c r="P498" s="236"/>
      <c r="Q498" s="236"/>
      <c r="R498" s="236"/>
      <c r="S498" s="236"/>
      <c r="T498" s="236"/>
      <c r="U498" s="236"/>
      <c r="V498" s="236"/>
      <c r="W498" s="237"/>
      <c r="X498" s="237"/>
      <c r="Y498" s="237"/>
      <c r="Z498" s="237"/>
      <c r="AA498" s="237"/>
      <c r="AB498" s="237"/>
      <c r="AC498" s="237"/>
      <c r="AD498" s="237"/>
      <c r="AE498" s="237"/>
      <c r="AF498" s="237"/>
      <c r="AG498" s="237"/>
      <c r="AH498" s="237"/>
      <c r="AI498" s="308"/>
      <c r="AJ498" s="308"/>
      <c r="AK498" s="308"/>
      <c r="AL498" s="308"/>
      <c r="AM498" s="98"/>
      <c r="AN498" s="98"/>
    </row>
    <row r="499" ht="14.25" customHeight="1">
      <c r="A499" s="179"/>
      <c r="B499" s="98"/>
      <c r="C499" s="98"/>
      <c r="D499" s="98"/>
      <c r="E499" s="98"/>
      <c r="F499" s="235"/>
      <c r="G499" s="235"/>
      <c r="H499" s="236"/>
      <c r="I499" s="236"/>
      <c r="J499" s="236"/>
      <c r="K499" s="236"/>
      <c r="L499" s="236"/>
      <c r="M499" s="236"/>
      <c r="N499" s="236"/>
      <c r="O499" s="236"/>
      <c r="P499" s="236"/>
      <c r="Q499" s="236"/>
      <c r="R499" s="236"/>
      <c r="S499" s="236"/>
      <c r="T499" s="236"/>
      <c r="U499" s="236"/>
      <c r="V499" s="236"/>
      <c r="W499" s="237"/>
      <c r="X499" s="237"/>
      <c r="Y499" s="237"/>
      <c r="Z499" s="237"/>
      <c r="AA499" s="237"/>
      <c r="AB499" s="237"/>
      <c r="AC499" s="237"/>
      <c r="AD499" s="237"/>
      <c r="AE499" s="237"/>
      <c r="AF499" s="237"/>
      <c r="AG499" s="237"/>
      <c r="AH499" s="237"/>
      <c r="AI499" s="308"/>
      <c r="AJ499" s="308"/>
      <c r="AK499" s="308"/>
      <c r="AL499" s="308"/>
      <c r="AM499" s="98"/>
      <c r="AN499" s="98"/>
    </row>
    <row r="500" ht="14.25" customHeight="1">
      <c r="A500" s="179"/>
      <c r="B500" s="98"/>
      <c r="C500" s="98"/>
      <c r="D500" s="98"/>
      <c r="E500" s="98"/>
      <c r="F500" s="235"/>
      <c r="G500" s="235"/>
      <c r="H500" s="236"/>
      <c r="I500" s="236"/>
      <c r="J500" s="236"/>
      <c r="K500" s="236"/>
      <c r="L500" s="236"/>
      <c r="M500" s="236"/>
      <c r="N500" s="236"/>
      <c r="O500" s="236"/>
      <c r="P500" s="236"/>
      <c r="Q500" s="236"/>
      <c r="R500" s="236"/>
      <c r="S500" s="236"/>
      <c r="T500" s="236"/>
      <c r="U500" s="236"/>
      <c r="V500" s="236"/>
      <c r="W500" s="237"/>
      <c r="X500" s="237"/>
      <c r="Y500" s="237"/>
      <c r="Z500" s="237"/>
      <c r="AA500" s="237"/>
      <c r="AB500" s="237"/>
      <c r="AC500" s="237"/>
      <c r="AD500" s="237"/>
      <c r="AE500" s="237"/>
      <c r="AF500" s="237"/>
      <c r="AG500" s="237"/>
      <c r="AH500" s="237"/>
      <c r="AI500" s="308"/>
      <c r="AJ500" s="308"/>
      <c r="AK500" s="308"/>
      <c r="AL500" s="308"/>
      <c r="AM500" s="98"/>
      <c r="AN500" s="98"/>
    </row>
    <row r="501" ht="14.25" customHeight="1">
      <c r="A501" s="179"/>
      <c r="B501" s="98"/>
      <c r="C501" s="98"/>
      <c r="D501" s="98"/>
      <c r="E501" s="98"/>
      <c r="F501" s="235"/>
      <c r="G501" s="235"/>
      <c r="H501" s="236"/>
      <c r="I501" s="236"/>
      <c r="J501" s="236"/>
      <c r="K501" s="236"/>
      <c r="L501" s="236"/>
      <c r="M501" s="236"/>
      <c r="N501" s="236"/>
      <c r="O501" s="236"/>
      <c r="P501" s="236"/>
      <c r="Q501" s="236"/>
      <c r="R501" s="236"/>
      <c r="S501" s="236"/>
      <c r="T501" s="236"/>
      <c r="U501" s="236"/>
      <c r="V501" s="236"/>
      <c r="W501" s="237"/>
      <c r="X501" s="237"/>
      <c r="Y501" s="237"/>
      <c r="Z501" s="237"/>
      <c r="AA501" s="237"/>
      <c r="AB501" s="237"/>
      <c r="AC501" s="237"/>
      <c r="AD501" s="237"/>
      <c r="AE501" s="237"/>
      <c r="AF501" s="237"/>
      <c r="AG501" s="237"/>
      <c r="AH501" s="237"/>
      <c r="AI501" s="308"/>
      <c r="AJ501" s="308"/>
      <c r="AK501" s="308"/>
      <c r="AL501" s="308"/>
      <c r="AM501" s="98"/>
      <c r="AN501" s="98"/>
    </row>
    <row r="502" ht="14.25" customHeight="1">
      <c r="A502" s="179"/>
      <c r="B502" s="98"/>
      <c r="C502" s="98"/>
      <c r="D502" s="98"/>
      <c r="E502" s="98"/>
      <c r="F502" s="235"/>
      <c r="G502" s="235"/>
      <c r="H502" s="236"/>
      <c r="I502" s="236"/>
      <c r="J502" s="236"/>
      <c r="K502" s="236"/>
      <c r="L502" s="236"/>
      <c r="M502" s="236"/>
      <c r="N502" s="236"/>
      <c r="O502" s="236"/>
      <c r="P502" s="236"/>
      <c r="Q502" s="236"/>
      <c r="R502" s="236"/>
      <c r="S502" s="236"/>
      <c r="T502" s="236"/>
      <c r="U502" s="236"/>
      <c r="V502" s="236"/>
      <c r="W502" s="237"/>
      <c r="X502" s="237"/>
      <c r="Y502" s="237"/>
      <c r="Z502" s="237"/>
      <c r="AA502" s="237"/>
      <c r="AB502" s="237"/>
      <c r="AC502" s="237"/>
      <c r="AD502" s="237"/>
      <c r="AE502" s="237"/>
      <c r="AF502" s="237"/>
      <c r="AG502" s="237"/>
      <c r="AH502" s="237"/>
      <c r="AI502" s="308"/>
      <c r="AJ502" s="308"/>
      <c r="AK502" s="308"/>
      <c r="AL502" s="308"/>
      <c r="AM502" s="98"/>
      <c r="AN502" s="98"/>
    </row>
    <row r="503" ht="14.25" customHeight="1">
      <c r="A503" s="179"/>
      <c r="B503" s="98"/>
      <c r="C503" s="98"/>
      <c r="D503" s="98"/>
      <c r="E503" s="98"/>
      <c r="F503" s="235"/>
      <c r="G503" s="235"/>
      <c r="H503" s="236"/>
      <c r="I503" s="236"/>
      <c r="J503" s="236"/>
      <c r="K503" s="236"/>
      <c r="L503" s="236"/>
      <c r="M503" s="236"/>
      <c r="N503" s="236"/>
      <c r="O503" s="236"/>
      <c r="P503" s="236"/>
      <c r="Q503" s="236"/>
      <c r="R503" s="236"/>
      <c r="S503" s="236"/>
      <c r="T503" s="236"/>
      <c r="U503" s="236"/>
      <c r="V503" s="236"/>
      <c r="W503" s="237"/>
      <c r="X503" s="237"/>
      <c r="Y503" s="237"/>
      <c r="Z503" s="237"/>
      <c r="AA503" s="237"/>
      <c r="AB503" s="237"/>
      <c r="AC503" s="237"/>
      <c r="AD503" s="237"/>
      <c r="AE503" s="237"/>
      <c r="AF503" s="237"/>
      <c r="AG503" s="237"/>
      <c r="AH503" s="237"/>
      <c r="AI503" s="308"/>
      <c r="AJ503" s="308"/>
      <c r="AK503" s="308"/>
      <c r="AL503" s="308"/>
      <c r="AM503" s="98"/>
      <c r="AN503" s="98"/>
    </row>
    <row r="504" ht="14.25" customHeight="1">
      <c r="A504" s="179"/>
      <c r="B504" s="98"/>
      <c r="C504" s="98"/>
      <c r="D504" s="98"/>
      <c r="E504" s="98"/>
      <c r="F504" s="235"/>
      <c r="G504" s="235"/>
      <c r="H504" s="236"/>
      <c r="I504" s="236"/>
      <c r="J504" s="236"/>
      <c r="K504" s="236"/>
      <c r="L504" s="236"/>
      <c r="M504" s="236"/>
      <c r="N504" s="236"/>
      <c r="O504" s="236"/>
      <c r="P504" s="236"/>
      <c r="Q504" s="236"/>
      <c r="R504" s="236"/>
      <c r="S504" s="236"/>
      <c r="T504" s="236"/>
      <c r="U504" s="236"/>
      <c r="V504" s="236"/>
      <c r="W504" s="237"/>
      <c r="X504" s="237"/>
      <c r="Y504" s="237"/>
      <c r="Z504" s="237"/>
      <c r="AA504" s="237"/>
      <c r="AB504" s="237"/>
      <c r="AC504" s="237"/>
      <c r="AD504" s="237"/>
      <c r="AE504" s="237"/>
      <c r="AF504" s="237"/>
      <c r="AG504" s="237"/>
      <c r="AH504" s="237"/>
      <c r="AI504" s="308"/>
      <c r="AJ504" s="308"/>
      <c r="AK504" s="308"/>
      <c r="AL504" s="308"/>
      <c r="AM504" s="98"/>
      <c r="AN504" s="98"/>
    </row>
    <row r="505" ht="14.25" customHeight="1">
      <c r="A505" s="179"/>
      <c r="B505" s="98"/>
      <c r="C505" s="98"/>
      <c r="D505" s="98"/>
      <c r="E505" s="98"/>
      <c r="F505" s="235"/>
      <c r="G505" s="235"/>
      <c r="H505" s="236"/>
      <c r="I505" s="236"/>
      <c r="J505" s="236"/>
      <c r="K505" s="236"/>
      <c r="L505" s="236"/>
      <c r="M505" s="236"/>
      <c r="N505" s="236"/>
      <c r="O505" s="236"/>
      <c r="P505" s="236"/>
      <c r="Q505" s="236"/>
      <c r="R505" s="236"/>
      <c r="S505" s="236"/>
      <c r="T505" s="236"/>
      <c r="U505" s="236"/>
      <c r="V505" s="236"/>
      <c r="W505" s="237"/>
      <c r="X505" s="237"/>
      <c r="Y505" s="237"/>
      <c r="Z505" s="237"/>
      <c r="AA505" s="237"/>
      <c r="AB505" s="237"/>
      <c r="AC505" s="237"/>
      <c r="AD505" s="237"/>
      <c r="AE505" s="237"/>
      <c r="AF505" s="237"/>
      <c r="AG505" s="237"/>
      <c r="AH505" s="237"/>
      <c r="AI505" s="308"/>
      <c r="AJ505" s="308"/>
      <c r="AK505" s="308"/>
      <c r="AL505" s="308"/>
      <c r="AM505" s="98"/>
      <c r="AN505" s="98"/>
    </row>
    <row r="506" ht="14.25" customHeight="1">
      <c r="A506" s="179"/>
      <c r="B506" s="98"/>
      <c r="C506" s="98"/>
      <c r="D506" s="98"/>
      <c r="E506" s="98"/>
      <c r="F506" s="235"/>
      <c r="G506" s="235"/>
      <c r="H506" s="236"/>
      <c r="I506" s="236"/>
      <c r="J506" s="236"/>
      <c r="K506" s="236"/>
      <c r="L506" s="236"/>
      <c r="M506" s="236"/>
      <c r="N506" s="236"/>
      <c r="O506" s="236"/>
      <c r="P506" s="236"/>
      <c r="Q506" s="236"/>
      <c r="R506" s="236"/>
      <c r="S506" s="236"/>
      <c r="T506" s="236"/>
      <c r="U506" s="236"/>
      <c r="V506" s="236"/>
      <c r="W506" s="237"/>
      <c r="X506" s="237"/>
      <c r="Y506" s="237"/>
      <c r="Z506" s="237"/>
      <c r="AA506" s="237"/>
      <c r="AB506" s="237"/>
      <c r="AC506" s="237"/>
      <c r="AD506" s="237"/>
      <c r="AE506" s="237"/>
      <c r="AF506" s="237"/>
      <c r="AG506" s="237"/>
      <c r="AH506" s="237"/>
      <c r="AI506" s="308"/>
      <c r="AJ506" s="308"/>
      <c r="AK506" s="308"/>
      <c r="AL506" s="308"/>
      <c r="AM506" s="98"/>
      <c r="AN506" s="98"/>
    </row>
    <row r="507" ht="14.25" customHeight="1">
      <c r="A507" s="179"/>
      <c r="B507" s="98"/>
      <c r="C507" s="98"/>
      <c r="D507" s="98"/>
      <c r="E507" s="98"/>
      <c r="F507" s="235"/>
      <c r="G507" s="235"/>
      <c r="H507" s="236"/>
      <c r="I507" s="236"/>
      <c r="J507" s="236"/>
      <c r="K507" s="236"/>
      <c r="L507" s="236"/>
      <c r="M507" s="236"/>
      <c r="N507" s="236"/>
      <c r="O507" s="236"/>
      <c r="P507" s="236"/>
      <c r="Q507" s="236"/>
      <c r="R507" s="236"/>
      <c r="S507" s="236"/>
      <c r="T507" s="236"/>
      <c r="U507" s="236"/>
      <c r="V507" s="236"/>
      <c r="W507" s="237"/>
      <c r="X507" s="237"/>
      <c r="Y507" s="237"/>
      <c r="Z507" s="237"/>
      <c r="AA507" s="237"/>
      <c r="AB507" s="237"/>
      <c r="AC507" s="237"/>
      <c r="AD507" s="237"/>
      <c r="AE507" s="237"/>
      <c r="AF507" s="237"/>
      <c r="AG507" s="237"/>
      <c r="AH507" s="237"/>
      <c r="AI507" s="308"/>
      <c r="AJ507" s="308"/>
      <c r="AK507" s="308"/>
      <c r="AL507" s="308"/>
      <c r="AM507" s="98"/>
      <c r="AN507" s="98"/>
    </row>
    <row r="508" ht="14.25" customHeight="1">
      <c r="A508" s="179"/>
      <c r="B508" s="98"/>
      <c r="C508" s="98"/>
      <c r="D508" s="98"/>
      <c r="E508" s="98"/>
      <c r="F508" s="235"/>
      <c r="G508" s="235"/>
      <c r="H508" s="236"/>
      <c r="I508" s="236"/>
      <c r="J508" s="236"/>
      <c r="K508" s="236"/>
      <c r="L508" s="236"/>
      <c r="M508" s="236"/>
      <c r="N508" s="236"/>
      <c r="O508" s="236"/>
      <c r="P508" s="236"/>
      <c r="Q508" s="236"/>
      <c r="R508" s="236"/>
      <c r="S508" s="236"/>
      <c r="T508" s="236"/>
      <c r="U508" s="236"/>
      <c r="V508" s="236"/>
      <c r="W508" s="237"/>
      <c r="X508" s="237"/>
      <c r="Y508" s="237"/>
      <c r="Z508" s="237"/>
      <c r="AA508" s="237"/>
      <c r="AB508" s="237"/>
      <c r="AC508" s="237"/>
      <c r="AD508" s="237"/>
      <c r="AE508" s="237"/>
      <c r="AF508" s="237"/>
      <c r="AG508" s="237"/>
      <c r="AH508" s="237"/>
      <c r="AI508" s="308"/>
      <c r="AJ508" s="308"/>
      <c r="AK508" s="308"/>
      <c r="AL508" s="308"/>
      <c r="AM508" s="98"/>
      <c r="AN508" s="98"/>
    </row>
    <row r="509" ht="14.25" customHeight="1">
      <c r="A509" s="179"/>
      <c r="B509" s="98"/>
      <c r="C509" s="98"/>
      <c r="D509" s="98"/>
      <c r="E509" s="98"/>
      <c r="F509" s="235"/>
      <c r="G509" s="235"/>
      <c r="H509" s="236"/>
      <c r="I509" s="236"/>
      <c r="J509" s="236"/>
      <c r="K509" s="236"/>
      <c r="L509" s="236"/>
      <c r="M509" s="236"/>
      <c r="N509" s="236"/>
      <c r="O509" s="236"/>
      <c r="P509" s="236"/>
      <c r="Q509" s="236"/>
      <c r="R509" s="236"/>
      <c r="S509" s="236"/>
      <c r="T509" s="236"/>
      <c r="U509" s="236"/>
      <c r="V509" s="236"/>
      <c r="W509" s="237"/>
      <c r="X509" s="237"/>
      <c r="Y509" s="237"/>
      <c r="Z509" s="237"/>
      <c r="AA509" s="237"/>
      <c r="AB509" s="237"/>
      <c r="AC509" s="237"/>
      <c r="AD509" s="237"/>
      <c r="AE509" s="237"/>
      <c r="AF509" s="237"/>
      <c r="AG509" s="237"/>
      <c r="AH509" s="237"/>
      <c r="AI509" s="308"/>
      <c r="AJ509" s="308"/>
      <c r="AK509" s="308"/>
      <c r="AL509" s="308"/>
      <c r="AM509" s="98"/>
      <c r="AN509" s="98"/>
    </row>
    <row r="510" ht="14.25" customHeight="1">
      <c r="A510" s="179"/>
      <c r="B510" s="98"/>
      <c r="C510" s="98"/>
      <c r="D510" s="98"/>
      <c r="E510" s="98"/>
      <c r="F510" s="235"/>
      <c r="G510" s="235"/>
      <c r="H510" s="236"/>
      <c r="I510" s="236"/>
      <c r="J510" s="236"/>
      <c r="K510" s="236"/>
      <c r="L510" s="236"/>
      <c r="M510" s="236"/>
      <c r="N510" s="236"/>
      <c r="O510" s="236"/>
      <c r="P510" s="236"/>
      <c r="Q510" s="236"/>
      <c r="R510" s="236"/>
      <c r="S510" s="236"/>
      <c r="T510" s="236"/>
      <c r="U510" s="236"/>
      <c r="V510" s="236"/>
      <c r="W510" s="237"/>
      <c r="X510" s="237"/>
      <c r="Y510" s="237"/>
      <c r="Z510" s="237"/>
      <c r="AA510" s="237"/>
      <c r="AB510" s="237"/>
      <c r="AC510" s="237"/>
      <c r="AD510" s="237"/>
      <c r="AE510" s="237"/>
      <c r="AF510" s="237"/>
      <c r="AG510" s="237"/>
      <c r="AH510" s="237"/>
      <c r="AI510" s="308"/>
      <c r="AJ510" s="308"/>
      <c r="AK510" s="308"/>
      <c r="AL510" s="308"/>
      <c r="AM510" s="98"/>
      <c r="AN510" s="98"/>
    </row>
    <row r="511" ht="14.25" customHeight="1">
      <c r="A511" s="179"/>
      <c r="B511" s="98"/>
      <c r="C511" s="98"/>
      <c r="D511" s="98"/>
      <c r="E511" s="98"/>
      <c r="F511" s="235"/>
      <c r="G511" s="235"/>
      <c r="H511" s="236"/>
      <c r="I511" s="236"/>
      <c r="J511" s="236"/>
      <c r="K511" s="236"/>
      <c r="L511" s="236"/>
      <c r="M511" s="236"/>
      <c r="N511" s="236"/>
      <c r="O511" s="236"/>
      <c r="P511" s="236"/>
      <c r="Q511" s="236"/>
      <c r="R511" s="236"/>
      <c r="S511" s="236"/>
      <c r="T511" s="236"/>
      <c r="U511" s="236"/>
      <c r="V511" s="236"/>
      <c r="W511" s="237"/>
      <c r="X511" s="237"/>
      <c r="Y511" s="237"/>
      <c r="Z511" s="237"/>
      <c r="AA511" s="237"/>
      <c r="AB511" s="237"/>
      <c r="AC511" s="237"/>
      <c r="AD511" s="237"/>
      <c r="AE511" s="237"/>
      <c r="AF511" s="237"/>
      <c r="AG511" s="237"/>
      <c r="AH511" s="237"/>
      <c r="AI511" s="308"/>
      <c r="AJ511" s="308"/>
      <c r="AK511" s="308"/>
      <c r="AL511" s="308"/>
      <c r="AM511" s="98"/>
      <c r="AN511" s="98"/>
    </row>
    <row r="512" ht="14.25" customHeight="1">
      <c r="A512" s="179"/>
      <c r="B512" s="98"/>
      <c r="C512" s="98"/>
      <c r="D512" s="98"/>
      <c r="E512" s="98"/>
      <c r="F512" s="235"/>
      <c r="G512" s="235"/>
      <c r="H512" s="236"/>
      <c r="I512" s="236"/>
      <c r="J512" s="236"/>
      <c r="K512" s="236"/>
      <c r="L512" s="236"/>
      <c r="M512" s="236"/>
      <c r="N512" s="236"/>
      <c r="O512" s="236"/>
      <c r="P512" s="236"/>
      <c r="Q512" s="236"/>
      <c r="R512" s="236"/>
      <c r="S512" s="236"/>
      <c r="T512" s="236"/>
      <c r="U512" s="236"/>
      <c r="V512" s="236"/>
      <c r="W512" s="237"/>
      <c r="X512" s="237"/>
      <c r="Y512" s="237"/>
      <c r="Z512" s="237"/>
      <c r="AA512" s="237"/>
      <c r="AB512" s="237"/>
      <c r="AC512" s="237"/>
      <c r="AD512" s="237"/>
      <c r="AE512" s="237"/>
      <c r="AF512" s="237"/>
      <c r="AG512" s="237"/>
      <c r="AH512" s="237"/>
      <c r="AI512" s="308"/>
      <c r="AJ512" s="308"/>
      <c r="AK512" s="308"/>
      <c r="AL512" s="308"/>
      <c r="AM512" s="98"/>
      <c r="AN512" s="98"/>
    </row>
    <row r="513" ht="14.25" customHeight="1">
      <c r="A513" s="179"/>
      <c r="B513" s="98"/>
      <c r="C513" s="98"/>
      <c r="D513" s="98"/>
      <c r="E513" s="98"/>
      <c r="F513" s="235"/>
      <c r="G513" s="235"/>
      <c r="H513" s="236"/>
      <c r="I513" s="236"/>
      <c r="J513" s="236"/>
      <c r="K513" s="236"/>
      <c r="L513" s="236"/>
      <c r="M513" s="236"/>
      <c r="N513" s="236"/>
      <c r="O513" s="236"/>
      <c r="P513" s="236"/>
      <c r="Q513" s="236"/>
      <c r="R513" s="236"/>
      <c r="S513" s="236"/>
      <c r="T513" s="236"/>
      <c r="U513" s="236"/>
      <c r="V513" s="236"/>
      <c r="W513" s="237"/>
      <c r="X513" s="237"/>
      <c r="Y513" s="237"/>
      <c r="Z513" s="237"/>
      <c r="AA513" s="237"/>
      <c r="AB513" s="237"/>
      <c r="AC513" s="237"/>
      <c r="AD513" s="237"/>
      <c r="AE513" s="237"/>
      <c r="AF513" s="237"/>
      <c r="AG513" s="237"/>
      <c r="AH513" s="237"/>
      <c r="AI513" s="308"/>
      <c r="AJ513" s="308"/>
      <c r="AK513" s="308"/>
      <c r="AL513" s="308"/>
      <c r="AM513" s="98"/>
      <c r="AN513" s="98"/>
    </row>
    <row r="514" ht="14.25" customHeight="1">
      <c r="A514" s="179"/>
      <c r="B514" s="98"/>
      <c r="C514" s="98"/>
      <c r="D514" s="98"/>
      <c r="E514" s="98"/>
      <c r="F514" s="235"/>
      <c r="G514" s="235"/>
      <c r="H514" s="236"/>
      <c r="I514" s="236"/>
      <c r="J514" s="236"/>
      <c r="K514" s="236"/>
      <c r="L514" s="236"/>
      <c r="M514" s="236"/>
      <c r="N514" s="236"/>
      <c r="O514" s="236"/>
      <c r="P514" s="236"/>
      <c r="Q514" s="236"/>
      <c r="R514" s="236"/>
      <c r="S514" s="236"/>
      <c r="T514" s="236"/>
      <c r="U514" s="236"/>
      <c r="V514" s="236"/>
      <c r="W514" s="237"/>
      <c r="X514" s="237"/>
      <c r="Y514" s="237"/>
      <c r="Z514" s="237"/>
      <c r="AA514" s="237"/>
      <c r="AB514" s="237"/>
      <c r="AC514" s="237"/>
      <c r="AD514" s="237"/>
      <c r="AE514" s="237"/>
      <c r="AF514" s="237"/>
      <c r="AG514" s="237"/>
      <c r="AH514" s="237"/>
      <c r="AI514" s="308"/>
      <c r="AJ514" s="308"/>
      <c r="AK514" s="308"/>
      <c r="AL514" s="308"/>
      <c r="AM514" s="98"/>
      <c r="AN514" s="98"/>
    </row>
    <row r="515" ht="14.25" customHeight="1">
      <c r="A515" s="179"/>
      <c r="B515" s="98"/>
      <c r="C515" s="98"/>
      <c r="D515" s="98"/>
      <c r="E515" s="98"/>
      <c r="F515" s="235"/>
      <c r="G515" s="235"/>
      <c r="H515" s="236"/>
      <c r="I515" s="236"/>
      <c r="J515" s="236"/>
      <c r="K515" s="236"/>
      <c r="L515" s="236"/>
      <c r="M515" s="236"/>
      <c r="N515" s="236"/>
      <c r="O515" s="236"/>
      <c r="P515" s="236"/>
      <c r="Q515" s="236"/>
      <c r="R515" s="236"/>
      <c r="S515" s="236"/>
      <c r="T515" s="236"/>
      <c r="U515" s="236"/>
      <c r="V515" s="236"/>
      <c r="W515" s="237"/>
      <c r="X515" s="237"/>
      <c r="Y515" s="237"/>
      <c r="Z515" s="237"/>
      <c r="AA515" s="237"/>
      <c r="AB515" s="237"/>
      <c r="AC515" s="237"/>
      <c r="AD515" s="237"/>
      <c r="AE515" s="237"/>
      <c r="AF515" s="237"/>
      <c r="AG515" s="237"/>
      <c r="AH515" s="237"/>
      <c r="AI515" s="308"/>
      <c r="AJ515" s="308"/>
      <c r="AK515" s="308"/>
      <c r="AL515" s="308"/>
      <c r="AM515" s="98"/>
      <c r="AN515" s="98"/>
    </row>
    <row r="516" ht="14.25" customHeight="1">
      <c r="A516" s="179"/>
      <c r="B516" s="98"/>
      <c r="C516" s="98"/>
      <c r="D516" s="98"/>
      <c r="E516" s="98"/>
      <c r="F516" s="235"/>
      <c r="G516" s="235"/>
      <c r="H516" s="236"/>
      <c r="I516" s="236"/>
      <c r="J516" s="236"/>
      <c r="K516" s="236"/>
      <c r="L516" s="236"/>
      <c r="M516" s="236"/>
      <c r="N516" s="236"/>
      <c r="O516" s="236"/>
      <c r="P516" s="236"/>
      <c r="Q516" s="236"/>
      <c r="R516" s="236"/>
      <c r="S516" s="236"/>
      <c r="T516" s="236"/>
      <c r="U516" s="236"/>
      <c r="V516" s="236"/>
      <c r="W516" s="237"/>
      <c r="X516" s="237"/>
      <c r="Y516" s="237"/>
      <c r="Z516" s="237"/>
      <c r="AA516" s="237"/>
      <c r="AB516" s="237"/>
      <c r="AC516" s="237"/>
      <c r="AD516" s="237"/>
      <c r="AE516" s="237"/>
      <c r="AF516" s="237"/>
      <c r="AG516" s="237"/>
      <c r="AH516" s="237"/>
      <c r="AI516" s="308"/>
      <c r="AJ516" s="308"/>
      <c r="AK516" s="308"/>
      <c r="AL516" s="308"/>
      <c r="AM516" s="98"/>
      <c r="AN516" s="98"/>
    </row>
    <row r="517" ht="14.25" customHeight="1">
      <c r="A517" s="179"/>
      <c r="B517" s="98"/>
      <c r="C517" s="98"/>
      <c r="D517" s="98"/>
      <c r="E517" s="98"/>
      <c r="F517" s="235"/>
      <c r="G517" s="235"/>
      <c r="H517" s="236"/>
      <c r="I517" s="236"/>
      <c r="J517" s="236"/>
      <c r="K517" s="236"/>
      <c r="L517" s="236"/>
      <c r="M517" s="236"/>
      <c r="N517" s="236"/>
      <c r="O517" s="236"/>
      <c r="P517" s="236"/>
      <c r="Q517" s="236"/>
      <c r="R517" s="236"/>
      <c r="S517" s="236"/>
      <c r="T517" s="236"/>
      <c r="U517" s="236"/>
      <c r="V517" s="236"/>
      <c r="W517" s="237"/>
      <c r="X517" s="237"/>
      <c r="Y517" s="237"/>
      <c r="Z517" s="237"/>
      <c r="AA517" s="237"/>
      <c r="AB517" s="237"/>
      <c r="AC517" s="237"/>
      <c r="AD517" s="237"/>
      <c r="AE517" s="237"/>
      <c r="AF517" s="237"/>
      <c r="AG517" s="237"/>
      <c r="AH517" s="237"/>
      <c r="AI517" s="308"/>
      <c r="AJ517" s="308"/>
      <c r="AK517" s="308"/>
      <c r="AL517" s="308"/>
      <c r="AM517" s="98"/>
      <c r="AN517" s="98"/>
    </row>
    <row r="518" ht="14.25" customHeight="1">
      <c r="A518" s="179"/>
      <c r="B518" s="98"/>
      <c r="C518" s="98"/>
      <c r="D518" s="98"/>
      <c r="E518" s="98"/>
      <c r="F518" s="235"/>
      <c r="G518" s="235"/>
      <c r="H518" s="236"/>
      <c r="I518" s="236"/>
      <c r="J518" s="236"/>
      <c r="K518" s="236"/>
      <c r="L518" s="236"/>
      <c r="M518" s="236"/>
      <c r="N518" s="236"/>
      <c r="O518" s="236"/>
      <c r="P518" s="236"/>
      <c r="Q518" s="236"/>
      <c r="R518" s="236"/>
      <c r="S518" s="236"/>
      <c r="T518" s="236"/>
      <c r="U518" s="236"/>
      <c r="V518" s="236"/>
      <c r="W518" s="237"/>
      <c r="X518" s="237"/>
      <c r="Y518" s="237"/>
      <c r="Z518" s="237"/>
      <c r="AA518" s="237"/>
      <c r="AB518" s="237"/>
      <c r="AC518" s="237"/>
      <c r="AD518" s="237"/>
      <c r="AE518" s="237"/>
      <c r="AF518" s="237"/>
      <c r="AG518" s="237"/>
      <c r="AH518" s="237"/>
      <c r="AI518" s="308"/>
      <c r="AJ518" s="308"/>
      <c r="AK518" s="308"/>
      <c r="AL518" s="308"/>
      <c r="AM518" s="98"/>
      <c r="AN518" s="98"/>
    </row>
    <row r="519" ht="14.25" customHeight="1">
      <c r="A519" s="179"/>
      <c r="B519" s="98"/>
      <c r="C519" s="98"/>
      <c r="D519" s="98"/>
      <c r="E519" s="98"/>
      <c r="F519" s="235"/>
      <c r="G519" s="235"/>
      <c r="H519" s="236"/>
      <c r="I519" s="236"/>
      <c r="J519" s="236"/>
      <c r="K519" s="236"/>
      <c r="L519" s="236"/>
      <c r="M519" s="236"/>
      <c r="N519" s="236"/>
      <c r="O519" s="236"/>
      <c r="P519" s="236"/>
      <c r="Q519" s="236"/>
      <c r="R519" s="236"/>
      <c r="S519" s="236"/>
      <c r="T519" s="236"/>
      <c r="U519" s="236"/>
      <c r="V519" s="236"/>
      <c r="W519" s="237"/>
      <c r="X519" s="237"/>
      <c r="Y519" s="237"/>
      <c r="Z519" s="237"/>
      <c r="AA519" s="237"/>
      <c r="AB519" s="237"/>
      <c r="AC519" s="237"/>
      <c r="AD519" s="237"/>
      <c r="AE519" s="237"/>
      <c r="AF519" s="237"/>
      <c r="AG519" s="237"/>
      <c r="AH519" s="237"/>
      <c r="AI519" s="308"/>
      <c r="AJ519" s="308"/>
      <c r="AK519" s="308"/>
      <c r="AL519" s="308"/>
      <c r="AM519" s="98"/>
      <c r="AN519" s="98"/>
    </row>
    <row r="520" ht="14.25" customHeight="1">
      <c r="A520" s="179"/>
      <c r="B520" s="98"/>
      <c r="C520" s="98"/>
      <c r="D520" s="98"/>
      <c r="E520" s="98"/>
      <c r="F520" s="235"/>
      <c r="G520" s="235"/>
      <c r="H520" s="236"/>
      <c r="I520" s="236"/>
      <c r="J520" s="236"/>
      <c r="K520" s="236"/>
      <c r="L520" s="236"/>
      <c r="M520" s="236"/>
      <c r="N520" s="236"/>
      <c r="O520" s="236"/>
      <c r="P520" s="236"/>
      <c r="Q520" s="236"/>
      <c r="R520" s="236"/>
      <c r="S520" s="236"/>
      <c r="T520" s="236"/>
      <c r="U520" s="236"/>
      <c r="V520" s="236"/>
      <c r="W520" s="237"/>
      <c r="X520" s="237"/>
      <c r="Y520" s="237"/>
      <c r="Z520" s="237"/>
      <c r="AA520" s="237"/>
      <c r="AB520" s="237"/>
      <c r="AC520" s="237"/>
      <c r="AD520" s="237"/>
      <c r="AE520" s="237"/>
      <c r="AF520" s="237"/>
      <c r="AG520" s="237"/>
      <c r="AH520" s="237"/>
      <c r="AI520" s="308"/>
      <c r="AJ520" s="308"/>
      <c r="AK520" s="308"/>
      <c r="AL520" s="308"/>
      <c r="AM520" s="98"/>
      <c r="AN520" s="98"/>
    </row>
    <row r="521" ht="14.25" customHeight="1">
      <c r="A521" s="179"/>
      <c r="B521" s="98"/>
      <c r="C521" s="98"/>
      <c r="D521" s="98"/>
      <c r="E521" s="98"/>
      <c r="F521" s="235"/>
      <c r="G521" s="235"/>
      <c r="H521" s="236"/>
      <c r="I521" s="236"/>
      <c r="J521" s="236"/>
      <c r="K521" s="236"/>
      <c r="L521" s="236"/>
      <c r="M521" s="236"/>
      <c r="N521" s="236"/>
      <c r="O521" s="236"/>
      <c r="P521" s="236"/>
      <c r="Q521" s="236"/>
      <c r="R521" s="236"/>
      <c r="S521" s="236"/>
      <c r="T521" s="236"/>
      <c r="U521" s="236"/>
      <c r="V521" s="236"/>
      <c r="W521" s="237"/>
      <c r="X521" s="237"/>
      <c r="Y521" s="237"/>
      <c r="Z521" s="237"/>
      <c r="AA521" s="237"/>
      <c r="AB521" s="237"/>
      <c r="AC521" s="237"/>
      <c r="AD521" s="237"/>
      <c r="AE521" s="237"/>
      <c r="AF521" s="237"/>
      <c r="AG521" s="237"/>
      <c r="AH521" s="237"/>
      <c r="AI521" s="308"/>
      <c r="AJ521" s="308"/>
      <c r="AK521" s="308"/>
      <c r="AL521" s="308"/>
      <c r="AM521" s="98"/>
      <c r="AN521" s="98"/>
    </row>
    <row r="522" ht="14.25" customHeight="1">
      <c r="A522" s="179"/>
      <c r="B522" s="98"/>
      <c r="C522" s="98"/>
      <c r="D522" s="98"/>
      <c r="E522" s="98"/>
      <c r="F522" s="235"/>
      <c r="G522" s="235"/>
      <c r="H522" s="236"/>
      <c r="I522" s="236"/>
      <c r="J522" s="236"/>
      <c r="K522" s="236"/>
      <c r="L522" s="236"/>
      <c r="M522" s="236"/>
      <c r="N522" s="236"/>
      <c r="O522" s="236"/>
      <c r="P522" s="236"/>
      <c r="Q522" s="236"/>
      <c r="R522" s="236"/>
      <c r="S522" s="236"/>
      <c r="T522" s="236"/>
      <c r="U522" s="236"/>
      <c r="V522" s="236"/>
      <c r="W522" s="237"/>
      <c r="X522" s="237"/>
      <c r="Y522" s="237"/>
      <c r="Z522" s="237"/>
      <c r="AA522" s="237"/>
      <c r="AB522" s="237"/>
      <c r="AC522" s="237"/>
      <c r="AD522" s="237"/>
      <c r="AE522" s="237"/>
      <c r="AF522" s="237"/>
      <c r="AG522" s="237"/>
      <c r="AH522" s="237"/>
      <c r="AI522" s="308"/>
      <c r="AJ522" s="308"/>
      <c r="AK522" s="308"/>
      <c r="AL522" s="308"/>
      <c r="AM522" s="98"/>
      <c r="AN522" s="98"/>
    </row>
    <row r="523" ht="14.25" customHeight="1">
      <c r="A523" s="179"/>
      <c r="B523" s="98"/>
      <c r="C523" s="98"/>
      <c r="D523" s="98"/>
      <c r="E523" s="98"/>
      <c r="F523" s="235"/>
      <c r="G523" s="235"/>
      <c r="H523" s="236"/>
      <c r="I523" s="236"/>
      <c r="J523" s="236"/>
      <c r="K523" s="236"/>
      <c r="L523" s="236"/>
      <c r="M523" s="236"/>
      <c r="N523" s="236"/>
      <c r="O523" s="236"/>
      <c r="P523" s="236"/>
      <c r="Q523" s="236"/>
      <c r="R523" s="236"/>
      <c r="S523" s="236"/>
      <c r="T523" s="236"/>
      <c r="U523" s="236"/>
      <c r="V523" s="236"/>
      <c r="W523" s="237"/>
      <c r="X523" s="237"/>
      <c r="Y523" s="237"/>
      <c r="Z523" s="237"/>
      <c r="AA523" s="237"/>
      <c r="AB523" s="237"/>
      <c r="AC523" s="237"/>
      <c r="AD523" s="237"/>
      <c r="AE523" s="237"/>
      <c r="AF523" s="237"/>
      <c r="AG523" s="237"/>
      <c r="AH523" s="237"/>
      <c r="AI523" s="308"/>
      <c r="AJ523" s="308"/>
      <c r="AK523" s="308"/>
      <c r="AL523" s="308"/>
      <c r="AM523" s="98"/>
      <c r="AN523" s="98"/>
    </row>
    <row r="524" ht="14.25" customHeight="1">
      <c r="A524" s="179"/>
      <c r="B524" s="98"/>
      <c r="C524" s="98"/>
      <c r="D524" s="98"/>
      <c r="E524" s="98"/>
      <c r="F524" s="235"/>
      <c r="G524" s="235"/>
      <c r="H524" s="236"/>
      <c r="I524" s="236"/>
      <c r="J524" s="236"/>
      <c r="K524" s="236"/>
      <c r="L524" s="236"/>
      <c r="M524" s="236"/>
      <c r="N524" s="236"/>
      <c r="O524" s="236"/>
      <c r="P524" s="236"/>
      <c r="Q524" s="236"/>
      <c r="R524" s="236"/>
      <c r="S524" s="236"/>
      <c r="T524" s="236"/>
      <c r="U524" s="236"/>
      <c r="V524" s="236"/>
      <c r="W524" s="237"/>
      <c r="X524" s="237"/>
      <c r="Y524" s="237"/>
      <c r="Z524" s="237"/>
      <c r="AA524" s="237"/>
      <c r="AB524" s="237"/>
      <c r="AC524" s="237"/>
      <c r="AD524" s="237"/>
      <c r="AE524" s="237"/>
      <c r="AF524" s="237"/>
      <c r="AG524" s="237"/>
      <c r="AH524" s="237"/>
      <c r="AI524" s="308"/>
      <c r="AJ524" s="308"/>
      <c r="AK524" s="308"/>
      <c r="AL524" s="308"/>
      <c r="AM524" s="98"/>
      <c r="AN524" s="98"/>
    </row>
    <row r="525" ht="14.25" customHeight="1">
      <c r="A525" s="179"/>
      <c r="B525" s="98"/>
      <c r="C525" s="98"/>
      <c r="D525" s="98"/>
      <c r="E525" s="98"/>
      <c r="F525" s="235"/>
      <c r="G525" s="235"/>
      <c r="H525" s="236"/>
      <c r="I525" s="236"/>
      <c r="J525" s="236"/>
      <c r="K525" s="236"/>
      <c r="L525" s="236"/>
      <c r="M525" s="236"/>
      <c r="N525" s="236"/>
      <c r="O525" s="236"/>
      <c r="P525" s="236"/>
      <c r="Q525" s="236"/>
      <c r="R525" s="236"/>
      <c r="S525" s="236"/>
      <c r="T525" s="236"/>
      <c r="U525" s="236"/>
      <c r="V525" s="236"/>
      <c r="W525" s="237"/>
      <c r="X525" s="237"/>
      <c r="Y525" s="237"/>
      <c r="Z525" s="237"/>
      <c r="AA525" s="237"/>
      <c r="AB525" s="237"/>
      <c r="AC525" s="237"/>
      <c r="AD525" s="237"/>
      <c r="AE525" s="237"/>
      <c r="AF525" s="237"/>
      <c r="AG525" s="237"/>
      <c r="AH525" s="237"/>
      <c r="AI525" s="308"/>
      <c r="AJ525" s="308"/>
      <c r="AK525" s="308"/>
      <c r="AL525" s="308"/>
      <c r="AM525" s="98"/>
      <c r="AN525" s="98"/>
    </row>
    <row r="526" ht="14.25" customHeight="1">
      <c r="A526" s="179"/>
      <c r="B526" s="98"/>
      <c r="C526" s="98"/>
      <c r="D526" s="98"/>
      <c r="E526" s="98"/>
      <c r="F526" s="235"/>
      <c r="G526" s="235"/>
      <c r="H526" s="236"/>
      <c r="I526" s="236"/>
      <c r="J526" s="236"/>
      <c r="K526" s="236"/>
      <c r="L526" s="236"/>
      <c r="M526" s="236"/>
      <c r="N526" s="236"/>
      <c r="O526" s="236"/>
      <c r="P526" s="236"/>
      <c r="Q526" s="236"/>
      <c r="R526" s="236"/>
      <c r="S526" s="236"/>
      <c r="T526" s="236"/>
      <c r="U526" s="236"/>
      <c r="V526" s="236"/>
      <c r="W526" s="237"/>
      <c r="X526" s="237"/>
      <c r="Y526" s="237"/>
      <c r="Z526" s="237"/>
      <c r="AA526" s="237"/>
      <c r="AB526" s="237"/>
      <c r="AC526" s="237"/>
      <c r="AD526" s="237"/>
      <c r="AE526" s="237"/>
      <c r="AF526" s="237"/>
      <c r="AG526" s="237"/>
      <c r="AH526" s="237"/>
      <c r="AI526" s="308"/>
      <c r="AJ526" s="308"/>
      <c r="AK526" s="308"/>
      <c r="AL526" s="308"/>
      <c r="AM526" s="98"/>
      <c r="AN526" s="98"/>
    </row>
    <row r="527" ht="14.25" customHeight="1">
      <c r="A527" s="179"/>
      <c r="B527" s="98"/>
      <c r="C527" s="98"/>
      <c r="D527" s="98"/>
      <c r="E527" s="98"/>
      <c r="F527" s="235"/>
      <c r="G527" s="235"/>
      <c r="H527" s="236"/>
      <c r="I527" s="236"/>
      <c r="J527" s="236"/>
      <c r="K527" s="236"/>
      <c r="L527" s="236"/>
      <c r="M527" s="236"/>
      <c r="N527" s="236"/>
      <c r="O527" s="236"/>
      <c r="P527" s="236"/>
      <c r="Q527" s="236"/>
      <c r="R527" s="236"/>
      <c r="S527" s="236"/>
      <c r="T527" s="236"/>
      <c r="U527" s="236"/>
      <c r="V527" s="236"/>
      <c r="W527" s="237"/>
      <c r="X527" s="237"/>
      <c r="Y527" s="237"/>
      <c r="Z527" s="237"/>
      <c r="AA527" s="237"/>
      <c r="AB527" s="237"/>
      <c r="AC527" s="237"/>
      <c r="AD527" s="237"/>
      <c r="AE527" s="237"/>
      <c r="AF527" s="237"/>
      <c r="AG527" s="237"/>
      <c r="AH527" s="237"/>
      <c r="AI527" s="308"/>
      <c r="AJ527" s="308"/>
      <c r="AK527" s="308"/>
      <c r="AL527" s="308"/>
      <c r="AM527" s="98"/>
      <c r="AN527" s="98"/>
    </row>
    <row r="528" ht="14.25" customHeight="1">
      <c r="A528" s="179"/>
      <c r="B528" s="98"/>
      <c r="C528" s="98"/>
      <c r="D528" s="98"/>
      <c r="E528" s="98"/>
      <c r="F528" s="235"/>
      <c r="G528" s="235"/>
      <c r="H528" s="236"/>
      <c r="I528" s="236"/>
      <c r="J528" s="236"/>
      <c r="K528" s="236"/>
      <c r="L528" s="236"/>
      <c r="M528" s="236"/>
      <c r="N528" s="236"/>
      <c r="O528" s="236"/>
      <c r="P528" s="236"/>
      <c r="Q528" s="236"/>
      <c r="R528" s="236"/>
      <c r="S528" s="236"/>
      <c r="T528" s="236"/>
      <c r="U528" s="236"/>
      <c r="V528" s="236"/>
      <c r="W528" s="237"/>
      <c r="X528" s="237"/>
      <c r="Y528" s="237"/>
      <c r="Z528" s="237"/>
      <c r="AA528" s="237"/>
      <c r="AB528" s="237"/>
      <c r="AC528" s="237"/>
      <c r="AD528" s="237"/>
      <c r="AE528" s="237"/>
      <c r="AF528" s="237"/>
      <c r="AG528" s="237"/>
      <c r="AH528" s="237"/>
      <c r="AI528" s="308"/>
      <c r="AJ528" s="308"/>
      <c r="AK528" s="308"/>
      <c r="AL528" s="308"/>
      <c r="AM528" s="98"/>
      <c r="AN528" s="98"/>
    </row>
    <row r="529" ht="14.25" customHeight="1">
      <c r="A529" s="179"/>
      <c r="B529" s="98"/>
      <c r="C529" s="98"/>
      <c r="D529" s="98"/>
      <c r="E529" s="98"/>
      <c r="F529" s="235"/>
      <c r="G529" s="235"/>
      <c r="H529" s="236"/>
      <c r="I529" s="236"/>
      <c r="J529" s="236"/>
      <c r="K529" s="236"/>
      <c r="L529" s="236"/>
      <c r="M529" s="236"/>
      <c r="N529" s="236"/>
      <c r="O529" s="236"/>
      <c r="P529" s="236"/>
      <c r="Q529" s="236"/>
      <c r="R529" s="236"/>
      <c r="S529" s="236"/>
      <c r="T529" s="236"/>
      <c r="U529" s="236"/>
      <c r="V529" s="236"/>
      <c r="W529" s="237"/>
      <c r="X529" s="237"/>
      <c r="Y529" s="237"/>
      <c r="Z529" s="237"/>
      <c r="AA529" s="237"/>
      <c r="AB529" s="237"/>
      <c r="AC529" s="237"/>
      <c r="AD529" s="237"/>
      <c r="AE529" s="237"/>
      <c r="AF529" s="237"/>
      <c r="AG529" s="237"/>
      <c r="AH529" s="237"/>
      <c r="AI529" s="308"/>
      <c r="AJ529" s="308"/>
      <c r="AK529" s="308"/>
      <c r="AL529" s="308"/>
      <c r="AM529" s="98"/>
      <c r="AN529" s="98"/>
    </row>
    <row r="530" ht="14.25" customHeight="1">
      <c r="A530" s="179"/>
      <c r="B530" s="98"/>
      <c r="C530" s="98"/>
      <c r="D530" s="98"/>
      <c r="E530" s="98"/>
      <c r="F530" s="235"/>
      <c r="G530" s="235"/>
      <c r="H530" s="236"/>
      <c r="I530" s="236"/>
      <c r="J530" s="236"/>
      <c r="K530" s="236"/>
      <c r="L530" s="236"/>
      <c r="M530" s="236"/>
      <c r="N530" s="236"/>
      <c r="O530" s="236"/>
      <c r="P530" s="236"/>
      <c r="Q530" s="236"/>
      <c r="R530" s="236"/>
      <c r="S530" s="236"/>
      <c r="T530" s="236"/>
      <c r="U530" s="236"/>
      <c r="V530" s="236"/>
      <c r="W530" s="237"/>
      <c r="X530" s="237"/>
      <c r="Y530" s="237"/>
      <c r="Z530" s="237"/>
      <c r="AA530" s="237"/>
      <c r="AB530" s="237"/>
      <c r="AC530" s="237"/>
      <c r="AD530" s="237"/>
      <c r="AE530" s="237"/>
      <c r="AF530" s="237"/>
      <c r="AG530" s="237"/>
      <c r="AH530" s="237"/>
      <c r="AI530" s="308"/>
      <c r="AJ530" s="308"/>
      <c r="AK530" s="308"/>
      <c r="AL530" s="308"/>
      <c r="AM530" s="98"/>
      <c r="AN530" s="98"/>
    </row>
    <row r="531" ht="14.25" customHeight="1">
      <c r="A531" s="179"/>
      <c r="B531" s="98"/>
      <c r="C531" s="98"/>
      <c r="D531" s="98"/>
      <c r="E531" s="98"/>
      <c r="F531" s="235"/>
      <c r="G531" s="235"/>
      <c r="H531" s="236"/>
      <c r="I531" s="236"/>
      <c r="J531" s="236"/>
      <c r="K531" s="236"/>
      <c r="L531" s="236"/>
      <c r="M531" s="236"/>
      <c r="N531" s="236"/>
      <c r="O531" s="236"/>
      <c r="P531" s="236"/>
      <c r="Q531" s="236"/>
      <c r="R531" s="236"/>
      <c r="S531" s="236"/>
      <c r="T531" s="236"/>
      <c r="U531" s="236"/>
      <c r="V531" s="236"/>
      <c r="W531" s="237"/>
      <c r="X531" s="237"/>
      <c r="Y531" s="237"/>
      <c r="Z531" s="237"/>
      <c r="AA531" s="237"/>
      <c r="AB531" s="237"/>
      <c r="AC531" s="237"/>
      <c r="AD531" s="237"/>
      <c r="AE531" s="237"/>
      <c r="AF531" s="237"/>
      <c r="AG531" s="237"/>
      <c r="AH531" s="237"/>
      <c r="AI531" s="308"/>
      <c r="AJ531" s="308"/>
      <c r="AK531" s="308"/>
      <c r="AL531" s="308"/>
      <c r="AM531" s="98"/>
      <c r="AN531" s="98"/>
    </row>
    <row r="532" ht="14.25" customHeight="1">
      <c r="A532" s="179"/>
      <c r="B532" s="98"/>
      <c r="C532" s="98"/>
      <c r="D532" s="98"/>
      <c r="E532" s="98"/>
      <c r="F532" s="235"/>
      <c r="G532" s="235"/>
      <c r="H532" s="236"/>
      <c r="I532" s="236"/>
      <c r="J532" s="236"/>
      <c r="K532" s="236"/>
      <c r="L532" s="236"/>
      <c r="M532" s="236"/>
      <c r="N532" s="236"/>
      <c r="O532" s="236"/>
      <c r="P532" s="236"/>
      <c r="Q532" s="236"/>
      <c r="R532" s="236"/>
      <c r="S532" s="236"/>
      <c r="T532" s="236"/>
      <c r="U532" s="236"/>
      <c r="V532" s="236"/>
      <c r="W532" s="237"/>
      <c r="X532" s="237"/>
      <c r="Y532" s="237"/>
      <c r="Z532" s="237"/>
      <c r="AA532" s="237"/>
      <c r="AB532" s="237"/>
      <c r="AC532" s="237"/>
      <c r="AD532" s="237"/>
      <c r="AE532" s="237"/>
      <c r="AF532" s="237"/>
      <c r="AG532" s="237"/>
      <c r="AH532" s="237"/>
      <c r="AI532" s="308"/>
      <c r="AJ532" s="308"/>
      <c r="AK532" s="308"/>
      <c r="AL532" s="308"/>
      <c r="AM532" s="98"/>
      <c r="AN532" s="98"/>
    </row>
    <row r="533" ht="14.25" customHeight="1">
      <c r="A533" s="179"/>
      <c r="B533" s="98"/>
      <c r="C533" s="98"/>
      <c r="D533" s="98"/>
      <c r="E533" s="98"/>
      <c r="F533" s="235"/>
      <c r="G533" s="235"/>
      <c r="H533" s="236"/>
      <c r="I533" s="236"/>
      <c r="J533" s="236"/>
      <c r="K533" s="236"/>
      <c r="L533" s="236"/>
      <c r="M533" s="236"/>
      <c r="N533" s="236"/>
      <c r="O533" s="236"/>
      <c r="P533" s="236"/>
      <c r="Q533" s="236"/>
      <c r="R533" s="236"/>
      <c r="S533" s="236"/>
      <c r="T533" s="236"/>
      <c r="U533" s="236"/>
      <c r="V533" s="236"/>
      <c r="W533" s="237"/>
      <c r="X533" s="237"/>
      <c r="Y533" s="237"/>
      <c r="Z533" s="237"/>
      <c r="AA533" s="237"/>
      <c r="AB533" s="237"/>
      <c r="AC533" s="237"/>
      <c r="AD533" s="237"/>
      <c r="AE533" s="237"/>
      <c r="AF533" s="237"/>
      <c r="AG533" s="237"/>
      <c r="AH533" s="237"/>
      <c r="AI533" s="308"/>
      <c r="AJ533" s="308"/>
      <c r="AK533" s="308"/>
      <c r="AL533" s="308"/>
      <c r="AM533" s="98"/>
      <c r="AN533" s="98"/>
    </row>
    <row r="534" ht="14.25" customHeight="1">
      <c r="A534" s="179"/>
      <c r="B534" s="98"/>
      <c r="C534" s="98"/>
      <c r="D534" s="98"/>
      <c r="E534" s="98"/>
      <c r="F534" s="235"/>
      <c r="G534" s="235"/>
      <c r="H534" s="236"/>
      <c r="I534" s="236"/>
      <c r="J534" s="236"/>
      <c r="K534" s="236"/>
      <c r="L534" s="236"/>
      <c r="M534" s="236"/>
      <c r="N534" s="236"/>
      <c r="O534" s="236"/>
      <c r="P534" s="236"/>
      <c r="Q534" s="236"/>
      <c r="R534" s="236"/>
      <c r="S534" s="236"/>
      <c r="T534" s="236"/>
      <c r="U534" s="236"/>
      <c r="V534" s="236"/>
      <c r="W534" s="237"/>
      <c r="X534" s="237"/>
      <c r="Y534" s="237"/>
      <c r="Z534" s="237"/>
      <c r="AA534" s="237"/>
      <c r="AB534" s="237"/>
      <c r="AC534" s="237"/>
      <c r="AD534" s="237"/>
      <c r="AE534" s="237"/>
      <c r="AF534" s="237"/>
      <c r="AG534" s="237"/>
      <c r="AH534" s="237"/>
      <c r="AI534" s="308"/>
      <c r="AJ534" s="308"/>
      <c r="AK534" s="308"/>
      <c r="AL534" s="308"/>
      <c r="AM534" s="98"/>
      <c r="AN534" s="98"/>
    </row>
    <row r="535" ht="14.25" customHeight="1">
      <c r="A535" s="179"/>
      <c r="B535" s="98"/>
      <c r="C535" s="98"/>
      <c r="D535" s="98"/>
      <c r="E535" s="98"/>
      <c r="F535" s="235"/>
      <c r="G535" s="235"/>
      <c r="H535" s="236"/>
      <c r="I535" s="236"/>
      <c r="J535" s="236"/>
      <c r="K535" s="236"/>
      <c r="L535" s="236"/>
      <c r="M535" s="236"/>
      <c r="N535" s="236"/>
      <c r="O535" s="236"/>
      <c r="P535" s="236"/>
      <c r="Q535" s="236"/>
      <c r="R535" s="236"/>
      <c r="S535" s="236"/>
      <c r="T535" s="236"/>
      <c r="U535" s="236"/>
      <c r="V535" s="236"/>
      <c r="W535" s="237"/>
      <c r="X535" s="237"/>
      <c r="Y535" s="237"/>
      <c r="Z535" s="237"/>
      <c r="AA535" s="237"/>
      <c r="AB535" s="237"/>
      <c r="AC535" s="237"/>
      <c r="AD535" s="237"/>
      <c r="AE535" s="237"/>
      <c r="AF535" s="237"/>
      <c r="AG535" s="237"/>
      <c r="AH535" s="237"/>
      <c r="AI535" s="308"/>
      <c r="AJ535" s="308"/>
      <c r="AK535" s="308"/>
      <c r="AL535" s="308"/>
      <c r="AM535" s="98"/>
      <c r="AN535" s="98"/>
    </row>
    <row r="536" ht="14.25" customHeight="1">
      <c r="A536" s="179"/>
      <c r="B536" s="98"/>
      <c r="C536" s="98"/>
      <c r="D536" s="98"/>
      <c r="E536" s="98"/>
      <c r="F536" s="235"/>
      <c r="G536" s="235"/>
      <c r="H536" s="236"/>
      <c r="I536" s="236"/>
      <c r="J536" s="236"/>
      <c r="K536" s="236"/>
      <c r="L536" s="236"/>
      <c r="M536" s="236"/>
      <c r="N536" s="236"/>
      <c r="O536" s="236"/>
      <c r="P536" s="236"/>
      <c r="Q536" s="236"/>
      <c r="R536" s="236"/>
      <c r="S536" s="236"/>
      <c r="T536" s="236"/>
      <c r="U536" s="236"/>
      <c r="V536" s="236"/>
      <c r="W536" s="237"/>
      <c r="X536" s="237"/>
      <c r="Y536" s="237"/>
      <c r="Z536" s="237"/>
      <c r="AA536" s="237"/>
      <c r="AB536" s="237"/>
      <c r="AC536" s="237"/>
      <c r="AD536" s="237"/>
      <c r="AE536" s="237"/>
      <c r="AF536" s="237"/>
      <c r="AG536" s="237"/>
      <c r="AH536" s="237"/>
      <c r="AI536" s="308"/>
      <c r="AJ536" s="308"/>
      <c r="AK536" s="308"/>
      <c r="AL536" s="308"/>
      <c r="AM536" s="98"/>
      <c r="AN536" s="98"/>
    </row>
    <row r="537" ht="14.25" customHeight="1">
      <c r="A537" s="179"/>
      <c r="B537" s="98"/>
      <c r="C537" s="98"/>
      <c r="D537" s="98"/>
      <c r="E537" s="98"/>
      <c r="F537" s="235"/>
      <c r="G537" s="235"/>
      <c r="H537" s="236"/>
      <c r="I537" s="236"/>
      <c r="J537" s="236"/>
      <c r="K537" s="236"/>
      <c r="L537" s="236"/>
      <c r="M537" s="236"/>
      <c r="N537" s="236"/>
      <c r="O537" s="236"/>
      <c r="P537" s="236"/>
      <c r="Q537" s="236"/>
      <c r="R537" s="236"/>
      <c r="S537" s="236"/>
      <c r="T537" s="236"/>
      <c r="U537" s="236"/>
      <c r="V537" s="236"/>
      <c r="W537" s="237"/>
      <c r="X537" s="237"/>
      <c r="Y537" s="237"/>
      <c r="Z537" s="237"/>
      <c r="AA537" s="237"/>
      <c r="AB537" s="237"/>
      <c r="AC537" s="237"/>
      <c r="AD537" s="237"/>
      <c r="AE537" s="237"/>
      <c r="AF537" s="237"/>
      <c r="AG537" s="237"/>
      <c r="AH537" s="237"/>
      <c r="AI537" s="308"/>
      <c r="AJ537" s="308"/>
      <c r="AK537" s="308"/>
      <c r="AL537" s="308"/>
      <c r="AM537" s="98"/>
      <c r="AN537" s="98"/>
    </row>
    <row r="538" ht="14.25" customHeight="1">
      <c r="A538" s="179"/>
      <c r="B538" s="98"/>
      <c r="C538" s="98"/>
      <c r="D538" s="98"/>
      <c r="E538" s="98"/>
      <c r="F538" s="235"/>
      <c r="G538" s="235"/>
      <c r="H538" s="236"/>
      <c r="I538" s="236"/>
      <c r="J538" s="236"/>
      <c r="K538" s="236"/>
      <c r="L538" s="236"/>
      <c r="M538" s="236"/>
      <c r="N538" s="236"/>
      <c r="O538" s="236"/>
      <c r="P538" s="236"/>
      <c r="Q538" s="236"/>
      <c r="R538" s="236"/>
      <c r="S538" s="236"/>
      <c r="T538" s="236"/>
      <c r="U538" s="236"/>
      <c r="V538" s="236"/>
      <c r="W538" s="237"/>
      <c r="X538" s="237"/>
      <c r="Y538" s="237"/>
      <c r="Z538" s="237"/>
      <c r="AA538" s="237"/>
      <c r="AB538" s="237"/>
      <c r="AC538" s="237"/>
      <c r="AD538" s="237"/>
      <c r="AE538" s="237"/>
      <c r="AF538" s="237"/>
      <c r="AG538" s="237"/>
      <c r="AH538" s="237"/>
      <c r="AI538" s="308"/>
      <c r="AJ538" s="308"/>
      <c r="AK538" s="308"/>
      <c r="AL538" s="308"/>
      <c r="AM538" s="98"/>
      <c r="AN538" s="98"/>
    </row>
    <row r="539" ht="14.25" customHeight="1">
      <c r="A539" s="179"/>
      <c r="B539" s="98"/>
      <c r="C539" s="98"/>
      <c r="D539" s="98"/>
      <c r="E539" s="98"/>
      <c r="F539" s="235"/>
      <c r="G539" s="235"/>
      <c r="H539" s="236"/>
      <c r="I539" s="236"/>
      <c r="J539" s="236"/>
      <c r="K539" s="236"/>
      <c r="L539" s="236"/>
      <c r="M539" s="236"/>
      <c r="N539" s="236"/>
      <c r="O539" s="236"/>
      <c r="P539" s="236"/>
      <c r="Q539" s="236"/>
      <c r="R539" s="236"/>
      <c r="S539" s="236"/>
      <c r="T539" s="236"/>
      <c r="U539" s="236"/>
      <c r="V539" s="236"/>
      <c r="W539" s="237"/>
      <c r="X539" s="237"/>
      <c r="Y539" s="237"/>
      <c r="Z539" s="237"/>
      <c r="AA539" s="237"/>
      <c r="AB539" s="237"/>
      <c r="AC539" s="237"/>
      <c r="AD539" s="237"/>
      <c r="AE539" s="237"/>
      <c r="AF539" s="237"/>
      <c r="AG539" s="237"/>
      <c r="AH539" s="237"/>
      <c r="AI539" s="308"/>
      <c r="AJ539" s="308"/>
      <c r="AK539" s="308"/>
      <c r="AL539" s="308"/>
      <c r="AM539" s="98"/>
      <c r="AN539" s="98"/>
    </row>
    <row r="540" ht="14.25" customHeight="1">
      <c r="A540" s="179"/>
      <c r="B540" s="98"/>
      <c r="C540" s="98"/>
      <c r="D540" s="98"/>
      <c r="E540" s="98"/>
      <c r="F540" s="235"/>
      <c r="G540" s="235"/>
      <c r="H540" s="236"/>
      <c r="I540" s="236"/>
      <c r="J540" s="236"/>
      <c r="K540" s="236"/>
      <c r="L540" s="236"/>
      <c r="M540" s="236"/>
      <c r="N540" s="236"/>
      <c r="O540" s="236"/>
      <c r="P540" s="236"/>
      <c r="Q540" s="236"/>
      <c r="R540" s="236"/>
      <c r="S540" s="236"/>
      <c r="T540" s="236"/>
      <c r="U540" s="236"/>
      <c r="V540" s="236"/>
      <c r="W540" s="237"/>
      <c r="X540" s="237"/>
      <c r="Y540" s="237"/>
      <c r="Z540" s="237"/>
      <c r="AA540" s="237"/>
      <c r="AB540" s="237"/>
      <c r="AC540" s="237"/>
      <c r="AD540" s="237"/>
      <c r="AE540" s="237"/>
      <c r="AF540" s="237"/>
      <c r="AG540" s="237"/>
      <c r="AH540" s="237"/>
      <c r="AI540" s="308"/>
      <c r="AJ540" s="308"/>
      <c r="AK540" s="308"/>
      <c r="AL540" s="308"/>
      <c r="AM540" s="98"/>
      <c r="AN540" s="98"/>
    </row>
    <row r="541" ht="14.25" customHeight="1">
      <c r="A541" s="179"/>
      <c r="B541" s="98"/>
      <c r="C541" s="98"/>
      <c r="D541" s="98"/>
      <c r="E541" s="98"/>
      <c r="F541" s="235"/>
      <c r="G541" s="235"/>
      <c r="H541" s="236"/>
      <c r="I541" s="236"/>
      <c r="J541" s="236"/>
      <c r="K541" s="236"/>
      <c r="L541" s="236"/>
      <c r="M541" s="236"/>
      <c r="N541" s="236"/>
      <c r="O541" s="236"/>
      <c r="P541" s="236"/>
      <c r="Q541" s="236"/>
      <c r="R541" s="236"/>
      <c r="S541" s="236"/>
      <c r="T541" s="236"/>
      <c r="U541" s="236"/>
      <c r="V541" s="236"/>
      <c r="W541" s="237"/>
      <c r="X541" s="237"/>
      <c r="Y541" s="237"/>
      <c r="Z541" s="237"/>
      <c r="AA541" s="237"/>
      <c r="AB541" s="237"/>
      <c r="AC541" s="237"/>
      <c r="AD541" s="237"/>
      <c r="AE541" s="237"/>
      <c r="AF541" s="237"/>
      <c r="AG541" s="237"/>
      <c r="AH541" s="237"/>
      <c r="AI541" s="308"/>
      <c r="AJ541" s="308"/>
      <c r="AK541" s="308"/>
      <c r="AL541" s="308"/>
      <c r="AM541" s="98"/>
      <c r="AN541" s="98"/>
    </row>
    <row r="542" ht="14.25" customHeight="1">
      <c r="A542" s="179"/>
      <c r="B542" s="98"/>
      <c r="C542" s="98"/>
      <c r="D542" s="98"/>
      <c r="E542" s="98"/>
      <c r="F542" s="235"/>
      <c r="G542" s="235"/>
      <c r="H542" s="236"/>
      <c r="I542" s="236"/>
      <c r="J542" s="236"/>
      <c r="K542" s="236"/>
      <c r="L542" s="236"/>
      <c r="M542" s="236"/>
      <c r="N542" s="236"/>
      <c r="O542" s="236"/>
      <c r="P542" s="236"/>
      <c r="Q542" s="236"/>
      <c r="R542" s="236"/>
      <c r="S542" s="236"/>
      <c r="T542" s="236"/>
      <c r="U542" s="236"/>
      <c r="V542" s="236"/>
      <c r="W542" s="237"/>
      <c r="X542" s="237"/>
      <c r="Y542" s="237"/>
      <c r="Z542" s="237"/>
      <c r="AA542" s="237"/>
      <c r="AB542" s="237"/>
      <c r="AC542" s="237"/>
      <c r="AD542" s="237"/>
      <c r="AE542" s="237"/>
      <c r="AF542" s="237"/>
      <c r="AG542" s="237"/>
      <c r="AH542" s="237"/>
      <c r="AI542" s="308"/>
      <c r="AJ542" s="308"/>
      <c r="AK542" s="308"/>
      <c r="AL542" s="308"/>
      <c r="AM542" s="98"/>
      <c r="AN542" s="98"/>
    </row>
    <row r="543" ht="14.25" customHeight="1">
      <c r="A543" s="179"/>
      <c r="B543" s="98"/>
      <c r="C543" s="98"/>
      <c r="D543" s="98"/>
      <c r="E543" s="98"/>
      <c r="F543" s="235"/>
      <c r="G543" s="235"/>
      <c r="H543" s="236"/>
      <c r="I543" s="236"/>
      <c r="J543" s="236"/>
      <c r="K543" s="236"/>
      <c r="L543" s="236"/>
      <c r="M543" s="236"/>
      <c r="N543" s="236"/>
      <c r="O543" s="236"/>
      <c r="P543" s="236"/>
      <c r="Q543" s="236"/>
      <c r="R543" s="236"/>
      <c r="S543" s="236"/>
      <c r="T543" s="236"/>
      <c r="U543" s="236"/>
      <c r="V543" s="236"/>
      <c r="W543" s="237"/>
      <c r="X543" s="237"/>
      <c r="Y543" s="237"/>
      <c r="Z543" s="237"/>
      <c r="AA543" s="237"/>
      <c r="AB543" s="237"/>
      <c r="AC543" s="237"/>
      <c r="AD543" s="237"/>
      <c r="AE543" s="237"/>
      <c r="AF543" s="237"/>
      <c r="AG543" s="237"/>
      <c r="AH543" s="237"/>
      <c r="AI543" s="308"/>
      <c r="AJ543" s="308"/>
      <c r="AK543" s="308"/>
      <c r="AL543" s="308"/>
      <c r="AM543" s="98"/>
      <c r="AN543" s="98"/>
    </row>
    <row r="544" ht="14.25" customHeight="1">
      <c r="A544" s="179"/>
      <c r="B544" s="98"/>
      <c r="C544" s="98"/>
      <c r="D544" s="98"/>
      <c r="E544" s="98"/>
      <c r="F544" s="235"/>
      <c r="G544" s="235"/>
      <c r="H544" s="236"/>
      <c r="I544" s="236"/>
      <c r="J544" s="236"/>
      <c r="K544" s="236"/>
      <c r="L544" s="236"/>
      <c r="M544" s="236"/>
      <c r="N544" s="236"/>
      <c r="O544" s="236"/>
      <c r="P544" s="236"/>
      <c r="Q544" s="236"/>
      <c r="R544" s="236"/>
      <c r="S544" s="236"/>
      <c r="T544" s="236"/>
      <c r="U544" s="236"/>
      <c r="V544" s="236"/>
      <c r="W544" s="237"/>
      <c r="X544" s="237"/>
      <c r="Y544" s="237"/>
      <c r="Z544" s="237"/>
      <c r="AA544" s="237"/>
      <c r="AB544" s="237"/>
      <c r="AC544" s="237"/>
      <c r="AD544" s="237"/>
      <c r="AE544" s="237"/>
      <c r="AF544" s="237"/>
      <c r="AG544" s="237"/>
      <c r="AH544" s="237"/>
      <c r="AI544" s="308"/>
      <c r="AJ544" s="308"/>
      <c r="AK544" s="308"/>
      <c r="AL544" s="308"/>
      <c r="AM544" s="98"/>
      <c r="AN544" s="98"/>
    </row>
    <row r="545" ht="14.25" customHeight="1">
      <c r="A545" s="179"/>
      <c r="B545" s="98"/>
      <c r="C545" s="98"/>
      <c r="D545" s="98"/>
      <c r="E545" s="98"/>
      <c r="F545" s="235"/>
      <c r="G545" s="235"/>
      <c r="H545" s="236"/>
      <c r="I545" s="236"/>
      <c r="J545" s="236"/>
      <c r="K545" s="236"/>
      <c r="L545" s="236"/>
      <c r="M545" s="236"/>
      <c r="N545" s="236"/>
      <c r="O545" s="236"/>
      <c r="P545" s="236"/>
      <c r="Q545" s="236"/>
      <c r="R545" s="236"/>
      <c r="S545" s="236"/>
      <c r="T545" s="236"/>
      <c r="U545" s="236"/>
      <c r="V545" s="236"/>
      <c r="W545" s="237"/>
      <c r="X545" s="237"/>
      <c r="Y545" s="237"/>
      <c r="Z545" s="237"/>
      <c r="AA545" s="237"/>
      <c r="AB545" s="237"/>
      <c r="AC545" s="237"/>
      <c r="AD545" s="237"/>
      <c r="AE545" s="237"/>
      <c r="AF545" s="237"/>
      <c r="AG545" s="237"/>
      <c r="AH545" s="237"/>
      <c r="AI545" s="308"/>
      <c r="AJ545" s="308"/>
      <c r="AK545" s="308"/>
      <c r="AL545" s="308"/>
      <c r="AM545" s="98"/>
      <c r="AN545" s="98"/>
    </row>
    <row r="546" ht="14.25" customHeight="1">
      <c r="A546" s="179"/>
      <c r="B546" s="98"/>
      <c r="C546" s="98"/>
      <c r="D546" s="98"/>
      <c r="E546" s="98"/>
      <c r="F546" s="235"/>
      <c r="G546" s="235"/>
      <c r="H546" s="236"/>
      <c r="I546" s="236"/>
      <c r="J546" s="236"/>
      <c r="K546" s="236"/>
      <c r="L546" s="236"/>
      <c r="M546" s="236"/>
      <c r="N546" s="236"/>
      <c r="O546" s="236"/>
      <c r="P546" s="236"/>
      <c r="Q546" s="236"/>
      <c r="R546" s="236"/>
      <c r="S546" s="236"/>
      <c r="T546" s="236"/>
      <c r="U546" s="236"/>
      <c r="V546" s="236"/>
      <c r="W546" s="237"/>
      <c r="X546" s="237"/>
      <c r="Y546" s="237"/>
      <c r="Z546" s="237"/>
      <c r="AA546" s="237"/>
      <c r="AB546" s="237"/>
      <c r="AC546" s="237"/>
      <c r="AD546" s="237"/>
      <c r="AE546" s="237"/>
      <c r="AF546" s="237"/>
      <c r="AG546" s="237"/>
      <c r="AH546" s="237"/>
      <c r="AI546" s="308"/>
      <c r="AJ546" s="308"/>
      <c r="AK546" s="308"/>
      <c r="AL546" s="308"/>
      <c r="AM546" s="98"/>
      <c r="AN546" s="98"/>
    </row>
    <row r="547" ht="14.25" customHeight="1">
      <c r="A547" s="179"/>
      <c r="B547" s="98"/>
      <c r="C547" s="98"/>
      <c r="D547" s="98"/>
      <c r="E547" s="98"/>
      <c r="F547" s="235"/>
      <c r="G547" s="235"/>
      <c r="H547" s="236"/>
      <c r="I547" s="236"/>
      <c r="J547" s="236"/>
      <c r="K547" s="236"/>
      <c r="L547" s="236"/>
      <c r="M547" s="236"/>
      <c r="N547" s="236"/>
      <c r="O547" s="236"/>
      <c r="P547" s="236"/>
      <c r="Q547" s="236"/>
      <c r="R547" s="236"/>
      <c r="S547" s="236"/>
      <c r="T547" s="236"/>
      <c r="U547" s="236"/>
      <c r="V547" s="236"/>
      <c r="W547" s="237"/>
      <c r="X547" s="237"/>
      <c r="Y547" s="237"/>
      <c r="Z547" s="237"/>
      <c r="AA547" s="237"/>
      <c r="AB547" s="237"/>
      <c r="AC547" s="237"/>
      <c r="AD547" s="237"/>
      <c r="AE547" s="237"/>
      <c r="AF547" s="237"/>
      <c r="AG547" s="237"/>
      <c r="AH547" s="237"/>
      <c r="AI547" s="308"/>
      <c r="AJ547" s="308"/>
      <c r="AK547" s="308"/>
      <c r="AL547" s="308"/>
      <c r="AM547" s="98"/>
      <c r="AN547" s="98"/>
    </row>
    <row r="548" ht="14.25" customHeight="1">
      <c r="A548" s="179"/>
      <c r="B548" s="98"/>
      <c r="C548" s="98"/>
      <c r="D548" s="98"/>
      <c r="E548" s="98"/>
      <c r="F548" s="235"/>
      <c r="G548" s="235"/>
      <c r="H548" s="236"/>
      <c r="I548" s="236"/>
      <c r="J548" s="236"/>
      <c r="K548" s="236"/>
      <c r="L548" s="236"/>
      <c r="M548" s="236"/>
      <c r="N548" s="236"/>
      <c r="O548" s="236"/>
      <c r="P548" s="236"/>
      <c r="Q548" s="236"/>
      <c r="R548" s="236"/>
      <c r="S548" s="236"/>
      <c r="T548" s="236"/>
      <c r="U548" s="236"/>
      <c r="V548" s="236"/>
      <c r="W548" s="237"/>
      <c r="X548" s="237"/>
      <c r="Y548" s="237"/>
      <c r="Z548" s="237"/>
      <c r="AA548" s="237"/>
      <c r="AB548" s="237"/>
      <c r="AC548" s="237"/>
      <c r="AD548" s="237"/>
      <c r="AE548" s="237"/>
      <c r="AF548" s="237"/>
      <c r="AG548" s="237"/>
      <c r="AH548" s="237"/>
      <c r="AI548" s="308"/>
      <c r="AJ548" s="308"/>
      <c r="AK548" s="308"/>
      <c r="AL548" s="308"/>
      <c r="AM548" s="98"/>
      <c r="AN548" s="98"/>
    </row>
    <row r="549" ht="14.25" customHeight="1">
      <c r="A549" s="179"/>
      <c r="B549" s="98"/>
      <c r="C549" s="98"/>
      <c r="D549" s="98"/>
      <c r="E549" s="98"/>
      <c r="F549" s="235"/>
      <c r="G549" s="235"/>
      <c r="H549" s="236"/>
      <c r="I549" s="236"/>
      <c r="J549" s="236"/>
      <c r="K549" s="236"/>
      <c r="L549" s="236"/>
      <c r="M549" s="236"/>
      <c r="N549" s="236"/>
      <c r="O549" s="236"/>
      <c r="P549" s="236"/>
      <c r="Q549" s="236"/>
      <c r="R549" s="236"/>
      <c r="S549" s="236"/>
      <c r="T549" s="236"/>
      <c r="U549" s="236"/>
      <c r="V549" s="236"/>
      <c r="W549" s="237"/>
      <c r="X549" s="237"/>
      <c r="Y549" s="237"/>
      <c r="Z549" s="237"/>
      <c r="AA549" s="237"/>
      <c r="AB549" s="237"/>
      <c r="AC549" s="237"/>
      <c r="AD549" s="237"/>
      <c r="AE549" s="237"/>
      <c r="AF549" s="237"/>
      <c r="AG549" s="237"/>
      <c r="AH549" s="237"/>
      <c r="AI549" s="308"/>
      <c r="AJ549" s="308"/>
      <c r="AK549" s="308"/>
      <c r="AL549" s="308"/>
      <c r="AM549" s="98"/>
      <c r="AN549" s="98"/>
    </row>
    <row r="550" ht="14.25" customHeight="1">
      <c r="A550" s="179"/>
      <c r="B550" s="98"/>
      <c r="C550" s="98"/>
      <c r="D550" s="98"/>
      <c r="E550" s="98"/>
      <c r="F550" s="235"/>
      <c r="G550" s="235"/>
      <c r="H550" s="236"/>
      <c r="I550" s="236"/>
      <c r="J550" s="236"/>
      <c r="K550" s="236"/>
      <c r="L550" s="236"/>
      <c r="M550" s="236"/>
      <c r="N550" s="236"/>
      <c r="O550" s="236"/>
      <c r="P550" s="236"/>
      <c r="Q550" s="236"/>
      <c r="R550" s="236"/>
      <c r="S550" s="236"/>
      <c r="T550" s="236"/>
      <c r="U550" s="236"/>
      <c r="V550" s="236"/>
      <c r="W550" s="237"/>
      <c r="X550" s="237"/>
      <c r="Y550" s="237"/>
      <c r="Z550" s="237"/>
      <c r="AA550" s="237"/>
      <c r="AB550" s="237"/>
      <c r="AC550" s="237"/>
      <c r="AD550" s="237"/>
      <c r="AE550" s="237"/>
      <c r="AF550" s="237"/>
      <c r="AG550" s="237"/>
      <c r="AH550" s="237"/>
      <c r="AI550" s="308"/>
      <c r="AJ550" s="308"/>
      <c r="AK550" s="308"/>
      <c r="AL550" s="308"/>
      <c r="AM550" s="98"/>
      <c r="AN550" s="98"/>
    </row>
    <row r="551" ht="14.25" customHeight="1">
      <c r="A551" s="179"/>
      <c r="B551" s="98"/>
      <c r="C551" s="98"/>
      <c r="D551" s="98"/>
      <c r="E551" s="98"/>
      <c r="F551" s="235"/>
      <c r="G551" s="235"/>
      <c r="H551" s="236"/>
      <c r="I551" s="236"/>
      <c r="J551" s="236"/>
      <c r="K551" s="236"/>
      <c r="L551" s="236"/>
      <c r="M551" s="236"/>
      <c r="N551" s="236"/>
      <c r="O551" s="236"/>
      <c r="P551" s="236"/>
      <c r="Q551" s="236"/>
      <c r="R551" s="236"/>
      <c r="S551" s="236"/>
      <c r="T551" s="236"/>
      <c r="U551" s="236"/>
      <c r="V551" s="236"/>
      <c r="W551" s="237"/>
      <c r="X551" s="237"/>
      <c r="Y551" s="237"/>
      <c r="Z551" s="237"/>
      <c r="AA551" s="237"/>
      <c r="AB551" s="237"/>
      <c r="AC551" s="237"/>
      <c r="AD551" s="237"/>
      <c r="AE551" s="237"/>
      <c r="AF551" s="237"/>
      <c r="AG551" s="237"/>
      <c r="AH551" s="237"/>
      <c r="AI551" s="308"/>
      <c r="AJ551" s="308"/>
      <c r="AK551" s="308"/>
      <c r="AL551" s="308"/>
      <c r="AM551" s="98"/>
      <c r="AN551" s="98"/>
    </row>
    <row r="552" ht="14.25" customHeight="1">
      <c r="A552" s="179"/>
      <c r="B552" s="98"/>
      <c r="C552" s="98"/>
      <c r="D552" s="98"/>
      <c r="E552" s="98"/>
      <c r="F552" s="235"/>
      <c r="G552" s="235"/>
      <c r="H552" s="236"/>
      <c r="I552" s="236"/>
      <c r="J552" s="236"/>
      <c r="K552" s="236"/>
      <c r="L552" s="236"/>
      <c r="M552" s="236"/>
      <c r="N552" s="236"/>
      <c r="O552" s="236"/>
      <c r="P552" s="236"/>
      <c r="Q552" s="236"/>
      <c r="R552" s="236"/>
      <c r="S552" s="236"/>
      <c r="T552" s="236"/>
      <c r="U552" s="236"/>
      <c r="V552" s="236"/>
      <c r="W552" s="237"/>
      <c r="X552" s="237"/>
      <c r="Y552" s="237"/>
      <c r="Z552" s="237"/>
      <c r="AA552" s="237"/>
      <c r="AB552" s="237"/>
      <c r="AC552" s="237"/>
      <c r="AD552" s="237"/>
      <c r="AE552" s="237"/>
      <c r="AF552" s="237"/>
      <c r="AG552" s="237"/>
      <c r="AH552" s="237"/>
      <c r="AI552" s="308"/>
      <c r="AJ552" s="308"/>
      <c r="AK552" s="308"/>
      <c r="AL552" s="308"/>
      <c r="AM552" s="98"/>
      <c r="AN552" s="98"/>
    </row>
    <row r="553" ht="14.25" customHeight="1">
      <c r="A553" s="179"/>
      <c r="B553" s="98"/>
      <c r="C553" s="98"/>
      <c r="D553" s="98"/>
      <c r="E553" s="98"/>
      <c r="F553" s="235"/>
      <c r="G553" s="235"/>
      <c r="H553" s="236"/>
      <c r="I553" s="236"/>
      <c r="J553" s="236"/>
      <c r="K553" s="236"/>
      <c r="L553" s="236"/>
      <c r="M553" s="236"/>
      <c r="N553" s="236"/>
      <c r="O553" s="236"/>
      <c r="P553" s="236"/>
      <c r="Q553" s="236"/>
      <c r="R553" s="236"/>
      <c r="S553" s="236"/>
      <c r="T553" s="236"/>
      <c r="U553" s="236"/>
      <c r="V553" s="236"/>
      <c r="W553" s="237"/>
      <c r="X553" s="237"/>
      <c r="Y553" s="237"/>
      <c r="Z553" s="237"/>
      <c r="AA553" s="237"/>
      <c r="AB553" s="237"/>
      <c r="AC553" s="237"/>
      <c r="AD553" s="237"/>
      <c r="AE553" s="237"/>
      <c r="AF553" s="237"/>
      <c r="AG553" s="237"/>
      <c r="AH553" s="237"/>
      <c r="AI553" s="308"/>
      <c r="AJ553" s="308"/>
      <c r="AK553" s="308"/>
      <c r="AL553" s="308"/>
      <c r="AM553" s="98"/>
      <c r="AN553" s="98"/>
    </row>
    <row r="554" ht="14.25" customHeight="1">
      <c r="A554" s="179"/>
      <c r="B554" s="98"/>
      <c r="C554" s="98"/>
      <c r="D554" s="98"/>
      <c r="E554" s="98"/>
      <c r="F554" s="235"/>
      <c r="G554" s="235"/>
      <c r="H554" s="236"/>
      <c r="I554" s="236"/>
      <c r="J554" s="236"/>
      <c r="K554" s="236"/>
      <c r="L554" s="236"/>
      <c r="M554" s="236"/>
      <c r="N554" s="236"/>
      <c r="O554" s="236"/>
      <c r="P554" s="236"/>
      <c r="Q554" s="236"/>
      <c r="R554" s="236"/>
      <c r="S554" s="236"/>
      <c r="T554" s="236"/>
      <c r="U554" s="236"/>
      <c r="V554" s="236"/>
      <c r="W554" s="237"/>
      <c r="X554" s="237"/>
      <c r="Y554" s="237"/>
      <c r="Z554" s="237"/>
      <c r="AA554" s="237"/>
      <c r="AB554" s="237"/>
      <c r="AC554" s="237"/>
      <c r="AD554" s="237"/>
      <c r="AE554" s="237"/>
      <c r="AF554" s="237"/>
      <c r="AG554" s="237"/>
      <c r="AH554" s="237"/>
      <c r="AI554" s="308"/>
      <c r="AJ554" s="308"/>
      <c r="AK554" s="308"/>
      <c r="AL554" s="308"/>
      <c r="AM554" s="98"/>
      <c r="AN554" s="98"/>
    </row>
    <row r="555" ht="14.25" customHeight="1">
      <c r="A555" s="179"/>
      <c r="B555" s="98"/>
      <c r="C555" s="98"/>
      <c r="D555" s="98"/>
      <c r="E555" s="98"/>
      <c r="F555" s="235"/>
      <c r="G555" s="235"/>
      <c r="H555" s="236"/>
      <c r="I555" s="236"/>
      <c r="J555" s="236"/>
      <c r="K555" s="236"/>
      <c r="L555" s="236"/>
      <c r="M555" s="236"/>
      <c r="N555" s="236"/>
      <c r="O555" s="236"/>
      <c r="P555" s="236"/>
      <c r="Q555" s="236"/>
      <c r="R555" s="236"/>
      <c r="S555" s="236"/>
      <c r="T555" s="236"/>
      <c r="U555" s="236"/>
      <c r="V555" s="236"/>
      <c r="W555" s="237"/>
      <c r="X555" s="237"/>
      <c r="Y555" s="237"/>
      <c r="Z555" s="237"/>
      <c r="AA555" s="237"/>
      <c r="AB555" s="237"/>
      <c r="AC555" s="237"/>
      <c r="AD555" s="237"/>
      <c r="AE555" s="237"/>
      <c r="AF555" s="237"/>
      <c r="AG555" s="237"/>
      <c r="AH555" s="237"/>
      <c r="AI555" s="308"/>
      <c r="AJ555" s="308"/>
      <c r="AK555" s="308"/>
      <c r="AL555" s="308"/>
      <c r="AM555" s="98"/>
      <c r="AN555" s="98"/>
    </row>
    <row r="556" ht="14.25" customHeight="1">
      <c r="A556" s="179"/>
      <c r="B556" s="98"/>
      <c r="C556" s="98"/>
      <c r="D556" s="98"/>
      <c r="E556" s="98"/>
      <c r="F556" s="235"/>
      <c r="G556" s="235"/>
      <c r="H556" s="236"/>
      <c r="I556" s="236"/>
      <c r="J556" s="236"/>
      <c r="K556" s="236"/>
      <c r="L556" s="236"/>
      <c r="M556" s="236"/>
      <c r="N556" s="236"/>
      <c r="O556" s="236"/>
      <c r="P556" s="236"/>
      <c r="Q556" s="236"/>
      <c r="R556" s="236"/>
      <c r="S556" s="236"/>
      <c r="T556" s="236"/>
      <c r="U556" s="236"/>
      <c r="V556" s="236"/>
      <c r="W556" s="237"/>
      <c r="X556" s="237"/>
      <c r="Y556" s="237"/>
      <c r="Z556" s="237"/>
      <c r="AA556" s="237"/>
      <c r="AB556" s="237"/>
      <c r="AC556" s="237"/>
      <c r="AD556" s="237"/>
      <c r="AE556" s="237"/>
      <c r="AF556" s="237"/>
      <c r="AG556" s="237"/>
      <c r="AH556" s="237"/>
      <c r="AI556" s="308"/>
      <c r="AJ556" s="308"/>
      <c r="AK556" s="308"/>
      <c r="AL556" s="308"/>
      <c r="AM556" s="98"/>
      <c r="AN556" s="98"/>
    </row>
    <row r="557" ht="14.25" customHeight="1">
      <c r="A557" s="179"/>
      <c r="B557" s="98"/>
      <c r="C557" s="98"/>
      <c r="D557" s="98"/>
      <c r="E557" s="98"/>
      <c r="F557" s="235"/>
      <c r="G557" s="235"/>
      <c r="H557" s="236"/>
      <c r="I557" s="236"/>
      <c r="J557" s="236"/>
      <c r="K557" s="236"/>
      <c r="L557" s="236"/>
      <c r="M557" s="236"/>
      <c r="N557" s="236"/>
      <c r="O557" s="236"/>
      <c r="P557" s="236"/>
      <c r="Q557" s="236"/>
      <c r="R557" s="236"/>
      <c r="S557" s="236"/>
      <c r="T557" s="236"/>
      <c r="U557" s="236"/>
      <c r="V557" s="236"/>
      <c r="W557" s="237"/>
      <c r="X557" s="237"/>
      <c r="Y557" s="237"/>
      <c r="Z557" s="237"/>
      <c r="AA557" s="237"/>
      <c r="AB557" s="237"/>
      <c r="AC557" s="237"/>
      <c r="AD557" s="237"/>
      <c r="AE557" s="237"/>
      <c r="AF557" s="237"/>
      <c r="AG557" s="237"/>
      <c r="AH557" s="237"/>
      <c r="AI557" s="308"/>
      <c r="AJ557" s="308"/>
      <c r="AK557" s="308"/>
      <c r="AL557" s="308"/>
      <c r="AM557" s="98"/>
      <c r="AN557" s="98"/>
    </row>
    <row r="558" ht="14.25" customHeight="1">
      <c r="A558" s="179"/>
      <c r="B558" s="98"/>
      <c r="C558" s="98"/>
      <c r="D558" s="98"/>
      <c r="E558" s="98"/>
      <c r="F558" s="235"/>
      <c r="G558" s="235"/>
      <c r="H558" s="236"/>
      <c r="I558" s="236"/>
      <c r="J558" s="236"/>
      <c r="K558" s="236"/>
      <c r="L558" s="236"/>
      <c r="M558" s="236"/>
      <c r="N558" s="236"/>
      <c r="O558" s="236"/>
      <c r="P558" s="236"/>
      <c r="Q558" s="236"/>
      <c r="R558" s="236"/>
      <c r="S558" s="236"/>
      <c r="T558" s="236"/>
      <c r="U558" s="236"/>
      <c r="V558" s="236"/>
      <c r="W558" s="237"/>
      <c r="X558" s="237"/>
      <c r="Y558" s="237"/>
      <c r="Z558" s="237"/>
      <c r="AA558" s="237"/>
      <c r="AB558" s="237"/>
      <c r="AC558" s="237"/>
      <c r="AD558" s="237"/>
      <c r="AE558" s="237"/>
      <c r="AF558" s="237"/>
      <c r="AG558" s="237"/>
      <c r="AH558" s="237"/>
      <c r="AI558" s="308"/>
      <c r="AJ558" s="308"/>
      <c r="AK558" s="308"/>
      <c r="AL558" s="308"/>
      <c r="AM558" s="98"/>
      <c r="AN558" s="98"/>
    </row>
    <row r="559" ht="14.25" customHeight="1">
      <c r="A559" s="179"/>
      <c r="B559" s="98"/>
      <c r="C559" s="98"/>
      <c r="D559" s="98"/>
      <c r="E559" s="98"/>
      <c r="F559" s="235"/>
      <c r="G559" s="235"/>
      <c r="H559" s="236"/>
      <c r="I559" s="236"/>
      <c r="J559" s="236"/>
      <c r="K559" s="236"/>
      <c r="L559" s="236"/>
      <c r="M559" s="236"/>
      <c r="N559" s="236"/>
      <c r="O559" s="236"/>
      <c r="P559" s="236"/>
      <c r="Q559" s="236"/>
      <c r="R559" s="236"/>
      <c r="S559" s="236"/>
      <c r="T559" s="236"/>
      <c r="U559" s="236"/>
      <c r="V559" s="236"/>
      <c r="W559" s="237"/>
      <c r="X559" s="237"/>
      <c r="Y559" s="237"/>
      <c r="Z559" s="237"/>
      <c r="AA559" s="237"/>
      <c r="AB559" s="237"/>
      <c r="AC559" s="237"/>
      <c r="AD559" s="237"/>
      <c r="AE559" s="237"/>
      <c r="AF559" s="237"/>
      <c r="AG559" s="237"/>
      <c r="AH559" s="237"/>
      <c r="AI559" s="308"/>
      <c r="AJ559" s="308"/>
      <c r="AK559" s="308"/>
      <c r="AL559" s="308"/>
      <c r="AM559" s="98"/>
      <c r="AN559" s="98"/>
    </row>
    <row r="560" ht="14.25" customHeight="1">
      <c r="A560" s="179"/>
      <c r="B560" s="98"/>
      <c r="C560" s="98"/>
      <c r="D560" s="98"/>
      <c r="E560" s="98"/>
      <c r="F560" s="235"/>
      <c r="G560" s="235"/>
      <c r="H560" s="236"/>
      <c r="I560" s="236"/>
      <c r="J560" s="236"/>
      <c r="K560" s="236"/>
      <c r="L560" s="236"/>
      <c r="M560" s="236"/>
      <c r="N560" s="236"/>
      <c r="O560" s="236"/>
      <c r="P560" s="236"/>
      <c r="Q560" s="236"/>
      <c r="R560" s="236"/>
      <c r="S560" s="236"/>
      <c r="T560" s="236"/>
      <c r="U560" s="236"/>
      <c r="V560" s="236"/>
      <c r="W560" s="237"/>
      <c r="X560" s="237"/>
      <c r="Y560" s="237"/>
      <c r="Z560" s="237"/>
      <c r="AA560" s="237"/>
      <c r="AB560" s="237"/>
      <c r="AC560" s="237"/>
      <c r="AD560" s="237"/>
      <c r="AE560" s="237"/>
      <c r="AF560" s="237"/>
      <c r="AG560" s="237"/>
      <c r="AH560" s="237"/>
      <c r="AI560" s="308"/>
      <c r="AJ560" s="308"/>
      <c r="AK560" s="308"/>
      <c r="AL560" s="308"/>
      <c r="AM560" s="98"/>
      <c r="AN560" s="98"/>
    </row>
    <row r="561" ht="14.25" customHeight="1">
      <c r="A561" s="179"/>
      <c r="B561" s="98"/>
      <c r="C561" s="98"/>
      <c r="D561" s="98"/>
      <c r="E561" s="98"/>
      <c r="F561" s="235"/>
      <c r="G561" s="235"/>
      <c r="H561" s="236"/>
      <c r="I561" s="236"/>
      <c r="J561" s="236"/>
      <c r="K561" s="236"/>
      <c r="L561" s="236"/>
      <c r="M561" s="236"/>
      <c r="N561" s="236"/>
      <c r="O561" s="236"/>
      <c r="P561" s="236"/>
      <c r="Q561" s="236"/>
      <c r="R561" s="236"/>
      <c r="S561" s="236"/>
      <c r="T561" s="236"/>
      <c r="U561" s="236"/>
      <c r="V561" s="236"/>
      <c r="W561" s="237"/>
      <c r="X561" s="237"/>
      <c r="Y561" s="237"/>
      <c r="Z561" s="237"/>
      <c r="AA561" s="237"/>
      <c r="AB561" s="237"/>
      <c r="AC561" s="237"/>
      <c r="AD561" s="237"/>
      <c r="AE561" s="237"/>
      <c r="AF561" s="237"/>
      <c r="AG561" s="237"/>
      <c r="AH561" s="237"/>
      <c r="AI561" s="308"/>
      <c r="AJ561" s="308"/>
      <c r="AK561" s="308"/>
      <c r="AL561" s="308"/>
      <c r="AM561" s="98"/>
      <c r="AN561" s="98"/>
    </row>
    <row r="562" ht="14.25" customHeight="1">
      <c r="A562" s="179"/>
      <c r="B562" s="98"/>
      <c r="C562" s="98"/>
      <c r="D562" s="98"/>
      <c r="E562" s="98"/>
      <c r="F562" s="235"/>
      <c r="G562" s="235"/>
      <c r="H562" s="236"/>
      <c r="I562" s="236"/>
      <c r="J562" s="236"/>
      <c r="K562" s="236"/>
      <c r="L562" s="236"/>
      <c r="M562" s="236"/>
      <c r="N562" s="236"/>
      <c r="O562" s="236"/>
      <c r="P562" s="236"/>
      <c r="Q562" s="236"/>
      <c r="R562" s="236"/>
      <c r="S562" s="236"/>
      <c r="T562" s="236"/>
      <c r="U562" s="236"/>
      <c r="V562" s="236"/>
      <c r="W562" s="237"/>
      <c r="X562" s="237"/>
      <c r="Y562" s="237"/>
      <c r="Z562" s="237"/>
      <c r="AA562" s="237"/>
      <c r="AB562" s="237"/>
      <c r="AC562" s="237"/>
      <c r="AD562" s="237"/>
      <c r="AE562" s="237"/>
      <c r="AF562" s="237"/>
      <c r="AG562" s="237"/>
      <c r="AH562" s="237"/>
      <c r="AI562" s="308"/>
      <c r="AJ562" s="308"/>
      <c r="AK562" s="308"/>
      <c r="AL562" s="308"/>
      <c r="AM562" s="98"/>
      <c r="AN562" s="98"/>
    </row>
    <row r="563" ht="14.25" customHeight="1">
      <c r="A563" s="179"/>
      <c r="B563" s="98"/>
      <c r="C563" s="98"/>
      <c r="D563" s="98"/>
      <c r="E563" s="98"/>
      <c r="F563" s="235"/>
      <c r="G563" s="235"/>
      <c r="H563" s="236"/>
      <c r="I563" s="236"/>
      <c r="J563" s="236"/>
      <c r="K563" s="236"/>
      <c r="L563" s="236"/>
      <c r="M563" s="236"/>
      <c r="N563" s="236"/>
      <c r="O563" s="236"/>
      <c r="P563" s="236"/>
      <c r="Q563" s="236"/>
      <c r="R563" s="236"/>
      <c r="S563" s="236"/>
      <c r="T563" s="236"/>
      <c r="U563" s="236"/>
      <c r="V563" s="236"/>
      <c r="W563" s="237"/>
      <c r="X563" s="237"/>
      <c r="Y563" s="237"/>
      <c r="Z563" s="237"/>
      <c r="AA563" s="237"/>
      <c r="AB563" s="237"/>
      <c r="AC563" s="237"/>
      <c r="AD563" s="237"/>
      <c r="AE563" s="237"/>
      <c r="AF563" s="237"/>
      <c r="AG563" s="237"/>
      <c r="AH563" s="237"/>
      <c r="AI563" s="308"/>
      <c r="AJ563" s="308"/>
      <c r="AK563" s="308"/>
      <c r="AL563" s="308"/>
      <c r="AM563" s="98"/>
      <c r="AN563" s="98"/>
    </row>
    <row r="564" ht="14.25" customHeight="1">
      <c r="A564" s="179"/>
      <c r="B564" s="98"/>
      <c r="C564" s="98"/>
      <c r="D564" s="98"/>
      <c r="E564" s="98"/>
      <c r="F564" s="235"/>
      <c r="G564" s="235"/>
      <c r="H564" s="236"/>
      <c r="I564" s="236"/>
      <c r="J564" s="236"/>
      <c r="K564" s="236"/>
      <c r="L564" s="236"/>
      <c r="M564" s="236"/>
      <c r="N564" s="236"/>
      <c r="O564" s="236"/>
      <c r="P564" s="236"/>
      <c r="Q564" s="236"/>
      <c r="R564" s="236"/>
      <c r="S564" s="236"/>
      <c r="T564" s="236"/>
      <c r="U564" s="236"/>
      <c r="V564" s="236"/>
      <c r="W564" s="237"/>
      <c r="X564" s="237"/>
      <c r="Y564" s="237"/>
      <c r="Z564" s="237"/>
      <c r="AA564" s="237"/>
      <c r="AB564" s="237"/>
      <c r="AC564" s="237"/>
      <c r="AD564" s="237"/>
      <c r="AE564" s="237"/>
      <c r="AF564" s="237"/>
      <c r="AG564" s="237"/>
      <c r="AH564" s="237"/>
      <c r="AI564" s="308"/>
      <c r="AJ564" s="308"/>
      <c r="AK564" s="308"/>
      <c r="AL564" s="308"/>
      <c r="AM564" s="98"/>
      <c r="AN564" s="98"/>
    </row>
    <row r="565" ht="14.25" customHeight="1">
      <c r="A565" s="179"/>
      <c r="B565" s="98"/>
      <c r="C565" s="98"/>
      <c r="D565" s="98"/>
      <c r="E565" s="98"/>
      <c r="F565" s="235"/>
      <c r="G565" s="235"/>
      <c r="H565" s="236"/>
      <c r="I565" s="236"/>
      <c r="J565" s="236"/>
      <c r="K565" s="236"/>
      <c r="L565" s="236"/>
      <c r="M565" s="236"/>
      <c r="N565" s="236"/>
      <c r="O565" s="236"/>
      <c r="P565" s="236"/>
      <c r="Q565" s="236"/>
      <c r="R565" s="236"/>
      <c r="S565" s="236"/>
      <c r="T565" s="236"/>
      <c r="U565" s="236"/>
      <c r="V565" s="236"/>
      <c r="W565" s="237"/>
      <c r="X565" s="237"/>
      <c r="Y565" s="237"/>
      <c r="Z565" s="237"/>
      <c r="AA565" s="237"/>
      <c r="AB565" s="237"/>
      <c r="AC565" s="237"/>
      <c r="AD565" s="237"/>
      <c r="AE565" s="237"/>
      <c r="AF565" s="237"/>
      <c r="AG565" s="237"/>
      <c r="AH565" s="237"/>
      <c r="AI565" s="308"/>
      <c r="AJ565" s="308"/>
      <c r="AK565" s="308"/>
      <c r="AL565" s="308"/>
      <c r="AM565" s="98"/>
      <c r="AN565" s="98"/>
    </row>
    <row r="566" ht="14.25" customHeight="1">
      <c r="A566" s="179"/>
      <c r="B566" s="98"/>
      <c r="C566" s="98"/>
      <c r="D566" s="98"/>
      <c r="E566" s="98"/>
      <c r="F566" s="235"/>
      <c r="G566" s="235"/>
      <c r="H566" s="236"/>
      <c r="I566" s="236"/>
      <c r="J566" s="236"/>
      <c r="K566" s="236"/>
      <c r="L566" s="236"/>
      <c r="M566" s="236"/>
      <c r="N566" s="236"/>
      <c r="O566" s="236"/>
      <c r="P566" s="236"/>
      <c r="Q566" s="236"/>
      <c r="R566" s="236"/>
      <c r="S566" s="236"/>
      <c r="T566" s="236"/>
      <c r="U566" s="236"/>
      <c r="V566" s="236"/>
      <c r="W566" s="237"/>
      <c r="X566" s="237"/>
      <c r="Y566" s="237"/>
      <c r="Z566" s="237"/>
      <c r="AA566" s="237"/>
      <c r="AB566" s="237"/>
      <c r="AC566" s="237"/>
      <c r="AD566" s="237"/>
      <c r="AE566" s="237"/>
      <c r="AF566" s="237"/>
      <c r="AG566" s="237"/>
      <c r="AH566" s="237"/>
      <c r="AI566" s="308"/>
      <c r="AJ566" s="308"/>
      <c r="AK566" s="308"/>
      <c r="AL566" s="308"/>
      <c r="AM566" s="98"/>
      <c r="AN566" s="98"/>
    </row>
    <row r="567" ht="14.25" customHeight="1">
      <c r="A567" s="179"/>
      <c r="B567" s="98"/>
      <c r="C567" s="98"/>
      <c r="D567" s="98"/>
      <c r="E567" s="98"/>
      <c r="F567" s="235"/>
      <c r="G567" s="235"/>
      <c r="H567" s="236"/>
      <c r="I567" s="236"/>
      <c r="J567" s="236"/>
      <c r="K567" s="236"/>
      <c r="L567" s="236"/>
      <c r="M567" s="236"/>
      <c r="N567" s="236"/>
      <c r="O567" s="236"/>
      <c r="P567" s="236"/>
      <c r="Q567" s="236"/>
      <c r="R567" s="236"/>
      <c r="S567" s="236"/>
      <c r="T567" s="236"/>
      <c r="U567" s="236"/>
      <c r="V567" s="236"/>
      <c r="W567" s="237"/>
      <c r="X567" s="237"/>
      <c r="Y567" s="237"/>
      <c r="Z567" s="237"/>
      <c r="AA567" s="237"/>
      <c r="AB567" s="237"/>
      <c r="AC567" s="237"/>
      <c r="AD567" s="237"/>
      <c r="AE567" s="237"/>
      <c r="AF567" s="237"/>
      <c r="AG567" s="237"/>
      <c r="AH567" s="237"/>
      <c r="AI567" s="308"/>
      <c r="AJ567" s="308"/>
      <c r="AK567" s="308"/>
      <c r="AL567" s="308"/>
      <c r="AM567" s="98"/>
      <c r="AN567" s="98"/>
    </row>
    <row r="568" ht="14.25" customHeight="1">
      <c r="A568" s="179"/>
      <c r="B568" s="98"/>
      <c r="C568" s="98"/>
      <c r="D568" s="98"/>
      <c r="E568" s="98"/>
      <c r="F568" s="235"/>
      <c r="G568" s="235"/>
      <c r="H568" s="236"/>
      <c r="I568" s="236"/>
      <c r="J568" s="236"/>
      <c r="K568" s="236"/>
      <c r="L568" s="236"/>
      <c r="M568" s="236"/>
      <c r="N568" s="236"/>
      <c r="O568" s="236"/>
      <c r="P568" s="236"/>
      <c r="Q568" s="236"/>
      <c r="R568" s="236"/>
      <c r="S568" s="236"/>
      <c r="T568" s="236"/>
      <c r="U568" s="236"/>
      <c r="V568" s="236"/>
      <c r="W568" s="237"/>
      <c r="X568" s="237"/>
      <c r="Y568" s="237"/>
      <c r="Z568" s="237"/>
      <c r="AA568" s="237"/>
      <c r="AB568" s="237"/>
      <c r="AC568" s="237"/>
      <c r="AD568" s="237"/>
      <c r="AE568" s="237"/>
      <c r="AF568" s="237"/>
      <c r="AG568" s="237"/>
      <c r="AH568" s="237"/>
      <c r="AI568" s="308"/>
      <c r="AJ568" s="308"/>
      <c r="AK568" s="308"/>
      <c r="AL568" s="308"/>
      <c r="AM568" s="98"/>
      <c r="AN568" s="98"/>
    </row>
    <row r="569" ht="14.25" customHeight="1">
      <c r="A569" s="179"/>
      <c r="B569" s="98"/>
      <c r="C569" s="98"/>
      <c r="D569" s="98"/>
      <c r="E569" s="98"/>
      <c r="F569" s="235"/>
      <c r="G569" s="235"/>
      <c r="H569" s="236"/>
      <c r="I569" s="236"/>
      <c r="J569" s="236"/>
      <c r="K569" s="236"/>
      <c r="L569" s="236"/>
      <c r="M569" s="236"/>
      <c r="N569" s="236"/>
      <c r="O569" s="236"/>
      <c r="P569" s="236"/>
      <c r="Q569" s="236"/>
      <c r="R569" s="236"/>
      <c r="S569" s="236"/>
      <c r="T569" s="236"/>
      <c r="U569" s="236"/>
      <c r="V569" s="236"/>
      <c r="W569" s="237"/>
      <c r="X569" s="237"/>
      <c r="Y569" s="237"/>
      <c r="Z569" s="237"/>
      <c r="AA569" s="237"/>
      <c r="AB569" s="237"/>
      <c r="AC569" s="237"/>
      <c r="AD569" s="237"/>
      <c r="AE569" s="237"/>
      <c r="AF569" s="237"/>
      <c r="AG569" s="237"/>
      <c r="AH569" s="237"/>
      <c r="AI569" s="308"/>
      <c r="AJ569" s="308"/>
      <c r="AK569" s="308"/>
      <c r="AL569" s="308"/>
      <c r="AM569" s="98"/>
      <c r="AN569" s="98"/>
    </row>
    <row r="570" ht="14.25" customHeight="1">
      <c r="A570" s="179"/>
      <c r="B570" s="98"/>
      <c r="C570" s="98"/>
      <c r="D570" s="98"/>
      <c r="E570" s="98"/>
      <c r="F570" s="235"/>
      <c r="G570" s="235"/>
      <c r="H570" s="236"/>
      <c r="I570" s="236"/>
      <c r="J570" s="236"/>
      <c r="K570" s="236"/>
      <c r="L570" s="236"/>
      <c r="M570" s="236"/>
      <c r="N570" s="236"/>
      <c r="O570" s="236"/>
      <c r="P570" s="236"/>
      <c r="Q570" s="236"/>
      <c r="R570" s="236"/>
      <c r="S570" s="236"/>
      <c r="T570" s="236"/>
      <c r="U570" s="236"/>
      <c r="V570" s="236"/>
      <c r="W570" s="237"/>
      <c r="X570" s="237"/>
      <c r="Y570" s="237"/>
      <c r="Z570" s="237"/>
      <c r="AA570" s="237"/>
      <c r="AB570" s="237"/>
      <c r="AC570" s="237"/>
      <c r="AD570" s="237"/>
      <c r="AE570" s="237"/>
      <c r="AF570" s="237"/>
      <c r="AG570" s="237"/>
      <c r="AH570" s="237"/>
      <c r="AI570" s="308"/>
      <c r="AJ570" s="308"/>
      <c r="AK570" s="308"/>
      <c r="AL570" s="308"/>
      <c r="AM570" s="98"/>
      <c r="AN570" s="98"/>
    </row>
    <row r="571" ht="14.25" customHeight="1">
      <c r="A571" s="179"/>
      <c r="B571" s="98"/>
      <c r="C571" s="98"/>
      <c r="D571" s="98"/>
      <c r="E571" s="98"/>
      <c r="F571" s="235"/>
      <c r="G571" s="235"/>
      <c r="H571" s="236"/>
      <c r="I571" s="236"/>
      <c r="J571" s="236"/>
      <c r="K571" s="236"/>
      <c r="L571" s="236"/>
      <c r="M571" s="236"/>
      <c r="N571" s="236"/>
      <c r="O571" s="236"/>
      <c r="P571" s="236"/>
      <c r="Q571" s="236"/>
      <c r="R571" s="236"/>
      <c r="S571" s="236"/>
      <c r="T571" s="236"/>
      <c r="U571" s="236"/>
      <c r="V571" s="236"/>
      <c r="W571" s="237"/>
      <c r="X571" s="237"/>
      <c r="Y571" s="237"/>
      <c r="Z571" s="237"/>
      <c r="AA571" s="237"/>
      <c r="AB571" s="237"/>
      <c r="AC571" s="237"/>
      <c r="AD571" s="237"/>
      <c r="AE571" s="237"/>
      <c r="AF571" s="237"/>
      <c r="AG571" s="237"/>
      <c r="AH571" s="237"/>
      <c r="AI571" s="308"/>
      <c r="AJ571" s="308"/>
      <c r="AK571" s="308"/>
      <c r="AL571" s="308"/>
      <c r="AM571" s="98"/>
      <c r="AN571" s="98"/>
    </row>
    <row r="572" ht="14.25" customHeight="1">
      <c r="A572" s="179"/>
      <c r="B572" s="98"/>
      <c r="C572" s="98"/>
      <c r="D572" s="98"/>
      <c r="E572" s="98"/>
      <c r="F572" s="235"/>
      <c r="G572" s="235"/>
      <c r="H572" s="236"/>
      <c r="I572" s="236"/>
      <c r="J572" s="236"/>
      <c r="K572" s="236"/>
      <c r="L572" s="236"/>
      <c r="M572" s="236"/>
      <c r="N572" s="236"/>
      <c r="O572" s="236"/>
      <c r="P572" s="236"/>
      <c r="Q572" s="236"/>
      <c r="R572" s="236"/>
      <c r="S572" s="236"/>
      <c r="T572" s="236"/>
      <c r="U572" s="236"/>
      <c r="V572" s="236"/>
      <c r="W572" s="237"/>
      <c r="X572" s="237"/>
      <c r="Y572" s="237"/>
      <c r="Z572" s="237"/>
      <c r="AA572" s="237"/>
      <c r="AB572" s="237"/>
      <c r="AC572" s="237"/>
      <c r="AD572" s="237"/>
      <c r="AE572" s="237"/>
      <c r="AF572" s="237"/>
      <c r="AG572" s="237"/>
      <c r="AH572" s="237"/>
      <c r="AI572" s="308"/>
      <c r="AJ572" s="308"/>
      <c r="AK572" s="308"/>
      <c r="AL572" s="308"/>
      <c r="AM572" s="98"/>
      <c r="AN572" s="98"/>
    </row>
    <row r="573" ht="14.25" customHeight="1">
      <c r="A573" s="179"/>
      <c r="B573" s="98"/>
      <c r="C573" s="98"/>
      <c r="D573" s="98"/>
      <c r="E573" s="98"/>
      <c r="F573" s="235"/>
      <c r="G573" s="235"/>
      <c r="H573" s="236"/>
      <c r="I573" s="236"/>
      <c r="J573" s="236"/>
      <c r="K573" s="236"/>
      <c r="L573" s="236"/>
      <c r="M573" s="236"/>
      <c r="N573" s="236"/>
      <c r="O573" s="236"/>
      <c r="P573" s="236"/>
      <c r="Q573" s="236"/>
      <c r="R573" s="236"/>
      <c r="S573" s="236"/>
      <c r="T573" s="236"/>
      <c r="U573" s="236"/>
      <c r="V573" s="236"/>
      <c r="W573" s="237"/>
      <c r="X573" s="237"/>
      <c r="Y573" s="237"/>
      <c r="Z573" s="237"/>
      <c r="AA573" s="237"/>
      <c r="AB573" s="237"/>
      <c r="AC573" s="237"/>
      <c r="AD573" s="237"/>
      <c r="AE573" s="237"/>
      <c r="AF573" s="237"/>
      <c r="AG573" s="237"/>
      <c r="AH573" s="237"/>
      <c r="AI573" s="308"/>
      <c r="AJ573" s="308"/>
      <c r="AK573" s="308"/>
      <c r="AL573" s="308"/>
      <c r="AM573" s="98"/>
      <c r="AN573" s="98"/>
    </row>
    <row r="574" ht="14.25" customHeight="1">
      <c r="A574" s="179"/>
      <c r="B574" s="98"/>
      <c r="C574" s="98"/>
      <c r="D574" s="98"/>
      <c r="E574" s="98"/>
      <c r="F574" s="235"/>
      <c r="G574" s="235"/>
      <c r="H574" s="236"/>
      <c r="I574" s="236"/>
      <c r="J574" s="236"/>
      <c r="K574" s="236"/>
      <c r="L574" s="236"/>
      <c r="M574" s="236"/>
      <c r="N574" s="236"/>
      <c r="O574" s="236"/>
      <c r="P574" s="236"/>
      <c r="Q574" s="236"/>
      <c r="R574" s="236"/>
      <c r="S574" s="236"/>
      <c r="T574" s="236"/>
      <c r="U574" s="236"/>
      <c r="V574" s="236"/>
      <c r="W574" s="237"/>
      <c r="X574" s="237"/>
      <c r="Y574" s="237"/>
      <c r="Z574" s="237"/>
      <c r="AA574" s="237"/>
      <c r="AB574" s="237"/>
      <c r="AC574" s="237"/>
      <c r="AD574" s="237"/>
      <c r="AE574" s="237"/>
      <c r="AF574" s="237"/>
      <c r="AG574" s="237"/>
      <c r="AH574" s="237"/>
      <c r="AI574" s="308"/>
      <c r="AJ574" s="308"/>
      <c r="AK574" s="308"/>
      <c r="AL574" s="308"/>
      <c r="AM574" s="98"/>
      <c r="AN574" s="98"/>
    </row>
    <row r="575" ht="14.25" customHeight="1">
      <c r="A575" s="179"/>
      <c r="B575" s="98"/>
      <c r="C575" s="98"/>
      <c r="D575" s="98"/>
      <c r="E575" s="98"/>
      <c r="F575" s="235"/>
      <c r="G575" s="235"/>
      <c r="H575" s="236"/>
      <c r="I575" s="236"/>
      <c r="J575" s="236"/>
      <c r="K575" s="236"/>
      <c r="L575" s="236"/>
      <c r="M575" s="236"/>
      <c r="N575" s="236"/>
      <c r="O575" s="236"/>
      <c r="P575" s="236"/>
      <c r="Q575" s="236"/>
      <c r="R575" s="236"/>
      <c r="S575" s="236"/>
      <c r="T575" s="236"/>
      <c r="U575" s="236"/>
      <c r="V575" s="236"/>
      <c r="W575" s="237"/>
      <c r="X575" s="237"/>
      <c r="Y575" s="237"/>
      <c r="Z575" s="237"/>
      <c r="AA575" s="237"/>
      <c r="AB575" s="237"/>
      <c r="AC575" s="237"/>
      <c r="AD575" s="237"/>
      <c r="AE575" s="237"/>
      <c r="AF575" s="237"/>
      <c r="AG575" s="237"/>
      <c r="AH575" s="237"/>
      <c r="AI575" s="308"/>
      <c r="AJ575" s="308"/>
      <c r="AK575" s="308"/>
      <c r="AL575" s="308"/>
      <c r="AM575" s="98"/>
      <c r="AN575" s="98"/>
    </row>
    <row r="576" ht="14.25" customHeight="1">
      <c r="A576" s="179"/>
      <c r="B576" s="98"/>
      <c r="C576" s="98"/>
      <c r="D576" s="98"/>
      <c r="E576" s="98"/>
      <c r="F576" s="235"/>
      <c r="G576" s="235"/>
      <c r="H576" s="236"/>
      <c r="I576" s="236"/>
      <c r="J576" s="236"/>
      <c r="K576" s="236"/>
      <c r="L576" s="236"/>
      <c r="M576" s="236"/>
      <c r="N576" s="236"/>
      <c r="O576" s="236"/>
      <c r="P576" s="236"/>
      <c r="Q576" s="236"/>
      <c r="R576" s="236"/>
      <c r="S576" s="236"/>
      <c r="T576" s="236"/>
      <c r="U576" s="236"/>
      <c r="V576" s="236"/>
      <c r="W576" s="237"/>
      <c r="X576" s="237"/>
      <c r="Y576" s="237"/>
      <c r="Z576" s="237"/>
      <c r="AA576" s="237"/>
      <c r="AB576" s="237"/>
      <c r="AC576" s="237"/>
      <c r="AD576" s="237"/>
      <c r="AE576" s="237"/>
      <c r="AF576" s="237"/>
      <c r="AG576" s="237"/>
      <c r="AH576" s="237"/>
      <c r="AI576" s="308"/>
      <c r="AJ576" s="308"/>
      <c r="AK576" s="308"/>
      <c r="AL576" s="308"/>
      <c r="AM576" s="98"/>
      <c r="AN576" s="98"/>
    </row>
    <row r="577" ht="14.25" customHeight="1">
      <c r="A577" s="179"/>
      <c r="B577" s="98"/>
      <c r="C577" s="98"/>
      <c r="D577" s="98"/>
      <c r="E577" s="98"/>
      <c r="F577" s="235"/>
      <c r="G577" s="235"/>
      <c r="H577" s="236"/>
      <c r="I577" s="236"/>
      <c r="J577" s="236"/>
      <c r="K577" s="236"/>
      <c r="L577" s="236"/>
      <c r="M577" s="236"/>
      <c r="N577" s="236"/>
      <c r="O577" s="236"/>
      <c r="P577" s="236"/>
      <c r="Q577" s="236"/>
      <c r="R577" s="236"/>
      <c r="S577" s="236"/>
      <c r="T577" s="236"/>
      <c r="U577" s="236"/>
      <c r="V577" s="236"/>
      <c r="W577" s="237"/>
      <c r="X577" s="237"/>
      <c r="Y577" s="237"/>
      <c r="Z577" s="237"/>
      <c r="AA577" s="237"/>
      <c r="AB577" s="237"/>
      <c r="AC577" s="237"/>
      <c r="AD577" s="237"/>
      <c r="AE577" s="237"/>
      <c r="AF577" s="237"/>
      <c r="AG577" s="237"/>
      <c r="AH577" s="237"/>
      <c r="AI577" s="308"/>
      <c r="AJ577" s="308"/>
      <c r="AK577" s="308"/>
      <c r="AL577" s="308"/>
      <c r="AM577" s="98"/>
      <c r="AN577" s="98"/>
    </row>
    <row r="578" ht="14.25" customHeight="1">
      <c r="A578" s="179"/>
      <c r="B578" s="98"/>
      <c r="C578" s="98"/>
      <c r="D578" s="98"/>
      <c r="E578" s="98"/>
      <c r="F578" s="235"/>
      <c r="G578" s="235"/>
      <c r="H578" s="236"/>
      <c r="I578" s="236"/>
      <c r="J578" s="236"/>
      <c r="K578" s="236"/>
      <c r="L578" s="236"/>
      <c r="M578" s="236"/>
      <c r="N578" s="236"/>
      <c r="O578" s="236"/>
      <c r="P578" s="236"/>
      <c r="Q578" s="236"/>
      <c r="R578" s="236"/>
      <c r="S578" s="236"/>
      <c r="T578" s="236"/>
      <c r="U578" s="236"/>
      <c r="V578" s="236"/>
      <c r="W578" s="237"/>
      <c r="X578" s="237"/>
      <c r="Y578" s="237"/>
      <c r="Z578" s="237"/>
      <c r="AA578" s="237"/>
      <c r="AB578" s="237"/>
      <c r="AC578" s="237"/>
      <c r="AD578" s="237"/>
      <c r="AE578" s="237"/>
      <c r="AF578" s="237"/>
      <c r="AG578" s="237"/>
      <c r="AH578" s="237"/>
      <c r="AI578" s="308"/>
      <c r="AJ578" s="308"/>
      <c r="AK578" s="308"/>
      <c r="AL578" s="308"/>
      <c r="AM578" s="98"/>
      <c r="AN578" s="98"/>
    </row>
    <row r="579" ht="14.25" customHeight="1">
      <c r="A579" s="179"/>
      <c r="B579" s="98"/>
      <c r="C579" s="98"/>
      <c r="D579" s="98"/>
      <c r="E579" s="98"/>
      <c r="F579" s="235"/>
      <c r="G579" s="235"/>
      <c r="H579" s="236"/>
      <c r="I579" s="236"/>
      <c r="J579" s="236"/>
      <c r="K579" s="236"/>
      <c r="L579" s="236"/>
      <c r="M579" s="236"/>
      <c r="N579" s="236"/>
      <c r="O579" s="236"/>
      <c r="P579" s="236"/>
      <c r="Q579" s="236"/>
      <c r="R579" s="236"/>
      <c r="S579" s="236"/>
      <c r="T579" s="236"/>
      <c r="U579" s="236"/>
      <c r="V579" s="236"/>
      <c r="W579" s="237"/>
      <c r="X579" s="237"/>
      <c r="Y579" s="237"/>
      <c r="Z579" s="237"/>
      <c r="AA579" s="237"/>
      <c r="AB579" s="237"/>
      <c r="AC579" s="237"/>
      <c r="AD579" s="237"/>
      <c r="AE579" s="237"/>
      <c r="AF579" s="237"/>
      <c r="AG579" s="237"/>
      <c r="AH579" s="237"/>
      <c r="AI579" s="308"/>
      <c r="AJ579" s="308"/>
      <c r="AK579" s="308"/>
      <c r="AL579" s="308"/>
      <c r="AM579" s="98"/>
      <c r="AN579" s="98"/>
    </row>
    <row r="580" ht="14.25" customHeight="1">
      <c r="A580" s="179"/>
      <c r="B580" s="98"/>
      <c r="C580" s="98"/>
      <c r="D580" s="98"/>
      <c r="E580" s="98"/>
      <c r="F580" s="235"/>
      <c r="G580" s="235"/>
      <c r="H580" s="236"/>
      <c r="I580" s="236"/>
      <c r="J580" s="236"/>
      <c r="K580" s="236"/>
      <c r="L580" s="236"/>
      <c r="M580" s="236"/>
      <c r="N580" s="236"/>
      <c r="O580" s="236"/>
      <c r="P580" s="236"/>
      <c r="Q580" s="236"/>
      <c r="R580" s="236"/>
      <c r="S580" s="236"/>
      <c r="T580" s="236"/>
      <c r="U580" s="236"/>
      <c r="V580" s="236"/>
      <c r="W580" s="237"/>
      <c r="X580" s="237"/>
      <c r="Y580" s="237"/>
      <c r="Z580" s="237"/>
      <c r="AA580" s="237"/>
      <c r="AB580" s="237"/>
      <c r="AC580" s="237"/>
      <c r="AD580" s="237"/>
      <c r="AE580" s="237"/>
      <c r="AF580" s="237"/>
      <c r="AG580" s="237"/>
      <c r="AH580" s="237"/>
      <c r="AI580" s="308"/>
      <c r="AJ580" s="308"/>
      <c r="AK580" s="308"/>
      <c r="AL580" s="308"/>
      <c r="AM580" s="98"/>
      <c r="AN580" s="98"/>
    </row>
    <row r="581" ht="14.25" customHeight="1">
      <c r="A581" s="179"/>
      <c r="B581" s="98"/>
      <c r="C581" s="98"/>
      <c r="D581" s="98"/>
      <c r="E581" s="98"/>
      <c r="F581" s="235"/>
      <c r="G581" s="235"/>
      <c r="H581" s="236"/>
      <c r="I581" s="236"/>
      <c r="J581" s="236"/>
      <c r="K581" s="236"/>
      <c r="L581" s="236"/>
      <c r="M581" s="236"/>
      <c r="N581" s="236"/>
      <c r="O581" s="236"/>
      <c r="P581" s="236"/>
      <c r="Q581" s="236"/>
      <c r="R581" s="236"/>
      <c r="S581" s="236"/>
      <c r="T581" s="236"/>
      <c r="U581" s="236"/>
      <c r="V581" s="236"/>
      <c r="W581" s="237"/>
      <c r="X581" s="237"/>
      <c r="Y581" s="237"/>
      <c r="Z581" s="237"/>
      <c r="AA581" s="237"/>
      <c r="AB581" s="237"/>
      <c r="AC581" s="237"/>
      <c r="AD581" s="237"/>
      <c r="AE581" s="237"/>
      <c r="AF581" s="237"/>
      <c r="AG581" s="237"/>
      <c r="AH581" s="237"/>
      <c r="AI581" s="308"/>
      <c r="AJ581" s="308"/>
      <c r="AK581" s="308"/>
      <c r="AL581" s="308"/>
      <c r="AM581" s="98"/>
      <c r="AN581" s="98"/>
    </row>
    <row r="582" ht="14.25" customHeight="1">
      <c r="A582" s="179"/>
      <c r="B582" s="98"/>
      <c r="C582" s="98"/>
      <c r="D582" s="98"/>
      <c r="E582" s="98"/>
      <c r="F582" s="235"/>
      <c r="G582" s="235"/>
      <c r="H582" s="236"/>
      <c r="I582" s="236"/>
      <c r="J582" s="236"/>
      <c r="K582" s="236"/>
      <c r="L582" s="236"/>
      <c r="M582" s="236"/>
      <c r="N582" s="236"/>
      <c r="O582" s="236"/>
      <c r="P582" s="236"/>
      <c r="Q582" s="236"/>
      <c r="R582" s="236"/>
      <c r="S582" s="236"/>
      <c r="T582" s="236"/>
      <c r="U582" s="236"/>
      <c r="V582" s="236"/>
      <c r="W582" s="237"/>
      <c r="X582" s="237"/>
      <c r="Y582" s="237"/>
      <c r="Z582" s="237"/>
      <c r="AA582" s="237"/>
      <c r="AB582" s="237"/>
      <c r="AC582" s="237"/>
      <c r="AD582" s="237"/>
      <c r="AE582" s="237"/>
      <c r="AF582" s="237"/>
      <c r="AG582" s="237"/>
      <c r="AH582" s="237"/>
      <c r="AI582" s="308"/>
      <c r="AJ582" s="308"/>
      <c r="AK582" s="308"/>
      <c r="AL582" s="308"/>
      <c r="AM582" s="98"/>
      <c r="AN582" s="98"/>
    </row>
    <row r="583" ht="14.25" customHeight="1">
      <c r="A583" s="179"/>
      <c r="B583" s="98"/>
      <c r="C583" s="98"/>
      <c r="D583" s="98"/>
      <c r="E583" s="98"/>
      <c r="F583" s="235"/>
      <c r="G583" s="235"/>
      <c r="H583" s="236"/>
      <c r="I583" s="236"/>
      <c r="J583" s="236"/>
      <c r="K583" s="236"/>
      <c r="L583" s="236"/>
      <c r="M583" s="236"/>
      <c r="N583" s="236"/>
      <c r="O583" s="236"/>
      <c r="P583" s="236"/>
      <c r="Q583" s="236"/>
      <c r="R583" s="236"/>
      <c r="S583" s="236"/>
      <c r="T583" s="236"/>
      <c r="U583" s="236"/>
      <c r="V583" s="236"/>
      <c r="W583" s="237"/>
      <c r="X583" s="237"/>
      <c r="Y583" s="237"/>
      <c r="Z583" s="237"/>
      <c r="AA583" s="237"/>
      <c r="AB583" s="237"/>
      <c r="AC583" s="237"/>
      <c r="AD583" s="237"/>
      <c r="AE583" s="237"/>
      <c r="AF583" s="237"/>
      <c r="AG583" s="237"/>
      <c r="AH583" s="237"/>
      <c r="AI583" s="308"/>
      <c r="AJ583" s="308"/>
      <c r="AK583" s="308"/>
      <c r="AL583" s="308"/>
      <c r="AM583" s="98"/>
      <c r="AN583" s="98"/>
    </row>
    <row r="584" ht="14.25" customHeight="1">
      <c r="A584" s="179"/>
      <c r="B584" s="98"/>
      <c r="C584" s="98"/>
      <c r="D584" s="98"/>
      <c r="E584" s="98"/>
      <c r="F584" s="235"/>
      <c r="G584" s="235"/>
      <c r="H584" s="236"/>
      <c r="I584" s="236"/>
      <c r="J584" s="236"/>
      <c r="K584" s="236"/>
      <c r="L584" s="236"/>
      <c r="M584" s="236"/>
      <c r="N584" s="236"/>
      <c r="O584" s="236"/>
      <c r="P584" s="236"/>
      <c r="Q584" s="236"/>
      <c r="R584" s="236"/>
      <c r="S584" s="236"/>
      <c r="T584" s="236"/>
      <c r="U584" s="236"/>
      <c r="V584" s="236"/>
      <c r="W584" s="237"/>
      <c r="X584" s="237"/>
      <c r="Y584" s="237"/>
      <c r="Z584" s="237"/>
      <c r="AA584" s="237"/>
      <c r="AB584" s="237"/>
      <c r="AC584" s="237"/>
      <c r="AD584" s="237"/>
      <c r="AE584" s="237"/>
      <c r="AF584" s="237"/>
      <c r="AG584" s="237"/>
      <c r="AH584" s="237"/>
      <c r="AI584" s="308"/>
      <c r="AJ584" s="308"/>
      <c r="AK584" s="308"/>
      <c r="AL584" s="308"/>
      <c r="AM584" s="98"/>
      <c r="AN584" s="98"/>
    </row>
    <row r="585" ht="14.25" customHeight="1">
      <c r="A585" s="179"/>
      <c r="B585" s="98"/>
      <c r="C585" s="98"/>
      <c r="D585" s="98"/>
      <c r="E585" s="98"/>
      <c r="F585" s="235"/>
      <c r="G585" s="235"/>
      <c r="H585" s="236"/>
      <c r="I585" s="236"/>
      <c r="J585" s="236"/>
      <c r="K585" s="236"/>
      <c r="L585" s="236"/>
      <c r="M585" s="236"/>
      <c r="N585" s="236"/>
      <c r="O585" s="236"/>
      <c r="P585" s="236"/>
      <c r="Q585" s="236"/>
      <c r="R585" s="236"/>
      <c r="S585" s="236"/>
      <c r="T585" s="236"/>
      <c r="U585" s="236"/>
      <c r="V585" s="236"/>
      <c r="W585" s="237"/>
      <c r="X585" s="237"/>
      <c r="Y585" s="237"/>
      <c r="Z585" s="237"/>
      <c r="AA585" s="237"/>
      <c r="AB585" s="237"/>
      <c r="AC585" s="237"/>
      <c r="AD585" s="237"/>
      <c r="AE585" s="237"/>
      <c r="AF585" s="237"/>
      <c r="AG585" s="237"/>
      <c r="AH585" s="237"/>
      <c r="AI585" s="308"/>
      <c r="AJ585" s="308"/>
      <c r="AK585" s="308"/>
      <c r="AL585" s="308"/>
      <c r="AM585" s="98"/>
      <c r="AN585" s="98"/>
    </row>
    <row r="586" ht="14.25" customHeight="1">
      <c r="A586" s="179"/>
      <c r="B586" s="98"/>
      <c r="C586" s="98"/>
      <c r="D586" s="98"/>
      <c r="E586" s="98"/>
      <c r="F586" s="235"/>
      <c r="G586" s="235"/>
      <c r="H586" s="236"/>
      <c r="I586" s="236"/>
      <c r="J586" s="236"/>
      <c r="K586" s="236"/>
      <c r="L586" s="236"/>
      <c r="M586" s="236"/>
      <c r="N586" s="236"/>
      <c r="O586" s="236"/>
      <c r="P586" s="236"/>
      <c r="Q586" s="236"/>
      <c r="R586" s="236"/>
      <c r="S586" s="236"/>
      <c r="T586" s="236"/>
      <c r="U586" s="236"/>
      <c r="V586" s="236"/>
      <c r="W586" s="237"/>
      <c r="X586" s="237"/>
      <c r="Y586" s="237"/>
      <c r="Z586" s="237"/>
      <c r="AA586" s="237"/>
      <c r="AB586" s="237"/>
      <c r="AC586" s="237"/>
      <c r="AD586" s="237"/>
      <c r="AE586" s="237"/>
      <c r="AF586" s="237"/>
      <c r="AG586" s="237"/>
      <c r="AH586" s="237"/>
      <c r="AI586" s="308"/>
      <c r="AJ586" s="308"/>
      <c r="AK586" s="308"/>
      <c r="AL586" s="308"/>
      <c r="AM586" s="98"/>
      <c r="AN586" s="98"/>
    </row>
    <row r="587" ht="14.25" customHeight="1">
      <c r="A587" s="179"/>
      <c r="B587" s="98"/>
      <c r="C587" s="98"/>
      <c r="D587" s="98"/>
      <c r="E587" s="98"/>
      <c r="F587" s="235"/>
      <c r="G587" s="235"/>
      <c r="H587" s="236"/>
      <c r="I587" s="236"/>
      <c r="J587" s="236"/>
      <c r="K587" s="236"/>
      <c r="L587" s="236"/>
      <c r="M587" s="236"/>
      <c r="N587" s="236"/>
      <c r="O587" s="236"/>
      <c r="P587" s="236"/>
      <c r="Q587" s="236"/>
      <c r="R587" s="236"/>
      <c r="S587" s="236"/>
      <c r="T587" s="236"/>
      <c r="U587" s="236"/>
      <c r="V587" s="236"/>
      <c r="W587" s="237"/>
      <c r="X587" s="237"/>
      <c r="Y587" s="237"/>
      <c r="Z587" s="237"/>
      <c r="AA587" s="237"/>
      <c r="AB587" s="237"/>
      <c r="AC587" s="237"/>
      <c r="AD587" s="237"/>
      <c r="AE587" s="237"/>
      <c r="AF587" s="237"/>
      <c r="AG587" s="237"/>
      <c r="AH587" s="237"/>
      <c r="AI587" s="308"/>
      <c r="AJ587" s="308"/>
      <c r="AK587" s="308"/>
      <c r="AL587" s="308"/>
      <c r="AM587" s="98"/>
      <c r="AN587" s="98"/>
    </row>
    <row r="588" ht="14.25" customHeight="1">
      <c r="A588" s="179"/>
      <c r="B588" s="98"/>
      <c r="C588" s="98"/>
      <c r="D588" s="98"/>
      <c r="E588" s="98"/>
      <c r="F588" s="235"/>
      <c r="G588" s="235"/>
      <c r="H588" s="236"/>
      <c r="I588" s="236"/>
      <c r="J588" s="236"/>
      <c r="K588" s="236"/>
      <c r="L588" s="236"/>
      <c r="M588" s="236"/>
      <c r="N588" s="236"/>
      <c r="O588" s="236"/>
      <c r="P588" s="236"/>
      <c r="Q588" s="236"/>
      <c r="R588" s="236"/>
      <c r="S588" s="236"/>
      <c r="T588" s="236"/>
      <c r="U588" s="236"/>
      <c r="V588" s="236"/>
      <c r="W588" s="237"/>
      <c r="X588" s="237"/>
      <c r="Y588" s="237"/>
      <c r="Z588" s="237"/>
      <c r="AA588" s="237"/>
      <c r="AB588" s="237"/>
      <c r="AC588" s="237"/>
      <c r="AD588" s="237"/>
      <c r="AE588" s="237"/>
      <c r="AF588" s="237"/>
      <c r="AG588" s="237"/>
      <c r="AH588" s="237"/>
      <c r="AI588" s="308"/>
      <c r="AJ588" s="308"/>
      <c r="AK588" s="308"/>
      <c r="AL588" s="308"/>
      <c r="AM588" s="98"/>
      <c r="AN588" s="98"/>
    </row>
    <row r="589" ht="14.25" customHeight="1">
      <c r="A589" s="179"/>
      <c r="B589" s="98"/>
      <c r="C589" s="98"/>
      <c r="D589" s="98"/>
      <c r="E589" s="98"/>
      <c r="F589" s="235"/>
      <c r="G589" s="235"/>
      <c r="H589" s="236"/>
      <c r="I589" s="236"/>
      <c r="J589" s="236"/>
      <c r="K589" s="236"/>
      <c r="L589" s="236"/>
      <c r="M589" s="236"/>
      <c r="N589" s="236"/>
      <c r="O589" s="236"/>
      <c r="P589" s="236"/>
      <c r="Q589" s="236"/>
      <c r="R589" s="236"/>
      <c r="S589" s="236"/>
      <c r="T589" s="236"/>
      <c r="U589" s="236"/>
      <c r="V589" s="236"/>
      <c r="W589" s="237"/>
      <c r="X589" s="237"/>
      <c r="Y589" s="237"/>
      <c r="Z589" s="237"/>
      <c r="AA589" s="237"/>
      <c r="AB589" s="237"/>
      <c r="AC589" s="237"/>
      <c r="AD589" s="237"/>
      <c r="AE589" s="237"/>
      <c r="AF589" s="237"/>
      <c r="AG589" s="237"/>
      <c r="AH589" s="237"/>
      <c r="AI589" s="308"/>
      <c r="AJ589" s="308"/>
      <c r="AK589" s="308"/>
      <c r="AL589" s="308"/>
      <c r="AM589" s="98"/>
      <c r="AN589" s="98"/>
    </row>
    <row r="590" ht="14.25" customHeight="1">
      <c r="A590" s="179"/>
      <c r="B590" s="98"/>
      <c r="C590" s="98"/>
      <c r="D590" s="98"/>
      <c r="E590" s="98"/>
      <c r="F590" s="235"/>
      <c r="G590" s="235"/>
      <c r="H590" s="236"/>
      <c r="I590" s="236"/>
      <c r="J590" s="236"/>
      <c r="K590" s="236"/>
      <c r="L590" s="236"/>
      <c r="M590" s="236"/>
      <c r="N590" s="236"/>
      <c r="O590" s="236"/>
      <c r="P590" s="236"/>
      <c r="Q590" s="236"/>
      <c r="R590" s="236"/>
      <c r="S590" s="236"/>
      <c r="T590" s="236"/>
      <c r="U590" s="236"/>
      <c r="V590" s="236"/>
      <c r="W590" s="237"/>
      <c r="X590" s="237"/>
      <c r="Y590" s="237"/>
      <c r="Z590" s="237"/>
      <c r="AA590" s="237"/>
      <c r="AB590" s="237"/>
      <c r="AC590" s="237"/>
      <c r="AD590" s="237"/>
      <c r="AE590" s="237"/>
      <c r="AF590" s="237"/>
      <c r="AG590" s="237"/>
      <c r="AH590" s="237"/>
      <c r="AI590" s="308"/>
      <c r="AJ590" s="308"/>
      <c r="AK590" s="308"/>
      <c r="AL590" s="308"/>
      <c r="AM590" s="98"/>
      <c r="AN590" s="98"/>
    </row>
    <row r="591" ht="14.25" customHeight="1">
      <c r="A591" s="179"/>
      <c r="B591" s="98"/>
      <c r="C591" s="98"/>
      <c r="D591" s="98"/>
      <c r="E591" s="98"/>
      <c r="F591" s="235"/>
      <c r="G591" s="235"/>
      <c r="H591" s="236"/>
      <c r="I591" s="236"/>
      <c r="J591" s="236"/>
      <c r="K591" s="236"/>
      <c r="L591" s="236"/>
      <c r="M591" s="236"/>
      <c r="N591" s="236"/>
      <c r="O591" s="236"/>
      <c r="P591" s="236"/>
      <c r="Q591" s="236"/>
      <c r="R591" s="236"/>
      <c r="S591" s="236"/>
      <c r="T591" s="236"/>
      <c r="U591" s="236"/>
      <c r="V591" s="236"/>
      <c r="W591" s="237"/>
      <c r="X591" s="237"/>
      <c r="Y591" s="237"/>
      <c r="Z591" s="237"/>
      <c r="AA591" s="237"/>
      <c r="AB591" s="237"/>
      <c r="AC591" s="237"/>
      <c r="AD591" s="237"/>
      <c r="AE591" s="237"/>
      <c r="AF591" s="237"/>
      <c r="AG591" s="237"/>
      <c r="AH591" s="237"/>
      <c r="AI591" s="308"/>
      <c r="AJ591" s="308"/>
      <c r="AK591" s="308"/>
      <c r="AL591" s="308"/>
      <c r="AM591" s="98"/>
      <c r="AN591" s="98"/>
    </row>
    <row r="592" ht="14.25" customHeight="1">
      <c r="A592" s="179"/>
      <c r="B592" s="98"/>
      <c r="C592" s="98"/>
      <c r="D592" s="98"/>
      <c r="E592" s="98"/>
      <c r="F592" s="235"/>
      <c r="G592" s="235"/>
      <c r="H592" s="236"/>
      <c r="I592" s="236"/>
      <c r="J592" s="236"/>
      <c r="K592" s="236"/>
      <c r="L592" s="236"/>
      <c r="M592" s="236"/>
      <c r="N592" s="236"/>
      <c r="O592" s="236"/>
      <c r="P592" s="236"/>
      <c r="Q592" s="236"/>
      <c r="R592" s="236"/>
      <c r="S592" s="236"/>
      <c r="T592" s="236"/>
      <c r="U592" s="236"/>
      <c r="V592" s="236"/>
      <c r="W592" s="237"/>
      <c r="X592" s="237"/>
      <c r="Y592" s="237"/>
      <c r="Z592" s="237"/>
      <c r="AA592" s="237"/>
      <c r="AB592" s="237"/>
      <c r="AC592" s="237"/>
      <c r="AD592" s="237"/>
      <c r="AE592" s="237"/>
      <c r="AF592" s="237"/>
      <c r="AG592" s="237"/>
      <c r="AH592" s="237"/>
      <c r="AI592" s="308"/>
      <c r="AJ592" s="308"/>
      <c r="AK592" s="308"/>
      <c r="AL592" s="308"/>
      <c r="AM592" s="98"/>
      <c r="AN592" s="98"/>
    </row>
    <row r="593" ht="14.25" customHeight="1">
      <c r="A593" s="179"/>
      <c r="B593" s="98"/>
      <c r="C593" s="98"/>
      <c r="D593" s="98"/>
      <c r="E593" s="98"/>
      <c r="F593" s="235"/>
      <c r="G593" s="235"/>
      <c r="H593" s="236"/>
      <c r="I593" s="236"/>
      <c r="J593" s="236"/>
      <c r="K593" s="236"/>
      <c r="L593" s="236"/>
      <c r="M593" s="236"/>
      <c r="N593" s="236"/>
      <c r="O593" s="236"/>
      <c r="P593" s="236"/>
      <c r="Q593" s="236"/>
      <c r="R593" s="236"/>
      <c r="S593" s="236"/>
      <c r="T593" s="236"/>
      <c r="U593" s="236"/>
      <c r="V593" s="236"/>
      <c r="W593" s="237"/>
      <c r="X593" s="237"/>
      <c r="Y593" s="237"/>
      <c r="Z593" s="237"/>
      <c r="AA593" s="237"/>
      <c r="AB593" s="237"/>
      <c r="AC593" s="237"/>
      <c r="AD593" s="237"/>
      <c r="AE593" s="237"/>
      <c r="AF593" s="237"/>
      <c r="AG593" s="237"/>
      <c r="AH593" s="237"/>
      <c r="AI593" s="308"/>
      <c r="AJ593" s="308"/>
      <c r="AK593" s="308"/>
      <c r="AL593" s="308"/>
      <c r="AM593" s="98"/>
      <c r="AN593" s="98"/>
    </row>
    <row r="594" ht="14.25" customHeight="1">
      <c r="A594" s="179"/>
      <c r="B594" s="98"/>
      <c r="C594" s="98"/>
      <c r="D594" s="98"/>
      <c r="E594" s="98"/>
      <c r="F594" s="235"/>
      <c r="G594" s="235"/>
      <c r="H594" s="236"/>
      <c r="I594" s="236"/>
      <c r="J594" s="236"/>
      <c r="K594" s="236"/>
      <c r="L594" s="236"/>
      <c r="M594" s="236"/>
      <c r="N594" s="236"/>
      <c r="O594" s="236"/>
      <c r="P594" s="236"/>
      <c r="Q594" s="236"/>
      <c r="R594" s="236"/>
      <c r="S594" s="236"/>
      <c r="T594" s="236"/>
      <c r="U594" s="236"/>
      <c r="V594" s="236"/>
      <c r="W594" s="237"/>
      <c r="X594" s="237"/>
      <c r="Y594" s="237"/>
      <c r="Z594" s="237"/>
      <c r="AA594" s="237"/>
      <c r="AB594" s="237"/>
      <c r="AC594" s="237"/>
      <c r="AD594" s="237"/>
      <c r="AE594" s="237"/>
      <c r="AF594" s="237"/>
      <c r="AG594" s="237"/>
      <c r="AH594" s="237"/>
      <c r="AI594" s="308"/>
      <c r="AJ594" s="308"/>
      <c r="AK594" s="308"/>
      <c r="AL594" s="308"/>
      <c r="AM594" s="98"/>
      <c r="AN594" s="98"/>
    </row>
    <row r="595" ht="14.25" customHeight="1">
      <c r="A595" s="179"/>
      <c r="B595" s="98"/>
      <c r="C595" s="98"/>
      <c r="D595" s="98"/>
      <c r="E595" s="98"/>
      <c r="F595" s="235"/>
      <c r="G595" s="235"/>
      <c r="H595" s="236"/>
      <c r="I595" s="236"/>
      <c r="J595" s="236"/>
      <c r="K595" s="236"/>
      <c r="L595" s="236"/>
      <c r="M595" s="236"/>
      <c r="N595" s="236"/>
      <c r="O595" s="236"/>
      <c r="P595" s="236"/>
      <c r="Q595" s="236"/>
      <c r="R595" s="236"/>
      <c r="S595" s="236"/>
      <c r="T595" s="236"/>
      <c r="U595" s="236"/>
      <c r="V595" s="236"/>
      <c r="W595" s="237"/>
      <c r="X595" s="237"/>
      <c r="Y595" s="237"/>
      <c r="Z595" s="237"/>
      <c r="AA595" s="237"/>
      <c r="AB595" s="237"/>
      <c r="AC595" s="237"/>
      <c r="AD595" s="237"/>
      <c r="AE595" s="237"/>
      <c r="AF595" s="237"/>
      <c r="AG595" s="237"/>
      <c r="AH595" s="237"/>
      <c r="AI595" s="308"/>
      <c r="AJ595" s="308"/>
      <c r="AK595" s="308"/>
      <c r="AL595" s="308"/>
      <c r="AM595" s="98"/>
      <c r="AN595" s="98"/>
    </row>
    <row r="596" ht="14.25" customHeight="1">
      <c r="A596" s="179"/>
      <c r="B596" s="98"/>
      <c r="C596" s="98"/>
      <c r="D596" s="98"/>
      <c r="E596" s="98"/>
      <c r="F596" s="235"/>
      <c r="G596" s="235"/>
      <c r="H596" s="236"/>
      <c r="I596" s="236"/>
      <c r="J596" s="236"/>
      <c r="K596" s="236"/>
      <c r="L596" s="236"/>
      <c r="M596" s="236"/>
      <c r="N596" s="236"/>
      <c r="O596" s="236"/>
      <c r="P596" s="236"/>
      <c r="Q596" s="236"/>
      <c r="R596" s="236"/>
      <c r="S596" s="236"/>
      <c r="T596" s="236"/>
      <c r="U596" s="236"/>
      <c r="V596" s="236"/>
      <c r="W596" s="237"/>
      <c r="X596" s="237"/>
      <c r="Y596" s="237"/>
      <c r="Z596" s="237"/>
      <c r="AA596" s="237"/>
      <c r="AB596" s="237"/>
      <c r="AC596" s="237"/>
      <c r="AD596" s="237"/>
      <c r="AE596" s="237"/>
      <c r="AF596" s="237"/>
      <c r="AG596" s="237"/>
      <c r="AH596" s="237"/>
      <c r="AI596" s="308"/>
      <c r="AJ596" s="308"/>
      <c r="AK596" s="308"/>
      <c r="AL596" s="308"/>
      <c r="AM596" s="98"/>
      <c r="AN596" s="98"/>
    </row>
    <row r="597" ht="14.25" customHeight="1">
      <c r="A597" s="179"/>
      <c r="B597" s="98"/>
      <c r="C597" s="98"/>
      <c r="D597" s="98"/>
      <c r="E597" s="98"/>
      <c r="F597" s="235"/>
      <c r="G597" s="235"/>
      <c r="H597" s="236"/>
      <c r="I597" s="236"/>
      <c r="J597" s="236"/>
      <c r="K597" s="236"/>
      <c r="L597" s="236"/>
      <c r="M597" s="236"/>
      <c r="N597" s="236"/>
      <c r="O597" s="236"/>
      <c r="P597" s="236"/>
      <c r="Q597" s="236"/>
      <c r="R597" s="236"/>
      <c r="S597" s="236"/>
      <c r="T597" s="236"/>
      <c r="U597" s="236"/>
      <c r="V597" s="236"/>
      <c r="W597" s="237"/>
      <c r="X597" s="237"/>
      <c r="Y597" s="237"/>
      <c r="Z597" s="237"/>
      <c r="AA597" s="237"/>
      <c r="AB597" s="237"/>
      <c r="AC597" s="237"/>
      <c r="AD597" s="237"/>
      <c r="AE597" s="237"/>
      <c r="AF597" s="237"/>
      <c r="AG597" s="237"/>
      <c r="AH597" s="237"/>
      <c r="AI597" s="308"/>
      <c r="AJ597" s="308"/>
      <c r="AK597" s="308"/>
      <c r="AL597" s="308"/>
      <c r="AM597" s="98"/>
      <c r="AN597" s="98"/>
    </row>
    <row r="598" ht="14.25" customHeight="1">
      <c r="A598" s="179"/>
      <c r="B598" s="98"/>
      <c r="C598" s="98"/>
      <c r="D598" s="98"/>
      <c r="E598" s="98"/>
      <c r="F598" s="235"/>
      <c r="G598" s="235"/>
      <c r="H598" s="236"/>
      <c r="I598" s="236"/>
      <c r="J598" s="236"/>
      <c r="K598" s="236"/>
      <c r="L598" s="236"/>
      <c r="M598" s="236"/>
      <c r="N598" s="236"/>
      <c r="O598" s="236"/>
      <c r="P598" s="236"/>
      <c r="Q598" s="236"/>
      <c r="R598" s="236"/>
      <c r="S598" s="236"/>
      <c r="T598" s="236"/>
      <c r="U598" s="236"/>
      <c r="V598" s="236"/>
      <c r="W598" s="237"/>
      <c r="X598" s="237"/>
      <c r="Y598" s="237"/>
      <c r="Z598" s="237"/>
      <c r="AA598" s="237"/>
      <c r="AB598" s="237"/>
      <c r="AC598" s="237"/>
      <c r="AD598" s="237"/>
      <c r="AE598" s="237"/>
      <c r="AF598" s="237"/>
      <c r="AG598" s="237"/>
      <c r="AH598" s="237"/>
      <c r="AI598" s="308"/>
      <c r="AJ598" s="308"/>
      <c r="AK598" s="308"/>
      <c r="AL598" s="308"/>
      <c r="AM598" s="98"/>
      <c r="AN598" s="98"/>
    </row>
    <row r="599" ht="14.25" customHeight="1">
      <c r="A599" s="179"/>
      <c r="B599" s="98"/>
      <c r="C599" s="98"/>
      <c r="D599" s="98"/>
      <c r="E599" s="98"/>
      <c r="F599" s="235"/>
      <c r="G599" s="235"/>
      <c r="H599" s="236"/>
      <c r="I599" s="236"/>
      <c r="J599" s="236"/>
      <c r="K599" s="236"/>
      <c r="L599" s="236"/>
      <c r="M599" s="236"/>
      <c r="N599" s="236"/>
      <c r="O599" s="236"/>
      <c r="P599" s="236"/>
      <c r="Q599" s="236"/>
      <c r="R599" s="236"/>
      <c r="S599" s="236"/>
      <c r="T599" s="236"/>
      <c r="U599" s="236"/>
      <c r="V599" s="236"/>
      <c r="W599" s="237"/>
      <c r="X599" s="237"/>
      <c r="Y599" s="237"/>
      <c r="Z599" s="237"/>
      <c r="AA599" s="237"/>
      <c r="AB599" s="237"/>
      <c r="AC599" s="237"/>
      <c r="AD599" s="237"/>
      <c r="AE599" s="237"/>
      <c r="AF599" s="237"/>
      <c r="AG599" s="237"/>
      <c r="AH599" s="237"/>
      <c r="AI599" s="308"/>
      <c r="AJ599" s="308"/>
      <c r="AK599" s="308"/>
      <c r="AL599" s="308"/>
      <c r="AM599" s="98"/>
      <c r="AN599" s="98"/>
    </row>
    <row r="600" ht="14.25" customHeight="1">
      <c r="A600" s="179"/>
      <c r="B600" s="98"/>
      <c r="C600" s="98"/>
      <c r="D600" s="98"/>
      <c r="E600" s="98"/>
      <c r="F600" s="235"/>
      <c r="G600" s="235"/>
      <c r="H600" s="236"/>
      <c r="I600" s="236"/>
      <c r="J600" s="236"/>
      <c r="K600" s="236"/>
      <c r="L600" s="236"/>
      <c r="M600" s="236"/>
      <c r="N600" s="236"/>
      <c r="O600" s="236"/>
      <c r="P600" s="236"/>
      <c r="Q600" s="236"/>
      <c r="R600" s="236"/>
      <c r="S600" s="236"/>
      <c r="T600" s="236"/>
      <c r="U600" s="236"/>
      <c r="V600" s="236"/>
      <c r="W600" s="237"/>
      <c r="X600" s="237"/>
      <c r="Y600" s="237"/>
      <c r="Z600" s="237"/>
      <c r="AA600" s="237"/>
      <c r="AB600" s="237"/>
      <c r="AC600" s="237"/>
      <c r="AD600" s="237"/>
      <c r="AE600" s="237"/>
      <c r="AF600" s="237"/>
      <c r="AG600" s="237"/>
      <c r="AH600" s="237"/>
      <c r="AI600" s="308"/>
      <c r="AJ600" s="308"/>
      <c r="AK600" s="308"/>
      <c r="AL600" s="308"/>
      <c r="AM600" s="98"/>
      <c r="AN600" s="98"/>
    </row>
    <row r="601" ht="14.25" customHeight="1">
      <c r="A601" s="179"/>
      <c r="B601" s="98"/>
      <c r="C601" s="98"/>
      <c r="D601" s="98"/>
      <c r="E601" s="98"/>
      <c r="F601" s="235"/>
      <c r="G601" s="235"/>
      <c r="H601" s="236"/>
      <c r="I601" s="236"/>
      <c r="J601" s="236"/>
      <c r="K601" s="236"/>
      <c r="L601" s="236"/>
      <c r="M601" s="236"/>
      <c r="N601" s="236"/>
      <c r="O601" s="236"/>
      <c r="P601" s="236"/>
      <c r="Q601" s="236"/>
      <c r="R601" s="236"/>
      <c r="S601" s="236"/>
      <c r="T601" s="236"/>
      <c r="U601" s="236"/>
      <c r="V601" s="236"/>
      <c r="W601" s="237"/>
      <c r="X601" s="237"/>
      <c r="Y601" s="237"/>
      <c r="Z601" s="237"/>
      <c r="AA601" s="237"/>
      <c r="AB601" s="237"/>
      <c r="AC601" s="237"/>
      <c r="AD601" s="237"/>
      <c r="AE601" s="237"/>
      <c r="AF601" s="237"/>
      <c r="AG601" s="237"/>
      <c r="AH601" s="237"/>
      <c r="AI601" s="308"/>
      <c r="AJ601" s="308"/>
      <c r="AK601" s="308"/>
      <c r="AL601" s="308"/>
      <c r="AM601" s="98"/>
      <c r="AN601" s="98"/>
    </row>
    <row r="602" ht="14.25" customHeight="1">
      <c r="A602" s="179"/>
      <c r="B602" s="98"/>
      <c r="C602" s="98"/>
      <c r="D602" s="98"/>
      <c r="E602" s="98"/>
      <c r="F602" s="235"/>
      <c r="G602" s="235"/>
      <c r="H602" s="236"/>
      <c r="I602" s="236"/>
      <c r="J602" s="236"/>
      <c r="K602" s="236"/>
      <c r="L602" s="236"/>
      <c r="M602" s="236"/>
      <c r="N602" s="236"/>
      <c r="O602" s="236"/>
      <c r="P602" s="236"/>
      <c r="Q602" s="236"/>
      <c r="R602" s="236"/>
      <c r="S602" s="236"/>
      <c r="T602" s="236"/>
      <c r="U602" s="236"/>
      <c r="V602" s="236"/>
      <c r="W602" s="237"/>
      <c r="X602" s="237"/>
      <c r="Y602" s="237"/>
      <c r="Z602" s="237"/>
      <c r="AA602" s="237"/>
      <c r="AB602" s="237"/>
      <c r="AC602" s="237"/>
      <c r="AD602" s="237"/>
      <c r="AE602" s="237"/>
      <c r="AF602" s="237"/>
      <c r="AG602" s="237"/>
      <c r="AH602" s="237"/>
      <c r="AI602" s="308"/>
      <c r="AJ602" s="308"/>
      <c r="AK602" s="308"/>
      <c r="AL602" s="308"/>
      <c r="AM602" s="98"/>
      <c r="AN602" s="98"/>
    </row>
    <row r="603" ht="14.25" customHeight="1">
      <c r="A603" s="179"/>
      <c r="B603" s="98"/>
      <c r="C603" s="98"/>
      <c r="D603" s="98"/>
      <c r="E603" s="98"/>
      <c r="F603" s="235"/>
      <c r="G603" s="235"/>
      <c r="H603" s="236"/>
      <c r="I603" s="236"/>
      <c r="J603" s="236"/>
      <c r="K603" s="236"/>
      <c r="L603" s="236"/>
      <c r="M603" s="236"/>
      <c r="N603" s="236"/>
      <c r="O603" s="236"/>
      <c r="P603" s="236"/>
      <c r="Q603" s="236"/>
      <c r="R603" s="236"/>
      <c r="S603" s="236"/>
      <c r="T603" s="236"/>
      <c r="U603" s="236"/>
      <c r="V603" s="236"/>
      <c r="W603" s="237"/>
      <c r="X603" s="237"/>
      <c r="Y603" s="237"/>
      <c r="Z603" s="237"/>
      <c r="AA603" s="237"/>
      <c r="AB603" s="237"/>
      <c r="AC603" s="237"/>
      <c r="AD603" s="237"/>
      <c r="AE603" s="237"/>
      <c r="AF603" s="237"/>
      <c r="AG603" s="237"/>
      <c r="AH603" s="237"/>
      <c r="AI603" s="308"/>
      <c r="AJ603" s="308"/>
      <c r="AK603" s="308"/>
      <c r="AL603" s="308"/>
      <c r="AM603" s="98"/>
      <c r="AN603" s="98"/>
    </row>
    <row r="604" ht="14.25" customHeight="1">
      <c r="A604" s="179"/>
      <c r="B604" s="98"/>
      <c r="C604" s="98"/>
      <c r="D604" s="98"/>
      <c r="E604" s="98"/>
      <c r="F604" s="235"/>
      <c r="G604" s="235"/>
      <c r="H604" s="236"/>
      <c r="I604" s="236"/>
      <c r="J604" s="236"/>
      <c r="K604" s="236"/>
      <c r="L604" s="236"/>
      <c r="M604" s="236"/>
      <c r="N604" s="236"/>
      <c r="O604" s="236"/>
      <c r="P604" s="236"/>
      <c r="Q604" s="236"/>
      <c r="R604" s="236"/>
      <c r="S604" s="236"/>
      <c r="T604" s="236"/>
      <c r="U604" s="236"/>
      <c r="V604" s="236"/>
      <c r="W604" s="237"/>
      <c r="X604" s="237"/>
      <c r="Y604" s="237"/>
      <c r="Z604" s="237"/>
      <c r="AA604" s="237"/>
      <c r="AB604" s="237"/>
      <c r="AC604" s="237"/>
      <c r="AD604" s="237"/>
      <c r="AE604" s="237"/>
      <c r="AF604" s="237"/>
      <c r="AG604" s="237"/>
      <c r="AH604" s="237"/>
      <c r="AI604" s="308"/>
      <c r="AJ604" s="308"/>
      <c r="AK604" s="308"/>
      <c r="AL604" s="308"/>
      <c r="AM604" s="98"/>
      <c r="AN604" s="98"/>
    </row>
    <row r="605" ht="14.25" customHeight="1">
      <c r="A605" s="179"/>
      <c r="B605" s="98"/>
      <c r="C605" s="98"/>
      <c r="D605" s="98"/>
      <c r="E605" s="98"/>
      <c r="F605" s="235"/>
      <c r="G605" s="235"/>
      <c r="H605" s="236"/>
      <c r="I605" s="236"/>
      <c r="J605" s="236"/>
      <c r="K605" s="236"/>
      <c r="L605" s="236"/>
      <c r="M605" s="236"/>
      <c r="N605" s="236"/>
      <c r="O605" s="236"/>
      <c r="P605" s="236"/>
      <c r="Q605" s="236"/>
      <c r="R605" s="236"/>
      <c r="S605" s="236"/>
      <c r="T605" s="236"/>
      <c r="U605" s="236"/>
      <c r="V605" s="236"/>
      <c r="W605" s="237"/>
      <c r="X605" s="237"/>
      <c r="Y605" s="237"/>
      <c r="Z605" s="237"/>
      <c r="AA605" s="237"/>
      <c r="AB605" s="237"/>
      <c r="AC605" s="237"/>
      <c r="AD605" s="237"/>
      <c r="AE605" s="237"/>
      <c r="AF605" s="237"/>
      <c r="AG605" s="237"/>
      <c r="AH605" s="237"/>
      <c r="AI605" s="308"/>
      <c r="AJ605" s="308"/>
      <c r="AK605" s="308"/>
      <c r="AL605" s="308"/>
      <c r="AM605" s="98"/>
      <c r="AN605" s="98"/>
    </row>
    <row r="606" ht="14.25" customHeight="1">
      <c r="A606" s="179"/>
      <c r="B606" s="98"/>
      <c r="C606" s="98"/>
      <c r="D606" s="98"/>
      <c r="E606" s="98"/>
      <c r="F606" s="235"/>
      <c r="G606" s="235"/>
      <c r="H606" s="236"/>
      <c r="I606" s="236"/>
      <c r="J606" s="236"/>
      <c r="K606" s="236"/>
      <c r="L606" s="236"/>
      <c r="M606" s="236"/>
      <c r="N606" s="236"/>
      <c r="O606" s="236"/>
      <c r="P606" s="236"/>
      <c r="Q606" s="236"/>
      <c r="R606" s="236"/>
      <c r="S606" s="236"/>
      <c r="T606" s="236"/>
      <c r="U606" s="236"/>
      <c r="V606" s="236"/>
      <c r="W606" s="237"/>
      <c r="X606" s="237"/>
      <c r="Y606" s="237"/>
      <c r="Z606" s="237"/>
      <c r="AA606" s="237"/>
      <c r="AB606" s="237"/>
      <c r="AC606" s="237"/>
      <c r="AD606" s="237"/>
      <c r="AE606" s="237"/>
      <c r="AF606" s="237"/>
      <c r="AG606" s="237"/>
      <c r="AH606" s="237"/>
      <c r="AI606" s="308"/>
      <c r="AJ606" s="308"/>
      <c r="AK606" s="308"/>
      <c r="AL606" s="308"/>
      <c r="AM606" s="98"/>
      <c r="AN606" s="98"/>
    </row>
    <row r="607" ht="14.25" customHeight="1">
      <c r="A607" s="179"/>
      <c r="B607" s="98"/>
      <c r="C607" s="98"/>
      <c r="D607" s="98"/>
      <c r="E607" s="98"/>
      <c r="F607" s="235"/>
      <c r="G607" s="235"/>
      <c r="H607" s="236"/>
      <c r="I607" s="236"/>
      <c r="J607" s="236"/>
      <c r="K607" s="236"/>
      <c r="L607" s="236"/>
      <c r="M607" s="236"/>
      <c r="N607" s="236"/>
      <c r="O607" s="236"/>
      <c r="P607" s="236"/>
      <c r="Q607" s="236"/>
      <c r="R607" s="236"/>
      <c r="S607" s="236"/>
      <c r="T607" s="236"/>
      <c r="U607" s="236"/>
      <c r="V607" s="236"/>
      <c r="W607" s="237"/>
      <c r="X607" s="237"/>
      <c r="Y607" s="237"/>
      <c r="Z607" s="237"/>
      <c r="AA607" s="237"/>
      <c r="AB607" s="237"/>
      <c r="AC607" s="237"/>
      <c r="AD607" s="237"/>
      <c r="AE607" s="237"/>
      <c r="AF607" s="237"/>
      <c r="AG607" s="237"/>
      <c r="AH607" s="237"/>
      <c r="AI607" s="308"/>
      <c r="AJ607" s="308"/>
      <c r="AK607" s="308"/>
      <c r="AL607" s="308"/>
      <c r="AM607" s="98"/>
      <c r="AN607" s="98"/>
    </row>
    <row r="608" ht="14.25" customHeight="1">
      <c r="A608" s="179"/>
      <c r="B608" s="98"/>
      <c r="C608" s="98"/>
      <c r="D608" s="98"/>
      <c r="E608" s="98"/>
      <c r="F608" s="235"/>
      <c r="G608" s="235"/>
      <c r="H608" s="236"/>
      <c r="I608" s="236"/>
      <c r="J608" s="236"/>
      <c r="K608" s="236"/>
      <c r="L608" s="236"/>
      <c r="M608" s="236"/>
      <c r="N608" s="236"/>
      <c r="O608" s="236"/>
      <c r="P608" s="236"/>
      <c r="Q608" s="236"/>
      <c r="R608" s="236"/>
      <c r="S608" s="236"/>
      <c r="T608" s="236"/>
      <c r="U608" s="236"/>
      <c r="V608" s="236"/>
      <c r="W608" s="237"/>
      <c r="X608" s="237"/>
      <c r="Y608" s="237"/>
      <c r="Z608" s="237"/>
      <c r="AA608" s="237"/>
      <c r="AB608" s="237"/>
      <c r="AC608" s="237"/>
      <c r="AD608" s="237"/>
      <c r="AE608" s="237"/>
      <c r="AF608" s="237"/>
      <c r="AG608" s="237"/>
      <c r="AH608" s="237"/>
      <c r="AI608" s="308"/>
      <c r="AJ608" s="308"/>
      <c r="AK608" s="308"/>
      <c r="AL608" s="308"/>
      <c r="AM608" s="98"/>
      <c r="AN608" s="98"/>
    </row>
    <row r="609" ht="14.25" customHeight="1">
      <c r="A609" s="179"/>
      <c r="B609" s="98"/>
      <c r="C609" s="98"/>
      <c r="D609" s="98"/>
      <c r="E609" s="98"/>
      <c r="F609" s="235"/>
      <c r="G609" s="235"/>
      <c r="H609" s="236"/>
      <c r="I609" s="236"/>
      <c r="J609" s="236"/>
      <c r="K609" s="236"/>
      <c r="L609" s="236"/>
      <c r="M609" s="236"/>
      <c r="N609" s="236"/>
      <c r="O609" s="236"/>
      <c r="P609" s="236"/>
      <c r="Q609" s="236"/>
      <c r="R609" s="236"/>
      <c r="S609" s="236"/>
      <c r="T609" s="236"/>
      <c r="U609" s="236"/>
      <c r="V609" s="236"/>
      <c r="W609" s="237"/>
      <c r="X609" s="237"/>
      <c r="Y609" s="237"/>
      <c r="Z609" s="237"/>
      <c r="AA609" s="237"/>
      <c r="AB609" s="237"/>
      <c r="AC609" s="237"/>
      <c r="AD609" s="237"/>
      <c r="AE609" s="237"/>
      <c r="AF609" s="237"/>
      <c r="AG609" s="237"/>
      <c r="AH609" s="237"/>
      <c r="AI609" s="308"/>
      <c r="AJ609" s="308"/>
      <c r="AK609" s="308"/>
      <c r="AL609" s="308"/>
      <c r="AM609" s="98"/>
      <c r="AN609" s="98"/>
    </row>
    <row r="610" ht="14.25" customHeight="1">
      <c r="A610" s="179"/>
      <c r="B610" s="98"/>
      <c r="C610" s="98"/>
      <c r="D610" s="98"/>
      <c r="E610" s="98"/>
      <c r="F610" s="235"/>
      <c r="G610" s="235"/>
      <c r="H610" s="236"/>
      <c r="I610" s="236"/>
      <c r="J610" s="236"/>
      <c r="K610" s="236"/>
      <c r="L610" s="236"/>
      <c r="M610" s="236"/>
      <c r="N610" s="236"/>
      <c r="O610" s="236"/>
      <c r="P610" s="236"/>
      <c r="Q610" s="236"/>
      <c r="R610" s="236"/>
      <c r="S610" s="236"/>
      <c r="T610" s="236"/>
      <c r="U610" s="236"/>
      <c r="V610" s="236"/>
      <c r="W610" s="237"/>
      <c r="X610" s="237"/>
      <c r="Y610" s="237"/>
      <c r="Z610" s="237"/>
      <c r="AA610" s="237"/>
      <c r="AB610" s="237"/>
      <c r="AC610" s="237"/>
      <c r="AD610" s="237"/>
      <c r="AE610" s="237"/>
      <c r="AF610" s="237"/>
      <c r="AG610" s="237"/>
      <c r="AH610" s="237"/>
      <c r="AI610" s="308"/>
      <c r="AJ610" s="308"/>
      <c r="AK610" s="308"/>
      <c r="AL610" s="308"/>
      <c r="AM610" s="98"/>
      <c r="AN610" s="98"/>
    </row>
    <row r="611" ht="14.25" customHeight="1">
      <c r="A611" s="179"/>
      <c r="B611" s="98"/>
      <c r="C611" s="98"/>
      <c r="D611" s="98"/>
      <c r="E611" s="98"/>
      <c r="F611" s="235"/>
      <c r="G611" s="235"/>
      <c r="H611" s="236"/>
      <c r="I611" s="236"/>
      <c r="J611" s="236"/>
      <c r="K611" s="236"/>
      <c r="L611" s="236"/>
      <c r="M611" s="236"/>
      <c r="N611" s="236"/>
      <c r="O611" s="236"/>
      <c r="P611" s="236"/>
      <c r="Q611" s="236"/>
      <c r="R611" s="236"/>
      <c r="S611" s="236"/>
      <c r="T611" s="236"/>
      <c r="U611" s="236"/>
      <c r="V611" s="236"/>
      <c r="W611" s="237"/>
      <c r="X611" s="237"/>
      <c r="Y611" s="237"/>
      <c r="Z611" s="237"/>
      <c r="AA611" s="237"/>
      <c r="AB611" s="237"/>
      <c r="AC611" s="237"/>
      <c r="AD611" s="237"/>
      <c r="AE611" s="237"/>
      <c r="AF611" s="237"/>
      <c r="AG611" s="237"/>
      <c r="AH611" s="237"/>
      <c r="AI611" s="308"/>
      <c r="AJ611" s="308"/>
      <c r="AK611" s="308"/>
      <c r="AL611" s="308"/>
      <c r="AM611" s="98"/>
      <c r="AN611" s="98"/>
    </row>
    <row r="612" ht="14.25" customHeight="1">
      <c r="A612" s="179"/>
      <c r="B612" s="98"/>
      <c r="C612" s="98"/>
      <c r="D612" s="98"/>
      <c r="E612" s="98"/>
      <c r="F612" s="235"/>
      <c r="G612" s="235"/>
      <c r="H612" s="236"/>
      <c r="I612" s="236"/>
      <c r="J612" s="236"/>
      <c r="K612" s="236"/>
      <c r="L612" s="236"/>
      <c r="M612" s="236"/>
      <c r="N612" s="236"/>
      <c r="O612" s="236"/>
      <c r="P612" s="236"/>
      <c r="Q612" s="236"/>
      <c r="R612" s="236"/>
      <c r="S612" s="236"/>
      <c r="T612" s="236"/>
      <c r="U612" s="236"/>
      <c r="V612" s="236"/>
      <c r="W612" s="237"/>
      <c r="X612" s="237"/>
      <c r="Y612" s="237"/>
      <c r="Z612" s="237"/>
      <c r="AA612" s="237"/>
      <c r="AB612" s="237"/>
      <c r="AC612" s="237"/>
      <c r="AD612" s="237"/>
      <c r="AE612" s="237"/>
      <c r="AF612" s="237"/>
      <c r="AG612" s="237"/>
      <c r="AH612" s="237"/>
      <c r="AI612" s="308"/>
      <c r="AJ612" s="308"/>
      <c r="AK612" s="308"/>
      <c r="AL612" s="308"/>
      <c r="AM612" s="98"/>
      <c r="AN612" s="98"/>
    </row>
    <row r="613" ht="14.25" customHeight="1">
      <c r="A613" s="179"/>
      <c r="B613" s="98"/>
      <c r="C613" s="98"/>
      <c r="D613" s="98"/>
      <c r="E613" s="98"/>
      <c r="F613" s="235"/>
      <c r="G613" s="235"/>
      <c r="H613" s="236"/>
      <c r="I613" s="236"/>
      <c r="J613" s="236"/>
      <c r="K613" s="236"/>
      <c r="L613" s="236"/>
      <c r="M613" s="236"/>
      <c r="N613" s="236"/>
      <c r="O613" s="236"/>
      <c r="P613" s="236"/>
      <c r="Q613" s="236"/>
      <c r="R613" s="236"/>
      <c r="S613" s="236"/>
      <c r="T613" s="236"/>
      <c r="U613" s="236"/>
      <c r="V613" s="236"/>
      <c r="W613" s="237"/>
      <c r="X613" s="237"/>
      <c r="Y613" s="237"/>
      <c r="Z613" s="237"/>
      <c r="AA613" s="237"/>
      <c r="AB613" s="237"/>
      <c r="AC613" s="237"/>
      <c r="AD613" s="237"/>
      <c r="AE613" s="237"/>
      <c r="AF613" s="237"/>
      <c r="AG613" s="237"/>
      <c r="AH613" s="237"/>
      <c r="AI613" s="308"/>
      <c r="AJ613" s="308"/>
      <c r="AK613" s="308"/>
      <c r="AL613" s="308"/>
      <c r="AM613" s="98"/>
      <c r="AN613" s="98"/>
    </row>
    <row r="614" ht="14.25" customHeight="1">
      <c r="A614" s="179"/>
      <c r="B614" s="98"/>
      <c r="C614" s="98"/>
      <c r="D614" s="98"/>
      <c r="E614" s="98"/>
      <c r="F614" s="235"/>
      <c r="G614" s="235"/>
      <c r="H614" s="236"/>
      <c r="I614" s="236"/>
      <c r="J614" s="236"/>
      <c r="K614" s="236"/>
      <c r="L614" s="236"/>
      <c r="M614" s="236"/>
      <c r="N614" s="236"/>
      <c r="O614" s="236"/>
      <c r="P614" s="236"/>
      <c r="Q614" s="236"/>
      <c r="R614" s="236"/>
      <c r="S614" s="236"/>
      <c r="T614" s="236"/>
      <c r="U614" s="236"/>
      <c r="V614" s="236"/>
      <c r="W614" s="237"/>
      <c r="X614" s="237"/>
      <c r="Y614" s="237"/>
      <c r="Z614" s="237"/>
      <c r="AA614" s="237"/>
      <c r="AB614" s="237"/>
      <c r="AC614" s="237"/>
      <c r="AD614" s="237"/>
      <c r="AE614" s="237"/>
      <c r="AF614" s="237"/>
      <c r="AG614" s="237"/>
      <c r="AH614" s="237"/>
      <c r="AI614" s="308"/>
      <c r="AJ614" s="308"/>
      <c r="AK614" s="308"/>
      <c r="AL614" s="308"/>
      <c r="AM614" s="98"/>
      <c r="AN614" s="98"/>
    </row>
    <row r="615" ht="14.25" customHeight="1">
      <c r="A615" s="179"/>
      <c r="B615" s="98"/>
      <c r="C615" s="98"/>
      <c r="D615" s="98"/>
      <c r="E615" s="98"/>
      <c r="F615" s="235"/>
      <c r="G615" s="235"/>
      <c r="H615" s="236"/>
      <c r="I615" s="236"/>
      <c r="J615" s="236"/>
      <c r="K615" s="236"/>
      <c r="L615" s="236"/>
      <c r="M615" s="236"/>
      <c r="N615" s="236"/>
      <c r="O615" s="236"/>
      <c r="P615" s="236"/>
      <c r="Q615" s="236"/>
      <c r="R615" s="236"/>
      <c r="S615" s="236"/>
      <c r="T615" s="236"/>
      <c r="U615" s="236"/>
      <c r="V615" s="236"/>
      <c r="W615" s="237"/>
      <c r="X615" s="237"/>
      <c r="Y615" s="237"/>
      <c r="Z615" s="237"/>
      <c r="AA615" s="237"/>
      <c r="AB615" s="237"/>
      <c r="AC615" s="237"/>
      <c r="AD615" s="237"/>
      <c r="AE615" s="237"/>
      <c r="AF615" s="237"/>
      <c r="AG615" s="237"/>
      <c r="AH615" s="237"/>
      <c r="AI615" s="308"/>
      <c r="AJ615" s="308"/>
      <c r="AK615" s="308"/>
      <c r="AL615" s="308"/>
      <c r="AM615" s="98"/>
      <c r="AN615" s="98"/>
    </row>
    <row r="616" ht="14.25" customHeight="1">
      <c r="A616" s="179"/>
      <c r="B616" s="98"/>
      <c r="C616" s="98"/>
      <c r="D616" s="98"/>
      <c r="E616" s="98"/>
      <c r="F616" s="235"/>
      <c r="G616" s="235"/>
      <c r="H616" s="236"/>
      <c r="I616" s="236"/>
      <c r="J616" s="236"/>
      <c r="K616" s="236"/>
      <c r="L616" s="236"/>
      <c r="M616" s="236"/>
      <c r="N616" s="236"/>
      <c r="O616" s="236"/>
      <c r="P616" s="236"/>
      <c r="Q616" s="236"/>
      <c r="R616" s="236"/>
      <c r="S616" s="236"/>
      <c r="T616" s="236"/>
      <c r="U616" s="236"/>
      <c r="V616" s="236"/>
      <c r="W616" s="237"/>
      <c r="X616" s="237"/>
      <c r="Y616" s="237"/>
      <c r="Z616" s="237"/>
      <c r="AA616" s="237"/>
      <c r="AB616" s="237"/>
      <c r="AC616" s="237"/>
      <c r="AD616" s="237"/>
      <c r="AE616" s="237"/>
      <c r="AF616" s="237"/>
      <c r="AG616" s="237"/>
      <c r="AH616" s="237"/>
      <c r="AI616" s="308"/>
      <c r="AJ616" s="308"/>
      <c r="AK616" s="308"/>
      <c r="AL616" s="308"/>
      <c r="AM616" s="98"/>
      <c r="AN616" s="98"/>
    </row>
    <row r="617" ht="14.25" customHeight="1">
      <c r="A617" s="179"/>
      <c r="B617" s="98"/>
      <c r="C617" s="98"/>
      <c r="D617" s="98"/>
      <c r="E617" s="98"/>
      <c r="F617" s="235"/>
      <c r="G617" s="235"/>
      <c r="H617" s="236"/>
      <c r="I617" s="236"/>
      <c r="J617" s="236"/>
      <c r="K617" s="236"/>
      <c r="L617" s="236"/>
      <c r="M617" s="236"/>
      <c r="N617" s="236"/>
      <c r="O617" s="236"/>
      <c r="P617" s="236"/>
      <c r="Q617" s="236"/>
      <c r="R617" s="236"/>
      <c r="S617" s="236"/>
      <c r="T617" s="236"/>
      <c r="U617" s="236"/>
      <c r="V617" s="236"/>
      <c r="W617" s="237"/>
      <c r="X617" s="237"/>
      <c r="Y617" s="237"/>
      <c r="Z617" s="237"/>
      <c r="AA617" s="237"/>
      <c r="AB617" s="237"/>
      <c r="AC617" s="237"/>
      <c r="AD617" s="237"/>
      <c r="AE617" s="237"/>
      <c r="AF617" s="237"/>
      <c r="AG617" s="237"/>
      <c r="AH617" s="237"/>
      <c r="AI617" s="308"/>
      <c r="AJ617" s="308"/>
      <c r="AK617" s="308"/>
      <c r="AL617" s="308"/>
      <c r="AM617" s="98"/>
      <c r="AN617" s="98"/>
    </row>
    <row r="618" ht="14.25" customHeight="1">
      <c r="A618" s="179"/>
      <c r="B618" s="98"/>
      <c r="C618" s="98"/>
      <c r="D618" s="98"/>
      <c r="E618" s="98"/>
      <c r="F618" s="235"/>
      <c r="G618" s="235"/>
      <c r="H618" s="236"/>
      <c r="I618" s="236"/>
      <c r="J618" s="236"/>
      <c r="K618" s="236"/>
      <c r="L618" s="236"/>
      <c r="M618" s="236"/>
      <c r="N618" s="236"/>
      <c r="O618" s="236"/>
      <c r="P618" s="236"/>
      <c r="Q618" s="236"/>
      <c r="R618" s="236"/>
      <c r="S618" s="236"/>
      <c r="T618" s="236"/>
      <c r="U618" s="236"/>
      <c r="V618" s="236"/>
      <c r="W618" s="237"/>
      <c r="X618" s="237"/>
      <c r="Y618" s="237"/>
      <c r="Z618" s="237"/>
      <c r="AA618" s="237"/>
      <c r="AB618" s="237"/>
      <c r="AC618" s="237"/>
      <c r="AD618" s="237"/>
      <c r="AE618" s="237"/>
      <c r="AF618" s="237"/>
      <c r="AG618" s="237"/>
      <c r="AH618" s="237"/>
      <c r="AI618" s="308"/>
      <c r="AJ618" s="308"/>
      <c r="AK618" s="308"/>
      <c r="AL618" s="308"/>
      <c r="AM618" s="98"/>
      <c r="AN618" s="98"/>
    </row>
    <row r="619" ht="14.25" customHeight="1">
      <c r="A619" s="179"/>
      <c r="B619" s="98"/>
      <c r="C619" s="98"/>
      <c r="D619" s="98"/>
      <c r="E619" s="98"/>
      <c r="F619" s="235"/>
      <c r="G619" s="235"/>
      <c r="H619" s="236"/>
      <c r="I619" s="236"/>
      <c r="J619" s="236"/>
      <c r="K619" s="236"/>
      <c r="L619" s="236"/>
      <c r="M619" s="236"/>
      <c r="N619" s="236"/>
      <c r="O619" s="236"/>
      <c r="P619" s="236"/>
      <c r="Q619" s="236"/>
      <c r="R619" s="236"/>
      <c r="S619" s="236"/>
      <c r="T619" s="236"/>
      <c r="U619" s="236"/>
      <c r="V619" s="236"/>
      <c r="W619" s="237"/>
      <c r="X619" s="237"/>
      <c r="Y619" s="237"/>
      <c r="Z619" s="237"/>
      <c r="AA619" s="237"/>
      <c r="AB619" s="237"/>
      <c r="AC619" s="237"/>
      <c r="AD619" s="237"/>
      <c r="AE619" s="237"/>
      <c r="AF619" s="237"/>
      <c r="AG619" s="237"/>
      <c r="AH619" s="237"/>
      <c r="AI619" s="308"/>
      <c r="AJ619" s="308"/>
      <c r="AK619" s="308"/>
      <c r="AL619" s="308"/>
      <c r="AM619" s="98"/>
      <c r="AN619" s="98"/>
    </row>
    <row r="620" ht="14.25" customHeight="1">
      <c r="A620" s="179"/>
      <c r="B620" s="98"/>
      <c r="C620" s="98"/>
      <c r="D620" s="98"/>
      <c r="E620" s="98"/>
      <c r="F620" s="235"/>
      <c r="G620" s="235"/>
      <c r="H620" s="236"/>
      <c r="I620" s="236"/>
      <c r="J620" s="236"/>
      <c r="K620" s="236"/>
      <c r="L620" s="236"/>
      <c r="M620" s="236"/>
      <c r="N620" s="236"/>
      <c r="O620" s="236"/>
      <c r="P620" s="236"/>
      <c r="Q620" s="236"/>
      <c r="R620" s="236"/>
      <c r="S620" s="236"/>
      <c r="T620" s="236"/>
      <c r="U620" s="236"/>
      <c r="V620" s="236"/>
      <c r="W620" s="237"/>
      <c r="X620" s="237"/>
      <c r="Y620" s="237"/>
      <c r="Z620" s="237"/>
      <c r="AA620" s="237"/>
      <c r="AB620" s="237"/>
      <c r="AC620" s="237"/>
      <c r="AD620" s="237"/>
      <c r="AE620" s="237"/>
      <c r="AF620" s="237"/>
      <c r="AG620" s="237"/>
      <c r="AH620" s="237"/>
      <c r="AI620" s="308"/>
      <c r="AJ620" s="308"/>
      <c r="AK620" s="308"/>
      <c r="AL620" s="308"/>
      <c r="AM620" s="98"/>
      <c r="AN620" s="98"/>
    </row>
    <row r="621" ht="14.25" customHeight="1">
      <c r="A621" s="179"/>
      <c r="B621" s="98"/>
      <c r="C621" s="98"/>
      <c r="D621" s="98"/>
      <c r="E621" s="98"/>
      <c r="F621" s="235"/>
      <c r="G621" s="235"/>
      <c r="H621" s="236"/>
      <c r="I621" s="236"/>
      <c r="J621" s="236"/>
      <c r="K621" s="236"/>
      <c r="L621" s="236"/>
      <c r="M621" s="236"/>
      <c r="N621" s="236"/>
      <c r="O621" s="236"/>
      <c r="P621" s="236"/>
      <c r="Q621" s="236"/>
      <c r="R621" s="236"/>
      <c r="S621" s="236"/>
      <c r="T621" s="236"/>
      <c r="U621" s="236"/>
      <c r="V621" s="236"/>
      <c r="W621" s="237"/>
      <c r="X621" s="237"/>
      <c r="Y621" s="237"/>
      <c r="Z621" s="237"/>
      <c r="AA621" s="237"/>
      <c r="AB621" s="237"/>
      <c r="AC621" s="237"/>
      <c r="AD621" s="237"/>
      <c r="AE621" s="237"/>
      <c r="AF621" s="237"/>
      <c r="AG621" s="237"/>
      <c r="AH621" s="237"/>
      <c r="AI621" s="308"/>
      <c r="AJ621" s="308"/>
      <c r="AK621" s="308"/>
      <c r="AL621" s="308"/>
      <c r="AM621" s="98"/>
      <c r="AN621" s="98"/>
    </row>
    <row r="622" ht="14.25" customHeight="1">
      <c r="A622" s="179"/>
      <c r="B622" s="98"/>
      <c r="C622" s="98"/>
      <c r="D622" s="98"/>
      <c r="E622" s="98"/>
      <c r="F622" s="235"/>
      <c r="G622" s="235"/>
      <c r="H622" s="236"/>
      <c r="I622" s="236"/>
      <c r="J622" s="236"/>
      <c r="K622" s="236"/>
      <c r="L622" s="236"/>
      <c r="M622" s="236"/>
      <c r="N622" s="236"/>
      <c r="O622" s="236"/>
      <c r="P622" s="236"/>
      <c r="Q622" s="236"/>
      <c r="R622" s="236"/>
      <c r="S622" s="236"/>
      <c r="T622" s="236"/>
      <c r="U622" s="236"/>
      <c r="V622" s="236"/>
      <c r="W622" s="237"/>
      <c r="X622" s="237"/>
      <c r="Y622" s="237"/>
      <c r="Z622" s="237"/>
      <c r="AA622" s="237"/>
      <c r="AB622" s="237"/>
      <c r="AC622" s="237"/>
      <c r="AD622" s="237"/>
      <c r="AE622" s="237"/>
      <c r="AF622" s="237"/>
      <c r="AG622" s="237"/>
      <c r="AH622" s="237"/>
      <c r="AI622" s="308"/>
      <c r="AJ622" s="308"/>
      <c r="AK622" s="308"/>
      <c r="AL622" s="308"/>
      <c r="AM622" s="98"/>
      <c r="AN622" s="98"/>
    </row>
    <row r="623" ht="14.25" customHeight="1">
      <c r="A623" s="179"/>
      <c r="B623" s="98"/>
      <c r="C623" s="98"/>
      <c r="D623" s="98"/>
      <c r="E623" s="98"/>
      <c r="F623" s="235"/>
      <c r="G623" s="235"/>
      <c r="H623" s="236"/>
      <c r="I623" s="236"/>
      <c r="J623" s="236"/>
      <c r="K623" s="236"/>
      <c r="L623" s="236"/>
      <c r="M623" s="236"/>
      <c r="N623" s="236"/>
      <c r="O623" s="236"/>
      <c r="P623" s="236"/>
      <c r="Q623" s="236"/>
      <c r="R623" s="236"/>
      <c r="S623" s="236"/>
      <c r="T623" s="236"/>
      <c r="U623" s="236"/>
      <c r="V623" s="236"/>
      <c r="W623" s="237"/>
      <c r="X623" s="237"/>
      <c r="Y623" s="237"/>
      <c r="Z623" s="237"/>
      <c r="AA623" s="237"/>
      <c r="AB623" s="237"/>
      <c r="AC623" s="237"/>
      <c r="AD623" s="237"/>
      <c r="AE623" s="237"/>
      <c r="AF623" s="237"/>
      <c r="AG623" s="237"/>
      <c r="AH623" s="237"/>
      <c r="AI623" s="308"/>
      <c r="AJ623" s="308"/>
      <c r="AK623" s="308"/>
      <c r="AL623" s="308"/>
      <c r="AM623" s="98"/>
      <c r="AN623" s="98"/>
    </row>
    <row r="624" ht="14.25" customHeight="1">
      <c r="A624" s="179"/>
      <c r="B624" s="98"/>
      <c r="C624" s="98"/>
      <c r="D624" s="98"/>
      <c r="E624" s="98"/>
      <c r="F624" s="235"/>
      <c r="G624" s="235"/>
      <c r="H624" s="236"/>
      <c r="I624" s="236"/>
      <c r="J624" s="236"/>
      <c r="K624" s="236"/>
      <c r="L624" s="236"/>
      <c r="M624" s="236"/>
      <c r="N624" s="236"/>
      <c r="O624" s="236"/>
      <c r="P624" s="236"/>
      <c r="Q624" s="236"/>
      <c r="R624" s="236"/>
      <c r="S624" s="236"/>
      <c r="T624" s="236"/>
      <c r="U624" s="236"/>
      <c r="V624" s="236"/>
      <c r="W624" s="237"/>
      <c r="X624" s="237"/>
      <c r="Y624" s="237"/>
      <c r="Z624" s="237"/>
      <c r="AA624" s="237"/>
      <c r="AB624" s="237"/>
      <c r="AC624" s="237"/>
      <c r="AD624" s="237"/>
      <c r="AE624" s="237"/>
      <c r="AF624" s="237"/>
      <c r="AG624" s="237"/>
      <c r="AH624" s="237"/>
      <c r="AI624" s="308"/>
      <c r="AJ624" s="308"/>
      <c r="AK624" s="308"/>
      <c r="AL624" s="308"/>
      <c r="AM624" s="98"/>
      <c r="AN624" s="98"/>
    </row>
    <row r="625" ht="14.25" customHeight="1">
      <c r="A625" s="179"/>
      <c r="B625" s="98"/>
      <c r="C625" s="98"/>
      <c r="D625" s="98"/>
      <c r="E625" s="98"/>
      <c r="F625" s="235"/>
      <c r="G625" s="235"/>
      <c r="H625" s="236"/>
      <c r="I625" s="236"/>
      <c r="J625" s="236"/>
      <c r="K625" s="236"/>
      <c r="L625" s="236"/>
      <c r="M625" s="236"/>
      <c r="N625" s="236"/>
      <c r="O625" s="236"/>
      <c r="P625" s="236"/>
      <c r="Q625" s="236"/>
      <c r="R625" s="236"/>
      <c r="S625" s="236"/>
      <c r="T625" s="236"/>
      <c r="U625" s="236"/>
      <c r="V625" s="236"/>
      <c r="W625" s="237"/>
      <c r="X625" s="237"/>
      <c r="Y625" s="237"/>
      <c r="Z625" s="237"/>
      <c r="AA625" s="237"/>
      <c r="AB625" s="237"/>
      <c r="AC625" s="237"/>
      <c r="AD625" s="237"/>
      <c r="AE625" s="237"/>
      <c r="AF625" s="237"/>
      <c r="AG625" s="237"/>
      <c r="AH625" s="237"/>
      <c r="AI625" s="308"/>
      <c r="AJ625" s="308"/>
      <c r="AK625" s="308"/>
      <c r="AL625" s="308"/>
      <c r="AM625" s="98"/>
      <c r="AN625" s="98"/>
    </row>
    <row r="626" ht="14.25" customHeight="1">
      <c r="A626" s="179"/>
      <c r="B626" s="98"/>
      <c r="C626" s="98"/>
      <c r="D626" s="98"/>
      <c r="E626" s="98"/>
      <c r="F626" s="235"/>
      <c r="G626" s="235"/>
      <c r="H626" s="236"/>
      <c r="I626" s="236"/>
      <c r="J626" s="236"/>
      <c r="K626" s="236"/>
      <c r="L626" s="236"/>
      <c r="M626" s="236"/>
      <c r="N626" s="236"/>
      <c r="O626" s="236"/>
      <c r="P626" s="236"/>
      <c r="Q626" s="236"/>
      <c r="R626" s="236"/>
      <c r="S626" s="236"/>
      <c r="T626" s="236"/>
      <c r="U626" s="236"/>
      <c r="V626" s="236"/>
      <c r="W626" s="237"/>
      <c r="X626" s="237"/>
      <c r="Y626" s="237"/>
      <c r="Z626" s="237"/>
      <c r="AA626" s="237"/>
      <c r="AB626" s="237"/>
      <c r="AC626" s="237"/>
      <c r="AD626" s="237"/>
      <c r="AE626" s="237"/>
      <c r="AF626" s="237"/>
      <c r="AG626" s="237"/>
      <c r="AH626" s="237"/>
      <c r="AI626" s="308"/>
      <c r="AJ626" s="308"/>
      <c r="AK626" s="308"/>
      <c r="AL626" s="308"/>
      <c r="AM626" s="98"/>
      <c r="AN626" s="98"/>
    </row>
    <row r="627" ht="14.25" customHeight="1">
      <c r="A627" s="179"/>
      <c r="B627" s="98"/>
      <c r="C627" s="98"/>
      <c r="D627" s="98"/>
      <c r="E627" s="98"/>
      <c r="F627" s="235"/>
      <c r="G627" s="235"/>
      <c r="H627" s="236"/>
      <c r="I627" s="236"/>
      <c r="J627" s="236"/>
      <c r="K627" s="236"/>
      <c r="L627" s="236"/>
      <c r="M627" s="236"/>
      <c r="N627" s="236"/>
      <c r="O627" s="236"/>
      <c r="P627" s="236"/>
      <c r="Q627" s="236"/>
      <c r="R627" s="236"/>
      <c r="S627" s="236"/>
      <c r="T627" s="236"/>
      <c r="U627" s="236"/>
      <c r="V627" s="236"/>
      <c r="W627" s="237"/>
      <c r="X627" s="237"/>
      <c r="Y627" s="237"/>
      <c r="Z627" s="237"/>
      <c r="AA627" s="237"/>
      <c r="AB627" s="237"/>
      <c r="AC627" s="237"/>
      <c r="AD627" s="237"/>
      <c r="AE627" s="237"/>
      <c r="AF627" s="237"/>
      <c r="AG627" s="237"/>
      <c r="AH627" s="237"/>
      <c r="AI627" s="308"/>
      <c r="AJ627" s="308"/>
      <c r="AK627" s="308"/>
      <c r="AL627" s="308"/>
      <c r="AM627" s="98"/>
      <c r="AN627" s="98"/>
    </row>
    <row r="628" ht="14.25" customHeight="1">
      <c r="A628" s="179"/>
      <c r="B628" s="98"/>
      <c r="C628" s="98"/>
      <c r="D628" s="98"/>
      <c r="E628" s="98"/>
      <c r="F628" s="235"/>
      <c r="G628" s="235"/>
      <c r="H628" s="236"/>
      <c r="I628" s="236"/>
      <c r="J628" s="236"/>
      <c r="K628" s="236"/>
      <c r="L628" s="236"/>
      <c r="M628" s="236"/>
      <c r="N628" s="236"/>
      <c r="O628" s="236"/>
      <c r="P628" s="236"/>
      <c r="Q628" s="236"/>
      <c r="R628" s="236"/>
      <c r="S628" s="236"/>
      <c r="T628" s="236"/>
      <c r="U628" s="236"/>
      <c r="V628" s="236"/>
      <c r="W628" s="237"/>
      <c r="X628" s="237"/>
      <c r="Y628" s="237"/>
      <c r="Z628" s="237"/>
      <c r="AA628" s="237"/>
      <c r="AB628" s="237"/>
      <c r="AC628" s="237"/>
      <c r="AD628" s="237"/>
      <c r="AE628" s="237"/>
      <c r="AF628" s="237"/>
      <c r="AG628" s="237"/>
      <c r="AH628" s="237"/>
      <c r="AI628" s="308"/>
      <c r="AJ628" s="308"/>
      <c r="AK628" s="308"/>
      <c r="AL628" s="308"/>
      <c r="AM628" s="98"/>
      <c r="AN628" s="98"/>
    </row>
    <row r="629" ht="14.25" customHeight="1">
      <c r="A629" s="179"/>
      <c r="B629" s="98"/>
      <c r="C629" s="98"/>
      <c r="D629" s="98"/>
      <c r="E629" s="98"/>
      <c r="F629" s="235"/>
      <c r="G629" s="235"/>
      <c r="H629" s="236"/>
      <c r="I629" s="236"/>
      <c r="J629" s="236"/>
      <c r="K629" s="236"/>
      <c r="L629" s="236"/>
      <c r="M629" s="236"/>
      <c r="N629" s="236"/>
      <c r="O629" s="236"/>
      <c r="P629" s="236"/>
      <c r="Q629" s="236"/>
      <c r="R629" s="236"/>
      <c r="S629" s="236"/>
      <c r="T629" s="236"/>
      <c r="U629" s="236"/>
      <c r="V629" s="236"/>
      <c r="W629" s="237"/>
      <c r="X629" s="237"/>
      <c r="Y629" s="237"/>
      <c r="Z629" s="237"/>
      <c r="AA629" s="237"/>
      <c r="AB629" s="237"/>
      <c r="AC629" s="237"/>
      <c r="AD629" s="237"/>
      <c r="AE629" s="237"/>
      <c r="AF629" s="237"/>
      <c r="AG629" s="237"/>
      <c r="AH629" s="237"/>
      <c r="AI629" s="308"/>
      <c r="AJ629" s="308"/>
      <c r="AK629" s="308"/>
      <c r="AL629" s="308"/>
      <c r="AM629" s="98"/>
      <c r="AN629" s="98"/>
    </row>
    <row r="630" ht="14.25" customHeight="1">
      <c r="A630" s="179"/>
      <c r="B630" s="98"/>
      <c r="C630" s="98"/>
      <c r="D630" s="98"/>
      <c r="E630" s="98"/>
      <c r="F630" s="235"/>
      <c r="G630" s="235"/>
      <c r="H630" s="236"/>
      <c r="I630" s="236"/>
      <c r="J630" s="236"/>
      <c r="K630" s="236"/>
      <c r="L630" s="236"/>
      <c r="M630" s="236"/>
      <c r="N630" s="236"/>
      <c r="O630" s="236"/>
      <c r="P630" s="236"/>
      <c r="Q630" s="236"/>
      <c r="R630" s="236"/>
      <c r="S630" s="236"/>
      <c r="T630" s="236"/>
      <c r="U630" s="236"/>
      <c r="V630" s="236"/>
      <c r="W630" s="237"/>
      <c r="X630" s="237"/>
      <c r="Y630" s="237"/>
      <c r="Z630" s="237"/>
      <c r="AA630" s="237"/>
      <c r="AB630" s="237"/>
      <c r="AC630" s="237"/>
      <c r="AD630" s="237"/>
      <c r="AE630" s="237"/>
      <c r="AF630" s="237"/>
      <c r="AG630" s="237"/>
      <c r="AH630" s="237"/>
      <c r="AI630" s="308"/>
      <c r="AJ630" s="308"/>
      <c r="AK630" s="308"/>
      <c r="AL630" s="308"/>
      <c r="AM630" s="98"/>
      <c r="AN630" s="98"/>
    </row>
    <row r="631" ht="14.25" customHeight="1">
      <c r="A631" s="179"/>
      <c r="B631" s="98"/>
      <c r="C631" s="98"/>
      <c r="D631" s="98"/>
      <c r="E631" s="98"/>
      <c r="F631" s="235"/>
      <c r="G631" s="235"/>
      <c r="H631" s="236"/>
      <c r="I631" s="236"/>
      <c r="J631" s="236"/>
      <c r="K631" s="236"/>
      <c r="L631" s="236"/>
      <c r="M631" s="236"/>
      <c r="N631" s="236"/>
      <c r="O631" s="236"/>
      <c r="P631" s="236"/>
      <c r="Q631" s="236"/>
      <c r="R631" s="236"/>
      <c r="S631" s="236"/>
      <c r="T631" s="236"/>
      <c r="U631" s="236"/>
      <c r="V631" s="236"/>
      <c r="W631" s="237"/>
      <c r="X631" s="237"/>
      <c r="Y631" s="237"/>
      <c r="Z631" s="237"/>
      <c r="AA631" s="237"/>
      <c r="AB631" s="237"/>
      <c r="AC631" s="237"/>
      <c r="AD631" s="237"/>
      <c r="AE631" s="237"/>
      <c r="AF631" s="237"/>
      <c r="AG631" s="237"/>
      <c r="AH631" s="237"/>
      <c r="AI631" s="308"/>
      <c r="AJ631" s="308"/>
      <c r="AK631" s="308"/>
      <c r="AL631" s="308"/>
      <c r="AM631" s="98"/>
      <c r="AN631" s="98"/>
    </row>
    <row r="632" ht="14.25" customHeight="1">
      <c r="A632" s="179"/>
      <c r="B632" s="98"/>
      <c r="C632" s="98"/>
      <c r="D632" s="98"/>
      <c r="E632" s="98"/>
      <c r="F632" s="235"/>
      <c r="G632" s="235"/>
      <c r="H632" s="236"/>
      <c r="I632" s="236"/>
      <c r="J632" s="236"/>
      <c r="K632" s="236"/>
      <c r="L632" s="236"/>
      <c r="M632" s="236"/>
      <c r="N632" s="236"/>
      <c r="O632" s="236"/>
      <c r="P632" s="236"/>
      <c r="Q632" s="236"/>
      <c r="R632" s="236"/>
      <c r="S632" s="236"/>
      <c r="T632" s="236"/>
      <c r="U632" s="236"/>
      <c r="V632" s="236"/>
      <c r="W632" s="237"/>
      <c r="X632" s="237"/>
      <c r="Y632" s="237"/>
      <c r="Z632" s="237"/>
      <c r="AA632" s="237"/>
      <c r="AB632" s="237"/>
      <c r="AC632" s="237"/>
      <c r="AD632" s="237"/>
      <c r="AE632" s="237"/>
      <c r="AF632" s="237"/>
      <c r="AG632" s="237"/>
      <c r="AH632" s="237"/>
      <c r="AI632" s="308"/>
      <c r="AJ632" s="308"/>
      <c r="AK632" s="308"/>
      <c r="AL632" s="308"/>
      <c r="AM632" s="98"/>
      <c r="AN632" s="98"/>
    </row>
    <row r="633" ht="14.25" customHeight="1">
      <c r="A633" s="179"/>
      <c r="B633" s="98"/>
      <c r="C633" s="98"/>
      <c r="D633" s="98"/>
      <c r="E633" s="98"/>
      <c r="F633" s="235"/>
      <c r="G633" s="235"/>
      <c r="H633" s="236"/>
      <c r="I633" s="236"/>
      <c r="J633" s="236"/>
      <c r="K633" s="236"/>
      <c r="L633" s="236"/>
      <c r="M633" s="236"/>
      <c r="N633" s="236"/>
      <c r="O633" s="236"/>
      <c r="P633" s="236"/>
      <c r="Q633" s="236"/>
      <c r="R633" s="236"/>
      <c r="S633" s="236"/>
      <c r="T633" s="236"/>
      <c r="U633" s="236"/>
      <c r="V633" s="236"/>
      <c r="W633" s="237"/>
      <c r="X633" s="237"/>
      <c r="Y633" s="237"/>
      <c r="Z633" s="237"/>
      <c r="AA633" s="237"/>
      <c r="AB633" s="237"/>
      <c r="AC633" s="237"/>
      <c r="AD633" s="237"/>
      <c r="AE633" s="237"/>
      <c r="AF633" s="237"/>
      <c r="AG633" s="237"/>
      <c r="AH633" s="237"/>
      <c r="AI633" s="308"/>
      <c r="AJ633" s="308"/>
      <c r="AK633" s="308"/>
      <c r="AL633" s="308"/>
      <c r="AM633" s="98"/>
      <c r="AN633" s="98"/>
    </row>
    <row r="634" ht="14.25" customHeight="1">
      <c r="A634" s="179"/>
      <c r="B634" s="98"/>
      <c r="C634" s="98"/>
      <c r="D634" s="98"/>
      <c r="E634" s="98"/>
      <c r="F634" s="235"/>
      <c r="G634" s="235"/>
      <c r="H634" s="236"/>
      <c r="I634" s="236"/>
      <c r="J634" s="236"/>
      <c r="K634" s="236"/>
      <c r="L634" s="236"/>
      <c r="M634" s="236"/>
      <c r="N634" s="236"/>
      <c r="O634" s="236"/>
      <c r="P634" s="236"/>
      <c r="Q634" s="236"/>
      <c r="R634" s="236"/>
      <c r="S634" s="236"/>
      <c r="T634" s="236"/>
      <c r="U634" s="236"/>
      <c r="V634" s="236"/>
      <c r="W634" s="237"/>
      <c r="X634" s="237"/>
      <c r="Y634" s="237"/>
      <c r="Z634" s="237"/>
      <c r="AA634" s="237"/>
      <c r="AB634" s="237"/>
      <c r="AC634" s="237"/>
      <c r="AD634" s="237"/>
      <c r="AE634" s="237"/>
      <c r="AF634" s="237"/>
      <c r="AG634" s="237"/>
      <c r="AH634" s="237"/>
      <c r="AI634" s="308"/>
      <c r="AJ634" s="308"/>
      <c r="AK634" s="308"/>
      <c r="AL634" s="308"/>
      <c r="AM634" s="98"/>
      <c r="AN634" s="98"/>
    </row>
    <row r="635" ht="14.25" customHeight="1">
      <c r="A635" s="179"/>
      <c r="B635" s="98"/>
      <c r="C635" s="98"/>
      <c r="D635" s="98"/>
      <c r="E635" s="98"/>
      <c r="F635" s="235"/>
      <c r="G635" s="235"/>
      <c r="H635" s="236"/>
      <c r="I635" s="236"/>
      <c r="J635" s="236"/>
      <c r="K635" s="236"/>
      <c r="L635" s="236"/>
      <c r="M635" s="236"/>
      <c r="N635" s="236"/>
      <c r="O635" s="236"/>
      <c r="P635" s="236"/>
      <c r="Q635" s="236"/>
      <c r="R635" s="236"/>
      <c r="S635" s="236"/>
      <c r="T635" s="236"/>
      <c r="U635" s="236"/>
      <c r="V635" s="236"/>
      <c r="W635" s="237"/>
      <c r="X635" s="237"/>
      <c r="Y635" s="237"/>
      <c r="Z635" s="237"/>
      <c r="AA635" s="237"/>
      <c r="AB635" s="237"/>
      <c r="AC635" s="237"/>
      <c r="AD635" s="237"/>
      <c r="AE635" s="237"/>
      <c r="AF635" s="237"/>
      <c r="AG635" s="237"/>
      <c r="AH635" s="237"/>
      <c r="AI635" s="308"/>
      <c r="AJ635" s="308"/>
      <c r="AK635" s="308"/>
      <c r="AL635" s="308"/>
      <c r="AM635" s="98"/>
      <c r="AN635" s="98"/>
    </row>
    <row r="636" ht="14.25" customHeight="1">
      <c r="A636" s="179"/>
      <c r="B636" s="98"/>
      <c r="C636" s="98"/>
      <c r="D636" s="98"/>
      <c r="E636" s="98"/>
      <c r="F636" s="235"/>
      <c r="G636" s="235"/>
      <c r="H636" s="236"/>
      <c r="I636" s="236"/>
      <c r="J636" s="236"/>
      <c r="K636" s="236"/>
      <c r="L636" s="236"/>
      <c r="M636" s="236"/>
      <c r="N636" s="236"/>
      <c r="O636" s="236"/>
      <c r="P636" s="236"/>
      <c r="Q636" s="236"/>
      <c r="R636" s="236"/>
      <c r="S636" s="236"/>
      <c r="T636" s="236"/>
      <c r="U636" s="236"/>
      <c r="V636" s="236"/>
      <c r="W636" s="237"/>
      <c r="X636" s="237"/>
      <c r="Y636" s="237"/>
      <c r="Z636" s="237"/>
      <c r="AA636" s="237"/>
      <c r="AB636" s="237"/>
      <c r="AC636" s="237"/>
      <c r="AD636" s="237"/>
      <c r="AE636" s="237"/>
      <c r="AF636" s="237"/>
      <c r="AG636" s="237"/>
      <c r="AH636" s="237"/>
      <c r="AI636" s="308"/>
      <c r="AJ636" s="308"/>
      <c r="AK636" s="308"/>
      <c r="AL636" s="308"/>
      <c r="AM636" s="98"/>
      <c r="AN636" s="98"/>
    </row>
    <row r="637" ht="14.25" customHeight="1">
      <c r="A637" s="179"/>
      <c r="B637" s="98"/>
      <c r="C637" s="98"/>
      <c r="D637" s="98"/>
      <c r="E637" s="98"/>
      <c r="F637" s="235"/>
      <c r="G637" s="235"/>
      <c r="H637" s="236"/>
      <c r="I637" s="236"/>
      <c r="J637" s="236"/>
      <c r="K637" s="236"/>
      <c r="L637" s="236"/>
      <c r="M637" s="236"/>
      <c r="N637" s="236"/>
      <c r="O637" s="236"/>
      <c r="P637" s="236"/>
      <c r="Q637" s="236"/>
      <c r="R637" s="236"/>
      <c r="S637" s="236"/>
      <c r="T637" s="236"/>
      <c r="U637" s="236"/>
      <c r="V637" s="236"/>
      <c r="W637" s="237"/>
      <c r="X637" s="237"/>
      <c r="Y637" s="237"/>
      <c r="Z637" s="237"/>
      <c r="AA637" s="237"/>
      <c r="AB637" s="237"/>
      <c r="AC637" s="237"/>
      <c r="AD637" s="237"/>
      <c r="AE637" s="237"/>
      <c r="AF637" s="237"/>
      <c r="AG637" s="237"/>
      <c r="AH637" s="237"/>
      <c r="AI637" s="308"/>
      <c r="AJ637" s="308"/>
      <c r="AK637" s="308"/>
      <c r="AL637" s="308"/>
      <c r="AM637" s="98"/>
      <c r="AN637" s="98"/>
    </row>
    <row r="638" ht="14.25" customHeight="1">
      <c r="A638" s="179"/>
      <c r="B638" s="98"/>
      <c r="C638" s="98"/>
      <c r="D638" s="98"/>
      <c r="E638" s="98"/>
      <c r="F638" s="235"/>
      <c r="G638" s="235"/>
      <c r="H638" s="236"/>
      <c r="I638" s="236"/>
      <c r="J638" s="236"/>
      <c r="K638" s="236"/>
      <c r="L638" s="236"/>
      <c r="M638" s="236"/>
      <c r="N638" s="236"/>
      <c r="O638" s="236"/>
      <c r="P638" s="236"/>
      <c r="Q638" s="236"/>
      <c r="R638" s="236"/>
      <c r="S638" s="236"/>
      <c r="T638" s="236"/>
      <c r="U638" s="236"/>
      <c r="V638" s="236"/>
      <c r="W638" s="237"/>
      <c r="X638" s="237"/>
      <c r="Y638" s="237"/>
      <c r="Z638" s="237"/>
      <c r="AA638" s="237"/>
      <c r="AB638" s="237"/>
      <c r="AC638" s="237"/>
      <c r="AD638" s="237"/>
      <c r="AE638" s="237"/>
      <c r="AF638" s="237"/>
      <c r="AG638" s="237"/>
      <c r="AH638" s="237"/>
      <c r="AI638" s="308"/>
      <c r="AJ638" s="308"/>
      <c r="AK638" s="308"/>
      <c r="AL638" s="308"/>
      <c r="AM638" s="98"/>
      <c r="AN638" s="98"/>
    </row>
    <row r="639" ht="14.25" customHeight="1">
      <c r="A639" s="179"/>
      <c r="B639" s="98"/>
      <c r="C639" s="98"/>
      <c r="D639" s="98"/>
      <c r="E639" s="98"/>
      <c r="F639" s="235"/>
      <c r="G639" s="235"/>
      <c r="H639" s="236"/>
      <c r="I639" s="236"/>
      <c r="J639" s="236"/>
      <c r="K639" s="236"/>
      <c r="L639" s="236"/>
      <c r="M639" s="236"/>
      <c r="N639" s="236"/>
      <c r="O639" s="236"/>
      <c r="P639" s="236"/>
      <c r="Q639" s="236"/>
      <c r="R639" s="236"/>
      <c r="S639" s="236"/>
      <c r="T639" s="236"/>
      <c r="U639" s="236"/>
      <c r="V639" s="236"/>
      <c r="W639" s="237"/>
      <c r="X639" s="237"/>
      <c r="Y639" s="237"/>
      <c r="Z639" s="237"/>
      <c r="AA639" s="237"/>
      <c r="AB639" s="237"/>
      <c r="AC639" s="237"/>
      <c r="AD639" s="237"/>
      <c r="AE639" s="237"/>
      <c r="AF639" s="237"/>
      <c r="AG639" s="237"/>
      <c r="AH639" s="237"/>
      <c r="AI639" s="308"/>
      <c r="AJ639" s="308"/>
      <c r="AK639" s="308"/>
      <c r="AL639" s="308"/>
      <c r="AM639" s="98"/>
      <c r="AN639" s="98"/>
    </row>
    <row r="640" ht="14.25" customHeight="1">
      <c r="A640" s="179"/>
      <c r="B640" s="98"/>
      <c r="C640" s="98"/>
      <c r="D640" s="98"/>
      <c r="E640" s="98"/>
      <c r="F640" s="235"/>
      <c r="G640" s="235"/>
      <c r="H640" s="236"/>
      <c r="I640" s="236"/>
      <c r="J640" s="236"/>
      <c r="K640" s="236"/>
      <c r="L640" s="236"/>
      <c r="M640" s="236"/>
      <c r="N640" s="236"/>
      <c r="O640" s="236"/>
      <c r="P640" s="236"/>
      <c r="Q640" s="236"/>
      <c r="R640" s="236"/>
      <c r="S640" s="236"/>
      <c r="T640" s="236"/>
      <c r="U640" s="236"/>
      <c r="V640" s="236"/>
      <c r="W640" s="237"/>
      <c r="X640" s="237"/>
      <c r="Y640" s="237"/>
      <c r="Z640" s="237"/>
      <c r="AA640" s="237"/>
      <c r="AB640" s="237"/>
      <c r="AC640" s="237"/>
      <c r="AD640" s="237"/>
      <c r="AE640" s="237"/>
      <c r="AF640" s="237"/>
      <c r="AG640" s="237"/>
      <c r="AH640" s="237"/>
      <c r="AI640" s="308"/>
      <c r="AJ640" s="308"/>
      <c r="AK640" s="308"/>
      <c r="AL640" s="308"/>
      <c r="AM640" s="98"/>
      <c r="AN640" s="98"/>
    </row>
    <row r="641" ht="14.25" customHeight="1">
      <c r="A641" s="179"/>
      <c r="B641" s="98"/>
      <c r="C641" s="98"/>
      <c r="D641" s="98"/>
      <c r="E641" s="98"/>
      <c r="F641" s="235"/>
      <c r="G641" s="235"/>
      <c r="H641" s="236"/>
      <c r="I641" s="236"/>
      <c r="J641" s="236"/>
      <c r="K641" s="236"/>
      <c r="L641" s="236"/>
      <c r="M641" s="236"/>
      <c r="N641" s="236"/>
      <c r="O641" s="236"/>
      <c r="P641" s="236"/>
      <c r="Q641" s="236"/>
      <c r="R641" s="236"/>
      <c r="S641" s="236"/>
      <c r="T641" s="236"/>
      <c r="U641" s="236"/>
      <c r="V641" s="236"/>
      <c r="W641" s="237"/>
      <c r="X641" s="237"/>
      <c r="Y641" s="237"/>
      <c r="Z641" s="237"/>
      <c r="AA641" s="237"/>
      <c r="AB641" s="237"/>
      <c r="AC641" s="237"/>
      <c r="AD641" s="237"/>
      <c r="AE641" s="237"/>
      <c r="AF641" s="237"/>
      <c r="AG641" s="237"/>
      <c r="AH641" s="237"/>
      <c r="AI641" s="308"/>
      <c r="AJ641" s="308"/>
      <c r="AK641" s="308"/>
      <c r="AL641" s="308"/>
      <c r="AM641" s="98"/>
      <c r="AN641" s="98"/>
    </row>
    <row r="642" ht="14.25" customHeight="1">
      <c r="A642" s="179"/>
      <c r="B642" s="98"/>
      <c r="C642" s="98"/>
      <c r="D642" s="98"/>
      <c r="E642" s="98"/>
      <c r="F642" s="235"/>
      <c r="G642" s="235"/>
      <c r="H642" s="236"/>
      <c r="I642" s="236"/>
      <c r="J642" s="236"/>
      <c r="K642" s="236"/>
      <c r="L642" s="236"/>
      <c r="M642" s="236"/>
      <c r="N642" s="236"/>
      <c r="O642" s="236"/>
      <c r="P642" s="236"/>
      <c r="Q642" s="236"/>
      <c r="R642" s="236"/>
      <c r="S642" s="236"/>
      <c r="T642" s="236"/>
      <c r="U642" s="236"/>
      <c r="V642" s="236"/>
      <c r="W642" s="237"/>
      <c r="X642" s="237"/>
      <c r="Y642" s="237"/>
      <c r="Z642" s="237"/>
      <c r="AA642" s="237"/>
      <c r="AB642" s="237"/>
      <c r="AC642" s="237"/>
      <c r="AD642" s="237"/>
      <c r="AE642" s="237"/>
      <c r="AF642" s="237"/>
      <c r="AG642" s="237"/>
      <c r="AH642" s="237"/>
      <c r="AI642" s="308"/>
      <c r="AJ642" s="308"/>
      <c r="AK642" s="308"/>
      <c r="AL642" s="308"/>
      <c r="AM642" s="98"/>
      <c r="AN642" s="98"/>
    </row>
    <row r="643" ht="14.25" customHeight="1">
      <c r="A643" s="179"/>
      <c r="B643" s="98"/>
      <c r="C643" s="98"/>
      <c r="D643" s="98"/>
      <c r="E643" s="98"/>
      <c r="F643" s="235"/>
      <c r="G643" s="235"/>
      <c r="H643" s="236"/>
      <c r="I643" s="236"/>
      <c r="J643" s="236"/>
      <c r="K643" s="236"/>
      <c r="L643" s="236"/>
      <c r="M643" s="236"/>
      <c r="N643" s="236"/>
      <c r="O643" s="236"/>
      <c r="P643" s="236"/>
      <c r="Q643" s="236"/>
      <c r="R643" s="236"/>
      <c r="S643" s="236"/>
      <c r="T643" s="236"/>
      <c r="U643" s="236"/>
      <c r="V643" s="236"/>
      <c r="W643" s="237"/>
      <c r="X643" s="237"/>
      <c r="Y643" s="237"/>
      <c r="Z643" s="237"/>
      <c r="AA643" s="237"/>
      <c r="AB643" s="237"/>
      <c r="AC643" s="237"/>
      <c r="AD643" s="237"/>
      <c r="AE643" s="237"/>
      <c r="AF643" s="237"/>
      <c r="AG643" s="237"/>
      <c r="AH643" s="237"/>
      <c r="AI643" s="308"/>
      <c r="AJ643" s="308"/>
      <c r="AK643" s="308"/>
      <c r="AL643" s="308"/>
      <c r="AM643" s="98"/>
      <c r="AN643" s="98"/>
    </row>
    <row r="644" ht="14.25" customHeight="1">
      <c r="A644" s="179"/>
      <c r="B644" s="98"/>
      <c r="C644" s="98"/>
      <c r="D644" s="98"/>
      <c r="E644" s="98"/>
      <c r="F644" s="235"/>
      <c r="G644" s="235"/>
      <c r="H644" s="236"/>
      <c r="I644" s="236"/>
      <c r="J644" s="236"/>
      <c r="K644" s="236"/>
      <c r="L644" s="236"/>
      <c r="M644" s="236"/>
      <c r="N644" s="236"/>
      <c r="O644" s="236"/>
      <c r="P644" s="236"/>
      <c r="Q644" s="236"/>
      <c r="R644" s="236"/>
      <c r="S644" s="236"/>
      <c r="T644" s="236"/>
      <c r="U644" s="236"/>
      <c r="V644" s="236"/>
      <c r="W644" s="237"/>
      <c r="X644" s="237"/>
      <c r="Y644" s="237"/>
      <c r="Z644" s="237"/>
      <c r="AA644" s="237"/>
      <c r="AB644" s="237"/>
      <c r="AC644" s="237"/>
      <c r="AD644" s="237"/>
      <c r="AE644" s="237"/>
      <c r="AF644" s="237"/>
      <c r="AG644" s="237"/>
      <c r="AH644" s="237"/>
      <c r="AI644" s="308"/>
      <c r="AJ644" s="308"/>
      <c r="AK644" s="308"/>
      <c r="AL644" s="308"/>
      <c r="AM644" s="98"/>
      <c r="AN644" s="98"/>
    </row>
    <row r="645" ht="14.25" customHeight="1">
      <c r="A645" s="179"/>
      <c r="B645" s="98"/>
      <c r="C645" s="98"/>
      <c r="D645" s="98"/>
      <c r="E645" s="98"/>
      <c r="F645" s="235"/>
      <c r="G645" s="235"/>
      <c r="H645" s="236"/>
      <c r="I645" s="236"/>
      <c r="J645" s="236"/>
      <c r="K645" s="236"/>
      <c r="L645" s="236"/>
      <c r="M645" s="236"/>
      <c r="N645" s="236"/>
      <c r="O645" s="236"/>
      <c r="P645" s="236"/>
      <c r="Q645" s="236"/>
      <c r="R645" s="236"/>
      <c r="S645" s="236"/>
      <c r="T645" s="236"/>
      <c r="U645" s="236"/>
      <c r="V645" s="236"/>
      <c r="W645" s="237"/>
      <c r="X645" s="237"/>
      <c r="Y645" s="237"/>
      <c r="Z645" s="237"/>
      <c r="AA645" s="237"/>
      <c r="AB645" s="237"/>
      <c r="AC645" s="237"/>
      <c r="AD645" s="237"/>
      <c r="AE645" s="237"/>
      <c r="AF645" s="237"/>
      <c r="AG645" s="237"/>
      <c r="AH645" s="237"/>
      <c r="AI645" s="308"/>
      <c r="AJ645" s="308"/>
      <c r="AK645" s="308"/>
      <c r="AL645" s="308"/>
      <c r="AM645" s="98"/>
      <c r="AN645" s="98"/>
    </row>
    <row r="646" ht="14.25" customHeight="1">
      <c r="A646" s="179"/>
      <c r="B646" s="98"/>
      <c r="C646" s="98"/>
      <c r="D646" s="98"/>
      <c r="E646" s="98"/>
      <c r="F646" s="235"/>
      <c r="G646" s="235"/>
      <c r="H646" s="236"/>
      <c r="I646" s="236"/>
      <c r="J646" s="236"/>
      <c r="K646" s="236"/>
      <c r="L646" s="236"/>
      <c r="M646" s="236"/>
      <c r="N646" s="236"/>
      <c r="O646" s="236"/>
      <c r="P646" s="236"/>
      <c r="Q646" s="236"/>
      <c r="R646" s="236"/>
      <c r="S646" s="236"/>
      <c r="T646" s="236"/>
      <c r="U646" s="236"/>
      <c r="V646" s="236"/>
      <c r="W646" s="237"/>
      <c r="X646" s="237"/>
      <c r="Y646" s="237"/>
      <c r="Z646" s="237"/>
      <c r="AA646" s="237"/>
      <c r="AB646" s="237"/>
      <c r="AC646" s="237"/>
      <c r="AD646" s="237"/>
      <c r="AE646" s="237"/>
      <c r="AF646" s="237"/>
      <c r="AG646" s="237"/>
      <c r="AH646" s="237"/>
      <c r="AI646" s="308"/>
      <c r="AJ646" s="308"/>
      <c r="AK646" s="308"/>
      <c r="AL646" s="308"/>
      <c r="AM646" s="98"/>
      <c r="AN646" s="98"/>
    </row>
    <row r="647" ht="14.25" customHeight="1">
      <c r="A647" s="179"/>
      <c r="B647" s="98"/>
      <c r="C647" s="98"/>
      <c r="D647" s="98"/>
      <c r="E647" s="98"/>
      <c r="F647" s="235"/>
      <c r="G647" s="235"/>
      <c r="H647" s="236"/>
      <c r="I647" s="236"/>
      <c r="J647" s="236"/>
      <c r="K647" s="236"/>
      <c r="L647" s="236"/>
      <c r="M647" s="236"/>
      <c r="N647" s="236"/>
      <c r="O647" s="236"/>
      <c r="P647" s="236"/>
      <c r="Q647" s="236"/>
      <c r="R647" s="236"/>
      <c r="S647" s="236"/>
      <c r="T647" s="236"/>
      <c r="U647" s="236"/>
      <c r="V647" s="236"/>
      <c r="W647" s="237"/>
      <c r="X647" s="237"/>
      <c r="Y647" s="237"/>
      <c r="Z647" s="237"/>
      <c r="AA647" s="237"/>
      <c r="AB647" s="237"/>
      <c r="AC647" s="237"/>
      <c r="AD647" s="237"/>
      <c r="AE647" s="237"/>
      <c r="AF647" s="237"/>
      <c r="AG647" s="237"/>
      <c r="AH647" s="237"/>
      <c r="AI647" s="308"/>
      <c r="AJ647" s="308"/>
      <c r="AK647" s="308"/>
      <c r="AL647" s="308"/>
      <c r="AM647" s="98"/>
      <c r="AN647" s="98"/>
    </row>
    <row r="648" ht="14.25" customHeight="1">
      <c r="A648" s="179"/>
      <c r="B648" s="98"/>
      <c r="C648" s="98"/>
      <c r="D648" s="98"/>
      <c r="E648" s="98"/>
      <c r="F648" s="235"/>
      <c r="G648" s="235"/>
      <c r="H648" s="236"/>
      <c r="I648" s="236"/>
      <c r="J648" s="236"/>
      <c r="K648" s="236"/>
      <c r="L648" s="236"/>
      <c r="M648" s="236"/>
      <c r="N648" s="236"/>
      <c r="O648" s="236"/>
      <c r="P648" s="236"/>
      <c r="Q648" s="236"/>
      <c r="R648" s="236"/>
      <c r="S648" s="236"/>
      <c r="T648" s="236"/>
      <c r="U648" s="236"/>
      <c r="V648" s="236"/>
      <c r="W648" s="237"/>
      <c r="X648" s="237"/>
      <c r="Y648" s="237"/>
      <c r="Z648" s="237"/>
      <c r="AA648" s="237"/>
      <c r="AB648" s="237"/>
      <c r="AC648" s="237"/>
      <c r="AD648" s="237"/>
      <c r="AE648" s="237"/>
      <c r="AF648" s="237"/>
      <c r="AG648" s="237"/>
      <c r="AH648" s="237"/>
      <c r="AI648" s="308"/>
      <c r="AJ648" s="308"/>
      <c r="AK648" s="308"/>
      <c r="AL648" s="308"/>
      <c r="AM648" s="98"/>
      <c r="AN648" s="98"/>
    </row>
    <row r="649" ht="14.25" customHeight="1">
      <c r="A649" s="179"/>
      <c r="B649" s="98"/>
      <c r="C649" s="98"/>
      <c r="D649" s="98"/>
      <c r="E649" s="98"/>
      <c r="F649" s="235"/>
      <c r="G649" s="235"/>
      <c r="H649" s="236"/>
      <c r="I649" s="236"/>
      <c r="J649" s="236"/>
      <c r="K649" s="236"/>
      <c r="L649" s="236"/>
      <c r="M649" s="236"/>
      <c r="N649" s="236"/>
      <c r="O649" s="236"/>
      <c r="P649" s="236"/>
      <c r="Q649" s="236"/>
      <c r="R649" s="236"/>
      <c r="S649" s="236"/>
      <c r="T649" s="236"/>
      <c r="U649" s="236"/>
      <c r="V649" s="236"/>
      <c r="W649" s="237"/>
      <c r="X649" s="237"/>
      <c r="Y649" s="237"/>
      <c r="Z649" s="237"/>
      <c r="AA649" s="237"/>
      <c r="AB649" s="237"/>
      <c r="AC649" s="237"/>
      <c r="AD649" s="237"/>
      <c r="AE649" s="237"/>
      <c r="AF649" s="237"/>
      <c r="AG649" s="237"/>
      <c r="AH649" s="237"/>
      <c r="AI649" s="308"/>
      <c r="AJ649" s="308"/>
      <c r="AK649" s="308"/>
      <c r="AL649" s="308"/>
      <c r="AM649" s="98"/>
      <c r="AN649" s="98"/>
    </row>
    <row r="650" ht="14.25" customHeight="1">
      <c r="A650" s="179"/>
      <c r="B650" s="98"/>
      <c r="C650" s="98"/>
      <c r="D650" s="98"/>
      <c r="E650" s="98"/>
      <c r="F650" s="235"/>
      <c r="G650" s="235"/>
      <c r="H650" s="236"/>
      <c r="I650" s="236"/>
      <c r="J650" s="236"/>
      <c r="K650" s="236"/>
      <c r="L650" s="236"/>
      <c r="M650" s="236"/>
      <c r="N650" s="236"/>
      <c r="O650" s="236"/>
      <c r="P650" s="236"/>
      <c r="Q650" s="236"/>
      <c r="R650" s="236"/>
      <c r="S650" s="236"/>
      <c r="T650" s="236"/>
      <c r="U650" s="236"/>
      <c r="V650" s="236"/>
      <c r="W650" s="237"/>
      <c r="X650" s="237"/>
      <c r="Y650" s="237"/>
      <c r="Z650" s="237"/>
      <c r="AA650" s="237"/>
      <c r="AB650" s="237"/>
      <c r="AC650" s="237"/>
      <c r="AD650" s="237"/>
      <c r="AE650" s="237"/>
      <c r="AF650" s="237"/>
      <c r="AG650" s="237"/>
      <c r="AH650" s="237"/>
      <c r="AI650" s="308"/>
      <c r="AJ650" s="308"/>
      <c r="AK650" s="308"/>
      <c r="AL650" s="308"/>
      <c r="AM650" s="98"/>
      <c r="AN650" s="98"/>
    </row>
    <row r="651" ht="14.25" customHeight="1">
      <c r="A651" s="179"/>
      <c r="B651" s="98"/>
      <c r="C651" s="98"/>
      <c r="D651" s="98"/>
      <c r="E651" s="98"/>
      <c r="F651" s="235"/>
      <c r="G651" s="235"/>
      <c r="H651" s="236"/>
      <c r="I651" s="236"/>
      <c r="J651" s="236"/>
      <c r="K651" s="236"/>
      <c r="L651" s="236"/>
      <c r="M651" s="236"/>
      <c r="N651" s="236"/>
      <c r="O651" s="236"/>
      <c r="P651" s="236"/>
      <c r="Q651" s="236"/>
      <c r="R651" s="236"/>
      <c r="S651" s="236"/>
      <c r="T651" s="236"/>
      <c r="U651" s="236"/>
      <c r="V651" s="236"/>
      <c r="W651" s="237"/>
      <c r="X651" s="237"/>
      <c r="Y651" s="237"/>
      <c r="Z651" s="237"/>
      <c r="AA651" s="237"/>
      <c r="AB651" s="237"/>
      <c r="AC651" s="237"/>
      <c r="AD651" s="237"/>
      <c r="AE651" s="237"/>
      <c r="AF651" s="237"/>
      <c r="AG651" s="237"/>
      <c r="AH651" s="237"/>
      <c r="AI651" s="308"/>
      <c r="AJ651" s="308"/>
      <c r="AK651" s="308"/>
      <c r="AL651" s="308"/>
      <c r="AM651" s="98"/>
      <c r="AN651" s="98"/>
    </row>
    <row r="652" ht="14.25" customHeight="1">
      <c r="A652" s="179"/>
      <c r="B652" s="98"/>
      <c r="C652" s="98"/>
      <c r="D652" s="98"/>
      <c r="E652" s="98"/>
      <c r="F652" s="235"/>
      <c r="G652" s="235"/>
      <c r="H652" s="236"/>
      <c r="I652" s="236"/>
      <c r="J652" s="236"/>
      <c r="K652" s="236"/>
      <c r="L652" s="236"/>
      <c r="M652" s="236"/>
      <c r="N652" s="236"/>
      <c r="O652" s="236"/>
      <c r="P652" s="236"/>
      <c r="Q652" s="236"/>
      <c r="R652" s="236"/>
      <c r="S652" s="236"/>
      <c r="T652" s="236"/>
      <c r="U652" s="236"/>
      <c r="V652" s="236"/>
      <c r="W652" s="237"/>
      <c r="X652" s="237"/>
      <c r="Y652" s="237"/>
      <c r="Z652" s="237"/>
      <c r="AA652" s="237"/>
      <c r="AB652" s="237"/>
      <c r="AC652" s="237"/>
      <c r="AD652" s="237"/>
      <c r="AE652" s="237"/>
      <c r="AF652" s="237"/>
      <c r="AG652" s="237"/>
      <c r="AH652" s="237"/>
      <c r="AI652" s="308"/>
      <c r="AJ652" s="308"/>
      <c r="AK652" s="308"/>
      <c r="AL652" s="308"/>
      <c r="AM652" s="98"/>
      <c r="AN652" s="98"/>
    </row>
    <row r="653" ht="14.25" customHeight="1">
      <c r="A653" s="179"/>
      <c r="B653" s="98"/>
      <c r="C653" s="98"/>
      <c r="D653" s="98"/>
      <c r="E653" s="98"/>
      <c r="F653" s="235"/>
      <c r="G653" s="235"/>
      <c r="H653" s="236"/>
      <c r="I653" s="236"/>
      <c r="J653" s="236"/>
      <c r="K653" s="236"/>
      <c r="L653" s="236"/>
      <c r="M653" s="236"/>
      <c r="N653" s="236"/>
      <c r="O653" s="236"/>
      <c r="P653" s="236"/>
      <c r="Q653" s="236"/>
      <c r="R653" s="236"/>
      <c r="S653" s="236"/>
      <c r="T653" s="236"/>
      <c r="U653" s="236"/>
      <c r="V653" s="236"/>
      <c r="W653" s="237"/>
      <c r="X653" s="237"/>
      <c r="Y653" s="237"/>
      <c r="Z653" s="237"/>
      <c r="AA653" s="237"/>
      <c r="AB653" s="237"/>
      <c r="AC653" s="237"/>
      <c r="AD653" s="237"/>
      <c r="AE653" s="237"/>
      <c r="AF653" s="237"/>
      <c r="AG653" s="237"/>
      <c r="AH653" s="237"/>
      <c r="AI653" s="308"/>
      <c r="AJ653" s="308"/>
      <c r="AK653" s="308"/>
      <c r="AL653" s="308"/>
      <c r="AM653" s="98"/>
      <c r="AN653" s="98"/>
    </row>
    <row r="654" ht="14.25" customHeight="1">
      <c r="A654" s="179"/>
      <c r="B654" s="98"/>
      <c r="C654" s="98"/>
      <c r="D654" s="98"/>
      <c r="E654" s="98"/>
      <c r="F654" s="235"/>
      <c r="G654" s="235"/>
      <c r="H654" s="236"/>
      <c r="I654" s="236"/>
      <c r="J654" s="236"/>
      <c r="K654" s="236"/>
      <c r="L654" s="236"/>
      <c r="M654" s="236"/>
      <c r="N654" s="236"/>
      <c r="O654" s="236"/>
      <c r="P654" s="236"/>
      <c r="Q654" s="236"/>
      <c r="R654" s="236"/>
      <c r="S654" s="236"/>
      <c r="T654" s="236"/>
      <c r="U654" s="236"/>
      <c r="V654" s="236"/>
      <c r="W654" s="237"/>
      <c r="X654" s="237"/>
      <c r="Y654" s="237"/>
      <c r="Z654" s="237"/>
      <c r="AA654" s="237"/>
      <c r="AB654" s="237"/>
      <c r="AC654" s="237"/>
      <c r="AD654" s="237"/>
      <c r="AE654" s="237"/>
      <c r="AF654" s="237"/>
      <c r="AG654" s="237"/>
      <c r="AH654" s="237"/>
      <c r="AI654" s="308"/>
      <c r="AJ654" s="308"/>
      <c r="AK654" s="308"/>
      <c r="AL654" s="308"/>
      <c r="AM654" s="98"/>
      <c r="AN654" s="98"/>
    </row>
    <row r="655" ht="14.25" customHeight="1">
      <c r="A655" s="179"/>
      <c r="B655" s="98"/>
      <c r="C655" s="98"/>
      <c r="D655" s="98"/>
      <c r="E655" s="98"/>
      <c r="F655" s="235"/>
      <c r="G655" s="235"/>
      <c r="H655" s="236"/>
      <c r="I655" s="236"/>
      <c r="J655" s="236"/>
      <c r="K655" s="236"/>
      <c r="L655" s="236"/>
      <c r="M655" s="236"/>
      <c r="N655" s="236"/>
      <c r="O655" s="236"/>
      <c r="P655" s="236"/>
      <c r="Q655" s="236"/>
      <c r="R655" s="236"/>
      <c r="S655" s="236"/>
      <c r="T655" s="236"/>
      <c r="U655" s="236"/>
      <c r="V655" s="236"/>
      <c r="W655" s="237"/>
      <c r="X655" s="237"/>
      <c r="Y655" s="237"/>
      <c r="Z655" s="237"/>
      <c r="AA655" s="237"/>
      <c r="AB655" s="237"/>
      <c r="AC655" s="237"/>
      <c r="AD655" s="237"/>
      <c r="AE655" s="237"/>
      <c r="AF655" s="237"/>
      <c r="AG655" s="237"/>
      <c r="AH655" s="237"/>
      <c r="AI655" s="308"/>
      <c r="AJ655" s="308"/>
      <c r="AK655" s="308"/>
      <c r="AL655" s="308"/>
      <c r="AM655" s="98"/>
      <c r="AN655" s="98"/>
    </row>
    <row r="656" ht="14.25" customHeight="1">
      <c r="A656" s="179"/>
      <c r="B656" s="98"/>
      <c r="C656" s="98"/>
      <c r="D656" s="98"/>
      <c r="E656" s="98"/>
      <c r="F656" s="235"/>
      <c r="G656" s="235"/>
      <c r="H656" s="236"/>
      <c r="I656" s="236"/>
      <c r="J656" s="236"/>
      <c r="K656" s="236"/>
      <c r="L656" s="236"/>
      <c r="M656" s="236"/>
      <c r="N656" s="236"/>
      <c r="O656" s="236"/>
      <c r="P656" s="236"/>
      <c r="Q656" s="236"/>
      <c r="R656" s="236"/>
      <c r="S656" s="236"/>
      <c r="T656" s="236"/>
      <c r="U656" s="236"/>
      <c r="V656" s="236"/>
      <c r="W656" s="237"/>
      <c r="X656" s="237"/>
      <c r="Y656" s="237"/>
      <c r="Z656" s="237"/>
      <c r="AA656" s="237"/>
      <c r="AB656" s="237"/>
      <c r="AC656" s="237"/>
      <c r="AD656" s="237"/>
      <c r="AE656" s="237"/>
      <c r="AF656" s="237"/>
      <c r="AG656" s="237"/>
      <c r="AH656" s="237"/>
      <c r="AI656" s="308"/>
      <c r="AJ656" s="308"/>
      <c r="AK656" s="308"/>
      <c r="AL656" s="308"/>
      <c r="AM656" s="98"/>
      <c r="AN656" s="98"/>
    </row>
    <row r="657" ht="14.25" customHeight="1">
      <c r="A657" s="179"/>
      <c r="B657" s="98"/>
      <c r="C657" s="98"/>
      <c r="D657" s="98"/>
      <c r="E657" s="98"/>
      <c r="F657" s="235"/>
      <c r="G657" s="235"/>
      <c r="H657" s="236"/>
      <c r="I657" s="236"/>
      <c r="J657" s="236"/>
      <c r="K657" s="236"/>
      <c r="L657" s="236"/>
      <c r="M657" s="236"/>
      <c r="N657" s="236"/>
      <c r="O657" s="236"/>
      <c r="P657" s="236"/>
      <c r="Q657" s="236"/>
      <c r="R657" s="236"/>
      <c r="S657" s="236"/>
      <c r="T657" s="236"/>
      <c r="U657" s="236"/>
      <c r="V657" s="236"/>
      <c r="W657" s="237"/>
      <c r="X657" s="237"/>
      <c r="Y657" s="237"/>
      <c r="Z657" s="237"/>
      <c r="AA657" s="237"/>
      <c r="AB657" s="237"/>
      <c r="AC657" s="237"/>
      <c r="AD657" s="237"/>
      <c r="AE657" s="237"/>
      <c r="AF657" s="237"/>
      <c r="AG657" s="237"/>
      <c r="AH657" s="237"/>
      <c r="AI657" s="308"/>
      <c r="AJ657" s="308"/>
      <c r="AK657" s="308"/>
      <c r="AL657" s="308"/>
      <c r="AM657" s="98"/>
      <c r="AN657" s="98"/>
    </row>
    <row r="658" ht="14.25" customHeight="1">
      <c r="A658" s="179"/>
      <c r="B658" s="98"/>
      <c r="C658" s="98"/>
      <c r="D658" s="98"/>
      <c r="E658" s="98"/>
      <c r="F658" s="235"/>
      <c r="G658" s="235"/>
      <c r="H658" s="236"/>
      <c r="I658" s="236"/>
      <c r="J658" s="236"/>
      <c r="K658" s="236"/>
      <c r="L658" s="236"/>
      <c r="M658" s="236"/>
      <c r="N658" s="236"/>
      <c r="O658" s="236"/>
      <c r="P658" s="236"/>
      <c r="Q658" s="236"/>
      <c r="R658" s="236"/>
      <c r="S658" s="236"/>
      <c r="T658" s="236"/>
      <c r="U658" s="236"/>
      <c r="V658" s="236"/>
      <c r="W658" s="237"/>
      <c r="X658" s="237"/>
      <c r="Y658" s="237"/>
      <c r="Z658" s="237"/>
      <c r="AA658" s="237"/>
      <c r="AB658" s="237"/>
      <c r="AC658" s="237"/>
      <c r="AD658" s="237"/>
      <c r="AE658" s="237"/>
      <c r="AF658" s="237"/>
      <c r="AG658" s="237"/>
      <c r="AH658" s="237"/>
      <c r="AI658" s="308"/>
      <c r="AJ658" s="308"/>
      <c r="AK658" s="308"/>
      <c r="AL658" s="308"/>
      <c r="AM658" s="98"/>
      <c r="AN658" s="98"/>
    </row>
    <row r="659" ht="14.25" customHeight="1">
      <c r="A659" s="179"/>
      <c r="B659" s="98"/>
      <c r="C659" s="98"/>
      <c r="D659" s="98"/>
      <c r="E659" s="98"/>
      <c r="F659" s="235"/>
      <c r="G659" s="235"/>
      <c r="H659" s="236"/>
      <c r="I659" s="236"/>
      <c r="J659" s="236"/>
      <c r="K659" s="236"/>
      <c r="L659" s="236"/>
      <c r="M659" s="236"/>
      <c r="N659" s="236"/>
      <c r="O659" s="236"/>
      <c r="P659" s="236"/>
      <c r="Q659" s="236"/>
      <c r="R659" s="236"/>
      <c r="S659" s="236"/>
      <c r="T659" s="236"/>
      <c r="U659" s="236"/>
      <c r="V659" s="236"/>
      <c r="W659" s="237"/>
      <c r="X659" s="237"/>
      <c r="Y659" s="237"/>
      <c r="Z659" s="237"/>
      <c r="AA659" s="237"/>
      <c r="AB659" s="237"/>
      <c r="AC659" s="237"/>
      <c r="AD659" s="237"/>
      <c r="AE659" s="237"/>
      <c r="AF659" s="237"/>
      <c r="AG659" s="237"/>
      <c r="AH659" s="237"/>
      <c r="AI659" s="308"/>
      <c r="AJ659" s="308"/>
      <c r="AK659" s="308"/>
      <c r="AL659" s="308"/>
      <c r="AM659" s="98"/>
      <c r="AN659" s="98"/>
    </row>
    <row r="660" ht="14.25" customHeight="1">
      <c r="A660" s="179"/>
      <c r="B660" s="98"/>
      <c r="C660" s="98"/>
      <c r="D660" s="98"/>
      <c r="E660" s="98"/>
      <c r="F660" s="235"/>
      <c r="G660" s="235"/>
      <c r="H660" s="236"/>
      <c r="I660" s="236"/>
      <c r="J660" s="236"/>
      <c r="K660" s="236"/>
      <c r="L660" s="236"/>
      <c r="M660" s="236"/>
      <c r="N660" s="236"/>
      <c r="O660" s="236"/>
      <c r="P660" s="236"/>
      <c r="Q660" s="236"/>
      <c r="R660" s="236"/>
      <c r="S660" s="236"/>
      <c r="T660" s="236"/>
      <c r="U660" s="236"/>
      <c r="V660" s="236"/>
      <c r="W660" s="237"/>
      <c r="X660" s="237"/>
      <c r="Y660" s="237"/>
      <c r="Z660" s="237"/>
      <c r="AA660" s="237"/>
      <c r="AB660" s="237"/>
      <c r="AC660" s="237"/>
      <c r="AD660" s="237"/>
      <c r="AE660" s="237"/>
      <c r="AF660" s="237"/>
      <c r="AG660" s="237"/>
      <c r="AH660" s="237"/>
      <c r="AI660" s="308"/>
      <c r="AJ660" s="308"/>
      <c r="AK660" s="308"/>
      <c r="AL660" s="308"/>
      <c r="AM660" s="98"/>
      <c r="AN660" s="98"/>
    </row>
    <row r="661" ht="14.25" customHeight="1">
      <c r="A661" s="179"/>
      <c r="B661" s="98"/>
      <c r="C661" s="98"/>
      <c r="D661" s="98"/>
      <c r="E661" s="98"/>
      <c r="F661" s="235"/>
      <c r="G661" s="235"/>
      <c r="H661" s="236"/>
      <c r="I661" s="236"/>
      <c r="J661" s="236"/>
      <c r="K661" s="236"/>
      <c r="L661" s="236"/>
      <c r="M661" s="236"/>
      <c r="N661" s="236"/>
      <c r="O661" s="236"/>
      <c r="P661" s="236"/>
      <c r="Q661" s="236"/>
      <c r="R661" s="236"/>
      <c r="S661" s="236"/>
      <c r="T661" s="236"/>
      <c r="U661" s="236"/>
      <c r="V661" s="236"/>
      <c r="W661" s="237"/>
      <c r="X661" s="237"/>
      <c r="Y661" s="237"/>
      <c r="Z661" s="237"/>
      <c r="AA661" s="237"/>
      <c r="AB661" s="237"/>
      <c r="AC661" s="237"/>
      <c r="AD661" s="237"/>
      <c r="AE661" s="237"/>
      <c r="AF661" s="237"/>
      <c r="AG661" s="237"/>
      <c r="AH661" s="237"/>
      <c r="AI661" s="308"/>
      <c r="AJ661" s="308"/>
      <c r="AK661" s="308"/>
      <c r="AL661" s="308"/>
      <c r="AM661" s="98"/>
      <c r="AN661" s="98"/>
    </row>
    <row r="662" ht="14.25" customHeight="1">
      <c r="A662" s="179"/>
      <c r="B662" s="98"/>
      <c r="C662" s="98"/>
      <c r="D662" s="98"/>
      <c r="E662" s="98"/>
      <c r="F662" s="235"/>
      <c r="G662" s="235"/>
      <c r="H662" s="236"/>
      <c r="I662" s="236"/>
      <c r="J662" s="236"/>
      <c r="K662" s="236"/>
      <c r="L662" s="236"/>
      <c r="M662" s="236"/>
      <c r="N662" s="236"/>
      <c r="O662" s="236"/>
      <c r="P662" s="236"/>
      <c r="Q662" s="236"/>
      <c r="R662" s="236"/>
      <c r="S662" s="236"/>
      <c r="T662" s="236"/>
      <c r="U662" s="236"/>
      <c r="V662" s="236"/>
      <c r="W662" s="237"/>
      <c r="X662" s="237"/>
      <c r="Y662" s="237"/>
      <c r="Z662" s="237"/>
      <c r="AA662" s="237"/>
      <c r="AB662" s="237"/>
      <c r="AC662" s="237"/>
      <c r="AD662" s="237"/>
      <c r="AE662" s="237"/>
      <c r="AF662" s="237"/>
      <c r="AG662" s="237"/>
      <c r="AH662" s="237"/>
      <c r="AI662" s="308"/>
      <c r="AJ662" s="308"/>
      <c r="AK662" s="308"/>
      <c r="AL662" s="308"/>
      <c r="AM662" s="98"/>
      <c r="AN662" s="98"/>
    </row>
    <row r="663" ht="14.25" customHeight="1">
      <c r="A663" s="179"/>
      <c r="B663" s="98"/>
      <c r="C663" s="98"/>
      <c r="D663" s="98"/>
      <c r="E663" s="98"/>
      <c r="F663" s="235"/>
      <c r="G663" s="235"/>
      <c r="H663" s="236"/>
      <c r="I663" s="236"/>
      <c r="J663" s="236"/>
      <c r="K663" s="236"/>
      <c r="L663" s="236"/>
      <c r="M663" s="236"/>
      <c r="N663" s="236"/>
      <c r="O663" s="236"/>
      <c r="P663" s="236"/>
      <c r="Q663" s="236"/>
      <c r="R663" s="236"/>
      <c r="S663" s="236"/>
      <c r="T663" s="236"/>
      <c r="U663" s="236"/>
      <c r="V663" s="236"/>
      <c r="W663" s="237"/>
      <c r="X663" s="237"/>
      <c r="Y663" s="237"/>
      <c r="Z663" s="237"/>
      <c r="AA663" s="237"/>
      <c r="AB663" s="237"/>
      <c r="AC663" s="237"/>
      <c r="AD663" s="237"/>
      <c r="AE663" s="237"/>
      <c r="AF663" s="237"/>
      <c r="AG663" s="237"/>
      <c r="AH663" s="237"/>
      <c r="AI663" s="308"/>
      <c r="AJ663" s="308"/>
      <c r="AK663" s="308"/>
      <c r="AL663" s="308"/>
      <c r="AM663" s="98"/>
      <c r="AN663" s="98"/>
    </row>
    <row r="664" ht="14.25" customHeight="1">
      <c r="A664" s="179"/>
      <c r="B664" s="98"/>
      <c r="C664" s="98"/>
      <c r="D664" s="98"/>
      <c r="E664" s="98"/>
      <c r="F664" s="235"/>
      <c r="G664" s="235"/>
      <c r="H664" s="236"/>
      <c r="I664" s="236"/>
      <c r="J664" s="236"/>
      <c r="K664" s="236"/>
      <c r="L664" s="236"/>
      <c r="M664" s="236"/>
      <c r="N664" s="236"/>
      <c r="O664" s="236"/>
      <c r="P664" s="236"/>
      <c r="Q664" s="236"/>
      <c r="R664" s="236"/>
      <c r="S664" s="236"/>
      <c r="T664" s="236"/>
      <c r="U664" s="236"/>
      <c r="V664" s="236"/>
      <c r="W664" s="237"/>
      <c r="X664" s="237"/>
      <c r="Y664" s="237"/>
      <c r="Z664" s="237"/>
      <c r="AA664" s="237"/>
      <c r="AB664" s="237"/>
      <c r="AC664" s="237"/>
      <c r="AD664" s="237"/>
      <c r="AE664" s="237"/>
      <c r="AF664" s="237"/>
      <c r="AG664" s="237"/>
      <c r="AH664" s="237"/>
      <c r="AI664" s="308"/>
      <c r="AJ664" s="308"/>
      <c r="AK664" s="308"/>
      <c r="AL664" s="308"/>
      <c r="AM664" s="98"/>
      <c r="AN664" s="98"/>
    </row>
    <row r="665" ht="14.25" customHeight="1">
      <c r="A665" s="179"/>
      <c r="B665" s="98"/>
      <c r="C665" s="98"/>
      <c r="D665" s="98"/>
      <c r="E665" s="98"/>
      <c r="F665" s="235"/>
      <c r="G665" s="235"/>
      <c r="H665" s="236"/>
      <c r="I665" s="236"/>
      <c r="J665" s="236"/>
      <c r="K665" s="236"/>
      <c r="L665" s="236"/>
      <c r="M665" s="236"/>
      <c r="N665" s="236"/>
      <c r="O665" s="236"/>
      <c r="P665" s="236"/>
      <c r="Q665" s="236"/>
      <c r="R665" s="236"/>
      <c r="S665" s="236"/>
      <c r="T665" s="236"/>
      <c r="U665" s="236"/>
      <c r="V665" s="236"/>
      <c r="W665" s="237"/>
      <c r="X665" s="237"/>
      <c r="Y665" s="237"/>
      <c r="Z665" s="237"/>
      <c r="AA665" s="237"/>
      <c r="AB665" s="237"/>
      <c r="AC665" s="237"/>
      <c r="AD665" s="237"/>
      <c r="AE665" s="237"/>
      <c r="AF665" s="237"/>
      <c r="AG665" s="237"/>
      <c r="AH665" s="237"/>
      <c r="AI665" s="308"/>
      <c r="AJ665" s="308"/>
      <c r="AK665" s="308"/>
      <c r="AL665" s="308"/>
      <c r="AM665" s="98"/>
      <c r="AN665" s="98"/>
    </row>
    <row r="666" ht="14.25" customHeight="1">
      <c r="A666" s="179"/>
      <c r="B666" s="98"/>
      <c r="C666" s="98"/>
      <c r="D666" s="98"/>
      <c r="E666" s="98"/>
      <c r="F666" s="235"/>
      <c r="G666" s="235"/>
      <c r="H666" s="236"/>
      <c r="I666" s="236"/>
      <c r="J666" s="236"/>
      <c r="K666" s="236"/>
      <c r="L666" s="236"/>
      <c r="M666" s="236"/>
      <c r="N666" s="236"/>
      <c r="O666" s="236"/>
      <c r="P666" s="236"/>
      <c r="Q666" s="236"/>
      <c r="R666" s="236"/>
      <c r="S666" s="236"/>
      <c r="T666" s="236"/>
      <c r="U666" s="236"/>
      <c r="V666" s="236"/>
      <c r="W666" s="237"/>
      <c r="X666" s="237"/>
      <c r="Y666" s="237"/>
      <c r="Z666" s="237"/>
      <c r="AA666" s="237"/>
      <c r="AB666" s="237"/>
      <c r="AC666" s="237"/>
      <c r="AD666" s="237"/>
      <c r="AE666" s="237"/>
      <c r="AF666" s="237"/>
      <c r="AG666" s="237"/>
      <c r="AH666" s="237"/>
      <c r="AI666" s="308"/>
      <c r="AJ666" s="308"/>
      <c r="AK666" s="308"/>
      <c r="AL666" s="308"/>
      <c r="AM666" s="98"/>
      <c r="AN666" s="98"/>
    </row>
    <row r="667" ht="14.25" customHeight="1">
      <c r="A667" s="179"/>
      <c r="B667" s="98"/>
      <c r="C667" s="98"/>
      <c r="D667" s="98"/>
      <c r="E667" s="98"/>
      <c r="F667" s="235"/>
      <c r="G667" s="235"/>
      <c r="H667" s="236"/>
      <c r="I667" s="236"/>
      <c r="J667" s="236"/>
      <c r="K667" s="236"/>
      <c r="L667" s="236"/>
      <c r="M667" s="236"/>
      <c r="N667" s="236"/>
      <c r="O667" s="236"/>
      <c r="P667" s="236"/>
      <c r="Q667" s="236"/>
      <c r="R667" s="236"/>
      <c r="S667" s="236"/>
      <c r="T667" s="236"/>
      <c r="U667" s="236"/>
      <c r="V667" s="236"/>
      <c r="W667" s="237"/>
      <c r="X667" s="237"/>
      <c r="Y667" s="237"/>
      <c r="Z667" s="237"/>
      <c r="AA667" s="237"/>
      <c r="AB667" s="237"/>
      <c r="AC667" s="237"/>
      <c r="AD667" s="237"/>
      <c r="AE667" s="237"/>
      <c r="AF667" s="237"/>
      <c r="AG667" s="237"/>
      <c r="AH667" s="237"/>
      <c r="AI667" s="308"/>
      <c r="AJ667" s="308"/>
      <c r="AK667" s="308"/>
      <c r="AL667" s="308"/>
      <c r="AM667" s="98"/>
      <c r="AN667" s="98"/>
    </row>
    <row r="668" ht="14.25" customHeight="1">
      <c r="A668" s="179"/>
      <c r="B668" s="98"/>
      <c r="C668" s="98"/>
      <c r="D668" s="98"/>
      <c r="E668" s="98"/>
      <c r="F668" s="235"/>
      <c r="G668" s="235"/>
      <c r="H668" s="236"/>
      <c r="I668" s="236"/>
      <c r="J668" s="236"/>
      <c r="K668" s="236"/>
      <c r="L668" s="236"/>
      <c r="M668" s="236"/>
      <c r="N668" s="236"/>
      <c r="O668" s="236"/>
      <c r="P668" s="236"/>
      <c r="Q668" s="236"/>
      <c r="R668" s="236"/>
      <c r="S668" s="236"/>
      <c r="T668" s="236"/>
      <c r="U668" s="236"/>
      <c r="V668" s="236"/>
      <c r="W668" s="237"/>
      <c r="X668" s="237"/>
      <c r="Y668" s="237"/>
      <c r="Z668" s="237"/>
      <c r="AA668" s="237"/>
      <c r="AB668" s="237"/>
      <c r="AC668" s="237"/>
      <c r="AD668" s="237"/>
      <c r="AE668" s="237"/>
      <c r="AF668" s="237"/>
      <c r="AG668" s="237"/>
      <c r="AH668" s="237"/>
      <c r="AI668" s="308"/>
      <c r="AJ668" s="308"/>
      <c r="AK668" s="308"/>
      <c r="AL668" s="308"/>
      <c r="AM668" s="98"/>
      <c r="AN668" s="98"/>
    </row>
    <row r="669" ht="14.25" customHeight="1">
      <c r="A669" s="179"/>
      <c r="B669" s="98"/>
      <c r="C669" s="98"/>
      <c r="D669" s="98"/>
      <c r="E669" s="98"/>
      <c r="F669" s="235"/>
      <c r="G669" s="235"/>
      <c r="H669" s="236"/>
      <c r="I669" s="236"/>
      <c r="J669" s="236"/>
      <c r="K669" s="236"/>
      <c r="L669" s="236"/>
      <c r="M669" s="236"/>
      <c r="N669" s="236"/>
      <c r="O669" s="236"/>
      <c r="P669" s="236"/>
      <c r="Q669" s="236"/>
      <c r="R669" s="236"/>
      <c r="S669" s="236"/>
      <c r="T669" s="236"/>
      <c r="U669" s="236"/>
      <c r="V669" s="236"/>
      <c r="W669" s="237"/>
      <c r="X669" s="237"/>
      <c r="Y669" s="237"/>
      <c r="Z669" s="237"/>
      <c r="AA669" s="237"/>
      <c r="AB669" s="237"/>
      <c r="AC669" s="237"/>
      <c r="AD669" s="237"/>
      <c r="AE669" s="237"/>
      <c r="AF669" s="237"/>
      <c r="AG669" s="237"/>
      <c r="AH669" s="237"/>
      <c r="AI669" s="308"/>
      <c r="AJ669" s="308"/>
      <c r="AK669" s="308"/>
      <c r="AL669" s="308"/>
      <c r="AM669" s="98"/>
      <c r="AN669" s="98"/>
    </row>
    <row r="670" ht="14.25" customHeight="1">
      <c r="A670" s="179"/>
      <c r="B670" s="98"/>
      <c r="C670" s="98"/>
      <c r="D670" s="98"/>
      <c r="E670" s="98"/>
      <c r="F670" s="235"/>
      <c r="G670" s="235"/>
      <c r="H670" s="236"/>
      <c r="I670" s="236"/>
      <c r="J670" s="236"/>
      <c r="K670" s="236"/>
      <c r="L670" s="236"/>
      <c r="M670" s="236"/>
      <c r="N670" s="236"/>
      <c r="O670" s="236"/>
      <c r="P670" s="236"/>
      <c r="Q670" s="236"/>
      <c r="R670" s="236"/>
      <c r="S670" s="236"/>
      <c r="T670" s="236"/>
      <c r="U670" s="236"/>
      <c r="V670" s="236"/>
      <c r="W670" s="237"/>
      <c r="X670" s="237"/>
      <c r="Y670" s="237"/>
      <c r="Z670" s="237"/>
      <c r="AA670" s="237"/>
      <c r="AB670" s="237"/>
      <c r="AC670" s="237"/>
      <c r="AD670" s="237"/>
      <c r="AE670" s="237"/>
      <c r="AF670" s="237"/>
      <c r="AG670" s="237"/>
      <c r="AH670" s="237"/>
      <c r="AI670" s="308"/>
      <c r="AJ670" s="308"/>
      <c r="AK670" s="308"/>
      <c r="AL670" s="308"/>
      <c r="AM670" s="98"/>
      <c r="AN670" s="98"/>
    </row>
    <row r="671" ht="14.25" customHeight="1">
      <c r="A671" s="179"/>
      <c r="B671" s="98"/>
      <c r="C671" s="98"/>
      <c r="D671" s="98"/>
      <c r="E671" s="98"/>
      <c r="F671" s="235"/>
      <c r="G671" s="235"/>
      <c r="H671" s="236"/>
      <c r="I671" s="236"/>
      <c r="J671" s="236"/>
      <c r="K671" s="236"/>
      <c r="L671" s="236"/>
      <c r="M671" s="236"/>
      <c r="N671" s="236"/>
      <c r="O671" s="236"/>
      <c r="P671" s="236"/>
      <c r="Q671" s="236"/>
      <c r="R671" s="236"/>
      <c r="S671" s="236"/>
      <c r="T671" s="236"/>
      <c r="U671" s="236"/>
      <c r="V671" s="236"/>
      <c r="W671" s="237"/>
      <c r="X671" s="237"/>
      <c r="Y671" s="237"/>
      <c r="Z671" s="237"/>
      <c r="AA671" s="237"/>
      <c r="AB671" s="237"/>
      <c r="AC671" s="237"/>
      <c r="AD671" s="237"/>
      <c r="AE671" s="237"/>
      <c r="AF671" s="237"/>
      <c r="AG671" s="237"/>
      <c r="AH671" s="237"/>
      <c r="AI671" s="308"/>
      <c r="AJ671" s="308"/>
      <c r="AK671" s="308"/>
      <c r="AL671" s="308"/>
      <c r="AM671" s="98"/>
      <c r="AN671" s="98"/>
    </row>
    <row r="672" ht="14.25" customHeight="1">
      <c r="A672" s="179"/>
      <c r="B672" s="98"/>
      <c r="C672" s="98"/>
      <c r="D672" s="98"/>
      <c r="E672" s="98"/>
      <c r="F672" s="235"/>
      <c r="G672" s="235"/>
      <c r="H672" s="236"/>
      <c r="I672" s="236"/>
      <c r="J672" s="236"/>
      <c r="K672" s="236"/>
      <c r="L672" s="236"/>
      <c r="M672" s="236"/>
      <c r="N672" s="236"/>
      <c r="O672" s="236"/>
      <c r="P672" s="236"/>
      <c r="Q672" s="236"/>
      <c r="R672" s="236"/>
      <c r="S672" s="236"/>
      <c r="T672" s="236"/>
      <c r="U672" s="236"/>
      <c r="V672" s="236"/>
      <c r="W672" s="237"/>
      <c r="X672" s="237"/>
      <c r="Y672" s="237"/>
      <c r="Z672" s="237"/>
      <c r="AA672" s="237"/>
      <c r="AB672" s="237"/>
      <c r="AC672" s="237"/>
      <c r="AD672" s="237"/>
      <c r="AE672" s="237"/>
      <c r="AF672" s="237"/>
      <c r="AG672" s="237"/>
      <c r="AH672" s="237"/>
      <c r="AI672" s="308"/>
      <c r="AJ672" s="308"/>
      <c r="AK672" s="308"/>
      <c r="AL672" s="308"/>
      <c r="AM672" s="98"/>
      <c r="AN672" s="98"/>
    </row>
    <row r="673" ht="14.25" customHeight="1">
      <c r="A673" s="179"/>
      <c r="B673" s="98"/>
      <c r="C673" s="98"/>
      <c r="D673" s="98"/>
      <c r="E673" s="98"/>
      <c r="F673" s="235"/>
      <c r="G673" s="235"/>
      <c r="H673" s="236"/>
      <c r="I673" s="236"/>
      <c r="J673" s="236"/>
      <c r="K673" s="236"/>
      <c r="L673" s="236"/>
      <c r="M673" s="236"/>
      <c r="N673" s="236"/>
      <c r="O673" s="236"/>
      <c r="P673" s="236"/>
      <c r="Q673" s="236"/>
      <c r="R673" s="236"/>
      <c r="S673" s="236"/>
      <c r="T673" s="236"/>
      <c r="U673" s="236"/>
      <c r="V673" s="236"/>
      <c r="W673" s="237"/>
      <c r="X673" s="237"/>
      <c r="Y673" s="237"/>
      <c r="Z673" s="237"/>
      <c r="AA673" s="237"/>
      <c r="AB673" s="237"/>
      <c r="AC673" s="237"/>
      <c r="AD673" s="237"/>
      <c r="AE673" s="237"/>
      <c r="AF673" s="237"/>
      <c r="AG673" s="237"/>
      <c r="AH673" s="237"/>
      <c r="AI673" s="308"/>
      <c r="AJ673" s="308"/>
      <c r="AK673" s="308"/>
      <c r="AL673" s="308"/>
      <c r="AM673" s="98"/>
      <c r="AN673" s="98"/>
    </row>
    <row r="674" ht="14.25" customHeight="1">
      <c r="A674" s="179"/>
      <c r="B674" s="98"/>
      <c r="C674" s="98"/>
      <c r="D674" s="98"/>
      <c r="E674" s="98"/>
      <c r="F674" s="235"/>
      <c r="G674" s="235"/>
      <c r="H674" s="236"/>
      <c r="I674" s="236"/>
      <c r="J674" s="236"/>
      <c r="K674" s="236"/>
      <c r="L674" s="236"/>
      <c r="M674" s="236"/>
      <c r="N674" s="236"/>
      <c r="O674" s="236"/>
      <c r="P674" s="236"/>
      <c r="Q674" s="236"/>
      <c r="R674" s="236"/>
      <c r="S674" s="236"/>
      <c r="T674" s="236"/>
      <c r="U674" s="236"/>
      <c r="V674" s="236"/>
      <c r="W674" s="237"/>
      <c r="X674" s="237"/>
      <c r="Y674" s="237"/>
      <c r="Z674" s="237"/>
      <c r="AA674" s="237"/>
      <c r="AB674" s="237"/>
      <c r="AC674" s="237"/>
      <c r="AD674" s="237"/>
      <c r="AE674" s="237"/>
      <c r="AF674" s="237"/>
      <c r="AG674" s="237"/>
      <c r="AH674" s="237"/>
      <c r="AI674" s="308"/>
      <c r="AJ674" s="308"/>
      <c r="AK674" s="308"/>
      <c r="AL674" s="308"/>
      <c r="AM674" s="98"/>
      <c r="AN674" s="98"/>
    </row>
    <row r="675" ht="14.25" customHeight="1">
      <c r="A675" s="179"/>
      <c r="B675" s="98"/>
      <c r="C675" s="98"/>
      <c r="D675" s="98"/>
      <c r="E675" s="98"/>
      <c r="F675" s="235"/>
      <c r="G675" s="235"/>
      <c r="H675" s="236"/>
      <c r="I675" s="236"/>
      <c r="J675" s="236"/>
      <c r="K675" s="236"/>
      <c r="L675" s="236"/>
      <c r="M675" s="236"/>
      <c r="N675" s="236"/>
      <c r="O675" s="236"/>
      <c r="P675" s="236"/>
      <c r="Q675" s="236"/>
      <c r="R675" s="236"/>
      <c r="S675" s="236"/>
      <c r="T675" s="236"/>
      <c r="U675" s="236"/>
      <c r="V675" s="236"/>
      <c r="W675" s="237"/>
      <c r="X675" s="237"/>
      <c r="Y675" s="237"/>
      <c r="Z675" s="237"/>
      <c r="AA675" s="237"/>
      <c r="AB675" s="237"/>
      <c r="AC675" s="237"/>
      <c r="AD675" s="237"/>
      <c r="AE675" s="237"/>
      <c r="AF675" s="237"/>
      <c r="AG675" s="237"/>
      <c r="AH675" s="237"/>
      <c r="AI675" s="308"/>
      <c r="AJ675" s="308"/>
      <c r="AK675" s="308"/>
      <c r="AL675" s="308"/>
      <c r="AM675" s="98"/>
      <c r="AN675" s="98"/>
    </row>
    <row r="676" ht="14.25" customHeight="1">
      <c r="A676" s="179"/>
      <c r="B676" s="98"/>
      <c r="C676" s="98"/>
      <c r="D676" s="98"/>
      <c r="E676" s="98"/>
      <c r="F676" s="235"/>
      <c r="G676" s="235"/>
      <c r="H676" s="236"/>
      <c r="I676" s="236"/>
      <c r="J676" s="236"/>
      <c r="K676" s="236"/>
      <c r="L676" s="236"/>
      <c r="M676" s="236"/>
      <c r="N676" s="236"/>
      <c r="O676" s="236"/>
      <c r="P676" s="236"/>
      <c r="Q676" s="236"/>
      <c r="R676" s="236"/>
      <c r="S676" s="236"/>
      <c r="T676" s="236"/>
      <c r="U676" s="236"/>
      <c r="V676" s="236"/>
      <c r="W676" s="237"/>
      <c r="X676" s="237"/>
      <c r="Y676" s="237"/>
      <c r="Z676" s="237"/>
      <c r="AA676" s="237"/>
      <c r="AB676" s="237"/>
      <c r="AC676" s="237"/>
      <c r="AD676" s="237"/>
      <c r="AE676" s="237"/>
      <c r="AF676" s="237"/>
      <c r="AG676" s="237"/>
      <c r="AH676" s="237"/>
      <c r="AI676" s="308"/>
      <c r="AJ676" s="308"/>
      <c r="AK676" s="308"/>
      <c r="AL676" s="308"/>
      <c r="AM676" s="98"/>
      <c r="AN676" s="98"/>
    </row>
    <row r="677" ht="14.25" customHeight="1">
      <c r="A677" s="179"/>
      <c r="B677" s="98"/>
      <c r="C677" s="98"/>
      <c r="D677" s="98"/>
      <c r="E677" s="98"/>
      <c r="F677" s="235"/>
      <c r="G677" s="235"/>
      <c r="H677" s="236"/>
      <c r="I677" s="236"/>
      <c r="J677" s="236"/>
      <c r="K677" s="236"/>
      <c r="L677" s="236"/>
      <c r="M677" s="236"/>
      <c r="N677" s="236"/>
      <c r="O677" s="236"/>
      <c r="P677" s="236"/>
      <c r="Q677" s="236"/>
      <c r="R677" s="236"/>
      <c r="S677" s="236"/>
      <c r="T677" s="236"/>
      <c r="U677" s="236"/>
      <c r="V677" s="236"/>
      <c r="W677" s="237"/>
      <c r="X677" s="237"/>
      <c r="Y677" s="237"/>
      <c r="Z677" s="237"/>
      <c r="AA677" s="237"/>
      <c r="AB677" s="237"/>
      <c r="AC677" s="237"/>
      <c r="AD677" s="237"/>
      <c r="AE677" s="237"/>
      <c r="AF677" s="237"/>
      <c r="AG677" s="237"/>
      <c r="AH677" s="237"/>
      <c r="AI677" s="308"/>
      <c r="AJ677" s="308"/>
      <c r="AK677" s="308"/>
      <c r="AL677" s="308"/>
      <c r="AM677" s="98"/>
      <c r="AN677" s="98"/>
    </row>
    <row r="678" ht="14.25" customHeight="1">
      <c r="A678" s="179"/>
      <c r="B678" s="98"/>
      <c r="C678" s="98"/>
      <c r="D678" s="98"/>
      <c r="E678" s="98"/>
      <c r="F678" s="235"/>
      <c r="G678" s="235"/>
      <c r="H678" s="236"/>
      <c r="I678" s="236"/>
      <c r="J678" s="236"/>
      <c r="K678" s="236"/>
      <c r="L678" s="236"/>
      <c r="M678" s="236"/>
      <c r="N678" s="236"/>
      <c r="O678" s="236"/>
      <c r="P678" s="236"/>
      <c r="Q678" s="236"/>
      <c r="R678" s="236"/>
      <c r="S678" s="236"/>
      <c r="T678" s="236"/>
      <c r="U678" s="236"/>
      <c r="V678" s="236"/>
      <c r="W678" s="237"/>
      <c r="X678" s="237"/>
      <c r="Y678" s="237"/>
      <c r="Z678" s="237"/>
      <c r="AA678" s="237"/>
      <c r="AB678" s="237"/>
      <c r="AC678" s="237"/>
      <c r="AD678" s="237"/>
      <c r="AE678" s="237"/>
      <c r="AF678" s="237"/>
      <c r="AG678" s="237"/>
      <c r="AH678" s="237"/>
      <c r="AI678" s="308"/>
      <c r="AJ678" s="308"/>
      <c r="AK678" s="308"/>
      <c r="AL678" s="308"/>
      <c r="AM678" s="98"/>
      <c r="AN678" s="98"/>
    </row>
    <row r="679" ht="14.25" customHeight="1">
      <c r="A679" s="179"/>
      <c r="B679" s="98"/>
      <c r="C679" s="98"/>
      <c r="D679" s="98"/>
      <c r="E679" s="98"/>
      <c r="F679" s="235"/>
      <c r="G679" s="235"/>
      <c r="H679" s="236"/>
      <c r="I679" s="236"/>
      <c r="J679" s="236"/>
      <c r="K679" s="236"/>
      <c r="L679" s="236"/>
      <c r="M679" s="236"/>
      <c r="N679" s="236"/>
      <c r="O679" s="236"/>
      <c r="P679" s="236"/>
      <c r="Q679" s="236"/>
      <c r="R679" s="236"/>
      <c r="S679" s="236"/>
      <c r="T679" s="236"/>
      <c r="U679" s="236"/>
      <c r="V679" s="236"/>
      <c r="W679" s="237"/>
      <c r="X679" s="237"/>
      <c r="Y679" s="237"/>
      <c r="Z679" s="237"/>
      <c r="AA679" s="237"/>
      <c r="AB679" s="237"/>
      <c r="AC679" s="237"/>
      <c r="AD679" s="237"/>
      <c r="AE679" s="237"/>
      <c r="AF679" s="237"/>
      <c r="AG679" s="237"/>
      <c r="AH679" s="237"/>
      <c r="AI679" s="308"/>
      <c r="AJ679" s="308"/>
      <c r="AK679" s="308"/>
      <c r="AL679" s="308"/>
      <c r="AM679" s="98"/>
      <c r="AN679" s="98"/>
    </row>
    <row r="680" ht="14.25" customHeight="1">
      <c r="A680" s="179"/>
      <c r="B680" s="98"/>
      <c r="C680" s="98"/>
      <c r="D680" s="98"/>
      <c r="E680" s="98"/>
      <c r="F680" s="235"/>
      <c r="G680" s="235"/>
      <c r="H680" s="236"/>
      <c r="I680" s="236"/>
      <c r="J680" s="236"/>
      <c r="K680" s="236"/>
      <c r="L680" s="236"/>
      <c r="M680" s="236"/>
      <c r="N680" s="236"/>
      <c r="O680" s="236"/>
      <c r="P680" s="236"/>
      <c r="Q680" s="236"/>
      <c r="R680" s="236"/>
      <c r="S680" s="236"/>
      <c r="T680" s="236"/>
      <c r="U680" s="236"/>
      <c r="V680" s="236"/>
      <c r="W680" s="237"/>
      <c r="X680" s="237"/>
      <c r="Y680" s="237"/>
      <c r="Z680" s="237"/>
      <c r="AA680" s="237"/>
      <c r="AB680" s="237"/>
      <c r="AC680" s="237"/>
      <c r="AD680" s="237"/>
      <c r="AE680" s="237"/>
      <c r="AF680" s="237"/>
      <c r="AG680" s="237"/>
      <c r="AH680" s="237"/>
      <c r="AI680" s="308"/>
      <c r="AJ680" s="308"/>
      <c r="AK680" s="308"/>
      <c r="AL680" s="308"/>
      <c r="AM680" s="98"/>
      <c r="AN680" s="98"/>
    </row>
    <row r="681" ht="14.25" customHeight="1">
      <c r="A681" s="179"/>
      <c r="B681" s="98"/>
      <c r="C681" s="98"/>
      <c r="D681" s="98"/>
      <c r="E681" s="98"/>
      <c r="F681" s="235"/>
      <c r="G681" s="235"/>
      <c r="H681" s="236"/>
      <c r="I681" s="236"/>
      <c r="J681" s="236"/>
      <c r="K681" s="236"/>
      <c r="L681" s="236"/>
      <c r="M681" s="236"/>
      <c r="N681" s="236"/>
      <c r="O681" s="236"/>
      <c r="P681" s="236"/>
      <c r="Q681" s="236"/>
      <c r="R681" s="236"/>
      <c r="S681" s="236"/>
      <c r="T681" s="236"/>
      <c r="U681" s="236"/>
      <c r="V681" s="236"/>
      <c r="W681" s="237"/>
      <c r="X681" s="237"/>
      <c r="Y681" s="237"/>
      <c r="Z681" s="237"/>
      <c r="AA681" s="237"/>
      <c r="AB681" s="237"/>
      <c r="AC681" s="237"/>
      <c r="AD681" s="237"/>
      <c r="AE681" s="237"/>
      <c r="AF681" s="237"/>
      <c r="AG681" s="237"/>
      <c r="AH681" s="237"/>
      <c r="AI681" s="308"/>
      <c r="AJ681" s="308"/>
      <c r="AK681" s="308"/>
      <c r="AL681" s="308"/>
      <c r="AM681" s="98"/>
      <c r="AN681" s="98"/>
    </row>
    <row r="682" ht="14.25" customHeight="1">
      <c r="A682" s="179"/>
      <c r="B682" s="98"/>
      <c r="C682" s="98"/>
      <c r="D682" s="98"/>
      <c r="E682" s="98"/>
      <c r="F682" s="235"/>
      <c r="G682" s="235"/>
      <c r="H682" s="236"/>
      <c r="I682" s="236"/>
      <c r="J682" s="236"/>
      <c r="K682" s="236"/>
      <c r="L682" s="236"/>
      <c r="M682" s="236"/>
      <c r="N682" s="236"/>
      <c r="O682" s="236"/>
      <c r="P682" s="236"/>
      <c r="Q682" s="236"/>
      <c r="R682" s="236"/>
      <c r="S682" s="236"/>
      <c r="T682" s="236"/>
      <c r="U682" s="236"/>
      <c r="V682" s="236"/>
      <c r="W682" s="237"/>
      <c r="X682" s="237"/>
      <c r="Y682" s="237"/>
      <c r="Z682" s="237"/>
      <c r="AA682" s="237"/>
      <c r="AB682" s="237"/>
      <c r="AC682" s="237"/>
      <c r="AD682" s="237"/>
      <c r="AE682" s="237"/>
      <c r="AF682" s="237"/>
      <c r="AG682" s="237"/>
      <c r="AH682" s="237"/>
      <c r="AI682" s="308"/>
      <c r="AJ682" s="308"/>
      <c r="AK682" s="308"/>
      <c r="AL682" s="308"/>
      <c r="AM682" s="98"/>
      <c r="AN682" s="98"/>
    </row>
    <row r="683" ht="14.25" customHeight="1">
      <c r="A683" s="179"/>
      <c r="B683" s="98"/>
      <c r="C683" s="98"/>
      <c r="D683" s="98"/>
      <c r="E683" s="98"/>
      <c r="F683" s="235"/>
      <c r="G683" s="235"/>
      <c r="H683" s="236"/>
      <c r="I683" s="236"/>
      <c r="J683" s="236"/>
      <c r="K683" s="236"/>
      <c r="L683" s="236"/>
      <c r="M683" s="236"/>
      <c r="N683" s="236"/>
      <c r="O683" s="236"/>
      <c r="P683" s="236"/>
      <c r="Q683" s="236"/>
      <c r="R683" s="236"/>
      <c r="S683" s="236"/>
      <c r="T683" s="236"/>
      <c r="U683" s="236"/>
      <c r="V683" s="236"/>
      <c r="W683" s="237"/>
      <c r="X683" s="237"/>
      <c r="Y683" s="237"/>
      <c r="Z683" s="237"/>
      <c r="AA683" s="237"/>
      <c r="AB683" s="237"/>
      <c r="AC683" s="237"/>
      <c r="AD683" s="237"/>
      <c r="AE683" s="237"/>
      <c r="AF683" s="237"/>
      <c r="AG683" s="237"/>
      <c r="AH683" s="237"/>
      <c r="AI683" s="308"/>
      <c r="AJ683" s="308"/>
      <c r="AK683" s="308"/>
      <c r="AL683" s="308"/>
      <c r="AM683" s="98"/>
      <c r="AN683" s="98"/>
    </row>
    <row r="684" ht="14.25" customHeight="1">
      <c r="A684" s="179"/>
      <c r="B684" s="98"/>
      <c r="C684" s="98"/>
      <c r="D684" s="98"/>
      <c r="E684" s="98"/>
      <c r="F684" s="235"/>
      <c r="G684" s="235"/>
      <c r="H684" s="236"/>
      <c r="I684" s="236"/>
      <c r="J684" s="236"/>
      <c r="K684" s="236"/>
      <c r="L684" s="236"/>
      <c r="M684" s="236"/>
      <c r="N684" s="236"/>
      <c r="O684" s="236"/>
      <c r="P684" s="236"/>
      <c r="Q684" s="236"/>
      <c r="R684" s="236"/>
      <c r="S684" s="236"/>
      <c r="T684" s="236"/>
      <c r="U684" s="236"/>
      <c r="V684" s="236"/>
      <c r="W684" s="237"/>
      <c r="X684" s="237"/>
      <c r="Y684" s="237"/>
      <c r="Z684" s="237"/>
      <c r="AA684" s="237"/>
      <c r="AB684" s="237"/>
      <c r="AC684" s="237"/>
      <c r="AD684" s="237"/>
      <c r="AE684" s="237"/>
      <c r="AF684" s="237"/>
      <c r="AG684" s="237"/>
      <c r="AH684" s="237"/>
      <c r="AI684" s="308"/>
      <c r="AJ684" s="308"/>
      <c r="AK684" s="308"/>
      <c r="AL684" s="308"/>
      <c r="AM684" s="98"/>
      <c r="AN684" s="98"/>
    </row>
    <row r="685" ht="14.25" customHeight="1">
      <c r="A685" s="179"/>
      <c r="B685" s="98"/>
      <c r="C685" s="98"/>
      <c r="D685" s="98"/>
      <c r="E685" s="98"/>
      <c r="F685" s="235"/>
      <c r="G685" s="235"/>
      <c r="H685" s="236"/>
      <c r="I685" s="236"/>
      <c r="J685" s="236"/>
      <c r="K685" s="236"/>
      <c r="L685" s="236"/>
      <c r="M685" s="236"/>
      <c r="N685" s="236"/>
      <c r="O685" s="236"/>
      <c r="P685" s="236"/>
      <c r="Q685" s="236"/>
      <c r="R685" s="236"/>
      <c r="S685" s="236"/>
      <c r="T685" s="236"/>
      <c r="U685" s="236"/>
      <c r="V685" s="236"/>
      <c r="W685" s="237"/>
      <c r="X685" s="237"/>
      <c r="Y685" s="237"/>
      <c r="Z685" s="237"/>
      <c r="AA685" s="237"/>
      <c r="AB685" s="237"/>
      <c r="AC685" s="237"/>
      <c r="AD685" s="237"/>
      <c r="AE685" s="237"/>
      <c r="AF685" s="237"/>
      <c r="AG685" s="237"/>
      <c r="AH685" s="237"/>
      <c r="AI685" s="308"/>
      <c r="AJ685" s="308"/>
      <c r="AK685" s="308"/>
      <c r="AL685" s="308"/>
      <c r="AM685" s="98"/>
      <c r="AN685" s="98"/>
    </row>
    <row r="686" ht="14.25" customHeight="1">
      <c r="A686" s="179"/>
      <c r="B686" s="98"/>
      <c r="C686" s="98"/>
      <c r="D686" s="98"/>
      <c r="E686" s="98"/>
      <c r="F686" s="235"/>
      <c r="G686" s="235"/>
      <c r="H686" s="236"/>
      <c r="I686" s="236"/>
      <c r="J686" s="236"/>
      <c r="K686" s="236"/>
      <c r="L686" s="236"/>
      <c r="M686" s="236"/>
      <c r="N686" s="236"/>
      <c r="O686" s="236"/>
      <c r="P686" s="236"/>
      <c r="Q686" s="236"/>
      <c r="R686" s="236"/>
      <c r="S686" s="236"/>
      <c r="T686" s="236"/>
      <c r="U686" s="236"/>
      <c r="V686" s="236"/>
      <c r="W686" s="237"/>
      <c r="X686" s="237"/>
      <c r="Y686" s="237"/>
      <c r="Z686" s="237"/>
      <c r="AA686" s="237"/>
      <c r="AB686" s="237"/>
      <c r="AC686" s="237"/>
      <c r="AD686" s="237"/>
      <c r="AE686" s="237"/>
      <c r="AF686" s="237"/>
      <c r="AG686" s="237"/>
      <c r="AH686" s="237"/>
      <c r="AI686" s="308"/>
      <c r="AJ686" s="308"/>
      <c r="AK686" s="308"/>
      <c r="AL686" s="308"/>
      <c r="AM686" s="98"/>
      <c r="AN686" s="98"/>
    </row>
    <row r="687" ht="14.25" customHeight="1">
      <c r="A687" s="179"/>
      <c r="B687" s="98"/>
      <c r="C687" s="98"/>
      <c r="D687" s="98"/>
      <c r="E687" s="98"/>
      <c r="F687" s="235"/>
      <c r="G687" s="235"/>
      <c r="H687" s="236"/>
      <c r="I687" s="236"/>
      <c r="J687" s="236"/>
      <c r="K687" s="236"/>
      <c r="L687" s="236"/>
      <c r="M687" s="236"/>
      <c r="N687" s="236"/>
      <c r="O687" s="236"/>
      <c r="P687" s="236"/>
      <c r="Q687" s="236"/>
      <c r="R687" s="236"/>
      <c r="S687" s="236"/>
      <c r="T687" s="236"/>
      <c r="U687" s="236"/>
      <c r="V687" s="236"/>
      <c r="W687" s="237"/>
      <c r="X687" s="237"/>
      <c r="Y687" s="237"/>
      <c r="Z687" s="237"/>
      <c r="AA687" s="237"/>
      <c r="AB687" s="237"/>
      <c r="AC687" s="237"/>
      <c r="AD687" s="237"/>
      <c r="AE687" s="237"/>
      <c r="AF687" s="237"/>
      <c r="AG687" s="237"/>
      <c r="AH687" s="237"/>
      <c r="AI687" s="308"/>
      <c r="AJ687" s="308"/>
      <c r="AK687" s="308"/>
      <c r="AL687" s="308"/>
      <c r="AM687" s="98"/>
      <c r="AN687" s="98"/>
    </row>
    <row r="688" ht="14.25" customHeight="1">
      <c r="A688" s="179"/>
      <c r="B688" s="98"/>
      <c r="C688" s="98"/>
      <c r="D688" s="98"/>
      <c r="E688" s="98"/>
      <c r="F688" s="235"/>
      <c r="G688" s="235"/>
      <c r="H688" s="236"/>
      <c r="I688" s="236"/>
      <c r="J688" s="236"/>
      <c r="K688" s="236"/>
      <c r="L688" s="236"/>
      <c r="M688" s="236"/>
      <c r="N688" s="236"/>
      <c r="O688" s="236"/>
      <c r="P688" s="236"/>
      <c r="Q688" s="236"/>
      <c r="R688" s="236"/>
      <c r="S688" s="236"/>
      <c r="T688" s="236"/>
      <c r="U688" s="236"/>
      <c r="V688" s="236"/>
      <c r="W688" s="237"/>
      <c r="X688" s="237"/>
      <c r="Y688" s="237"/>
      <c r="Z688" s="237"/>
      <c r="AA688" s="237"/>
      <c r="AB688" s="237"/>
      <c r="AC688" s="237"/>
      <c r="AD688" s="237"/>
      <c r="AE688" s="237"/>
      <c r="AF688" s="237"/>
      <c r="AG688" s="237"/>
      <c r="AH688" s="237"/>
      <c r="AI688" s="308"/>
      <c r="AJ688" s="308"/>
      <c r="AK688" s="308"/>
      <c r="AL688" s="308"/>
      <c r="AM688" s="98"/>
      <c r="AN688" s="98"/>
    </row>
    <row r="689" ht="14.25" customHeight="1">
      <c r="A689" s="179"/>
      <c r="B689" s="98"/>
      <c r="C689" s="98"/>
      <c r="D689" s="98"/>
      <c r="E689" s="98"/>
      <c r="F689" s="235"/>
      <c r="G689" s="235"/>
      <c r="H689" s="236"/>
      <c r="I689" s="236"/>
      <c r="J689" s="236"/>
      <c r="K689" s="236"/>
      <c r="L689" s="236"/>
      <c r="M689" s="236"/>
      <c r="N689" s="236"/>
      <c r="O689" s="236"/>
      <c r="P689" s="236"/>
      <c r="Q689" s="236"/>
      <c r="R689" s="236"/>
      <c r="S689" s="236"/>
      <c r="T689" s="236"/>
      <c r="U689" s="236"/>
      <c r="V689" s="236"/>
      <c r="W689" s="237"/>
      <c r="X689" s="237"/>
      <c r="Y689" s="237"/>
      <c r="Z689" s="237"/>
      <c r="AA689" s="237"/>
      <c r="AB689" s="237"/>
      <c r="AC689" s="237"/>
      <c r="AD689" s="237"/>
      <c r="AE689" s="237"/>
      <c r="AF689" s="237"/>
      <c r="AG689" s="237"/>
      <c r="AH689" s="237"/>
      <c r="AI689" s="308"/>
      <c r="AJ689" s="308"/>
      <c r="AK689" s="308"/>
      <c r="AL689" s="308"/>
      <c r="AM689" s="98"/>
      <c r="AN689" s="98"/>
    </row>
    <row r="690" ht="14.25" customHeight="1">
      <c r="A690" s="179"/>
      <c r="B690" s="98"/>
      <c r="C690" s="98"/>
      <c r="D690" s="98"/>
      <c r="E690" s="98"/>
      <c r="F690" s="235"/>
      <c r="G690" s="235"/>
      <c r="H690" s="236"/>
      <c r="I690" s="236"/>
      <c r="J690" s="236"/>
      <c r="K690" s="236"/>
      <c r="L690" s="236"/>
      <c r="M690" s="236"/>
      <c r="N690" s="236"/>
      <c r="O690" s="236"/>
      <c r="P690" s="236"/>
      <c r="Q690" s="236"/>
      <c r="R690" s="236"/>
      <c r="S690" s="236"/>
      <c r="T690" s="236"/>
      <c r="U690" s="236"/>
      <c r="V690" s="236"/>
      <c r="W690" s="237"/>
      <c r="X690" s="237"/>
      <c r="Y690" s="237"/>
      <c r="Z690" s="237"/>
      <c r="AA690" s="237"/>
      <c r="AB690" s="237"/>
      <c r="AC690" s="237"/>
      <c r="AD690" s="237"/>
      <c r="AE690" s="237"/>
      <c r="AF690" s="237"/>
      <c r="AG690" s="237"/>
      <c r="AH690" s="237"/>
      <c r="AI690" s="308"/>
      <c r="AJ690" s="308"/>
      <c r="AK690" s="308"/>
      <c r="AL690" s="308"/>
      <c r="AM690" s="98"/>
      <c r="AN690" s="98"/>
    </row>
    <row r="691" ht="14.25" customHeight="1">
      <c r="A691" s="179"/>
      <c r="B691" s="98"/>
      <c r="C691" s="98"/>
      <c r="D691" s="98"/>
      <c r="E691" s="98"/>
      <c r="F691" s="235"/>
      <c r="G691" s="235"/>
      <c r="H691" s="236"/>
      <c r="I691" s="236"/>
      <c r="J691" s="236"/>
      <c r="K691" s="236"/>
      <c r="L691" s="236"/>
      <c r="M691" s="236"/>
      <c r="N691" s="236"/>
      <c r="O691" s="236"/>
      <c r="P691" s="236"/>
      <c r="Q691" s="236"/>
      <c r="R691" s="236"/>
      <c r="S691" s="236"/>
      <c r="T691" s="236"/>
      <c r="U691" s="236"/>
      <c r="V691" s="236"/>
      <c r="W691" s="237"/>
      <c r="X691" s="237"/>
      <c r="Y691" s="237"/>
      <c r="Z691" s="237"/>
      <c r="AA691" s="237"/>
      <c r="AB691" s="237"/>
      <c r="AC691" s="237"/>
      <c r="AD691" s="237"/>
      <c r="AE691" s="237"/>
      <c r="AF691" s="237"/>
      <c r="AG691" s="237"/>
      <c r="AH691" s="237"/>
      <c r="AI691" s="308"/>
      <c r="AJ691" s="308"/>
      <c r="AK691" s="308"/>
      <c r="AL691" s="308"/>
      <c r="AM691" s="98"/>
      <c r="AN691" s="98"/>
    </row>
    <row r="692" ht="14.25" customHeight="1">
      <c r="A692" s="179"/>
      <c r="B692" s="98"/>
      <c r="C692" s="98"/>
      <c r="D692" s="98"/>
      <c r="E692" s="98"/>
      <c r="F692" s="235"/>
      <c r="G692" s="235"/>
      <c r="H692" s="236"/>
      <c r="I692" s="236"/>
      <c r="J692" s="236"/>
      <c r="K692" s="236"/>
      <c r="L692" s="236"/>
      <c r="M692" s="236"/>
      <c r="N692" s="236"/>
      <c r="O692" s="236"/>
      <c r="P692" s="236"/>
      <c r="Q692" s="236"/>
      <c r="R692" s="236"/>
      <c r="S692" s="236"/>
      <c r="T692" s="236"/>
      <c r="U692" s="236"/>
      <c r="V692" s="236"/>
      <c r="W692" s="237"/>
      <c r="X692" s="237"/>
      <c r="Y692" s="237"/>
      <c r="Z692" s="237"/>
      <c r="AA692" s="237"/>
      <c r="AB692" s="237"/>
      <c r="AC692" s="237"/>
      <c r="AD692" s="237"/>
      <c r="AE692" s="237"/>
      <c r="AF692" s="237"/>
      <c r="AG692" s="237"/>
      <c r="AH692" s="237"/>
      <c r="AI692" s="308"/>
      <c r="AJ692" s="308"/>
      <c r="AK692" s="308"/>
      <c r="AL692" s="308"/>
      <c r="AM692" s="98"/>
      <c r="AN692" s="98"/>
    </row>
    <row r="693" ht="14.25" customHeight="1">
      <c r="A693" s="179"/>
      <c r="B693" s="98"/>
      <c r="C693" s="98"/>
      <c r="D693" s="98"/>
      <c r="E693" s="98"/>
      <c r="F693" s="235"/>
      <c r="G693" s="235"/>
      <c r="H693" s="236"/>
      <c r="I693" s="236"/>
      <c r="J693" s="236"/>
      <c r="K693" s="236"/>
      <c r="L693" s="236"/>
      <c r="M693" s="236"/>
      <c r="N693" s="236"/>
      <c r="O693" s="236"/>
      <c r="P693" s="236"/>
      <c r="Q693" s="236"/>
      <c r="R693" s="236"/>
      <c r="S693" s="236"/>
      <c r="T693" s="236"/>
      <c r="U693" s="236"/>
      <c r="V693" s="236"/>
      <c r="W693" s="237"/>
      <c r="X693" s="237"/>
      <c r="Y693" s="237"/>
      <c r="Z693" s="237"/>
      <c r="AA693" s="237"/>
      <c r="AB693" s="237"/>
      <c r="AC693" s="237"/>
      <c r="AD693" s="237"/>
      <c r="AE693" s="237"/>
      <c r="AF693" s="237"/>
      <c r="AG693" s="237"/>
      <c r="AH693" s="237"/>
      <c r="AI693" s="308"/>
      <c r="AJ693" s="308"/>
      <c r="AK693" s="308"/>
      <c r="AL693" s="308"/>
      <c r="AM693" s="98"/>
      <c r="AN693" s="98"/>
    </row>
    <row r="694" ht="14.25" customHeight="1">
      <c r="A694" s="179"/>
      <c r="B694" s="98"/>
      <c r="C694" s="98"/>
      <c r="D694" s="98"/>
      <c r="E694" s="98"/>
      <c r="F694" s="235"/>
      <c r="G694" s="235"/>
      <c r="H694" s="236"/>
      <c r="I694" s="236"/>
      <c r="J694" s="236"/>
      <c r="K694" s="236"/>
      <c r="L694" s="236"/>
      <c r="M694" s="236"/>
      <c r="N694" s="236"/>
      <c r="O694" s="236"/>
      <c r="P694" s="236"/>
      <c r="Q694" s="236"/>
      <c r="R694" s="236"/>
      <c r="S694" s="236"/>
      <c r="T694" s="236"/>
      <c r="U694" s="236"/>
      <c r="V694" s="236"/>
      <c r="W694" s="237"/>
      <c r="X694" s="237"/>
      <c r="Y694" s="237"/>
      <c r="Z694" s="237"/>
      <c r="AA694" s="237"/>
      <c r="AB694" s="237"/>
      <c r="AC694" s="237"/>
      <c r="AD694" s="237"/>
      <c r="AE694" s="237"/>
      <c r="AF694" s="237"/>
      <c r="AG694" s="237"/>
      <c r="AH694" s="237"/>
      <c r="AI694" s="308"/>
      <c r="AJ694" s="308"/>
      <c r="AK694" s="308"/>
      <c r="AL694" s="308"/>
      <c r="AM694" s="98"/>
      <c r="AN694" s="98"/>
    </row>
    <row r="695" ht="14.25" customHeight="1">
      <c r="A695" s="179"/>
      <c r="B695" s="98"/>
      <c r="C695" s="98"/>
      <c r="D695" s="98"/>
      <c r="E695" s="98"/>
      <c r="F695" s="235"/>
      <c r="G695" s="235"/>
      <c r="H695" s="236"/>
      <c r="I695" s="236"/>
      <c r="J695" s="236"/>
      <c r="K695" s="236"/>
      <c r="L695" s="236"/>
      <c r="M695" s="236"/>
      <c r="N695" s="236"/>
      <c r="O695" s="236"/>
      <c r="P695" s="236"/>
      <c r="Q695" s="236"/>
      <c r="R695" s="236"/>
      <c r="S695" s="236"/>
      <c r="T695" s="236"/>
      <c r="U695" s="236"/>
      <c r="V695" s="236"/>
      <c r="W695" s="237"/>
      <c r="X695" s="237"/>
      <c r="Y695" s="237"/>
      <c r="Z695" s="237"/>
      <c r="AA695" s="237"/>
      <c r="AB695" s="237"/>
      <c r="AC695" s="237"/>
      <c r="AD695" s="237"/>
      <c r="AE695" s="237"/>
      <c r="AF695" s="237"/>
      <c r="AG695" s="237"/>
      <c r="AH695" s="237"/>
      <c r="AI695" s="308"/>
      <c r="AJ695" s="308"/>
      <c r="AK695" s="308"/>
      <c r="AL695" s="308"/>
      <c r="AM695" s="98"/>
      <c r="AN695" s="98"/>
    </row>
    <row r="696" ht="14.25" customHeight="1">
      <c r="A696" s="179"/>
      <c r="B696" s="98"/>
      <c r="C696" s="98"/>
      <c r="D696" s="98"/>
      <c r="E696" s="98"/>
      <c r="F696" s="235"/>
      <c r="G696" s="235"/>
      <c r="H696" s="236"/>
      <c r="I696" s="236"/>
      <c r="J696" s="236"/>
      <c r="K696" s="236"/>
      <c r="L696" s="236"/>
      <c r="M696" s="236"/>
      <c r="N696" s="236"/>
      <c r="O696" s="236"/>
      <c r="P696" s="236"/>
      <c r="Q696" s="236"/>
      <c r="R696" s="236"/>
      <c r="S696" s="236"/>
      <c r="T696" s="236"/>
      <c r="U696" s="236"/>
      <c r="V696" s="236"/>
      <c r="W696" s="237"/>
      <c r="X696" s="237"/>
      <c r="Y696" s="237"/>
      <c r="Z696" s="237"/>
      <c r="AA696" s="237"/>
      <c r="AB696" s="237"/>
      <c r="AC696" s="237"/>
      <c r="AD696" s="237"/>
      <c r="AE696" s="237"/>
      <c r="AF696" s="237"/>
      <c r="AG696" s="237"/>
      <c r="AH696" s="237"/>
      <c r="AI696" s="308"/>
      <c r="AJ696" s="308"/>
      <c r="AK696" s="308"/>
      <c r="AL696" s="308"/>
      <c r="AM696" s="98"/>
      <c r="AN696" s="98"/>
    </row>
    <row r="697" ht="14.25" customHeight="1">
      <c r="A697" s="179"/>
      <c r="B697" s="98"/>
      <c r="C697" s="98"/>
      <c r="D697" s="98"/>
      <c r="E697" s="98"/>
      <c r="F697" s="235"/>
      <c r="G697" s="235"/>
      <c r="H697" s="236"/>
      <c r="I697" s="236"/>
      <c r="J697" s="236"/>
      <c r="K697" s="236"/>
      <c r="L697" s="236"/>
      <c r="M697" s="236"/>
      <c r="N697" s="236"/>
      <c r="O697" s="236"/>
      <c r="P697" s="236"/>
      <c r="Q697" s="236"/>
      <c r="R697" s="236"/>
      <c r="S697" s="236"/>
      <c r="T697" s="236"/>
      <c r="U697" s="236"/>
      <c r="V697" s="236"/>
      <c r="W697" s="237"/>
      <c r="X697" s="237"/>
      <c r="Y697" s="237"/>
      <c r="Z697" s="237"/>
      <c r="AA697" s="237"/>
      <c r="AB697" s="237"/>
      <c r="AC697" s="237"/>
      <c r="AD697" s="237"/>
      <c r="AE697" s="237"/>
      <c r="AF697" s="237"/>
      <c r="AG697" s="237"/>
      <c r="AH697" s="237"/>
      <c r="AI697" s="308"/>
      <c r="AJ697" s="308"/>
      <c r="AK697" s="308"/>
      <c r="AL697" s="308"/>
      <c r="AM697" s="98"/>
      <c r="AN697" s="98"/>
    </row>
    <row r="698" ht="14.25" customHeight="1">
      <c r="A698" s="179"/>
      <c r="B698" s="98"/>
      <c r="C698" s="98"/>
      <c r="D698" s="98"/>
      <c r="E698" s="98"/>
      <c r="F698" s="235"/>
      <c r="G698" s="235"/>
      <c r="H698" s="236"/>
      <c r="I698" s="236"/>
      <c r="J698" s="236"/>
      <c r="K698" s="236"/>
      <c r="L698" s="236"/>
      <c r="M698" s="236"/>
      <c r="N698" s="236"/>
      <c r="O698" s="236"/>
      <c r="P698" s="236"/>
      <c r="Q698" s="236"/>
      <c r="R698" s="236"/>
      <c r="S698" s="236"/>
      <c r="T698" s="236"/>
      <c r="U698" s="236"/>
      <c r="V698" s="236"/>
      <c r="W698" s="237"/>
      <c r="X698" s="237"/>
      <c r="Y698" s="237"/>
      <c r="Z698" s="237"/>
      <c r="AA698" s="237"/>
      <c r="AB698" s="237"/>
      <c r="AC698" s="237"/>
      <c r="AD698" s="237"/>
      <c r="AE698" s="237"/>
      <c r="AF698" s="237"/>
      <c r="AG698" s="237"/>
      <c r="AH698" s="237"/>
      <c r="AI698" s="308"/>
      <c r="AJ698" s="308"/>
      <c r="AK698" s="308"/>
      <c r="AL698" s="308"/>
      <c r="AM698" s="98"/>
      <c r="AN698" s="98"/>
    </row>
    <row r="699" ht="14.25" customHeight="1">
      <c r="A699" s="179"/>
      <c r="B699" s="98"/>
      <c r="C699" s="98"/>
      <c r="D699" s="98"/>
      <c r="E699" s="98"/>
      <c r="F699" s="235"/>
      <c r="G699" s="235"/>
      <c r="H699" s="236"/>
      <c r="I699" s="236"/>
      <c r="J699" s="236"/>
      <c r="K699" s="236"/>
      <c r="L699" s="236"/>
      <c r="M699" s="236"/>
      <c r="N699" s="236"/>
      <c r="O699" s="236"/>
      <c r="P699" s="236"/>
      <c r="Q699" s="236"/>
      <c r="R699" s="236"/>
      <c r="S699" s="236"/>
      <c r="T699" s="236"/>
      <c r="U699" s="236"/>
      <c r="V699" s="236"/>
      <c r="W699" s="237"/>
      <c r="X699" s="237"/>
      <c r="Y699" s="237"/>
      <c r="Z699" s="237"/>
      <c r="AA699" s="237"/>
      <c r="AB699" s="237"/>
      <c r="AC699" s="237"/>
      <c r="AD699" s="237"/>
      <c r="AE699" s="237"/>
      <c r="AF699" s="237"/>
      <c r="AG699" s="237"/>
      <c r="AH699" s="237"/>
      <c r="AI699" s="308"/>
      <c r="AJ699" s="308"/>
      <c r="AK699" s="308"/>
      <c r="AL699" s="308"/>
      <c r="AM699" s="98"/>
      <c r="AN699" s="98"/>
    </row>
    <row r="700" ht="14.25" customHeight="1">
      <c r="A700" s="179"/>
      <c r="B700" s="98"/>
      <c r="C700" s="98"/>
      <c r="D700" s="98"/>
      <c r="E700" s="98"/>
      <c r="F700" s="235"/>
      <c r="G700" s="235"/>
      <c r="H700" s="236"/>
      <c r="I700" s="236"/>
      <c r="J700" s="236"/>
      <c r="K700" s="236"/>
      <c r="L700" s="236"/>
      <c r="M700" s="236"/>
      <c r="N700" s="236"/>
      <c r="O700" s="236"/>
      <c r="P700" s="236"/>
      <c r="Q700" s="236"/>
      <c r="R700" s="236"/>
      <c r="S700" s="236"/>
      <c r="T700" s="236"/>
      <c r="U700" s="236"/>
      <c r="V700" s="236"/>
      <c r="W700" s="237"/>
      <c r="X700" s="237"/>
      <c r="Y700" s="237"/>
      <c r="Z700" s="237"/>
      <c r="AA700" s="237"/>
      <c r="AB700" s="237"/>
      <c r="AC700" s="237"/>
      <c r="AD700" s="237"/>
      <c r="AE700" s="237"/>
      <c r="AF700" s="237"/>
      <c r="AG700" s="237"/>
      <c r="AH700" s="237"/>
      <c r="AI700" s="308"/>
      <c r="AJ700" s="308"/>
      <c r="AK700" s="308"/>
      <c r="AL700" s="308"/>
      <c r="AM700" s="98"/>
      <c r="AN700" s="98"/>
    </row>
    <row r="701" ht="14.25" customHeight="1">
      <c r="A701" s="179"/>
      <c r="B701" s="98"/>
      <c r="C701" s="98"/>
      <c r="D701" s="98"/>
      <c r="E701" s="98"/>
      <c r="F701" s="235"/>
      <c r="G701" s="235"/>
      <c r="H701" s="236"/>
      <c r="I701" s="236"/>
      <c r="J701" s="236"/>
      <c r="K701" s="236"/>
      <c r="L701" s="236"/>
      <c r="M701" s="236"/>
      <c r="N701" s="236"/>
      <c r="O701" s="236"/>
      <c r="P701" s="236"/>
      <c r="Q701" s="236"/>
      <c r="R701" s="236"/>
      <c r="S701" s="236"/>
      <c r="T701" s="236"/>
      <c r="U701" s="236"/>
      <c r="V701" s="236"/>
      <c r="W701" s="237"/>
      <c r="X701" s="237"/>
      <c r="Y701" s="237"/>
      <c r="Z701" s="237"/>
      <c r="AA701" s="237"/>
      <c r="AB701" s="237"/>
      <c r="AC701" s="237"/>
      <c r="AD701" s="237"/>
      <c r="AE701" s="237"/>
      <c r="AF701" s="237"/>
      <c r="AG701" s="237"/>
      <c r="AH701" s="237"/>
      <c r="AI701" s="308"/>
      <c r="AJ701" s="308"/>
      <c r="AK701" s="308"/>
      <c r="AL701" s="308"/>
      <c r="AM701" s="98"/>
      <c r="AN701" s="98"/>
    </row>
    <row r="702" ht="14.25" customHeight="1">
      <c r="A702" s="179"/>
      <c r="B702" s="98"/>
      <c r="C702" s="98"/>
      <c r="D702" s="98"/>
      <c r="E702" s="98"/>
      <c r="F702" s="235"/>
      <c r="G702" s="235"/>
      <c r="H702" s="236"/>
      <c r="I702" s="236"/>
      <c r="J702" s="236"/>
      <c r="K702" s="236"/>
      <c r="L702" s="236"/>
      <c r="M702" s="236"/>
      <c r="N702" s="236"/>
      <c r="O702" s="236"/>
      <c r="P702" s="236"/>
      <c r="Q702" s="236"/>
      <c r="R702" s="236"/>
      <c r="S702" s="236"/>
      <c r="T702" s="236"/>
      <c r="U702" s="236"/>
      <c r="V702" s="236"/>
      <c r="W702" s="237"/>
      <c r="X702" s="237"/>
      <c r="Y702" s="237"/>
      <c r="Z702" s="237"/>
      <c r="AA702" s="237"/>
      <c r="AB702" s="237"/>
      <c r="AC702" s="237"/>
      <c r="AD702" s="237"/>
      <c r="AE702" s="237"/>
      <c r="AF702" s="237"/>
      <c r="AG702" s="237"/>
      <c r="AH702" s="237"/>
      <c r="AI702" s="308"/>
      <c r="AJ702" s="308"/>
      <c r="AK702" s="308"/>
      <c r="AL702" s="308"/>
      <c r="AM702" s="98"/>
      <c r="AN702" s="98"/>
    </row>
    <row r="703" ht="14.25" customHeight="1">
      <c r="A703" s="179"/>
      <c r="B703" s="98"/>
      <c r="C703" s="98"/>
      <c r="D703" s="98"/>
      <c r="E703" s="98"/>
      <c r="F703" s="235"/>
      <c r="G703" s="235"/>
      <c r="H703" s="236"/>
      <c r="I703" s="236"/>
      <c r="J703" s="236"/>
      <c r="K703" s="236"/>
      <c r="L703" s="236"/>
      <c r="M703" s="236"/>
      <c r="N703" s="236"/>
      <c r="O703" s="236"/>
      <c r="P703" s="236"/>
      <c r="Q703" s="236"/>
      <c r="R703" s="236"/>
      <c r="S703" s="236"/>
      <c r="T703" s="236"/>
      <c r="U703" s="236"/>
      <c r="V703" s="236"/>
      <c r="W703" s="237"/>
      <c r="X703" s="237"/>
      <c r="Y703" s="237"/>
      <c r="Z703" s="237"/>
      <c r="AA703" s="237"/>
      <c r="AB703" s="237"/>
      <c r="AC703" s="237"/>
      <c r="AD703" s="237"/>
      <c r="AE703" s="237"/>
      <c r="AF703" s="237"/>
      <c r="AG703" s="237"/>
      <c r="AH703" s="237"/>
      <c r="AI703" s="308"/>
      <c r="AJ703" s="308"/>
      <c r="AK703" s="308"/>
      <c r="AL703" s="308"/>
      <c r="AM703" s="98"/>
      <c r="AN703" s="98"/>
    </row>
    <row r="704" ht="14.25" customHeight="1">
      <c r="A704" s="179"/>
      <c r="B704" s="98"/>
      <c r="C704" s="98"/>
      <c r="D704" s="98"/>
      <c r="E704" s="98"/>
      <c r="F704" s="235"/>
      <c r="G704" s="235"/>
      <c r="H704" s="236"/>
      <c r="I704" s="236"/>
      <c r="J704" s="236"/>
      <c r="K704" s="236"/>
      <c r="L704" s="236"/>
      <c r="M704" s="236"/>
      <c r="N704" s="236"/>
      <c r="O704" s="236"/>
      <c r="P704" s="236"/>
      <c r="Q704" s="236"/>
      <c r="R704" s="236"/>
      <c r="S704" s="236"/>
      <c r="T704" s="236"/>
      <c r="U704" s="236"/>
      <c r="V704" s="236"/>
      <c r="W704" s="237"/>
      <c r="X704" s="237"/>
      <c r="Y704" s="237"/>
      <c r="Z704" s="237"/>
      <c r="AA704" s="237"/>
      <c r="AB704" s="237"/>
      <c r="AC704" s="237"/>
      <c r="AD704" s="237"/>
      <c r="AE704" s="237"/>
      <c r="AF704" s="237"/>
      <c r="AG704" s="237"/>
      <c r="AH704" s="237"/>
      <c r="AI704" s="308"/>
      <c r="AJ704" s="308"/>
      <c r="AK704" s="308"/>
      <c r="AL704" s="308"/>
      <c r="AM704" s="98"/>
      <c r="AN704" s="98"/>
    </row>
    <row r="705" ht="14.25" customHeight="1">
      <c r="A705" s="179"/>
      <c r="B705" s="98"/>
      <c r="C705" s="98"/>
      <c r="D705" s="98"/>
      <c r="E705" s="98"/>
      <c r="F705" s="235"/>
      <c r="G705" s="235"/>
      <c r="H705" s="236"/>
      <c r="I705" s="236"/>
      <c r="J705" s="236"/>
      <c r="K705" s="236"/>
      <c r="L705" s="236"/>
      <c r="M705" s="236"/>
      <c r="N705" s="236"/>
      <c r="O705" s="236"/>
      <c r="P705" s="236"/>
      <c r="Q705" s="236"/>
      <c r="R705" s="236"/>
      <c r="S705" s="236"/>
      <c r="T705" s="236"/>
      <c r="U705" s="236"/>
      <c r="V705" s="236"/>
      <c r="W705" s="237"/>
      <c r="X705" s="237"/>
      <c r="Y705" s="237"/>
      <c r="Z705" s="237"/>
      <c r="AA705" s="237"/>
      <c r="AB705" s="237"/>
      <c r="AC705" s="237"/>
      <c r="AD705" s="237"/>
      <c r="AE705" s="237"/>
      <c r="AF705" s="237"/>
      <c r="AG705" s="237"/>
      <c r="AH705" s="237"/>
      <c r="AI705" s="308"/>
      <c r="AJ705" s="308"/>
      <c r="AK705" s="308"/>
      <c r="AL705" s="308"/>
      <c r="AM705" s="98"/>
      <c r="AN705" s="98"/>
    </row>
    <row r="706" ht="14.25" customHeight="1">
      <c r="A706" s="179"/>
      <c r="B706" s="98"/>
      <c r="C706" s="98"/>
      <c r="D706" s="98"/>
      <c r="E706" s="98"/>
      <c r="F706" s="235"/>
      <c r="G706" s="235"/>
      <c r="H706" s="236"/>
      <c r="I706" s="236"/>
      <c r="J706" s="236"/>
      <c r="K706" s="236"/>
      <c r="L706" s="236"/>
      <c r="M706" s="236"/>
      <c r="N706" s="236"/>
      <c r="O706" s="236"/>
      <c r="P706" s="236"/>
      <c r="Q706" s="236"/>
      <c r="R706" s="236"/>
      <c r="S706" s="236"/>
      <c r="T706" s="236"/>
      <c r="U706" s="236"/>
      <c r="V706" s="236"/>
      <c r="W706" s="237"/>
      <c r="X706" s="237"/>
      <c r="Y706" s="237"/>
      <c r="Z706" s="237"/>
      <c r="AA706" s="237"/>
      <c r="AB706" s="237"/>
      <c r="AC706" s="237"/>
      <c r="AD706" s="237"/>
      <c r="AE706" s="237"/>
      <c r="AF706" s="237"/>
      <c r="AG706" s="237"/>
      <c r="AH706" s="237"/>
      <c r="AI706" s="308"/>
      <c r="AJ706" s="308"/>
      <c r="AK706" s="308"/>
      <c r="AL706" s="308"/>
      <c r="AM706" s="98"/>
      <c r="AN706" s="98"/>
    </row>
    <row r="707" ht="14.25" customHeight="1">
      <c r="A707" s="179"/>
      <c r="B707" s="98"/>
      <c r="C707" s="98"/>
      <c r="D707" s="98"/>
      <c r="E707" s="98"/>
      <c r="F707" s="235"/>
      <c r="G707" s="235"/>
      <c r="H707" s="236"/>
      <c r="I707" s="236"/>
      <c r="J707" s="236"/>
      <c r="K707" s="236"/>
      <c r="L707" s="236"/>
      <c r="M707" s="236"/>
      <c r="N707" s="236"/>
      <c r="O707" s="236"/>
      <c r="P707" s="236"/>
      <c r="Q707" s="236"/>
      <c r="R707" s="236"/>
      <c r="S707" s="236"/>
      <c r="T707" s="236"/>
      <c r="U707" s="236"/>
      <c r="V707" s="236"/>
      <c r="W707" s="237"/>
      <c r="X707" s="237"/>
      <c r="Y707" s="237"/>
      <c r="Z707" s="237"/>
      <c r="AA707" s="237"/>
      <c r="AB707" s="237"/>
      <c r="AC707" s="237"/>
      <c r="AD707" s="237"/>
      <c r="AE707" s="237"/>
      <c r="AF707" s="237"/>
      <c r="AG707" s="237"/>
      <c r="AH707" s="237"/>
      <c r="AI707" s="308"/>
      <c r="AJ707" s="308"/>
      <c r="AK707" s="308"/>
      <c r="AL707" s="308"/>
      <c r="AM707" s="98"/>
      <c r="AN707" s="98"/>
    </row>
    <row r="708" ht="14.25" customHeight="1">
      <c r="A708" s="179"/>
      <c r="B708" s="98"/>
      <c r="C708" s="98"/>
      <c r="D708" s="98"/>
      <c r="E708" s="98"/>
      <c r="F708" s="235"/>
      <c r="G708" s="235"/>
      <c r="H708" s="236"/>
      <c r="I708" s="236"/>
      <c r="J708" s="236"/>
      <c r="K708" s="236"/>
      <c r="L708" s="236"/>
      <c r="M708" s="236"/>
      <c r="N708" s="236"/>
      <c r="O708" s="236"/>
      <c r="P708" s="236"/>
      <c r="Q708" s="236"/>
      <c r="R708" s="236"/>
      <c r="S708" s="236"/>
      <c r="T708" s="236"/>
      <c r="U708" s="236"/>
      <c r="V708" s="236"/>
      <c r="W708" s="237"/>
      <c r="X708" s="237"/>
      <c r="Y708" s="237"/>
      <c r="Z708" s="237"/>
      <c r="AA708" s="237"/>
      <c r="AB708" s="237"/>
      <c r="AC708" s="237"/>
      <c r="AD708" s="237"/>
      <c r="AE708" s="237"/>
      <c r="AF708" s="237"/>
      <c r="AG708" s="237"/>
      <c r="AH708" s="237"/>
      <c r="AI708" s="308"/>
      <c r="AJ708" s="308"/>
      <c r="AK708" s="308"/>
      <c r="AL708" s="308"/>
      <c r="AM708" s="98"/>
      <c r="AN708" s="98"/>
    </row>
    <row r="709" ht="14.25" customHeight="1">
      <c r="A709" s="179"/>
      <c r="B709" s="98"/>
      <c r="C709" s="98"/>
      <c r="D709" s="98"/>
      <c r="E709" s="98"/>
      <c r="F709" s="235"/>
      <c r="G709" s="235"/>
      <c r="H709" s="236"/>
      <c r="I709" s="236"/>
      <c r="J709" s="236"/>
      <c r="K709" s="236"/>
      <c r="L709" s="236"/>
      <c r="M709" s="236"/>
      <c r="N709" s="236"/>
      <c r="O709" s="236"/>
      <c r="P709" s="236"/>
      <c r="Q709" s="236"/>
      <c r="R709" s="236"/>
      <c r="S709" s="236"/>
      <c r="T709" s="236"/>
      <c r="U709" s="236"/>
      <c r="V709" s="236"/>
      <c r="W709" s="237"/>
      <c r="X709" s="237"/>
      <c r="Y709" s="237"/>
      <c r="Z709" s="237"/>
      <c r="AA709" s="237"/>
      <c r="AB709" s="237"/>
      <c r="AC709" s="237"/>
      <c r="AD709" s="237"/>
      <c r="AE709" s="237"/>
      <c r="AF709" s="237"/>
      <c r="AG709" s="237"/>
      <c r="AH709" s="237"/>
      <c r="AI709" s="308"/>
      <c r="AJ709" s="308"/>
      <c r="AK709" s="308"/>
      <c r="AL709" s="308"/>
      <c r="AM709" s="98"/>
      <c r="AN709" s="98"/>
    </row>
    <row r="710" ht="14.25" customHeight="1">
      <c r="A710" s="179"/>
      <c r="B710" s="98"/>
      <c r="C710" s="98"/>
      <c r="D710" s="98"/>
      <c r="E710" s="98"/>
      <c r="F710" s="235"/>
      <c r="G710" s="235"/>
      <c r="H710" s="236"/>
      <c r="I710" s="236"/>
      <c r="J710" s="236"/>
      <c r="K710" s="236"/>
      <c r="L710" s="236"/>
      <c r="M710" s="236"/>
      <c r="N710" s="236"/>
      <c r="O710" s="236"/>
      <c r="P710" s="236"/>
      <c r="Q710" s="236"/>
      <c r="R710" s="236"/>
      <c r="S710" s="236"/>
      <c r="T710" s="236"/>
      <c r="U710" s="236"/>
      <c r="V710" s="236"/>
      <c r="W710" s="237"/>
      <c r="X710" s="237"/>
      <c r="Y710" s="237"/>
      <c r="Z710" s="237"/>
      <c r="AA710" s="237"/>
      <c r="AB710" s="237"/>
      <c r="AC710" s="237"/>
      <c r="AD710" s="237"/>
      <c r="AE710" s="237"/>
      <c r="AF710" s="237"/>
      <c r="AG710" s="237"/>
      <c r="AH710" s="237"/>
      <c r="AI710" s="308"/>
      <c r="AJ710" s="308"/>
      <c r="AK710" s="308"/>
      <c r="AL710" s="308"/>
      <c r="AM710" s="98"/>
      <c r="AN710" s="98"/>
    </row>
    <row r="711" ht="14.25" customHeight="1">
      <c r="A711" s="179"/>
      <c r="B711" s="98"/>
      <c r="C711" s="98"/>
      <c r="D711" s="98"/>
      <c r="E711" s="98"/>
      <c r="F711" s="235"/>
      <c r="G711" s="235"/>
      <c r="H711" s="236"/>
      <c r="I711" s="236"/>
      <c r="J711" s="236"/>
      <c r="K711" s="236"/>
      <c r="L711" s="236"/>
      <c r="M711" s="236"/>
      <c r="N711" s="236"/>
      <c r="O711" s="236"/>
      <c r="P711" s="236"/>
      <c r="Q711" s="236"/>
      <c r="R711" s="236"/>
      <c r="S711" s="236"/>
      <c r="T711" s="236"/>
      <c r="U711" s="236"/>
      <c r="V711" s="236"/>
      <c r="W711" s="237"/>
      <c r="X711" s="237"/>
      <c r="Y711" s="237"/>
      <c r="Z711" s="237"/>
      <c r="AA711" s="237"/>
      <c r="AB711" s="237"/>
      <c r="AC711" s="237"/>
      <c r="AD711" s="237"/>
      <c r="AE711" s="237"/>
      <c r="AF711" s="237"/>
      <c r="AG711" s="237"/>
      <c r="AH711" s="237"/>
      <c r="AI711" s="308"/>
      <c r="AJ711" s="308"/>
      <c r="AK711" s="308"/>
      <c r="AL711" s="308"/>
      <c r="AM711" s="98"/>
      <c r="AN711" s="98"/>
    </row>
    <row r="712" ht="14.25" customHeight="1">
      <c r="A712" s="179"/>
      <c r="B712" s="98"/>
      <c r="C712" s="98"/>
      <c r="D712" s="98"/>
      <c r="E712" s="98"/>
      <c r="F712" s="235"/>
      <c r="G712" s="235"/>
      <c r="H712" s="236"/>
      <c r="I712" s="236"/>
      <c r="J712" s="236"/>
      <c r="K712" s="236"/>
      <c r="L712" s="236"/>
      <c r="M712" s="236"/>
      <c r="N712" s="236"/>
      <c r="O712" s="236"/>
      <c r="P712" s="236"/>
      <c r="Q712" s="236"/>
      <c r="R712" s="236"/>
      <c r="S712" s="236"/>
      <c r="T712" s="236"/>
      <c r="U712" s="236"/>
      <c r="V712" s="236"/>
      <c r="W712" s="237"/>
      <c r="X712" s="237"/>
      <c r="Y712" s="237"/>
      <c r="Z712" s="237"/>
      <c r="AA712" s="237"/>
      <c r="AB712" s="237"/>
      <c r="AC712" s="237"/>
      <c r="AD712" s="237"/>
      <c r="AE712" s="237"/>
      <c r="AF712" s="237"/>
      <c r="AG712" s="237"/>
      <c r="AH712" s="237"/>
      <c r="AI712" s="308"/>
      <c r="AJ712" s="308"/>
      <c r="AK712" s="308"/>
      <c r="AL712" s="308"/>
      <c r="AM712" s="98"/>
      <c r="AN712" s="98"/>
    </row>
    <row r="713" ht="14.25" customHeight="1">
      <c r="A713" s="179"/>
      <c r="B713" s="98"/>
      <c r="C713" s="98"/>
      <c r="D713" s="98"/>
      <c r="E713" s="98"/>
      <c r="F713" s="235"/>
      <c r="G713" s="235"/>
      <c r="H713" s="236"/>
      <c r="I713" s="236"/>
      <c r="J713" s="236"/>
      <c r="K713" s="236"/>
      <c r="L713" s="236"/>
      <c r="M713" s="236"/>
      <c r="N713" s="236"/>
      <c r="O713" s="236"/>
      <c r="P713" s="236"/>
      <c r="Q713" s="236"/>
      <c r="R713" s="236"/>
      <c r="S713" s="236"/>
      <c r="T713" s="236"/>
      <c r="U713" s="236"/>
      <c r="V713" s="236"/>
      <c r="W713" s="237"/>
      <c r="X713" s="237"/>
      <c r="Y713" s="237"/>
      <c r="Z713" s="237"/>
      <c r="AA713" s="237"/>
      <c r="AB713" s="237"/>
      <c r="AC713" s="237"/>
      <c r="AD713" s="237"/>
      <c r="AE713" s="237"/>
      <c r="AF713" s="237"/>
      <c r="AG713" s="237"/>
      <c r="AH713" s="237"/>
      <c r="AI713" s="308"/>
      <c r="AJ713" s="308"/>
      <c r="AK713" s="308"/>
      <c r="AL713" s="308"/>
      <c r="AM713" s="98"/>
      <c r="AN713" s="98"/>
    </row>
    <row r="714" ht="14.25" customHeight="1">
      <c r="A714" s="179"/>
      <c r="B714" s="98"/>
      <c r="C714" s="98"/>
      <c r="D714" s="98"/>
      <c r="E714" s="98"/>
      <c r="F714" s="235"/>
      <c r="G714" s="235"/>
      <c r="H714" s="236"/>
      <c r="I714" s="236"/>
      <c r="J714" s="236"/>
      <c r="K714" s="236"/>
      <c r="L714" s="236"/>
      <c r="M714" s="236"/>
      <c r="N714" s="236"/>
      <c r="O714" s="236"/>
      <c r="P714" s="236"/>
      <c r="Q714" s="236"/>
      <c r="R714" s="236"/>
      <c r="S714" s="236"/>
      <c r="T714" s="236"/>
      <c r="U714" s="236"/>
      <c r="V714" s="236"/>
      <c r="W714" s="237"/>
      <c r="X714" s="237"/>
      <c r="Y714" s="237"/>
      <c r="Z714" s="237"/>
      <c r="AA714" s="237"/>
      <c r="AB714" s="237"/>
      <c r="AC714" s="237"/>
      <c r="AD714" s="237"/>
      <c r="AE714" s="237"/>
      <c r="AF714" s="237"/>
      <c r="AG714" s="237"/>
      <c r="AH714" s="237"/>
      <c r="AI714" s="308"/>
      <c r="AJ714" s="308"/>
      <c r="AK714" s="308"/>
      <c r="AL714" s="308"/>
      <c r="AM714" s="98"/>
      <c r="AN714" s="98"/>
    </row>
    <row r="715" ht="14.25" customHeight="1">
      <c r="A715" s="179"/>
      <c r="B715" s="98"/>
      <c r="C715" s="98"/>
      <c r="D715" s="98"/>
      <c r="E715" s="98"/>
      <c r="F715" s="235"/>
      <c r="G715" s="235"/>
      <c r="H715" s="236"/>
      <c r="I715" s="236"/>
      <c r="J715" s="236"/>
      <c r="K715" s="236"/>
      <c r="L715" s="236"/>
      <c r="M715" s="236"/>
      <c r="N715" s="236"/>
      <c r="O715" s="236"/>
      <c r="P715" s="236"/>
      <c r="Q715" s="236"/>
      <c r="R715" s="236"/>
      <c r="S715" s="236"/>
      <c r="T715" s="236"/>
      <c r="U715" s="236"/>
      <c r="V715" s="236"/>
      <c r="W715" s="237"/>
      <c r="X715" s="237"/>
      <c r="Y715" s="237"/>
      <c r="Z715" s="237"/>
      <c r="AA715" s="237"/>
      <c r="AB715" s="237"/>
      <c r="AC715" s="237"/>
      <c r="AD715" s="237"/>
      <c r="AE715" s="237"/>
      <c r="AF715" s="237"/>
      <c r="AG715" s="237"/>
      <c r="AH715" s="237"/>
      <c r="AI715" s="308"/>
      <c r="AJ715" s="308"/>
      <c r="AK715" s="308"/>
      <c r="AL715" s="308"/>
      <c r="AM715" s="98"/>
      <c r="AN715" s="98"/>
    </row>
    <row r="716" ht="14.25" customHeight="1">
      <c r="A716" s="179"/>
      <c r="B716" s="98"/>
      <c r="C716" s="98"/>
      <c r="D716" s="98"/>
      <c r="E716" s="98"/>
      <c r="F716" s="235"/>
      <c r="G716" s="235"/>
      <c r="H716" s="236"/>
      <c r="I716" s="236"/>
      <c r="J716" s="236"/>
      <c r="K716" s="236"/>
      <c r="L716" s="236"/>
      <c r="M716" s="236"/>
      <c r="N716" s="236"/>
      <c r="O716" s="236"/>
      <c r="P716" s="236"/>
      <c r="Q716" s="236"/>
      <c r="R716" s="236"/>
      <c r="S716" s="236"/>
      <c r="T716" s="236"/>
      <c r="U716" s="236"/>
      <c r="V716" s="236"/>
      <c r="W716" s="237"/>
      <c r="X716" s="237"/>
      <c r="Y716" s="237"/>
      <c r="Z716" s="237"/>
      <c r="AA716" s="237"/>
      <c r="AB716" s="237"/>
      <c r="AC716" s="237"/>
      <c r="AD716" s="237"/>
      <c r="AE716" s="237"/>
      <c r="AF716" s="237"/>
      <c r="AG716" s="237"/>
      <c r="AH716" s="237"/>
      <c r="AI716" s="308"/>
      <c r="AJ716" s="308"/>
      <c r="AK716" s="308"/>
      <c r="AL716" s="308"/>
      <c r="AM716" s="98"/>
      <c r="AN716" s="98"/>
    </row>
    <row r="717" ht="14.25" customHeight="1">
      <c r="A717" s="179"/>
      <c r="B717" s="98"/>
      <c r="C717" s="98"/>
      <c r="D717" s="98"/>
      <c r="E717" s="98"/>
      <c r="F717" s="235"/>
      <c r="G717" s="235"/>
      <c r="H717" s="236"/>
      <c r="I717" s="236"/>
      <c r="J717" s="236"/>
      <c r="K717" s="236"/>
      <c r="L717" s="236"/>
      <c r="M717" s="236"/>
      <c r="N717" s="236"/>
      <c r="O717" s="236"/>
      <c r="P717" s="236"/>
      <c r="Q717" s="236"/>
      <c r="R717" s="236"/>
      <c r="S717" s="236"/>
      <c r="T717" s="236"/>
      <c r="U717" s="236"/>
      <c r="V717" s="236"/>
      <c r="W717" s="237"/>
      <c r="X717" s="237"/>
      <c r="Y717" s="237"/>
      <c r="Z717" s="237"/>
      <c r="AA717" s="237"/>
      <c r="AB717" s="237"/>
      <c r="AC717" s="237"/>
      <c r="AD717" s="237"/>
      <c r="AE717" s="237"/>
      <c r="AF717" s="237"/>
      <c r="AG717" s="237"/>
      <c r="AH717" s="237"/>
      <c r="AI717" s="308"/>
      <c r="AJ717" s="308"/>
      <c r="AK717" s="308"/>
      <c r="AL717" s="308"/>
      <c r="AM717" s="98"/>
      <c r="AN717" s="98"/>
    </row>
    <row r="718" ht="14.25" customHeight="1">
      <c r="A718" s="179"/>
      <c r="B718" s="98"/>
      <c r="C718" s="98"/>
      <c r="D718" s="98"/>
      <c r="E718" s="98"/>
      <c r="F718" s="235"/>
      <c r="G718" s="235"/>
      <c r="H718" s="236"/>
      <c r="I718" s="236"/>
      <c r="J718" s="236"/>
      <c r="K718" s="236"/>
      <c r="L718" s="236"/>
      <c r="M718" s="236"/>
      <c r="N718" s="236"/>
      <c r="O718" s="236"/>
      <c r="P718" s="236"/>
      <c r="Q718" s="236"/>
      <c r="R718" s="236"/>
      <c r="S718" s="236"/>
      <c r="T718" s="236"/>
      <c r="U718" s="236"/>
      <c r="V718" s="236"/>
      <c r="W718" s="237"/>
      <c r="X718" s="237"/>
      <c r="Y718" s="237"/>
      <c r="Z718" s="237"/>
      <c r="AA718" s="237"/>
      <c r="AB718" s="237"/>
      <c r="AC718" s="237"/>
      <c r="AD718" s="237"/>
      <c r="AE718" s="237"/>
      <c r="AF718" s="237"/>
      <c r="AG718" s="237"/>
      <c r="AH718" s="237"/>
      <c r="AI718" s="308"/>
      <c r="AJ718" s="308"/>
      <c r="AK718" s="308"/>
      <c r="AL718" s="308"/>
      <c r="AM718" s="98"/>
      <c r="AN718" s="98"/>
    </row>
    <row r="719" ht="14.25" customHeight="1">
      <c r="A719" s="179"/>
      <c r="B719" s="98"/>
      <c r="C719" s="98"/>
      <c r="D719" s="98"/>
      <c r="E719" s="98"/>
      <c r="F719" s="235"/>
      <c r="G719" s="235"/>
      <c r="H719" s="236"/>
      <c r="I719" s="236"/>
      <c r="J719" s="236"/>
      <c r="K719" s="236"/>
      <c r="L719" s="236"/>
      <c r="M719" s="236"/>
      <c r="N719" s="236"/>
      <c r="O719" s="236"/>
      <c r="P719" s="236"/>
      <c r="Q719" s="236"/>
      <c r="R719" s="236"/>
      <c r="S719" s="236"/>
      <c r="T719" s="236"/>
      <c r="U719" s="236"/>
      <c r="V719" s="236"/>
      <c r="W719" s="237"/>
      <c r="X719" s="237"/>
      <c r="Y719" s="237"/>
      <c r="Z719" s="237"/>
      <c r="AA719" s="237"/>
      <c r="AB719" s="237"/>
      <c r="AC719" s="237"/>
      <c r="AD719" s="237"/>
      <c r="AE719" s="237"/>
      <c r="AF719" s="237"/>
      <c r="AG719" s="237"/>
      <c r="AH719" s="237"/>
      <c r="AI719" s="308"/>
      <c r="AJ719" s="308"/>
      <c r="AK719" s="308"/>
      <c r="AL719" s="308"/>
      <c r="AM719" s="98"/>
      <c r="AN719" s="98"/>
    </row>
    <row r="720" ht="14.25" customHeight="1">
      <c r="A720" s="179"/>
      <c r="B720" s="98"/>
      <c r="C720" s="98"/>
      <c r="D720" s="98"/>
      <c r="E720" s="98"/>
      <c r="F720" s="235"/>
      <c r="G720" s="235"/>
      <c r="H720" s="236"/>
      <c r="I720" s="236"/>
      <c r="J720" s="236"/>
      <c r="K720" s="236"/>
      <c r="L720" s="236"/>
      <c r="M720" s="236"/>
      <c r="N720" s="236"/>
      <c r="O720" s="236"/>
      <c r="P720" s="236"/>
      <c r="Q720" s="236"/>
      <c r="R720" s="236"/>
      <c r="S720" s="236"/>
      <c r="T720" s="236"/>
      <c r="U720" s="236"/>
      <c r="V720" s="236"/>
      <c r="W720" s="237"/>
      <c r="X720" s="237"/>
      <c r="Y720" s="237"/>
      <c r="Z720" s="237"/>
      <c r="AA720" s="237"/>
      <c r="AB720" s="237"/>
      <c r="AC720" s="237"/>
      <c r="AD720" s="237"/>
      <c r="AE720" s="237"/>
      <c r="AF720" s="237"/>
      <c r="AG720" s="237"/>
      <c r="AH720" s="237"/>
      <c r="AI720" s="308"/>
      <c r="AJ720" s="308"/>
      <c r="AK720" s="308"/>
      <c r="AL720" s="308"/>
      <c r="AM720" s="98"/>
      <c r="AN720" s="98"/>
    </row>
    <row r="721" ht="14.25" customHeight="1">
      <c r="A721" s="179"/>
      <c r="B721" s="98"/>
      <c r="C721" s="98"/>
      <c r="D721" s="98"/>
      <c r="E721" s="98"/>
      <c r="F721" s="235"/>
      <c r="G721" s="235"/>
      <c r="H721" s="236"/>
      <c r="I721" s="236"/>
      <c r="J721" s="236"/>
      <c r="K721" s="236"/>
      <c r="L721" s="236"/>
      <c r="M721" s="236"/>
      <c r="N721" s="236"/>
      <c r="O721" s="236"/>
      <c r="P721" s="236"/>
      <c r="Q721" s="236"/>
      <c r="R721" s="236"/>
      <c r="S721" s="236"/>
      <c r="T721" s="236"/>
      <c r="U721" s="236"/>
      <c r="V721" s="236"/>
      <c r="W721" s="237"/>
      <c r="X721" s="237"/>
      <c r="Y721" s="237"/>
      <c r="Z721" s="237"/>
      <c r="AA721" s="237"/>
      <c r="AB721" s="237"/>
      <c r="AC721" s="237"/>
      <c r="AD721" s="237"/>
      <c r="AE721" s="237"/>
      <c r="AF721" s="237"/>
      <c r="AG721" s="237"/>
      <c r="AH721" s="237"/>
      <c r="AI721" s="308"/>
      <c r="AJ721" s="308"/>
      <c r="AK721" s="308"/>
      <c r="AL721" s="308"/>
      <c r="AM721" s="98"/>
      <c r="AN721" s="98"/>
    </row>
    <row r="722" ht="14.25" customHeight="1">
      <c r="A722" s="179"/>
      <c r="B722" s="98"/>
      <c r="C722" s="98"/>
      <c r="D722" s="98"/>
      <c r="E722" s="98"/>
      <c r="F722" s="235"/>
      <c r="G722" s="235"/>
      <c r="H722" s="236"/>
      <c r="I722" s="236"/>
      <c r="J722" s="236"/>
      <c r="K722" s="236"/>
      <c r="L722" s="236"/>
      <c r="M722" s="236"/>
      <c r="N722" s="236"/>
      <c r="O722" s="236"/>
      <c r="P722" s="236"/>
      <c r="Q722" s="236"/>
      <c r="R722" s="236"/>
      <c r="S722" s="236"/>
      <c r="T722" s="236"/>
      <c r="U722" s="236"/>
      <c r="V722" s="236"/>
      <c r="W722" s="237"/>
      <c r="X722" s="237"/>
      <c r="Y722" s="237"/>
      <c r="Z722" s="237"/>
      <c r="AA722" s="237"/>
      <c r="AB722" s="237"/>
      <c r="AC722" s="237"/>
      <c r="AD722" s="237"/>
      <c r="AE722" s="237"/>
      <c r="AF722" s="237"/>
      <c r="AG722" s="237"/>
      <c r="AH722" s="237"/>
      <c r="AI722" s="308"/>
      <c r="AJ722" s="308"/>
      <c r="AK722" s="308"/>
      <c r="AL722" s="308"/>
      <c r="AM722" s="98"/>
      <c r="AN722" s="98"/>
    </row>
    <row r="723" ht="14.25" customHeight="1">
      <c r="A723" s="179"/>
      <c r="B723" s="98"/>
      <c r="C723" s="98"/>
      <c r="D723" s="98"/>
      <c r="E723" s="98"/>
      <c r="F723" s="235"/>
      <c r="G723" s="235"/>
      <c r="H723" s="236"/>
      <c r="I723" s="236"/>
      <c r="J723" s="236"/>
      <c r="K723" s="236"/>
      <c r="L723" s="236"/>
      <c r="M723" s="236"/>
      <c r="N723" s="236"/>
      <c r="O723" s="236"/>
      <c r="P723" s="236"/>
      <c r="Q723" s="236"/>
      <c r="R723" s="236"/>
      <c r="S723" s="236"/>
      <c r="T723" s="236"/>
      <c r="U723" s="236"/>
      <c r="V723" s="236"/>
      <c r="W723" s="237"/>
      <c r="X723" s="237"/>
      <c r="Y723" s="237"/>
      <c r="Z723" s="237"/>
      <c r="AA723" s="237"/>
      <c r="AB723" s="237"/>
      <c r="AC723" s="237"/>
      <c r="AD723" s="237"/>
      <c r="AE723" s="237"/>
      <c r="AF723" s="237"/>
      <c r="AG723" s="237"/>
      <c r="AH723" s="237"/>
      <c r="AI723" s="308"/>
      <c r="AJ723" s="308"/>
      <c r="AK723" s="308"/>
      <c r="AL723" s="308"/>
      <c r="AM723" s="98"/>
      <c r="AN723" s="98"/>
    </row>
    <row r="724" ht="14.25" customHeight="1">
      <c r="A724" s="179"/>
      <c r="B724" s="98"/>
      <c r="C724" s="98"/>
      <c r="D724" s="98"/>
      <c r="E724" s="98"/>
      <c r="F724" s="235"/>
      <c r="G724" s="235"/>
      <c r="H724" s="236"/>
      <c r="I724" s="236"/>
      <c r="J724" s="236"/>
      <c r="K724" s="236"/>
      <c r="L724" s="236"/>
      <c r="M724" s="236"/>
      <c r="N724" s="236"/>
      <c r="O724" s="236"/>
      <c r="P724" s="236"/>
      <c r="Q724" s="236"/>
      <c r="R724" s="236"/>
      <c r="S724" s="236"/>
      <c r="T724" s="236"/>
      <c r="U724" s="236"/>
      <c r="V724" s="236"/>
      <c r="W724" s="237"/>
      <c r="X724" s="237"/>
      <c r="Y724" s="237"/>
      <c r="Z724" s="237"/>
      <c r="AA724" s="237"/>
      <c r="AB724" s="237"/>
      <c r="AC724" s="237"/>
      <c r="AD724" s="237"/>
      <c r="AE724" s="237"/>
      <c r="AF724" s="237"/>
      <c r="AG724" s="237"/>
      <c r="AH724" s="237"/>
      <c r="AI724" s="308"/>
      <c r="AJ724" s="308"/>
      <c r="AK724" s="308"/>
      <c r="AL724" s="308"/>
      <c r="AM724" s="98"/>
      <c r="AN724" s="98"/>
    </row>
    <row r="725" ht="14.25" customHeight="1">
      <c r="A725" s="179"/>
      <c r="B725" s="98"/>
      <c r="C725" s="98"/>
      <c r="D725" s="98"/>
      <c r="E725" s="98"/>
      <c r="F725" s="235"/>
      <c r="G725" s="235"/>
      <c r="H725" s="236"/>
      <c r="I725" s="236"/>
      <c r="J725" s="236"/>
      <c r="K725" s="236"/>
      <c r="L725" s="236"/>
      <c r="M725" s="236"/>
      <c r="N725" s="236"/>
      <c r="O725" s="236"/>
      <c r="P725" s="236"/>
      <c r="Q725" s="236"/>
      <c r="R725" s="236"/>
      <c r="S725" s="236"/>
      <c r="T725" s="236"/>
      <c r="U725" s="236"/>
      <c r="V725" s="236"/>
      <c r="W725" s="237"/>
      <c r="X725" s="237"/>
      <c r="Y725" s="237"/>
      <c r="Z725" s="237"/>
      <c r="AA725" s="237"/>
      <c r="AB725" s="237"/>
      <c r="AC725" s="237"/>
      <c r="AD725" s="237"/>
      <c r="AE725" s="237"/>
      <c r="AF725" s="237"/>
      <c r="AG725" s="237"/>
      <c r="AH725" s="237"/>
      <c r="AI725" s="308"/>
      <c r="AJ725" s="308"/>
      <c r="AK725" s="308"/>
      <c r="AL725" s="308"/>
      <c r="AM725" s="98"/>
      <c r="AN725" s="98"/>
    </row>
    <row r="726" ht="14.25" customHeight="1">
      <c r="A726" s="179"/>
      <c r="B726" s="98"/>
      <c r="C726" s="98"/>
      <c r="D726" s="98"/>
      <c r="E726" s="98"/>
      <c r="F726" s="235"/>
      <c r="G726" s="235"/>
      <c r="H726" s="236"/>
      <c r="I726" s="236"/>
      <c r="J726" s="236"/>
      <c r="K726" s="236"/>
      <c r="L726" s="236"/>
      <c r="M726" s="236"/>
      <c r="N726" s="236"/>
      <c r="O726" s="236"/>
      <c r="P726" s="236"/>
      <c r="Q726" s="236"/>
      <c r="R726" s="236"/>
      <c r="S726" s="236"/>
      <c r="T726" s="236"/>
      <c r="U726" s="236"/>
      <c r="V726" s="236"/>
      <c r="W726" s="237"/>
      <c r="X726" s="237"/>
      <c r="Y726" s="237"/>
      <c r="Z726" s="237"/>
      <c r="AA726" s="237"/>
      <c r="AB726" s="237"/>
      <c r="AC726" s="237"/>
      <c r="AD726" s="237"/>
      <c r="AE726" s="237"/>
      <c r="AF726" s="237"/>
      <c r="AG726" s="237"/>
      <c r="AH726" s="237"/>
      <c r="AI726" s="308"/>
      <c r="AJ726" s="308"/>
      <c r="AK726" s="308"/>
      <c r="AL726" s="308"/>
      <c r="AM726" s="98"/>
      <c r="AN726" s="98"/>
    </row>
    <row r="727" ht="14.25" customHeight="1">
      <c r="A727" s="179"/>
      <c r="B727" s="98"/>
      <c r="C727" s="98"/>
      <c r="D727" s="98"/>
      <c r="E727" s="98"/>
      <c r="F727" s="235"/>
      <c r="G727" s="235"/>
      <c r="H727" s="236"/>
      <c r="I727" s="236"/>
      <c r="J727" s="236"/>
      <c r="K727" s="236"/>
      <c r="L727" s="236"/>
      <c r="M727" s="236"/>
      <c r="N727" s="236"/>
      <c r="O727" s="236"/>
      <c r="P727" s="236"/>
      <c r="Q727" s="236"/>
      <c r="R727" s="236"/>
      <c r="S727" s="236"/>
      <c r="T727" s="236"/>
      <c r="U727" s="236"/>
      <c r="V727" s="236"/>
      <c r="W727" s="237"/>
      <c r="X727" s="237"/>
      <c r="Y727" s="237"/>
      <c r="Z727" s="237"/>
      <c r="AA727" s="237"/>
      <c r="AB727" s="237"/>
      <c r="AC727" s="237"/>
      <c r="AD727" s="237"/>
      <c r="AE727" s="237"/>
      <c r="AF727" s="237"/>
      <c r="AG727" s="237"/>
      <c r="AH727" s="237"/>
      <c r="AI727" s="308"/>
      <c r="AJ727" s="308"/>
      <c r="AK727" s="308"/>
      <c r="AL727" s="308"/>
      <c r="AM727" s="98"/>
      <c r="AN727" s="98"/>
    </row>
    <row r="728" ht="14.25" customHeight="1">
      <c r="A728" s="179"/>
      <c r="B728" s="98"/>
      <c r="C728" s="98"/>
      <c r="D728" s="98"/>
      <c r="E728" s="98"/>
      <c r="F728" s="235"/>
      <c r="G728" s="235"/>
      <c r="H728" s="236"/>
      <c r="I728" s="236"/>
      <c r="J728" s="236"/>
      <c r="K728" s="236"/>
      <c r="L728" s="236"/>
      <c r="M728" s="236"/>
      <c r="N728" s="236"/>
      <c r="O728" s="236"/>
      <c r="P728" s="236"/>
      <c r="Q728" s="236"/>
      <c r="R728" s="236"/>
      <c r="S728" s="236"/>
      <c r="T728" s="236"/>
      <c r="U728" s="236"/>
      <c r="V728" s="236"/>
      <c r="W728" s="237"/>
      <c r="X728" s="237"/>
      <c r="Y728" s="237"/>
      <c r="Z728" s="237"/>
      <c r="AA728" s="237"/>
      <c r="AB728" s="237"/>
      <c r="AC728" s="237"/>
      <c r="AD728" s="237"/>
      <c r="AE728" s="237"/>
      <c r="AF728" s="237"/>
      <c r="AG728" s="237"/>
      <c r="AH728" s="237"/>
      <c r="AI728" s="308"/>
      <c r="AJ728" s="308"/>
      <c r="AK728" s="308"/>
      <c r="AL728" s="308"/>
      <c r="AM728" s="98"/>
      <c r="AN728" s="98"/>
    </row>
    <row r="729" ht="14.25" customHeight="1">
      <c r="A729" s="179"/>
      <c r="B729" s="98"/>
      <c r="C729" s="98"/>
      <c r="D729" s="98"/>
      <c r="E729" s="98"/>
      <c r="F729" s="235"/>
      <c r="G729" s="235"/>
      <c r="H729" s="236"/>
      <c r="I729" s="236"/>
      <c r="J729" s="236"/>
      <c r="K729" s="236"/>
      <c r="L729" s="236"/>
      <c r="M729" s="236"/>
      <c r="N729" s="236"/>
      <c r="O729" s="236"/>
      <c r="P729" s="236"/>
      <c r="Q729" s="236"/>
      <c r="R729" s="236"/>
      <c r="S729" s="236"/>
      <c r="T729" s="236"/>
      <c r="U729" s="236"/>
      <c r="V729" s="236"/>
      <c r="W729" s="237"/>
      <c r="X729" s="237"/>
      <c r="Y729" s="237"/>
      <c r="Z729" s="237"/>
      <c r="AA729" s="237"/>
      <c r="AB729" s="237"/>
      <c r="AC729" s="237"/>
      <c r="AD729" s="237"/>
      <c r="AE729" s="237"/>
      <c r="AF729" s="237"/>
      <c r="AG729" s="237"/>
      <c r="AH729" s="237"/>
      <c r="AI729" s="308"/>
      <c r="AJ729" s="308"/>
      <c r="AK729" s="308"/>
      <c r="AL729" s="308"/>
      <c r="AM729" s="98"/>
      <c r="AN729" s="98"/>
    </row>
    <row r="730" ht="14.25" customHeight="1">
      <c r="A730" s="179"/>
      <c r="B730" s="98"/>
      <c r="C730" s="98"/>
      <c r="D730" s="98"/>
      <c r="E730" s="98"/>
      <c r="F730" s="235"/>
      <c r="G730" s="235"/>
      <c r="H730" s="236"/>
      <c r="I730" s="236"/>
      <c r="J730" s="236"/>
      <c r="K730" s="236"/>
      <c r="L730" s="236"/>
      <c r="M730" s="236"/>
      <c r="N730" s="236"/>
      <c r="O730" s="236"/>
      <c r="P730" s="236"/>
      <c r="Q730" s="236"/>
      <c r="R730" s="236"/>
      <c r="S730" s="236"/>
      <c r="T730" s="236"/>
      <c r="U730" s="236"/>
      <c r="V730" s="236"/>
      <c r="W730" s="237"/>
      <c r="X730" s="237"/>
      <c r="Y730" s="237"/>
      <c r="Z730" s="237"/>
      <c r="AA730" s="237"/>
      <c r="AB730" s="237"/>
      <c r="AC730" s="237"/>
      <c r="AD730" s="237"/>
      <c r="AE730" s="237"/>
      <c r="AF730" s="237"/>
      <c r="AG730" s="237"/>
      <c r="AH730" s="237"/>
      <c r="AI730" s="308"/>
      <c r="AJ730" s="308"/>
      <c r="AK730" s="308"/>
      <c r="AL730" s="308"/>
      <c r="AM730" s="98"/>
      <c r="AN730" s="98"/>
    </row>
    <row r="731" ht="14.25" customHeight="1">
      <c r="A731" s="179"/>
      <c r="B731" s="98"/>
      <c r="C731" s="98"/>
      <c r="D731" s="98"/>
      <c r="E731" s="98"/>
      <c r="F731" s="235"/>
      <c r="G731" s="235"/>
      <c r="H731" s="236"/>
      <c r="I731" s="236"/>
      <c r="J731" s="236"/>
      <c r="K731" s="236"/>
      <c r="L731" s="236"/>
      <c r="M731" s="236"/>
      <c r="N731" s="236"/>
      <c r="O731" s="236"/>
      <c r="P731" s="236"/>
      <c r="Q731" s="236"/>
      <c r="R731" s="236"/>
      <c r="S731" s="236"/>
      <c r="T731" s="236"/>
      <c r="U731" s="236"/>
      <c r="V731" s="236"/>
      <c r="W731" s="237"/>
      <c r="X731" s="237"/>
      <c r="Y731" s="237"/>
      <c r="Z731" s="237"/>
      <c r="AA731" s="237"/>
      <c r="AB731" s="237"/>
      <c r="AC731" s="237"/>
      <c r="AD731" s="237"/>
      <c r="AE731" s="237"/>
      <c r="AF731" s="237"/>
      <c r="AG731" s="237"/>
      <c r="AH731" s="237"/>
      <c r="AI731" s="308"/>
      <c r="AJ731" s="308"/>
      <c r="AK731" s="308"/>
      <c r="AL731" s="308"/>
      <c r="AM731" s="98"/>
      <c r="AN731" s="98"/>
    </row>
    <row r="732" ht="14.25" customHeight="1">
      <c r="A732" s="179"/>
      <c r="B732" s="98"/>
      <c r="C732" s="98"/>
      <c r="D732" s="98"/>
      <c r="E732" s="98"/>
      <c r="F732" s="235"/>
      <c r="G732" s="235"/>
      <c r="H732" s="236"/>
      <c r="I732" s="236"/>
      <c r="J732" s="236"/>
      <c r="K732" s="236"/>
      <c r="L732" s="236"/>
      <c r="M732" s="236"/>
      <c r="N732" s="236"/>
      <c r="O732" s="236"/>
      <c r="P732" s="236"/>
      <c r="Q732" s="236"/>
      <c r="R732" s="236"/>
      <c r="S732" s="236"/>
      <c r="T732" s="236"/>
      <c r="U732" s="236"/>
      <c r="V732" s="236"/>
      <c r="W732" s="237"/>
      <c r="X732" s="237"/>
      <c r="Y732" s="237"/>
      <c r="Z732" s="237"/>
      <c r="AA732" s="237"/>
      <c r="AB732" s="237"/>
      <c r="AC732" s="237"/>
      <c r="AD732" s="237"/>
      <c r="AE732" s="237"/>
      <c r="AF732" s="237"/>
      <c r="AG732" s="237"/>
      <c r="AH732" s="237"/>
      <c r="AI732" s="308"/>
      <c r="AJ732" s="308"/>
      <c r="AK732" s="308"/>
      <c r="AL732" s="308"/>
      <c r="AM732" s="98"/>
      <c r="AN732" s="98"/>
    </row>
    <row r="733" ht="14.25" customHeight="1">
      <c r="A733" s="179"/>
      <c r="B733" s="98"/>
      <c r="C733" s="98"/>
      <c r="D733" s="98"/>
      <c r="E733" s="98"/>
      <c r="F733" s="235"/>
      <c r="G733" s="235"/>
      <c r="H733" s="236"/>
      <c r="I733" s="236"/>
      <c r="J733" s="236"/>
      <c r="K733" s="236"/>
      <c r="L733" s="236"/>
      <c r="M733" s="236"/>
      <c r="N733" s="236"/>
      <c r="O733" s="236"/>
      <c r="P733" s="236"/>
      <c r="Q733" s="236"/>
      <c r="R733" s="236"/>
      <c r="S733" s="236"/>
      <c r="T733" s="236"/>
      <c r="U733" s="236"/>
      <c r="V733" s="236"/>
      <c r="W733" s="237"/>
      <c r="X733" s="237"/>
      <c r="Y733" s="237"/>
      <c r="Z733" s="237"/>
      <c r="AA733" s="237"/>
      <c r="AB733" s="237"/>
      <c r="AC733" s="237"/>
      <c r="AD733" s="237"/>
      <c r="AE733" s="237"/>
      <c r="AF733" s="237"/>
      <c r="AG733" s="237"/>
      <c r="AH733" s="237"/>
      <c r="AI733" s="308"/>
      <c r="AJ733" s="308"/>
      <c r="AK733" s="308"/>
      <c r="AL733" s="308"/>
      <c r="AM733" s="98"/>
      <c r="AN733" s="98"/>
    </row>
    <row r="734" ht="14.25" customHeight="1">
      <c r="A734" s="179"/>
      <c r="B734" s="98"/>
      <c r="C734" s="98"/>
      <c r="D734" s="98"/>
      <c r="E734" s="98"/>
      <c r="F734" s="235"/>
      <c r="G734" s="235"/>
      <c r="H734" s="236"/>
      <c r="I734" s="236"/>
      <c r="J734" s="236"/>
      <c r="K734" s="236"/>
      <c r="L734" s="236"/>
      <c r="M734" s="236"/>
      <c r="N734" s="236"/>
      <c r="O734" s="236"/>
      <c r="P734" s="236"/>
      <c r="Q734" s="236"/>
      <c r="R734" s="236"/>
      <c r="S734" s="236"/>
      <c r="T734" s="236"/>
      <c r="U734" s="236"/>
      <c r="V734" s="236"/>
      <c r="W734" s="237"/>
      <c r="X734" s="237"/>
      <c r="Y734" s="237"/>
      <c r="Z734" s="237"/>
      <c r="AA734" s="237"/>
      <c r="AB734" s="237"/>
      <c r="AC734" s="237"/>
      <c r="AD734" s="237"/>
      <c r="AE734" s="237"/>
      <c r="AF734" s="237"/>
      <c r="AG734" s="237"/>
      <c r="AH734" s="237"/>
      <c r="AI734" s="308"/>
      <c r="AJ734" s="308"/>
      <c r="AK734" s="308"/>
      <c r="AL734" s="308"/>
      <c r="AM734" s="98"/>
      <c r="AN734" s="98"/>
    </row>
    <row r="735" ht="14.25" customHeight="1">
      <c r="A735" s="179"/>
      <c r="B735" s="98"/>
      <c r="C735" s="98"/>
      <c r="D735" s="98"/>
      <c r="E735" s="98"/>
      <c r="F735" s="235"/>
      <c r="G735" s="235"/>
      <c r="H735" s="236"/>
      <c r="I735" s="236"/>
      <c r="J735" s="236"/>
      <c r="K735" s="236"/>
      <c r="L735" s="236"/>
      <c r="M735" s="236"/>
      <c r="N735" s="236"/>
      <c r="O735" s="236"/>
      <c r="P735" s="236"/>
      <c r="Q735" s="236"/>
      <c r="R735" s="236"/>
      <c r="S735" s="236"/>
      <c r="T735" s="236"/>
      <c r="U735" s="236"/>
      <c r="V735" s="236"/>
      <c r="W735" s="237"/>
      <c r="X735" s="237"/>
      <c r="Y735" s="237"/>
      <c r="Z735" s="237"/>
      <c r="AA735" s="237"/>
      <c r="AB735" s="237"/>
      <c r="AC735" s="237"/>
      <c r="AD735" s="237"/>
      <c r="AE735" s="237"/>
      <c r="AF735" s="237"/>
      <c r="AG735" s="237"/>
      <c r="AH735" s="237"/>
      <c r="AI735" s="308"/>
      <c r="AJ735" s="308"/>
      <c r="AK735" s="308"/>
      <c r="AL735" s="308"/>
      <c r="AM735" s="98"/>
      <c r="AN735" s="98"/>
    </row>
    <row r="736" ht="14.25" customHeight="1">
      <c r="A736" s="179"/>
      <c r="B736" s="98"/>
      <c r="C736" s="98"/>
      <c r="D736" s="98"/>
      <c r="E736" s="98"/>
      <c r="F736" s="235"/>
      <c r="G736" s="235"/>
      <c r="H736" s="236"/>
      <c r="I736" s="236"/>
      <c r="J736" s="236"/>
      <c r="K736" s="236"/>
      <c r="L736" s="236"/>
      <c r="M736" s="236"/>
      <c r="N736" s="236"/>
      <c r="O736" s="236"/>
      <c r="P736" s="236"/>
      <c r="Q736" s="236"/>
      <c r="R736" s="236"/>
      <c r="S736" s="236"/>
      <c r="T736" s="236"/>
      <c r="U736" s="236"/>
      <c r="V736" s="236"/>
      <c r="W736" s="237"/>
      <c r="X736" s="237"/>
      <c r="Y736" s="237"/>
      <c r="Z736" s="237"/>
      <c r="AA736" s="237"/>
      <c r="AB736" s="237"/>
      <c r="AC736" s="237"/>
      <c r="AD736" s="237"/>
      <c r="AE736" s="237"/>
      <c r="AF736" s="237"/>
      <c r="AG736" s="237"/>
      <c r="AH736" s="237"/>
      <c r="AI736" s="308"/>
      <c r="AJ736" s="308"/>
      <c r="AK736" s="308"/>
      <c r="AL736" s="308"/>
      <c r="AM736" s="98"/>
      <c r="AN736" s="98"/>
    </row>
    <row r="737" ht="14.25" customHeight="1">
      <c r="A737" s="179"/>
      <c r="B737" s="98"/>
      <c r="C737" s="98"/>
      <c r="D737" s="98"/>
      <c r="E737" s="98"/>
      <c r="F737" s="235"/>
      <c r="G737" s="235"/>
      <c r="H737" s="236"/>
      <c r="I737" s="236"/>
      <c r="J737" s="236"/>
      <c r="K737" s="236"/>
      <c r="L737" s="236"/>
      <c r="M737" s="236"/>
      <c r="N737" s="236"/>
      <c r="O737" s="236"/>
      <c r="P737" s="236"/>
      <c r="Q737" s="236"/>
      <c r="R737" s="236"/>
      <c r="S737" s="236"/>
      <c r="T737" s="236"/>
      <c r="U737" s="236"/>
      <c r="V737" s="236"/>
      <c r="W737" s="237"/>
      <c r="X737" s="237"/>
      <c r="Y737" s="237"/>
      <c r="Z737" s="237"/>
      <c r="AA737" s="237"/>
      <c r="AB737" s="237"/>
      <c r="AC737" s="237"/>
      <c r="AD737" s="237"/>
      <c r="AE737" s="237"/>
      <c r="AF737" s="237"/>
      <c r="AG737" s="237"/>
      <c r="AH737" s="237"/>
      <c r="AI737" s="308"/>
      <c r="AJ737" s="308"/>
      <c r="AK737" s="308"/>
      <c r="AL737" s="308"/>
      <c r="AM737" s="98"/>
      <c r="AN737" s="98"/>
    </row>
    <row r="738" ht="14.25" customHeight="1">
      <c r="A738" s="179"/>
      <c r="B738" s="98"/>
      <c r="C738" s="98"/>
      <c r="D738" s="98"/>
      <c r="E738" s="98"/>
      <c r="F738" s="235"/>
      <c r="G738" s="235"/>
      <c r="H738" s="236"/>
      <c r="I738" s="236"/>
      <c r="J738" s="236"/>
      <c r="K738" s="236"/>
      <c r="L738" s="236"/>
      <c r="M738" s="236"/>
      <c r="N738" s="236"/>
      <c r="O738" s="236"/>
      <c r="P738" s="236"/>
      <c r="Q738" s="236"/>
      <c r="R738" s="236"/>
      <c r="S738" s="236"/>
      <c r="T738" s="236"/>
      <c r="U738" s="236"/>
      <c r="V738" s="236"/>
      <c r="W738" s="237"/>
      <c r="X738" s="237"/>
      <c r="Y738" s="237"/>
      <c r="Z738" s="237"/>
      <c r="AA738" s="237"/>
      <c r="AB738" s="237"/>
      <c r="AC738" s="237"/>
      <c r="AD738" s="237"/>
      <c r="AE738" s="237"/>
      <c r="AF738" s="237"/>
      <c r="AG738" s="237"/>
      <c r="AH738" s="237"/>
      <c r="AI738" s="308"/>
      <c r="AJ738" s="308"/>
      <c r="AK738" s="308"/>
      <c r="AL738" s="308"/>
      <c r="AM738" s="98"/>
      <c r="AN738" s="98"/>
    </row>
    <row r="739" ht="14.25" customHeight="1">
      <c r="A739" s="179"/>
      <c r="B739" s="98"/>
      <c r="C739" s="98"/>
      <c r="D739" s="98"/>
      <c r="E739" s="98"/>
      <c r="F739" s="235"/>
      <c r="G739" s="235"/>
      <c r="H739" s="236"/>
      <c r="I739" s="236"/>
      <c r="J739" s="236"/>
      <c r="K739" s="236"/>
      <c r="L739" s="236"/>
      <c r="M739" s="236"/>
      <c r="N739" s="236"/>
      <c r="O739" s="236"/>
      <c r="P739" s="236"/>
      <c r="Q739" s="236"/>
      <c r="R739" s="236"/>
      <c r="S739" s="236"/>
      <c r="T739" s="236"/>
      <c r="U739" s="236"/>
      <c r="V739" s="236"/>
      <c r="W739" s="237"/>
      <c r="X739" s="237"/>
      <c r="Y739" s="237"/>
      <c r="Z739" s="237"/>
      <c r="AA739" s="237"/>
      <c r="AB739" s="237"/>
      <c r="AC739" s="237"/>
      <c r="AD739" s="237"/>
      <c r="AE739" s="237"/>
      <c r="AF739" s="237"/>
      <c r="AG739" s="237"/>
      <c r="AH739" s="237"/>
      <c r="AI739" s="308"/>
      <c r="AJ739" s="308"/>
      <c r="AK739" s="308"/>
      <c r="AL739" s="308"/>
      <c r="AM739" s="98"/>
      <c r="AN739" s="98"/>
    </row>
    <row r="740" ht="14.25" customHeight="1">
      <c r="A740" s="179"/>
      <c r="B740" s="98"/>
      <c r="C740" s="98"/>
      <c r="D740" s="98"/>
      <c r="E740" s="98"/>
      <c r="F740" s="235"/>
      <c r="G740" s="235"/>
      <c r="H740" s="236"/>
      <c r="I740" s="236"/>
      <c r="J740" s="236"/>
      <c r="K740" s="236"/>
      <c r="L740" s="236"/>
      <c r="M740" s="236"/>
      <c r="N740" s="236"/>
      <c r="O740" s="236"/>
      <c r="P740" s="236"/>
      <c r="Q740" s="236"/>
      <c r="R740" s="236"/>
      <c r="S740" s="236"/>
      <c r="T740" s="236"/>
      <c r="U740" s="236"/>
      <c r="V740" s="236"/>
      <c r="W740" s="237"/>
      <c r="X740" s="237"/>
      <c r="Y740" s="237"/>
      <c r="Z740" s="237"/>
      <c r="AA740" s="237"/>
      <c r="AB740" s="237"/>
      <c r="AC740" s="237"/>
      <c r="AD740" s="237"/>
      <c r="AE740" s="237"/>
      <c r="AF740" s="237"/>
      <c r="AG740" s="237"/>
      <c r="AH740" s="237"/>
      <c r="AI740" s="308"/>
      <c r="AJ740" s="308"/>
      <c r="AK740" s="308"/>
      <c r="AL740" s="308"/>
      <c r="AM740" s="98"/>
      <c r="AN740" s="98"/>
    </row>
    <row r="741" ht="14.25" customHeight="1">
      <c r="A741" s="179"/>
      <c r="B741" s="98"/>
      <c r="C741" s="98"/>
      <c r="D741" s="98"/>
      <c r="E741" s="98"/>
      <c r="F741" s="235"/>
      <c r="G741" s="235"/>
      <c r="H741" s="236"/>
      <c r="I741" s="236"/>
      <c r="J741" s="236"/>
      <c r="K741" s="236"/>
      <c r="L741" s="236"/>
      <c r="M741" s="236"/>
      <c r="N741" s="236"/>
      <c r="O741" s="236"/>
      <c r="P741" s="236"/>
      <c r="Q741" s="236"/>
      <c r="R741" s="236"/>
      <c r="S741" s="236"/>
      <c r="T741" s="236"/>
      <c r="U741" s="236"/>
      <c r="V741" s="236"/>
      <c r="W741" s="237"/>
      <c r="X741" s="237"/>
      <c r="Y741" s="237"/>
      <c r="Z741" s="237"/>
      <c r="AA741" s="237"/>
      <c r="AB741" s="237"/>
      <c r="AC741" s="237"/>
      <c r="AD741" s="237"/>
      <c r="AE741" s="237"/>
      <c r="AF741" s="237"/>
      <c r="AG741" s="237"/>
      <c r="AH741" s="237"/>
      <c r="AI741" s="308"/>
      <c r="AJ741" s="308"/>
      <c r="AK741" s="308"/>
      <c r="AL741" s="308"/>
      <c r="AM741" s="98"/>
      <c r="AN741" s="98"/>
    </row>
    <row r="742" ht="14.25" customHeight="1">
      <c r="A742" s="179"/>
      <c r="B742" s="98"/>
      <c r="C742" s="98"/>
      <c r="D742" s="98"/>
      <c r="E742" s="98"/>
      <c r="F742" s="235"/>
      <c r="G742" s="235"/>
      <c r="H742" s="236"/>
      <c r="I742" s="236"/>
      <c r="J742" s="236"/>
      <c r="K742" s="236"/>
      <c r="L742" s="236"/>
      <c r="M742" s="236"/>
      <c r="N742" s="236"/>
      <c r="O742" s="236"/>
      <c r="P742" s="236"/>
      <c r="Q742" s="236"/>
      <c r="R742" s="236"/>
      <c r="S742" s="236"/>
      <c r="T742" s="236"/>
      <c r="U742" s="236"/>
      <c r="V742" s="236"/>
      <c r="W742" s="237"/>
      <c r="X742" s="237"/>
      <c r="Y742" s="237"/>
      <c r="Z742" s="237"/>
      <c r="AA742" s="237"/>
      <c r="AB742" s="237"/>
      <c r="AC742" s="237"/>
      <c r="AD742" s="237"/>
      <c r="AE742" s="237"/>
      <c r="AF742" s="237"/>
      <c r="AG742" s="237"/>
      <c r="AH742" s="237"/>
      <c r="AI742" s="308"/>
      <c r="AJ742" s="308"/>
      <c r="AK742" s="308"/>
      <c r="AL742" s="308"/>
      <c r="AM742" s="98"/>
      <c r="AN742" s="98"/>
    </row>
    <row r="743" ht="14.25" customHeight="1">
      <c r="A743" s="179"/>
      <c r="B743" s="98"/>
      <c r="C743" s="98"/>
      <c r="D743" s="98"/>
      <c r="E743" s="98"/>
      <c r="F743" s="235"/>
      <c r="G743" s="235"/>
      <c r="H743" s="236"/>
      <c r="I743" s="236"/>
      <c r="J743" s="236"/>
      <c r="K743" s="236"/>
      <c r="L743" s="236"/>
      <c r="M743" s="236"/>
      <c r="N743" s="236"/>
      <c r="O743" s="236"/>
      <c r="P743" s="236"/>
      <c r="Q743" s="236"/>
      <c r="R743" s="236"/>
      <c r="S743" s="236"/>
      <c r="T743" s="236"/>
      <c r="U743" s="236"/>
      <c r="V743" s="236"/>
      <c r="W743" s="237"/>
      <c r="X743" s="237"/>
      <c r="Y743" s="237"/>
      <c r="Z743" s="237"/>
      <c r="AA743" s="237"/>
      <c r="AB743" s="237"/>
      <c r="AC743" s="237"/>
      <c r="AD743" s="237"/>
      <c r="AE743" s="237"/>
      <c r="AF743" s="237"/>
      <c r="AG743" s="237"/>
      <c r="AH743" s="237"/>
      <c r="AI743" s="308"/>
      <c r="AJ743" s="308"/>
      <c r="AK743" s="308"/>
      <c r="AL743" s="308"/>
      <c r="AM743" s="98"/>
      <c r="AN743" s="98"/>
    </row>
    <row r="744" ht="14.25" customHeight="1">
      <c r="A744" s="179"/>
      <c r="B744" s="98"/>
      <c r="C744" s="98"/>
      <c r="D744" s="98"/>
      <c r="E744" s="98"/>
      <c r="F744" s="235"/>
      <c r="G744" s="235"/>
      <c r="H744" s="236"/>
      <c r="I744" s="236"/>
      <c r="J744" s="236"/>
      <c r="K744" s="236"/>
      <c r="L744" s="236"/>
      <c r="M744" s="236"/>
      <c r="N744" s="236"/>
      <c r="O744" s="236"/>
      <c r="P744" s="236"/>
      <c r="Q744" s="236"/>
      <c r="R744" s="236"/>
      <c r="S744" s="236"/>
      <c r="T744" s="236"/>
      <c r="U744" s="236"/>
      <c r="V744" s="236"/>
      <c r="W744" s="237"/>
      <c r="X744" s="237"/>
      <c r="Y744" s="237"/>
      <c r="Z744" s="237"/>
      <c r="AA744" s="237"/>
      <c r="AB744" s="237"/>
      <c r="AC744" s="237"/>
      <c r="AD744" s="237"/>
      <c r="AE744" s="237"/>
      <c r="AF744" s="237"/>
      <c r="AG744" s="237"/>
      <c r="AH744" s="237"/>
      <c r="AI744" s="308"/>
      <c r="AJ744" s="308"/>
      <c r="AK744" s="308"/>
      <c r="AL744" s="308"/>
      <c r="AM744" s="98"/>
      <c r="AN744" s="98"/>
    </row>
    <row r="745" ht="14.25" customHeight="1">
      <c r="A745" s="179"/>
      <c r="B745" s="98"/>
      <c r="C745" s="98"/>
      <c r="D745" s="98"/>
      <c r="E745" s="98"/>
      <c r="F745" s="235"/>
      <c r="G745" s="235"/>
      <c r="H745" s="236"/>
      <c r="I745" s="236"/>
      <c r="J745" s="236"/>
      <c r="K745" s="236"/>
      <c r="L745" s="236"/>
      <c r="M745" s="236"/>
      <c r="N745" s="236"/>
      <c r="O745" s="236"/>
      <c r="P745" s="236"/>
      <c r="Q745" s="236"/>
      <c r="R745" s="236"/>
      <c r="S745" s="236"/>
      <c r="T745" s="236"/>
      <c r="U745" s="236"/>
      <c r="V745" s="236"/>
      <c r="W745" s="237"/>
      <c r="X745" s="237"/>
      <c r="Y745" s="237"/>
      <c r="Z745" s="237"/>
      <c r="AA745" s="237"/>
      <c r="AB745" s="237"/>
      <c r="AC745" s="237"/>
      <c r="AD745" s="237"/>
      <c r="AE745" s="237"/>
      <c r="AF745" s="237"/>
      <c r="AG745" s="237"/>
      <c r="AH745" s="237"/>
      <c r="AI745" s="308"/>
      <c r="AJ745" s="308"/>
      <c r="AK745" s="308"/>
      <c r="AL745" s="308"/>
      <c r="AM745" s="98"/>
      <c r="AN745" s="98"/>
    </row>
    <row r="746" ht="14.25" customHeight="1">
      <c r="A746" s="179"/>
      <c r="B746" s="98"/>
      <c r="C746" s="98"/>
      <c r="D746" s="98"/>
      <c r="E746" s="98"/>
      <c r="F746" s="235"/>
      <c r="G746" s="235"/>
      <c r="H746" s="236"/>
      <c r="I746" s="236"/>
      <c r="J746" s="236"/>
      <c r="K746" s="236"/>
      <c r="L746" s="236"/>
      <c r="M746" s="236"/>
      <c r="N746" s="236"/>
      <c r="O746" s="236"/>
      <c r="P746" s="236"/>
      <c r="Q746" s="236"/>
      <c r="R746" s="236"/>
      <c r="S746" s="236"/>
      <c r="T746" s="236"/>
      <c r="U746" s="236"/>
      <c r="V746" s="236"/>
      <c r="W746" s="237"/>
      <c r="X746" s="237"/>
      <c r="Y746" s="237"/>
      <c r="Z746" s="237"/>
      <c r="AA746" s="237"/>
      <c r="AB746" s="237"/>
      <c r="AC746" s="237"/>
      <c r="AD746" s="237"/>
      <c r="AE746" s="237"/>
      <c r="AF746" s="237"/>
      <c r="AG746" s="237"/>
      <c r="AH746" s="237"/>
      <c r="AI746" s="308"/>
      <c r="AJ746" s="308"/>
      <c r="AK746" s="308"/>
      <c r="AL746" s="308"/>
      <c r="AM746" s="98"/>
      <c r="AN746" s="98"/>
    </row>
    <row r="747" ht="14.25" customHeight="1">
      <c r="A747" s="179"/>
      <c r="B747" s="98"/>
      <c r="C747" s="98"/>
      <c r="D747" s="98"/>
      <c r="E747" s="98"/>
      <c r="F747" s="235"/>
      <c r="G747" s="235"/>
      <c r="H747" s="236"/>
      <c r="I747" s="236"/>
      <c r="J747" s="236"/>
      <c r="K747" s="236"/>
      <c r="L747" s="236"/>
      <c r="M747" s="236"/>
      <c r="N747" s="236"/>
      <c r="O747" s="236"/>
      <c r="P747" s="236"/>
      <c r="Q747" s="236"/>
      <c r="R747" s="236"/>
      <c r="S747" s="236"/>
      <c r="T747" s="236"/>
      <c r="U747" s="236"/>
      <c r="V747" s="236"/>
      <c r="W747" s="237"/>
      <c r="X747" s="237"/>
      <c r="Y747" s="237"/>
      <c r="Z747" s="237"/>
      <c r="AA747" s="237"/>
      <c r="AB747" s="237"/>
      <c r="AC747" s="237"/>
      <c r="AD747" s="237"/>
      <c r="AE747" s="237"/>
      <c r="AF747" s="237"/>
      <c r="AG747" s="237"/>
      <c r="AH747" s="237"/>
      <c r="AI747" s="308"/>
      <c r="AJ747" s="308"/>
      <c r="AK747" s="308"/>
      <c r="AL747" s="308"/>
      <c r="AM747" s="98"/>
      <c r="AN747" s="98"/>
    </row>
    <row r="748" ht="14.25" customHeight="1">
      <c r="A748" s="179"/>
      <c r="B748" s="98"/>
      <c r="C748" s="98"/>
      <c r="D748" s="98"/>
      <c r="E748" s="98"/>
      <c r="F748" s="235"/>
      <c r="G748" s="235"/>
      <c r="H748" s="236"/>
      <c r="I748" s="236"/>
      <c r="J748" s="236"/>
      <c r="K748" s="236"/>
      <c r="L748" s="236"/>
      <c r="M748" s="236"/>
      <c r="N748" s="236"/>
      <c r="O748" s="236"/>
      <c r="P748" s="236"/>
      <c r="Q748" s="236"/>
      <c r="R748" s="236"/>
      <c r="S748" s="236"/>
      <c r="T748" s="236"/>
      <c r="U748" s="236"/>
      <c r="V748" s="236"/>
      <c r="W748" s="237"/>
      <c r="X748" s="237"/>
      <c r="Y748" s="237"/>
      <c r="Z748" s="237"/>
      <c r="AA748" s="237"/>
      <c r="AB748" s="237"/>
      <c r="AC748" s="237"/>
      <c r="AD748" s="237"/>
      <c r="AE748" s="237"/>
      <c r="AF748" s="237"/>
      <c r="AG748" s="237"/>
      <c r="AH748" s="237"/>
      <c r="AI748" s="308"/>
      <c r="AJ748" s="308"/>
      <c r="AK748" s="308"/>
      <c r="AL748" s="308"/>
      <c r="AM748" s="98"/>
      <c r="AN748" s="98"/>
    </row>
    <row r="749" ht="14.25" customHeight="1">
      <c r="A749" s="179"/>
      <c r="B749" s="98"/>
      <c r="C749" s="98"/>
      <c r="D749" s="98"/>
      <c r="E749" s="98"/>
      <c r="F749" s="235"/>
      <c r="G749" s="235"/>
      <c r="H749" s="236"/>
      <c r="I749" s="236"/>
      <c r="J749" s="236"/>
      <c r="K749" s="236"/>
      <c r="L749" s="236"/>
      <c r="M749" s="236"/>
      <c r="N749" s="236"/>
      <c r="O749" s="236"/>
      <c r="P749" s="236"/>
      <c r="Q749" s="236"/>
      <c r="R749" s="236"/>
      <c r="S749" s="236"/>
      <c r="T749" s="236"/>
      <c r="U749" s="236"/>
      <c r="V749" s="236"/>
      <c r="W749" s="237"/>
      <c r="X749" s="237"/>
      <c r="Y749" s="237"/>
      <c r="Z749" s="237"/>
      <c r="AA749" s="237"/>
      <c r="AB749" s="237"/>
      <c r="AC749" s="237"/>
      <c r="AD749" s="237"/>
      <c r="AE749" s="237"/>
      <c r="AF749" s="237"/>
      <c r="AG749" s="237"/>
      <c r="AH749" s="237"/>
      <c r="AI749" s="308"/>
      <c r="AJ749" s="308"/>
      <c r="AK749" s="308"/>
      <c r="AL749" s="308"/>
      <c r="AM749" s="98"/>
      <c r="AN749" s="98"/>
    </row>
    <row r="750" ht="14.25" customHeight="1">
      <c r="A750" s="179"/>
      <c r="B750" s="98"/>
      <c r="C750" s="98"/>
      <c r="D750" s="98"/>
      <c r="E750" s="98"/>
      <c r="F750" s="235"/>
      <c r="G750" s="235"/>
      <c r="H750" s="236"/>
      <c r="I750" s="236"/>
      <c r="J750" s="236"/>
      <c r="K750" s="236"/>
      <c r="L750" s="236"/>
      <c r="M750" s="236"/>
      <c r="N750" s="236"/>
      <c r="O750" s="236"/>
      <c r="P750" s="236"/>
      <c r="Q750" s="236"/>
      <c r="R750" s="236"/>
      <c r="S750" s="236"/>
      <c r="T750" s="236"/>
      <c r="U750" s="236"/>
      <c r="V750" s="236"/>
      <c r="W750" s="237"/>
      <c r="X750" s="237"/>
      <c r="Y750" s="237"/>
      <c r="Z750" s="237"/>
      <c r="AA750" s="237"/>
      <c r="AB750" s="237"/>
      <c r="AC750" s="237"/>
      <c r="AD750" s="237"/>
      <c r="AE750" s="237"/>
      <c r="AF750" s="237"/>
      <c r="AG750" s="237"/>
      <c r="AH750" s="237"/>
      <c r="AI750" s="308"/>
      <c r="AJ750" s="308"/>
      <c r="AK750" s="308"/>
      <c r="AL750" s="308"/>
      <c r="AM750" s="98"/>
      <c r="AN750" s="98"/>
    </row>
    <row r="751" ht="14.25" customHeight="1">
      <c r="A751" s="179"/>
      <c r="B751" s="98"/>
      <c r="C751" s="98"/>
      <c r="D751" s="98"/>
      <c r="E751" s="98"/>
      <c r="F751" s="235"/>
      <c r="G751" s="235"/>
      <c r="H751" s="236"/>
      <c r="I751" s="236"/>
      <c r="J751" s="236"/>
      <c r="K751" s="236"/>
      <c r="L751" s="236"/>
      <c r="M751" s="236"/>
      <c r="N751" s="236"/>
      <c r="O751" s="236"/>
      <c r="P751" s="236"/>
      <c r="Q751" s="236"/>
      <c r="R751" s="236"/>
      <c r="S751" s="236"/>
      <c r="T751" s="236"/>
      <c r="U751" s="236"/>
      <c r="V751" s="236"/>
      <c r="W751" s="237"/>
      <c r="X751" s="237"/>
      <c r="Y751" s="237"/>
      <c r="Z751" s="237"/>
      <c r="AA751" s="237"/>
      <c r="AB751" s="237"/>
      <c r="AC751" s="237"/>
      <c r="AD751" s="237"/>
      <c r="AE751" s="237"/>
      <c r="AF751" s="237"/>
      <c r="AG751" s="237"/>
      <c r="AH751" s="237"/>
      <c r="AI751" s="308"/>
      <c r="AJ751" s="308"/>
      <c r="AK751" s="308"/>
      <c r="AL751" s="308"/>
      <c r="AM751" s="98"/>
      <c r="AN751" s="98"/>
    </row>
    <row r="752" ht="14.25" customHeight="1">
      <c r="A752" s="179"/>
      <c r="B752" s="98"/>
      <c r="C752" s="98"/>
      <c r="D752" s="98"/>
      <c r="E752" s="98"/>
      <c r="F752" s="235"/>
      <c r="G752" s="235"/>
      <c r="H752" s="236"/>
      <c r="I752" s="236"/>
      <c r="J752" s="236"/>
      <c r="K752" s="236"/>
      <c r="L752" s="236"/>
      <c r="M752" s="236"/>
      <c r="N752" s="236"/>
      <c r="O752" s="236"/>
      <c r="P752" s="236"/>
      <c r="Q752" s="236"/>
      <c r="R752" s="236"/>
      <c r="S752" s="236"/>
      <c r="T752" s="236"/>
      <c r="U752" s="236"/>
      <c r="V752" s="236"/>
      <c r="W752" s="237"/>
      <c r="X752" s="237"/>
      <c r="Y752" s="237"/>
      <c r="Z752" s="237"/>
      <c r="AA752" s="237"/>
      <c r="AB752" s="237"/>
      <c r="AC752" s="237"/>
      <c r="AD752" s="237"/>
      <c r="AE752" s="237"/>
      <c r="AF752" s="237"/>
      <c r="AG752" s="237"/>
      <c r="AH752" s="237"/>
      <c r="AI752" s="308"/>
      <c r="AJ752" s="308"/>
      <c r="AK752" s="308"/>
      <c r="AL752" s="308"/>
      <c r="AM752" s="98"/>
      <c r="AN752" s="98"/>
    </row>
    <row r="753" ht="14.25" customHeight="1">
      <c r="A753" s="179"/>
      <c r="B753" s="98"/>
      <c r="C753" s="98"/>
      <c r="D753" s="98"/>
      <c r="E753" s="98"/>
      <c r="F753" s="235"/>
      <c r="G753" s="235"/>
      <c r="H753" s="236"/>
      <c r="I753" s="236"/>
      <c r="J753" s="236"/>
      <c r="K753" s="236"/>
      <c r="L753" s="236"/>
      <c r="M753" s="236"/>
      <c r="N753" s="236"/>
      <c r="O753" s="236"/>
      <c r="P753" s="236"/>
      <c r="Q753" s="236"/>
      <c r="R753" s="236"/>
      <c r="S753" s="236"/>
      <c r="T753" s="236"/>
      <c r="U753" s="236"/>
      <c r="V753" s="236"/>
      <c r="W753" s="237"/>
      <c r="X753" s="237"/>
      <c r="Y753" s="237"/>
      <c r="Z753" s="237"/>
      <c r="AA753" s="237"/>
      <c r="AB753" s="237"/>
      <c r="AC753" s="237"/>
      <c r="AD753" s="237"/>
      <c r="AE753" s="237"/>
      <c r="AF753" s="237"/>
      <c r="AG753" s="237"/>
      <c r="AH753" s="237"/>
      <c r="AI753" s="308"/>
      <c r="AJ753" s="308"/>
      <c r="AK753" s="308"/>
      <c r="AL753" s="308"/>
      <c r="AM753" s="98"/>
      <c r="AN753" s="98"/>
    </row>
    <row r="754" ht="14.25" customHeight="1">
      <c r="A754" s="179"/>
      <c r="B754" s="98"/>
      <c r="C754" s="98"/>
      <c r="D754" s="98"/>
      <c r="E754" s="98"/>
      <c r="F754" s="235"/>
      <c r="G754" s="235"/>
      <c r="H754" s="236"/>
      <c r="I754" s="236"/>
      <c r="J754" s="236"/>
      <c r="K754" s="236"/>
      <c r="L754" s="236"/>
      <c r="M754" s="236"/>
      <c r="N754" s="236"/>
      <c r="O754" s="236"/>
      <c r="P754" s="236"/>
      <c r="Q754" s="236"/>
      <c r="R754" s="236"/>
      <c r="S754" s="236"/>
      <c r="T754" s="236"/>
      <c r="U754" s="236"/>
      <c r="V754" s="236"/>
      <c r="W754" s="237"/>
      <c r="X754" s="237"/>
      <c r="Y754" s="237"/>
      <c r="Z754" s="237"/>
      <c r="AA754" s="237"/>
      <c r="AB754" s="237"/>
      <c r="AC754" s="237"/>
      <c r="AD754" s="237"/>
      <c r="AE754" s="237"/>
      <c r="AF754" s="237"/>
      <c r="AG754" s="237"/>
      <c r="AH754" s="237"/>
      <c r="AI754" s="308"/>
      <c r="AJ754" s="308"/>
      <c r="AK754" s="308"/>
      <c r="AL754" s="308"/>
      <c r="AM754" s="98"/>
      <c r="AN754" s="98"/>
    </row>
    <row r="755" ht="14.25" customHeight="1">
      <c r="A755" s="179"/>
      <c r="B755" s="98"/>
      <c r="C755" s="98"/>
      <c r="D755" s="98"/>
      <c r="E755" s="98"/>
      <c r="F755" s="235"/>
      <c r="G755" s="235"/>
      <c r="H755" s="236"/>
      <c r="I755" s="236"/>
      <c r="J755" s="236"/>
      <c r="K755" s="236"/>
      <c r="L755" s="236"/>
      <c r="M755" s="236"/>
      <c r="N755" s="236"/>
      <c r="O755" s="236"/>
      <c r="P755" s="236"/>
      <c r="Q755" s="236"/>
      <c r="R755" s="236"/>
      <c r="S755" s="236"/>
      <c r="T755" s="236"/>
      <c r="U755" s="236"/>
      <c r="V755" s="236"/>
      <c r="W755" s="237"/>
      <c r="X755" s="237"/>
      <c r="Y755" s="237"/>
      <c r="Z755" s="237"/>
      <c r="AA755" s="237"/>
      <c r="AB755" s="237"/>
      <c r="AC755" s="237"/>
      <c r="AD755" s="237"/>
      <c r="AE755" s="237"/>
      <c r="AF755" s="237"/>
      <c r="AG755" s="237"/>
      <c r="AH755" s="237"/>
      <c r="AI755" s="308"/>
      <c r="AJ755" s="308"/>
      <c r="AK755" s="308"/>
      <c r="AL755" s="308"/>
      <c r="AM755" s="98"/>
      <c r="AN755" s="98"/>
    </row>
    <row r="756" ht="14.25" customHeight="1">
      <c r="A756" s="179"/>
      <c r="B756" s="98"/>
      <c r="C756" s="98"/>
      <c r="D756" s="98"/>
      <c r="E756" s="98"/>
      <c r="F756" s="235"/>
      <c r="G756" s="235"/>
      <c r="H756" s="236"/>
      <c r="I756" s="236"/>
      <c r="J756" s="236"/>
      <c r="K756" s="236"/>
      <c r="L756" s="236"/>
      <c r="M756" s="236"/>
      <c r="N756" s="236"/>
      <c r="O756" s="236"/>
      <c r="P756" s="236"/>
      <c r="Q756" s="236"/>
      <c r="R756" s="236"/>
      <c r="S756" s="236"/>
      <c r="T756" s="236"/>
      <c r="U756" s="236"/>
      <c r="V756" s="236"/>
      <c r="W756" s="237"/>
      <c r="X756" s="237"/>
      <c r="Y756" s="237"/>
      <c r="Z756" s="237"/>
      <c r="AA756" s="237"/>
      <c r="AB756" s="237"/>
      <c r="AC756" s="237"/>
      <c r="AD756" s="237"/>
      <c r="AE756" s="237"/>
      <c r="AF756" s="237"/>
      <c r="AG756" s="237"/>
      <c r="AH756" s="237"/>
      <c r="AI756" s="308"/>
      <c r="AJ756" s="308"/>
      <c r="AK756" s="308"/>
      <c r="AL756" s="308"/>
      <c r="AM756" s="98"/>
      <c r="AN756" s="98"/>
    </row>
    <row r="757" ht="14.25" customHeight="1">
      <c r="A757" s="179"/>
      <c r="B757" s="98"/>
      <c r="C757" s="98"/>
      <c r="D757" s="98"/>
      <c r="E757" s="98"/>
      <c r="F757" s="235"/>
      <c r="G757" s="235"/>
      <c r="H757" s="236"/>
      <c r="I757" s="236"/>
      <c r="J757" s="236"/>
      <c r="K757" s="236"/>
      <c r="L757" s="236"/>
      <c r="M757" s="236"/>
      <c r="N757" s="236"/>
      <c r="O757" s="236"/>
      <c r="P757" s="236"/>
      <c r="Q757" s="236"/>
      <c r="R757" s="236"/>
      <c r="S757" s="236"/>
      <c r="T757" s="236"/>
      <c r="U757" s="236"/>
      <c r="V757" s="236"/>
      <c r="W757" s="237"/>
      <c r="X757" s="237"/>
      <c r="Y757" s="237"/>
      <c r="Z757" s="237"/>
      <c r="AA757" s="237"/>
      <c r="AB757" s="237"/>
      <c r="AC757" s="237"/>
      <c r="AD757" s="237"/>
      <c r="AE757" s="237"/>
      <c r="AF757" s="237"/>
      <c r="AG757" s="237"/>
      <c r="AH757" s="237"/>
      <c r="AI757" s="308"/>
      <c r="AJ757" s="308"/>
      <c r="AK757" s="308"/>
      <c r="AL757" s="308"/>
      <c r="AM757" s="98"/>
      <c r="AN757" s="98"/>
    </row>
    <row r="758" ht="14.25" customHeight="1">
      <c r="A758" s="179"/>
      <c r="B758" s="98"/>
      <c r="C758" s="98"/>
      <c r="D758" s="98"/>
      <c r="E758" s="98"/>
      <c r="F758" s="235"/>
      <c r="G758" s="235"/>
      <c r="H758" s="236"/>
      <c r="I758" s="236"/>
      <c r="J758" s="236"/>
      <c r="K758" s="236"/>
      <c r="L758" s="236"/>
      <c r="M758" s="236"/>
      <c r="N758" s="236"/>
      <c r="O758" s="236"/>
      <c r="P758" s="236"/>
      <c r="Q758" s="236"/>
      <c r="R758" s="236"/>
      <c r="S758" s="236"/>
      <c r="T758" s="236"/>
      <c r="U758" s="236"/>
      <c r="V758" s="236"/>
      <c r="W758" s="237"/>
      <c r="X758" s="237"/>
      <c r="Y758" s="237"/>
      <c r="Z758" s="237"/>
      <c r="AA758" s="237"/>
      <c r="AB758" s="237"/>
      <c r="AC758" s="237"/>
      <c r="AD758" s="237"/>
      <c r="AE758" s="237"/>
      <c r="AF758" s="237"/>
      <c r="AG758" s="237"/>
      <c r="AH758" s="237"/>
      <c r="AI758" s="308"/>
      <c r="AJ758" s="308"/>
      <c r="AK758" s="308"/>
      <c r="AL758" s="308"/>
      <c r="AM758" s="98"/>
      <c r="AN758" s="98"/>
    </row>
    <row r="759" ht="14.25" customHeight="1">
      <c r="A759" s="179"/>
      <c r="B759" s="98"/>
      <c r="C759" s="98"/>
      <c r="D759" s="98"/>
      <c r="E759" s="98"/>
      <c r="F759" s="235"/>
      <c r="G759" s="235"/>
      <c r="H759" s="236"/>
      <c r="I759" s="236"/>
      <c r="J759" s="236"/>
      <c r="K759" s="236"/>
      <c r="L759" s="236"/>
      <c r="M759" s="236"/>
      <c r="N759" s="236"/>
      <c r="O759" s="236"/>
      <c r="P759" s="236"/>
      <c r="Q759" s="236"/>
      <c r="R759" s="236"/>
      <c r="S759" s="236"/>
      <c r="T759" s="236"/>
      <c r="U759" s="236"/>
      <c r="V759" s="236"/>
      <c r="W759" s="237"/>
      <c r="X759" s="237"/>
      <c r="Y759" s="237"/>
      <c r="Z759" s="237"/>
      <c r="AA759" s="237"/>
      <c r="AB759" s="237"/>
      <c r="AC759" s="237"/>
      <c r="AD759" s="237"/>
      <c r="AE759" s="237"/>
      <c r="AF759" s="237"/>
      <c r="AG759" s="237"/>
      <c r="AH759" s="237"/>
      <c r="AI759" s="308"/>
      <c r="AJ759" s="308"/>
      <c r="AK759" s="308"/>
      <c r="AL759" s="308"/>
      <c r="AM759" s="98"/>
      <c r="AN759" s="98"/>
    </row>
    <row r="760" ht="14.25" customHeight="1">
      <c r="A760" s="179"/>
      <c r="B760" s="98"/>
      <c r="C760" s="98"/>
      <c r="D760" s="98"/>
      <c r="E760" s="98"/>
      <c r="F760" s="235"/>
      <c r="G760" s="235"/>
      <c r="H760" s="236"/>
      <c r="I760" s="236"/>
      <c r="J760" s="236"/>
      <c r="K760" s="236"/>
      <c r="L760" s="236"/>
      <c r="M760" s="236"/>
      <c r="N760" s="236"/>
      <c r="O760" s="236"/>
      <c r="P760" s="236"/>
      <c r="Q760" s="236"/>
      <c r="R760" s="236"/>
      <c r="S760" s="236"/>
      <c r="T760" s="236"/>
      <c r="U760" s="236"/>
      <c r="V760" s="236"/>
      <c r="W760" s="237"/>
      <c r="X760" s="237"/>
      <c r="Y760" s="237"/>
      <c r="Z760" s="237"/>
      <c r="AA760" s="237"/>
      <c r="AB760" s="237"/>
      <c r="AC760" s="237"/>
      <c r="AD760" s="237"/>
      <c r="AE760" s="237"/>
      <c r="AF760" s="237"/>
      <c r="AG760" s="237"/>
      <c r="AH760" s="237"/>
      <c r="AI760" s="308"/>
      <c r="AJ760" s="308"/>
      <c r="AK760" s="308"/>
      <c r="AL760" s="308"/>
      <c r="AM760" s="98"/>
      <c r="AN760" s="98"/>
    </row>
    <row r="761" ht="14.25" customHeight="1">
      <c r="A761" s="179"/>
      <c r="B761" s="98"/>
      <c r="C761" s="98"/>
      <c r="D761" s="98"/>
      <c r="E761" s="98"/>
      <c r="F761" s="235"/>
      <c r="G761" s="235"/>
      <c r="H761" s="236"/>
      <c r="I761" s="236"/>
      <c r="J761" s="236"/>
      <c r="K761" s="236"/>
      <c r="L761" s="236"/>
      <c r="M761" s="236"/>
      <c r="N761" s="236"/>
      <c r="O761" s="236"/>
      <c r="P761" s="236"/>
      <c r="Q761" s="236"/>
      <c r="R761" s="236"/>
      <c r="S761" s="236"/>
      <c r="T761" s="236"/>
      <c r="U761" s="236"/>
      <c r="V761" s="236"/>
      <c r="W761" s="237"/>
      <c r="X761" s="237"/>
      <c r="Y761" s="237"/>
      <c r="Z761" s="237"/>
      <c r="AA761" s="237"/>
      <c r="AB761" s="237"/>
      <c r="AC761" s="237"/>
      <c r="AD761" s="237"/>
      <c r="AE761" s="237"/>
      <c r="AF761" s="237"/>
      <c r="AG761" s="237"/>
      <c r="AH761" s="237"/>
      <c r="AI761" s="308"/>
      <c r="AJ761" s="308"/>
      <c r="AK761" s="308"/>
      <c r="AL761" s="308"/>
      <c r="AM761" s="98"/>
      <c r="AN761" s="98"/>
    </row>
    <row r="762" ht="14.25" customHeight="1">
      <c r="A762" s="179"/>
      <c r="B762" s="98"/>
      <c r="C762" s="98"/>
      <c r="D762" s="98"/>
      <c r="E762" s="98"/>
      <c r="F762" s="235"/>
      <c r="G762" s="235"/>
      <c r="H762" s="236"/>
      <c r="I762" s="236"/>
      <c r="J762" s="236"/>
      <c r="K762" s="236"/>
      <c r="L762" s="236"/>
      <c r="M762" s="236"/>
      <c r="N762" s="236"/>
      <c r="O762" s="236"/>
      <c r="P762" s="236"/>
      <c r="Q762" s="236"/>
      <c r="R762" s="236"/>
      <c r="S762" s="236"/>
      <c r="T762" s="236"/>
      <c r="U762" s="236"/>
      <c r="V762" s="236"/>
      <c r="W762" s="237"/>
      <c r="X762" s="237"/>
      <c r="Y762" s="237"/>
      <c r="Z762" s="237"/>
      <c r="AA762" s="237"/>
      <c r="AB762" s="237"/>
      <c r="AC762" s="237"/>
      <c r="AD762" s="237"/>
      <c r="AE762" s="237"/>
      <c r="AF762" s="237"/>
      <c r="AG762" s="237"/>
      <c r="AH762" s="237"/>
      <c r="AI762" s="308"/>
      <c r="AJ762" s="308"/>
      <c r="AK762" s="308"/>
      <c r="AL762" s="308"/>
      <c r="AM762" s="98"/>
      <c r="AN762" s="98"/>
    </row>
    <row r="763" ht="14.25" customHeight="1">
      <c r="A763" s="179"/>
      <c r="B763" s="98"/>
      <c r="C763" s="98"/>
      <c r="D763" s="98"/>
      <c r="E763" s="98"/>
      <c r="F763" s="235"/>
      <c r="G763" s="235"/>
      <c r="H763" s="236"/>
      <c r="I763" s="236"/>
      <c r="J763" s="236"/>
      <c r="K763" s="236"/>
      <c r="L763" s="236"/>
      <c r="M763" s="236"/>
      <c r="N763" s="236"/>
      <c r="O763" s="236"/>
      <c r="P763" s="236"/>
      <c r="Q763" s="236"/>
      <c r="R763" s="236"/>
      <c r="S763" s="236"/>
      <c r="T763" s="236"/>
      <c r="U763" s="236"/>
      <c r="V763" s="236"/>
      <c r="W763" s="237"/>
      <c r="X763" s="237"/>
      <c r="Y763" s="237"/>
      <c r="Z763" s="237"/>
      <c r="AA763" s="237"/>
      <c r="AB763" s="237"/>
      <c r="AC763" s="237"/>
      <c r="AD763" s="237"/>
      <c r="AE763" s="237"/>
      <c r="AF763" s="237"/>
      <c r="AG763" s="237"/>
      <c r="AH763" s="237"/>
      <c r="AI763" s="308"/>
      <c r="AJ763" s="308"/>
      <c r="AK763" s="308"/>
      <c r="AL763" s="308"/>
      <c r="AM763" s="98"/>
      <c r="AN763" s="98"/>
    </row>
    <row r="764" ht="14.25" customHeight="1">
      <c r="A764" s="179"/>
      <c r="B764" s="98"/>
      <c r="C764" s="98"/>
      <c r="D764" s="98"/>
      <c r="E764" s="98"/>
      <c r="F764" s="235"/>
      <c r="G764" s="235"/>
      <c r="H764" s="236"/>
      <c r="I764" s="236"/>
      <c r="J764" s="236"/>
      <c r="K764" s="236"/>
      <c r="L764" s="236"/>
      <c r="M764" s="236"/>
      <c r="N764" s="236"/>
      <c r="O764" s="236"/>
      <c r="P764" s="236"/>
      <c r="Q764" s="236"/>
      <c r="R764" s="236"/>
      <c r="S764" s="236"/>
      <c r="T764" s="236"/>
      <c r="U764" s="236"/>
      <c r="V764" s="236"/>
      <c r="W764" s="237"/>
      <c r="X764" s="237"/>
      <c r="Y764" s="237"/>
      <c r="Z764" s="237"/>
      <c r="AA764" s="237"/>
      <c r="AB764" s="237"/>
      <c r="AC764" s="237"/>
      <c r="AD764" s="237"/>
      <c r="AE764" s="237"/>
      <c r="AF764" s="237"/>
      <c r="AG764" s="237"/>
      <c r="AH764" s="237"/>
      <c r="AI764" s="308"/>
      <c r="AJ764" s="308"/>
      <c r="AK764" s="308"/>
      <c r="AL764" s="308"/>
      <c r="AM764" s="98"/>
      <c r="AN764" s="98"/>
    </row>
    <row r="765" ht="14.25" customHeight="1">
      <c r="A765" s="179"/>
      <c r="B765" s="98"/>
      <c r="C765" s="98"/>
      <c r="D765" s="98"/>
      <c r="E765" s="98"/>
      <c r="F765" s="235"/>
      <c r="G765" s="235"/>
      <c r="H765" s="236"/>
      <c r="I765" s="236"/>
      <c r="J765" s="236"/>
      <c r="K765" s="236"/>
      <c r="L765" s="236"/>
      <c r="M765" s="236"/>
      <c r="N765" s="236"/>
      <c r="O765" s="236"/>
      <c r="P765" s="236"/>
      <c r="Q765" s="236"/>
      <c r="R765" s="236"/>
      <c r="S765" s="236"/>
      <c r="T765" s="236"/>
      <c r="U765" s="236"/>
      <c r="V765" s="236"/>
      <c r="W765" s="237"/>
      <c r="X765" s="237"/>
      <c r="Y765" s="237"/>
      <c r="Z765" s="237"/>
      <c r="AA765" s="237"/>
      <c r="AB765" s="237"/>
      <c r="AC765" s="237"/>
      <c r="AD765" s="237"/>
      <c r="AE765" s="237"/>
      <c r="AF765" s="237"/>
      <c r="AG765" s="237"/>
      <c r="AH765" s="237"/>
      <c r="AI765" s="308"/>
      <c r="AJ765" s="308"/>
      <c r="AK765" s="308"/>
      <c r="AL765" s="308"/>
      <c r="AM765" s="98"/>
      <c r="AN765" s="98"/>
    </row>
    <row r="766" ht="14.25" customHeight="1">
      <c r="A766" s="179"/>
      <c r="B766" s="98"/>
      <c r="C766" s="98"/>
      <c r="D766" s="98"/>
      <c r="E766" s="98"/>
      <c r="F766" s="235"/>
      <c r="G766" s="235"/>
      <c r="H766" s="236"/>
      <c r="I766" s="236"/>
      <c r="J766" s="236"/>
      <c r="K766" s="236"/>
      <c r="L766" s="236"/>
      <c r="M766" s="236"/>
      <c r="N766" s="236"/>
      <c r="O766" s="236"/>
      <c r="P766" s="236"/>
      <c r="Q766" s="236"/>
      <c r="R766" s="236"/>
      <c r="S766" s="236"/>
      <c r="T766" s="236"/>
      <c r="U766" s="236"/>
      <c r="V766" s="236"/>
      <c r="W766" s="237"/>
      <c r="X766" s="237"/>
      <c r="Y766" s="237"/>
      <c r="Z766" s="237"/>
      <c r="AA766" s="237"/>
      <c r="AB766" s="237"/>
      <c r="AC766" s="237"/>
      <c r="AD766" s="237"/>
      <c r="AE766" s="237"/>
      <c r="AF766" s="237"/>
      <c r="AG766" s="237"/>
      <c r="AH766" s="237"/>
      <c r="AI766" s="308"/>
      <c r="AJ766" s="308"/>
      <c r="AK766" s="308"/>
      <c r="AL766" s="308"/>
      <c r="AM766" s="98"/>
      <c r="AN766" s="98"/>
    </row>
    <row r="767" ht="14.25" customHeight="1">
      <c r="A767" s="179"/>
      <c r="B767" s="98"/>
      <c r="C767" s="98"/>
      <c r="D767" s="98"/>
      <c r="E767" s="98"/>
      <c r="F767" s="235"/>
      <c r="G767" s="235"/>
      <c r="H767" s="236"/>
      <c r="I767" s="236"/>
      <c r="J767" s="236"/>
      <c r="K767" s="236"/>
      <c r="L767" s="236"/>
      <c r="M767" s="236"/>
      <c r="N767" s="236"/>
      <c r="O767" s="236"/>
      <c r="P767" s="236"/>
      <c r="Q767" s="236"/>
      <c r="R767" s="236"/>
      <c r="S767" s="236"/>
      <c r="T767" s="236"/>
      <c r="U767" s="236"/>
      <c r="V767" s="236"/>
      <c r="W767" s="237"/>
      <c r="X767" s="237"/>
      <c r="Y767" s="237"/>
      <c r="Z767" s="237"/>
      <c r="AA767" s="237"/>
      <c r="AB767" s="237"/>
      <c r="AC767" s="237"/>
      <c r="AD767" s="237"/>
      <c r="AE767" s="237"/>
      <c r="AF767" s="237"/>
      <c r="AG767" s="237"/>
      <c r="AH767" s="237"/>
      <c r="AI767" s="308"/>
      <c r="AJ767" s="308"/>
      <c r="AK767" s="308"/>
      <c r="AL767" s="308"/>
      <c r="AM767" s="98"/>
      <c r="AN767" s="98"/>
    </row>
    <row r="768" ht="14.25" customHeight="1">
      <c r="A768" s="179"/>
      <c r="B768" s="98"/>
      <c r="C768" s="98"/>
      <c r="D768" s="98"/>
      <c r="E768" s="98"/>
      <c r="F768" s="235"/>
      <c r="G768" s="235"/>
      <c r="H768" s="236"/>
      <c r="I768" s="236"/>
      <c r="J768" s="236"/>
      <c r="K768" s="236"/>
      <c r="L768" s="236"/>
      <c r="M768" s="236"/>
      <c r="N768" s="236"/>
      <c r="O768" s="236"/>
      <c r="P768" s="236"/>
      <c r="Q768" s="236"/>
      <c r="R768" s="236"/>
      <c r="S768" s="236"/>
      <c r="T768" s="236"/>
      <c r="U768" s="236"/>
      <c r="V768" s="236"/>
      <c r="W768" s="237"/>
      <c r="X768" s="237"/>
      <c r="Y768" s="237"/>
      <c r="Z768" s="237"/>
      <c r="AA768" s="237"/>
      <c r="AB768" s="237"/>
      <c r="AC768" s="237"/>
      <c r="AD768" s="237"/>
      <c r="AE768" s="237"/>
      <c r="AF768" s="237"/>
      <c r="AG768" s="237"/>
      <c r="AH768" s="237"/>
      <c r="AI768" s="308"/>
      <c r="AJ768" s="308"/>
      <c r="AK768" s="308"/>
      <c r="AL768" s="308"/>
      <c r="AM768" s="98"/>
      <c r="AN768" s="98"/>
    </row>
    <row r="769" ht="14.25" customHeight="1">
      <c r="A769" s="179"/>
      <c r="B769" s="98"/>
      <c r="C769" s="98"/>
      <c r="D769" s="98"/>
      <c r="E769" s="98"/>
      <c r="F769" s="235"/>
      <c r="G769" s="235"/>
      <c r="H769" s="236"/>
      <c r="I769" s="236"/>
      <c r="J769" s="236"/>
      <c r="K769" s="236"/>
      <c r="L769" s="236"/>
      <c r="M769" s="236"/>
      <c r="N769" s="236"/>
      <c r="O769" s="236"/>
      <c r="P769" s="236"/>
      <c r="Q769" s="236"/>
      <c r="R769" s="236"/>
      <c r="S769" s="236"/>
      <c r="T769" s="236"/>
      <c r="U769" s="236"/>
      <c r="V769" s="236"/>
      <c r="W769" s="237"/>
      <c r="X769" s="237"/>
      <c r="Y769" s="237"/>
      <c r="Z769" s="237"/>
      <c r="AA769" s="237"/>
      <c r="AB769" s="237"/>
      <c r="AC769" s="237"/>
      <c r="AD769" s="237"/>
      <c r="AE769" s="237"/>
      <c r="AF769" s="237"/>
      <c r="AG769" s="237"/>
      <c r="AH769" s="237"/>
      <c r="AI769" s="308"/>
      <c r="AJ769" s="308"/>
      <c r="AK769" s="308"/>
      <c r="AL769" s="308"/>
      <c r="AM769" s="98"/>
      <c r="AN769" s="98"/>
    </row>
    <row r="770" ht="14.25" customHeight="1">
      <c r="A770" s="179"/>
      <c r="B770" s="98"/>
      <c r="C770" s="98"/>
      <c r="D770" s="98"/>
      <c r="E770" s="98"/>
      <c r="F770" s="235"/>
      <c r="G770" s="235"/>
      <c r="H770" s="236"/>
      <c r="I770" s="236"/>
      <c r="J770" s="236"/>
      <c r="K770" s="236"/>
      <c r="L770" s="236"/>
      <c r="M770" s="236"/>
      <c r="N770" s="236"/>
      <c r="O770" s="236"/>
      <c r="P770" s="236"/>
      <c r="Q770" s="236"/>
      <c r="R770" s="236"/>
      <c r="S770" s="236"/>
      <c r="T770" s="236"/>
      <c r="U770" s="236"/>
      <c r="V770" s="236"/>
      <c r="W770" s="237"/>
      <c r="X770" s="237"/>
      <c r="Y770" s="237"/>
      <c r="Z770" s="237"/>
      <c r="AA770" s="237"/>
      <c r="AB770" s="237"/>
      <c r="AC770" s="237"/>
      <c r="AD770" s="237"/>
      <c r="AE770" s="237"/>
      <c r="AF770" s="237"/>
      <c r="AG770" s="237"/>
      <c r="AH770" s="237"/>
      <c r="AI770" s="308"/>
      <c r="AJ770" s="308"/>
      <c r="AK770" s="308"/>
      <c r="AL770" s="308"/>
      <c r="AM770" s="98"/>
      <c r="AN770" s="98"/>
    </row>
    <row r="771" ht="14.25" customHeight="1">
      <c r="A771" s="179"/>
      <c r="B771" s="98"/>
      <c r="C771" s="98"/>
      <c r="D771" s="98"/>
      <c r="E771" s="98"/>
      <c r="F771" s="235"/>
      <c r="G771" s="235"/>
      <c r="H771" s="236"/>
      <c r="I771" s="236"/>
      <c r="J771" s="236"/>
      <c r="K771" s="236"/>
      <c r="L771" s="236"/>
      <c r="M771" s="236"/>
      <c r="N771" s="236"/>
      <c r="O771" s="236"/>
      <c r="P771" s="236"/>
      <c r="Q771" s="236"/>
      <c r="R771" s="236"/>
      <c r="S771" s="236"/>
      <c r="T771" s="236"/>
      <c r="U771" s="236"/>
      <c r="V771" s="236"/>
      <c r="W771" s="237"/>
      <c r="X771" s="237"/>
      <c r="Y771" s="237"/>
      <c r="Z771" s="237"/>
      <c r="AA771" s="237"/>
      <c r="AB771" s="237"/>
      <c r="AC771" s="237"/>
      <c r="AD771" s="237"/>
      <c r="AE771" s="237"/>
      <c r="AF771" s="237"/>
      <c r="AG771" s="237"/>
      <c r="AH771" s="237"/>
      <c r="AI771" s="308"/>
      <c r="AJ771" s="308"/>
      <c r="AK771" s="308"/>
      <c r="AL771" s="308"/>
      <c r="AM771" s="98"/>
      <c r="AN771" s="98"/>
    </row>
    <row r="772" ht="14.25" customHeight="1">
      <c r="A772" s="179"/>
      <c r="B772" s="98"/>
      <c r="C772" s="98"/>
      <c r="D772" s="98"/>
      <c r="E772" s="98"/>
      <c r="F772" s="235"/>
      <c r="G772" s="235"/>
      <c r="H772" s="236"/>
      <c r="I772" s="236"/>
      <c r="J772" s="236"/>
      <c r="K772" s="236"/>
      <c r="L772" s="236"/>
      <c r="M772" s="236"/>
      <c r="N772" s="236"/>
      <c r="O772" s="236"/>
      <c r="P772" s="236"/>
      <c r="Q772" s="236"/>
      <c r="R772" s="236"/>
      <c r="S772" s="236"/>
      <c r="T772" s="236"/>
      <c r="U772" s="236"/>
      <c r="V772" s="236"/>
      <c r="W772" s="237"/>
      <c r="X772" s="237"/>
      <c r="Y772" s="237"/>
      <c r="Z772" s="237"/>
      <c r="AA772" s="237"/>
      <c r="AB772" s="237"/>
      <c r="AC772" s="237"/>
      <c r="AD772" s="237"/>
      <c r="AE772" s="237"/>
      <c r="AF772" s="237"/>
      <c r="AG772" s="237"/>
      <c r="AH772" s="237"/>
      <c r="AI772" s="308"/>
      <c r="AJ772" s="308"/>
      <c r="AK772" s="308"/>
      <c r="AL772" s="308"/>
      <c r="AM772" s="98"/>
      <c r="AN772" s="98"/>
    </row>
    <row r="773" ht="14.25" customHeight="1">
      <c r="A773" s="179"/>
      <c r="B773" s="98"/>
      <c r="C773" s="98"/>
      <c r="D773" s="98"/>
      <c r="E773" s="98"/>
      <c r="F773" s="235"/>
      <c r="G773" s="235"/>
      <c r="H773" s="236"/>
      <c r="I773" s="236"/>
      <c r="J773" s="236"/>
      <c r="K773" s="236"/>
      <c r="L773" s="236"/>
      <c r="M773" s="236"/>
      <c r="N773" s="236"/>
      <c r="O773" s="236"/>
      <c r="P773" s="236"/>
      <c r="Q773" s="236"/>
      <c r="R773" s="236"/>
      <c r="S773" s="236"/>
      <c r="T773" s="236"/>
      <c r="U773" s="236"/>
      <c r="V773" s="236"/>
      <c r="W773" s="237"/>
      <c r="X773" s="237"/>
      <c r="Y773" s="237"/>
      <c r="Z773" s="237"/>
      <c r="AA773" s="237"/>
      <c r="AB773" s="237"/>
      <c r="AC773" s="237"/>
      <c r="AD773" s="237"/>
      <c r="AE773" s="237"/>
      <c r="AF773" s="237"/>
      <c r="AG773" s="237"/>
      <c r="AH773" s="237"/>
      <c r="AI773" s="308"/>
      <c r="AJ773" s="308"/>
      <c r="AK773" s="308"/>
      <c r="AL773" s="308"/>
      <c r="AM773" s="98"/>
      <c r="AN773" s="98"/>
    </row>
    <row r="774" ht="14.25" customHeight="1">
      <c r="A774" s="179"/>
      <c r="B774" s="98"/>
      <c r="C774" s="98"/>
      <c r="D774" s="98"/>
      <c r="E774" s="98"/>
      <c r="F774" s="235"/>
      <c r="G774" s="235"/>
      <c r="H774" s="236"/>
      <c r="I774" s="236"/>
      <c r="J774" s="236"/>
      <c r="K774" s="236"/>
      <c r="L774" s="236"/>
      <c r="M774" s="236"/>
      <c r="N774" s="236"/>
      <c r="O774" s="236"/>
      <c r="P774" s="236"/>
      <c r="Q774" s="236"/>
      <c r="R774" s="236"/>
      <c r="S774" s="236"/>
      <c r="T774" s="236"/>
      <c r="U774" s="236"/>
      <c r="V774" s="236"/>
      <c r="W774" s="237"/>
      <c r="X774" s="237"/>
      <c r="Y774" s="237"/>
      <c r="Z774" s="237"/>
      <c r="AA774" s="237"/>
      <c r="AB774" s="237"/>
      <c r="AC774" s="237"/>
      <c r="AD774" s="237"/>
      <c r="AE774" s="237"/>
      <c r="AF774" s="237"/>
      <c r="AG774" s="237"/>
      <c r="AH774" s="237"/>
      <c r="AI774" s="308"/>
      <c r="AJ774" s="308"/>
      <c r="AK774" s="308"/>
      <c r="AL774" s="308"/>
      <c r="AM774" s="98"/>
      <c r="AN774" s="98"/>
    </row>
    <row r="775" ht="14.25" customHeight="1">
      <c r="A775" s="179"/>
      <c r="B775" s="98"/>
      <c r="C775" s="98"/>
      <c r="D775" s="98"/>
      <c r="E775" s="98"/>
      <c r="F775" s="235"/>
      <c r="G775" s="235"/>
      <c r="H775" s="236"/>
      <c r="I775" s="236"/>
      <c r="J775" s="236"/>
      <c r="K775" s="236"/>
      <c r="L775" s="236"/>
      <c r="M775" s="236"/>
      <c r="N775" s="236"/>
      <c r="O775" s="236"/>
      <c r="P775" s="236"/>
      <c r="Q775" s="236"/>
      <c r="R775" s="236"/>
      <c r="S775" s="236"/>
      <c r="T775" s="236"/>
      <c r="U775" s="236"/>
      <c r="V775" s="236"/>
      <c r="W775" s="237"/>
      <c r="X775" s="237"/>
      <c r="Y775" s="237"/>
      <c r="Z775" s="237"/>
      <c r="AA775" s="237"/>
      <c r="AB775" s="237"/>
      <c r="AC775" s="237"/>
      <c r="AD775" s="237"/>
      <c r="AE775" s="237"/>
      <c r="AF775" s="237"/>
      <c r="AG775" s="237"/>
      <c r="AH775" s="237"/>
      <c r="AI775" s="308"/>
      <c r="AJ775" s="308"/>
      <c r="AK775" s="308"/>
      <c r="AL775" s="308"/>
      <c r="AM775" s="98"/>
      <c r="AN775" s="98"/>
    </row>
    <row r="776" ht="14.25" customHeight="1">
      <c r="A776" s="179"/>
      <c r="B776" s="98"/>
      <c r="C776" s="98"/>
      <c r="D776" s="98"/>
      <c r="E776" s="98"/>
      <c r="F776" s="235"/>
      <c r="G776" s="235"/>
      <c r="H776" s="236"/>
      <c r="I776" s="236"/>
      <c r="J776" s="236"/>
      <c r="K776" s="236"/>
      <c r="L776" s="236"/>
      <c r="M776" s="236"/>
      <c r="N776" s="236"/>
      <c r="O776" s="236"/>
      <c r="P776" s="236"/>
      <c r="Q776" s="236"/>
      <c r="R776" s="236"/>
      <c r="S776" s="236"/>
      <c r="T776" s="236"/>
      <c r="U776" s="236"/>
      <c r="V776" s="236"/>
      <c r="W776" s="237"/>
      <c r="X776" s="237"/>
      <c r="Y776" s="237"/>
      <c r="Z776" s="237"/>
      <c r="AA776" s="237"/>
      <c r="AB776" s="237"/>
      <c r="AC776" s="237"/>
      <c r="AD776" s="237"/>
      <c r="AE776" s="237"/>
      <c r="AF776" s="237"/>
      <c r="AG776" s="237"/>
      <c r="AH776" s="237"/>
      <c r="AI776" s="308"/>
      <c r="AJ776" s="308"/>
      <c r="AK776" s="308"/>
      <c r="AL776" s="308"/>
      <c r="AM776" s="98"/>
      <c r="AN776" s="98"/>
    </row>
    <row r="777" ht="14.25" customHeight="1">
      <c r="A777" s="179"/>
      <c r="B777" s="98"/>
      <c r="C777" s="98"/>
      <c r="D777" s="98"/>
      <c r="E777" s="98"/>
      <c r="F777" s="235"/>
      <c r="G777" s="235"/>
      <c r="H777" s="236"/>
      <c r="I777" s="236"/>
      <c r="J777" s="236"/>
      <c r="K777" s="236"/>
      <c r="L777" s="236"/>
      <c r="M777" s="236"/>
      <c r="N777" s="236"/>
      <c r="O777" s="236"/>
      <c r="P777" s="236"/>
      <c r="Q777" s="236"/>
      <c r="R777" s="236"/>
      <c r="S777" s="236"/>
      <c r="T777" s="236"/>
      <c r="U777" s="236"/>
      <c r="V777" s="236"/>
      <c r="W777" s="237"/>
      <c r="X777" s="237"/>
      <c r="Y777" s="237"/>
      <c r="Z777" s="237"/>
      <c r="AA777" s="237"/>
      <c r="AB777" s="237"/>
      <c r="AC777" s="237"/>
      <c r="AD777" s="237"/>
      <c r="AE777" s="237"/>
      <c r="AF777" s="237"/>
      <c r="AG777" s="237"/>
      <c r="AH777" s="237"/>
      <c r="AI777" s="308"/>
      <c r="AJ777" s="308"/>
      <c r="AK777" s="308"/>
      <c r="AL777" s="308"/>
      <c r="AM777" s="98"/>
      <c r="AN777" s="98"/>
    </row>
    <row r="778" ht="14.25" customHeight="1">
      <c r="A778" s="179"/>
      <c r="B778" s="98"/>
      <c r="C778" s="98"/>
      <c r="D778" s="98"/>
      <c r="E778" s="98"/>
      <c r="F778" s="235"/>
      <c r="G778" s="235"/>
      <c r="H778" s="236"/>
      <c r="I778" s="236"/>
      <c r="J778" s="236"/>
      <c r="K778" s="236"/>
      <c r="L778" s="236"/>
      <c r="M778" s="236"/>
      <c r="N778" s="236"/>
      <c r="O778" s="236"/>
      <c r="P778" s="236"/>
      <c r="Q778" s="236"/>
      <c r="R778" s="236"/>
      <c r="S778" s="236"/>
      <c r="T778" s="236"/>
      <c r="U778" s="236"/>
      <c r="V778" s="236"/>
      <c r="W778" s="237"/>
      <c r="X778" s="237"/>
      <c r="Y778" s="237"/>
      <c r="Z778" s="237"/>
      <c r="AA778" s="237"/>
      <c r="AB778" s="237"/>
      <c r="AC778" s="237"/>
      <c r="AD778" s="237"/>
      <c r="AE778" s="237"/>
      <c r="AF778" s="237"/>
      <c r="AG778" s="237"/>
      <c r="AH778" s="237"/>
      <c r="AI778" s="308"/>
      <c r="AJ778" s="308"/>
      <c r="AK778" s="308"/>
      <c r="AL778" s="308"/>
      <c r="AM778" s="98"/>
      <c r="AN778" s="98"/>
    </row>
    <row r="779" ht="14.25" customHeight="1">
      <c r="A779" s="179"/>
      <c r="B779" s="98"/>
      <c r="C779" s="98"/>
      <c r="D779" s="98"/>
      <c r="E779" s="98"/>
      <c r="F779" s="235"/>
      <c r="G779" s="235"/>
      <c r="H779" s="236"/>
      <c r="I779" s="236"/>
      <c r="J779" s="236"/>
      <c r="K779" s="236"/>
      <c r="L779" s="236"/>
      <c r="M779" s="236"/>
      <c r="N779" s="236"/>
      <c r="O779" s="236"/>
      <c r="P779" s="236"/>
      <c r="Q779" s="236"/>
      <c r="R779" s="236"/>
      <c r="S779" s="236"/>
      <c r="T779" s="236"/>
      <c r="U779" s="236"/>
      <c r="V779" s="236"/>
      <c r="W779" s="237"/>
      <c r="X779" s="237"/>
      <c r="Y779" s="237"/>
      <c r="Z779" s="237"/>
      <c r="AA779" s="237"/>
      <c r="AB779" s="237"/>
      <c r="AC779" s="237"/>
      <c r="AD779" s="237"/>
      <c r="AE779" s="237"/>
      <c r="AF779" s="237"/>
      <c r="AG779" s="237"/>
      <c r="AH779" s="237"/>
      <c r="AI779" s="308"/>
      <c r="AJ779" s="308"/>
      <c r="AK779" s="308"/>
      <c r="AL779" s="308"/>
      <c r="AM779" s="98"/>
      <c r="AN779" s="98"/>
    </row>
    <row r="780" ht="14.25" customHeight="1">
      <c r="A780" s="179"/>
      <c r="B780" s="98"/>
      <c r="C780" s="98"/>
      <c r="D780" s="98"/>
      <c r="E780" s="98"/>
      <c r="F780" s="235"/>
      <c r="G780" s="235"/>
      <c r="H780" s="236"/>
      <c r="I780" s="236"/>
      <c r="J780" s="236"/>
      <c r="K780" s="236"/>
      <c r="L780" s="236"/>
      <c r="M780" s="236"/>
      <c r="N780" s="236"/>
      <c r="O780" s="236"/>
      <c r="P780" s="236"/>
      <c r="Q780" s="236"/>
      <c r="R780" s="236"/>
      <c r="S780" s="236"/>
      <c r="T780" s="236"/>
      <c r="U780" s="236"/>
      <c r="V780" s="236"/>
      <c r="W780" s="237"/>
      <c r="X780" s="237"/>
      <c r="Y780" s="237"/>
      <c r="Z780" s="237"/>
      <c r="AA780" s="237"/>
      <c r="AB780" s="237"/>
      <c r="AC780" s="237"/>
      <c r="AD780" s="237"/>
      <c r="AE780" s="237"/>
      <c r="AF780" s="237"/>
      <c r="AG780" s="237"/>
      <c r="AH780" s="237"/>
      <c r="AI780" s="308"/>
      <c r="AJ780" s="308"/>
      <c r="AK780" s="308"/>
      <c r="AL780" s="308"/>
      <c r="AM780" s="98"/>
      <c r="AN780" s="98"/>
    </row>
    <row r="781" ht="14.25" customHeight="1">
      <c r="A781" s="179"/>
      <c r="B781" s="98"/>
      <c r="C781" s="98"/>
      <c r="D781" s="98"/>
      <c r="E781" s="98"/>
      <c r="F781" s="235"/>
      <c r="G781" s="235"/>
      <c r="H781" s="236"/>
      <c r="I781" s="236"/>
      <c r="J781" s="236"/>
      <c r="K781" s="236"/>
      <c r="L781" s="236"/>
      <c r="M781" s="236"/>
      <c r="N781" s="236"/>
      <c r="O781" s="236"/>
      <c r="P781" s="236"/>
      <c r="Q781" s="236"/>
      <c r="R781" s="236"/>
      <c r="S781" s="236"/>
      <c r="T781" s="236"/>
      <c r="U781" s="236"/>
      <c r="V781" s="236"/>
      <c r="W781" s="237"/>
      <c r="X781" s="237"/>
      <c r="Y781" s="237"/>
      <c r="Z781" s="237"/>
      <c r="AA781" s="237"/>
      <c r="AB781" s="237"/>
      <c r="AC781" s="237"/>
      <c r="AD781" s="237"/>
      <c r="AE781" s="237"/>
      <c r="AF781" s="237"/>
      <c r="AG781" s="237"/>
      <c r="AH781" s="237"/>
      <c r="AI781" s="308"/>
      <c r="AJ781" s="308"/>
      <c r="AK781" s="308"/>
      <c r="AL781" s="308"/>
      <c r="AM781" s="98"/>
      <c r="AN781" s="98"/>
    </row>
    <row r="782" ht="14.25" customHeight="1">
      <c r="A782" s="179"/>
      <c r="B782" s="98"/>
      <c r="C782" s="98"/>
      <c r="D782" s="98"/>
      <c r="E782" s="98"/>
      <c r="F782" s="235"/>
      <c r="G782" s="235"/>
      <c r="H782" s="236"/>
      <c r="I782" s="236"/>
      <c r="J782" s="236"/>
      <c r="K782" s="236"/>
      <c r="L782" s="236"/>
      <c r="M782" s="236"/>
      <c r="N782" s="236"/>
      <c r="O782" s="236"/>
      <c r="P782" s="236"/>
      <c r="Q782" s="236"/>
      <c r="R782" s="236"/>
      <c r="S782" s="236"/>
      <c r="T782" s="236"/>
      <c r="U782" s="236"/>
      <c r="V782" s="236"/>
      <c r="W782" s="237"/>
      <c r="X782" s="237"/>
      <c r="Y782" s="237"/>
      <c r="Z782" s="237"/>
      <c r="AA782" s="237"/>
      <c r="AB782" s="237"/>
      <c r="AC782" s="237"/>
      <c r="AD782" s="237"/>
      <c r="AE782" s="237"/>
      <c r="AF782" s="237"/>
      <c r="AG782" s="237"/>
      <c r="AH782" s="237"/>
      <c r="AI782" s="308"/>
      <c r="AJ782" s="308"/>
      <c r="AK782" s="308"/>
      <c r="AL782" s="308"/>
      <c r="AM782" s="98"/>
      <c r="AN782" s="98"/>
    </row>
    <row r="783" ht="14.25" customHeight="1">
      <c r="A783" s="179"/>
      <c r="B783" s="98"/>
      <c r="C783" s="98"/>
      <c r="D783" s="98"/>
      <c r="E783" s="98"/>
      <c r="F783" s="235"/>
      <c r="G783" s="235"/>
      <c r="H783" s="236"/>
      <c r="I783" s="236"/>
      <c r="J783" s="236"/>
      <c r="K783" s="236"/>
      <c r="L783" s="236"/>
      <c r="M783" s="236"/>
      <c r="N783" s="236"/>
      <c r="O783" s="236"/>
      <c r="P783" s="236"/>
      <c r="Q783" s="236"/>
      <c r="R783" s="236"/>
      <c r="S783" s="236"/>
      <c r="T783" s="236"/>
      <c r="U783" s="236"/>
      <c r="V783" s="236"/>
      <c r="W783" s="237"/>
      <c r="X783" s="237"/>
      <c r="Y783" s="237"/>
      <c r="Z783" s="237"/>
      <c r="AA783" s="237"/>
      <c r="AB783" s="237"/>
      <c r="AC783" s="237"/>
      <c r="AD783" s="237"/>
      <c r="AE783" s="237"/>
      <c r="AF783" s="237"/>
      <c r="AG783" s="237"/>
      <c r="AH783" s="237"/>
      <c r="AI783" s="308"/>
      <c r="AJ783" s="308"/>
      <c r="AK783" s="308"/>
      <c r="AL783" s="308"/>
      <c r="AM783" s="98"/>
      <c r="AN783" s="98"/>
    </row>
    <row r="784" ht="14.25" customHeight="1">
      <c r="A784" s="179"/>
      <c r="B784" s="98"/>
      <c r="C784" s="98"/>
      <c r="D784" s="98"/>
      <c r="E784" s="98"/>
      <c r="F784" s="235"/>
      <c r="G784" s="235"/>
      <c r="H784" s="236"/>
      <c r="I784" s="236"/>
      <c r="J784" s="236"/>
      <c r="K784" s="236"/>
      <c r="L784" s="236"/>
      <c r="M784" s="236"/>
      <c r="N784" s="236"/>
      <c r="O784" s="236"/>
      <c r="P784" s="236"/>
      <c r="Q784" s="236"/>
      <c r="R784" s="236"/>
      <c r="S784" s="236"/>
      <c r="T784" s="236"/>
      <c r="U784" s="236"/>
      <c r="V784" s="236"/>
      <c r="W784" s="237"/>
      <c r="X784" s="237"/>
      <c r="Y784" s="237"/>
      <c r="Z784" s="237"/>
      <c r="AA784" s="237"/>
      <c r="AB784" s="237"/>
      <c r="AC784" s="237"/>
      <c r="AD784" s="237"/>
      <c r="AE784" s="237"/>
      <c r="AF784" s="237"/>
      <c r="AG784" s="237"/>
      <c r="AH784" s="237"/>
      <c r="AI784" s="308"/>
      <c r="AJ784" s="308"/>
      <c r="AK784" s="308"/>
      <c r="AL784" s="308"/>
      <c r="AM784" s="98"/>
      <c r="AN784" s="98"/>
    </row>
    <row r="785" ht="14.25" customHeight="1">
      <c r="A785" s="179"/>
      <c r="B785" s="98"/>
      <c r="C785" s="98"/>
      <c r="D785" s="98"/>
      <c r="E785" s="98"/>
      <c r="F785" s="235"/>
      <c r="G785" s="235"/>
      <c r="H785" s="236"/>
      <c r="I785" s="236"/>
      <c r="J785" s="236"/>
      <c r="K785" s="236"/>
      <c r="L785" s="236"/>
      <c r="M785" s="236"/>
      <c r="N785" s="236"/>
      <c r="O785" s="236"/>
      <c r="P785" s="236"/>
      <c r="Q785" s="236"/>
      <c r="R785" s="236"/>
      <c r="S785" s="236"/>
      <c r="T785" s="236"/>
      <c r="U785" s="236"/>
      <c r="V785" s="236"/>
      <c r="W785" s="237"/>
      <c r="X785" s="237"/>
      <c r="Y785" s="237"/>
      <c r="Z785" s="237"/>
      <c r="AA785" s="237"/>
      <c r="AB785" s="237"/>
      <c r="AC785" s="237"/>
      <c r="AD785" s="237"/>
      <c r="AE785" s="237"/>
      <c r="AF785" s="237"/>
      <c r="AG785" s="237"/>
      <c r="AH785" s="237"/>
      <c r="AI785" s="308"/>
      <c r="AJ785" s="308"/>
      <c r="AK785" s="308"/>
      <c r="AL785" s="308"/>
      <c r="AM785" s="98"/>
      <c r="AN785" s="98"/>
    </row>
    <row r="786" ht="14.25" customHeight="1">
      <c r="A786" s="179"/>
      <c r="B786" s="98"/>
      <c r="C786" s="98"/>
      <c r="D786" s="98"/>
      <c r="E786" s="98"/>
      <c r="F786" s="235"/>
      <c r="G786" s="235"/>
      <c r="H786" s="236"/>
      <c r="I786" s="236"/>
      <c r="J786" s="236"/>
      <c r="K786" s="236"/>
      <c r="L786" s="236"/>
      <c r="M786" s="236"/>
      <c r="N786" s="236"/>
      <c r="O786" s="236"/>
      <c r="P786" s="236"/>
      <c r="Q786" s="236"/>
      <c r="R786" s="236"/>
      <c r="S786" s="236"/>
      <c r="T786" s="236"/>
      <c r="U786" s="236"/>
      <c r="V786" s="236"/>
      <c r="W786" s="237"/>
      <c r="X786" s="237"/>
      <c r="Y786" s="237"/>
      <c r="Z786" s="237"/>
      <c r="AA786" s="237"/>
      <c r="AB786" s="237"/>
      <c r="AC786" s="237"/>
      <c r="AD786" s="237"/>
      <c r="AE786" s="237"/>
      <c r="AF786" s="237"/>
      <c r="AG786" s="237"/>
      <c r="AH786" s="237"/>
      <c r="AI786" s="308"/>
      <c r="AJ786" s="308"/>
      <c r="AK786" s="308"/>
      <c r="AL786" s="308"/>
      <c r="AM786" s="98"/>
      <c r="AN786" s="98"/>
    </row>
    <row r="787" ht="14.25" customHeight="1">
      <c r="A787" s="179"/>
      <c r="B787" s="98"/>
      <c r="C787" s="98"/>
      <c r="D787" s="98"/>
      <c r="E787" s="98"/>
      <c r="F787" s="235"/>
      <c r="G787" s="235"/>
      <c r="H787" s="236"/>
      <c r="I787" s="236"/>
      <c r="J787" s="236"/>
      <c r="K787" s="236"/>
      <c r="L787" s="236"/>
      <c r="M787" s="236"/>
      <c r="N787" s="236"/>
      <c r="O787" s="236"/>
      <c r="P787" s="236"/>
      <c r="Q787" s="236"/>
      <c r="R787" s="236"/>
      <c r="S787" s="236"/>
      <c r="T787" s="236"/>
      <c r="U787" s="236"/>
      <c r="V787" s="236"/>
      <c r="W787" s="237"/>
      <c r="X787" s="237"/>
      <c r="Y787" s="237"/>
      <c r="Z787" s="237"/>
      <c r="AA787" s="237"/>
      <c r="AB787" s="237"/>
      <c r="AC787" s="237"/>
      <c r="AD787" s="237"/>
      <c r="AE787" s="237"/>
      <c r="AF787" s="237"/>
      <c r="AG787" s="237"/>
      <c r="AH787" s="237"/>
      <c r="AI787" s="308"/>
      <c r="AJ787" s="308"/>
      <c r="AK787" s="308"/>
      <c r="AL787" s="308"/>
      <c r="AM787" s="98"/>
      <c r="AN787" s="98"/>
    </row>
    <row r="788" ht="14.25" customHeight="1">
      <c r="A788" s="179"/>
      <c r="B788" s="98"/>
      <c r="C788" s="98"/>
      <c r="D788" s="98"/>
      <c r="E788" s="98"/>
      <c r="F788" s="235"/>
      <c r="G788" s="235"/>
      <c r="H788" s="236"/>
      <c r="I788" s="236"/>
      <c r="J788" s="236"/>
      <c r="K788" s="236"/>
      <c r="L788" s="236"/>
      <c r="M788" s="236"/>
      <c r="N788" s="236"/>
      <c r="O788" s="236"/>
      <c r="P788" s="236"/>
      <c r="Q788" s="236"/>
      <c r="R788" s="236"/>
      <c r="S788" s="236"/>
      <c r="T788" s="236"/>
      <c r="U788" s="236"/>
      <c r="V788" s="236"/>
      <c r="W788" s="237"/>
      <c r="X788" s="237"/>
      <c r="Y788" s="237"/>
      <c r="Z788" s="237"/>
      <c r="AA788" s="237"/>
      <c r="AB788" s="237"/>
      <c r="AC788" s="237"/>
      <c r="AD788" s="237"/>
      <c r="AE788" s="237"/>
      <c r="AF788" s="237"/>
      <c r="AG788" s="237"/>
      <c r="AH788" s="237"/>
      <c r="AI788" s="308"/>
      <c r="AJ788" s="308"/>
      <c r="AK788" s="308"/>
      <c r="AL788" s="308"/>
      <c r="AM788" s="98"/>
      <c r="AN788" s="98"/>
    </row>
    <row r="789" ht="14.25" customHeight="1">
      <c r="A789" s="179"/>
      <c r="B789" s="98"/>
      <c r="C789" s="98"/>
      <c r="D789" s="98"/>
      <c r="E789" s="98"/>
      <c r="F789" s="235"/>
      <c r="G789" s="235"/>
      <c r="H789" s="236"/>
      <c r="I789" s="236"/>
      <c r="J789" s="236"/>
      <c r="K789" s="236"/>
      <c r="L789" s="236"/>
      <c r="M789" s="236"/>
      <c r="N789" s="236"/>
      <c r="O789" s="236"/>
      <c r="P789" s="236"/>
      <c r="Q789" s="236"/>
      <c r="R789" s="236"/>
      <c r="S789" s="236"/>
      <c r="T789" s="236"/>
      <c r="U789" s="236"/>
      <c r="V789" s="236"/>
      <c r="W789" s="237"/>
      <c r="X789" s="237"/>
      <c r="Y789" s="237"/>
      <c r="Z789" s="237"/>
      <c r="AA789" s="237"/>
      <c r="AB789" s="237"/>
      <c r="AC789" s="237"/>
      <c r="AD789" s="237"/>
      <c r="AE789" s="237"/>
      <c r="AF789" s="237"/>
      <c r="AG789" s="237"/>
      <c r="AH789" s="237"/>
      <c r="AI789" s="308"/>
      <c r="AJ789" s="308"/>
      <c r="AK789" s="308"/>
      <c r="AL789" s="308"/>
      <c r="AM789" s="98"/>
      <c r="AN789" s="98"/>
    </row>
    <row r="790" ht="14.25" customHeight="1">
      <c r="A790" s="179"/>
      <c r="B790" s="98"/>
      <c r="C790" s="98"/>
      <c r="D790" s="98"/>
      <c r="E790" s="98"/>
      <c r="F790" s="235"/>
      <c r="G790" s="235"/>
      <c r="H790" s="236"/>
      <c r="I790" s="236"/>
      <c r="J790" s="236"/>
      <c r="K790" s="236"/>
      <c r="L790" s="236"/>
      <c r="M790" s="236"/>
      <c r="N790" s="236"/>
      <c r="O790" s="236"/>
      <c r="P790" s="236"/>
      <c r="Q790" s="236"/>
      <c r="R790" s="236"/>
      <c r="S790" s="236"/>
      <c r="T790" s="236"/>
      <c r="U790" s="236"/>
      <c r="V790" s="236"/>
      <c r="W790" s="237"/>
      <c r="X790" s="237"/>
      <c r="Y790" s="237"/>
      <c r="Z790" s="237"/>
      <c r="AA790" s="237"/>
      <c r="AB790" s="237"/>
      <c r="AC790" s="237"/>
      <c r="AD790" s="237"/>
      <c r="AE790" s="237"/>
      <c r="AF790" s="237"/>
      <c r="AG790" s="237"/>
      <c r="AH790" s="237"/>
      <c r="AI790" s="308"/>
      <c r="AJ790" s="308"/>
      <c r="AK790" s="308"/>
      <c r="AL790" s="308"/>
      <c r="AM790" s="98"/>
      <c r="AN790" s="98"/>
    </row>
    <row r="791" ht="14.25" customHeight="1">
      <c r="A791" s="179"/>
      <c r="B791" s="98"/>
      <c r="C791" s="98"/>
      <c r="D791" s="98"/>
      <c r="E791" s="98"/>
      <c r="F791" s="235"/>
      <c r="G791" s="235"/>
      <c r="H791" s="236"/>
      <c r="I791" s="236"/>
      <c r="J791" s="236"/>
      <c r="K791" s="236"/>
      <c r="L791" s="236"/>
      <c r="M791" s="236"/>
      <c r="N791" s="236"/>
      <c r="O791" s="236"/>
      <c r="P791" s="236"/>
      <c r="Q791" s="236"/>
      <c r="R791" s="236"/>
      <c r="S791" s="236"/>
      <c r="T791" s="236"/>
      <c r="U791" s="236"/>
      <c r="V791" s="236"/>
      <c r="W791" s="237"/>
      <c r="X791" s="237"/>
      <c r="Y791" s="237"/>
      <c r="Z791" s="237"/>
      <c r="AA791" s="237"/>
      <c r="AB791" s="237"/>
      <c r="AC791" s="237"/>
      <c r="AD791" s="237"/>
      <c r="AE791" s="237"/>
      <c r="AF791" s="237"/>
      <c r="AG791" s="237"/>
      <c r="AH791" s="237"/>
      <c r="AI791" s="308"/>
      <c r="AJ791" s="308"/>
      <c r="AK791" s="308"/>
      <c r="AL791" s="308"/>
      <c r="AM791" s="98"/>
      <c r="AN791" s="98"/>
    </row>
    <row r="792" ht="14.25" customHeight="1">
      <c r="A792" s="179"/>
      <c r="B792" s="98"/>
      <c r="C792" s="98"/>
      <c r="D792" s="98"/>
      <c r="E792" s="98"/>
      <c r="F792" s="235"/>
      <c r="G792" s="235"/>
      <c r="H792" s="236"/>
      <c r="I792" s="236"/>
      <c r="J792" s="236"/>
      <c r="K792" s="236"/>
      <c r="L792" s="236"/>
      <c r="M792" s="236"/>
      <c r="N792" s="236"/>
      <c r="O792" s="236"/>
      <c r="P792" s="236"/>
      <c r="Q792" s="236"/>
      <c r="R792" s="236"/>
      <c r="S792" s="236"/>
      <c r="T792" s="236"/>
      <c r="U792" s="236"/>
      <c r="V792" s="236"/>
      <c r="W792" s="237"/>
      <c r="X792" s="237"/>
      <c r="Y792" s="237"/>
      <c r="Z792" s="237"/>
      <c r="AA792" s="237"/>
      <c r="AB792" s="237"/>
      <c r="AC792" s="237"/>
      <c r="AD792" s="237"/>
      <c r="AE792" s="237"/>
      <c r="AF792" s="237"/>
      <c r="AG792" s="237"/>
      <c r="AH792" s="237"/>
      <c r="AI792" s="308"/>
      <c r="AJ792" s="308"/>
      <c r="AK792" s="308"/>
      <c r="AL792" s="308"/>
      <c r="AM792" s="98"/>
      <c r="AN792" s="98"/>
    </row>
    <row r="793" ht="14.25" customHeight="1">
      <c r="A793" s="179"/>
      <c r="B793" s="98"/>
      <c r="C793" s="98"/>
      <c r="D793" s="98"/>
      <c r="E793" s="98"/>
      <c r="F793" s="235"/>
      <c r="G793" s="235"/>
      <c r="H793" s="236"/>
      <c r="I793" s="236"/>
      <c r="J793" s="236"/>
      <c r="K793" s="236"/>
      <c r="L793" s="236"/>
      <c r="M793" s="236"/>
      <c r="N793" s="236"/>
      <c r="O793" s="236"/>
      <c r="P793" s="236"/>
      <c r="Q793" s="236"/>
      <c r="R793" s="236"/>
      <c r="S793" s="236"/>
      <c r="T793" s="236"/>
      <c r="U793" s="236"/>
      <c r="V793" s="236"/>
      <c r="W793" s="237"/>
      <c r="X793" s="237"/>
      <c r="Y793" s="237"/>
      <c r="Z793" s="237"/>
      <c r="AA793" s="237"/>
      <c r="AB793" s="237"/>
      <c r="AC793" s="237"/>
      <c r="AD793" s="237"/>
      <c r="AE793" s="237"/>
      <c r="AF793" s="237"/>
      <c r="AG793" s="237"/>
      <c r="AH793" s="237"/>
      <c r="AI793" s="308"/>
      <c r="AJ793" s="308"/>
      <c r="AK793" s="308"/>
      <c r="AL793" s="308"/>
      <c r="AM793" s="98"/>
      <c r="AN793" s="98"/>
    </row>
    <row r="794" ht="14.25" customHeight="1">
      <c r="A794" s="179"/>
      <c r="B794" s="98"/>
      <c r="C794" s="98"/>
      <c r="D794" s="98"/>
      <c r="E794" s="98"/>
      <c r="F794" s="235"/>
      <c r="G794" s="235"/>
      <c r="H794" s="236"/>
      <c r="I794" s="236"/>
      <c r="J794" s="236"/>
      <c r="K794" s="236"/>
      <c r="L794" s="236"/>
      <c r="M794" s="236"/>
      <c r="N794" s="236"/>
      <c r="O794" s="236"/>
      <c r="P794" s="236"/>
      <c r="Q794" s="236"/>
      <c r="R794" s="236"/>
      <c r="S794" s="236"/>
      <c r="T794" s="236"/>
      <c r="U794" s="236"/>
      <c r="V794" s="236"/>
      <c r="W794" s="237"/>
      <c r="X794" s="237"/>
      <c r="Y794" s="237"/>
      <c r="Z794" s="237"/>
      <c r="AA794" s="237"/>
      <c r="AB794" s="237"/>
      <c r="AC794" s="237"/>
      <c r="AD794" s="237"/>
      <c r="AE794" s="237"/>
      <c r="AF794" s="237"/>
      <c r="AG794" s="237"/>
      <c r="AH794" s="237"/>
      <c r="AI794" s="308"/>
      <c r="AJ794" s="308"/>
      <c r="AK794" s="308"/>
      <c r="AL794" s="308"/>
      <c r="AM794" s="98"/>
      <c r="AN794" s="98"/>
    </row>
    <row r="795" ht="14.25" customHeight="1">
      <c r="A795" s="179"/>
      <c r="B795" s="98"/>
      <c r="C795" s="98"/>
      <c r="D795" s="98"/>
      <c r="E795" s="98"/>
      <c r="F795" s="235"/>
      <c r="G795" s="235"/>
      <c r="H795" s="236"/>
      <c r="I795" s="236"/>
      <c r="J795" s="236"/>
      <c r="K795" s="236"/>
      <c r="L795" s="236"/>
      <c r="M795" s="236"/>
      <c r="N795" s="236"/>
      <c r="O795" s="236"/>
      <c r="P795" s="236"/>
      <c r="Q795" s="236"/>
      <c r="R795" s="236"/>
      <c r="S795" s="236"/>
      <c r="T795" s="236"/>
      <c r="U795" s="236"/>
      <c r="V795" s="236"/>
      <c r="W795" s="237"/>
      <c r="X795" s="237"/>
      <c r="Y795" s="237"/>
      <c r="Z795" s="237"/>
      <c r="AA795" s="237"/>
      <c r="AB795" s="237"/>
      <c r="AC795" s="237"/>
      <c r="AD795" s="237"/>
      <c r="AE795" s="237"/>
      <c r="AF795" s="237"/>
      <c r="AG795" s="237"/>
      <c r="AH795" s="237"/>
      <c r="AI795" s="308"/>
      <c r="AJ795" s="308"/>
      <c r="AK795" s="308"/>
      <c r="AL795" s="308"/>
      <c r="AM795" s="98"/>
      <c r="AN795" s="98"/>
    </row>
    <row r="796" ht="14.25" customHeight="1">
      <c r="A796" s="179"/>
      <c r="B796" s="98"/>
      <c r="C796" s="98"/>
      <c r="D796" s="98"/>
      <c r="E796" s="98"/>
      <c r="F796" s="235"/>
      <c r="G796" s="235"/>
      <c r="H796" s="236"/>
      <c r="I796" s="236"/>
      <c r="J796" s="236"/>
      <c r="K796" s="236"/>
      <c r="L796" s="236"/>
      <c r="M796" s="236"/>
      <c r="N796" s="236"/>
      <c r="O796" s="236"/>
      <c r="P796" s="236"/>
      <c r="Q796" s="236"/>
      <c r="R796" s="236"/>
      <c r="S796" s="236"/>
      <c r="T796" s="236"/>
      <c r="U796" s="236"/>
      <c r="V796" s="236"/>
      <c r="W796" s="237"/>
      <c r="X796" s="237"/>
      <c r="Y796" s="237"/>
      <c r="Z796" s="237"/>
      <c r="AA796" s="237"/>
      <c r="AB796" s="237"/>
      <c r="AC796" s="237"/>
      <c r="AD796" s="237"/>
      <c r="AE796" s="237"/>
      <c r="AF796" s="237"/>
      <c r="AG796" s="237"/>
      <c r="AH796" s="237"/>
      <c r="AI796" s="308"/>
      <c r="AJ796" s="308"/>
      <c r="AK796" s="308"/>
      <c r="AL796" s="308"/>
      <c r="AM796" s="98"/>
      <c r="AN796" s="98"/>
    </row>
    <row r="797" ht="14.25" customHeight="1">
      <c r="A797" s="179"/>
      <c r="B797" s="98"/>
      <c r="C797" s="98"/>
      <c r="D797" s="98"/>
      <c r="E797" s="98"/>
      <c r="F797" s="235"/>
      <c r="G797" s="235"/>
      <c r="H797" s="236"/>
      <c r="I797" s="236"/>
      <c r="J797" s="236"/>
      <c r="K797" s="236"/>
      <c r="L797" s="236"/>
      <c r="M797" s="236"/>
      <c r="N797" s="236"/>
      <c r="O797" s="236"/>
      <c r="P797" s="236"/>
      <c r="Q797" s="236"/>
      <c r="R797" s="236"/>
      <c r="S797" s="236"/>
      <c r="T797" s="236"/>
      <c r="U797" s="236"/>
      <c r="V797" s="236"/>
      <c r="W797" s="237"/>
      <c r="X797" s="237"/>
      <c r="Y797" s="237"/>
      <c r="Z797" s="237"/>
      <c r="AA797" s="237"/>
      <c r="AB797" s="237"/>
      <c r="AC797" s="237"/>
      <c r="AD797" s="237"/>
      <c r="AE797" s="237"/>
      <c r="AF797" s="237"/>
      <c r="AG797" s="237"/>
      <c r="AH797" s="237"/>
      <c r="AI797" s="308"/>
      <c r="AJ797" s="308"/>
      <c r="AK797" s="308"/>
      <c r="AL797" s="308"/>
      <c r="AM797" s="98"/>
      <c r="AN797" s="98"/>
    </row>
    <row r="798" ht="14.25" customHeight="1">
      <c r="A798" s="179"/>
      <c r="B798" s="98"/>
      <c r="C798" s="98"/>
      <c r="D798" s="98"/>
      <c r="E798" s="98"/>
      <c r="F798" s="235"/>
      <c r="G798" s="235"/>
      <c r="H798" s="236"/>
      <c r="I798" s="236"/>
      <c r="J798" s="236"/>
      <c r="K798" s="236"/>
      <c r="L798" s="236"/>
      <c r="M798" s="236"/>
      <c r="N798" s="236"/>
      <c r="O798" s="236"/>
      <c r="P798" s="236"/>
      <c r="Q798" s="236"/>
      <c r="R798" s="236"/>
      <c r="S798" s="236"/>
      <c r="T798" s="236"/>
      <c r="U798" s="236"/>
      <c r="V798" s="236"/>
      <c r="W798" s="237"/>
      <c r="X798" s="237"/>
      <c r="Y798" s="237"/>
      <c r="Z798" s="237"/>
      <c r="AA798" s="237"/>
      <c r="AB798" s="237"/>
      <c r="AC798" s="237"/>
      <c r="AD798" s="237"/>
      <c r="AE798" s="237"/>
      <c r="AF798" s="237"/>
      <c r="AG798" s="237"/>
      <c r="AH798" s="237"/>
      <c r="AI798" s="308"/>
      <c r="AJ798" s="308"/>
      <c r="AK798" s="308"/>
      <c r="AL798" s="308"/>
      <c r="AM798" s="98"/>
      <c r="AN798" s="98"/>
    </row>
    <row r="799" ht="14.25" customHeight="1">
      <c r="A799" s="179"/>
      <c r="B799" s="98"/>
      <c r="C799" s="98"/>
      <c r="D799" s="98"/>
      <c r="E799" s="98"/>
      <c r="F799" s="235"/>
      <c r="G799" s="235"/>
      <c r="H799" s="236"/>
      <c r="I799" s="236"/>
      <c r="J799" s="236"/>
      <c r="K799" s="236"/>
      <c r="L799" s="236"/>
      <c r="M799" s="236"/>
      <c r="N799" s="236"/>
      <c r="O799" s="236"/>
      <c r="P799" s="236"/>
      <c r="Q799" s="236"/>
      <c r="R799" s="236"/>
      <c r="S799" s="236"/>
      <c r="T799" s="236"/>
      <c r="U799" s="236"/>
      <c r="V799" s="236"/>
      <c r="W799" s="237"/>
      <c r="X799" s="237"/>
      <c r="Y799" s="237"/>
      <c r="Z799" s="237"/>
      <c r="AA799" s="237"/>
      <c r="AB799" s="237"/>
      <c r="AC799" s="237"/>
      <c r="AD799" s="237"/>
      <c r="AE799" s="237"/>
      <c r="AF799" s="237"/>
      <c r="AG799" s="237"/>
      <c r="AH799" s="237"/>
      <c r="AI799" s="308"/>
      <c r="AJ799" s="308"/>
      <c r="AK799" s="308"/>
      <c r="AL799" s="308"/>
      <c r="AM799" s="98"/>
      <c r="AN799" s="98"/>
    </row>
    <row r="800" ht="14.25" customHeight="1">
      <c r="A800" s="179"/>
      <c r="B800" s="98"/>
      <c r="C800" s="98"/>
      <c r="D800" s="98"/>
      <c r="E800" s="98"/>
      <c r="F800" s="235"/>
      <c r="G800" s="235"/>
      <c r="H800" s="236"/>
      <c r="I800" s="236"/>
      <c r="J800" s="236"/>
      <c r="K800" s="236"/>
      <c r="L800" s="236"/>
      <c r="M800" s="236"/>
      <c r="N800" s="236"/>
      <c r="O800" s="236"/>
      <c r="P800" s="236"/>
      <c r="Q800" s="236"/>
      <c r="R800" s="236"/>
      <c r="S800" s="236"/>
      <c r="T800" s="236"/>
      <c r="U800" s="236"/>
      <c r="V800" s="236"/>
      <c r="W800" s="237"/>
      <c r="X800" s="237"/>
      <c r="Y800" s="237"/>
      <c r="Z800" s="237"/>
      <c r="AA800" s="237"/>
      <c r="AB800" s="237"/>
      <c r="AC800" s="237"/>
      <c r="AD800" s="237"/>
      <c r="AE800" s="237"/>
      <c r="AF800" s="237"/>
      <c r="AG800" s="237"/>
      <c r="AH800" s="237"/>
      <c r="AI800" s="308"/>
      <c r="AJ800" s="308"/>
      <c r="AK800" s="308"/>
      <c r="AL800" s="308"/>
      <c r="AM800" s="98"/>
      <c r="AN800" s="98"/>
    </row>
    <row r="801" ht="14.25" customHeight="1">
      <c r="A801" s="179"/>
      <c r="B801" s="98"/>
      <c r="C801" s="98"/>
      <c r="D801" s="98"/>
      <c r="E801" s="98"/>
      <c r="F801" s="235"/>
      <c r="G801" s="235"/>
      <c r="H801" s="236"/>
      <c r="I801" s="236"/>
      <c r="J801" s="236"/>
      <c r="K801" s="236"/>
      <c r="L801" s="236"/>
      <c r="M801" s="236"/>
      <c r="N801" s="236"/>
      <c r="O801" s="236"/>
      <c r="P801" s="236"/>
      <c r="Q801" s="236"/>
      <c r="R801" s="236"/>
      <c r="S801" s="236"/>
      <c r="T801" s="236"/>
      <c r="U801" s="236"/>
      <c r="V801" s="236"/>
      <c r="W801" s="237"/>
      <c r="X801" s="237"/>
      <c r="Y801" s="237"/>
      <c r="Z801" s="237"/>
      <c r="AA801" s="237"/>
      <c r="AB801" s="237"/>
      <c r="AC801" s="237"/>
      <c r="AD801" s="237"/>
      <c r="AE801" s="237"/>
      <c r="AF801" s="237"/>
      <c r="AG801" s="237"/>
      <c r="AH801" s="237"/>
      <c r="AI801" s="308"/>
      <c r="AJ801" s="308"/>
      <c r="AK801" s="308"/>
      <c r="AL801" s="308"/>
      <c r="AM801" s="98"/>
      <c r="AN801" s="98"/>
    </row>
    <row r="802" ht="14.25" customHeight="1">
      <c r="A802" s="179"/>
      <c r="B802" s="98"/>
      <c r="C802" s="98"/>
      <c r="D802" s="98"/>
      <c r="E802" s="98"/>
      <c r="F802" s="235"/>
      <c r="G802" s="235"/>
      <c r="H802" s="236"/>
      <c r="I802" s="236"/>
      <c r="J802" s="236"/>
      <c r="K802" s="236"/>
      <c r="L802" s="236"/>
      <c r="M802" s="236"/>
      <c r="N802" s="236"/>
      <c r="O802" s="236"/>
      <c r="P802" s="236"/>
      <c r="Q802" s="236"/>
      <c r="R802" s="236"/>
      <c r="S802" s="236"/>
      <c r="T802" s="236"/>
      <c r="U802" s="236"/>
      <c r="V802" s="236"/>
      <c r="W802" s="237"/>
      <c r="X802" s="237"/>
      <c r="Y802" s="237"/>
      <c r="Z802" s="237"/>
      <c r="AA802" s="237"/>
      <c r="AB802" s="237"/>
      <c r="AC802" s="237"/>
      <c r="AD802" s="237"/>
      <c r="AE802" s="237"/>
      <c r="AF802" s="237"/>
      <c r="AG802" s="237"/>
      <c r="AH802" s="237"/>
      <c r="AI802" s="308"/>
      <c r="AJ802" s="308"/>
      <c r="AK802" s="308"/>
      <c r="AL802" s="308"/>
      <c r="AM802" s="98"/>
      <c r="AN802" s="98"/>
    </row>
    <row r="803" ht="14.25" customHeight="1">
      <c r="A803" s="179"/>
      <c r="B803" s="98"/>
      <c r="C803" s="98"/>
      <c r="D803" s="98"/>
      <c r="E803" s="98"/>
      <c r="F803" s="235"/>
      <c r="G803" s="235"/>
      <c r="H803" s="236"/>
      <c r="I803" s="236"/>
      <c r="J803" s="236"/>
      <c r="K803" s="236"/>
      <c r="L803" s="236"/>
      <c r="M803" s="236"/>
      <c r="N803" s="236"/>
      <c r="O803" s="236"/>
      <c r="P803" s="236"/>
      <c r="Q803" s="236"/>
      <c r="R803" s="236"/>
      <c r="S803" s="236"/>
      <c r="T803" s="236"/>
      <c r="U803" s="236"/>
      <c r="V803" s="236"/>
      <c r="W803" s="237"/>
      <c r="X803" s="237"/>
      <c r="Y803" s="237"/>
      <c r="Z803" s="237"/>
      <c r="AA803" s="237"/>
      <c r="AB803" s="237"/>
      <c r="AC803" s="237"/>
      <c r="AD803" s="237"/>
      <c r="AE803" s="237"/>
      <c r="AF803" s="237"/>
      <c r="AG803" s="237"/>
      <c r="AH803" s="237"/>
      <c r="AI803" s="308"/>
      <c r="AJ803" s="308"/>
      <c r="AK803" s="308"/>
      <c r="AL803" s="308"/>
      <c r="AM803" s="98"/>
      <c r="AN803" s="98"/>
    </row>
    <row r="804" ht="14.25" customHeight="1">
      <c r="A804" s="179"/>
      <c r="B804" s="98"/>
      <c r="C804" s="98"/>
      <c r="D804" s="98"/>
      <c r="E804" s="98"/>
      <c r="F804" s="235"/>
      <c r="G804" s="235"/>
      <c r="H804" s="236"/>
      <c r="I804" s="236"/>
      <c r="J804" s="236"/>
      <c r="K804" s="236"/>
      <c r="L804" s="236"/>
      <c r="M804" s="236"/>
      <c r="N804" s="236"/>
      <c r="O804" s="236"/>
      <c r="P804" s="236"/>
      <c r="Q804" s="236"/>
      <c r="R804" s="236"/>
      <c r="S804" s="236"/>
      <c r="T804" s="236"/>
      <c r="U804" s="236"/>
      <c r="V804" s="236"/>
      <c r="W804" s="237"/>
      <c r="X804" s="237"/>
      <c r="Y804" s="237"/>
      <c r="Z804" s="237"/>
      <c r="AA804" s="237"/>
      <c r="AB804" s="237"/>
      <c r="AC804" s="237"/>
      <c r="AD804" s="237"/>
      <c r="AE804" s="237"/>
      <c r="AF804" s="237"/>
      <c r="AG804" s="237"/>
      <c r="AH804" s="237"/>
      <c r="AI804" s="308"/>
      <c r="AJ804" s="308"/>
      <c r="AK804" s="308"/>
      <c r="AL804" s="308"/>
      <c r="AM804" s="98"/>
      <c r="AN804" s="98"/>
    </row>
    <row r="805" ht="14.25" customHeight="1">
      <c r="A805" s="179"/>
      <c r="B805" s="98"/>
      <c r="C805" s="98"/>
      <c r="D805" s="98"/>
      <c r="E805" s="98"/>
      <c r="F805" s="235"/>
      <c r="G805" s="235"/>
      <c r="H805" s="236"/>
      <c r="I805" s="236"/>
      <c r="J805" s="236"/>
      <c r="K805" s="236"/>
      <c r="L805" s="236"/>
      <c r="M805" s="236"/>
      <c r="N805" s="236"/>
      <c r="O805" s="236"/>
      <c r="P805" s="236"/>
      <c r="Q805" s="236"/>
      <c r="R805" s="236"/>
      <c r="S805" s="236"/>
      <c r="T805" s="236"/>
      <c r="U805" s="236"/>
      <c r="V805" s="236"/>
      <c r="W805" s="237"/>
      <c r="X805" s="237"/>
      <c r="Y805" s="237"/>
      <c r="Z805" s="237"/>
      <c r="AA805" s="237"/>
      <c r="AB805" s="237"/>
      <c r="AC805" s="237"/>
      <c r="AD805" s="237"/>
      <c r="AE805" s="237"/>
      <c r="AF805" s="237"/>
      <c r="AG805" s="237"/>
      <c r="AH805" s="237"/>
      <c r="AI805" s="308"/>
      <c r="AJ805" s="308"/>
      <c r="AK805" s="308"/>
      <c r="AL805" s="308"/>
      <c r="AM805" s="98"/>
      <c r="AN805" s="98"/>
    </row>
    <row r="806" ht="14.25" customHeight="1">
      <c r="A806" s="179"/>
      <c r="B806" s="98"/>
      <c r="C806" s="98"/>
      <c r="D806" s="98"/>
      <c r="E806" s="98"/>
      <c r="F806" s="235"/>
      <c r="G806" s="235"/>
      <c r="H806" s="236"/>
      <c r="I806" s="236"/>
      <c r="J806" s="236"/>
      <c r="K806" s="236"/>
      <c r="L806" s="236"/>
      <c r="M806" s="236"/>
      <c r="N806" s="236"/>
      <c r="O806" s="236"/>
      <c r="P806" s="236"/>
      <c r="Q806" s="236"/>
      <c r="R806" s="236"/>
      <c r="S806" s="236"/>
      <c r="T806" s="236"/>
      <c r="U806" s="236"/>
      <c r="V806" s="236"/>
      <c r="W806" s="237"/>
      <c r="X806" s="237"/>
      <c r="Y806" s="237"/>
      <c r="Z806" s="237"/>
      <c r="AA806" s="237"/>
      <c r="AB806" s="237"/>
      <c r="AC806" s="237"/>
      <c r="AD806" s="237"/>
      <c r="AE806" s="237"/>
      <c r="AF806" s="237"/>
      <c r="AG806" s="237"/>
      <c r="AH806" s="237"/>
      <c r="AI806" s="308"/>
      <c r="AJ806" s="308"/>
      <c r="AK806" s="308"/>
      <c r="AL806" s="308"/>
      <c r="AM806" s="98"/>
      <c r="AN806" s="98"/>
    </row>
    <row r="807" ht="14.25" customHeight="1">
      <c r="A807" s="179"/>
      <c r="B807" s="98"/>
      <c r="C807" s="98"/>
      <c r="D807" s="98"/>
      <c r="E807" s="98"/>
      <c r="F807" s="235"/>
      <c r="G807" s="235"/>
      <c r="H807" s="236"/>
      <c r="I807" s="236"/>
      <c r="J807" s="236"/>
      <c r="K807" s="236"/>
      <c r="L807" s="236"/>
      <c r="M807" s="236"/>
      <c r="N807" s="236"/>
      <c r="O807" s="236"/>
      <c r="P807" s="236"/>
      <c r="Q807" s="236"/>
      <c r="R807" s="236"/>
      <c r="S807" s="236"/>
      <c r="T807" s="236"/>
      <c r="U807" s="236"/>
      <c r="V807" s="236"/>
      <c r="W807" s="237"/>
      <c r="X807" s="237"/>
      <c r="Y807" s="237"/>
      <c r="Z807" s="237"/>
      <c r="AA807" s="237"/>
      <c r="AB807" s="237"/>
      <c r="AC807" s="237"/>
      <c r="AD807" s="237"/>
      <c r="AE807" s="237"/>
      <c r="AF807" s="237"/>
      <c r="AG807" s="237"/>
      <c r="AH807" s="237"/>
      <c r="AI807" s="308"/>
      <c r="AJ807" s="308"/>
      <c r="AK807" s="308"/>
      <c r="AL807" s="308"/>
      <c r="AM807" s="98"/>
      <c r="AN807" s="98"/>
    </row>
    <row r="808" ht="14.25" customHeight="1">
      <c r="A808" s="179"/>
      <c r="B808" s="98"/>
      <c r="C808" s="98"/>
      <c r="D808" s="98"/>
      <c r="E808" s="98"/>
      <c r="F808" s="235"/>
      <c r="G808" s="235"/>
      <c r="H808" s="236"/>
      <c r="I808" s="236"/>
      <c r="J808" s="236"/>
      <c r="K808" s="236"/>
      <c r="L808" s="236"/>
      <c r="M808" s="236"/>
      <c r="N808" s="236"/>
      <c r="O808" s="236"/>
      <c r="P808" s="236"/>
      <c r="Q808" s="236"/>
      <c r="R808" s="236"/>
      <c r="S808" s="236"/>
      <c r="T808" s="236"/>
      <c r="U808" s="236"/>
      <c r="V808" s="236"/>
      <c r="W808" s="237"/>
      <c r="X808" s="237"/>
      <c r="Y808" s="237"/>
      <c r="Z808" s="237"/>
      <c r="AA808" s="237"/>
      <c r="AB808" s="237"/>
      <c r="AC808" s="237"/>
      <c r="AD808" s="237"/>
      <c r="AE808" s="237"/>
      <c r="AF808" s="237"/>
      <c r="AG808" s="237"/>
      <c r="AH808" s="237"/>
      <c r="AI808" s="308"/>
      <c r="AJ808" s="308"/>
      <c r="AK808" s="308"/>
      <c r="AL808" s="308"/>
      <c r="AM808" s="98"/>
      <c r="AN808" s="98"/>
    </row>
    <row r="809" ht="14.25" customHeight="1">
      <c r="A809" s="179"/>
      <c r="B809" s="98"/>
      <c r="C809" s="98"/>
      <c r="D809" s="98"/>
      <c r="E809" s="98"/>
      <c r="F809" s="235"/>
      <c r="G809" s="235"/>
      <c r="H809" s="236"/>
      <c r="I809" s="236"/>
      <c r="J809" s="236"/>
      <c r="K809" s="236"/>
      <c r="L809" s="236"/>
      <c r="M809" s="236"/>
      <c r="N809" s="236"/>
      <c r="O809" s="236"/>
      <c r="P809" s="236"/>
      <c r="Q809" s="236"/>
      <c r="R809" s="236"/>
      <c r="S809" s="236"/>
      <c r="T809" s="236"/>
      <c r="U809" s="236"/>
      <c r="V809" s="236"/>
      <c r="W809" s="237"/>
      <c r="X809" s="237"/>
      <c r="Y809" s="237"/>
      <c r="Z809" s="237"/>
      <c r="AA809" s="237"/>
      <c r="AB809" s="237"/>
      <c r="AC809" s="237"/>
      <c r="AD809" s="237"/>
      <c r="AE809" s="237"/>
      <c r="AF809" s="237"/>
      <c r="AG809" s="237"/>
      <c r="AH809" s="237"/>
      <c r="AI809" s="308"/>
      <c r="AJ809" s="308"/>
      <c r="AK809" s="308"/>
      <c r="AL809" s="308"/>
      <c r="AM809" s="98"/>
      <c r="AN809" s="98"/>
    </row>
    <row r="810" ht="14.25" customHeight="1">
      <c r="A810" s="179"/>
      <c r="B810" s="98"/>
      <c r="C810" s="98"/>
      <c r="D810" s="98"/>
      <c r="E810" s="98"/>
      <c r="F810" s="235"/>
      <c r="G810" s="235"/>
      <c r="H810" s="236"/>
      <c r="I810" s="236"/>
      <c r="J810" s="236"/>
      <c r="K810" s="236"/>
      <c r="L810" s="236"/>
      <c r="M810" s="236"/>
      <c r="N810" s="236"/>
      <c r="O810" s="236"/>
      <c r="P810" s="236"/>
      <c r="Q810" s="236"/>
      <c r="R810" s="236"/>
      <c r="S810" s="236"/>
      <c r="T810" s="236"/>
      <c r="U810" s="236"/>
      <c r="V810" s="236"/>
      <c r="W810" s="237"/>
      <c r="X810" s="237"/>
      <c r="Y810" s="237"/>
      <c r="Z810" s="237"/>
      <c r="AA810" s="237"/>
      <c r="AB810" s="237"/>
      <c r="AC810" s="237"/>
      <c r="AD810" s="237"/>
      <c r="AE810" s="237"/>
      <c r="AF810" s="237"/>
      <c r="AG810" s="237"/>
      <c r="AH810" s="237"/>
      <c r="AI810" s="308"/>
      <c r="AJ810" s="308"/>
      <c r="AK810" s="308"/>
      <c r="AL810" s="308"/>
      <c r="AM810" s="98"/>
      <c r="AN810" s="98"/>
    </row>
    <row r="811" ht="14.25" customHeight="1">
      <c r="A811" s="179"/>
      <c r="B811" s="98"/>
      <c r="C811" s="98"/>
      <c r="D811" s="98"/>
      <c r="E811" s="98"/>
      <c r="F811" s="235"/>
      <c r="G811" s="235"/>
      <c r="H811" s="236"/>
      <c r="I811" s="236"/>
      <c r="J811" s="236"/>
      <c r="K811" s="236"/>
      <c r="L811" s="236"/>
      <c r="M811" s="236"/>
      <c r="N811" s="236"/>
      <c r="O811" s="236"/>
      <c r="P811" s="236"/>
      <c r="Q811" s="236"/>
      <c r="R811" s="236"/>
      <c r="S811" s="236"/>
      <c r="T811" s="236"/>
      <c r="U811" s="236"/>
      <c r="V811" s="236"/>
      <c r="W811" s="237"/>
      <c r="X811" s="237"/>
      <c r="Y811" s="237"/>
      <c r="Z811" s="237"/>
      <c r="AA811" s="237"/>
      <c r="AB811" s="237"/>
      <c r="AC811" s="237"/>
      <c r="AD811" s="237"/>
      <c r="AE811" s="237"/>
      <c r="AF811" s="237"/>
      <c r="AG811" s="237"/>
      <c r="AH811" s="237"/>
      <c r="AI811" s="308"/>
      <c r="AJ811" s="308"/>
      <c r="AK811" s="308"/>
      <c r="AL811" s="308"/>
      <c r="AM811" s="98"/>
      <c r="AN811" s="98"/>
    </row>
    <row r="812" ht="14.25" customHeight="1">
      <c r="A812" s="179"/>
      <c r="B812" s="98"/>
      <c r="C812" s="98"/>
      <c r="D812" s="98"/>
      <c r="E812" s="98"/>
      <c r="F812" s="235"/>
      <c r="G812" s="235"/>
      <c r="H812" s="236"/>
      <c r="I812" s="236"/>
      <c r="J812" s="236"/>
      <c r="K812" s="236"/>
      <c r="L812" s="236"/>
      <c r="M812" s="236"/>
      <c r="N812" s="236"/>
      <c r="O812" s="236"/>
      <c r="P812" s="236"/>
      <c r="Q812" s="236"/>
      <c r="R812" s="236"/>
      <c r="S812" s="236"/>
      <c r="T812" s="236"/>
      <c r="U812" s="236"/>
      <c r="V812" s="236"/>
      <c r="W812" s="237"/>
      <c r="X812" s="237"/>
      <c r="Y812" s="237"/>
      <c r="Z812" s="237"/>
      <c r="AA812" s="237"/>
      <c r="AB812" s="237"/>
      <c r="AC812" s="237"/>
      <c r="AD812" s="237"/>
      <c r="AE812" s="237"/>
      <c r="AF812" s="237"/>
      <c r="AG812" s="237"/>
      <c r="AH812" s="237"/>
      <c r="AI812" s="308"/>
      <c r="AJ812" s="308"/>
      <c r="AK812" s="308"/>
      <c r="AL812" s="308"/>
      <c r="AM812" s="98"/>
      <c r="AN812" s="98"/>
    </row>
    <row r="813" ht="14.25" customHeight="1">
      <c r="A813" s="179"/>
      <c r="B813" s="98"/>
      <c r="C813" s="98"/>
      <c r="D813" s="98"/>
      <c r="E813" s="98"/>
      <c r="F813" s="235"/>
      <c r="G813" s="235"/>
      <c r="H813" s="236"/>
      <c r="I813" s="236"/>
      <c r="J813" s="236"/>
      <c r="K813" s="236"/>
      <c r="L813" s="236"/>
      <c r="M813" s="236"/>
      <c r="N813" s="236"/>
      <c r="O813" s="236"/>
      <c r="P813" s="236"/>
      <c r="Q813" s="236"/>
      <c r="R813" s="236"/>
      <c r="S813" s="236"/>
      <c r="T813" s="236"/>
      <c r="U813" s="236"/>
      <c r="V813" s="236"/>
      <c r="W813" s="237"/>
      <c r="X813" s="237"/>
      <c r="Y813" s="237"/>
      <c r="Z813" s="237"/>
      <c r="AA813" s="237"/>
      <c r="AB813" s="237"/>
      <c r="AC813" s="237"/>
      <c r="AD813" s="237"/>
      <c r="AE813" s="237"/>
      <c r="AF813" s="237"/>
      <c r="AG813" s="237"/>
      <c r="AH813" s="237"/>
      <c r="AI813" s="308"/>
      <c r="AJ813" s="308"/>
      <c r="AK813" s="308"/>
      <c r="AL813" s="308"/>
      <c r="AM813" s="98"/>
      <c r="AN813" s="98"/>
    </row>
    <row r="814" ht="14.25" customHeight="1">
      <c r="A814" s="179"/>
      <c r="B814" s="98"/>
      <c r="C814" s="98"/>
      <c r="D814" s="98"/>
      <c r="E814" s="98"/>
      <c r="F814" s="235"/>
      <c r="G814" s="235"/>
      <c r="H814" s="236"/>
      <c r="I814" s="236"/>
      <c r="J814" s="236"/>
      <c r="K814" s="236"/>
      <c r="L814" s="236"/>
      <c r="M814" s="236"/>
      <c r="N814" s="236"/>
      <c r="O814" s="236"/>
      <c r="P814" s="236"/>
      <c r="Q814" s="236"/>
      <c r="R814" s="236"/>
      <c r="S814" s="236"/>
      <c r="T814" s="236"/>
      <c r="U814" s="236"/>
      <c r="V814" s="236"/>
      <c r="W814" s="237"/>
      <c r="X814" s="237"/>
      <c r="Y814" s="237"/>
      <c r="Z814" s="237"/>
      <c r="AA814" s="237"/>
      <c r="AB814" s="237"/>
      <c r="AC814" s="237"/>
      <c r="AD814" s="237"/>
      <c r="AE814" s="237"/>
      <c r="AF814" s="237"/>
      <c r="AG814" s="237"/>
      <c r="AH814" s="237"/>
      <c r="AI814" s="308"/>
      <c r="AJ814" s="308"/>
      <c r="AK814" s="308"/>
      <c r="AL814" s="308"/>
      <c r="AM814" s="98"/>
      <c r="AN814" s="98"/>
    </row>
    <row r="815" ht="14.25" customHeight="1">
      <c r="A815" s="179"/>
      <c r="B815" s="98"/>
      <c r="C815" s="98"/>
      <c r="D815" s="98"/>
      <c r="E815" s="98"/>
      <c r="F815" s="235"/>
      <c r="G815" s="235"/>
      <c r="H815" s="236"/>
      <c r="I815" s="236"/>
      <c r="J815" s="236"/>
      <c r="K815" s="236"/>
      <c r="L815" s="236"/>
      <c r="M815" s="236"/>
      <c r="N815" s="236"/>
      <c r="O815" s="236"/>
      <c r="P815" s="236"/>
      <c r="Q815" s="236"/>
      <c r="R815" s="236"/>
      <c r="S815" s="236"/>
      <c r="T815" s="236"/>
      <c r="U815" s="236"/>
      <c r="V815" s="236"/>
      <c r="W815" s="237"/>
      <c r="X815" s="237"/>
      <c r="Y815" s="237"/>
      <c r="Z815" s="237"/>
      <c r="AA815" s="237"/>
      <c r="AB815" s="237"/>
      <c r="AC815" s="237"/>
      <c r="AD815" s="237"/>
      <c r="AE815" s="237"/>
      <c r="AF815" s="237"/>
      <c r="AG815" s="237"/>
      <c r="AH815" s="237"/>
      <c r="AI815" s="308"/>
      <c r="AJ815" s="308"/>
      <c r="AK815" s="308"/>
      <c r="AL815" s="308"/>
      <c r="AM815" s="98"/>
      <c r="AN815" s="98"/>
    </row>
    <row r="816" ht="14.25" customHeight="1">
      <c r="A816" s="179"/>
      <c r="B816" s="98"/>
      <c r="C816" s="98"/>
      <c r="D816" s="98"/>
      <c r="E816" s="98"/>
      <c r="F816" s="235"/>
      <c r="G816" s="235"/>
      <c r="H816" s="236"/>
      <c r="I816" s="236"/>
      <c r="J816" s="236"/>
      <c r="K816" s="236"/>
      <c r="L816" s="236"/>
      <c r="M816" s="236"/>
      <c r="N816" s="236"/>
      <c r="O816" s="236"/>
      <c r="P816" s="236"/>
      <c r="Q816" s="236"/>
      <c r="R816" s="236"/>
      <c r="S816" s="236"/>
      <c r="T816" s="236"/>
      <c r="U816" s="236"/>
      <c r="V816" s="236"/>
      <c r="W816" s="237"/>
      <c r="X816" s="237"/>
      <c r="Y816" s="237"/>
      <c r="Z816" s="237"/>
      <c r="AA816" s="237"/>
      <c r="AB816" s="237"/>
      <c r="AC816" s="237"/>
      <c r="AD816" s="237"/>
      <c r="AE816" s="237"/>
      <c r="AF816" s="237"/>
      <c r="AG816" s="237"/>
      <c r="AH816" s="237"/>
      <c r="AI816" s="308"/>
      <c r="AJ816" s="308"/>
      <c r="AK816" s="308"/>
      <c r="AL816" s="308"/>
      <c r="AM816" s="98"/>
      <c r="AN816" s="98"/>
    </row>
    <row r="817" ht="14.25" customHeight="1">
      <c r="A817" s="179"/>
      <c r="B817" s="98"/>
      <c r="C817" s="98"/>
      <c r="D817" s="98"/>
      <c r="E817" s="98"/>
      <c r="F817" s="235"/>
      <c r="G817" s="235"/>
      <c r="H817" s="236"/>
      <c r="I817" s="236"/>
      <c r="J817" s="236"/>
      <c r="K817" s="236"/>
      <c r="L817" s="236"/>
      <c r="M817" s="236"/>
      <c r="N817" s="236"/>
      <c r="O817" s="236"/>
      <c r="P817" s="236"/>
      <c r="Q817" s="236"/>
      <c r="R817" s="236"/>
      <c r="S817" s="236"/>
      <c r="T817" s="236"/>
      <c r="U817" s="236"/>
      <c r="V817" s="236"/>
      <c r="W817" s="237"/>
      <c r="X817" s="237"/>
      <c r="Y817" s="237"/>
      <c r="Z817" s="237"/>
      <c r="AA817" s="237"/>
      <c r="AB817" s="237"/>
      <c r="AC817" s="237"/>
      <c r="AD817" s="237"/>
      <c r="AE817" s="237"/>
      <c r="AF817" s="237"/>
      <c r="AG817" s="237"/>
      <c r="AH817" s="237"/>
      <c r="AI817" s="308"/>
      <c r="AJ817" s="308"/>
      <c r="AK817" s="308"/>
      <c r="AL817" s="308"/>
      <c r="AM817" s="98"/>
      <c r="AN817" s="98"/>
    </row>
    <row r="818" ht="14.25" customHeight="1">
      <c r="A818" s="179"/>
      <c r="B818" s="98"/>
      <c r="C818" s="98"/>
      <c r="D818" s="98"/>
      <c r="E818" s="98"/>
      <c r="F818" s="235"/>
      <c r="G818" s="235"/>
      <c r="H818" s="236"/>
      <c r="I818" s="236"/>
      <c r="J818" s="236"/>
      <c r="K818" s="236"/>
      <c r="L818" s="236"/>
      <c r="M818" s="236"/>
      <c r="N818" s="236"/>
      <c r="O818" s="236"/>
      <c r="P818" s="236"/>
      <c r="Q818" s="236"/>
      <c r="R818" s="236"/>
      <c r="S818" s="236"/>
      <c r="T818" s="236"/>
      <c r="U818" s="236"/>
      <c r="V818" s="236"/>
      <c r="W818" s="237"/>
      <c r="X818" s="237"/>
      <c r="Y818" s="237"/>
      <c r="Z818" s="237"/>
      <c r="AA818" s="237"/>
      <c r="AB818" s="237"/>
      <c r="AC818" s="237"/>
      <c r="AD818" s="237"/>
      <c r="AE818" s="237"/>
      <c r="AF818" s="237"/>
      <c r="AG818" s="237"/>
      <c r="AH818" s="237"/>
      <c r="AI818" s="308"/>
      <c r="AJ818" s="308"/>
      <c r="AK818" s="308"/>
      <c r="AL818" s="308"/>
      <c r="AM818" s="98"/>
      <c r="AN818" s="98"/>
    </row>
    <row r="819" ht="14.25" customHeight="1">
      <c r="A819" s="179"/>
      <c r="B819" s="98"/>
      <c r="C819" s="98"/>
      <c r="D819" s="98"/>
      <c r="E819" s="98"/>
      <c r="F819" s="235"/>
      <c r="G819" s="235"/>
      <c r="H819" s="236"/>
      <c r="I819" s="236"/>
      <c r="J819" s="236"/>
      <c r="K819" s="236"/>
      <c r="L819" s="236"/>
      <c r="M819" s="236"/>
      <c r="N819" s="236"/>
      <c r="O819" s="236"/>
      <c r="P819" s="236"/>
      <c r="Q819" s="236"/>
      <c r="R819" s="236"/>
      <c r="S819" s="236"/>
      <c r="T819" s="236"/>
      <c r="U819" s="236"/>
      <c r="V819" s="236"/>
      <c r="W819" s="237"/>
      <c r="X819" s="237"/>
      <c r="Y819" s="237"/>
      <c r="Z819" s="237"/>
      <c r="AA819" s="237"/>
      <c r="AB819" s="237"/>
      <c r="AC819" s="237"/>
      <c r="AD819" s="237"/>
      <c r="AE819" s="237"/>
      <c r="AF819" s="237"/>
      <c r="AG819" s="237"/>
      <c r="AH819" s="237"/>
      <c r="AI819" s="308"/>
      <c r="AJ819" s="308"/>
      <c r="AK819" s="308"/>
      <c r="AL819" s="308"/>
      <c r="AM819" s="98"/>
      <c r="AN819" s="98"/>
    </row>
    <row r="820" ht="14.25" customHeight="1">
      <c r="A820" s="179"/>
      <c r="B820" s="98"/>
      <c r="C820" s="98"/>
      <c r="D820" s="98"/>
      <c r="E820" s="98"/>
      <c r="F820" s="235"/>
      <c r="G820" s="235"/>
      <c r="H820" s="236"/>
      <c r="I820" s="236"/>
      <c r="J820" s="236"/>
      <c r="K820" s="236"/>
      <c r="L820" s="236"/>
      <c r="M820" s="236"/>
      <c r="N820" s="236"/>
      <c r="O820" s="236"/>
      <c r="P820" s="236"/>
      <c r="Q820" s="236"/>
      <c r="R820" s="236"/>
      <c r="S820" s="236"/>
      <c r="T820" s="236"/>
      <c r="U820" s="236"/>
      <c r="V820" s="236"/>
      <c r="W820" s="237"/>
      <c r="X820" s="237"/>
      <c r="Y820" s="237"/>
      <c r="Z820" s="237"/>
      <c r="AA820" s="237"/>
      <c r="AB820" s="237"/>
      <c r="AC820" s="237"/>
      <c r="AD820" s="237"/>
      <c r="AE820" s="237"/>
      <c r="AF820" s="237"/>
      <c r="AG820" s="237"/>
      <c r="AH820" s="237"/>
      <c r="AI820" s="308"/>
      <c r="AJ820" s="308"/>
      <c r="AK820" s="308"/>
      <c r="AL820" s="308"/>
      <c r="AM820" s="98"/>
      <c r="AN820" s="98"/>
    </row>
    <row r="821" ht="14.25" customHeight="1">
      <c r="A821" s="179"/>
      <c r="B821" s="98"/>
      <c r="C821" s="98"/>
      <c r="D821" s="98"/>
      <c r="E821" s="98"/>
      <c r="F821" s="235"/>
      <c r="G821" s="235"/>
      <c r="H821" s="236"/>
      <c r="I821" s="236"/>
      <c r="J821" s="236"/>
      <c r="K821" s="236"/>
      <c r="L821" s="236"/>
      <c r="M821" s="236"/>
      <c r="N821" s="236"/>
      <c r="O821" s="236"/>
      <c r="P821" s="236"/>
      <c r="Q821" s="236"/>
      <c r="R821" s="236"/>
      <c r="S821" s="236"/>
      <c r="T821" s="236"/>
      <c r="U821" s="236"/>
      <c r="V821" s="236"/>
      <c r="W821" s="237"/>
      <c r="X821" s="237"/>
      <c r="Y821" s="237"/>
      <c r="Z821" s="237"/>
      <c r="AA821" s="237"/>
      <c r="AB821" s="237"/>
      <c r="AC821" s="237"/>
      <c r="AD821" s="237"/>
      <c r="AE821" s="237"/>
      <c r="AF821" s="237"/>
      <c r="AG821" s="237"/>
      <c r="AH821" s="237"/>
      <c r="AI821" s="308"/>
      <c r="AJ821" s="308"/>
      <c r="AK821" s="308"/>
      <c r="AL821" s="308"/>
      <c r="AM821" s="98"/>
      <c r="AN821" s="98"/>
    </row>
    <row r="822" ht="14.25" customHeight="1">
      <c r="A822" s="179"/>
      <c r="B822" s="98"/>
      <c r="C822" s="98"/>
      <c r="D822" s="98"/>
      <c r="E822" s="98"/>
      <c r="F822" s="235"/>
      <c r="G822" s="235"/>
      <c r="H822" s="236"/>
      <c r="I822" s="236"/>
      <c r="J822" s="236"/>
      <c r="K822" s="236"/>
      <c r="L822" s="236"/>
      <c r="M822" s="236"/>
      <c r="N822" s="236"/>
      <c r="O822" s="236"/>
      <c r="P822" s="236"/>
      <c r="Q822" s="236"/>
      <c r="R822" s="236"/>
      <c r="S822" s="236"/>
      <c r="T822" s="236"/>
      <c r="U822" s="236"/>
      <c r="V822" s="236"/>
      <c r="W822" s="237"/>
      <c r="X822" s="237"/>
      <c r="Y822" s="237"/>
      <c r="Z822" s="237"/>
      <c r="AA822" s="237"/>
      <c r="AB822" s="237"/>
      <c r="AC822" s="237"/>
      <c r="AD822" s="237"/>
      <c r="AE822" s="237"/>
      <c r="AF822" s="237"/>
      <c r="AG822" s="237"/>
      <c r="AH822" s="237"/>
      <c r="AI822" s="308"/>
      <c r="AJ822" s="308"/>
      <c r="AK822" s="308"/>
      <c r="AL822" s="308"/>
      <c r="AM822" s="98"/>
      <c r="AN822" s="98"/>
    </row>
    <row r="823" ht="14.25" customHeight="1">
      <c r="A823" s="179"/>
      <c r="B823" s="98"/>
      <c r="C823" s="98"/>
      <c r="D823" s="98"/>
      <c r="E823" s="98"/>
      <c r="F823" s="235"/>
      <c r="G823" s="235"/>
      <c r="H823" s="236"/>
      <c r="I823" s="236"/>
      <c r="J823" s="236"/>
      <c r="K823" s="236"/>
      <c r="L823" s="236"/>
      <c r="M823" s="236"/>
      <c r="N823" s="236"/>
      <c r="O823" s="236"/>
      <c r="P823" s="236"/>
      <c r="Q823" s="236"/>
      <c r="R823" s="236"/>
      <c r="S823" s="236"/>
      <c r="T823" s="236"/>
      <c r="U823" s="236"/>
      <c r="V823" s="236"/>
      <c r="W823" s="237"/>
      <c r="X823" s="237"/>
      <c r="Y823" s="237"/>
      <c r="Z823" s="237"/>
      <c r="AA823" s="237"/>
      <c r="AB823" s="237"/>
      <c r="AC823" s="237"/>
      <c r="AD823" s="237"/>
      <c r="AE823" s="237"/>
      <c r="AF823" s="237"/>
      <c r="AG823" s="237"/>
      <c r="AH823" s="237"/>
      <c r="AI823" s="308"/>
      <c r="AJ823" s="308"/>
      <c r="AK823" s="308"/>
      <c r="AL823" s="308"/>
      <c r="AM823" s="98"/>
      <c r="AN823" s="98"/>
    </row>
    <row r="824" ht="14.25" customHeight="1">
      <c r="A824" s="179"/>
      <c r="B824" s="98"/>
      <c r="C824" s="98"/>
      <c r="D824" s="98"/>
      <c r="E824" s="98"/>
      <c r="F824" s="235"/>
      <c r="G824" s="235"/>
      <c r="H824" s="236"/>
      <c r="I824" s="236"/>
      <c r="J824" s="236"/>
      <c r="K824" s="236"/>
      <c r="L824" s="236"/>
      <c r="M824" s="236"/>
      <c r="N824" s="236"/>
      <c r="O824" s="236"/>
      <c r="P824" s="236"/>
      <c r="Q824" s="236"/>
      <c r="R824" s="236"/>
      <c r="S824" s="236"/>
      <c r="T824" s="236"/>
      <c r="U824" s="236"/>
      <c r="V824" s="236"/>
      <c r="W824" s="237"/>
      <c r="X824" s="237"/>
      <c r="Y824" s="237"/>
      <c r="Z824" s="237"/>
      <c r="AA824" s="237"/>
      <c r="AB824" s="237"/>
      <c r="AC824" s="237"/>
      <c r="AD824" s="237"/>
      <c r="AE824" s="237"/>
      <c r="AF824" s="237"/>
      <c r="AG824" s="237"/>
      <c r="AH824" s="237"/>
      <c r="AI824" s="308"/>
      <c r="AJ824" s="308"/>
      <c r="AK824" s="308"/>
      <c r="AL824" s="308"/>
      <c r="AM824" s="98"/>
      <c r="AN824" s="98"/>
    </row>
    <row r="825" ht="14.25" customHeight="1">
      <c r="A825" s="179"/>
      <c r="B825" s="98"/>
      <c r="C825" s="98"/>
      <c r="D825" s="98"/>
      <c r="E825" s="98"/>
      <c r="F825" s="235"/>
      <c r="G825" s="235"/>
      <c r="H825" s="236"/>
      <c r="I825" s="236"/>
      <c r="J825" s="236"/>
      <c r="K825" s="236"/>
      <c r="L825" s="236"/>
      <c r="M825" s="236"/>
      <c r="N825" s="236"/>
      <c r="O825" s="236"/>
      <c r="P825" s="236"/>
      <c r="Q825" s="236"/>
      <c r="R825" s="236"/>
      <c r="S825" s="236"/>
      <c r="T825" s="236"/>
      <c r="U825" s="236"/>
      <c r="V825" s="236"/>
      <c r="W825" s="237"/>
      <c r="X825" s="237"/>
      <c r="Y825" s="237"/>
      <c r="Z825" s="237"/>
      <c r="AA825" s="237"/>
      <c r="AB825" s="237"/>
      <c r="AC825" s="237"/>
      <c r="AD825" s="237"/>
      <c r="AE825" s="237"/>
      <c r="AF825" s="237"/>
      <c r="AG825" s="237"/>
      <c r="AH825" s="237"/>
      <c r="AI825" s="308"/>
      <c r="AJ825" s="308"/>
      <c r="AK825" s="308"/>
      <c r="AL825" s="308"/>
      <c r="AM825" s="98"/>
      <c r="AN825" s="98"/>
    </row>
    <row r="826" ht="14.25" customHeight="1">
      <c r="A826" s="179"/>
      <c r="B826" s="98"/>
      <c r="C826" s="98"/>
      <c r="D826" s="98"/>
      <c r="E826" s="98"/>
      <c r="F826" s="235"/>
      <c r="G826" s="235"/>
      <c r="H826" s="236"/>
      <c r="I826" s="236"/>
      <c r="J826" s="236"/>
      <c r="K826" s="236"/>
      <c r="L826" s="236"/>
      <c r="M826" s="236"/>
      <c r="N826" s="236"/>
      <c r="O826" s="236"/>
      <c r="P826" s="236"/>
      <c r="Q826" s="236"/>
      <c r="R826" s="236"/>
      <c r="S826" s="236"/>
      <c r="T826" s="236"/>
      <c r="U826" s="236"/>
      <c r="V826" s="236"/>
      <c r="W826" s="237"/>
      <c r="X826" s="237"/>
      <c r="Y826" s="237"/>
      <c r="Z826" s="237"/>
      <c r="AA826" s="237"/>
      <c r="AB826" s="237"/>
      <c r="AC826" s="237"/>
      <c r="AD826" s="237"/>
      <c r="AE826" s="237"/>
      <c r="AF826" s="237"/>
      <c r="AG826" s="237"/>
      <c r="AH826" s="237"/>
      <c r="AI826" s="308"/>
      <c r="AJ826" s="308"/>
      <c r="AK826" s="308"/>
      <c r="AL826" s="308"/>
      <c r="AM826" s="98"/>
      <c r="AN826" s="98"/>
    </row>
    <row r="827" ht="14.25" customHeight="1">
      <c r="A827" s="179"/>
      <c r="B827" s="98"/>
      <c r="C827" s="98"/>
      <c r="D827" s="98"/>
      <c r="E827" s="98"/>
      <c r="F827" s="235"/>
      <c r="G827" s="235"/>
      <c r="H827" s="236"/>
      <c r="I827" s="236"/>
      <c r="J827" s="236"/>
      <c r="K827" s="236"/>
      <c r="L827" s="236"/>
      <c r="M827" s="236"/>
      <c r="N827" s="236"/>
      <c r="O827" s="236"/>
      <c r="P827" s="236"/>
      <c r="Q827" s="236"/>
      <c r="R827" s="236"/>
      <c r="S827" s="236"/>
      <c r="T827" s="236"/>
      <c r="U827" s="236"/>
      <c r="V827" s="236"/>
      <c r="W827" s="237"/>
      <c r="X827" s="237"/>
      <c r="Y827" s="237"/>
      <c r="Z827" s="237"/>
      <c r="AA827" s="237"/>
      <c r="AB827" s="237"/>
      <c r="AC827" s="237"/>
      <c r="AD827" s="237"/>
      <c r="AE827" s="237"/>
      <c r="AF827" s="237"/>
      <c r="AG827" s="237"/>
      <c r="AH827" s="237"/>
      <c r="AI827" s="308"/>
      <c r="AJ827" s="308"/>
      <c r="AK827" s="308"/>
      <c r="AL827" s="308"/>
      <c r="AM827" s="98"/>
      <c r="AN827" s="98"/>
    </row>
    <row r="828" ht="14.25" customHeight="1">
      <c r="A828" s="179"/>
      <c r="B828" s="98"/>
      <c r="C828" s="98"/>
      <c r="D828" s="98"/>
      <c r="E828" s="98"/>
      <c r="F828" s="235"/>
      <c r="G828" s="235"/>
      <c r="H828" s="236"/>
      <c r="I828" s="236"/>
      <c r="J828" s="236"/>
      <c r="K828" s="236"/>
      <c r="L828" s="236"/>
      <c r="M828" s="236"/>
      <c r="N828" s="236"/>
      <c r="O828" s="236"/>
      <c r="P828" s="236"/>
      <c r="Q828" s="236"/>
      <c r="R828" s="236"/>
      <c r="S828" s="236"/>
      <c r="T828" s="236"/>
      <c r="U828" s="236"/>
      <c r="V828" s="236"/>
      <c r="W828" s="237"/>
      <c r="X828" s="237"/>
      <c r="Y828" s="237"/>
      <c r="Z828" s="237"/>
      <c r="AA828" s="237"/>
      <c r="AB828" s="237"/>
      <c r="AC828" s="237"/>
      <c r="AD828" s="237"/>
      <c r="AE828" s="237"/>
      <c r="AF828" s="237"/>
      <c r="AG828" s="237"/>
      <c r="AH828" s="237"/>
      <c r="AI828" s="308"/>
      <c r="AJ828" s="308"/>
      <c r="AK828" s="308"/>
      <c r="AL828" s="308"/>
      <c r="AM828" s="98"/>
      <c r="AN828" s="98"/>
    </row>
    <row r="829" ht="14.25" customHeight="1">
      <c r="A829" s="179"/>
      <c r="B829" s="98"/>
      <c r="C829" s="98"/>
      <c r="D829" s="98"/>
      <c r="E829" s="98"/>
      <c r="F829" s="235"/>
      <c r="G829" s="235"/>
      <c r="H829" s="236"/>
      <c r="I829" s="236"/>
      <c r="J829" s="236"/>
      <c r="K829" s="236"/>
      <c r="L829" s="236"/>
      <c r="M829" s="236"/>
      <c r="N829" s="236"/>
      <c r="O829" s="236"/>
      <c r="P829" s="236"/>
      <c r="Q829" s="236"/>
      <c r="R829" s="236"/>
      <c r="S829" s="236"/>
      <c r="T829" s="236"/>
      <c r="U829" s="236"/>
      <c r="V829" s="236"/>
      <c r="W829" s="237"/>
      <c r="X829" s="237"/>
      <c r="Y829" s="237"/>
      <c r="Z829" s="237"/>
      <c r="AA829" s="237"/>
      <c r="AB829" s="237"/>
      <c r="AC829" s="237"/>
      <c r="AD829" s="237"/>
      <c r="AE829" s="237"/>
      <c r="AF829" s="237"/>
      <c r="AG829" s="237"/>
      <c r="AH829" s="237"/>
      <c r="AI829" s="308"/>
      <c r="AJ829" s="308"/>
      <c r="AK829" s="308"/>
      <c r="AL829" s="308"/>
      <c r="AM829" s="98"/>
      <c r="AN829" s="98"/>
    </row>
    <row r="830" ht="14.25" customHeight="1">
      <c r="A830" s="179"/>
      <c r="B830" s="98"/>
      <c r="C830" s="98"/>
      <c r="D830" s="98"/>
      <c r="E830" s="98"/>
      <c r="F830" s="235"/>
      <c r="G830" s="235"/>
      <c r="H830" s="236"/>
      <c r="I830" s="236"/>
      <c r="J830" s="236"/>
      <c r="K830" s="236"/>
      <c r="L830" s="236"/>
      <c r="M830" s="236"/>
      <c r="N830" s="236"/>
      <c r="O830" s="236"/>
      <c r="P830" s="236"/>
      <c r="Q830" s="236"/>
      <c r="R830" s="236"/>
      <c r="S830" s="236"/>
      <c r="T830" s="236"/>
      <c r="U830" s="236"/>
      <c r="V830" s="236"/>
      <c r="W830" s="237"/>
      <c r="X830" s="237"/>
      <c r="Y830" s="237"/>
      <c r="Z830" s="237"/>
      <c r="AA830" s="237"/>
      <c r="AB830" s="237"/>
      <c r="AC830" s="237"/>
      <c r="AD830" s="237"/>
      <c r="AE830" s="237"/>
      <c r="AF830" s="237"/>
      <c r="AG830" s="237"/>
      <c r="AH830" s="237"/>
      <c r="AI830" s="308"/>
      <c r="AJ830" s="308"/>
      <c r="AK830" s="308"/>
      <c r="AL830" s="308"/>
      <c r="AM830" s="98"/>
      <c r="AN830" s="98"/>
    </row>
    <row r="831" ht="14.25" customHeight="1">
      <c r="A831" s="179"/>
      <c r="B831" s="98"/>
      <c r="C831" s="98"/>
      <c r="D831" s="98"/>
      <c r="E831" s="98"/>
      <c r="F831" s="235"/>
      <c r="G831" s="235"/>
      <c r="H831" s="236"/>
      <c r="I831" s="236"/>
      <c r="J831" s="236"/>
      <c r="K831" s="236"/>
      <c r="L831" s="236"/>
      <c r="M831" s="236"/>
      <c r="N831" s="236"/>
      <c r="O831" s="236"/>
      <c r="P831" s="236"/>
      <c r="Q831" s="236"/>
      <c r="R831" s="236"/>
      <c r="S831" s="236"/>
      <c r="T831" s="236"/>
      <c r="U831" s="236"/>
      <c r="V831" s="236"/>
      <c r="W831" s="237"/>
      <c r="X831" s="237"/>
      <c r="Y831" s="237"/>
      <c r="Z831" s="237"/>
      <c r="AA831" s="237"/>
      <c r="AB831" s="237"/>
      <c r="AC831" s="237"/>
      <c r="AD831" s="237"/>
      <c r="AE831" s="237"/>
      <c r="AF831" s="237"/>
      <c r="AG831" s="237"/>
      <c r="AH831" s="237"/>
      <c r="AI831" s="308"/>
      <c r="AJ831" s="308"/>
      <c r="AK831" s="308"/>
      <c r="AL831" s="308"/>
      <c r="AM831" s="98"/>
      <c r="AN831" s="98"/>
    </row>
    <row r="832" ht="14.25" customHeight="1">
      <c r="A832" s="179"/>
      <c r="B832" s="98"/>
      <c r="C832" s="98"/>
      <c r="D832" s="98"/>
      <c r="E832" s="98"/>
      <c r="F832" s="235"/>
      <c r="G832" s="235"/>
      <c r="H832" s="236"/>
      <c r="I832" s="236"/>
      <c r="J832" s="236"/>
      <c r="K832" s="236"/>
      <c r="L832" s="236"/>
      <c r="M832" s="236"/>
      <c r="N832" s="236"/>
      <c r="O832" s="236"/>
      <c r="P832" s="236"/>
      <c r="Q832" s="236"/>
      <c r="R832" s="236"/>
      <c r="S832" s="236"/>
      <c r="T832" s="236"/>
      <c r="U832" s="236"/>
      <c r="V832" s="236"/>
      <c r="W832" s="237"/>
      <c r="X832" s="237"/>
      <c r="Y832" s="237"/>
      <c r="Z832" s="237"/>
      <c r="AA832" s="237"/>
      <c r="AB832" s="237"/>
      <c r="AC832" s="237"/>
      <c r="AD832" s="237"/>
      <c r="AE832" s="237"/>
      <c r="AF832" s="237"/>
      <c r="AG832" s="237"/>
      <c r="AH832" s="237"/>
      <c r="AI832" s="308"/>
      <c r="AJ832" s="308"/>
      <c r="AK832" s="308"/>
      <c r="AL832" s="308"/>
      <c r="AM832" s="98"/>
      <c r="AN832" s="98"/>
    </row>
    <row r="833" ht="14.25" customHeight="1">
      <c r="A833" s="179"/>
      <c r="B833" s="98"/>
      <c r="C833" s="98"/>
      <c r="D833" s="98"/>
      <c r="E833" s="98"/>
      <c r="F833" s="235"/>
      <c r="G833" s="235"/>
      <c r="H833" s="236"/>
      <c r="I833" s="236"/>
      <c r="J833" s="236"/>
      <c r="K833" s="236"/>
      <c r="L833" s="236"/>
      <c r="M833" s="236"/>
      <c r="N833" s="236"/>
      <c r="O833" s="236"/>
      <c r="P833" s="236"/>
      <c r="Q833" s="236"/>
      <c r="R833" s="236"/>
      <c r="S833" s="236"/>
      <c r="T833" s="236"/>
      <c r="U833" s="236"/>
      <c r="V833" s="236"/>
      <c r="W833" s="237"/>
      <c r="X833" s="237"/>
      <c r="Y833" s="237"/>
      <c r="Z833" s="237"/>
      <c r="AA833" s="237"/>
      <c r="AB833" s="237"/>
      <c r="AC833" s="237"/>
      <c r="AD833" s="237"/>
      <c r="AE833" s="237"/>
      <c r="AF833" s="237"/>
      <c r="AG833" s="237"/>
      <c r="AH833" s="237"/>
      <c r="AI833" s="308"/>
      <c r="AJ833" s="308"/>
      <c r="AK833" s="308"/>
      <c r="AL833" s="308"/>
      <c r="AM833" s="98"/>
      <c r="AN833" s="98"/>
    </row>
    <row r="834" ht="14.25" customHeight="1">
      <c r="A834" s="179"/>
      <c r="B834" s="98"/>
      <c r="C834" s="98"/>
      <c r="D834" s="98"/>
      <c r="E834" s="98"/>
      <c r="F834" s="235"/>
      <c r="G834" s="235"/>
      <c r="H834" s="236"/>
      <c r="I834" s="236"/>
      <c r="J834" s="236"/>
      <c r="K834" s="236"/>
      <c r="L834" s="236"/>
      <c r="M834" s="236"/>
      <c r="N834" s="236"/>
      <c r="O834" s="236"/>
      <c r="P834" s="236"/>
      <c r="Q834" s="236"/>
      <c r="R834" s="236"/>
      <c r="S834" s="236"/>
      <c r="T834" s="236"/>
      <c r="U834" s="236"/>
      <c r="V834" s="236"/>
      <c r="W834" s="237"/>
      <c r="X834" s="237"/>
      <c r="Y834" s="237"/>
      <c r="Z834" s="237"/>
      <c r="AA834" s="237"/>
      <c r="AB834" s="237"/>
      <c r="AC834" s="237"/>
      <c r="AD834" s="237"/>
      <c r="AE834" s="237"/>
      <c r="AF834" s="237"/>
      <c r="AG834" s="237"/>
      <c r="AH834" s="237"/>
      <c r="AI834" s="308"/>
      <c r="AJ834" s="308"/>
      <c r="AK834" s="308"/>
      <c r="AL834" s="308"/>
      <c r="AM834" s="98"/>
      <c r="AN834" s="98"/>
    </row>
    <row r="835" ht="14.25" customHeight="1">
      <c r="A835" s="179"/>
      <c r="B835" s="98"/>
      <c r="C835" s="98"/>
      <c r="D835" s="98"/>
      <c r="E835" s="98"/>
      <c r="F835" s="235"/>
      <c r="G835" s="235"/>
      <c r="H835" s="236"/>
      <c r="I835" s="236"/>
      <c r="J835" s="236"/>
      <c r="K835" s="236"/>
      <c r="L835" s="236"/>
      <c r="M835" s="236"/>
      <c r="N835" s="236"/>
      <c r="O835" s="236"/>
      <c r="P835" s="236"/>
      <c r="Q835" s="236"/>
      <c r="R835" s="236"/>
      <c r="S835" s="236"/>
      <c r="T835" s="236"/>
      <c r="U835" s="236"/>
      <c r="V835" s="236"/>
      <c r="W835" s="237"/>
      <c r="X835" s="237"/>
      <c r="Y835" s="237"/>
      <c r="Z835" s="237"/>
      <c r="AA835" s="237"/>
      <c r="AB835" s="237"/>
      <c r="AC835" s="237"/>
      <c r="AD835" s="237"/>
      <c r="AE835" s="237"/>
      <c r="AF835" s="237"/>
      <c r="AG835" s="237"/>
      <c r="AH835" s="237"/>
      <c r="AI835" s="308"/>
      <c r="AJ835" s="308"/>
      <c r="AK835" s="308"/>
      <c r="AL835" s="308"/>
      <c r="AM835" s="98"/>
      <c r="AN835" s="98"/>
    </row>
    <row r="836" ht="14.25" customHeight="1">
      <c r="A836" s="179"/>
      <c r="B836" s="98"/>
      <c r="C836" s="98"/>
      <c r="D836" s="98"/>
      <c r="E836" s="98"/>
      <c r="F836" s="235"/>
      <c r="G836" s="235"/>
      <c r="H836" s="236"/>
      <c r="I836" s="236"/>
      <c r="J836" s="236"/>
      <c r="K836" s="236"/>
      <c r="L836" s="236"/>
      <c r="M836" s="236"/>
      <c r="N836" s="236"/>
      <c r="O836" s="236"/>
      <c r="P836" s="236"/>
      <c r="Q836" s="236"/>
      <c r="R836" s="236"/>
      <c r="S836" s="236"/>
      <c r="T836" s="236"/>
      <c r="U836" s="236"/>
      <c r="V836" s="236"/>
      <c r="W836" s="237"/>
      <c r="X836" s="237"/>
      <c r="Y836" s="237"/>
      <c r="Z836" s="237"/>
      <c r="AA836" s="237"/>
      <c r="AB836" s="237"/>
      <c r="AC836" s="237"/>
      <c r="AD836" s="237"/>
      <c r="AE836" s="237"/>
      <c r="AF836" s="237"/>
      <c r="AG836" s="237"/>
      <c r="AH836" s="237"/>
      <c r="AI836" s="308"/>
      <c r="AJ836" s="308"/>
      <c r="AK836" s="308"/>
      <c r="AL836" s="308"/>
      <c r="AM836" s="98"/>
      <c r="AN836" s="98"/>
    </row>
    <row r="837" ht="14.25" customHeight="1">
      <c r="A837" s="179"/>
      <c r="B837" s="98"/>
      <c r="C837" s="98"/>
      <c r="D837" s="98"/>
      <c r="E837" s="98"/>
      <c r="F837" s="235"/>
      <c r="G837" s="235"/>
      <c r="H837" s="236"/>
      <c r="I837" s="236"/>
      <c r="J837" s="236"/>
      <c r="K837" s="236"/>
      <c r="L837" s="236"/>
      <c r="M837" s="236"/>
      <c r="N837" s="236"/>
      <c r="O837" s="236"/>
      <c r="P837" s="236"/>
      <c r="Q837" s="236"/>
      <c r="R837" s="236"/>
      <c r="S837" s="236"/>
      <c r="T837" s="236"/>
      <c r="U837" s="236"/>
      <c r="V837" s="236"/>
      <c r="W837" s="237"/>
      <c r="X837" s="237"/>
      <c r="Y837" s="237"/>
      <c r="Z837" s="237"/>
      <c r="AA837" s="237"/>
      <c r="AB837" s="237"/>
      <c r="AC837" s="237"/>
      <c r="AD837" s="237"/>
      <c r="AE837" s="237"/>
      <c r="AF837" s="237"/>
      <c r="AG837" s="237"/>
      <c r="AH837" s="237"/>
      <c r="AI837" s="308"/>
      <c r="AJ837" s="308"/>
      <c r="AK837" s="308"/>
      <c r="AL837" s="308"/>
      <c r="AM837" s="98"/>
      <c r="AN837" s="98"/>
    </row>
    <row r="838" ht="14.25" customHeight="1">
      <c r="A838" s="179"/>
      <c r="B838" s="98"/>
      <c r="C838" s="98"/>
      <c r="D838" s="98"/>
      <c r="E838" s="98"/>
      <c r="F838" s="235"/>
      <c r="G838" s="235"/>
      <c r="H838" s="236"/>
      <c r="I838" s="236"/>
      <c r="J838" s="236"/>
      <c r="K838" s="236"/>
      <c r="L838" s="236"/>
      <c r="M838" s="236"/>
      <c r="N838" s="236"/>
      <c r="O838" s="236"/>
      <c r="P838" s="236"/>
      <c r="Q838" s="236"/>
      <c r="R838" s="236"/>
      <c r="S838" s="236"/>
      <c r="T838" s="236"/>
      <c r="U838" s="236"/>
      <c r="V838" s="236"/>
      <c r="W838" s="237"/>
      <c r="X838" s="237"/>
      <c r="Y838" s="237"/>
      <c r="Z838" s="237"/>
      <c r="AA838" s="237"/>
      <c r="AB838" s="237"/>
      <c r="AC838" s="237"/>
      <c r="AD838" s="237"/>
      <c r="AE838" s="237"/>
      <c r="AF838" s="237"/>
      <c r="AG838" s="237"/>
      <c r="AH838" s="237"/>
      <c r="AI838" s="308"/>
      <c r="AJ838" s="308"/>
      <c r="AK838" s="308"/>
      <c r="AL838" s="308"/>
      <c r="AM838" s="98"/>
      <c r="AN838" s="98"/>
    </row>
    <row r="839" ht="14.25" customHeight="1">
      <c r="A839" s="179"/>
      <c r="B839" s="98"/>
      <c r="C839" s="98"/>
      <c r="D839" s="98"/>
      <c r="E839" s="98"/>
      <c r="F839" s="235"/>
      <c r="G839" s="235"/>
      <c r="H839" s="236"/>
      <c r="I839" s="236"/>
      <c r="J839" s="236"/>
      <c r="K839" s="236"/>
      <c r="L839" s="236"/>
      <c r="M839" s="236"/>
      <c r="N839" s="236"/>
      <c r="O839" s="236"/>
      <c r="P839" s="236"/>
      <c r="Q839" s="236"/>
      <c r="R839" s="236"/>
      <c r="S839" s="236"/>
      <c r="T839" s="236"/>
      <c r="U839" s="236"/>
      <c r="V839" s="236"/>
      <c r="W839" s="237"/>
      <c r="X839" s="237"/>
      <c r="Y839" s="237"/>
      <c r="Z839" s="237"/>
      <c r="AA839" s="237"/>
      <c r="AB839" s="237"/>
      <c r="AC839" s="237"/>
      <c r="AD839" s="237"/>
      <c r="AE839" s="237"/>
      <c r="AF839" s="237"/>
      <c r="AG839" s="237"/>
      <c r="AH839" s="237"/>
      <c r="AI839" s="308"/>
      <c r="AJ839" s="308"/>
      <c r="AK839" s="308"/>
      <c r="AL839" s="308"/>
      <c r="AM839" s="98"/>
      <c r="AN839" s="98"/>
    </row>
    <row r="840" ht="14.25" customHeight="1">
      <c r="A840" s="179"/>
      <c r="B840" s="98"/>
      <c r="C840" s="98"/>
      <c r="D840" s="98"/>
      <c r="E840" s="98"/>
      <c r="F840" s="235"/>
      <c r="G840" s="235"/>
      <c r="H840" s="236"/>
      <c r="I840" s="236"/>
      <c r="J840" s="236"/>
      <c r="K840" s="236"/>
      <c r="L840" s="236"/>
      <c r="M840" s="236"/>
      <c r="N840" s="236"/>
      <c r="O840" s="236"/>
      <c r="P840" s="236"/>
      <c r="Q840" s="236"/>
      <c r="R840" s="236"/>
      <c r="S840" s="236"/>
      <c r="T840" s="236"/>
      <c r="U840" s="236"/>
      <c r="V840" s="236"/>
      <c r="W840" s="237"/>
      <c r="X840" s="237"/>
      <c r="Y840" s="237"/>
      <c r="Z840" s="237"/>
      <c r="AA840" s="237"/>
      <c r="AB840" s="237"/>
      <c r="AC840" s="237"/>
      <c r="AD840" s="237"/>
      <c r="AE840" s="237"/>
      <c r="AF840" s="237"/>
      <c r="AG840" s="237"/>
      <c r="AH840" s="237"/>
      <c r="AI840" s="308"/>
      <c r="AJ840" s="308"/>
      <c r="AK840" s="308"/>
      <c r="AL840" s="308"/>
      <c r="AM840" s="98"/>
      <c r="AN840" s="98"/>
    </row>
    <row r="841" ht="14.25" customHeight="1">
      <c r="A841" s="179"/>
      <c r="B841" s="98"/>
      <c r="C841" s="98"/>
      <c r="D841" s="98"/>
      <c r="E841" s="98"/>
      <c r="F841" s="235"/>
      <c r="G841" s="235"/>
      <c r="H841" s="236"/>
      <c r="I841" s="236"/>
      <c r="J841" s="236"/>
      <c r="K841" s="236"/>
      <c r="L841" s="236"/>
      <c r="M841" s="236"/>
      <c r="N841" s="236"/>
      <c r="O841" s="236"/>
      <c r="P841" s="236"/>
      <c r="Q841" s="236"/>
      <c r="R841" s="236"/>
      <c r="S841" s="236"/>
      <c r="T841" s="236"/>
      <c r="U841" s="236"/>
      <c r="V841" s="236"/>
      <c r="W841" s="237"/>
      <c r="X841" s="237"/>
      <c r="Y841" s="237"/>
      <c r="Z841" s="237"/>
      <c r="AA841" s="237"/>
      <c r="AB841" s="237"/>
      <c r="AC841" s="237"/>
      <c r="AD841" s="237"/>
      <c r="AE841" s="237"/>
      <c r="AF841" s="237"/>
      <c r="AG841" s="237"/>
      <c r="AH841" s="237"/>
      <c r="AI841" s="308"/>
      <c r="AJ841" s="308"/>
      <c r="AK841" s="308"/>
      <c r="AL841" s="308"/>
      <c r="AM841" s="98"/>
      <c r="AN841" s="98"/>
    </row>
    <row r="842" ht="14.25" customHeight="1">
      <c r="A842" s="179"/>
      <c r="B842" s="98"/>
      <c r="C842" s="98"/>
      <c r="D842" s="98"/>
      <c r="E842" s="98"/>
      <c r="F842" s="235"/>
      <c r="G842" s="235"/>
      <c r="H842" s="236"/>
      <c r="I842" s="236"/>
      <c r="J842" s="236"/>
      <c r="K842" s="236"/>
      <c r="L842" s="236"/>
      <c r="M842" s="236"/>
      <c r="N842" s="236"/>
      <c r="O842" s="236"/>
      <c r="P842" s="236"/>
      <c r="Q842" s="236"/>
      <c r="R842" s="236"/>
      <c r="S842" s="236"/>
      <c r="T842" s="236"/>
      <c r="U842" s="236"/>
      <c r="V842" s="236"/>
      <c r="W842" s="237"/>
      <c r="X842" s="237"/>
      <c r="Y842" s="237"/>
      <c r="Z842" s="237"/>
      <c r="AA842" s="237"/>
      <c r="AB842" s="237"/>
      <c r="AC842" s="237"/>
      <c r="AD842" s="237"/>
      <c r="AE842" s="237"/>
      <c r="AF842" s="237"/>
      <c r="AG842" s="237"/>
      <c r="AH842" s="237"/>
      <c r="AI842" s="308"/>
      <c r="AJ842" s="308"/>
      <c r="AK842" s="308"/>
      <c r="AL842" s="308"/>
      <c r="AM842" s="98"/>
      <c r="AN842" s="98"/>
    </row>
    <row r="843" ht="14.25" customHeight="1">
      <c r="A843" s="179"/>
      <c r="B843" s="98"/>
      <c r="C843" s="98"/>
      <c r="D843" s="98"/>
      <c r="E843" s="98"/>
      <c r="F843" s="235"/>
      <c r="G843" s="235"/>
      <c r="H843" s="236"/>
      <c r="I843" s="236"/>
      <c r="J843" s="236"/>
      <c r="K843" s="236"/>
      <c r="L843" s="236"/>
      <c r="M843" s="236"/>
      <c r="N843" s="236"/>
      <c r="O843" s="236"/>
      <c r="P843" s="236"/>
      <c r="Q843" s="236"/>
      <c r="R843" s="236"/>
      <c r="S843" s="236"/>
      <c r="T843" s="236"/>
      <c r="U843" s="236"/>
      <c r="V843" s="236"/>
      <c r="W843" s="237"/>
      <c r="X843" s="237"/>
      <c r="Y843" s="237"/>
      <c r="Z843" s="237"/>
      <c r="AA843" s="237"/>
      <c r="AB843" s="237"/>
      <c r="AC843" s="237"/>
      <c r="AD843" s="237"/>
      <c r="AE843" s="237"/>
      <c r="AF843" s="237"/>
      <c r="AG843" s="237"/>
      <c r="AH843" s="237"/>
      <c r="AI843" s="308"/>
      <c r="AJ843" s="308"/>
      <c r="AK843" s="308"/>
      <c r="AL843" s="308"/>
      <c r="AM843" s="98"/>
      <c r="AN843" s="98"/>
    </row>
    <row r="844" ht="14.25" customHeight="1">
      <c r="A844" s="179"/>
      <c r="B844" s="98"/>
      <c r="C844" s="98"/>
      <c r="D844" s="98"/>
      <c r="E844" s="98"/>
      <c r="F844" s="235"/>
      <c r="G844" s="235"/>
      <c r="H844" s="236"/>
      <c r="I844" s="236"/>
      <c r="J844" s="236"/>
      <c r="K844" s="236"/>
      <c r="L844" s="236"/>
      <c r="M844" s="236"/>
      <c r="N844" s="236"/>
      <c r="O844" s="236"/>
      <c r="P844" s="236"/>
      <c r="Q844" s="236"/>
      <c r="R844" s="236"/>
      <c r="S844" s="236"/>
      <c r="T844" s="236"/>
      <c r="U844" s="236"/>
      <c r="V844" s="236"/>
      <c r="W844" s="237"/>
      <c r="X844" s="237"/>
      <c r="Y844" s="237"/>
      <c r="Z844" s="237"/>
      <c r="AA844" s="237"/>
      <c r="AB844" s="237"/>
      <c r="AC844" s="237"/>
      <c r="AD844" s="237"/>
      <c r="AE844" s="237"/>
      <c r="AF844" s="237"/>
      <c r="AG844" s="237"/>
      <c r="AH844" s="237"/>
      <c r="AI844" s="308"/>
      <c r="AJ844" s="308"/>
      <c r="AK844" s="308"/>
      <c r="AL844" s="308"/>
      <c r="AM844" s="98"/>
      <c r="AN844" s="98"/>
    </row>
    <row r="845" ht="14.25" customHeight="1">
      <c r="A845" s="179"/>
      <c r="B845" s="98"/>
      <c r="C845" s="98"/>
      <c r="D845" s="98"/>
      <c r="E845" s="98"/>
      <c r="F845" s="235"/>
      <c r="G845" s="235"/>
      <c r="H845" s="236"/>
      <c r="I845" s="236"/>
      <c r="J845" s="236"/>
      <c r="K845" s="236"/>
      <c r="L845" s="236"/>
      <c r="M845" s="236"/>
      <c r="N845" s="236"/>
      <c r="O845" s="236"/>
      <c r="P845" s="236"/>
      <c r="Q845" s="236"/>
      <c r="R845" s="236"/>
      <c r="S845" s="236"/>
      <c r="T845" s="236"/>
      <c r="U845" s="236"/>
      <c r="V845" s="236"/>
      <c r="W845" s="237"/>
      <c r="X845" s="237"/>
      <c r="Y845" s="237"/>
      <c r="Z845" s="237"/>
      <c r="AA845" s="237"/>
      <c r="AB845" s="237"/>
      <c r="AC845" s="237"/>
      <c r="AD845" s="237"/>
      <c r="AE845" s="237"/>
      <c r="AF845" s="237"/>
      <c r="AG845" s="237"/>
      <c r="AH845" s="237"/>
      <c r="AI845" s="308"/>
      <c r="AJ845" s="308"/>
      <c r="AK845" s="308"/>
      <c r="AL845" s="308"/>
      <c r="AM845" s="98"/>
      <c r="AN845" s="98"/>
    </row>
    <row r="846" ht="14.25" customHeight="1">
      <c r="A846" s="179"/>
      <c r="B846" s="98"/>
      <c r="C846" s="98"/>
      <c r="D846" s="98"/>
      <c r="E846" s="98"/>
      <c r="F846" s="235"/>
      <c r="G846" s="235"/>
      <c r="H846" s="236"/>
      <c r="I846" s="236"/>
      <c r="J846" s="236"/>
      <c r="K846" s="236"/>
      <c r="L846" s="236"/>
      <c r="M846" s="236"/>
      <c r="N846" s="236"/>
      <c r="O846" s="236"/>
      <c r="P846" s="236"/>
      <c r="Q846" s="236"/>
      <c r="R846" s="236"/>
      <c r="S846" s="236"/>
      <c r="T846" s="236"/>
      <c r="U846" s="236"/>
      <c r="V846" s="236"/>
      <c r="W846" s="237"/>
      <c r="X846" s="237"/>
      <c r="Y846" s="237"/>
      <c r="Z846" s="237"/>
      <c r="AA846" s="237"/>
      <c r="AB846" s="237"/>
      <c r="AC846" s="237"/>
      <c r="AD846" s="237"/>
      <c r="AE846" s="237"/>
      <c r="AF846" s="237"/>
      <c r="AG846" s="237"/>
      <c r="AH846" s="237"/>
      <c r="AI846" s="308"/>
      <c r="AJ846" s="308"/>
      <c r="AK846" s="308"/>
      <c r="AL846" s="308"/>
      <c r="AM846" s="98"/>
      <c r="AN846" s="98"/>
    </row>
    <row r="847" ht="14.25" customHeight="1">
      <c r="A847" s="179"/>
      <c r="B847" s="98"/>
      <c r="C847" s="98"/>
      <c r="D847" s="98"/>
      <c r="E847" s="98"/>
      <c r="F847" s="235"/>
      <c r="G847" s="235"/>
      <c r="H847" s="236"/>
      <c r="I847" s="236"/>
      <c r="J847" s="236"/>
      <c r="K847" s="236"/>
      <c r="L847" s="236"/>
      <c r="M847" s="236"/>
      <c r="N847" s="236"/>
      <c r="O847" s="236"/>
      <c r="P847" s="236"/>
      <c r="Q847" s="236"/>
      <c r="R847" s="236"/>
      <c r="S847" s="236"/>
      <c r="T847" s="236"/>
      <c r="U847" s="236"/>
      <c r="V847" s="236"/>
      <c r="W847" s="237"/>
      <c r="X847" s="237"/>
      <c r="Y847" s="237"/>
      <c r="Z847" s="237"/>
      <c r="AA847" s="237"/>
      <c r="AB847" s="237"/>
      <c r="AC847" s="237"/>
      <c r="AD847" s="237"/>
      <c r="AE847" s="237"/>
      <c r="AF847" s="237"/>
      <c r="AG847" s="237"/>
      <c r="AH847" s="237"/>
      <c r="AI847" s="308"/>
      <c r="AJ847" s="308"/>
      <c r="AK847" s="308"/>
      <c r="AL847" s="308"/>
      <c r="AM847" s="98"/>
      <c r="AN847" s="98"/>
    </row>
    <row r="848" ht="14.25" customHeight="1">
      <c r="A848" s="179"/>
      <c r="B848" s="98"/>
      <c r="C848" s="98"/>
      <c r="D848" s="98"/>
      <c r="E848" s="98"/>
      <c r="F848" s="235"/>
      <c r="G848" s="235"/>
      <c r="H848" s="236"/>
      <c r="I848" s="236"/>
      <c r="J848" s="236"/>
      <c r="K848" s="236"/>
      <c r="L848" s="236"/>
      <c r="M848" s="236"/>
      <c r="N848" s="236"/>
      <c r="O848" s="236"/>
      <c r="P848" s="236"/>
      <c r="Q848" s="236"/>
      <c r="R848" s="236"/>
      <c r="S848" s="236"/>
      <c r="T848" s="236"/>
      <c r="U848" s="236"/>
      <c r="V848" s="236"/>
      <c r="W848" s="237"/>
      <c r="X848" s="237"/>
      <c r="Y848" s="237"/>
      <c r="Z848" s="237"/>
      <c r="AA848" s="237"/>
      <c r="AB848" s="237"/>
      <c r="AC848" s="237"/>
      <c r="AD848" s="237"/>
      <c r="AE848" s="237"/>
      <c r="AF848" s="237"/>
      <c r="AG848" s="237"/>
      <c r="AH848" s="237"/>
      <c r="AI848" s="308"/>
      <c r="AJ848" s="308"/>
      <c r="AK848" s="308"/>
      <c r="AL848" s="308"/>
      <c r="AM848" s="98"/>
      <c r="AN848" s="98"/>
    </row>
    <row r="849" ht="14.25" customHeight="1">
      <c r="A849" s="179"/>
      <c r="B849" s="98"/>
      <c r="C849" s="98"/>
      <c r="D849" s="98"/>
      <c r="E849" s="98"/>
      <c r="F849" s="235"/>
      <c r="G849" s="235"/>
      <c r="H849" s="236"/>
      <c r="I849" s="236"/>
      <c r="J849" s="236"/>
      <c r="K849" s="236"/>
      <c r="L849" s="236"/>
      <c r="M849" s="236"/>
      <c r="N849" s="236"/>
      <c r="O849" s="236"/>
      <c r="P849" s="236"/>
      <c r="Q849" s="236"/>
      <c r="R849" s="236"/>
      <c r="S849" s="236"/>
      <c r="T849" s="236"/>
      <c r="U849" s="236"/>
      <c r="V849" s="236"/>
      <c r="W849" s="237"/>
      <c r="X849" s="237"/>
      <c r="Y849" s="237"/>
      <c r="Z849" s="237"/>
      <c r="AA849" s="237"/>
      <c r="AB849" s="237"/>
      <c r="AC849" s="237"/>
      <c r="AD849" s="237"/>
      <c r="AE849" s="237"/>
      <c r="AF849" s="237"/>
      <c r="AG849" s="237"/>
      <c r="AH849" s="237"/>
      <c r="AI849" s="308"/>
      <c r="AJ849" s="308"/>
      <c r="AK849" s="308"/>
      <c r="AL849" s="308"/>
      <c r="AM849" s="98"/>
      <c r="AN849" s="98"/>
    </row>
    <row r="850" ht="14.25" customHeight="1">
      <c r="A850" s="179"/>
      <c r="B850" s="98"/>
      <c r="C850" s="98"/>
      <c r="D850" s="98"/>
      <c r="E850" s="98"/>
      <c r="F850" s="235"/>
      <c r="G850" s="235"/>
      <c r="H850" s="236"/>
      <c r="I850" s="236"/>
      <c r="J850" s="236"/>
      <c r="K850" s="236"/>
      <c r="L850" s="236"/>
      <c r="M850" s="236"/>
      <c r="N850" s="236"/>
      <c r="O850" s="236"/>
      <c r="P850" s="236"/>
      <c r="Q850" s="236"/>
      <c r="R850" s="236"/>
      <c r="S850" s="236"/>
      <c r="T850" s="236"/>
      <c r="U850" s="236"/>
      <c r="V850" s="236"/>
      <c r="W850" s="237"/>
      <c r="X850" s="237"/>
      <c r="Y850" s="237"/>
      <c r="Z850" s="237"/>
      <c r="AA850" s="237"/>
      <c r="AB850" s="237"/>
      <c r="AC850" s="237"/>
      <c r="AD850" s="237"/>
      <c r="AE850" s="237"/>
      <c r="AF850" s="237"/>
      <c r="AG850" s="237"/>
      <c r="AH850" s="237"/>
      <c r="AI850" s="308"/>
      <c r="AJ850" s="308"/>
      <c r="AK850" s="308"/>
      <c r="AL850" s="308"/>
      <c r="AM850" s="98"/>
      <c r="AN850" s="98"/>
    </row>
    <row r="851" ht="14.25" customHeight="1">
      <c r="A851" s="179"/>
      <c r="B851" s="98"/>
      <c r="C851" s="98"/>
      <c r="D851" s="98"/>
      <c r="E851" s="98"/>
      <c r="F851" s="235"/>
      <c r="G851" s="235"/>
      <c r="H851" s="236"/>
      <c r="I851" s="236"/>
      <c r="J851" s="236"/>
      <c r="K851" s="236"/>
      <c r="L851" s="236"/>
      <c r="M851" s="236"/>
      <c r="N851" s="236"/>
      <c r="O851" s="236"/>
      <c r="P851" s="236"/>
      <c r="Q851" s="236"/>
      <c r="R851" s="236"/>
      <c r="S851" s="236"/>
      <c r="T851" s="236"/>
      <c r="U851" s="236"/>
      <c r="V851" s="236"/>
      <c r="W851" s="237"/>
      <c r="X851" s="237"/>
      <c r="Y851" s="237"/>
      <c r="Z851" s="237"/>
      <c r="AA851" s="237"/>
      <c r="AB851" s="237"/>
      <c r="AC851" s="237"/>
      <c r="AD851" s="237"/>
      <c r="AE851" s="237"/>
      <c r="AF851" s="237"/>
      <c r="AG851" s="237"/>
      <c r="AH851" s="237"/>
      <c r="AI851" s="308"/>
      <c r="AJ851" s="308"/>
      <c r="AK851" s="308"/>
      <c r="AL851" s="308"/>
      <c r="AM851" s="98"/>
      <c r="AN851" s="98"/>
    </row>
    <row r="852" ht="14.25" customHeight="1">
      <c r="A852" s="179"/>
      <c r="B852" s="98"/>
      <c r="C852" s="98"/>
      <c r="D852" s="98"/>
      <c r="E852" s="98"/>
      <c r="F852" s="235"/>
      <c r="G852" s="235"/>
      <c r="H852" s="236"/>
      <c r="I852" s="236"/>
      <c r="J852" s="236"/>
      <c r="K852" s="236"/>
      <c r="L852" s="236"/>
      <c r="M852" s="236"/>
      <c r="N852" s="236"/>
      <c r="O852" s="236"/>
      <c r="P852" s="236"/>
      <c r="Q852" s="236"/>
      <c r="R852" s="236"/>
      <c r="S852" s="236"/>
      <c r="T852" s="236"/>
      <c r="U852" s="236"/>
      <c r="V852" s="236"/>
      <c r="W852" s="237"/>
      <c r="X852" s="237"/>
      <c r="Y852" s="237"/>
      <c r="Z852" s="237"/>
      <c r="AA852" s="237"/>
      <c r="AB852" s="237"/>
      <c r="AC852" s="237"/>
      <c r="AD852" s="237"/>
      <c r="AE852" s="237"/>
      <c r="AF852" s="237"/>
      <c r="AG852" s="237"/>
      <c r="AH852" s="237"/>
      <c r="AI852" s="308"/>
      <c r="AJ852" s="308"/>
      <c r="AK852" s="308"/>
      <c r="AL852" s="308"/>
      <c r="AM852" s="98"/>
      <c r="AN852" s="98"/>
    </row>
    <row r="853" ht="14.25" customHeight="1">
      <c r="A853" s="179"/>
      <c r="B853" s="98"/>
      <c r="C853" s="98"/>
      <c r="D853" s="98"/>
      <c r="E853" s="98"/>
      <c r="F853" s="235"/>
      <c r="G853" s="235"/>
      <c r="H853" s="236"/>
      <c r="I853" s="236"/>
      <c r="J853" s="236"/>
      <c r="K853" s="236"/>
      <c r="L853" s="236"/>
      <c r="M853" s="236"/>
      <c r="N853" s="236"/>
      <c r="O853" s="236"/>
      <c r="P853" s="236"/>
      <c r="Q853" s="236"/>
      <c r="R853" s="236"/>
      <c r="S853" s="236"/>
      <c r="T853" s="236"/>
      <c r="U853" s="236"/>
      <c r="V853" s="236"/>
      <c r="W853" s="237"/>
      <c r="X853" s="237"/>
      <c r="Y853" s="237"/>
      <c r="Z853" s="237"/>
      <c r="AA853" s="237"/>
      <c r="AB853" s="237"/>
      <c r="AC853" s="237"/>
      <c r="AD853" s="237"/>
      <c r="AE853" s="237"/>
      <c r="AF853" s="237"/>
      <c r="AG853" s="237"/>
      <c r="AH853" s="237"/>
      <c r="AI853" s="308"/>
      <c r="AJ853" s="308"/>
      <c r="AK853" s="308"/>
      <c r="AL853" s="308"/>
      <c r="AM853" s="98"/>
      <c r="AN853" s="98"/>
    </row>
    <row r="854" ht="14.25" customHeight="1">
      <c r="A854" s="179"/>
      <c r="B854" s="98"/>
      <c r="C854" s="98"/>
      <c r="D854" s="98"/>
      <c r="E854" s="98"/>
      <c r="F854" s="235"/>
      <c r="G854" s="235"/>
      <c r="H854" s="236"/>
      <c r="I854" s="236"/>
      <c r="J854" s="236"/>
      <c r="K854" s="236"/>
      <c r="L854" s="236"/>
      <c r="M854" s="236"/>
      <c r="N854" s="236"/>
      <c r="O854" s="236"/>
      <c r="P854" s="236"/>
      <c r="Q854" s="236"/>
      <c r="R854" s="236"/>
      <c r="S854" s="236"/>
      <c r="T854" s="236"/>
      <c r="U854" s="236"/>
      <c r="V854" s="236"/>
      <c r="W854" s="237"/>
      <c r="X854" s="237"/>
      <c r="Y854" s="237"/>
      <c r="Z854" s="237"/>
      <c r="AA854" s="237"/>
      <c r="AB854" s="237"/>
      <c r="AC854" s="237"/>
      <c r="AD854" s="237"/>
      <c r="AE854" s="237"/>
      <c r="AF854" s="237"/>
      <c r="AG854" s="237"/>
      <c r="AH854" s="237"/>
      <c r="AI854" s="308"/>
      <c r="AJ854" s="308"/>
      <c r="AK854" s="308"/>
      <c r="AL854" s="308"/>
      <c r="AM854" s="98"/>
      <c r="AN854" s="98"/>
    </row>
    <row r="855" ht="14.25" customHeight="1">
      <c r="A855" s="179"/>
      <c r="B855" s="98"/>
      <c r="C855" s="98"/>
      <c r="D855" s="98"/>
      <c r="E855" s="98"/>
      <c r="F855" s="235"/>
      <c r="G855" s="235"/>
      <c r="H855" s="236"/>
      <c r="I855" s="236"/>
      <c r="J855" s="236"/>
      <c r="K855" s="236"/>
      <c r="L855" s="236"/>
      <c r="M855" s="236"/>
      <c r="N855" s="236"/>
      <c r="O855" s="236"/>
      <c r="P855" s="236"/>
      <c r="Q855" s="236"/>
      <c r="R855" s="236"/>
      <c r="S855" s="236"/>
      <c r="T855" s="236"/>
      <c r="U855" s="236"/>
      <c r="V855" s="236"/>
      <c r="W855" s="237"/>
      <c r="X855" s="237"/>
      <c r="Y855" s="237"/>
      <c r="Z855" s="237"/>
      <c r="AA855" s="237"/>
      <c r="AB855" s="237"/>
      <c r="AC855" s="237"/>
      <c r="AD855" s="237"/>
      <c r="AE855" s="237"/>
      <c r="AF855" s="237"/>
      <c r="AG855" s="237"/>
      <c r="AH855" s="237"/>
      <c r="AI855" s="308"/>
      <c r="AJ855" s="308"/>
      <c r="AK855" s="308"/>
      <c r="AL855" s="308"/>
      <c r="AM855" s="98"/>
      <c r="AN855" s="98"/>
    </row>
    <row r="856" ht="14.25" customHeight="1">
      <c r="A856" s="179"/>
      <c r="B856" s="98"/>
      <c r="C856" s="98"/>
      <c r="D856" s="98"/>
      <c r="E856" s="98"/>
      <c r="F856" s="235"/>
      <c r="G856" s="235"/>
      <c r="H856" s="236"/>
      <c r="I856" s="236"/>
      <c r="J856" s="236"/>
      <c r="K856" s="236"/>
      <c r="L856" s="236"/>
      <c r="M856" s="236"/>
      <c r="N856" s="236"/>
      <c r="O856" s="236"/>
      <c r="P856" s="236"/>
      <c r="Q856" s="236"/>
      <c r="R856" s="236"/>
      <c r="S856" s="236"/>
      <c r="T856" s="236"/>
      <c r="U856" s="236"/>
      <c r="V856" s="236"/>
      <c r="W856" s="237"/>
      <c r="X856" s="237"/>
      <c r="Y856" s="237"/>
      <c r="Z856" s="237"/>
      <c r="AA856" s="237"/>
      <c r="AB856" s="237"/>
      <c r="AC856" s="237"/>
      <c r="AD856" s="237"/>
      <c r="AE856" s="237"/>
      <c r="AF856" s="237"/>
      <c r="AG856" s="237"/>
      <c r="AH856" s="237"/>
      <c r="AI856" s="308"/>
      <c r="AJ856" s="308"/>
      <c r="AK856" s="308"/>
      <c r="AL856" s="308"/>
      <c r="AM856" s="98"/>
      <c r="AN856" s="98"/>
    </row>
    <row r="857" ht="14.25" customHeight="1">
      <c r="A857" s="179"/>
      <c r="B857" s="98"/>
      <c r="C857" s="98"/>
      <c r="D857" s="98"/>
      <c r="E857" s="98"/>
      <c r="F857" s="235"/>
      <c r="G857" s="235"/>
      <c r="H857" s="236"/>
      <c r="I857" s="236"/>
      <c r="J857" s="236"/>
      <c r="K857" s="236"/>
      <c r="L857" s="236"/>
      <c r="M857" s="236"/>
      <c r="N857" s="236"/>
      <c r="O857" s="236"/>
      <c r="P857" s="236"/>
      <c r="Q857" s="236"/>
      <c r="R857" s="236"/>
      <c r="S857" s="236"/>
      <c r="T857" s="236"/>
      <c r="U857" s="236"/>
      <c r="V857" s="236"/>
      <c r="W857" s="237"/>
      <c r="X857" s="237"/>
      <c r="Y857" s="237"/>
      <c r="Z857" s="237"/>
      <c r="AA857" s="237"/>
      <c r="AB857" s="237"/>
      <c r="AC857" s="237"/>
      <c r="AD857" s="237"/>
      <c r="AE857" s="237"/>
      <c r="AF857" s="237"/>
      <c r="AG857" s="237"/>
      <c r="AH857" s="237"/>
      <c r="AI857" s="308"/>
      <c r="AJ857" s="308"/>
      <c r="AK857" s="308"/>
      <c r="AL857" s="308"/>
      <c r="AM857" s="98"/>
      <c r="AN857" s="98"/>
    </row>
    <row r="858" ht="14.25" customHeight="1">
      <c r="A858" s="179"/>
      <c r="B858" s="98"/>
      <c r="C858" s="98"/>
      <c r="D858" s="98"/>
      <c r="E858" s="98"/>
      <c r="F858" s="235"/>
      <c r="G858" s="235"/>
      <c r="H858" s="236"/>
      <c r="I858" s="236"/>
      <c r="J858" s="236"/>
      <c r="K858" s="236"/>
      <c r="L858" s="236"/>
      <c r="M858" s="236"/>
      <c r="N858" s="236"/>
      <c r="O858" s="236"/>
      <c r="P858" s="236"/>
      <c r="Q858" s="236"/>
      <c r="R858" s="236"/>
      <c r="S858" s="236"/>
      <c r="T858" s="236"/>
      <c r="U858" s="236"/>
      <c r="V858" s="236"/>
      <c r="W858" s="237"/>
      <c r="X858" s="237"/>
      <c r="Y858" s="237"/>
      <c r="Z858" s="237"/>
      <c r="AA858" s="237"/>
      <c r="AB858" s="237"/>
      <c r="AC858" s="237"/>
      <c r="AD858" s="237"/>
      <c r="AE858" s="237"/>
      <c r="AF858" s="237"/>
      <c r="AG858" s="237"/>
      <c r="AH858" s="237"/>
      <c r="AI858" s="308"/>
      <c r="AJ858" s="308"/>
      <c r="AK858" s="308"/>
      <c r="AL858" s="308"/>
      <c r="AM858" s="98"/>
      <c r="AN858" s="98"/>
    </row>
    <row r="859" ht="14.25" customHeight="1">
      <c r="A859" s="179"/>
      <c r="B859" s="98"/>
      <c r="C859" s="98"/>
      <c r="D859" s="98"/>
      <c r="E859" s="98"/>
      <c r="F859" s="235"/>
      <c r="G859" s="235"/>
      <c r="H859" s="236"/>
      <c r="I859" s="236"/>
      <c r="J859" s="236"/>
      <c r="K859" s="236"/>
      <c r="L859" s="236"/>
      <c r="M859" s="236"/>
      <c r="N859" s="236"/>
      <c r="O859" s="236"/>
      <c r="P859" s="236"/>
      <c r="Q859" s="236"/>
      <c r="R859" s="236"/>
      <c r="S859" s="236"/>
      <c r="T859" s="236"/>
      <c r="U859" s="236"/>
      <c r="V859" s="236"/>
      <c r="W859" s="237"/>
      <c r="X859" s="237"/>
      <c r="Y859" s="237"/>
      <c r="Z859" s="237"/>
      <c r="AA859" s="237"/>
      <c r="AB859" s="237"/>
      <c r="AC859" s="237"/>
      <c r="AD859" s="237"/>
      <c r="AE859" s="237"/>
      <c r="AF859" s="237"/>
      <c r="AG859" s="237"/>
      <c r="AH859" s="237"/>
      <c r="AI859" s="308"/>
      <c r="AJ859" s="308"/>
      <c r="AK859" s="308"/>
      <c r="AL859" s="308"/>
      <c r="AM859" s="98"/>
      <c r="AN859" s="98"/>
    </row>
    <row r="860" ht="14.25" customHeight="1">
      <c r="A860" s="179"/>
      <c r="B860" s="98"/>
      <c r="C860" s="98"/>
      <c r="D860" s="98"/>
      <c r="E860" s="98"/>
      <c r="F860" s="235"/>
      <c r="G860" s="235"/>
      <c r="H860" s="236"/>
      <c r="I860" s="236"/>
      <c r="J860" s="236"/>
      <c r="K860" s="236"/>
      <c r="L860" s="236"/>
      <c r="M860" s="236"/>
      <c r="N860" s="236"/>
      <c r="O860" s="236"/>
      <c r="P860" s="236"/>
      <c r="Q860" s="236"/>
      <c r="R860" s="236"/>
      <c r="S860" s="236"/>
      <c r="T860" s="236"/>
      <c r="U860" s="236"/>
      <c r="V860" s="236"/>
      <c r="W860" s="237"/>
      <c r="X860" s="237"/>
      <c r="Y860" s="237"/>
      <c r="Z860" s="237"/>
      <c r="AA860" s="237"/>
      <c r="AB860" s="237"/>
      <c r="AC860" s="237"/>
      <c r="AD860" s="237"/>
      <c r="AE860" s="237"/>
      <c r="AF860" s="237"/>
      <c r="AG860" s="237"/>
      <c r="AH860" s="237"/>
      <c r="AI860" s="308"/>
      <c r="AJ860" s="308"/>
      <c r="AK860" s="308"/>
      <c r="AL860" s="308"/>
      <c r="AM860" s="98"/>
      <c r="AN860" s="98"/>
    </row>
    <row r="861" ht="14.25" customHeight="1">
      <c r="A861" s="179"/>
      <c r="B861" s="98"/>
      <c r="C861" s="98"/>
      <c r="D861" s="98"/>
      <c r="E861" s="98"/>
      <c r="F861" s="235"/>
      <c r="G861" s="235"/>
      <c r="H861" s="236"/>
      <c r="I861" s="236"/>
      <c r="J861" s="236"/>
      <c r="K861" s="236"/>
      <c r="L861" s="236"/>
      <c r="M861" s="236"/>
      <c r="N861" s="236"/>
      <c r="O861" s="236"/>
      <c r="P861" s="236"/>
      <c r="Q861" s="236"/>
      <c r="R861" s="236"/>
      <c r="S861" s="236"/>
      <c r="T861" s="236"/>
      <c r="U861" s="236"/>
      <c r="V861" s="236"/>
      <c r="W861" s="237"/>
      <c r="X861" s="237"/>
      <c r="Y861" s="237"/>
      <c r="Z861" s="237"/>
      <c r="AA861" s="237"/>
      <c r="AB861" s="237"/>
      <c r="AC861" s="237"/>
      <c r="AD861" s="237"/>
      <c r="AE861" s="237"/>
      <c r="AF861" s="237"/>
      <c r="AG861" s="237"/>
      <c r="AH861" s="237"/>
      <c r="AI861" s="308"/>
      <c r="AJ861" s="308"/>
      <c r="AK861" s="308"/>
      <c r="AL861" s="308"/>
      <c r="AM861" s="98"/>
      <c r="AN861" s="98"/>
    </row>
    <row r="862" ht="14.25" customHeight="1">
      <c r="A862" s="179"/>
      <c r="B862" s="98"/>
      <c r="C862" s="98"/>
      <c r="D862" s="98"/>
      <c r="E862" s="98"/>
      <c r="F862" s="235"/>
      <c r="G862" s="235"/>
      <c r="H862" s="236"/>
      <c r="I862" s="236"/>
      <c r="J862" s="236"/>
      <c r="K862" s="236"/>
      <c r="L862" s="236"/>
      <c r="M862" s="236"/>
      <c r="N862" s="236"/>
      <c r="O862" s="236"/>
      <c r="P862" s="236"/>
      <c r="Q862" s="236"/>
      <c r="R862" s="236"/>
      <c r="S862" s="236"/>
      <c r="T862" s="236"/>
      <c r="U862" s="236"/>
      <c r="V862" s="236"/>
      <c r="W862" s="237"/>
      <c r="X862" s="237"/>
      <c r="Y862" s="237"/>
      <c r="Z862" s="237"/>
      <c r="AA862" s="237"/>
      <c r="AB862" s="237"/>
      <c r="AC862" s="237"/>
      <c r="AD862" s="237"/>
      <c r="AE862" s="237"/>
      <c r="AF862" s="237"/>
      <c r="AG862" s="237"/>
      <c r="AH862" s="237"/>
      <c r="AI862" s="308"/>
      <c r="AJ862" s="308"/>
      <c r="AK862" s="308"/>
      <c r="AL862" s="308"/>
      <c r="AM862" s="98"/>
      <c r="AN862" s="98"/>
    </row>
    <row r="863" ht="14.25" customHeight="1">
      <c r="A863" s="179"/>
      <c r="B863" s="98"/>
      <c r="C863" s="98"/>
      <c r="D863" s="98"/>
      <c r="E863" s="98"/>
      <c r="F863" s="235"/>
      <c r="G863" s="235"/>
      <c r="H863" s="236"/>
      <c r="I863" s="236"/>
      <c r="J863" s="236"/>
      <c r="K863" s="236"/>
      <c r="L863" s="236"/>
      <c r="M863" s="236"/>
      <c r="N863" s="236"/>
      <c r="O863" s="236"/>
      <c r="P863" s="236"/>
      <c r="Q863" s="236"/>
      <c r="R863" s="236"/>
      <c r="S863" s="236"/>
      <c r="T863" s="236"/>
      <c r="U863" s="236"/>
      <c r="V863" s="236"/>
      <c r="W863" s="237"/>
      <c r="X863" s="237"/>
      <c r="Y863" s="237"/>
      <c r="Z863" s="237"/>
      <c r="AA863" s="237"/>
      <c r="AB863" s="237"/>
      <c r="AC863" s="237"/>
      <c r="AD863" s="237"/>
      <c r="AE863" s="237"/>
      <c r="AF863" s="237"/>
      <c r="AG863" s="237"/>
      <c r="AH863" s="237"/>
      <c r="AI863" s="308"/>
      <c r="AJ863" s="308"/>
      <c r="AK863" s="308"/>
      <c r="AL863" s="308"/>
      <c r="AM863" s="98"/>
      <c r="AN863" s="98"/>
    </row>
    <row r="864" ht="14.25" customHeight="1">
      <c r="A864" s="179"/>
      <c r="B864" s="98"/>
      <c r="C864" s="98"/>
      <c r="D864" s="98"/>
      <c r="E864" s="98"/>
      <c r="F864" s="235"/>
      <c r="G864" s="235"/>
      <c r="H864" s="236"/>
      <c r="I864" s="236"/>
      <c r="J864" s="236"/>
      <c r="K864" s="236"/>
      <c r="L864" s="236"/>
      <c r="M864" s="236"/>
      <c r="N864" s="236"/>
      <c r="O864" s="236"/>
      <c r="P864" s="236"/>
      <c r="Q864" s="236"/>
      <c r="R864" s="236"/>
      <c r="S864" s="236"/>
      <c r="T864" s="236"/>
      <c r="U864" s="236"/>
      <c r="V864" s="236"/>
      <c r="W864" s="237"/>
      <c r="X864" s="237"/>
      <c r="Y864" s="237"/>
      <c r="Z864" s="237"/>
      <c r="AA864" s="237"/>
      <c r="AB864" s="237"/>
      <c r="AC864" s="237"/>
      <c r="AD864" s="237"/>
      <c r="AE864" s="237"/>
      <c r="AF864" s="237"/>
      <c r="AG864" s="237"/>
      <c r="AH864" s="237"/>
      <c r="AI864" s="308"/>
      <c r="AJ864" s="308"/>
      <c r="AK864" s="308"/>
      <c r="AL864" s="308"/>
      <c r="AM864" s="98"/>
      <c r="AN864" s="98"/>
    </row>
    <row r="865" ht="14.25" customHeight="1">
      <c r="A865" s="179"/>
      <c r="B865" s="98"/>
      <c r="C865" s="98"/>
      <c r="D865" s="98"/>
      <c r="E865" s="98"/>
      <c r="F865" s="235"/>
      <c r="G865" s="235"/>
      <c r="H865" s="236"/>
      <c r="I865" s="236"/>
      <c r="J865" s="236"/>
      <c r="K865" s="236"/>
      <c r="L865" s="236"/>
      <c r="M865" s="236"/>
      <c r="N865" s="236"/>
      <c r="O865" s="236"/>
      <c r="P865" s="236"/>
      <c r="Q865" s="236"/>
      <c r="R865" s="236"/>
      <c r="S865" s="236"/>
      <c r="T865" s="236"/>
      <c r="U865" s="236"/>
      <c r="V865" s="236"/>
      <c r="W865" s="237"/>
      <c r="X865" s="237"/>
      <c r="Y865" s="237"/>
      <c r="Z865" s="237"/>
      <c r="AA865" s="237"/>
      <c r="AB865" s="237"/>
      <c r="AC865" s="237"/>
      <c r="AD865" s="237"/>
      <c r="AE865" s="237"/>
      <c r="AF865" s="237"/>
      <c r="AG865" s="237"/>
      <c r="AH865" s="237"/>
      <c r="AI865" s="308"/>
      <c r="AJ865" s="308"/>
      <c r="AK865" s="308"/>
      <c r="AL865" s="308"/>
      <c r="AM865" s="98"/>
      <c r="AN865" s="98"/>
    </row>
    <row r="866" ht="14.25" customHeight="1">
      <c r="A866" s="179"/>
      <c r="B866" s="98"/>
      <c r="C866" s="98"/>
      <c r="D866" s="98"/>
      <c r="E866" s="98"/>
      <c r="F866" s="235"/>
      <c r="G866" s="235"/>
      <c r="H866" s="236"/>
      <c r="I866" s="236"/>
      <c r="J866" s="236"/>
      <c r="K866" s="236"/>
      <c r="L866" s="236"/>
      <c r="M866" s="236"/>
      <c r="N866" s="236"/>
      <c r="O866" s="236"/>
      <c r="P866" s="236"/>
      <c r="Q866" s="236"/>
      <c r="R866" s="236"/>
      <c r="S866" s="236"/>
      <c r="T866" s="236"/>
      <c r="U866" s="236"/>
      <c r="V866" s="236"/>
      <c r="W866" s="237"/>
      <c r="X866" s="237"/>
      <c r="Y866" s="237"/>
      <c r="Z866" s="237"/>
      <c r="AA866" s="237"/>
      <c r="AB866" s="237"/>
      <c r="AC866" s="237"/>
      <c r="AD866" s="237"/>
      <c r="AE866" s="237"/>
      <c r="AF866" s="237"/>
      <c r="AG866" s="237"/>
      <c r="AH866" s="237"/>
      <c r="AI866" s="308"/>
      <c r="AJ866" s="308"/>
      <c r="AK866" s="308"/>
      <c r="AL866" s="308"/>
      <c r="AM866" s="98"/>
      <c r="AN866" s="98"/>
    </row>
    <row r="867" ht="14.25" customHeight="1">
      <c r="A867" s="179"/>
      <c r="B867" s="98"/>
      <c r="C867" s="98"/>
      <c r="D867" s="98"/>
      <c r="E867" s="98"/>
      <c r="F867" s="235"/>
      <c r="G867" s="235"/>
      <c r="H867" s="236"/>
      <c r="I867" s="236"/>
      <c r="J867" s="236"/>
      <c r="K867" s="236"/>
      <c r="L867" s="236"/>
      <c r="M867" s="236"/>
      <c r="N867" s="236"/>
      <c r="O867" s="236"/>
      <c r="P867" s="236"/>
      <c r="Q867" s="236"/>
      <c r="R867" s="236"/>
      <c r="S867" s="236"/>
      <c r="T867" s="236"/>
      <c r="U867" s="236"/>
      <c r="V867" s="236"/>
      <c r="W867" s="237"/>
      <c r="X867" s="237"/>
      <c r="Y867" s="237"/>
      <c r="Z867" s="237"/>
      <c r="AA867" s="237"/>
      <c r="AB867" s="237"/>
      <c r="AC867" s="237"/>
      <c r="AD867" s="237"/>
      <c r="AE867" s="237"/>
      <c r="AF867" s="237"/>
      <c r="AG867" s="237"/>
      <c r="AH867" s="237"/>
      <c r="AI867" s="308"/>
      <c r="AJ867" s="308"/>
      <c r="AK867" s="308"/>
      <c r="AL867" s="308"/>
      <c r="AM867" s="98"/>
      <c r="AN867" s="98"/>
    </row>
    <row r="868" ht="14.25" customHeight="1">
      <c r="A868" s="179"/>
      <c r="B868" s="98"/>
      <c r="C868" s="98"/>
      <c r="D868" s="98"/>
      <c r="E868" s="98"/>
      <c r="F868" s="235"/>
      <c r="G868" s="235"/>
      <c r="H868" s="236"/>
      <c r="I868" s="236"/>
      <c r="J868" s="236"/>
      <c r="K868" s="236"/>
      <c r="L868" s="236"/>
      <c r="M868" s="236"/>
      <c r="N868" s="236"/>
      <c r="O868" s="236"/>
      <c r="P868" s="236"/>
      <c r="Q868" s="236"/>
      <c r="R868" s="236"/>
      <c r="S868" s="236"/>
      <c r="T868" s="236"/>
      <c r="U868" s="236"/>
      <c r="V868" s="236"/>
      <c r="W868" s="237"/>
      <c r="X868" s="237"/>
      <c r="Y868" s="237"/>
      <c r="Z868" s="237"/>
      <c r="AA868" s="237"/>
      <c r="AB868" s="237"/>
      <c r="AC868" s="237"/>
      <c r="AD868" s="237"/>
      <c r="AE868" s="237"/>
      <c r="AF868" s="237"/>
      <c r="AG868" s="237"/>
      <c r="AH868" s="237"/>
      <c r="AI868" s="308"/>
      <c r="AJ868" s="308"/>
      <c r="AK868" s="308"/>
      <c r="AL868" s="308"/>
      <c r="AM868" s="98"/>
      <c r="AN868" s="98"/>
    </row>
    <row r="869" ht="14.25" customHeight="1">
      <c r="A869" s="179"/>
      <c r="B869" s="98"/>
      <c r="C869" s="98"/>
      <c r="D869" s="98"/>
      <c r="E869" s="98"/>
      <c r="F869" s="235"/>
      <c r="G869" s="235"/>
      <c r="H869" s="236"/>
      <c r="I869" s="236"/>
      <c r="J869" s="236"/>
      <c r="K869" s="236"/>
      <c r="L869" s="236"/>
      <c r="M869" s="236"/>
      <c r="N869" s="236"/>
      <c r="O869" s="236"/>
      <c r="P869" s="236"/>
      <c r="Q869" s="236"/>
      <c r="R869" s="236"/>
      <c r="S869" s="236"/>
      <c r="T869" s="236"/>
      <c r="U869" s="236"/>
      <c r="V869" s="236"/>
      <c r="W869" s="237"/>
      <c r="X869" s="237"/>
      <c r="Y869" s="237"/>
      <c r="Z869" s="237"/>
      <c r="AA869" s="237"/>
      <c r="AB869" s="237"/>
      <c r="AC869" s="237"/>
      <c r="AD869" s="237"/>
      <c r="AE869" s="237"/>
      <c r="AF869" s="237"/>
      <c r="AG869" s="237"/>
      <c r="AH869" s="237"/>
      <c r="AI869" s="308"/>
      <c r="AJ869" s="308"/>
      <c r="AK869" s="308"/>
      <c r="AL869" s="308"/>
      <c r="AM869" s="98"/>
      <c r="AN869" s="98"/>
    </row>
    <row r="870" ht="14.25" customHeight="1">
      <c r="A870" s="179"/>
      <c r="B870" s="98"/>
      <c r="C870" s="98"/>
      <c r="D870" s="98"/>
      <c r="E870" s="98"/>
      <c r="F870" s="235"/>
      <c r="G870" s="235"/>
      <c r="H870" s="236"/>
      <c r="I870" s="236"/>
      <c r="J870" s="236"/>
      <c r="K870" s="236"/>
      <c r="L870" s="236"/>
      <c r="M870" s="236"/>
      <c r="N870" s="236"/>
      <c r="O870" s="236"/>
      <c r="P870" s="236"/>
      <c r="Q870" s="236"/>
      <c r="R870" s="236"/>
      <c r="S870" s="236"/>
      <c r="T870" s="236"/>
      <c r="U870" s="236"/>
      <c r="V870" s="236"/>
      <c r="W870" s="237"/>
      <c r="X870" s="237"/>
      <c r="Y870" s="237"/>
      <c r="Z870" s="237"/>
      <c r="AA870" s="237"/>
      <c r="AB870" s="237"/>
      <c r="AC870" s="237"/>
      <c r="AD870" s="237"/>
      <c r="AE870" s="237"/>
      <c r="AF870" s="237"/>
      <c r="AG870" s="237"/>
      <c r="AH870" s="237"/>
      <c r="AI870" s="308"/>
      <c r="AJ870" s="308"/>
      <c r="AK870" s="308"/>
      <c r="AL870" s="308"/>
      <c r="AM870" s="98"/>
      <c r="AN870" s="98"/>
    </row>
    <row r="871" ht="14.25" customHeight="1">
      <c r="A871" s="179"/>
      <c r="B871" s="98"/>
      <c r="C871" s="98"/>
      <c r="D871" s="98"/>
      <c r="E871" s="98"/>
      <c r="F871" s="235"/>
      <c r="G871" s="235"/>
      <c r="H871" s="236"/>
      <c r="I871" s="236"/>
      <c r="J871" s="236"/>
      <c r="K871" s="236"/>
      <c r="L871" s="236"/>
      <c r="M871" s="236"/>
      <c r="N871" s="236"/>
      <c r="O871" s="236"/>
      <c r="P871" s="236"/>
      <c r="Q871" s="236"/>
      <c r="R871" s="236"/>
      <c r="S871" s="236"/>
      <c r="T871" s="236"/>
      <c r="U871" s="236"/>
      <c r="V871" s="236"/>
      <c r="W871" s="237"/>
      <c r="X871" s="237"/>
      <c r="Y871" s="237"/>
      <c r="Z871" s="237"/>
      <c r="AA871" s="237"/>
      <c r="AB871" s="237"/>
      <c r="AC871" s="237"/>
      <c r="AD871" s="237"/>
      <c r="AE871" s="237"/>
      <c r="AF871" s="237"/>
      <c r="AG871" s="237"/>
      <c r="AH871" s="237"/>
      <c r="AI871" s="308"/>
      <c r="AJ871" s="308"/>
      <c r="AK871" s="308"/>
      <c r="AL871" s="308"/>
      <c r="AM871" s="98"/>
      <c r="AN871" s="98"/>
    </row>
    <row r="872" ht="14.25" customHeight="1">
      <c r="A872" s="179"/>
      <c r="B872" s="98"/>
      <c r="C872" s="98"/>
      <c r="D872" s="98"/>
      <c r="E872" s="98"/>
      <c r="F872" s="235"/>
      <c r="G872" s="235"/>
      <c r="H872" s="236"/>
      <c r="I872" s="236"/>
      <c r="J872" s="236"/>
      <c r="K872" s="236"/>
      <c r="L872" s="236"/>
      <c r="M872" s="236"/>
      <c r="N872" s="236"/>
      <c r="O872" s="236"/>
      <c r="P872" s="236"/>
      <c r="Q872" s="236"/>
      <c r="R872" s="236"/>
      <c r="S872" s="236"/>
      <c r="T872" s="236"/>
      <c r="U872" s="236"/>
      <c r="V872" s="236"/>
      <c r="W872" s="237"/>
      <c r="X872" s="237"/>
      <c r="Y872" s="237"/>
      <c r="Z872" s="237"/>
      <c r="AA872" s="237"/>
      <c r="AB872" s="237"/>
      <c r="AC872" s="237"/>
      <c r="AD872" s="237"/>
      <c r="AE872" s="237"/>
      <c r="AF872" s="237"/>
      <c r="AG872" s="237"/>
      <c r="AH872" s="237"/>
      <c r="AI872" s="308"/>
      <c r="AJ872" s="308"/>
      <c r="AK872" s="308"/>
      <c r="AL872" s="308"/>
      <c r="AM872" s="98"/>
      <c r="AN872" s="98"/>
    </row>
    <row r="873" ht="14.25" customHeight="1">
      <c r="A873" s="179"/>
      <c r="B873" s="98"/>
      <c r="C873" s="98"/>
      <c r="D873" s="98"/>
      <c r="E873" s="98"/>
      <c r="F873" s="235"/>
      <c r="G873" s="235"/>
      <c r="H873" s="236"/>
      <c r="I873" s="236"/>
      <c r="J873" s="236"/>
      <c r="K873" s="236"/>
      <c r="L873" s="236"/>
      <c r="M873" s="236"/>
      <c r="N873" s="236"/>
      <c r="O873" s="236"/>
      <c r="P873" s="236"/>
      <c r="Q873" s="236"/>
      <c r="R873" s="236"/>
      <c r="S873" s="236"/>
      <c r="T873" s="236"/>
      <c r="U873" s="236"/>
      <c r="V873" s="236"/>
      <c r="W873" s="237"/>
      <c r="X873" s="237"/>
      <c r="Y873" s="237"/>
      <c r="Z873" s="237"/>
      <c r="AA873" s="237"/>
      <c r="AB873" s="237"/>
      <c r="AC873" s="237"/>
      <c r="AD873" s="237"/>
      <c r="AE873" s="237"/>
      <c r="AF873" s="237"/>
      <c r="AG873" s="237"/>
      <c r="AH873" s="237"/>
      <c r="AI873" s="308"/>
      <c r="AJ873" s="308"/>
      <c r="AK873" s="308"/>
      <c r="AL873" s="308"/>
      <c r="AM873" s="98"/>
      <c r="AN873" s="98"/>
    </row>
    <row r="874" ht="14.25" customHeight="1">
      <c r="A874" s="179"/>
      <c r="B874" s="98"/>
      <c r="C874" s="98"/>
      <c r="D874" s="98"/>
      <c r="E874" s="98"/>
      <c r="F874" s="235"/>
      <c r="G874" s="235"/>
      <c r="H874" s="236"/>
      <c r="I874" s="236"/>
      <c r="J874" s="236"/>
      <c r="K874" s="236"/>
      <c r="L874" s="236"/>
      <c r="M874" s="236"/>
      <c r="N874" s="236"/>
      <c r="O874" s="236"/>
      <c r="P874" s="236"/>
      <c r="Q874" s="236"/>
      <c r="R874" s="236"/>
      <c r="S874" s="236"/>
      <c r="T874" s="236"/>
      <c r="U874" s="236"/>
      <c r="V874" s="236"/>
      <c r="W874" s="237"/>
      <c r="X874" s="237"/>
      <c r="Y874" s="237"/>
      <c r="Z874" s="237"/>
      <c r="AA874" s="237"/>
      <c r="AB874" s="237"/>
      <c r="AC874" s="237"/>
      <c r="AD874" s="237"/>
      <c r="AE874" s="237"/>
      <c r="AF874" s="237"/>
      <c r="AG874" s="237"/>
      <c r="AH874" s="237"/>
      <c r="AI874" s="308"/>
      <c r="AJ874" s="308"/>
      <c r="AK874" s="308"/>
      <c r="AL874" s="308"/>
      <c r="AM874" s="98"/>
      <c r="AN874" s="98"/>
    </row>
    <row r="875" ht="14.25" customHeight="1">
      <c r="A875" s="179"/>
      <c r="B875" s="98"/>
      <c r="C875" s="98"/>
      <c r="D875" s="98"/>
      <c r="E875" s="98"/>
      <c r="F875" s="235"/>
      <c r="G875" s="235"/>
      <c r="H875" s="236"/>
      <c r="I875" s="236"/>
      <c r="J875" s="236"/>
      <c r="K875" s="236"/>
      <c r="L875" s="236"/>
      <c r="M875" s="236"/>
      <c r="N875" s="236"/>
      <c r="O875" s="236"/>
      <c r="P875" s="236"/>
      <c r="Q875" s="236"/>
      <c r="R875" s="236"/>
      <c r="S875" s="236"/>
      <c r="T875" s="236"/>
      <c r="U875" s="236"/>
      <c r="V875" s="236"/>
      <c r="W875" s="237"/>
      <c r="X875" s="237"/>
      <c r="Y875" s="237"/>
      <c r="Z875" s="237"/>
      <c r="AA875" s="237"/>
      <c r="AB875" s="237"/>
      <c r="AC875" s="237"/>
      <c r="AD875" s="237"/>
      <c r="AE875" s="237"/>
      <c r="AF875" s="237"/>
      <c r="AG875" s="237"/>
      <c r="AH875" s="237"/>
      <c r="AI875" s="308"/>
      <c r="AJ875" s="308"/>
      <c r="AK875" s="308"/>
      <c r="AL875" s="308"/>
      <c r="AM875" s="98"/>
      <c r="AN875" s="98"/>
    </row>
    <row r="876" ht="14.25" customHeight="1">
      <c r="A876" s="179"/>
      <c r="B876" s="98"/>
      <c r="C876" s="98"/>
      <c r="D876" s="98"/>
      <c r="E876" s="98"/>
      <c r="F876" s="235"/>
      <c r="G876" s="235"/>
      <c r="H876" s="236"/>
      <c r="I876" s="236"/>
      <c r="J876" s="236"/>
      <c r="K876" s="236"/>
      <c r="L876" s="236"/>
      <c r="M876" s="236"/>
      <c r="N876" s="236"/>
      <c r="O876" s="236"/>
      <c r="P876" s="236"/>
      <c r="Q876" s="236"/>
      <c r="R876" s="236"/>
      <c r="S876" s="236"/>
      <c r="T876" s="236"/>
      <c r="U876" s="236"/>
      <c r="V876" s="236"/>
      <c r="W876" s="237"/>
      <c r="X876" s="237"/>
      <c r="Y876" s="237"/>
      <c r="Z876" s="237"/>
      <c r="AA876" s="237"/>
      <c r="AB876" s="237"/>
      <c r="AC876" s="237"/>
      <c r="AD876" s="237"/>
      <c r="AE876" s="237"/>
      <c r="AF876" s="237"/>
      <c r="AG876" s="237"/>
      <c r="AH876" s="237"/>
      <c r="AI876" s="308"/>
      <c r="AJ876" s="308"/>
      <c r="AK876" s="308"/>
      <c r="AL876" s="308"/>
      <c r="AM876" s="98"/>
      <c r="AN876" s="98"/>
    </row>
    <row r="877" ht="14.25" customHeight="1">
      <c r="A877" s="179"/>
      <c r="B877" s="98"/>
      <c r="C877" s="98"/>
      <c r="D877" s="98"/>
      <c r="E877" s="98"/>
      <c r="F877" s="235"/>
      <c r="G877" s="235"/>
      <c r="H877" s="236"/>
      <c r="I877" s="236"/>
      <c r="J877" s="236"/>
      <c r="K877" s="236"/>
      <c r="L877" s="236"/>
      <c r="M877" s="236"/>
      <c r="N877" s="236"/>
      <c r="O877" s="236"/>
      <c r="P877" s="236"/>
      <c r="Q877" s="236"/>
      <c r="R877" s="236"/>
      <c r="S877" s="236"/>
      <c r="T877" s="236"/>
      <c r="U877" s="236"/>
      <c r="V877" s="236"/>
      <c r="W877" s="237"/>
      <c r="X877" s="237"/>
      <c r="Y877" s="237"/>
      <c r="Z877" s="237"/>
      <c r="AA877" s="237"/>
      <c r="AB877" s="237"/>
      <c r="AC877" s="237"/>
      <c r="AD877" s="237"/>
      <c r="AE877" s="237"/>
      <c r="AF877" s="237"/>
      <c r="AG877" s="237"/>
      <c r="AH877" s="237"/>
      <c r="AI877" s="308"/>
      <c r="AJ877" s="308"/>
      <c r="AK877" s="308"/>
      <c r="AL877" s="308"/>
      <c r="AM877" s="98"/>
      <c r="AN877" s="98"/>
    </row>
    <row r="878" ht="14.25" customHeight="1">
      <c r="A878" s="179"/>
      <c r="B878" s="98"/>
      <c r="C878" s="98"/>
      <c r="D878" s="98"/>
      <c r="E878" s="98"/>
      <c r="F878" s="235"/>
      <c r="G878" s="235"/>
      <c r="H878" s="236"/>
      <c r="I878" s="236"/>
      <c r="J878" s="236"/>
      <c r="K878" s="236"/>
      <c r="L878" s="236"/>
      <c r="M878" s="236"/>
      <c r="N878" s="236"/>
      <c r="O878" s="236"/>
      <c r="P878" s="236"/>
      <c r="Q878" s="236"/>
      <c r="R878" s="236"/>
      <c r="S878" s="236"/>
      <c r="T878" s="236"/>
      <c r="U878" s="236"/>
      <c r="V878" s="236"/>
      <c r="W878" s="237"/>
      <c r="X878" s="237"/>
      <c r="Y878" s="237"/>
      <c r="Z878" s="237"/>
      <c r="AA878" s="237"/>
      <c r="AB878" s="237"/>
      <c r="AC878" s="237"/>
      <c r="AD878" s="237"/>
      <c r="AE878" s="237"/>
      <c r="AF878" s="237"/>
      <c r="AG878" s="237"/>
      <c r="AH878" s="237"/>
      <c r="AI878" s="308"/>
      <c r="AJ878" s="308"/>
      <c r="AK878" s="308"/>
      <c r="AL878" s="308"/>
      <c r="AM878" s="98"/>
      <c r="AN878" s="98"/>
    </row>
    <row r="879" ht="14.25" customHeight="1">
      <c r="A879" s="179"/>
      <c r="B879" s="98"/>
      <c r="C879" s="98"/>
      <c r="D879" s="98"/>
      <c r="E879" s="98"/>
      <c r="F879" s="235"/>
      <c r="G879" s="235"/>
      <c r="H879" s="236"/>
      <c r="I879" s="236"/>
      <c r="J879" s="236"/>
      <c r="K879" s="236"/>
      <c r="L879" s="236"/>
      <c r="M879" s="236"/>
      <c r="N879" s="236"/>
      <c r="O879" s="236"/>
      <c r="P879" s="236"/>
      <c r="Q879" s="236"/>
      <c r="R879" s="236"/>
      <c r="S879" s="236"/>
      <c r="T879" s="236"/>
      <c r="U879" s="236"/>
      <c r="V879" s="236"/>
      <c r="W879" s="237"/>
      <c r="X879" s="237"/>
      <c r="Y879" s="237"/>
      <c r="Z879" s="237"/>
      <c r="AA879" s="237"/>
      <c r="AB879" s="237"/>
      <c r="AC879" s="237"/>
      <c r="AD879" s="237"/>
      <c r="AE879" s="237"/>
      <c r="AF879" s="237"/>
      <c r="AG879" s="237"/>
      <c r="AH879" s="237"/>
      <c r="AI879" s="308"/>
      <c r="AJ879" s="308"/>
      <c r="AK879" s="308"/>
      <c r="AL879" s="308"/>
      <c r="AM879" s="98"/>
      <c r="AN879" s="98"/>
    </row>
    <row r="880" ht="14.25" customHeight="1">
      <c r="A880" s="179"/>
      <c r="B880" s="98"/>
      <c r="C880" s="98"/>
      <c r="D880" s="98"/>
      <c r="E880" s="98"/>
      <c r="F880" s="235"/>
      <c r="G880" s="235"/>
      <c r="H880" s="236"/>
      <c r="I880" s="236"/>
      <c r="J880" s="236"/>
      <c r="K880" s="236"/>
      <c r="L880" s="236"/>
      <c r="M880" s="236"/>
      <c r="N880" s="236"/>
      <c r="O880" s="236"/>
      <c r="P880" s="236"/>
      <c r="Q880" s="236"/>
      <c r="R880" s="236"/>
      <c r="S880" s="236"/>
      <c r="T880" s="236"/>
      <c r="U880" s="236"/>
      <c r="V880" s="236"/>
      <c r="W880" s="237"/>
      <c r="X880" s="237"/>
      <c r="Y880" s="237"/>
      <c r="Z880" s="237"/>
      <c r="AA880" s="237"/>
      <c r="AB880" s="237"/>
      <c r="AC880" s="237"/>
      <c r="AD880" s="237"/>
      <c r="AE880" s="237"/>
      <c r="AF880" s="237"/>
      <c r="AG880" s="237"/>
      <c r="AH880" s="237"/>
      <c r="AI880" s="308"/>
      <c r="AJ880" s="308"/>
      <c r="AK880" s="308"/>
      <c r="AL880" s="308"/>
      <c r="AM880" s="98"/>
      <c r="AN880" s="98"/>
    </row>
    <row r="881" ht="14.25" customHeight="1">
      <c r="A881" s="179"/>
      <c r="B881" s="98"/>
      <c r="C881" s="98"/>
      <c r="D881" s="98"/>
      <c r="E881" s="98"/>
      <c r="F881" s="235"/>
      <c r="G881" s="235"/>
      <c r="H881" s="236"/>
      <c r="I881" s="236"/>
      <c r="J881" s="236"/>
      <c r="K881" s="236"/>
      <c r="L881" s="236"/>
      <c r="M881" s="236"/>
      <c r="N881" s="236"/>
      <c r="O881" s="236"/>
      <c r="P881" s="236"/>
      <c r="Q881" s="236"/>
      <c r="R881" s="236"/>
      <c r="S881" s="236"/>
      <c r="T881" s="236"/>
      <c r="U881" s="236"/>
      <c r="V881" s="236"/>
      <c r="W881" s="237"/>
      <c r="X881" s="237"/>
      <c r="Y881" s="237"/>
      <c r="Z881" s="237"/>
      <c r="AA881" s="237"/>
      <c r="AB881" s="237"/>
      <c r="AC881" s="237"/>
      <c r="AD881" s="237"/>
      <c r="AE881" s="237"/>
      <c r="AF881" s="237"/>
      <c r="AG881" s="237"/>
      <c r="AH881" s="237"/>
      <c r="AI881" s="308"/>
      <c r="AJ881" s="308"/>
      <c r="AK881" s="308"/>
      <c r="AL881" s="308"/>
      <c r="AM881" s="98"/>
      <c r="AN881" s="98"/>
    </row>
    <row r="882" ht="14.25" customHeight="1">
      <c r="A882" s="179"/>
      <c r="B882" s="98"/>
      <c r="C882" s="98"/>
      <c r="D882" s="98"/>
      <c r="E882" s="98"/>
      <c r="F882" s="235"/>
      <c r="G882" s="235"/>
      <c r="H882" s="236"/>
      <c r="I882" s="236"/>
      <c r="J882" s="236"/>
      <c r="K882" s="236"/>
      <c r="L882" s="236"/>
      <c r="M882" s="236"/>
      <c r="N882" s="236"/>
      <c r="O882" s="236"/>
      <c r="P882" s="236"/>
      <c r="Q882" s="236"/>
      <c r="R882" s="236"/>
      <c r="S882" s="236"/>
      <c r="T882" s="236"/>
      <c r="U882" s="236"/>
      <c r="V882" s="236"/>
      <c r="W882" s="237"/>
      <c r="X882" s="237"/>
      <c r="Y882" s="237"/>
      <c r="Z882" s="237"/>
      <c r="AA882" s="237"/>
      <c r="AB882" s="237"/>
      <c r="AC882" s="237"/>
      <c r="AD882" s="237"/>
      <c r="AE882" s="237"/>
      <c r="AF882" s="237"/>
      <c r="AG882" s="237"/>
      <c r="AH882" s="237"/>
      <c r="AI882" s="308"/>
      <c r="AJ882" s="308"/>
      <c r="AK882" s="308"/>
      <c r="AL882" s="308"/>
      <c r="AM882" s="98"/>
      <c r="AN882" s="98"/>
    </row>
    <row r="883" ht="14.25" customHeight="1">
      <c r="A883" s="179"/>
      <c r="B883" s="98"/>
      <c r="C883" s="98"/>
      <c r="D883" s="98"/>
      <c r="E883" s="98"/>
      <c r="F883" s="235"/>
      <c r="G883" s="235"/>
      <c r="H883" s="236"/>
      <c r="I883" s="236"/>
      <c r="J883" s="236"/>
      <c r="K883" s="236"/>
      <c r="L883" s="236"/>
      <c r="M883" s="236"/>
      <c r="N883" s="236"/>
      <c r="O883" s="236"/>
      <c r="P883" s="236"/>
      <c r="Q883" s="236"/>
      <c r="R883" s="236"/>
      <c r="S883" s="236"/>
      <c r="T883" s="236"/>
      <c r="U883" s="236"/>
      <c r="V883" s="236"/>
      <c r="W883" s="237"/>
      <c r="X883" s="237"/>
      <c r="Y883" s="237"/>
      <c r="Z883" s="237"/>
      <c r="AA883" s="237"/>
      <c r="AB883" s="237"/>
      <c r="AC883" s="237"/>
      <c r="AD883" s="237"/>
      <c r="AE883" s="237"/>
      <c r="AF883" s="237"/>
      <c r="AG883" s="237"/>
      <c r="AH883" s="237"/>
      <c r="AI883" s="308"/>
      <c r="AJ883" s="308"/>
      <c r="AK883" s="308"/>
      <c r="AL883" s="308"/>
      <c r="AM883" s="98"/>
      <c r="AN883" s="98"/>
    </row>
    <row r="884" ht="14.25" customHeight="1">
      <c r="A884" s="179"/>
      <c r="B884" s="98"/>
      <c r="C884" s="98"/>
      <c r="D884" s="98"/>
      <c r="E884" s="98"/>
      <c r="F884" s="235"/>
      <c r="G884" s="235"/>
      <c r="H884" s="236"/>
      <c r="I884" s="236"/>
      <c r="J884" s="236"/>
      <c r="K884" s="236"/>
      <c r="L884" s="236"/>
      <c r="M884" s="236"/>
      <c r="N884" s="236"/>
      <c r="O884" s="236"/>
      <c r="P884" s="236"/>
      <c r="Q884" s="236"/>
      <c r="R884" s="236"/>
      <c r="S884" s="236"/>
      <c r="T884" s="236"/>
      <c r="U884" s="236"/>
      <c r="V884" s="236"/>
      <c r="W884" s="237"/>
      <c r="X884" s="237"/>
      <c r="Y884" s="237"/>
      <c r="Z884" s="237"/>
      <c r="AA884" s="237"/>
      <c r="AB884" s="237"/>
      <c r="AC884" s="237"/>
      <c r="AD884" s="237"/>
      <c r="AE884" s="237"/>
      <c r="AF884" s="237"/>
      <c r="AG884" s="237"/>
      <c r="AH884" s="237"/>
      <c r="AI884" s="308"/>
      <c r="AJ884" s="308"/>
      <c r="AK884" s="308"/>
      <c r="AL884" s="308"/>
      <c r="AM884" s="98"/>
      <c r="AN884" s="98"/>
    </row>
    <row r="885" ht="14.25" customHeight="1">
      <c r="A885" s="179"/>
      <c r="B885" s="98"/>
      <c r="C885" s="98"/>
      <c r="D885" s="98"/>
      <c r="E885" s="98"/>
      <c r="F885" s="235"/>
      <c r="G885" s="235"/>
      <c r="H885" s="236"/>
      <c r="I885" s="236"/>
      <c r="J885" s="236"/>
      <c r="K885" s="236"/>
      <c r="L885" s="236"/>
      <c r="M885" s="236"/>
      <c r="N885" s="236"/>
      <c r="O885" s="236"/>
      <c r="P885" s="236"/>
      <c r="Q885" s="236"/>
      <c r="R885" s="236"/>
      <c r="S885" s="236"/>
      <c r="T885" s="236"/>
      <c r="U885" s="236"/>
      <c r="V885" s="236"/>
      <c r="W885" s="237"/>
      <c r="X885" s="237"/>
      <c r="Y885" s="237"/>
      <c r="Z885" s="237"/>
      <c r="AA885" s="237"/>
      <c r="AB885" s="237"/>
      <c r="AC885" s="237"/>
      <c r="AD885" s="237"/>
      <c r="AE885" s="237"/>
      <c r="AF885" s="237"/>
      <c r="AG885" s="237"/>
      <c r="AH885" s="237"/>
      <c r="AI885" s="308"/>
      <c r="AJ885" s="308"/>
      <c r="AK885" s="308"/>
      <c r="AL885" s="308"/>
      <c r="AM885" s="98"/>
      <c r="AN885" s="98"/>
    </row>
    <row r="886" ht="14.25" customHeight="1">
      <c r="A886" s="179"/>
      <c r="B886" s="98"/>
      <c r="C886" s="98"/>
      <c r="D886" s="98"/>
      <c r="E886" s="98"/>
      <c r="F886" s="235"/>
      <c r="G886" s="235"/>
      <c r="H886" s="236"/>
      <c r="I886" s="236"/>
      <c r="J886" s="236"/>
      <c r="K886" s="236"/>
      <c r="L886" s="236"/>
      <c r="M886" s="236"/>
      <c r="N886" s="236"/>
      <c r="O886" s="236"/>
      <c r="P886" s="236"/>
      <c r="Q886" s="236"/>
      <c r="R886" s="236"/>
      <c r="S886" s="236"/>
      <c r="T886" s="236"/>
      <c r="U886" s="236"/>
      <c r="V886" s="236"/>
      <c r="W886" s="237"/>
      <c r="X886" s="237"/>
      <c r="Y886" s="237"/>
      <c r="Z886" s="237"/>
      <c r="AA886" s="237"/>
      <c r="AB886" s="237"/>
      <c r="AC886" s="237"/>
      <c r="AD886" s="237"/>
      <c r="AE886" s="237"/>
      <c r="AF886" s="237"/>
      <c r="AG886" s="237"/>
      <c r="AH886" s="237"/>
      <c r="AI886" s="308"/>
      <c r="AJ886" s="308"/>
      <c r="AK886" s="308"/>
      <c r="AL886" s="308"/>
      <c r="AM886" s="98"/>
      <c r="AN886" s="98"/>
    </row>
    <row r="887" ht="14.25" customHeight="1">
      <c r="A887" s="179"/>
      <c r="B887" s="98"/>
      <c r="C887" s="98"/>
      <c r="D887" s="98"/>
      <c r="E887" s="98"/>
      <c r="F887" s="235"/>
      <c r="G887" s="235"/>
      <c r="H887" s="236"/>
      <c r="I887" s="236"/>
      <c r="J887" s="236"/>
      <c r="K887" s="236"/>
      <c r="L887" s="236"/>
      <c r="M887" s="236"/>
      <c r="N887" s="236"/>
      <c r="O887" s="236"/>
      <c r="P887" s="236"/>
      <c r="Q887" s="236"/>
      <c r="R887" s="236"/>
      <c r="S887" s="236"/>
      <c r="T887" s="236"/>
      <c r="U887" s="236"/>
      <c r="V887" s="236"/>
      <c r="W887" s="237"/>
      <c r="X887" s="237"/>
      <c r="Y887" s="237"/>
      <c r="Z887" s="237"/>
      <c r="AA887" s="237"/>
      <c r="AB887" s="237"/>
      <c r="AC887" s="237"/>
      <c r="AD887" s="237"/>
      <c r="AE887" s="237"/>
      <c r="AF887" s="237"/>
      <c r="AG887" s="237"/>
      <c r="AH887" s="237"/>
      <c r="AI887" s="308"/>
      <c r="AJ887" s="308"/>
      <c r="AK887" s="308"/>
      <c r="AL887" s="308"/>
      <c r="AM887" s="98"/>
      <c r="AN887" s="98"/>
    </row>
    <row r="888" ht="14.25" customHeight="1">
      <c r="A888" s="179"/>
      <c r="B888" s="98"/>
      <c r="C888" s="98"/>
      <c r="D888" s="98"/>
      <c r="E888" s="98"/>
      <c r="F888" s="235"/>
      <c r="G888" s="235"/>
      <c r="H888" s="236"/>
      <c r="I888" s="236"/>
      <c r="J888" s="236"/>
      <c r="K888" s="236"/>
      <c r="L888" s="236"/>
      <c r="M888" s="236"/>
      <c r="N888" s="236"/>
      <c r="O888" s="236"/>
      <c r="P888" s="236"/>
      <c r="Q888" s="236"/>
      <c r="R888" s="236"/>
      <c r="S888" s="236"/>
      <c r="T888" s="236"/>
      <c r="U888" s="236"/>
      <c r="V888" s="236"/>
      <c r="W888" s="237"/>
      <c r="X888" s="237"/>
      <c r="Y888" s="237"/>
      <c r="Z888" s="237"/>
      <c r="AA888" s="237"/>
      <c r="AB888" s="237"/>
      <c r="AC888" s="237"/>
      <c r="AD888" s="237"/>
      <c r="AE888" s="237"/>
      <c r="AF888" s="237"/>
      <c r="AG888" s="237"/>
      <c r="AH888" s="237"/>
      <c r="AI888" s="308"/>
      <c r="AJ888" s="308"/>
      <c r="AK888" s="308"/>
      <c r="AL888" s="308"/>
      <c r="AM888" s="98"/>
      <c r="AN888" s="98"/>
    </row>
    <row r="889" ht="14.25" customHeight="1">
      <c r="A889" s="179"/>
      <c r="B889" s="98"/>
      <c r="C889" s="98"/>
      <c r="D889" s="98"/>
      <c r="E889" s="98"/>
      <c r="F889" s="235"/>
      <c r="G889" s="235"/>
      <c r="H889" s="236"/>
      <c r="I889" s="236"/>
      <c r="J889" s="236"/>
      <c r="K889" s="236"/>
      <c r="L889" s="236"/>
      <c r="M889" s="236"/>
      <c r="N889" s="236"/>
      <c r="O889" s="236"/>
      <c r="P889" s="236"/>
      <c r="Q889" s="236"/>
      <c r="R889" s="236"/>
      <c r="S889" s="236"/>
      <c r="T889" s="236"/>
      <c r="U889" s="236"/>
      <c r="V889" s="236"/>
      <c r="W889" s="237"/>
      <c r="X889" s="237"/>
      <c r="Y889" s="237"/>
      <c r="Z889" s="237"/>
      <c r="AA889" s="237"/>
      <c r="AB889" s="237"/>
      <c r="AC889" s="237"/>
      <c r="AD889" s="237"/>
      <c r="AE889" s="237"/>
      <c r="AF889" s="237"/>
      <c r="AG889" s="237"/>
      <c r="AH889" s="237"/>
      <c r="AI889" s="308"/>
      <c r="AJ889" s="308"/>
      <c r="AK889" s="308"/>
      <c r="AL889" s="308"/>
      <c r="AM889" s="98"/>
      <c r="AN889" s="98"/>
    </row>
    <row r="890" ht="14.25" customHeight="1">
      <c r="A890" s="179"/>
      <c r="B890" s="98"/>
      <c r="C890" s="98"/>
      <c r="D890" s="98"/>
      <c r="E890" s="98"/>
      <c r="F890" s="235"/>
      <c r="G890" s="235"/>
      <c r="H890" s="236"/>
      <c r="I890" s="236"/>
      <c r="J890" s="236"/>
      <c r="K890" s="236"/>
      <c r="L890" s="236"/>
      <c r="M890" s="236"/>
      <c r="N890" s="236"/>
      <c r="O890" s="236"/>
      <c r="P890" s="236"/>
      <c r="Q890" s="236"/>
      <c r="R890" s="236"/>
      <c r="S890" s="236"/>
      <c r="T890" s="236"/>
      <c r="U890" s="236"/>
      <c r="V890" s="236"/>
      <c r="W890" s="237"/>
      <c r="X890" s="237"/>
      <c r="Y890" s="237"/>
      <c r="Z890" s="237"/>
      <c r="AA890" s="237"/>
      <c r="AB890" s="237"/>
      <c r="AC890" s="237"/>
      <c r="AD890" s="237"/>
      <c r="AE890" s="237"/>
      <c r="AF890" s="237"/>
      <c r="AG890" s="237"/>
      <c r="AH890" s="237"/>
      <c r="AI890" s="308"/>
      <c r="AJ890" s="308"/>
      <c r="AK890" s="308"/>
      <c r="AL890" s="308"/>
      <c r="AM890" s="98"/>
      <c r="AN890" s="98"/>
    </row>
    <row r="891" ht="14.25" customHeight="1">
      <c r="A891" s="179"/>
      <c r="B891" s="98"/>
      <c r="C891" s="98"/>
      <c r="D891" s="98"/>
      <c r="E891" s="98"/>
      <c r="F891" s="235"/>
      <c r="G891" s="235"/>
      <c r="H891" s="236"/>
      <c r="I891" s="236"/>
      <c r="J891" s="236"/>
      <c r="K891" s="236"/>
      <c r="L891" s="236"/>
      <c r="M891" s="236"/>
      <c r="N891" s="236"/>
      <c r="O891" s="236"/>
      <c r="P891" s="236"/>
      <c r="Q891" s="236"/>
      <c r="R891" s="236"/>
      <c r="S891" s="236"/>
      <c r="T891" s="236"/>
      <c r="U891" s="236"/>
      <c r="V891" s="236"/>
      <c r="W891" s="237"/>
      <c r="X891" s="237"/>
      <c r="Y891" s="237"/>
      <c r="Z891" s="237"/>
      <c r="AA891" s="237"/>
      <c r="AB891" s="237"/>
      <c r="AC891" s="237"/>
      <c r="AD891" s="237"/>
      <c r="AE891" s="237"/>
      <c r="AF891" s="237"/>
      <c r="AG891" s="237"/>
      <c r="AH891" s="237"/>
      <c r="AI891" s="308"/>
      <c r="AJ891" s="308"/>
      <c r="AK891" s="308"/>
      <c r="AL891" s="308"/>
      <c r="AM891" s="98"/>
      <c r="AN891" s="98"/>
    </row>
    <row r="892" ht="14.25" customHeight="1">
      <c r="A892" s="179"/>
      <c r="B892" s="98"/>
      <c r="C892" s="98"/>
      <c r="D892" s="98"/>
      <c r="E892" s="98"/>
      <c r="F892" s="235"/>
      <c r="G892" s="235"/>
      <c r="H892" s="236"/>
      <c r="I892" s="236"/>
      <c r="J892" s="236"/>
      <c r="K892" s="236"/>
      <c r="L892" s="236"/>
      <c r="M892" s="236"/>
      <c r="N892" s="236"/>
      <c r="O892" s="236"/>
      <c r="P892" s="236"/>
      <c r="Q892" s="236"/>
      <c r="R892" s="236"/>
      <c r="S892" s="236"/>
      <c r="T892" s="236"/>
      <c r="U892" s="236"/>
      <c r="V892" s="236"/>
      <c r="W892" s="237"/>
      <c r="X892" s="237"/>
      <c r="Y892" s="237"/>
      <c r="Z892" s="237"/>
      <c r="AA892" s="237"/>
      <c r="AB892" s="237"/>
      <c r="AC892" s="237"/>
      <c r="AD892" s="237"/>
      <c r="AE892" s="237"/>
      <c r="AF892" s="237"/>
      <c r="AG892" s="237"/>
      <c r="AH892" s="237"/>
      <c r="AI892" s="308"/>
      <c r="AJ892" s="308"/>
      <c r="AK892" s="308"/>
      <c r="AL892" s="308"/>
      <c r="AM892" s="98"/>
      <c r="AN892" s="98"/>
    </row>
    <row r="893" ht="14.25" customHeight="1">
      <c r="A893" s="179"/>
      <c r="B893" s="98"/>
      <c r="C893" s="98"/>
      <c r="D893" s="98"/>
      <c r="E893" s="98"/>
      <c r="F893" s="235"/>
      <c r="G893" s="235"/>
      <c r="H893" s="236"/>
      <c r="I893" s="236"/>
      <c r="J893" s="236"/>
      <c r="K893" s="236"/>
      <c r="L893" s="236"/>
      <c r="M893" s="236"/>
      <c r="N893" s="236"/>
      <c r="O893" s="236"/>
      <c r="P893" s="236"/>
      <c r="Q893" s="236"/>
      <c r="R893" s="236"/>
      <c r="S893" s="236"/>
      <c r="T893" s="236"/>
      <c r="U893" s="236"/>
      <c r="V893" s="236"/>
      <c r="W893" s="237"/>
      <c r="X893" s="237"/>
      <c r="Y893" s="237"/>
      <c r="Z893" s="237"/>
      <c r="AA893" s="237"/>
      <c r="AB893" s="237"/>
      <c r="AC893" s="237"/>
      <c r="AD893" s="237"/>
      <c r="AE893" s="237"/>
      <c r="AF893" s="237"/>
      <c r="AG893" s="237"/>
      <c r="AH893" s="237"/>
      <c r="AI893" s="308"/>
      <c r="AJ893" s="308"/>
      <c r="AK893" s="308"/>
      <c r="AL893" s="308"/>
      <c r="AM893" s="98"/>
      <c r="AN893" s="98"/>
    </row>
    <row r="894" ht="14.25" customHeight="1">
      <c r="A894" s="179"/>
      <c r="B894" s="98"/>
      <c r="C894" s="98"/>
      <c r="D894" s="98"/>
      <c r="E894" s="98"/>
      <c r="F894" s="235"/>
      <c r="G894" s="235"/>
      <c r="H894" s="236"/>
      <c r="I894" s="236"/>
      <c r="J894" s="236"/>
      <c r="K894" s="236"/>
      <c r="L894" s="236"/>
      <c r="M894" s="236"/>
      <c r="N894" s="236"/>
      <c r="O894" s="236"/>
      <c r="P894" s="236"/>
      <c r="Q894" s="236"/>
      <c r="R894" s="236"/>
      <c r="S894" s="236"/>
      <c r="T894" s="236"/>
      <c r="U894" s="236"/>
      <c r="V894" s="236"/>
      <c r="W894" s="237"/>
      <c r="X894" s="237"/>
      <c r="Y894" s="237"/>
      <c r="Z894" s="237"/>
      <c r="AA894" s="237"/>
      <c r="AB894" s="237"/>
      <c r="AC894" s="237"/>
      <c r="AD894" s="237"/>
      <c r="AE894" s="237"/>
      <c r="AF894" s="237"/>
      <c r="AG894" s="237"/>
      <c r="AH894" s="237"/>
      <c r="AI894" s="308"/>
      <c r="AJ894" s="308"/>
      <c r="AK894" s="308"/>
      <c r="AL894" s="308"/>
      <c r="AM894" s="98"/>
      <c r="AN894" s="98"/>
    </row>
    <row r="895" ht="14.25" customHeight="1">
      <c r="A895" s="179"/>
      <c r="B895" s="98"/>
      <c r="C895" s="98"/>
      <c r="D895" s="98"/>
      <c r="E895" s="98"/>
      <c r="F895" s="235"/>
      <c r="G895" s="235"/>
      <c r="H895" s="236"/>
      <c r="I895" s="236"/>
      <c r="J895" s="236"/>
      <c r="K895" s="236"/>
      <c r="L895" s="236"/>
      <c r="M895" s="236"/>
      <c r="N895" s="236"/>
      <c r="O895" s="236"/>
      <c r="P895" s="236"/>
      <c r="Q895" s="236"/>
      <c r="R895" s="236"/>
      <c r="S895" s="236"/>
      <c r="T895" s="236"/>
      <c r="U895" s="236"/>
      <c r="V895" s="236"/>
      <c r="W895" s="237"/>
      <c r="X895" s="237"/>
      <c r="Y895" s="237"/>
      <c r="Z895" s="237"/>
      <c r="AA895" s="237"/>
      <c r="AB895" s="237"/>
      <c r="AC895" s="237"/>
      <c r="AD895" s="237"/>
      <c r="AE895" s="237"/>
      <c r="AF895" s="237"/>
      <c r="AG895" s="237"/>
      <c r="AH895" s="237"/>
      <c r="AI895" s="308"/>
      <c r="AJ895" s="308"/>
      <c r="AK895" s="308"/>
      <c r="AL895" s="308"/>
      <c r="AM895" s="98"/>
      <c r="AN895" s="98"/>
    </row>
    <row r="896" ht="14.25" customHeight="1">
      <c r="A896" s="179"/>
      <c r="B896" s="98"/>
      <c r="C896" s="98"/>
      <c r="D896" s="98"/>
      <c r="E896" s="98"/>
      <c r="F896" s="235"/>
      <c r="G896" s="235"/>
      <c r="H896" s="236"/>
      <c r="I896" s="236"/>
      <c r="J896" s="236"/>
      <c r="K896" s="236"/>
      <c r="L896" s="236"/>
      <c r="M896" s="236"/>
      <c r="N896" s="236"/>
      <c r="O896" s="236"/>
      <c r="P896" s="236"/>
      <c r="Q896" s="236"/>
      <c r="R896" s="236"/>
      <c r="S896" s="236"/>
      <c r="T896" s="236"/>
      <c r="U896" s="236"/>
      <c r="V896" s="236"/>
      <c r="W896" s="237"/>
      <c r="X896" s="237"/>
      <c r="Y896" s="237"/>
      <c r="Z896" s="237"/>
      <c r="AA896" s="237"/>
      <c r="AB896" s="237"/>
      <c r="AC896" s="237"/>
      <c r="AD896" s="237"/>
      <c r="AE896" s="237"/>
      <c r="AF896" s="237"/>
      <c r="AG896" s="237"/>
      <c r="AH896" s="237"/>
      <c r="AI896" s="308"/>
      <c r="AJ896" s="308"/>
      <c r="AK896" s="308"/>
      <c r="AL896" s="308"/>
      <c r="AM896" s="98"/>
      <c r="AN896" s="98"/>
    </row>
    <row r="897" ht="14.25" customHeight="1">
      <c r="A897" s="179"/>
      <c r="B897" s="98"/>
      <c r="C897" s="98"/>
      <c r="D897" s="98"/>
      <c r="E897" s="98"/>
      <c r="F897" s="235"/>
      <c r="G897" s="235"/>
      <c r="H897" s="236"/>
      <c r="I897" s="236"/>
      <c r="J897" s="236"/>
      <c r="K897" s="236"/>
      <c r="L897" s="236"/>
      <c r="M897" s="236"/>
      <c r="N897" s="236"/>
      <c r="O897" s="236"/>
      <c r="P897" s="236"/>
      <c r="Q897" s="236"/>
      <c r="R897" s="236"/>
      <c r="S897" s="236"/>
      <c r="T897" s="236"/>
      <c r="U897" s="236"/>
      <c r="V897" s="236"/>
      <c r="W897" s="237"/>
      <c r="X897" s="237"/>
      <c r="Y897" s="237"/>
      <c r="Z897" s="237"/>
      <c r="AA897" s="237"/>
      <c r="AB897" s="237"/>
      <c r="AC897" s="237"/>
      <c r="AD897" s="237"/>
      <c r="AE897" s="237"/>
      <c r="AF897" s="237"/>
      <c r="AG897" s="237"/>
      <c r="AH897" s="237"/>
      <c r="AI897" s="308"/>
      <c r="AJ897" s="308"/>
      <c r="AK897" s="308"/>
      <c r="AL897" s="308"/>
      <c r="AM897" s="98"/>
      <c r="AN897" s="98"/>
    </row>
    <row r="898" ht="14.25" customHeight="1">
      <c r="A898" s="179"/>
      <c r="B898" s="98"/>
      <c r="C898" s="98"/>
      <c r="D898" s="98"/>
      <c r="E898" s="98"/>
      <c r="F898" s="235"/>
      <c r="G898" s="235"/>
      <c r="H898" s="236"/>
      <c r="I898" s="236"/>
      <c r="J898" s="236"/>
      <c r="K898" s="236"/>
      <c r="L898" s="236"/>
      <c r="M898" s="236"/>
      <c r="N898" s="236"/>
      <c r="O898" s="236"/>
      <c r="P898" s="236"/>
      <c r="Q898" s="236"/>
      <c r="R898" s="236"/>
      <c r="S898" s="236"/>
      <c r="T898" s="236"/>
      <c r="U898" s="236"/>
      <c r="V898" s="236"/>
      <c r="W898" s="237"/>
      <c r="X898" s="237"/>
      <c r="Y898" s="237"/>
      <c r="Z898" s="237"/>
      <c r="AA898" s="237"/>
      <c r="AB898" s="237"/>
      <c r="AC898" s="237"/>
      <c r="AD898" s="237"/>
      <c r="AE898" s="237"/>
      <c r="AF898" s="237"/>
      <c r="AG898" s="237"/>
      <c r="AH898" s="237"/>
      <c r="AI898" s="308"/>
      <c r="AJ898" s="308"/>
      <c r="AK898" s="308"/>
      <c r="AL898" s="308"/>
      <c r="AM898" s="98"/>
      <c r="AN898" s="98"/>
    </row>
    <row r="899" ht="14.25" customHeight="1">
      <c r="A899" s="179"/>
      <c r="B899" s="98"/>
      <c r="C899" s="98"/>
      <c r="D899" s="98"/>
      <c r="E899" s="98"/>
      <c r="F899" s="235"/>
      <c r="G899" s="235"/>
      <c r="H899" s="236"/>
      <c r="I899" s="236"/>
      <c r="J899" s="236"/>
      <c r="K899" s="236"/>
      <c r="L899" s="236"/>
      <c r="M899" s="236"/>
      <c r="N899" s="236"/>
      <c r="O899" s="236"/>
      <c r="P899" s="236"/>
      <c r="Q899" s="236"/>
      <c r="R899" s="236"/>
      <c r="S899" s="236"/>
      <c r="T899" s="236"/>
      <c r="U899" s="236"/>
      <c r="V899" s="236"/>
      <c r="W899" s="237"/>
      <c r="X899" s="237"/>
      <c r="Y899" s="237"/>
      <c r="Z899" s="237"/>
      <c r="AA899" s="237"/>
      <c r="AB899" s="237"/>
      <c r="AC899" s="237"/>
      <c r="AD899" s="237"/>
      <c r="AE899" s="237"/>
      <c r="AF899" s="237"/>
      <c r="AG899" s="237"/>
      <c r="AH899" s="237"/>
      <c r="AI899" s="308"/>
      <c r="AJ899" s="308"/>
      <c r="AK899" s="308"/>
      <c r="AL899" s="308"/>
      <c r="AM899" s="98"/>
      <c r="AN899" s="98"/>
    </row>
    <row r="900" ht="14.25" customHeight="1">
      <c r="A900" s="179"/>
      <c r="B900" s="98"/>
      <c r="C900" s="98"/>
      <c r="D900" s="98"/>
      <c r="E900" s="98"/>
      <c r="F900" s="235"/>
      <c r="G900" s="235"/>
      <c r="H900" s="236"/>
      <c r="I900" s="236"/>
      <c r="J900" s="236"/>
      <c r="K900" s="236"/>
      <c r="L900" s="236"/>
      <c r="M900" s="236"/>
      <c r="N900" s="236"/>
      <c r="O900" s="236"/>
      <c r="P900" s="236"/>
      <c r="Q900" s="236"/>
      <c r="R900" s="236"/>
      <c r="S900" s="236"/>
      <c r="T900" s="236"/>
      <c r="U900" s="236"/>
      <c r="V900" s="236"/>
      <c r="W900" s="237"/>
      <c r="X900" s="237"/>
      <c r="Y900" s="237"/>
      <c r="Z900" s="237"/>
      <c r="AA900" s="237"/>
      <c r="AB900" s="237"/>
      <c r="AC900" s="237"/>
      <c r="AD900" s="237"/>
      <c r="AE900" s="237"/>
      <c r="AF900" s="237"/>
      <c r="AG900" s="237"/>
      <c r="AH900" s="237"/>
      <c r="AI900" s="308"/>
      <c r="AJ900" s="308"/>
      <c r="AK900" s="308"/>
      <c r="AL900" s="308"/>
      <c r="AM900" s="98"/>
      <c r="AN900" s="98"/>
    </row>
    <row r="901" ht="14.25" customHeight="1">
      <c r="A901" s="179"/>
      <c r="B901" s="98"/>
      <c r="C901" s="98"/>
      <c r="D901" s="98"/>
      <c r="E901" s="98"/>
      <c r="F901" s="235"/>
      <c r="G901" s="235"/>
      <c r="H901" s="236"/>
      <c r="I901" s="236"/>
      <c r="J901" s="236"/>
      <c r="K901" s="236"/>
      <c r="L901" s="236"/>
      <c r="M901" s="236"/>
      <c r="N901" s="236"/>
      <c r="O901" s="236"/>
      <c r="P901" s="236"/>
      <c r="Q901" s="236"/>
      <c r="R901" s="236"/>
      <c r="S901" s="236"/>
      <c r="T901" s="236"/>
      <c r="U901" s="236"/>
      <c r="V901" s="236"/>
      <c r="W901" s="237"/>
      <c r="X901" s="237"/>
      <c r="Y901" s="237"/>
      <c r="Z901" s="237"/>
      <c r="AA901" s="237"/>
      <c r="AB901" s="237"/>
      <c r="AC901" s="237"/>
      <c r="AD901" s="237"/>
      <c r="AE901" s="237"/>
      <c r="AF901" s="237"/>
      <c r="AG901" s="237"/>
      <c r="AH901" s="237"/>
      <c r="AI901" s="308"/>
      <c r="AJ901" s="308"/>
      <c r="AK901" s="308"/>
      <c r="AL901" s="308"/>
      <c r="AM901" s="98"/>
      <c r="AN901" s="98"/>
    </row>
    <row r="902" ht="14.25" customHeight="1">
      <c r="A902" s="179"/>
      <c r="B902" s="98"/>
      <c r="C902" s="98"/>
      <c r="D902" s="98"/>
      <c r="E902" s="98"/>
      <c r="F902" s="235"/>
      <c r="G902" s="235"/>
      <c r="H902" s="236"/>
      <c r="I902" s="236"/>
      <c r="J902" s="236"/>
      <c r="K902" s="236"/>
      <c r="L902" s="236"/>
      <c r="M902" s="236"/>
      <c r="N902" s="236"/>
      <c r="O902" s="236"/>
      <c r="P902" s="236"/>
      <c r="Q902" s="236"/>
      <c r="R902" s="236"/>
      <c r="S902" s="236"/>
      <c r="T902" s="236"/>
      <c r="U902" s="236"/>
      <c r="V902" s="236"/>
      <c r="W902" s="237"/>
      <c r="X902" s="237"/>
      <c r="Y902" s="237"/>
      <c r="Z902" s="237"/>
      <c r="AA902" s="237"/>
      <c r="AB902" s="237"/>
      <c r="AC902" s="237"/>
      <c r="AD902" s="237"/>
      <c r="AE902" s="237"/>
      <c r="AF902" s="237"/>
      <c r="AG902" s="237"/>
      <c r="AH902" s="237"/>
      <c r="AI902" s="308"/>
      <c r="AJ902" s="308"/>
      <c r="AK902" s="308"/>
      <c r="AL902" s="308"/>
      <c r="AM902" s="98"/>
      <c r="AN902" s="98"/>
    </row>
    <row r="903" ht="14.25" customHeight="1">
      <c r="A903" s="179"/>
      <c r="B903" s="98"/>
      <c r="C903" s="98"/>
      <c r="D903" s="98"/>
      <c r="E903" s="98"/>
      <c r="F903" s="235"/>
      <c r="G903" s="235"/>
      <c r="H903" s="236"/>
      <c r="I903" s="236"/>
      <c r="J903" s="236"/>
      <c r="K903" s="236"/>
      <c r="L903" s="236"/>
      <c r="M903" s="236"/>
      <c r="N903" s="236"/>
      <c r="O903" s="236"/>
      <c r="P903" s="236"/>
      <c r="Q903" s="236"/>
      <c r="R903" s="236"/>
      <c r="S903" s="236"/>
      <c r="T903" s="236"/>
      <c r="U903" s="236"/>
      <c r="V903" s="236"/>
      <c r="W903" s="237"/>
      <c r="X903" s="237"/>
      <c r="Y903" s="237"/>
      <c r="Z903" s="237"/>
      <c r="AA903" s="237"/>
      <c r="AB903" s="237"/>
      <c r="AC903" s="237"/>
      <c r="AD903" s="237"/>
      <c r="AE903" s="237"/>
      <c r="AF903" s="237"/>
      <c r="AG903" s="237"/>
      <c r="AH903" s="237"/>
      <c r="AI903" s="308"/>
      <c r="AJ903" s="308"/>
      <c r="AK903" s="308"/>
      <c r="AL903" s="308"/>
      <c r="AM903" s="98"/>
      <c r="AN903" s="98"/>
    </row>
    <row r="904" ht="14.25" customHeight="1">
      <c r="A904" s="179"/>
      <c r="B904" s="98"/>
      <c r="C904" s="98"/>
      <c r="D904" s="98"/>
      <c r="E904" s="98"/>
      <c r="F904" s="235"/>
      <c r="G904" s="235"/>
      <c r="H904" s="236"/>
      <c r="I904" s="236"/>
      <c r="J904" s="236"/>
      <c r="K904" s="236"/>
      <c r="L904" s="236"/>
      <c r="M904" s="236"/>
      <c r="N904" s="236"/>
      <c r="O904" s="236"/>
      <c r="P904" s="236"/>
      <c r="Q904" s="236"/>
      <c r="R904" s="236"/>
      <c r="S904" s="236"/>
      <c r="T904" s="236"/>
      <c r="U904" s="236"/>
      <c r="V904" s="236"/>
      <c r="W904" s="237"/>
      <c r="X904" s="237"/>
      <c r="Y904" s="237"/>
      <c r="Z904" s="237"/>
      <c r="AA904" s="237"/>
      <c r="AB904" s="237"/>
      <c r="AC904" s="237"/>
      <c r="AD904" s="237"/>
      <c r="AE904" s="237"/>
      <c r="AF904" s="237"/>
      <c r="AG904" s="237"/>
      <c r="AH904" s="237"/>
      <c r="AI904" s="308"/>
      <c r="AJ904" s="308"/>
      <c r="AK904" s="308"/>
      <c r="AL904" s="308"/>
      <c r="AM904" s="98"/>
      <c r="AN904" s="98"/>
    </row>
    <row r="905" ht="14.25" customHeight="1">
      <c r="A905" s="179"/>
      <c r="B905" s="98"/>
      <c r="C905" s="98"/>
      <c r="D905" s="98"/>
      <c r="E905" s="98"/>
      <c r="F905" s="235"/>
      <c r="G905" s="235"/>
      <c r="H905" s="236"/>
      <c r="I905" s="236"/>
      <c r="J905" s="236"/>
      <c r="K905" s="236"/>
      <c r="L905" s="236"/>
      <c r="M905" s="236"/>
      <c r="N905" s="236"/>
      <c r="O905" s="236"/>
      <c r="P905" s="236"/>
      <c r="Q905" s="236"/>
      <c r="R905" s="236"/>
      <c r="S905" s="236"/>
      <c r="T905" s="236"/>
      <c r="U905" s="236"/>
      <c r="V905" s="236"/>
      <c r="W905" s="237"/>
      <c r="X905" s="237"/>
      <c r="Y905" s="237"/>
      <c r="Z905" s="237"/>
      <c r="AA905" s="237"/>
      <c r="AB905" s="237"/>
      <c r="AC905" s="237"/>
      <c r="AD905" s="237"/>
      <c r="AE905" s="237"/>
      <c r="AF905" s="237"/>
      <c r="AG905" s="237"/>
      <c r="AH905" s="237"/>
      <c r="AI905" s="308"/>
      <c r="AJ905" s="308"/>
      <c r="AK905" s="308"/>
      <c r="AL905" s="308"/>
      <c r="AM905" s="98"/>
      <c r="AN905" s="98"/>
    </row>
    <row r="906" ht="14.25" customHeight="1">
      <c r="A906" s="179"/>
      <c r="B906" s="98"/>
      <c r="C906" s="98"/>
      <c r="D906" s="98"/>
      <c r="E906" s="98"/>
      <c r="F906" s="235"/>
      <c r="G906" s="235"/>
      <c r="H906" s="236"/>
      <c r="I906" s="236"/>
      <c r="J906" s="236"/>
      <c r="K906" s="236"/>
      <c r="L906" s="236"/>
      <c r="M906" s="236"/>
      <c r="N906" s="236"/>
      <c r="O906" s="236"/>
      <c r="P906" s="236"/>
      <c r="Q906" s="236"/>
      <c r="R906" s="236"/>
      <c r="S906" s="236"/>
      <c r="T906" s="236"/>
      <c r="U906" s="236"/>
      <c r="V906" s="236"/>
      <c r="W906" s="237"/>
      <c r="X906" s="237"/>
      <c r="Y906" s="237"/>
      <c r="Z906" s="237"/>
      <c r="AA906" s="237"/>
      <c r="AB906" s="237"/>
      <c r="AC906" s="237"/>
      <c r="AD906" s="237"/>
      <c r="AE906" s="237"/>
      <c r="AF906" s="237"/>
      <c r="AG906" s="237"/>
      <c r="AH906" s="237"/>
      <c r="AI906" s="308"/>
      <c r="AJ906" s="308"/>
      <c r="AK906" s="308"/>
      <c r="AL906" s="308"/>
      <c r="AM906" s="98"/>
      <c r="AN906" s="98"/>
    </row>
    <row r="907" ht="14.25" customHeight="1">
      <c r="A907" s="179"/>
      <c r="B907" s="98"/>
      <c r="C907" s="98"/>
      <c r="D907" s="98"/>
      <c r="E907" s="98"/>
      <c r="F907" s="235"/>
      <c r="G907" s="235"/>
      <c r="H907" s="236"/>
      <c r="I907" s="236"/>
      <c r="J907" s="236"/>
      <c r="K907" s="236"/>
      <c r="L907" s="236"/>
      <c r="M907" s="236"/>
      <c r="N907" s="236"/>
      <c r="O907" s="236"/>
      <c r="P907" s="236"/>
      <c r="Q907" s="236"/>
      <c r="R907" s="236"/>
      <c r="S907" s="236"/>
      <c r="T907" s="236"/>
      <c r="U907" s="236"/>
      <c r="V907" s="236"/>
      <c r="W907" s="237"/>
      <c r="X907" s="237"/>
      <c r="Y907" s="237"/>
      <c r="Z907" s="237"/>
      <c r="AA907" s="237"/>
      <c r="AB907" s="237"/>
      <c r="AC907" s="237"/>
      <c r="AD907" s="237"/>
      <c r="AE907" s="237"/>
      <c r="AF907" s="237"/>
      <c r="AG907" s="237"/>
      <c r="AH907" s="237"/>
      <c r="AI907" s="308"/>
      <c r="AJ907" s="308"/>
      <c r="AK907" s="308"/>
      <c r="AL907" s="308"/>
      <c r="AM907" s="98"/>
      <c r="AN907" s="98"/>
    </row>
    <row r="908" ht="14.25" customHeight="1">
      <c r="A908" s="179"/>
      <c r="B908" s="98"/>
      <c r="C908" s="98"/>
      <c r="D908" s="98"/>
      <c r="E908" s="98"/>
      <c r="F908" s="235"/>
      <c r="G908" s="235"/>
      <c r="H908" s="236"/>
      <c r="I908" s="236"/>
      <c r="J908" s="236"/>
      <c r="K908" s="236"/>
      <c r="L908" s="236"/>
      <c r="M908" s="236"/>
      <c r="N908" s="236"/>
      <c r="O908" s="236"/>
      <c r="P908" s="236"/>
      <c r="Q908" s="236"/>
      <c r="R908" s="236"/>
      <c r="S908" s="236"/>
      <c r="T908" s="236"/>
      <c r="U908" s="236"/>
      <c r="V908" s="236"/>
      <c r="W908" s="237"/>
      <c r="X908" s="237"/>
      <c r="Y908" s="237"/>
      <c r="Z908" s="237"/>
      <c r="AA908" s="237"/>
      <c r="AB908" s="237"/>
      <c r="AC908" s="237"/>
      <c r="AD908" s="237"/>
      <c r="AE908" s="237"/>
      <c r="AF908" s="237"/>
      <c r="AG908" s="237"/>
      <c r="AH908" s="237"/>
      <c r="AI908" s="308"/>
      <c r="AJ908" s="308"/>
      <c r="AK908" s="308"/>
      <c r="AL908" s="308"/>
      <c r="AM908" s="98"/>
      <c r="AN908" s="98"/>
    </row>
    <row r="909" ht="14.25" customHeight="1">
      <c r="A909" s="179"/>
      <c r="B909" s="98"/>
      <c r="C909" s="98"/>
      <c r="D909" s="98"/>
      <c r="E909" s="98"/>
      <c r="F909" s="235"/>
      <c r="G909" s="235"/>
      <c r="H909" s="236"/>
      <c r="I909" s="236"/>
      <c r="J909" s="236"/>
      <c r="K909" s="236"/>
      <c r="L909" s="236"/>
      <c r="M909" s="236"/>
      <c r="N909" s="236"/>
      <c r="O909" s="236"/>
      <c r="P909" s="236"/>
      <c r="Q909" s="236"/>
      <c r="R909" s="236"/>
      <c r="S909" s="236"/>
      <c r="T909" s="236"/>
      <c r="U909" s="236"/>
      <c r="V909" s="236"/>
      <c r="W909" s="237"/>
      <c r="X909" s="237"/>
      <c r="Y909" s="237"/>
      <c r="Z909" s="237"/>
      <c r="AA909" s="237"/>
      <c r="AB909" s="237"/>
      <c r="AC909" s="237"/>
      <c r="AD909" s="237"/>
      <c r="AE909" s="237"/>
      <c r="AF909" s="237"/>
      <c r="AG909" s="237"/>
      <c r="AH909" s="237"/>
      <c r="AI909" s="308"/>
      <c r="AJ909" s="308"/>
      <c r="AK909" s="308"/>
      <c r="AL909" s="308"/>
      <c r="AM909" s="98"/>
      <c r="AN909" s="98"/>
    </row>
    <row r="910" ht="14.25" customHeight="1">
      <c r="A910" s="179"/>
      <c r="B910" s="98"/>
      <c r="C910" s="98"/>
      <c r="D910" s="98"/>
      <c r="E910" s="98"/>
      <c r="F910" s="235"/>
      <c r="G910" s="235"/>
      <c r="H910" s="236"/>
      <c r="I910" s="236"/>
      <c r="J910" s="236"/>
      <c r="K910" s="236"/>
      <c r="L910" s="236"/>
      <c r="M910" s="236"/>
      <c r="N910" s="236"/>
      <c r="O910" s="236"/>
      <c r="P910" s="236"/>
      <c r="Q910" s="236"/>
      <c r="R910" s="236"/>
      <c r="S910" s="236"/>
      <c r="T910" s="236"/>
      <c r="U910" s="236"/>
      <c r="V910" s="236"/>
      <c r="W910" s="237"/>
      <c r="X910" s="237"/>
      <c r="Y910" s="237"/>
      <c r="Z910" s="237"/>
      <c r="AA910" s="237"/>
      <c r="AB910" s="237"/>
      <c r="AC910" s="237"/>
      <c r="AD910" s="237"/>
      <c r="AE910" s="237"/>
      <c r="AF910" s="237"/>
      <c r="AG910" s="237"/>
      <c r="AH910" s="237"/>
      <c r="AI910" s="308"/>
      <c r="AJ910" s="308"/>
      <c r="AK910" s="308"/>
      <c r="AL910" s="308"/>
      <c r="AM910" s="98"/>
      <c r="AN910" s="98"/>
    </row>
    <row r="911" ht="14.25" customHeight="1">
      <c r="A911" s="179"/>
      <c r="B911" s="98"/>
      <c r="C911" s="98"/>
      <c r="D911" s="98"/>
      <c r="E911" s="98"/>
      <c r="F911" s="235"/>
      <c r="G911" s="235"/>
      <c r="H911" s="236"/>
      <c r="I911" s="236"/>
      <c r="J911" s="236"/>
      <c r="K911" s="236"/>
      <c r="L911" s="236"/>
      <c r="M911" s="236"/>
      <c r="N911" s="236"/>
      <c r="O911" s="236"/>
      <c r="P911" s="236"/>
      <c r="Q911" s="236"/>
      <c r="R911" s="236"/>
      <c r="S911" s="236"/>
      <c r="T911" s="236"/>
      <c r="U911" s="236"/>
      <c r="V911" s="236"/>
      <c r="W911" s="237"/>
      <c r="X911" s="237"/>
      <c r="Y911" s="237"/>
      <c r="Z911" s="237"/>
      <c r="AA911" s="237"/>
      <c r="AB911" s="237"/>
      <c r="AC911" s="237"/>
      <c r="AD911" s="237"/>
      <c r="AE911" s="237"/>
      <c r="AF911" s="237"/>
      <c r="AG911" s="237"/>
      <c r="AH911" s="237"/>
      <c r="AI911" s="308"/>
      <c r="AJ911" s="308"/>
      <c r="AK911" s="308"/>
      <c r="AL911" s="308"/>
      <c r="AM911" s="98"/>
      <c r="AN911" s="98"/>
    </row>
    <row r="912" ht="14.25" customHeight="1">
      <c r="A912" s="179"/>
      <c r="B912" s="98"/>
      <c r="C912" s="98"/>
      <c r="D912" s="98"/>
      <c r="E912" s="98"/>
      <c r="F912" s="235"/>
      <c r="G912" s="235"/>
      <c r="H912" s="236"/>
      <c r="I912" s="236"/>
      <c r="J912" s="236"/>
      <c r="K912" s="236"/>
      <c r="L912" s="236"/>
      <c r="M912" s="236"/>
      <c r="N912" s="236"/>
      <c r="O912" s="236"/>
      <c r="P912" s="236"/>
      <c r="Q912" s="236"/>
      <c r="R912" s="236"/>
      <c r="S912" s="236"/>
      <c r="T912" s="236"/>
      <c r="U912" s="236"/>
      <c r="V912" s="236"/>
      <c r="W912" s="237"/>
      <c r="X912" s="237"/>
      <c r="Y912" s="237"/>
      <c r="Z912" s="237"/>
      <c r="AA912" s="237"/>
      <c r="AB912" s="237"/>
      <c r="AC912" s="237"/>
      <c r="AD912" s="237"/>
      <c r="AE912" s="237"/>
      <c r="AF912" s="237"/>
      <c r="AG912" s="237"/>
      <c r="AH912" s="237"/>
      <c r="AI912" s="308"/>
      <c r="AJ912" s="308"/>
      <c r="AK912" s="308"/>
      <c r="AL912" s="308"/>
      <c r="AM912" s="98"/>
      <c r="AN912" s="98"/>
    </row>
    <row r="913" ht="14.25" customHeight="1">
      <c r="A913" s="179"/>
      <c r="B913" s="98"/>
      <c r="C913" s="98"/>
      <c r="D913" s="98"/>
      <c r="E913" s="98"/>
      <c r="F913" s="235"/>
      <c r="G913" s="235"/>
      <c r="H913" s="236"/>
      <c r="I913" s="236"/>
      <c r="J913" s="236"/>
      <c r="K913" s="236"/>
      <c r="L913" s="236"/>
      <c r="M913" s="236"/>
      <c r="N913" s="236"/>
      <c r="O913" s="236"/>
      <c r="P913" s="236"/>
      <c r="Q913" s="236"/>
      <c r="R913" s="236"/>
      <c r="S913" s="236"/>
      <c r="T913" s="236"/>
      <c r="U913" s="236"/>
      <c r="V913" s="236"/>
      <c r="W913" s="237"/>
      <c r="X913" s="237"/>
      <c r="Y913" s="237"/>
      <c r="Z913" s="237"/>
      <c r="AA913" s="237"/>
      <c r="AB913" s="237"/>
      <c r="AC913" s="237"/>
      <c r="AD913" s="237"/>
      <c r="AE913" s="237"/>
      <c r="AF913" s="237"/>
      <c r="AG913" s="237"/>
      <c r="AH913" s="237"/>
      <c r="AI913" s="308"/>
      <c r="AJ913" s="308"/>
      <c r="AK913" s="308"/>
      <c r="AL913" s="308"/>
      <c r="AM913" s="98"/>
      <c r="AN913" s="98"/>
    </row>
    <row r="914" ht="14.25" customHeight="1">
      <c r="A914" s="179"/>
      <c r="B914" s="98"/>
      <c r="C914" s="98"/>
      <c r="D914" s="98"/>
      <c r="E914" s="98"/>
      <c r="F914" s="235"/>
      <c r="G914" s="235"/>
      <c r="H914" s="236"/>
      <c r="I914" s="236"/>
      <c r="J914" s="236"/>
      <c r="K914" s="236"/>
      <c r="L914" s="236"/>
      <c r="M914" s="236"/>
      <c r="N914" s="236"/>
      <c r="O914" s="236"/>
      <c r="P914" s="236"/>
      <c r="Q914" s="236"/>
      <c r="R914" s="236"/>
      <c r="S914" s="236"/>
      <c r="T914" s="236"/>
      <c r="U914" s="236"/>
      <c r="V914" s="236"/>
      <c r="W914" s="237"/>
      <c r="X914" s="237"/>
      <c r="Y914" s="237"/>
      <c r="Z914" s="237"/>
      <c r="AA914" s="237"/>
      <c r="AB914" s="237"/>
      <c r="AC914" s="237"/>
      <c r="AD914" s="237"/>
      <c r="AE914" s="237"/>
      <c r="AF914" s="237"/>
      <c r="AG914" s="237"/>
      <c r="AH914" s="237"/>
      <c r="AI914" s="308"/>
      <c r="AJ914" s="308"/>
      <c r="AK914" s="308"/>
      <c r="AL914" s="308"/>
      <c r="AM914" s="98"/>
      <c r="AN914" s="98"/>
    </row>
    <row r="915" ht="14.25" customHeight="1">
      <c r="A915" s="179"/>
      <c r="B915" s="98"/>
      <c r="C915" s="98"/>
      <c r="D915" s="98"/>
      <c r="E915" s="98"/>
      <c r="F915" s="235"/>
      <c r="G915" s="235"/>
      <c r="H915" s="236"/>
      <c r="I915" s="236"/>
      <c r="J915" s="236"/>
      <c r="K915" s="236"/>
      <c r="L915" s="236"/>
      <c r="M915" s="236"/>
      <c r="N915" s="236"/>
      <c r="O915" s="236"/>
      <c r="P915" s="236"/>
      <c r="Q915" s="236"/>
      <c r="R915" s="236"/>
      <c r="S915" s="236"/>
      <c r="T915" s="236"/>
      <c r="U915" s="236"/>
      <c r="V915" s="236"/>
      <c r="W915" s="237"/>
      <c r="X915" s="237"/>
      <c r="Y915" s="237"/>
      <c r="Z915" s="237"/>
      <c r="AA915" s="237"/>
      <c r="AB915" s="237"/>
      <c r="AC915" s="237"/>
      <c r="AD915" s="237"/>
      <c r="AE915" s="237"/>
      <c r="AF915" s="237"/>
      <c r="AG915" s="237"/>
      <c r="AH915" s="237"/>
      <c r="AI915" s="308"/>
      <c r="AJ915" s="308"/>
      <c r="AK915" s="308"/>
      <c r="AL915" s="308"/>
      <c r="AM915" s="98"/>
      <c r="AN915" s="98"/>
    </row>
    <row r="916" ht="14.25" customHeight="1">
      <c r="A916" s="179"/>
      <c r="B916" s="98"/>
      <c r="C916" s="98"/>
      <c r="D916" s="98"/>
      <c r="E916" s="98"/>
      <c r="F916" s="235"/>
      <c r="G916" s="235"/>
      <c r="H916" s="236"/>
      <c r="I916" s="236"/>
      <c r="J916" s="236"/>
      <c r="K916" s="236"/>
      <c r="L916" s="236"/>
      <c r="M916" s="236"/>
      <c r="N916" s="236"/>
      <c r="O916" s="236"/>
      <c r="P916" s="236"/>
      <c r="Q916" s="236"/>
      <c r="R916" s="236"/>
      <c r="S916" s="236"/>
      <c r="T916" s="236"/>
      <c r="U916" s="236"/>
      <c r="V916" s="236"/>
      <c r="W916" s="237"/>
      <c r="X916" s="237"/>
      <c r="Y916" s="237"/>
      <c r="Z916" s="237"/>
      <c r="AA916" s="237"/>
      <c r="AB916" s="237"/>
      <c r="AC916" s="237"/>
      <c r="AD916" s="237"/>
      <c r="AE916" s="237"/>
      <c r="AF916" s="237"/>
      <c r="AG916" s="237"/>
      <c r="AH916" s="237"/>
      <c r="AI916" s="308"/>
      <c r="AJ916" s="308"/>
      <c r="AK916" s="308"/>
      <c r="AL916" s="308"/>
      <c r="AM916" s="98"/>
      <c r="AN916" s="98"/>
    </row>
    <row r="917" ht="14.25" customHeight="1">
      <c r="A917" s="179"/>
      <c r="B917" s="98"/>
      <c r="C917" s="98"/>
      <c r="D917" s="98"/>
      <c r="E917" s="98"/>
      <c r="F917" s="235"/>
      <c r="G917" s="235"/>
      <c r="H917" s="236"/>
      <c r="I917" s="236"/>
      <c r="J917" s="236"/>
      <c r="K917" s="236"/>
      <c r="L917" s="236"/>
      <c r="M917" s="236"/>
      <c r="N917" s="236"/>
      <c r="O917" s="236"/>
      <c r="P917" s="236"/>
      <c r="Q917" s="236"/>
      <c r="R917" s="236"/>
      <c r="S917" s="236"/>
      <c r="T917" s="236"/>
      <c r="U917" s="236"/>
      <c r="V917" s="236"/>
      <c r="W917" s="237"/>
      <c r="X917" s="237"/>
      <c r="Y917" s="237"/>
      <c r="Z917" s="237"/>
      <c r="AA917" s="237"/>
      <c r="AB917" s="237"/>
      <c r="AC917" s="237"/>
      <c r="AD917" s="237"/>
      <c r="AE917" s="237"/>
      <c r="AF917" s="237"/>
      <c r="AG917" s="237"/>
      <c r="AH917" s="237"/>
      <c r="AI917" s="308"/>
      <c r="AJ917" s="308"/>
      <c r="AK917" s="308"/>
      <c r="AL917" s="308"/>
      <c r="AM917" s="98"/>
      <c r="AN917" s="98"/>
    </row>
    <row r="918" ht="14.25" customHeight="1">
      <c r="A918" s="179"/>
      <c r="B918" s="98"/>
      <c r="C918" s="98"/>
      <c r="D918" s="98"/>
      <c r="E918" s="98"/>
      <c r="F918" s="235"/>
      <c r="G918" s="235"/>
      <c r="H918" s="236"/>
      <c r="I918" s="236"/>
      <c r="J918" s="236"/>
      <c r="K918" s="236"/>
      <c r="L918" s="236"/>
      <c r="M918" s="236"/>
      <c r="N918" s="236"/>
      <c r="O918" s="236"/>
      <c r="P918" s="236"/>
      <c r="Q918" s="236"/>
      <c r="R918" s="236"/>
      <c r="S918" s="236"/>
      <c r="T918" s="236"/>
      <c r="U918" s="236"/>
      <c r="V918" s="236"/>
      <c r="W918" s="237"/>
      <c r="X918" s="237"/>
      <c r="Y918" s="237"/>
      <c r="Z918" s="237"/>
      <c r="AA918" s="237"/>
      <c r="AB918" s="237"/>
      <c r="AC918" s="237"/>
      <c r="AD918" s="237"/>
      <c r="AE918" s="237"/>
      <c r="AF918" s="237"/>
      <c r="AG918" s="237"/>
      <c r="AH918" s="237"/>
      <c r="AI918" s="308"/>
      <c r="AJ918" s="308"/>
      <c r="AK918" s="308"/>
      <c r="AL918" s="308"/>
      <c r="AM918" s="98"/>
      <c r="AN918" s="98"/>
    </row>
    <row r="919" ht="14.25" customHeight="1">
      <c r="A919" s="179"/>
      <c r="B919" s="98"/>
      <c r="C919" s="98"/>
      <c r="D919" s="98"/>
      <c r="E919" s="98"/>
      <c r="F919" s="235"/>
      <c r="G919" s="235"/>
      <c r="H919" s="236"/>
      <c r="I919" s="236"/>
      <c r="J919" s="236"/>
      <c r="K919" s="236"/>
      <c r="L919" s="236"/>
      <c r="M919" s="236"/>
      <c r="N919" s="236"/>
      <c r="O919" s="236"/>
      <c r="P919" s="236"/>
      <c r="Q919" s="236"/>
      <c r="R919" s="236"/>
      <c r="S919" s="236"/>
      <c r="T919" s="236"/>
      <c r="U919" s="236"/>
      <c r="V919" s="236"/>
      <c r="W919" s="237"/>
      <c r="X919" s="237"/>
      <c r="Y919" s="237"/>
      <c r="Z919" s="237"/>
      <c r="AA919" s="237"/>
      <c r="AB919" s="237"/>
      <c r="AC919" s="237"/>
      <c r="AD919" s="237"/>
      <c r="AE919" s="237"/>
      <c r="AF919" s="237"/>
      <c r="AG919" s="237"/>
      <c r="AH919" s="237"/>
      <c r="AI919" s="308"/>
      <c r="AJ919" s="308"/>
      <c r="AK919" s="308"/>
      <c r="AL919" s="308"/>
      <c r="AM919" s="98"/>
      <c r="AN919" s="98"/>
    </row>
    <row r="920" ht="14.25" customHeight="1">
      <c r="A920" s="179"/>
      <c r="B920" s="98"/>
      <c r="C920" s="98"/>
      <c r="D920" s="98"/>
      <c r="E920" s="98"/>
      <c r="F920" s="235"/>
      <c r="G920" s="235"/>
      <c r="H920" s="236"/>
      <c r="I920" s="236"/>
      <c r="J920" s="236"/>
      <c r="K920" s="236"/>
      <c r="L920" s="236"/>
      <c r="M920" s="236"/>
      <c r="N920" s="236"/>
      <c r="O920" s="236"/>
      <c r="P920" s="236"/>
      <c r="Q920" s="236"/>
      <c r="R920" s="236"/>
      <c r="S920" s="236"/>
      <c r="T920" s="236"/>
      <c r="U920" s="236"/>
      <c r="V920" s="236"/>
      <c r="W920" s="237"/>
      <c r="X920" s="237"/>
      <c r="Y920" s="237"/>
      <c r="Z920" s="237"/>
      <c r="AA920" s="237"/>
      <c r="AB920" s="237"/>
      <c r="AC920" s="237"/>
      <c r="AD920" s="237"/>
      <c r="AE920" s="237"/>
      <c r="AF920" s="237"/>
      <c r="AG920" s="237"/>
      <c r="AH920" s="237"/>
      <c r="AI920" s="308"/>
      <c r="AJ920" s="308"/>
      <c r="AK920" s="308"/>
      <c r="AL920" s="308"/>
      <c r="AM920" s="98"/>
      <c r="AN920" s="98"/>
    </row>
    <row r="921" ht="14.25" customHeight="1">
      <c r="A921" s="179"/>
      <c r="B921" s="98"/>
      <c r="C921" s="98"/>
      <c r="D921" s="98"/>
      <c r="E921" s="98"/>
      <c r="F921" s="235"/>
      <c r="G921" s="235"/>
      <c r="H921" s="236"/>
      <c r="I921" s="236"/>
      <c r="J921" s="236"/>
      <c r="K921" s="236"/>
      <c r="L921" s="236"/>
      <c r="M921" s="236"/>
      <c r="N921" s="236"/>
      <c r="O921" s="236"/>
      <c r="P921" s="236"/>
      <c r="Q921" s="236"/>
      <c r="R921" s="236"/>
      <c r="S921" s="236"/>
      <c r="T921" s="236"/>
      <c r="U921" s="236"/>
      <c r="V921" s="236"/>
      <c r="W921" s="237"/>
      <c r="X921" s="237"/>
      <c r="Y921" s="237"/>
      <c r="Z921" s="237"/>
      <c r="AA921" s="237"/>
      <c r="AB921" s="237"/>
      <c r="AC921" s="237"/>
      <c r="AD921" s="237"/>
      <c r="AE921" s="237"/>
      <c r="AF921" s="237"/>
      <c r="AG921" s="237"/>
      <c r="AH921" s="237"/>
      <c r="AI921" s="308"/>
      <c r="AJ921" s="308"/>
      <c r="AK921" s="308"/>
      <c r="AL921" s="308"/>
      <c r="AM921" s="98"/>
      <c r="AN921" s="98"/>
    </row>
    <row r="922" ht="14.25" customHeight="1">
      <c r="A922" s="179"/>
      <c r="B922" s="98"/>
      <c r="C922" s="98"/>
      <c r="D922" s="98"/>
      <c r="E922" s="98"/>
      <c r="F922" s="235"/>
      <c r="G922" s="235"/>
      <c r="H922" s="236"/>
      <c r="I922" s="236"/>
      <c r="J922" s="236"/>
      <c r="K922" s="236"/>
      <c r="L922" s="236"/>
      <c r="M922" s="236"/>
      <c r="N922" s="236"/>
      <c r="O922" s="236"/>
      <c r="P922" s="236"/>
      <c r="Q922" s="236"/>
      <c r="R922" s="236"/>
      <c r="S922" s="236"/>
      <c r="T922" s="236"/>
      <c r="U922" s="236"/>
      <c r="V922" s="236"/>
      <c r="W922" s="237"/>
      <c r="X922" s="237"/>
      <c r="Y922" s="237"/>
      <c r="Z922" s="237"/>
      <c r="AA922" s="237"/>
      <c r="AB922" s="237"/>
      <c r="AC922" s="237"/>
      <c r="AD922" s="237"/>
      <c r="AE922" s="237"/>
      <c r="AF922" s="237"/>
      <c r="AG922" s="237"/>
      <c r="AH922" s="237"/>
      <c r="AI922" s="308"/>
      <c r="AJ922" s="308"/>
      <c r="AK922" s="308"/>
      <c r="AL922" s="308"/>
      <c r="AM922" s="98"/>
      <c r="AN922" s="98"/>
    </row>
    <row r="923" ht="14.25" customHeight="1">
      <c r="A923" s="179"/>
      <c r="B923" s="98"/>
      <c r="C923" s="98"/>
      <c r="D923" s="98"/>
      <c r="E923" s="98"/>
      <c r="F923" s="235"/>
      <c r="G923" s="235"/>
      <c r="H923" s="236"/>
      <c r="I923" s="236"/>
      <c r="J923" s="236"/>
      <c r="K923" s="236"/>
      <c r="L923" s="236"/>
      <c r="M923" s="236"/>
      <c r="N923" s="236"/>
      <c r="O923" s="236"/>
      <c r="P923" s="236"/>
      <c r="Q923" s="236"/>
      <c r="R923" s="236"/>
      <c r="S923" s="236"/>
      <c r="T923" s="236"/>
      <c r="U923" s="236"/>
      <c r="V923" s="236"/>
      <c r="W923" s="237"/>
      <c r="X923" s="237"/>
      <c r="Y923" s="237"/>
      <c r="Z923" s="237"/>
      <c r="AA923" s="237"/>
      <c r="AB923" s="237"/>
      <c r="AC923" s="237"/>
      <c r="AD923" s="237"/>
      <c r="AE923" s="237"/>
      <c r="AF923" s="237"/>
      <c r="AG923" s="237"/>
      <c r="AH923" s="237"/>
      <c r="AI923" s="308"/>
      <c r="AJ923" s="308"/>
      <c r="AK923" s="308"/>
      <c r="AL923" s="308"/>
      <c r="AM923" s="98"/>
      <c r="AN923" s="98"/>
    </row>
    <row r="924" ht="14.25" customHeight="1">
      <c r="A924" s="179"/>
      <c r="B924" s="98"/>
      <c r="C924" s="98"/>
      <c r="D924" s="98"/>
      <c r="E924" s="98"/>
      <c r="F924" s="235"/>
      <c r="G924" s="235"/>
      <c r="H924" s="236"/>
      <c r="I924" s="236"/>
      <c r="J924" s="236"/>
      <c r="K924" s="236"/>
      <c r="L924" s="236"/>
      <c r="M924" s="236"/>
      <c r="N924" s="236"/>
      <c r="O924" s="236"/>
      <c r="P924" s="236"/>
      <c r="Q924" s="236"/>
      <c r="R924" s="236"/>
      <c r="S924" s="236"/>
      <c r="T924" s="236"/>
      <c r="U924" s="236"/>
      <c r="V924" s="236"/>
      <c r="W924" s="237"/>
      <c r="X924" s="237"/>
      <c r="Y924" s="237"/>
      <c r="Z924" s="237"/>
      <c r="AA924" s="237"/>
      <c r="AB924" s="237"/>
      <c r="AC924" s="237"/>
      <c r="AD924" s="237"/>
      <c r="AE924" s="237"/>
      <c r="AF924" s="237"/>
      <c r="AG924" s="237"/>
      <c r="AH924" s="237"/>
      <c r="AI924" s="308"/>
      <c r="AJ924" s="308"/>
      <c r="AK924" s="308"/>
      <c r="AL924" s="308"/>
      <c r="AM924" s="98"/>
      <c r="AN924" s="98"/>
    </row>
    <row r="925" ht="14.25" customHeight="1">
      <c r="A925" s="179"/>
      <c r="B925" s="98"/>
      <c r="C925" s="98"/>
      <c r="D925" s="98"/>
      <c r="E925" s="98"/>
      <c r="F925" s="235"/>
      <c r="G925" s="235"/>
      <c r="H925" s="236"/>
      <c r="I925" s="236"/>
      <c r="J925" s="236"/>
      <c r="K925" s="236"/>
      <c r="L925" s="236"/>
      <c r="M925" s="236"/>
      <c r="N925" s="236"/>
      <c r="O925" s="236"/>
      <c r="P925" s="236"/>
      <c r="Q925" s="236"/>
      <c r="R925" s="236"/>
      <c r="S925" s="236"/>
      <c r="T925" s="236"/>
      <c r="U925" s="236"/>
      <c r="V925" s="236"/>
      <c r="W925" s="237"/>
      <c r="X925" s="237"/>
      <c r="Y925" s="237"/>
      <c r="Z925" s="237"/>
      <c r="AA925" s="237"/>
      <c r="AB925" s="237"/>
      <c r="AC925" s="237"/>
      <c r="AD925" s="237"/>
      <c r="AE925" s="237"/>
      <c r="AF925" s="237"/>
      <c r="AG925" s="237"/>
      <c r="AH925" s="237"/>
      <c r="AI925" s="308"/>
      <c r="AJ925" s="308"/>
      <c r="AK925" s="308"/>
      <c r="AL925" s="308"/>
      <c r="AM925" s="98"/>
      <c r="AN925" s="98"/>
    </row>
    <row r="926" ht="14.25" customHeight="1">
      <c r="A926" s="179"/>
      <c r="B926" s="98"/>
      <c r="C926" s="98"/>
      <c r="D926" s="98"/>
      <c r="E926" s="98"/>
      <c r="F926" s="235"/>
      <c r="G926" s="235"/>
      <c r="H926" s="236"/>
      <c r="I926" s="236"/>
      <c r="J926" s="236"/>
      <c r="K926" s="236"/>
      <c r="L926" s="236"/>
      <c r="M926" s="236"/>
      <c r="N926" s="236"/>
      <c r="O926" s="236"/>
      <c r="P926" s="236"/>
      <c r="Q926" s="236"/>
      <c r="R926" s="236"/>
      <c r="S926" s="236"/>
      <c r="T926" s="236"/>
      <c r="U926" s="236"/>
      <c r="V926" s="236"/>
      <c r="W926" s="237"/>
      <c r="X926" s="237"/>
      <c r="Y926" s="237"/>
      <c r="Z926" s="237"/>
      <c r="AA926" s="237"/>
      <c r="AB926" s="237"/>
      <c r="AC926" s="237"/>
      <c r="AD926" s="237"/>
      <c r="AE926" s="237"/>
      <c r="AF926" s="237"/>
      <c r="AG926" s="237"/>
      <c r="AH926" s="237"/>
      <c r="AI926" s="308"/>
      <c r="AJ926" s="308"/>
      <c r="AK926" s="308"/>
      <c r="AL926" s="308"/>
      <c r="AM926" s="98"/>
      <c r="AN926" s="98"/>
    </row>
    <row r="927" ht="14.25" customHeight="1">
      <c r="A927" s="179"/>
      <c r="B927" s="98"/>
      <c r="C927" s="98"/>
      <c r="D927" s="98"/>
      <c r="E927" s="98"/>
      <c r="F927" s="235"/>
      <c r="G927" s="235"/>
      <c r="H927" s="236"/>
      <c r="I927" s="236"/>
      <c r="J927" s="236"/>
      <c r="K927" s="236"/>
      <c r="L927" s="236"/>
      <c r="M927" s="236"/>
      <c r="N927" s="236"/>
      <c r="O927" s="236"/>
      <c r="P927" s="236"/>
      <c r="Q927" s="236"/>
      <c r="R927" s="236"/>
      <c r="S927" s="236"/>
      <c r="T927" s="236"/>
      <c r="U927" s="236"/>
      <c r="V927" s="236"/>
      <c r="W927" s="237"/>
      <c r="X927" s="237"/>
      <c r="Y927" s="237"/>
      <c r="Z927" s="237"/>
      <c r="AA927" s="237"/>
      <c r="AB927" s="237"/>
      <c r="AC927" s="237"/>
      <c r="AD927" s="237"/>
      <c r="AE927" s="237"/>
      <c r="AF927" s="237"/>
      <c r="AG927" s="237"/>
      <c r="AH927" s="237"/>
      <c r="AI927" s="308"/>
      <c r="AJ927" s="308"/>
      <c r="AK927" s="308"/>
      <c r="AL927" s="308"/>
      <c r="AM927" s="98"/>
      <c r="AN927" s="98"/>
    </row>
    <row r="928" ht="14.25" customHeight="1">
      <c r="A928" s="179"/>
      <c r="B928" s="98"/>
      <c r="C928" s="98"/>
      <c r="D928" s="98"/>
      <c r="E928" s="98"/>
      <c r="F928" s="235"/>
      <c r="G928" s="235"/>
      <c r="H928" s="236"/>
      <c r="I928" s="236"/>
      <c r="J928" s="236"/>
      <c r="K928" s="236"/>
      <c r="L928" s="236"/>
      <c r="M928" s="236"/>
      <c r="N928" s="236"/>
      <c r="O928" s="236"/>
      <c r="P928" s="236"/>
      <c r="Q928" s="236"/>
      <c r="R928" s="236"/>
      <c r="S928" s="236"/>
      <c r="T928" s="236"/>
      <c r="U928" s="236"/>
      <c r="V928" s="236"/>
      <c r="W928" s="237"/>
      <c r="X928" s="237"/>
      <c r="Y928" s="237"/>
      <c r="Z928" s="237"/>
      <c r="AA928" s="237"/>
      <c r="AB928" s="237"/>
      <c r="AC928" s="237"/>
      <c r="AD928" s="237"/>
      <c r="AE928" s="237"/>
      <c r="AF928" s="237"/>
      <c r="AG928" s="237"/>
      <c r="AH928" s="237"/>
      <c r="AI928" s="308"/>
      <c r="AJ928" s="308"/>
      <c r="AK928" s="308"/>
      <c r="AL928" s="308"/>
      <c r="AM928" s="98"/>
      <c r="AN928" s="98"/>
    </row>
    <row r="929" ht="14.25" customHeight="1">
      <c r="A929" s="179"/>
      <c r="B929" s="98"/>
      <c r="C929" s="98"/>
      <c r="D929" s="98"/>
      <c r="E929" s="98"/>
      <c r="F929" s="235"/>
      <c r="G929" s="235"/>
      <c r="H929" s="236"/>
      <c r="I929" s="236"/>
      <c r="J929" s="236"/>
      <c r="K929" s="236"/>
      <c r="L929" s="236"/>
      <c r="M929" s="236"/>
      <c r="N929" s="236"/>
      <c r="O929" s="236"/>
      <c r="P929" s="236"/>
      <c r="Q929" s="236"/>
      <c r="R929" s="236"/>
      <c r="S929" s="236"/>
      <c r="T929" s="236"/>
      <c r="U929" s="236"/>
      <c r="V929" s="236"/>
      <c r="W929" s="237"/>
      <c r="X929" s="237"/>
      <c r="Y929" s="237"/>
      <c r="Z929" s="237"/>
      <c r="AA929" s="237"/>
      <c r="AB929" s="237"/>
      <c r="AC929" s="237"/>
      <c r="AD929" s="237"/>
      <c r="AE929" s="237"/>
      <c r="AF929" s="237"/>
      <c r="AG929" s="237"/>
      <c r="AH929" s="237"/>
      <c r="AI929" s="308"/>
      <c r="AJ929" s="308"/>
      <c r="AK929" s="308"/>
      <c r="AL929" s="308"/>
      <c r="AM929" s="98"/>
      <c r="AN929" s="98"/>
    </row>
    <row r="930" ht="14.25" customHeight="1">
      <c r="A930" s="179"/>
      <c r="B930" s="98"/>
      <c r="C930" s="98"/>
      <c r="D930" s="98"/>
      <c r="E930" s="98"/>
      <c r="F930" s="235"/>
      <c r="G930" s="235"/>
      <c r="H930" s="236"/>
      <c r="I930" s="236"/>
      <c r="J930" s="236"/>
      <c r="K930" s="236"/>
      <c r="L930" s="236"/>
      <c r="M930" s="236"/>
      <c r="N930" s="236"/>
      <c r="O930" s="236"/>
      <c r="P930" s="236"/>
      <c r="Q930" s="236"/>
      <c r="R930" s="236"/>
      <c r="S930" s="236"/>
      <c r="T930" s="236"/>
      <c r="U930" s="236"/>
      <c r="V930" s="236"/>
      <c r="W930" s="237"/>
      <c r="X930" s="237"/>
      <c r="Y930" s="237"/>
      <c r="Z930" s="237"/>
      <c r="AA930" s="237"/>
      <c r="AB930" s="237"/>
      <c r="AC930" s="237"/>
      <c r="AD930" s="237"/>
      <c r="AE930" s="237"/>
      <c r="AF930" s="237"/>
      <c r="AG930" s="237"/>
      <c r="AH930" s="237"/>
      <c r="AI930" s="308"/>
      <c r="AJ930" s="308"/>
      <c r="AK930" s="308"/>
      <c r="AL930" s="308"/>
      <c r="AM930" s="98"/>
      <c r="AN930" s="98"/>
    </row>
    <row r="931" ht="14.25" customHeight="1">
      <c r="A931" s="179"/>
      <c r="B931" s="98"/>
      <c r="C931" s="98"/>
      <c r="D931" s="98"/>
      <c r="E931" s="98"/>
      <c r="F931" s="235"/>
      <c r="G931" s="235"/>
      <c r="H931" s="236"/>
      <c r="I931" s="236"/>
      <c r="J931" s="236"/>
      <c r="K931" s="236"/>
      <c r="L931" s="236"/>
      <c r="M931" s="236"/>
      <c r="N931" s="236"/>
      <c r="O931" s="236"/>
      <c r="P931" s="236"/>
      <c r="Q931" s="236"/>
      <c r="R931" s="236"/>
      <c r="S931" s="236"/>
      <c r="T931" s="236"/>
      <c r="U931" s="236"/>
      <c r="V931" s="236"/>
      <c r="W931" s="237"/>
      <c r="X931" s="237"/>
      <c r="Y931" s="237"/>
      <c r="Z931" s="237"/>
      <c r="AA931" s="237"/>
      <c r="AB931" s="237"/>
      <c r="AC931" s="237"/>
      <c r="AD931" s="237"/>
      <c r="AE931" s="237"/>
      <c r="AF931" s="237"/>
      <c r="AG931" s="237"/>
      <c r="AH931" s="237"/>
      <c r="AI931" s="308"/>
      <c r="AJ931" s="308"/>
      <c r="AK931" s="308"/>
      <c r="AL931" s="308"/>
      <c r="AM931" s="98"/>
      <c r="AN931" s="98"/>
    </row>
    <row r="932" ht="14.25" customHeight="1">
      <c r="A932" s="179"/>
      <c r="B932" s="98"/>
      <c r="C932" s="98"/>
      <c r="D932" s="98"/>
      <c r="E932" s="98"/>
      <c r="F932" s="235"/>
      <c r="G932" s="235"/>
      <c r="H932" s="236"/>
      <c r="I932" s="236"/>
      <c r="J932" s="236"/>
      <c r="K932" s="236"/>
      <c r="L932" s="236"/>
      <c r="M932" s="236"/>
      <c r="N932" s="236"/>
      <c r="O932" s="236"/>
      <c r="P932" s="236"/>
      <c r="Q932" s="236"/>
      <c r="R932" s="236"/>
      <c r="S932" s="236"/>
      <c r="T932" s="236"/>
      <c r="U932" s="236"/>
      <c r="V932" s="236"/>
      <c r="W932" s="237"/>
      <c r="X932" s="237"/>
      <c r="Y932" s="237"/>
      <c r="Z932" s="237"/>
      <c r="AA932" s="237"/>
      <c r="AB932" s="237"/>
      <c r="AC932" s="237"/>
      <c r="AD932" s="237"/>
      <c r="AE932" s="237"/>
      <c r="AF932" s="237"/>
      <c r="AG932" s="237"/>
      <c r="AH932" s="237"/>
      <c r="AI932" s="308"/>
      <c r="AJ932" s="308"/>
      <c r="AK932" s="308"/>
      <c r="AL932" s="308"/>
      <c r="AM932" s="98"/>
      <c r="AN932" s="98"/>
    </row>
    <row r="933" ht="14.25" customHeight="1">
      <c r="A933" s="179"/>
      <c r="B933" s="98"/>
      <c r="C933" s="98"/>
      <c r="D933" s="98"/>
      <c r="E933" s="98"/>
      <c r="F933" s="235"/>
      <c r="G933" s="235"/>
      <c r="H933" s="236"/>
      <c r="I933" s="236"/>
      <c r="J933" s="236"/>
      <c r="K933" s="236"/>
      <c r="L933" s="236"/>
      <c r="M933" s="236"/>
      <c r="N933" s="236"/>
      <c r="O933" s="236"/>
      <c r="P933" s="236"/>
      <c r="Q933" s="236"/>
      <c r="R933" s="236"/>
      <c r="S933" s="236"/>
      <c r="T933" s="236"/>
      <c r="U933" s="236"/>
      <c r="V933" s="236"/>
      <c r="W933" s="237"/>
      <c r="X933" s="237"/>
      <c r="Y933" s="237"/>
      <c r="Z933" s="237"/>
      <c r="AA933" s="237"/>
      <c r="AB933" s="237"/>
      <c r="AC933" s="237"/>
      <c r="AD933" s="237"/>
      <c r="AE933" s="237"/>
      <c r="AF933" s="237"/>
      <c r="AG933" s="237"/>
      <c r="AH933" s="237"/>
      <c r="AI933" s="308"/>
      <c r="AJ933" s="308"/>
      <c r="AK933" s="308"/>
      <c r="AL933" s="308"/>
      <c r="AM933" s="98"/>
      <c r="AN933" s="98"/>
    </row>
    <row r="934" ht="14.25" customHeight="1">
      <c r="A934" s="179"/>
      <c r="B934" s="98"/>
      <c r="C934" s="98"/>
      <c r="D934" s="98"/>
      <c r="E934" s="98"/>
      <c r="F934" s="235"/>
      <c r="G934" s="235"/>
      <c r="H934" s="236"/>
      <c r="I934" s="236"/>
      <c r="J934" s="236"/>
      <c r="K934" s="236"/>
      <c r="L934" s="236"/>
      <c r="M934" s="236"/>
      <c r="N934" s="236"/>
      <c r="O934" s="236"/>
      <c r="P934" s="236"/>
      <c r="Q934" s="236"/>
      <c r="R934" s="236"/>
      <c r="S934" s="236"/>
      <c r="T934" s="236"/>
      <c r="U934" s="236"/>
      <c r="V934" s="236"/>
      <c r="W934" s="237"/>
      <c r="X934" s="237"/>
      <c r="Y934" s="237"/>
      <c r="Z934" s="237"/>
      <c r="AA934" s="237"/>
      <c r="AB934" s="237"/>
      <c r="AC934" s="237"/>
      <c r="AD934" s="237"/>
      <c r="AE934" s="237"/>
      <c r="AF934" s="237"/>
      <c r="AG934" s="237"/>
      <c r="AH934" s="237"/>
      <c r="AI934" s="308"/>
      <c r="AJ934" s="308"/>
      <c r="AK934" s="308"/>
      <c r="AL934" s="308"/>
      <c r="AM934" s="98"/>
      <c r="AN934" s="98"/>
    </row>
    <row r="935" ht="14.25" customHeight="1">
      <c r="A935" s="179"/>
      <c r="B935" s="98"/>
      <c r="C935" s="98"/>
      <c r="D935" s="98"/>
      <c r="E935" s="98"/>
      <c r="F935" s="235"/>
      <c r="G935" s="235"/>
      <c r="H935" s="236"/>
      <c r="I935" s="236"/>
      <c r="J935" s="236"/>
      <c r="K935" s="236"/>
      <c r="L935" s="236"/>
      <c r="M935" s="236"/>
      <c r="N935" s="236"/>
      <c r="O935" s="236"/>
      <c r="P935" s="236"/>
      <c r="Q935" s="236"/>
      <c r="R935" s="236"/>
      <c r="S935" s="236"/>
      <c r="T935" s="236"/>
      <c r="U935" s="236"/>
      <c r="V935" s="236"/>
      <c r="W935" s="237"/>
      <c r="X935" s="237"/>
      <c r="Y935" s="237"/>
      <c r="Z935" s="237"/>
      <c r="AA935" s="237"/>
      <c r="AB935" s="237"/>
      <c r="AC935" s="237"/>
      <c r="AD935" s="237"/>
      <c r="AE935" s="237"/>
      <c r="AF935" s="237"/>
      <c r="AG935" s="237"/>
      <c r="AH935" s="237"/>
      <c r="AI935" s="308"/>
      <c r="AJ935" s="308"/>
      <c r="AK935" s="308"/>
      <c r="AL935" s="308"/>
      <c r="AM935" s="98"/>
      <c r="AN935" s="98"/>
    </row>
    <row r="936" ht="14.25" customHeight="1">
      <c r="A936" s="179"/>
      <c r="B936" s="98"/>
      <c r="C936" s="98"/>
      <c r="D936" s="98"/>
      <c r="E936" s="98"/>
      <c r="F936" s="235"/>
      <c r="G936" s="235"/>
      <c r="H936" s="236"/>
      <c r="I936" s="236"/>
      <c r="J936" s="236"/>
      <c r="K936" s="236"/>
      <c r="L936" s="236"/>
      <c r="M936" s="236"/>
      <c r="N936" s="236"/>
      <c r="O936" s="236"/>
      <c r="P936" s="236"/>
      <c r="Q936" s="236"/>
      <c r="R936" s="236"/>
      <c r="S936" s="236"/>
      <c r="T936" s="236"/>
      <c r="U936" s="236"/>
      <c r="V936" s="236"/>
      <c r="W936" s="237"/>
      <c r="X936" s="237"/>
      <c r="Y936" s="237"/>
      <c r="Z936" s="237"/>
      <c r="AA936" s="237"/>
      <c r="AB936" s="237"/>
      <c r="AC936" s="237"/>
      <c r="AD936" s="237"/>
      <c r="AE936" s="237"/>
      <c r="AF936" s="237"/>
      <c r="AG936" s="237"/>
      <c r="AH936" s="237"/>
      <c r="AI936" s="308"/>
      <c r="AJ936" s="308"/>
      <c r="AK936" s="308"/>
      <c r="AL936" s="308"/>
      <c r="AM936" s="98"/>
      <c r="AN936" s="98"/>
    </row>
    <row r="937" ht="14.25" customHeight="1">
      <c r="A937" s="179"/>
      <c r="B937" s="98"/>
      <c r="C937" s="98"/>
      <c r="D937" s="98"/>
      <c r="E937" s="98"/>
      <c r="F937" s="235"/>
      <c r="G937" s="235"/>
      <c r="H937" s="236"/>
      <c r="I937" s="236"/>
      <c r="J937" s="236"/>
      <c r="K937" s="236"/>
      <c r="L937" s="236"/>
      <c r="M937" s="236"/>
      <c r="N937" s="236"/>
      <c r="O937" s="236"/>
      <c r="P937" s="236"/>
      <c r="Q937" s="236"/>
      <c r="R937" s="236"/>
      <c r="S937" s="236"/>
      <c r="T937" s="236"/>
      <c r="U937" s="236"/>
      <c r="V937" s="236"/>
      <c r="W937" s="237"/>
      <c r="X937" s="237"/>
      <c r="Y937" s="237"/>
      <c r="Z937" s="237"/>
      <c r="AA937" s="237"/>
      <c r="AB937" s="237"/>
      <c r="AC937" s="237"/>
      <c r="AD937" s="237"/>
      <c r="AE937" s="237"/>
      <c r="AF937" s="237"/>
      <c r="AG937" s="237"/>
      <c r="AH937" s="237"/>
      <c r="AI937" s="308"/>
      <c r="AJ937" s="308"/>
      <c r="AK937" s="308"/>
      <c r="AL937" s="308"/>
      <c r="AM937" s="98"/>
      <c r="AN937" s="98"/>
    </row>
    <row r="938" ht="14.25" customHeight="1">
      <c r="A938" s="179"/>
      <c r="B938" s="98"/>
      <c r="C938" s="98"/>
      <c r="D938" s="98"/>
      <c r="E938" s="98"/>
      <c r="F938" s="235"/>
      <c r="G938" s="235"/>
      <c r="H938" s="236"/>
      <c r="I938" s="236"/>
      <c r="J938" s="236"/>
      <c r="K938" s="236"/>
      <c r="L938" s="236"/>
      <c r="M938" s="236"/>
      <c r="N938" s="236"/>
      <c r="O938" s="236"/>
      <c r="P938" s="236"/>
      <c r="Q938" s="236"/>
      <c r="R938" s="236"/>
      <c r="S938" s="236"/>
      <c r="T938" s="236"/>
      <c r="U938" s="236"/>
      <c r="V938" s="236"/>
      <c r="W938" s="237"/>
      <c r="X938" s="237"/>
      <c r="Y938" s="237"/>
      <c r="Z938" s="237"/>
      <c r="AA938" s="237"/>
      <c r="AB938" s="237"/>
      <c r="AC938" s="237"/>
      <c r="AD938" s="237"/>
      <c r="AE938" s="237"/>
      <c r="AF938" s="237"/>
      <c r="AG938" s="237"/>
      <c r="AH938" s="237"/>
      <c r="AI938" s="308"/>
      <c r="AJ938" s="308"/>
      <c r="AK938" s="308"/>
      <c r="AL938" s="308"/>
      <c r="AM938" s="98"/>
      <c r="AN938" s="98"/>
    </row>
    <row r="939" ht="14.25" customHeight="1">
      <c r="A939" s="179"/>
      <c r="B939" s="98"/>
      <c r="C939" s="98"/>
      <c r="D939" s="98"/>
      <c r="E939" s="98"/>
      <c r="F939" s="235"/>
      <c r="G939" s="235"/>
      <c r="H939" s="236"/>
      <c r="I939" s="236"/>
      <c r="J939" s="236"/>
      <c r="K939" s="236"/>
      <c r="L939" s="236"/>
      <c r="M939" s="236"/>
      <c r="N939" s="236"/>
      <c r="O939" s="236"/>
      <c r="P939" s="236"/>
      <c r="Q939" s="236"/>
      <c r="R939" s="236"/>
      <c r="S939" s="236"/>
      <c r="T939" s="236"/>
      <c r="U939" s="236"/>
      <c r="V939" s="236"/>
      <c r="W939" s="237"/>
      <c r="X939" s="237"/>
      <c r="Y939" s="237"/>
      <c r="Z939" s="237"/>
      <c r="AA939" s="237"/>
      <c r="AB939" s="237"/>
      <c r="AC939" s="237"/>
      <c r="AD939" s="237"/>
      <c r="AE939" s="237"/>
      <c r="AF939" s="237"/>
      <c r="AG939" s="237"/>
      <c r="AH939" s="237"/>
      <c r="AI939" s="308"/>
      <c r="AJ939" s="308"/>
      <c r="AK939" s="308"/>
      <c r="AL939" s="308"/>
      <c r="AM939" s="98"/>
      <c r="AN939" s="98"/>
    </row>
    <row r="940" ht="14.25" customHeight="1">
      <c r="A940" s="179"/>
      <c r="B940" s="98"/>
      <c r="C940" s="98"/>
      <c r="D940" s="98"/>
      <c r="E940" s="98"/>
      <c r="F940" s="235"/>
      <c r="G940" s="235"/>
      <c r="H940" s="236"/>
      <c r="I940" s="236"/>
      <c r="J940" s="236"/>
      <c r="K940" s="236"/>
      <c r="L940" s="236"/>
      <c r="M940" s="236"/>
      <c r="N940" s="236"/>
      <c r="O940" s="236"/>
      <c r="P940" s="236"/>
      <c r="Q940" s="236"/>
      <c r="R940" s="236"/>
      <c r="S940" s="236"/>
      <c r="T940" s="236"/>
      <c r="U940" s="236"/>
      <c r="V940" s="236"/>
      <c r="W940" s="237"/>
      <c r="X940" s="237"/>
      <c r="Y940" s="237"/>
      <c r="Z940" s="237"/>
      <c r="AA940" s="237"/>
      <c r="AB940" s="237"/>
      <c r="AC940" s="237"/>
      <c r="AD940" s="237"/>
      <c r="AE940" s="237"/>
      <c r="AF940" s="237"/>
      <c r="AG940" s="237"/>
      <c r="AH940" s="237"/>
      <c r="AI940" s="308"/>
      <c r="AJ940" s="308"/>
      <c r="AK940" s="308"/>
      <c r="AL940" s="308"/>
      <c r="AM940" s="98"/>
      <c r="AN940" s="98"/>
    </row>
    <row r="941" ht="14.25" customHeight="1">
      <c r="A941" s="179"/>
      <c r="B941" s="98"/>
      <c r="C941" s="98"/>
      <c r="D941" s="98"/>
      <c r="E941" s="98"/>
      <c r="F941" s="235"/>
      <c r="G941" s="235"/>
      <c r="H941" s="236"/>
      <c r="I941" s="236"/>
      <c r="J941" s="236"/>
      <c r="K941" s="236"/>
      <c r="L941" s="236"/>
      <c r="M941" s="236"/>
      <c r="N941" s="236"/>
      <c r="O941" s="236"/>
      <c r="P941" s="236"/>
      <c r="Q941" s="236"/>
      <c r="R941" s="236"/>
      <c r="S941" s="236"/>
      <c r="T941" s="236"/>
      <c r="U941" s="236"/>
      <c r="V941" s="236"/>
      <c r="W941" s="237"/>
      <c r="X941" s="237"/>
      <c r="Y941" s="237"/>
      <c r="Z941" s="237"/>
      <c r="AA941" s="237"/>
      <c r="AB941" s="237"/>
      <c r="AC941" s="237"/>
      <c r="AD941" s="237"/>
      <c r="AE941" s="237"/>
      <c r="AF941" s="237"/>
      <c r="AG941" s="237"/>
      <c r="AH941" s="237"/>
      <c r="AI941" s="308"/>
      <c r="AJ941" s="308"/>
      <c r="AK941" s="308"/>
      <c r="AL941" s="308"/>
      <c r="AM941" s="98"/>
      <c r="AN941" s="98"/>
    </row>
    <row r="942" ht="14.25" customHeight="1">
      <c r="A942" s="179"/>
      <c r="B942" s="98"/>
      <c r="C942" s="98"/>
      <c r="D942" s="98"/>
      <c r="E942" s="98"/>
      <c r="F942" s="235"/>
      <c r="G942" s="235"/>
      <c r="H942" s="236"/>
      <c r="I942" s="236"/>
      <c r="J942" s="236"/>
      <c r="K942" s="236"/>
      <c r="L942" s="236"/>
      <c r="M942" s="236"/>
      <c r="N942" s="236"/>
      <c r="O942" s="236"/>
      <c r="P942" s="236"/>
      <c r="Q942" s="236"/>
      <c r="R942" s="236"/>
      <c r="S942" s="236"/>
      <c r="T942" s="236"/>
      <c r="U942" s="236"/>
      <c r="V942" s="236"/>
      <c r="W942" s="237"/>
      <c r="X942" s="237"/>
      <c r="Y942" s="237"/>
      <c r="Z942" s="237"/>
      <c r="AA942" s="237"/>
      <c r="AB942" s="237"/>
      <c r="AC942" s="237"/>
      <c r="AD942" s="237"/>
      <c r="AE942" s="237"/>
      <c r="AF942" s="237"/>
      <c r="AG942" s="237"/>
      <c r="AH942" s="237"/>
      <c r="AI942" s="308"/>
      <c r="AJ942" s="308"/>
      <c r="AK942" s="308"/>
      <c r="AL942" s="308"/>
      <c r="AM942" s="98"/>
      <c r="AN942" s="98"/>
    </row>
    <row r="943" ht="14.25" customHeight="1">
      <c r="A943" s="179"/>
      <c r="B943" s="98"/>
      <c r="C943" s="98"/>
      <c r="D943" s="98"/>
      <c r="E943" s="98"/>
      <c r="F943" s="235"/>
      <c r="G943" s="235"/>
      <c r="H943" s="236"/>
      <c r="I943" s="236"/>
      <c r="J943" s="236"/>
      <c r="K943" s="236"/>
      <c r="L943" s="236"/>
      <c r="M943" s="236"/>
      <c r="N943" s="236"/>
      <c r="O943" s="236"/>
      <c r="P943" s="236"/>
      <c r="Q943" s="236"/>
      <c r="R943" s="236"/>
      <c r="S943" s="236"/>
      <c r="T943" s="236"/>
      <c r="U943" s="236"/>
      <c r="V943" s="236"/>
      <c r="W943" s="237"/>
      <c r="X943" s="237"/>
      <c r="Y943" s="237"/>
      <c r="Z943" s="237"/>
      <c r="AA943" s="237"/>
      <c r="AB943" s="237"/>
      <c r="AC943" s="237"/>
      <c r="AD943" s="237"/>
      <c r="AE943" s="237"/>
      <c r="AF943" s="237"/>
      <c r="AG943" s="237"/>
      <c r="AH943" s="237"/>
      <c r="AI943" s="308"/>
      <c r="AJ943" s="308"/>
      <c r="AK943" s="308"/>
      <c r="AL943" s="308"/>
      <c r="AM943" s="98"/>
      <c r="AN943" s="98"/>
    </row>
    <row r="944" ht="14.25" customHeight="1">
      <c r="A944" s="179"/>
      <c r="B944" s="98"/>
      <c r="C944" s="98"/>
      <c r="D944" s="98"/>
      <c r="E944" s="98"/>
      <c r="F944" s="235"/>
      <c r="G944" s="235"/>
      <c r="H944" s="236"/>
      <c r="I944" s="236"/>
      <c r="J944" s="236"/>
      <c r="K944" s="236"/>
      <c r="L944" s="236"/>
      <c r="M944" s="236"/>
      <c r="N944" s="236"/>
      <c r="O944" s="236"/>
      <c r="P944" s="236"/>
      <c r="Q944" s="236"/>
      <c r="R944" s="236"/>
      <c r="S944" s="236"/>
      <c r="T944" s="236"/>
      <c r="U944" s="236"/>
      <c r="V944" s="236"/>
      <c r="W944" s="237"/>
      <c r="X944" s="237"/>
      <c r="Y944" s="237"/>
      <c r="Z944" s="237"/>
      <c r="AA944" s="237"/>
      <c r="AB944" s="237"/>
      <c r="AC944" s="237"/>
      <c r="AD944" s="237"/>
      <c r="AE944" s="237"/>
      <c r="AF944" s="237"/>
      <c r="AG944" s="237"/>
      <c r="AH944" s="237"/>
      <c r="AI944" s="308"/>
      <c r="AJ944" s="308"/>
      <c r="AK944" s="308"/>
      <c r="AL944" s="308"/>
      <c r="AM944" s="98"/>
      <c r="AN944" s="98"/>
    </row>
    <row r="945" ht="14.25" customHeight="1">
      <c r="A945" s="179"/>
      <c r="B945" s="98"/>
      <c r="C945" s="98"/>
      <c r="D945" s="98"/>
      <c r="E945" s="98"/>
      <c r="F945" s="235"/>
      <c r="G945" s="235"/>
      <c r="H945" s="236"/>
      <c r="I945" s="236"/>
      <c r="J945" s="236"/>
      <c r="K945" s="236"/>
      <c r="L945" s="236"/>
      <c r="M945" s="236"/>
      <c r="N945" s="236"/>
      <c r="O945" s="236"/>
      <c r="P945" s="236"/>
      <c r="Q945" s="236"/>
      <c r="R945" s="236"/>
      <c r="S945" s="236"/>
      <c r="T945" s="236"/>
      <c r="U945" s="236"/>
      <c r="V945" s="236"/>
      <c r="W945" s="237"/>
      <c r="X945" s="237"/>
      <c r="Y945" s="237"/>
      <c r="Z945" s="237"/>
      <c r="AA945" s="237"/>
      <c r="AB945" s="237"/>
      <c r="AC945" s="237"/>
      <c r="AD945" s="237"/>
      <c r="AE945" s="237"/>
      <c r="AF945" s="237"/>
      <c r="AG945" s="237"/>
      <c r="AH945" s="237"/>
      <c r="AI945" s="308"/>
      <c r="AJ945" s="308"/>
      <c r="AK945" s="308"/>
      <c r="AL945" s="308"/>
      <c r="AM945" s="98"/>
      <c r="AN945" s="98"/>
    </row>
    <row r="946" ht="14.25" customHeight="1">
      <c r="A946" s="179"/>
      <c r="B946" s="98"/>
      <c r="C946" s="98"/>
      <c r="D946" s="98"/>
      <c r="E946" s="98"/>
      <c r="F946" s="235"/>
      <c r="G946" s="235"/>
      <c r="H946" s="236"/>
      <c r="I946" s="236"/>
      <c r="J946" s="236"/>
      <c r="K946" s="236"/>
      <c r="L946" s="236"/>
      <c r="M946" s="236"/>
      <c r="N946" s="236"/>
      <c r="O946" s="236"/>
      <c r="P946" s="236"/>
      <c r="Q946" s="236"/>
      <c r="R946" s="236"/>
      <c r="S946" s="236"/>
      <c r="T946" s="236"/>
      <c r="U946" s="236"/>
      <c r="V946" s="236"/>
      <c r="W946" s="237"/>
      <c r="X946" s="237"/>
      <c r="Y946" s="237"/>
      <c r="Z946" s="237"/>
      <c r="AA946" s="237"/>
      <c r="AB946" s="237"/>
      <c r="AC946" s="237"/>
      <c r="AD946" s="237"/>
      <c r="AE946" s="237"/>
      <c r="AF946" s="237"/>
      <c r="AG946" s="237"/>
      <c r="AH946" s="237"/>
      <c r="AI946" s="308"/>
      <c r="AJ946" s="308"/>
      <c r="AK946" s="308"/>
      <c r="AL946" s="308"/>
      <c r="AM946" s="98"/>
      <c r="AN946" s="98"/>
    </row>
    <row r="947" ht="14.25" customHeight="1">
      <c r="A947" s="179"/>
      <c r="B947" s="98"/>
      <c r="C947" s="98"/>
      <c r="D947" s="98"/>
      <c r="E947" s="98"/>
      <c r="F947" s="235"/>
      <c r="G947" s="235"/>
      <c r="H947" s="236"/>
      <c r="I947" s="236"/>
      <c r="J947" s="236"/>
      <c r="K947" s="236"/>
      <c r="L947" s="236"/>
      <c r="M947" s="236"/>
      <c r="N947" s="236"/>
      <c r="O947" s="236"/>
      <c r="P947" s="236"/>
      <c r="Q947" s="236"/>
      <c r="R947" s="236"/>
      <c r="S947" s="236"/>
      <c r="T947" s="236"/>
      <c r="U947" s="236"/>
      <c r="V947" s="236"/>
      <c r="W947" s="237"/>
      <c r="X947" s="237"/>
      <c r="Y947" s="237"/>
      <c r="Z947" s="237"/>
      <c r="AA947" s="237"/>
      <c r="AB947" s="237"/>
      <c r="AC947" s="237"/>
      <c r="AD947" s="237"/>
      <c r="AE947" s="237"/>
      <c r="AF947" s="237"/>
      <c r="AG947" s="237"/>
      <c r="AH947" s="237"/>
      <c r="AI947" s="308"/>
      <c r="AJ947" s="308"/>
      <c r="AK947" s="308"/>
      <c r="AL947" s="308"/>
      <c r="AM947" s="98"/>
      <c r="AN947" s="98"/>
    </row>
    <row r="948" ht="14.25" customHeight="1">
      <c r="A948" s="179"/>
      <c r="B948" s="98"/>
      <c r="C948" s="98"/>
      <c r="D948" s="98"/>
      <c r="E948" s="98"/>
      <c r="F948" s="235"/>
      <c r="G948" s="235"/>
      <c r="H948" s="236"/>
      <c r="I948" s="236"/>
      <c r="J948" s="236"/>
      <c r="K948" s="236"/>
      <c r="L948" s="236"/>
      <c r="M948" s="236"/>
      <c r="N948" s="236"/>
      <c r="O948" s="236"/>
      <c r="P948" s="236"/>
      <c r="Q948" s="236"/>
      <c r="R948" s="236"/>
      <c r="S948" s="236"/>
      <c r="T948" s="236"/>
      <c r="U948" s="236"/>
      <c r="V948" s="236"/>
      <c r="W948" s="237"/>
      <c r="X948" s="237"/>
      <c r="Y948" s="237"/>
      <c r="Z948" s="237"/>
      <c r="AA948" s="237"/>
      <c r="AB948" s="237"/>
      <c r="AC948" s="237"/>
      <c r="AD948" s="237"/>
      <c r="AE948" s="237"/>
      <c r="AF948" s="237"/>
      <c r="AG948" s="237"/>
      <c r="AH948" s="237"/>
      <c r="AI948" s="308"/>
      <c r="AJ948" s="308"/>
      <c r="AK948" s="308"/>
      <c r="AL948" s="308"/>
      <c r="AM948" s="98"/>
      <c r="AN948" s="98"/>
    </row>
    <row r="949" ht="14.25" customHeight="1">
      <c r="A949" s="179"/>
      <c r="B949" s="98"/>
      <c r="C949" s="98"/>
      <c r="D949" s="98"/>
      <c r="E949" s="98"/>
      <c r="F949" s="235"/>
      <c r="G949" s="235"/>
      <c r="H949" s="236"/>
      <c r="I949" s="236"/>
      <c r="J949" s="236"/>
      <c r="K949" s="236"/>
      <c r="L949" s="236"/>
      <c r="M949" s="236"/>
      <c r="N949" s="236"/>
      <c r="O949" s="236"/>
      <c r="P949" s="236"/>
      <c r="Q949" s="236"/>
      <c r="R949" s="236"/>
      <c r="S949" s="236"/>
      <c r="T949" s="236"/>
      <c r="U949" s="236"/>
      <c r="V949" s="236"/>
      <c r="W949" s="237"/>
      <c r="X949" s="237"/>
      <c r="Y949" s="237"/>
      <c r="Z949" s="237"/>
      <c r="AA949" s="237"/>
      <c r="AB949" s="237"/>
      <c r="AC949" s="237"/>
      <c r="AD949" s="237"/>
      <c r="AE949" s="237"/>
      <c r="AF949" s="237"/>
      <c r="AG949" s="237"/>
      <c r="AH949" s="237"/>
      <c r="AI949" s="308"/>
      <c r="AJ949" s="308"/>
      <c r="AK949" s="308"/>
      <c r="AL949" s="308"/>
      <c r="AM949" s="98"/>
      <c r="AN949" s="98"/>
    </row>
    <row r="950" ht="14.25" customHeight="1">
      <c r="A950" s="179"/>
      <c r="B950" s="98"/>
      <c r="C950" s="98"/>
      <c r="D950" s="98"/>
      <c r="E950" s="98"/>
      <c r="F950" s="235"/>
      <c r="G950" s="235"/>
      <c r="H950" s="236"/>
      <c r="I950" s="236"/>
      <c r="J950" s="236"/>
      <c r="K950" s="236"/>
      <c r="L950" s="236"/>
      <c r="M950" s="236"/>
      <c r="N950" s="236"/>
      <c r="O950" s="236"/>
      <c r="P950" s="236"/>
      <c r="Q950" s="236"/>
      <c r="R950" s="236"/>
      <c r="S950" s="236"/>
      <c r="T950" s="236"/>
      <c r="U950" s="236"/>
      <c r="V950" s="236"/>
      <c r="W950" s="237"/>
      <c r="X950" s="237"/>
      <c r="Y950" s="237"/>
      <c r="Z950" s="237"/>
      <c r="AA950" s="237"/>
      <c r="AB950" s="237"/>
      <c r="AC950" s="237"/>
      <c r="AD950" s="237"/>
      <c r="AE950" s="237"/>
      <c r="AF950" s="237"/>
      <c r="AG950" s="237"/>
      <c r="AH950" s="237"/>
      <c r="AI950" s="308"/>
      <c r="AJ950" s="308"/>
      <c r="AK950" s="308"/>
      <c r="AL950" s="308"/>
      <c r="AM950" s="98"/>
      <c r="AN950" s="98"/>
    </row>
    <row r="951" ht="14.25" customHeight="1">
      <c r="A951" s="179"/>
      <c r="B951" s="98"/>
      <c r="C951" s="98"/>
      <c r="D951" s="98"/>
      <c r="E951" s="98"/>
      <c r="F951" s="235"/>
      <c r="G951" s="235"/>
      <c r="H951" s="236"/>
      <c r="I951" s="236"/>
      <c r="J951" s="236"/>
      <c r="K951" s="236"/>
      <c r="L951" s="236"/>
      <c r="M951" s="236"/>
      <c r="N951" s="236"/>
      <c r="O951" s="236"/>
      <c r="P951" s="236"/>
      <c r="Q951" s="236"/>
      <c r="R951" s="236"/>
      <c r="S951" s="236"/>
      <c r="T951" s="236"/>
      <c r="U951" s="236"/>
      <c r="V951" s="236"/>
      <c r="W951" s="237"/>
      <c r="X951" s="237"/>
      <c r="Y951" s="237"/>
      <c r="Z951" s="237"/>
      <c r="AA951" s="237"/>
      <c r="AB951" s="237"/>
      <c r="AC951" s="237"/>
      <c r="AD951" s="237"/>
      <c r="AE951" s="237"/>
      <c r="AF951" s="237"/>
      <c r="AG951" s="237"/>
      <c r="AH951" s="237"/>
      <c r="AI951" s="308"/>
      <c r="AJ951" s="308"/>
      <c r="AK951" s="308"/>
      <c r="AL951" s="308"/>
      <c r="AM951" s="98"/>
      <c r="AN951" s="98"/>
    </row>
    <row r="952" ht="14.25" customHeight="1">
      <c r="A952" s="179"/>
      <c r="B952" s="98"/>
      <c r="C952" s="98"/>
      <c r="D952" s="98"/>
      <c r="E952" s="98"/>
      <c r="F952" s="235"/>
      <c r="G952" s="235"/>
      <c r="H952" s="236"/>
      <c r="I952" s="236"/>
      <c r="J952" s="236"/>
      <c r="K952" s="236"/>
      <c r="L952" s="236"/>
      <c r="M952" s="236"/>
      <c r="N952" s="236"/>
      <c r="O952" s="236"/>
      <c r="P952" s="236"/>
      <c r="Q952" s="236"/>
      <c r="R952" s="236"/>
      <c r="S952" s="236"/>
      <c r="T952" s="236"/>
      <c r="U952" s="236"/>
      <c r="V952" s="236"/>
      <c r="W952" s="237"/>
      <c r="X952" s="237"/>
      <c r="Y952" s="237"/>
      <c r="Z952" s="237"/>
      <c r="AA952" s="237"/>
      <c r="AB952" s="237"/>
      <c r="AC952" s="237"/>
      <c r="AD952" s="237"/>
      <c r="AE952" s="237"/>
      <c r="AF952" s="237"/>
      <c r="AG952" s="237"/>
      <c r="AH952" s="237"/>
      <c r="AI952" s="308"/>
      <c r="AJ952" s="308"/>
      <c r="AK952" s="308"/>
      <c r="AL952" s="308"/>
      <c r="AM952" s="98"/>
      <c r="AN952" s="98"/>
    </row>
    <row r="953" ht="14.25" customHeight="1">
      <c r="A953" s="179"/>
      <c r="B953" s="98"/>
      <c r="C953" s="98"/>
      <c r="D953" s="98"/>
      <c r="E953" s="98"/>
      <c r="F953" s="235"/>
      <c r="G953" s="235"/>
      <c r="H953" s="236"/>
      <c r="I953" s="236"/>
      <c r="J953" s="236"/>
      <c r="K953" s="236"/>
      <c r="L953" s="236"/>
      <c r="M953" s="236"/>
      <c r="N953" s="236"/>
      <c r="O953" s="236"/>
      <c r="P953" s="236"/>
      <c r="Q953" s="236"/>
      <c r="R953" s="236"/>
      <c r="S953" s="236"/>
      <c r="T953" s="236"/>
      <c r="U953" s="236"/>
      <c r="V953" s="236"/>
      <c r="W953" s="237"/>
      <c r="X953" s="237"/>
      <c r="Y953" s="237"/>
      <c r="Z953" s="237"/>
      <c r="AA953" s="237"/>
      <c r="AB953" s="237"/>
      <c r="AC953" s="237"/>
      <c r="AD953" s="237"/>
      <c r="AE953" s="237"/>
      <c r="AF953" s="237"/>
      <c r="AG953" s="237"/>
      <c r="AH953" s="237"/>
      <c r="AI953" s="308"/>
      <c r="AJ953" s="308"/>
      <c r="AK953" s="308"/>
      <c r="AL953" s="308"/>
      <c r="AM953" s="98"/>
      <c r="AN953" s="98"/>
    </row>
    <row r="954" ht="14.25" customHeight="1">
      <c r="A954" s="179"/>
      <c r="B954" s="98"/>
      <c r="C954" s="98"/>
      <c r="D954" s="98"/>
      <c r="E954" s="98"/>
      <c r="F954" s="235"/>
      <c r="G954" s="235"/>
      <c r="H954" s="236"/>
      <c r="I954" s="236"/>
      <c r="J954" s="236"/>
      <c r="K954" s="236"/>
      <c r="L954" s="236"/>
      <c r="M954" s="236"/>
      <c r="N954" s="236"/>
      <c r="O954" s="236"/>
      <c r="P954" s="236"/>
      <c r="Q954" s="236"/>
      <c r="R954" s="236"/>
      <c r="S954" s="236"/>
      <c r="T954" s="236"/>
      <c r="U954" s="236"/>
      <c r="V954" s="236"/>
      <c r="W954" s="237"/>
      <c r="X954" s="237"/>
      <c r="Y954" s="237"/>
      <c r="Z954" s="237"/>
      <c r="AA954" s="237"/>
      <c r="AB954" s="237"/>
      <c r="AC954" s="237"/>
      <c r="AD954" s="237"/>
      <c r="AE954" s="237"/>
      <c r="AF954" s="237"/>
      <c r="AG954" s="237"/>
      <c r="AH954" s="237"/>
      <c r="AI954" s="308"/>
      <c r="AJ954" s="308"/>
      <c r="AK954" s="308"/>
      <c r="AL954" s="308"/>
      <c r="AM954" s="98"/>
      <c r="AN954" s="98"/>
    </row>
    <row r="955" ht="14.25" customHeight="1">
      <c r="A955" s="179"/>
      <c r="B955" s="98"/>
      <c r="C955" s="98"/>
      <c r="D955" s="98"/>
      <c r="E955" s="98"/>
      <c r="F955" s="235"/>
      <c r="G955" s="235"/>
      <c r="H955" s="236"/>
      <c r="I955" s="236"/>
      <c r="J955" s="236"/>
      <c r="K955" s="236"/>
      <c r="L955" s="236"/>
      <c r="M955" s="236"/>
      <c r="N955" s="236"/>
      <c r="O955" s="236"/>
      <c r="P955" s="236"/>
      <c r="Q955" s="236"/>
      <c r="R955" s="236"/>
      <c r="S955" s="236"/>
      <c r="T955" s="236"/>
      <c r="U955" s="236"/>
      <c r="V955" s="236"/>
      <c r="W955" s="237"/>
      <c r="X955" s="237"/>
      <c r="Y955" s="237"/>
      <c r="Z955" s="237"/>
      <c r="AA955" s="237"/>
      <c r="AB955" s="237"/>
      <c r="AC955" s="237"/>
      <c r="AD955" s="237"/>
      <c r="AE955" s="237"/>
      <c r="AF955" s="237"/>
      <c r="AG955" s="237"/>
      <c r="AH955" s="237"/>
      <c r="AI955" s="308"/>
      <c r="AJ955" s="308"/>
      <c r="AK955" s="308"/>
      <c r="AL955" s="308"/>
      <c r="AM955" s="98"/>
      <c r="AN955" s="98"/>
    </row>
    <row r="956" ht="14.25" customHeight="1">
      <c r="A956" s="179"/>
      <c r="B956" s="98"/>
      <c r="C956" s="98"/>
      <c r="D956" s="98"/>
      <c r="E956" s="98"/>
      <c r="F956" s="235"/>
      <c r="G956" s="235"/>
      <c r="H956" s="236"/>
      <c r="I956" s="236"/>
      <c r="J956" s="236"/>
      <c r="K956" s="236"/>
      <c r="L956" s="236"/>
      <c r="M956" s="236"/>
      <c r="N956" s="236"/>
      <c r="O956" s="236"/>
      <c r="P956" s="236"/>
      <c r="Q956" s="236"/>
      <c r="R956" s="236"/>
      <c r="S956" s="236"/>
      <c r="T956" s="236"/>
      <c r="U956" s="236"/>
      <c r="V956" s="236"/>
      <c r="W956" s="237"/>
      <c r="X956" s="237"/>
      <c r="Y956" s="237"/>
      <c r="Z956" s="237"/>
      <c r="AA956" s="237"/>
      <c r="AB956" s="237"/>
      <c r="AC956" s="237"/>
      <c r="AD956" s="237"/>
      <c r="AE956" s="237"/>
      <c r="AF956" s="237"/>
      <c r="AG956" s="237"/>
      <c r="AH956" s="237"/>
      <c r="AI956" s="308"/>
      <c r="AJ956" s="308"/>
      <c r="AK956" s="308"/>
      <c r="AL956" s="308"/>
      <c r="AM956" s="98"/>
      <c r="AN956" s="98"/>
    </row>
    <row r="957" ht="14.25" customHeight="1">
      <c r="A957" s="179"/>
      <c r="B957" s="98"/>
      <c r="C957" s="98"/>
      <c r="D957" s="98"/>
      <c r="E957" s="98"/>
      <c r="F957" s="235"/>
      <c r="G957" s="235"/>
      <c r="H957" s="236"/>
      <c r="I957" s="236"/>
      <c r="J957" s="236"/>
      <c r="K957" s="236"/>
      <c r="L957" s="236"/>
      <c r="M957" s="236"/>
      <c r="N957" s="236"/>
      <c r="O957" s="236"/>
      <c r="P957" s="236"/>
      <c r="Q957" s="236"/>
      <c r="R957" s="236"/>
      <c r="S957" s="236"/>
      <c r="T957" s="236"/>
      <c r="U957" s="236"/>
      <c r="V957" s="236"/>
      <c r="W957" s="237"/>
      <c r="X957" s="237"/>
      <c r="Y957" s="237"/>
      <c r="Z957" s="237"/>
      <c r="AA957" s="237"/>
      <c r="AB957" s="237"/>
      <c r="AC957" s="237"/>
      <c r="AD957" s="237"/>
      <c r="AE957" s="237"/>
      <c r="AF957" s="237"/>
      <c r="AG957" s="237"/>
      <c r="AH957" s="237"/>
      <c r="AI957" s="308"/>
      <c r="AJ957" s="308"/>
      <c r="AK957" s="308"/>
      <c r="AL957" s="308"/>
      <c r="AM957" s="98"/>
      <c r="AN957" s="98"/>
    </row>
    <row r="958" ht="14.25" customHeight="1">
      <c r="A958" s="179"/>
      <c r="B958" s="98"/>
      <c r="C958" s="98"/>
      <c r="D958" s="98"/>
      <c r="E958" s="98"/>
      <c r="F958" s="235"/>
      <c r="G958" s="235"/>
      <c r="H958" s="236"/>
      <c r="I958" s="236"/>
      <c r="J958" s="236"/>
      <c r="K958" s="236"/>
      <c r="L958" s="236"/>
      <c r="M958" s="236"/>
      <c r="N958" s="236"/>
      <c r="O958" s="236"/>
      <c r="P958" s="236"/>
      <c r="Q958" s="236"/>
      <c r="R958" s="236"/>
      <c r="S958" s="236"/>
      <c r="T958" s="236"/>
      <c r="U958" s="236"/>
      <c r="V958" s="236"/>
      <c r="W958" s="237"/>
      <c r="X958" s="237"/>
      <c r="Y958" s="237"/>
      <c r="Z958" s="237"/>
      <c r="AA958" s="237"/>
      <c r="AB958" s="237"/>
      <c r="AC958" s="237"/>
      <c r="AD958" s="237"/>
      <c r="AE958" s="237"/>
      <c r="AF958" s="237"/>
      <c r="AG958" s="237"/>
      <c r="AH958" s="237"/>
      <c r="AI958" s="308"/>
      <c r="AJ958" s="308"/>
      <c r="AK958" s="308"/>
      <c r="AL958" s="308"/>
      <c r="AM958" s="98"/>
      <c r="AN958" s="98"/>
    </row>
    <row r="959" ht="14.25" customHeight="1">
      <c r="A959" s="179"/>
      <c r="B959" s="98"/>
      <c r="C959" s="98"/>
      <c r="D959" s="98"/>
      <c r="E959" s="98"/>
      <c r="F959" s="235"/>
      <c r="G959" s="235"/>
      <c r="H959" s="236"/>
      <c r="I959" s="236"/>
      <c r="J959" s="236"/>
      <c r="K959" s="236"/>
      <c r="L959" s="236"/>
      <c r="M959" s="236"/>
      <c r="N959" s="236"/>
      <c r="O959" s="236"/>
      <c r="P959" s="236"/>
      <c r="Q959" s="236"/>
      <c r="R959" s="236"/>
      <c r="S959" s="236"/>
      <c r="T959" s="236"/>
      <c r="U959" s="236"/>
      <c r="V959" s="236"/>
      <c r="W959" s="237"/>
      <c r="X959" s="237"/>
      <c r="Y959" s="237"/>
      <c r="Z959" s="237"/>
      <c r="AA959" s="237"/>
      <c r="AB959" s="237"/>
      <c r="AC959" s="237"/>
      <c r="AD959" s="237"/>
      <c r="AE959" s="237"/>
      <c r="AF959" s="237"/>
      <c r="AG959" s="237"/>
      <c r="AH959" s="237"/>
      <c r="AI959" s="308"/>
      <c r="AJ959" s="308"/>
      <c r="AK959" s="308"/>
      <c r="AL959" s="308"/>
      <c r="AM959" s="98"/>
      <c r="AN959" s="98"/>
    </row>
    <row r="960" ht="14.25" customHeight="1">
      <c r="A960" s="179"/>
      <c r="B960" s="98"/>
      <c r="C960" s="98"/>
      <c r="D960" s="98"/>
      <c r="E960" s="98"/>
      <c r="F960" s="235"/>
      <c r="G960" s="235"/>
      <c r="H960" s="236"/>
      <c r="I960" s="236"/>
      <c r="J960" s="236"/>
      <c r="K960" s="236"/>
      <c r="L960" s="236"/>
      <c r="M960" s="236"/>
      <c r="N960" s="236"/>
      <c r="O960" s="236"/>
      <c r="P960" s="236"/>
      <c r="Q960" s="236"/>
      <c r="R960" s="236"/>
      <c r="S960" s="236"/>
      <c r="T960" s="236"/>
      <c r="U960" s="236"/>
      <c r="V960" s="236"/>
      <c r="W960" s="237"/>
      <c r="X960" s="237"/>
      <c r="Y960" s="237"/>
      <c r="Z960" s="237"/>
      <c r="AA960" s="237"/>
      <c r="AB960" s="237"/>
      <c r="AC960" s="237"/>
      <c r="AD960" s="237"/>
      <c r="AE960" s="237"/>
      <c r="AF960" s="237"/>
      <c r="AG960" s="237"/>
      <c r="AH960" s="237"/>
      <c r="AI960" s="308"/>
      <c r="AJ960" s="308"/>
      <c r="AK960" s="308"/>
      <c r="AL960" s="308"/>
      <c r="AM960" s="98"/>
      <c r="AN960" s="98"/>
    </row>
    <row r="961" ht="14.25" customHeight="1">
      <c r="A961" s="179"/>
      <c r="B961" s="98"/>
      <c r="C961" s="98"/>
      <c r="D961" s="98"/>
      <c r="E961" s="98"/>
      <c r="F961" s="235"/>
      <c r="G961" s="235"/>
      <c r="H961" s="236"/>
      <c r="I961" s="236"/>
      <c r="J961" s="236"/>
      <c r="K961" s="236"/>
      <c r="L961" s="236"/>
      <c r="M961" s="236"/>
      <c r="N961" s="236"/>
      <c r="O961" s="236"/>
      <c r="P961" s="236"/>
      <c r="Q961" s="236"/>
      <c r="R961" s="236"/>
      <c r="S961" s="236"/>
      <c r="T961" s="236"/>
      <c r="U961" s="236"/>
      <c r="V961" s="236"/>
      <c r="W961" s="237"/>
      <c r="X961" s="237"/>
      <c r="Y961" s="237"/>
      <c r="Z961" s="237"/>
      <c r="AA961" s="237"/>
      <c r="AB961" s="237"/>
      <c r="AC961" s="237"/>
      <c r="AD961" s="237"/>
      <c r="AE961" s="237"/>
      <c r="AF961" s="237"/>
      <c r="AG961" s="237"/>
      <c r="AH961" s="237"/>
      <c r="AI961" s="308"/>
      <c r="AJ961" s="308"/>
      <c r="AK961" s="308"/>
      <c r="AL961" s="308"/>
      <c r="AM961" s="98"/>
      <c r="AN961" s="98"/>
    </row>
    <row r="962" ht="14.25" customHeight="1">
      <c r="A962" s="179"/>
      <c r="B962" s="98"/>
      <c r="C962" s="98"/>
      <c r="D962" s="98"/>
      <c r="E962" s="98"/>
      <c r="F962" s="235"/>
      <c r="G962" s="235"/>
      <c r="H962" s="236"/>
      <c r="I962" s="236"/>
      <c r="J962" s="236"/>
      <c r="K962" s="236"/>
      <c r="L962" s="236"/>
      <c r="M962" s="236"/>
      <c r="N962" s="236"/>
      <c r="O962" s="236"/>
      <c r="P962" s="236"/>
      <c r="Q962" s="236"/>
      <c r="R962" s="236"/>
      <c r="S962" s="236"/>
      <c r="T962" s="236"/>
      <c r="U962" s="236"/>
      <c r="V962" s="236"/>
      <c r="W962" s="237"/>
      <c r="X962" s="237"/>
      <c r="Y962" s="237"/>
      <c r="Z962" s="237"/>
      <c r="AA962" s="237"/>
      <c r="AB962" s="237"/>
      <c r="AC962" s="237"/>
      <c r="AD962" s="237"/>
      <c r="AE962" s="237"/>
      <c r="AF962" s="237"/>
      <c r="AG962" s="237"/>
      <c r="AH962" s="237"/>
      <c r="AI962" s="308"/>
      <c r="AJ962" s="308"/>
      <c r="AK962" s="308"/>
      <c r="AL962" s="308"/>
      <c r="AM962" s="98"/>
      <c r="AN962" s="98"/>
    </row>
    <row r="963" ht="14.25" customHeight="1">
      <c r="A963" s="179"/>
      <c r="B963" s="98"/>
      <c r="C963" s="98"/>
      <c r="D963" s="98"/>
      <c r="E963" s="98"/>
      <c r="F963" s="235"/>
      <c r="G963" s="235"/>
      <c r="H963" s="236"/>
      <c r="I963" s="236"/>
      <c r="J963" s="236"/>
      <c r="K963" s="236"/>
      <c r="L963" s="236"/>
      <c r="M963" s="236"/>
      <c r="N963" s="236"/>
      <c r="O963" s="236"/>
      <c r="P963" s="236"/>
      <c r="Q963" s="236"/>
      <c r="R963" s="236"/>
      <c r="S963" s="236"/>
      <c r="T963" s="236"/>
      <c r="U963" s="236"/>
      <c r="V963" s="236"/>
      <c r="W963" s="237"/>
      <c r="X963" s="237"/>
      <c r="Y963" s="237"/>
      <c r="Z963" s="237"/>
      <c r="AA963" s="237"/>
      <c r="AB963" s="237"/>
      <c r="AC963" s="237"/>
      <c r="AD963" s="237"/>
      <c r="AE963" s="237"/>
      <c r="AF963" s="237"/>
      <c r="AG963" s="237"/>
      <c r="AH963" s="237"/>
      <c r="AI963" s="308"/>
      <c r="AJ963" s="308"/>
      <c r="AK963" s="308"/>
      <c r="AL963" s="308"/>
      <c r="AM963" s="98"/>
      <c r="AN963" s="98"/>
    </row>
    <row r="964" ht="14.25" customHeight="1">
      <c r="A964" s="179"/>
      <c r="B964" s="98"/>
      <c r="C964" s="98"/>
      <c r="D964" s="98"/>
      <c r="E964" s="98"/>
      <c r="F964" s="235"/>
      <c r="G964" s="235"/>
      <c r="H964" s="236"/>
      <c r="I964" s="236"/>
      <c r="J964" s="236"/>
      <c r="K964" s="236"/>
      <c r="L964" s="236"/>
      <c r="M964" s="236"/>
      <c r="N964" s="236"/>
      <c r="O964" s="236"/>
      <c r="P964" s="236"/>
      <c r="Q964" s="236"/>
      <c r="R964" s="236"/>
      <c r="S964" s="236"/>
      <c r="T964" s="236"/>
      <c r="U964" s="236"/>
      <c r="V964" s="236"/>
      <c r="W964" s="237"/>
      <c r="X964" s="237"/>
      <c r="Y964" s="237"/>
      <c r="Z964" s="237"/>
      <c r="AA964" s="237"/>
      <c r="AB964" s="237"/>
      <c r="AC964" s="237"/>
      <c r="AD964" s="237"/>
      <c r="AE964" s="237"/>
      <c r="AF964" s="237"/>
      <c r="AG964" s="237"/>
      <c r="AH964" s="237"/>
      <c r="AI964" s="308"/>
      <c r="AJ964" s="308"/>
      <c r="AK964" s="308"/>
      <c r="AL964" s="308"/>
      <c r="AM964" s="98"/>
      <c r="AN964" s="98"/>
    </row>
    <row r="965" ht="14.25" customHeight="1">
      <c r="A965" s="179"/>
      <c r="B965" s="98"/>
      <c r="C965" s="98"/>
      <c r="D965" s="98"/>
      <c r="E965" s="98"/>
      <c r="F965" s="235"/>
      <c r="G965" s="235"/>
      <c r="H965" s="236"/>
      <c r="I965" s="236"/>
      <c r="J965" s="236"/>
      <c r="K965" s="236"/>
      <c r="L965" s="236"/>
      <c r="M965" s="236"/>
      <c r="N965" s="236"/>
      <c r="O965" s="236"/>
      <c r="P965" s="236"/>
      <c r="Q965" s="236"/>
      <c r="R965" s="236"/>
      <c r="S965" s="236"/>
      <c r="T965" s="236"/>
      <c r="U965" s="236"/>
      <c r="V965" s="236"/>
      <c r="W965" s="237"/>
      <c r="X965" s="237"/>
      <c r="Y965" s="237"/>
      <c r="Z965" s="237"/>
      <c r="AA965" s="237"/>
      <c r="AB965" s="237"/>
      <c r="AC965" s="237"/>
      <c r="AD965" s="237"/>
      <c r="AE965" s="237"/>
      <c r="AF965" s="237"/>
      <c r="AG965" s="237"/>
      <c r="AH965" s="237"/>
      <c r="AI965" s="308"/>
      <c r="AJ965" s="308"/>
      <c r="AK965" s="308"/>
      <c r="AL965" s="308"/>
      <c r="AM965" s="98"/>
      <c r="AN965" s="98"/>
    </row>
    <row r="966" ht="14.25" customHeight="1">
      <c r="A966" s="179"/>
      <c r="B966" s="98"/>
      <c r="C966" s="98"/>
      <c r="D966" s="98"/>
      <c r="E966" s="98"/>
      <c r="F966" s="235"/>
      <c r="G966" s="235"/>
      <c r="H966" s="236"/>
      <c r="I966" s="236"/>
      <c r="J966" s="236"/>
      <c r="K966" s="236"/>
      <c r="L966" s="236"/>
      <c r="M966" s="236"/>
      <c r="N966" s="236"/>
      <c r="O966" s="236"/>
      <c r="P966" s="236"/>
      <c r="Q966" s="236"/>
      <c r="R966" s="236"/>
      <c r="S966" s="236"/>
      <c r="T966" s="236"/>
      <c r="U966" s="236"/>
      <c r="V966" s="236"/>
      <c r="W966" s="237"/>
      <c r="X966" s="237"/>
      <c r="Y966" s="237"/>
      <c r="Z966" s="237"/>
      <c r="AA966" s="237"/>
      <c r="AB966" s="237"/>
      <c r="AC966" s="237"/>
      <c r="AD966" s="237"/>
      <c r="AE966" s="237"/>
      <c r="AF966" s="237"/>
      <c r="AG966" s="237"/>
      <c r="AH966" s="237"/>
      <c r="AI966" s="308"/>
      <c r="AJ966" s="308"/>
      <c r="AK966" s="308"/>
      <c r="AL966" s="308"/>
      <c r="AM966" s="98"/>
      <c r="AN966" s="98"/>
    </row>
    <row r="967" ht="14.25" customHeight="1">
      <c r="A967" s="179"/>
      <c r="B967" s="98"/>
      <c r="C967" s="98"/>
      <c r="D967" s="98"/>
      <c r="E967" s="98"/>
      <c r="F967" s="235"/>
      <c r="G967" s="235"/>
      <c r="H967" s="236"/>
      <c r="I967" s="236"/>
      <c r="J967" s="236"/>
      <c r="K967" s="236"/>
      <c r="L967" s="236"/>
      <c r="M967" s="236"/>
      <c r="N967" s="236"/>
      <c r="O967" s="236"/>
      <c r="P967" s="236"/>
      <c r="Q967" s="236"/>
      <c r="R967" s="236"/>
      <c r="S967" s="236"/>
      <c r="T967" s="236"/>
      <c r="U967" s="236"/>
      <c r="V967" s="236"/>
      <c r="W967" s="237"/>
      <c r="X967" s="237"/>
      <c r="Y967" s="237"/>
      <c r="Z967" s="237"/>
      <c r="AA967" s="237"/>
      <c r="AB967" s="237"/>
      <c r="AC967" s="237"/>
      <c r="AD967" s="237"/>
      <c r="AE967" s="237"/>
      <c r="AF967" s="237"/>
      <c r="AG967" s="237"/>
      <c r="AH967" s="237"/>
      <c r="AI967" s="308"/>
      <c r="AJ967" s="308"/>
      <c r="AK967" s="308"/>
      <c r="AL967" s="308"/>
      <c r="AM967" s="98"/>
      <c r="AN967" s="98"/>
    </row>
    <row r="968" ht="14.25" customHeight="1">
      <c r="A968" s="179"/>
      <c r="B968" s="98"/>
      <c r="C968" s="98"/>
      <c r="D968" s="98"/>
      <c r="E968" s="98"/>
      <c r="F968" s="235"/>
      <c r="G968" s="235"/>
      <c r="H968" s="236"/>
      <c r="I968" s="236"/>
      <c r="J968" s="236"/>
      <c r="K968" s="236"/>
      <c r="L968" s="236"/>
      <c r="M968" s="236"/>
      <c r="N968" s="236"/>
      <c r="O968" s="236"/>
      <c r="P968" s="236"/>
      <c r="Q968" s="236"/>
      <c r="R968" s="236"/>
      <c r="S968" s="236"/>
      <c r="T968" s="236"/>
      <c r="U968" s="236"/>
      <c r="V968" s="236"/>
      <c r="W968" s="237"/>
      <c r="X968" s="237"/>
      <c r="Y968" s="237"/>
      <c r="Z968" s="237"/>
      <c r="AA968" s="237"/>
      <c r="AB968" s="237"/>
      <c r="AC968" s="237"/>
      <c r="AD968" s="237"/>
      <c r="AE968" s="237"/>
      <c r="AF968" s="237"/>
      <c r="AG968" s="237"/>
      <c r="AH968" s="237"/>
      <c r="AI968" s="308"/>
      <c r="AJ968" s="308"/>
      <c r="AK968" s="308"/>
      <c r="AL968" s="308"/>
      <c r="AM968" s="98"/>
      <c r="AN968" s="98"/>
    </row>
    <row r="969" ht="14.25" customHeight="1">
      <c r="A969" s="179"/>
      <c r="B969" s="98"/>
      <c r="C969" s="98"/>
      <c r="D969" s="98"/>
      <c r="E969" s="98"/>
      <c r="F969" s="235"/>
      <c r="G969" s="235"/>
      <c r="H969" s="236"/>
      <c r="I969" s="236"/>
      <c r="J969" s="236"/>
      <c r="K969" s="236"/>
      <c r="L969" s="236"/>
      <c r="M969" s="236"/>
      <c r="N969" s="236"/>
      <c r="O969" s="236"/>
      <c r="P969" s="236"/>
      <c r="Q969" s="236"/>
      <c r="R969" s="236"/>
      <c r="S969" s="236"/>
      <c r="T969" s="236"/>
      <c r="U969" s="236"/>
      <c r="V969" s="236"/>
      <c r="W969" s="237"/>
      <c r="X969" s="237"/>
      <c r="Y969" s="237"/>
      <c r="Z969" s="237"/>
      <c r="AA969" s="237"/>
      <c r="AB969" s="237"/>
      <c r="AC969" s="237"/>
      <c r="AD969" s="237"/>
      <c r="AE969" s="237"/>
      <c r="AF969" s="237"/>
      <c r="AG969" s="237"/>
      <c r="AH969" s="237"/>
      <c r="AI969" s="308"/>
      <c r="AJ969" s="308"/>
      <c r="AK969" s="308"/>
      <c r="AL969" s="308"/>
      <c r="AM969" s="98"/>
      <c r="AN969" s="98"/>
    </row>
    <row r="970" ht="14.25" customHeight="1">
      <c r="A970" s="179"/>
      <c r="B970" s="98"/>
      <c r="C970" s="98"/>
      <c r="D970" s="98"/>
      <c r="E970" s="98"/>
      <c r="F970" s="235"/>
      <c r="G970" s="235"/>
      <c r="H970" s="236"/>
      <c r="I970" s="236"/>
      <c r="J970" s="236"/>
      <c r="K970" s="236"/>
      <c r="L970" s="236"/>
      <c r="M970" s="236"/>
      <c r="N970" s="236"/>
      <c r="O970" s="236"/>
      <c r="P970" s="236"/>
      <c r="Q970" s="236"/>
      <c r="R970" s="236"/>
      <c r="S970" s="236"/>
      <c r="T970" s="236"/>
      <c r="U970" s="236"/>
      <c r="V970" s="236"/>
      <c r="W970" s="237"/>
      <c r="X970" s="237"/>
      <c r="Y970" s="237"/>
      <c r="Z970" s="237"/>
      <c r="AA970" s="237"/>
      <c r="AB970" s="237"/>
      <c r="AC970" s="237"/>
      <c r="AD970" s="237"/>
      <c r="AE970" s="237"/>
      <c r="AF970" s="237"/>
      <c r="AG970" s="237"/>
      <c r="AH970" s="237"/>
      <c r="AI970" s="308"/>
      <c r="AJ970" s="308"/>
      <c r="AK970" s="308"/>
      <c r="AL970" s="308"/>
      <c r="AM970" s="98"/>
      <c r="AN970" s="98"/>
    </row>
    <row r="971" ht="14.25" customHeight="1">
      <c r="A971" s="179"/>
      <c r="B971" s="98"/>
      <c r="C971" s="98"/>
      <c r="D971" s="98"/>
      <c r="E971" s="98"/>
      <c r="F971" s="235"/>
      <c r="G971" s="235"/>
      <c r="H971" s="236"/>
      <c r="I971" s="236"/>
      <c r="J971" s="236"/>
      <c r="K971" s="236"/>
      <c r="L971" s="236"/>
      <c r="M971" s="236"/>
      <c r="N971" s="236"/>
      <c r="O971" s="236"/>
      <c r="P971" s="236"/>
      <c r="Q971" s="236"/>
      <c r="R971" s="236"/>
      <c r="S971" s="236"/>
      <c r="T971" s="236"/>
      <c r="U971" s="236"/>
      <c r="V971" s="236"/>
      <c r="W971" s="237"/>
      <c r="X971" s="237"/>
      <c r="Y971" s="237"/>
      <c r="Z971" s="237"/>
      <c r="AA971" s="237"/>
      <c r="AB971" s="237"/>
      <c r="AC971" s="237"/>
      <c r="AD971" s="237"/>
      <c r="AE971" s="237"/>
      <c r="AF971" s="237"/>
      <c r="AG971" s="237"/>
      <c r="AH971" s="237"/>
      <c r="AI971" s="308"/>
      <c r="AJ971" s="308"/>
      <c r="AK971" s="308"/>
      <c r="AL971" s="308"/>
      <c r="AM971" s="98"/>
      <c r="AN971" s="98"/>
    </row>
    <row r="972" ht="14.25" customHeight="1">
      <c r="A972" s="179"/>
      <c r="B972" s="98"/>
      <c r="C972" s="98"/>
      <c r="D972" s="98"/>
      <c r="E972" s="98"/>
      <c r="F972" s="235"/>
      <c r="G972" s="235"/>
      <c r="H972" s="236"/>
      <c r="I972" s="236"/>
      <c r="J972" s="236"/>
      <c r="K972" s="236"/>
      <c r="L972" s="236"/>
      <c r="M972" s="236"/>
      <c r="N972" s="236"/>
      <c r="O972" s="236"/>
      <c r="P972" s="236"/>
      <c r="Q972" s="236"/>
      <c r="R972" s="236"/>
      <c r="S972" s="236"/>
      <c r="T972" s="236"/>
      <c r="U972" s="236"/>
      <c r="V972" s="236"/>
      <c r="W972" s="237"/>
      <c r="X972" s="237"/>
      <c r="Y972" s="237"/>
      <c r="Z972" s="237"/>
      <c r="AA972" s="237"/>
      <c r="AB972" s="237"/>
      <c r="AC972" s="237"/>
      <c r="AD972" s="237"/>
      <c r="AE972" s="237"/>
      <c r="AF972" s="237"/>
      <c r="AG972" s="237"/>
      <c r="AH972" s="237"/>
      <c r="AI972" s="308"/>
      <c r="AJ972" s="308"/>
      <c r="AK972" s="308"/>
      <c r="AL972" s="308"/>
      <c r="AM972" s="98"/>
      <c r="AN972" s="98"/>
    </row>
    <row r="973" ht="14.25" customHeight="1">
      <c r="A973" s="179"/>
      <c r="B973" s="98"/>
      <c r="C973" s="98"/>
      <c r="D973" s="98"/>
      <c r="E973" s="98"/>
      <c r="F973" s="235"/>
      <c r="G973" s="235"/>
      <c r="H973" s="236"/>
      <c r="I973" s="236"/>
      <c r="J973" s="236"/>
      <c r="K973" s="236"/>
      <c r="L973" s="236"/>
      <c r="M973" s="236"/>
      <c r="N973" s="236"/>
      <c r="O973" s="236"/>
      <c r="P973" s="236"/>
      <c r="Q973" s="236"/>
      <c r="R973" s="236"/>
      <c r="S973" s="236"/>
      <c r="T973" s="236"/>
      <c r="U973" s="236"/>
      <c r="V973" s="236"/>
      <c r="W973" s="237"/>
      <c r="X973" s="237"/>
      <c r="Y973" s="237"/>
      <c r="Z973" s="237"/>
      <c r="AA973" s="237"/>
      <c r="AB973" s="237"/>
      <c r="AC973" s="237"/>
      <c r="AD973" s="237"/>
      <c r="AE973" s="237"/>
      <c r="AF973" s="237"/>
      <c r="AG973" s="237"/>
      <c r="AH973" s="237"/>
      <c r="AI973" s="308"/>
      <c r="AJ973" s="308"/>
      <c r="AK973" s="308"/>
      <c r="AL973" s="308"/>
      <c r="AM973" s="98"/>
      <c r="AN973" s="98"/>
    </row>
    <row r="974" ht="14.25" customHeight="1">
      <c r="A974" s="179"/>
      <c r="B974" s="98"/>
      <c r="C974" s="98"/>
      <c r="D974" s="98"/>
      <c r="E974" s="98"/>
      <c r="F974" s="235"/>
      <c r="G974" s="235"/>
      <c r="H974" s="236"/>
      <c r="I974" s="236"/>
      <c r="J974" s="236"/>
      <c r="K974" s="236"/>
      <c r="L974" s="236"/>
      <c r="M974" s="236"/>
      <c r="N974" s="236"/>
      <c r="O974" s="236"/>
      <c r="P974" s="236"/>
      <c r="Q974" s="236"/>
      <c r="R974" s="236"/>
      <c r="S974" s="236"/>
      <c r="T974" s="236"/>
      <c r="U974" s="236"/>
      <c r="V974" s="236"/>
      <c r="W974" s="237"/>
      <c r="X974" s="237"/>
      <c r="Y974" s="237"/>
      <c r="Z974" s="237"/>
      <c r="AA974" s="237"/>
      <c r="AB974" s="237"/>
      <c r="AC974" s="237"/>
      <c r="AD974" s="237"/>
      <c r="AE974" s="237"/>
      <c r="AF974" s="237"/>
      <c r="AG974" s="237"/>
      <c r="AH974" s="237"/>
      <c r="AI974" s="308"/>
      <c r="AJ974" s="308"/>
      <c r="AK974" s="308"/>
      <c r="AL974" s="308"/>
      <c r="AM974" s="98"/>
      <c r="AN974" s="98"/>
    </row>
    <row r="975" ht="14.25" customHeight="1">
      <c r="A975" s="179"/>
      <c r="B975" s="98"/>
      <c r="C975" s="98"/>
      <c r="D975" s="98"/>
      <c r="E975" s="98"/>
      <c r="F975" s="235"/>
      <c r="G975" s="235"/>
      <c r="H975" s="236"/>
      <c r="I975" s="236"/>
      <c r="J975" s="236"/>
      <c r="K975" s="236"/>
      <c r="L975" s="236"/>
      <c r="M975" s="236"/>
      <c r="N975" s="236"/>
      <c r="O975" s="236"/>
      <c r="P975" s="236"/>
      <c r="Q975" s="236"/>
      <c r="R975" s="236"/>
      <c r="S975" s="236"/>
      <c r="T975" s="236"/>
      <c r="U975" s="236"/>
      <c r="V975" s="236"/>
      <c r="W975" s="237"/>
      <c r="X975" s="237"/>
      <c r="Y975" s="237"/>
      <c r="Z975" s="237"/>
      <c r="AA975" s="237"/>
      <c r="AB975" s="237"/>
      <c r="AC975" s="237"/>
      <c r="AD975" s="237"/>
      <c r="AE975" s="237"/>
      <c r="AF975" s="237"/>
      <c r="AG975" s="237"/>
      <c r="AH975" s="237"/>
      <c r="AI975" s="308"/>
      <c r="AJ975" s="308"/>
      <c r="AK975" s="308"/>
      <c r="AL975" s="308"/>
      <c r="AM975" s="98"/>
      <c r="AN975" s="98"/>
    </row>
    <row r="976" ht="14.25" customHeight="1">
      <c r="A976" s="179"/>
      <c r="B976" s="98"/>
      <c r="C976" s="98"/>
      <c r="D976" s="98"/>
      <c r="E976" s="98"/>
      <c r="F976" s="235"/>
      <c r="G976" s="235"/>
      <c r="H976" s="236"/>
      <c r="I976" s="236"/>
      <c r="J976" s="236"/>
      <c r="K976" s="236"/>
      <c r="L976" s="236"/>
      <c r="M976" s="236"/>
      <c r="N976" s="236"/>
      <c r="O976" s="236"/>
      <c r="P976" s="236"/>
      <c r="Q976" s="236"/>
      <c r="R976" s="236"/>
      <c r="S976" s="236"/>
      <c r="T976" s="236"/>
      <c r="U976" s="236"/>
      <c r="V976" s="236"/>
      <c r="W976" s="237"/>
      <c r="X976" s="237"/>
      <c r="Y976" s="237"/>
      <c r="Z976" s="237"/>
      <c r="AA976" s="237"/>
      <c r="AB976" s="237"/>
      <c r="AC976" s="237"/>
      <c r="AD976" s="237"/>
      <c r="AE976" s="237"/>
      <c r="AF976" s="237"/>
      <c r="AG976" s="237"/>
      <c r="AH976" s="237"/>
      <c r="AI976" s="308"/>
      <c r="AJ976" s="308"/>
      <c r="AK976" s="308"/>
      <c r="AL976" s="308"/>
      <c r="AM976" s="98"/>
      <c r="AN976" s="98"/>
    </row>
    <row r="977" ht="14.25" customHeight="1">
      <c r="A977" s="179"/>
      <c r="B977" s="98"/>
      <c r="C977" s="98"/>
      <c r="D977" s="98"/>
      <c r="E977" s="98"/>
      <c r="F977" s="235"/>
      <c r="G977" s="235"/>
      <c r="H977" s="236"/>
      <c r="I977" s="236"/>
      <c r="J977" s="236"/>
      <c r="K977" s="236"/>
      <c r="L977" s="236"/>
      <c r="M977" s="236"/>
      <c r="N977" s="236"/>
      <c r="O977" s="236"/>
      <c r="P977" s="236"/>
      <c r="Q977" s="236"/>
      <c r="R977" s="236"/>
      <c r="S977" s="236"/>
      <c r="T977" s="236"/>
      <c r="U977" s="236"/>
      <c r="V977" s="236"/>
      <c r="W977" s="237"/>
      <c r="X977" s="237"/>
      <c r="Y977" s="237"/>
      <c r="Z977" s="237"/>
      <c r="AA977" s="237"/>
      <c r="AB977" s="237"/>
      <c r="AC977" s="237"/>
      <c r="AD977" s="237"/>
      <c r="AE977" s="237"/>
      <c r="AF977" s="237"/>
      <c r="AG977" s="237"/>
      <c r="AH977" s="237"/>
      <c r="AI977" s="308"/>
      <c r="AJ977" s="308"/>
      <c r="AK977" s="308"/>
      <c r="AL977" s="308"/>
      <c r="AM977" s="98"/>
      <c r="AN977" s="98"/>
    </row>
    <row r="978" ht="14.25" customHeight="1">
      <c r="A978" s="179"/>
      <c r="B978" s="98"/>
      <c r="C978" s="98"/>
      <c r="D978" s="98"/>
      <c r="E978" s="98"/>
      <c r="F978" s="235"/>
      <c r="G978" s="235"/>
      <c r="H978" s="236"/>
      <c r="I978" s="236"/>
      <c r="J978" s="236"/>
      <c r="K978" s="236"/>
      <c r="L978" s="236"/>
      <c r="M978" s="236"/>
      <c r="N978" s="236"/>
      <c r="O978" s="236"/>
      <c r="P978" s="236"/>
      <c r="Q978" s="236"/>
      <c r="R978" s="236"/>
      <c r="S978" s="236"/>
      <c r="T978" s="236"/>
      <c r="U978" s="236"/>
      <c r="V978" s="236"/>
      <c r="W978" s="237"/>
      <c r="X978" s="237"/>
      <c r="Y978" s="237"/>
      <c r="Z978" s="237"/>
      <c r="AA978" s="237"/>
      <c r="AB978" s="237"/>
      <c r="AC978" s="237"/>
      <c r="AD978" s="237"/>
      <c r="AE978" s="237"/>
      <c r="AF978" s="237"/>
      <c r="AG978" s="237"/>
      <c r="AH978" s="237"/>
      <c r="AI978" s="308"/>
      <c r="AJ978" s="308"/>
      <c r="AK978" s="308"/>
      <c r="AL978" s="308"/>
      <c r="AM978" s="98"/>
      <c r="AN978" s="98"/>
    </row>
    <row r="979" ht="14.25" customHeight="1">
      <c r="A979" s="179"/>
      <c r="B979" s="98"/>
      <c r="C979" s="98"/>
      <c r="D979" s="98"/>
      <c r="E979" s="98"/>
      <c r="F979" s="235"/>
      <c r="G979" s="235"/>
      <c r="H979" s="236"/>
      <c r="I979" s="236"/>
      <c r="J979" s="236"/>
      <c r="K979" s="236"/>
      <c r="L979" s="236"/>
      <c r="M979" s="236"/>
      <c r="N979" s="236"/>
      <c r="O979" s="236"/>
      <c r="P979" s="236"/>
      <c r="Q979" s="236"/>
      <c r="R979" s="236"/>
      <c r="S979" s="236"/>
      <c r="T979" s="236"/>
      <c r="U979" s="236"/>
      <c r="V979" s="236"/>
      <c r="W979" s="237"/>
      <c r="X979" s="237"/>
      <c r="Y979" s="237"/>
      <c r="Z979" s="237"/>
      <c r="AA979" s="237"/>
      <c r="AB979" s="237"/>
      <c r="AC979" s="237"/>
      <c r="AD979" s="237"/>
      <c r="AE979" s="237"/>
      <c r="AF979" s="237"/>
      <c r="AG979" s="237"/>
      <c r="AH979" s="237"/>
      <c r="AI979" s="308"/>
      <c r="AJ979" s="308"/>
      <c r="AK979" s="308"/>
      <c r="AL979" s="308"/>
      <c r="AM979" s="98"/>
      <c r="AN979" s="98"/>
    </row>
    <row r="980" ht="14.25" customHeight="1">
      <c r="A980" s="179"/>
      <c r="B980" s="98"/>
      <c r="C980" s="98"/>
      <c r="D980" s="98"/>
      <c r="E980" s="98"/>
      <c r="F980" s="235"/>
      <c r="G980" s="235"/>
      <c r="H980" s="236"/>
      <c r="I980" s="236"/>
      <c r="J980" s="236"/>
      <c r="K980" s="236"/>
      <c r="L980" s="236"/>
      <c r="M980" s="236"/>
      <c r="N980" s="236"/>
      <c r="O980" s="236"/>
      <c r="P980" s="236"/>
      <c r="Q980" s="236"/>
      <c r="R980" s="236"/>
      <c r="S980" s="236"/>
      <c r="T980" s="236"/>
      <c r="U980" s="236"/>
      <c r="V980" s="236"/>
      <c r="W980" s="237"/>
      <c r="X980" s="237"/>
      <c r="Y980" s="237"/>
      <c r="Z980" s="237"/>
      <c r="AA980" s="237"/>
      <c r="AB980" s="237"/>
      <c r="AC980" s="237"/>
      <c r="AD980" s="237"/>
      <c r="AE980" s="237"/>
      <c r="AF980" s="237"/>
      <c r="AG980" s="237"/>
      <c r="AH980" s="237"/>
      <c r="AI980" s="308"/>
      <c r="AJ980" s="308"/>
      <c r="AK980" s="308"/>
      <c r="AL980" s="308"/>
      <c r="AM980" s="98"/>
      <c r="AN980" s="98"/>
    </row>
    <row r="981" ht="14.25" customHeight="1">
      <c r="A981" s="179"/>
      <c r="B981" s="98"/>
      <c r="C981" s="98"/>
      <c r="D981" s="98"/>
      <c r="E981" s="98"/>
      <c r="F981" s="235"/>
      <c r="G981" s="235"/>
      <c r="H981" s="236"/>
      <c r="I981" s="236"/>
      <c r="J981" s="236"/>
      <c r="K981" s="236"/>
      <c r="L981" s="236"/>
      <c r="M981" s="236"/>
      <c r="N981" s="236"/>
      <c r="O981" s="236"/>
      <c r="P981" s="236"/>
      <c r="Q981" s="236"/>
      <c r="R981" s="236"/>
      <c r="S981" s="236"/>
      <c r="T981" s="236"/>
      <c r="U981" s="236"/>
      <c r="V981" s="236"/>
      <c r="W981" s="237"/>
      <c r="X981" s="237"/>
      <c r="Y981" s="237"/>
      <c r="Z981" s="237"/>
      <c r="AA981" s="237"/>
      <c r="AB981" s="237"/>
      <c r="AC981" s="237"/>
      <c r="AD981" s="237"/>
      <c r="AE981" s="237"/>
      <c r="AF981" s="237"/>
      <c r="AG981" s="237"/>
      <c r="AH981" s="237"/>
      <c r="AI981" s="308"/>
      <c r="AJ981" s="308"/>
      <c r="AK981" s="308"/>
      <c r="AL981" s="308"/>
      <c r="AM981" s="98"/>
      <c r="AN981" s="98"/>
    </row>
    <row r="982" ht="14.25" customHeight="1">
      <c r="A982" s="179"/>
      <c r="B982" s="98"/>
      <c r="C982" s="98"/>
      <c r="D982" s="98"/>
      <c r="E982" s="98"/>
      <c r="F982" s="235"/>
      <c r="G982" s="235"/>
      <c r="H982" s="236"/>
      <c r="I982" s="236"/>
      <c r="J982" s="236"/>
      <c r="K982" s="236"/>
      <c r="L982" s="236"/>
      <c r="M982" s="236"/>
      <c r="N982" s="236"/>
      <c r="O982" s="236"/>
      <c r="P982" s="236"/>
      <c r="Q982" s="236"/>
      <c r="R982" s="236"/>
      <c r="S982" s="236"/>
      <c r="T982" s="236"/>
      <c r="U982" s="236"/>
      <c r="V982" s="236"/>
      <c r="W982" s="237"/>
      <c r="X982" s="237"/>
      <c r="Y982" s="237"/>
      <c r="Z982" s="237"/>
      <c r="AA982" s="237"/>
      <c r="AB982" s="237"/>
      <c r="AC982" s="237"/>
      <c r="AD982" s="237"/>
      <c r="AE982" s="237"/>
      <c r="AF982" s="237"/>
      <c r="AG982" s="237"/>
      <c r="AH982" s="237"/>
      <c r="AI982" s="308"/>
      <c r="AJ982" s="308"/>
      <c r="AK982" s="308"/>
      <c r="AL982" s="308"/>
      <c r="AM982" s="98"/>
      <c r="AN982" s="98"/>
    </row>
    <row r="983" ht="14.25" customHeight="1">
      <c r="A983" s="179"/>
      <c r="B983" s="98"/>
      <c r="C983" s="98"/>
      <c r="D983" s="98"/>
      <c r="E983" s="98"/>
      <c r="F983" s="235"/>
      <c r="G983" s="235"/>
      <c r="H983" s="236"/>
      <c r="I983" s="236"/>
      <c r="J983" s="236"/>
      <c r="K983" s="236"/>
      <c r="L983" s="236"/>
      <c r="M983" s="236"/>
      <c r="N983" s="236"/>
      <c r="O983" s="236"/>
      <c r="P983" s="236"/>
      <c r="Q983" s="236"/>
      <c r="R983" s="236"/>
      <c r="S983" s="236"/>
      <c r="T983" s="236"/>
      <c r="U983" s="236"/>
      <c r="V983" s="236"/>
      <c r="W983" s="237"/>
      <c r="X983" s="237"/>
      <c r="Y983" s="237"/>
      <c r="Z983" s="237"/>
      <c r="AA983" s="237"/>
      <c r="AB983" s="237"/>
      <c r="AC983" s="237"/>
      <c r="AD983" s="237"/>
      <c r="AE983" s="237"/>
      <c r="AF983" s="237"/>
      <c r="AG983" s="237"/>
      <c r="AH983" s="237"/>
      <c r="AI983" s="308"/>
      <c r="AJ983" s="308"/>
      <c r="AK983" s="308"/>
      <c r="AL983" s="308"/>
      <c r="AM983" s="98"/>
      <c r="AN983" s="98"/>
    </row>
    <row r="984" ht="14.25" customHeight="1">
      <c r="A984" s="179"/>
      <c r="B984" s="98"/>
      <c r="C984" s="98"/>
      <c r="D984" s="98"/>
      <c r="E984" s="98"/>
      <c r="F984" s="235"/>
      <c r="G984" s="235"/>
      <c r="H984" s="236"/>
      <c r="I984" s="236"/>
      <c r="J984" s="236"/>
      <c r="K984" s="236"/>
      <c r="L984" s="236"/>
      <c r="M984" s="236"/>
      <c r="N984" s="236"/>
      <c r="O984" s="236"/>
      <c r="P984" s="236"/>
      <c r="Q984" s="236"/>
      <c r="R984" s="236"/>
      <c r="S984" s="236"/>
      <c r="T984" s="236"/>
      <c r="U984" s="236"/>
      <c r="V984" s="236"/>
      <c r="W984" s="237"/>
      <c r="X984" s="237"/>
      <c r="Y984" s="237"/>
      <c r="Z984" s="237"/>
      <c r="AA984" s="237"/>
      <c r="AB984" s="237"/>
      <c r="AC984" s="237"/>
      <c r="AD984" s="237"/>
      <c r="AE984" s="237"/>
      <c r="AF984" s="237"/>
      <c r="AG984" s="237"/>
      <c r="AH984" s="237"/>
      <c r="AI984" s="308"/>
      <c r="AJ984" s="308"/>
      <c r="AK984" s="308"/>
      <c r="AL984" s="308"/>
      <c r="AM984" s="98"/>
      <c r="AN984" s="98"/>
    </row>
    <row r="985" ht="14.25" customHeight="1">
      <c r="A985" s="179"/>
      <c r="B985" s="98"/>
      <c r="C985" s="98"/>
      <c r="D985" s="98"/>
      <c r="E985" s="98"/>
      <c r="F985" s="235"/>
      <c r="G985" s="235"/>
      <c r="H985" s="236"/>
      <c r="I985" s="236"/>
      <c r="J985" s="236"/>
      <c r="K985" s="236"/>
      <c r="L985" s="236"/>
      <c r="M985" s="236"/>
      <c r="N985" s="236"/>
      <c r="O985" s="236"/>
      <c r="P985" s="236"/>
      <c r="Q985" s="236"/>
      <c r="R985" s="236"/>
      <c r="S985" s="236"/>
      <c r="T985" s="236"/>
      <c r="U985" s="236"/>
      <c r="V985" s="236"/>
      <c r="W985" s="237"/>
      <c r="X985" s="237"/>
      <c r="Y985" s="237"/>
      <c r="Z985" s="237"/>
      <c r="AA985" s="237"/>
      <c r="AB985" s="237"/>
      <c r="AC985" s="237"/>
      <c r="AD985" s="237"/>
      <c r="AE985" s="237"/>
      <c r="AF985" s="237"/>
      <c r="AG985" s="237"/>
      <c r="AH985" s="237"/>
      <c r="AI985" s="308"/>
      <c r="AJ985" s="308"/>
      <c r="AK985" s="308"/>
      <c r="AL985" s="308"/>
      <c r="AM985" s="98"/>
      <c r="AN985" s="98"/>
    </row>
    <row r="986" ht="14.25" customHeight="1">
      <c r="A986" s="179"/>
      <c r="B986" s="98"/>
      <c r="C986" s="98"/>
      <c r="D986" s="98"/>
      <c r="E986" s="98"/>
      <c r="F986" s="235"/>
      <c r="G986" s="235"/>
      <c r="H986" s="236"/>
      <c r="I986" s="236"/>
      <c r="J986" s="236"/>
      <c r="K986" s="236"/>
      <c r="L986" s="236"/>
      <c r="M986" s="236"/>
      <c r="N986" s="236"/>
      <c r="O986" s="236"/>
      <c r="P986" s="236"/>
      <c r="Q986" s="236"/>
      <c r="R986" s="236"/>
      <c r="S986" s="236"/>
      <c r="T986" s="236"/>
      <c r="U986" s="236"/>
      <c r="V986" s="236"/>
      <c r="W986" s="237"/>
      <c r="X986" s="237"/>
      <c r="Y986" s="237"/>
      <c r="Z986" s="237"/>
      <c r="AA986" s="237"/>
      <c r="AB986" s="237"/>
      <c r="AC986" s="237"/>
      <c r="AD986" s="237"/>
      <c r="AE986" s="237"/>
      <c r="AF986" s="237"/>
      <c r="AG986" s="237"/>
      <c r="AH986" s="237"/>
      <c r="AI986" s="308"/>
      <c r="AJ986" s="308"/>
      <c r="AK986" s="308"/>
      <c r="AL986" s="308"/>
      <c r="AM986" s="98"/>
      <c r="AN986" s="98"/>
    </row>
    <row r="987" ht="14.25" customHeight="1">
      <c r="A987" s="179"/>
      <c r="B987" s="98"/>
      <c r="C987" s="98"/>
      <c r="D987" s="98"/>
      <c r="E987" s="98"/>
      <c r="F987" s="235"/>
      <c r="G987" s="235"/>
      <c r="H987" s="236"/>
      <c r="I987" s="236"/>
      <c r="J987" s="236"/>
      <c r="K987" s="236"/>
      <c r="L987" s="236"/>
      <c r="M987" s="236"/>
      <c r="N987" s="236"/>
      <c r="O987" s="236"/>
      <c r="P987" s="236"/>
      <c r="Q987" s="236"/>
      <c r="R987" s="236"/>
      <c r="S987" s="236"/>
      <c r="T987" s="236"/>
      <c r="U987" s="236"/>
      <c r="V987" s="236"/>
      <c r="W987" s="237"/>
      <c r="X987" s="237"/>
      <c r="Y987" s="237"/>
      <c r="Z987" s="237"/>
      <c r="AA987" s="237"/>
      <c r="AB987" s="237"/>
      <c r="AC987" s="237"/>
      <c r="AD987" s="237"/>
      <c r="AE987" s="237"/>
      <c r="AF987" s="237"/>
      <c r="AG987" s="237"/>
      <c r="AH987" s="237"/>
      <c r="AI987" s="308"/>
      <c r="AJ987" s="308"/>
      <c r="AK987" s="308"/>
      <c r="AL987" s="308"/>
      <c r="AM987" s="98"/>
      <c r="AN987" s="98"/>
    </row>
    <row r="988" ht="14.25" customHeight="1">
      <c r="A988" s="179"/>
      <c r="B988" s="98"/>
      <c r="C988" s="98"/>
      <c r="D988" s="98"/>
      <c r="E988" s="98"/>
      <c r="F988" s="235"/>
      <c r="G988" s="235"/>
      <c r="H988" s="236"/>
      <c r="I988" s="236"/>
      <c r="J988" s="236"/>
      <c r="K988" s="236"/>
      <c r="L988" s="236"/>
      <c r="M988" s="236"/>
      <c r="N988" s="236"/>
      <c r="O988" s="236"/>
      <c r="P988" s="236"/>
      <c r="Q988" s="236"/>
      <c r="R988" s="236"/>
      <c r="S988" s="236"/>
      <c r="T988" s="236"/>
      <c r="U988" s="236"/>
      <c r="V988" s="236"/>
      <c r="W988" s="237"/>
      <c r="X988" s="237"/>
      <c r="Y988" s="237"/>
      <c r="Z988" s="237"/>
      <c r="AA988" s="237"/>
      <c r="AB988" s="237"/>
      <c r="AC988" s="237"/>
      <c r="AD988" s="237"/>
      <c r="AE988" s="237"/>
      <c r="AF988" s="237"/>
      <c r="AG988" s="237"/>
      <c r="AH988" s="237"/>
      <c r="AI988" s="308"/>
      <c r="AJ988" s="308"/>
      <c r="AK988" s="308"/>
      <c r="AL988" s="308"/>
      <c r="AM988" s="98"/>
      <c r="AN988" s="98"/>
    </row>
    <row r="989" ht="14.25" customHeight="1">
      <c r="A989" s="179"/>
      <c r="B989" s="98"/>
      <c r="C989" s="98"/>
      <c r="D989" s="98"/>
      <c r="E989" s="98"/>
      <c r="F989" s="235"/>
      <c r="G989" s="235"/>
      <c r="H989" s="236"/>
      <c r="I989" s="236"/>
      <c r="J989" s="236"/>
      <c r="K989" s="236"/>
      <c r="L989" s="236"/>
      <c r="M989" s="236"/>
      <c r="N989" s="236"/>
      <c r="O989" s="236"/>
      <c r="P989" s="236"/>
      <c r="Q989" s="236"/>
      <c r="R989" s="236"/>
      <c r="S989" s="236"/>
      <c r="T989" s="236"/>
      <c r="U989" s="236"/>
      <c r="V989" s="236"/>
      <c r="W989" s="237"/>
      <c r="X989" s="237"/>
      <c r="Y989" s="237"/>
      <c r="Z989" s="237"/>
      <c r="AA989" s="237"/>
      <c r="AB989" s="237"/>
      <c r="AC989" s="237"/>
      <c r="AD989" s="237"/>
      <c r="AE989" s="237"/>
      <c r="AF989" s="237"/>
      <c r="AG989" s="237"/>
      <c r="AH989" s="237"/>
      <c r="AI989" s="308"/>
      <c r="AJ989" s="308"/>
      <c r="AK989" s="308"/>
      <c r="AL989" s="308"/>
      <c r="AM989" s="98"/>
      <c r="AN989" s="98"/>
    </row>
    <row r="990" ht="14.25" customHeight="1">
      <c r="A990" s="179"/>
      <c r="B990" s="98"/>
      <c r="C990" s="98"/>
      <c r="D990" s="98"/>
      <c r="E990" s="98"/>
      <c r="F990" s="235"/>
      <c r="G990" s="235"/>
      <c r="H990" s="236"/>
      <c r="I990" s="236"/>
      <c r="J990" s="236"/>
      <c r="K990" s="236"/>
      <c r="L990" s="236"/>
      <c r="M990" s="236"/>
      <c r="N990" s="236"/>
      <c r="O990" s="236"/>
      <c r="P990" s="236"/>
      <c r="Q990" s="236"/>
      <c r="R990" s="236"/>
      <c r="S990" s="236"/>
      <c r="T990" s="236"/>
      <c r="U990" s="236"/>
      <c r="V990" s="236"/>
      <c r="W990" s="237"/>
      <c r="X990" s="237"/>
      <c r="Y990" s="237"/>
      <c r="Z990" s="237"/>
      <c r="AA990" s="237"/>
      <c r="AB990" s="237"/>
      <c r="AC990" s="237"/>
      <c r="AD990" s="237"/>
      <c r="AE990" s="237"/>
      <c r="AF990" s="237"/>
      <c r="AG990" s="237"/>
      <c r="AH990" s="237"/>
      <c r="AI990" s="308"/>
      <c r="AJ990" s="308"/>
      <c r="AK990" s="308"/>
      <c r="AL990" s="308"/>
      <c r="AM990" s="98"/>
      <c r="AN990" s="98"/>
    </row>
    <row r="991" ht="14.25" customHeight="1">
      <c r="A991" s="179"/>
      <c r="B991" s="98"/>
      <c r="C991" s="98"/>
      <c r="D991" s="98"/>
      <c r="E991" s="98"/>
      <c r="F991" s="235"/>
      <c r="G991" s="235"/>
      <c r="H991" s="236"/>
      <c r="I991" s="236"/>
      <c r="J991" s="236"/>
      <c r="K991" s="236"/>
      <c r="L991" s="236"/>
      <c r="M991" s="236"/>
      <c r="N991" s="236"/>
      <c r="O991" s="236"/>
      <c r="P991" s="236"/>
      <c r="Q991" s="236"/>
      <c r="R991" s="236"/>
      <c r="S991" s="236"/>
      <c r="T991" s="236"/>
      <c r="U991" s="236"/>
      <c r="V991" s="236"/>
      <c r="W991" s="237"/>
      <c r="X991" s="237"/>
      <c r="Y991" s="237"/>
      <c r="Z991" s="237"/>
      <c r="AA991" s="237"/>
      <c r="AB991" s="237"/>
      <c r="AC991" s="237"/>
      <c r="AD991" s="237"/>
      <c r="AE991" s="237"/>
      <c r="AF991" s="237"/>
      <c r="AG991" s="237"/>
      <c r="AH991" s="237"/>
      <c r="AI991" s="308"/>
      <c r="AJ991" s="308"/>
      <c r="AK991" s="308"/>
      <c r="AL991" s="308"/>
      <c r="AM991" s="98"/>
      <c r="AN991" s="98"/>
    </row>
    <row r="992" ht="14.25" customHeight="1">
      <c r="A992" s="179"/>
      <c r="B992" s="98"/>
      <c r="C992" s="98"/>
      <c r="D992" s="98"/>
      <c r="E992" s="98"/>
      <c r="F992" s="235"/>
      <c r="G992" s="235"/>
      <c r="H992" s="236"/>
      <c r="I992" s="236"/>
      <c r="J992" s="236"/>
      <c r="K992" s="236"/>
      <c r="L992" s="236"/>
      <c r="M992" s="236"/>
      <c r="N992" s="236"/>
      <c r="O992" s="236"/>
      <c r="P992" s="236"/>
      <c r="Q992" s="236"/>
      <c r="R992" s="236"/>
      <c r="S992" s="236"/>
      <c r="T992" s="236"/>
      <c r="U992" s="236"/>
      <c r="V992" s="236"/>
      <c r="W992" s="237"/>
      <c r="X992" s="237"/>
      <c r="Y992" s="237"/>
      <c r="Z992" s="237"/>
      <c r="AA992" s="237"/>
      <c r="AB992" s="237"/>
      <c r="AC992" s="237"/>
      <c r="AD992" s="237"/>
      <c r="AE992" s="237"/>
      <c r="AF992" s="237"/>
      <c r="AG992" s="237"/>
      <c r="AH992" s="237"/>
      <c r="AI992" s="308"/>
      <c r="AJ992" s="308"/>
      <c r="AK992" s="308"/>
      <c r="AL992" s="308"/>
      <c r="AM992" s="98"/>
      <c r="AN992" s="98"/>
    </row>
    <row r="993" ht="14.25" customHeight="1">
      <c r="A993" s="179"/>
      <c r="B993" s="98"/>
      <c r="C993" s="98"/>
      <c r="D993" s="98"/>
      <c r="E993" s="98"/>
      <c r="F993" s="235"/>
      <c r="G993" s="235"/>
      <c r="H993" s="236"/>
      <c r="I993" s="236"/>
      <c r="J993" s="236"/>
      <c r="K993" s="236"/>
      <c r="L993" s="236"/>
      <c r="M993" s="236"/>
      <c r="N993" s="236"/>
      <c r="O993" s="236"/>
      <c r="P993" s="236"/>
      <c r="Q993" s="236"/>
      <c r="R993" s="236"/>
      <c r="S993" s="236"/>
      <c r="T993" s="236"/>
      <c r="U993" s="236"/>
      <c r="V993" s="236"/>
      <c r="W993" s="237"/>
      <c r="X993" s="237"/>
      <c r="Y993" s="237"/>
      <c r="Z993" s="237"/>
      <c r="AA993" s="237"/>
      <c r="AB993" s="237"/>
      <c r="AC993" s="237"/>
      <c r="AD993" s="237"/>
      <c r="AE993" s="237"/>
      <c r="AF993" s="237"/>
      <c r="AG993" s="237"/>
      <c r="AH993" s="237"/>
      <c r="AI993" s="308"/>
      <c r="AJ993" s="308"/>
      <c r="AK993" s="308"/>
      <c r="AL993" s="308"/>
      <c r="AM993" s="98"/>
      <c r="AN993" s="98"/>
    </row>
    <row r="994" ht="14.25" customHeight="1">
      <c r="A994" s="179"/>
      <c r="B994" s="98"/>
      <c r="C994" s="98"/>
      <c r="D994" s="98"/>
      <c r="E994" s="98"/>
      <c r="F994" s="235"/>
      <c r="G994" s="235"/>
      <c r="H994" s="236"/>
      <c r="I994" s="236"/>
      <c r="J994" s="236"/>
      <c r="K994" s="236"/>
      <c r="L994" s="236"/>
      <c r="M994" s="236"/>
      <c r="N994" s="236"/>
      <c r="O994" s="236"/>
      <c r="P994" s="236"/>
      <c r="Q994" s="236"/>
      <c r="R994" s="236"/>
      <c r="S994" s="236"/>
      <c r="T994" s="236"/>
      <c r="U994" s="236"/>
      <c r="V994" s="236"/>
      <c r="W994" s="237"/>
      <c r="X994" s="237"/>
      <c r="Y994" s="237"/>
      <c r="Z994" s="237"/>
      <c r="AA994" s="237"/>
      <c r="AB994" s="237"/>
      <c r="AC994" s="237"/>
      <c r="AD994" s="237"/>
      <c r="AE994" s="237"/>
      <c r="AF994" s="237"/>
      <c r="AG994" s="237"/>
      <c r="AH994" s="237"/>
      <c r="AI994" s="308"/>
      <c r="AJ994" s="308"/>
      <c r="AK994" s="308"/>
      <c r="AL994" s="308"/>
      <c r="AM994" s="98"/>
      <c r="AN994" s="98"/>
    </row>
    <row r="995" ht="14.25" customHeight="1">
      <c r="A995" s="179"/>
      <c r="B995" s="98"/>
      <c r="C995" s="98"/>
      <c r="D995" s="98"/>
      <c r="E995" s="98"/>
      <c r="F995" s="235"/>
      <c r="G995" s="235"/>
      <c r="H995" s="236"/>
      <c r="I995" s="236"/>
      <c r="J995" s="236"/>
      <c r="K995" s="236"/>
      <c r="L995" s="236"/>
      <c r="M995" s="236"/>
      <c r="N995" s="236"/>
      <c r="O995" s="236"/>
      <c r="P995" s="236"/>
      <c r="Q995" s="236"/>
      <c r="R995" s="236"/>
      <c r="S995" s="236"/>
      <c r="T995" s="236"/>
      <c r="U995" s="236"/>
      <c r="V995" s="236"/>
      <c r="W995" s="237"/>
      <c r="X995" s="237"/>
      <c r="Y995" s="237"/>
      <c r="Z995" s="237"/>
      <c r="AA995" s="237"/>
      <c r="AB995" s="237"/>
      <c r="AC995" s="237"/>
      <c r="AD995" s="237"/>
      <c r="AE995" s="237"/>
      <c r="AF995" s="237"/>
      <c r="AG995" s="237"/>
      <c r="AH995" s="237"/>
      <c r="AI995" s="308"/>
      <c r="AJ995" s="308"/>
      <c r="AK995" s="308"/>
      <c r="AL995" s="308"/>
      <c r="AM995" s="98"/>
      <c r="AN995" s="98"/>
    </row>
    <row r="996" ht="14.25" customHeight="1">
      <c r="A996" s="179"/>
      <c r="B996" s="98"/>
      <c r="C996" s="98"/>
      <c r="D996" s="98"/>
      <c r="E996" s="98"/>
      <c r="F996" s="235"/>
      <c r="G996" s="235"/>
      <c r="H996" s="236"/>
      <c r="I996" s="236"/>
      <c r="J996" s="236"/>
      <c r="K996" s="236"/>
      <c r="L996" s="236"/>
      <c r="M996" s="236"/>
      <c r="N996" s="236"/>
      <c r="O996" s="236"/>
      <c r="P996" s="236"/>
      <c r="Q996" s="236"/>
      <c r="R996" s="236"/>
      <c r="S996" s="236"/>
      <c r="T996" s="236"/>
      <c r="U996" s="236"/>
      <c r="V996" s="236"/>
      <c r="W996" s="237"/>
      <c r="X996" s="237"/>
      <c r="Y996" s="237"/>
      <c r="Z996" s="237"/>
      <c r="AA996" s="237"/>
      <c r="AB996" s="237"/>
      <c r="AC996" s="237"/>
      <c r="AD996" s="237"/>
      <c r="AE996" s="237"/>
      <c r="AF996" s="237"/>
      <c r="AG996" s="237"/>
      <c r="AH996" s="237"/>
      <c r="AI996" s="308"/>
      <c r="AJ996" s="308"/>
      <c r="AK996" s="308"/>
      <c r="AL996" s="308"/>
      <c r="AM996" s="98"/>
      <c r="AN996" s="98"/>
    </row>
    <row r="997" ht="14.25" customHeight="1">
      <c r="A997" s="179"/>
      <c r="B997" s="98"/>
      <c r="C997" s="98"/>
      <c r="D997" s="98"/>
      <c r="E997" s="98"/>
      <c r="F997" s="235"/>
      <c r="G997" s="235"/>
      <c r="H997" s="236"/>
      <c r="I997" s="236"/>
      <c r="J997" s="236"/>
      <c r="K997" s="236"/>
      <c r="L997" s="236"/>
      <c r="M997" s="236"/>
      <c r="N997" s="236"/>
      <c r="O997" s="236"/>
      <c r="P997" s="236"/>
      <c r="Q997" s="236"/>
      <c r="R997" s="236"/>
      <c r="S997" s="236"/>
      <c r="T997" s="236"/>
      <c r="U997" s="236"/>
      <c r="V997" s="236"/>
      <c r="W997" s="237"/>
      <c r="X997" s="237"/>
      <c r="Y997" s="237"/>
      <c r="Z997" s="237"/>
      <c r="AA997" s="237"/>
      <c r="AB997" s="237"/>
      <c r="AC997" s="237"/>
      <c r="AD997" s="237"/>
      <c r="AE997" s="237"/>
      <c r="AF997" s="237"/>
      <c r="AG997" s="237"/>
      <c r="AH997" s="237"/>
      <c r="AI997" s="308"/>
      <c r="AJ997" s="308"/>
      <c r="AK997" s="308"/>
      <c r="AL997" s="308"/>
      <c r="AM997" s="98"/>
      <c r="AN997" s="98"/>
    </row>
    <row r="998" ht="14.25" customHeight="1">
      <c r="A998" s="179"/>
      <c r="B998" s="98"/>
      <c r="C998" s="98"/>
      <c r="D998" s="98"/>
      <c r="E998" s="98"/>
      <c r="F998" s="235"/>
      <c r="G998" s="235"/>
      <c r="H998" s="236"/>
      <c r="I998" s="236"/>
      <c r="J998" s="236"/>
      <c r="K998" s="236"/>
      <c r="L998" s="236"/>
      <c r="M998" s="236"/>
      <c r="N998" s="236"/>
      <c r="O998" s="236"/>
      <c r="P998" s="236"/>
      <c r="Q998" s="236"/>
      <c r="R998" s="236"/>
      <c r="S998" s="236"/>
      <c r="T998" s="236"/>
      <c r="U998" s="236"/>
      <c r="V998" s="236"/>
      <c r="W998" s="237"/>
      <c r="X998" s="237"/>
      <c r="Y998" s="237"/>
      <c r="Z998" s="237"/>
      <c r="AA998" s="237"/>
      <c r="AB998" s="237"/>
      <c r="AC998" s="237"/>
      <c r="AD998" s="237"/>
      <c r="AE998" s="237"/>
      <c r="AF998" s="237"/>
      <c r="AG998" s="237"/>
      <c r="AH998" s="237"/>
      <c r="AI998" s="308"/>
      <c r="AJ998" s="308"/>
      <c r="AK998" s="308"/>
      <c r="AL998" s="308"/>
      <c r="AM998" s="98"/>
      <c r="AN998" s="98"/>
    </row>
    <row r="999" ht="14.25" customHeight="1">
      <c r="A999" s="179"/>
      <c r="B999" s="98"/>
      <c r="C999" s="98"/>
      <c r="D999" s="98"/>
      <c r="E999" s="98"/>
      <c r="F999" s="235"/>
      <c r="G999" s="235"/>
      <c r="H999" s="236"/>
      <c r="I999" s="236"/>
      <c r="J999" s="236"/>
      <c r="K999" s="236"/>
      <c r="L999" s="236"/>
      <c r="M999" s="236"/>
      <c r="N999" s="236"/>
      <c r="O999" s="236"/>
      <c r="P999" s="236"/>
      <c r="Q999" s="236"/>
      <c r="R999" s="236"/>
      <c r="S999" s="236"/>
      <c r="T999" s="236"/>
      <c r="U999" s="236"/>
      <c r="V999" s="236"/>
      <c r="W999" s="237"/>
      <c r="X999" s="237"/>
      <c r="Y999" s="237"/>
      <c r="Z999" s="237"/>
      <c r="AA999" s="237"/>
      <c r="AB999" s="237"/>
      <c r="AC999" s="237"/>
      <c r="AD999" s="237"/>
      <c r="AE999" s="237"/>
      <c r="AF999" s="237"/>
      <c r="AG999" s="237"/>
      <c r="AH999" s="237"/>
      <c r="AI999" s="308"/>
      <c r="AJ999" s="308"/>
      <c r="AK999" s="308"/>
      <c r="AL999" s="308"/>
      <c r="AM999" s="98"/>
      <c r="AN999" s="98"/>
    </row>
    <row r="1000" ht="14.25" customHeight="1">
      <c r="A1000" s="179"/>
      <c r="B1000" s="98"/>
      <c r="C1000" s="98"/>
      <c r="D1000" s="98"/>
      <c r="E1000" s="98"/>
      <c r="F1000" s="235"/>
      <c r="G1000" s="235"/>
      <c r="H1000" s="236"/>
      <c r="I1000" s="236"/>
      <c r="J1000" s="236"/>
      <c r="K1000" s="236"/>
      <c r="L1000" s="236"/>
      <c r="M1000" s="236"/>
      <c r="N1000" s="236"/>
      <c r="O1000" s="236"/>
      <c r="P1000" s="236"/>
      <c r="Q1000" s="236"/>
      <c r="R1000" s="236"/>
      <c r="S1000" s="236"/>
      <c r="T1000" s="236"/>
      <c r="U1000" s="236"/>
      <c r="V1000" s="236"/>
      <c r="W1000" s="237"/>
      <c r="X1000" s="237"/>
      <c r="Y1000" s="237"/>
      <c r="Z1000" s="237"/>
      <c r="AA1000" s="237"/>
      <c r="AB1000" s="237"/>
      <c r="AC1000" s="237"/>
      <c r="AD1000" s="237"/>
      <c r="AE1000" s="237"/>
      <c r="AF1000" s="237"/>
      <c r="AG1000" s="237"/>
      <c r="AH1000" s="237"/>
      <c r="AI1000" s="308"/>
      <c r="AJ1000" s="308"/>
      <c r="AK1000" s="308"/>
      <c r="AL1000" s="308"/>
      <c r="AM1000" s="98"/>
      <c r="AN1000" s="98"/>
    </row>
  </sheetData>
  <autoFilter ref="$A$1:$AM$159"/>
  <mergeCells count="1">
    <mergeCell ref="A1:E1"/>
  </mergeCells>
  <conditionalFormatting sqref="A101:E101 H101:AM101">
    <cfRule type="expression" dxfId="0" priority="1">
      <formula>NOT(ISERROR(SEARCH("warning",A101)))</formula>
    </cfRule>
  </conditionalFormatting>
  <conditionalFormatting sqref="A11:G16 AI11:AM16">
    <cfRule type="expression" dxfId="1" priority="2">
      <formula>#REF!=""</formula>
    </cfRule>
  </conditionalFormatting>
  <conditionalFormatting sqref="A15:G16 A24:D25 G24:G25 H40:AH47 H55:AH65 H71:V80 W18:AM25 X71:Z75 X79:Z80 AA9:AC16 AD10:AG10 AE9 AE11:AE16 AG9 AG11:AG16 AH24:AM25 AI15:AM16">
    <cfRule type="expression" dxfId="2" priority="3">
      <formula>#REF!=""</formula>
    </cfRule>
  </conditionalFormatting>
  <conditionalFormatting sqref="A9:E9 A18:G25">
    <cfRule type="expression" dxfId="2" priority="4">
      <formula>#REF!=""</formula>
    </cfRule>
  </conditionalFormatting>
  <conditionalFormatting sqref="A40:G47 AI40:AM47">
    <cfRule type="expression" dxfId="0" priority="5">
      <formula>#REF!=""</formula>
    </cfRule>
  </conditionalFormatting>
  <conditionalFormatting sqref="A18:AM25 AB15:AB16 AH18:AM18">
    <cfRule type="expression" dxfId="1" priority="6">
      <formula>#REF!=""</formula>
    </cfRule>
  </conditionalFormatting>
  <conditionalFormatting sqref="A27:AM28">
    <cfRule type="expression" dxfId="0" priority="7">
      <formula>#REF!=""</formula>
    </cfRule>
  </conditionalFormatting>
  <conditionalFormatting sqref="A30:AM30">
    <cfRule type="expression" dxfId="0" priority="8">
      <formula>#REF!=""</formula>
    </cfRule>
  </conditionalFormatting>
  <conditionalFormatting sqref="A49:AM49">
    <cfRule type="expression" dxfId="0" priority="9">
      <formula>#REF!=""</formula>
    </cfRule>
  </conditionalFormatting>
  <conditionalFormatting sqref="E24:F25">
    <cfRule type="expression" dxfId="0" priority="10">
      <formula>#REF!=""</formula>
    </cfRule>
  </conditionalFormatting>
  <conditionalFormatting sqref="F9">
    <cfRule type="expression" dxfId="0" priority="11">
      <formula>#REF!=""</formula>
    </cfRule>
  </conditionalFormatting>
  <conditionalFormatting sqref="G10">
    <cfRule type="expression" dxfId="0" priority="12">
      <formula>#REF!=""</formula>
    </cfRule>
  </conditionalFormatting>
  <conditionalFormatting sqref="A10:F10 G9:H9 AI9:AM10">
    <cfRule type="expression" dxfId="2" priority="13">
      <formula>#REF!=""</formula>
    </cfRule>
  </conditionalFormatting>
  <conditionalFormatting sqref="H10:H16">
    <cfRule type="expression" dxfId="0" priority="14">
      <formula>#REF!=""</formula>
    </cfRule>
  </conditionalFormatting>
  <conditionalFormatting sqref="H55:V65 H71:AH80 X55:Z65">
    <cfRule type="expression" dxfId="1" priority="15">
      <formula>#REF!=""</formula>
    </cfRule>
  </conditionalFormatting>
  <conditionalFormatting sqref="H104:V109 X104:Z109">
    <cfRule type="expression" dxfId="0" priority="16">
      <formula>#REF!=""</formula>
    </cfRule>
  </conditionalFormatting>
  <conditionalFormatting sqref="H67:AH69">
    <cfRule type="expression" dxfId="0" priority="17">
      <formula>#REF!=""</formula>
    </cfRule>
  </conditionalFormatting>
  <conditionalFormatting sqref="H82:AH87">
    <cfRule type="expression" dxfId="0" priority="18">
      <formula>#REF!=""</formula>
    </cfRule>
  </conditionalFormatting>
  <conditionalFormatting sqref="H89:AH94">
    <cfRule type="expression" dxfId="0" priority="19">
      <formula>#REF!=""</formula>
    </cfRule>
  </conditionalFormatting>
  <conditionalFormatting sqref="H119:AM134 H136:AM156">
    <cfRule type="colorScale" priority="20">
      <colorScale>
        <cfvo type="formula" val="0"/>
        <cfvo type="formula" val="0.5"/>
        <cfvo type="formula" val="1"/>
        <color rgb="FFFF9999"/>
        <color rgb="FFFFF2CC"/>
        <color rgb="FF91EF98"/>
      </colorScale>
    </cfRule>
  </conditionalFormatting>
  <conditionalFormatting sqref="I9:AB16">
    <cfRule type="expression" dxfId="0" priority="21">
      <formula>#REF!=""</formula>
    </cfRule>
  </conditionalFormatting>
  <conditionalFormatting sqref="H52:AH52 W33:W37">
    <cfRule type="expression" dxfId="0" priority="22">
      <formula>#REF!=""</formula>
    </cfRule>
  </conditionalFormatting>
  <conditionalFormatting sqref="AA37:AB37 AD37 AF37 AH37">
    <cfRule type="expression" dxfId="0" priority="23">
      <formula>#REF!=""</formula>
    </cfRule>
  </conditionalFormatting>
  <conditionalFormatting sqref="AA33:AH37">
    <cfRule type="expression" dxfId="0" priority="24">
      <formula>#REF!=""</formula>
    </cfRule>
  </conditionalFormatting>
  <conditionalFormatting sqref="AD9 AD11:AD16">
    <cfRule type="expression" dxfId="0" priority="25">
      <formula>#REF!=""</formula>
    </cfRule>
  </conditionalFormatting>
  <conditionalFormatting sqref="AD28 AF28 AH28">
    <cfRule type="expression" dxfId="0" priority="26">
      <formula>#REF!=""</formula>
    </cfRule>
  </conditionalFormatting>
  <conditionalFormatting sqref="AF9 AF11:AF16">
    <cfRule type="expression" dxfId="0" priority="27">
      <formula>#REF!=""</formula>
    </cfRule>
  </conditionalFormatting>
  <conditionalFormatting sqref="AH9:AH16">
    <cfRule type="expression" dxfId="0" priority="28">
      <formula>#REF!=""</formula>
    </cfRule>
  </conditionalFormatting>
  <conditionalFormatting sqref="AH23:AM25">
    <cfRule type="expression" dxfId="0" priority="29">
      <formula>#REF!=""</formula>
    </cfRule>
  </conditionalFormatting>
  <conditionalFormatting sqref="AL102:AM102">
    <cfRule type="expression" dxfId="0" priority="30">
      <formula>NOT(ISERROR(SEARCH("warning",AL102)))</formula>
    </cfRule>
  </conditionalFormatting>
  <hyperlinks>
    <hyperlink r:id="rId1" ref="AM33"/>
    <hyperlink r:id="rId2" ref="AM34"/>
    <hyperlink r:id="rId3" ref="AM35"/>
    <hyperlink r:id="rId4" ref="AM36"/>
    <hyperlink r:id="rId5" ref="AM37"/>
    <hyperlink r:id="rId6" ref="AM82"/>
  </hyperlinks>
  <printOptions/>
  <pageMargins bottom="0.75" footer="0.0" header="0.0" left="0.7" right="0.7" top="0.75"/>
  <pageSetup paperSize="9" orientation="portrait"/>
  <drawing r:id="rId7"/>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B5B7"/>
    <pageSetUpPr/>
  </sheetPr>
  <sheetViews>
    <sheetView workbookViewId="0"/>
  </sheetViews>
  <sheetFormatPr customHeight="1" defaultColWidth="14.43" defaultRowHeight="15.0"/>
  <cols>
    <col customWidth="1" min="1" max="1" width="43.43"/>
    <col customWidth="1" min="2" max="2" width="11.43"/>
    <col customWidth="1" min="3" max="3" width="21.57"/>
    <col customWidth="1" min="4" max="6" width="11.57"/>
    <col customWidth="1" min="7" max="7" width="10.43"/>
    <col customWidth="1" min="8" max="9" width="9.43"/>
    <col customWidth="1" min="10" max="10" width="3.43"/>
    <col customWidth="1" min="11" max="11" width="23.0"/>
    <col customWidth="1" min="12" max="13" width="9.57"/>
    <col customWidth="1" min="14" max="14" width="13.0"/>
    <col customWidth="1" min="15" max="15" width="13.43"/>
    <col customWidth="1" min="16" max="16" width="54.0"/>
    <col customWidth="1" min="17" max="17" width="11.43"/>
    <col customWidth="1" min="18" max="18" width="9.43"/>
    <col customWidth="1" min="19" max="25" width="11.43"/>
    <col customWidth="1" min="26" max="27" width="12.57"/>
    <col customWidth="1" min="28" max="28" width="11.43"/>
    <col customWidth="1" min="29" max="29" width="6.43"/>
    <col customWidth="1" min="30" max="30" width="11.43"/>
    <col customWidth="1" min="31" max="31" width="2.57"/>
    <col customWidth="1" min="32" max="32" width="6.0"/>
    <col customWidth="1" min="33" max="33" width="5.57"/>
    <col customWidth="1" min="34" max="34" width="42.43"/>
    <col customWidth="1" min="35" max="35" width="4.43"/>
    <col customWidth="1" min="36" max="37" width="8.43"/>
    <col customWidth="1" min="38" max="45" width="16.0"/>
    <col customWidth="1" min="46" max="46" width="9.43"/>
    <col customWidth="1" min="47" max="47" width="23.57"/>
    <col customWidth="1" min="48" max="48" width="11.43"/>
    <col customWidth="1" min="49" max="50" width="14.43"/>
    <col customWidth="1" min="51" max="58" width="15.43"/>
    <col customWidth="1" min="59" max="74" width="10.57"/>
  </cols>
  <sheetData>
    <row r="1" ht="14.25" customHeight="1">
      <c r="A1" s="500"/>
      <c r="B1" s="500"/>
      <c r="C1" s="500"/>
      <c r="D1" s="500"/>
      <c r="E1" s="500"/>
      <c r="F1" s="500"/>
      <c r="G1" s="500"/>
      <c r="H1" s="500"/>
      <c r="I1" s="500"/>
      <c r="J1" s="500"/>
      <c r="K1" s="500"/>
      <c r="L1" s="500"/>
      <c r="M1" s="500"/>
      <c r="N1" s="500"/>
      <c r="O1" s="500"/>
      <c r="P1" s="500"/>
      <c r="Q1" s="500"/>
      <c r="R1" s="500"/>
      <c r="S1" s="500"/>
      <c r="T1" s="500"/>
      <c r="U1" s="500"/>
      <c r="V1" s="500"/>
      <c r="W1" s="500"/>
      <c r="X1" s="500"/>
      <c r="Y1" s="500"/>
      <c r="Z1" s="501"/>
      <c r="AA1" s="501"/>
      <c r="AB1" s="501"/>
      <c r="AC1" s="501"/>
      <c r="AD1" s="500"/>
      <c r="AE1" s="502"/>
      <c r="AF1" s="503"/>
      <c r="AG1" s="503"/>
      <c r="AH1" s="504"/>
      <c r="AI1" s="500"/>
      <c r="AJ1" s="500"/>
      <c r="AK1" s="500"/>
      <c r="AL1" s="500"/>
      <c r="AM1" s="500"/>
      <c r="AN1" s="500"/>
      <c r="AO1" s="500"/>
      <c r="AP1" s="500"/>
      <c r="AQ1" s="500"/>
      <c r="AR1" s="500"/>
      <c r="AS1" s="500"/>
      <c r="AT1" s="500"/>
      <c r="AU1" s="500"/>
      <c r="AV1" s="500"/>
      <c r="AW1" s="500"/>
      <c r="AX1" s="500"/>
      <c r="AY1" s="500"/>
      <c r="AZ1" s="500"/>
      <c r="BA1" s="500"/>
      <c r="BB1" s="500"/>
      <c r="BC1" s="500"/>
      <c r="BD1" s="500"/>
      <c r="BE1" s="500"/>
      <c r="BF1" s="500"/>
      <c r="BG1" s="500"/>
      <c r="BH1" s="500"/>
      <c r="BI1" s="500"/>
      <c r="BJ1" s="500"/>
      <c r="BK1" s="500"/>
      <c r="BL1" s="500"/>
      <c r="BM1" s="500"/>
      <c r="BN1" s="500"/>
      <c r="BO1" s="500"/>
      <c r="BP1" s="500"/>
      <c r="BQ1" s="500"/>
      <c r="BR1" s="500"/>
      <c r="BS1" s="500"/>
      <c r="BT1" s="500"/>
      <c r="BU1" s="500"/>
      <c r="BV1" s="500"/>
    </row>
    <row r="2" ht="14.25" customHeight="1">
      <c r="A2" s="505" t="s">
        <v>2289</v>
      </c>
      <c r="B2" s="500"/>
      <c r="C2" s="500"/>
      <c r="D2" s="500"/>
      <c r="E2" s="500"/>
      <c r="F2" s="500"/>
      <c r="G2" s="500"/>
      <c r="H2" s="500"/>
      <c r="I2" s="500"/>
      <c r="J2" s="500"/>
      <c r="K2" s="500"/>
      <c r="L2" s="500"/>
      <c r="M2" s="500"/>
      <c r="N2" s="500"/>
      <c r="O2" s="500"/>
      <c r="P2" s="500"/>
      <c r="Q2" s="500"/>
      <c r="R2" s="500"/>
      <c r="S2" s="500"/>
      <c r="T2" s="500"/>
      <c r="U2" s="500"/>
      <c r="V2" s="500"/>
      <c r="W2" s="500"/>
      <c r="X2" s="500"/>
      <c r="Y2" s="500"/>
      <c r="Z2" s="501"/>
      <c r="AA2" s="501"/>
      <c r="AB2" s="501"/>
      <c r="AC2" s="501"/>
      <c r="AD2" s="500"/>
      <c r="AE2" s="502"/>
      <c r="AF2" s="503"/>
      <c r="AG2" s="503"/>
      <c r="AH2" s="505" t="s">
        <v>2290</v>
      </c>
      <c r="AI2" s="506"/>
      <c r="AJ2" s="506"/>
      <c r="AK2" s="506"/>
      <c r="AL2" s="507"/>
      <c r="AM2" s="507"/>
      <c r="AN2" s="507"/>
      <c r="AO2" s="507"/>
      <c r="AP2" s="507"/>
      <c r="AQ2" s="508"/>
      <c r="AR2" s="508"/>
      <c r="AS2" s="508"/>
      <c r="AT2" s="508"/>
      <c r="AU2" s="508"/>
      <c r="AV2" s="508"/>
      <c r="AW2" s="508"/>
      <c r="AX2" s="508"/>
      <c r="AY2" s="508"/>
      <c r="AZ2" s="509"/>
      <c r="BA2" s="509"/>
      <c r="BB2" s="509"/>
      <c r="BC2" s="500"/>
      <c r="BD2" s="500"/>
      <c r="BE2" s="500"/>
      <c r="BF2" s="500"/>
      <c r="BG2" s="500"/>
      <c r="BH2" s="500"/>
      <c r="BI2" s="500"/>
      <c r="BJ2" s="500"/>
      <c r="BK2" s="500"/>
      <c r="BL2" s="500"/>
      <c r="BM2" s="500"/>
      <c r="BN2" s="500"/>
      <c r="BO2" s="500"/>
      <c r="BP2" s="500"/>
      <c r="BQ2" s="500"/>
      <c r="BR2" s="500"/>
      <c r="BS2" s="500"/>
      <c r="BT2" s="500"/>
      <c r="BU2" s="500"/>
      <c r="BV2" s="500"/>
    </row>
    <row r="3" ht="14.25" customHeight="1">
      <c r="A3" s="8"/>
      <c r="B3" s="8"/>
      <c r="C3" s="500"/>
      <c r="D3" s="500"/>
      <c r="E3" s="500"/>
      <c r="F3" s="500"/>
      <c r="G3" s="500"/>
      <c r="H3" s="500"/>
      <c r="I3" s="500"/>
      <c r="J3" s="500"/>
      <c r="K3" s="500"/>
      <c r="L3" s="500"/>
      <c r="M3" s="500"/>
      <c r="N3" s="500"/>
      <c r="O3" s="500"/>
      <c r="P3" s="500"/>
      <c r="Q3" s="500"/>
      <c r="R3" s="500"/>
      <c r="S3" s="500"/>
      <c r="T3" s="500"/>
      <c r="U3" s="500"/>
      <c r="V3" s="500"/>
      <c r="W3" s="500"/>
      <c r="X3" s="500"/>
      <c r="Y3" s="500"/>
      <c r="Z3" s="501"/>
      <c r="AA3" s="501"/>
      <c r="AB3" s="501"/>
      <c r="AC3" s="501"/>
      <c r="AD3" s="500"/>
      <c r="AE3" s="502"/>
      <c r="AF3" s="503"/>
      <c r="AG3" s="503"/>
      <c r="AH3" s="506"/>
      <c r="AI3" s="506"/>
      <c r="AJ3" s="506"/>
      <c r="AK3" s="506"/>
      <c r="AL3" s="510" t="s">
        <v>2291</v>
      </c>
      <c r="AM3" s="511"/>
      <c r="AN3" s="512" t="s">
        <v>2292</v>
      </c>
      <c r="AO3" s="112"/>
      <c r="AP3" s="112"/>
      <c r="AQ3" s="112"/>
      <c r="AR3" s="112"/>
      <c r="AS3" s="511"/>
      <c r="AT3" s="500"/>
      <c r="AU3" s="506"/>
      <c r="AV3" s="506"/>
      <c r="AW3" s="506"/>
      <c r="AX3" s="506"/>
      <c r="AY3" s="510" t="s">
        <v>2291</v>
      </c>
      <c r="AZ3" s="511"/>
      <c r="BA3" s="512" t="s">
        <v>2292</v>
      </c>
      <c r="BB3" s="112"/>
      <c r="BC3" s="112"/>
      <c r="BD3" s="112"/>
      <c r="BE3" s="112"/>
      <c r="BF3" s="511"/>
      <c r="BG3" s="500"/>
      <c r="BH3" s="500"/>
      <c r="BI3" s="500"/>
      <c r="BJ3" s="500"/>
      <c r="BK3" s="500"/>
      <c r="BL3" s="500"/>
      <c r="BM3" s="500"/>
      <c r="BN3" s="500"/>
      <c r="BO3" s="500"/>
      <c r="BP3" s="500"/>
      <c r="BQ3" s="500"/>
      <c r="BR3" s="500"/>
      <c r="BS3" s="500"/>
      <c r="BT3" s="500"/>
      <c r="BU3" s="500"/>
      <c r="BV3" s="500"/>
    </row>
    <row r="4" ht="15.75" customHeight="1">
      <c r="A4" s="513" t="s">
        <v>2293</v>
      </c>
      <c r="B4" s="514"/>
      <c r="C4" s="500"/>
      <c r="D4" s="500"/>
      <c r="E4" s="500"/>
      <c r="F4" s="500"/>
      <c r="G4" s="500"/>
      <c r="H4" s="500"/>
      <c r="I4" s="500"/>
      <c r="J4" s="500"/>
      <c r="K4" s="500"/>
      <c r="L4" s="500"/>
      <c r="M4" s="500"/>
      <c r="N4" s="500"/>
      <c r="O4" s="500"/>
      <c r="P4" s="500"/>
      <c r="Q4" s="500"/>
      <c r="R4" s="500"/>
      <c r="S4" s="500"/>
      <c r="T4" s="500"/>
      <c r="U4" s="500"/>
      <c r="V4" s="500"/>
      <c r="W4" s="500"/>
      <c r="X4" s="500"/>
      <c r="Y4" s="500"/>
      <c r="Z4" s="501"/>
      <c r="AA4" s="501"/>
      <c r="AB4" s="501"/>
      <c r="AC4" s="501"/>
      <c r="AD4" s="500"/>
      <c r="AE4" s="502"/>
      <c r="AF4" s="503"/>
      <c r="AG4" s="503"/>
      <c r="AH4" s="500"/>
      <c r="AI4" s="500"/>
      <c r="AJ4" s="500"/>
      <c r="AK4" s="500"/>
      <c r="AL4" s="515" t="s">
        <v>2294</v>
      </c>
      <c r="AM4" s="516"/>
      <c r="AN4" s="517" t="s">
        <v>2295</v>
      </c>
      <c r="AO4" s="518" t="s">
        <v>2296</v>
      </c>
      <c r="AP4" s="519"/>
      <c r="AQ4" s="519"/>
      <c r="AR4" s="516"/>
      <c r="AS4" s="520" t="s">
        <v>2297</v>
      </c>
      <c r="AT4" s="500"/>
      <c r="AU4" s="500"/>
      <c r="AV4" s="500"/>
      <c r="AW4" s="500"/>
      <c r="AX4" s="500"/>
      <c r="AY4" s="521" t="s">
        <v>2294</v>
      </c>
      <c r="AZ4" s="516"/>
      <c r="BA4" s="517" t="s">
        <v>2295</v>
      </c>
      <c r="BB4" s="518" t="s">
        <v>2296</v>
      </c>
      <c r="BC4" s="519"/>
      <c r="BD4" s="519"/>
      <c r="BE4" s="516"/>
      <c r="BF4" s="520" t="s">
        <v>2297</v>
      </c>
      <c r="BG4" s="500"/>
      <c r="BH4" s="500"/>
      <c r="BI4" s="500"/>
      <c r="BJ4" s="500"/>
      <c r="BK4" s="500"/>
      <c r="BL4" s="500"/>
      <c r="BM4" s="500"/>
      <c r="BN4" s="500"/>
      <c r="BO4" s="500"/>
      <c r="BP4" s="500"/>
      <c r="BQ4" s="500"/>
      <c r="BR4" s="500"/>
      <c r="BS4" s="500"/>
      <c r="BT4" s="500"/>
      <c r="BU4" s="500"/>
      <c r="BV4" s="500"/>
    </row>
    <row r="5" ht="14.25" customHeight="1">
      <c r="A5" s="500" t="s">
        <v>2298</v>
      </c>
      <c r="B5" s="500"/>
      <c r="C5" s="500"/>
      <c r="D5" s="500"/>
      <c r="E5" s="500"/>
      <c r="F5" s="500"/>
      <c r="G5" s="500"/>
      <c r="H5" s="500"/>
      <c r="I5" s="500"/>
      <c r="J5" s="500"/>
      <c r="K5" s="500"/>
      <c r="L5" s="500"/>
      <c r="M5" s="500"/>
      <c r="N5" s="500"/>
      <c r="O5" s="500"/>
      <c r="P5" s="500"/>
      <c r="Q5" s="500"/>
      <c r="R5" s="500"/>
      <c r="S5" s="500"/>
      <c r="T5" s="500"/>
      <c r="U5" s="500"/>
      <c r="V5" s="500"/>
      <c r="W5" s="500"/>
      <c r="X5" s="500"/>
      <c r="Y5" s="500"/>
      <c r="Z5" s="501"/>
      <c r="AA5" s="501"/>
      <c r="AB5" s="501"/>
      <c r="AC5" s="501"/>
      <c r="AD5" s="500"/>
      <c r="AE5" s="502"/>
      <c r="AF5" s="503"/>
      <c r="AG5" s="503"/>
      <c r="AH5" s="522" t="s">
        <v>2299</v>
      </c>
      <c r="AI5" s="523" t="s">
        <v>50</v>
      </c>
      <c r="AJ5" s="524" t="s">
        <v>2300</v>
      </c>
      <c r="AK5" s="523" t="s">
        <v>2301</v>
      </c>
      <c r="AL5" s="525">
        <v>2015.0</v>
      </c>
      <c r="AM5" s="526">
        <v>2019.0</v>
      </c>
      <c r="AN5" s="527">
        <v>2025.0</v>
      </c>
      <c r="AO5" s="527">
        <v>2030.0</v>
      </c>
      <c r="AP5" s="527">
        <v>2035.0</v>
      </c>
      <c r="AQ5" s="528">
        <v>2040.0</v>
      </c>
      <c r="AR5" s="528">
        <v>2045.0</v>
      </c>
      <c r="AS5" s="529">
        <v>2050.0</v>
      </c>
      <c r="AT5" s="500"/>
      <c r="AU5" s="522" t="s">
        <v>2299</v>
      </c>
      <c r="AV5" s="523" t="s">
        <v>50</v>
      </c>
      <c r="AW5" s="524" t="s">
        <v>2300</v>
      </c>
      <c r="AX5" s="530" t="s">
        <v>2301</v>
      </c>
      <c r="AY5" s="531">
        <v>2015.0</v>
      </c>
      <c r="AZ5" s="532">
        <v>2019.0</v>
      </c>
      <c r="BA5" s="531">
        <v>2025.0</v>
      </c>
      <c r="BB5" s="531">
        <v>2030.0</v>
      </c>
      <c r="BC5" s="531">
        <v>2035.0</v>
      </c>
      <c r="BD5" s="533">
        <v>2040.0</v>
      </c>
      <c r="BE5" s="533">
        <v>2045.0</v>
      </c>
      <c r="BF5" s="534">
        <v>2050.0</v>
      </c>
      <c r="BG5" s="500"/>
      <c r="BH5" s="500"/>
      <c r="BI5" s="500"/>
      <c r="BJ5" s="500"/>
      <c r="BK5" s="500"/>
      <c r="BL5" s="500"/>
      <c r="BM5" s="500"/>
      <c r="BN5" s="500"/>
      <c r="BO5" s="500"/>
      <c r="BP5" s="500"/>
      <c r="BQ5" s="500"/>
      <c r="BR5" s="500"/>
      <c r="BS5" s="500"/>
      <c r="BT5" s="500"/>
      <c r="BU5" s="500"/>
      <c r="BV5" s="500"/>
    </row>
    <row r="6" ht="14.25" customHeight="1">
      <c r="A6" s="500" t="s">
        <v>2302</v>
      </c>
      <c r="B6" s="500"/>
      <c r="C6" s="500"/>
      <c r="D6" s="500"/>
      <c r="E6" s="500"/>
      <c r="F6" s="500"/>
      <c r="G6" s="500"/>
      <c r="H6" s="500"/>
      <c r="I6" s="500"/>
      <c r="J6" s="500"/>
      <c r="K6" s="500"/>
      <c r="L6" s="500"/>
      <c r="M6" s="500"/>
      <c r="N6" s="500"/>
      <c r="O6" s="500"/>
      <c r="P6" s="500"/>
      <c r="Q6" s="500"/>
      <c r="R6" s="500"/>
      <c r="S6" s="500"/>
      <c r="T6" s="500"/>
      <c r="U6" s="500"/>
      <c r="V6" s="500"/>
      <c r="W6" s="500"/>
      <c r="X6" s="500"/>
      <c r="Y6" s="500"/>
      <c r="Z6" s="501"/>
      <c r="AA6" s="501"/>
      <c r="AB6" s="501"/>
      <c r="AC6" s="501"/>
      <c r="AD6" s="500"/>
      <c r="AE6" s="502"/>
      <c r="AF6" s="503"/>
      <c r="AG6" s="503"/>
      <c r="AH6" s="535" t="s">
        <v>2303</v>
      </c>
      <c r="AI6" s="536" t="s">
        <v>135</v>
      </c>
      <c r="AJ6" s="500" t="s">
        <v>2162</v>
      </c>
      <c r="AK6" s="500" t="str">
        <f>AI28</f>
        <v>BE</v>
      </c>
      <c r="AL6" s="537">
        <f t="shared" ref="AL6:AL12" si="3">AQ111</f>
        <v>28.3735</v>
      </c>
      <c r="AM6" s="487">
        <f t="shared" ref="AM6:AS6" si="1">AV111</f>
        <v>30.68522649</v>
      </c>
      <c r="AN6" s="487">
        <f t="shared" si="1"/>
        <v>28.5405136</v>
      </c>
      <c r="AO6" s="487">
        <f t="shared" si="1"/>
        <v>23.42619824</v>
      </c>
      <c r="AP6" s="487">
        <f t="shared" si="1"/>
        <v>19.63170619</v>
      </c>
      <c r="AQ6" s="487">
        <f t="shared" si="1"/>
        <v>16.22168822</v>
      </c>
      <c r="AR6" s="538">
        <f t="shared" si="1"/>
        <v>14.68236874</v>
      </c>
      <c r="AS6" s="539">
        <f t="shared" si="1"/>
        <v>14.187435</v>
      </c>
      <c r="AT6" s="500"/>
      <c r="AU6" s="535" t="s">
        <v>2304</v>
      </c>
      <c r="AV6" s="536" t="s">
        <v>135</v>
      </c>
      <c r="AW6" s="500" t="s">
        <v>2191</v>
      </c>
      <c r="AX6" s="540" t="str">
        <f t="shared" ref="AX6:AX14" si="5">$D$27</f>
        <v>BE</v>
      </c>
      <c r="AY6" s="541">
        <f t="shared" ref="AY6:AZ6" si="2">AY$14*H77</f>
        <v>19.539492</v>
      </c>
      <c r="AZ6" s="541">
        <f t="shared" si="2"/>
        <v>21.59995092</v>
      </c>
      <c r="BA6" s="541">
        <f t="shared" ref="BA6:BA7" si="7">(AZ6/$AZ$14+5*(BB6/$BB$14-AZ6/$AZ$14)/10)*$BA$14</f>
        <v>15.95592488</v>
      </c>
      <c r="BB6" s="541">
        <f>IF(($L$29*(BF6/$BF$14-AZ6/$AZ$14)+(AZ6/$AZ$14))*$BB$14-100%*BB12&gt;=0,($L$29*(BF6/$BF$14-AZ6/$AZ$14)+(AZ6/$AZ$14))*$BB$14-100%*BB12,($L$29*(BF6/$BF$14-AZ6/$AZ$14)+(AZ6/$AZ$14))*$BB$14)</f>
        <v>9.928340579</v>
      </c>
      <c r="BC6" s="541">
        <f>IF(($M$29*(BF6/$BF$14-AZ6/$AZ$14)+(AZ6/$AZ$14))*$BC$14-100%*BC12&gt;=0,($M$29*(BF6/$BF$14-AZ6/$AZ$14)+(AZ6/$AZ$14))*$BC$14-100%*BC12,($M$29*(BF6/$BF$14-AZ6/$AZ$14)+(AZ6/$AZ$14))*$BC$14)</f>
        <v>5.182921217</v>
      </c>
      <c r="BD6" s="542">
        <f>IF(BD$14*L77-100%*BD12&gt;=0,BD$14*L77-100%*BD12,0)</f>
        <v>0</v>
      </c>
      <c r="BE6" s="541">
        <f t="shared" ref="BE6:BE7" si="8">($O$29*(BF6/$BF$14-AZ6/$AZ$14)+(AZ6/$AZ$14))*$BE$14</f>
        <v>0</v>
      </c>
      <c r="BF6" s="542">
        <f t="shared" ref="BF6:BF7" si="9">BF$14*M77</f>
        <v>0</v>
      </c>
      <c r="BG6" s="500"/>
      <c r="BH6" s="500"/>
      <c r="BI6" s="500"/>
      <c r="BJ6" s="500"/>
      <c r="BK6" s="500"/>
      <c r="BL6" s="500"/>
      <c r="BM6" s="500"/>
      <c r="BN6" s="500"/>
      <c r="BO6" s="500"/>
      <c r="BP6" s="500"/>
      <c r="BQ6" s="500"/>
      <c r="BR6" s="500"/>
      <c r="BS6" s="500"/>
      <c r="BT6" s="500"/>
      <c r="BU6" s="500"/>
      <c r="BV6" s="500"/>
    </row>
    <row r="7" ht="14.25" customHeight="1">
      <c r="A7" s="500" t="s">
        <v>2305</v>
      </c>
      <c r="B7" s="543" t="s">
        <v>2306</v>
      </c>
      <c r="C7" s="500" t="s">
        <v>2307</v>
      </c>
      <c r="D7" s="500"/>
      <c r="E7" s="500"/>
      <c r="F7" s="500"/>
      <c r="G7" s="500"/>
      <c r="H7" s="500"/>
      <c r="I7" s="500"/>
      <c r="J7" s="500"/>
      <c r="K7" s="500"/>
      <c r="L7" s="500"/>
      <c r="M7" s="500"/>
      <c r="N7" s="500"/>
      <c r="O7" s="500"/>
      <c r="P7" s="500"/>
      <c r="Q7" s="500"/>
      <c r="R7" s="500"/>
      <c r="S7" s="500"/>
      <c r="T7" s="500"/>
      <c r="U7" s="500"/>
      <c r="V7" s="500"/>
      <c r="W7" s="500"/>
      <c r="X7" s="500"/>
      <c r="Y7" s="500"/>
      <c r="Z7" s="501"/>
      <c r="AA7" s="501"/>
      <c r="AB7" s="501"/>
      <c r="AC7" s="501"/>
      <c r="AD7" s="500"/>
      <c r="AE7" s="502"/>
      <c r="AF7" s="503"/>
      <c r="AG7" s="503"/>
      <c r="AH7" s="535" t="s">
        <v>2308</v>
      </c>
      <c r="AI7" s="536" t="s">
        <v>135</v>
      </c>
      <c r="AJ7" s="500" t="s">
        <v>2170</v>
      </c>
      <c r="AK7" s="500" t="str">
        <f t="shared" ref="AK7:AK16" si="10">AK6</f>
        <v>BE</v>
      </c>
      <c r="AL7" s="537">
        <f t="shared" si="3"/>
        <v>5.52</v>
      </c>
      <c r="AM7" s="487">
        <f t="shared" ref="AM7:AS7" si="4">AV112</f>
        <v>6.123567197</v>
      </c>
      <c r="AN7" s="487">
        <f t="shared" si="4"/>
        <v>5.725181587</v>
      </c>
      <c r="AO7" s="487">
        <f t="shared" si="4"/>
        <v>4.775185131</v>
      </c>
      <c r="AP7" s="487">
        <f t="shared" si="4"/>
        <v>4.07034905</v>
      </c>
      <c r="AQ7" s="487">
        <f t="shared" si="4"/>
        <v>3.4043865</v>
      </c>
      <c r="AR7" s="538">
        <f t="shared" si="4"/>
        <v>3.150997641</v>
      </c>
      <c r="AS7" s="539">
        <f t="shared" si="4"/>
        <v>3.0590625</v>
      </c>
      <c r="AT7" s="500"/>
      <c r="AU7" s="535" t="s">
        <v>2309</v>
      </c>
      <c r="AV7" s="536" t="s">
        <v>135</v>
      </c>
      <c r="AW7" s="500" t="s">
        <v>2195</v>
      </c>
      <c r="AX7" s="540" t="str">
        <f t="shared" si="5"/>
        <v>BE</v>
      </c>
      <c r="AY7" s="541">
        <f t="shared" ref="AY7:AZ7" si="6">AY$14*H78</f>
        <v>19.539492</v>
      </c>
      <c r="AZ7" s="541">
        <f t="shared" si="6"/>
        <v>14.50751062</v>
      </c>
      <c r="BA7" s="541">
        <f t="shared" si="7"/>
        <v>10.71672572</v>
      </c>
      <c r="BB7" s="541">
        <f>($L$29*(BF7/$BF$14-AZ7/$AZ$14)+(AZ7/$AZ$14))*$BB$14</f>
        <v>6.668325632</v>
      </c>
      <c r="BC7" s="541">
        <f>($M$29*(BF7/$BF$14-AZ7/$AZ$14)+(AZ7/$AZ$14))*$BC$14</f>
        <v>3.4810859</v>
      </c>
      <c r="BD7" s="542">
        <f>BD$14*L78</f>
        <v>2.022041002</v>
      </c>
      <c r="BE7" s="541">
        <f t="shared" si="8"/>
        <v>0</v>
      </c>
      <c r="BF7" s="542">
        <f t="shared" si="9"/>
        <v>0</v>
      </c>
      <c r="BG7" s="500"/>
      <c r="BH7" s="500"/>
      <c r="BI7" s="500"/>
      <c r="BJ7" s="500"/>
      <c r="BK7" s="500"/>
      <c r="BL7" s="500"/>
      <c r="BM7" s="500"/>
      <c r="BN7" s="500"/>
      <c r="BO7" s="500"/>
      <c r="BP7" s="500"/>
      <c r="BQ7" s="500"/>
      <c r="BR7" s="500"/>
      <c r="BS7" s="500"/>
      <c r="BT7" s="500"/>
      <c r="BU7" s="500"/>
      <c r="BV7" s="500"/>
    </row>
    <row r="8" ht="14.25" customHeight="1">
      <c r="A8" s="500" t="s">
        <v>2310</v>
      </c>
      <c r="B8" s="500"/>
      <c r="C8" s="500"/>
      <c r="D8" s="500"/>
      <c r="E8" s="500"/>
      <c r="F8" s="500"/>
      <c r="G8" s="500"/>
      <c r="H8" s="500"/>
      <c r="I8" s="500"/>
      <c r="J8" s="500"/>
      <c r="K8" s="500"/>
      <c r="L8" s="500"/>
      <c r="M8" s="500"/>
      <c r="N8" s="500"/>
      <c r="O8" s="500"/>
      <c r="P8" s="500"/>
      <c r="Q8" s="500"/>
      <c r="R8" s="500"/>
      <c r="S8" s="500"/>
      <c r="T8" s="500"/>
      <c r="U8" s="500"/>
      <c r="V8" s="500"/>
      <c r="W8" s="500"/>
      <c r="X8" s="500"/>
      <c r="Y8" s="500"/>
      <c r="Z8" s="501"/>
      <c r="AA8" s="501"/>
      <c r="AB8" s="501"/>
      <c r="AC8" s="501"/>
      <c r="AD8" s="500"/>
      <c r="AE8" s="502"/>
      <c r="AF8" s="544"/>
      <c r="AG8" s="544"/>
      <c r="AH8" s="535" t="s">
        <v>2311</v>
      </c>
      <c r="AI8" s="536" t="s">
        <v>135</v>
      </c>
      <c r="AJ8" s="500" t="s">
        <v>2184</v>
      </c>
      <c r="AK8" s="500" t="str">
        <f t="shared" si="10"/>
        <v>BE</v>
      </c>
      <c r="AL8" s="537">
        <f t="shared" si="3"/>
        <v>8.2554</v>
      </c>
      <c r="AM8" s="487">
        <f t="shared" ref="AM8:AS8" si="11">AV113</f>
        <v>7.546488366</v>
      </c>
      <c r="AN8" s="487">
        <f t="shared" si="11"/>
        <v>7.151923628</v>
      </c>
      <c r="AO8" s="487">
        <f t="shared" si="11"/>
        <v>6.211038485</v>
      </c>
      <c r="AP8" s="487">
        <f t="shared" si="11"/>
        <v>5.512962411</v>
      </c>
      <c r="AQ8" s="487">
        <f t="shared" si="11"/>
        <v>5.050989336</v>
      </c>
      <c r="AR8" s="538">
        <f t="shared" si="11"/>
        <v>4.602428401</v>
      </c>
      <c r="AS8" s="539">
        <f t="shared" si="11"/>
        <v>4.511375</v>
      </c>
      <c r="AT8" s="500"/>
      <c r="AU8" s="535" t="s">
        <v>2312</v>
      </c>
      <c r="AV8" s="536" t="s">
        <v>135</v>
      </c>
      <c r="AW8" s="500" t="s">
        <v>2197</v>
      </c>
      <c r="AX8" s="540" t="str">
        <f t="shared" si="5"/>
        <v>BE</v>
      </c>
      <c r="AY8" s="541">
        <f t="shared" ref="AY8:AZ8" si="12">AY$14*H79</f>
        <v>47.453052</v>
      </c>
      <c r="AZ8" s="541">
        <f t="shared" si="12"/>
        <v>49.90785801</v>
      </c>
      <c r="BA8" s="541">
        <f t="shared" ref="BA8:BF8" si="13">BA14-SUM(BA6:BA7)-SUM(BA9:BA13)</f>
        <v>42.0675824</v>
      </c>
      <c r="BB8" s="541">
        <f t="shared" si="13"/>
        <v>31.95445088</v>
      </c>
      <c r="BC8" s="541">
        <f t="shared" si="13"/>
        <v>15.06080315</v>
      </c>
      <c r="BD8" s="541">
        <f t="shared" si="13"/>
        <v>11.73505939</v>
      </c>
      <c r="BE8" s="541">
        <f t="shared" si="13"/>
        <v>7.549775185</v>
      </c>
      <c r="BF8" s="541">
        <f t="shared" si="13"/>
        <v>7.397287232</v>
      </c>
      <c r="BG8" s="500"/>
      <c r="BH8" s="500"/>
      <c r="BI8" s="500"/>
      <c r="BJ8" s="500"/>
      <c r="BK8" s="500"/>
      <c r="BL8" s="500"/>
      <c r="BM8" s="500"/>
      <c r="BN8" s="500"/>
      <c r="BO8" s="500"/>
      <c r="BP8" s="500"/>
      <c r="BQ8" s="500"/>
      <c r="BR8" s="500"/>
      <c r="BS8" s="500"/>
      <c r="BT8" s="500"/>
      <c r="BU8" s="500"/>
      <c r="BV8" s="500"/>
    </row>
    <row r="9" ht="14.25" customHeight="1">
      <c r="A9" s="500"/>
      <c r="B9" s="500"/>
      <c r="C9" s="500"/>
      <c r="D9" s="500"/>
      <c r="E9" s="500"/>
      <c r="F9" s="500"/>
      <c r="G9" s="500"/>
      <c r="H9" s="500"/>
      <c r="I9" s="500"/>
      <c r="J9" s="500"/>
      <c r="K9" s="500"/>
      <c r="L9" s="500"/>
      <c r="M9" s="500"/>
      <c r="N9" s="500"/>
      <c r="O9" s="500"/>
      <c r="P9" s="500"/>
      <c r="Q9" s="500"/>
      <c r="R9" s="500"/>
      <c r="S9" s="500"/>
      <c r="T9" s="500"/>
      <c r="U9" s="500"/>
      <c r="V9" s="500"/>
      <c r="W9" s="500"/>
      <c r="X9" s="500"/>
      <c r="Y9" s="500"/>
      <c r="Z9" s="501"/>
      <c r="AA9" s="501"/>
      <c r="AB9" s="501"/>
      <c r="AC9" s="501"/>
      <c r="AD9" s="500"/>
      <c r="AE9" s="502"/>
      <c r="AF9" s="544"/>
      <c r="AG9" s="544"/>
      <c r="AH9" s="535" t="s">
        <v>2313</v>
      </c>
      <c r="AI9" s="536" t="s">
        <v>135</v>
      </c>
      <c r="AJ9" s="500" t="s">
        <v>2172</v>
      </c>
      <c r="AK9" s="500" t="str">
        <f t="shared" si="10"/>
        <v>BE</v>
      </c>
      <c r="AL9" s="537">
        <f t="shared" si="3"/>
        <v>4.3</v>
      </c>
      <c r="AM9" s="487">
        <f t="shared" ref="AM9:AS9" si="14">AV114</f>
        <v>4.3</v>
      </c>
      <c r="AN9" s="487">
        <f t="shared" si="14"/>
        <v>3.8957</v>
      </c>
      <c r="AO9" s="487">
        <f t="shared" si="14"/>
        <v>2.9316</v>
      </c>
      <c r="AP9" s="487">
        <f t="shared" si="14"/>
        <v>2.2163</v>
      </c>
      <c r="AQ9" s="487">
        <f t="shared" si="14"/>
        <v>1.629136</v>
      </c>
      <c r="AR9" s="538">
        <f t="shared" si="14"/>
        <v>1.2833</v>
      </c>
      <c r="AS9" s="539">
        <f t="shared" si="14"/>
        <v>1.19</v>
      </c>
      <c r="AT9" s="500"/>
      <c r="AU9" s="535" t="s">
        <v>2314</v>
      </c>
      <c r="AV9" s="536" t="s">
        <v>135</v>
      </c>
      <c r="AW9" s="500" t="s">
        <v>2201</v>
      </c>
      <c r="AX9" s="540" t="str">
        <f t="shared" si="5"/>
        <v>BE</v>
      </c>
      <c r="AY9" s="541">
        <f t="shared" ref="AY9:AZ9" si="15">AY$14*H80</f>
        <v>5.582712</v>
      </c>
      <c r="AZ9" s="541">
        <f t="shared" si="15"/>
        <v>5.274484871</v>
      </c>
      <c r="BA9" s="541">
        <f t="shared" ref="BA9:BA13" si="18">(AZ9/$AZ$14+5*(BB9/$BB$14-AZ9/$AZ$14)/10)*$BA$14</f>
        <v>4.763030794</v>
      </c>
      <c r="BB9" s="541">
        <f t="shared" ref="BB9:BB11" si="19">($L$29*(BF9/$BF$14-AZ9/$AZ$14)+(AZ9/$AZ$14))*$BB$14</f>
        <v>3.926811791</v>
      </c>
      <c r="BC9" s="541">
        <f t="shared" ref="BC9:BC11" si="20">($M$29*(BF9/$BF$14-AZ9/$AZ$14)+(AZ9/$AZ$14))*$BC$14</f>
        <v>3.292288704</v>
      </c>
      <c r="BD9" s="542">
        <f t="shared" ref="BD9:BD13" si="21">BD$14*L80</f>
        <v>2.852522128</v>
      </c>
      <c r="BE9" s="541">
        <f t="shared" ref="BE9:BE11" si="22">($O$29*(BF9/$BF$14-AZ9/$AZ$14)+(AZ9/$AZ$14))*$BE$14</f>
        <v>2.516591728</v>
      </c>
      <c r="BF9" s="542">
        <f t="shared" ref="BF9:BF13" si="23">BF$14*M80</f>
        <v>2.465762411</v>
      </c>
      <c r="BG9" s="500"/>
      <c r="BH9" s="500"/>
      <c r="BI9" s="500"/>
      <c r="BJ9" s="500"/>
      <c r="BK9" s="500"/>
      <c r="BL9" s="500"/>
      <c r="BM9" s="500"/>
      <c r="BN9" s="500"/>
      <c r="BO9" s="500"/>
      <c r="BP9" s="500"/>
      <c r="BQ9" s="500"/>
      <c r="BR9" s="500"/>
      <c r="BS9" s="500"/>
      <c r="BT9" s="500"/>
      <c r="BU9" s="500"/>
      <c r="BV9" s="500"/>
    </row>
    <row r="10" ht="14.25" customHeight="1">
      <c r="A10" s="513" t="s">
        <v>2315</v>
      </c>
      <c r="B10" s="514"/>
      <c r="C10" s="500"/>
      <c r="D10" s="500"/>
      <c r="E10" s="500"/>
      <c r="F10" s="500"/>
      <c r="G10" s="500"/>
      <c r="H10" s="500"/>
      <c r="I10" s="500"/>
      <c r="J10" s="500"/>
      <c r="K10" s="500"/>
      <c r="L10" s="500"/>
      <c r="M10" s="500"/>
      <c r="N10" s="500"/>
      <c r="O10" s="8"/>
      <c r="P10" s="513" t="s">
        <v>2316</v>
      </c>
      <c r="Q10" s="8"/>
      <c r="R10" s="8"/>
      <c r="S10" s="8"/>
      <c r="T10" s="8"/>
      <c r="U10" s="8"/>
      <c r="V10" s="8"/>
      <c r="W10" s="8"/>
      <c r="X10" s="8"/>
      <c r="Y10" s="8"/>
      <c r="Z10" s="8"/>
      <c r="AA10" s="8"/>
      <c r="AB10" s="8"/>
      <c r="AC10" s="8"/>
      <c r="AD10" s="8"/>
      <c r="AE10" s="545"/>
      <c r="AF10" s="546" t="s">
        <v>2317</v>
      </c>
      <c r="AG10" s="546" t="s">
        <v>2318</v>
      </c>
      <c r="AH10" s="535" t="s">
        <v>2319</v>
      </c>
      <c r="AI10" s="536" t="s">
        <v>135</v>
      </c>
      <c r="AJ10" s="500" t="s">
        <v>2176</v>
      </c>
      <c r="AK10" s="500" t="str">
        <f t="shared" si="10"/>
        <v>BE</v>
      </c>
      <c r="AL10" s="537">
        <f t="shared" si="3"/>
        <v>5.34</v>
      </c>
      <c r="AM10" s="487">
        <f t="shared" ref="AM10:AS10" si="16">AV115</f>
        <v>5.34</v>
      </c>
      <c r="AN10" s="487">
        <f t="shared" si="16"/>
        <v>4.8369</v>
      </c>
      <c r="AO10" s="487">
        <f t="shared" si="16"/>
        <v>3.6372</v>
      </c>
      <c r="AP10" s="487">
        <f t="shared" si="16"/>
        <v>2.7471</v>
      </c>
      <c r="AQ10" s="487">
        <f t="shared" si="16"/>
        <v>1.9585632</v>
      </c>
      <c r="AR10" s="538">
        <f t="shared" si="16"/>
        <v>1.5861</v>
      </c>
      <c r="AS10" s="539">
        <f t="shared" si="16"/>
        <v>1.47</v>
      </c>
      <c r="AT10" s="8"/>
      <c r="AU10" s="535" t="s">
        <v>2320</v>
      </c>
      <c r="AV10" s="536" t="s">
        <v>135</v>
      </c>
      <c r="AW10" s="500" t="s">
        <v>2193</v>
      </c>
      <c r="AX10" s="540" t="str">
        <f t="shared" si="5"/>
        <v>BE</v>
      </c>
      <c r="AY10" s="541">
        <f t="shared" ref="AY10:AZ10" si="17">AY$14*H81</f>
        <v>9.769746</v>
      </c>
      <c r="AZ10" s="541">
        <f t="shared" si="17"/>
        <v>9.479139872</v>
      </c>
      <c r="BA10" s="541">
        <f t="shared" si="18"/>
        <v>9.024695819</v>
      </c>
      <c r="BB10" s="541">
        <f t="shared" si="19"/>
        <v>7.86268462</v>
      </c>
      <c r="BC10" s="541">
        <f t="shared" si="20"/>
        <v>7.003428716</v>
      </c>
      <c r="BD10" s="542">
        <f t="shared" si="21"/>
        <v>6.318878132</v>
      </c>
      <c r="BE10" s="541">
        <f t="shared" si="22"/>
        <v>5.872047366</v>
      </c>
      <c r="BF10" s="542">
        <f t="shared" si="23"/>
        <v>5.753445625</v>
      </c>
      <c r="BG10" s="8"/>
      <c r="BH10" s="8"/>
      <c r="BI10" s="8"/>
      <c r="BJ10" s="8"/>
      <c r="BK10" s="8"/>
      <c r="BL10" s="8"/>
      <c r="BM10" s="8"/>
      <c r="BN10" s="8"/>
      <c r="BO10" s="8"/>
      <c r="BP10" s="8"/>
      <c r="BQ10" s="8"/>
      <c r="BR10" s="8"/>
      <c r="BS10" s="8"/>
      <c r="BT10" s="8"/>
      <c r="BU10" s="8"/>
      <c r="BV10" s="8"/>
    </row>
    <row r="11" ht="14.25" customHeight="1">
      <c r="A11" s="547" t="s">
        <v>2321</v>
      </c>
      <c r="B11" s="500" t="s">
        <v>2322</v>
      </c>
      <c r="C11" s="500"/>
      <c r="D11" s="500"/>
      <c r="E11" s="547" t="s">
        <v>2323</v>
      </c>
      <c r="F11" s="500"/>
      <c r="G11" s="500"/>
      <c r="H11" s="500" t="s">
        <v>2324</v>
      </c>
      <c r="I11" s="500"/>
      <c r="J11" s="500"/>
      <c r="K11" s="8"/>
      <c r="L11" s="500"/>
      <c r="M11" s="500"/>
      <c r="N11" s="500"/>
      <c r="O11" s="500"/>
      <c r="P11" s="8"/>
      <c r="Q11" s="8"/>
      <c r="R11" s="8"/>
      <c r="S11" s="8"/>
      <c r="T11" s="8"/>
      <c r="U11" s="8"/>
      <c r="V11" s="8"/>
      <c r="W11" s="8"/>
      <c r="X11" s="8"/>
      <c r="Y11" s="8"/>
      <c r="Z11" s="8"/>
      <c r="AA11" s="8"/>
      <c r="AB11" s="8"/>
      <c r="AC11" s="8"/>
      <c r="AD11" s="8"/>
      <c r="AE11" s="545"/>
      <c r="AF11" s="546" t="s">
        <v>2325</v>
      </c>
      <c r="AG11" s="546" t="s">
        <v>2326</v>
      </c>
      <c r="AH11" s="535" t="s">
        <v>2327</v>
      </c>
      <c r="AI11" s="536" t="s">
        <v>135</v>
      </c>
      <c r="AJ11" s="500" t="s">
        <v>2178</v>
      </c>
      <c r="AK11" s="500" t="str">
        <f t="shared" si="10"/>
        <v>BE</v>
      </c>
      <c r="AL11" s="537">
        <f t="shared" si="3"/>
        <v>30</v>
      </c>
      <c r="AM11" s="487">
        <f t="shared" ref="AM11:AS11" si="24">AV116</f>
        <v>30</v>
      </c>
      <c r="AN11" s="487">
        <f t="shared" si="24"/>
        <v>28.972584</v>
      </c>
      <c r="AO11" s="487">
        <f t="shared" si="24"/>
        <v>26.522592</v>
      </c>
      <c r="AP11" s="487">
        <f t="shared" si="24"/>
        <v>24.704856</v>
      </c>
      <c r="AQ11" s="487">
        <f t="shared" si="24"/>
        <v>23.28809088</v>
      </c>
      <c r="AR11" s="538">
        <f t="shared" si="24"/>
        <v>22.333896</v>
      </c>
      <c r="AS11" s="539">
        <f t="shared" si="24"/>
        <v>22.0968</v>
      </c>
      <c r="AT11" s="8"/>
      <c r="AU11" s="535" t="s">
        <v>2328</v>
      </c>
      <c r="AV11" s="536" t="s">
        <v>135</v>
      </c>
      <c r="AW11" s="500" t="s">
        <v>2199</v>
      </c>
      <c r="AX11" s="540" t="str">
        <f t="shared" si="5"/>
        <v>BE</v>
      </c>
      <c r="AY11" s="541">
        <f t="shared" ref="AY11:AZ11" si="25">AY$14*H82</f>
        <v>37.683306</v>
      </c>
      <c r="AZ11" s="541">
        <f t="shared" si="25"/>
        <v>37.9001557</v>
      </c>
      <c r="BA11" s="541">
        <f t="shared" si="18"/>
        <v>48.79912783</v>
      </c>
      <c r="BB11" s="541">
        <f t="shared" si="19"/>
        <v>53.47859786</v>
      </c>
      <c r="BC11" s="541">
        <f t="shared" si="20"/>
        <v>57.73431443</v>
      </c>
      <c r="BD11" s="542">
        <f t="shared" si="21"/>
        <v>59.21691507</v>
      </c>
      <c r="BE11" s="541">
        <f t="shared" si="22"/>
        <v>60.39820148</v>
      </c>
      <c r="BF11" s="542">
        <f t="shared" si="23"/>
        <v>59.17829786</v>
      </c>
      <c r="BG11" s="8"/>
      <c r="BH11" s="8"/>
      <c r="BI11" s="8"/>
      <c r="BJ11" s="8"/>
      <c r="BK11" s="8"/>
      <c r="BL11" s="8"/>
      <c r="BM11" s="8"/>
      <c r="BN11" s="8"/>
      <c r="BO11" s="8"/>
      <c r="BP11" s="8"/>
      <c r="BQ11" s="8"/>
      <c r="BR11" s="8"/>
      <c r="BS11" s="8"/>
      <c r="BT11" s="8"/>
      <c r="BU11" s="8"/>
      <c r="BV11" s="8"/>
    </row>
    <row r="12" ht="14.25" customHeight="1">
      <c r="A12" s="500"/>
      <c r="B12" s="500"/>
      <c r="C12" s="500"/>
      <c r="D12" s="500"/>
      <c r="E12" s="500"/>
      <c r="F12" s="500"/>
      <c r="G12" s="500"/>
      <c r="H12" s="500"/>
      <c r="I12" s="500"/>
      <c r="J12" s="500"/>
      <c r="K12" s="500"/>
      <c r="L12" s="500"/>
      <c r="M12" s="500"/>
      <c r="N12" s="8"/>
      <c r="O12" s="8"/>
      <c r="P12" s="548"/>
      <c r="Q12" s="8"/>
      <c r="R12" s="8"/>
      <c r="S12" s="8"/>
      <c r="T12" s="8"/>
      <c r="U12" s="8"/>
      <c r="V12" s="8"/>
      <c r="W12" s="8"/>
      <c r="X12" s="8"/>
      <c r="Y12" s="8"/>
      <c r="Z12" s="8"/>
      <c r="AA12" s="8"/>
      <c r="AB12" s="8"/>
      <c r="AC12" s="8"/>
      <c r="AD12" s="8"/>
      <c r="AE12" s="545"/>
      <c r="AF12" s="546" t="s">
        <v>2329</v>
      </c>
      <c r="AG12" s="546" t="s">
        <v>2330</v>
      </c>
      <c r="AH12" s="535" t="s">
        <v>2331</v>
      </c>
      <c r="AI12" s="536" t="s">
        <v>135</v>
      </c>
      <c r="AJ12" s="500" t="s">
        <v>2180</v>
      </c>
      <c r="AK12" s="500" t="str">
        <f t="shared" si="10"/>
        <v>BE</v>
      </c>
      <c r="AL12" s="537">
        <f t="shared" si="3"/>
        <v>14.048</v>
      </c>
      <c r="AM12" s="487">
        <f t="shared" ref="AM12:AS12" si="26">AV117</f>
        <v>14.048</v>
      </c>
      <c r="AN12" s="487">
        <f t="shared" si="26"/>
        <v>13.6644896</v>
      </c>
      <c r="AO12" s="487">
        <f t="shared" si="26"/>
        <v>12.7499648</v>
      </c>
      <c r="AP12" s="487">
        <f t="shared" si="26"/>
        <v>12.0714464</v>
      </c>
      <c r="AQ12" s="487">
        <f t="shared" si="26"/>
        <v>11.5699328</v>
      </c>
      <c r="AR12" s="538">
        <f t="shared" si="26"/>
        <v>11.1864224</v>
      </c>
      <c r="AS12" s="539">
        <f t="shared" si="26"/>
        <v>11.09792</v>
      </c>
      <c r="AT12" s="8"/>
      <c r="AU12" s="549" t="s">
        <v>2332</v>
      </c>
      <c r="AV12" s="550" t="s">
        <v>135</v>
      </c>
      <c r="AW12" s="504" t="s">
        <v>2203</v>
      </c>
      <c r="AX12" s="551" t="str">
        <f t="shared" si="5"/>
        <v>BE</v>
      </c>
      <c r="AY12" s="542">
        <f t="shared" ref="AY12:AZ12" si="27">AY$14*H83</f>
        <v>0</v>
      </c>
      <c r="AZ12" s="542">
        <f t="shared" si="27"/>
        <v>0</v>
      </c>
      <c r="BA12" s="542">
        <f t="shared" si="18"/>
        <v>0</v>
      </c>
      <c r="BB12" s="542">
        <f>($L$30*(BF12/$BF$14-AZ12/$AZ$14)+(AZ12/$AZ$14))*$BB$14</f>
        <v>0</v>
      </c>
      <c r="BC12" s="542">
        <f>($M$30*(BF12/$BF$14-AZ12/$AZ$14)+(AZ12/$AZ$14))*$BC$14</f>
        <v>9.074654716</v>
      </c>
      <c r="BD12" s="542">
        <f t="shared" si="21"/>
        <v>8.124271884</v>
      </c>
      <c r="BE12" s="542">
        <f>($O$30*(BF12/$BF$14-AZ12/$AZ$14)+(AZ12/$AZ$14))*$BE$14</f>
        <v>7.549775185</v>
      </c>
      <c r="BF12" s="542">
        <f t="shared" si="23"/>
        <v>7.397287232</v>
      </c>
      <c r="BG12" s="8"/>
      <c r="BH12" s="8"/>
      <c r="BI12" s="8"/>
      <c r="BJ12" s="8"/>
      <c r="BK12" s="8"/>
      <c r="BL12" s="8"/>
      <c r="BM12" s="8"/>
      <c r="BN12" s="8"/>
      <c r="BO12" s="8"/>
      <c r="BP12" s="8"/>
      <c r="BQ12" s="8"/>
      <c r="BR12" s="8"/>
      <c r="BS12" s="8"/>
      <c r="BT12" s="8"/>
      <c r="BU12" s="8"/>
      <c r="BV12" s="8"/>
    </row>
    <row r="13" ht="14.25" customHeight="1">
      <c r="A13" s="8"/>
      <c r="B13" s="8"/>
      <c r="C13" s="500"/>
      <c r="D13" s="500"/>
      <c r="E13" s="500"/>
      <c r="F13" s="500"/>
      <c r="G13" s="500"/>
      <c r="H13" s="500"/>
      <c r="I13" s="500"/>
      <c r="J13" s="500"/>
      <c r="K13" s="500"/>
      <c r="L13" s="500"/>
      <c r="M13" s="500"/>
      <c r="N13" s="500"/>
      <c r="O13" s="500"/>
      <c r="P13" s="548"/>
      <c r="Q13" s="8"/>
      <c r="R13" s="8"/>
      <c r="S13" s="8"/>
      <c r="T13" s="8"/>
      <c r="U13" s="8"/>
      <c r="V13" s="8"/>
      <c r="W13" s="8"/>
      <c r="X13" s="8"/>
      <c r="Y13" s="8"/>
      <c r="Z13" s="8"/>
      <c r="AA13" s="8"/>
      <c r="AB13" s="8"/>
      <c r="AC13" s="8"/>
      <c r="AD13" s="8"/>
      <c r="AE13" s="545"/>
      <c r="AF13" s="546" t="s">
        <v>2333</v>
      </c>
      <c r="AG13" s="546" t="s">
        <v>2334</v>
      </c>
      <c r="AH13" s="535" t="s">
        <v>2335</v>
      </c>
      <c r="AI13" s="536" t="s">
        <v>135</v>
      </c>
      <c r="AJ13" s="500" t="s">
        <v>2174</v>
      </c>
      <c r="AK13" s="500" t="str">
        <f t="shared" si="10"/>
        <v>BE</v>
      </c>
      <c r="AL13" s="537">
        <f t="shared" ref="AL13:AS13" si="28">INDEX($AH$110:$BB$124,MATCH($AH32,$AH$110:$AH$124,0),MATCH(AL$5,$AH$110:$BB$110,0))</f>
        <v>49.388</v>
      </c>
      <c r="AM13" s="487">
        <f t="shared" si="28"/>
        <v>49.388</v>
      </c>
      <c r="AN13" s="487">
        <f t="shared" si="28"/>
        <v>47.4739736</v>
      </c>
      <c r="AO13" s="487">
        <f t="shared" si="28"/>
        <v>42.9097568</v>
      </c>
      <c r="AP13" s="487">
        <f t="shared" si="28"/>
        <v>39.5234024</v>
      </c>
      <c r="AQ13" s="487">
        <f t="shared" si="28"/>
        <v>36.81658688</v>
      </c>
      <c r="AR13" s="487">
        <f t="shared" si="28"/>
        <v>35.1064184</v>
      </c>
      <c r="AS13" s="539">
        <f t="shared" si="28"/>
        <v>34.66472</v>
      </c>
      <c r="AT13" s="8"/>
      <c r="AU13" s="535" t="s">
        <v>2336</v>
      </c>
      <c r="AV13" s="536" t="s">
        <v>135</v>
      </c>
      <c r="AW13" s="500" t="s">
        <v>2205</v>
      </c>
      <c r="AX13" s="540" t="str">
        <f t="shared" si="5"/>
        <v>BE</v>
      </c>
      <c r="AY13" s="541">
        <f t="shared" ref="AY13:AZ13" si="29">AY$14*H84</f>
        <v>0</v>
      </c>
      <c r="AZ13" s="541">
        <f t="shared" si="29"/>
        <v>0</v>
      </c>
      <c r="BA13" s="541">
        <f t="shared" si="18"/>
        <v>0</v>
      </c>
      <c r="BB13" s="541">
        <f>($L$29*(BF13/$BF$14-AZ13/$AZ$14)+(AZ13/$AZ$14))*$BB$14</f>
        <v>0</v>
      </c>
      <c r="BC13" s="541">
        <f>($M$29*(BF13/$BF$14-AZ13/$AZ$14)+(AZ13/$AZ$14))*$BC$14</f>
        <v>0</v>
      </c>
      <c r="BD13" s="542">
        <f t="shared" si="21"/>
        <v>0</v>
      </c>
      <c r="BE13" s="541">
        <f>($O$29*(BF13/$BF$14-AZ13/$AZ$14)+(AZ13/$AZ$14))*$BE$14</f>
        <v>0</v>
      </c>
      <c r="BF13" s="542">
        <f t="shared" si="23"/>
        <v>0</v>
      </c>
      <c r="BG13" s="8"/>
      <c r="BH13" s="8"/>
      <c r="BI13" s="8"/>
      <c r="BJ13" s="8"/>
      <c r="BK13" s="8"/>
      <c r="BL13" s="8"/>
      <c r="BM13" s="8"/>
      <c r="BN13" s="8"/>
      <c r="BO13" s="8"/>
      <c r="BP13" s="8"/>
      <c r="BQ13" s="8"/>
      <c r="BR13" s="8"/>
      <c r="BS13" s="8"/>
      <c r="BT13" s="8"/>
      <c r="BU13" s="8"/>
      <c r="BV13" s="8"/>
    </row>
    <row r="14" ht="14.25" customHeight="1">
      <c r="A14" s="8"/>
      <c r="B14" s="8"/>
      <c r="C14" s="8"/>
      <c r="D14" s="8"/>
      <c r="E14" s="8"/>
      <c r="F14" s="8"/>
      <c r="G14" s="8"/>
      <c r="H14" s="8"/>
      <c r="I14" s="8"/>
      <c r="J14" s="8"/>
      <c r="K14" s="8"/>
      <c r="L14" s="8"/>
      <c r="M14" s="8"/>
      <c r="N14" s="8"/>
      <c r="O14" s="8"/>
      <c r="P14" s="548"/>
      <c r="Q14" s="8"/>
      <c r="R14" s="8"/>
      <c r="S14" s="8"/>
      <c r="T14" s="8"/>
      <c r="U14" s="8"/>
      <c r="V14" s="8"/>
      <c r="W14" s="8"/>
      <c r="X14" s="8"/>
      <c r="Y14" s="8"/>
      <c r="Z14" s="8"/>
      <c r="AA14" s="8"/>
      <c r="AB14" s="8"/>
      <c r="AC14" s="8"/>
      <c r="AD14" s="8"/>
      <c r="AE14" s="545"/>
      <c r="AF14" s="546" t="s">
        <v>2337</v>
      </c>
      <c r="AG14" s="546" t="s">
        <v>2338</v>
      </c>
      <c r="AH14" s="535" t="s">
        <v>2339</v>
      </c>
      <c r="AI14" s="536" t="s">
        <v>135</v>
      </c>
      <c r="AJ14" s="500" t="s">
        <v>2186</v>
      </c>
      <c r="AK14" s="500" t="str">
        <f t="shared" si="10"/>
        <v>BE</v>
      </c>
      <c r="AL14" s="537">
        <f t="shared" ref="AL14:AL16" si="32">AQ119</f>
        <v>16.5379</v>
      </c>
      <c r="AM14" s="487">
        <f t="shared" ref="AM14:AS14" si="30">AV119</f>
        <v>18.47465588</v>
      </c>
      <c r="AN14" s="487">
        <f t="shared" si="30"/>
        <v>17.15371798</v>
      </c>
      <c r="AO14" s="487">
        <f t="shared" si="30"/>
        <v>14.00378916</v>
      </c>
      <c r="AP14" s="487">
        <f t="shared" si="30"/>
        <v>11.66674519</v>
      </c>
      <c r="AQ14" s="487">
        <f t="shared" si="30"/>
        <v>9.939364864</v>
      </c>
      <c r="AR14" s="538">
        <f t="shared" si="30"/>
        <v>8.618426968</v>
      </c>
      <c r="AS14" s="539">
        <f t="shared" si="30"/>
        <v>8.313595146</v>
      </c>
      <c r="AT14" s="8"/>
      <c r="AU14" s="552" t="s">
        <v>2340</v>
      </c>
      <c r="AV14" s="553" t="s">
        <v>135</v>
      </c>
      <c r="AW14" s="554" t="s">
        <v>2159</v>
      </c>
      <c r="AX14" s="555" t="str">
        <f t="shared" si="5"/>
        <v>BE</v>
      </c>
      <c r="AY14" s="556">
        <f t="shared" ref="AY14:BF14" si="31">HLOOKUP(AY5,$AL$27:$BU$36,10)</f>
        <v>139.5678</v>
      </c>
      <c r="AZ14" s="556">
        <f t="shared" si="31"/>
        <v>138.6691</v>
      </c>
      <c r="BA14" s="556">
        <f t="shared" si="31"/>
        <v>131.3270874</v>
      </c>
      <c r="BB14" s="556">
        <f t="shared" si="31"/>
        <v>113.8192114</v>
      </c>
      <c r="BC14" s="556">
        <f t="shared" si="31"/>
        <v>100.8294968</v>
      </c>
      <c r="BD14" s="557">
        <f t="shared" si="31"/>
        <v>90.26968761</v>
      </c>
      <c r="BE14" s="556">
        <f t="shared" si="31"/>
        <v>83.88639095</v>
      </c>
      <c r="BF14" s="557">
        <f t="shared" si="31"/>
        <v>82.19208036</v>
      </c>
      <c r="BG14" s="8"/>
      <c r="BH14" s="8"/>
      <c r="BI14" s="8"/>
      <c r="BJ14" s="8"/>
      <c r="BK14" s="8"/>
      <c r="BL14" s="8"/>
      <c r="BM14" s="8"/>
      <c r="BN14" s="8"/>
      <c r="BO14" s="8"/>
      <c r="BP14" s="8"/>
      <c r="BQ14" s="8"/>
      <c r="BR14" s="8"/>
      <c r="BS14" s="8"/>
      <c r="BT14" s="8"/>
      <c r="BU14" s="8"/>
      <c r="BV14" s="8"/>
    </row>
    <row r="15" ht="14.25" customHeight="1">
      <c r="A15" s="8"/>
      <c r="B15" s="8"/>
      <c r="C15" s="8"/>
      <c r="D15" s="8"/>
      <c r="E15" s="8"/>
      <c r="F15" s="8"/>
      <c r="G15" s="8"/>
      <c r="H15" s="8"/>
      <c r="I15" s="8"/>
      <c r="J15" s="8"/>
      <c r="K15" s="8"/>
      <c r="L15" s="8"/>
      <c r="M15" s="8"/>
      <c r="N15" s="8"/>
      <c r="O15" s="8"/>
      <c r="P15" s="548"/>
      <c r="Q15" s="8"/>
      <c r="R15" s="8"/>
      <c r="S15" s="8"/>
      <c r="T15" s="8"/>
      <c r="U15" s="8"/>
      <c r="V15" s="8"/>
      <c r="W15" s="8"/>
      <c r="X15" s="8"/>
      <c r="Y15" s="8"/>
      <c r="Z15" s="8"/>
      <c r="AA15" s="8"/>
      <c r="AB15" s="8"/>
      <c r="AC15" s="8"/>
      <c r="AD15" s="8"/>
      <c r="AE15" s="545"/>
      <c r="AF15" s="546" t="s">
        <v>2341</v>
      </c>
      <c r="AG15" s="546" t="s">
        <v>2342</v>
      </c>
      <c r="AH15" s="535" t="s">
        <v>2343</v>
      </c>
      <c r="AI15" s="536" t="s">
        <v>135</v>
      </c>
      <c r="AJ15" s="500" t="s">
        <v>2182</v>
      </c>
      <c r="AK15" s="500" t="str">
        <f t="shared" si="10"/>
        <v>BE</v>
      </c>
      <c r="AL15" s="537">
        <f t="shared" si="32"/>
        <v>3.4152</v>
      </c>
      <c r="AM15" s="487">
        <f t="shared" ref="AM15:AS15" si="33">AV120</f>
        <v>3.474788333</v>
      </c>
      <c r="AN15" s="487">
        <f t="shared" si="33"/>
        <v>3.316685464</v>
      </c>
      <c r="AO15" s="487">
        <f t="shared" si="33"/>
        <v>2.93967093</v>
      </c>
      <c r="AP15" s="487">
        <f t="shared" si="33"/>
        <v>2.659950469</v>
      </c>
      <c r="AQ15" s="487">
        <f t="shared" si="33"/>
        <v>2.453200563</v>
      </c>
      <c r="AR15" s="538">
        <f t="shared" si="33"/>
        <v>2.295097694</v>
      </c>
      <c r="AS15" s="539">
        <f t="shared" si="33"/>
        <v>2.258612416</v>
      </c>
      <c r="AT15" s="8"/>
      <c r="AU15" s="500"/>
      <c r="AV15" s="500"/>
      <c r="AW15" s="500"/>
      <c r="AX15" s="500"/>
      <c r="AY15" s="509">
        <f t="shared" ref="AY15:BF15" si="34">SUM(AY6:AY13)</f>
        <v>139.5678</v>
      </c>
      <c r="AZ15" s="509">
        <f t="shared" si="34"/>
        <v>138.6691</v>
      </c>
      <c r="BA15" s="509">
        <f t="shared" si="34"/>
        <v>131.3270874</v>
      </c>
      <c r="BB15" s="509">
        <f t="shared" si="34"/>
        <v>113.8192114</v>
      </c>
      <c r="BC15" s="509">
        <f t="shared" si="34"/>
        <v>100.8294968</v>
      </c>
      <c r="BD15" s="509">
        <f t="shared" si="34"/>
        <v>90.26968761</v>
      </c>
      <c r="BE15" s="509">
        <f t="shared" si="34"/>
        <v>83.88639095</v>
      </c>
      <c r="BF15" s="509">
        <f t="shared" si="34"/>
        <v>82.19208036</v>
      </c>
      <c r="BG15" s="500"/>
      <c r="BH15" s="8"/>
      <c r="BI15" s="8"/>
      <c r="BJ15" s="8"/>
      <c r="BK15" s="8"/>
      <c r="BL15" s="8"/>
      <c r="BM15" s="8"/>
      <c r="BN15" s="8"/>
      <c r="BO15" s="8"/>
      <c r="BP15" s="8"/>
      <c r="BQ15" s="8"/>
      <c r="BR15" s="8"/>
      <c r="BS15" s="8"/>
      <c r="BT15" s="8"/>
      <c r="BU15" s="8"/>
      <c r="BV15" s="8"/>
    </row>
    <row r="16" ht="14.25" customHeight="1">
      <c r="A16" s="500"/>
      <c r="B16" s="500"/>
      <c r="C16" s="500"/>
      <c r="D16" s="500"/>
      <c r="E16" s="500"/>
      <c r="F16" s="500"/>
      <c r="G16" s="500"/>
      <c r="H16" s="500"/>
      <c r="I16" s="500"/>
      <c r="J16" s="500"/>
      <c r="K16" s="500"/>
      <c r="L16" s="500"/>
      <c r="M16" s="500"/>
      <c r="N16" s="500"/>
      <c r="O16" s="500"/>
      <c r="P16" s="558"/>
      <c r="Q16" s="500"/>
      <c r="R16" s="500"/>
      <c r="S16" s="500"/>
      <c r="T16" s="500"/>
      <c r="U16" s="500"/>
      <c r="V16" s="500"/>
      <c r="W16" s="500"/>
      <c r="X16" s="500"/>
      <c r="Y16" s="500"/>
      <c r="Z16" s="500"/>
      <c r="AA16" s="500"/>
      <c r="AB16" s="500"/>
      <c r="AC16" s="500"/>
      <c r="AD16" s="500"/>
      <c r="AE16" s="502"/>
      <c r="AF16" s="546" t="s">
        <v>2344</v>
      </c>
      <c r="AG16" s="544" t="s">
        <v>2345</v>
      </c>
      <c r="AH16" s="552" t="s">
        <v>2346</v>
      </c>
      <c r="AI16" s="553" t="s">
        <v>135</v>
      </c>
      <c r="AJ16" s="554" t="s">
        <v>2188</v>
      </c>
      <c r="AK16" s="554" t="str">
        <f t="shared" si="10"/>
        <v>BE</v>
      </c>
      <c r="AL16" s="559">
        <f t="shared" si="32"/>
        <v>23.7778</v>
      </c>
      <c r="AM16" s="560">
        <f t="shared" ref="AM16:AS16" si="35">AV121</f>
        <v>18.67637373</v>
      </c>
      <c r="AN16" s="560">
        <f t="shared" si="35"/>
        <v>18.06939158</v>
      </c>
      <c r="AO16" s="560">
        <f t="shared" si="35"/>
        <v>16.62197262</v>
      </c>
      <c r="AP16" s="560">
        <f t="shared" si="35"/>
        <v>15.54808113</v>
      </c>
      <c r="AQ16" s="560">
        <f t="shared" si="35"/>
        <v>14.75433525</v>
      </c>
      <c r="AR16" s="561">
        <f t="shared" si="35"/>
        <v>14.1473531</v>
      </c>
      <c r="AS16" s="562">
        <f t="shared" si="35"/>
        <v>14.0072803</v>
      </c>
      <c r="AT16" s="500"/>
      <c r="AU16" s="563" t="s">
        <v>2347</v>
      </c>
      <c r="AV16" s="500"/>
      <c r="AW16" s="500"/>
      <c r="AX16" s="500"/>
      <c r="AY16" s="564">
        <f t="shared" ref="AY16:BF16" si="36">SUM(AL6:AL16)-AL13</f>
        <v>139.5678</v>
      </c>
      <c r="AZ16" s="564">
        <f t="shared" si="36"/>
        <v>138.6691</v>
      </c>
      <c r="BA16" s="564">
        <f t="shared" si="36"/>
        <v>131.3270874</v>
      </c>
      <c r="BB16" s="564">
        <f t="shared" si="36"/>
        <v>113.8192114</v>
      </c>
      <c r="BC16" s="564">
        <f t="shared" si="36"/>
        <v>100.8294968</v>
      </c>
      <c r="BD16" s="564">
        <f t="shared" si="36"/>
        <v>90.26968761</v>
      </c>
      <c r="BE16" s="564">
        <f t="shared" si="36"/>
        <v>83.88639095</v>
      </c>
      <c r="BF16" s="564">
        <f t="shared" si="36"/>
        <v>82.19208036</v>
      </c>
      <c r="BG16" s="500"/>
      <c r="BH16" s="500"/>
      <c r="BI16" s="500"/>
      <c r="BJ16" s="500"/>
      <c r="BK16" s="500"/>
      <c r="BL16" s="500"/>
      <c r="BM16" s="500"/>
      <c r="BN16" s="500"/>
      <c r="BO16" s="500"/>
      <c r="BP16" s="500"/>
      <c r="BQ16" s="500"/>
      <c r="BR16" s="500"/>
      <c r="BS16" s="500"/>
      <c r="BT16" s="500"/>
      <c r="BU16" s="500"/>
      <c r="BV16" s="500"/>
    </row>
    <row r="17" ht="14.25" customHeight="1">
      <c r="A17" s="500"/>
      <c r="B17" s="500"/>
      <c r="C17" s="500"/>
      <c r="D17" s="500"/>
      <c r="E17" s="500"/>
      <c r="F17" s="500"/>
      <c r="G17" s="500"/>
      <c r="H17" s="500"/>
      <c r="I17" s="500"/>
      <c r="J17" s="500"/>
      <c r="K17" s="500"/>
      <c r="L17" s="500"/>
      <c r="M17" s="500"/>
      <c r="N17" s="500"/>
      <c r="O17" s="500"/>
      <c r="P17" s="558"/>
      <c r="Q17" s="500"/>
      <c r="R17" s="500"/>
      <c r="S17" s="500"/>
      <c r="T17" s="500"/>
      <c r="U17" s="500"/>
      <c r="V17" s="500"/>
      <c r="W17" s="500"/>
      <c r="X17" s="500"/>
      <c r="Y17" s="500"/>
      <c r="Z17" s="500"/>
      <c r="AA17" s="500"/>
      <c r="AB17" s="500"/>
      <c r="AC17" s="500"/>
      <c r="AD17" s="500"/>
      <c r="AE17" s="502"/>
      <c r="AF17" s="546" t="s">
        <v>2348</v>
      </c>
      <c r="AG17" s="544" t="s">
        <v>2349</v>
      </c>
      <c r="AH17" s="500"/>
      <c r="AI17" s="500"/>
      <c r="AJ17" s="500"/>
      <c r="AK17" s="500"/>
      <c r="AL17" s="500"/>
      <c r="AM17" s="500"/>
      <c r="AN17" s="500"/>
      <c r="AO17" s="500"/>
      <c r="AP17" s="500"/>
      <c r="AQ17" s="500"/>
      <c r="AR17" s="500"/>
      <c r="AS17" s="500"/>
      <c r="AT17" s="500"/>
      <c r="AU17" s="500"/>
      <c r="AV17" s="500"/>
      <c r="AW17" s="500"/>
      <c r="AX17" s="500"/>
      <c r="AY17" s="500"/>
      <c r="AZ17" s="500"/>
      <c r="BA17" s="500"/>
      <c r="BB17" s="500"/>
      <c r="BC17" s="500"/>
      <c r="BD17" s="500"/>
      <c r="BE17" s="500"/>
      <c r="BF17" s="500"/>
      <c r="BG17" s="500"/>
      <c r="BH17" s="500"/>
      <c r="BI17" s="500"/>
      <c r="BJ17" s="500"/>
      <c r="BK17" s="500"/>
      <c r="BL17" s="500"/>
      <c r="BM17" s="500"/>
      <c r="BN17" s="500"/>
      <c r="BO17" s="500"/>
      <c r="BP17" s="500"/>
      <c r="BQ17" s="500"/>
      <c r="BR17" s="500"/>
      <c r="BS17" s="500"/>
      <c r="BT17" s="500"/>
      <c r="BU17" s="500"/>
      <c r="BV17" s="500"/>
    </row>
    <row r="18" ht="14.25" customHeight="1">
      <c r="A18" s="500"/>
      <c r="B18" s="500"/>
      <c r="C18" s="500"/>
      <c r="D18" s="500"/>
      <c r="E18" s="500"/>
      <c r="F18" s="500"/>
      <c r="G18" s="500"/>
      <c r="H18" s="500"/>
      <c r="I18" s="500"/>
      <c r="J18" s="500"/>
      <c r="K18" s="500"/>
      <c r="L18" s="500"/>
      <c r="M18" s="500"/>
      <c r="N18" s="500"/>
      <c r="O18" s="500"/>
      <c r="P18" s="558"/>
      <c r="Q18" s="500"/>
      <c r="R18" s="500"/>
      <c r="S18" s="500"/>
      <c r="T18" s="500"/>
      <c r="U18" s="500"/>
      <c r="V18" s="500"/>
      <c r="W18" s="500"/>
      <c r="X18" s="500"/>
      <c r="Y18" s="500"/>
      <c r="Z18" s="500"/>
      <c r="AA18" s="500"/>
      <c r="AB18" s="500"/>
      <c r="AC18" s="500"/>
      <c r="AD18" s="500"/>
      <c r="AE18" s="502"/>
      <c r="AF18" s="546" t="s">
        <v>2350</v>
      </c>
      <c r="AG18" s="544" t="s">
        <v>2351</v>
      </c>
      <c r="AH18" s="504"/>
      <c r="AI18" s="500"/>
      <c r="AJ18" s="500"/>
      <c r="AK18" s="500"/>
      <c r="AL18" s="500"/>
      <c r="AM18" s="500"/>
      <c r="AN18" s="500"/>
      <c r="AO18" s="500"/>
      <c r="AP18" s="500"/>
      <c r="AQ18" s="500"/>
      <c r="AR18" s="500"/>
      <c r="AS18" s="500"/>
      <c r="AT18" s="500"/>
      <c r="AU18" s="500"/>
      <c r="AV18" s="500"/>
      <c r="AW18" s="500"/>
      <c r="AX18" s="500"/>
      <c r="AY18" s="500"/>
      <c r="AZ18" s="500"/>
      <c r="BA18" s="500"/>
      <c r="BB18" s="500"/>
      <c r="BC18" s="500"/>
      <c r="BD18" s="500"/>
      <c r="BE18" s="500"/>
      <c r="BF18" s="500"/>
      <c r="BG18" s="500"/>
      <c r="BH18" s="500"/>
      <c r="BI18" s="500"/>
      <c r="BJ18" s="500"/>
      <c r="BK18" s="500"/>
      <c r="BL18" s="500"/>
      <c r="BM18" s="500"/>
      <c r="BN18" s="500"/>
      <c r="BO18" s="500"/>
      <c r="BP18" s="500"/>
      <c r="BQ18" s="500"/>
      <c r="BR18" s="500"/>
      <c r="BS18" s="500"/>
      <c r="BT18" s="500"/>
      <c r="BU18" s="500"/>
      <c r="BV18" s="500"/>
    </row>
    <row r="19" ht="14.25" customHeight="1">
      <c r="A19" s="500"/>
      <c r="B19" s="500"/>
      <c r="C19" s="500"/>
      <c r="D19" s="500"/>
      <c r="E19" s="500"/>
      <c r="F19" s="500"/>
      <c r="G19" s="500"/>
      <c r="H19" s="500"/>
      <c r="I19" s="500"/>
      <c r="J19" s="500"/>
      <c r="K19" s="500"/>
      <c r="L19" s="500"/>
      <c r="M19" s="500"/>
      <c r="N19" s="500"/>
      <c r="O19" s="500"/>
      <c r="P19" s="558"/>
      <c r="Q19" s="500"/>
      <c r="R19" s="500"/>
      <c r="S19" s="500"/>
      <c r="T19" s="500"/>
      <c r="U19" s="500"/>
      <c r="V19" s="500"/>
      <c r="W19" s="500"/>
      <c r="X19" s="500"/>
      <c r="Y19" s="500"/>
      <c r="Z19" s="500"/>
      <c r="AA19" s="500"/>
      <c r="AB19" s="500"/>
      <c r="AC19" s="500"/>
      <c r="AD19" s="500"/>
      <c r="AE19" s="502"/>
      <c r="AF19" s="546" t="s">
        <v>2352</v>
      </c>
      <c r="AG19" s="544" t="s">
        <v>2353</v>
      </c>
      <c r="AH19" s="500"/>
      <c r="AI19" s="500"/>
      <c r="AJ19" s="500"/>
      <c r="AK19" s="500"/>
      <c r="AL19" s="500"/>
      <c r="AM19" s="500"/>
      <c r="AN19" s="500"/>
      <c r="AO19" s="500"/>
      <c r="AP19" s="500"/>
      <c r="AQ19" s="500"/>
      <c r="AR19" s="500"/>
      <c r="AS19" s="500"/>
      <c r="AT19" s="500"/>
      <c r="AU19" s="500"/>
      <c r="AV19" s="500"/>
      <c r="AW19" s="500"/>
      <c r="AX19" s="500"/>
      <c r="AY19" s="500"/>
      <c r="AZ19" s="500"/>
      <c r="BA19" s="500"/>
      <c r="BB19" s="500"/>
      <c r="BC19" s="500"/>
      <c r="BD19" s="500"/>
      <c r="BE19" s="500"/>
      <c r="BF19" s="500"/>
      <c r="BG19" s="500"/>
      <c r="BH19" s="500"/>
      <c r="BI19" s="500"/>
      <c r="BJ19" s="500"/>
      <c r="BK19" s="500"/>
      <c r="BL19" s="500"/>
      <c r="BM19" s="500"/>
      <c r="BN19" s="500"/>
      <c r="BO19" s="500"/>
      <c r="BP19" s="500"/>
      <c r="BQ19" s="500"/>
      <c r="BR19" s="500"/>
      <c r="BS19" s="500"/>
      <c r="BT19" s="500"/>
      <c r="BU19" s="500"/>
      <c r="BV19" s="500"/>
    </row>
    <row r="20" ht="14.25" customHeight="1">
      <c r="A20" s="500"/>
      <c r="B20" s="500"/>
      <c r="C20" s="500"/>
      <c r="D20" s="500"/>
      <c r="E20" s="500"/>
      <c r="F20" s="500"/>
      <c r="G20" s="500"/>
      <c r="H20" s="500"/>
      <c r="I20" s="500"/>
      <c r="J20" s="500"/>
      <c r="K20" s="500"/>
      <c r="L20" s="500"/>
      <c r="M20" s="500"/>
      <c r="N20" s="500"/>
      <c r="O20" s="500"/>
      <c r="P20" s="558"/>
      <c r="Q20" s="500"/>
      <c r="R20" s="500"/>
      <c r="S20" s="500"/>
      <c r="T20" s="500"/>
      <c r="U20" s="500"/>
      <c r="V20" s="500"/>
      <c r="W20" s="500"/>
      <c r="X20" s="500"/>
      <c r="Y20" s="500"/>
      <c r="Z20" s="500"/>
      <c r="AA20" s="500"/>
      <c r="AB20" s="500"/>
      <c r="AC20" s="500"/>
      <c r="AD20" s="500"/>
      <c r="AE20" s="502"/>
      <c r="AF20" s="546" t="s">
        <v>2354</v>
      </c>
      <c r="AG20" s="544" t="s">
        <v>2355</v>
      </c>
      <c r="AH20" s="500"/>
      <c r="AI20" s="500"/>
      <c r="AJ20" s="500"/>
      <c r="AK20" s="500"/>
      <c r="AL20" s="500"/>
      <c r="AM20" s="500"/>
      <c r="AN20" s="500"/>
      <c r="AO20" s="500"/>
      <c r="AP20" s="500"/>
      <c r="AQ20" s="500"/>
      <c r="AR20" s="500"/>
      <c r="AS20" s="500"/>
      <c r="AT20" s="500"/>
      <c r="AU20" s="500"/>
      <c r="AV20" s="500"/>
      <c r="AW20" s="500"/>
      <c r="AX20" s="500"/>
      <c r="AY20" s="500"/>
      <c r="AZ20" s="500"/>
      <c r="BA20" s="500"/>
      <c r="BB20" s="500"/>
      <c r="BC20" s="500"/>
      <c r="BD20" s="500"/>
      <c r="BE20" s="500"/>
      <c r="BF20" s="500"/>
      <c r="BG20" s="500"/>
      <c r="BH20" s="500"/>
      <c r="BI20" s="500"/>
      <c r="BJ20" s="500"/>
      <c r="BK20" s="500"/>
      <c r="BL20" s="500"/>
      <c r="BM20" s="500"/>
      <c r="BN20" s="500"/>
      <c r="BO20" s="500"/>
      <c r="BP20" s="500"/>
      <c r="BQ20" s="500"/>
      <c r="BR20" s="500"/>
      <c r="BS20" s="500"/>
      <c r="BT20" s="500"/>
      <c r="BU20" s="500"/>
      <c r="BV20" s="500"/>
    </row>
    <row r="21" ht="14.25" customHeight="1">
      <c r="A21" s="500"/>
      <c r="B21" s="500"/>
      <c r="C21" s="500"/>
      <c r="D21" s="500"/>
      <c r="E21" s="500"/>
      <c r="F21" s="500"/>
      <c r="G21" s="500"/>
      <c r="H21" s="500"/>
      <c r="I21" s="500"/>
      <c r="J21" s="500"/>
      <c r="K21" s="500"/>
      <c r="L21" s="500"/>
      <c r="M21" s="500"/>
      <c r="N21" s="500"/>
      <c r="O21" s="500"/>
      <c r="P21" s="500"/>
      <c r="Q21" s="500"/>
      <c r="R21" s="500"/>
      <c r="S21" s="500"/>
      <c r="T21" s="500"/>
      <c r="U21" s="500"/>
      <c r="V21" s="500"/>
      <c r="W21" s="500"/>
      <c r="X21" s="500"/>
      <c r="Y21" s="500"/>
      <c r="Z21" s="500"/>
      <c r="AA21" s="500"/>
      <c r="AB21" s="500"/>
      <c r="AC21" s="500"/>
      <c r="AD21" s="500"/>
      <c r="AE21" s="502"/>
      <c r="AF21" s="546" t="s">
        <v>2356</v>
      </c>
      <c r="AG21" s="544" t="s">
        <v>2357</v>
      </c>
      <c r="AH21" s="500"/>
      <c r="AI21" s="500"/>
      <c r="AJ21" s="500"/>
      <c r="AK21" s="500"/>
      <c r="AL21" s="500"/>
      <c r="AM21" s="500"/>
      <c r="AN21" s="500"/>
      <c r="AO21" s="500"/>
      <c r="AP21" s="500"/>
      <c r="AQ21" s="500"/>
      <c r="AR21" s="500"/>
      <c r="AS21" s="500"/>
      <c r="AT21" s="500"/>
      <c r="AU21" s="500"/>
      <c r="AV21" s="500"/>
      <c r="AW21" s="500"/>
      <c r="AX21" s="500"/>
      <c r="AY21" s="500"/>
      <c r="AZ21" s="500"/>
      <c r="BA21" s="500"/>
      <c r="BB21" s="500"/>
      <c r="BC21" s="500"/>
      <c r="BD21" s="500"/>
      <c r="BE21" s="500"/>
      <c r="BF21" s="500"/>
      <c r="BG21" s="500"/>
      <c r="BH21" s="500"/>
      <c r="BI21" s="500"/>
      <c r="BJ21" s="500"/>
      <c r="BK21" s="500"/>
      <c r="BL21" s="500"/>
      <c r="BM21" s="500"/>
      <c r="BN21" s="500"/>
      <c r="BO21" s="500"/>
      <c r="BP21" s="500"/>
      <c r="BQ21" s="500"/>
      <c r="BR21" s="500"/>
      <c r="BS21" s="500"/>
      <c r="BT21" s="500"/>
      <c r="BU21" s="500"/>
      <c r="BV21" s="500"/>
    </row>
    <row r="22" ht="14.25" customHeight="1">
      <c r="A22" s="500" t="s">
        <v>2358</v>
      </c>
      <c r="B22" s="500"/>
      <c r="C22" s="500"/>
      <c r="D22" s="500"/>
      <c r="E22" s="500" t="s">
        <v>2359</v>
      </c>
      <c r="F22" s="500"/>
      <c r="G22" s="500"/>
      <c r="H22" s="500"/>
      <c r="I22" s="500"/>
      <c r="J22" s="500"/>
      <c r="K22" s="500"/>
      <c r="L22" s="500"/>
      <c r="M22" s="500"/>
      <c r="N22" s="500"/>
      <c r="O22" s="500"/>
      <c r="P22" s="500"/>
      <c r="Q22" s="500"/>
      <c r="R22" s="500"/>
      <c r="S22" s="500"/>
      <c r="T22" s="500"/>
      <c r="U22" s="500"/>
      <c r="V22" s="500"/>
      <c r="W22" s="500"/>
      <c r="X22" s="500"/>
      <c r="Y22" s="500"/>
      <c r="Z22" s="500"/>
      <c r="AA22" s="500"/>
      <c r="AB22" s="500"/>
      <c r="AC22" s="500"/>
      <c r="AD22" s="500"/>
      <c r="AE22" s="502"/>
      <c r="AF22" s="546" t="s">
        <v>2360</v>
      </c>
      <c r="AG22" s="544" t="s">
        <v>2361</v>
      </c>
      <c r="AH22" s="500"/>
      <c r="AI22" s="500"/>
      <c r="AJ22" s="500"/>
      <c r="AK22" s="500"/>
      <c r="AL22" s="500"/>
      <c r="AM22" s="500"/>
      <c r="AN22" s="500"/>
      <c r="AO22" s="500"/>
      <c r="AP22" s="500"/>
      <c r="AQ22" s="500"/>
      <c r="AR22" s="500"/>
      <c r="AS22" s="500"/>
      <c r="AT22" s="500"/>
      <c r="AU22" s="500"/>
      <c r="AV22" s="500"/>
      <c r="AW22" s="500"/>
      <c r="AX22" s="500"/>
      <c r="AY22" s="500"/>
      <c r="AZ22" s="500"/>
      <c r="BA22" s="500"/>
      <c r="BB22" s="500"/>
      <c r="BC22" s="500"/>
      <c r="BD22" s="500"/>
      <c r="BE22" s="500"/>
      <c r="BF22" s="500"/>
      <c r="BG22" s="500"/>
      <c r="BH22" s="500"/>
      <c r="BI22" s="500"/>
      <c r="BJ22" s="500"/>
      <c r="BK22" s="500"/>
      <c r="BL22" s="500"/>
      <c r="BM22" s="500"/>
      <c r="BN22" s="500"/>
      <c r="BO22" s="500"/>
      <c r="BP22" s="500"/>
      <c r="BQ22" s="500"/>
      <c r="BR22" s="500"/>
      <c r="BS22" s="500"/>
      <c r="BT22" s="500"/>
      <c r="BU22" s="500"/>
      <c r="BV22" s="500"/>
    </row>
    <row r="23" ht="14.25" customHeight="1">
      <c r="A23" s="500"/>
      <c r="B23" s="500"/>
      <c r="C23" s="500"/>
      <c r="D23" s="500"/>
      <c r="E23" s="500"/>
      <c r="F23" s="500"/>
      <c r="G23" s="500"/>
      <c r="H23" s="500"/>
      <c r="I23" s="500"/>
      <c r="J23" s="500"/>
      <c r="K23" s="500"/>
      <c r="L23" s="500"/>
      <c r="M23" s="500"/>
      <c r="N23" s="500"/>
      <c r="O23" s="500"/>
      <c r="P23" s="500"/>
      <c r="Q23" s="500"/>
      <c r="R23" s="500"/>
      <c r="S23" s="500"/>
      <c r="T23" s="500"/>
      <c r="U23" s="500"/>
      <c r="V23" s="500"/>
      <c r="W23" s="500"/>
      <c r="X23" s="500"/>
      <c r="Y23" s="500"/>
      <c r="Z23" s="500"/>
      <c r="AA23" s="500"/>
      <c r="AB23" s="500"/>
      <c r="AC23" s="500"/>
      <c r="AD23" s="500"/>
      <c r="AE23" s="502"/>
      <c r="AF23" s="546" t="s">
        <v>2362</v>
      </c>
      <c r="AG23" s="544" t="s">
        <v>2363</v>
      </c>
      <c r="AH23" s="500"/>
      <c r="AI23" s="500"/>
      <c r="AJ23" s="500"/>
      <c r="AK23" s="500"/>
      <c r="AL23" s="500"/>
      <c r="AM23" s="500"/>
      <c r="AN23" s="500"/>
      <c r="AO23" s="500"/>
      <c r="AP23" s="500"/>
      <c r="AQ23" s="500"/>
      <c r="AR23" s="500"/>
      <c r="AS23" s="500"/>
      <c r="AT23" s="500"/>
      <c r="AU23" s="500"/>
      <c r="AV23" s="500"/>
      <c r="AW23" s="500"/>
      <c r="AX23" s="500"/>
      <c r="AY23" s="500"/>
      <c r="AZ23" s="500"/>
      <c r="BA23" s="500"/>
      <c r="BB23" s="500"/>
      <c r="BC23" s="500"/>
      <c r="BD23" s="500"/>
      <c r="BE23" s="500"/>
      <c r="BF23" s="500"/>
      <c r="BG23" s="500"/>
      <c r="BH23" s="500"/>
      <c r="BI23" s="500"/>
      <c r="BJ23" s="500"/>
      <c r="BK23" s="500"/>
      <c r="BL23" s="500"/>
      <c r="BM23" s="500"/>
      <c r="BN23" s="500"/>
      <c r="BO23" s="500"/>
      <c r="BP23" s="500"/>
      <c r="BQ23" s="500"/>
      <c r="BR23" s="500"/>
      <c r="BS23" s="500"/>
      <c r="BT23" s="500"/>
      <c r="BU23" s="500"/>
      <c r="BV23" s="500"/>
    </row>
    <row r="24" ht="14.25" customHeight="1">
      <c r="A24" s="502"/>
      <c r="B24" s="502"/>
      <c r="C24" s="502"/>
      <c r="D24" s="502"/>
      <c r="E24" s="502"/>
      <c r="F24" s="502"/>
      <c r="G24" s="502"/>
      <c r="H24" s="502"/>
      <c r="I24" s="502"/>
      <c r="J24" s="502"/>
      <c r="K24" s="502"/>
      <c r="L24" s="502"/>
      <c r="M24" s="502"/>
      <c r="N24" s="502"/>
      <c r="O24" s="502"/>
      <c r="P24" s="502"/>
      <c r="Q24" s="502">
        <v>2015.0</v>
      </c>
      <c r="R24" s="502">
        <v>2019.0</v>
      </c>
      <c r="S24" s="502">
        <v>2025.0</v>
      </c>
      <c r="T24" s="502">
        <v>2030.0</v>
      </c>
      <c r="U24" s="502">
        <v>2035.0</v>
      </c>
      <c r="V24" s="502">
        <v>2040.0</v>
      </c>
      <c r="W24" s="502">
        <v>2045.0</v>
      </c>
      <c r="X24" s="502">
        <v>2050.0</v>
      </c>
      <c r="Y24" s="502"/>
      <c r="Z24" s="502"/>
      <c r="AA24" s="502"/>
      <c r="AB24" s="502"/>
      <c r="AC24" s="502"/>
      <c r="AD24" s="565"/>
      <c r="AE24" s="565"/>
      <c r="AF24" s="565" t="s">
        <v>2364</v>
      </c>
      <c r="AG24" s="565" t="s">
        <v>2365</v>
      </c>
      <c r="AH24" s="565"/>
      <c r="AI24" s="502"/>
      <c r="AJ24" s="502"/>
      <c r="AK24" s="502"/>
      <c r="AL24" s="502"/>
      <c r="AM24" s="502"/>
      <c r="AN24" s="502"/>
      <c r="AO24" s="502"/>
      <c r="AP24" s="502"/>
      <c r="AQ24" s="502"/>
      <c r="AR24" s="502"/>
      <c r="AS24" s="502"/>
      <c r="AT24" s="502"/>
      <c r="AU24" s="502"/>
      <c r="AV24" s="502"/>
      <c r="AW24" s="502"/>
      <c r="AX24" s="502"/>
      <c r="AY24" s="502"/>
      <c r="AZ24" s="502"/>
      <c r="BA24" s="502"/>
      <c r="BB24" s="502"/>
      <c r="BC24" s="502"/>
      <c r="BD24" s="502"/>
      <c r="BE24" s="502"/>
      <c r="BF24" s="502"/>
      <c r="BG24" s="502"/>
      <c r="BH24" s="502"/>
      <c r="BI24" s="502"/>
      <c r="BJ24" s="502"/>
      <c r="BK24" s="502"/>
      <c r="BL24" s="502"/>
      <c r="BM24" s="502"/>
      <c r="BN24" s="502"/>
      <c r="BO24" s="502"/>
      <c r="BP24" s="502"/>
      <c r="BQ24" s="502"/>
      <c r="BR24" s="502"/>
      <c r="BS24" s="502"/>
      <c r="BT24" s="502"/>
      <c r="BU24" s="502"/>
      <c r="BV24" s="502"/>
    </row>
    <row r="25" ht="14.25" customHeight="1">
      <c r="A25" s="505" t="s">
        <v>2366</v>
      </c>
      <c r="B25" s="500"/>
      <c r="C25" s="500"/>
      <c r="D25" s="500"/>
      <c r="E25" s="500"/>
      <c r="F25" s="500"/>
      <c r="G25" s="500"/>
      <c r="H25" s="500"/>
      <c r="I25" s="500"/>
      <c r="J25" s="500"/>
      <c r="K25" s="500"/>
      <c r="L25" s="500"/>
      <c r="M25" s="500"/>
      <c r="N25" s="500"/>
      <c r="O25" s="500"/>
      <c r="P25" s="500"/>
      <c r="Q25" s="509">
        <f t="shared" ref="Q25:X25" si="37">AY14</f>
        <v>139.5678</v>
      </c>
      <c r="R25" s="509">
        <f t="shared" si="37"/>
        <v>138.6691</v>
      </c>
      <c r="S25" s="509">
        <f t="shared" si="37"/>
        <v>131.3270874</v>
      </c>
      <c r="T25" s="509">
        <f t="shared" si="37"/>
        <v>113.8192114</v>
      </c>
      <c r="U25" s="509">
        <f t="shared" si="37"/>
        <v>100.8294968</v>
      </c>
      <c r="V25" s="509">
        <f t="shared" si="37"/>
        <v>90.26968761</v>
      </c>
      <c r="W25" s="509">
        <f t="shared" si="37"/>
        <v>83.88639095</v>
      </c>
      <c r="X25" s="509">
        <f t="shared" si="37"/>
        <v>82.19208036</v>
      </c>
      <c r="Y25" s="509"/>
      <c r="Z25" s="500"/>
      <c r="AA25" s="500"/>
      <c r="AB25" s="500"/>
      <c r="AC25" s="500"/>
      <c r="AD25" s="500"/>
      <c r="AE25" s="502"/>
      <c r="AF25" s="546" t="s">
        <v>2367</v>
      </c>
      <c r="AG25" s="544" t="s">
        <v>2368</v>
      </c>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row>
    <row r="26" ht="14.25" customHeight="1">
      <c r="A26" s="500"/>
      <c r="B26" s="500"/>
      <c r="C26" s="500"/>
      <c r="D26" s="500"/>
      <c r="E26" s="500"/>
      <c r="F26" s="500"/>
      <c r="G26" s="500"/>
      <c r="H26" s="500"/>
      <c r="I26" s="500"/>
      <c r="J26" s="500"/>
      <c r="K26" s="500"/>
      <c r="L26" s="500"/>
      <c r="M26" s="500"/>
      <c r="N26" s="500"/>
      <c r="O26" s="500"/>
      <c r="P26" s="500"/>
      <c r="Q26" s="564">
        <f t="shared" ref="Q26:X26" si="38">SUM(AL6:AL16)-AL13</f>
        <v>139.5678</v>
      </c>
      <c r="R26" s="564">
        <f t="shared" si="38"/>
        <v>138.6691</v>
      </c>
      <c r="S26" s="564">
        <f t="shared" si="38"/>
        <v>131.3270874</v>
      </c>
      <c r="T26" s="564">
        <f t="shared" si="38"/>
        <v>113.8192114</v>
      </c>
      <c r="U26" s="564">
        <f t="shared" si="38"/>
        <v>100.8294968</v>
      </c>
      <c r="V26" s="564">
        <f t="shared" si="38"/>
        <v>90.26968761</v>
      </c>
      <c r="W26" s="564">
        <f t="shared" si="38"/>
        <v>83.88639095</v>
      </c>
      <c r="X26" s="564">
        <f t="shared" si="38"/>
        <v>82.19208036</v>
      </c>
      <c r="Y26" s="500"/>
      <c r="Z26" s="500"/>
      <c r="AA26" s="500"/>
      <c r="AB26" s="500"/>
      <c r="AC26" s="500"/>
      <c r="AD26" s="500"/>
      <c r="AE26" s="502"/>
      <c r="AF26" s="546" t="s">
        <v>2369</v>
      </c>
      <c r="AG26" s="544" t="s">
        <v>2370</v>
      </c>
      <c r="AH26" s="505" t="s">
        <v>2371</v>
      </c>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row>
    <row r="27" ht="14.25" customHeight="1">
      <c r="A27" s="513" t="s">
        <v>2372</v>
      </c>
      <c r="B27" s="500"/>
      <c r="C27" s="566" t="s">
        <v>2373</v>
      </c>
      <c r="D27" s="567" t="s">
        <v>2329</v>
      </c>
      <c r="E27" s="500" t="str">
        <f>" - "&amp;VLOOKUP(D27,AF10:AG42,2,0)</f>
        <v> - Belgium</v>
      </c>
      <c r="F27" s="568"/>
      <c r="G27" s="568"/>
      <c r="H27" s="568"/>
      <c r="I27" s="568"/>
      <c r="J27" s="568"/>
      <c r="K27" s="500"/>
      <c r="L27" s="569">
        <v>2030.0</v>
      </c>
      <c r="M27" s="569">
        <v>2035.0</v>
      </c>
      <c r="N27" s="569">
        <v>2040.0</v>
      </c>
      <c r="O27" s="569">
        <v>2045.0</v>
      </c>
      <c r="P27" s="500"/>
      <c r="Q27" s="568">
        <v>139.5678</v>
      </c>
      <c r="R27" s="500">
        <v>138.6691</v>
      </c>
      <c r="S27" s="500">
        <v>133.168308240683</v>
      </c>
      <c r="T27" s="568">
        <v>118.733060921623</v>
      </c>
      <c r="U27" s="568">
        <v>108.342370855887</v>
      </c>
      <c r="V27" s="568">
        <v>99.5751376153379</v>
      </c>
      <c r="W27" s="568">
        <v>94.2993846118604</v>
      </c>
      <c r="X27" s="568">
        <v>93.10047074225</v>
      </c>
      <c r="Y27" s="500"/>
      <c r="Z27" s="568"/>
      <c r="AA27" s="568"/>
      <c r="AB27" s="568"/>
      <c r="AC27" s="568"/>
      <c r="AD27" s="568"/>
      <c r="AE27" s="570"/>
      <c r="AF27" s="546" t="s">
        <v>2374</v>
      </c>
      <c r="AG27" s="544" t="s">
        <v>2375</v>
      </c>
      <c r="AH27" s="8"/>
      <c r="AI27" s="8"/>
      <c r="AJ27" s="8"/>
      <c r="AK27" s="8"/>
      <c r="AL27" s="571">
        <v>2015.0</v>
      </c>
      <c r="AM27" s="571">
        <v>2016.0</v>
      </c>
      <c r="AN27" s="571">
        <v>2017.0</v>
      </c>
      <c r="AO27" s="571">
        <v>2018.0</v>
      </c>
      <c r="AP27" s="571">
        <v>2019.0</v>
      </c>
      <c r="AQ27" s="571">
        <v>2020.0</v>
      </c>
      <c r="AR27" s="571">
        <v>2021.0</v>
      </c>
      <c r="AS27" s="571">
        <v>2022.0</v>
      </c>
      <c r="AT27" s="571">
        <v>2023.0</v>
      </c>
      <c r="AU27" s="571">
        <v>2024.0</v>
      </c>
      <c r="AV27" s="571">
        <v>2025.0</v>
      </c>
      <c r="AW27" s="571">
        <v>2026.0</v>
      </c>
      <c r="AX27" s="571">
        <v>2027.0</v>
      </c>
      <c r="AY27" s="571">
        <v>2028.0</v>
      </c>
      <c r="AZ27" s="571">
        <v>2029.0</v>
      </c>
      <c r="BA27" s="571">
        <v>2030.0</v>
      </c>
      <c r="BB27" s="571">
        <v>2031.0</v>
      </c>
      <c r="BC27" s="571">
        <v>2032.0</v>
      </c>
      <c r="BD27" s="571">
        <v>2033.0</v>
      </c>
      <c r="BE27" s="571">
        <v>2034.0</v>
      </c>
      <c r="BF27" s="571">
        <v>2035.0</v>
      </c>
      <c r="BG27" s="571">
        <v>2036.0</v>
      </c>
      <c r="BH27" s="571">
        <v>2037.0</v>
      </c>
      <c r="BI27" s="571">
        <v>2038.0</v>
      </c>
      <c r="BJ27" s="571">
        <v>2039.0</v>
      </c>
      <c r="BK27" s="571">
        <v>2040.0</v>
      </c>
      <c r="BL27" s="571">
        <v>2041.0</v>
      </c>
      <c r="BM27" s="571">
        <v>2042.0</v>
      </c>
      <c r="BN27" s="571">
        <v>2043.0</v>
      </c>
      <c r="BO27" s="571">
        <v>2044.0</v>
      </c>
      <c r="BP27" s="571">
        <v>2045.0</v>
      </c>
      <c r="BQ27" s="571">
        <v>2046.0</v>
      </c>
      <c r="BR27" s="571">
        <v>2047.0</v>
      </c>
      <c r="BS27" s="571">
        <v>2048.0</v>
      </c>
      <c r="BT27" s="571">
        <v>2049.0</v>
      </c>
      <c r="BU27" s="571">
        <v>2050.0</v>
      </c>
      <c r="BV27" s="500"/>
    </row>
    <row r="28" ht="14.25" customHeight="1">
      <c r="A28" s="500"/>
      <c r="B28" s="514"/>
      <c r="C28" s="500"/>
      <c r="D28" s="500"/>
      <c r="E28" s="500"/>
      <c r="F28" s="572"/>
      <c r="G28" s="572"/>
      <c r="H28" s="572"/>
      <c r="I28" s="572"/>
      <c r="J28" s="572"/>
      <c r="K28" s="566" t="s">
        <v>2376</v>
      </c>
      <c r="L28" s="573">
        <v>0.44</v>
      </c>
      <c r="M28" s="574">
        <v>0.67</v>
      </c>
      <c r="N28" s="574">
        <v>0.84</v>
      </c>
      <c r="O28" s="575">
        <v>0.97</v>
      </c>
      <c r="P28" s="500" t="s">
        <v>2377</v>
      </c>
      <c r="Q28" s="500"/>
      <c r="R28" s="500"/>
      <c r="S28" s="500"/>
      <c r="T28" s="500"/>
      <c r="U28" s="500"/>
      <c r="V28" s="500"/>
      <c r="W28" s="500"/>
      <c r="X28" s="500"/>
      <c r="Y28" s="500"/>
      <c r="Z28" s="500"/>
      <c r="AA28" s="500"/>
      <c r="AB28" s="500"/>
      <c r="AC28" s="500"/>
      <c r="AD28" s="500"/>
      <c r="AE28" s="502"/>
      <c r="AF28" s="546" t="s">
        <v>2378</v>
      </c>
      <c r="AG28" s="544" t="s">
        <v>2379</v>
      </c>
      <c r="AH28" s="8" t="str">
        <f t="shared" ref="AH28:AH31" si="49">AH111</f>
        <v>Final consumption of steel industry</v>
      </c>
      <c r="AI28" s="8" t="str">
        <f t="shared" ref="AI28:AI31" si="50">AK111</f>
        <v>BE</v>
      </c>
      <c r="AJ28" s="8" t="str">
        <f t="shared" ref="AJ28:AK28" si="39">AI111</f>
        <v>TWh</v>
      </c>
      <c r="AK28" s="8" t="str">
        <f t="shared" si="39"/>
        <v>toccfsid1</v>
      </c>
      <c r="AL28" s="541">
        <f t="shared" ref="AL28:AL35" si="52">INDEX($AH$110:$BB$124,MATCH($AH28,$AH$110:$AH$124,0),MATCH(AL$27,$AH$110:$BB$110,0))</f>
        <v>28.3735</v>
      </c>
      <c r="AM28" s="541">
        <f t="shared" ref="AM28:AO28" si="40">AL28+($AQ28-$AL28)/5</f>
        <v>28.8358453</v>
      </c>
      <c r="AN28" s="541">
        <f t="shared" si="40"/>
        <v>29.2981906</v>
      </c>
      <c r="AO28" s="541">
        <f t="shared" si="40"/>
        <v>29.7605359</v>
      </c>
      <c r="AP28" s="576">
        <f t="shared" ref="AP28:AP36" si="54">AQ28</f>
        <v>30.68522649</v>
      </c>
      <c r="AQ28" s="541">
        <f t="shared" ref="AQ28:AQ35" si="55">INDEX($AH$110:$BB$124,MATCH($AH28,$AH$110:$AH$124,0),MATCH(AQ$27,$AH$110:$BB$110,0))</f>
        <v>30.68522649</v>
      </c>
      <c r="AR28" s="541">
        <f t="shared" ref="AR28:AU28" si="41">AQ28+($AV28-$AQ28)/5</f>
        <v>30.25628391</v>
      </c>
      <c r="AS28" s="541">
        <f t="shared" si="41"/>
        <v>29.82734134</v>
      </c>
      <c r="AT28" s="541">
        <f t="shared" si="41"/>
        <v>29.39839876</v>
      </c>
      <c r="AU28" s="541">
        <f t="shared" si="41"/>
        <v>28.96945618</v>
      </c>
      <c r="AV28" s="541">
        <f t="shared" ref="AV28:AV35" si="57">INDEX($AH$110:$BB$124,MATCH($AH28,$AH$110:$AH$124,0),MATCH(AV$27,$AH$110:$BB$110,0))</f>
        <v>28.5405136</v>
      </c>
      <c r="AW28" s="541">
        <f t="shared" ref="AW28:AZ28" si="42">AV28+($BA28-$AV28)/5</f>
        <v>27.51765053</v>
      </c>
      <c r="AX28" s="541">
        <f t="shared" si="42"/>
        <v>26.49478745</v>
      </c>
      <c r="AY28" s="541">
        <f t="shared" si="42"/>
        <v>25.47192438</v>
      </c>
      <c r="AZ28" s="541">
        <f t="shared" si="42"/>
        <v>24.44906131</v>
      </c>
      <c r="BA28" s="541">
        <f t="shared" ref="BA28:BA35" si="59">INDEX($AH$110:$BB$124,MATCH($AH28,$AH$110:$AH$124,0),MATCH(BA$27,$AH$110:$BB$110,0))</f>
        <v>23.42619824</v>
      </c>
      <c r="BB28" s="541">
        <f t="shared" ref="BB28:BE28" si="43">BA28+($BF28-$BA28)/5</f>
        <v>22.66729983</v>
      </c>
      <c r="BC28" s="541">
        <f t="shared" si="43"/>
        <v>21.90840142</v>
      </c>
      <c r="BD28" s="541">
        <f t="shared" si="43"/>
        <v>21.14950301</v>
      </c>
      <c r="BE28" s="541">
        <f t="shared" si="43"/>
        <v>20.3906046</v>
      </c>
      <c r="BF28" s="541">
        <f t="shared" ref="BF28:BF35" si="61">INDEX($AH$110:$BB$124,MATCH($AH28,$AH$110:$AH$124,0),MATCH(BF$27,$AH$110:$BB$110,0))</f>
        <v>19.63170619</v>
      </c>
      <c r="BG28" s="541">
        <f t="shared" ref="BG28:BJ28" si="44">BF28+($BK28-$BF28)/5</f>
        <v>18.9497026</v>
      </c>
      <c r="BH28" s="541">
        <f t="shared" si="44"/>
        <v>18.267699</v>
      </c>
      <c r="BI28" s="541">
        <f t="shared" si="44"/>
        <v>17.58569541</v>
      </c>
      <c r="BJ28" s="541">
        <f t="shared" si="44"/>
        <v>16.90369181</v>
      </c>
      <c r="BK28" s="541">
        <f t="shared" ref="BK28:BK35" si="63">INDEX($AH$110:$BB$124,MATCH($AH28,$AH$110:$AH$124,0),MATCH(BK$27,$AH$110:$BB$110,0))</f>
        <v>16.22168822</v>
      </c>
      <c r="BL28" s="541">
        <f t="shared" ref="BL28:BO28" si="45">BK28+($BP28-$BK28)/5</f>
        <v>15.91382432</v>
      </c>
      <c r="BM28" s="541">
        <f t="shared" si="45"/>
        <v>15.60596043</v>
      </c>
      <c r="BN28" s="541">
        <f t="shared" si="45"/>
        <v>15.29809653</v>
      </c>
      <c r="BO28" s="541">
        <f t="shared" si="45"/>
        <v>14.99023264</v>
      </c>
      <c r="BP28" s="541">
        <f t="shared" ref="BP28:BP35" si="65">INDEX($AH$110:$BB$124,MATCH($AH28,$AH$110:$AH$124,0),MATCH(BP$27,$AH$110:$BB$110,0))</f>
        <v>14.68236874</v>
      </c>
      <c r="BQ28" s="541">
        <f t="shared" ref="BQ28:BT28" si="46">BP28+($BU28-$BP28)/5</f>
        <v>14.583382</v>
      </c>
      <c r="BR28" s="541">
        <f t="shared" si="46"/>
        <v>14.48439525</v>
      </c>
      <c r="BS28" s="541">
        <f t="shared" si="46"/>
        <v>14.3854085</v>
      </c>
      <c r="BT28" s="541">
        <f t="shared" si="46"/>
        <v>14.28642175</v>
      </c>
      <c r="BU28" s="541">
        <f t="shared" ref="BU28:BU35" si="67">INDEX($AH$110:$BB$124,MATCH($AH28,$AH$110:$AH$124,0),MATCH(BU$27,$AH$110:$BB$110,0))</f>
        <v>14.187435</v>
      </c>
      <c r="BV28" s="500"/>
    </row>
    <row r="29" ht="14.25" customHeight="1">
      <c r="A29" s="514"/>
      <c r="B29" s="500"/>
      <c r="C29" s="577" t="s">
        <v>2380</v>
      </c>
      <c r="D29" s="578" t="s">
        <v>2381</v>
      </c>
      <c r="E29" s="579"/>
      <c r="F29" s="500"/>
      <c r="G29" s="568"/>
      <c r="H29" s="568"/>
      <c r="I29" s="568"/>
      <c r="J29" s="568"/>
      <c r="K29" s="566" t="s">
        <v>2382</v>
      </c>
      <c r="L29" s="580">
        <f t="shared" ref="L29:N29" si="47">L28</f>
        <v>0.44</v>
      </c>
      <c r="M29" s="581">
        <f t="shared" si="47"/>
        <v>0.67</v>
      </c>
      <c r="N29" s="581">
        <f t="shared" si="47"/>
        <v>0.84</v>
      </c>
      <c r="O29" s="582">
        <v>1.0</v>
      </c>
      <c r="P29" s="500" t="s">
        <v>2377</v>
      </c>
      <c r="Q29" s="500"/>
      <c r="R29" s="453">
        <f t="shared" ref="R29:X29" si="48">R26/$Q$26</f>
        <v>0.9935608357</v>
      </c>
      <c r="S29" s="453">
        <f t="shared" si="48"/>
        <v>0.9409554886</v>
      </c>
      <c r="T29" s="453">
        <f t="shared" si="48"/>
        <v>0.8155119688</v>
      </c>
      <c r="U29" s="453">
        <f t="shared" si="48"/>
        <v>0.7224409702</v>
      </c>
      <c r="V29" s="453">
        <f t="shared" si="48"/>
        <v>0.6467801857</v>
      </c>
      <c r="W29" s="453">
        <f t="shared" si="48"/>
        <v>0.6010440155</v>
      </c>
      <c r="X29" s="453">
        <f t="shared" si="48"/>
        <v>0.5889043201</v>
      </c>
      <c r="Y29" s="500"/>
      <c r="Z29" s="500"/>
      <c r="AA29" s="500"/>
      <c r="AB29" s="500"/>
      <c r="AC29" s="500"/>
      <c r="AD29" s="500"/>
      <c r="AE29" s="502"/>
      <c r="AF29" s="546" t="s">
        <v>2383</v>
      </c>
      <c r="AG29" s="544" t="s">
        <v>2384</v>
      </c>
      <c r="AH29" s="8" t="str">
        <f t="shared" si="49"/>
        <v>Final consumption of cement industry</v>
      </c>
      <c r="AI29" s="8" t="str">
        <f t="shared" si="50"/>
        <v>BE</v>
      </c>
      <c r="AJ29" s="8" t="str">
        <f t="shared" ref="AJ29:AK29" si="51">AI112</f>
        <v>TWh</v>
      </c>
      <c r="AK29" s="8" t="str">
        <f t="shared" si="51"/>
        <v>toccfcim</v>
      </c>
      <c r="AL29" s="541">
        <f t="shared" si="52"/>
        <v>5.52</v>
      </c>
      <c r="AM29" s="541">
        <f t="shared" ref="AM29:AO29" si="53">AL29+($AQ29-$AL29)/5</f>
        <v>5.640713439</v>
      </c>
      <c r="AN29" s="541">
        <f t="shared" si="53"/>
        <v>5.761426879</v>
      </c>
      <c r="AO29" s="541">
        <f t="shared" si="53"/>
        <v>5.882140318</v>
      </c>
      <c r="AP29" s="576">
        <f t="shared" si="54"/>
        <v>6.123567197</v>
      </c>
      <c r="AQ29" s="541">
        <f t="shared" si="55"/>
        <v>6.123567197</v>
      </c>
      <c r="AR29" s="541">
        <f t="shared" ref="AR29:AU29" si="56">AQ29+($AV29-$AQ29)/5</f>
        <v>6.043890075</v>
      </c>
      <c r="AS29" s="541">
        <f t="shared" si="56"/>
        <v>5.964212953</v>
      </c>
      <c r="AT29" s="541">
        <f t="shared" si="56"/>
        <v>5.884535831</v>
      </c>
      <c r="AU29" s="541">
        <f t="shared" si="56"/>
        <v>5.804858709</v>
      </c>
      <c r="AV29" s="541">
        <f t="shared" si="57"/>
        <v>5.725181587</v>
      </c>
      <c r="AW29" s="541">
        <f t="shared" ref="AW29:AZ29" si="58">AV29+($BA29-$AV29)/5</f>
        <v>5.535182296</v>
      </c>
      <c r="AX29" s="541">
        <f t="shared" si="58"/>
        <v>5.345183004</v>
      </c>
      <c r="AY29" s="541">
        <f t="shared" si="58"/>
        <v>5.155183713</v>
      </c>
      <c r="AZ29" s="541">
        <f t="shared" si="58"/>
        <v>4.965184422</v>
      </c>
      <c r="BA29" s="541">
        <f t="shared" si="59"/>
        <v>4.775185131</v>
      </c>
      <c r="BB29" s="541">
        <f t="shared" ref="BB29:BE29" si="60">BA29+($BF29-$BA29)/5</f>
        <v>4.634217914</v>
      </c>
      <c r="BC29" s="541">
        <f t="shared" si="60"/>
        <v>4.493250698</v>
      </c>
      <c r="BD29" s="541">
        <f t="shared" si="60"/>
        <v>4.352283482</v>
      </c>
      <c r="BE29" s="541">
        <f t="shared" si="60"/>
        <v>4.211316266</v>
      </c>
      <c r="BF29" s="541">
        <f t="shared" si="61"/>
        <v>4.07034905</v>
      </c>
      <c r="BG29" s="541">
        <f t="shared" ref="BG29:BJ29" si="62">BF29+($BK29-$BF29)/5</f>
        <v>3.93715654</v>
      </c>
      <c r="BH29" s="541">
        <f t="shared" si="62"/>
        <v>3.80396403</v>
      </c>
      <c r="BI29" s="541">
        <f t="shared" si="62"/>
        <v>3.67077152</v>
      </c>
      <c r="BJ29" s="541">
        <f t="shared" si="62"/>
        <v>3.53757901</v>
      </c>
      <c r="BK29" s="541">
        <f t="shared" si="63"/>
        <v>3.4043865</v>
      </c>
      <c r="BL29" s="541">
        <f t="shared" ref="BL29:BO29" si="64">BK29+($BP29-$BK29)/5</f>
        <v>3.353708728</v>
      </c>
      <c r="BM29" s="541">
        <f t="shared" si="64"/>
        <v>3.303030956</v>
      </c>
      <c r="BN29" s="541">
        <f t="shared" si="64"/>
        <v>3.252353185</v>
      </c>
      <c r="BO29" s="541">
        <f t="shared" si="64"/>
        <v>3.201675413</v>
      </c>
      <c r="BP29" s="541">
        <f t="shared" si="65"/>
        <v>3.150997641</v>
      </c>
      <c r="BQ29" s="541">
        <f t="shared" ref="BQ29:BT29" si="66">BP29+($BU29-$BP29)/5</f>
        <v>3.132610613</v>
      </c>
      <c r="BR29" s="541">
        <f t="shared" si="66"/>
        <v>3.114223585</v>
      </c>
      <c r="BS29" s="541">
        <f t="shared" si="66"/>
        <v>3.095836556</v>
      </c>
      <c r="BT29" s="541">
        <f t="shared" si="66"/>
        <v>3.077449528</v>
      </c>
      <c r="BU29" s="541">
        <f t="shared" si="67"/>
        <v>3.0590625</v>
      </c>
      <c r="BV29" s="500"/>
    </row>
    <row r="30" ht="14.25" customHeight="1">
      <c r="A30" s="500"/>
      <c r="B30" s="500"/>
      <c r="C30" s="500"/>
      <c r="D30" s="500"/>
      <c r="E30" s="500"/>
      <c r="F30" s="572"/>
      <c r="G30" s="572"/>
      <c r="H30" s="572"/>
      <c r="I30" s="572"/>
      <c r="J30" s="572"/>
      <c r="K30" s="566" t="s">
        <v>2385</v>
      </c>
      <c r="L30" s="583">
        <v>0.0</v>
      </c>
      <c r="M30" s="584">
        <v>1.0</v>
      </c>
      <c r="N30" s="584">
        <v>1.0</v>
      </c>
      <c r="O30" s="585">
        <v>1.0</v>
      </c>
      <c r="P30" s="500"/>
      <c r="Q30" s="500"/>
      <c r="R30" s="453">
        <f t="shared" ref="R30:X30" si="68">R27/$Q$27</f>
        <v>0.9935608357</v>
      </c>
      <c r="S30" s="453">
        <f t="shared" si="68"/>
        <v>0.9541477923</v>
      </c>
      <c r="T30" s="453">
        <f t="shared" si="68"/>
        <v>0.8507195852</v>
      </c>
      <c r="U30" s="453">
        <f t="shared" si="68"/>
        <v>0.7762705356</v>
      </c>
      <c r="V30" s="453">
        <f t="shared" si="68"/>
        <v>0.7134535159</v>
      </c>
      <c r="W30" s="453">
        <f t="shared" si="68"/>
        <v>0.6756528699</v>
      </c>
      <c r="X30" s="453">
        <f t="shared" si="68"/>
        <v>0.6670626802</v>
      </c>
      <c r="Y30" s="500"/>
      <c r="Z30" s="500"/>
      <c r="AA30" s="500"/>
      <c r="AB30" s="500"/>
      <c r="AC30" s="500"/>
      <c r="AD30" s="500"/>
      <c r="AE30" s="502"/>
      <c r="AF30" s="546" t="s">
        <v>2386</v>
      </c>
      <c r="AG30" s="544" t="s">
        <v>2387</v>
      </c>
      <c r="AH30" s="8" t="str">
        <f t="shared" si="49"/>
        <v>Final consumption of pulp &amp; paper industry</v>
      </c>
      <c r="AI30" s="8" t="str">
        <f t="shared" si="50"/>
        <v>BE</v>
      </c>
      <c r="AJ30" s="8" t="str">
        <f t="shared" ref="AJ30:AK30" si="69">AI113</f>
        <v>TWh</v>
      </c>
      <c r="AK30" s="8" t="str">
        <f t="shared" si="69"/>
        <v>toccfppp</v>
      </c>
      <c r="AL30" s="541">
        <f t="shared" si="52"/>
        <v>8.2554</v>
      </c>
      <c r="AM30" s="541">
        <f t="shared" ref="AM30:AO30" si="70">AL30+($AQ30-$AL30)/5</f>
        <v>8.113617673</v>
      </c>
      <c r="AN30" s="541">
        <f t="shared" si="70"/>
        <v>7.971835346</v>
      </c>
      <c r="AO30" s="541">
        <f t="shared" si="70"/>
        <v>7.830053019</v>
      </c>
      <c r="AP30" s="576">
        <f t="shared" si="54"/>
        <v>7.546488366</v>
      </c>
      <c r="AQ30" s="541">
        <f t="shared" si="55"/>
        <v>7.546488366</v>
      </c>
      <c r="AR30" s="541">
        <f t="shared" ref="AR30:AU30" si="71">AQ30+($AV30-$AQ30)/5</f>
        <v>7.467575418</v>
      </c>
      <c r="AS30" s="541">
        <f t="shared" si="71"/>
        <v>7.388662471</v>
      </c>
      <c r="AT30" s="541">
        <f t="shared" si="71"/>
        <v>7.309749523</v>
      </c>
      <c r="AU30" s="541">
        <f t="shared" si="71"/>
        <v>7.230836576</v>
      </c>
      <c r="AV30" s="541">
        <f t="shared" si="57"/>
        <v>7.151923628</v>
      </c>
      <c r="AW30" s="541">
        <f t="shared" ref="AW30:AZ30" si="72">AV30+($BA30-$AV30)/5</f>
        <v>6.9637466</v>
      </c>
      <c r="AX30" s="541">
        <f t="shared" si="72"/>
        <v>6.775569571</v>
      </c>
      <c r="AY30" s="541">
        <f t="shared" si="72"/>
        <v>6.587392542</v>
      </c>
      <c r="AZ30" s="541">
        <f t="shared" si="72"/>
        <v>6.399215514</v>
      </c>
      <c r="BA30" s="541">
        <f t="shared" si="59"/>
        <v>6.211038485</v>
      </c>
      <c r="BB30" s="541">
        <f t="shared" ref="BB30:BE30" si="73">BA30+($BF30-$BA30)/5</f>
        <v>6.07142327</v>
      </c>
      <c r="BC30" s="541">
        <f t="shared" si="73"/>
        <v>5.931808055</v>
      </c>
      <c r="BD30" s="541">
        <f t="shared" si="73"/>
        <v>5.79219284</v>
      </c>
      <c r="BE30" s="541">
        <f t="shared" si="73"/>
        <v>5.652577626</v>
      </c>
      <c r="BF30" s="541">
        <f t="shared" si="61"/>
        <v>5.512962411</v>
      </c>
      <c r="BG30" s="541">
        <f t="shared" ref="BG30:BJ30" si="74">BF30+($BK30-$BF30)/5</f>
        <v>5.420567796</v>
      </c>
      <c r="BH30" s="541">
        <f t="shared" si="74"/>
        <v>5.328173181</v>
      </c>
      <c r="BI30" s="541">
        <f t="shared" si="74"/>
        <v>5.235778566</v>
      </c>
      <c r="BJ30" s="541">
        <f t="shared" si="74"/>
        <v>5.143383951</v>
      </c>
      <c r="BK30" s="541">
        <f t="shared" si="63"/>
        <v>5.050989336</v>
      </c>
      <c r="BL30" s="541">
        <f t="shared" ref="BL30:BO30" si="75">BK30+($BP30-$BK30)/5</f>
        <v>4.961277149</v>
      </c>
      <c r="BM30" s="541">
        <f t="shared" si="75"/>
        <v>4.871564962</v>
      </c>
      <c r="BN30" s="541">
        <f t="shared" si="75"/>
        <v>4.781852775</v>
      </c>
      <c r="BO30" s="541">
        <f t="shared" si="75"/>
        <v>4.692140588</v>
      </c>
      <c r="BP30" s="541">
        <f t="shared" si="65"/>
        <v>4.602428401</v>
      </c>
      <c r="BQ30" s="541">
        <f t="shared" ref="BQ30:BT30" si="76">BP30+($BU30-$BP30)/5</f>
        <v>4.584217721</v>
      </c>
      <c r="BR30" s="541">
        <f t="shared" si="76"/>
        <v>4.566007041</v>
      </c>
      <c r="BS30" s="541">
        <f t="shared" si="76"/>
        <v>4.54779636</v>
      </c>
      <c r="BT30" s="541">
        <f t="shared" si="76"/>
        <v>4.52958568</v>
      </c>
      <c r="BU30" s="541">
        <f t="shared" si="67"/>
        <v>4.511375</v>
      </c>
      <c r="BV30" s="500"/>
    </row>
    <row r="31" ht="14.25" customHeight="1">
      <c r="A31" s="500"/>
      <c r="B31" s="500"/>
      <c r="C31" s="566"/>
      <c r="D31" s="500"/>
      <c r="E31" s="500"/>
      <c r="F31" s="572"/>
      <c r="G31" s="572"/>
      <c r="H31" s="500"/>
      <c r="I31" s="572"/>
      <c r="J31" s="572"/>
      <c r="K31" s="566" t="s">
        <v>2388</v>
      </c>
      <c r="L31" s="586">
        <f>L30</f>
        <v>0</v>
      </c>
      <c r="M31" s="586">
        <v>0.28</v>
      </c>
      <c r="N31" s="586">
        <v>0.57</v>
      </c>
      <c r="O31" s="586">
        <v>0.79</v>
      </c>
      <c r="P31" s="500"/>
      <c r="Q31" s="453">
        <f t="shared" ref="Q31:Q32" si="86">(Q26-$Q26)/($X26-$Q26)</f>
        <v>0</v>
      </c>
      <c r="R31" s="453">
        <f t="shared" ref="R31:X31" si="77">(R26-$R26)/($X26-$R26)</f>
        <v>0</v>
      </c>
      <c r="S31" s="453">
        <f t="shared" si="77"/>
        <v>0.13</v>
      </c>
      <c r="T31" s="453">
        <f t="shared" si="77"/>
        <v>0.44</v>
      </c>
      <c r="U31" s="453">
        <f t="shared" si="77"/>
        <v>0.67</v>
      </c>
      <c r="V31" s="453">
        <f t="shared" si="77"/>
        <v>0.8569753274</v>
      </c>
      <c r="W31" s="453">
        <f t="shared" si="77"/>
        <v>0.97</v>
      </c>
      <c r="X31" s="453">
        <f t="shared" si="77"/>
        <v>1</v>
      </c>
      <c r="Y31" s="500"/>
      <c r="Z31" s="500"/>
      <c r="AA31" s="500"/>
      <c r="AB31" s="500"/>
      <c r="AC31" s="500"/>
      <c r="AD31" s="500"/>
      <c r="AE31" s="502"/>
      <c r="AF31" s="546" t="s">
        <v>2389</v>
      </c>
      <c r="AG31" s="544" t="s">
        <v>2390</v>
      </c>
      <c r="AH31" s="8" t="str">
        <f t="shared" si="49"/>
        <v>Final consumption of glass industry</v>
      </c>
      <c r="AI31" s="8" t="str">
        <f t="shared" si="50"/>
        <v>BE</v>
      </c>
      <c r="AJ31" s="8" t="str">
        <f t="shared" ref="AJ31:AK31" si="78">AI114</f>
        <v>TWh</v>
      </c>
      <c r="AK31" s="8" t="str">
        <f t="shared" si="78"/>
        <v>toccfver</v>
      </c>
      <c r="AL31" s="541">
        <f t="shared" si="52"/>
        <v>4.3</v>
      </c>
      <c r="AM31" s="541">
        <f t="shared" ref="AM31:AO31" si="79">AL31+($AQ31-$AL31)/5</f>
        <v>4.3</v>
      </c>
      <c r="AN31" s="541">
        <f t="shared" si="79"/>
        <v>4.3</v>
      </c>
      <c r="AO31" s="541">
        <f t="shared" si="79"/>
        <v>4.3</v>
      </c>
      <c r="AP31" s="576">
        <f t="shared" si="54"/>
        <v>4.3</v>
      </c>
      <c r="AQ31" s="541">
        <f t="shared" si="55"/>
        <v>4.3</v>
      </c>
      <c r="AR31" s="541">
        <f t="shared" ref="AR31:AU31" si="80">AQ31+($AV31-$AQ31)/5</f>
        <v>4.21914</v>
      </c>
      <c r="AS31" s="541">
        <f t="shared" si="80"/>
        <v>4.13828</v>
      </c>
      <c r="AT31" s="541">
        <f t="shared" si="80"/>
        <v>4.05742</v>
      </c>
      <c r="AU31" s="541">
        <f t="shared" si="80"/>
        <v>3.97656</v>
      </c>
      <c r="AV31" s="541">
        <f t="shared" si="57"/>
        <v>3.8957</v>
      </c>
      <c r="AW31" s="541">
        <f t="shared" ref="AW31:AZ31" si="81">AV31+($BA31-$AV31)/5</f>
        <v>3.70288</v>
      </c>
      <c r="AX31" s="541">
        <f t="shared" si="81"/>
        <v>3.51006</v>
      </c>
      <c r="AY31" s="541">
        <f t="shared" si="81"/>
        <v>3.31724</v>
      </c>
      <c r="AZ31" s="541">
        <f t="shared" si="81"/>
        <v>3.12442</v>
      </c>
      <c r="BA31" s="541">
        <f t="shared" si="59"/>
        <v>2.9316</v>
      </c>
      <c r="BB31" s="541">
        <f t="shared" ref="BB31:BE31" si="82">BA31+($BF31-$BA31)/5</f>
        <v>2.78854</v>
      </c>
      <c r="BC31" s="541">
        <f t="shared" si="82"/>
        <v>2.64548</v>
      </c>
      <c r="BD31" s="541">
        <f t="shared" si="82"/>
        <v>2.50242</v>
      </c>
      <c r="BE31" s="541">
        <f t="shared" si="82"/>
        <v>2.35936</v>
      </c>
      <c r="BF31" s="541">
        <f t="shared" si="61"/>
        <v>2.2163</v>
      </c>
      <c r="BG31" s="541">
        <f t="shared" ref="BG31:BJ31" si="83">BF31+($BK31-$BF31)/5</f>
        <v>2.0988672</v>
      </c>
      <c r="BH31" s="541">
        <f t="shared" si="83"/>
        <v>1.9814344</v>
      </c>
      <c r="BI31" s="541">
        <f t="shared" si="83"/>
        <v>1.8640016</v>
      </c>
      <c r="BJ31" s="541">
        <f t="shared" si="83"/>
        <v>1.7465688</v>
      </c>
      <c r="BK31" s="541">
        <f t="shared" si="63"/>
        <v>1.629136</v>
      </c>
      <c r="BL31" s="541">
        <f t="shared" ref="BL31:BO31" si="84">BK31+($BP31-$BK31)/5</f>
        <v>1.5599688</v>
      </c>
      <c r="BM31" s="541">
        <f t="shared" si="84"/>
        <v>1.4908016</v>
      </c>
      <c r="BN31" s="541">
        <f t="shared" si="84"/>
        <v>1.4216344</v>
      </c>
      <c r="BO31" s="541">
        <f t="shared" si="84"/>
        <v>1.3524672</v>
      </c>
      <c r="BP31" s="541">
        <f t="shared" si="65"/>
        <v>1.2833</v>
      </c>
      <c r="BQ31" s="541">
        <f t="shared" ref="BQ31:BT31" si="85">BP31+($BU31-$BP31)/5</f>
        <v>1.26464</v>
      </c>
      <c r="BR31" s="541">
        <f t="shared" si="85"/>
        <v>1.24598</v>
      </c>
      <c r="BS31" s="541">
        <f t="shared" si="85"/>
        <v>1.22732</v>
      </c>
      <c r="BT31" s="541">
        <f t="shared" si="85"/>
        <v>1.20866</v>
      </c>
      <c r="BU31" s="541">
        <f t="shared" si="67"/>
        <v>1.19</v>
      </c>
      <c r="BV31" s="500"/>
    </row>
    <row r="32" ht="15.75" customHeight="1">
      <c r="A32" s="500"/>
      <c r="B32" s="500"/>
      <c r="C32" s="500"/>
      <c r="D32" s="500"/>
      <c r="E32" s="500"/>
      <c r="F32" s="572"/>
      <c r="G32" s="572"/>
      <c r="H32" s="572"/>
      <c r="I32" s="572"/>
      <c r="J32" s="572"/>
      <c r="K32" s="500"/>
      <c r="L32" s="500"/>
      <c r="M32" s="500"/>
      <c r="N32" s="500"/>
      <c r="O32" s="500"/>
      <c r="P32" s="500"/>
      <c r="Q32" s="453">
        <f t="shared" si="86"/>
        <v>0</v>
      </c>
      <c r="R32" s="453">
        <f t="shared" ref="R32:X32" si="87">(R27-$R27)/($X27-$R27)</f>
        <v>0</v>
      </c>
      <c r="S32" s="453">
        <f t="shared" si="87"/>
        <v>0.1207144443</v>
      </c>
      <c r="T32" s="453">
        <f t="shared" si="87"/>
        <v>0.4374948161</v>
      </c>
      <c r="U32" s="453">
        <f t="shared" si="87"/>
        <v>0.6655176958</v>
      </c>
      <c r="V32" s="453">
        <f t="shared" si="87"/>
        <v>0.8579139426</v>
      </c>
      <c r="W32" s="453">
        <f t="shared" si="87"/>
        <v>0.973689929</v>
      </c>
      <c r="X32" s="453">
        <f t="shared" si="87"/>
        <v>1</v>
      </c>
      <c r="Y32" s="500"/>
      <c r="Z32" s="500"/>
      <c r="AA32" s="500"/>
      <c r="AB32" s="500"/>
      <c r="AC32" s="500"/>
      <c r="AD32" s="500"/>
      <c r="AE32" s="502"/>
      <c r="AF32" s="546" t="s">
        <v>2391</v>
      </c>
      <c r="AG32" s="587" t="s">
        <v>2392</v>
      </c>
      <c r="AH32" s="8" t="str">
        <f>IF(D29="method 1 (detailed)",AH123,AH124)</f>
        <v>Final consumption of chemicals method 1 (detailed)</v>
      </c>
      <c r="AI32" s="8" t="str">
        <f t="shared" ref="AI32:AI35" si="96">AK118</f>
        <v>BE</v>
      </c>
      <c r="AJ32" s="8" t="str">
        <f t="shared" ref="AJ32:AK32" si="88">AI118</f>
        <v>TWh</v>
      </c>
      <c r="AK32" s="8" t="str">
        <f t="shared" si="88"/>
        <v>toccfchi</v>
      </c>
      <c r="AL32" s="541">
        <f t="shared" si="52"/>
        <v>49.388</v>
      </c>
      <c r="AM32" s="541">
        <f t="shared" ref="AM32:AO32" si="89">AL32+($AQ32-$AL32)/5</f>
        <v>49.388</v>
      </c>
      <c r="AN32" s="541">
        <f t="shared" si="89"/>
        <v>49.388</v>
      </c>
      <c r="AO32" s="541">
        <f t="shared" si="89"/>
        <v>49.388</v>
      </c>
      <c r="AP32" s="576">
        <f t="shared" si="54"/>
        <v>49.388</v>
      </c>
      <c r="AQ32" s="541">
        <f t="shared" si="55"/>
        <v>49.388</v>
      </c>
      <c r="AR32" s="541">
        <f t="shared" ref="AR32:AU32" si="90">AQ32+($AV32-$AQ32)/5</f>
        <v>49.00519472</v>
      </c>
      <c r="AS32" s="541">
        <f t="shared" si="90"/>
        <v>48.62238944</v>
      </c>
      <c r="AT32" s="541">
        <f t="shared" si="90"/>
        <v>48.23958416</v>
      </c>
      <c r="AU32" s="541">
        <f t="shared" si="90"/>
        <v>47.85677888</v>
      </c>
      <c r="AV32" s="541">
        <f t="shared" si="57"/>
        <v>47.4739736</v>
      </c>
      <c r="AW32" s="541">
        <f t="shared" ref="AW32:AZ32" si="91">AV32+($BA32-$AV32)/5</f>
        <v>46.56113024</v>
      </c>
      <c r="AX32" s="541">
        <f t="shared" si="91"/>
        <v>45.64828688</v>
      </c>
      <c r="AY32" s="541">
        <f t="shared" si="91"/>
        <v>44.73544352</v>
      </c>
      <c r="AZ32" s="541">
        <f t="shared" si="91"/>
        <v>43.82260016</v>
      </c>
      <c r="BA32" s="541">
        <f t="shared" si="59"/>
        <v>42.9097568</v>
      </c>
      <c r="BB32" s="541">
        <f t="shared" ref="BB32:BE32" si="92">BA32+($BF32-$BA32)/5</f>
        <v>42.23248592</v>
      </c>
      <c r="BC32" s="541">
        <f t="shared" si="92"/>
        <v>41.55521504</v>
      </c>
      <c r="BD32" s="541">
        <f t="shared" si="92"/>
        <v>40.87794416</v>
      </c>
      <c r="BE32" s="541">
        <f t="shared" si="92"/>
        <v>40.20067328</v>
      </c>
      <c r="BF32" s="541">
        <f t="shared" si="61"/>
        <v>39.5234024</v>
      </c>
      <c r="BG32" s="541">
        <f t="shared" ref="BG32:BJ32" si="93">BF32+($BK32-$BF32)/5</f>
        <v>38.9820393</v>
      </c>
      <c r="BH32" s="541">
        <f t="shared" si="93"/>
        <v>38.44067619</v>
      </c>
      <c r="BI32" s="541">
        <f t="shared" si="93"/>
        <v>37.89931309</v>
      </c>
      <c r="BJ32" s="541">
        <f t="shared" si="93"/>
        <v>37.35794998</v>
      </c>
      <c r="BK32" s="541">
        <f t="shared" si="63"/>
        <v>36.81658688</v>
      </c>
      <c r="BL32" s="541">
        <f t="shared" ref="BL32:BO32" si="94">BK32+($BP32-$BK32)/5</f>
        <v>36.47455318</v>
      </c>
      <c r="BM32" s="541">
        <f t="shared" si="94"/>
        <v>36.13251949</v>
      </c>
      <c r="BN32" s="541">
        <f t="shared" si="94"/>
        <v>35.79048579</v>
      </c>
      <c r="BO32" s="541">
        <f t="shared" si="94"/>
        <v>35.4484521</v>
      </c>
      <c r="BP32" s="541">
        <f t="shared" si="65"/>
        <v>35.1064184</v>
      </c>
      <c r="BQ32" s="541">
        <f t="shared" ref="BQ32:BT32" si="95">BP32+($BU32-$BP32)/5</f>
        <v>35.01807872</v>
      </c>
      <c r="BR32" s="541">
        <f t="shared" si="95"/>
        <v>34.92973904</v>
      </c>
      <c r="BS32" s="541">
        <f t="shared" si="95"/>
        <v>34.84139936</v>
      </c>
      <c r="BT32" s="541">
        <f t="shared" si="95"/>
        <v>34.75305968</v>
      </c>
      <c r="BU32" s="541">
        <f t="shared" si="67"/>
        <v>34.66472</v>
      </c>
      <c r="BV32" s="500"/>
    </row>
    <row r="33" ht="14.25" customHeight="1">
      <c r="A33" s="500"/>
      <c r="B33" s="500"/>
      <c r="C33" s="500"/>
      <c r="D33" s="500"/>
      <c r="E33" s="500"/>
      <c r="F33" s="500"/>
      <c r="G33" s="500"/>
      <c r="H33" s="500"/>
      <c r="I33" s="500"/>
      <c r="J33" s="500"/>
      <c r="K33" s="500"/>
      <c r="L33" s="500"/>
      <c r="M33" s="500"/>
      <c r="N33" s="500"/>
      <c r="O33" s="500"/>
      <c r="P33" s="500"/>
      <c r="Q33" s="500"/>
      <c r="R33" s="500"/>
      <c r="S33" s="500"/>
      <c r="T33" s="500"/>
      <c r="U33" s="500"/>
      <c r="V33" s="500"/>
      <c r="W33" s="500"/>
      <c r="X33" s="500"/>
      <c r="Y33" s="500"/>
      <c r="Z33" s="500"/>
      <c r="AA33" s="500"/>
      <c r="AB33" s="500"/>
      <c r="AC33" s="500"/>
      <c r="AD33" s="500"/>
      <c r="AE33" s="502"/>
      <c r="AF33" s="546" t="s">
        <v>2393</v>
      </c>
      <c r="AG33" s="588" t="s">
        <v>2394</v>
      </c>
      <c r="AH33" s="8" t="str">
        <f t="shared" ref="AH33:AH35" si="105">AH119</f>
        <v>Final consumption of food industry</v>
      </c>
      <c r="AI33" s="8" t="str">
        <f t="shared" si="96"/>
        <v>BE</v>
      </c>
      <c r="AJ33" s="8" t="str">
        <f t="shared" ref="AJ33:AK33" si="97">AI119</f>
        <v>TWh</v>
      </c>
      <c r="AK33" s="8" t="str">
        <f t="shared" si="97"/>
        <v>toccfiaa</v>
      </c>
      <c r="AL33" s="541">
        <f t="shared" si="52"/>
        <v>16.5379</v>
      </c>
      <c r="AM33" s="541">
        <f t="shared" ref="AM33:AO33" si="98">AL33+($AQ33-$AL33)/5</f>
        <v>16.92525118</v>
      </c>
      <c r="AN33" s="541">
        <f t="shared" si="98"/>
        <v>17.31260235</v>
      </c>
      <c r="AO33" s="541">
        <f t="shared" si="98"/>
        <v>17.69995353</v>
      </c>
      <c r="AP33" s="576">
        <f t="shared" si="54"/>
        <v>18.47465588</v>
      </c>
      <c r="AQ33" s="541">
        <f t="shared" si="55"/>
        <v>18.47465588</v>
      </c>
      <c r="AR33" s="541">
        <f t="shared" ref="AR33:AU33" si="99">AQ33+($AV33-$AQ33)/5</f>
        <v>18.2104683</v>
      </c>
      <c r="AS33" s="541">
        <f t="shared" si="99"/>
        <v>17.94628072</v>
      </c>
      <c r="AT33" s="541">
        <f t="shared" si="99"/>
        <v>17.68209314</v>
      </c>
      <c r="AU33" s="541">
        <f t="shared" si="99"/>
        <v>17.41790556</v>
      </c>
      <c r="AV33" s="541">
        <f t="shared" si="57"/>
        <v>17.15371798</v>
      </c>
      <c r="AW33" s="541">
        <f t="shared" ref="AW33:AZ33" si="100">AV33+($BA33-$AV33)/5</f>
        <v>16.52373222</v>
      </c>
      <c r="AX33" s="541">
        <f t="shared" si="100"/>
        <v>15.89374645</v>
      </c>
      <c r="AY33" s="541">
        <f t="shared" si="100"/>
        <v>15.26376069</v>
      </c>
      <c r="AZ33" s="541">
        <f t="shared" si="100"/>
        <v>14.63377492</v>
      </c>
      <c r="BA33" s="541">
        <f t="shared" si="59"/>
        <v>14.00378916</v>
      </c>
      <c r="BB33" s="541">
        <f t="shared" ref="BB33:BE33" si="101">BA33+($BF33-$BA33)/5</f>
        <v>13.53638036</v>
      </c>
      <c r="BC33" s="541">
        <f t="shared" si="101"/>
        <v>13.06897157</v>
      </c>
      <c r="BD33" s="541">
        <f t="shared" si="101"/>
        <v>12.60156278</v>
      </c>
      <c r="BE33" s="541">
        <f t="shared" si="101"/>
        <v>12.13415398</v>
      </c>
      <c r="BF33" s="541">
        <f t="shared" si="61"/>
        <v>11.66674519</v>
      </c>
      <c r="BG33" s="541">
        <f t="shared" ref="BG33:BJ33" si="102">BF33+($BK33-$BF33)/5</f>
        <v>11.32126912</v>
      </c>
      <c r="BH33" s="541">
        <f t="shared" si="102"/>
        <v>10.97579306</v>
      </c>
      <c r="BI33" s="541">
        <f t="shared" si="102"/>
        <v>10.63031699</v>
      </c>
      <c r="BJ33" s="541">
        <f t="shared" si="102"/>
        <v>10.28484093</v>
      </c>
      <c r="BK33" s="541">
        <f t="shared" si="63"/>
        <v>9.939364864</v>
      </c>
      <c r="BL33" s="541">
        <f t="shared" ref="BL33:BO33" si="103">BK33+($BP33-$BK33)/5</f>
        <v>9.675177284</v>
      </c>
      <c r="BM33" s="541">
        <f t="shared" si="103"/>
        <v>9.410989705</v>
      </c>
      <c r="BN33" s="541">
        <f t="shared" si="103"/>
        <v>9.146802126</v>
      </c>
      <c r="BO33" s="541">
        <f t="shared" si="103"/>
        <v>8.882614547</v>
      </c>
      <c r="BP33" s="541">
        <f t="shared" si="65"/>
        <v>8.618426968</v>
      </c>
      <c r="BQ33" s="541">
        <f t="shared" ref="BQ33:BT33" si="104">BP33+($BU33-$BP33)/5</f>
        <v>8.557460604</v>
      </c>
      <c r="BR33" s="541">
        <f t="shared" si="104"/>
        <v>8.496494239</v>
      </c>
      <c r="BS33" s="541">
        <f t="shared" si="104"/>
        <v>8.435527875</v>
      </c>
      <c r="BT33" s="541">
        <f t="shared" si="104"/>
        <v>8.37456151</v>
      </c>
      <c r="BU33" s="541">
        <f t="shared" si="67"/>
        <v>8.313595146</v>
      </c>
      <c r="BV33" s="500"/>
    </row>
    <row r="34" ht="14.25" customHeight="1">
      <c r="A34" s="500"/>
      <c r="B34" s="500"/>
      <c r="C34" s="500"/>
      <c r="D34" s="500"/>
      <c r="E34" s="500"/>
      <c r="F34" s="500"/>
      <c r="G34" s="500"/>
      <c r="H34" s="500"/>
      <c r="I34" s="589"/>
      <c r="J34" s="500"/>
      <c r="K34" s="500"/>
      <c r="L34" s="500"/>
      <c r="M34" s="500"/>
      <c r="N34" s="500"/>
      <c r="O34" s="500"/>
      <c r="P34" s="500"/>
      <c r="Q34" s="500"/>
      <c r="R34" s="500"/>
      <c r="S34" s="500"/>
      <c r="T34" s="500"/>
      <c r="U34" s="500"/>
      <c r="V34" s="500"/>
      <c r="W34" s="500"/>
      <c r="X34" s="500"/>
      <c r="Y34" s="500"/>
      <c r="Z34" s="500"/>
      <c r="AA34" s="500"/>
      <c r="AB34" s="500"/>
      <c r="AC34" s="500"/>
      <c r="AD34" s="500"/>
      <c r="AE34" s="502"/>
      <c r="AF34" s="546" t="s">
        <v>2395</v>
      </c>
      <c r="AG34" s="588" t="s">
        <v>2396</v>
      </c>
      <c r="AH34" s="8" t="str">
        <f t="shared" si="105"/>
        <v>Final consumption of non ferrous metals</v>
      </c>
      <c r="AI34" s="8" t="str">
        <f t="shared" si="96"/>
        <v>BE</v>
      </c>
      <c r="AJ34" s="8" t="str">
        <f t="shared" ref="AJ34:AK34" si="106">AI120</f>
        <v>TWh</v>
      </c>
      <c r="AK34" s="8" t="str">
        <f t="shared" si="106"/>
        <v>toccfmnf</v>
      </c>
      <c r="AL34" s="541">
        <f t="shared" si="52"/>
        <v>3.4152</v>
      </c>
      <c r="AM34" s="541">
        <f t="shared" ref="AM34:AO34" si="107">AL34+($AQ34-$AL34)/5</f>
        <v>3.427117667</v>
      </c>
      <c r="AN34" s="541">
        <f t="shared" si="107"/>
        <v>3.439035333</v>
      </c>
      <c r="AO34" s="541">
        <f t="shared" si="107"/>
        <v>3.450953</v>
      </c>
      <c r="AP34" s="576">
        <f t="shared" si="54"/>
        <v>3.474788333</v>
      </c>
      <c r="AQ34" s="541">
        <f t="shared" si="55"/>
        <v>3.474788333</v>
      </c>
      <c r="AR34" s="541">
        <f t="shared" ref="AR34:AU34" si="108">AQ34+($AV34-$AQ34)/5</f>
        <v>3.443167759</v>
      </c>
      <c r="AS34" s="541">
        <f t="shared" si="108"/>
        <v>3.411547185</v>
      </c>
      <c r="AT34" s="541">
        <f t="shared" si="108"/>
        <v>3.379926611</v>
      </c>
      <c r="AU34" s="541">
        <f t="shared" si="108"/>
        <v>3.348306038</v>
      </c>
      <c r="AV34" s="541">
        <f t="shared" si="57"/>
        <v>3.316685464</v>
      </c>
      <c r="AW34" s="541">
        <f t="shared" ref="AW34:AZ34" si="109">AV34+($BA34-$AV34)/5</f>
        <v>3.241282557</v>
      </c>
      <c r="AX34" s="541">
        <f t="shared" si="109"/>
        <v>3.16587965</v>
      </c>
      <c r="AY34" s="541">
        <f t="shared" si="109"/>
        <v>3.090476743</v>
      </c>
      <c r="AZ34" s="541">
        <f t="shared" si="109"/>
        <v>3.015073836</v>
      </c>
      <c r="BA34" s="541">
        <f t="shared" si="59"/>
        <v>2.93967093</v>
      </c>
      <c r="BB34" s="541">
        <f t="shared" ref="BB34:BE34" si="110">BA34+($BF34-$BA34)/5</f>
        <v>2.883726838</v>
      </c>
      <c r="BC34" s="541">
        <f t="shared" si="110"/>
        <v>2.827782745</v>
      </c>
      <c r="BD34" s="541">
        <f t="shared" si="110"/>
        <v>2.771838653</v>
      </c>
      <c r="BE34" s="541">
        <f t="shared" si="110"/>
        <v>2.715894561</v>
      </c>
      <c r="BF34" s="541">
        <f t="shared" si="61"/>
        <v>2.659950469</v>
      </c>
      <c r="BG34" s="541">
        <f t="shared" ref="BG34:BJ34" si="111">BF34+($BK34-$BF34)/5</f>
        <v>2.618600488</v>
      </c>
      <c r="BH34" s="541">
        <f t="shared" si="111"/>
        <v>2.577250507</v>
      </c>
      <c r="BI34" s="541">
        <f t="shared" si="111"/>
        <v>2.535900525</v>
      </c>
      <c r="BJ34" s="541">
        <f t="shared" si="111"/>
        <v>2.494550544</v>
      </c>
      <c r="BK34" s="541">
        <f t="shared" si="63"/>
        <v>2.453200563</v>
      </c>
      <c r="BL34" s="541">
        <f t="shared" ref="BL34:BO34" si="112">BK34+($BP34-$BK34)/5</f>
        <v>2.421579989</v>
      </c>
      <c r="BM34" s="541">
        <f t="shared" si="112"/>
        <v>2.389959415</v>
      </c>
      <c r="BN34" s="541">
        <f t="shared" si="112"/>
        <v>2.358338842</v>
      </c>
      <c r="BO34" s="541">
        <f t="shared" si="112"/>
        <v>2.326718268</v>
      </c>
      <c r="BP34" s="541">
        <f t="shared" si="65"/>
        <v>2.295097694</v>
      </c>
      <c r="BQ34" s="541">
        <f t="shared" ref="BQ34:BT34" si="113">BP34+($BU34-$BP34)/5</f>
        <v>2.287800638</v>
      </c>
      <c r="BR34" s="541">
        <f t="shared" si="113"/>
        <v>2.280503583</v>
      </c>
      <c r="BS34" s="541">
        <f t="shared" si="113"/>
        <v>2.273206527</v>
      </c>
      <c r="BT34" s="541">
        <f t="shared" si="113"/>
        <v>2.265909472</v>
      </c>
      <c r="BU34" s="541">
        <f t="shared" si="67"/>
        <v>2.258612416</v>
      </c>
      <c r="BV34" s="500"/>
    </row>
    <row r="35" ht="14.25" customHeight="1">
      <c r="A35" s="500"/>
      <c r="B35" s="500"/>
      <c r="C35" s="500"/>
      <c r="D35" s="500"/>
      <c r="E35" s="500"/>
      <c r="F35" s="500"/>
      <c r="G35" s="500"/>
      <c r="H35" s="500"/>
      <c r="I35" s="589"/>
      <c r="J35" s="500"/>
      <c r="K35" s="500"/>
      <c r="L35" s="500"/>
      <c r="M35" s="500"/>
      <c r="N35" s="500"/>
      <c r="O35" s="500"/>
      <c r="P35" s="500"/>
      <c r="Q35" s="500"/>
      <c r="R35" s="500"/>
      <c r="S35" s="500"/>
      <c r="T35" s="500"/>
      <c r="U35" s="500"/>
      <c r="V35" s="500"/>
      <c r="W35" s="500"/>
      <c r="X35" s="500"/>
      <c r="Y35" s="500"/>
      <c r="Z35" s="500"/>
      <c r="AA35" s="500"/>
      <c r="AB35" s="500"/>
      <c r="AC35" s="500"/>
      <c r="AD35" s="500"/>
      <c r="AE35" s="502"/>
      <c r="AF35" s="546" t="s">
        <v>2397</v>
      </c>
      <c r="AG35" s="588" t="s">
        <v>2398</v>
      </c>
      <c r="AH35" s="8" t="str">
        <f t="shared" si="105"/>
        <v>Final consumption of others</v>
      </c>
      <c r="AI35" s="8" t="str">
        <f t="shared" si="96"/>
        <v>BE</v>
      </c>
      <c r="AJ35" s="8" t="str">
        <f t="shared" ref="AJ35:AK35" si="114">AI121</f>
        <v>TWh</v>
      </c>
      <c r="AK35" s="8" t="str">
        <f t="shared" si="114"/>
        <v>toccfind</v>
      </c>
      <c r="AL35" s="541">
        <f t="shared" si="52"/>
        <v>23.7778</v>
      </c>
      <c r="AM35" s="541">
        <f t="shared" ref="AM35:AO35" si="115">AL35+($AQ35-$AL35)/5</f>
        <v>22.75751475</v>
      </c>
      <c r="AN35" s="541">
        <f t="shared" si="115"/>
        <v>21.73722949</v>
      </c>
      <c r="AO35" s="541">
        <f t="shared" si="115"/>
        <v>20.71694424</v>
      </c>
      <c r="AP35" s="576">
        <f t="shared" si="54"/>
        <v>18.67637373</v>
      </c>
      <c r="AQ35" s="541">
        <f t="shared" si="55"/>
        <v>18.67637373</v>
      </c>
      <c r="AR35" s="541">
        <f t="shared" ref="AR35:AU35" si="116">AQ35+($AV35-$AQ35)/5</f>
        <v>18.5549773</v>
      </c>
      <c r="AS35" s="541">
        <f t="shared" si="116"/>
        <v>18.43358087</v>
      </c>
      <c r="AT35" s="541">
        <f t="shared" si="116"/>
        <v>18.31218444</v>
      </c>
      <c r="AU35" s="541">
        <f t="shared" si="116"/>
        <v>18.19078801</v>
      </c>
      <c r="AV35" s="541">
        <f t="shared" si="57"/>
        <v>18.06939158</v>
      </c>
      <c r="AW35" s="541">
        <f t="shared" ref="AW35:AZ35" si="117">AV35+($BA35-$AV35)/5</f>
        <v>17.77990779</v>
      </c>
      <c r="AX35" s="541">
        <f t="shared" si="117"/>
        <v>17.490424</v>
      </c>
      <c r="AY35" s="541">
        <f t="shared" si="117"/>
        <v>17.20094021</v>
      </c>
      <c r="AZ35" s="541">
        <f t="shared" si="117"/>
        <v>16.91145641</v>
      </c>
      <c r="BA35" s="541">
        <f t="shared" si="59"/>
        <v>16.62197262</v>
      </c>
      <c r="BB35" s="541">
        <f t="shared" ref="BB35:BE35" si="118">BA35+($BF35-$BA35)/5</f>
        <v>16.40719432</v>
      </c>
      <c r="BC35" s="541">
        <f t="shared" si="118"/>
        <v>16.19241602</v>
      </c>
      <c r="BD35" s="541">
        <f t="shared" si="118"/>
        <v>15.97763773</v>
      </c>
      <c r="BE35" s="541">
        <f t="shared" si="118"/>
        <v>15.76285943</v>
      </c>
      <c r="BF35" s="541">
        <f t="shared" si="61"/>
        <v>15.54808113</v>
      </c>
      <c r="BG35" s="541">
        <f t="shared" ref="BG35:BJ35" si="119">BF35+($BK35-$BF35)/5</f>
        <v>15.38933195</v>
      </c>
      <c r="BH35" s="541">
        <f t="shared" si="119"/>
        <v>15.23058278</v>
      </c>
      <c r="BI35" s="541">
        <f t="shared" si="119"/>
        <v>15.0718336</v>
      </c>
      <c r="BJ35" s="541">
        <f t="shared" si="119"/>
        <v>14.91308442</v>
      </c>
      <c r="BK35" s="541">
        <f t="shared" si="63"/>
        <v>14.75433525</v>
      </c>
      <c r="BL35" s="541">
        <f t="shared" ref="BL35:BO35" si="120">BK35+($BP35-$BK35)/5</f>
        <v>14.63293882</v>
      </c>
      <c r="BM35" s="541">
        <f t="shared" si="120"/>
        <v>14.51154239</v>
      </c>
      <c r="BN35" s="541">
        <f t="shared" si="120"/>
        <v>14.39014596</v>
      </c>
      <c r="BO35" s="541">
        <f t="shared" si="120"/>
        <v>14.26874953</v>
      </c>
      <c r="BP35" s="541">
        <f t="shared" si="65"/>
        <v>14.1473531</v>
      </c>
      <c r="BQ35" s="541">
        <f t="shared" ref="BQ35:BT35" si="121">BP35+($BU35-$BP35)/5</f>
        <v>14.11933854</v>
      </c>
      <c r="BR35" s="541">
        <f t="shared" si="121"/>
        <v>14.09132398</v>
      </c>
      <c r="BS35" s="541">
        <f t="shared" si="121"/>
        <v>14.06330942</v>
      </c>
      <c r="BT35" s="541">
        <f t="shared" si="121"/>
        <v>14.03529486</v>
      </c>
      <c r="BU35" s="541">
        <f t="shared" si="67"/>
        <v>14.0072803</v>
      </c>
      <c r="BV35" s="500"/>
    </row>
    <row r="36" ht="14.25" customHeight="1">
      <c r="A36" s="513" t="s">
        <v>2399</v>
      </c>
      <c r="B36" s="500"/>
      <c r="C36" s="500"/>
      <c r="D36" s="500"/>
      <c r="E36" s="500"/>
      <c r="F36" s="500"/>
      <c r="G36" s="500"/>
      <c r="H36" s="589"/>
      <c r="I36" s="500"/>
      <c r="J36" s="500"/>
      <c r="K36" s="500"/>
      <c r="L36" s="500"/>
      <c r="M36" s="500"/>
      <c r="N36" s="500"/>
      <c r="O36" s="500"/>
      <c r="P36" s="500"/>
      <c r="Q36" s="500"/>
      <c r="R36" s="500"/>
      <c r="S36" s="500"/>
      <c r="T36" s="500"/>
      <c r="U36" s="500"/>
      <c r="V36" s="500"/>
      <c r="W36" s="500"/>
      <c r="X36" s="500"/>
      <c r="Y36" s="500"/>
      <c r="Z36" s="500"/>
      <c r="AA36" s="500"/>
      <c r="AB36" s="500"/>
      <c r="AC36" s="500"/>
      <c r="AD36" s="500"/>
      <c r="AE36" s="502"/>
      <c r="AF36" s="546" t="s">
        <v>2400</v>
      </c>
      <c r="AG36" s="588" t="s">
        <v>2401</v>
      </c>
      <c r="AH36" s="8" t="s">
        <v>2402</v>
      </c>
      <c r="AI36" s="500" t="str">
        <f t="shared" ref="AI36:AJ36" si="122">AI35</f>
        <v>BE</v>
      </c>
      <c r="AJ36" s="500" t="str">
        <f t="shared" si="122"/>
        <v>TWh</v>
      </c>
      <c r="AK36" s="500"/>
      <c r="AL36" s="541">
        <f>SUM(AL28:AL35)</f>
        <v>139.5678</v>
      </c>
      <c r="AM36" s="541">
        <f t="shared" ref="AM36:AO36" si="123">AL36+($AQ36-$AL36)/5</f>
        <v>139.38806</v>
      </c>
      <c r="AN36" s="541">
        <f t="shared" si="123"/>
        <v>139.20832</v>
      </c>
      <c r="AO36" s="541">
        <f t="shared" si="123"/>
        <v>139.02858</v>
      </c>
      <c r="AP36" s="576">
        <f t="shared" si="54"/>
        <v>138.6691</v>
      </c>
      <c r="AQ36" s="541">
        <f t="shared" ref="AQ36:BU36" si="124">SUM(AQ28:AQ35)</f>
        <v>138.6691</v>
      </c>
      <c r="AR36" s="541">
        <f t="shared" si="124"/>
        <v>137.2006975</v>
      </c>
      <c r="AS36" s="541">
        <f t="shared" si="124"/>
        <v>135.732295</v>
      </c>
      <c r="AT36" s="541">
        <f t="shared" si="124"/>
        <v>134.2638925</v>
      </c>
      <c r="AU36" s="541">
        <f t="shared" si="124"/>
        <v>132.79549</v>
      </c>
      <c r="AV36" s="541">
        <f t="shared" si="124"/>
        <v>131.3270874</v>
      </c>
      <c r="AW36" s="541">
        <f t="shared" si="124"/>
        <v>127.8255122</v>
      </c>
      <c r="AX36" s="541">
        <f t="shared" si="124"/>
        <v>124.323937</v>
      </c>
      <c r="AY36" s="541">
        <f t="shared" si="124"/>
        <v>120.8223618</v>
      </c>
      <c r="AZ36" s="541">
        <f t="shared" si="124"/>
        <v>117.3207866</v>
      </c>
      <c r="BA36" s="541">
        <f t="shared" si="124"/>
        <v>113.8192114</v>
      </c>
      <c r="BB36" s="541">
        <f t="shared" si="124"/>
        <v>111.2212685</v>
      </c>
      <c r="BC36" s="541">
        <f t="shared" si="124"/>
        <v>108.6233256</v>
      </c>
      <c r="BD36" s="541">
        <f t="shared" si="124"/>
        <v>106.0253826</v>
      </c>
      <c r="BE36" s="541">
        <f t="shared" si="124"/>
        <v>103.4274397</v>
      </c>
      <c r="BF36" s="541">
        <f t="shared" si="124"/>
        <v>100.8294968</v>
      </c>
      <c r="BG36" s="541">
        <f t="shared" si="124"/>
        <v>98.71753499</v>
      </c>
      <c r="BH36" s="541">
        <f t="shared" si="124"/>
        <v>96.60557315</v>
      </c>
      <c r="BI36" s="541">
        <f t="shared" si="124"/>
        <v>94.4936113</v>
      </c>
      <c r="BJ36" s="541">
        <f t="shared" si="124"/>
        <v>92.38164945</v>
      </c>
      <c r="BK36" s="541">
        <f t="shared" si="124"/>
        <v>90.26968761</v>
      </c>
      <c r="BL36" s="541">
        <f t="shared" si="124"/>
        <v>88.99302827</v>
      </c>
      <c r="BM36" s="541">
        <f t="shared" si="124"/>
        <v>87.71636894</v>
      </c>
      <c r="BN36" s="541">
        <f t="shared" si="124"/>
        <v>86.43970961</v>
      </c>
      <c r="BO36" s="541">
        <f t="shared" si="124"/>
        <v>85.16305028</v>
      </c>
      <c r="BP36" s="541">
        <f t="shared" si="124"/>
        <v>83.88639095</v>
      </c>
      <c r="BQ36" s="541">
        <f t="shared" si="124"/>
        <v>83.54752883</v>
      </c>
      <c r="BR36" s="541">
        <f t="shared" si="124"/>
        <v>83.20866671</v>
      </c>
      <c r="BS36" s="541">
        <f t="shared" si="124"/>
        <v>82.8698046</v>
      </c>
      <c r="BT36" s="541">
        <f t="shared" si="124"/>
        <v>82.53094248</v>
      </c>
      <c r="BU36" s="541">
        <f t="shared" si="124"/>
        <v>82.19208036</v>
      </c>
      <c r="BV36" s="500"/>
    </row>
    <row r="37" ht="14.25" customHeight="1">
      <c r="A37" s="500"/>
      <c r="B37" s="500"/>
      <c r="C37" s="500"/>
      <c r="D37" s="536"/>
      <c r="E37" s="536"/>
      <c r="F37" s="590" t="s">
        <v>2403</v>
      </c>
      <c r="G37" s="590" t="s">
        <v>2403</v>
      </c>
      <c r="H37" s="590" t="s">
        <v>2077</v>
      </c>
      <c r="I37" s="590" t="s">
        <v>2077</v>
      </c>
      <c r="J37" s="544" t="s">
        <v>2077</v>
      </c>
      <c r="K37" s="544" t="s">
        <v>2077</v>
      </c>
      <c r="L37" s="590" t="s">
        <v>2077</v>
      </c>
      <c r="M37" s="590" t="s">
        <v>2077</v>
      </c>
      <c r="N37" s="590" t="s">
        <v>2404</v>
      </c>
      <c r="O37" s="590" t="s">
        <v>2405</v>
      </c>
      <c r="P37" s="500"/>
      <c r="Q37" s="500"/>
      <c r="R37" s="500"/>
      <c r="S37" s="500"/>
      <c r="T37" s="500"/>
      <c r="U37" s="500"/>
      <c r="V37" s="500"/>
      <c r="W37" s="500"/>
      <c r="X37" s="500"/>
      <c r="Y37" s="500"/>
      <c r="Z37" s="500"/>
      <c r="AA37" s="500"/>
      <c r="AB37" s="500"/>
      <c r="AC37" s="500"/>
      <c r="AD37" s="500"/>
      <c r="AE37" s="502"/>
      <c r="AF37" s="546" t="s">
        <v>2406</v>
      </c>
      <c r="AG37" s="588" t="s">
        <v>2407</v>
      </c>
      <c r="AH37" s="500"/>
      <c r="AI37" s="500"/>
      <c r="AJ37" s="500"/>
      <c r="AK37" s="500"/>
      <c r="AL37" s="500"/>
      <c r="AM37" s="500"/>
      <c r="AN37" s="500"/>
      <c r="AO37" s="500"/>
      <c r="AP37" s="500"/>
      <c r="AQ37" s="500"/>
      <c r="AR37" s="500"/>
      <c r="AS37" s="500"/>
      <c r="AT37" s="500"/>
      <c r="AU37" s="500"/>
      <c r="AV37" s="500"/>
      <c r="AW37" s="500"/>
      <c r="AX37" s="500"/>
      <c r="AY37" s="500"/>
      <c r="AZ37" s="500"/>
      <c r="BA37" s="500"/>
      <c r="BB37" s="500"/>
      <c r="BC37" s="500"/>
      <c r="BD37" s="500"/>
      <c r="BE37" s="500"/>
      <c r="BF37" s="500"/>
      <c r="BG37" s="500"/>
      <c r="BH37" s="500"/>
      <c r="BI37" s="500"/>
      <c r="BJ37" s="500"/>
      <c r="BK37" s="500"/>
      <c r="BL37" s="500"/>
      <c r="BM37" s="500"/>
      <c r="BN37" s="500"/>
      <c r="BO37" s="500"/>
      <c r="BP37" s="500"/>
      <c r="BQ37" s="500"/>
      <c r="BR37" s="500"/>
      <c r="BS37" s="500"/>
      <c r="BT37" s="500"/>
      <c r="BU37" s="500"/>
      <c r="BV37" s="500"/>
    </row>
    <row r="38" ht="14.25" customHeight="1">
      <c r="A38" s="591" t="s">
        <v>2408</v>
      </c>
      <c r="B38" s="592"/>
      <c r="C38" s="593" t="s">
        <v>2300</v>
      </c>
      <c r="D38" s="594" t="s">
        <v>2301</v>
      </c>
      <c r="E38" s="594" t="s">
        <v>50</v>
      </c>
      <c r="F38" s="594">
        <v>2015.0</v>
      </c>
      <c r="G38" s="594">
        <v>2019.0</v>
      </c>
      <c r="H38" s="594">
        <v>2015.0</v>
      </c>
      <c r="I38" s="594">
        <v>2019.0</v>
      </c>
      <c r="J38" s="595" t="s">
        <v>2409</v>
      </c>
      <c r="K38" s="594" t="s">
        <v>50</v>
      </c>
      <c r="L38" s="593">
        <v>2040.0</v>
      </c>
      <c r="M38" s="594">
        <v>2050.0</v>
      </c>
      <c r="N38" s="594">
        <v>2050.0</v>
      </c>
      <c r="O38" s="594">
        <v>2050.0</v>
      </c>
      <c r="P38" s="596" t="s">
        <v>2410</v>
      </c>
      <c r="Q38" s="500"/>
      <c r="R38" s="500"/>
      <c r="S38" s="500"/>
      <c r="T38" s="500"/>
      <c r="U38" s="500"/>
      <c r="V38" s="500"/>
      <c r="W38" s="500"/>
      <c r="X38" s="500"/>
      <c r="Y38" s="500"/>
      <c r="Z38" s="500"/>
      <c r="AA38" s="500"/>
      <c r="AB38" s="500"/>
      <c r="AC38" s="500"/>
      <c r="AD38" s="500"/>
      <c r="AE38" s="502"/>
      <c r="AF38" s="546" t="s">
        <v>2411</v>
      </c>
      <c r="AG38" s="588" t="s">
        <v>2412</v>
      </c>
      <c r="AH38" s="500"/>
      <c r="AI38" s="500"/>
      <c r="AJ38" s="500"/>
      <c r="AK38" s="500"/>
      <c r="AL38" s="500"/>
      <c r="AM38" s="500"/>
      <c r="AN38" s="500"/>
      <c r="AO38" s="500"/>
      <c r="AP38" s="500"/>
      <c r="AQ38" s="500"/>
      <c r="AR38" s="500"/>
      <c r="AS38" s="500"/>
      <c r="AT38" s="500"/>
      <c r="AU38" s="500"/>
      <c r="AV38" s="500"/>
      <c r="AW38" s="500"/>
      <c r="AX38" s="500"/>
      <c r="AY38" s="500"/>
      <c r="AZ38" s="500"/>
      <c r="BA38" s="500"/>
      <c r="BB38" s="500"/>
      <c r="BC38" s="500"/>
      <c r="BD38" s="500"/>
      <c r="BE38" s="500"/>
      <c r="BF38" s="500"/>
      <c r="BG38" s="500"/>
      <c r="BH38" s="500"/>
      <c r="BI38" s="500"/>
      <c r="BJ38" s="500"/>
      <c r="BK38" s="500"/>
      <c r="BL38" s="500"/>
      <c r="BM38" s="500"/>
      <c r="BN38" s="500"/>
      <c r="BO38" s="500"/>
      <c r="BP38" s="500"/>
      <c r="BQ38" s="500"/>
      <c r="BR38" s="500"/>
      <c r="BS38" s="500"/>
      <c r="BT38" s="500"/>
      <c r="BU38" s="500"/>
      <c r="BV38" s="500"/>
    </row>
    <row r="39" ht="14.25" customHeight="1">
      <c r="A39" s="500" t="s">
        <v>2413</v>
      </c>
      <c r="B39" s="500"/>
      <c r="C39" s="597" t="s">
        <v>2084</v>
      </c>
      <c r="D39" s="597" t="str">
        <f t="shared" ref="D39:D46" si="125">$D$27</f>
        <v>BE</v>
      </c>
      <c r="E39" s="598" t="s">
        <v>2083</v>
      </c>
      <c r="F39" s="599">
        <f t="array" ref="F39">INDEX(Industry_Historical_Data!$A$1:$S$3000,MATCH(Industry_Calculation!$C39&amp;Industry_Calculation!$D39,Industry_Historical_Data!$A$1:$A$3000&amp;Industry_Historical_Data!$C$1:$C$3000,0&amp;0),MATCH(Industry_Calculation!F$38,Industry_Historical_Data!$A$1:$S$1,0))</f>
        <v>7257</v>
      </c>
      <c r="G39" s="599">
        <f t="array" ref="G39">INDEX(Industry_Historical_Data!$A$1:$S$3000,MATCH(Industry_Calculation!$C39&amp;Industry_Calculation!$D39,Industry_Historical_Data!$A$1:$A$3000&amp;Industry_Historical_Data!$C$1:$C$3000,0&amp;0),MATCH(Industry_Calculation!G$38,Industry_Historical_Data!$A$1:$S$1,0))</f>
        <v>7760</v>
      </c>
      <c r="H39" s="600">
        <v>7257.0</v>
      </c>
      <c r="I39" s="601">
        <f t="shared" ref="I39:I44" si="126">IF(OR(F39="n.a.",G39="n.a."),H39,H39*G39/F39)</f>
        <v>7760</v>
      </c>
      <c r="J39" s="602"/>
      <c r="K39" s="603" t="s">
        <v>2414</v>
      </c>
      <c r="L39" s="604">
        <f t="shared" ref="L39:L46" si="127">100-$N$28*(100-M39)</f>
        <v>87.4</v>
      </c>
      <c r="M39" s="605">
        <v>85.0</v>
      </c>
      <c r="N39" s="606">
        <v>74.3</v>
      </c>
      <c r="O39" s="606">
        <v>91.6</v>
      </c>
      <c r="P39" s="607" t="s">
        <v>2415</v>
      </c>
      <c r="Q39" s="500"/>
      <c r="R39" s="500"/>
      <c r="S39" s="500"/>
      <c r="T39" s="500"/>
      <c r="U39" s="500"/>
      <c r="V39" s="500"/>
      <c r="W39" s="500"/>
      <c r="X39" s="500"/>
      <c r="Y39" s="500"/>
      <c r="Z39" s="500"/>
      <c r="AA39" s="500"/>
      <c r="AB39" s="500"/>
      <c r="AC39" s="500"/>
      <c r="AD39" s="500"/>
      <c r="AE39" s="502"/>
      <c r="AF39" s="588" t="s">
        <v>2416</v>
      </c>
      <c r="AG39" s="588" t="s">
        <v>2417</v>
      </c>
      <c r="AH39" s="8"/>
      <c r="AI39" s="8"/>
      <c r="AJ39" s="8"/>
      <c r="AK39" s="8"/>
      <c r="AL39" s="500"/>
      <c r="AM39" s="500"/>
      <c r="AN39" s="500"/>
      <c r="AO39" s="500"/>
      <c r="AP39" s="500"/>
      <c r="AQ39" s="500"/>
      <c r="AR39" s="500"/>
      <c r="AS39" s="500"/>
      <c r="AT39" s="500"/>
      <c r="AU39" s="500"/>
      <c r="AV39" s="500"/>
      <c r="AW39" s="500"/>
      <c r="AX39" s="500"/>
      <c r="AY39" s="500"/>
      <c r="AZ39" s="500"/>
      <c r="BA39" s="500"/>
      <c r="BB39" s="500"/>
      <c r="BC39" s="500"/>
      <c r="BD39" s="586"/>
      <c r="BE39" s="500"/>
      <c r="BF39" s="586"/>
      <c r="BG39" s="500"/>
      <c r="BH39" s="500"/>
      <c r="BI39" s="500"/>
      <c r="BJ39" s="500"/>
      <c r="BK39" s="500"/>
      <c r="BL39" s="500"/>
      <c r="BM39" s="500"/>
      <c r="BN39" s="500"/>
      <c r="BO39" s="500"/>
      <c r="BP39" s="500"/>
      <c r="BQ39" s="500"/>
      <c r="BR39" s="500"/>
      <c r="BS39" s="500"/>
      <c r="BT39" s="500"/>
      <c r="BU39" s="500"/>
      <c r="BV39" s="500"/>
    </row>
    <row r="40" ht="14.25" customHeight="1">
      <c r="A40" s="608" t="s">
        <v>2418</v>
      </c>
      <c r="B40" s="500"/>
      <c r="C40" s="609" t="s">
        <v>2086</v>
      </c>
      <c r="D40" s="609" t="str">
        <f t="shared" si="125"/>
        <v>BE</v>
      </c>
      <c r="E40" s="598" t="s">
        <v>2083</v>
      </c>
      <c r="F40" s="610">
        <f t="array" ref="F40">INDEX(Industry_Historical_Data!$A$1:$S$3000,MATCH(Industry_Calculation!$C40&amp;Industry_Calculation!$D40,Industry_Historical_Data!$A$1:$A$3000&amp;Industry_Historical_Data!$C$1:$C$3000,0&amp;0),MATCH(Industry_Calculation!F$38,Industry_Historical_Data!$A$1:$S$1,0))</f>
        <v>4809</v>
      </c>
      <c r="G40" s="610">
        <f t="array" ref="G40">INDEX(Industry_Historical_Data!$A$1:$S$3000,MATCH(Industry_Calculation!$C40&amp;Industry_Calculation!$D40,Industry_Historical_Data!$A$1:$A$3000&amp;Industry_Historical_Data!$C$1:$C$3000,0&amp;0),MATCH(Industry_Calculation!G$38,Industry_Historical_Data!$A$1:$S$1,0))</f>
        <v>5664.8</v>
      </c>
      <c r="H40" s="611">
        <f>H39*F40/F39</f>
        <v>4809</v>
      </c>
      <c r="I40" s="612">
        <f t="shared" si="126"/>
        <v>5664.8</v>
      </c>
      <c r="J40" s="602"/>
      <c r="K40" s="613" t="s">
        <v>2414</v>
      </c>
      <c r="L40" s="614">
        <f t="shared" si="127"/>
        <v>66.64055022</v>
      </c>
      <c r="M40" s="615">
        <f>H39*M39*47%/H40</f>
        <v>60.28636931</v>
      </c>
      <c r="N40" s="616" t="s">
        <v>2419</v>
      </c>
      <c r="O40" s="616" t="s">
        <v>2419</v>
      </c>
      <c r="P40" s="617"/>
      <c r="Q40" s="500"/>
      <c r="R40" s="500"/>
      <c r="S40" s="500"/>
      <c r="T40" s="500"/>
      <c r="U40" s="500"/>
      <c r="V40" s="500"/>
      <c r="W40" s="500"/>
      <c r="X40" s="500"/>
      <c r="Y40" s="500"/>
      <c r="Z40" s="500"/>
      <c r="AA40" s="500"/>
      <c r="AB40" s="500"/>
      <c r="AC40" s="500"/>
      <c r="AD40" s="500"/>
      <c r="AE40" s="502"/>
      <c r="AF40" s="588"/>
      <c r="AG40" s="588"/>
      <c r="AH40" s="8"/>
      <c r="AI40" s="8"/>
      <c r="AJ40" s="8"/>
      <c r="AK40" s="8"/>
      <c r="AL40" s="500"/>
      <c r="AM40" s="500"/>
      <c r="AN40" s="500"/>
      <c r="AO40" s="500"/>
      <c r="AP40" s="500"/>
      <c r="AQ40" s="500"/>
      <c r="AR40" s="500"/>
      <c r="AS40" s="500"/>
      <c r="AT40" s="500"/>
      <c r="AU40" s="500"/>
      <c r="AV40" s="500"/>
      <c r="AW40" s="500"/>
      <c r="AX40" s="500"/>
      <c r="AY40" s="500"/>
      <c r="AZ40" s="500"/>
      <c r="BA40" s="500"/>
      <c r="BB40" s="500"/>
      <c r="BC40" s="500"/>
      <c r="BD40" s="586"/>
      <c r="BE40" s="500"/>
      <c r="BF40" s="586"/>
      <c r="BG40" s="500"/>
      <c r="BH40" s="500"/>
      <c r="BI40" s="500"/>
      <c r="BJ40" s="500"/>
      <c r="BK40" s="500"/>
      <c r="BL40" s="500"/>
      <c r="BM40" s="500"/>
      <c r="BN40" s="500"/>
      <c r="BO40" s="500"/>
      <c r="BP40" s="500"/>
      <c r="BQ40" s="500"/>
      <c r="BR40" s="500"/>
      <c r="BS40" s="500"/>
      <c r="BT40" s="500"/>
      <c r="BU40" s="500"/>
      <c r="BV40" s="500"/>
    </row>
    <row r="41" ht="14.25" customHeight="1">
      <c r="A41" s="608" t="s">
        <v>2420</v>
      </c>
      <c r="B41" s="500"/>
      <c r="C41" s="609" t="s">
        <v>2088</v>
      </c>
      <c r="D41" s="609" t="str">
        <f t="shared" si="125"/>
        <v>BE</v>
      </c>
      <c r="E41" s="598" t="s">
        <v>2083</v>
      </c>
      <c r="F41" s="610">
        <f t="array" ref="F41">INDEX(Industry_Historical_Data!$A$1:$S$3000,MATCH(Industry_Calculation!$C41&amp;Industry_Calculation!$D41,Industry_Historical_Data!$A$1:$A$3000&amp;Industry_Historical_Data!$C$1:$C$3000,0&amp;0),MATCH(Industry_Calculation!F$38,Industry_Historical_Data!$A$1:$S$1,0))</f>
        <v>2448</v>
      </c>
      <c r="G41" s="610">
        <f t="array" ref="G41">INDEX(Industry_Historical_Data!$A$1:$S$3000,MATCH(Industry_Calculation!$C41&amp;Industry_Calculation!$D41,Industry_Historical_Data!$A$1:$A$3000&amp;Industry_Historical_Data!$C$1:$C$3000,0&amp;0),MATCH(Industry_Calculation!G$38,Industry_Historical_Data!$A$1:$S$1,0))</f>
        <v>2095.2</v>
      </c>
      <c r="H41" s="611">
        <f>H39-H40</f>
        <v>2448</v>
      </c>
      <c r="I41" s="612">
        <f t="shared" si="126"/>
        <v>2095.2</v>
      </c>
      <c r="J41" s="602"/>
      <c r="K41" s="613" t="s">
        <v>2414</v>
      </c>
      <c r="L41" s="614">
        <f t="shared" si="127"/>
        <v>128.181125</v>
      </c>
      <c r="M41" s="615">
        <f>H39*M39*53%/H41</f>
        <v>133.5489583</v>
      </c>
      <c r="N41" s="616" t="s">
        <v>2419</v>
      </c>
      <c r="O41" s="616" t="s">
        <v>2419</v>
      </c>
      <c r="P41" s="617"/>
      <c r="Q41" s="500"/>
      <c r="R41" s="500"/>
      <c r="S41" s="500"/>
      <c r="T41" s="500"/>
      <c r="U41" s="500"/>
      <c r="V41" s="500"/>
      <c r="W41" s="500"/>
      <c r="X41" s="500"/>
      <c r="Y41" s="500"/>
      <c r="Z41" s="500"/>
      <c r="AA41" s="500"/>
      <c r="AB41" s="500"/>
      <c r="AC41" s="500"/>
      <c r="AD41" s="500"/>
      <c r="AE41" s="502"/>
      <c r="AF41" s="588"/>
      <c r="AG41" s="588"/>
      <c r="AH41" s="8"/>
      <c r="AI41" s="8"/>
      <c r="AJ41" s="8"/>
      <c r="AK41" s="8"/>
      <c r="AL41" s="500"/>
      <c r="AM41" s="500"/>
      <c r="AN41" s="500"/>
      <c r="AO41" s="500"/>
      <c r="AP41" s="500"/>
      <c r="AQ41" s="500"/>
      <c r="AR41" s="500"/>
      <c r="AS41" s="500"/>
      <c r="AT41" s="500"/>
      <c r="AU41" s="500"/>
      <c r="AV41" s="500"/>
      <c r="AW41" s="500"/>
      <c r="AX41" s="500"/>
      <c r="AY41" s="500"/>
      <c r="AZ41" s="500"/>
      <c r="BA41" s="500"/>
      <c r="BB41" s="500"/>
      <c r="BC41" s="500"/>
      <c r="BD41" s="586"/>
      <c r="BE41" s="500"/>
      <c r="BF41" s="586"/>
      <c r="BG41" s="500"/>
      <c r="BH41" s="500"/>
      <c r="BI41" s="500"/>
      <c r="BJ41" s="500"/>
      <c r="BK41" s="500"/>
      <c r="BL41" s="500"/>
      <c r="BM41" s="500"/>
      <c r="BN41" s="500"/>
      <c r="BO41" s="500"/>
      <c r="BP41" s="500"/>
      <c r="BQ41" s="500"/>
      <c r="BR41" s="500"/>
      <c r="BS41" s="500"/>
      <c r="BT41" s="500"/>
      <c r="BU41" s="500"/>
      <c r="BV41" s="500"/>
    </row>
    <row r="42" ht="14.25" customHeight="1">
      <c r="A42" s="500" t="s">
        <v>2421</v>
      </c>
      <c r="B42" s="500"/>
      <c r="C42" s="597" t="s">
        <v>2092</v>
      </c>
      <c r="D42" s="597" t="str">
        <f t="shared" si="125"/>
        <v>BE</v>
      </c>
      <c r="E42" s="598" t="s">
        <v>2083</v>
      </c>
      <c r="F42" s="599">
        <f t="array" ref="F42">INDEX(Industry_Historical_Data!$A$1:$S$3000,MATCH(Industry_Calculation!$C42&amp;Industry_Calculation!$D42,Industry_Historical_Data!$A$1:$A$3000&amp;Industry_Historical_Data!$C$1:$C$3000,0&amp;0),MATCH(Industry_Calculation!F$38,Industry_Historical_Data!$A$1:$S$1,0))</f>
        <v>6275</v>
      </c>
      <c r="G42" s="599">
        <f t="array" ref="G42">INDEX(Industry_Historical_Data!$A$1:$S$3000,MATCH(Industry_Calculation!$C42&amp;Industry_Calculation!$D42,Industry_Historical_Data!$A$1:$A$3000&amp;Industry_Historical_Data!$C$1:$C$3000,0&amp;0),MATCH(Industry_Calculation!G$38,Industry_Historical_Data!$A$1:$S$1,0))</f>
        <v>6773</v>
      </c>
      <c r="H42" s="618">
        <v>6275.0</v>
      </c>
      <c r="I42" s="601">
        <f t="shared" si="126"/>
        <v>6773</v>
      </c>
      <c r="J42" s="602"/>
      <c r="K42" s="603" t="s">
        <v>2414</v>
      </c>
      <c r="L42" s="604">
        <f t="shared" si="127"/>
        <v>79</v>
      </c>
      <c r="M42" s="619">
        <v>75.0</v>
      </c>
      <c r="N42" s="620">
        <v>52.0</v>
      </c>
      <c r="O42" s="620">
        <v>98.8</v>
      </c>
      <c r="P42" s="621" t="s">
        <v>2422</v>
      </c>
      <c r="Q42" s="500"/>
      <c r="R42" s="622"/>
      <c r="S42" s="623" t="str">
        <f>"Foreseen final energy consumption (FEC) of industry in "&amp;D27</f>
        <v>Foreseen final energy consumption (FEC) of industry in BE</v>
      </c>
      <c r="T42" s="622"/>
      <c r="U42" s="624"/>
      <c r="V42" s="624"/>
      <c r="W42" s="624"/>
      <c r="X42" s="624"/>
      <c r="Y42" s="624"/>
      <c r="Z42" s="624"/>
      <c r="AA42" s="624"/>
      <c r="AB42" s="624"/>
      <c r="AC42" s="624"/>
      <c r="AD42" s="625"/>
      <c r="AE42" s="502"/>
      <c r="AF42" s="588" t="s">
        <v>2423</v>
      </c>
      <c r="AG42" s="588" t="s">
        <v>2424</v>
      </c>
      <c r="AH42" s="8"/>
      <c r="AI42" s="8"/>
      <c r="AJ42" s="8"/>
      <c r="AK42" s="8"/>
      <c r="AL42" s="500"/>
      <c r="AM42" s="500"/>
      <c r="AN42" s="500"/>
      <c r="AO42" s="500"/>
      <c r="AP42" s="500"/>
      <c r="AQ42" s="500"/>
      <c r="AR42" s="500"/>
      <c r="AS42" s="500"/>
      <c r="AT42" s="500"/>
      <c r="AU42" s="500"/>
      <c r="AV42" s="500"/>
      <c r="AW42" s="500"/>
      <c r="AX42" s="500"/>
      <c r="AY42" s="500"/>
      <c r="AZ42" s="500"/>
      <c r="BA42" s="500"/>
      <c r="BB42" s="500"/>
      <c r="BC42" s="500"/>
      <c r="BD42" s="586"/>
      <c r="BE42" s="500"/>
      <c r="BF42" s="586"/>
      <c r="BG42" s="500"/>
      <c r="BH42" s="500"/>
      <c r="BI42" s="500"/>
      <c r="BJ42" s="500"/>
      <c r="BK42" s="500"/>
      <c r="BL42" s="500"/>
      <c r="BM42" s="500"/>
      <c r="BN42" s="500"/>
      <c r="BO42" s="500"/>
      <c r="BP42" s="500"/>
      <c r="BQ42" s="500"/>
      <c r="BR42" s="500"/>
      <c r="BS42" s="500"/>
      <c r="BT42" s="500"/>
      <c r="BU42" s="500"/>
      <c r="BV42" s="500"/>
    </row>
    <row r="43" ht="14.25" customHeight="1">
      <c r="A43" s="500" t="s">
        <v>2425</v>
      </c>
      <c r="B43" s="500"/>
      <c r="C43" s="597" t="s">
        <v>2118</v>
      </c>
      <c r="D43" s="597" t="str">
        <f t="shared" si="125"/>
        <v>BE</v>
      </c>
      <c r="E43" s="598" t="s">
        <v>2083</v>
      </c>
      <c r="F43" s="599">
        <f t="array" ref="F43">INDEX(Industry_Historical_Data!$A$1:$S$3000,MATCH(Industry_Calculation!$C43&amp;Industry_Calculation!$D43,Industry_Historical_Data!$A$1:$A$3000&amp;Industry_Historical_Data!$C$1:$C$3000,0&amp;0),MATCH(Industry_Calculation!F$38,Industry_Historical_Data!$A$1:$S$1,0))</f>
        <v>2123</v>
      </c>
      <c r="G43" s="599">
        <f t="array" ref="G43">INDEX(Industry_Historical_Data!$A$1:$S$3000,MATCH(Industry_Calculation!$C43&amp;Industry_Calculation!$D43,Industry_Historical_Data!$A$1:$A$3000&amp;Industry_Historical_Data!$C$1:$C$3000,0&amp;0),MATCH(Industry_Calculation!G$38,Industry_Historical_Data!$A$1:$S$1,0))</f>
        <v>1765</v>
      </c>
      <c r="H43" s="618">
        <v>2123.0</v>
      </c>
      <c r="I43" s="601">
        <f t="shared" si="126"/>
        <v>1765</v>
      </c>
      <c r="J43" s="602"/>
      <c r="K43" s="603" t="s">
        <v>2414</v>
      </c>
      <c r="L43" s="604">
        <f t="shared" si="127"/>
        <v>87.4</v>
      </c>
      <c r="M43" s="619">
        <v>85.0</v>
      </c>
      <c r="N43" s="620">
        <v>58.4</v>
      </c>
      <c r="O43" s="620">
        <v>110.0</v>
      </c>
      <c r="P43" s="621" t="s">
        <v>2426</v>
      </c>
      <c r="Q43" s="500"/>
      <c r="R43" s="622"/>
      <c r="S43" s="622"/>
      <c r="T43" s="622"/>
      <c r="U43" s="624"/>
      <c r="V43" s="624"/>
      <c r="W43" s="624"/>
      <c r="X43" s="624"/>
      <c r="Y43" s="624"/>
      <c r="Z43" s="624"/>
      <c r="AA43" s="624"/>
      <c r="AB43" s="624"/>
      <c r="AC43" s="624"/>
      <c r="AD43" s="625"/>
      <c r="AE43" s="626"/>
      <c r="AF43" s="544"/>
      <c r="AG43" s="544"/>
      <c r="AH43" s="8"/>
      <c r="AI43" s="8"/>
      <c r="AJ43" s="8"/>
      <c r="AK43" s="8"/>
      <c r="AL43" s="500"/>
      <c r="AM43" s="500"/>
      <c r="AN43" s="500"/>
      <c r="AO43" s="500"/>
      <c r="AP43" s="500"/>
      <c r="AQ43" s="586"/>
      <c r="AR43" s="586"/>
      <c r="AS43" s="586"/>
      <c r="AT43" s="586"/>
      <c r="AU43" s="586"/>
      <c r="AV43" s="586"/>
      <c r="AW43" s="586"/>
      <c r="AX43" s="586"/>
      <c r="AY43" s="586"/>
      <c r="AZ43" s="500"/>
      <c r="BA43" s="500"/>
      <c r="BB43" s="500"/>
      <c r="BC43" s="500"/>
      <c r="BD43" s="500"/>
      <c r="BE43" s="500"/>
      <c r="BF43" s="500"/>
      <c r="BG43" s="500"/>
      <c r="BH43" s="500"/>
      <c r="BI43" s="500"/>
      <c r="BJ43" s="500"/>
      <c r="BK43" s="500"/>
      <c r="BL43" s="500"/>
      <c r="BM43" s="500"/>
      <c r="BN43" s="500"/>
      <c r="BO43" s="500"/>
      <c r="BP43" s="500"/>
      <c r="BQ43" s="500"/>
      <c r="BR43" s="500"/>
      <c r="BS43" s="500"/>
      <c r="BT43" s="500"/>
      <c r="BU43" s="500"/>
      <c r="BV43" s="500"/>
    </row>
    <row r="44" ht="14.25" customHeight="1">
      <c r="A44" s="500" t="s">
        <v>2427</v>
      </c>
      <c r="B44" s="500"/>
      <c r="C44" s="597" t="s">
        <v>2094</v>
      </c>
      <c r="D44" s="597" t="str">
        <f t="shared" si="125"/>
        <v>BE</v>
      </c>
      <c r="E44" s="598" t="s">
        <v>2083</v>
      </c>
      <c r="F44" s="599">
        <f t="array" ref="F44">INDEX(Industry_Historical_Data!$A$1:$S$3000,MATCH(Industry_Calculation!$C44&amp;Industry_Calculation!$D44,Industry_Historical_Data!$A$1:$A$3000&amp;Industry_Historical_Data!$C$1:$C$3000,0&amp;0),MATCH(Industry_Calculation!F$38,Industry_Historical_Data!$A$1:$S$1,0))</f>
        <v>1000</v>
      </c>
      <c r="G44" s="599">
        <f t="array" ref="G44">INDEX(Industry_Historical_Data!$A$1:$S$3000,MATCH(Industry_Calculation!$C44&amp;Industry_Calculation!$D44,Industry_Historical_Data!$A$1:$A$3000&amp;Industry_Historical_Data!$C$1:$C$3000,0&amp;0),MATCH(Industry_Calculation!G$38,Industry_Historical_Data!$A$1:$S$1,0))</f>
        <v>1000</v>
      </c>
      <c r="H44" s="618">
        <v>1000.0</v>
      </c>
      <c r="I44" s="601">
        <f t="shared" si="126"/>
        <v>1000</v>
      </c>
      <c r="J44" s="602"/>
      <c r="K44" s="603" t="s">
        <v>2414</v>
      </c>
      <c r="L44" s="604">
        <f t="shared" si="127"/>
        <v>87.4</v>
      </c>
      <c r="M44" s="619">
        <v>85.0</v>
      </c>
      <c r="N44" s="620">
        <v>61.1</v>
      </c>
      <c r="O44" s="620">
        <v>95.0</v>
      </c>
      <c r="P44" s="621" t="s">
        <v>2428</v>
      </c>
      <c r="Q44" s="500"/>
      <c r="R44" s="622"/>
      <c r="S44" s="622"/>
      <c r="T44" s="622"/>
      <c r="U44" s="624"/>
      <c r="V44" s="624"/>
      <c r="W44" s="624"/>
      <c r="X44" s="624"/>
      <c r="Y44" s="624"/>
      <c r="Z44" s="624"/>
      <c r="AA44" s="624"/>
      <c r="AB44" s="624"/>
      <c r="AC44" s="624"/>
      <c r="AD44" s="625"/>
      <c r="AE44" s="626"/>
      <c r="AF44" s="503"/>
      <c r="AG44" s="503"/>
      <c r="AH44" s="8"/>
      <c r="AI44" s="8"/>
      <c r="AJ44" s="8"/>
      <c r="AK44" s="8"/>
      <c r="AL44" s="500"/>
      <c r="AM44" s="500"/>
      <c r="AN44" s="500"/>
      <c r="AO44" s="500"/>
      <c r="AP44" s="500"/>
      <c r="AQ44" s="586"/>
      <c r="AR44" s="586"/>
      <c r="AS44" s="586"/>
      <c r="AT44" s="586"/>
      <c r="AU44" s="586"/>
      <c r="AV44" s="586"/>
      <c r="AW44" s="586"/>
      <c r="AX44" s="586"/>
      <c r="AY44" s="586"/>
      <c r="AZ44" s="500"/>
      <c r="BA44" s="500"/>
      <c r="BB44" s="500"/>
      <c r="BC44" s="500"/>
      <c r="BD44" s="500"/>
      <c r="BE44" s="500"/>
      <c r="BF44" s="500"/>
      <c r="BG44" s="500"/>
      <c r="BH44" s="500"/>
      <c r="BI44" s="500"/>
      <c r="BJ44" s="500"/>
      <c r="BK44" s="500"/>
      <c r="BL44" s="500"/>
      <c r="BM44" s="500"/>
      <c r="BN44" s="500"/>
      <c r="BO44" s="500"/>
      <c r="BP44" s="500"/>
      <c r="BQ44" s="500"/>
      <c r="BR44" s="500"/>
      <c r="BS44" s="500"/>
      <c r="BT44" s="500"/>
      <c r="BU44" s="500"/>
      <c r="BV44" s="500"/>
    </row>
    <row r="45" ht="14.25" customHeight="1">
      <c r="A45" s="500" t="s">
        <v>2429</v>
      </c>
      <c r="B45" s="500"/>
      <c r="C45" s="597" t="s">
        <v>2096</v>
      </c>
      <c r="D45" s="597" t="str">
        <f t="shared" si="125"/>
        <v>BE</v>
      </c>
      <c r="E45" s="598" t="s">
        <v>2083</v>
      </c>
      <c r="F45" s="599" t="str">
        <f t="array" ref="F45">INDEX(Industry_Historical_Data!$A$1:$S$3000,MATCH(Industry_Calculation!$C45&amp;Industry_Calculation!$D45,Industry_Historical_Data!$A$1:$A$3000&amp;Industry_Historical_Data!$C$1:$C$3000,0&amp;0),MATCH(Industry_Calculation!F$38,Industry_Historical_Data!$A$1:$S$1,0))</f>
        <v>#N/A</v>
      </c>
      <c r="G45" s="599" t="str">
        <f t="array" ref="G45">INDEX(Industry_Historical_Data!$A$1:$S$3000,MATCH(Industry_Calculation!$C45&amp;Industry_Calculation!$D45,Industry_Historical_Data!$A$1:$A$3000&amp;Industry_Historical_Data!$C$1:$C$3000,0&amp;0),MATCH(Industry_Calculation!G$38,Industry_Historical_Data!$A$1:$S$1,0))</f>
        <v>#N/A</v>
      </c>
      <c r="H45" s="618">
        <v>1050.0</v>
      </c>
      <c r="I45" s="601">
        <f t="shared" ref="I45:I46" si="128">H45</f>
        <v>1050</v>
      </c>
      <c r="J45" s="602"/>
      <c r="K45" s="603" t="s">
        <v>2414</v>
      </c>
      <c r="L45" s="627">
        <f t="shared" si="127"/>
        <v>74.8</v>
      </c>
      <c r="M45" s="619">
        <v>70.0</v>
      </c>
      <c r="N45" s="620">
        <v>58.4</v>
      </c>
      <c r="O45" s="620">
        <v>80.0</v>
      </c>
      <c r="P45" s="621" t="s">
        <v>2430</v>
      </c>
      <c r="Q45" s="500"/>
      <c r="R45" s="622"/>
      <c r="S45" s="622"/>
      <c r="T45" s="622"/>
      <c r="U45" s="624"/>
      <c r="V45" s="624"/>
      <c r="W45" s="624"/>
      <c r="X45" s="624"/>
      <c r="Y45" s="624"/>
      <c r="Z45" s="624"/>
      <c r="AA45" s="624"/>
      <c r="AB45" s="624"/>
      <c r="AC45" s="624"/>
      <c r="AD45" s="625"/>
      <c r="AE45" s="626"/>
      <c r="AF45" s="503"/>
      <c r="AG45" s="503"/>
      <c r="AH45" s="504"/>
      <c r="AI45" s="500"/>
      <c r="AJ45" s="500"/>
      <c r="AK45" s="500"/>
      <c r="AL45" s="500"/>
      <c r="AM45" s="500"/>
      <c r="AN45" s="500"/>
      <c r="AO45" s="500"/>
      <c r="AP45" s="500"/>
      <c r="AQ45" s="586"/>
      <c r="AR45" s="586"/>
      <c r="AS45" s="586"/>
      <c r="AT45" s="586"/>
      <c r="AU45" s="586"/>
      <c r="AV45" s="586"/>
      <c r="AW45" s="586"/>
      <c r="AX45" s="586"/>
      <c r="AY45" s="586"/>
      <c r="AZ45" s="500"/>
      <c r="BA45" s="500"/>
      <c r="BB45" s="500"/>
      <c r="BC45" s="500"/>
      <c r="BD45" s="500"/>
      <c r="BE45" s="500"/>
      <c r="BF45" s="500"/>
      <c r="BG45" s="500"/>
      <c r="BH45" s="500"/>
      <c r="BI45" s="500"/>
      <c r="BJ45" s="500"/>
      <c r="BK45" s="500"/>
      <c r="BL45" s="500"/>
      <c r="BM45" s="500"/>
      <c r="BN45" s="500"/>
      <c r="BO45" s="500"/>
      <c r="BP45" s="500"/>
      <c r="BQ45" s="500"/>
      <c r="BR45" s="500"/>
      <c r="BS45" s="500"/>
      <c r="BT45" s="500"/>
      <c r="BU45" s="500"/>
      <c r="BV45" s="500"/>
    </row>
    <row r="46" ht="14.25" customHeight="1">
      <c r="A46" s="500" t="s">
        <v>2431</v>
      </c>
      <c r="B46" s="500"/>
      <c r="C46" s="597" t="s">
        <v>2098</v>
      </c>
      <c r="D46" s="597" t="str">
        <f t="shared" si="125"/>
        <v>BE</v>
      </c>
      <c r="E46" s="598" t="s">
        <v>2083</v>
      </c>
      <c r="F46" s="599" t="str">
        <f t="array" ref="F46">INDEX(Industry_Historical_Data!$A$1:$S$3000,MATCH(Industry_Calculation!$C46&amp;Industry_Calculation!$D46,Industry_Historical_Data!$A$1:$A$3000&amp;Industry_Historical_Data!$C$1:$C$3000,0&amp;0),MATCH(Industry_Calculation!F$38,Industry_Historical_Data!$A$1:$S$1,0))</f>
        <v>#N/A</v>
      </c>
      <c r="G46" s="599" t="str">
        <f t="array" ref="G46">INDEX(Industry_Historical_Data!$A$1:$S$3000,MATCH(Industry_Calculation!$C46&amp;Industry_Calculation!$D46,Industry_Historical_Data!$A$1:$A$3000&amp;Industry_Historical_Data!$C$1:$C$3000,0&amp;0),MATCH(Industry_Calculation!G$38,Industry_Historical_Data!$A$1:$S$1,0))</f>
        <v>#N/A</v>
      </c>
      <c r="H46" s="628">
        <v>5580.0</v>
      </c>
      <c r="I46" s="601">
        <f t="shared" si="128"/>
        <v>5580</v>
      </c>
      <c r="J46" s="602"/>
      <c r="K46" s="603" t="s">
        <v>2414</v>
      </c>
      <c r="L46" s="629">
        <f t="shared" si="127"/>
        <v>91.6</v>
      </c>
      <c r="M46" s="630">
        <v>90.0</v>
      </c>
      <c r="N46" s="620">
        <v>59.4</v>
      </c>
      <c r="O46" s="620">
        <v>97.7</v>
      </c>
      <c r="P46" s="631" t="s">
        <v>2432</v>
      </c>
      <c r="Q46" s="500"/>
      <c r="R46" s="622"/>
      <c r="S46" s="622"/>
      <c r="T46" s="622"/>
      <c r="U46" s="624"/>
      <c r="V46" s="624"/>
      <c r="W46" s="624"/>
      <c r="X46" s="624"/>
      <c r="Y46" s="624"/>
      <c r="Z46" s="624"/>
      <c r="AA46" s="624"/>
      <c r="AB46" s="624"/>
      <c r="AC46" s="624"/>
      <c r="AD46" s="625"/>
      <c r="AE46" s="626"/>
      <c r="AF46" s="503"/>
      <c r="AG46" s="503"/>
      <c r="AH46" s="504"/>
      <c r="AI46" s="500"/>
      <c r="AJ46" s="500"/>
      <c r="AK46" s="500"/>
      <c r="AL46" s="500"/>
      <c r="AM46" s="500"/>
      <c r="AN46" s="500"/>
      <c r="AO46" s="500"/>
      <c r="AP46" s="500"/>
      <c r="AQ46" s="586"/>
      <c r="AR46" s="586"/>
      <c r="AS46" s="586"/>
      <c r="AT46" s="586"/>
      <c r="AU46" s="586"/>
      <c r="AV46" s="586"/>
      <c r="AW46" s="586"/>
      <c r="AX46" s="586"/>
      <c r="AY46" s="586"/>
      <c r="AZ46" s="500"/>
      <c r="BA46" s="500"/>
      <c r="BB46" s="500"/>
      <c r="BC46" s="500"/>
      <c r="BD46" s="500"/>
      <c r="BE46" s="500"/>
      <c r="BF46" s="500"/>
      <c r="BG46" s="500"/>
      <c r="BH46" s="500"/>
      <c r="BI46" s="500"/>
      <c r="BJ46" s="500"/>
      <c r="BK46" s="500"/>
      <c r="BL46" s="500"/>
      <c r="BM46" s="500"/>
      <c r="BN46" s="500"/>
      <c r="BO46" s="500"/>
      <c r="BP46" s="500"/>
      <c r="BQ46" s="500"/>
      <c r="BR46" s="500"/>
      <c r="BS46" s="500"/>
      <c r="BT46" s="500"/>
      <c r="BU46" s="500"/>
      <c r="BV46" s="500"/>
    </row>
    <row r="47" ht="14.25" customHeight="1">
      <c r="A47" s="500"/>
      <c r="B47" s="500"/>
      <c r="C47" s="602"/>
      <c r="D47" s="602"/>
      <c r="E47" s="602"/>
      <c r="F47" s="602"/>
      <c r="G47" s="602"/>
      <c r="H47" s="589"/>
      <c r="I47" s="632"/>
      <c r="J47" s="602"/>
      <c r="K47" s="633"/>
      <c r="L47" s="634"/>
      <c r="M47" s="635"/>
      <c r="N47" s="635"/>
      <c r="O47" s="636"/>
      <c r="P47" s="636"/>
      <c r="Q47" s="500"/>
      <c r="R47" s="622"/>
      <c r="S47" s="622"/>
      <c r="T47" s="622"/>
      <c r="U47" s="624"/>
      <c r="V47" s="624"/>
      <c r="W47" s="624"/>
      <c r="X47" s="624"/>
      <c r="Y47" s="624"/>
      <c r="Z47" s="624"/>
      <c r="AA47" s="624"/>
      <c r="AB47" s="624"/>
      <c r="AC47" s="624"/>
      <c r="AD47" s="625"/>
      <c r="AE47" s="626"/>
      <c r="AF47" s="503"/>
      <c r="AG47" s="503"/>
      <c r="AH47" s="504"/>
      <c r="AI47" s="500"/>
      <c r="AJ47" s="500"/>
      <c r="AK47" s="500"/>
      <c r="AL47" s="500"/>
      <c r="AM47" s="500"/>
      <c r="AN47" s="500"/>
      <c r="AO47" s="500"/>
      <c r="AP47" s="500"/>
      <c r="AQ47" s="586"/>
      <c r="AR47" s="586"/>
      <c r="AS47" s="586"/>
      <c r="AT47" s="586"/>
      <c r="AU47" s="586"/>
      <c r="AV47" s="586"/>
      <c r="AW47" s="586"/>
      <c r="AX47" s="586"/>
      <c r="AY47" s="586"/>
      <c r="AZ47" s="500"/>
      <c r="BA47" s="500"/>
      <c r="BB47" s="500"/>
      <c r="BC47" s="500"/>
      <c r="BD47" s="500"/>
      <c r="BE47" s="500"/>
      <c r="BF47" s="500"/>
      <c r="BG47" s="500"/>
      <c r="BH47" s="500"/>
      <c r="BI47" s="500"/>
      <c r="BJ47" s="500"/>
      <c r="BK47" s="500"/>
      <c r="BL47" s="500"/>
      <c r="BM47" s="500"/>
      <c r="BN47" s="500"/>
      <c r="BO47" s="500"/>
      <c r="BP47" s="500"/>
      <c r="BQ47" s="500"/>
      <c r="BR47" s="500"/>
      <c r="BS47" s="500"/>
      <c r="BT47" s="500"/>
      <c r="BU47" s="500"/>
      <c r="BV47" s="500"/>
    </row>
    <row r="48" ht="14.25" customHeight="1">
      <c r="A48" s="500"/>
      <c r="B48" s="500"/>
      <c r="C48" s="602"/>
      <c r="D48" s="602"/>
      <c r="E48" s="602"/>
      <c r="F48" s="602"/>
      <c r="G48" s="602"/>
      <c r="H48" s="589"/>
      <c r="I48" s="632"/>
      <c r="J48" s="602"/>
      <c r="K48" s="633"/>
      <c r="L48" s="634"/>
      <c r="M48" s="635"/>
      <c r="N48" s="635"/>
      <c r="O48" s="636"/>
      <c r="P48" s="636">
        <f>H40*M40/100*2100/1000000</f>
        <v>6.08826015</v>
      </c>
      <c r="Q48" s="500"/>
      <c r="R48" s="622"/>
      <c r="S48" s="622"/>
      <c r="T48" s="622"/>
      <c r="U48" s="624"/>
      <c r="V48" s="624"/>
      <c r="W48" s="624"/>
      <c r="X48" s="624"/>
      <c r="Y48" s="624"/>
      <c r="Z48" s="624"/>
      <c r="AA48" s="624"/>
      <c r="AB48" s="624"/>
      <c r="AC48" s="624"/>
      <c r="AD48" s="625"/>
      <c r="AE48" s="626"/>
      <c r="AF48" s="503"/>
      <c r="AG48" s="503"/>
      <c r="AH48" s="504"/>
      <c r="AI48" s="500"/>
      <c r="AJ48" s="500"/>
      <c r="AK48" s="500"/>
      <c r="AL48" s="500"/>
      <c r="AM48" s="500"/>
      <c r="AN48" s="500"/>
      <c r="AO48" s="500"/>
      <c r="AP48" s="500"/>
      <c r="AQ48" s="586"/>
      <c r="AR48" s="586"/>
      <c r="AS48" s="586"/>
      <c r="AT48" s="586"/>
      <c r="AU48" s="586"/>
      <c r="AV48" s="586"/>
      <c r="AW48" s="586"/>
      <c r="AX48" s="586"/>
      <c r="AY48" s="586"/>
      <c r="AZ48" s="500"/>
      <c r="BA48" s="500"/>
      <c r="BB48" s="500"/>
      <c r="BC48" s="500"/>
      <c r="BD48" s="500"/>
      <c r="BE48" s="500"/>
      <c r="BF48" s="500"/>
      <c r="BG48" s="500"/>
      <c r="BH48" s="500"/>
      <c r="BI48" s="500"/>
      <c r="BJ48" s="500"/>
      <c r="BK48" s="500"/>
      <c r="BL48" s="500"/>
      <c r="BM48" s="500"/>
      <c r="BN48" s="500"/>
      <c r="BO48" s="500"/>
      <c r="BP48" s="500"/>
      <c r="BQ48" s="500"/>
      <c r="BR48" s="500"/>
      <c r="BS48" s="500"/>
      <c r="BT48" s="500"/>
      <c r="BU48" s="500"/>
      <c r="BV48" s="500"/>
    </row>
    <row r="49" ht="14.25" customHeight="1">
      <c r="A49" s="500"/>
      <c r="B49" s="500"/>
      <c r="C49" s="602"/>
      <c r="D49" s="602"/>
      <c r="E49" s="602"/>
      <c r="F49" s="637" t="s">
        <v>2403</v>
      </c>
      <c r="G49" s="638"/>
      <c r="H49" s="637" t="s">
        <v>2077</v>
      </c>
      <c r="I49" s="638"/>
      <c r="J49" s="639"/>
      <c r="K49" s="632"/>
      <c r="L49" s="640"/>
      <c r="M49" s="639"/>
      <c r="N49" s="590" t="s">
        <v>2404</v>
      </c>
      <c r="O49" s="590" t="s">
        <v>2405</v>
      </c>
      <c r="P49" s="500"/>
      <c r="Q49" s="500"/>
      <c r="R49" s="641"/>
      <c r="S49" s="641"/>
      <c r="T49" s="641"/>
      <c r="U49" s="642"/>
      <c r="V49" s="642"/>
      <c r="W49" s="642"/>
      <c r="X49" s="642"/>
      <c r="Y49" s="642"/>
      <c r="Z49" s="642"/>
      <c r="AA49" s="642"/>
      <c r="AB49" s="642"/>
      <c r="AC49" s="642"/>
      <c r="AD49" s="586"/>
      <c r="AE49" s="643"/>
      <c r="AF49" s="503"/>
      <c r="AG49" s="503"/>
      <c r="AH49" s="504"/>
      <c r="AI49" s="500"/>
      <c r="AJ49" s="500"/>
      <c r="AK49" s="500"/>
      <c r="AL49" s="586"/>
      <c r="AM49" s="586"/>
      <c r="AN49" s="586"/>
      <c r="AO49" s="586"/>
      <c r="AP49" s="586"/>
      <c r="AQ49" s="586"/>
      <c r="AR49" s="586"/>
      <c r="AS49" s="586"/>
      <c r="AT49" s="586"/>
      <c r="AU49" s="586"/>
      <c r="AV49" s="586"/>
      <c r="AW49" s="586"/>
      <c r="AX49" s="586"/>
      <c r="AY49" s="586"/>
      <c r="AZ49" s="500"/>
      <c r="BA49" s="500"/>
      <c r="BB49" s="500"/>
      <c r="BC49" s="500"/>
      <c r="BD49" s="500"/>
      <c r="BE49" s="500"/>
      <c r="BF49" s="500"/>
      <c r="BG49" s="500"/>
      <c r="BH49" s="500"/>
      <c r="BI49" s="500"/>
      <c r="BJ49" s="500"/>
      <c r="BK49" s="500"/>
      <c r="BL49" s="500"/>
      <c r="BM49" s="500"/>
      <c r="BN49" s="500"/>
      <c r="BO49" s="500"/>
      <c r="BP49" s="500"/>
      <c r="BQ49" s="500"/>
      <c r="BR49" s="500"/>
      <c r="BS49" s="500"/>
      <c r="BT49" s="500"/>
      <c r="BU49" s="500"/>
      <c r="BV49" s="500"/>
    </row>
    <row r="50" ht="14.25" customHeight="1">
      <c r="A50" s="591" t="s">
        <v>2433</v>
      </c>
      <c r="B50" s="592"/>
      <c r="C50" s="593" t="s">
        <v>2300</v>
      </c>
      <c r="D50" s="594" t="s">
        <v>2301</v>
      </c>
      <c r="E50" s="594" t="s">
        <v>50</v>
      </c>
      <c r="F50" s="594">
        <v>2015.0</v>
      </c>
      <c r="G50" s="594">
        <v>2019.0</v>
      </c>
      <c r="H50" s="593">
        <v>2015.0</v>
      </c>
      <c r="I50" s="594">
        <v>2019.0</v>
      </c>
      <c r="J50" s="593"/>
      <c r="K50" s="594" t="s">
        <v>50</v>
      </c>
      <c r="L50" s="644">
        <v>2040.0</v>
      </c>
      <c r="M50" s="594">
        <v>2050.0</v>
      </c>
      <c r="N50" s="594">
        <v>2050.0</v>
      </c>
      <c r="O50" s="594">
        <v>2050.0</v>
      </c>
      <c r="P50" s="596" t="s">
        <v>2410</v>
      </c>
      <c r="Q50" s="500"/>
      <c r="R50" s="641"/>
      <c r="S50" s="641"/>
      <c r="T50" s="641"/>
      <c r="U50" s="641"/>
      <c r="V50" s="641"/>
      <c r="W50" s="641"/>
      <c r="X50" s="641"/>
      <c r="Y50" s="641"/>
      <c r="Z50" s="641"/>
      <c r="AA50" s="641"/>
      <c r="AB50" s="641"/>
      <c r="AC50" s="641"/>
      <c r="AD50" s="500"/>
      <c r="AE50" s="502"/>
      <c r="AF50" s="503"/>
      <c r="AG50" s="503"/>
      <c r="AH50" s="504"/>
      <c r="AI50" s="500"/>
      <c r="AJ50" s="544"/>
      <c r="AK50" s="544"/>
      <c r="AL50" s="586"/>
      <c r="AM50" s="586"/>
      <c r="AN50" s="586"/>
      <c r="AO50" s="586"/>
      <c r="AP50" s="586"/>
      <c r="AQ50" s="500"/>
      <c r="AR50" s="500"/>
      <c r="AS50" s="500"/>
      <c r="AT50" s="500"/>
      <c r="AU50" s="500"/>
      <c r="AV50" s="500"/>
      <c r="AW50" s="500"/>
      <c r="AX50" s="500"/>
      <c r="AY50" s="500"/>
      <c r="AZ50" s="500"/>
      <c r="BA50" s="500"/>
      <c r="BB50" s="500"/>
      <c r="BC50" s="500"/>
      <c r="BD50" s="500"/>
      <c r="BE50" s="500"/>
      <c r="BF50" s="500"/>
      <c r="BG50" s="500"/>
      <c r="BH50" s="500"/>
      <c r="BI50" s="500"/>
      <c r="BJ50" s="500"/>
      <c r="BK50" s="500"/>
      <c r="BL50" s="500"/>
      <c r="BM50" s="500"/>
      <c r="BN50" s="500"/>
      <c r="BO50" s="500"/>
      <c r="BP50" s="500"/>
      <c r="BQ50" s="500"/>
      <c r="BR50" s="500"/>
      <c r="BS50" s="500"/>
      <c r="BT50" s="500"/>
      <c r="BU50" s="500"/>
      <c r="BV50" s="500"/>
    </row>
    <row r="51" ht="14.25" customHeight="1">
      <c r="A51" s="500" t="s">
        <v>2413</v>
      </c>
      <c r="B51" s="500"/>
      <c r="C51" s="597" t="s">
        <v>2139</v>
      </c>
      <c r="D51" s="597" t="str">
        <f t="shared" ref="D51:D58" si="130">$D$27</f>
        <v>BE</v>
      </c>
      <c r="E51" s="598" t="s">
        <v>2138</v>
      </c>
      <c r="F51" s="645">
        <f t="shared" ref="F51:G51" si="129">IF(OR(F39="n.a.",F63="n.a."),"n.a.",F63/F39*1000000)</f>
        <v>3906.214689</v>
      </c>
      <c r="G51" s="646">
        <f t="shared" si="129"/>
        <v>3950.64433</v>
      </c>
      <c r="H51" s="647">
        <f>H63/H39*1000000</f>
        <v>3909.811217</v>
      </c>
      <c r="I51" s="648">
        <f>IF(OR(F51="n.a.",G51="n.a."),H51,H51*G51/F51)</f>
        <v>3954.281765</v>
      </c>
      <c r="J51" s="602"/>
      <c r="K51" s="598" t="s">
        <v>2138</v>
      </c>
      <c r="L51" s="649">
        <f>H63/H39*1000000+(M51-H63/H39*1000000)*$N$28</f>
        <v>2557.569795</v>
      </c>
      <c r="M51" s="650">
        <v>2300.0</v>
      </c>
      <c r="N51" s="606">
        <v>2059.0</v>
      </c>
      <c r="O51" s="606">
        <v>2688.0</v>
      </c>
      <c r="P51" s="651"/>
      <c r="Q51" s="500"/>
      <c r="R51" s="641"/>
      <c r="S51" s="641"/>
      <c r="T51" s="641"/>
      <c r="U51" s="641"/>
      <c r="V51" s="641"/>
      <c r="W51" s="641"/>
      <c r="X51" s="641"/>
      <c r="Y51" s="641"/>
      <c r="Z51" s="641"/>
      <c r="AA51" s="641"/>
      <c r="AB51" s="641"/>
      <c r="AC51" s="641"/>
      <c r="AD51" s="500"/>
      <c r="AE51" s="502"/>
      <c r="AF51" s="503"/>
      <c r="AG51" s="503"/>
      <c r="AH51" s="504"/>
      <c r="AI51" s="500"/>
      <c r="AJ51" s="544"/>
      <c r="AK51" s="544"/>
      <c r="AL51" s="586"/>
      <c r="AM51" s="586"/>
      <c r="AN51" s="586"/>
      <c r="AO51" s="586"/>
      <c r="AP51" s="586"/>
      <c r="AQ51" s="500"/>
      <c r="AR51" s="500"/>
      <c r="AS51" s="500"/>
      <c r="AT51" s="500"/>
      <c r="AU51" s="500"/>
      <c r="AV51" s="500"/>
      <c r="AW51" s="500"/>
      <c r="AX51" s="500"/>
      <c r="AY51" s="500"/>
      <c r="AZ51" s="500"/>
      <c r="BA51" s="500"/>
      <c r="BB51" s="500"/>
      <c r="BC51" s="500"/>
      <c r="BD51" s="500"/>
      <c r="BE51" s="500"/>
      <c r="BF51" s="500"/>
      <c r="BG51" s="500"/>
      <c r="BH51" s="500"/>
      <c r="BI51" s="500"/>
      <c r="BJ51" s="500"/>
      <c r="BK51" s="500"/>
      <c r="BL51" s="500"/>
      <c r="BM51" s="500"/>
      <c r="BN51" s="500"/>
      <c r="BO51" s="500"/>
      <c r="BP51" s="500"/>
      <c r="BQ51" s="500"/>
      <c r="BR51" s="500"/>
      <c r="BS51" s="500"/>
      <c r="BT51" s="500"/>
      <c r="BU51" s="500"/>
      <c r="BV51" s="500"/>
    </row>
    <row r="52" ht="14.25" customHeight="1">
      <c r="A52" s="608" t="s">
        <v>2418</v>
      </c>
      <c r="B52" s="500"/>
      <c r="C52" s="609" t="s">
        <v>2141</v>
      </c>
      <c r="D52" s="609" t="str">
        <f t="shared" si="130"/>
        <v>BE</v>
      </c>
      <c r="E52" s="652" t="s">
        <v>2138</v>
      </c>
      <c r="F52" s="653" t="s">
        <v>2434</v>
      </c>
      <c r="G52" s="653" t="s">
        <v>2434</v>
      </c>
      <c r="H52" s="647"/>
      <c r="I52" s="647"/>
      <c r="J52" s="654"/>
      <c r="K52" s="655" t="s">
        <v>2138</v>
      </c>
      <c r="L52" s="649"/>
      <c r="M52" s="656"/>
      <c r="N52" s="616">
        <f>3650+418</f>
        <v>4068</v>
      </c>
      <c r="O52" s="616" t="s">
        <v>2419</v>
      </c>
      <c r="P52" s="657"/>
      <c r="Q52" s="500"/>
      <c r="R52" s="641"/>
      <c r="S52" s="641"/>
      <c r="T52" s="641"/>
      <c r="U52" s="641"/>
      <c r="V52" s="641"/>
      <c r="W52" s="641"/>
      <c r="X52" s="641"/>
      <c r="Y52" s="641"/>
      <c r="Z52" s="641"/>
      <c r="AA52" s="641"/>
      <c r="AB52" s="641"/>
      <c r="AC52" s="641"/>
      <c r="AD52" s="500"/>
      <c r="AE52" s="502"/>
      <c r="AF52" s="503"/>
      <c r="AG52" s="503"/>
      <c r="AH52" s="504"/>
      <c r="AI52" s="500"/>
      <c r="AJ52" s="544"/>
      <c r="AK52" s="544"/>
      <c r="AL52" s="586"/>
      <c r="AM52" s="586"/>
      <c r="AN52" s="586"/>
      <c r="AO52" s="586"/>
      <c r="AP52" s="586"/>
      <c r="AQ52" s="500"/>
      <c r="AR52" s="500"/>
      <c r="AS52" s="500"/>
      <c r="AT52" s="500"/>
      <c r="AU52" s="500"/>
      <c r="AV52" s="500"/>
      <c r="AW52" s="500"/>
      <c r="AX52" s="500"/>
      <c r="AY52" s="500"/>
      <c r="AZ52" s="500"/>
      <c r="BA52" s="500"/>
      <c r="BB52" s="500"/>
      <c r="BC52" s="500"/>
      <c r="BD52" s="500"/>
      <c r="BE52" s="500"/>
      <c r="BF52" s="500"/>
      <c r="BG52" s="500"/>
      <c r="BH52" s="500"/>
      <c r="BI52" s="500"/>
      <c r="BJ52" s="500"/>
      <c r="BK52" s="500"/>
      <c r="BL52" s="500"/>
      <c r="BM52" s="500"/>
      <c r="BN52" s="500"/>
      <c r="BO52" s="500"/>
      <c r="BP52" s="500"/>
      <c r="BQ52" s="500"/>
      <c r="BR52" s="500"/>
      <c r="BS52" s="500"/>
      <c r="BT52" s="500"/>
      <c r="BU52" s="500"/>
      <c r="BV52" s="500"/>
    </row>
    <row r="53" ht="14.25" customHeight="1">
      <c r="A53" s="608" t="s">
        <v>2420</v>
      </c>
      <c r="B53" s="500"/>
      <c r="C53" s="609" t="s">
        <v>2143</v>
      </c>
      <c r="D53" s="609" t="str">
        <f t="shared" si="130"/>
        <v>BE</v>
      </c>
      <c r="E53" s="652" t="s">
        <v>2138</v>
      </c>
      <c r="F53" s="653" t="s">
        <v>2434</v>
      </c>
      <c r="G53" s="653" t="s">
        <v>2434</v>
      </c>
      <c r="H53" s="647"/>
      <c r="I53" s="647"/>
      <c r="J53" s="654"/>
      <c r="K53" s="655" t="s">
        <v>2138</v>
      </c>
      <c r="L53" s="649"/>
      <c r="M53" s="656"/>
      <c r="N53" s="616">
        <f>605+418</f>
        <v>1023</v>
      </c>
      <c r="O53" s="616" t="s">
        <v>2419</v>
      </c>
      <c r="P53" s="657"/>
      <c r="Q53" s="500"/>
      <c r="R53" s="641"/>
      <c r="S53" s="641"/>
      <c r="T53" s="641"/>
      <c r="U53" s="641"/>
      <c r="V53" s="641"/>
      <c r="W53" s="641"/>
      <c r="X53" s="641"/>
      <c r="Y53" s="641"/>
      <c r="Z53" s="641"/>
      <c r="AA53" s="641"/>
      <c r="AB53" s="641"/>
      <c r="AC53" s="641"/>
      <c r="AD53" s="500"/>
      <c r="AE53" s="502"/>
      <c r="AF53" s="503"/>
      <c r="AG53" s="503"/>
      <c r="AH53" s="504"/>
      <c r="AI53" s="500"/>
      <c r="AJ53" s="544"/>
      <c r="AK53" s="544"/>
      <c r="AL53" s="586"/>
      <c r="AM53" s="586"/>
      <c r="AN53" s="586"/>
      <c r="AO53" s="586"/>
      <c r="AP53" s="586"/>
      <c r="AQ53" s="500"/>
      <c r="AR53" s="500"/>
      <c r="AS53" s="500"/>
      <c r="AT53" s="500"/>
      <c r="AU53" s="500"/>
      <c r="AV53" s="500"/>
      <c r="AW53" s="500"/>
      <c r="AX53" s="500"/>
      <c r="AY53" s="500"/>
      <c r="AZ53" s="500"/>
      <c r="BA53" s="500"/>
      <c r="BB53" s="500"/>
      <c r="BC53" s="500"/>
      <c r="BD53" s="500"/>
      <c r="BE53" s="500"/>
      <c r="BF53" s="500"/>
      <c r="BG53" s="500"/>
      <c r="BH53" s="500"/>
      <c r="BI53" s="500"/>
      <c r="BJ53" s="500"/>
      <c r="BK53" s="500"/>
      <c r="BL53" s="500"/>
      <c r="BM53" s="500"/>
      <c r="BN53" s="500"/>
      <c r="BO53" s="500"/>
      <c r="BP53" s="500"/>
      <c r="BQ53" s="500"/>
      <c r="BR53" s="500"/>
      <c r="BS53" s="500"/>
      <c r="BT53" s="500"/>
      <c r="BU53" s="500"/>
      <c r="BV53" s="500"/>
    </row>
    <row r="54" ht="14.25" customHeight="1">
      <c r="A54" s="500" t="s">
        <v>2421</v>
      </c>
      <c r="B54" s="500"/>
      <c r="C54" s="597" t="s">
        <v>2147</v>
      </c>
      <c r="D54" s="597" t="str">
        <f t="shared" si="130"/>
        <v>BE</v>
      </c>
      <c r="E54" s="598" t="s">
        <v>2138</v>
      </c>
      <c r="F54" s="658">
        <f t="shared" ref="F54:G54" si="131">IF(OR(F42="n.a.",F64="n.a."),"n.a.",F64/F42*1000000)</f>
        <v>879.7290837</v>
      </c>
      <c r="G54" s="658">
        <f t="shared" si="131"/>
        <v>904.1635907</v>
      </c>
      <c r="H54" s="659">
        <f t="shared" ref="H54:H58" si="133">H64/H42*1000000</f>
        <v>879.6812749</v>
      </c>
      <c r="I54" s="648">
        <f t="shared" ref="I54:I56" si="134">IF(OR(F54="n.a.",G54="n.a."),H54,H54*G54/F54)</f>
        <v>904.1144541</v>
      </c>
      <c r="J54" s="602"/>
      <c r="K54" s="598" t="s">
        <v>2138</v>
      </c>
      <c r="L54" s="649">
        <f t="shared" ref="L54:L58" si="135">H64/H42*1000000+(M54-H64/H42*1000000)*$N$28</f>
        <v>686.749004</v>
      </c>
      <c r="M54" s="660">
        <v>650.0</v>
      </c>
      <c r="N54" s="606">
        <v>562.0</v>
      </c>
      <c r="O54" s="606">
        <v>804.0</v>
      </c>
      <c r="P54" s="661"/>
      <c r="Q54" s="500"/>
      <c r="R54" s="642"/>
      <c r="S54" s="642"/>
      <c r="T54" s="642"/>
      <c r="U54" s="641"/>
      <c r="V54" s="641"/>
      <c r="W54" s="641"/>
      <c r="X54" s="641"/>
      <c r="Y54" s="641"/>
      <c r="Z54" s="642"/>
      <c r="AA54" s="642"/>
      <c r="AB54" s="641"/>
      <c r="AC54" s="641"/>
      <c r="AD54" s="586"/>
      <c r="AE54" s="502"/>
      <c r="AF54" s="503"/>
      <c r="AG54" s="503"/>
      <c r="AH54" s="504"/>
      <c r="AI54" s="500"/>
      <c r="AJ54" s="544" t="s">
        <v>2381</v>
      </c>
      <c r="AK54" s="544"/>
      <c r="AL54" s="586"/>
      <c r="AM54" s="586"/>
      <c r="AN54" s="586"/>
      <c r="AO54" s="586"/>
      <c r="AP54" s="586"/>
      <c r="AQ54" s="500"/>
      <c r="AR54" s="500"/>
      <c r="AS54" s="500"/>
      <c r="AT54" s="500"/>
      <c r="AU54" s="500"/>
      <c r="AV54" s="500"/>
      <c r="AW54" s="500"/>
      <c r="AX54" s="500"/>
      <c r="AY54" s="500"/>
      <c r="AZ54" s="500"/>
      <c r="BA54" s="500"/>
      <c r="BB54" s="500"/>
      <c r="BC54" s="500"/>
      <c r="BD54" s="500"/>
      <c r="BE54" s="500"/>
      <c r="BF54" s="500"/>
      <c r="BG54" s="500"/>
      <c r="BH54" s="500"/>
      <c r="BI54" s="500"/>
      <c r="BJ54" s="500"/>
      <c r="BK54" s="500"/>
      <c r="BL54" s="500"/>
      <c r="BM54" s="500"/>
      <c r="BN54" s="500"/>
      <c r="BO54" s="500"/>
      <c r="BP54" s="500"/>
      <c r="BQ54" s="500"/>
      <c r="BR54" s="500"/>
      <c r="BS54" s="500"/>
      <c r="BT54" s="500"/>
      <c r="BU54" s="500"/>
      <c r="BV54" s="500"/>
    </row>
    <row r="55" ht="14.25" customHeight="1">
      <c r="A55" s="500" t="s">
        <v>2425</v>
      </c>
      <c r="B55" s="500"/>
      <c r="C55" s="597" t="s">
        <v>2155</v>
      </c>
      <c r="D55" s="597" t="str">
        <f t="shared" si="130"/>
        <v>BE</v>
      </c>
      <c r="E55" s="598" t="s">
        <v>2138</v>
      </c>
      <c r="F55" s="599">
        <f t="shared" ref="F55:G55" si="132">IF(OR(F43="n.a.",F65="n.a."),"n.a.",F65/F43*1000000)</f>
        <v>3887.941592</v>
      </c>
      <c r="G55" s="599">
        <f t="shared" si="132"/>
        <v>4274.957507</v>
      </c>
      <c r="H55" s="647">
        <f t="shared" si="133"/>
        <v>3888.553933</v>
      </c>
      <c r="I55" s="662">
        <f t="shared" si="134"/>
        <v>4275.630802</v>
      </c>
      <c r="J55" s="602"/>
      <c r="K55" s="598" t="s">
        <v>2138</v>
      </c>
      <c r="L55" s="649">
        <f t="shared" si="135"/>
        <v>2722.168629</v>
      </c>
      <c r="M55" s="660">
        <v>2500.0</v>
      </c>
      <c r="N55" s="663">
        <v>1894.0</v>
      </c>
      <c r="O55" s="663">
        <v>3776.0</v>
      </c>
      <c r="P55" s="664"/>
      <c r="Q55" s="665"/>
      <c r="R55" s="666"/>
      <c r="S55" s="666"/>
      <c r="T55" s="666"/>
      <c r="U55" s="666"/>
      <c r="V55" s="666"/>
      <c r="W55" s="666"/>
      <c r="X55" s="666"/>
      <c r="Y55" s="666"/>
      <c r="Z55" s="666"/>
      <c r="AA55" s="666"/>
      <c r="AB55" s="666"/>
      <c r="AC55" s="666"/>
      <c r="AD55" s="665"/>
      <c r="AE55" s="667"/>
      <c r="AF55" s="668"/>
      <c r="AG55" s="668"/>
      <c r="AH55" s="669"/>
      <c r="AI55" s="665"/>
      <c r="AJ55" s="544" t="s">
        <v>2435</v>
      </c>
      <c r="AK55" s="587"/>
      <c r="AL55" s="665"/>
      <c r="AM55" s="665"/>
      <c r="AN55" s="665"/>
      <c r="AO55" s="665"/>
      <c r="AP55" s="665"/>
      <c r="AQ55" s="665"/>
      <c r="AR55" s="665"/>
      <c r="AS55" s="665"/>
      <c r="AT55" s="665"/>
      <c r="AU55" s="665"/>
      <c r="AV55" s="665"/>
      <c r="AW55" s="665"/>
      <c r="AX55" s="665"/>
      <c r="AY55" s="665"/>
      <c r="AZ55" s="665"/>
      <c r="BA55" s="665"/>
      <c r="BB55" s="665"/>
      <c r="BC55" s="665"/>
      <c r="BD55" s="665"/>
      <c r="BE55" s="665"/>
      <c r="BF55" s="665"/>
      <c r="BG55" s="665"/>
      <c r="BH55" s="665"/>
      <c r="BI55" s="665"/>
      <c r="BJ55" s="665"/>
      <c r="BK55" s="665"/>
      <c r="BL55" s="665"/>
      <c r="BM55" s="665"/>
      <c r="BN55" s="665"/>
      <c r="BO55" s="665"/>
      <c r="BP55" s="665"/>
      <c r="BQ55" s="665"/>
      <c r="BR55" s="665"/>
      <c r="BS55" s="665"/>
      <c r="BT55" s="665"/>
      <c r="BU55" s="665"/>
      <c r="BV55" s="665"/>
    </row>
    <row r="56" ht="14.25" customHeight="1">
      <c r="A56" s="500" t="s">
        <v>2427</v>
      </c>
      <c r="B56" s="500"/>
      <c r="C56" s="597" t="s">
        <v>2149</v>
      </c>
      <c r="D56" s="597" t="str">
        <f t="shared" si="130"/>
        <v>BE</v>
      </c>
      <c r="E56" s="598" t="s">
        <v>2138</v>
      </c>
      <c r="F56" s="599" t="str">
        <f t="shared" ref="F56:G56" si="136">IF(OR(F44="n.a.",F66="n.a."),"n.a.",F66/F44*1000000)</f>
        <v>n.a.</v>
      </c>
      <c r="G56" s="599" t="str">
        <f t="shared" si="136"/>
        <v>n.a.</v>
      </c>
      <c r="H56" s="647">
        <f t="shared" si="133"/>
        <v>4300</v>
      </c>
      <c r="I56" s="662">
        <f t="shared" si="134"/>
        <v>4300</v>
      </c>
      <c r="J56" s="602"/>
      <c r="K56" s="598" t="s">
        <v>2138</v>
      </c>
      <c r="L56" s="649">
        <f t="shared" si="135"/>
        <v>1864</v>
      </c>
      <c r="M56" s="660">
        <v>1400.0</v>
      </c>
      <c r="N56" s="663">
        <v>697.0</v>
      </c>
      <c r="O56" s="663">
        <v>2193.0</v>
      </c>
      <c r="P56" s="664"/>
      <c r="Q56" s="665"/>
      <c r="R56" s="666"/>
      <c r="S56" s="666"/>
      <c r="T56" s="666"/>
      <c r="U56" s="666"/>
      <c r="V56" s="666"/>
      <c r="W56" s="666"/>
      <c r="X56" s="666"/>
      <c r="Y56" s="666"/>
      <c r="Z56" s="666"/>
      <c r="AA56" s="666"/>
      <c r="AB56" s="666"/>
      <c r="AC56" s="666"/>
      <c r="AD56" s="665"/>
      <c r="AE56" s="667"/>
      <c r="AF56" s="668"/>
      <c r="AG56" s="668"/>
      <c r="AH56" s="669"/>
      <c r="AI56" s="665"/>
      <c r="AJ56" s="587"/>
      <c r="AK56" s="587"/>
      <c r="AL56" s="665"/>
      <c r="AM56" s="665"/>
      <c r="AN56" s="665"/>
      <c r="AO56" s="665"/>
      <c r="AP56" s="665"/>
      <c r="AQ56" s="665"/>
      <c r="AR56" s="665"/>
      <c r="AS56" s="665"/>
      <c r="AT56" s="665"/>
      <c r="AU56" s="665"/>
      <c r="AV56" s="665"/>
      <c r="AW56" s="665"/>
      <c r="AX56" s="665"/>
      <c r="AY56" s="665"/>
      <c r="AZ56" s="665"/>
      <c r="BA56" s="665"/>
      <c r="BB56" s="665"/>
      <c r="BC56" s="665"/>
      <c r="BD56" s="665"/>
      <c r="BE56" s="665"/>
      <c r="BF56" s="665"/>
      <c r="BG56" s="665"/>
      <c r="BH56" s="665"/>
      <c r="BI56" s="665"/>
      <c r="BJ56" s="665"/>
      <c r="BK56" s="665"/>
      <c r="BL56" s="665"/>
      <c r="BM56" s="665"/>
      <c r="BN56" s="665"/>
      <c r="BO56" s="665"/>
      <c r="BP56" s="665"/>
      <c r="BQ56" s="665"/>
      <c r="BR56" s="665"/>
      <c r="BS56" s="665"/>
      <c r="BT56" s="665"/>
      <c r="BU56" s="665"/>
      <c r="BV56" s="665"/>
    </row>
    <row r="57" ht="14.25" customHeight="1">
      <c r="A57" s="500" t="s">
        <v>2429</v>
      </c>
      <c r="B57" s="500"/>
      <c r="C57" s="597" t="s">
        <v>2151</v>
      </c>
      <c r="D57" s="597" t="str">
        <f t="shared" si="130"/>
        <v>BE</v>
      </c>
      <c r="E57" s="598" t="s">
        <v>2138</v>
      </c>
      <c r="F57" s="599" t="str">
        <f t="shared" ref="F57:G57" si="137">IF(OR(F45="n.a.",F67="n.a."),"n.a.",F67/F45*1000000)</f>
        <v>#N/A</v>
      </c>
      <c r="G57" s="599" t="str">
        <f t="shared" si="137"/>
        <v>#N/A</v>
      </c>
      <c r="H57" s="647">
        <f t="shared" si="133"/>
        <v>5085.714286</v>
      </c>
      <c r="I57" s="662">
        <f t="shared" ref="I57:I58" si="139">H57</f>
        <v>5085.714286</v>
      </c>
      <c r="J57" s="602"/>
      <c r="K57" s="598" t="s">
        <v>2138</v>
      </c>
      <c r="L57" s="649">
        <f t="shared" si="135"/>
        <v>2493.714286</v>
      </c>
      <c r="M57" s="660">
        <v>2000.0</v>
      </c>
      <c r="N57" s="663">
        <v>1582.0</v>
      </c>
      <c r="O57" s="663">
        <v>2500.0</v>
      </c>
      <c r="P57" s="664"/>
      <c r="Q57" s="665"/>
      <c r="R57" s="666"/>
      <c r="S57" s="666"/>
      <c r="T57" s="666"/>
      <c r="U57" s="666"/>
      <c r="V57" s="666"/>
      <c r="W57" s="666"/>
      <c r="X57" s="666"/>
      <c r="Y57" s="666"/>
      <c r="Z57" s="666"/>
      <c r="AA57" s="666"/>
      <c r="AB57" s="666"/>
      <c r="AC57" s="666"/>
      <c r="AD57" s="665"/>
      <c r="AE57" s="667"/>
      <c r="AF57" s="668"/>
      <c r="AG57" s="668"/>
      <c r="AH57" s="669"/>
      <c r="AI57" s="665"/>
      <c r="AJ57" s="587"/>
      <c r="AK57" s="587"/>
      <c r="AL57" s="665"/>
      <c r="AM57" s="665"/>
      <c r="AN57" s="665"/>
      <c r="AO57" s="665"/>
      <c r="AP57" s="665"/>
      <c r="AQ57" s="665"/>
      <c r="AR57" s="665"/>
      <c r="AS57" s="665"/>
      <c r="AT57" s="665"/>
      <c r="AU57" s="665"/>
      <c r="AV57" s="665"/>
      <c r="AW57" s="665"/>
      <c r="AX57" s="665"/>
      <c r="AY57" s="665"/>
      <c r="AZ57" s="665"/>
      <c r="BA57" s="665"/>
      <c r="BB57" s="665"/>
      <c r="BC57" s="665"/>
      <c r="BD57" s="665"/>
      <c r="BE57" s="665"/>
      <c r="BF57" s="665"/>
      <c r="BG57" s="665"/>
      <c r="BH57" s="665"/>
      <c r="BI57" s="665"/>
      <c r="BJ57" s="665"/>
      <c r="BK57" s="665"/>
      <c r="BL57" s="665"/>
      <c r="BM57" s="665"/>
      <c r="BN57" s="665"/>
      <c r="BO57" s="665"/>
      <c r="BP57" s="665"/>
      <c r="BQ57" s="665"/>
      <c r="BR57" s="665"/>
      <c r="BS57" s="665"/>
      <c r="BT57" s="665"/>
      <c r="BU57" s="665"/>
      <c r="BV57" s="665"/>
    </row>
    <row r="58" ht="14.25" customHeight="1">
      <c r="A58" s="500" t="s">
        <v>2431</v>
      </c>
      <c r="B58" s="500"/>
      <c r="C58" s="597" t="s">
        <v>2153</v>
      </c>
      <c r="D58" s="597" t="str">
        <f t="shared" si="130"/>
        <v>BE</v>
      </c>
      <c r="E58" s="598" t="s">
        <v>2138</v>
      </c>
      <c r="F58" s="599" t="str">
        <f t="shared" ref="F58:G58" si="138">IF(OR(F46="n.a.",F68="n.a."),"n.a.",F68/F46*1000000)</f>
        <v>#N/A</v>
      </c>
      <c r="G58" s="599" t="str">
        <f t="shared" si="138"/>
        <v>#N/A</v>
      </c>
      <c r="H58" s="647">
        <f t="shared" si="133"/>
        <v>5376.344086</v>
      </c>
      <c r="I58" s="662">
        <f t="shared" si="139"/>
        <v>5376.344086</v>
      </c>
      <c r="J58" s="602"/>
      <c r="K58" s="598" t="s">
        <v>2138</v>
      </c>
      <c r="L58" s="649">
        <f t="shared" si="135"/>
        <v>4556.215054</v>
      </c>
      <c r="M58" s="670">
        <v>4400.0</v>
      </c>
      <c r="N58" s="663">
        <v>3137.0</v>
      </c>
      <c r="O58" s="663">
        <v>5683.0</v>
      </c>
      <c r="P58" s="671"/>
      <c r="Q58" s="665"/>
      <c r="R58" s="666"/>
      <c r="S58" s="666"/>
      <c r="T58" s="666"/>
      <c r="U58" s="666"/>
      <c r="V58" s="666"/>
      <c r="W58" s="666"/>
      <c r="X58" s="666"/>
      <c r="Y58" s="666"/>
      <c r="Z58" s="666"/>
      <c r="AA58" s="666"/>
      <c r="AB58" s="666"/>
      <c r="AC58" s="666"/>
      <c r="AD58" s="665"/>
      <c r="AE58" s="667"/>
      <c r="AF58" s="668"/>
      <c r="AG58" s="668"/>
      <c r="AH58" s="669"/>
      <c r="AI58" s="665"/>
      <c r="AJ58" s="587"/>
      <c r="AK58" s="587"/>
      <c r="AL58" s="665"/>
      <c r="AM58" s="665"/>
      <c r="AN58" s="665"/>
      <c r="AO58" s="665"/>
      <c r="AP58" s="665"/>
      <c r="AQ58" s="665"/>
      <c r="AR58" s="665"/>
      <c r="AS58" s="665"/>
      <c r="AT58" s="665"/>
      <c r="AU58" s="665"/>
      <c r="AV58" s="665"/>
      <c r="AW58" s="665"/>
      <c r="AX58" s="665"/>
      <c r="AY58" s="665"/>
      <c r="AZ58" s="665"/>
      <c r="BA58" s="665"/>
      <c r="BB58" s="665"/>
      <c r="BC58" s="665"/>
      <c r="BD58" s="665"/>
      <c r="BE58" s="665"/>
      <c r="BF58" s="665"/>
      <c r="BG58" s="665"/>
      <c r="BH58" s="665"/>
      <c r="BI58" s="665"/>
      <c r="BJ58" s="665"/>
      <c r="BK58" s="665"/>
      <c r="BL58" s="665"/>
      <c r="BM58" s="665"/>
      <c r="BN58" s="665"/>
      <c r="BO58" s="665"/>
      <c r="BP58" s="665"/>
      <c r="BQ58" s="665"/>
      <c r="BR58" s="665"/>
      <c r="BS58" s="665"/>
      <c r="BT58" s="665"/>
      <c r="BU58" s="665"/>
      <c r="BV58" s="665"/>
    </row>
    <row r="59" ht="14.25" customHeight="1">
      <c r="A59" s="665"/>
      <c r="B59" s="665"/>
      <c r="C59" s="602"/>
      <c r="D59" s="602"/>
      <c r="E59" s="602"/>
      <c r="F59" s="602"/>
      <c r="G59" s="602"/>
      <c r="H59" s="589"/>
      <c r="I59" s="632"/>
      <c r="J59" s="602"/>
      <c r="K59" s="602"/>
      <c r="L59" s="672"/>
      <c r="M59" s="672"/>
      <c r="N59" s="672"/>
      <c r="O59" s="672"/>
      <c r="P59" s="665"/>
      <c r="Q59" s="665"/>
      <c r="R59" s="666"/>
      <c r="S59" s="666"/>
      <c r="T59" s="666"/>
      <c r="U59" s="666"/>
      <c r="V59" s="666"/>
      <c r="W59" s="666"/>
      <c r="X59" s="666"/>
      <c r="Y59" s="666"/>
      <c r="Z59" s="666"/>
      <c r="AA59" s="666"/>
      <c r="AB59" s="666"/>
      <c r="AC59" s="666"/>
      <c r="AD59" s="665"/>
      <c r="AE59" s="667"/>
      <c r="AF59" s="668"/>
      <c r="AG59" s="668"/>
      <c r="AH59" s="669"/>
      <c r="AI59" s="665"/>
      <c r="AJ59" s="587"/>
      <c r="AK59" s="587"/>
      <c r="AL59" s="665"/>
      <c r="AM59" s="665"/>
      <c r="AN59" s="665"/>
      <c r="AO59" s="665"/>
      <c r="AP59" s="665"/>
      <c r="AQ59" s="665"/>
      <c r="AR59" s="665"/>
      <c r="AS59" s="665"/>
      <c r="AT59" s="665"/>
      <c r="AU59" s="665"/>
      <c r="AV59" s="665"/>
      <c r="AW59" s="665"/>
      <c r="AX59" s="665"/>
      <c r="AY59" s="665"/>
      <c r="AZ59" s="665"/>
      <c r="BA59" s="665"/>
      <c r="BB59" s="665"/>
      <c r="BC59" s="665"/>
      <c r="BD59" s="665"/>
      <c r="BE59" s="665"/>
      <c r="BF59" s="665"/>
      <c r="BG59" s="665"/>
      <c r="BH59" s="665"/>
      <c r="BI59" s="665"/>
      <c r="BJ59" s="665"/>
      <c r="BK59" s="665"/>
      <c r="BL59" s="665"/>
      <c r="BM59" s="665"/>
      <c r="BN59" s="665"/>
      <c r="BO59" s="665"/>
      <c r="BP59" s="665"/>
      <c r="BQ59" s="665"/>
      <c r="BR59" s="665"/>
      <c r="BS59" s="665"/>
      <c r="BT59" s="665"/>
      <c r="BU59" s="665"/>
      <c r="BV59" s="665"/>
    </row>
    <row r="60" ht="14.25" customHeight="1">
      <c r="A60" s="665"/>
      <c r="B60" s="665"/>
      <c r="C60" s="602"/>
      <c r="D60" s="602"/>
      <c r="E60" s="602"/>
      <c r="F60" s="602"/>
      <c r="G60" s="602"/>
      <c r="H60" s="589"/>
      <c r="I60" s="632"/>
      <c r="J60" s="602"/>
      <c r="K60" s="602"/>
      <c r="L60" s="672"/>
      <c r="M60" s="672"/>
      <c r="N60" s="672"/>
      <c r="O60" s="672"/>
      <c r="P60" s="665"/>
      <c r="Q60" s="665"/>
      <c r="R60" s="666"/>
      <c r="S60" s="666"/>
      <c r="T60" s="666"/>
      <c r="U60" s="666"/>
      <c r="V60" s="666"/>
      <c r="W60" s="666"/>
      <c r="X60" s="666"/>
      <c r="Y60" s="666"/>
      <c r="Z60" s="666"/>
      <c r="AA60" s="666"/>
      <c r="AB60" s="666"/>
      <c r="AC60" s="666"/>
      <c r="AD60" s="665"/>
      <c r="AE60" s="667"/>
      <c r="AF60" s="673"/>
      <c r="AG60" s="673"/>
      <c r="AH60" s="669"/>
      <c r="AI60" s="665"/>
      <c r="AJ60" s="587"/>
      <c r="AK60" s="587"/>
      <c r="AL60" s="665"/>
      <c r="AM60" s="665"/>
      <c r="AN60" s="665"/>
      <c r="AO60" s="665"/>
      <c r="AP60" s="665"/>
      <c r="AQ60" s="665"/>
      <c r="AR60" s="665"/>
      <c r="AS60" s="665"/>
      <c r="AT60" s="665"/>
      <c r="AU60" s="665"/>
      <c r="AV60" s="665"/>
      <c r="AW60" s="665"/>
      <c r="AX60" s="665"/>
      <c r="AY60" s="665"/>
      <c r="AZ60" s="665"/>
      <c r="BA60" s="665"/>
      <c r="BB60" s="665"/>
      <c r="BC60" s="665"/>
      <c r="BD60" s="665"/>
      <c r="BE60" s="665"/>
      <c r="BF60" s="665"/>
      <c r="BG60" s="665"/>
      <c r="BH60" s="665"/>
      <c r="BI60" s="665"/>
      <c r="BJ60" s="665"/>
      <c r="BK60" s="665"/>
      <c r="BL60" s="665"/>
      <c r="BM60" s="665"/>
      <c r="BN60" s="665"/>
      <c r="BO60" s="665"/>
      <c r="BP60" s="665"/>
      <c r="BQ60" s="665"/>
      <c r="BR60" s="665"/>
      <c r="BS60" s="665"/>
      <c r="BT60" s="665"/>
      <c r="BU60" s="665"/>
      <c r="BV60" s="665"/>
    </row>
    <row r="61" ht="14.25" customHeight="1">
      <c r="A61" s="500"/>
      <c r="B61" s="500"/>
      <c r="C61" s="508"/>
      <c r="D61" s="508"/>
      <c r="E61" s="508"/>
      <c r="F61" s="590" t="s">
        <v>2403</v>
      </c>
      <c r="G61" s="590" t="s">
        <v>2403</v>
      </c>
      <c r="H61" s="590" t="s">
        <v>2077</v>
      </c>
      <c r="I61" s="590" t="s">
        <v>2077</v>
      </c>
      <c r="J61" s="632"/>
      <c r="K61" s="632"/>
      <c r="L61" s="632"/>
      <c r="M61" s="632"/>
      <c r="N61" s="590" t="s">
        <v>2404</v>
      </c>
      <c r="O61" s="590" t="s">
        <v>2405</v>
      </c>
      <c r="P61" s="536"/>
      <c r="Q61" s="674"/>
      <c r="R61" s="675"/>
      <c r="S61" s="675"/>
      <c r="T61" s="675"/>
      <c r="U61" s="676"/>
      <c r="V61" s="676"/>
      <c r="W61" s="676"/>
      <c r="X61" s="676"/>
      <c r="Y61" s="676"/>
      <c r="Z61" s="677"/>
      <c r="AA61" s="677"/>
      <c r="AB61" s="677"/>
      <c r="AC61" s="677"/>
      <c r="AD61" s="678"/>
      <c r="AE61" s="679"/>
      <c r="AF61" s="503"/>
      <c r="AG61" s="503"/>
      <c r="AH61" s="506"/>
      <c r="AI61" s="506"/>
      <c r="AJ61" s="506"/>
      <c r="AK61" s="506"/>
      <c r="AL61" s="507"/>
      <c r="AM61" s="507"/>
      <c r="AN61" s="507"/>
      <c r="AO61" s="507"/>
      <c r="AP61" s="507"/>
      <c r="AQ61" s="508"/>
      <c r="AR61" s="508"/>
      <c r="AS61" s="508"/>
      <c r="AT61" s="508"/>
      <c r="AU61" s="508"/>
      <c r="AV61" s="508"/>
      <c r="AW61" s="508"/>
      <c r="AX61" s="508"/>
      <c r="AY61" s="508"/>
      <c r="AZ61" s="509"/>
      <c r="BA61" s="509"/>
      <c r="BB61" s="509"/>
      <c r="BC61" s="500"/>
      <c r="BD61" s="500"/>
      <c r="BE61" s="500"/>
      <c r="BF61" s="500"/>
      <c r="BG61" s="500"/>
      <c r="BH61" s="500"/>
      <c r="BI61" s="500"/>
      <c r="BJ61" s="500"/>
      <c r="BK61" s="500"/>
      <c r="BL61" s="500"/>
      <c r="BM61" s="500"/>
      <c r="BN61" s="500"/>
      <c r="BO61" s="500"/>
      <c r="BP61" s="500"/>
      <c r="BQ61" s="500"/>
      <c r="BR61" s="500"/>
      <c r="BS61" s="500"/>
      <c r="BT61" s="500"/>
      <c r="BU61" s="500"/>
      <c r="BV61" s="500"/>
    </row>
    <row r="62" ht="14.25" customHeight="1">
      <c r="A62" s="591" t="s">
        <v>2436</v>
      </c>
      <c r="B62" s="592"/>
      <c r="C62" s="593" t="s">
        <v>2300</v>
      </c>
      <c r="D62" s="594" t="s">
        <v>2301</v>
      </c>
      <c r="E62" s="594" t="s">
        <v>50</v>
      </c>
      <c r="F62" s="594">
        <v>2015.0</v>
      </c>
      <c r="G62" s="594">
        <v>2019.0</v>
      </c>
      <c r="H62" s="594">
        <v>2015.0</v>
      </c>
      <c r="I62" s="594">
        <v>2019.0</v>
      </c>
      <c r="J62" s="680"/>
      <c r="K62" s="594" t="s">
        <v>50</v>
      </c>
      <c r="L62" s="593">
        <v>2040.0</v>
      </c>
      <c r="M62" s="594">
        <v>2050.0</v>
      </c>
      <c r="N62" s="594">
        <v>2050.0</v>
      </c>
      <c r="O62" s="594">
        <v>2050.0</v>
      </c>
      <c r="P62" s="596" t="s">
        <v>2437</v>
      </c>
      <c r="Q62" s="674"/>
      <c r="R62" s="675"/>
      <c r="S62" s="675"/>
      <c r="T62" s="675"/>
      <c r="U62" s="676"/>
      <c r="V62" s="676"/>
      <c r="W62" s="676"/>
      <c r="X62" s="676"/>
      <c r="Y62" s="676"/>
      <c r="Z62" s="677"/>
      <c r="AA62" s="677"/>
      <c r="AB62" s="677"/>
      <c r="AC62" s="677"/>
      <c r="AD62" s="678"/>
      <c r="AE62" s="679"/>
      <c r="AF62" s="503"/>
      <c r="AG62" s="503"/>
      <c r="AH62" s="506"/>
      <c r="AI62" s="506"/>
      <c r="AJ62" s="506"/>
      <c r="AK62" s="506"/>
      <c r="AL62" s="507"/>
      <c r="AM62" s="507"/>
      <c r="AN62" s="507"/>
      <c r="AO62" s="507"/>
      <c r="AP62" s="507"/>
      <c r="AQ62" s="508"/>
      <c r="AR62" s="508"/>
      <c r="AS62" s="508"/>
      <c r="AT62" s="508"/>
      <c r="AU62" s="508"/>
      <c r="AV62" s="508"/>
      <c r="AW62" s="508"/>
      <c r="AX62" s="508"/>
      <c r="AY62" s="508"/>
      <c r="AZ62" s="509"/>
      <c r="BA62" s="509"/>
      <c r="BB62" s="509"/>
      <c r="BC62" s="500"/>
      <c r="BD62" s="500"/>
      <c r="BE62" s="500"/>
      <c r="BF62" s="500"/>
      <c r="BG62" s="500"/>
      <c r="BH62" s="500"/>
      <c r="BI62" s="500"/>
      <c r="BJ62" s="500"/>
      <c r="BK62" s="500"/>
      <c r="BL62" s="500"/>
      <c r="BM62" s="500"/>
      <c r="BN62" s="500"/>
      <c r="BO62" s="500"/>
      <c r="BP62" s="500"/>
      <c r="BQ62" s="500"/>
      <c r="BR62" s="500"/>
      <c r="BS62" s="500"/>
      <c r="BT62" s="500"/>
      <c r="BU62" s="500"/>
      <c r="BV62" s="500"/>
    </row>
    <row r="63" ht="14.25" customHeight="1">
      <c r="A63" s="500" t="s">
        <v>2413</v>
      </c>
      <c r="B63" s="500"/>
      <c r="C63" s="597" t="s">
        <v>2162</v>
      </c>
      <c r="D63" s="597" t="str">
        <f t="shared" ref="D63:D73" si="140">$D$27</f>
        <v>BE</v>
      </c>
      <c r="E63" s="603" t="s">
        <v>135</v>
      </c>
      <c r="F63" s="681">
        <f t="array" ref="F63">INDEX(Industry_Historical_Data!$A$1:$S$3000,MATCH(Industry_Calculation!$C63&amp;Industry_Calculation!$D63,Industry_Historical_Data!$A$1:$A$3000&amp;Industry_Historical_Data!$C$1:$C$3000,0&amp;0),MATCH(Industry_Calculation!F$38,Industry_Historical_Data!$A$1:$S$1,0))</f>
        <v>28.3474</v>
      </c>
      <c r="G63" s="681">
        <f t="array" ref="G63">INDEX(Industry_Historical_Data!$A$1:$S$3000,MATCH(Industry_Calculation!$C63&amp;Industry_Calculation!$D63,Industry_Historical_Data!$A$1:$A$3000&amp;Industry_Historical_Data!$C$1:$C$3000,0&amp;0),MATCH(Industry_Calculation!G$38,Industry_Historical_Data!$A$1:$S$1,0))</f>
        <v>30.657</v>
      </c>
      <c r="H63" s="682">
        <v>28.3735</v>
      </c>
      <c r="I63" s="683">
        <f t="shared" ref="I63:I66" si="141">IF(OR(F63="n.a.",G63="n.a."),H63,H63*G63/F63)</f>
        <v>30.68522649</v>
      </c>
      <c r="J63" s="684"/>
      <c r="K63" s="603" t="s">
        <v>2414</v>
      </c>
      <c r="L63" s="685"/>
      <c r="M63" s="686"/>
      <c r="N63" s="686"/>
      <c r="O63" s="687"/>
      <c r="P63" s="651"/>
      <c r="Q63" s="674"/>
      <c r="R63" s="675"/>
      <c r="S63" s="675"/>
      <c r="T63" s="675"/>
      <c r="U63" s="676"/>
      <c r="V63" s="676"/>
      <c r="W63" s="676"/>
      <c r="X63" s="676"/>
      <c r="Y63" s="676"/>
      <c r="Z63" s="677"/>
      <c r="AA63" s="677"/>
      <c r="AB63" s="677"/>
      <c r="AC63" s="677"/>
      <c r="AD63" s="678"/>
      <c r="AE63" s="679"/>
      <c r="AF63" s="503"/>
      <c r="AG63" s="503"/>
      <c r="AH63" s="506"/>
      <c r="AI63" s="506"/>
      <c r="AJ63" s="506"/>
      <c r="AK63" s="506"/>
      <c r="AL63" s="507"/>
      <c r="AM63" s="507"/>
      <c r="AN63" s="507"/>
      <c r="AO63" s="507"/>
      <c r="AP63" s="507"/>
      <c r="AQ63" s="508"/>
      <c r="AR63" s="508"/>
      <c r="AS63" s="508"/>
      <c r="AT63" s="508"/>
      <c r="AU63" s="508"/>
      <c r="AV63" s="508"/>
      <c r="AW63" s="508"/>
      <c r="AX63" s="508"/>
      <c r="AY63" s="508"/>
      <c r="AZ63" s="509"/>
      <c r="BA63" s="509"/>
      <c r="BB63" s="509"/>
      <c r="BC63" s="500"/>
      <c r="BD63" s="500"/>
      <c r="BE63" s="500"/>
      <c r="BF63" s="500"/>
      <c r="BG63" s="500"/>
      <c r="BH63" s="500"/>
      <c r="BI63" s="500"/>
      <c r="BJ63" s="500"/>
      <c r="BK63" s="500"/>
      <c r="BL63" s="500"/>
      <c r="BM63" s="500"/>
      <c r="BN63" s="500"/>
      <c r="BO63" s="500"/>
      <c r="BP63" s="500"/>
      <c r="BQ63" s="500"/>
      <c r="BR63" s="500"/>
      <c r="BS63" s="500"/>
      <c r="BT63" s="500"/>
      <c r="BU63" s="500"/>
      <c r="BV63" s="500"/>
    </row>
    <row r="64" ht="14.25" customHeight="1">
      <c r="A64" s="500" t="s">
        <v>2421</v>
      </c>
      <c r="B64" s="500"/>
      <c r="C64" s="597" t="s">
        <v>2170</v>
      </c>
      <c r="D64" s="597" t="str">
        <f t="shared" si="140"/>
        <v>BE</v>
      </c>
      <c r="E64" s="603" t="s">
        <v>135</v>
      </c>
      <c r="F64" s="681">
        <f t="array" ref="F64">INDEX(Industry_Historical_Data!$A$1:$S$3000,MATCH(Industry_Calculation!$C64&amp;Industry_Calculation!$D64,Industry_Historical_Data!$A$1:$A$3000&amp;Industry_Historical_Data!$C$1:$C$3000,0&amp;0),MATCH(Industry_Calculation!F$38,Industry_Historical_Data!$A$1:$S$1,0))</f>
        <v>5.5203</v>
      </c>
      <c r="G64" s="681">
        <f t="array" ref="G64">INDEX(Industry_Historical_Data!$A$1:$S$3000,MATCH(Industry_Calculation!$C64&amp;Industry_Calculation!$D64,Industry_Historical_Data!$A$1:$A$3000&amp;Industry_Historical_Data!$C$1:$C$3000,0&amp;0),MATCH(Industry_Calculation!G$38,Industry_Historical_Data!$A$1:$S$1,0))</f>
        <v>6.1239</v>
      </c>
      <c r="H64" s="688">
        <v>5.52</v>
      </c>
      <c r="I64" s="683">
        <f t="shared" si="141"/>
        <v>6.123567197</v>
      </c>
      <c r="J64" s="684"/>
      <c r="K64" s="603" t="s">
        <v>2414</v>
      </c>
      <c r="L64" s="689"/>
      <c r="O64" s="690"/>
      <c r="P64" s="661"/>
      <c r="Q64" s="674"/>
      <c r="R64" s="675"/>
      <c r="S64" s="675"/>
      <c r="T64" s="675"/>
      <c r="U64" s="676"/>
      <c r="V64" s="676"/>
      <c r="W64" s="676"/>
      <c r="X64" s="676"/>
      <c r="Y64" s="676"/>
      <c r="Z64" s="677"/>
      <c r="AA64" s="677"/>
      <c r="AB64" s="677"/>
      <c r="AC64" s="677"/>
      <c r="AD64" s="678"/>
      <c r="AE64" s="679"/>
      <c r="AF64" s="503"/>
      <c r="AG64" s="503"/>
      <c r="AH64" s="506"/>
      <c r="AI64" s="506"/>
      <c r="AJ64" s="506"/>
      <c r="AK64" s="506"/>
      <c r="AL64" s="507"/>
      <c r="AM64" s="507"/>
      <c r="AN64" s="507"/>
      <c r="AO64" s="507"/>
      <c r="AP64" s="507"/>
      <c r="AQ64" s="508"/>
      <c r="AR64" s="508"/>
      <c r="AS64" s="508"/>
      <c r="AT64" s="508"/>
      <c r="AU64" s="508"/>
      <c r="AV64" s="508"/>
      <c r="AW64" s="508"/>
      <c r="AX64" s="508"/>
      <c r="AY64" s="508"/>
      <c r="AZ64" s="509"/>
      <c r="BA64" s="509"/>
      <c r="BB64" s="509"/>
      <c r="BC64" s="500"/>
      <c r="BD64" s="500"/>
      <c r="BE64" s="500"/>
      <c r="BF64" s="500"/>
      <c r="BG64" s="500"/>
      <c r="BH64" s="500"/>
      <c r="BI64" s="500"/>
      <c r="BJ64" s="500"/>
      <c r="BK64" s="500"/>
      <c r="BL64" s="500"/>
      <c r="BM64" s="500"/>
      <c r="BN64" s="500"/>
      <c r="BO64" s="500"/>
      <c r="BP64" s="500"/>
      <c r="BQ64" s="500"/>
      <c r="BR64" s="500"/>
      <c r="BS64" s="500"/>
      <c r="BT64" s="500"/>
      <c r="BU64" s="500"/>
      <c r="BV64" s="500"/>
    </row>
    <row r="65" ht="14.25" customHeight="1">
      <c r="A65" s="500" t="s">
        <v>2425</v>
      </c>
      <c r="B65" s="500"/>
      <c r="C65" s="597" t="s">
        <v>2184</v>
      </c>
      <c r="D65" s="597" t="str">
        <f t="shared" si="140"/>
        <v>BE</v>
      </c>
      <c r="E65" s="603" t="s">
        <v>135</v>
      </c>
      <c r="F65" s="681">
        <f t="array" ref="F65">INDEX(Industry_Historical_Data!$A$1:$S$3000,MATCH(Industry_Calculation!$C65&amp;Industry_Calculation!$D65,Industry_Historical_Data!$A$1:$A$3000&amp;Industry_Historical_Data!$C$1:$C$3000,0&amp;0),MATCH(Industry_Calculation!F$38,Industry_Historical_Data!$A$1:$S$1,0))</f>
        <v>8.2541</v>
      </c>
      <c r="G65" s="681">
        <f t="array" ref="G65">INDEX(Industry_Historical_Data!$A$1:$S$3000,MATCH(Industry_Calculation!$C65&amp;Industry_Calculation!$D65,Industry_Historical_Data!$A$1:$A$3000&amp;Industry_Historical_Data!$C$1:$C$3000,0&amp;0),MATCH(Industry_Calculation!G$38,Industry_Historical_Data!$A$1:$S$1,0))</f>
        <v>7.5453</v>
      </c>
      <c r="H65" s="688">
        <v>8.2554</v>
      </c>
      <c r="I65" s="683">
        <f t="shared" si="141"/>
        <v>7.546488366</v>
      </c>
      <c r="J65" s="684"/>
      <c r="K65" s="603" t="s">
        <v>2414</v>
      </c>
      <c r="L65" s="689"/>
      <c r="O65" s="690"/>
      <c r="P65" s="664"/>
      <c r="Q65" s="674"/>
      <c r="R65" s="675"/>
      <c r="S65" s="675"/>
      <c r="T65" s="675"/>
      <c r="U65" s="676"/>
      <c r="V65" s="676"/>
      <c r="W65" s="676"/>
      <c r="X65" s="676"/>
      <c r="Y65" s="676"/>
      <c r="Z65" s="677"/>
      <c r="AA65" s="677"/>
      <c r="AB65" s="677"/>
      <c r="AC65" s="677"/>
      <c r="AD65" s="678"/>
      <c r="AE65" s="679"/>
      <c r="AF65" s="503"/>
      <c r="AG65" s="503"/>
      <c r="AH65" s="506"/>
      <c r="AI65" s="506"/>
      <c r="AJ65" s="506"/>
      <c r="AK65" s="506"/>
      <c r="AL65" s="507"/>
      <c r="AM65" s="507"/>
      <c r="AN65" s="507"/>
      <c r="AO65" s="507"/>
      <c r="AP65" s="507"/>
      <c r="AQ65" s="508"/>
      <c r="AR65" s="508"/>
      <c r="AS65" s="508"/>
      <c r="AT65" s="508"/>
      <c r="AU65" s="508"/>
      <c r="AV65" s="508"/>
      <c r="AW65" s="508"/>
      <c r="AX65" s="508"/>
      <c r="AY65" s="508"/>
      <c r="AZ65" s="509"/>
      <c r="BA65" s="509"/>
      <c r="BB65" s="509"/>
      <c r="BC65" s="500"/>
      <c r="BD65" s="500"/>
      <c r="BE65" s="500"/>
      <c r="BF65" s="500"/>
      <c r="BG65" s="500"/>
      <c r="BH65" s="500"/>
      <c r="BI65" s="500"/>
      <c r="BJ65" s="500"/>
      <c r="BK65" s="500"/>
      <c r="BL65" s="500"/>
      <c r="BM65" s="500"/>
      <c r="BN65" s="500"/>
      <c r="BO65" s="500"/>
      <c r="BP65" s="500"/>
      <c r="BQ65" s="500"/>
      <c r="BR65" s="500"/>
      <c r="BS65" s="500"/>
      <c r="BT65" s="500"/>
      <c r="BU65" s="500"/>
      <c r="BV65" s="500"/>
    </row>
    <row r="66" ht="14.25" customHeight="1">
      <c r="A66" s="500" t="s">
        <v>2427</v>
      </c>
      <c r="B66" s="500"/>
      <c r="C66" s="597" t="s">
        <v>2172</v>
      </c>
      <c r="D66" s="597" t="str">
        <f t="shared" si="140"/>
        <v>BE</v>
      </c>
      <c r="E66" s="603" t="s">
        <v>135</v>
      </c>
      <c r="F66" s="681" t="str">
        <f t="array" ref="F66">INDEX(Industry_Historical_Data!$A$1:$S$3000,MATCH(Industry_Calculation!$C66&amp;Industry_Calculation!$D66,Industry_Historical_Data!$A$1:$A$3000&amp;Industry_Historical_Data!$C$1:$C$3000,0&amp;0),MATCH(Industry_Calculation!F$38,Industry_Historical_Data!$A$1:$S$1,0))</f>
        <v>n.a.</v>
      </c>
      <c r="G66" s="681" t="str">
        <f t="array" ref="G66">INDEX(Industry_Historical_Data!$A$1:$S$3000,MATCH(Industry_Calculation!$C66&amp;Industry_Calculation!$D66,Industry_Historical_Data!$A$1:$A$3000&amp;Industry_Historical_Data!$C$1:$C$3000,0&amp;0),MATCH(Industry_Calculation!G$38,Industry_Historical_Data!$A$1:$S$1,0))</f>
        <v>n.a.</v>
      </c>
      <c r="H66" s="688">
        <v>4.3</v>
      </c>
      <c r="I66" s="683">
        <f t="shared" si="141"/>
        <v>4.3</v>
      </c>
      <c r="J66" s="684"/>
      <c r="K66" s="603" t="s">
        <v>2414</v>
      </c>
      <c r="L66" s="689"/>
      <c r="O66" s="690"/>
      <c r="P66" s="664"/>
      <c r="Q66" s="674"/>
      <c r="R66" s="675"/>
      <c r="S66" s="675"/>
      <c r="T66" s="675"/>
      <c r="U66" s="676"/>
      <c r="V66" s="676"/>
      <c r="W66" s="676"/>
      <c r="X66" s="676"/>
      <c r="Y66" s="676"/>
      <c r="Z66" s="677"/>
      <c r="AA66" s="677"/>
      <c r="AB66" s="677"/>
      <c r="AC66" s="677"/>
      <c r="AD66" s="678"/>
      <c r="AE66" s="679"/>
      <c r="AF66" s="503"/>
      <c r="AG66" s="503"/>
      <c r="AH66" s="506"/>
      <c r="AI66" s="506"/>
      <c r="AJ66" s="506"/>
      <c r="AK66" s="506"/>
      <c r="AL66" s="507"/>
      <c r="AM66" s="507"/>
      <c r="AN66" s="507"/>
      <c r="AO66" s="507"/>
      <c r="AP66" s="507"/>
      <c r="AQ66" s="508"/>
      <c r="AR66" s="508"/>
      <c r="AS66" s="508"/>
      <c r="AT66" s="508"/>
      <c r="AU66" s="508"/>
      <c r="AV66" s="508"/>
      <c r="AW66" s="508"/>
      <c r="AX66" s="508"/>
      <c r="AY66" s="508"/>
      <c r="AZ66" s="509"/>
      <c r="BA66" s="509"/>
      <c r="BB66" s="509"/>
      <c r="BC66" s="500"/>
      <c r="BD66" s="500"/>
      <c r="BE66" s="500"/>
      <c r="BF66" s="500"/>
      <c r="BG66" s="500"/>
      <c r="BH66" s="500"/>
      <c r="BI66" s="500"/>
      <c r="BJ66" s="500"/>
      <c r="BK66" s="500"/>
      <c r="BL66" s="500"/>
      <c r="BM66" s="500"/>
      <c r="BN66" s="500"/>
      <c r="BO66" s="500"/>
      <c r="BP66" s="500"/>
      <c r="BQ66" s="500"/>
      <c r="BR66" s="500"/>
      <c r="BS66" s="500"/>
      <c r="BT66" s="500"/>
      <c r="BU66" s="500"/>
      <c r="BV66" s="500"/>
    </row>
    <row r="67" ht="14.25" customHeight="1">
      <c r="A67" s="500" t="s">
        <v>2429</v>
      </c>
      <c r="B67" s="500"/>
      <c r="C67" s="597" t="s">
        <v>2176</v>
      </c>
      <c r="D67" s="597" t="str">
        <f t="shared" si="140"/>
        <v>BE</v>
      </c>
      <c r="E67" s="603" t="s">
        <v>135</v>
      </c>
      <c r="F67" s="681" t="str">
        <f t="array" ref="F67">INDEX(Industry_Historical_Data!$A$1:$S$3000,MATCH(Industry_Calculation!$C67&amp;Industry_Calculation!$D67,Industry_Historical_Data!$A$1:$A$3000&amp;Industry_Historical_Data!$C$1:$C$3000,0&amp;0),MATCH(Industry_Calculation!F$38,Industry_Historical_Data!$A$1:$S$1,0))</f>
        <v>#N/A</v>
      </c>
      <c r="G67" s="681" t="str">
        <f t="array" ref="G67">INDEX(Industry_Historical_Data!$A$1:$S$3000,MATCH(Industry_Calculation!$C67&amp;Industry_Calculation!$D67,Industry_Historical_Data!$A$1:$A$3000&amp;Industry_Historical_Data!$C$1:$C$3000,0&amp;0),MATCH(Industry_Calculation!G$38,Industry_Historical_Data!$A$1:$S$1,0))</f>
        <v>#N/A</v>
      </c>
      <c r="H67" s="688">
        <v>5.34</v>
      </c>
      <c r="I67" s="683">
        <f t="shared" ref="I67:I69" si="142">H67</f>
        <v>5.34</v>
      </c>
      <c r="J67" s="684"/>
      <c r="K67" s="603" t="s">
        <v>2414</v>
      </c>
      <c r="L67" s="689"/>
      <c r="O67" s="690"/>
      <c r="P67" s="664"/>
      <c r="Q67" s="674"/>
      <c r="R67" s="675"/>
      <c r="S67" s="675"/>
      <c r="T67" s="675"/>
      <c r="U67" s="676"/>
      <c r="V67" s="676"/>
      <c r="W67" s="676"/>
      <c r="X67" s="676"/>
      <c r="Y67" s="676"/>
      <c r="Z67" s="677"/>
      <c r="AA67" s="677"/>
      <c r="AB67" s="677"/>
      <c r="AC67" s="677"/>
      <c r="AD67" s="678"/>
      <c r="AE67" s="679"/>
      <c r="AF67" s="503"/>
      <c r="AG67" s="503"/>
      <c r="AH67" s="506"/>
      <c r="AI67" s="506"/>
      <c r="AJ67" s="506"/>
      <c r="AK67" s="506"/>
      <c r="AL67" s="507"/>
      <c r="AM67" s="507"/>
      <c r="AN67" s="507"/>
      <c r="AO67" s="507"/>
      <c r="AP67" s="507"/>
      <c r="AQ67" s="508"/>
      <c r="AR67" s="508"/>
      <c r="AS67" s="508"/>
      <c r="AT67" s="508"/>
      <c r="AU67" s="508"/>
      <c r="AV67" s="508"/>
      <c r="AW67" s="508"/>
      <c r="AX67" s="508"/>
      <c r="AY67" s="508"/>
      <c r="AZ67" s="509"/>
      <c r="BA67" s="509"/>
      <c r="BB67" s="509"/>
      <c r="BC67" s="500"/>
      <c r="BD67" s="500"/>
      <c r="BE67" s="500"/>
      <c r="BF67" s="500"/>
      <c r="BG67" s="500"/>
      <c r="BH67" s="500"/>
      <c r="BI67" s="500"/>
      <c r="BJ67" s="500"/>
      <c r="BK67" s="500"/>
      <c r="BL67" s="500"/>
      <c r="BM67" s="500"/>
      <c r="BN67" s="500"/>
      <c r="BO67" s="500"/>
      <c r="BP67" s="500"/>
      <c r="BQ67" s="500"/>
      <c r="BR67" s="500"/>
      <c r="BS67" s="500"/>
      <c r="BT67" s="500"/>
      <c r="BU67" s="500"/>
      <c r="BV67" s="500"/>
    </row>
    <row r="68" ht="14.25" customHeight="1">
      <c r="A68" s="500" t="s">
        <v>2431</v>
      </c>
      <c r="B68" s="500"/>
      <c r="C68" s="597" t="s">
        <v>2178</v>
      </c>
      <c r="D68" s="597" t="str">
        <f t="shared" si="140"/>
        <v>BE</v>
      </c>
      <c r="E68" s="603" t="s">
        <v>135</v>
      </c>
      <c r="F68" s="681" t="str">
        <f t="array" ref="F68">INDEX(Industry_Historical_Data!$A$1:$S$3000,MATCH(Industry_Calculation!$C68&amp;Industry_Calculation!$D68,Industry_Historical_Data!$A$1:$A$3000&amp;Industry_Historical_Data!$C$1:$C$3000,0&amp;0),MATCH(Industry_Calculation!F$38,Industry_Historical_Data!$A$1:$S$1,0))</f>
        <v>#N/A</v>
      </c>
      <c r="G68" s="681" t="str">
        <f t="array" ref="G68">INDEX(Industry_Historical_Data!$A$1:$S$3000,MATCH(Industry_Calculation!$C68&amp;Industry_Calculation!$D68,Industry_Historical_Data!$A$1:$A$3000&amp;Industry_Historical_Data!$C$1:$C$3000,0&amp;0),MATCH(Industry_Calculation!G$38,Industry_Historical_Data!$A$1:$S$1,0))</f>
        <v>#N/A</v>
      </c>
      <c r="H68" s="688">
        <v>30.0</v>
      </c>
      <c r="I68" s="683">
        <f t="shared" si="142"/>
        <v>30</v>
      </c>
      <c r="J68" s="684"/>
      <c r="K68" s="603" t="s">
        <v>2414</v>
      </c>
      <c r="L68" s="691"/>
      <c r="M68" s="692"/>
      <c r="N68" s="692"/>
      <c r="O68" s="693"/>
      <c r="P68" s="664"/>
      <c r="Q68" s="674"/>
      <c r="R68" s="675"/>
      <c r="S68" s="675"/>
      <c r="T68" s="675"/>
      <c r="U68" s="676"/>
      <c r="V68" s="676"/>
      <c r="W68" s="676"/>
      <c r="X68" s="676"/>
      <c r="Y68" s="676"/>
      <c r="Z68" s="677"/>
      <c r="AA68" s="677"/>
      <c r="AB68" s="677"/>
      <c r="AC68" s="677"/>
      <c r="AD68" s="678"/>
      <c r="AE68" s="679"/>
      <c r="AF68" s="503"/>
      <c r="AG68" s="503"/>
      <c r="AH68" s="506"/>
      <c r="AI68" s="506"/>
      <c r="AJ68" s="506"/>
      <c r="AK68" s="506"/>
      <c r="AL68" s="507"/>
      <c r="AM68" s="507"/>
      <c r="AN68" s="507"/>
      <c r="AO68" s="507"/>
      <c r="AP68" s="507"/>
      <c r="AQ68" s="508"/>
      <c r="AR68" s="508"/>
      <c r="AS68" s="508"/>
      <c r="AT68" s="508"/>
      <c r="AU68" s="508"/>
      <c r="AV68" s="508"/>
      <c r="AW68" s="508"/>
      <c r="AX68" s="508"/>
      <c r="AY68" s="508"/>
      <c r="AZ68" s="509"/>
      <c r="BA68" s="509"/>
      <c r="BB68" s="509"/>
      <c r="BC68" s="500"/>
      <c r="BD68" s="500"/>
      <c r="BE68" s="500"/>
      <c r="BF68" s="500"/>
      <c r="BG68" s="500"/>
      <c r="BH68" s="500"/>
      <c r="BI68" s="500"/>
      <c r="BJ68" s="500"/>
      <c r="BK68" s="500"/>
      <c r="BL68" s="500"/>
      <c r="BM68" s="500"/>
      <c r="BN68" s="500"/>
      <c r="BO68" s="500"/>
      <c r="BP68" s="500"/>
      <c r="BQ68" s="500"/>
      <c r="BR68" s="500"/>
      <c r="BS68" s="500"/>
      <c r="BT68" s="500"/>
      <c r="BU68" s="500"/>
      <c r="BV68" s="500"/>
    </row>
    <row r="69" ht="14.25" customHeight="1">
      <c r="A69" s="500" t="s">
        <v>2438</v>
      </c>
      <c r="B69" s="500"/>
      <c r="C69" s="597" t="s">
        <v>2180</v>
      </c>
      <c r="D69" s="597" t="str">
        <f t="shared" si="140"/>
        <v>BE</v>
      </c>
      <c r="E69" s="603" t="s">
        <v>135</v>
      </c>
      <c r="F69" s="681" t="str">
        <f t="array" ref="F69">INDEX(Industry_Historical_Data!$A$1:$S$3000,MATCH(Industry_Calculation!$C69&amp;Industry_Calculation!$D69,Industry_Historical_Data!$A$1:$A$3000&amp;Industry_Historical_Data!$C$1:$C$3000,0&amp;0),MATCH(Industry_Calculation!F$38,Industry_Historical_Data!$A$1:$S$1,0))</f>
        <v>#N/A</v>
      </c>
      <c r="G69" s="681" t="str">
        <f t="array" ref="G69">INDEX(Industry_Historical_Data!$A$1:$S$3000,MATCH(Industry_Calculation!$C69&amp;Industry_Calculation!$D69,Industry_Historical_Data!$A$1:$A$3000&amp;Industry_Historical_Data!$C$1:$C$3000,0&amp;0),MATCH(Industry_Calculation!G$38,Industry_Historical_Data!$A$1:$S$1,0))</f>
        <v>#N/A</v>
      </c>
      <c r="H69" s="688">
        <v>14.048</v>
      </c>
      <c r="I69" s="683">
        <f t="shared" si="142"/>
        <v>14.048</v>
      </c>
      <c r="J69" s="602"/>
      <c r="K69" s="603" t="s">
        <v>2414</v>
      </c>
      <c r="L69" s="694">
        <f t="shared" ref="L69:L73" si="143">100-$N$28*(100-(M69))</f>
        <v>82.36</v>
      </c>
      <c r="M69" s="695">
        <v>79.0</v>
      </c>
      <c r="N69" s="658">
        <v>69.0</v>
      </c>
      <c r="O69" s="696">
        <v>89.0</v>
      </c>
      <c r="P69" s="697"/>
      <c r="Q69" s="674"/>
      <c r="R69" s="675"/>
      <c r="S69" s="675"/>
      <c r="T69" s="675"/>
      <c r="U69" s="676"/>
      <c r="V69" s="676"/>
      <c r="W69" s="676"/>
      <c r="X69" s="676"/>
      <c r="Y69" s="676"/>
      <c r="Z69" s="677"/>
      <c r="AA69" s="677"/>
      <c r="AB69" s="677"/>
      <c r="AC69" s="677"/>
      <c r="AD69" s="678"/>
      <c r="AE69" s="679"/>
      <c r="AF69" s="503"/>
      <c r="AG69" s="503"/>
      <c r="AH69" s="506"/>
      <c r="AI69" s="506"/>
      <c r="AJ69" s="506"/>
      <c r="AK69" s="506"/>
      <c r="AL69" s="507"/>
      <c r="AM69" s="507"/>
      <c r="AN69" s="507"/>
      <c r="AO69" s="507"/>
      <c r="AP69" s="507"/>
      <c r="AQ69" s="508"/>
      <c r="AR69" s="508"/>
      <c r="AS69" s="508"/>
      <c r="AT69" s="508"/>
      <c r="AU69" s="508"/>
      <c r="AV69" s="508"/>
      <c r="AW69" s="508"/>
      <c r="AX69" s="508"/>
      <c r="AY69" s="508"/>
      <c r="AZ69" s="509"/>
      <c r="BA69" s="509"/>
      <c r="BB69" s="509"/>
      <c r="BC69" s="500"/>
      <c r="BD69" s="500"/>
      <c r="BE69" s="500"/>
      <c r="BF69" s="500"/>
      <c r="BG69" s="500"/>
      <c r="BH69" s="500"/>
      <c r="BI69" s="500"/>
      <c r="BJ69" s="500"/>
      <c r="BK69" s="500"/>
      <c r="BL69" s="500"/>
      <c r="BM69" s="500"/>
      <c r="BN69" s="500"/>
      <c r="BO69" s="500"/>
      <c r="BP69" s="500"/>
      <c r="BQ69" s="500"/>
      <c r="BR69" s="500"/>
      <c r="BS69" s="500"/>
      <c r="BT69" s="500"/>
      <c r="BU69" s="500"/>
      <c r="BV69" s="500"/>
    </row>
    <row r="70" ht="14.25" customHeight="1">
      <c r="A70" s="500" t="s">
        <v>2439</v>
      </c>
      <c r="B70" s="500"/>
      <c r="C70" s="597" t="s">
        <v>2174</v>
      </c>
      <c r="D70" s="597" t="str">
        <f t="shared" si="140"/>
        <v>BE</v>
      </c>
      <c r="E70" s="603" t="s">
        <v>135</v>
      </c>
      <c r="F70" s="681">
        <f t="array" ref="F70">INDEX(Industry_Historical_Data!$A$1:$S$3000,MATCH(Industry_Calculation!$C70&amp;Industry_Calculation!$D70,Industry_Historical_Data!$A$1:$A$3000&amp;Industry_Historical_Data!$C$1:$C$3000,0&amp;0),MATCH(Industry_Calculation!F$38,Industry_Historical_Data!$A$1:$S$1,0))</f>
        <v>49.9504</v>
      </c>
      <c r="G70" s="681">
        <f t="array" ref="G70">INDEX(Industry_Historical_Data!$A$1:$S$3000,MATCH(Industry_Calculation!$C70&amp;Industry_Calculation!$D70,Industry_Historical_Data!$A$1:$A$3000&amp;Industry_Historical_Data!$C$1:$C$3000,0&amp;0),MATCH(Industry_Calculation!G$38,Industry_Historical_Data!$A$1:$S$1,0))</f>
        <v>46.4105</v>
      </c>
      <c r="H70" s="688">
        <v>49.388</v>
      </c>
      <c r="I70" s="698">
        <f>SUM(I67:I69)</f>
        <v>49.388</v>
      </c>
      <c r="J70" s="602"/>
      <c r="K70" s="603" t="s">
        <v>2414</v>
      </c>
      <c r="L70" s="699">
        <f t="shared" si="143"/>
        <v>16</v>
      </c>
      <c r="M70" s="700"/>
      <c r="N70" s="599">
        <v>70.3</v>
      </c>
      <c r="O70" s="701">
        <v>75.0</v>
      </c>
      <c r="P70" s="661"/>
      <c r="Q70" s="674"/>
      <c r="R70" s="675"/>
      <c r="S70" s="675"/>
      <c r="T70" s="675"/>
      <c r="U70" s="676"/>
      <c r="V70" s="676"/>
      <c r="W70" s="676"/>
      <c r="X70" s="676"/>
      <c r="Y70" s="676"/>
      <c r="Z70" s="677"/>
      <c r="AA70" s="677"/>
      <c r="AB70" s="677"/>
      <c r="AC70" s="677"/>
      <c r="AD70" s="678"/>
      <c r="AE70" s="679"/>
      <c r="AF70" s="503"/>
      <c r="AG70" s="503"/>
      <c r="AH70" s="506"/>
      <c r="AI70" s="506"/>
      <c r="AJ70" s="506"/>
      <c r="AK70" s="506"/>
      <c r="AL70" s="507"/>
      <c r="AM70" s="507"/>
      <c r="AN70" s="507"/>
      <c r="AO70" s="507"/>
      <c r="AP70" s="507"/>
      <c r="AQ70" s="508"/>
      <c r="AR70" s="508"/>
      <c r="AS70" s="508"/>
      <c r="AT70" s="508"/>
      <c r="AU70" s="508"/>
      <c r="AV70" s="508"/>
      <c r="AW70" s="508"/>
      <c r="AX70" s="508"/>
      <c r="AY70" s="508"/>
      <c r="AZ70" s="509"/>
      <c r="BA70" s="509"/>
      <c r="BB70" s="509"/>
      <c r="BC70" s="500"/>
      <c r="BD70" s="500"/>
      <c r="BE70" s="500"/>
      <c r="BF70" s="500"/>
      <c r="BG70" s="500"/>
      <c r="BH70" s="500"/>
      <c r="BI70" s="500"/>
      <c r="BJ70" s="500"/>
      <c r="BK70" s="500"/>
      <c r="BL70" s="500"/>
      <c r="BM70" s="500"/>
      <c r="BN70" s="500"/>
      <c r="BO70" s="500"/>
      <c r="BP70" s="500"/>
      <c r="BQ70" s="500"/>
      <c r="BR70" s="500"/>
      <c r="BS70" s="500"/>
      <c r="BT70" s="500"/>
      <c r="BU70" s="500"/>
      <c r="BV70" s="500"/>
    </row>
    <row r="71" ht="14.25" customHeight="1">
      <c r="A71" s="500" t="s">
        <v>2440</v>
      </c>
      <c r="B71" s="500"/>
      <c r="C71" s="597" t="s">
        <v>2186</v>
      </c>
      <c r="D71" s="597" t="str">
        <f t="shared" si="140"/>
        <v>BE</v>
      </c>
      <c r="E71" s="603" t="s">
        <v>135</v>
      </c>
      <c r="F71" s="681">
        <f t="array" ref="F71">INDEX(Industry_Historical_Data!$A$1:$S$3000,MATCH(Industry_Calculation!$C71&amp;Industry_Calculation!$D71,Industry_Historical_Data!$A$1:$A$3000&amp;Industry_Historical_Data!$C$1:$C$3000,0&amp;0),MATCH(Industry_Calculation!F$38,Industry_Historical_Data!$A$1:$S$1,0))</f>
        <v>17.0583</v>
      </c>
      <c r="G71" s="681">
        <f t="array" ref="G71">INDEX(Industry_Historical_Data!$A$1:$S$3000,MATCH(Industry_Calculation!$C71&amp;Industry_Calculation!$D71,Industry_Historical_Data!$A$1:$A$3000&amp;Industry_Historical_Data!$C$1:$C$3000,0&amp;0),MATCH(Industry_Calculation!G$38,Industry_Historical_Data!$A$1:$S$1,0))</f>
        <v>19.056</v>
      </c>
      <c r="H71" s="688">
        <v>16.5379</v>
      </c>
      <c r="I71" s="683">
        <f t="shared" ref="I71:I72" si="144">IF(OR(F71="n.a.",G71="n.a."),H71,H71*G71/F71)</f>
        <v>18.47465588</v>
      </c>
      <c r="J71" s="602"/>
      <c r="K71" s="603" t="s">
        <v>2414</v>
      </c>
      <c r="L71" s="699">
        <f t="shared" si="143"/>
        <v>53.8</v>
      </c>
      <c r="M71" s="700">
        <v>45.0</v>
      </c>
      <c r="N71" s="599">
        <v>42.3</v>
      </c>
      <c r="O71" s="701">
        <v>64.0</v>
      </c>
      <c r="P71" s="664"/>
      <c r="Q71" s="674"/>
      <c r="R71" s="675"/>
      <c r="S71" s="675"/>
      <c r="T71" s="675"/>
      <c r="U71" s="676"/>
      <c r="V71" s="676"/>
      <c r="W71" s="676"/>
      <c r="X71" s="676"/>
      <c r="Y71" s="676"/>
      <c r="Z71" s="677"/>
      <c r="AA71" s="677"/>
      <c r="AB71" s="677"/>
      <c r="AC71" s="677"/>
      <c r="AD71" s="678"/>
      <c r="AE71" s="679"/>
      <c r="AF71" s="503"/>
      <c r="AG71" s="503"/>
      <c r="AH71" s="506"/>
      <c r="AI71" s="506"/>
      <c r="AJ71" s="506"/>
      <c r="AK71" s="506"/>
      <c r="AL71" s="507"/>
      <c r="AM71" s="507"/>
      <c r="AN71" s="507"/>
      <c r="AO71" s="507"/>
      <c r="AP71" s="507"/>
      <c r="AQ71" s="508"/>
      <c r="AR71" s="508"/>
      <c r="AS71" s="508"/>
      <c r="AT71" s="508"/>
      <c r="AU71" s="508"/>
      <c r="AV71" s="508"/>
      <c r="AW71" s="508"/>
      <c r="AX71" s="508"/>
      <c r="AY71" s="508"/>
      <c r="AZ71" s="509"/>
      <c r="BA71" s="509"/>
      <c r="BB71" s="509"/>
      <c r="BC71" s="500"/>
      <c r="BD71" s="500"/>
      <c r="BE71" s="500"/>
      <c r="BF71" s="500"/>
      <c r="BG71" s="500"/>
      <c r="BH71" s="500"/>
      <c r="BI71" s="500"/>
      <c r="BJ71" s="500"/>
      <c r="BK71" s="500"/>
      <c r="BL71" s="500"/>
      <c r="BM71" s="500"/>
      <c r="BN71" s="500"/>
      <c r="BO71" s="500"/>
      <c r="BP71" s="500"/>
      <c r="BQ71" s="500"/>
      <c r="BR71" s="500"/>
      <c r="BS71" s="500"/>
      <c r="BT71" s="500"/>
      <c r="BU71" s="500"/>
      <c r="BV71" s="500"/>
    </row>
    <row r="72" ht="14.25" customHeight="1">
      <c r="A72" s="500" t="s">
        <v>2441</v>
      </c>
      <c r="B72" s="500"/>
      <c r="C72" s="597" t="s">
        <v>2182</v>
      </c>
      <c r="D72" s="597" t="str">
        <f t="shared" si="140"/>
        <v>BE</v>
      </c>
      <c r="E72" s="603" t="s">
        <v>135</v>
      </c>
      <c r="F72" s="681">
        <f t="array" ref="F72">INDEX(Industry_Historical_Data!$A$1:$S$3000,MATCH(Industry_Calculation!$C72&amp;Industry_Calculation!$D72,Industry_Historical_Data!$A$1:$A$3000&amp;Industry_Historical_Data!$C$1:$C$3000,0&amp;0),MATCH(Industry_Calculation!F$38,Industry_Historical_Data!$A$1:$S$1,0))</f>
        <v>3.4216</v>
      </c>
      <c r="G72" s="681">
        <f t="array" ref="G72">INDEX(Industry_Historical_Data!$A$1:$S$3000,MATCH(Industry_Calculation!$C72&amp;Industry_Calculation!$D72,Industry_Historical_Data!$A$1:$A$3000&amp;Industry_Historical_Data!$C$1:$C$3000,0&amp;0),MATCH(Industry_Calculation!G$38,Industry_Historical_Data!$A$1:$S$1,0))</f>
        <v>3.4813</v>
      </c>
      <c r="H72" s="702">
        <v>3.4152</v>
      </c>
      <c r="I72" s="683">
        <f t="shared" si="144"/>
        <v>3.474788333</v>
      </c>
      <c r="J72" s="602"/>
      <c r="K72" s="603" t="s">
        <v>2414</v>
      </c>
      <c r="L72" s="699">
        <f t="shared" si="143"/>
        <v>70.6</v>
      </c>
      <c r="M72" s="700">
        <v>65.0</v>
      </c>
      <c r="N72" s="599">
        <v>39.3</v>
      </c>
      <c r="O72" s="701">
        <v>87.3</v>
      </c>
      <c r="P72" s="664"/>
      <c r="Q72" s="674"/>
      <c r="R72" s="675"/>
      <c r="S72" s="675"/>
      <c r="T72" s="675"/>
      <c r="U72" s="676"/>
      <c r="V72" s="676"/>
      <c r="W72" s="676"/>
      <c r="X72" s="676"/>
      <c r="Y72" s="676"/>
      <c r="Z72" s="677"/>
      <c r="AA72" s="677"/>
      <c r="AB72" s="677"/>
      <c r="AC72" s="677"/>
      <c r="AD72" s="678"/>
      <c r="AE72" s="679"/>
      <c r="AF72" s="503"/>
      <c r="AG72" s="503"/>
      <c r="AH72" s="506"/>
      <c r="AI72" s="506"/>
      <c r="AJ72" s="506"/>
      <c r="AK72" s="506"/>
      <c r="AL72" s="507"/>
      <c r="AM72" s="507"/>
      <c r="AN72" s="507"/>
      <c r="AO72" s="507"/>
      <c r="AP72" s="507"/>
      <c r="AQ72" s="508"/>
      <c r="AR72" s="508"/>
      <c r="AS72" s="508"/>
      <c r="AT72" s="508"/>
      <c r="AU72" s="508"/>
      <c r="AV72" s="508"/>
      <c r="AW72" s="508"/>
      <c r="AX72" s="508"/>
      <c r="AY72" s="508"/>
      <c r="AZ72" s="509"/>
      <c r="BA72" s="509"/>
      <c r="BB72" s="509"/>
      <c r="BC72" s="500"/>
      <c r="BD72" s="500"/>
      <c r="BE72" s="500"/>
      <c r="BF72" s="500"/>
      <c r="BG72" s="500"/>
      <c r="BH72" s="500"/>
      <c r="BI72" s="500"/>
      <c r="BJ72" s="500"/>
      <c r="BK72" s="500"/>
      <c r="BL72" s="500"/>
      <c r="BM72" s="500"/>
      <c r="BN72" s="500"/>
      <c r="BO72" s="500"/>
      <c r="BP72" s="500"/>
      <c r="BQ72" s="500"/>
      <c r="BR72" s="500"/>
      <c r="BS72" s="500"/>
      <c r="BT72" s="500"/>
      <c r="BU72" s="500"/>
      <c r="BV72" s="500"/>
    </row>
    <row r="73" ht="14.25" customHeight="1">
      <c r="A73" s="500" t="s">
        <v>2442</v>
      </c>
      <c r="B73" s="500"/>
      <c r="C73" s="597" t="s">
        <v>2188</v>
      </c>
      <c r="D73" s="597" t="str">
        <f t="shared" si="140"/>
        <v>BE</v>
      </c>
      <c r="E73" s="603" t="s">
        <v>135</v>
      </c>
      <c r="F73" s="703" t="str">
        <f t="shared" ref="F73:I73" si="145">IF($D$29="method 1 (detailed)",F85-SUM(F63:F69)-SUM(F71:F72),F85-SUM(F63:F66)-SUM(F70:F72))</f>
        <v>#N/A</v>
      </c>
      <c r="G73" s="703" t="str">
        <f t="shared" si="145"/>
        <v>#N/A</v>
      </c>
      <c r="H73" s="703">
        <f t="shared" si="145"/>
        <v>23.7778</v>
      </c>
      <c r="I73" s="703">
        <f t="shared" si="145"/>
        <v>18.67637373</v>
      </c>
      <c r="J73" s="602"/>
      <c r="K73" s="603" t="s">
        <v>2414</v>
      </c>
      <c r="L73" s="699">
        <f t="shared" si="143"/>
        <v>79</v>
      </c>
      <c r="M73" s="704">
        <v>75.0</v>
      </c>
      <c r="N73" s="599">
        <v>63.0</v>
      </c>
      <c r="O73" s="701">
        <v>85.0</v>
      </c>
      <c r="P73" s="671"/>
      <c r="Q73" s="674"/>
      <c r="R73" s="675"/>
      <c r="S73" s="675"/>
      <c r="T73" s="675"/>
      <c r="U73" s="676"/>
      <c r="V73" s="676"/>
      <c r="W73" s="676"/>
      <c r="X73" s="676"/>
      <c r="Y73" s="676"/>
      <c r="Z73" s="677"/>
      <c r="AA73" s="677"/>
      <c r="AB73" s="677"/>
      <c r="AC73" s="677"/>
      <c r="AD73" s="678"/>
      <c r="AE73" s="679"/>
      <c r="AF73" s="503"/>
      <c r="AG73" s="503"/>
      <c r="AH73" s="506"/>
      <c r="AI73" s="506"/>
      <c r="AJ73" s="506"/>
      <c r="AK73" s="506"/>
      <c r="AL73" s="507"/>
      <c r="AM73" s="507"/>
      <c r="AN73" s="507"/>
      <c r="AO73" s="507"/>
      <c r="AP73" s="507"/>
      <c r="AQ73" s="508"/>
      <c r="AR73" s="508"/>
      <c r="AS73" s="508"/>
      <c r="AT73" s="508"/>
      <c r="AU73" s="508"/>
      <c r="AV73" s="508"/>
      <c r="AW73" s="508"/>
      <c r="AX73" s="508"/>
      <c r="AY73" s="508"/>
      <c r="AZ73" s="509"/>
      <c r="BA73" s="509"/>
      <c r="BB73" s="509"/>
      <c r="BC73" s="500"/>
      <c r="BD73" s="500"/>
      <c r="BE73" s="500"/>
      <c r="BF73" s="500"/>
      <c r="BG73" s="500"/>
      <c r="BH73" s="500"/>
      <c r="BI73" s="500"/>
      <c r="BJ73" s="500"/>
      <c r="BK73" s="500"/>
      <c r="BL73" s="500"/>
      <c r="BM73" s="500"/>
      <c r="BN73" s="500"/>
      <c r="BO73" s="500"/>
      <c r="BP73" s="500"/>
      <c r="BQ73" s="500"/>
      <c r="BR73" s="500"/>
      <c r="BS73" s="500"/>
      <c r="BT73" s="500"/>
      <c r="BU73" s="500"/>
      <c r="BV73" s="500"/>
    </row>
    <row r="74" ht="14.25" customHeight="1">
      <c r="A74" s="500"/>
      <c r="B74" s="500"/>
      <c r="C74" s="500"/>
      <c r="D74" s="500"/>
      <c r="E74" s="500"/>
      <c r="F74" s="500"/>
      <c r="G74" s="500"/>
      <c r="H74" s="589"/>
      <c r="I74" s="632"/>
      <c r="J74" s="500"/>
      <c r="K74" s="508"/>
      <c r="L74" s="500"/>
      <c r="M74" s="500"/>
      <c r="N74" s="500"/>
      <c r="O74" s="500"/>
      <c r="P74" s="500"/>
      <c r="Q74" s="674"/>
      <c r="R74" s="675"/>
      <c r="S74" s="675"/>
      <c r="T74" s="675"/>
      <c r="U74" s="676"/>
      <c r="V74" s="676"/>
      <c r="W74" s="676"/>
      <c r="X74" s="676"/>
      <c r="Y74" s="676"/>
      <c r="Z74" s="677"/>
      <c r="AA74" s="677"/>
      <c r="AB74" s="677"/>
      <c r="AC74" s="677"/>
      <c r="AD74" s="674"/>
      <c r="AE74" s="679"/>
      <c r="AF74" s="503"/>
      <c r="AG74" s="503"/>
      <c r="AH74" s="506"/>
      <c r="AI74" s="506"/>
      <c r="AJ74" s="506"/>
      <c r="AK74" s="506"/>
      <c r="AL74" s="507"/>
      <c r="AM74" s="507"/>
      <c r="AN74" s="507"/>
      <c r="AO74" s="507"/>
      <c r="AP74" s="507"/>
      <c r="AQ74" s="508"/>
      <c r="AR74" s="508"/>
      <c r="AS74" s="508"/>
      <c r="AT74" s="508"/>
      <c r="AU74" s="508"/>
      <c r="AV74" s="508"/>
      <c r="AW74" s="508"/>
      <c r="AX74" s="508"/>
      <c r="AY74" s="508"/>
      <c r="AZ74" s="509"/>
      <c r="BA74" s="509"/>
      <c r="BB74" s="509"/>
      <c r="BC74" s="500"/>
      <c r="BD74" s="500"/>
      <c r="BE74" s="500"/>
      <c r="BF74" s="500"/>
      <c r="BG74" s="500"/>
      <c r="BH74" s="500"/>
      <c r="BI74" s="500"/>
      <c r="BJ74" s="500"/>
      <c r="BK74" s="500"/>
      <c r="BL74" s="500"/>
      <c r="BM74" s="500"/>
      <c r="BN74" s="500"/>
      <c r="BO74" s="500"/>
      <c r="BP74" s="500"/>
      <c r="BQ74" s="500"/>
      <c r="BR74" s="500"/>
      <c r="BS74" s="500"/>
      <c r="BT74" s="500"/>
      <c r="BU74" s="500"/>
      <c r="BV74" s="500"/>
    </row>
    <row r="75" ht="14.25" customHeight="1">
      <c r="A75" s="500"/>
      <c r="B75" s="500"/>
      <c r="C75" s="500"/>
      <c r="D75" s="500"/>
      <c r="E75" s="500"/>
      <c r="F75" s="637" t="s">
        <v>2403</v>
      </c>
      <c r="G75" s="638"/>
      <c r="H75" s="637" t="s">
        <v>2077</v>
      </c>
      <c r="I75" s="638"/>
      <c r="J75" s="500"/>
      <c r="K75" s="705"/>
      <c r="L75" s="706"/>
      <c r="M75" s="706"/>
      <c r="N75" s="590" t="s">
        <v>2404</v>
      </c>
      <c r="O75" s="590" t="s">
        <v>2405</v>
      </c>
      <c r="P75" s="500"/>
      <c r="Q75" s="674"/>
      <c r="R75" s="675"/>
      <c r="S75" s="675"/>
      <c r="T75" s="675"/>
      <c r="U75" s="676"/>
      <c r="V75" s="676"/>
      <c r="W75" s="676"/>
      <c r="X75" s="676"/>
      <c r="Y75" s="676"/>
      <c r="Z75" s="677"/>
      <c r="AA75" s="677"/>
      <c r="AB75" s="677"/>
      <c r="AC75" s="677"/>
      <c r="AD75" s="674"/>
      <c r="AE75" s="679"/>
      <c r="AF75" s="503"/>
      <c r="AG75" s="503"/>
      <c r="AH75" s="506"/>
      <c r="AI75" s="506"/>
      <c r="AJ75" s="506"/>
      <c r="AK75" s="506"/>
      <c r="AL75" s="507"/>
      <c r="AM75" s="507"/>
      <c r="AN75" s="507"/>
      <c r="AO75" s="507"/>
      <c r="AP75" s="507"/>
      <c r="AQ75" s="508"/>
      <c r="AR75" s="508"/>
      <c r="AS75" s="508"/>
      <c r="AT75" s="508"/>
      <c r="AU75" s="508"/>
      <c r="AV75" s="508"/>
      <c r="AW75" s="508"/>
      <c r="AX75" s="508"/>
      <c r="AY75" s="508"/>
      <c r="AZ75" s="509"/>
      <c r="BA75" s="509"/>
      <c r="BB75" s="509"/>
      <c r="BC75" s="500"/>
      <c r="BD75" s="500"/>
      <c r="BE75" s="500"/>
      <c r="BF75" s="500"/>
      <c r="BG75" s="500"/>
      <c r="BH75" s="500"/>
      <c r="BI75" s="500"/>
      <c r="BJ75" s="500"/>
      <c r="BK75" s="500"/>
      <c r="BL75" s="500"/>
      <c r="BM75" s="500"/>
      <c r="BN75" s="500"/>
      <c r="BO75" s="500"/>
      <c r="BP75" s="500"/>
      <c r="BQ75" s="500"/>
      <c r="BR75" s="500"/>
      <c r="BS75" s="500"/>
      <c r="BT75" s="500"/>
      <c r="BU75" s="500"/>
      <c r="BV75" s="500"/>
    </row>
    <row r="76" ht="14.25" customHeight="1">
      <c r="A76" s="591" t="s">
        <v>2443</v>
      </c>
      <c r="B76" s="500"/>
      <c r="C76" s="593" t="s">
        <v>2300</v>
      </c>
      <c r="D76" s="594" t="s">
        <v>2301</v>
      </c>
      <c r="E76" s="594" t="s">
        <v>50</v>
      </c>
      <c r="F76" s="594">
        <v>2015.0</v>
      </c>
      <c r="G76" s="594">
        <v>2019.0</v>
      </c>
      <c r="H76" s="594">
        <v>2015.0</v>
      </c>
      <c r="I76" s="594">
        <v>2019.0</v>
      </c>
      <c r="J76" s="680"/>
      <c r="K76" s="594" t="s">
        <v>50</v>
      </c>
      <c r="L76" s="593">
        <v>2040.0</v>
      </c>
      <c r="M76" s="594">
        <v>2050.0</v>
      </c>
      <c r="N76" s="594">
        <v>2050.0</v>
      </c>
      <c r="O76" s="594">
        <v>2050.0</v>
      </c>
      <c r="P76" s="596" t="s">
        <v>2410</v>
      </c>
      <c r="Q76" s="674"/>
      <c r="R76" s="675"/>
      <c r="S76" s="675"/>
      <c r="T76" s="675"/>
      <c r="U76" s="676"/>
      <c r="V76" s="676"/>
      <c r="W76" s="676"/>
      <c r="X76" s="676"/>
      <c r="Y76" s="676"/>
      <c r="Z76" s="677"/>
      <c r="AA76" s="677"/>
      <c r="AB76" s="677"/>
      <c r="AC76" s="677"/>
      <c r="AD76" s="674"/>
      <c r="AE76" s="679"/>
      <c r="AF76" s="503"/>
      <c r="AG76" s="503"/>
      <c r="AH76" s="506"/>
      <c r="AI76" s="506"/>
      <c r="AJ76" s="506"/>
      <c r="AK76" s="506"/>
      <c r="AL76" s="507"/>
      <c r="AM76" s="507"/>
      <c r="AN76" s="507"/>
      <c r="AO76" s="507"/>
      <c r="AP76" s="507"/>
      <c r="AQ76" s="508"/>
      <c r="AR76" s="508"/>
      <c r="AS76" s="508"/>
      <c r="AT76" s="508"/>
      <c r="AU76" s="508"/>
      <c r="AV76" s="508"/>
      <c r="AW76" s="508"/>
      <c r="AX76" s="508"/>
      <c r="AY76" s="508"/>
      <c r="AZ76" s="509"/>
      <c r="BA76" s="509"/>
      <c r="BB76" s="509"/>
      <c r="BC76" s="500"/>
      <c r="BD76" s="500"/>
      <c r="BE76" s="500"/>
      <c r="BF76" s="500"/>
      <c r="BG76" s="500"/>
      <c r="BH76" s="500"/>
      <c r="BI76" s="500"/>
      <c r="BJ76" s="500"/>
      <c r="BK76" s="500"/>
      <c r="BL76" s="500"/>
      <c r="BM76" s="500"/>
      <c r="BN76" s="500"/>
      <c r="BO76" s="500"/>
      <c r="BP76" s="500"/>
      <c r="BQ76" s="500"/>
      <c r="BR76" s="500"/>
      <c r="BS76" s="500"/>
      <c r="BT76" s="500"/>
      <c r="BU76" s="500"/>
      <c r="BV76" s="500"/>
    </row>
    <row r="77" ht="14.25" customHeight="1">
      <c r="A77" s="500" t="s">
        <v>2444</v>
      </c>
      <c r="B77" s="500"/>
      <c r="C77" s="597" t="s">
        <v>2191</v>
      </c>
      <c r="D77" s="597" t="str">
        <f t="shared" ref="D77:D85" si="146">$D$27</f>
        <v>BE</v>
      </c>
      <c r="E77" s="603" t="s">
        <v>261</v>
      </c>
      <c r="F77" s="707">
        <f t="array" ref="F77">INDEX(Industry_Historical_Data!$A$1:$S$3000,MATCH(Industry_Calculation!$C77&amp;Industry_Calculation!$D77,Industry_Historical_Data!$A$1:$A$3000&amp;Industry_Historical_Data!$C$1:$C$3000,0&amp;0),MATCH(Industry_Calculation!F$38,Industry_Historical_Data!$A$1:$S$1,0))/F$85</f>
        <v>0.1417354146</v>
      </c>
      <c r="G77" s="707">
        <f t="array" ref="G77">INDEX(Industry_Historical_Data!$A$1:$S$3000,MATCH(Industry_Calculation!$C77&amp;Industry_Calculation!$D77,Industry_Historical_Data!$A$1:$A$3000&amp;Industry_Historical_Data!$C$1:$C$3000,0&amp;0),MATCH(Industry_Calculation!G$38,Industry_Historical_Data!$A$1:$S$1,0))/G$85</f>
        <v>0.1576969923</v>
      </c>
      <c r="H77" s="708">
        <v>0.14</v>
      </c>
      <c r="I77" s="709">
        <f t="shared" ref="I77:I81" si="147">IF(OR(F77="n.a.",G77="n.a."),H77,H77*G77/F77)</f>
        <v>0.1557661435</v>
      </c>
      <c r="J77" s="684"/>
      <c r="K77" s="603" t="s">
        <v>261</v>
      </c>
      <c r="L77" s="710">
        <v>0.0</v>
      </c>
      <c r="M77" s="711">
        <v>0.0</v>
      </c>
      <c r="N77" s="712">
        <v>0.0</v>
      </c>
      <c r="O77" s="713">
        <v>0.05</v>
      </c>
      <c r="P77" s="607"/>
      <c r="Q77" s="714"/>
      <c r="R77" s="675"/>
      <c r="S77" s="675"/>
      <c r="T77" s="675"/>
      <c r="U77" s="676"/>
      <c r="V77" s="676"/>
      <c r="W77" s="676"/>
      <c r="X77" s="676"/>
      <c r="Y77" s="676"/>
      <c r="Z77" s="677"/>
      <c r="AA77" s="677"/>
      <c r="AB77" s="677"/>
      <c r="AC77" s="677"/>
      <c r="AD77" s="674"/>
      <c r="AE77" s="679"/>
      <c r="AF77" s="503"/>
      <c r="AG77" s="503"/>
      <c r="AH77" s="506"/>
      <c r="AI77" s="506"/>
      <c r="AJ77" s="506"/>
      <c r="AK77" s="506"/>
      <c r="AL77" s="507"/>
      <c r="AM77" s="507"/>
      <c r="AN77" s="507"/>
      <c r="AO77" s="507"/>
      <c r="AP77" s="507"/>
      <c r="AQ77" s="508"/>
      <c r="AR77" s="508"/>
      <c r="AS77" s="508"/>
      <c r="AT77" s="508"/>
      <c r="AU77" s="508"/>
      <c r="AV77" s="508"/>
      <c r="AW77" s="508"/>
      <c r="AX77" s="508"/>
      <c r="AY77" s="508"/>
      <c r="AZ77" s="509"/>
      <c r="BA77" s="509"/>
      <c r="BB77" s="509"/>
      <c r="BC77" s="500"/>
      <c r="BD77" s="500"/>
      <c r="BE77" s="500"/>
      <c r="BF77" s="500"/>
      <c r="BG77" s="500"/>
      <c r="BH77" s="500"/>
      <c r="BI77" s="500"/>
      <c r="BJ77" s="500"/>
      <c r="BK77" s="500"/>
      <c r="BL77" s="500"/>
      <c r="BM77" s="500"/>
      <c r="BN77" s="500"/>
      <c r="BO77" s="500"/>
      <c r="BP77" s="500"/>
      <c r="BQ77" s="500"/>
      <c r="BR77" s="500"/>
      <c r="BS77" s="500"/>
      <c r="BT77" s="500"/>
      <c r="BU77" s="500"/>
      <c r="BV77" s="500"/>
    </row>
    <row r="78" ht="14.25" customHeight="1">
      <c r="A78" s="500" t="s">
        <v>2445</v>
      </c>
      <c r="B78" s="500"/>
      <c r="C78" s="597" t="s">
        <v>2195</v>
      </c>
      <c r="D78" s="597" t="str">
        <f t="shared" si="146"/>
        <v>BE</v>
      </c>
      <c r="E78" s="603" t="s">
        <v>261</v>
      </c>
      <c r="F78" s="707">
        <f t="array" ref="F78">INDEX(Industry_Historical_Data!$A$1:$S$3000,MATCH(Industry_Calculation!$C78&amp;Industry_Calculation!$D78,Industry_Historical_Data!$A$1:$A$3000&amp;Industry_Historical_Data!$C$1:$C$3000,0&amp;0),MATCH(Industry_Calculation!F$38,Industry_Historical_Data!$A$1:$S$1,0))/F$85</f>
        <v>0.141633672</v>
      </c>
      <c r="G78" s="707">
        <f t="array" ref="G78">INDEX(Industry_Historical_Data!$A$1:$S$3000,MATCH(Industry_Calculation!$C78&amp;Industry_Calculation!$D78,Industry_Historical_Data!$A$1:$A$3000&amp;Industry_Historical_Data!$C$1:$C$3000,0&amp;0),MATCH(Industry_Calculation!G$38,Industry_Historical_Data!$A$1:$S$1,0))/G$85</f>
        <v>0.1058404504</v>
      </c>
      <c r="H78" s="715">
        <v>0.14</v>
      </c>
      <c r="I78" s="709">
        <f t="shared" si="147"/>
        <v>0.1046196349</v>
      </c>
      <c r="J78" s="684"/>
      <c r="K78" s="603" t="s">
        <v>261</v>
      </c>
      <c r="L78" s="716">
        <f t="shared" ref="L78:L81" si="148">($N$29*(BF7/$BF$14-AY7/$AY$14)+(AY7/$AY$14))</f>
        <v>0.0224</v>
      </c>
      <c r="M78" s="717">
        <v>0.0</v>
      </c>
      <c r="N78" s="718">
        <v>0.0</v>
      </c>
      <c r="O78" s="719">
        <v>0.05</v>
      </c>
      <c r="P78" s="621"/>
      <c r="Q78" s="714"/>
      <c r="R78" s="675"/>
      <c r="S78" s="675"/>
      <c r="T78" s="675"/>
      <c r="U78" s="676"/>
      <c r="V78" s="676"/>
      <c r="W78" s="676"/>
      <c r="X78" s="676"/>
      <c r="Y78" s="676"/>
      <c r="Z78" s="677"/>
      <c r="AA78" s="677"/>
      <c r="AB78" s="677"/>
      <c r="AC78" s="677"/>
      <c r="AD78" s="674"/>
      <c r="AE78" s="679"/>
      <c r="AF78" s="503"/>
      <c r="AG78" s="503"/>
      <c r="AH78" s="506"/>
      <c r="AI78" s="506"/>
      <c r="AJ78" s="506"/>
      <c r="AK78" s="506"/>
      <c r="AL78" s="507"/>
      <c r="AM78" s="507"/>
      <c r="AN78" s="507"/>
      <c r="AO78" s="507"/>
      <c r="AP78" s="507"/>
      <c r="AQ78" s="508"/>
      <c r="AR78" s="508"/>
      <c r="AS78" s="508"/>
      <c r="AT78" s="508"/>
      <c r="AU78" s="508"/>
      <c r="AV78" s="508"/>
      <c r="AW78" s="508"/>
      <c r="AX78" s="508"/>
      <c r="AY78" s="508"/>
      <c r="AZ78" s="509"/>
      <c r="BA78" s="509"/>
      <c r="BB78" s="509"/>
      <c r="BC78" s="500"/>
      <c r="BD78" s="500"/>
      <c r="BE78" s="500"/>
      <c r="BF78" s="500"/>
      <c r="BG78" s="500"/>
      <c r="BH78" s="500"/>
      <c r="BI78" s="500"/>
      <c r="BJ78" s="500"/>
      <c r="BK78" s="500"/>
      <c r="BL78" s="500"/>
      <c r="BM78" s="500"/>
      <c r="BN78" s="500"/>
      <c r="BO78" s="500"/>
      <c r="BP78" s="500"/>
      <c r="BQ78" s="500"/>
      <c r="BR78" s="500"/>
      <c r="BS78" s="500"/>
      <c r="BT78" s="500"/>
      <c r="BU78" s="500"/>
      <c r="BV78" s="500"/>
    </row>
    <row r="79" ht="14.25" customHeight="1">
      <c r="A79" s="500" t="s">
        <v>2446</v>
      </c>
      <c r="B79" s="500"/>
      <c r="C79" s="597" t="s">
        <v>2197</v>
      </c>
      <c r="D79" s="597" t="str">
        <f t="shared" si="146"/>
        <v>BE</v>
      </c>
      <c r="E79" s="603" t="s">
        <v>261</v>
      </c>
      <c r="F79" s="707">
        <f t="array" ref="F79">INDEX(Industry_Historical_Data!$A$1:$S$3000,MATCH(Industry_Calculation!$C79&amp;Industry_Calculation!$D79,Industry_Historical_Data!$A$1:$A$3000&amp;Industry_Historical_Data!$C$1:$C$3000,0&amp;0),MATCH(Industry_Calculation!F$38,Industry_Historical_Data!$A$1:$S$1,0))/F$85</f>
        <v>0.3383925232</v>
      </c>
      <c r="G79" s="707">
        <f t="array" ref="G79">INDEX(Industry_Historical_Data!$A$1:$S$3000,MATCH(Industry_Calculation!$C79&amp;Industry_Calculation!$D79,Industry_Historical_Data!$A$1:$A$3000&amp;Industry_Historical_Data!$C$1:$C$3000,0&amp;0),MATCH(Industry_Calculation!G$38,Industry_Historical_Data!$A$1:$S$1,0))/G$85</f>
        <v>0.3582045315</v>
      </c>
      <c r="H79" s="715">
        <v>0.34</v>
      </c>
      <c r="I79" s="709">
        <f t="shared" si="147"/>
        <v>0.3599061219</v>
      </c>
      <c r="J79" s="684"/>
      <c r="K79" s="603" t="s">
        <v>261</v>
      </c>
      <c r="L79" s="720">
        <f t="shared" si="148"/>
        <v>0.13</v>
      </c>
      <c r="M79" s="717">
        <v>0.09</v>
      </c>
      <c r="N79" s="719">
        <v>0.1</v>
      </c>
      <c r="O79" s="719">
        <v>0.25</v>
      </c>
      <c r="P79" s="621"/>
      <c r="Q79" s="714"/>
      <c r="R79" s="675"/>
      <c r="S79" s="675"/>
      <c r="T79" s="675"/>
      <c r="U79" s="676"/>
      <c r="V79" s="676"/>
      <c r="W79" s="676"/>
      <c r="X79" s="676"/>
      <c r="Y79" s="676"/>
      <c r="Z79" s="677"/>
      <c r="AA79" s="677"/>
      <c r="AB79" s="677"/>
      <c r="AC79" s="677"/>
      <c r="AD79" s="674"/>
      <c r="AE79" s="679"/>
      <c r="AF79" s="503"/>
      <c r="AG79" s="503"/>
      <c r="AH79" s="506"/>
      <c r="AI79" s="506"/>
      <c r="AJ79" s="506"/>
      <c r="AK79" s="506"/>
      <c r="AL79" s="507"/>
      <c r="AM79" s="507"/>
      <c r="AN79" s="507"/>
      <c r="AO79" s="507"/>
      <c r="AP79" s="507"/>
      <c r="AQ79" s="508"/>
      <c r="AR79" s="508"/>
      <c r="AS79" s="508"/>
      <c r="AT79" s="508"/>
      <c r="AU79" s="508"/>
      <c r="AV79" s="508"/>
      <c r="AW79" s="508"/>
      <c r="AX79" s="508"/>
      <c r="AY79" s="508"/>
      <c r="AZ79" s="509"/>
      <c r="BA79" s="509"/>
      <c r="BB79" s="509"/>
      <c r="BC79" s="500"/>
      <c r="BD79" s="500"/>
      <c r="BE79" s="500"/>
      <c r="BF79" s="500"/>
      <c r="BG79" s="500"/>
      <c r="BH79" s="500"/>
      <c r="BI79" s="500"/>
      <c r="BJ79" s="500"/>
      <c r="BK79" s="500"/>
      <c r="BL79" s="500"/>
      <c r="BM79" s="500"/>
      <c r="BN79" s="500"/>
      <c r="BO79" s="500"/>
      <c r="BP79" s="500"/>
      <c r="BQ79" s="500"/>
      <c r="BR79" s="500"/>
      <c r="BS79" s="500"/>
      <c r="BT79" s="500"/>
      <c r="BU79" s="500"/>
      <c r="BV79" s="500"/>
    </row>
    <row r="80" ht="14.25" customHeight="1">
      <c r="A80" s="500" t="s">
        <v>2447</v>
      </c>
      <c r="B80" s="500"/>
      <c r="C80" s="597" t="s">
        <v>2201</v>
      </c>
      <c r="D80" s="597" t="str">
        <f t="shared" si="146"/>
        <v>BE</v>
      </c>
      <c r="E80" s="603" t="s">
        <v>261</v>
      </c>
      <c r="F80" s="707">
        <f t="array" ref="F80">INDEX(Industry_Historical_Data!$A$1:$S$3000,MATCH(Industry_Calculation!$C80&amp;Industry_Calculation!$D80,Industry_Historical_Data!$A$1:$A$3000&amp;Industry_Historical_Data!$C$1:$C$3000,0&amp;0),MATCH(Industry_Calculation!F$38,Industry_Historical_Data!$A$1:$S$1,0))/F$85</f>
        <v>0.03662234412</v>
      </c>
      <c r="G80" s="707">
        <f t="array" ref="G80">INDEX(Industry_Historical_Data!$A$1:$S$3000,MATCH(Industry_Calculation!$C80&amp;Industry_Calculation!$D80,Industry_Historical_Data!$A$1:$A$3000&amp;Industry_Historical_Data!$C$1:$C$3000,0&amp;0),MATCH(Industry_Calculation!G$38,Industry_Historical_Data!$A$1:$S$1,0))/G$85</f>
        <v>0.03482462928</v>
      </c>
      <c r="H80" s="715">
        <v>0.04</v>
      </c>
      <c r="I80" s="709">
        <f t="shared" si="147"/>
        <v>0.03803648304</v>
      </c>
      <c r="J80" s="684"/>
      <c r="K80" s="603" t="s">
        <v>261</v>
      </c>
      <c r="L80" s="720">
        <f t="shared" si="148"/>
        <v>0.0316</v>
      </c>
      <c r="M80" s="717">
        <v>0.03</v>
      </c>
      <c r="N80" s="719">
        <v>0.0</v>
      </c>
      <c r="O80" s="719">
        <f>G80</f>
        <v>0.03482462928</v>
      </c>
      <c r="P80" s="621"/>
      <c r="Q80" s="714"/>
      <c r="R80" s="675"/>
      <c r="S80" s="675"/>
      <c r="T80" s="675"/>
      <c r="U80" s="676"/>
      <c r="V80" s="676"/>
      <c r="W80" s="676"/>
      <c r="X80" s="676"/>
      <c r="Y80" s="676"/>
      <c r="Z80" s="677"/>
      <c r="AA80" s="677"/>
      <c r="AB80" s="677"/>
      <c r="AC80" s="677"/>
      <c r="AD80" s="674"/>
      <c r="AE80" s="679"/>
      <c r="AF80" s="503"/>
      <c r="AG80" s="503"/>
      <c r="AH80" s="506"/>
      <c r="AI80" s="506"/>
      <c r="AJ80" s="506"/>
      <c r="AK80" s="506"/>
      <c r="AL80" s="507"/>
      <c r="AM80" s="507"/>
      <c r="AN80" s="507"/>
      <c r="AO80" s="507"/>
      <c r="AP80" s="507"/>
      <c r="AQ80" s="508"/>
      <c r="AR80" s="508"/>
      <c r="AS80" s="508"/>
      <c r="AT80" s="508"/>
      <c r="AU80" s="508"/>
      <c r="AV80" s="508"/>
      <c r="AW80" s="508"/>
      <c r="AX80" s="508"/>
      <c r="AY80" s="508"/>
      <c r="AZ80" s="509"/>
      <c r="BA80" s="509"/>
      <c r="BB80" s="509"/>
      <c r="BC80" s="500"/>
      <c r="BD80" s="500"/>
      <c r="BE80" s="500"/>
      <c r="BF80" s="500"/>
      <c r="BG80" s="500"/>
      <c r="BH80" s="500"/>
      <c r="BI80" s="500"/>
      <c r="BJ80" s="500"/>
      <c r="BK80" s="500"/>
      <c r="BL80" s="500"/>
      <c r="BM80" s="500"/>
      <c r="BN80" s="500"/>
      <c r="BO80" s="500"/>
      <c r="BP80" s="500"/>
      <c r="BQ80" s="500"/>
      <c r="BR80" s="500"/>
      <c r="BS80" s="500"/>
      <c r="BT80" s="500"/>
      <c r="BU80" s="500"/>
      <c r="BV80" s="500"/>
    </row>
    <row r="81" ht="14.25" customHeight="1">
      <c r="A81" s="500" t="s">
        <v>2448</v>
      </c>
      <c r="B81" s="500"/>
      <c r="C81" s="597" t="s">
        <v>2193</v>
      </c>
      <c r="D81" s="597" t="str">
        <f t="shared" si="146"/>
        <v>BE</v>
      </c>
      <c r="E81" s="603" t="s">
        <v>261</v>
      </c>
      <c r="F81" s="707">
        <f t="array" ref="F81">INDEX(Industry_Historical_Data!$A$1:$S$3000,MATCH(Industry_Calculation!$C81&amp;Industry_Calculation!$D81,Industry_Historical_Data!$A$1:$A$3000&amp;Industry_Historical_Data!$C$1:$C$3000,0&amp;0),MATCH(Industry_Calculation!F$38,Industry_Historical_Data!$A$1:$S$1,0))/F$85</f>
        <v>0.06869779419</v>
      </c>
      <c r="G81" s="707">
        <f t="array" ref="G81">INDEX(Industry_Historical_Data!$A$1:$S$3000,MATCH(Industry_Calculation!$C81&amp;Industry_Calculation!$D81,Industry_Historical_Data!$A$1:$A$3000&amp;Industry_Historical_Data!$C$1:$C$3000,0&amp;0),MATCH(Industry_Calculation!G$38,Industry_Historical_Data!$A$1:$S$1,0))/G$85</f>
        <v>0.06708632276</v>
      </c>
      <c r="H81" s="715">
        <v>0.07</v>
      </c>
      <c r="I81" s="709">
        <f t="shared" si="147"/>
        <v>0.06835798222</v>
      </c>
      <c r="J81" s="684"/>
      <c r="K81" s="603" t="s">
        <v>261</v>
      </c>
      <c r="L81" s="720">
        <f t="shared" si="148"/>
        <v>0.07</v>
      </c>
      <c r="M81" s="717">
        <v>0.07</v>
      </c>
      <c r="N81" s="719">
        <v>0.05</v>
      </c>
      <c r="O81" s="719">
        <v>0.35</v>
      </c>
      <c r="P81" s="621"/>
      <c r="Q81" s="714"/>
      <c r="R81" s="675"/>
      <c r="S81" s="675"/>
      <c r="T81" s="675"/>
      <c r="U81" s="676"/>
      <c r="V81" s="676"/>
      <c r="W81" s="676"/>
      <c r="X81" s="676"/>
      <c r="Y81" s="676"/>
      <c r="Z81" s="677"/>
      <c r="AA81" s="677"/>
      <c r="AB81" s="677"/>
      <c r="AC81" s="677"/>
      <c r="AD81" s="674"/>
      <c r="AE81" s="679"/>
      <c r="AF81" s="503"/>
      <c r="AG81" s="503"/>
      <c r="AH81" s="506"/>
      <c r="AI81" s="506"/>
      <c r="AJ81" s="506"/>
      <c r="AK81" s="506"/>
      <c r="AL81" s="507"/>
      <c r="AM81" s="507"/>
      <c r="AN81" s="507"/>
      <c r="AO81" s="507"/>
      <c r="AP81" s="507"/>
      <c r="AQ81" s="508"/>
      <c r="AR81" s="508"/>
      <c r="AS81" s="508"/>
      <c r="AT81" s="508"/>
      <c r="AU81" s="508"/>
      <c r="AV81" s="508"/>
      <c r="AW81" s="508"/>
      <c r="AX81" s="508"/>
      <c r="AY81" s="508"/>
      <c r="AZ81" s="509"/>
      <c r="BA81" s="509"/>
      <c r="BB81" s="509"/>
      <c r="BC81" s="500"/>
      <c r="BD81" s="500"/>
      <c r="BE81" s="500"/>
      <c r="BF81" s="500"/>
      <c r="BG81" s="500"/>
      <c r="BH81" s="500"/>
      <c r="BI81" s="500"/>
      <c r="BJ81" s="500"/>
      <c r="BK81" s="500"/>
      <c r="BL81" s="500"/>
      <c r="BM81" s="500"/>
      <c r="BN81" s="500"/>
      <c r="BO81" s="500"/>
      <c r="BP81" s="500"/>
      <c r="BQ81" s="500"/>
      <c r="BR81" s="500"/>
      <c r="BS81" s="500"/>
      <c r="BT81" s="500"/>
      <c r="BU81" s="500"/>
      <c r="BV81" s="500"/>
    </row>
    <row r="82" ht="14.25" customHeight="1">
      <c r="A82" s="500" t="s">
        <v>2449</v>
      </c>
      <c r="B82" s="500"/>
      <c r="C82" s="597" t="s">
        <v>2199</v>
      </c>
      <c r="D82" s="597" t="str">
        <f t="shared" si="146"/>
        <v>BE</v>
      </c>
      <c r="E82" s="603" t="s">
        <v>261</v>
      </c>
      <c r="F82" s="707">
        <f t="array" ref="F82">INDEX(Industry_Historical_Data!$A$1:$S$3000,MATCH(Industry_Calculation!$C82&amp;Industry_Calculation!$D82,Industry_Historical_Data!$A$1:$A$3000&amp;Industry_Historical_Data!$C$1:$C$3000,0&amp;0),MATCH(Industry_Calculation!F$38,Industry_Historical_Data!$A$1:$S$1,0))/F$85</f>
        <v>0.2729182519</v>
      </c>
      <c r="G82" s="707">
        <f t="array" ref="G82">INDEX(Industry_Historical_Data!$A$1:$S$3000,MATCH(Industry_Calculation!$C82&amp;Industry_Calculation!$D82,Industry_Historical_Data!$A$1:$A$3000&amp;Industry_Historical_Data!$C$1:$C$3000,0&amp;0),MATCH(Industry_Calculation!G$38,Industry_Historical_Data!$A$1:$S$1,0))/G$85</f>
        <v>0.2763477949</v>
      </c>
      <c r="H82" s="715">
        <v>0.27</v>
      </c>
      <c r="I82" s="721">
        <f>1-SUM(I77:I81)</f>
        <v>0.2733136344</v>
      </c>
      <c r="J82" s="684"/>
      <c r="K82" s="603" t="s">
        <v>261</v>
      </c>
      <c r="L82" s="720">
        <f>1-L77-L78-L79-L80-L81-L83-L84</f>
        <v>0.656</v>
      </c>
      <c r="M82" s="717">
        <v>0.72</v>
      </c>
      <c r="N82" s="719">
        <v>0.35</v>
      </c>
      <c r="O82" s="719">
        <v>0.7</v>
      </c>
      <c r="P82" s="621"/>
      <c r="Q82" s="714"/>
      <c r="R82" s="675"/>
      <c r="S82" s="675"/>
      <c r="T82" s="675"/>
      <c r="U82" s="676"/>
      <c r="V82" s="676"/>
      <c r="W82" s="676"/>
      <c r="X82" s="676"/>
      <c r="Y82" s="676"/>
      <c r="Z82" s="677"/>
      <c r="AA82" s="677"/>
      <c r="AB82" s="677"/>
      <c r="AC82" s="677"/>
      <c r="AD82" s="674"/>
      <c r="AE82" s="679"/>
      <c r="AF82" s="503"/>
      <c r="AG82" s="503"/>
      <c r="AH82" s="506"/>
      <c r="AI82" s="506"/>
      <c r="AJ82" s="506"/>
      <c r="AK82" s="506"/>
      <c r="AL82" s="507"/>
      <c r="AM82" s="507"/>
      <c r="AN82" s="507"/>
      <c r="AO82" s="507"/>
      <c r="AP82" s="507"/>
      <c r="AQ82" s="508"/>
      <c r="AR82" s="508"/>
      <c r="AS82" s="508"/>
      <c r="AT82" s="508"/>
      <c r="AU82" s="508"/>
      <c r="AV82" s="508"/>
      <c r="AW82" s="508"/>
      <c r="AX82" s="508"/>
      <c r="AY82" s="508"/>
      <c r="AZ82" s="509"/>
      <c r="BA82" s="509"/>
      <c r="BB82" s="509"/>
      <c r="BC82" s="500"/>
      <c r="BD82" s="500"/>
      <c r="BE82" s="500"/>
      <c r="BF82" s="500"/>
      <c r="BG82" s="500"/>
      <c r="BH82" s="500"/>
      <c r="BI82" s="500"/>
      <c r="BJ82" s="500"/>
      <c r="BK82" s="500"/>
      <c r="BL82" s="500"/>
      <c r="BM82" s="500"/>
      <c r="BN82" s="500"/>
      <c r="BO82" s="500"/>
      <c r="BP82" s="500"/>
      <c r="BQ82" s="500"/>
      <c r="BR82" s="500"/>
      <c r="BS82" s="500"/>
      <c r="BT82" s="500"/>
      <c r="BU82" s="500"/>
      <c r="BV82" s="500"/>
    </row>
    <row r="83" ht="14.25" customHeight="1">
      <c r="A83" s="500" t="s">
        <v>2450</v>
      </c>
      <c r="B83" s="500"/>
      <c r="C83" s="597" t="s">
        <v>2203</v>
      </c>
      <c r="D83" s="597" t="str">
        <f t="shared" si="146"/>
        <v>BE</v>
      </c>
      <c r="E83" s="603" t="s">
        <v>261</v>
      </c>
      <c r="F83" s="707" t="str">
        <f t="array" ref="F83">INDEX(Industry_Historical_Data!$A$1:$S$3000,MATCH(Industry_Calculation!$C83&amp;Industry_Calculation!$D83,Industry_Historical_Data!$A$1:$A$3000&amp;Industry_Historical_Data!$C$1:$C$3000,0&amp;0),MATCH(Industry_Calculation!F$38,Industry_Historical_Data!$A$1:$S$1,0))/F$85</f>
        <v>#N/A</v>
      </c>
      <c r="G83" s="707" t="str">
        <f t="array" ref="G83">INDEX(Industry_Historical_Data!$A$1:$S$3000,MATCH(Industry_Calculation!$C83&amp;Industry_Calculation!$D83,Industry_Historical_Data!$A$1:$A$3000&amp;Industry_Historical_Data!$C$1:$C$3000,0&amp;0),MATCH(Industry_Calculation!G$38,Industry_Historical_Data!$A$1:$S$1,0))/G$85</f>
        <v>#N/A</v>
      </c>
      <c r="H83" s="715">
        <v>0.0</v>
      </c>
      <c r="I83" s="709">
        <f>H83</f>
        <v>0</v>
      </c>
      <c r="J83" s="684"/>
      <c r="K83" s="603" t="s">
        <v>261</v>
      </c>
      <c r="L83" s="720">
        <f>($N$30*(BF12/$BF$14-AY12/$AY$14)+(AY12/$AY$14))</f>
        <v>0.09</v>
      </c>
      <c r="M83" s="717">
        <v>0.09</v>
      </c>
      <c r="N83" s="719">
        <v>0.0</v>
      </c>
      <c r="O83" s="718">
        <v>0.04</v>
      </c>
      <c r="P83" s="621"/>
      <c r="Q83" s="714"/>
      <c r="R83" s="675"/>
      <c r="S83" s="675"/>
      <c r="T83" s="675"/>
      <c r="U83" s="676"/>
      <c r="V83" s="676"/>
      <c r="W83" s="676"/>
      <c r="X83" s="676"/>
      <c r="Y83" s="676"/>
      <c r="Z83" s="677"/>
      <c r="AA83" s="677"/>
      <c r="AB83" s="677"/>
      <c r="AC83" s="677"/>
      <c r="AD83" s="674"/>
      <c r="AE83" s="679"/>
      <c r="AF83" s="503"/>
      <c r="AG83" s="503"/>
      <c r="AH83" s="506"/>
      <c r="AI83" s="506"/>
      <c r="AJ83" s="506"/>
      <c r="AK83" s="506"/>
      <c r="AL83" s="507"/>
      <c r="AM83" s="507"/>
      <c r="AN83" s="507"/>
      <c r="AO83" s="507"/>
      <c r="AP83" s="507"/>
      <c r="AQ83" s="508"/>
      <c r="AR83" s="508"/>
      <c r="AS83" s="508"/>
      <c r="AT83" s="508"/>
      <c r="AU83" s="508"/>
      <c r="AV83" s="508"/>
      <c r="AW83" s="508"/>
      <c r="AX83" s="508"/>
      <c r="AY83" s="508"/>
      <c r="AZ83" s="509"/>
      <c r="BA83" s="509"/>
      <c r="BB83" s="509"/>
      <c r="BC83" s="500"/>
      <c r="BD83" s="500"/>
      <c r="BE83" s="500"/>
      <c r="BF83" s="500"/>
      <c r="BG83" s="500"/>
      <c r="BH83" s="500"/>
      <c r="BI83" s="500"/>
      <c r="BJ83" s="500"/>
      <c r="BK83" s="500"/>
      <c r="BL83" s="500"/>
      <c r="BM83" s="500"/>
      <c r="BN83" s="500"/>
      <c r="BO83" s="500"/>
      <c r="BP83" s="500"/>
      <c r="BQ83" s="500"/>
      <c r="BR83" s="500"/>
      <c r="BS83" s="500"/>
      <c r="BT83" s="500"/>
      <c r="BU83" s="500"/>
      <c r="BV83" s="500"/>
    </row>
    <row r="84" ht="14.25" customHeight="1">
      <c r="A84" s="500" t="s">
        <v>2451</v>
      </c>
      <c r="B84" s="500"/>
      <c r="C84" s="597" t="s">
        <v>2205</v>
      </c>
      <c r="D84" s="597" t="str">
        <f t="shared" si="146"/>
        <v>BE</v>
      </c>
      <c r="E84" s="603" t="s">
        <v>261</v>
      </c>
      <c r="F84" s="707" t="str">
        <f t="array" ref="F84">INDEX(Industry_Historical_Data!$A$1:$S$3000,MATCH(Industry_Calculation!$C84&amp;Industry_Calculation!$D84,Industry_Historical_Data!$A$1:$A$3000&amp;Industry_Historical_Data!$C$1:$C$3000,0&amp;0),MATCH(Industry_Calculation!F$38,Industry_Historical_Data!$A$1:$S$1,0))/F$85</f>
        <v>#N/A</v>
      </c>
      <c r="G84" s="707" t="str">
        <f t="array" ref="G84">INDEX(Industry_Historical_Data!$A$1:$S$3000,MATCH(Industry_Calculation!$C84&amp;Industry_Calculation!$D84,Industry_Historical_Data!$A$1:$A$3000&amp;Industry_Historical_Data!$C$1:$C$3000,0&amp;0),MATCH(Industry_Calculation!G$38,Industry_Historical_Data!$A$1:$S$1,0))/G$85</f>
        <v>#N/A</v>
      </c>
      <c r="H84" s="715">
        <f t="shared" ref="H84:I84" si="149">1-SUM(H77:H83)</f>
        <v>0</v>
      </c>
      <c r="I84" s="709">
        <f t="shared" si="149"/>
        <v>0</v>
      </c>
      <c r="J84" s="684"/>
      <c r="K84" s="603" t="s">
        <v>261</v>
      </c>
      <c r="L84" s="720">
        <f>($N$29*(BF13/$BF$14-AY13/$AY$14)+(AY13/$AY$14))</f>
        <v>0</v>
      </c>
      <c r="M84" s="722"/>
      <c r="N84" s="719">
        <v>0.0</v>
      </c>
      <c r="O84" s="719" t="str">
        <f>G84</f>
        <v>#N/A</v>
      </c>
      <c r="P84" s="631"/>
      <c r="Q84" s="714"/>
      <c r="R84" s="675"/>
      <c r="S84" s="675"/>
      <c r="T84" s="675"/>
      <c r="U84" s="676"/>
      <c r="V84" s="676"/>
      <c r="W84" s="676"/>
      <c r="X84" s="676"/>
      <c r="Y84" s="676"/>
      <c r="Z84" s="677"/>
      <c r="AA84" s="677"/>
      <c r="AB84" s="677"/>
      <c r="AC84" s="677"/>
      <c r="AD84" s="674"/>
      <c r="AE84" s="679"/>
      <c r="AF84" s="503"/>
      <c r="AG84" s="503"/>
      <c r="AH84" s="506"/>
      <c r="AI84" s="506"/>
      <c r="AJ84" s="506"/>
      <c r="AK84" s="506"/>
      <c r="AL84" s="507"/>
      <c r="AM84" s="507"/>
      <c r="AN84" s="507"/>
      <c r="AO84" s="507"/>
      <c r="AP84" s="507"/>
      <c r="AQ84" s="508"/>
      <c r="AR84" s="508"/>
      <c r="AS84" s="508"/>
      <c r="AT84" s="508"/>
      <c r="AU84" s="508"/>
      <c r="AV84" s="508"/>
      <c r="AW84" s="508"/>
      <c r="AX84" s="508"/>
      <c r="AY84" s="508"/>
      <c r="AZ84" s="509"/>
      <c r="BA84" s="509"/>
      <c r="BB84" s="509"/>
      <c r="BC84" s="500"/>
      <c r="BD84" s="500"/>
      <c r="BE84" s="500"/>
      <c r="BF84" s="500"/>
      <c r="BG84" s="500"/>
      <c r="BH84" s="500"/>
      <c r="BI84" s="500"/>
      <c r="BJ84" s="500"/>
      <c r="BK84" s="500"/>
      <c r="BL84" s="500"/>
      <c r="BM84" s="500"/>
      <c r="BN84" s="500"/>
      <c r="BO84" s="500"/>
      <c r="BP84" s="500"/>
      <c r="BQ84" s="500"/>
      <c r="BR84" s="500"/>
      <c r="BS84" s="500"/>
      <c r="BT84" s="500"/>
      <c r="BU84" s="500"/>
      <c r="BV84" s="500"/>
    </row>
    <row r="85" ht="14.25" customHeight="1">
      <c r="A85" s="500" t="s">
        <v>2452</v>
      </c>
      <c r="B85" s="500"/>
      <c r="C85" s="597" t="s">
        <v>2159</v>
      </c>
      <c r="D85" s="597" t="str">
        <f t="shared" si="146"/>
        <v>BE</v>
      </c>
      <c r="E85" s="603" t="s">
        <v>135</v>
      </c>
      <c r="F85" s="723">
        <f t="array" ref="F85">INDEX(Industry_Historical_Data!$A$1:$S$3000,MATCH(Industry_Calculation!$C85&amp;Industry_Calculation!$D85,Industry_Historical_Data!$A$1:$A$3000&amp;Industry_Historical_Data!$C$1:$C$3000,0&amp;0),MATCH(Industry_Calculation!F$38,Industry_Historical_Data!$A$1:$S$1,0))</f>
        <v>139.5678</v>
      </c>
      <c r="G85" s="723">
        <f t="array" ref="G85">INDEX(Industry_Historical_Data!$A$1:$S$3000,MATCH(Industry_Calculation!$C85&amp;Industry_Calculation!$D85,Industry_Historical_Data!$A$1:$A$3000&amp;Industry_Historical_Data!$C$1:$C$3000,0&amp;0),MATCH(Industry_Calculation!G$38,Industry_Historical_Data!$A$1:$S$1,0))</f>
        <v>138.6691</v>
      </c>
      <c r="H85" s="724">
        <v>139.5678</v>
      </c>
      <c r="I85" s="725">
        <f>H85*G85/F85</f>
        <v>138.6691</v>
      </c>
      <c r="J85" s="674"/>
      <c r="K85" s="726" t="s">
        <v>2453</v>
      </c>
      <c r="L85" s="727">
        <f t="shared" ref="L85:M85" si="150">SUM(L77:L84)</f>
        <v>1</v>
      </c>
      <c r="M85" s="727">
        <f t="shared" si="150"/>
        <v>1</v>
      </c>
      <c r="N85" s="674"/>
      <c r="O85" s="674"/>
      <c r="P85" s="674"/>
      <c r="Q85" s="674"/>
      <c r="R85" s="674"/>
      <c r="S85" s="674"/>
      <c r="T85" s="674"/>
      <c r="U85" s="674"/>
      <c r="V85" s="674"/>
      <c r="W85" s="674"/>
      <c r="X85" s="674"/>
      <c r="Y85" s="674"/>
      <c r="Z85" s="674"/>
      <c r="AA85" s="674"/>
      <c r="AB85" s="674"/>
      <c r="AC85" s="674"/>
      <c r="AD85" s="674"/>
      <c r="AE85" s="679"/>
      <c r="AF85" s="503"/>
      <c r="AG85" s="503"/>
      <c r="AH85" s="506"/>
      <c r="AI85" s="506"/>
      <c r="AJ85" s="506"/>
      <c r="AK85" s="506"/>
      <c r="AL85" s="507"/>
      <c r="AM85" s="507"/>
      <c r="AN85" s="507"/>
      <c r="AO85" s="507"/>
      <c r="AP85" s="507"/>
      <c r="AQ85" s="508"/>
      <c r="AR85" s="508"/>
      <c r="AS85" s="508"/>
      <c r="AT85" s="508"/>
      <c r="AU85" s="508"/>
      <c r="AV85" s="508"/>
      <c r="AW85" s="508"/>
      <c r="AX85" s="508"/>
      <c r="AY85" s="508"/>
      <c r="AZ85" s="509"/>
      <c r="BA85" s="509"/>
      <c r="BB85" s="509"/>
      <c r="BC85" s="500"/>
      <c r="BD85" s="500"/>
      <c r="BE85" s="500"/>
      <c r="BF85" s="500"/>
      <c r="BG85" s="500"/>
      <c r="BH85" s="500"/>
      <c r="BI85" s="500"/>
      <c r="BJ85" s="500"/>
      <c r="BK85" s="500"/>
      <c r="BL85" s="500"/>
      <c r="BM85" s="500"/>
      <c r="BN85" s="500"/>
      <c r="BO85" s="500"/>
      <c r="BP85" s="500"/>
      <c r="BQ85" s="500"/>
      <c r="BR85" s="500"/>
      <c r="BS85" s="500"/>
      <c r="BT85" s="500"/>
      <c r="BU85" s="500"/>
      <c r="BV85" s="500"/>
    </row>
    <row r="86" ht="14.25" customHeight="1">
      <c r="A86" s="500"/>
      <c r="B86" s="500"/>
      <c r="C86" s="500"/>
      <c r="D86" s="500"/>
      <c r="E86" s="500"/>
      <c r="F86" s="500"/>
      <c r="G86" s="726" t="s">
        <v>2453</v>
      </c>
      <c r="H86" s="728">
        <f t="shared" ref="H86:I86" si="151">SUM(H77:H84)</f>
        <v>1</v>
      </c>
      <c r="I86" s="728">
        <f t="shared" si="151"/>
        <v>1</v>
      </c>
      <c r="J86" s="508"/>
      <c r="K86" s="508"/>
      <c r="L86" s="500"/>
      <c r="M86" s="500"/>
      <c r="N86" s="500"/>
      <c r="O86" s="500"/>
      <c r="P86" s="500"/>
      <c r="Q86" s="674"/>
      <c r="R86" s="674"/>
      <c r="S86" s="674"/>
      <c r="T86" s="674"/>
      <c r="U86" s="674"/>
      <c r="V86" s="674"/>
      <c r="W86" s="674"/>
      <c r="X86" s="674"/>
      <c r="Y86" s="674"/>
      <c r="Z86" s="674"/>
      <c r="AA86" s="674"/>
      <c r="AB86" s="674"/>
      <c r="AC86" s="674"/>
      <c r="AD86" s="674"/>
      <c r="AE86" s="679"/>
      <c r="AF86" s="503"/>
      <c r="AG86" s="503"/>
      <c r="AH86" s="506"/>
      <c r="AI86" s="506"/>
      <c r="AJ86" s="506"/>
      <c r="AK86" s="506"/>
      <c r="AL86" s="507"/>
      <c r="AM86" s="507"/>
      <c r="AN86" s="507"/>
      <c r="AO86" s="507"/>
      <c r="AP86" s="507"/>
      <c r="AQ86" s="508"/>
      <c r="AR86" s="508"/>
      <c r="AS86" s="508"/>
      <c r="AT86" s="508"/>
      <c r="AU86" s="508"/>
      <c r="AV86" s="508"/>
      <c r="AW86" s="508"/>
      <c r="AX86" s="508"/>
      <c r="AY86" s="508"/>
      <c r="AZ86" s="509"/>
      <c r="BA86" s="509"/>
      <c r="BB86" s="509"/>
      <c r="BC86" s="500"/>
      <c r="BD86" s="500"/>
      <c r="BE86" s="500"/>
      <c r="BF86" s="500"/>
      <c r="BG86" s="500"/>
      <c r="BH86" s="500"/>
      <c r="BI86" s="500"/>
      <c r="BJ86" s="500"/>
      <c r="BK86" s="500"/>
      <c r="BL86" s="500"/>
      <c r="BM86" s="500"/>
      <c r="BN86" s="500"/>
      <c r="BO86" s="500"/>
      <c r="BP86" s="500"/>
      <c r="BQ86" s="500"/>
      <c r="BR86" s="500"/>
      <c r="BS86" s="500"/>
      <c r="BT86" s="500"/>
      <c r="BU86" s="500"/>
      <c r="BV86" s="500"/>
    </row>
    <row r="87" ht="14.25" customHeight="1">
      <c r="A87" s="500"/>
      <c r="B87" s="500"/>
      <c r="C87" s="500"/>
      <c r="D87" s="500"/>
      <c r="E87" s="500"/>
      <c r="F87" s="500"/>
      <c r="G87" s="500"/>
      <c r="H87" s="500"/>
      <c r="I87" s="500"/>
      <c r="J87" s="500"/>
      <c r="K87" s="508"/>
      <c r="L87" s="500"/>
      <c r="M87" s="500"/>
      <c r="N87" s="500"/>
      <c r="O87" s="586"/>
      <c r="P87" s="500"/>
      <c r="Q87" s="674"/>
      <c r="R87" s="675"/>
      <c r="S87" s="675"/>
      <c r="T87" s="675"/>
      <c r="U87" s="675"/>
      <c r="V87" s="675"/>
      <c r="W87" s="675"/>
      <c r="X87" s="675"/>
      <c r="Y87" s="675"/>
      <c r="Z87" s="675"/>
      <c r="AA87" s="675"/>
      <c r="AB87" s="675"/>
      <c r="AC87" s="675"/>
      <c r="AD87" s="674"/>
      <c r="AE87" s="679"/>
      <c r="AF87" s="503"/>
      <c r="AG87" s="503"/>
      <c r="AH87" s="506"/>
      <c r="AI87" s="506"/>
      <c r="AJ87" s="506"/>
      <c r="AK87" s="506"/>
      <c r="AL87" s="507"/>
      <c r="AM87" s="507"/>
      <c r="AN87" s="507"/>
      <c r="AO87" s="507"/>
      <c r="AP87" s="507"/>
      <c r="AQ87" s="508"/>
      <c r="AR87" s="508"/>
      <c r="AS87" s="508"/>
      <c r="AT87" s="508"/>
      <c r="AU87" s="508"/>
      <c r="AV87" s="508"/>
      <c r="AW87" s="508"/>
      <c r="AX87" s="508"/>
      <c r="AY87" s="508"/>
      <c r="AZ87" s="509"/>
      <c r="BA87" s="509"/>
      <c r="BB87" s="509"/>
      <c r="BC87" s="500"/>
      <c r="BD87" s="500"/>
      <c r="BE87" s="500"/>
      <c r="BF87" s="500"/>
      <c r="BG87" s="500"/>
      <c r="BH87" s="500"/>
      <c r="BI87" s="500"/>
      <c r="BJ87" s="500"/>
      <c r="BK87" s="500"/>
      <c r="BL87" s="500"/>
      <c r="BM87" s="500"/>
      <c r="BN87" s="500"/>
      <c r="BO87" s="500"/>
      <c r="BP87" s="500"/>
      <c r="BQ87" s="500"/>
      <c r="BR87" s="500"/>
      <c r="BS87" s="500"/>
      <c r="BT87" s="500"/>
      <c r="BU87" s="500"/>
      <c r="BV87" s="500"/>
    </row>
    <row r="88" ht="14.25" customHeight="1">
      <c r="A88" s="729" t="s">
        <v>2454</v>
      </c>
      <c r="B88" s="500"/>
      <c r="C88" s="500"/>
      <c r="D88" s="500"/>
      <c r="E88" s="500"/>
      <c r="F88" s="500"/>
      <c r="G88" s="500"/>
      <c r="H88" s="500"/>
      <c r="I88" s="500"/>
      <c r="J88" s="500"/>
      <c r="K88" s="500"/>
      <c r="L88" s="500"/>
      <c r="M88" s="500"/>
      <c r="N88" s="500"/>
      <c r="O88" s="500"/>
      <c r="P88" s="500"/>
      <c r="Q88" s="674"/>
      <c r="R88" s="675"/>
      <c r="S88" s="675"/>
      <c r="T88" s="675"/>
      <c r="U88" s="675"/>
      <c r="V88" s="675"/>
      <c r="W88" s="675"/>
      <c r="X88" s="675"/>
      <c r="Y88" s="675"/>
      <c r="Z88" s="675"/>
      <c r="AA88" s="675"/>
      <c r="AB88" s="675"/>
      <c r="AC88" s="675"/>
      <c r="AD88" s="678"/>
      <c r="AE88" s="679"/>
      <c r="AF88" s="503"/>
      <c r="AG88" s="503"/>
      <c r="AH88" s="506"/>
      <c r="AI88" s="506"/>
      <c r="AJ88" s="506"/>
      <c r="AK88" s="506"/>
      <c r="AL88" s="507"/>
      <c r="AM88" s="507"/>
      <c r="AN88" s="507"/>
      <c r="AO88" s="507"/>
      <c r="AP88" s="507"/>
      <c r="AQ88" s="508"/>
      <c r="AR88" s="508"/>
      <c r="AS88" s="508"/>
      <c r="AT88" s="508"/>
      <c r="AU88" s="508"/>
      <c r="AV88" s="508"/>
      <c r="AW88" s="508"/>
      <c r="AX88" s="508"/>
      <c r="AY88" s="508"/>
      <c r="AZ88" s="509"/>
      <c r="BA88" s="509"/>
      <c r="BB88" s="509"/>
      <c r="BC88" s="500"/>
      <c r="BD88" s="500"/>
      <c r="BE88" s="500"/>
      <c r="BF88" s="500"/>
      <c r="BG88" s="500"/>
      <c r="BH88" s="500"/>
      <c r="BI88" s="500"/>
      <c r="BJ88" s="500"/>
      <c r="BK88" s="500"/>
      <c r="BL88" s="500"/>
      <c r="BM88" s="500"/>
      <c r="BN88" s="500"/>
      <c r="BO88" s="500"/>
      <c r="BP88" s="500"/>
      <c r="BQ88" s="500"/>
      <c r="BR88" s="500"/>
      <c r="BS88" s="500"/>
      <c r="BT88" s="500"/>
      <c r="BU88" s="500"/>
      <c r="BV88" s="500"/>
    </row>
    <row r="89" ht="14.25" customHeight="1">
      <c r="A89" s="8"/>
      <c r="B89" s="500"/>
      <c r="C89" s="500"/>
      <c r="D89" s="500"/>
      <c r="E89" s="500"/>
      <c r="F89" s="500"/>
      <c r="G89" s="500"/>
      <c r="H89" s="500"/>
      <c r="I89" s="500"/>
      <c r="J89" s="500"/>
      <c r="K89" s="500"/>
      <c r="L89" s="500"/>
      <c r="M89" s="500"/>
      <c r="N89" s="536"/>
      <c r="O89" s="536"/>
      <c r="P89" s="536"/>
      <c r="Q89" s="536"/>
      <c r="R89" s="675"/>
      <c r="S89" s="675"/>
      <c r="T89" s="675"/>
      <c r="U89" s="675"/>
      <c r="V89" s="675"/>
      <c r="W89" s="675"/>
      <c r="X89" s="675"/>
      <c r="Y89" s="675"/>
      <c r="Z89" s="675"/>
      <c r="AA89" s="675"/>
      <c r="AB89" s="675"/>
      <c r="AC89" s="675"/>
      <c r="AD89" s="678"/>
      <c r="AE89" s="679"/>
      <c r="AF89" s="503"/>
      <c r="AG89" s="503"/>
      <c r="AH89" s="506"/>
      <c r="AI89" s="506"/>
      <c r="AJ89" s="506"/>
      <c r="AK89" s="506"/>
      <c r="AL89" s="507"/>
      <c r="AM89" s="507"/>
      <c r="AN89" s="507"/>
      <c r="AO89" s="507"/>
      <c r="AP89" s="507"/>
      <c r="AQ89" s="508"/>
      <c r="AR89" s="508"/>
      <c r="AS89" s="508"/>
      <c r="AT89" s="508"/>
      <c r="AU89" s="508"/>
      <c r="AV89" s="508"/>
      <c r="AW89" s="508"/>
      <c r="AX89" s="508"/>
      <c r="AY89" s="508"/>
      <c r="AZ89" s="509"/>
      <c r="BA89" s="509"/>
      <c r="BB89" s="509"/>
      <c r="BC89" s="500"/>
      <c r="BD89" s="500"/>
      <c r="BE89" s="500"/>
      <c r="BF89" s="500"/>
      <c r="BG89" s="500"/>
      <c r="BH89" s="500"/>
      <c r="BI89" s="500"/>
      <c r="BJ89" s="500"/>
      <c r="BK89" s="500"/>
      <c r="BL89" s="500"/>
      <c r="BM89" s="500"/>
      <c r="BN89" s="500"/>
      <c r="BO89" s="500"/>
      <c r="BP89" s="500"/>
      <c r="BQ89" s="500"/>
      <c r="BR89" s="500"/>
      <c r="BS89" s="500"/>
      <c r="BT89" s="500"/>
      <c r="BU89" s="500"/>
      <c r="BV89" s="500"/>
    </row>
    <row r="90" ht="14.25" customHeight="1">
      <c r="A90" s="500"/>
      <c r="B90" s="500"/>
      <c r="C90" s="500"/>
      <c r="D90" s="500"/>
      <c r="E90" s="500"/>
      <c r="F90" s="500"/>
      <c r="G90" s="500"/>
      <c r="H90" s="500"/>
      <c r="I90" s="500"/>
      <c r="J90" s="500"/>
      <c r="K90" s="500"/>
      <c r="L90" s="500"/>
      <c r="M90" s="500"/>
      <c r="N90" s="536"/>
      <c r="O90" s="536"/>
      <c r="P90" s="536"/>
      <c r="Q90" s="536"/>
      <c r="R90" s="675"/>
      <c r="S90" s="675"/>
      <c r="T90" s="675"/>
      <c r="U90" s="675"/>
      <c r="V90" s="675"/>
      <c r="W90" s="675"/>
      <c r="X90" s="675"/>
      <c r="Y90" s="675"/>
      <c r="Z90" s="675"/>
      <c r="AA90" s="675"/>
      <c r="AB90" s="675"/>
      <c r="AC90" s="675"/>
      <c r="AD90" s="678"/>
      <c r="AE90" s="679"/>
      <c r="AF90" s="503"/>
      <c r="AG90" s="503"/>
      <c r="AH90" s="506"/>
      <c r="AI90" s="506"/>
      <c r="AJ90" s="506"/>
      <c r="AK90" s="506"/>
      <c r="AL90" s="507"/>
      <c r="AM90" s="507"/>
      <c r="AN90" s="507"/>
      <c r="AO90" s="507"/>
      <c r="AP90" s="507"/>
      <c r="AQ90" s="508"/>
      <c r="AR90" s="508"/>
      <c r="AS90" s="508"/>
      <c r="AT90" s="508"/>
      <c r="AU90" s="508"/>
      <c r="AV90" s="508"/>
      <c r="AW90" s="508"/>
      <c r="AX90" s="508"/>
      <c r="AY90" s="508"/>
      <c r="AZ90" s="509"/>
      <c r="BA90" s="509"/>
      <c r="BB90" s="509"/>
      <c r="BC90" s="500"/>
      <c r="BD90" s="500"/>
      <c r="BE90" s="500"/>
      <c r="BF90" s="500"/>
      <c r="BG90" s="500"/>
      <c r="BH90" s="500"/>
      <c r="BI90" s="500"/>
      <c r="BJ90" s="500"/>
      <c r="BK90" s="500"/>
      <c r="BL90" s="500"/>
      <c r="BM90" s="500"/>
      <c r="BN90" s="500"/>
      <c r="BO90" s="500"/>
      <c r="BP90" s="500"/>
      <c r="BQ90" s="500"/>
      <c r="BR90" s="500"/>
      <c r="BS90" s="500"/>
      <c r="BT90" s="500"/>
      <c r="BU90" s="500"/>
      <c r="BV90" s="500"/>
    </row>
    <row r="91" ht="14.25" customHeight="1">
      <c r="A91" s="500"/>
      <c r="B91" s="500"/>
      <c r="C91" s="500"/>
      <c r="D91" s="500"/>
      <c r="E91" s="500"/>
      <c r="F91" s="637" t="s">
        <v>2403</v>
      </c>
      <c r="G91" s="638"/>
      <c r="H91" s="637" t="s">
        <v>2077</v>
      </c>
      <c r="I91" s="638"/>
      <c r="J91" s="500"/>
      <c r="K91" s="705"/>
      <c r="L91" s="706"/>
      <c r="M91" s="706"/>
      <c r="N91" s="590" t="s">
        <v>2455</v>
      </c>
      <c r="O91" s="590" t="s">
        <v>2456</v>
      </c>
      <c r="P91" s="536"/>
      <c r="Q91" s="536"/>
      <c r="R91" s="675"/>
      <c r="S91" s="675"/>
      <c r="T91" s="675"/>
      <c r="U91" s="675"/>
      <c r="V91" s="675"/>
      <c r="W91" s="675"/>
      <c r="X91" s="675"/>
      <c r="Y91" s="675"/>
      <c r="Z91" s="675"/>
      <c r="AA91" s="675"/>
      <c r="AB91" s="675"/>
      <c r="AC91" s="675"/>
      <c r="AD91" s="678"/>
      <c r="AE91" s="679"/>
      <c r="AF91" s="503"/>
      <c r="AG91" s="503"/>
      <c r="AH91" s="506"/>
      <c r="AI91" s="506"/>
      <c r="AJ91" s="506"/>
      <c r="AK91" s="506"/>
      <c r="AL91" s="507"/>
      <c r="AM91" s="507"/>
      <c r="AN91" s="507"/>
      <c r="AO91" s="507"/>
      <c r="AP91" s="507"/>
      <c r="AQ91" s="508"/>
      <c r="AR91" s="508"/>
      <c r="AS91" s="508"/>
      <c r="AT91" s="508"/>
      <c r="AU91" s="508"/>
      <c r="AV91" s="508"/>
      <c r="AW91" s="508"/>
      <c r="AX91" s="508"/>
      <c r="AY91" s="508"/>
      <c r="AZ91" s="509"/>
      <c r="BA91" s="509"/>
      <c r="BB91" s="509"/>
      <c r="BC91" s="500"/>
      <c r="BD91" s="500"/>
      <c r="BE91" s="500"/>
      <c r="BF91" s="500"/>
      <c r="BG91" s="500"/>
      <c r="BH91" s="500"/>
      <c r="BI91" s="500"/>
      <c r="BJ91" s="500"/>
      <c r="BK91" s="500"/>
      <c r="BL91" s="500"/>
      <c r="BM91" s="500"/>
      <c r="BN91" s="500"/>
      <c r="BO91" s="500"/>
      <c r="BP91" s="500"/>
      <c r="BQ91" s="500"/>
      <c r="BR91" s="500"/>
      <c r="BS91" s="500"/>
      <c r="BT91" s="500"/>
      <c r="BU91" s="500"/>
      <c r="BV91" s="500"/>
    </row>
    <row r="92" ht="14.25" customHeight="1">
      <c r="A92" s="591" t="s">
        <v>2457</v>
      </c>
      <c r="B92" s="500"/>
      <c r="C92" s="593" t="s">
        <v>2300</v>
      </c>
      <c r="D92" s="594" t="s">
        <v>2301</v>
      </c>
      <c r="E92" s="594" t="s">
        <v>50</v>
      </c>
      <c r="F92" s="594" t="s">
        <v>2458</v>
      </c>
      <c r="G92" s="594" t="s">
        <v>2459</v>
      </c>
      <c r="H92" s="594">
        <v>2015.0</v>
      </c>
      <c r="I92" s="594">
        <v>2019.0</v>
      </c>
      <c r="J92" s="680"/>
      <c r="K92" s="594" t="s">
        <v>50</v>
      </c>
      <c r="L92" s="593">
        <v>2040.0</v>
      </c>
      <c r="M92" s="594">
        <v>2050.0</v>
      </c>
      <c r="N92" s="594">
        <v>2050.0</v>
      </c>
      <c r="O92" s="594">
        <v>2050.0</v>
      </c>
      <c r="P92" s="596" t="s">
        <v>2410</v>
      </c>
      <c r="Q92" s="536"/>
      <c r="R92" s="675"/>
      <c r="S92" s="675"/>
      <c r="T92" s="675"/>
      <c r="U92" s="675"/>
      <c r="V92" s="675"/>
      <c r="W92" s="675"/>
      <c r="X92" s="675"/>
      <c r="Y92" s="675"/>
      <c r="Z92" s="675"/>
      <c r="AA92" s="675"/>
      <c r="AB92" s="675"/>
      <c r="AC92" s="675"/>
      <c r="AD92" s="678"/>
      <c r="AE92" s="679"/>
      <c r="AF92" s="503"/>
      <c r="AG92" s="503"/>
      <c r="AH92" s="506"/>
      <c r="AI92" s="506"/>
      <c r="AJ92" s="506"/>
      <c r="AK92" s="506"/>
      <c r="AL92" s="507"/>
      <c r="AM92" s="507"/>
      <c r="AN92" s="507"/>
      <c r="AO92" s="507"/>
      <c r="AP92" s="507"/>
      <c r="AQ92" s="508"/>
      <c r="AR92" s="508"/>
      <c r="AS92" s="508"/>
      <c r="AT92" s="508"/>
      <c r="AU92" s="508"/>
      <c r="AV92" s="508"/>
      <c r="AW92" s="508"/>
      <c r="AX92" s="508"/>
      <c r="AY92" s="508"/>
      <c r="AZ92" s="509"/>
      <c r="BA92" s="509"/>
      <c r="BB92" s="509"/>
      <c r="BC92" s="500"/>
      <c r="BD92" s="500"/>
      <c r="BE92" s="500"/>
      <c r="BF92" s="500"/>
      <c r="BG92" s="500"/>
      <c r="BH92" s="500"/>
      <c r="BI92" s="500"/>
      <c r="BJ92" s="500"/>
      <c r="BK92" s="500"/>
      <c r="BL92" s="500"/>
      <c r="BM92" s="500"/>
      <c r="BN92" s="500"/>
      <c r="BO92" s="500"/>
      <c r="BP92" s="500"/>
      <c r="BQ92" s="500"/>
      <c r="BR92" s="500"/>
      <c r="BS92" s="500"/>
      <c r="BT92" s="500"/>
      <c r="BU92" s="500"/>
      <c r="BV92" s="500"/>
    </row>
    <row r="93" ht="14.25" customHeight="1">
      <c r="A93" s="500" t="s">
        <v>2444</v>
      </c>
      <c r="B93" s="500"/>
      <c r="C93" s="597" t="s">
        <v>2215</v>
      </c>
      <c r="D93" s="597" t="str">
        <f t="shared" ref="D93:D97" si="152">$D$27</f>
        <v>BE</v>
      </c>
      <c r="E93" s="603" t="s">
        <v>2460</v>
      </c>
      <c r="F93" s="707" t="str">
        <f t="array" ref="F93">INDEX(Industry_Historical_Data!$A$1:$S$3000,MATCH(Industry_Calculation!$C93&amp;Industry_Calculation!$D93,Industry_Historical_Data!$A$1:$A$3000&amp;Industry_Historical_Data!$C$1:$C$3000,0&amp;0),MATCH(Industry_Calculation!F$38,Industry_Historical_Data!$A$1:$S$1,0))/F$85</f>
        <v>#N/A</v>
      </c>
      <c r="G93" s="707" t="str">
        <f t="array" ref="G93">INDEX(Industry_Historical_Data!$A$1:$S$3000,MATCH(Industry_Calculation!$C93&amp;Industry_Calculation!$D93,Industry_Historical_Data!$A$1:$A$3000&amp;Industry_Historical_Data!$C$1:$C$3000,0&amp;0),MATCH(Industry_Calculation!G$38,Industry_Historical_Data!$A$1:$S$1,0))/G$85</f>
        <v>#N/A</v>
      </c>
      <c r="H93" s="730">
        <v>0.892</v>
      </c>
      <c r="I93" s="731">
        <f t="shared" ref="I93:I97" si="153">H93</f>
        <v>0.892</v>
      </c>
      <c r="J93" s="684"/>
      <c r="K93" s="603" t="str">
        <f t="shared" ref="K93:K97" si="154">E93</f>
        <v>TWh/Mt oxygen steel</v>
      </c>
      <c r="L93" s="732">
        <f>H93+(M93-H93)*$N$30</f>
        <v>0</v>
      </c>
      <c r="M93" s="733">
        <v>0.0</v>
      </c>
      <c r="N93" s="734"/>
      <c r="O93" s="735"/>
      <c r="P93" s="607" t="s">
        <v>2461</v>
      </c>
      <c r="Q93" s="536"/>
      <c r="R93" s="675"/>
      <c r="S93" s="675"/>
      <c r="T93" s="675"/>
      <c r="U93" s="675"/>
      <c r="V93" s="675"/>
      <c r="W93" s="675"/>
      <c r="X93" s="675"/>
      <c r="Y93" s="675"/>
      <c r="Z93" s="675"/>
      <c r="AA93" s="675"/>
      <c r="AB93" s="675"/>
      <c r="AC93" s="675"/>
      <c r="AD93" s="678"/>
      <c r="AE93" s="679"/>
      <c r="AF93" s="503"/>
      <c r="AG93" s="503"/>
      <c r="AH93" s="506"/>
      <c r="AI93" s="506"/>
      <c r="AJ93" s="506"/>
      <c r="AK93" s="506"/>
      <c r="AL93" s="507"/>
      <c r="AM93" s="507"/>
      <c r="AN93" s="507"/>
      <c r="AO93" s="507"/>
      <c r="AP93" s="507"/>
      <c r="AQ93" s="508"/>
      <c r="AR93" s="508"/>
      <c r="AS93" s="508"/>
      <c r="AT93" s="508"/>
      <c r="AU93" s="508"/>
      <c r="AV93" s="508"/>
      <c r="AW93" s="508"/>
      <c r="AX93" s="508"/>
      <c r="AY93" s="508"/>
      <c r="AZ93" s="509"/>
      <c r="BA93" s="509"/>
      <c r="BB93" s="509"/>
      <c r="BC93" s="500"/>
      <c r="BD93" s="500"/>
      <c r="BE93" s="500"/>
      <c r="BF93" s="500"/>
      <c r="BG93" s="500"/>
      <c r="BH93" s="500"/>
      <c r="BI93" s="500"/>
      <c r="BJ93" s="500"/>
      <c r="BK93" s="500"/>
      <c r="BL93" s="500"/>
      <c r="BM93" s="500"/>
      <c r="BN93" s="500"/>
      <c r="BO93" s="500"/>
      <c r="BP93" s="500"/>
      <c r="BQ93" s="500"/>
      <c r="BR93" s="500"/>
      <c r="BS93" s="500"/>
      <c r="BT93" s="500"/>
      <c r="BU93" s="500"/>
      <c r="BV93" s="500"/>
    </row>
    <row r="94" ht="14.25" customHeight="1">
      <c r="A94" s="500" t="s">
        <v>2445</v>
      </c>
      <c r="B94" s="500"/>
      <c r="C94" s="597" t="s">
        <v>2221</v>
      </c>
      <c r="D94" s="597" t="str">
        <f t="shared" si="152"/>
        <v>BE</v>
      </c>
      <c r="E94" s="603" t="s">
        <v>2462</v>
      </c>
      <c r="F94" s="707" t="str">
        <f t="array" ref="F94">INDEX(Industry_Historical_Data!$A$1:$S$3000,MATCH(Industry_Calculation!$C94&amp;Industry_Calculation!$D94,Industry_Historical_Data!$A$1:$A$3000&amp;Industry_Historical_Data!$C$1:$C$3000,0&amp;0),MATCH(Industry_Calculation!F$38,Industry_Historical_Data!$A$1:$S$1,0))/F$85</f>
        <v>#N/A</v>
      </c>
      <c r="G94" s="707" t="str">
        <f t="array" ref="G94">INDEX(Industry_Historical_Data!$A$1:$S$3000,MATCH(Industry_Calculation!$C94&amp;Industry_Calculation!$D94,Industry_Historical_Data!$A$1:$A$3000&amp;Industry_Historical_Data!$C$1:$C$3000,0&amp;0),MATCH(Industry_Calculation!G$38,Industry_Historical_Data!$A$1:$S$1,0))/G$85</f>
        <v>#N/A</v>
      </c>
      <c r="H94" s="736">
        <v>0.802</v>
      </c>
      <c r="I94" s="731">
        <f t="shared" si="153"/>
        <v>0.802</v>
      </c>
      <c r="J94" s="684"/>
      <c r="K94" s="603" t="str">
        <f t="shared" si="154"/>
        <v>TWh/TWh FEC chemicals</v>
      </c>
      <c r="L94" s="732">
        <f t="shared" ref="L94:L96" si="155">H94+(M94-H94)*(1-$N$31)</f>
        <v>0.54701</v>
      </c>
      <c r="M94" s="737">
        <v>0.209</v>
      </c>
      <c r="N94" s="738">
        <v>0.0</v>
      </c>
      <c r="O94" s="739">
        <v>1.669</v>
      </c>
      <c r="P94" s="621" t="s">
        <v>2463</v>
      </c>
      <c r="Q94" s="536"/>
      <c r="R94" s="675"/>
      <c r="S94" s="675"/>
      <c r="T94" s="675"/>
      <c r="U94" s="675"/>
      <c r="V94" s="675"/>
      <c r="W94" s="675"/>
      <c r="X94" s="675"/>
      <c r="Y94" s="675"/>
      <c r="Z94" s="675"/>
      <c r="AA94" s="675"/>
      <c r="AB94" s="675"/>
      <c r="AC94" s="675"/>
      <c r="AD94" s="678"/>
      <c r="AE94" s="679"/>
      <c r="AF94" s="503"/>
      <c r="AG94" s="503"/>
      <c r="AH94" s="506"/>
      <c r="AI94" s="506"/>
      <c r="AJ94" s="506"/>
      <c r="AK94" s="506"/>
      <c r="AL94" s="507"/>
      <c r="AM94" s="507"/>
      <c r="AN94" s="507"/>
      <c r="AO94" s="507"/>
      <c r="AP94" s="507"/>
      <c r="AQ94" s="508"/>
      <c r="AR94" s="508"/>
      <c r="AS94" s="508"/>
      <c r="AT94" s="508"/>
      <c r="AU94" s="508"/>
      <c r="AV94" s="508"/>
      <c r="AW94" s="508"/>
      <c r="AX94" s="508"/>
      <c r="AY94" s="508"/>
      <c r="AZ94" s="509"/>
      <c r="BA94" s="509"/>
      <c r="BB94" s="509"/>
      <c r="BC94" s="500"/>
      <c r="BD94" s="500"/>
      <c r="BE94" s="500"/>
      <c r="BF94" s="500"/>
      <c r="BG94" s="500"/>
      <c r="BH94" s="500"/>
      <c r="BI94" s="500"/>
      <c r="BJ94" s="500"/>
      <c r="BK94" s="500"/>
      <c r="BL94" s="500"/>
      <c r="BM94" s="500"/>
      <c r="BN94" s="500"/>
      <c r="BO94" s="500"/>
      <c r="BP94" s="500"/>
      <c r="BQ94" s="500"/>
      <c r="BR94" s="500"/>
      <c r="BS94" s="500"/>
      <c r="BT94" s="500"/>
      <c r="BU94" s="500"/>
      <c r="BV94" s="500"/>
    </row>
    <row r="95" ht="14.25" customHeight="1">
      <c r="A95" s="500" t="s">
        <v>2446</v>
      </c>
      <c r="B95" s="500"/>
      <c r="C95" s="597" t="s">
        <v>2219</v>
      </c>
      <c r="D95" s="597" t="str">
        <f t="shared" si="152"/>
        <v>BE</v>
      </c>
      <c r="E95" s="603" t="s">
        <v>2462</v>
      </c>
      <c r="F95" s="707" t="str">
        <f t="array" ref="F95">INDEX(Industry_Historical_Data!$A$1:$S$3000,MATCH(Industry_Calculation!$C95&amp;Industry_Calculation!$D95,Industry_Historical_Data!$A$1:$A$3000&amp;Industry_Historical_Data!$C$1:$C$3000,0&amp;0),MATCH(Industry_Calculation!F$38,Industry_Historical_Data!$A$1:$S$1,0))/F$85</f>
        <v>#N/A</v>
      </c>
      <c r="G95" s="707" t="str">
        <f t="array" ref="G95">INDEX(Industry_Historical_Data!$A$1:$S$3000,MATCH(Industry_Calculation!$C95&amp;Industry_Calculation!$D95,Industry_Historical_Data!$A$1:$A$3000&amp;Industry_Historical_Data!$C$1:$C$3000,0&amp;0),MATCH(Industry_Calculation!G$38,Industry_Historical_Data!$A$1:$S$1,0))/G$85</f>
        <v>#N/A</v>
      </c>
      <c r="H95" s="736">
        <v>0.138</v>
      </c>
      <c r="I95" s="731">
        <f t="shared" si="153"/>
        <v>0.138</v>
      </c>
      <c r="J95" s="684"/>
      <c r="K95" s="603" t="str">
        <f t="shared" si="154"/>
        <v>TWh/TWh FEC chemicals</v>
      </c>
      <c r="L95" s="732">
        <f t="shared" si="155"/>
        <v>0.09156</v>
      </c>
      <c r="M95" s="737">
        <v>0.03</v>
      </c>
      <c r="N95" s="738">
        <v>0.0</v>
      </c>
      <c r="O95" s="739">
        <v>0.141</v>
      </c>
      <c r="P95" s="621" t="s">
        <v>2463</v>
      </c>
      <c r="Q95" s="536"/>
      <c r="R95" s="675"/>
      <c r="S95" s="675"/>
      <c r="T95" s="675"/>
      <c r="U95" s="675"/>
      <c r="V95" s="675"/>
      <c r="W95" s="675"/>
      <c r="X95" s="675"/>
      <c r="Y95" s="675"/>
      <c r="Z95" s="675"/>
      <c r="AA95" s="675"/>
      <c r="AB95" s="675"/>
      <c r="AC95" s="675"/>
      <c r="AD95" s="678"/>
      <c r="AE95" s="679"/>
      <c r="AF95" s="503"/>
      <c r="AG95" s="503"/>
      <c r="AH95" s="506"/>
      <c r="AI95" s="506"/>
      <c r="AJ95" s="506"/>
      <c r="AK95" s="506"/>
      <c r="AL95" s="507"/>
      <c r="AM95" s="507"/>
      <c r="AN95" s="507"/>
      <c r="AO95" s="507"/>
      <c r="AP95" s="507"/>
      <c r="AQ95" s="508"/>
      <c r="AR95" s="508"/>
      <c r="AS95" s="508"/>
      <c r="AT95" s="508"/>
      <c r="AU95" s="508"/>
      <c r="AV95" s="508"/>
      <c r="AW95" s="508"/>
      <c r="AX95" s="508"/>
      <c r="AY95" s="508"/>
      <c r="AZ95" s="509"/>
      <c r="BA95" s="509"/>
      <c r="BB95" s="509"/>
      <c r="BC95" s="500"/>
      <c r="BD95" s="500"/>
      <c r="BE95" s="500"/>
      <c r="BF95" s="500"/>
      <c r="BG95" s="500"/>
      <c r="BH95" s="500"/>
      <c r="BI95" s="500"/>
      <c r="BJ95" s="500"/>
      <c r="BK95" s="500"/>
      <c r="BL95" s="500"/>
      <c r="BM95" s="500"/>
      <c r="BN95" s="500"/>
      <c r="BO95" s="500"/>
      <c r="BP95" s="500"/>
      <c r="BQ95" s="500"/>
      <c r="BR95" s="500"/>
      <c r="BS95" s="500"/>
      <c r="BT95" s="500"/>
      <c r="BU95" s="500"/>
      <c r="BV95" s="500"/>
    </row>
    <row r="96" ht="14.25" customHeight="1">
      <c r="A96" s="500" t="s">
        <v>2448</v>
      </c>
      <c r="B96" s="500"/>
      <c r="C96" s="597" t="s">
        <v>2217</v>
      </c>
      <c r="D96" s="597" t="str">
        <f t="shared" si="152"/>
        <v>BE</v>
      </c>
      <c r="E96" s="603" t="s">
        <v>2462</v>
      </c>
      <c r="F96" s="707" t="str">
        <f t="array" ref="F96">INDEX(Industry_Historical_Data!$A$1:$S$3000,MATCH(Industry_Calculation!$C96&amp;Industry_Calculation!$D96,Industry_Historical_Data!$A$1:$A$3000&amp;Industry_Historical_Data!$C$1:$C$3000,0&amp;0),MATCH(Industry_Calculation!F$38,Industry_Historical_Data!$A$1:$S$1,0))/F$85</f>
        <v>#N/A</v>
      </c>
      <c r="G96" s="707" t="str">
        <f t="array" ref="G96">INDEX(Industry_Historical_Data!$A$1:$S$3000,MATCH(Industry_Calculation!$C96&amp;Industry_Calculation!$D96,Industry_Historical_Data!$A$1:$A$3000&amp;Industry_Historical_Data!$C$1:$C$3000,0&amp;0),MATCH(Industry_Calculation!G$38,Industry_Historical_Data!$A$1:$S$1,0))/G$85</f>
        <v>#N/A</v>
      </c>
      <c r="H96" s="736">
        <v>0.0</v>
      </c>
      <c r="I96" s="731">
        <f t="shared" si="153"/>
        <v>0</v>
      </c>
      <c r="J96" s="684"/>
      <c r="K96" s="603" t="str">
        <f t="shared" si="154"/>
        <v>TWh/TWh FEC chemicals</v>
      </c>
      <c r="L96" s="732">
        <f t="shared" si="155"/>
        <v>0</v>
      </c>
      <c r="M96" s="737">
        <v>0.0</v>
      </c>
      <c r="N96" s="738"/>
      <c r="O96" s="739"/>
      <c r="P96" s="621"/>
      <c r="Q96" s="536"/>
      <c r="R96" s="675"/>
      <c r="S96" s="675"/>
      <c r="T96" s="675"/>
      <c r="U96" s="675"/>
      <c r="V96" s="675"/>
      <c r="W96" s="675"/>
      <c r="X96" s="675"/>
      <c r="Y96" s="675"/>
      <c r="Z96" s="675"/>
      <c r="AA96" s="675"/>
      <c r="AB96" s="675"/>
      <c r="AC96" s="675"/>
      <c r="AD96" s="678"/>
      <c r="AE96" s="679"/>
      <c r="AF96" s="503"/>
      <c r="AG96" s="503"/>
      <c r="AH96" s="506"/>
      <c r="AI96" s="506"/>
      <c r="AJ96" s="506"/>
      <c r="AK96" s="506"/>
      <c r="AL96" s="507"/>
      <c r="AM96" s="507"/>
      <c r="AN96" s="507"/>
      <c r="AO96" s="507"/>
      <c r="AP96" s="507"/>
      <c r="AQ96" s="508"/>
      <c r="AR96" s="508"/>
      <c r="AS96" s="508"/>
      <c r="AT96" s="508"/>
      <c r="AU96" s="508"/>
      <c r="AV96" s="508"/>
      <c r="AW96" s="508"/>
      <c r="AX96" s="508"/>
      <c r="AY96" s="508"/>
      <c r="AZ96" s="509"/>
      <c r="BA96" s="509"/>
      <c r="BB96" s="509"/>
      <c r="BC96" s="500"/>
      <c r="BD96" s="500"/>
      <c r="BE96" s="500"/>
      <c r="BF96" s="500"/>
      <c r="BG96" s="500"/>
      <c r="BH96" s="500"/>
      <c r="BI96" s="500"/>
      <c r="BJ96" s="500"/>
      <c r="BK96" s="500"/>
      <c r="BL96" s="500"/>
      <c r="BM96" s="500"/>
      <c r="BN96" s="500"/>
      <c r="BO96" s="500"/>
      <c r="BP96" s="500"/>
      <c r="BQ96" s="500"/>
      <c r="BR96" s="500"/>
      <c r="BS96" s="500"/>
      <c r="BT96" s="500"/>
      <c r="BU96" s="500"/>
      <c r="BV96" s="500"/>
    </row>
    <row r="97" ht="14.25" customHeight="1">
      <c r="A97" s="500" t="s">
        <v>2450</v>
      </c>
      <c r="B97" s="500"/>
      <c r="C97" s="597" t="s">
        <v>2223</v>
      </c>
      <c r="D97" s="597" t="str">
        <f t="shared" si="152"/>
        <v>BE</v>
      </c>
      <c r="E97" s="603" t="s">
        <v>2462</v>
      </c>
      <c r="F97" s="707" t="str">
        <f t="array" ref="F97">INDEX(Industry_Historical_Data!$A$1:$S$3000,MATCH(Industry_Calculation!$C97&amp;Industry_Calculation!$D97,Industry_Historical_Data!$A$1:$A$3000&amp;Industry_Historical_Data!$C$1:$C$3000,0&amp;0),MATCH(Industry_Calculation!F$38,Industry_Historical_Data!$A$1:$S$1,0))/F$85</f>
        <v>#N/A</v>
      </c>
      <c r="G97" s="707" t="str">
        <f t="array" ref="G97">INDEX(Industry_Historical_Data!$A$1:$S$3000,MATCH(Industry_Calculation!$C97&amp;Industry_Calculation!$D97,Industry_Historical_Data!$A$1:$A$3000&amp;Industry_Historical_Data!$C$1:$C$3000,0&amp;0),MATCH(Industry_Calculation!G$38,Industry_Historical_Data!$A$1:$S$1,0))/G$85</f>
        <v>#N/A</v>
      </c>
      <c r="H97" s="740">
        <v>0.0</v>
      </c>
      <c r="I97" s="731">
        <f t="shared" si="153"/>
        <v>0</v>
      </c>
      <c r="J97" s="684"/>
      <c r="K97" s="603" t="str">
        <f t="shared" si="154"/>
        <v>TWh/TWh FEC chemicals</v>
      </c>
      <c r="L97" s="732">
        <f>H97+(M97-H97)*$N$31</f>
        <v>0.47595</v>
      </c>
      <c r="M97" s="741">
        <v>0.835</v>
      </c>
      <c r="N97" s="738">
        <v>0.0</v>
      </c>
      <c r="O97" s="739">
        <v>1.129</v>
      </c>
      <c r="P97" s="621" t="s">
        <v>2463</v>
      </c>
      <c r="Q97" s="536"/>
      <c r="R97" s="675"/>
      <c r="S97" s="675"/>
      <c r="T97" s="675"/>
      <c r="U97" s="675"/>
      <c r="V97" s="675"/>
      <c r="W97" s="675"/>
      <c r="X97" s="675"/>
      <c r="Y97" s="675"/>
      <c r="Z97" s="675"/>
      <c r="AA97" s="675"/>
      <c r="AB97" s="675"/>
      <c r="AC97" s="675"/>
      <c r="AD97" s="678"/>
      <c r="AE97" s="679"/>
      <c r="AF97" s="503"/>
      <c r="AG97" s="503"/>
      <c r="AH97" s="503"/>
      <c r="AI97" s="503"/>
      <c r="AJ97" s="503"/>
      <c r="AK97" s="503"/>
      <c r="AL97" s="503"/>
      <c r="AM97" s="507"/>
      <c r="AN97" s="507"/>
      <c r="AO97" s="507"/>
      <c r="AP97" s="507"/>
      <c r="AQ97" s="508"/>
      <c r="AR97" s="508"/>
      <c r="AS97" s="508"/>
      <c r="AT97" s="508"/>
      <c r="AU97" s="508"/>
      <c r="AV97" s="508"/>
      <c r="AW97" s="508"/>
      <c r="AX97" s="508"/>
      <c r="AY97" s="508"/>
      <c r="AZ97" s="509"/>
      <c r="BA97" s="509"/>
      <c r="BB97" s="509"/>
      <c r="BC97" s="500"/>
      <c r="BD97" s="500"/>
      <c r="BE97" s="500"/>
      <c r="BF97" s="500"/>
      <c r="BG97" s="500"/>
      <c r="BH97" s="500"/>
      <c r="BI97" s="500"/>
      <c r="BJ97" s="500"/>
      <c r="BK97" s="500"/>
      <c r="BL97" s="500"/>
      <c r="BM97" s="500"/>
      <c r="BN97" s="500"/>
      <c r="BO97" s="500"/>
      <c r="BP97" s="500"/>
      <c r="BQ97" s="500"/>
      <c r="BR97" s="500"/>
      <c r="BS97" s="500"/>
      <c r="BT97" s="500"/>
      <c r="BU97" s="500"/>
      <c r="BV97" s="500"/>
    </row>
    <row r="98" ht="14.25" customHeight="1">
      <c r="A98" s="674"/>
      <c r="B98" s="674"/>
      <c r="C98" s="674"/>
      <c r="D98" s="674"/>
      <c r="E98" s="674"/>
      <c r="F98" s="674"/>
      <c r="G98" s="674"/>
      <c r="H98" s="674"/>
      <c r="I98" s="674"/>
      <c r="J98" s="674"/>
      <c r="K98" s="674"/>
      <c r="L98" s="726"/>
      <c r="M98" s="726"/>
      <c r="N98" s="674"/>
      <c r="O98" s="674"/>
      <c r="P98" s="674"/>
      <c r="Q98" s="674"/>
      <c r="R98" s="675"/>
      <c r="S98" s="675"/>
      <c r="T98" s="675"/>
      <c r="U98" s="675"/>
      <c r="V98" s="675"/>
      <c r="W98" s="675"/>
      <c r="X98" s="675"/>
      <c r="Y98" s="675"/>
      <c r="Z98" s="675"/>
      <c r="AA98" s="675"/>
      <c r="AB98" s="675"/>
      <c r="AC98" s="675"/>
      <c r="AD98" s="678"/>
      <c r="AE98" s="679"/>
      <c r="AF98" s="503"/>
      <c r="AG98" s="503"/>
      <c r="AH98" s="503"/>
      <c r="AI98" s="503"/>
      <c r="AJ98" s="503"/>
      <c r="AK98" s="503"/>
      <c r="AL98" s="503"/>
      <c r="AM98" s="503"/>
      <c r="AN98" s="503"/>
      <c r="AO98" s="503"/>
      <c r="AP98" s="503"/>
      <c r="AQ98" s="503"/>
      <c r="AR98" s="503"/>
      <c r="AS98" s="503"/>
      <c r="AT98" s="503"/>
      <c r="AU98" s="503"/>
      <c r="AV98" s="503"/>
      <c r="AW98" s="503"/>
      <c r="AX98" s="503"/>
      <c r="AY98" s="503"/>
      <c r="AZ98" s="503"/>
      <c r="BA98" s="503"/>
      <c r="BB98" s="503"/>
      <c r="BC98" s="503"/>
      <c r="BD98" s="503"/>
      <c r="BE98" s="503"/>
      <c r="BF98" s="503"/>
      <c r="BG98" s="503"/>
      <c r="BH98" s="503"/>
      <c r="BI98" s="503"/>
      <c r="BJ98" s="503"/>
      <c r="BK98" s="503"/>
      <c r="BL98" s="503"/>
      <c r="BM98" s="503"/>
      <c r="BN98" s="503"/>
      <c r="BO98" s="503"/>
      <c r="BP98" s="503"/>
      <c r="BQ98" s="503"/>
      <c r="BR98" s="503"/>
      <c r="BS98" s="503"/>
      <c r="BT98" s="503"/>
      <c r="BU98" s="503"/>
      <c r="BV98" s="503"/>
    </row>
    <row r="99" ht="14.25" customHeight="1">
      <c r="A99" s="500"/>
      <c r="B99" s="500"/>
      <c r="C99" s="500"/>
      <c r="D99" s="500"/>
      <c r="E99" s="500"/>
      <c r="F99" s="637" t="s">
        <v>2403</v>
      </c>
      <c r="G99" s="638"/>
      <c r="H99" s="637" t="s">
        <v>2077</v>
      </c>
      <c r="I99" s="638"/>
      <c r="J99" s="500"/>
      <c r="K99" s="705"/>
      <c r="L99" s="706"/>
      <c r="M99" s="706"/>
      <c r="N99" s="590" t="s">
        <v>2455</v>
      </c>
      <c r="O99" s="590" t="s">
        <v>2456</v>
      </c>
      <c r="P99" s="536"/>
      <c r="Q99" s="500"/>
      <c r="R99" s="675"/>
      <c r="S99" s="675"/>
      <c r="T99" s="675"/>
      <c r="U99" s="675"/>
      <c r="V99" s="675"/>
      <c r="W99" s="675"/>
      <c r="X99" s="675"/>
      <c r="Y99" s="675"/>
      <c r="Z99" s="675"/>
      <c r="AA99" s="675"/>
      <c r="AB99" s="675"/>
      <c r="AC99" s="675"/>
      <c r="AD99" s="500"/>
      <c r="AE99" s="679"/>
      <c r="AF99" s="503"/>
      <c r="AG99" s="503"/>
      <c r="AH99" s="504"/>
      <c r="AI99" s="500"/>
      <c r="AJ99" s="500"/>
      <c r="AK99" s="500"/>
      <c r="AL99" s="500"/>
      <c r="AM99" s="500"/>
      <c r="AN99" s="500"/>
      <c r="AO99" s="500"/>
      <c r="AP99" s="500"/>
      <c r="AQ99" s="500"/>
      <c r="AR99" s="500"/>
      <c r="AS99" s="500"/>
      <c r="AT99" s="500"/>
      <c r="AU99" s="500"/>
      <c r="AV99" s="500"/>
      <c r="AW99" s="500"/>
      <c r="AX99" s="500"/>
      <c r="AY99" s="500"/>
      <c r="AZ99" s="500"/>
      <c r="BA99" s="500"/>
      <c r="BB99" s="500"/>
      <c r="BC99" s="500"/>
      <c r="BD99" s="500"/>
      <c r="BE99" s="500"/>
      <c r="BF99" s="500"/>
      <c r="BG99" s="500"/>
      <c r="BH99" s="500"/>
      <c r="BI99" s="500"/>
      <c r="BJ99" s="500"/>
      <c r="BK99" s="500"/>
      <c r="BL99" s="500"/>
      <c r="BM99" s="500"/>
      <c r="BN99" s="500"/>
      <c r="BO99" s="500"/>
      <c r="BP99" s="500"/>
      <c r="BQ99" s="500"/>
      <c r="BR99" s="500"/>
      <c r="BS99" s="500"/>
      <c r="BT99" s="500"/>
      <c r="BU99" s="500"/>
      <c r="BV99" s="500"/>
    </row>
    <row r="100" ht="14.25" customHeight="1">
      <c r="A100" s="591" t="s">
        <v>2464</v>
      </c>
      <c r="B100" s="500"/>
      <c r="C100" s="593" t="s">
        <v>2300</v>
      </c>
      <c r="D100" s="594" t="s">
        <v>2301</v>
      </c>
      <c r="E100" s="594" t="s">
        <v>50</v>
      </c>
      <c r="F100" s="594">
        <v>2015.0</v>
      </c>
      <c r="G100" s="594">
        <v>2019.0</v>
      </c>
      <c r="H100" s="594">
        <v>2015.0</v>
      </c>
      <c r="I100" s="594">
        <v>2019.0</v>
      </c>
      <c r="J100" s="680"/>
      <c r="K100" s="594" t="s">
        <v>50</v>
      </c>
      <c r="L100" s="593">
        <v>2040.0</v>
      </c>
      <c r="M100" s="594">
        <v>2050.0</v>
      </c>
      <c r="N100" s="594">
        <v>2050.0</v>
      </c>
      <c r="O100" s="594">
        <v>2050.0</v>
      </c>
      <c r="P100" s="596" t="s">
        <v>2410</v>
      </c>
      <c r="Q100" s="500"/>
      <c r="R100" s="675"/>
      <c r="S100" s="675"/>
      <c r="T100" s="675"/>
      <c r="U100" s="675"/>
      <c r="V100" s="675"/>
      <c r="W100" s="675"/>
      <c r="X100" s="675"/>
      <c r="Y100" s="675"/>
      <c r="Z100" s="675"/>
      <c r="AA100" s="675"/>
      <c r="AB100" s="675"/>
      <c r="AC100" s="675"/>
      <c r="AD100" s="500"/>
      <c r="AE100" s="679"/>
      <c r="AF100" s="503"/>
      <c r="AG100" s="503"/>
      <c r="AH100" s="504"/>
      <c r="AI100" s="500"/>
      <c r="AJ100" s="500"/>
      <c r="AK100" s="500"/>
      <c r="AL100" s="500"/>
      <c r="AM100" s="500"/>
      <c r="AN100" s="500"/>
      <c r="AO100" s="500"/>
      <c r="AP100" s="500"/>
      <c r="AQ100" s="500"/>
      <c r="AR100" s="500"/>
      <c r="AS100" s="500"/>
      <c r="AT100" s="500"/>
      <c r="AU100" s="500"/>
      <c r="AV100" s="500"/>
      <c r="AW100" s="500"/>
      <c r="AX100" s="500"/>
      <c r="AY100" s="500"/>
      <c r="AZ100" s="500"/>
      <c r="BA100" s="500"/>
      <c r="BB100" s="500"/>
      <c r="BC100" s="500"/>
      <c r="BD100" s="500"/>
      <c r="BE100" s="500"/>
      <c r="BF100" s="500"/>
      <c r="BG100" s="500"/>
      <c r="BH100" s="500"/>
      <c r="BI100" s="500"/>
      <c r="BJ100" s="500"/>
      <c r="BK100" s="500"/>
      <c r="BL100" s="500"/>
      <c r="BM100" s="500"/>
      <c r="BN100" s="500"/>
      <c r="BO100" s="500"/>
      <c r="BP100" s="500"/>
      <c r="BQ100" s="500"/>
      <c r="BR100" s="500"/>
      <c r="BS100" s="500"/>
      <c r="BT100" s="500"/>
      <c r="BU100" s="500"/>
      <c r="BV100" s="500"/>
    </row>
    <row r="101" ht="14.25" customHeight="1">
      <c r="A101" s="500" t="s">
        <v>2452</v>
      </c>
      <c r="B101" s="500"/>
      <c r="C101" s="597" t="s">
        <v>216</v>
      </c>
      <c r="D101" s="597" t="str">
        <f>$D$27</f>
        <v>BE</v>
      </c>
      <c r="E101" s="603" t="s">
        <v>2465</v>
      </c>
      <c r="F101" s="707" t="str">
        <f t="array" ref="F101">INDEX(Industry_Historical_Data!$A$1:$S$3000,MATCH(Industry_Calculation!$C101&amp;Industry_Calculation!$D101,Industry_Historical_Data!$A$1:$A$3000&amp;Industry_Historical_Data!$C$1:$C$3000,0&amp;0),MATCH(Industry_Calculation!F$38,Industry_Historical_Data!$A$1:$S$1,0))/F$85</f>
        <v>#N/A</v>
      </c>
      <c r="G101" s="707" t="str">
        <f t="array" ref="G101">INDEX(Industry_Historical_Data!$A$1:$S$3000,MATCH(Industry_Calculation!$C101&amp;Industry_Calculation!$D101,Industry_Historical_Data!$A$1:$A$3000&amp;Industry_Historical_Data!$C$1:$C$3000,0&amp;0),MATCH(Industry_Calculation!G$38,Industry_Historical_Data!$A$1:$S$1,0))/G$85</f>
        <v>#N/A</v>
      </c>
      <c r="H101" s="742">
        <v>0.0853298952328427</v>
      </c>
      <c r="I101" s="731">
        <f>H101</f>
        <v>0.08532989523</v>
      </c>
      <c r="J101" s="684"/>
      <c r="K101" s="603" t="s">
        <v>2465</v>
      </c>
      <c r="L101" s="732">
        <f>H101+(M101-H101)*$N$28</f>
        <v>0.04569345247</v>
      </c>
      <c r="M101" s="742">
        <v>0.0381436538490923</v>
      </c>
      <c r="N101" s="734">
        <v>-0.0352</v>
      </c>
      <c r="O101" s="735">
        <v>0.0354</v>
      </c>
      <c r="P101" s="621" t="s">
        <v>2466</v>
      </c>
      <c r="Q101" s="500"/>
      <c r="R101" s="675"/>
      <c r="S101" s="675"/>
      <c r="T101" s="675"/>
      <c r="U101" s="675"/>
      <c r="V101" s="675"/>
      <c r="W101" s="675"/>
      <c r="X101" s="675"/>
      <c r="Y101" s="675"/>
      <c r="Z101" s="675"/>
      <c r="AA101" s="675"/>
      <c r="AB101" s="675"/>
      <c r="AC101" s="675"/>
      <c r="AD101" s="500"/>
      <c r="AE101" s="679"/>
      <c r="AF101" s="503"/>
      <c r="AG101" s="503"/>
      <c r="AH101" s="504"/>
      <c r="AI101" s="500"/>
      <c r="AJ101" s="500"/>
      <c r="AK101" s="500"/>
      <c r="AL101" s="500"/>
      <c r="AM101" s="500"/>
      <c r="AN101" s="500"/>
      <c r="AO101" s="500"/>
      <c r="AP101" s="500"/>
      <c r="AQ101" s="500"/>
      <c r="AR101" s="500"/>
      <c r="AS101" s="500"/>
      <c r="AT101" s="500"/>
      <c r="AU101" s="500"/>
      <c r="AV101" s="500"/>
      <c r="AW101" s="500"/>
      <c r="AX101" s="500"/>
      <c r="AY101" s="500"/>
      <c r="AZ101" s="500"/>
      <c r="BA101" s="500"/>
      <c r="BB101" s="500"/>
      <c r="BC101" s="500"/>
      <c r="BD101" s="500"/>
      <c r="BE101" s="500"/>
      <c r="BF101" s="500"/>
      <c r="BG101" s="500"/>
      <c r="BH101" s="500"/>
      <c r="BI101" s="500"/>
      <c r="BJ101" s="500"/>
      <c r="BK101" s="500"/>
      <c r="BL101" s="500"/>
      <c r="BM101" s="500"/>
      <c r="BN101" s="500"/>
      <c r="BO101" s="500"/>
      <c r="BP101" s="500"/>
      <c r="BQ101" s="500"/>
      <c r="BR101" s="500"/>
      <c r="BS101" s="500"/>
      <c r="BT101" s="500"/>
      <c r="BU101" s="500"/>
      <c r="BV101" s="500"/>
    </row>
    <row r="102" ht="14.25" customHeight="1">
      <c r="A102" s="500"/>
      <c r="B102" s="500"/>
      <c r="C102" s="536"/>
      <c r="D102" s="536"/>
      <c r="E102" s="536"/>
      <c r="F102" s="536"/>
      <c r="G102" s="536"/>
      <c r="H102" s="536"/>
      <c r="I102" s="536"/>
      <c r="J102" s="536"/>
      <c r="K102" s="536"/>
      <c r="L102" s="536"/>
      <c r="M102" s="536"/>
      <c r="N102" s="536"/>
      <c r="O102" s="536"/>
      <c r="P102" s="536"/>
      <c r="Q102" s="674"/>
      <c r="R102" s="675"/>
      <c r="S102" s="675"/>
      <c r="T102" s="675"/>
      <c r="U102" s="675"/>
      <c r="V102" s="675"/>
      <c r="W102" s="675"/>
      <c r="X102" s="675"/>
      <c r="Y102" s="675"/>
      <c r="Z102" s="675"/>
      <c r="AA102" s="675"/>
      <c r="AB102" s="675"/>
      <c r="AC102" s="675"/>
      <c r="AD102" s="678"/>
      <c r="AE102" s="679"/>
      <c r="AF102" s="673"/>
      <c r="AG102" s="503"/>
      <c r="AH102" s="503"/>
      <c r="AI102" s="503"/>
      <c r="AJ102" s="503"/>
      <c r="AK102" s="503"/>
      <c r="AL102" s="503"/>
      <c r="AM102" s="507"/>
      <c r="AN102" s="507"/>
      <c r="AO102" s="507"/>
      <c r="AP102" s="507"/>
      <c r="AQ102" s="508"/>
      <c r="AR102" s="508"/>
      <c r="AS102" s="508"/>
      <c r="AT102" s="508"/>
      <c r="AU102" s="508"/>
      <c r="AV102" s="508"/>
      <c r="AW102" s="508"/>
      <c r="AX102" s="508"/>
      <c r="AY102" s="508"/>
      <c r="AZ102" s="509"/>
      <c r="BA102" s="509"/>
      <c r="BB102" s="509"/>
      <c r="BC102" s="500"/>
      <c r="BD102" s="500"/>
      <c r="BE102" s="500"/>
      <c r="BF102" s="500"/>
      <c r="BG102" s="500"/>
      <c r="BH102" s="500"/>
      <c r="BI102" s="500"/>
      <c r="BJ102" s="500"/>
      <c r="BK102" s="500"/>
      <c r="BL102" s="500"/>
      <c r="BM102" s="500"/>
      <c r="BN102" s="500"/>
      <c r="BO102" s="500"/>
      <c r="BP102" s="500"/>
      <c r="BQ102" s="500"/>
      <c r="BR102" s="500"/>
      <c r="BS102" s="500"/>
      <c r="BT102" s="500"/>
      <c r="BU102" s="500"/>
      <c r="BV102" s="500"/>
    </row>
    <row r="103" ht="14.25" customHeight="1">
      <c r="A103" s="500"/>
      <c r="B103" s="500"/>
      <c r="C103" s="500"/>
      <c r="D103" s="500"/>
      <c r="E103" s="500"/>
      <c r="F103" s="500"/>
      <c r="G103" s="500"/>
      <c r="H103" s="500"/>
      <c r="I103" s="500"/>
      <c r="J103" s="500"/>
      <c r="K103" s="500"/>
      <c r="L103" s="500"/>
      <c r="M103" s="500"/>
      <c r="N103" s="500"/>
      <c r="O103" s="500"/>
      <c r="P103" s="500"/>
      <c r="Q103" s="500"/>
      <c r="R103" s="500"/>
      <c r="S103" s="500"/>
      <c r="T103" s="500"/>
      <c r="U103" s="500"/>
      <c r="V103" s="500"/>
      <c r="W103" s="500"/>
      <c r="X103" s="500"/>
      <c r="Y103" s="500"/>
      <c r="Z103" s="501"/>
      <c r="AA103" s="501"/>
      <c r="AB103" s="501"/>
      <c r="AC103" s="501"/>
      <c r="AD103" s="500"/>
      <c r="AE103" s="679"/>
      <c r="AF103" s="503"/>
      <c r="AG103" s="503"/>
      <c r="AH103" s="504"/>
      <c r="AI103" s="500"/>
      <c r="AJ103" s="500"/>
      <c r="AK103" s="500"/>
      <c r="AL103" s="500"/>
      <c r="AM103" s="500"/>
      <c r="AN103" s="500"/>
      <c r="AO103" s="500"/>
      <c r="AP103" s="500"/>
      <c r="AQ103" s="500"/>
      <c r="AR103" s="500"/>
      <c r="AS103" s="500"/>
      <c r="AT103" s="500"/>
      <c r="AU103" s="500"/>
      <c r="AV103" s="500"/>
      <c r="AW103" s="500"/>
      <c r="AX103" s="500"/>
      <c r="AY103" s="500"/>
      <c r="AZ103" s="500"/>
      <c r="BA103" s="500"/>
      <c r="BB103" s="500"/>
      <c r="BC103" s="500"/>
      <c r="BD103" s="500"/>
      <c r="BE103" s="500"/>
      <c r="BF103" s="500"/>
      <c r="BG103" s="500"/>
      <c r="BH103" s="500"/>
      <c r="BI103" s="500"/>
      <c r="BJ103" s="500"/>
      <c r="BK103" s="500"/>
      <c r="BL103" s="500"/>
      <c r="BM103" s="500"/>
      <c r="BN103" s="500"/>
      <c r="BO103" s="500"/>
      <c r="BP103" s="500"/>
      <c r="BQ103" s="500"/>
      <c r="BR103" s="500"/>
      <c r="BS103" s="500"/>
      <c r="BT103" s="500"/>
      <c r="BU103" s="500"/>
      <c r="BV103" s="500"/>
    </row>
    <row r="104" ht="14.25" customHeight="1">
      <c r="A104" s="502"/>
      <c r="B104" s="502"/>
      <c r="C104" s="743"/>
      <c r="D104" s="743"/>
      <c r="E104" s="743"/>
      <c r="F104" s="743"/>
      <c r="G104" s="743"/>
      <c r="H104" s="743"/>
      <c r="I104" s="743"/>
      <c r="J104" s="743"/>
      <c r="K104" s="743"/>
      <c r="L104" s="743"/>
      <c r="M104" s="743"/>
      <c r="N104" s="743"/>
      <c r="O104" s="743"/>
      <c r="P104" s="743"/>
      <c r="Q104" s="744"/>
      <c r="R104" s="743"/>
      <c r="S104" s="743"/>
      <c r="T104" s="743"/>
      <c r="U104" s="745"/>
      <c r="V104" s="745"/>
      <c r="W104" s="745"/>
      <c r="X104" s="745"/>
      <c r="Y104" s="745"/>
      <c r="Z104" s="679"/>
      <c r="AA104" s="679"/>
      <c r="AB104" s="679"/>
      <c r="AC104" s="679"/>
      <c r="AD104" s="679"/>
      <c r="AE104" s="679"/>
      <c r="AF104" s="746"/>
      <c r="AG104" s="747"/>
      <c r="AH104" s="748"/>
      <c r="AI104" s="749"/>
      <c r="AJ104" s="749"/>
      <c r="AK104" s="749"/>
      <c r="AL104" s="750"/>
      <c r="AM104" s="750"/>
      <c r="AN104" s="750"/>
      <c r="AO104" s="750"/>
      <c r="AP104" s="750"/>
      <c r="AQ104" s="751"/>
      <c r="AR104" s="751"/>
      <c r="AS104" s="751"/>
      <c r="AT104" s="751"/>
      <c r="AU104" s="751"/>
      <c r="AV104" s="751"/>
      <c r="AW104" s="751"/>
      <c r="AX104" s="751"/>
      <c r="AY104" s="751"/>
      <c r="AZ104" s="752"/>
      <c r="BA104" s="752"/>
      <c r="BB104" s="752"/>
      <c r="BC104" s="502"/>
      <c r="BD104" s="502"/>
      <c r="BE104" s="502"/>
      <c r="BF104" s="502"/>
      <c r="BG104" s="502"/>
      <c r="BH104" s="502"/>
      <c r="BI104" s="502"/>
      <c r="BJ104" s="502"/>
      <c r="BK104" s="502"/>
      <c r="BL104" s="502"/>
      <c r="BM104" s="502"/>
      <c r="BN104" s="502"/>
      <c r="BO104" s="502"/>
      <c r="BP104" s="502"/>
      <c r="BQ104" s="502"/>
      <c r="BR104" s="502"/>
      <c r="BS104" s="502"/>
      <c r="BT104" s="502"/>
      <c r="BU104" s="502"/>
      <c r="BV104" s="502"/>
    </row>
    <row r="105" ht="14.25" customHeight="1">
      <c r="A105" s="500"/>
      <c r="B105" s="500"/>
      <c r="C105" s="536"/>
      <c r="D105" s="536"/>
      <c r="E105" s="536"/>
      <c r="F105" s="536"/>
      <c r="G105" s="536"/>
      <c r="H105" s="536"/>
      <c r="I105" s="536"/>
      <c r="J105" s="536"/>
      <c r="K105" s="536"/>
      <c r="L105" s="536"/>
      <c r="M105" s="536"/>
      <c r="N105" s="536"/>
      <c r="O105" s="536"/>
      <c r="P105" s="536"/>
      <c r="Q105" s="674"/>
      <c r="R105" s="536"/>
      <c r="S105" s="536"/>
      <c r="T105" s="536"/>
      <c r="U105" s="753"/>
      <c r="V105" s="753"/>
      <c r="W105" s="753"/>
      <c r="X105" s="753"/>
      <c r="Y105" s="753"/>
      <c r="Z105" s="678"/>
      <c r="AA105" s="678"/>
      <c r="AB105" s="678"/>
      <c r="AC105" s="678"/>
      <c r="AD105" s="678"/>
      <c r="AE105" s="679"/>
      <c r="AF105" s="673"/>
      <c r="AG105" s="503"/>
      <c r="AH105" s="505"/>
      <c r="AI105" s="506"/>
      <c r="AJ105" s="506"/>
      <c r="AK105" s="506"/>
      <c r="AL105" s="507"/>
      <c r="AM105" s="507"/>
      <c r="AN105" s="507"/>
      <c r="AO105" s="507"/>
      <c r="AP105" s="507"/>
      <c r="AQ105" s="508"/>
      <c r="AR105" s="508"/>
      <c r="AS105" s="508"/>
      <c r="AT105" s="508"/>
      <c r="AU105" s="508"/>
      <c r="AV105" s="508"/>
      <c r="AW105" s="508"/>
      <c r="AX105" s="508"/>
      <c r="AY105" s="508"/>
      <c r="AZ105" s="509"/>
      <c r="BA105" s="509"/>
      <c r="BB105" s="509"/>
      <c r="BC105" s="500"/>
      <c r="BD105" s="500"/>
      <c r="BE105" s="500"/>
      <c r="BF105" s="500"/>
      <c r="BG105" s="500"/>
      <c r="BH105" s="500"/>
      <c r="BI105" s="500"/>
      <c r="BJ105" s="500"/>
      <c r="BK105" s="500"/>
      <c r="BL105" s="500"/>
      <c r="BM105" s="500"/>
      <c r="BN105" s="500"/>
      <c r="BO105" s="500"/>
      <c r="BP105" s="500"/>
      <c r="BQ105" s="500"/>
      <c r="BR105" s="500"/>
      <c r="BS105" s="500"/>
      <c r="BT105" s="500"/>
      <c r="BU105" s="500"/>
      <c r="BV105" s="500"/>
    </row>
    <row r="106" ht="14.25" customHeight="1">
      <c r="A106" s="500"/>
      <c r="B106" s="500"/>
      <c r="C106" s="536"/>
      <c r="D106" s="536"/>
      <c r="E106" s="536"/>
      <c r="F106" s="536"/>
      <c r="G106" s="536"/>
      <c r="H106" s="536"/>
      <c r="I106" s="536"/>
      <c r="J106" s="536"/>
      <c r="K106" s="536"/>
      <c r="L106" s="536"/>
      <c r="M106" s="536"/>
      <c r="N106" s="536"/>
      <c r="O106" s="536"/>
      <c r="P106" s="536"/>
      <c r="Q106" s="674"/>
      <c r="R106" s="536"/>
      <c r="S106" s="536"/>
      <c r="T106" s="536"/>
      <c r="U106" s="753"/>
      <c r="V106" s="753"/>
      <c r="W106" s="753"/>
      <c r="X106" s="753"/>
      <c r="Y106" s="753"/>
      <c r="Z106" s="678"/>
      <c r="AA106" s="678"/>
      <c r="AB106" s="678"/>
      <c r="AC106" s="678"/>
      <c r="AD106" s="678"/>
      <c r="AE106" s="679"/>
      <c r="AF106" s="673"/>
      <c r="AG106" s="503"/>
      <c r="AH106" s="505" t="s">
        <v>2467</v>
      </c>
      <c r="AI106" s="506"/>
      <c r="AJ106" s="506"/>
      <c r="AK106" s="506"/>
      <c r="AL106" s="507"/>
      <c r="AM106" s="507"/>
      <c r="AN106" s="507"/>
      <c r="AO106" s="507"/>
      <c r="AP106" s="507"/>
      <c r="AQ106" s="508"/>
      <c r="AR106" s="508"/>
      <c r="AS106" s="508"/>
      <c r="AT106" s="508"/>
      <c r="AU106" s="508"/>
      <c r="AV106" s="508"/>
      <c r="AW106" s="508"/>
      <c r="AX106" s="508"/>
      <c r="AY106" s="508"/>
      <c r="AZ106" s="509"/>
      <c r="BA106" s="509"/>
      <c r="BB106" s="509"/>
      <c r="BC106" s="500"/>
      <c r="BD106" s="500"/>
      <c r="BE106" s="500"/>
      <c r="BF106" s="500"/>
      <c r="BG106" s="500"/>
      <c r="BH106" s="500"/>
      <c r="BI106" s="500"/>
      <c r="BJ106" s="500"/>
      <c r="BK106" s="500"/>
      <c r="BL106" s="500"/>
      <c r="BM106" s="500"/>
      <c r="BN106" s="500"/>
      <c r="BO106" s="500"/>
      <c r="BP106" s="500"/>
      <c r="BQ106" s="500"/>
      <c r="BR106" s="500"/>
      <c r="BS106" s="500"/>
      <c r="BT106" s="500"/>
      <c r="BU106" s="500"/>
      <c r="BV106" s="500"/>
    </row>
    <row r="107" ht="14.25" customHeight="1">
      <c r="A107" s="500"/>
      <c r="B107" s="500"/>
      <c r="C107" s="536"/>
      <c r="D107" s="536"/>
      <c r="E107" s="536"/>
      <c r="F107" s="536"/>
      <c r="G107" s="536"/>
      <c r="H107" s="536"/>
      <c r="I107" s="536"/>
      <c r="J107" s="536"/>
      <c r="K107" s="536"/>
      <c r="L107" s="536"/>
      <c r="M107" s="536"/>
      <c r="N107" s="536"/>
      <c r="O107" s="536"/>
      <c r="P107" s="536"/>
      <c r="Q107" s="674"/>
      <c r="R107" s="536"/>
      <c r="S107" s="536"/>
      <c r="T107" s="536"/>
      <c r="U107" s="753"/>
      <c r="V107" s="753"/>
      <c r="W107" s="753"/>
      <c r="X107" s="753"/>
      <c r="Y107" s="753"/>
      <c r="Z107" s="678"/>
      <c r="AA107" s="678"/>
      <c r="AB107" s="678"/>
      <c r="AC107" s="678"/>
      <c r="AD107" s="678"/>
      <c r="AE107" s="679"/>
      <c r="AF107" s="673"/>
      <c r="AG107" s="503"/>
      <c r="AH107" s="505"/>
      <c r="AI107" s="506"/>
      <c r="AJ107" s="506"/>
      <c r="AK107" s="506"/>
      <c r="AL107" s="507"/>
      <c r="AM107" s="507"/>
      <c r="AN107" s="507"/>
      <c r="AO107" s="507"/>
      <c r="AP107" s="507"/>
      <c r="AQ107" s="508"/>
      <c r="AR107" s="508"/>
      <c r="AS107" s="508"/>
      <c r="AT107" s="508"/>
      <c r="AU107" s="508"/>
      <c r="AV107" s="508"/>
      <c r="AW107" s="508"/>
      <c r="AX107" s="508"/>
      <c r="AY107" s="508"/>
      <c r="AZ107" s="509"/>
      <c r="BA107" s="509"/>
      <c r="BB107" s="509"/>
      <c r="BC107" s="500"/>
      <c r="BD107" s="500"/>
      <c r="BE107" s="500"/>
      <c r="BF107" s="500"/>
      <c r="BG107" s="500"/>
      <c r="BH107" s="500"/>
      <c r="BI107" s="500"/>
      <c r="BJ107" s="500"/>
      <c r="BK107" s="500"/>
      <c r="BL107" s="500"/>
      <c r="BM107" s="500"/>
      <c r="BN107" s="500"/>
      <c r="BO107" s="500"/>
      <c r="BP107" s="500"/>
      <c r="BQ107" s="500"/>
      <c r="BR107" s="500"/>
      <c r="BS107" s="500"/>
      <c r="BT107" s="500"/>
      <c r="BU107" s="500"/>
      <c r="BV107" s="500"/>
    </row>
    <row r="108" ht="14.25" customHeight="1">
      <c r="A108" s="500" t="s">
        <v>2468</v>
      </c>
      <c r="B108" s="500"/>
      <c r="C108" s="536"/>
      <c r="D108" s="536"/>
      <c r="E108" s="536"/>
      <c r="F108" s="536"/>
      <c r="G108" s="536"/>
      <c r="H108" s="536"/>
      <c r="I108" s="536"/>
      <c r="J108" s="536"/>
      <c r="K108" s="536"/>
      <c r="L108" s="536"/>
      <c r="M108" s="536"/>
      <c r="N108" s="536"/>
      <c r="O108" s="536"/>
      <c r="P108" s="536"/>
      <c r="Q108" s="674"/>
      <c r="R108" s="536"/>
      <c r="S108" s="536"/>
      <c r="T108" s="536"/>
      <c r="U108" s="753"/>
      <c r="V108" s="753"/>
      <c r="W108" s="753"/>
      <c r="X108" s="753"/>
      <c r="Y108" s="753"/>
      <c r="Z108" s="678"/>
      <c r="AA108" s="678"/>
      <c r="AB108" s="678"/>
      <c r="AC108" s="678"/>
      <c r="AD108" s="678"/>
      <c r="AE108" s="679"/>
      <c r="AF108" s="673"/>
      <c r="AG108" s="673"/>
      <c r="AH108" s="506"/>
      <c r="AI108" s="506"/>
      <c r="AJ108" s="506"/>
      <c r="AK108" s="506"/>
      <c r="AL108" s="510" t="s">
        <v>2291</v>
      </c>
      <c r="AM108" s="112"/>
      <c r="AN108" s="112"/>
      <c r="AO108" s="112"/>
      <c r="AP108" s="112"/>
      <c r="AQ108" s="112"/>
      <c r="AR108" s="112"/>
      <c r="AS108" s="112"/>
      <c r="AT108" s="112"/>
      <c r="AU108" s="112"/>
      <c r="AV108" s="511"/>
      <c r="AW108" s="512" t="s">
        <v>2292</v>
      </c>
      <c r="AX108" s="112"/>
      <c r="AY108" s="112"/>
      <c r="AZ108" s="112"/>
      <c r="BA108" s="112"/>
      <c r="BB108" s="511"/>
      <c r="BC108" s="500"/>
      <c r="BD108" s="754"/>
      <c r="BE108" s="754"/>
      <c r="BF108" s="754"/>
      <c r="BG108" s="754"/>
      <c r="BH108" s="754"/>
      <c r="BI108" s="754"/>
      <c r="BJ108" s="754"/>
      <c r="BK108" s="754"/>
      <c r="BL108" s="754"/>
      <c r="BM108" s="754"/>
      <c r="BN108" s="754"/>
      <c r="BO108" s="754"/>
      <c r="BP108" s="754"/>
      <c r="BQ108" s="754"/>
      <c r="BR108" s="754"/>
      <c r="BS108" s="754"/>
      <c r="BT108" s="754"/>
      <c r="BU108" s="754"/>
      <c r="BV108" s="500"/>
    </row>
    <row r="109" ht="26.25" customHeight="1">
      <c r="A109" s="500"/>
      <c r="B109" s="500"/>
      <c r="C109" s="536"/>
      <c r="D109" s="536"/>
      <c r="E109" s="536"/>
      <c r="F109" s="633" t="s">
        <v>2076</v>
      </c>
      <c r="G109" s="633" t="s">
        <v>2077</v>
      </c>
      <c r="H109" s="633" t="s">
        <v>2076</v>
      </c>
      <c r="I109" s="633" t="s">
        <v>2077</v>
      </c>
      <c r="J109" s="633"/>
      <c r="K109" s="633" t="s">
        <v>2077</v>
      </c>
      <c r="L109" s="633" t="s">
        <v>2077</v>
      </c>
      <c r="M109" s="633" t="s">
        <v>2077</v>
      </c>
      <c r="N109" s="500"/>
      <c r="O109" s="500"/>
      <c r="P109" s="536"/>
      <c r="Q109" s="508"/>
      <c r="R109" s="590" t="s">
        <v>2403</v>
      </c>
      <c r="S109" s="590" t="s">
        <v>2077</v>
      </c>
      <c r="T109" s="755"/>
      <c r="U109" s="500"/>
      <c r="V109" s="500"/>
      <c r="W109" s="500"/>
      <c r="X109" s="500"/>
      <c r="Y109" s="500"/>
      <c r="Z109" s="756"/>
      <c r="AA109" s="756"/>
      <c r="AB109" s="756"/>
      <c r="AC109" s="756"/>
      <c r="AD109" s="678"/>
      <c r="AE109" s="679"/>
      <c r="AF109" s="503"/>
      <c r="AG109" s="503"/>
      <c r="AH109" s="500"/>
      <c r="AI109" s="500"/>
      <c r="AJ109" s="500"/>
      <c r="AK109" s="500"/>
      <c r="AL109" s="757" t="s">
        <v>2469</v>
      </c>
      <c r="AM109" s="519"/>
      <c r="AN109" s="519"/>
      <c r="AO109" s="519"/>
      <c r="AP109" s="516"/>
      <c r="AQ109" s="758" t="s">
        <v>2294</v>
      </c>
      <c r="AR109" s="759" t="s">
        <v>2469</v>
      </c>
      <c r="AS109" s="519"/>
      <c r="AT109" s="516"/>
      <c r="AU109" s="758" t="s">
        <v>2294</v>
      </c>
      <c r="AV109" s="760" t="s">
        <v>2295</v>
      </c>
      <c r="AW109" s="516"/>
      <c r="AX109" s="761" t="s">
        <v>2470</v>
      </c>
      <c r="AY109" s="18"/>
      <c r="AZ109" s="18"/>
      <c r="BA109" s="19"/>
      <c r="BB109" s="762" t="s">
        <v>2297</v>
      </c>
      <c r="BC109" s="500"/>
      <c r="BD109" s="754"/>
      <c r="BE109" s="754"/>
      <c r="BF109" s="754"/>
      <c r="BG109" s="754"/>
      <c r="BH109" s="754"/>
      <c r="BI109" s="754"/>
      <c r="BJ109" s="754"/>
      <c r="BK109" s="754"/>
      <c r="BL109" s="754"/>
      <c r="BM109" s="754"/>
      <c r="BN109" s="754"/>
      <c r="BO109" s="754"/>
      <c r="BP109" s="754"/>
      <c r="BQ109" s="754"/>
      <c r="BR109" s="754"/>
      <c r="BS109" s="754"/>
      <c r="BT109" s="754"/>
      <c r="BU109" s="754"/>
      <c r="BV109" s="500"/>
    </row>
    <row r="110" ht="14.25" customHeight="1">
      <c r="A110" s="763" t="s">
        <v>2300</v>
      </c>
      <c r="B110" s="763"/>
      <c r="C110" s="764" t="s">
        <v>2299</v>
      </c>
      <c r="D110" s="764" t="s">
        <v>2301</v>
      </c>
      <c r="E110" s="764" t="s">
        <v>50</v>
      </c>
      <c r="F110" s="765" t="s">
        <v>2458</v>
      </c>
      <c r="G110" s="765">
        <v>2015.0</v>
      </c>
      <c r="H110" s="765" t="s">
        <v>2459</v>
      </c>
      <c r="I110" s="765">
        <v>2019.0</v>
      </c>
      <c r="J110" s="765"/>
      <c r="K110" s="765">
        <v>2030.0</v>
      </c>
      <c r="L110" s="763">
        <v>2040.0</v>
      </c>
      <c r="M110" s="763">
        <v>2050.0</v>
      </c>
      <c r="N110" s="763"/>
      <c r="O110" s="763"/>
      <c r="P110" s="764" t="s">
        <v>2299</v>
      </c>
      <c r="Q110" s="765" t="s">
        <v>50</v>
      </c>
      <c r="R110" s="765">
        <v>2019.0</v>
      </c>
      <c r="S110" s="594">
        <v>2019.0</v>
      </c>
      <c r="T110" s="763" t="s">
        <v>2471</v>
      </c>
      <c r="U110" s="765" t="s">
        <v>2472</v>
      </c>
      <c r="V110" s="765" t="s">
        <v>2473</v>
      </c>
      <c r="W110" s="765" t="s">
        <v>2474</v>
      </c>
      <c r="X110" s="766">
        <v>2030.0</v>
      </c>
      <c r="Y110" s="766">
        <v>2035.0</v>
      </c>
      <c r="Z110" s="766">
        <v>2040.0</v>
      </c>
      <c r="AA110" s="766">
        <v>2045.0</v>
      </c>
      <c r="AB110" s="766">
        <v>2050.0</v>
      </c>
      <c r="AC110" s="767"/>
      <c r="AD110" s="678"/>
      <c r="AE110" s="679"/>
      <c r="AF110" s="673"/>
      <c r="AG110" s="673"/>
      <c r="AH110" s="522" t="s">
        <v>2299</v>
      </c>
      <c r="AI110" s="523" t="s">
        <v>50</v>
      </c>
      <c r="AJ110" s="524" t="s">
        <v>2300</v>
      </c>
      <c r="AK110" s="523" t="s">
        <v>2301</v>
      </c>
      <c r="AL110" s="525">
        <v>2010.0</v>
      </c>
      <c r="AM110" s="527">
        <v>2011.0</v>
      </c>
      <c r="AN110" s="527">
        <v>2012.0</v>
      </c>
      <c r="AO110" s="527">
        <v>2013.0</v>
      </c>
      <c r="AP110" s="527">
        <v>2014.0</v>
      </c>
      <c r="AQ110" s="527">
        <v>2015.0</v>
      </c>
      <c r="AR110" s="527">
        <v>2016.0</v>
      </c>
      <c r="AS110" s="527">
        <v>2017.0</v>
      </c>
      <c r="AT110" s="527">
        <v>2018.0</v>
      </c>
      <c r="AU110" s="527">
        <v>2019.0</v>
      </c>
      <c r="AV110" s="527">
        <v>2020.0</v>
      </c>
      <c r="AW110" s="768">
        <v>2025.0</v>
      </c>
      <c r="AX110" s="531">
        <v>2030.0</v>
      </c>
      <c r="AY110" s="531">
        <v>2035.0</v>
      </c>
      <c r="AZ110" s="533">
        <v>2040.0</v>
      </c>
      <c r="BA110" s="533">
        <v>2045.0</v>
      </c>
      <c r="BB110" s="534">
        <v>2050.0</v>
      </c>
      <c r="BC110" s="506"/>
      <c r="BD110" s="754"/>
      <c r="BE110" s="754"/>
      <c r="BF110" s="754"/>
      <c r="BG110" s="754"/>
      <c r="BH110" s="754"/>
      <c r="BI110" s="754"/>
      <c r="BJ110" s="754"/>
      <c r="BK110" s="754"/>
      <c r="BL110" s="754"/>
      <c r="BM110" s="754"/>
      <c r="BN110" s="754"/>
      <c r="BO110" s="754"/>
      <c r="BP110" s="754"/>
      <c r="BQ110" s="754"/>
      <c r="BR110" s="754"/>
      <c r="BS110" s="754"/>
      <c r="BT110" s="754"/>
      <c r="BU110" s="754"/>
      <c r="BV110" s="506"/>
    </row>
    <row r="111" ht="14.25" customHeight="1">
      <c r="A111" s="500" t="s">
        <v>2084</v>
      </c>
      <c r="B111" s="500"/>
      <c r="C111" s="536" t="s">
        <v>2475</v>
      </c>
      <c r="D111" s="500" t="str">
        <f t="shared" ref="D111:D116" si="159">$D$27</f>
        <v>BE</v>
      </c>
      <c r="E111" s="769" t="str">
        <f t="shared" ref="E111:F111" si="156">E39</f>
        <v>kt</v>
      </c>
      <c r="F111" s="770">
        <f t="shared" si="156"/>
        <v>7257</v>
      </c>
      <c r="G111" s="771">
        <f>H39</f>
        <v>7257</v>
      </c>
      <c r="H111" s="771">
        <f>G39</f>
        <v>7760</v>
      </c>
      <c r="I111" s="771">
        <f>I39</f>
        <v>7760</v>
      </c>
      <c r="J111" s="633"/>
      <c r="K111" s="772">
        <f t="shared" ref="K111:K116" si="161">I111+(M111-I111)*U111</f>
        <v>7059.718</v>
      </c>
      <c r="L111" s="772">
        <f t="shared" ref="L111:M111" si="157">$G111*INDEX($A$38:$M$46,MATCH($A111,$C$38:$C$46,0),MATCH(L$110,$A$38:$M$38,0))/100</f>
        <v>6342.618</v>
      </c>
      <c r="M111" s="772">
        <f t="shared" si="157"/>
        <v>6168.45</v>
      </c>
      <c r="N111" s="773" t="s">
        <v>2139</v>
      </c>
      <c r="O111" s="602" t="s">
        <v>2162</v>
      </c>
      <c r="P111" s="536" t="str">
        <f>VLOOKUP(C63,Industry_Historical_Data!$A$2:$B$1097,2,0)</f>
        <v>Final consumption of steel industry</v>
      </c>
      <c r="Q111" s="508" t="str">
        <f t="shared" ref="Q111:Q120" si="163">E63</f>
        <v>TWh</v>
      </c>
      <c r="R111" s="774">
        <f t="shared" ref="R111:R121" si="164">G63</f>
        <v>30.657</v>
      </c>
      <c r="S111" s="775">
        <f t="shared" ref="S111:S121" si="165">I63</f>
        <v>30.68522649</v>
      </c>
      <c r="T111" s="500" t="str">
        <f t="shared" ref="T111:T121" si="166">$D$27</f>
        <v>BE</v>
      </c>
      <c r="U111" s="776">
        <f t="shared" ref="U111:U121" si="167">$L$28</f>
        <v>0.44</v>
      </c>
      <c r="V111" s="776">
        <f t="shared" ref="V111:V121" si="168">$M$28</f>
        <v>0.67</v>
      </c>
      <c r="W111" s="776">
        <f t="shared" ref="W111:W121" si="169">$O$28</f>
        <v>0.97</v>
      </c>
      <c r="X111" s="775">
        <f t="shared" ref="X111:X117" si="170">S111+(AB111-S111)*U111</f>
        <v>23.42619824</v>
      </c>
      <c r="Y111" s="777">
        <f t="shared" ref="Y111:Y117" si="171">S111+(AB111-S111)*V111</f>
        <v>19.63170619</v>
      </c>
      <c r="Z111" s="775">
        <f t="shared" ref="Z111:Z116" si="172">IF($A111=0,$S111*INDEX($A$62:$M$87,MATCH($O111,$C$62:$C$87,0),MATCH(Z$110,$A$62:$M$62,0))/100,$G111*INDEX($A$38:$M$46,MATCH($A111,$C$38:$C$46,0),MATCH(Z$110,$A$38:$M$38,0))/100*INDEX($A$50:$M$58,MATCH($N111,$C$50:$C$58,0),MATCH(Z$110,$A$50:$M$50,0))/1000000)</f>
        <v>16.22168822</v>
      </c>
      <c r="AA111" s="777">
        <f t="shared" ref="AA111:AA117" si="173">S111+(AB111-S111)*W111</f>
        <v>14.68236874</v>
      </c>
      <c r="AB111" s="775">
        <f t="shared" ref="AB111:AB116" si="174">IF($A111=0,$S111*INDEX($A$62:$M$87,MATCH($O111,$C$62:$C$87,0),MATCH(AB$110,$A$62:$M$62,0))/100,$G111*INDEX($A$38:$M$46,MATCH($A111,$C$38:$C$46,0),MATCH(AB$110,$A$38:$M$38,0))/100*INDEX($A$50:$M$58,MATCH($N111,$C$50:$C$58,0),MATCH(AB$110,$A$50:$M$50,0))/1000000)</f>
        <v>14.187435</v>
      </c>
      <c r="AC111" s="778"/>
      <c r="AD111" s="500"/>
      <c r="AE111" s="679"/>
      <c r="AF111" s="503"/>
      <c r="AG111" s="503"/>
      <c r="AH111" s="535" t="s">
        <v>2303</v>
      </c>
      <c r="AI111" s="536" t="s">
        <v>135</v>
      </c>
      <c r="AJ111" s="500" t="s">
        <v>2162</v>
      </c>
      <c r="AK111" s="500" t="str">
        <f t="shared" ref="AK111:AK121" si="175">$D$27</f>
        <v>BE</v>
      </c>
      <c r="AL111" s="779">
        <f t="array" ref="AL111">INDEX(Industry_Historical_Data!$A$1:$S$3000,MATCH(Industry_Calculation!$AJ111&amp;Industry_Calculation!$AK111,Industry_Historical_Data!$A$1:$A$3000&amp;Industry_Historical_Data!$C$1:$C$3000,0&amp;0),MATCH(Industry_Calculation!AL$110,Industry_Historical_Data!$A$1:$S$1,0))</f>
        <v>29.9024</v>
      </c>
      <c r="AM111" s="780">
        <f t="array" ref="AM111">INDEX(Industry_Historical_Data!$A$1:$S$3000,MATCH(Industry_Calculation!$AJ111&amp;Industry_Calculation!$AK111,Industry_Historical_Data!$A$1:$A$3000&amp;Industry_Historical_Data!$C$1:$C$3000,0&amp;0),MATCH(Industry_Calculation!AM$110,Industry_Historical_Data!$A$1:$S$1,0))</f>
        <v>28.9434</v>
      </c>
      <c r="AN111" s="780">
        <f t="array" ref="AN111">INDEX(Industry_Historical_Data!$A$1:$S$3000,MATCH(Industry_Calculation!$AJ111&amp;Industry_Calculation!$AK111,Industry_Historical_Data!$A$1:$A$3000&amp;Industry_Historical_Data!$C$1:$C$3000,0&amp;0),MATCH(Industry_Calculation!AN$110,Industry_Historical_Data!$A$1:$S$1,0))</f>
        <v>25.8617</v>
      </c>
      <c r="AO111" s="780">
        <f t="array" ref="AO111">INDEX(Industry_Historical_Data!$A$1:$S$3000,MATCH(Industry_Calculation!$AJ111&amp;Industry_Calculation!$AK111,Industry_Historical_Data!$A$1:$A$3000&amp;Industry_Historical_Data!$C$1:$C$3000,0&amp;0),MATCH(Industry_Calculation!AO$110,Industry_Historical_Data!$A$1:$S$1,0))</f>
        <v>27.845</v>
      </c>
      <c r="AP111" s="780">
        <f t="array" ref="AP111">INDEX(Industry_Historical_Data!$A$1:$S$3000,MATCH(Industry_Calculation!$AJ111&amp;Industry_Calculation!$AK111,Industry_Historical_Data!$A$1:$A$3000&amp;Industry_Historical_Data!$C$1:$C$3000,0&amp;0),MATCH(Industry_Calculation!AP$110,Industry_Historical_Data!$A$1:$S$1,0))</f>
        <v>27.5206</v>
      </c>
      <c r="AQ111" s="781">
        <f t="shared" ref="AQ111:AQ121" si="176">H63</f>
        <v>28.3735</v>
      </c>
      <c r="AR111" s="780">
        <f t="array" ref="AR111">INDEX(Industry_Historical_Data!$A$1:$S$3000,MATCH(Industry_Calculation!$AJ111&amp;Industry_Calculation!$AK111,Industry_Historical_Data!$A$1:$A$3000&amp;Industry_Historical_Data!$C$1:$C$3000,0&amp;0),MATCH(Industry_Calculation!AR$110,Industry_Historical_Data!$A$1:$S$1,0))</f>
        <v>30.9933</v>
      </c>
      <c r="AS111" s="780">
        <f t="array" ref="AS111">INDEX(Industry_Historical_Data!$A$1:$S$3000,MATCH(Industry_Calculation!$AJ111&amp;Industry_Calculation!$AK111,Industry_Historical_Data!$A$1:$A$3000&amp;Industry_Historical_Data!$C$1:$C$3000,0&amp;0),MATCH(Industry_Calculation!AS$110,Industry_Historical_Data!$A$1:$S$1,0))</f>
        <v>31.4432</v>
      </c>
      <c r="AT111" s="780">
        <f t="array" ref="AT111">INDEX(Industry_Historical_Data!$A$1:$S$3000,MATCH(Industry_Calculation!$AJ111&amp;Industry_Calculation!$AK111,Industry_Historical_Data!$A$1:$A$3000&amp;Industry_Historical_Data!$C$1:$C$3000,0&amp;0),MATCH(Industry_Calculation!AT$110,Industry_Historical_Data!$A$1:$S$1,0))</f>
        <v>31.3777</v>
      </c>
      <c r="AU111" s="781">
        <f t="shared" ref="AU111:AU121" si="177">S111</f>
        <v>30.68522649</v>
      </c>
      <c r="AV111" s="782">
        <f t="shared" ref="AV111:AV121" si="178">I63</f>
        <v>30.68522649</v>
      </c>
      <c r="AW111" s="783">
        <f t="shared" ref="AW111:AW121" si="179">S111+(AB111-S111)*13%</f>
        <v>28.5405136</v>
      </c>
      <c r="AX111" s="784">
        <f t="shared" ref="AX111:BB111" si="158">X111</f>
        <v>23.42619824</v>
      </c>
      <c r="AY111" s="784">
        <f t="shared" si="158"/>
        <v>19.63170619</v>
      </c>
      <c r="AZ111" s="784">
        <f t="shared" si="158"/>
        <v>16.22168822</v>
      </c>
      <c r="BA111" s="784">
        <f t="shared" si="158"/>
        <v>14.68236874</v>
      </c>
      <c r="BB111" s="785">
        <f t="shared" si="158"/>
        <v>14.187435</v>
      </c>
      <c r="BC111" s="509"/>
      <c r="BD111" s="754"/>
      <c r="BE111" s="754"/>
      <c r="BF111" s="754"/>
      <c r="BG111" s="754"/>
      <c r="BH111" s="754"/>
      <c r="BI111" s="754"/>
      <c r="BJ111" s="754"/>
      <c r="BK111" s="754"/>
      <c r="BL111" s="754"/>
      <c r="BM111" s="754"/>
      <c r="BN111" s="754"/>
      <c r="BO111" s="754"/>
      <c r="BP111" s="754"/>
      <c r="BQ111" s="754"/>
      <c r="BR111" s="754"/>
      <c r="BS111" s="754"/>
      <c r="BT111" s="754"/>
      <c r="BU111" s="754"/>
      <c r="BV111" s="500"/>
    </row>
    <row r="112" ht="14.25" customHeight="1">
      <c r="A112" s="500" t="s">
        <v>2092</v>
      </c>
      <c r="B112" s="500"/>
      <c r="C112" s="536" t="s">
        <v>2476</v>
      </c>
      <c r="D112" s="500" t="str">
        <f t="shared" si="159"/>
        <v>BE</v>
      </c>
      <c r="E112" s="769" t="str">
        <f t="shared" ref="E112:F112" si="160">E42</f>
        <v>kt</v>
      </c>
      <c r="F112" s="770">
        <f t="shared" si="160"/>
        <v>6275</v>
      </c>
      <c r="G112" s="771">
        <f t="shared" ref="G112:G116" si="182">H42</f>
        <v>6275</v>
      </c>
      <c r="H112" s="771">
        <f t="shared" ref="H112:H116" si="183">G42</f>
        <v>6773</v>
      </c>
      <c r="I112" s="771">
        <f t="shared" ref="I112:I116" si="184">I42</f>
        <v>6773</v>
      </c>
      <c r="J112" s="633"/>
      <c r="K112" s="772">
        <f t="shared" si="161"/>
        <v>5863.63</v>
      </c>
      <c r="L112" s="772">
        <f t="shared" ref="L112:M112" si="162">$G112*INDEX($A$38:$M$46,MATCH($A112,$C$38:$C$46,0),MATCH(L$110,$A$38:$M$38,0))/100</f>
        <v>4957.25</v>
      </c>
      <c r="M112" s="772">
        <f t="shared" si="162"/>
        <v>4706.25</v>
      </c>
      <c r="N112" s="773" t="s">
        <v>2147</v>
      </c>
      <c r="O112" s="602" t="s">
        <v>2170</v>
      </c>
      <c r="P112" s="536" t="str">
        <f>VLOOKUP(C64,Industry_Historical_Data!$A$2:$B$1097,2,0)</f>
        <v>Final consumption of cement industry</v>
      </c>
      <c r="Q112" s="508" t="str">
        <f t="shared" si="163"/>
        <v>TWh</v>
      </c>
      <c r="R112" s="774">
        <f t="shared" si="164"/>
        <v>6.1239</v>
      </c>
      <c r="S112" s="775">
        <f t="shared" si="165"/>
        <v>6.123567197</v>
      </c>
      <c r="T112" s="500" t="str">
        <f t="shared" si="166"/>
        <v>BE</v>
      </c>
      <c r="U112" s="776">
        <f t="shared" si="167"/>
        <v>0.44</v>
      </c>
      <c r="V112" s="776">
        <f t="shared" si="168"/>
        <v>0.67</v>
      </c>
      <c r="W112" s="776">
        <f t="shared" si="169"/>
        <v>0.97</v>
      </c>
      <c r="X112" s="775">
        <f t="shared" si="170"/>
        <v>4.775185131</v>
      </c>
      <c r="Y112" s="777">
        <f t="shared" si="171"/>
        <v>4.07034905</v>
      </c>
      <c r="Z112" s="775">
        <f t="shared" si="172"/>
        <v>3.4043865</v>
      </c>
      <c r="AA112" s="777">
        <f t="shared" si="173"/>
        <v>3.150997641</v>
      </c>
      <c r="AB112" s="775">
        <f t="shared" si="174"/>
        <v>3.0590625</v>
      </c>
      <c r="AC112" s="778"/>
      <c r="AD112" s="500"/>
      <c r="AE112" s="679"/>
      <c r="AF112" s="503"/>
      <c r="AG112" s="503"/>
      <c r="AH112" s="535" t="s">
        <v>2308</v>
      </c>
      <c r="AI112" s="536" t="s">
        <v>135</v>
      </c>
      <c r="AJ112" s="500" t="s">
        <v>2170</v>
      </c>
      <c r="AK112" s="500" t="str">
        <f t="shared" si="175"/>
        <v>BE</v>
      </c>
      <c r="AL112" s="779">
        <f t="array" ref="AL112">INDEX(Industry_Historical_Data!$A$1:$S$3000,MATCH(Industry_Calculation!$AJ112&amp;Industry_Calculation!$AK112,Industry_Historical_Data!$A$1:$A$3000&amp;Industry_Historical_Data!$C$1:$C$3000,0&amp;0),MATCH(Industry_Calculation!AL$110,Industry_Historical_Data!$A$1:$S$1,0))</f>
        <v>6.2439</v>
      </c>
      <c r="AM112" s="780">
        <f t="array" ref="AM112">INDEX(Industry_Historical_Data!$A$1:$S$3000,MATCH(Industry_Calculation!$AJ112&amp;Industry_Calculation!$AK112,Industry_Historical_Data!$A$1:$A$3000&amp;Industry_Historical_Data!$C$1:$C$3000,0&amp;0),MATCH(Industry_Calculation!AM$110,Industry_Historical_Data!$A$1:$S$1,0))</f>
        <v>6.7114</v>
      </c>
      <c r="AN112" s="780">
        <f t="array" ref="AN112">INDEX(Industry_Historical_Data!$A$1:$S$3000,MATCH(Industry_Calculation!$AJ112&amp;Industry_Calculation!$AK112,Industry_Historical_Data!$A$1:$A$3000&amp;Industry_Historical_Data!$C$1:$C$3000,0&amp;0),MATCH(Industry_Calculation!AN$110,Industry_Historical_Data!$A$1:$S$1,0))</f>
        <v>6.2706</v>
      </c>
      <c r="AO112" s="780">
        <f t="array" ref="AO112">INDEX(Industry_Historical_Data!$A$1:$S$3000,MATCH(Industry_Calculation!$AJ112&amp;Industry_Calculation!$AK112,Industry_Historical_Data!$A$1:$A$3000&amp;Industry_Historical_Data!$C$1:$C$3000,0&amp;0),MATCH(Industry_Calculation!AO$110,Industry_Historical_Data!$A$1:$S$1,0))</f>
        <v>6.1923</v>
      </c>
      <c r="AP112" s="780">
        <f t="array" ref="AP112">INDEX(Industry_Historical_Data!$A$1:$S$3000,MATCH(Industry_Calculation!$AJ112&amp;Industry_Calculation!$AK112,Industry_Historical_Data!$A$1:$A$3000&amp;Industry_Historical_Data!$C$1:$C$3000,0&amp;0),MATCH(Industry_Calculation!AP$110,Industry_Historical_Data!$A$1:$S$1,0))</f>
        <v>6.2515</v>
      </c>
      <c r="AQ112" s="781">
        <f t="shared" si="176"/>
        <v>5.52</v>
      </c>
      <c r="AR112" s="780">
        <f t="array" ref="AR112">INDEX(Industry_Historical_Data!$A$1:$S$3000,MATCH(Industry_Calculation!$AJ112&amp;Industry_Calculation!$AK112,Industry_Historical_Data!$A$1:$A$3000&amp;Industry_Historical_Data!$C$1:$C$3000,0&amp;0),MATCH(Industry_Calculation!AR$110,Industry_Historical_Data!$A$1:$S$1,0))</f>
        <v>5.5927</v>
      </c>
      <c r="AS112" s="780">
        <f t="array" ref="AS112">INDEX(Industry_Historical_Data!$A$1:$S$3000,MATCH(Industry_Calculation!$AJ112&amp;Industry_Calculation!$AK112,Industry_Historical_Data!$A$1:$A$3000&amp;Industry_Historical_Data!$C$1:$C$3000,0&amp;0),MATCH(Industry_Calculation!AS$110,Industry_Historical_Data!$A$1:$S$1,0))</f>
        <v>5.1422</v>
      </c>
      <c r="AT112" s="780">
        <f t="array" ref="AT112">INDEX(Industry_Historical_Data!$A$1:$S$3000,MATCH(Industry_Calculation!$AJ112&amp;Industry_Calculation!$AK112,Industry_Historical_Data!$A$1:$A$3000&amp;Industry_Historical_Data!$C$1:$C$3000,0&amp;0),MATCH(Industry_Calculation!AT$110,Industry_Historical_Data!$A$1:$S$1,0))</f>
        <v>5.5984</v>
      </c>
      <c r="AU112" s="781">
        <f t="shared" si="177"/>
        <v>6.123567197</v>
      </c>
      <c r="AV112" s="782">
        <f t="shared" si="178"/>
        <v>6.123567197</v>
      </c>
      <c r="AW112" s="783">
        <f t="shared" si="179"/>
        <v>5.725181587</v>
      </c>
      <c r="AX112" s="784">
        <f t="shared" ref="AX112:BB112" si="180">X112</f>
        <v>4.775185131</v>
      </c>
      <c r="AY112" s="784">
        <f t="shared" si="180"/>
        <v>4.07034905</v>
      </c>
      <c r="AZ112" s="784">
        <f t="shared" si="180"/>
        <v>3.4043865</v>
      </c>
      <c r="BA112" s="784">
        <f t="shared" si="180"/>
        <v>3.150997641</v>
      </c>
      <c r="BB112" s="785">
        <f t="shared" si="180"/>
        <v>3.0590625</v>
      </c>
      <c r="BC112" s="500"/>
      <c r="BD112" s="754"/>
      <c r="BE112" s="754"/>
      <c r="BF112" s="754"/>
      <c r="BG112" s="754"/>
      <c r="BH112" s="754"/>
      <c r="BI112" s="754"/>
      <c r="BJ112" s="754"/>
      <c r="BK112" s="754"/>
      <c r="BL112" s="754"/>
      <c r="BM112" s="754"/>
      <c r="BN112" s="754"/>
      <c r="BO112" s="754"/>
      <c r="BP112" s="754"/>
      <c r="BQ112" s="754"/>
      <c r="BR112" s="754"/>
      <c r="BS112" s="754"/>
      <c r="BT112" s="754"/>
      <c r="BU112" s="754"/>
      <c r="BV112" s="500"/>
    </row>
    <row r="113" ht="14.25" customHeight="1">
      <c r="A113" s="500" t="s">
        <v>2118</v>
      </c>
      <c r="B113" s="500"/>
      <c r="C113" s="536" t="s">
        <v>2117</v>
      </c>
      <c r="D113" s="500" t="str">
        <f t="shared" si="159"/>
        <v>BE</v>
      </c>
      <c r="E113" s="769" t="str">
        <f t="shared" ref="E113:F113" si="181">E43</f>
        <v>kt</v>
      </c>
      <c r="F113" s="770">
        <f t="shared" si="181"/>
        <v>2123</v>
      </c>
      <c r="G113" s="771">
        <f t="shared" si="182"/>
        <v>2123</v>
      </c>
      <c r="H113" s="771">
        <f t="shared" si="183"/>
        <v>1765</v>
      </c>
      <c r="I113" s="771">
        <f t="shared" si="184"/>
        <v>1765</v>
      </c>
      <c r="J113" s="633"/>
      <c r="K113" s="772">
        <f t="shared" si="161"/>
        <v>1782.402</v>
      </c>
      <c r="L113" s="772">
        <f t="shared" ref="L113:M113" si="185">$G113*INDEX($A$38:$M$46,MATCH($A113,$C$38:$C$46,0),MATCH(L$110,$A$38:$M$38,0))/100</f>
        <v>1855.502</v>
      </c>
      <c r="M113" s="772">
        <f t="shared" si="185"/>
        <v>1804.55</v>
      </c>
      <c r="N113" s="773" t="s">
        <v>2155</v>
      </c>
      <c r="O113" s="602" t="s">
        <v>2184</v>
      </c>
      <c r="P113" s="536" t="str">
        <f>VLOOKUP(C65,Industry_Historical_Data!$A$2:$B$1097,2,0)</f>
        <v>Final consumption of paper, pulp and printing industry</v>
      </c>
      <c r="Q113" s="508" t="str">
        <f t="shared" si="163"/>
        <v>TWh</v>
      </c>
      <c r="R113" s="774">
        <f t="shared" si="164"/>
        <v>7.5453</v>
      </c>
      <c r="S113" s="775">
        <f t="shared" si="165"/>
        <v>7.546488366</v>
      </c>
      <c r="T113" s="500" t="str">
        <f t="shared" si="166"/>
        <v>BE</v>
      </c>
      <c r="U113" s="776">
        <f t="shared" si="167"/>
        <v>0.44</v>
      </c>
      <c r="V113" s="776">
        <f t="shared" si="168"/>
        <v>0.67</v>
      </c>
      <c r="W113" s="776">
        <f t="shared" si="169"/>
        <v>0.97</v>
      </c>
      <c r="X113" s="775">
        <f t="shared" si="170"/>
        <v>6.211038485</v>
      </c>
      <c r="Y113" s="777">
        <f t="shared" si="171"/>
        <v>5.512962411</v>
      </c>
      <c r="Z113" s="775">
        <f t="shared" si="172"/>
        <v>5.050989336</v>
      </c>
      <c r="AA113" s="777">
        <f t="shared" si="173"/>
        <v>4.602428401</v>
      </c>
      <c r="AB113" s="775">
        <f t="shared" si="174"/>
        <v>4.511375</v>
      </c>
      <c r="AC113" s="778"/>
      <c r="AD113" s="500"/>
      <c r="AE113" s="679"/>
      <c r="AF113" s="503"/>
      <c r="AG113" s="503"/>
      <c r="AH113" s="535" t="s">
        <v>2477</v>
      </c>
      <c r="AI113" s="536" t="s">
        <v>135</v>
      </c>
      <c r="AJ113" s="500" t="s">
        <v>2184</v>
      </c>
      <c r="AK113" s="500" t="str">
        <f t="shared" si="175"/>
        <v>BE</v>
      </c>
      <c r="AL113" s="779">
        <f t="array" ref="AL113">INDEX(Industry_Historical_Data!$A$1:$S$3000,MATCH(Industry_Calculation!$AJ113&amp;Industry_Calculation!$AK113,Industry_Historical_Data!$A$1:$A$3000&amp;Industry_Historical_Data!$C$1:$C$3000,0&amp;0),MATCH(Industry_Calculation!AL$110,Industry_Historical_Data!$A$1:$S$1,0))</f>
        <v>9.005</v>
      </c>
      <c r="AM113" s="780">
        <f t="array" ref="AM113">INDEX(Industry_Historical_Data!$A$1:$S$3000,MATCH(Industry_Calculation!$AJ113&amp;Industry_Calculation!$AK113,Industry_Historical_Data!$A$1:$A$3000&amp;Industry_Historical_Data!$C$1:$C$3000,0&amp;0),MATCH(Industry_Calculation!AM$110,Industry_Historical_Data!$A$1:$S$1,0))</f>
        <v>8.0796</v>
      </c>
      <c r="AN113" s="780">
        <f t="array" ref="AN113">INDEX(Industry_Historical_Data!$A$1:$S$3000,MATCH(Industry_Calculation!$AJ113&amp;Industry_Calculation!$AK113,Industry_Historical_Data!$A$1:$A$3000&amp;Industry_Historical_Data!$C$1:$C$3000,0&amp;0),MATCH(Industry_Calculation!AN$110,Industry_Historical_Data!$A$1:$S$1,0))</f>
        <v>7.8172</v>
      </c>
      <c r="AO113" s="780">
        <f t="array" ref="AO113">INDEX(Industry_Historical_Data!$A$1:$S$3000,MATCH(Industry_Calculation!$AJ113&amp;Industry_Calculation!$AK113,Industry_Historical_Data!$A$1:$A$3000&amp;Industry_Historical_Data!$C$1:$C$3000,0&amp;0),MATCH(Industry_Calculation!AO$110,Industry_Historical_Data!$A$1:$S$1,0))</f>
        <v>8.546</v>
      </c>
      <c r="AP113" s="780">
        <f t="array" ref="AP113">INDEX(Industry_Historical_Data!$A$1:$S$3000,MATCH(Industry_Calculation!$AJ113&amp;Industry_Calculation!$AK113,Industry_Historical_Data!$A$1:$A$3000&amp;Industry_Historical_Data!$C$1:$C$3000,0&amp;0),MATCH(Industry_Calculation!AP$110,Industry_Historical_Data!$A$1:$S$1,0))</f>
        <v>8.4526</v>
      </c>
      <c r="AQ113" s="781">
        <f t="shared" si="176"/>
        <v>8.2554</v>
      </c>
      <c r="AR113" s="780">
        <f t="array" ref="AR113">INDEX(Industry_Historical_Data!$A$1:$S$3000,MATCH(Industry_Calculation!$AJ113&amp;Industry_Calculation!$AK113,Industry_Historical_Data!$A$1:$A$3000&amp;Industry_Historical_Data!$C$1:$C$3000,0&amp;0),MATCH(Industry_Calculation!AR$110,Industry_Historical_Data!$A$1:$S$1,0))</f>
        <v>8.5654</v>
      </c>
      <c r="AS113" s="780">
        <f t="array" ref="AS113">INDEX(Industry_Historical_Data!$A$1:$S$3000,MATCH(Industry_Calculation!$AJ113&amp;Industry_Calculation!$AK113,Industry_Historical_Data!$A$1:$A$3000&amp;Industry_Historical_Data!$C$1:$C$3000,0&amp;0),MATCH(Industry_Calculation!AS$110,Industry_Historical_Data!$A$1:$S$1,0))</f>
        <v>8.1416</v>
      </c>
      <c r="AT113" s="780">
        <f t="array" ref="AT113">INDEX(Industry_Historical_Data!$A$1:$S$3000,MATCH(Industry_Calculation!$AJ113&amp;Industry_Calculation!$AK113,Industry_Historical_Data!$A$1:$A$3000&amp;Industry_Historical_Data!$C$1:$C$3000,0&amp;0),MATCH(Industry_Calculation!AT$110,Industry_Historical_Data!$A$1:$S$1,0))</f>
        <v>8.0669</v>
      </c>
      <c r="AU113" s="781">
        <f t="shared" si="177"/>
        <v>7.546488366</v>
      </c>
      <c r="AV113" s="782">
        <f t="shared" si="178"/>
        <v>7.546488366</v>
      </c>
      <c r="AW113" s="783">
        <f t="shared" si="179"/>
        <v>7.151923628</v>
      </c>
      <c r="AX113" s="784">
        <f t="shared" ref="AX113:BB113" si="186">X113</f>
        <v>6.211038485</v>
      </c>
      <c r="AY113" s="784">
        <f t="shared" si="186"/>
        <v>5.512962411</v>
      </c>
      <c r="AZ113" s="784">
        <f t="shared" si="186"/>
        <v>5.050989336</v>
      </c>
      <c r="BA113" s="784">
        <f t="shared" si="186"/>
        <v>4.602428401</v>
      </c>
      <c r="BB113" s="785">
        <f t="shared" si="186"/>
        <v>4.511375</v>
      </c>
      <c r="BC113" s="500"/>
      <c r="BD113" s="754"/>
      <c r="BE113" s="754"/>
      <c r="BF113" s="754"/>
      <c r="BG113" s="754"/>
      <c r="BH113" s="754"/>
      <c r="BI113" s="754"/>
      <c r="BJ113" s="754"/>
      <c r="BK113" s="754"/>
      <c r="BL113" s="754"/>
      <c r="BM113" s="754"/>
      <c r="BN113" s="754"/>
      <c r="BO113" s="754"/>
      <c r="BP113" s="754"/>
      <c r="BQ113" s="754"/>
      <c r="BR113" s="754"/>
      <c r="BS113" s="754"/>
      <c r="BT113" s="754"/>
      <c r="BU113" s="754"/>
      <c r="BV113" s="500"/>
    </row>
    <row r="114" ht="14.25" customHeight="1">
      <c r="A114" s="500" t="s">
        <v>2094</v>
      </c>
      <c r="B114" s="500"/>
      <c r="C114" s="536" t="s">
        <v>2478</v>
      </c>
      <c r="D114" s="500" t="str">
        <f t="shared" si="159"/>
        <v>BE</v>
      </c>
      <c r="E114" s="769" t="str">
        <f t="shared" ref="E114:F114" si="187">E44</f>
        <v>kt</v>
      </c>
      <c r="F114" s="770">
        <f t="shared" si="187"/>
        <v>1000</v>
      </c>
      <c r="G114" s="771">
        <f t="shared" si="182"/>
        <v>1000</v>
      </c>
      <c r="H114" s="771">
        <f t="shared" si="183"/>
        <v>1000</v>
      </c>
      <c r="I114" s="771">
        <f t="shared" si="184"/>
        <v>1000</v>
      </c>
      <c r="J114" s="633"/>
      <c r="K114" s="772">
        <f t="shared" si="161"/>
        <v>934</v>
      </c>
      <c r="L114" s="772">
        <f t="shared" ref="L114:M114" si="188">$G114*INDEX($A$38:$M$46,MATCH($A114,$C$38:$C$46,0),MATCH(L$110,$A$38:$M$38,0))/100</f>
        <v>874</v>
      </c>
      <c r="M114" s="772">
        <f t="shared" si="188"/>
        <v>850</v>
      </c>
      <c r="N114" s="773" t="s">
        <v>2149</v>
      </c>
      <c r="O114" s="602" t="s">
        <v>2172</v>
      </c>
      <c r="P114" s="536" t="str">
        <f>VLOOKUP(C66,Industry_Historical_Data!$A$2:$B$1097,2,0)</f>
        <v>Final consumption of glass industry</v>
      </c>
      <c r="Q114" s="508" t="str">
        <f t="shared" si="163"/>
        <v>TWh</v>
      </c>
      <c r="R114" s="774" t="str">
        <f t="shared" si="164"/>
        <v>n.a.</v>
      </c>
      <c r="S114" s="775">
        <f t="shared" si="165"/>
        <v>4.3</v>
      </c>
      <c r="T114" s="500" t="str">
        <f t="shared" si="166"/>
        <v>BE</v>
      </c>
      <c r="U114" s="776">
        <f t="shared" si="167"/>
        <v>0.44</v>
      </c>
      <c r="V114" s="776">
        <f t="shared" si="168"/>
        <v>0.67</v>
      </c>
      <c r="W114" s="776">
        <f t="shared" si="169"/>
        <v>0.97</v>
      </c>
      <c r="X114" s="775">
        <f t="shared" si="170"/>
        <v>2.9316</v>
      </c>
      <c r="Y114" s="777">
        <f t="shared" si="171"/>
        <v>2.2163</v>
      </c>
      <c r="Z114" s="775">
        <f t="shared" si="172"/>
        <v>1.629136</v>
      </c>
      <c r="AA114" s="777">
        <f t="shared" si="173"/>
        <v>1.2833</v>
      </c>
      <c r="AB114" s="775">
        <f t="shared" si="174"/>
        <v>1.19</v>
      </c>
      <c r="AC114" s="778"/>
      <c r="AD114" s="786"/>
      <c r="AE114" s="502"/>
      <c r="AF114" s="503"/>
      <c r="AG114" s="503"/>
      <c r="AH114" s="535" t="s">
        <v>2313</v>
      </c>
      <c r="AI114" s="536" t="s">
        <v>135</v>
      </c>
      <c r="AJ114" s="500" t="s">
        <v>2172</v>
      </c>
      <c r="AK114" s="500" t="str">
        <f t="shared" si="175"/>
        <v>BE</v>
      </c>
      <c r="AL114" s="779" t="str">
        <f t="array" ref="AL114">INDEX(Industry_Historical_Data!$A$1:$S$3000,MATCH(Industry_Calculation!$AJ114&amp;Industry_Calculation!$AK114,Industry_Historical_Data!$A$1:$A$3000&amp;Industry_Historical_Data!$C$1:$C$3000,0&amp;0),MATCH(Industry_Calculation!AL$110,Industry_Historical_Data!$A$1:$S$1,0))</f>
        <v>n.a.</v>
      </c>
      <c r="AM114" s="780" t="str">
        <f t="array" ref="AM114">INDEX(Industry_Historical_Data!$A$1:$S$3000,MATCH(Industry_Calculation!$AJ114&amp;Industry_Calculation!$AK114,Industry_Historical_Data!$A$1:$A$3000&amp;Industry_Historical_Data!$C$1:$C$3000,0&amp;0),MATCH(Industry_Calculation!AM$110,Industry_Historical_Data!$A$1:$S$1,0))</f>
        <v>n.a.</v>
      </c>
      <c r="AN114" s="780" t="str">
        <f t="array" ref="AN114">INDEX(Industry_Historical_Data!$A$1:$S$3000,MATCH(Industry_Calculation!$AJ114&amp;Industry_Calculation!$AK114,Industry_Historical_Data!$A$1:$A$3000&amp;Industry_Historical_Data!$C$1:$C$3000,0&amp;0),MATCH(Industry_Calculation!AN$110,Industry_Historical_Data!$A$1:$S$1,0))</f>
        <v>n.a.</v>
      </c>
      <c r="AO114" s="780" t="str">
        <f t="array" ref="AO114">INDEX(Industry_Historical_Data!$A$1:$S$3000,MATCH(Industry_Calculation!$AJ114&amp;Industry_Calculation!$AK114,Industry_Historical_Data!$A$1:$A$3000&amp;Industry_Historical_Data!$C$1:$C$3000,0&amp;0),MATCH(Industry_Calculation!AO$110,Industry_Historical_Data!$A$1:$S$1,0))</f>
        <v>n.a.</v>
      </c>
      <c r="AP114" s="780" t="str">
        <f t="array" ref="AP114">INDEX(Industry_Historical_Data!$A$1:$S$3000,MATCH(Industry_Calculation!$AJ114&amp;Industry_Calculation!$AK114,Industry_Historical_Data!$A$1:$A$3000&amp;Industry_Historical_Data!$C$1:$C$3000,0&amp;0),MATCH(Industry_Calculation!AP$110,Industry_Historical_Data!$A$1:$S$1,0))</f>
        <v>n.a.</v>
      </c>
      <c r="AQ114" s="781">
        <f t="shared" si="176"/>
        <v>4.3</v>
      </c>
      <c r="AR114" s="780" t="str">
        <f t="array" ref="AR114">INDEX(Industry_Historical_Data!$A$1:$S$3000,MATCH(Industry_Calculation!$AJ114&amp;Industry_Calculation!$AK114,Industry_Historical_Data!$A$1:$A$3000&amp;Industry_Historical_Data!$C$1:$C$3000,0&amp;0),MATCH(Industry_Calculation!AR$110,Industry_Historical_Data!$A$1:$S$1,0))</f>
        <v>n.a.</v>
      </c>
      <c r="AS114" s="780" t="str">
        <f t="array" ref="AS114">INDEX(Industry_Historical_Data!$A$1:$S$3000,MATCH(Industry_Calculation!$AJ114&amp;Industry_Calculation!$AK114,Industry_Historical_Data!$A$1:$A$3000&amp;Industry_Historical_Data!$C$1:$C$3000,0&amp;0),MATCH(Industry_Calculation!AS$110,Industry_Historical_Data!$A$1:$S$1,0))</f>
        <v>n.a.</v>
      </c>
      <c r="AT114" s="780" t="str">
        <f t="array" ref="AT114">INDEX(Industry_Historical_Data!$A$1:$S$3000,MATCH(Industry_Calculation!$AJ114&amp;Industry_Calculation!$AK114,Industry_Historical_Data!$A$1:$A$3000&amp;Industry_Historical_Data!$C$1:$C$3000,0&amp;0),MATCH(Industry_Calculation!AT$110,Industry_Historical_Data!$A$1:$S$1,0))</f>
        <v>n.a.</v>
      </c>
      <c r="AU114" s="781">
        <f t="shared" si="177"/>
        <v>4.3</v>
      </c>
      <c r="AV114" s="782">
        <f t="shared" si="178"/>
        <v>4.3</v>
      </c>
      <c r="AW114" s="783">
        <f t="shared" si="179"/>
        <v>3.8957</v>
      </c>
      <c r="AX114" s="784">
        <f t="shared" ref="AX114:BB114" si="189">X114</f>
        <v>2.9316</v>
      </c>
      <c r="AY114" s="784">
        <f t="shared" si="189"/>
        <v>2.2163</v>
      </c>
      <c r="AZ114" s="784">
        <f t="shared" si="189"/>
        <v>1.629136</v>
      </c>
      <c r="BA114" s="784">
        <f t="shared" si="189"/>
        <v>1.2833</v>
      </c>
      <c r="BB114" s="785">
        <f t="shared" si="189"/>
        <v>1.19</v>
      </c>
      <c r="BC114" s="500"/>
      <c r="BD114" s="754"/>
      <c r="BE114" s="754"/>
      <c r="BF114" s="754"/>
      <c r="BG114" s="754"/>
      <c r="BH114" s="754"/>
      <c r="BI114" s="754"/>
      <c r="BJ114" s="754"/>
      <c r="BK114" s="754"/>
      <c r="BL114" s="754"/>
      <c r="BM114" s="754"/>
      <c r="BN114" s="754"/>
      <c r="BO114" s="754"/>
      <c r="BP114" s="754"/>
      <c r="BQ114" s="754"/>
      <c r="BR114" s="754"/>
      <c r="BS114" s="754"/>
      <c r="BT114" s="754"/>
      <c r="BU114" s="754"/>
      <c r="BV114" s="500"/>
    </row>
    <row r="115" ht="14.25" customHeight="1">
      <c r="A115" s="500" t="s">
        <v>2096</v>
      </c>
      <c r="B115" s="500"/>
      <c r="C115" s="536" t="s">
        <v>2095</v>
      </c>
      <c r="D115" s="500" t="str">
        <f t="shared" si="159"/>
        <v>BE</v>
      </c>
      <c r="E115" s="769" t="str">
        <f t="shared" ref="E115:F115" si="190">E45</f>
        <v>kt</v>
      </c>
      <c r="F115" s="770" t="str">
        <f t="shared" si="190"/>
        <v>#N/A</v>
      </c>
      <c r="G115" s="771">
        <f t="shared" si="182"/>
        <v>1050</v>
      </c>
      <c r="H115" s="771" t="str">
        <f t="shared" si="183"/>
        <v>#N/A</v>
      </c>
      <c r="I115" s="771">
        <f t="shared" si="184"/>
        <v>1050</v>
      </c>
      <c r="J115" s="633"/>
      <c r="K115" s="772">
        <f t="shared" si="161"/>
        <v>911.4</v>
      </c>
      <c r="L115" s="772">
        <f t="shared" ref="L115:M115" si="191">$G115*INDEX($A$38:$M$46,MATCH($A115,$C$38:$C$46,0),MATCH(L$110,$A$38:$M$38,0))/100</f>
        <v>785.4</v>
      </c>
      <c r="M115" s="772">
        <f t="shared" si="191"/>
        <v>735</v>
      </c>
      <c r="N115" s="773" t="s">
        <v>2151</v>
      </c>
      <c r="O115" s="602" t="s">
        <v>2176</v>
      </c>
      <c r="P115" s="536" t="s">
        <v>2479</v>
      </c>
      <c r="Q115" s="508" t="str">
        <f t="shared" si="163"/>
        <v>TWh</v>
      </c>
      <c r="R115" s="774" t="str">
        <f t="shared" si="164"/>
        <v>#N/A</v>
      </c>
      <c r="S115" s="775">
        <f t="shared" si="165"/>
        <v>5.34</v>
      </c>
      <c r="T115" s="500" t="str">
        <f t="shared" si="166"/>
        <v>BE</v>
      </c>
      <c r="U115" s="776">
        <f t="shared" si="167"/>
        <v>0.44</v>
      </c>
      <c r="V115" s="776">
        <f t="shared" si="168"/>
        <v>0.67</v>
      </c>
      <c r="W115" s="776">
        <f t="shared" si="169"/>
        <v>0.97</v>
      </c>
      <c r="X115" s="775">
        <f t="shared" si="170"/>
        <v>3.6372</v>
      </c>
      <c r="Y115" s="777">
        <f t="shared" si="171"/>
        <v>2.7471</v>
      </c>
      <c r="Z115" s="775">
        <f t="shared" si="172"/>
        <v>1.9585632</v>
      </c>
      <c r="AA115" s="777">
        <f t="shared" si="173"/>
        <v>1.5861</v>
      </c>
      <c r="AB115" s="775">
        <f t="shared" si="174"/>
        <v>1.47</v>
      </c>
      <c r="AC115" s="778"/>
      <c r="AD115" s="500"/>
      <c r="AE115" s="502"/>
      <c r="AF115" s="503"/>
      <c r="AG115" s="503"/>
      <c r="AH115" s="535" t="s">
        <v>2479</v>
      </c>
      <c r="AI115" s="536" t="s">
        <v>135</v>
      </c>
      <c r="AJ115" s="500" t="s">
        <v>2176</v>
      </c>
      <c r="AK115" s="500" t="str">
        <f t="shared" si="175"/>
        <v>BE</v>
      </c>
      <c r="AL115" s="779" t="str">
        <f t="array" ref="AL115">INDEX(Industry_Historical_Data!$A$1:$S$3000,MATCH(Industry_Calculation!$AJ115&amp;Industry_Calculation!$AK115,Industry_Historical_Data!$A$1:$A$3000&amp;Industry_Historical_Data!$C$1:$C$3000,0&amp;0),MATCH(Industry_Calculation!AL$110,Industry_Historical_Data!$A$1:$S$1,0))</f>
        <v>#N/A</v>
      </c>
      <c r="AM115" s="780" t="str">
        <f t="array" ref="AM115">INDEX(Industry_Historical_Data!$A$1:$S$3000,MATCH(Industry_Calculation!$AJ115&amp;Industry_Calculation!$AK115,Industry_Historical_Data!$A$1:$A$3000&amp;Industry_Historical_Data!$C$1:$C$3000,0&amp;0),MATCH(Industry_Calculation!AM$110,Industry_Historical_Data!$A$1:$S$1,0))</f>
        <v>#N/A</v>
      </c>
      <c r="AN115" s="780" t="str">
        <f t="array" ref="AN115">INDEX(Industry_Historical_Data!$A$1:$S$3000,MATCH(Industry_Calculation!$AJ115&amp;Industry_Calculation!$AK115,Industry_Historical_Data!$A$1:$A$3000&amp;Industry_Historical_Data!$C$1:$C$3000,0&amp;0),MATCH(Industry_Calculation!AN$110,Industry_Historical_Data!$A$1:$S$1,0))</f>
        <v>#N/A</v>
      </c>
      <c r="AO115" s="780" t="str">
        <f t="array" ref="AO115">INDEX(Industry_Historical_Data!$A$1:$S$3000,MATCH(Industry_Calculation!$AJ115&amp;Industry_Calculation!$AK115,Industry_Historical_Data!$A$1:$A$3000&amp;Industry_Historical_Data!$C$1:$C$3000,0&amp;0),MATCH(Industry_Calculation!AO$110,Industry_Historical_Data!$A$1:$S$1,0))</f>
        <v>#N/A</v>
      </c>
      <c r="AP115" s="780" t="str">
        <f t="array" ref="AP115">INDEX(Industry_Historical_Data!$A$1:$S$3000,MATCH(Industry_Calculation!$AJ115&amp;Industry_Calculation!$AK115,Industry_Historical_Data!$A$1:$A$3000&amp;Industry_Historical_Data!$C$1:$C$3000,0&amp;0),MATCH(Industry_Calculation!AP$110,Industry_Historical_Data!$A$1:$S$1,0))</f>
        <v>#N/A</v>
      </c>
      <c r="AQ115" s="781">
        <f t="shared" si="176"/>
        <v>5.34</v>
      </c>
      <c r="AR115" s="780" t="str">
        <f t="array" ref="AR115">INDEX(Industry_Historical_Data!$A$1:$S$3000,MATCH(Industry_Calculation!$AJ115&amp;Industry_Calculation!$AK115,Industry_Historical_Data!$A$1:$A$3000&amp;Industry_Historical_Data!$C$1:$C$3000,0&amp;0),MATCH(Industry_Calculation!AR$110,Industry_Historical_Data!$A$1:$S$1,0))</f>
        <v>#N/A</v>
      </c>
      <c r="AS115" s="780" t="str">
        <f t="array" ref="AS115">INDEX(Industry_Historical_Data!$A$1:$S$3000,MATCH(Industry_Calculation!$AJ115&amp;Industry_Calculation!$AK115,Industry_Historical_Data!$A$1:$A$3000&amp;Industry_Historical_Data!$C$1:$C$3000,0&amp;0),MATCH(Industry_Calculation!AS$110,Industry_Historical_Data!$A$1:$S$1,0))</f>
        <v>#N/A</v>
      </c>
      <c r="AT115" s="780" t="str">
        <f t="array" ref="AT115">INDEX(Industry_Historical_Data!$A$1:$S$3000,MATCH(Industry_Calculation!$AJ115&amp;Industry_Calculation!$AK115,Industry_Historical_Data!$A$1:$A$3000&amp;Industry_Historical_Data!$C$1:$C$3000,0&amp;0),MATCH(Industry_Calculation!AT$110,Industry_Historical_Data!$A$1:$S$1,0))</f>
        <v>#N/A</v>
      </c>
      <c r="AU115" s="781">
        <f t="shared" si="177"/>
        <v>5.34</v>
      </c>
      <c r="AV115" s="782">
        <f t="shared" si="178"/>
        <v>5.34</v>
      </c>
      <c r="AW115" s="783">
        <f t="shared" si="179"/>
        <v>4.8369</v>
      </c>
      <c r="AX115" s="784">
        <f t="shared" ref="AX115:BB115" si="192">X115</f>
        <v>3.6372</v>
      </c>
      <c r="AY115" s="784">
        <f t="shared" si="192"/>
        <v>2.7471</v>
      </c>
      <c r="AZ115" s="784">
        <f t="shared" si="192"/>
        <v>1.9585632</v>
      </c>
      <c r="BA115" s="784">
        <f t="shared" si="192"/>
        <v>1.5861</v>
      </c>
      <c r="BB115" s="785">
        <f t="shared" si="192"/>
        <v>1.47</v>
      </c>
      <c r="BC115" s="586"/>
      <c r="BD115" s="754"/>
      <c r="BE115" s="754"/>
      <c r="BF115" s="754"/>
      <c r="BG115" s="754"/>
      <c r="BH115" s="754"/>
      <c r="BI115" s="754"/>
      <c r="BJ115" s="754"/>
      <c r="BK115" s="754"/>
      <c r="BL115" s="754"/>
      <c r="BM115" s="754"/>
      <c r="BN115" s="754"/>
      <c r="BO115" s="754"/>
      <c r="BP115" s="754"/>
      <c r="BQ115" s="754"/>
      <c r="BR115" s="754"/>
      <c r="BS115" s="754"/>
      <c r="BT115" s="754"/>
      <c r="BU115" s="754"/>
      <c r="BV115" s="500"/>
    </row>
    <row r="116" ht="14.25" customHeight="1">
      <c r="A116" s="500" t="s">
        <v>2098</v>
      </c>
      <c r="B116" s="500"/>
      <c r="C116" s="536" t="s">
        <v>2480</v>
      </c>
      <c r="D116" s="500" t="str">
        <f t="shared" si="159"/>
        <v>BE</v>
      </c>
      <c r="E116" s="769" t="str">
        <f t="shared" ref="E116:F116" si="193">E46</f>
        <v>kt</v>
      </c>
      <c r="F116" s="770" t="str">
        <f t="shared" si="193"/>
        <v>#N/A</v>
      </c>
      <c r="G116" s="771">
        <f t="shared" si="182"/>
        <v>5580</v>
      </c>
      <c r="H116" s="771" t="str">
        <f t="shared" si="183"/>
        <v>#N/A</v>
      </c>
      <c r="I116" s="771">
        <f t="shared" si="184"/>
        <v>5580</v>
      </c>
      <c r="J116" s="633"/>
      <c r="K116" s="772">
        <f t="shared" si="161"/>
        <v>5334.48</v>
      </c>
      <c r="L116" s="772">
        <f t="shared" ref="L116:M116" si="194">$G116*INDEX($A$38:$M$46,MATCH($A116,$C$38:$C$46,0),MATCH(L$110,$A$38:$M$38,0))/100</f>
        <v>5111.28</v>
      </c>
      <c r="M116" s="772">
        <f t="shared" si="194"/>
        <v>5022</v>
      </c>
      <c r="N116" s="773" t="s">
        <v>2153</v>
      </c>
      <c r="O116" s="602" t="s">
        <v>2178</v>
      </c>
      <c r="P116" s="536" t="s">
        <v>2481</v>
      </c>
      <c r="Q116" s="508" t="str">
        <f t="shared" si="163"/>
        <v>TWh</v>
      </c>
      <c r="R116" s="774" t="str">
        <f t="shared" si="164"/>
        <v>#N/A</v>
      </c>
      <c r="S116" s="775">
        <f t="shared" si="165"/>
        <v>30</v>
      </c>
      <c r="T116" s="500" t="str">
        <f t="shared" si="166"/>
        <v>BE</v>
      </c>
      <c r="U116" s="776">
        <f t="shared" si="167"/>
        <v>0.44</v>
      </c>
      <c r="V116" s="776">
        <f t="shared" si="168"/>
        <v>0.67</v>
      </c>
      <c r="W116" s="776">
        <f t="shared" si="169"/>
        <v>0.97</v>
      </c>
      <c r="X116" s="775">
        <f t="shared" si="170"/>
        <v>26.522592</v>
      </c>
      <c r="Y116" s="777">
        <f t="shared" si="171"/>
        <v>24.704856</v>
      </c>
      <c r="Z116" s="775">
        <f t="shared" si="172"/>
        <v>23.28809088</v>
      </c>
      <c r="AA116" s="777">
        <f t="shared" si="173"/>
        <v>22.333896</v>
      </c>
      <c r="AB116" s="775">
        <f t="shared" si="174"/>
        <v>22.0968</v>
      </c>
      <c r="AC116" s="778"/>
      <c r="AD116" s="500"/>
      <c r="AE116" s="502"/>
      <c r="AF116" s="503"/>
      <c r="AG116" s="503"/>
      <c r="AH116" s="535" t="s">
        <v>2481</v>
      </c>
      <c r="AI116" s="536" t="s">
        <v>135</v>
      </c>
      <c r="AJ116" s="500" t="s">
        <v>2178</v>
      </c>
      <c r="AK116" s="500" t="str">
        <f t="shared" si="175"/>
        <v>BE</v>
      </c>
      <c r="AL116" s="779" t="str">
        <f t="array" ref="AL116">INDEX(Industry_Historical_Data!$A$1:$S$3000,MATCH(Industry_Calculation!$AJ116&amp;Industry_Calculation!$AK116,Industry_Historical_Data!$A$1:$A$3000&amp;Industry_Historical_Data!$C$1:$C$3000,0&amp;0),MATCH(Industry_Calculation!AL$110,Industry_Historical_Data!$A$1:$S$1,0))</f>
        <v>#N/A</v>
      </c>
      <c r="AM116" s="780" t="str">
        <f t="array" ref="AM116">INDEX(Industry_Historical_Data!$A$1:$S$3000,MATCH(Industry_Calculation!$AJ116&amp;Industry_Calculation!$AK116,Industry_Historical_Data!$A$1:$A$3000&amp;Industry_Historical_Data!$C$1:$C$3000,0&amp;0),MATCH(Industry_Calculation!AM$110,Industry_Historical_Data!$A$1:$S$1,0))</f>
        <v>#N/A</v>
      </c>
      <c r="AN116" s="780" t="str">
        <f t="array" ref="AN116">INDEX(Industry_Historical_Data!$A$1:$S$3000,MATCH(Industry_Calculation!$AJ116&amp;Industry_Calculation!$AK116,Industry_Historical_Data!$A$1:$A$3000&amp;Industry_Historical_Data!$C$1:$C$3000,0&amp;0),MATCH(Industry_Calculation!AN$110,Industry_Historical_Data!$A$1:$S$1,0))</f>
        <v>#N/A</v>
      </c>
      <c r="AO116" s="780" t="str">
        <f t="array" ref="AO116">INDEX(Industry_Historical_Data!$A$1:$S$3000,MATCH(Industry_Calculation!$AJ116&amp;Industry_Calculation!$AK116,Industry_Historical_Data!$A$1:$A$3000&amp;Industry_Historical_Data!$C$1:$C$3000,0&amp;0),MATCH(Industry_Calculation!AO$110,Industry_Historical_Data!$A$1:$S$1,0))</f>
        <v>#N/A</v>
      </c>
      <c r="AP116" s="780" t="str">
        <f t="array" ref="AP116">INDEX(Industry_Historical_Data!$A$1:$S$3000,MATCH(Industry_Calculation!$AJ116&amp;Industry_Calculation!$AK116,Industry_Historical_Data!$A$1:$A$3000&amp;Industry_Historical_Data!$C$1:$C$3000,0&amp;0),MATCH(Industry_Calculation!AP$110,Industry_Historical_Data!$A$1:$S$1,0))</f>
        <v>#N/A</v>
      </c>
      <c r="AQ116" s="781">
        <f t="shared" si="176"/>
        <v>30</v>
      </c>
      <c r="AR116" s="780" t="str">
        <f t="array" ref="AR116">INDEX(Industry_Historical_Data!$A$1:$S$3000,MATCH(Industry_Calculation!$AJ116&amp;Industry_Calculation!$AK116,Industry_Historical_Data!$A$1:$A$3000&amp;Industry_Historical_Data!$C$1:$C$3000,0&amp;0),MATCH(Industry_Calculation!AR$110,Industry_Historical_Data!$A$1:$S$1,0))</f>
        <v>#N/A</v>
      </c>
      <c r="AS116" s="780" t="str">
        <f t="array" ref="AS116">INDEX(Industry_Historical_Data!$A$1:$S$3000,MATCH(Industry_Calculation!$AJ116&amp;Industry_Calculation!$AK116,Industry_Historical_Data!$A$1:$A$3000&amp;Industry_Historical_Data!$C$1:$C$3000,0&amp;0),MATCH(Industry_Calculation!AS$110,Industry_Historical_Data!$A$1:$S$1,0))</f>
        <v>#N/A</v>
      </c>
      <c r="AT116" s="780" t="str">
        <f t="array" ref="AT116">INDEX(Industry_Historical_Data!$A$1:$S$3000,MATCH(Industry_Calculation!$AJ116&amp;Industry_Calculation!$AK116,Industry_Historical_Data!$A$1:$A$3000&amp;Industry_Historical_Data!$C$1:$C$3000,0&amp;0),MATCH(Industry_Calculation!AT$110,Industry_Historical_Data!$A$1:$S$1,0))</f>
        <v>#N/A</v>
      </c>
      <c r="AU116" s="781">
        <f t="shared" si="177"/>
        <v>30</v>
      </c>
      <c r="AV116" s="782">
        <f t="shared" si="178"/>
        <v>30</v>
      </c>
      <c r="AW116" s="783">
        <f t="shared" si="179"/>
        <v>28.972584</v>
      </c>
      <c r="AX116" s="784">
        <f t="shared" ref="AX116:BB116" si="195">X116</f>
        <v>26.522592</v>
      </c>
      <c r="AY116" s="784">
        <f t="shared" si="195"/>
        <v>24.704856</v>
      </c>
      <c r="AZ116" s="784">
        <f t="shared" si="195"/>
        <v>23.28809088</v>
      </c>
      <c r="BA116" s="784">
        <f t="shared" si="195"/>
        <v>22.333896</v>
      </c>
      <c r="BB116" s="785">
        <f t="shared" si="195"/>
        <v>22.0968</v>
      </c>
      <c r="BC116" s="586"/>
      <c r="BD116" s="754"/>
      <c r="BE116" s="754"/>
      <c r="BF116" s="754"/>
      <c r="BG116" s="754"/>
      <c r="BH116" s="754"/>
      <c r="BI116" s="754"/>
      <c r="BJ116" s="754"/>
      <c r="BK116" s="754"/>
      <c r="BL116" s="754"/>
      <c r="BM116" s="754"/>
      <c r="BN116" s="754"/>
      <c r="BO116" s="754"/>
      <c r="BP116" s="754"/>
      <c r="BQ116" s="754"/>
      <c r="BR116" s="754"/>
      <c r="BS116" s="754"/>
      <c r="BT116" s="754"/>
      <c r="BU116" s="754"/>
      <c r="BV116" s="500"/>
    </row>
    <row r="117" ht="14.25" customHeight="1">
      <c r="A117" s="500"/>
      <c r="B117" s="500"/>
      <c r="C117" s="500"/>
      <c r="D117" s="500"/>
      <c r="E117" s="500"/>
      <c r="F117" s="500"/>
      <c r="G117" s="500"/>
      <c r="H117" s="500"/>
      <c r="I117" s="500"/>
      <c r="J117" s="633"/>
      <c r="K117" s="633"/>
      <c r="L117" s="500"/>
      <c r="M117" s="500"/>
      <c r="N117" s="500"/>
      <c r="O117" s="602" t="s">
        <v>2180</v>
      </c>
      <c r="P117" s="536" t="s">
        <v>2482</v>
      </c>
      <c r="Q117" s="508" t="str">
        <f t="shared" si="163"/>
        <v>TWh</v>
      </c>
      <c r="R117" s="774" t="str">
        <f t="shared" si="164"/>
        <v>#N/A</v>
      </c>
      <c r="S117" s="775">
        <f t="shared" si="165"/>
        <v>14.048</v>
      </c>
      <c r="T117" s="500" t="str">
        <f t="shared" si="166"/>
        <v>BE</v>
      </c>
      <c r="U117" s="776">
        <f t="shared" si="167"/>
        <v>0.44</v>
      </c>
      <c r="V117" s="776">
        <f t="shared" si="168"/>
        <v>0.67</v>
      </c>
      <c r="W117" s="776">
        <f t="shared" si="169"/>
        <v>0.97</v>
      </c>
      <c r="X117" s="775">
        <f t="shared" si="170"/>
        <v>12.7499648</v>
      </c>
      <c r="Y117" s="777">
        <f t="shared" si="171"/>
        <v>12.0714464</v>
      </c>
      <c r="Z117" s="775">
        <f t="array" ref="Z117">IF($A117=0,$S117*INDEX($A$62:$M$87,MATCH($O117,$C$62:$C$87,0),MATCH(Z$110,$A$62:$M$62,0))/100,$G117*INDEX($A$38:$M$46,MATCH($A117,$C$38:$C$46,0),MATCH(Z$110,$A$38:$M$38,0))/100*INDEX($A$50:$M$58,MATCH($K117,$C$50:$C$58,0),MATCH(Z$110,$A$50:$M$50,0))/1000000)</f>
        <v>11.5699328</v>
      </c>
      <c r="AA117" s="777">
        <f t="shared" si="173"/>
        <v>11.1864224</v>
      </c>
      <c r="AB117" s="775">
        <f t="array" ref="AB117">IF($A117=0,$S117*INDEX($A$62:$M$87,MATCH($O117,$C$62:$C$87,0),MATCH(AB$110,$A$62:$M$62,0))/100,$G117*INDEX($A$38:$M$46,MATCH($A117,$C$38:$C$46,0),MATCH(AB$110,$A$38:$M$38,0))/100*INDEX($A$50:$M$58,MATCH($K117,$C$50:$C$58,0),MATCH(AB$110,$A$50:$M$50,0))/1000000)</f>
        <v>11.09792</v>
      </c>
      <c r="AC117" s="778"/>
      <c r="AD117" s="500"/>
      <c r="AE117" s="502"/>
      <c r="AF117" s="503"/>
      <c r="AG117" s="503"/>
      <c r="AH117" s="535" t="s">
        <v>2482</v>
      </c>
      <c r="AI117" s="536" t="s">
        <v>135</v>
      </c>
      <c r="AJ117" s="500" t="s">
        <v>2180</v>
      </c>
      <c r="AK117" s="500" t="str">
        <f t="shared" si="175"/>
        <v>BE</v>
      </c>
      <c r="AL117" s="779" t="str">
        <f t="array" ref="AL117">INDEX(Industry_Historical_Data!$A$1:$S$3000,MATCH(Industry_Calculation!$AJ117&amp;Industry_Calculation!$AK117,Industry_Historical_Data!$A$1:$A$3000&amp;Industry_Historical_Data!$C$1:$C$3000,0&amp;0),MATCH(Industry_Calculation!AL$110,Industry_Historical_Data!$A$1:$S$1,0))</f>
        <v>#N/A</v>
      </c>
      <c r="AM117" s="780" t="str">
        <f t="array" ref="AM117">INDEX(Industry_Historical_Data!$A$1:$S$3000,MATCH(Industry_Calculation!$AJ117&amp;Industry_Calculation!$AK117,Industry_Historical_Data!$A$1:$A$3000&amp;Industry_Historical_Data!$C$1:$C$3000,0&amp;0),MATCH(Industry_Calculation!AM$110,Industry_Historical_Data!$A$1:$S$1,0))</f>
        <v>#N/A</v>
      </c>
      <c r="AN117" s="780" t="str">
        <f t="array" ref="AN117">INDEX(Industry_Historical_Data!$A$1:$S$3000,MATCH(Industry_Calculation!$AJ117&amp;Industry_Calculation!$AK117,Industry_Historical_Data!$A$1:$A$3000&amp;Industry_Historical_Data!$C$1:$C$3000,0&amp;0),MATCH(Industry_Calculation!AN$110,Industry_Historical_Data!$A$1:$S$1,0))</f>
        <v>#N/A</v>
      </c>
      <c r="AO117" s="780" t="str">
        <f t="array" ref="AO117">INDEX(Industry_Historical_Data!$A$1:$S$3000,MATCH(Industry_Calculation!$AJ117&amp;Industry_Calculation!$AK117,Industry_Historical_Data!$A$1:$A$3000&amp;Industry_Historical_Data!$C$1:$C$3000,0&amp;0),MATCH(Industry_Calculation!AO$110,Industry_Historical_Data!$A$1:$S$1,0))</f>
        <v>#N/A</v>
      </c>
      <c r="AP117" s="780" t="str">
        <f t="array" ref="AP117">INDEX(Industry_Historical_Data!$A$1:$S$3000,MATCH(Industry_Calculation!$AJ117&amp;Industry_Calculation!$AK117,Industry_Historical_Data!$A$1:$A$3000&amp;Industry_Historical_Data!$C$1:$C$3000,0&amp;0),MATCH(Industry_Calculation!AP$110,Industry_Historical_Data!$A$1:$S$1,0))</f>
        <v>#N/A</v>
      </c>
      <c r="AQ117" s="781">
        <f t="shared" si="176"/>
        <v>14.048</v>
      </c>
      <c r="AR117" s="780" t="str">
        <f t="array" ref="AR117">INDEX(Industry_Historical_Data!$A$1:$S$3000,MATCH(Industry_Calculation!$AJ117&amp;Industry_Calculation!$AK117,Industry_Historical_Data!$A$1:$A$3000&amp;Industry_Historical_Data!$C$1:$C$3000,0&amp;0),MATCH(Industry_Calculation!AR$110,Industry_Historical_Data!$A$1:$S$1,0))</f>
        <v>#N/A</v>
      </c>
      <c r="AS117" s="780" t="str">
        <f t="array" ref="AS117">INDEX(Industry_Historical_Data!$A$1:$S$3000,MATCH(Industry_Calculation!$AJ117&amp;Industry_Calculation!$AK117,Industry_Historical_Data!$A$1:$A$3000&amp;Industry_Historical_Data!$C$1:$C$3000,0&amp;0),MATCH(Industry_Calculation!AS$110,Industry_Historical_Data!$A$1:$S$1,0))</f>
        <v>#N/A</v>
      </c>
      <c r="AT117" s="780" t="str">
        <f t="array" ref="AT117">INDEX(Industry_Historical_Data!$A$1:$S$3000,MATCH(Industry_Calculation!$AJ117&amp;Industry_Calculation!$AK117,Industry_Historical_Data!$A$1:$A$3000&amp;Industry_Historical_Data!$C$1:$C$3000,0&amp;0),MATCH(Industry_Calculation!AT$110,Industry_Historical_Data!$A$1:$S$1,0))</f>
        <v>#N/A</v>
      </c>
      <c r="AU117" s="781">
        <f t="shared" si="177"/>
        <v>14.048</v>
      </c>
      <c r="AV117" s="782">
        <f t="shared" si="178"/>
        <v>14.048</v>
      </c>
      <c r="AW117" s="783">
        <f t="shared" si="179"/>
        <v>13.6644896</v>
      </c>
      <c r="AX117" s="784">
        <f t="shared" ref="AX117:BB117" si="196">X117</f>
        <v>12.7499648</v>
      </c>
      <c r="AY117" s="784">
        <f t="shared" si="196"/>
        <v>12.0714464</v>
      </c>
      <c r="AZ117" s="784">
        <f t="shared" si="196"/>
        <v>11.5699328</v>
      </c>
      <c r="BA117" s="784">
        <f t="shared" si="196"/>
        <v>11.1864224</v>
      </c>
      <c r="BB117" s="785">
        <f t="shared" si="196"/>
        <v>11.09792</v>
      </c>
      <c r="BC117" s="586"/>
      <c r="BD117" s="754"/>
      <c r="BE117" s="754"/>
      <c r="BF117" s="754"/>
      <c r="BG117" s="754"/>
      <c r="BH117" s="754"/>
      <c r="BI117" s="754"/>
      <c r="BJ117" s="754"/>
      <c r="BK117" s="754"/>
      <c r="BL117" s="754"/>
      <c r="BM117" s="754"/>
      <c r="BN117" s="754"/>
      <c r="BO117" s="754"/>
      <c r="BP117" s="754"/>
      <c r="BQ117" s="754"/>
      <c r="BR117" s="754"/>
      <c r="BS117" s="754"/>
      <c r="BT117" s="754"/>
      <c r="BU117" s="754"/>
      <c r="BV117" s="500"/>
    </row>
    <row r="118" ht="14.25" customHeight="1">
      <c r="A118" s="500"/>
      <c r="B118" s="500"/>
      <c r="C118" s="500"/>
      <c r="D118" s="500"/>
      <c r="E118" s="500"/>
      <c r="F118" s="500"/>
      <c r="G118" s="500"/>
      <c r="H118" s="500"/>
      <c r="I118" s="500"/>
      <c r="J118" s="633"/>
      <c r="K118" s="633"/>
      <c r="L118" s="500"/>
      <c r="M118" s="500"/>
      <c r="N118" s="500"/>
      <c r="O118" s="602" t="s">
        <v>2174</v>
      </c>
      <c r="P118" s="536" t="str">
        <f>VLOOKUP(C70,Industry_Historical_Data!$A$2:$B$1097,2,0)</f>
        <v>Final consumption of chemical industry</v>
      </c>
      <c r="Q118" s="508" t="str">
        <f t="shared" si="163"/>
        <v>TWh</v>
      </c>
      <c r="R118" s="774">
        <f t="shared" si="164"/>
        <v>46.4105</v>
      </c>
      <c r="S118" s="775">
        <f t="shared" si="165"/>
        <v>49.388</v>
      </c>
      <c r="T118" s="500" t="str">
        <f t="shared" si="166"/>
        <v>BE</v>
      </c>
      <c r="U118" s="776">
        <f t="shared" si="167"/>
        <v>0.44</v>
      </c>
      <c r="V118" s="776">
        <f t="shared" si="168"/>
        <v>0.67</v>
      </c>
      <c r="W118" s="776">
        <f t="shared" si="169"/>
        <v>0.97</v>
      </c>
      <c r="X118" s="787">
        <f t="shared" ref="X118:AB118" si="197">SUM(X115:X117)</f>
        <v>42.9097568</v>
      </c>
      <c r="Y118" s="787">
        <f t="shared" si="197"/>
        <v>39.5234024</v>
      </c>
      <c r="Z118" s="787">
        <f t="shared" si="197"/>
        <v>36.81658688</v>
      </c>
      <c r="AA118" s="787">
        <f t="shared" si="197"/>
        <v>35.1064184</v>
      </c>
      <c r="AB118" s="787">
        <f t="shared" si="197"/>
        <v>34.66472</v>
      </c>
      <c r="AC118" s="778"/>
      <c r="AD118" s="500"/>
      <c r="AE118" s="502"/>
      <c r="AF118" s="503"/>
      <c r="AG118" s="503"/>
      <c r="AH118" s="535" t="s">
        <v>2335</v>
      </c>
      <c r="AI118" s="536" t="s">
        <v>135</v>
      </c>
      <c r="AJ118" s="500" t="s">
        <v>2174</v>
      </c>
      <c r="AK118" s="500" t="str">
        <f t="shared" si="175"/>
        <v>BE</v>
      </c>
      <c r="AL118" s="779">
        <f t="array" ref="AL118">INDEX(Industry_Historical_Data!$A$1:$S$3000,MATCH(Industry_Calculation!$AJ118&amp;Industry_Calculation!$AK118,Industry_Historical_Data!$A$1:$A$3000&amp;Industry_Historical_Data!$C$1:$C$3000,0&amp;0),MATCH(Industry_Calculation!AL$110,Industry_Historical_Data!$A$1:$S$1,0))</f>
        <v>48.6315</v>
      </c>
      <c r="AM118" s="780">
        <f t="array" ref="AM118">INDEX(Industry_Historical_Data!$A$1:$S$3000,MATCH(Industry_Calculation!$AJ118&amp;Industry_Calculation!$AK118,Industry_Historical_Data!$A$1:$A$3000&amp;Industry_Historical_Data!$C$1:$C$3000,0&amp;0),MATCH(Industry_Calculation!AM$110,Industry_Historical_Data!$A$1:$S$1,0))</f>
        <v>45.6598</v>
      </c>
      <c r="AN118" s="780">
        <f t="array" ref="AN118">INDEX(Industry_Historical_Data!$A$1:$S$3000,MATCH(Industry_Calculation!$AJ118&amp;Industry_Calculation!$AK118,Industry_Historical_Data!$A$1:$A$3000&amp;Industry_Historical_Data!$C$1:$C$3000,0&amp;0),MATCH(Industry_Calculation!AN$110,Industry_Historical_Data!$A$1:$S$1,0))</f>
        <v>46.8846</v>
      </c>
      <c r="AO118" s="780">
        <f t="array" ref="AO118">INDEX(Industry_Historical_Data!$A$1:$S$3000,MATCH(Industry_Calculation!$AJ118&amp;Industry_Calculation!$AK118,Industry_Historical_Data!$A$1:$A$3000&amp;Industry_Historical_Data!$C$1:$C$3000,0&amp;0),MATCH(Industry_Calculation!AO$110,Industry_Historical_Data!$A$1:$S$1,0))</f>
        <v>48.6282</v>
      </c>
      <c r="AP118" s="780">
        <f t="array" ref="AP118">INDEX(Industry_Historical_Data!$A$1:$S$3000,MATCH(Industry_Calculation!$AJ118&amp;Industry_Calculation!$AK118,Industry_Historical_Data!$A$1:$A$3000&amp;Industry_Historical_Data!$C$1:$C$3000,0&amp;0),MATCH(Industry_Calculation!AP$110,Industry_Historical_Data!$A$1:$S$1,0))</f>
        <v>49.9682</v>
      </c>
      <c r="AQ118" s="781">
        <f t="shared" si="176"/>
        <v>49.388</v>
      </c>
      <c r="AR118" s="780">
        <f t="array" ref="AR118">INDEX(Industry_Historical_Data!$A$1:$S$3000,MATCH(Industry_Calculation!$AJ118&amp;Industry_Calculation!$AK118,Industry_Historical_Data!$A$1:$A$3000&amp;Industry_Historical_Data!$C$1:$C$3000,0&amp;0),MATCH(Industry_Calculation!AR$110,Industry_Historical_Data!$A$1:$S$1,0))</f>
        <v>50.0862</v>
      </c>
      <c r="AS118" s="780">
        <f t="array" ref="AS118">INDEX(Industry_Historical_Data!$A$1:$S$3000,MATCH(Industry_Calculation!$AJ118&amp;Industry_Calculation!$AK118,Industry_Historical_Data!$A$1:$A$3000&amp;Industry_Historical_Data!$C$1:$C$3000,0&amp;0),MATCH(Industry_Calculation!AS$110,Industry_Historical_Data!$A$1:$S$1,0))</f>
        <v>48.3166</v>
      </c>
      <c r="AT118" s="780">
        <f t="array" ref="AT118">INDEX(Industry_Historical_Data!$A$1:$S$3000,MATCH(Industry_Calculation!$AJ118&amp;Industry_Calculation!$AK118,Industry_Historical_Data!$A$1:$A$3000&amp;Industry_Historical_Data!$C$1:$C$3000,0&amp;0),MATCH(Industry_Calculation!AT$110,Industry_Historical_Data!$A$1:$S$1,0))</f>
        <v>48.7276</v>
      </c>
      <c r="AU118" s="781">
        <f t="shared" si="177"/>
        <v>49.388</v>
      </c>
      <c r="AV118" s="782">
        <f t="shared" si="178"/>
        <v>49.388</v>
      </c>
      <c r="AW118" s="783">
        <f t="shared" si="179"/>
        <v>47.4739736</v>
      </c>
      <c r="AX118" s="784">
        <f t="shared" ref="AX118:BB118" si="198">X118</f>
        <v>42.9097568</v>
      </c>
      <c r="AY118" s="784">
        <f t="shared" si="198"/>
        <v>39.5234024</v>
      </c>
      <c r="AZ118" s="784">
        <f t="shared" si="198"/>
        <v>36.81658688</v>
      </c>
      <c r="BA118" s="784">
        <f t="shared" si="198"/>
        <v>35.1064184</v>
      </c>
      <c r="BB118" s="785">
        <f t="shared" si="198"/>
        <v>34.66472</v>
      </c>
      <c r="BC118" s="586"/>
      <c r="BD118" s="754"/>
      <c r="BE118" s="754"/>
      <c r="BF118" s="754"/>
      <c r="BG118" s="754"/>
      <c r="BH118" s="754"/>
      <c r="BI118" s="754"/>
      <c r="BJ118" s="754"/>
      <c r="BK118" s="754"/>
      <c r="BL118" s="754"/>
      <c r="BM118" s="754"/>
      <c r="BN118" s="754"/>
      <c r="BO118" s="754"/>
      <c r="BP118" s="754"/>
      <c r="BQ118" s="754"/>
      <c r="BR118" s="754"/>
      <c r="BS118" s="754"/>
      <c r="BT118" s="754"/>
      <c r="BU118" s="754"/>
      <c r="BV118" s="500"/>
    </row>
    <row r="119" ht="14.25" customHeight="1">
      <c r="A119" s="500"/>
      <c r="B119" s="500"/>
      <c r="C119" s="500"/>
      <c r="D119" s="500"/>
      <c r="E119" s="500"/>
      <c r="F119" s="500"/>
      <c r="G119" s="500"/>
      <c r="H119" s="500"/>
      <c r="I119" s="500"/>
      <c r="J119" s="633"/>
      <c r="K119" s="633"/>
      <c r="L119" s="500"/>
      <c r="M119" s="500"/>
      <c r="N119" s="500"/>
      <c r="O119" s="602" t="s">
        <v>2186</v>
      </c>
      <c r="P119" s="536" t="str">
        <f>VLOOKUP(C71,Industry_Historical_Data!$A$2:$B$1097,2,0)</f>
        <v>Final consumption of food industry</v>
      </c>
      <c r="Q119" s="508" t="str">
        <f t="shared" si="163"/>
        <v>TWh</v>
      </c>
      <c r="R119" s="774">
        <f t="shared" si="164"/>
        <v>19.056</v>
      </c>
      <c r="S119" s="775">
        <f t="shared" si="165"/>
        <v>18.47465588</v>
      </c>
      <c r="T119" s="500" t="str">
        <f t="shared" si="166"/>
        <v>BE</v>
      </c>
      <c r="U119" s="776">
        <f t="shared" si="167"/>
        <v>0.44</v>
      </c>
      <c r="V119" s="776">
        <f t="shared" si="168"/>
        <v>0.67</v>
      </c>
      <c r="W119" s="776">
        <f t="shared" si="169"/>
        <v>0.97</v>
      </c>
      <c r="X119" s="775">
        <f t="shared" ref="X119:X121" si="200">S119+(AB119-S119)*U119</f>
        <v>14.00378916</v>
      </c>
      <c r="Y119" s="777">
        <f t="shared" ref="Y119:Y121" si="201">S119+(AB119-S119)*V119</f>
        <v>11.66674519</v>
      </c>
      <c r="Z119" s="775">
        <f t="shared" ref="Z119:Z121" si="202">IF($A119=0,$S119*INDEX($A$62:$M$87,MATCH($O119,$C$62:$C$87,0),MATCH(Z$110,$A$62:$M$62,0))/100,$G119*INDEX($A$38:$M$46,MATCH($A119,$C$38:$C$46,0),MATCH(Z$110,$A$38:$M$38,0))/100*INDEX($A$50:$M$58,MATCH($K119,$C$50:$C$58,0),MATCH(Z$110,$A$50:$M$50,0))/1000000)</f>
        <v>9.939364864</v>
      </c>
      <c r="AA119" s="777">
        <f t="shared" ref="AA119:AA121" si="203">S119+(AB119-S119)*W119</f>
        <v>8.618426968</v>
      </c>
      <c r="AB119" s="775">
        <f t="shared" ref="AB119:AB121" si="204">IF($A119=0,$S119*INDEX($A$62:$M$87,MATCH($O119,$C$62:$C$87,0),MATCH(AB$110,$A$62:$M$62,0))/100,$G119*INDEX($A$38:$M$46,MATCH($A119,$C$38:$C$46,0),MATCH(AB$110,$A$38:$M$38,0))/100*INDEX($A$50:$M$58,MATCH($K119,$C$50:$C$58,0),MATCH(AB$110,$A$50:$M$50,0))/1000000)</f>
        <v>8.313595146</v>
      </c>
      <c r="AC119" s="778"/>
      <c r="AD119" s="500"/>
      <c r="AE119" s="502"/>
      <c r="AF119" s="503"/>
      <c r="AG119" s="503"/>
      <c r="AH119" s="535" t="s">
        <v>2339</v>
      </c>
      <c r="AI119" s="536" t="s">
        <v>135</v>
      </c>
      <c r="AJ119" s="500" t="s">
        <v>2186</v>
      </c>
      <c r="AK119" s="500" t="str">
        <f t="shared" si="175"/>
        <v>BE</v>
      </c>
      <c r="AL119" s="779">
        <f t="array" ref="AL119">INDEX(Industry_Historical_Data!$A$1:$S$3000,MATCH(Industry_Calculation!$AJ119&amp;Industry_Calculation!$AK119,Industry_Historical_Data!$A$1:$A$3000&amp;Industry_Historical_Data!$C$1:$C$3000,0&amp;0),MATCH(Industry_Calculation!AL$110,Industry_Historical_Data!$A$1:$S$1,0))</f>
        <v>16.1924</v>
      </c>
      <c r="AM119" s="780">
        <f t="array" ref="AM119">INDEX(Industry_Historical_Data!$A$1:$S$3000,MATCH(Industry_Calculation!$AJ119&amp;Industry_Calculation!$AK119,Industry_Historical_Data!$A$1:$A$3000&amp;Industry_Historical_Data!$C$1:$C$3000,0&amp;0),MATCH(Industry_Calculation!AM$110,Industry_Historical_Data!$A$1:$S$1,0))</f>
        <v>15.4086</v>
      </c>
      <c r="AN119" s="780">
        <f t="array" ref="AN119">INDEX(Industry_Historical_Data!$A$1:$S$3000,MATCH(Industry_Calculation!$AJ119&amp;Industry_Calculation!$AK119,Industry_Historical_Data!$A$1:$A$3000&amp;Industry_Historical_Data!$C$1:$C$3000,0&amp;0),MATCH(Industry_Calculation!AN$110,Industry_Historical_Data!$A$1:$S$1,0))</f>
        <v>15.5922</v>
      </c>
      <c r="AO119" s="780">
        <f t="array" ref="AO119">INDEX(Industry_Historical_Data!$A$1:$S$3000,MATCH(Industry_Calculation!$AJ119&amp;Industry_Calculation!$AK119,Industry_Historical_Data!$A$1:$A$3000&amp;Industry_Historical_Data!$C$1:$C$3000,0&amp;0),MATCH(Industry_Calculation!AO$110,Industry_Historical_Data!$A$1:$S$1,0))</f>
        <v>15.8963</v>
      </c>
      <c r="AP119" s="780">
        <f t="array" ref="AP119">INDEX(Industry_Historical_Data!$A$1:$S$3000,MATCH(Industry_Calculation!$AJ119&amp;Industry_Calculation!$AK119,Industry_Historical_Data!$A$1:$A$3000&amp;Industry_Historical_Data!$C$1:$C$3000,0&amp;0),MATCH(Industry_Calculation!AP$110,Industry_Historical_Data!$A$1:$S$1,0))</f>
        <v>16.5381</v>
      </c>
      <c r="AQ119" s="781">
        <f t="shared" si="176"/>
        <v>16.5379</v>
      </c>
      <c r="AR119" s="780">
        <f t="array" ref="AR119">INDEX(Industry_Historical_Data!$A$1:$S$3000,MATCH(Industry_Calculation!$AJ119&amp;Industry_Calculation!$AK119,Industry_Historical_Data!$A$1:$A$3000&amp;Industry_Historical_Data!$C$1:$C$3000,0&amp;0),MATCH(Industry_Calculation!AR$110,Industry_Historical_Data!$A$1:$S$1,0))</f>
        <v>17.1377</v>
      </c>
      <c r="AS119" s="780">
        <f t="array" ref="AS119">INDEX(Industry_Historical_Data!$A$1:$S$3000,MATCH(Industry_Calculation!$AJ119&amp;Industry_Calculation!$AK119,Industry_Historical_Data!$A$1:$A$3000&amp;Industry_Historical_Data!$C$1:$C$3000,0&amp;0),MATCH(Industry_Calculation!AS$110,Industry_Historical_Data!$A$1:$S$1,0))</f>
        <v>17.704</v>
      </c>
      <c r="AT119" s="780">
        <f t="array" ref="AT119">INDEX(Industry_Historical_Data!$A$1:$S$3000,MATCH(Industry_Calculation!$AJ119&amp;Industry_Calculation!$AK119,Industry_Historical_Data!$A$1:$A$3000&amp;Industry_Historical_Data!$C$1:$C$3000,0&amp;0),MATCH(Industry_Calculation!AT$110,Industry_Historical_Data!$A$1:$S$1,0))</f>
        <v>18.7558</v>
      </c>
      <c r="AU119" s="781">
        <f t="shared" si="177"/>
        <v>18.47465588</v>
      </c>
      <c r="AV119" s="782">
        <f t="shared" si="178"/>
        <v>18.47465588</v>
      </c>
      <c r="AW119" s="783">
        <f t="shared" si="179"/>
        <v>17.15371798</v>
      </c>
      <c r="AX119" s="784">
        <f t="shared" ref="AX119:BB119" si="199">X119</f>
        <v>14.00378916</v>
      </c>
      <c r="AY119" s="784">
        <f t="shared" si="199"/>
        <v>11.66674519</v>
      </c>
      <c r="AZ119" s="784">
        <f t="shared" si="199"/>
        <v>9.939364864</v>
      </c>
      <c r="BA119" s="784">
        <f t="shared" si="199"/>
        <v>8.618426968</v>
      </c>
      <c r="BB119" s="785">
        <f t="shared" si="199"/>
        <v>8.313595146</v>
      </c>
      <c r="BC119" s="500"/>
      <c r="BD119" s="754"/>
      <c r="BE119" s="754"/>
      <c r="BF119" s="754"/>
      <c r="BG119" s="754"/>
      <c r="BH119" s="754"/>
      <c r="BI119" s="754"/>
      <c r="BJ119" s="754"/>
      <c r="BK119" s="754"/>
      <c r="BL119" s="754"/>
      <c r="BM119" s="754"/>
      <c r="BN119" s="754"/>
      <c r="BO119" s="754"/>
      <c r="BP119" s="754"/>
      <c r="BQ119" s="754"/>
      <c r="BR119" s="754"/>
      <c r="BS119" s="754"/>
      <c r="BT119" s="754"/>
      <c r="BU119" s="754"/>
      <c r="BV119" s="500"/>
    </row>
    <row r="120" ht="14.25" customHeight="1">
      <c r="A120" s="500"/>
      <c r="B120" s="500"/>
      <c r="C120" s="500"/>
      <c r="D120" s="500"/>
      <c r="E120" s="500"/>
      <c r="F120" s="500"/>
      <c r="G120" s="500"/>
      <c r="H120" s="500"/>
      <c r="I120" s="500"/>
      <c r="J120" s="500"/>
      <c r="K120" s="500"/>
      <c r="L120" s="500"/>
      <c r="M120" s="500"/>
      <c r="N120" s="500"/>
      <c r="O120" s="602" t="s">
        <v>2182</v>
      </c>
      <c r="P120" s="536" t="str">
        <f>VLOOKUP(C72,Industry_Historical_Data!$A$2:$B$1097,2,0)</f>
        <v>Final consumption of non ferrous metals</v>
      </c>
      <c r="Q120" s="508" t="str">
        <f t="shared" si="163"/>
        <v>TWh</v>
      </c>
      <c r="R120" s="774">
        <f t="shared" si="164"/>
        <v>3.4813</v>
      </c>
      <c r="S120" s="775">
        <f t="shared" si="165"/>
        <v>3.474788333</v>
      </c>
      <c r="T120" s="500" t="str">
        <f t="shared" si="166"/>
        <v>BE</v>
      </c>
      <c r="U120" s="776">
        <f t="shared" si="167"/>
        <v>0.44</v>
      </c>
      <c r="V120" s="776">
        <f t="shared" si="168"/>
        <v>0.67</v>
      </c>
      <c r="W120" s="776">
        <f t="shared" si="169"/>
        <v>0.97</v>
      </c>
      <c r="X120" s="775">
        <f t="shared" si="200"/>
        <v>2.93967093</v>
      </c>
      <c r="Y120" s="777">
        <f t="shared" si="201"/>
        <v>2.659950469</v>
      </c>
      <c r="Z120" s="775">
        <f t="shared" si="202"/>
        <v>2.453200563</v>
      </c>
      <c r="AA120" s="777">
        <f t="shared" si="203"/>
        <v>2.295097694</v>
      </c>
      <c r="AB120" s="775">
        <f t="shared" si="204"/>
        <v>2.258612416</v>
      </c>
      <c r="AC120" s="778"/>
      <c r="AD120" s="500"/>
      <c r="AE120" s="502"/>
      <c r="AF120" s="503"/>
      <c r="AG120" s="503"/>
      <c r="AH120" s="535" t="s">
        <v>2343</v>
      </c>
      <c r="AI120" s="536" t="s">
        <v>135</v>
      </c>
      <c r="AJ120" s="500" t="s">
        <v>2182</v>
      </c>
      <c r="AK120" s="500" t="str">
        <f t="shared" si="175"/>
        <v>BE</v>
      </c>
      <c r="AL120" s="779">
        <f t="array" ref="AL120">INDEX(Industry_Historical_Data!$A$1:$S$3000,MATCH(Industry_Calculation!$AJ120&amp;Industry_Calculation!$AK120,Industry_Historical_Data!$A$1:$A$3000&amp;Industry_Historical_Data!$C$1:$C$3000,0&amp;0),MATCH(Industry_Calculation!AL$110,Industry_Historical_Data!$A$1:$S$1,0))</f>
        <v>3.428</v>
      </c>
      <c r="AM120" s="780">
        <f t="array" ref="AM120">INDEX(Industry_Historical_Data!$A$1:$S$3000,MATCH(Industry_Calculation!$AJ120&amp;Industry_Calculation!$AK120,Industry_Historical_Data!$A$1:$A$3000&amp;Industry_Historical_Data!$C$1:$C$3000,0&amp;0),MATCH(Industry_Calculation!AM$110,Industry_Historical_Data!$A$1:$S$1,0))</f>
        <v>3.3483</v>
      </c>
      <c r="AN120" s="780">
        <f t="array" ref="AN120">INDEX(Industry_Historical_Data!$A$1:$S$3000,MATCH(Industry_Calculation!$AJ120&amp;Industry_Calculation!$AK120,Industry_Historical_Data!$A$1:$A$3000&amp;Industry_Historical_Data!$C$1:$C$3000,0&amp;0),MATCH(Industry_Calculation!AN$110,Industry_Historical_Data!$A$1:$S$1,0))</f>
        <v>3.3622</v>
      </c>
      <c r="AO120" s="780">
        <f t="array" ref="AO120">INDEX(Industry_Historical_Data!$A$1:$S$3000,MATCH(Industry_Calculation!$AJ120&amp;Industry_Calculation!$AK120,Industry_Historical_Data!$A$1:$A$3000&amp;Industry_Historical_Data!$C$1:$C$3000,0&amp;0),MATCH(Industry_Calculation!AO$110,Industry_Historical_Data!$A$1:$S$1,0))</f>
        <v>3.4521</v>
      </c>
      <c r="AP120" s="780">
        <f t="array" ref="AP120">INDEX(Industry_Historical_Data!$A$1:$S$3000,MATCH(Industry_Calculation!$AJ120&amp;Industry_Calculation!$AK120,Industry_Historical_Data!$A$1:$A$3000&amp;Industry_Historical_Data!$C$1:$C$3000,0&amp;0),MATCH(Industry_Calculation!AP$110,Industry_Historical_Data!$A$1:$S$1,0))</f>
        <v>3.4135</v>
      </c>
      <c r="AQ120" s="781">
        <f t="shared" si="176"/>
        <v>3.4152</v>
      </c>
      <c r="AR120" s="780">
        <f t="array" ref="AR120">INDEX(Industry_Historical_Data!$A$1:$S$3000,MATCH(Industry_Calculation!$AJ120&amp;Industry_Calculation!$AK120,Industry_Historical_Data!$A$1:$A$3000&amp;Industry_Historical_Data!$C$1:$C$3000,0&amp;0),MATCH(Industry_Calculation!AR$110,Industry_Historical_Data!$A$1:$S$1,0))</f>
        <v>3.4069</v>
      </c>
      <c r="AS120" s="780">
        <f t="array" ref="AS120">INDEX(Industry_Historical_Data!$A$1:$S$3000,MATCH(Industry_Calculation!$AJ120&amp;Industry_Calculation!$AK120,Industry_Historical_Data!$A$1:$A$3000&amp;Industry_Historical_Data!$C$1:$C$3000,0&amp;0),MATCH(Industry_Calculation!AS$110,Industry_Historical_Data!$A$1:$S$1,0))</f>
        <v>3.4824</v>
      </c>
      <c r="AT120" s="780">
        <f t="array" ref="AT120">INDEX(Industry_Historical_Data!$A$1:$S$3000,MATCH(Industry_Calculation!$AJ120&amp;Industry_Calculation!$AK120,Industry_Historical_Data!$A$1:$A$3000&amp;Industry_Historical_Data!$C$1:$C$3000,0&amp;0),MATCH(Industry_Calculation!AT$110,Industry_Historical_Data!$A$1:$S$1,0))</f>
        <v>3.6202</v>
      </c>
      <c r="AU120" s="781">
        <f t="shared" si="177"/>
        <v>3.474788333</v>
      </c>
      <c r="AV120" s="782">
        <f t="shared" si="178"/>
        <v>3.474788333</v>
      </c>
      <c r="AW120" s="783">
        <f t="shared" si="179"/>
        <v>3.316685464</v>
      </c>
      <c r="AX120" s="784">
        <f t="shared" ref="AX120:BB120" si="205">X120</f>
        <v>2.93967093</v>
      </c>
      <c r="AY120" s="784">
        <f t="shared" si="205"/>
        <v>2.659950469</v>
      </c>
      <c r="AZ120" s="784">
        <f t="shared" si="205"/>
        <v>2.453200563</v>
      </c>
      <c r="BA120" s="784">
        <f t="shared" si="205"/>
        <v>2.295097694</v>
      </c>
      <c r="BB120" s="785">
        <f t="shared" si="205"/>
        <v>2.258612416</v>
      </c>
      <c r="BC120" s="500"/>
      <c r="BD120" s="754"/>
      <c r="BE120" s="754"/>
      <c r="BF120" s="754"/>
      <c r="BG120" s="754"/>
      <c r="BH120" s="754"/>
      <c r="BI120" s="754"/>
      <c r="BJ120" s="754"/>
      <c r="BK120" s="754"/>
      <c r="BL120" s="754"/>
      <c r="BM120" s="754"/>
      <c r="BN120" s="754"/>
      <c r="BO120" s="754"/>
      <c r="BP120" s="754"/>
      <c r="BQ120" s="754"/>
      <c r="BR120" s="754"/>
      <c r="BS120" s="754"/>
      <c r="BT120" s="754"/>
      <c r="BU120" s="754"/>
      <c r="BV120" s="500"/>
    </row>
    <row r="121" ht="14.25" customHeight="1">
      <c r="A121" s="500"/>
      <c r="B121" s="500"/>
      <c r="C121" s="500"/>
      <c r="D121" s="500"/>
      <c r="E121" s="500"/>
      <c r="F121" s="500"/>
      <c r="G121" s="500"/>
      <c r="H121" s="500"/>
      <c r="I121" s="500"/>
      <c r="J121" s="500"/>
      <c r="K121" s="500"/>
      <c r="L121" s="500"/>
      <c r="M121" s="500"/>
      <c r="N121" s="500"/>
      <c r="O121" s="602" t="s">
        <v>2188</v>
      </c>
      <c r="P121" s="536" t="s">
        <v>2346</v>
      </c>
      <c r="Q121" s="508" t="str">
        <f>Q120</f>
        <v>TWh</v>
      </c>
      <c r="R121" s="774" t="str">
        <f t="shared" si="164"/>
        <v>#N/A</v>
      </c>
      <c r="S121" s="775">
        <f t="shared" si="165"/>
        <v>18.67637373</v>
      </c>
      <c r="T121" s="500" t="str">
        <f t="shared" si="166"/>
        <v>BE</v>
      </c>
      <c r="U121" s="776">
        <f t="shared" si="167"/>
        <v>0.44</v>
      </c>
      <c r="V121" s="776">
        <f t="shared" si="168"/>
        <v>0.67</v>
      </c>
      <c r="W121" s="776">
        <f t="shared" si="169"/>
        <v>0.97</v>
      </c>
      <c r="X121" s="775">
        <f t="shared" si="200"/>
        <v>16.62197262</v>
      </c>
      <c r="Y121" s="777">
        <f t="shared" si="201"/>
        <v>15.54808113</v>
      </c>
      <c r="Z121" s="775">
        <f t="shared" si="202"/>
        <v>14.75433525</v>
      </c>
      <c r="AA121" s="777">
        <f t="shared" si="203"/>
        <v>14.1473531</v>
      </c>
      <c r="AB121" s="775">
        <f t="shared" si="204"/>
        <v>14.0072803</v>
      </c>
      <c r="AC121" s="778"/>
      <c r="AD121" s="500"/>
      <c r="AE121" s="502"/>
      <c r="AF121" s="503"/>
      <c r="AG121" s="503"/>
      <c r="AH121" s="552" t="s">
        <v>2346</v>
      </c>
      <c r="AI121" s="553" t="s">
        <v>135</v>
      </c>
      <c r="AJ121" s="143" t="s">
        <v>2159</v>
      </c>
      <c r="AK121" s="554" t="str">
        <f t="shared" si="175"/>
        <v>BE</v>
      </c>
      <c r="AL121" s="788">
        <f t="array" ref="AL121">INDEX(Industry_Historical_Data!$A$1:$S$3000,MATCH(Industry_Calculation!$AJ121&amp;Industry_Calculation!$AK121,Industry_Historical_Data!$A$1:$A$3000&amp;Industry_Historical_Data!$C$1:$C$3000,0&amp;0),MATCH(Industry_Calculation!AL$110,Industry_Historical_Data!$A$1:$S$1,0))</f>
        <v>142.7726</v>
      </c>
      <c r="AM121" s="789">
        <f t="array" ref="AM121">INDEX(Industry_Historical_Data!$A$1:$S$3000,MATCH(Industry_Calculation!$AJ121&amp;Industry_Calculation!$AK121,Industry_Historical_Data!$A$1:$A$3000&amp;Industry_Historical_Data!$C$1:$C$3000,0&amp;0),MATCH(Industry_Calculation!AM$110,Industry_Historical_Data!$A$1:$S$1,0))</f>
        <v>137.7632</v>
      </c>
      <c r="AN121" s="789">
        <f t="array" ref="AN121">INDEX(Industry_Historical_Data!$A$1:$S$3000,MATCH(Industry_Calculation!$AJ121&amp;Industry_Calculation!$AK121,Industry_Historical_Data!$A$1:$A$3000&amp;Industry_Historical_Data!$C$1:$C$3000,0&amp;0),MATCH(Industry_Calculation!AN$110,Industry_Historical_Data!$A$1:$S$1,0))</f>
        <v>135.7638</v>
      </c>
      <c r="AO121" s="789">
        <f t="array" ref="AO121">INDEX(Industry_Historical_Data!$A$1:$S$3000,MATCH(Industry_Calculation!$AJ121&amp;Industry_Calculation!$AK121,Industry_Historical_Data!$A$1:$A$3000&amp;Industry_Historical_Data!$C$1:$C$3000,0&amp;0),MATCH(Industry_Calculation!AO$110,Industry_Historical_Data!$A$1:$S$1,0))</f>
        <v>141.0645</v>
      </c>
      <c r="AP121" s="789">
        <f t="array" ref="AP121">INDEX(Industry_Historical_Data!$A$1:$S$3000,MATCH(Industry_Calculation!$AJ121&amp;Industry_Calculation!$AK121,Industry_Historical_Data!$A$1:$A$3000&amp;Industry_Historical_Data!$C$1:$C$3000,0&amp;0),MATCH(Industry_Calculation!AP$110,Industry_Historical_Data!$A$1:$S$1,0))</f>
        <v>139.4801</v>
      </c>
      <c r="AQ121" s="790">
        <f t="shared" si="176"/>
        <v>23.7778</v>
      </c>
      <c r="AR121" s="789">
        <f t="array" ref="AR121">INDEX(Industry_Historical_Data!$A$1:$S$3000,MATCH(Industry_Calculation!$AJ121&amp;Industry_Calculation!$AK121,Industry_Historical_Data!$A$1:$A$3000&amp;Industry_Historical_Data!$C$1:$C$3000,0&amp;0),MATCH(Industry_Calculation!AR$110,Industry_Historical_Data!$A$1:$S$1,0))</f>
        <v>142.687</v>
      </c>
      <c r="AS121" s="789">
        <f t="array" ref="AS121">INDEX(Industry_Historical_Data!$A$1:$S$3000,MATCH(Industry_Calculation!$AJ121&amp;Industry_Calculation!$AK121,Industry_Historical_Data!$A$1:$A$3000&amp;Industry_Historical_Data!$C$1:$C$3000,0&amp;0),MATCH(Industry_Calculation!AS$110,Industry_Historical_Data!$A$1:$S$1,0))</f>
        <v>140.7188</v>
      </c>
      <c r="AT121" s="789">
        <f t="array" ref="AT121">INDEX(Industry_Historical_Data!$A$1:$S$3000,MATCH(Industry_Calculation!$AJ121&amp;Industry_Calculation!$AK121,Industry_Historical_Data!$A$1:$A$3000&amp;Industry_Historical_Data!$C$1:$C$3000,0&amp;0),MATCH(Industry_Calculation!AT$110,Industry_Historical_Data!$A$1:$S$1,0))</f>
        <v>143.12</v>
      </c>
      <c r="AU121" s="790">
        <f t="shared" si="177"/>
        <v>18.67637373</v>
      </c>
      <c r="AV121" s="791">
        <f t="shared" si="178"/>
        <v>18.67637373</v>
      </c>
      <c r="AW121" s="783">
        <f t="shared" si="179"/>
        <v>18.06939158</v>
      </c>
      <c r="AX121" s="792">
        <f t="shared" ref="AX121:BB121" si="206">X121</f>
        <v>16.62197262</v>
      </c>
      <c r="AY121" s="792">
        <f t="shared" si="206"/>
        <v>15.54808113</v>
      </c>
      <c r="AZ121" s="792">
        <f t="shared" si="206"/>
        <v>14.75433525</v>
      </c>
      <c r="BA121" s="784">
        <f t="shared" si="206"/>
        <v>14.1473531</v>
      </c>
      <c r="BB121" s="793">
        <f t="shared" si="206"/>
        <v>14.0072803</v>
      </c>
      <c r="BC121" s="500"/>
      <c r="BD121" s="754"/>
      <c r="BE121" s="754"/>
      <c r="BF121" s="754"/>
      <c r="BG121" s="754"/>
      <c r="BH121" s="754"/>
      <c r="BI121" s="754"/>
      <c r="BJ121" s="754"/>
      <c r="BK121" s="754"/>
      <c r="BL121" s="754"/>
      <c r="BM121" s="754"/>
      <c r="BN121" s="754"/>
      <c r="BO121" s="754"/>
      <c r="BP121" s="754"/>
      <c r="BQ121" s="754"/>
      <c r="BR121" s="754"/>
      <c r="BS121" s="754"/>
      <c r="BT121" s="754"/>
      <c r="BU121" s="754"/>
      <c r="BV121" s="500"/>
    </row>
    <row r="122" ht="14.25" customHeight="1">
      <c r="A122" s="500"/>
      <c r="B122" s="500"/>
      <c r="C122" s="500"/>
      <c r="D122" s="500"/>
      <c r="E122" s="500"/>
      <c r="F122" s="500"/>
      <c r="G122" s="500"/>
      <c r="H122" s="500"/>
      <c r="I122" s="500"/>
      <c r="J122" s="500"/>
      <c r="K122" s="500"/>
      <c r="L122" s="500"/>
      <c r="M122" s="500"/>
      <c r="N122" s="500"/>
      <c r="O122" s="500"/>
      <c r="P122" s="500"/>
      <c r="Q122" s="500"/>
      <c r="R122" s="500"/>
      <c r="S122" s="500"/>
      <c r="T122" s="500"/>
      <c r="U122" s="508"/>
      <c r="V122" s="508"/>
      <c r="W122" s="508"/>
      <c r="X122" s="508"/>
      <c r="Y122" s="508"/>
      <c r="Z122" s="794"/>
      <c r="AA122" s="794"/>
      <c r="AB122" s="794"/>
      <c r="AC122" s="794"/>
      <c r="AD122" s="500"/>
      <c r="AE122" s="502"/>
      <c r="AF122" s="503"/>
      <c r="AG122" s="503"/>
      <c r="AH122" s="504"/>
      <c r="AI122" s="500"/>
      <c r="AJ122" s="500"/>
      <c r="AK122" s="500"/>
      <c r="AL122" s="500"/>
      <c r="AM122" s="500"/>
      <c r="AN122" s="500"/>
      <c r="AO122" s="500"/>
      <c r="AP122" s="500"/>
      <c r="AQ122" s="500"/>
      <c r="AR122" s="500"/>
      <c r="AS122" s="500"/>
      <c r="AT122" s="500"/>
      <c r="AU122" s="500"/>
      <c r="AV122" s="500"/>
      <c r="AW122" s="500"/>
      <c r="AX122" s="500"/>
      <c r="AY122" s="500"/>
      <c r="AZ122" s="500"/>
      <c r="BA122" s="500"/>
      <c r="BB122" s="500"/>
      <c r="BC122" s="500"/>
      <c r="BD122" s="500"/>
      <c r="BE122" s="500"/>
      <c r="BF122" s="500"/>
      <c r="BG122" s="500"/>
      <c r="BH122" s="500"/>
      <c r="BI122" s="500"/>
      <c r="BJ122" s="500"/>
      <c r="BK122" s="500"/>
      <c r="BL122" s="500"/>
      <c r="BM122" s="500"/>
      <c r="BN122" s="500"/>
      <c r="BO122" s="500"/>
      <c r="BP122" s="500"/>
      <c r="BQ122" s="500"/>
      <c r="BR122" s="500"/>
      <c r="BS122" s="500"/>
      <c r="BT122" s="500"/>
      <c r="BU122" s="500"/>
      <c r="BV122" s="500"/>
    </row>
    <row r="123" ht="14.25" customHeight="1">
      <c r="A123" s="500"/>
      <c r="B123" s="500"/>
      <c r="C123" s="500"/>
      <c r="D123" s="500"/>
      <c r="E123" s="500"/>
      <c r="F123" s="500"/>
      <c r="G123" s="500"/>
      <c r="H123" s="500"/>
      <c r="I123" s="500"/>
      <c r="J123" s="500"/>
      <c r="K123" s="500"/>
      <c r="L123" s="500"/>
      <c r="M123" s="500"/>
      <c r="N123" s="500"/>
      <c r="O123" s="500"/>
      <c r="P123" s="500"/>
      <c r="Q123" s="500"/>
      <c r="R123" s="500"/>
      <c r="S123" s="500"/>
      <c r="T123" s="500"/>
      <c r="U123" s="500"/>
      <c r="V123" s="500"/>
      <c r="W123" s="500"/>
      <c r="X123" s="500"/>
      <c r="Y123" s="500"/>
      <c r="Z123" s="501"/>
      <c r="AA123" s="501"/>
      <c r="AB123" s="501"/>
      <c r="AC123" s="501"/>
      <c r="AD123" s="500"/>
      <c r="AE123" s="502"/>
      <c r="AF123" s="503"/>
      <c r="AG123" s="503"/>
      <c r="AH123" s="795" t="s">
        <v>2483</v>
      </c>
      <c r="AI123" s="796" t="str">
        <f>AI115</f>
        <v>TWh</v>
      </c>
      <c r="AJ123" s="796"/>
      <c r="AK123" s="797" t="str">
        <f>AK115</f>
        <v>BE</v>
      </c>
      <c r="AL123" s="798" t="str">
        <f t="shared" ref="AL123:AV123" si="207">SUM(AL115:AL117)</f>
        <v>#N/A</v>
      </c>
      <c r="AM123" s="798" t="str">
        <f t="shared" si="207"/>
        <v>#N/A</v>
      </c>
      <c r="AN123" s="798" t="str">
        <f t="shared" si="207"/>
        <v>#N/A</v>
      </c>
      <c r="AO123" s="798" t="str">
        <f t="shared" si="207"/>
        <v>#N/A</v>
      </c>
      <c r="AP123" s="798" t="str">
        <f t="shared" si="207"/>
        <v>#N/A</v>
      </c>
      <c r="AQ123" s="798">
        <f t="shared" si="207"/>
        <v>49.388</v>
      </c>
      <c r="AR123" s="798" t="str">
        <f t="shared" si="207"/>
        <v>#N/A</v>
      </c>
      <c r="AS123" s="798" t="str">
        <f t="shared" si="207"/>
        <v>#N/A</v>
      </c>
      <c r="AT123" s="798" t="str">
        <f t="shared" si="207"/>
        <v>#N/A</v>
      </c>
      <c r="AU123" s="798">
        <f t="shared" si="207"/>
        <v>49.388</v>
      </c>
      <c r="AV123" s="798">
        <f t="shared" si="207"/>
        <v>49.388</v>
      </c>
      <c r="AW123" s="798">
        <f t="shared" ref="AW123:BB123" si="208">AW115+AW116+AW117</f>
        <v>47.4739736</v>
      </c>
      <c r="AX123" s="798">
        <f t="shared" si="208"/>
        <v>42.9097568</v>
      </c>
      <c r="AY123" s="798">
        <f t="shared" si="208"/>
        <v>39.5234024</v>
      </c>
      <c r="AZ123" s="798">
        <f t="shared" si="208"/>
        <v>36.81658688</v>
      </c>
      <c r="BA123" s="798">
        <f t="shared" si="208"/>
        <v>35.1064184</v>
      </c>
      <c r="BB123" s="799">
        <f t="shared" si="208"/>
        <v>34.66472</v>
      </c>
      <c r="BC123" s="500"/>
      <c r="BD123" s="500"/>
      <c r="BE123" s="500"/>
      <c r="BF123" s="500"/>
      <c r="BG123" s="500"/>
      <c r="BH123" s="500"/>
      <c r="BI123" s="500"/>
      <c r="BJ123" s="500"/>
      <c r="BK123" s="500"/>
      <c r="BL123" s="500"/>
      <c r="BM123" s="500"/>
      <c r="BN123" s="500"/>
      <c r="BO123" s="500"/>
      <c r="BP123" s="500"/>
      <c r="BQ123" s="500"/>
      <c r="BR123" s="500"/>
      <c r="BS123" s="500"/>
      <c r="BT123" s="500"/>
      <c r="BU123" s="500"/>
      <c r="BV123" s="500"/>
    </row>
    <row r="124" ht="14.25" customHeight="1">
      <c r="A124" s="500"/>
      <c r="B124" s="500"/>
      <c r="C124" s="500"/>
      <c r="D124" s="500"/>
      <c r="E124" s="500"/>
      <c r="F124" s="500"/>
      <c r="G124" s="500"/>
      <c r="H124" s="500"/>
      <c r="I124" s="500"/>
      <c r="J124" s="500"/>
      <c r="K124" s="500"/>
      <c r="L124" s="500"/>
      <c r="M124" s="500"/>
      <c r="N124" s="500"/>
      <c r="O124" s="500"/>
      <c r="P124" s="500"/>
      <c r="Q124" s="500"/>
      <c r="R124" s="500"/>
      <c r="S124" s="500"/>
      <c r="T124" s="500"/>
      <c r="U124" s="500"/>
      <c r="V124" s="500"/>
      <c r="W124" s="500"/>
      <c r="X124" s="500"/>
      <c r="Y124" s="500"/>
      <c r="Z124" s="501"/>
      <c r="AA124" s="501"/>
      <c r="AB124" s="501"/>
      <c r="AC124" s="501"/>
      <c r="AD124" s="500"/>
      <c r="AE124" s="502"/>
      <c r="AF124" s="503"/>
      <c r="AG124" s="503"/>
      <c r="AH124" s="800" t="s">
        <v>2484</v>
      </c>
      <c r="AI124" s="553" t="str">
        <f t="shared" ref="AI124:BB124" si="209">AI118</f>
        <v>TWh</v>
      </c>
      <c r="AJ124" s="553" t="str">
        <f t="shared" si="209"/>
        <v>toccfchi</v>
      </c>
      <c r="AK124" s="801" t="str">
        <f t="shared" si="209"/>
        <v>BE</v>
      </c>
      <c r="AL124" s="802">
        <f t="shared" si="209"/>
        <v>48.6315</v>
      </c>
      <c r="AM124" s="803">
        <f t="shared" si="209"/>
        <v>45.6598</v>
      </c>
      <c r="AN124" s="803">
        <f t="shared" si="209"/>
        <v>46.8846</v>
      </c>
      <c r="AO124" s="803">
        <f t="shared" si="209"/>
        <v>48.6282</v>
      </c>
      <c r="AP124" s="803">
        <f t="shared" si="209"/>
        <v>49.9682</v>
      </c>
      <c r="AQ124" s="803">
        <f t="shared" si="209"/>
        <v>49.388</v>
      </c>
      <c r="AR124" s="803">
        <f t="shared" si="209"/>
        <v>50.0862</v>
      </c>
      <c r="AS124" s="803">
        <f t="shared" si="209"/>
        <v>48.3166</v>
      </c>
      <c r="AT124" s="803">
        <f t="shared" si="209"/>
        <v>48.7276</v>
      </c>
      <c r="AU124" s="803">
        <f t="shared" si="209"/>
        <v>49.388</v>
      </c>
      <c r="AV124" s="803">
        <f t="shared" si="209"/>
        <v>49.388</v>
      </c>
      <c r="AW124" s="803">
        <f t="shared" si="209"/>
        <v>47.4739736</v>
      </c>
      <c r="AX124" s="803">
        <f t="shared" si="209"/>
        <v>42.9097568</v>
      </c>
      <c r="AY124" s="803">
        <f t="shared" si="209"/>
        <v>39.5234024</v>
      </c>
      <c r="AZ124" s="803">
        <f t="shared" si="209"/>
        <v>36.81658688</v>
      </c>
      <c r="BA124" s="803">
        <f t="shared" si="209"/>
        <v>35.1064184</v>
      </c>
      <c r="BB124" s="804">
        <f t="shared" si="209"/>
        <v>34.66472</v>
      </c>
      <c r="BC124" s="500"/>
      <c r="BD124" s="500"/>
      <c r="BE124" s="500"/>
      <c r="BF124" s="500"/>
      <c r="BG124" s="500"/>
      <c r="BH124" s="500"/>
      <c r="BI124" s="500"/>
      <c r="BJ124" s="500"/>
      <c r="BK124" s="500"/>
      <c r="BL124" s="500"/>
      <c r="BM124" s="500"/>
      <c r="BN124" s="500"/>
      <c r="BO124" s="500"/>
      <c r="BP124" s="500"/>
      <c r="BQ124" s="500"/>
      <c r="BR124" s="500"/>
      <c r="BS124" s="500"/>
      <c r="BT124" s="500"/>
      <c r="BU124" s="500"/>
      <c r="BV124" s="500"/>
    </row>
    <row r="125" ht="14.25" customHeight="1">
      <c r="A125" s="500"/>
      <c r="B125" s="500"/>
      <c r="C125" s="500"/>
      <c r="D125" s="500"/>
      <c r="E125" s="500"/>
      <c r="F125" s="500"/>
      <c r="G125" s="500"/>
      <c r="H125" s="500"/>
      <c r="I125" s="500"/>
      <c r="J125" s="500"/>
      <c r="K125" s="500"/>
      <c r="L125" s="500"/>
      <c r="M125" s="500"/>
      <c r="N125" s="500"/>
      <c r="O125" s="500"/>
      <c r="P125" s="500"/>
      <c r="Q125" s="500"/>
      <c r="R125" s="500"/>
      <c r="S125" s="500"/>
      <c r="T125" s="500"/>
      <c r="U125" s="500"/>
      <c r="V125" s="500"/>
      <c r="W125" s="500"/>
      <c r="X125" s="500"/>
      <c r="Y125" s="500"/>
      <c r="Z125" s="501"/>
      <c r="AA125" s="501"/>
      <c r="AB125" s="501"/>
      <c r="AC125" s="501"/>
      <c r="AD125" s="500"/>
      <c r="AE125" s="502"/>
      <c r="AF125" s="503"/>
      <c r="AG125" s="503"/>
      <c r="AH125" s="504"/>
      <c r="AI125" s="500"/>
      <c r="AJ125" s="500"/>
      <c r="AK125" s="500"/>
      <c r="AL125" s="500"/>
      <c r="AM125" s="500"/>
      <c r="AN125" s="500"/>
      <c r="AO125" s="500"/>
      <c r="AP125" s="500"/>
      <c r="AQ125" s="500"/>
      <c r="AR125" s="500"/>
      <c r="AS125" s="500"/>
      <c r="AT125" s="500"/>
      <c r="AU125" s="500"/>
      <c r="AV125" s="500"/>
      <c r="AW125" s="500"/>
      <c r="AX125" s="500"/>
      <c r="AY125" s="500"/>
      <c r="AZ125" s="500"/>
      <c r="BA125" s="500"/>
      <c r="BB125" s="500"/>
      <c r="BC125" s="500"/>
      <c r="BD125" s="500"/>
      <c r="BE125" s="500"/>
      <c r="BF125" s="500"/>
      <c r="BG125" s="500"/>
      <c r="BH125" s="500"/>
      <c r="BI125" s="500"/>
      <c r="BJ125" s="500"/>
      <c r="BK125" s="500"/>
      <c r="BL125" s="500"/>
      <c r="BM125" s="500"/>
      <c r="BN125" s="500"/>
      <c r="BO125" s="500"/>
      <c r="BP125" s="500"/>
      <c r="BQ125" s="500"/>
      <c r="BR125" s="500"/>
      <c r="BS125" s="500"/>
      <c r="BT125" s="500"/>
      <c r="BU125" s="500"/>
      <c r="BV125" s="500"/>
    </row>
    <row r="126" ht="14.25" customHeight="1">
      <c r="A126" s="500"/>
      <c r="B126" s="500"/>
      <c r="C126" s="500"/>
      <c r="D126" s="500"/>
      <c r="E126" s="500"/>
      <c r="F126" s="500"/>
      <c r="G126" s="500"/>
      <c r="H126" s="500"/>
      <c r="I126" s="500"/>
      <c r="J126" s="500"/>
      <c r="K126" s="500"/>
      <c r="L126" s="500"/>
      <c r="M126" s="500"/>
      <c r="N126" s="500"/>
      <c r="O126" s="500"/>
      <c r="P126" s="500"/>
      <c r="Q126" s="500"/>
      <c r="R126" s="500"/>
      <c r="S126" s="500"/>
      <c r="T126" s="500"/>
      <c r="U126" s="500"/>
      <c r="V126" s="500"/>
      <c r="W126" s="500"/>
      <c r="X126" s="500"/>
      <c r="Y126" s="500"/>
      <c r="Z126" s="501"/>
      <c r="AA126" s="501"/>
      <c r="AB126" s="501"/>
      <c r="AC126" s="501"/>
      <c r="AD126" s="500"/>
      <c r="AE126" s="502"/>
      <c r="AF126" s="503"/>
      <c r="AG126" s="503"/>
      <c r="AH126" s="504"/>
      <c r="AI126" s="500"/>
      <c r="AJ126" s="500"/>
      <c r="AK126" s="500"/>
      <c r="AL126" s="500"/>
      <c r="AM126" s="500"/>
      <c r="AN126" s="500"/>
      <c r="AO126" s="500"/>
      <c r="AP126" s="500"/>
      <c r="AQ126" s="500"/>
      <c r="AR126" s="500"/>
      <c r="AS126" s="500"/>
      <c r="AT126" s="500"/>
      <c r="AU126" s="500"/>
      <c r="AV126" s="500"/>
      <c r="AW126" s="500"/>
      <c r="AX126" s="500"/>
      <c r="AY126" s="500"/>
      <c r="AZ126" s="500"/>
      <c r="BA126" s="500"/>
      <c r="BB126" s="500"/>
      <c r="BC126" s="500"/>
      <c r="BD126" s="500"/>
      <c r="BE126" s="500"/>
      <c r="BF126" s="500"/>
      <c r="BG126" s="500"/>
      <c r="BH126" s="500"/>
      <c r="BI126" s="500"/>
      <c r="BJ126" s="500"/>
      <c r="BK126" s="500"/>
      <c r="BL126" s="500"/>
      <c r="BM126" s="500"/>
      <c r="BN126" s="500"/>
      <c r="BO126" s="500"/>
      <c r="BP126" s="500"/>
      <c r="BQ126" s="500"/>
      <c r="BR126" s="500"/>
      <c r="BS126" s="500"/>
      <c r="BT126" s="500"/>
      <c r="BU126" s="500"/>
      <c r="BV126" s="500"/>
    </row>
    <row r="127" ht="14.25" customHeight="1">
      <c r="A127" s="500"/>
      <c r="B127" s="500"/>
      <c r="C127" s="500"/>
      <c r="D127" s="500"/>
      <c r="E127" s="500"/>
      <c r="F127" s="500"/>
      <c r="G127" s="500"/>
      <c r="H127" s="500"/>
      <c r="I127" s="500"/>
      <c r="J127" s="500"/>
      <c r="K127" s="500"/>
      <c r="L127" s="500"/>
      <c r="M127" s="500"/>
      <c r="N127" s="500"/>
      <c r="O127" s="500"/>
      <c r="P127" s="500"/>
      <c r="Q127" s="500"/>
      <c r="R127" s="500"/>
      <c r="S127" s="500"/>
      <c r="T127" s="500"/>
      <c r="U127" s="500"/>
      <c r="V127" s="500"/>
      <c r="W127" s="500"/>
      <c r="X127" s="500"/>
      <c r="Y127" s="500"/>
      <c r="Z127" s="501"/>
      <c r="AA127" s="501"/>
      <c r="AB127" s="501"/>
      <c r="AC127" s="501"/>
      <c r="AD127" s="500"/>
      <c r="AE127" s="502"/>
      <c r="AF127" s="503"/>
      <c r="AG127" s="503"/>
      <c r="AH127" s="504"/>
      <c r="AI127" s="500"/>
      <c r="AJ127" s="500"/>
      <c r="AK127" s="500"/>
      <c r="AL127" s="500"/>
      <c r="AM127" s="500"/>
      <c r="AN127" s="500"/>
      <c r="AO127" s="500"/>
      <c r="AP127" s="500"/>
      <c r="AQ127" s="500"/>
      <c r="AR127" s="500"/>
      <c r="AS127" s="500"/>
      <c r="AT127" s="500"/>
      <c r="AU127" s="500"/>
      <c r="AV127" s="500"/>
      <c r="AW127" s="500"/>
      <c r="AX127" s="500"/>
      <c r="AY127" s="500"/>
      <c r="AZ127" s="500"/>
      <c r="BA127" s="500"/>
      <c r="BB127" s="500"/>
      <c r="BC127" s="500"/>
      <c r="BD127" s="500"/>
      <c r="BE127" s="500"/>
      <c r="BF127" s="500"/>
      <c r="BG127" s="500"/>
      <c r="BH127" s="500"/>
      <c r="BI127" s="500"/>
      <c r="BJ127" s="500"/>
      <c r="BK127" s="500"/>
      <c r="BL127" s="500"/>
      <c r="BM127" s="500"/>
      <c r="BN127" s="500"/>
      <c r="BO127" s="500"/>
      <c r="BP127" s="500"/>
      <c r="BQ127" s="500"/>
      <c r="BR127" s="500"/>
      <c r="BS127" s="500"/>
      <c r="BT127" s="500"/>
      <c r="BU127" s="500"/>
      <c r="BV127" s="500"/>
    </row>
    <row r="128" ht="14.25" customHeight="1">
      <c r="A128" s="500"/>
      <c r="B128" s="500"/>
      <c r="C128" s="536"/>
      <c r="D128" s="536"/>
      <c r="E128" s="536"/>
      <c r="F128" s="633" t="s">
        <v>2076</v>
      </c>
      <c r="G128" s="633" t="s">
        <v>2077</v>
      </c>
      <c r="H128" s="633" t="s">
        <v>2076</v>
      </c>
      <c r="I128" s="633" t="s">
        <v>2077</v>
      </c>
      <c r="J128" s="633"/>
      <c r="K128" s="633" t="s">
        <v>2077</v>
      </c>
      <c r="L128" s="633" t="s">
        <v>2077</v>
      </c>
      <c r="M128" s="633" t="s">
        <v>2077</v>
      </c>
      <c r="N128" s="536"/>
      <c r="O128" s="536"/>
      <c r="P128" s="536"/>
      <c r="Q128" s="674"/>
      <c r="R128" s="536"/>
      <c r="S128" s="536"/>
      <c r="T128" s="536"/>
      <c r="U128" s="753"/>
      <c r="V128" s="753"/>
      <c r="W128" s="753"/>
      <c r="X128" s="753"/>
      <c r="Y128" s="753"/>
      <c r="Z128" s="678"/>
      <c r="AA128" s="678"/>
      <c r="AB128" s="678"/>
      <c r="AC128" s="678"/>
      <c r="AD128" s="678"/>
      <c r="AE128" s="502"/>
      <c r="AF128" s="673"/>
      <c r="AG128" s="673"/>
      <c r="AH128" s="506"/>
      <c r="AI128" s="506"/>
      <c r="AJ128" s="506"/>
      <c r="AK128" s="506"/>
      <c r="AL128" s="507"/>
      <c r="AM128" s="507"/>
      <c r="AN128" s="507"/>
      <c r="AO128" s="507"/>
      <c r="AP128" s="507"/>
      <c r="AQ128" s="508"/>
      <c r="AR128" s="508"/>
      <c r="AS128" s="508"/>
      <c r="AT128" s="508"/>
      <c r="AU128" s="508"/>
      <c r="AV128" s="508"/>
      <c r="AW128" s="508"/>
      <c r="AX128" s="508"/>
      <c r="AY128" s="508"/>
      <c r="AZ128" s="509"/>
      <c r="BA128" s="509"/>
      <c r="BB128" s="509"/>
      <c r="BC128" s="500"/>
      <c r="BD128" s="500"/>
      <c r="BE128" s="500"/>
      <c r="BF128" s="500"/>
      <c r="BG128" s="500"/>
      <c r="BH128" s="500"/>
      <c r="BI128" s="500"/>
      <c r="BJ128" s="500"/>
      <c r="BK128" s="500"/>
      <c r="BL128" s="500"/>
      <c r="BM128" s="500"/>
      <c r="BN128" s="500"/>
      <c r="BO128" s="500"/>
      <c r="BP128" s="500"/>
      <c r="BQ128" s="500"/>
      <c r="BR128" s="500"/>
      <c r="BS128" s="500"/>
      <c r="BT128" s="500"/>
      <c r="BU128" s="500"/>
      <c r="BV128" s="500"/>
    </row>
    <row r="129" ht="14.25" customHeight="1">
      <c r="A129" s="763" t="s">
        <v>2300</v>
      </c>
      <c r="B129" s="763"/>
      <c r="C129" s="764" t="s">
        <v>2299</v>
      </c>
      <c r="D129" s="764" t="s">
        <v>2301</v>
      </c>
      <c r="E129" s="764" t="s">
        <v>50</v>
      </c>
      <c r="F129" s="765">
        <v>2015.0</v>
      </c>
      <c r="G129" s="765">
        <v>2015.0</v>
      </c>
      <c r="H129" s="765">
        <v>2019.0</v>
      </c>
      <c r="I129" s="765">
        <v>2019.0</v>
      </c>
      <c r="J129" s="765"/>
      <c r="K129" s="765">
        <v>2030.0</v>
      </c>
      <c r="L129" s="805">
        <v>2040.0</v>
      </c>
      <c r="M129" s="805">
        <v>2050.0</v>
      </c>
      <c r="N129" s="500"/>
      <c r="O129" s="500"/>
      <c r="P129" s="500"/>
      <c r="Q129" s="500"/>
      <c r="R129" s="500"/>
      <c r="S129" s="500"/>
      <c r="T129" s="500"/>
      <c r="U129" s="500"/>
      <c r="V129" s="500"/>
      <c r="W129" s="500"/>
      <c r="X129" s="500"/>
      <c r="Y129" s="500"/>
      <c r="Z129" s="501"/>
      <c r="AA129" s="501"/>
      <c r="AB129" s="501"/>
      <c r="AC129" s="501"/>
      <c r="AD129" s="500"/>
      <c r="AE129" s="502"/>
      <c r="AF129" s="503"/>
      <c r="AG129" s="503"/>
      <c r="AH129" s="504"/>
      <c r="AI129" s="500"/>
      <c r="AJ129" s="500"/>
      <c r="AK129" s="500"/>
      <c r="AL129" s="500"/>
      <c r="AM129" s="500"/>
      <c r="AN129" s="500"/>
      <c r="AO129" s="500"/>
      <c r="AP129" s="500"/>
      <c r="AQ129" s="500"/>
      <c r="AR129" s="500"/>
      <c r="AS129" s="500"/>
      <c r="AT129" s="500"/>
      <c r="AU129" s="500"/>
      <c r="AV129" s="500"/>
      <c r="AW129" s="500"/>
      <c r="AX129" s="500"/>
      <c r="AY129" s="500"/>
      <c r="AZ129" s="500"/>
      <c r="BA129" s="500"/>
      <c r="BB129" s="500"/>
      <c r="BC129" s="500"/>
      <c r="BD129" s="500"/>
      <c r="BE129" s="500"/>
      <c r="BF129" s="500"/>
      <c r="BG129" s="500"/>
      <c r="BH129" s="500"/>
      <c r="BI129" s="500"/>
      <c r="BJ129" s="500"/>
      <c r="BK129" s="500"/>
      <c r="BL129" s="500"/>
      <c r="BM129" s="500"/>
      <c r="BN129" s="500"/>
      <c r="BO129" s="500"/>
      <c r="BP129" s="500"/>
      <c r="BQ129" s="500"/>
      <c r="BR129" s="500"/>
      <c r="BS129" s="500"/>
      <c r="BT129" s="500"/>
      <c r="BU129" s="500"/>
      <c r="BV129" s="500"/>
    </row>
    <row r="130" ht="14.25" customHeight="1">
      <c r="A130" s="500" t="s">
        <v>2139</v>
      </c>
      <c r="B130" s="500"/>
      <c r="C130" s="536" t="s">
        <v>2485</v>
      </c>
      <c r="D130" s="500" t="str">
        <f t="shared" ref="D130:D139" si="211">$D$27</f>
        <v>BE</v>
      </c>
      <c r="E130" s="769" t="str">
        <f>E58</f>
        <v>MWh/kt</v>
      </c>
      <c r="F130" s="775">
        <f t="shared" ref="F130:F137" si="212">F51</f>
        <v>3906.214689</v>
      </c>
      <c r="G130" s="771">
        <f t="shared" ref="G130:G137" si="213">H51</f>
        <v>3909.811217</v>
      </c>
      <c r="H130" s="771">
        <f t="shared" ref="H130:H137" si="214">G51</f>
        <v>3950.64433</v>
      </c>
      <c r="I130" s="771">
        <f t="shared" ref="I130:I137" si="215">I51</f>
        <v>3954.281765</v>
      </c>
      <c r="J130" s="633"/>
      <c r="K130" s="772">
        <f t="shared" ref="K130:K139" si="216">I130+(M130-I130)*$L$28</f>
        <v>3226.397788</v>
      </c>
      <c r="L130" s="772">
        <f t="shared" ref="L130:M130" si="210">INDEX($A$50:$M$58,MATCH($A130,$C$50:$C$58,0),MATCH(L$129,$A$50:$M$50,0))</f>
        <v>2557.569795</v>
      </c>
      <c r="M130" s="772">
        <f t="shared" si="210"/>
        <v>2300</v>
      </c>
      <c r="N130" s="500"/>
      <c r="O130" s="500"/>
      <c r="P130" s="500"/>
      <c r="Q130" s="500"/>
      <c r="R130" s="500"/>
      <c r="S130" s="500"/>
      <c r="T130" s="500"/>
      <c r="U130" s="500"/>
      <c r="V130" s="500"/>
      <c r="W130" s="500"/>
      <c r="X130" s="500"/>
      <c r="Y130" s="500"/>
      <c r="Z130" s="501"/>
      <c r="AA130" s="501"/>
      <c r="AB130" s="501"/>
      <c r="AC130" s="501"/>
      <c r="AD130" s="500"/>
      <c r="AE130" s="502"/>
      <c r="AF130" s="503"/>
      <c r="AG130" s="503"/>
      <c r="AH130" s="504"/>
      <c r="AI130" s="500"/>
      <c r="AJ130" s="500"/>
      <c r="AK130" s="500"/>
      <c r="AL130" s="500"/>
      <c r="AM130" s="500"/>
      <c r="AN130" s="500"/>
      <c r="AO130" s="500"/>
      <c r="AP130" s="500"/>
      <c r="AQ130" s="500"/>
      <c r="AR130" s="500"/>
      <c r="AS130" s="500"/>
      <c r="AT130" s="500"/>
      <c r="AU130" s="500"/>
      <c r="AV130" s="500"/>
      <c r="AW130" s="500"/>
      <c r="AX130" s="500"/>
      <c r="AY130" s="500"/>
      <c r="AZ130" s="500"/>
      <c r="BA130" s="500"/>
      <c r="BB130" s="500"/>
      <c r="BC130" s="500"/>
      <c r="BD130" s="500"/>
      <c r="BE130" s="500"/>
      <c r="BF130" s="500"/>
      <c r="BG130" s="500"/>
      <c r="BH130" s="500"/>
      <c r="BI130" s="500"/>
      <c r="BJ130" s="500"/>
      <c r="BK130" s="500"/>
      <c r="BL130" s="500"/>
      <c r="BM130" s="500"/>
      <c r="BN130" s="500"/>
      <c r="BO130" s="500"/>
      <c r="BP130" s="500"/>
      <c r="BQ130" s="500"/>
      <c r="BR130" s="500"/>
      <c r="BS130" s="500"/>
      <c r="BT130" s="500"/>
      <c r="BU130" s="500"/>
      <c r="BV130" s="500"/>
    </row>
    <row r="131" ht="14.25" customHeight="1">
      <c r="A131" s="500" t="s">
        <v>2141</v>
      </c>
      <c r="B131" s="500"/>
      <c r="C131" s="536" t="s">
        <v>2486</v>
      </c>
      <c r="D131" s="500" t="str">
        <f t="shared" si="211"/>
        <v>BE</v>
      </c>
      <c r="E131" s="507" t="str">
        <f>E130</f>
        <v>MWh/kt</v>
      </c>
      <c r="F131" s="775" t="str">
        <f t="shared" si="212"/>
        <v>n.a.</v>
      </c>
      <c r="G131" s="771" t="str">
        <f t="shared" si="213"/>
        <v/>
      </c>
      <c r="H131" s="771" t="str">
        <f t="shared" si="214"/>
        <v>n.a.</v>
      </c>
      <c r="I131" s="771" t="str">
        <f t="shared" si="215"/>
        <v/>
      </c>
      <c r="J131" s="500"/>
      <c r="K131" s="772">
        <f t="shared" si="216"/>
        <v>0</v>
      </c>
      <c r="L131" s="772" t="str">
        <f t="shared" ref="L131:M131" si="217">INDEX($A$50:$M$58,MATCH($A131,$C$50:$C$58,0),MATCH(L$129,$A$50:$M$50,0))</f>
        <v/>
      </c>
      <c r="M131" s="772" t="str">
        <f t="shared" si="217"/>
        <v/>
      </c>
      <c r="N131" s="500"/>
      <c r="O131" s="500"/>
      <c r="P131" s="500"/>
      <c r="Q131" s="500"/>
      <c r="R131" s="500"/>
      <c r="S131" s="500"/>
      <c r="T131" s="500"/>
      <c r="U131" s="500"/>
      <c r="V131" s="500"/>
      <c r="W131" s="500"/>
      <c r="X131" s="500"/>
      <c r="Y131" s="500"/>
      <c r="Z131" s="501"/>
      <c r="AA131" s="501"/>
      <c r="AB131" s="501"/>
      <c r="AC131" s="501"/>
      <c r="AD131" s="500"/>
      <c r="AE131" s="502"/>
      <c r="AF131" s="503"/>
      <c r="AG131" s="503"/>
      <c r="AH131" s="504"/>
      <c r="AI131" s="500"/>
      <c r="AJ131" s="500"/>
      <c r="AK131" s="500"/>
      <c r="AL131" s="500"/>
      <c r="AM131" s="500"/>
      <c r="AN131" s="500"/>
      <c r="AO131" s="500"/>
      <c r="AP131" s="500"/>
      <c r="AQ131" s="500"/>
      <c r="AR131" s="500"/>
      <c r="AS131" s="500"/>
      <c r="AT131" s="500"/>
      <c r="AU131" s="500"/>
      <c r="AV131" s="500"/>
      <c r="AW131" s="500"/>
      <c r="AX131" s="500"/>
      <c r="AY131" s="500"/>
      <c r="AZ131" s="500"/>
      <c r="BA131" s="500"/>
      <c r="BB131" s="500"/>
      <c r="BC131" s="500"/>
      <c r="BD131" s="500"/>
      <c r="BE131" s="500"/>
      <c r="BF131" s="500"/>
      <c r="BG131" s="500"/>
      <c r="BH131" s="500"/>
      <c r="BI131" s="500"/>
      <c r="BJ131" s="500"/>
      <c r="BK131" s="500"/>
      <c r="BL131" s="500"/>
      <c r="BM131" s="500"/>
      <c r="BN131" s="500"/>
      <c r="BO131" s="500"/>
      <c r="BP131" s="500"/>
      <c r="BQ131" s="500"/>
      <c r="BR131" s="500"/>
      <c r="BS131" s="500"/>
      <c r="BT131" s="500"/>
      <c r="BU131" s="500"/>
      <c r="BV131" s="500"/>
    </row>
    <row r="132" ht="14.25" customHeight="1">
      <c r="A132" s="500" t="s">
        <v>2143</v>
      </c>
      <c r="B132" s="500"/>
      <c r="C132" s="536" t="s">
        <v>2487</v>
      </c>
      <c r="D132" s="500" t="str">
        <f t="shared" si="211"/>
        <v>BE</v>
      </c>
      <c r="E132" s="507" t="str">
        <f>E133</f>
        <v>MWh/kt</v>
      </c>
      <c r="F132" s="775" t="str">
        <f t="shared" si="212"/>
        <v>n.a.</v>
      </c>
      <c r="G132" s="771" t="str">
        <f t="shared" si="213"/>
        <v/>
      </c>
      <c r="H132" s="771" t="str">
        <f t="shared" si="214"/>
        <v>n.a.</v>
      </c>
      <c r="I132" s="771" t="str">
        <f t="shared" si="215"/>
        <v/>
      </c>
      <c r="J132" s="500"/>
      <c r="K132" s="772">
        <f t="shared" si="216"/>
        <v>0</v>
      </c>
      <c r="L132" s="772" t="str">
        <f t="shared" ref="L132:M132" si="218">INDEX($A$50:$M$58,MATCH($A132,$C$50:$C$58,0),MATCH(L$129,$A$50:$M$50,0))</f>
        <v/>
      </c>
      <c r="M132" s="772" t="str">
        <f t="shared" si="218"/>
        <v/>
      </c>
      <c r="N132" s="500"/>
      <c r="O132" s="500"/>
      <c r="P132" s="500"/>
      <c r="Q132" s="500"/>
      <c r="R132" s="500"/>
      <c r="S132" s="500"/>
      <c r="T132" s="500"/>
      <c r="U132" s="500"/>
      <c r="V132" s="500"/>
      <c r="W132" s="500"/>
      <c r="X132" s="500"/>
      <c r="Y132" s="500"/>
      <c r="Z132" s="501"/>
      <c r="AA132" s="501"/>
      <c r="AB132" s="501"/>
      <c r="AC132" s="501"/>
      <c r="AD132" s="500"/>
      <c r="AE132" s="502"/>
      <c r="AF132" s="503"/>
      <c r="AG132" s="503"/>
      <c r="AH132" s="504"/>
      <c r="AI132" s="500"/>
      <c r="AJ132" s="500"/>
      <c r="AK132" s="500"/>
      <c r="AL132" s="500"/>
      <c r="AM132" s="500"/>
      <c r="AN132" s="500"/>
      <c r="AO132" s="500"/>
      <c r="AP132" s="500"/>
      <c r="AQ132" s="500"/>
      <c r="AR132" s="500"/>
      <c r="AS132" s="500"/>
      <c r="AT132" s="500"/>
      <c r="AU132" s="500"/>
      <c r="AV132" s="500"/>
      <c r="AW132" s="500"/>
      <c r="AX132" s="500"/>
      <c r="AY132" s="500"/>
      <c r="AZ132" s="500"/>
      <c r="BA132" s="500"/>
      <c r="BB132" s="500"/>
      <c r="BC132" s="500"/>
      <c r="BD132" s="500"/>
      <c r="BE132" s="500"/>
      <c r="BF132" s="500"/>
      <c r="BG132" s="500"/>
      <c r="BH132" s="500"/>
      <c r="BI132" s="500"/>
      <c r="BJ132" s="500"/>
      <c r="BK132" s="500"/>
      <c r="BL132" s="500"/>
      <c r="BM132" s="500"/>
      <c r="BN132" s="500"/>
      <c r="BO132" s="500"/>
      <c r="BP132" s="500"/>
      <c r="BQ132" s="500"/>
      <c r="BR132" s="500"/>
      <c r="BS132" s="500"/>
      <c r="BT132" s="500"/>
      <c r="BU132" s="500"/>
      <c r="BV132" s="500"/>
    </row>
    <row r="133" ht="15.75" customHeight="1">
      <c r="A133" s="500" t="s">
        <v>2147</v>
      </c>
      <c r="B133" s="500"/>
      <c r="C133" s="536" t="s">
        <v>2488</v>
      </c>
      <c r="D133" s="500" t="str">
        <f t="shared" si="211"/>
        <v>BE</v>
      </c>
      <c r="E133" s="769" t="str">
        <f>E130</f>
        <v>MWh/kt</v>
      </c>
      <c r="F133" s="775">
        <f t="shared" si="212"/>
        <v>879.7290837</v>
      </c>
      <c r="G133" s="771">
        <f t="shared" si="213"/>
        <v>879.6812749</v>
      </c>
      <c r="H133" s="771">
        <f t="shared" si="214"/>
        <v>904.1635907</v>
      </c>
      <c r="I133" s="771">
        <f t="shared" si="215"/>
        <v>904.1144541</v>
      </c>
      <c r="J133" s="633"/>
      <c r="K133" s="772">
        <f t="shared" si="216"/>
        <v>792.3040943</v>
      </c>
      <c r="L133" s="772">
        <f t="shared" ref="L133:M133" si="219">INDEX($A$50:$M$58,MATCH($A133,$C$50:$C$58,0),MATCH(L$129,$A$50:$M$50,0))</f>
        <v>686.749004</v>
      </c>
      <c r="M133" s="772">
        <f t="shared" si="219"/>
        <v>650</v>
      </c>
      <c r="N133" s="500"/>
      <c r="O133" s="500"/>
      <c r="P133" s="500"/>
      <c r="Q133" s="500"/>
      <c r="R133" s="500"/>
      <c r="S133" s="500"/>
      <c r="T133" s="500"/>
      <c r="U133" s="500"/>
      <c r="V133" s="500"/>
      <c r="W133" s="500"/>
      <c r="X133" s="500"/>
      <c r="Y133" s="500"/>
      <c r="Z133" s="501"/>
      <c r="AA133" s="501"/>
      <c r="AB133" s="501"/>
      <c r="AC133" s="501"/>
      <c r="AD133" s="500"/>
      <c r="AE133" s="502"/>
      <c r="AF133" s="503"/>
      <c r="AG133" s="503"/>
      <c r="AH133" s="504"/>
      <c r="AI133" s="500"/>
      <c r="AJ133" s="500"/>
      <c r="AK133" s="500"/>
      <c r="AL133" s="500"/>
      <c r="AM133" s="500"/>
      <c r="AN133" s="500"/>
      <c r="AO133" s="500"/>
      <c r="AP133" s="500"/>
      <c r="AQ133" s="500"/>
      <c r="AR133" s="500"/>
      <c r="AS133" s="500"/>
      <c r="AT133" s="500"/>
      <c r="AU133" s="500"/>
      <c r="AV133" s="500"/>
      <c r="AW133" s="500"/>
      <c r="AX133" s="500"/>
      <c r="AY133" s="500"/>
      <c r="AZ133" s="500"/>
      <c r="BA133" s="500"/>
      <c r="BB133" s="500"/>
      <c r="BC133" s="500"/>
      <c r="BD133" s="500"/>
      <c r="BE133" s="500"/>
      <c r="BF133" s="500"/>
      <c r="BG133" s="500"/>
      <c r="BH133" s="500"/>
      <c r="BI133" s="500"/>
      <c r="BJ133" s="500"/>
      <c r="BK133" s="500"/>
      <c r="BL133" s="500"/>
      <c r="BM133" s="500"/>
      <c r="BN133" s="500"/>
      <c r="BO133" s="500"/>
      <c r="BP133" s="500"/>
      <c r="BQ133" s="500"/>
      <c r="BR133" s="500"/>
      <c r="BS133" s="500"/>
      <c r="BT133" s="500"/>
      <c r="BU133" s="500"/>
      <c r="BV133" s="500"/>
    </row>
    <row r="134" ht="14.25" customHeight="1">
      <c r="A134" s="500" t="s">
        <v>2155</v>
      </c>
      <c r="B134" s="500"/>
      <c r="C134" s="536" t="s">
        <v>2489</v>
      </c>
      <c r="D134" s="500" t="str">
        <f t="shared" si="211"/>
        <v>BE</v>
      </c>
      <c r="E134" s="769" t="str">
        <f t="shared" ref="E134:E137" si="221">E133</f>
        <v>MWh/kt</v>
      </c>
      <c r="F134" s="775">
        <f t="shared" si="212"/>
        <v>3887.941592</v>
      </c>
      <c r="G134" s="771">
        <f t="shared" si="213"/>
        <v>3888.553933</v>
      </c>
      <c r="H134" s="771">
        <f t="shared" si="214"/>
        <v>4274.957507</v>
      </c>
      <c r="I134" s="771">
        <f t="shared" si="215"/>
        <v>4275.630802</v>
      </c>
      <c r="J134" s="633"/>
      <c r="K134" s="772">
        <f t="shared" si="216"/>
        <v>3494.353249</v>
      </c>
      <c r="L134" s="772">
        <f t="shared" ref="L134:M134" si="220">INDEX($A$50:$M$58,MATCH($A134,$C$50:$C$58,0),MATCH(L$129,$A$50:$M$50,0))</f>
        <v>2722.168629</v>
      </c>
      <c r="M134" s="772">
        <f t="shared" si="220"/>
        <v>2500</v>
      </c>
      <c r="N134" s="500"/>
      <c r="O134" s="500"/>
      <c r="P134" s="500"/>
      <c r="Q134" s="500"/>
      <c r="R134" s="500"/>
      <c r="S134" s="500"/>
      <c r="T134" s="500"/>
      <c r="U134" s="500"/>
      <c r="V134" s="500"/>
      <c r="W134" s="500"/>
      <c r="X134" s="500"/>
      <c r="Y134" s="500"/>
      <c r="Z134" s="501"/>
      <c r="AA134" s="501"/>
      <c r="AB134" s="501"/>
      <c r="AC134" s="501"/>
      <c r="AD134" s="500"/>
      <c r="AE134" s="502"/>
      <c r="AF134" s="503"/>
      <c r="AG134" s="503"/>
      <c r="AH134" s="504"/>
      <c r="AI134" s="500"/>
      <c r="AJ134" s="500"/>
      <c r="AK134" s="500"/>
      <c r="AL134" s="500"/>
      <c r="AM134" s="500"/>
      <c r="AN134" s="500"/>
      <c r="AO134" s="500"/>
      <c r="AP134" s="500"/>
      <c r="AQ134" s="500"/>
      <c r="AR134" s="500"/>
      <c r="AS134" s="500"/>
      <c r="AT134" s="500"/>
      <c r="AU134" s="500"/>
      <c r="AV134" s="500"/>
      <c r="AW134" s="500"/>
      <c r="AX134" s="500"/>
      <c r="AY134" s="500"/>
      <c r="AZ134" s="500"/>
      <c r="BA134" s="500"/>
      <c r="BB134" s="500"/>
      <c r="BC134" s="500"/>
      <c r="BD134" s="500"/>
      <c r="BE134" s="500"/>
      <c r="BF134" s="500"/>
      <c r="BG134" s="500"/>
      <c r="BH134" s="500"/>
      <c r="BI134" s="500"/>
      <c r="BJ134" s="500"/>
      <c r="BK134" s="500"/>
      <c r="BL134" s="500"/>
      <c r="BM134" s="500"/>
      <c r="BN134" s="500"/>
      <c r="BO134" s="500"/>
      <c r="BP134" s="500"/>
      <c r="BQ134" s="500"/>
      <c r="BR134" s="500"/>
      <c r="BS134" s="500"/>
      <c r="BT134" s="500"/>
      <c r="BU134" s="500"/>
      <c r="BV134" s="500"/>
    </row>
    <row r="135" ht="14.25" customHeight="1">
      <c r="A135" s="500" t="s">
        <v>2149</v>
      </c>
      <c r="B135" s="500"/>
      <c r="C135" s="536" t="s">
        <v>2490</v>
      </c>
      <c r="D135" s="500" t="str">
        <f t="shared" si="211"/>
        <v>BE</v>
      </c>
      <c r="E135" s="769" t="str">
        <f t="shared" si="221"/>
        <v>MWh/kt</v>
      </c>
      <c r="F135" s="775" t="str">
        <f t="shared" si="212"/>
        <v>n.a.</v>
      </c>
      <c r="G135" s="771">
        <f t="shared" si="213"/>
        <v>4300</v>
      </c>
      <c r="H135" s="771" t="str">
        <f t="shared" si="214"/>
        <v>n.a.</v>
      </c>
      <c r="I135" s="771">
        <f t="shared" si="215"/>
        <v>4300</v>
      </c>
      <c r="J135" s="633"/>
      <c r="K135" s="772">
        <f t="shared" si="216"/>
        <v>3024</v>
      </c>
      <c r="L135" s="772">
        <f t="shared" ref="L135:M135" si="222">INDEX($A$50:$M$58,MATCH($A135,$C$50:$C$58,0),MATCH(L$129,$A$50:$M$50,0))</f>
        <v>1864</v>
      </c>
      <c r="M135" s="772">
        <f t="shared" si="222"/>
        <v>1400</v>
      </c>
      <c r="N135" s="500"/>
      <c r="O135" s="500"/>
      <c r="P135" s="500"/>
      <c r="Q135" s="500"/>
      <c r="R135" s="500"/>
      <c r="S135" s="500"/>
      <c r="T135" s="500"/>
      <c r="U135" s="500"/>
      <c r="V135" s="500"/>
      <c r="W135" s="500"/>
      <c r="X135" s="500"/>
      <c r="Y135" s="500"/>
      <c r="Z135" s="501"/>
      <c r="AA135" s="501"/>
      <c r="AB135" s="501"/>
      <c r="AC135" s="501"/>
      <c r="AD135" s="500"/>
      <c r="AE135" s="502"/>
      <c r="AF135" s="503"/>
      <c r="AG135" s="503"/>
      <c r="AH135" s="504"/>
      <c r="AI135" s="500"/>
      <c r="AJ135" s="500"/>
      <c r="AK135" s="500"/>
      <c r="AL135" s="500"/>
      <c r="AM135" s="500"/>
      <c r="AN135" s="500"/>
      <c r="AO135" s="500"/>
      <c r="AP135" s="500"/>
      <c r="AQ135" s="500"/>
      <c r="AR135" s="500"/>
      <c r="AS135" s="500"/>
      <c r="AT135" s="500"/>
      <c r="AU135" s="500"/>
      <c r="AV135" s="500"/>
      <c r="AW135" s="500"/>
      <c r="AX135" s="500"/>
      <c r="AY135" s="500"/>
      <c r="AZ135" s="500"/>
      <c r="BA135" s="500"/>
      <c r="BB135" s="500"/>
      <c r="BC135" s="500"/>
      <c r="BD135" s="500"/>
      <c r="BE135" s="500"/>
      <c r="BF135" s="500"/>
      <c r="BG135" s="500"/>
      <c r="BH135" s="500"/>
      <c r="BI135" s="500"/>
      <c r="BJ135" s="500"/>
      <c r="BK135" s="500"/>
      <c r="BL135" s="500"/>
      <c r="BM135" s="500"/>
      <c r="BN135" s="500"/>
      <c r="BO135" s="500"/>
      <c r="BP135" s="500"/>
      <c r="BQ135" s="500"/>
      <c r="BR135" s="500"/>
      <c r="BS135" s="500"/>
      <c r="BT135" s="500"/>
      <c r="BU135" s="500"/>
      <c r="BV135" s="500"/>
    </row>
    <row r="136" ht="14.25" customHeight="1">
      <c r="A136" s="500" t="s">
        <v>2151</v>
      </c>
      <c r="B136" s="500"/>
      <c r="C136" s="536" t="s">
        <v>2491</v>
      </c>
      <c r="D136" s="500" t="str">
        <f t="shared" si="211"/>
        <v>BE</v>
      </c>
      <c r="E136" s="769" t="str">
        <f t="shared" si="221"/>
        <v>MWh/kt</v>
      </c>
      <c r="F136" s="775" t="str">
        <f t="shared" si="212"/>
        <v>#N/A</v>
      </c>
      <c r="G136" s="771">
        <f t="shared" si="213"/>
        <v>5085.714286</v>
      </c>
      <c r="H136" s="771" t="str">
        <f t="shared" si="214"/>
        <v>#N/A</v>
      </c>
      <c r="I136" s="771">
        <f t="shared" si="215"/>
        <v>5085.714286</v>
      </c>
      <c r="J136" s="633"/>
      <c r="K136" s="772">
        <f t="shared" si="216"/>
        <v>3728</v>
      </c>
      <c r="L136" s="772">
        <f t="shared" ref="L136:M136" si="223">INDEX($A$50:$M$58,MATCH($A136,$C$50:$C$58,0),MATCH(L$129,$A$50:$M$50,0))</f>
        <v>2493.714286</v>
      </c>
      <c r="M136" s="772">
        <f t="shared" si="223"/>
        <v>2000</v>
      </c>
      <c r="N136" s="500"/>
      <c r="O136" s="500"/>
      <c r="P136" s="500"/>
      <c r="Q136" s="500"/>
      <c r="R136" s="500"/>
      <c r="S136" s="500"/>
      <c r="T136" s="500"/>
      <c r="U136" s="500"/>
      <c r="V136" s="500"/>
      <c r="W136" s="500"/>
      <c r="X136" s="500"/>
      <c r="Y136" s="500"/>
      <c r="Z136" s="501"/>
      <c r="AA136" s="501"/>
      <c r="AB136" s="501"/>
      <c r="AC136" s="501"/>
      <c r="AD136" s="500"/>
      <c r="AE136" s="502"/>
      <c r="AF136" s="503"/>
      <c r="AG136" s="503"/>
      <c r="AH136" s="504"/>
      <c r="AI136" s="500"/>
      <c r="AJ136" s="500"/>
      <c r="AK136" s="500"/>
      <c r="AL136" s="500"/>
      <c r="AM136" s="500"/>
      <c r="AN136" s="500"/>
      <c r="AO136" s="500"/>
      <c r="AP136" s="500"/>
      <c r="AQ136" s="500"/>
      <c r="AR136" s="500"/>
      <c r="AS136" s="500"/>
      <c r="AT136" s="500"/>
      <c r="AU136" s="500"/>
      <c r="AV136" s="500"/>
      <c r="AW136" s="500"/>
      <c r="AX136" s="500"/>
      <c r="AY136" s="500"/>
      <c r="AZ136" s="500"/>
      <c r="BA136" s="500"/>
      <c r="BB136" s="500"/>
      <c r="BC136" s="500"/>
      <c r="BD136" s="500"/>
      <c r="BE136" s="500"/>
      <c r="BF136" s="500"/>
      <c r="BG136" s="500"/>
      <c r="BH136" s="500"/>
      <c r="BI136" s="500"/>
      <c r="BJ136" s="500"/>
      <c r="BK136" s="500"/>
      <c r="BL136" s="500"/>
      <c r="BM136" s="500"/>
      <c r="BN136" s="500"/>
      <c r="BO136" s="500"/>
      <c r="BP136" s="500"/>
      <c r="BQ136" s="500"/>
      <c r="BR136" s="500"/>
      <c r="BS136" s="500"/>
      <c r="BT136" s="500"/>
      <c r="BU136" s="500"/>
      <c r="BV136" s="500"/>
    </row>
    <row r="137" ht="14.25" customHeight="1">
      <c r="A137" s="500" t="s">
        <v>2153</v>
      </c>
      <c r="B137" s="500"/>
      <c r="C137" s="536" t="s">
        <v>2492</v>
      </c>
      <c r="D137" s="500" t="str">
        <f t="shared" si="211"/>
        <v>BE</v>
      </c>
      <c r="E137" s="769" t="str">
        <f t="shared" si="221"/>
        <v>MWh/kt</v>
      </c>
      <c r="F137" s="775" t="str">
        <f t="shared" si="212"/>
        <v>#N/A</v>
      </c>
      <c r="G137" s="771">
        <f t="shared" si="213"/>
        <v>5376.344086</v>
      </c>
      <c r="H137" s="771" t="str">
        <f t="shared" si="214"/>
        <v>#N/A</v>
      </c>
      <c r="I137" s="771">
        <f t="shared" si="215"/>
        <v>5376.344086</v>
      </c>
      <c r="J137" s="633"/>
      <c r="K137" s="772">
        <f t="shared" si="216"/>
        <v>4946.752688</v>
      </c>
      <c r="L137" s="772">
        <f t="shared" ref="L137:M137" si="224">INDEX($A$50:$M$58,MATCH($A137,$C$50:$C$58,0),MATCH(L$129,$A$50:$M$50,0))</f>
        <v>4556.215054</v>
      </c>
      <c r="M137" s="772">
        <f t="shared" si="224"/>
        <v>4400</v>
      </c>
      <c r="N137" s="500"/>
      <c r="O137" s="500"/>
      <c r="P137" s="500"/>
      <c r="Q137" s="500"/>
      <c r="R137" s="500"/>
      <c r="S137" s="500"/>
      <c r="T137" s="500"/>
      <c r="U137" s="500"/>
      <c r="V137" s="500"/>
      <c r="W137" s="500"/>
      <c r="X137" s="500"/>
      <c r="Y137" s="500"/>
      <c r="Z137" s="501"/>
      <c r="AA137" s="501"/>
      <c r="AB137" s="501"/>
      <c r="AC137" s="501"/>
      <c r="AD137" s="500"/>
      <c r="AE137" s="502"/>
      <c r="AF137" s="503"/>
      <c r="AG137" s="503"/>
      <c r="AH137" s="504"/>
      <c r="AI137" s="500"/>
      <c r="AJ137" s="500"/>
      <c r="AK137" s="500"/>
      <c r="AL137" s="500"/>
      <c r="AM137" s="500"/>
      <c r="AN137" s="500"/>
      <c r="AO137" s="500"/>
      <c r="AP137" s="500"/>
      <c r="AQ137" s="500"/>
      <c r="AR137" s="500"/>
      <c r="AS137" s="500"/>
      <c r="AT137" s="500"/>
      <c r="AU137" s="500"/>
      <c r="AV137" s="500"/>
      <c r="AW137" s="500"/>
      <c r="AX137" s="500"/>
      <c r="AY137" s="500"/>
      <c r="AZ137" s="500"/>
      <c r="BA137" s="500"/>
      <c r="BB137" s="500"/>
      <c r="BC137" s="500"/>
      <c r="BD137" s="500"/>
      <c r="BE137" s="500"/>
      <c r="BF137" s="500"/>
      <c r="BG137" s="500"/>
      <c r="BH137" s="500"/>
      <c r="BI137" s="500"/>
      <c r="BJ137" s="500"/>
      <c r="BK137" s="500"/>
      <c r="BL137" s="500"/>
      <c r="BM137" s="500"/>
      <c r="BN137" s="500"/>
      <c r="BO137" s="500"/>
      <c r="BP137" s="500"/>
      <c r="BQ137" s="500"/>
      <c r="BR137" s="500"/>
      <c r="BS137" s="500"/>
      <c r="BT137" s="500"/>
      <c r="BU137" s="500"/>
      <c r="BV137" s="500"/>
    </row>
    <row r="138" ht="14.25" customHeight="1">
      <c r="A138" s="500" t="s">
        <v>2086</v>
      </c>
      <c r="B138" s="500"/>
      <c r="C138" s="536" t="s">
        <v>2493</v>
      </c>
      <c r="D138" s="500" t="str">
        <f t="shared" si="211"/>
        <v>BE</v>
      </c>
      <c r="E138" s="769" t="str">
        <f t="shared" ref="E138:E139" si="226">E111</f>
        <v>kt</v>
      </c>
      <c r="F138" s="770">
        <f t="shared" ref="F138:F139" si="227">F40</f>
        <v>4809</v>
      </c>
      <c r="G138" s="771">
        <f t="shared" ref="G138:G139" si="228">H40</f>
        <v>4809</v>
      </c>
      <c r="H138" s="771">
        <f t="shared" ref="H138:H139" si="229">G40</f>
        <v>5664.8</v>
      </c>
      <c r="I138" s="771">
        <f t="shared" ref="I138:I139" si="230">I40</f>
        <v>5664.8</v>
      </c>
      <c r="J138" s="500"/>
      <c r="K138" s="772">
        <f t="shared" si="216"/>
        <v>4447.92346</v>
      </c>
      <c r="L138" s="772">
        <f t="shared" ref="L138:M138" si="225">$G138*INDEX($A$38:$M$46,MATCH($A138,$C$38:$C$46,0),MATCH(L$110,$A$38:$M$38,0))/100</f>
        <v>3204.74406</v>
      </c>
      <c r="M138" s="772">
        <f t="shared" si="225"/>
        <v>2899.1715</v>
      </c>
      <c r="N138" s="500"/>
      <c r="O138" s="500"/>
      <c r="P138" s="500"/>
      <c r="Q138" s="500"/>
      <c r="R138" s="500"/>
      <c r="S138" s="500"/>
      <c r="T138" s="500"/>
      <c r="U138" s="500"/>
      <c r="V138" s="500"/>
      <c r="W138" s="500"/>
      <c r="X138" s="500"/>
      <c r="Y138" s="500"/>
      <c r="Z138" s="501"/>
      <c r="AA138" s="501"/>
      <c r="AB138" s="501"/>
      <c r="AC138" s="501"/>
      <c r="AD138" s="500"/>
      <c r="AE138" s="502"/>
      <c r="AF138" s="503"/>
      <c r="AG138" s="503"/>
      <c r="AH138" s="504"/>
      <c r="AI138" s="500"/>
      <c r="AJ138" s="500"/>
      <c r="AK138" s="500"/>
      <c r="AL138" s="500"/>
      <c r="AM138" s="500"/>
      <c r="AN138" s="500"/>
      <c r="AO138" s="500"/>
      <c r="AP138" s="500"/>
      <c r="AQ138" s="500"/>
      <c r="AR138" s="500"/>
      <c r="AS138" s="500"/>
      <c r="AT138" s="500"/>
      <c r="AU138" s="500"/>
      <c r="AV138" s="500"/>
      <c r="AW138" s="500"/>
      <c r="AX138" s="500"/>
      <c r="AY138" s="500"/>
      <c r="AZ138" s="500"/>
      <c r="BA138" s="500"/>
      <c r="BB138" s="500"/>
      <c r="BC138" s="500"/>
      <c r="BD138" s="500"/>
      <c r="BE138" s="500"/>
      <c r="BF138" s="500"/>
      <c r="BG138" s="500"/>
      <c r="BH138" s="500"/>
      <c r="BI138" s="500"/>
      <c r="BJ138" s="500"/>
      <c r="BK138" s="500"/>
      <c r="BL138" s="500"/>
      <c r="BM138" s="500"/>
      <c r="BN138" s="500"/>
      <c r="BO138" s="500"/>
      <c r="BP138" s="500"/>
      <c r="BQ138" s="500"/>
      <c r="BR138" s="500"/>
      <c r="BS138" s="500"/>
      <c r="BT138" s="500"/>
      <c r="BU138" s="500"/>
      <c r="BV138" s="500"/>
    </row>
    <row r="139" ht="14.25" customHeight="1">
      <c r="A139" s="500" t="s">
        <v>2088</v>
      </c>
      <c r="B139" s="500"/>
      <c r="C139" s="536" t="s">
        <v>2494</v>
      </c>
      <c r="D139" s="500" t="str">
        <f t="shared" si="211"/>
        <v>BE</v>
      </c>
      <c r="E139" s="769" t="str">
        <f t="shared" si="226"/>
        <v>kt</v>
      </c>
      <c r="F139" s="770">
        <f t="shared" si="227"/>
        <v>2448</v>
      </c>
      <c r="G139" s="771">
        <f t="shared" si="228"/>
        <v>2448</v>
      </c>
      <c r="H139" s="771">
        <f t="shared" si="229"/>
        <v>2095.2</v>
      </c>
      <c r="I139" s="771">
        <f t="shared" si="230"/>
        <v>2095.2</v>
      </c>
      <c r="J139" s="500"/>
      <c r="K139" s="772">
        <f t="shared" si="216"/>
        <v>2611.79454</v>
      </c>
      <c r="L139" s="772">
        <f t="shared" ref="L139:M139" si="231">$G139*INDEX($A$38:$M$46,MATCH($A139,$C$38:$C$46,0),MATCH(L$110,$A$38:$M$38,0))/100</f>
        <v>3137.87394</v>
      </c>
      <c r="M139" s="772">
        <f t="shared" si="231"/>
        <v>3269.2785</v>
      </c>
      <c r="N139" s="500"/>
      <c r="O139" s="500"/>
      <c r="P139" s="500"/>
      <c r="Q139" s="500"/>
      <c r="R139" s="500"/>
      <c r="S139" s="500"/>
      <c r="T139" s="500"/>
      <c r="U139" s="500"/>
      <c r="V139" s="500"/>
      <c r="W139" s="500"/>
      <c r="X139" s="500"/>
      <c r="Y139" s="500"/>
      <c r="Z139" s="501"/>
      <c r="AA139" s="501"/>
      <c r="AB139" s="501"/>
      <c r="AC139" s="501"/>
      <c r="AD139" s="500"/>
      <c r="AE139" s="502"/>
      <c r="AF139" s="503"/>
      <c r="AG139" s="503"/>
      <c r="AH139" s="504"/>
      <c r="AI139" s="500"/>
      <c r="AJ139" s="500"/>
      <c r="AK139" s="500"/>
      <c r="AL139" s="500"/>
      <c r="AM139" s="500"/>
      <c r="AN139" s="500"/>
      <c r="AO139" s="500"/>
      <c r="AP139" s="500"/>
      <c r="AQ139" s="500"/>
      <c r="AR139" s="500"/>
      <c r="AS139" s="500"/>
      <c r="AT139" s="500"/>
      <c r="AU139" s="500"/>
      <c r="AV139" s="500"/>
      <c r="AW139" s="500"/>
      <c r="AX139" s="500"/>
      <c r="AY139" s="500"/>
      <c r="AZ139" s="500"/>
      <c r="BA139" s="500"/>
      <c r="BB139" s="500"/>
      <c r="BC139" s="500"/>
      <c r="BD139" s="500"/>
      <c r="BE139" s="500"/>
      <c r="BF139" s="500"/>
      <c r="BG139" s="500"/>
      <c r="BH139" s="500"/>
      <c r="BI139" s="500"/>
      <c r="BJ139" s="500"/>
      <c r="BK139" s="500"/>
      <c r="BL139" s="500"/>
      <c r="BM139" s="500"/>
      <c r="BN139" s="500"/>
      <c r="BO139" s="500"/>
      <c r="BP139" s="500"/>
      <c r="BQ139" s="500"/>
      <c r="BR139" s="500"/>
      <c r="BS139" s="500"/>
      <c r="BT139" s="500"/>
      <c r="BU139" s="500"/>
      <c r="BV139" s="500"/>
    </row>
    <row r="140" ht="14.25" customHeight="1">
      <c r="A140" s="500"/>
      <c r="B140" s="500"/>
      <c r="C140" s="500"/>
      <c r="D140" s="500"/>
      <c r="E140" s="500"/>
      <c r="F140" s="500"/>
      <c r="G140" s="500"/>
      <c r="H140" s="500"/>
      <c r="I140" s="500"/>
      <c r="J140" s="500"/>
      <c r="K140" s="500"/>
      <c r="L140" s="500"/>
      <c r="M140" s="500"/>
      <c r="N140" s="500"/>
      <c r="O140" s="500"/>
      <c r="P140" s="500"/>
      <c r="Q140" s="500"/>
      <c r="R140" s="500"/>
      <c r="S140" s="500"/>
      <c r="T140" s="500"/>
      <c r="U140" s="500"/>
      <c r="V140" s="500"/>
      <c r="W140" s="500"/>
      <c r="X140" s="500"/>
      <c r="Y140" s="500"/>
      <c r="Z140" s="501"/>
      <c r="AA140" s="501"/>
      <c r="AB140" s="501"/>
      <c r="AC140" s="501"/>
      <c r="AD140" s="500"/>
      <c r="AE140" s="502"/>
      <c r="AF140" s="503"/>
      <c r="AG140" s="503"/>
      <c r="AH140" s="504"/>
      <c r="AI140" s="500"/>
      <c r="AJ140" s="500"/>
      <c r="AK140" s="500"/>
      <c r="AL140" s="500"/>
      <c r="AM140" s="500"/>
      <c r="AN140" s="500"/>
      <c r="AO140" s="500"/>
      <c r="AP140" s="500"/>
      <c r="AQ140" s="500"/>
      <c r="AR140" s="500"/>
      <c r="AS140" s="500"/>
      <c r="AT140" s="500"/>
      <c r="AU140" s="500"/>
      <c r="AV140" s="500"/>
      <c r="AW140" s="500"/>
      <c r="AX140" s="500"/>
      <c r="AY140" s="500"/>
      <c r="AZ140" s="500"/>
      <c r="BA140" s="500"/>
      <c r="BB140" s="500"/>
      <c r="BC140" s="500"/>
      <c r="BD140" s="500"/>
      <c r="BE140" s="500"/>
      <c r="BF140" s="500"/>
      <c r="BG140" s="500"/>
      <c r="BH140" s="500"/>
      <c r="BI140" s="500"/>
      <c r="BJ140" s="500"/>
      <c r="BK140" s="500"/>
      <c r="BL140" s="500"/>
      <c r="BM140" s="500"/>
      <c r="BN140" s="500"/>
      <c r="BO140" s="500"/>
      <c r="BP140" s="500"/>
      <c r="BQ140" s="500"/>
      <c r="BR140" s="500"/>
      <c r="BS140" s="500"/>
      <c r="BT140" s="500"/>
      <c r="BU140" s="500"/>
      <c r="BV140" s="500"/>
    </row>
    <row r="141" ht="14.25" customHeight="1">
      <c r="A141" s="500"/>
      <c r="B141" s="500"/>
      <c r="C141" s="500"/>
      <c r="D141" s="500"/>
      <c r="E141" s="500"/>
      <c r="F141" s="500"/>
      <c r="G141" s="500"/>
      <c r="H141" s="500"/>
      <c r="I141" s="500"/>
      <c r="J141" s="500"/>
      <c r="K141" s="500"/>
      <c r="L141" s="500"/>
      <c r="M141" s="500"/>
      <c r="N141" s="500"/>
      <c r="O141" s="500"/>
      <c r="P141" s="500"/>
      <c r="Q141" s="500"/>
      <c r="R141" s="500"/>
      <c r="S141" s="500"/>
      <c r="T141" s="500"/>
      <c r="U141" s="500"/>
      <c r="V141" s="500"/>
      <c r="W141" s="500"/>
      <c r="X141" s="500"/>
      <c r="Y141" s="500"/>
      <c r="Z141" s="501"/>
      <c r="AA141" s="501"/>
      <c r="AB141" s="501"/>
      <c r="AC141" s="501"/>
      <c r="AD141" s="500"/>
      <c r="AE141" s="502"/>
      <c r="AF141" s="503"/>
      <c r="AG141" s="503"/>
      <c r="AH141" s="504"/>
      <c r="AI141" s="500"/>
      <c r="AJ141" s="500"/>
      <c r="AK141" s="500"/>
      <c r="AL141" s="500"/>
      <c r="AM141" s="500"/>
      <c r="AN141" s="500"/>
      <c r="AO141" s="500"/>
      <c r="AP141" s="500"/>
      <c r="AQ141" s="500"/>
      <c r="AR141" s="500"/>
      <c r="AS141" s="500"/>
      <c r="AT141" s="500"/>
      <c r="AU141" s="500"/>
      <c r="AV141" s="500"/>
      <c r="AW141" s="500"/>
      <c r="AX141" s="500"/>
      <c r="AY141" s="500"/>
      <c r="AZ141" s="500"/>
      <c r="BA141" s="500"/>
      <c r="BB141" s="500"/>
      <c r="BC141" s="500"/>
      <c r="BD141" s="500"/>
      <c r="BE141" s="500"/>
      <c r="BF141" s="500"/>
      <c r="BG141" s="500"/>
      <c r="BH141" s="500"/>
      <c r="BI141" s="500"/>
      <c r="BJ141" s="500"/>
      <c r="BK141" s="500"/>
      <c r="BL141" s="500"/>
      <c r="BM141" s="500"/>
      <c r="BN141" s="500"/>
      <c r="BO141" s="500"/>
      <c r="BP141" s="500"/>
      <c r="BQ141" s="500"/>
      <c r="BR141" s="500"/>
      <c r="BS141" s="500"/>
      <c r="BT141" s="500"/>
      <c r="BU141" s="500"/>
      <c r="BV141" s="500"/>
    </row>
    <row r="142" ht="14.25" customHeight="1">
      <c r="A142" s="500"/>
      <c r="B142" s="500"/>
      <c r="C142" s="500"/>
      <c r="D142" s="500"/>
      <c r="E142" s="500"/>
      <c r="F142" s="500"/>
      <c r="G142" s="500"/>
      <c r="H142" s="500"/>
      <c r="I142" s="500"/>
      <c r="J142" s="500"/>
      <c r="K142" s="500"/>
      <c r="L142" s="500"/>
      <c r="M142" s="500"/>
      <c r="N142" s="500"/>
      <c r="O142" s="500"/>
      <c r="P142" s="500"/>
      <c r="Q142" s="500"/>
      <c r="R142" s="500"/>
      <c r="S142" s="500"/>
      <c r="T142" s="500"/>
      <c r="U142" s="500"/>
      <c r="V142" s="500"/>
      <c r="W142" s="500"/>
      <c r="X142" s="500"/>
      <c r="Y142" s="500"/>
      <c r="Z142" s="501"/>
      <c r="AA142" s="501"/>
      <c r="AB142" s="501"/>
      <c r="AC142" s="501"/>
      <c r="AD142" s="500"/>
      <c r="AE142" s="502"/>
      <c r="AF142" s="503"/>
      <c r="AG142" s="503"/>
      <c r="AH142" s="504"/>
      <c r="AI142" s="500"/>
      <c r="AJ142" s="500"/>
      <c r="AK142" s="500"/>
      <c r="AL142" s="500"/>
      <c r="AM142" s="500"/>
      <c r="AN142" s="500"/>
      <c r="AO142" s="500"/>
      <c r="AP142" s="500"/>
      <c r="AQ142" s="500"/>
      <c r="AR142" s="500"/>
      <c r="AS142" s="500"/>
      <c r="AT142" s="500"/>
      <c r="AU142" s="500"/>
      <c r="AV142" s="500"/>
      <c r="AW142" s="500"/>
      <c r="AX142" s="500"/>
      <c r="AY142" s="500"/>
      <c r="AZ142" s="500"/>
      <c r="BA142" s="500"/>
      <c r="BB142" s="500"/>
      <c r="BC142" s="500"/>
      <c r="BD142" s="500"/>
      <c r="BE142" s="500"/>
      <c r="BF142" s="500"/>
      <c r="BG142" s="500"/>
      <c r="BH142" s="500"/>
      <c r="BI142" s="500"/>
      <c r="BJ142" s="500"/>
      <c r="BK142" s="500"/>
      <c r="BL142" s="500"/>
      <c r="BM142" s="500"/>
      <c r="BN142" s="500"/>
      <c r="BO142" s="500"/>
      <c r="BP142" s="500"/>
      <c r="BQ142" s="500"/>
      <c r="BR142" s="500"/>
      <c r="BS142" s="500"/>
      <c r="BT142" s="500"/>
      <c r="BU142" s="500"/>
      <c r="BV142" s="500"/>
    </row>
    <row r="143" ht="14.25" customHeight="1">
      <c r="A143" s="500"/>
      <c r="B143" s="500"/>
      <c r="C143" s="500"/>
      <c r="D143" s="500"/>
      <c r="E143" s="500"/>
      <c r="F143" s="500"/>
      <c r="G143" s="500"/>
      <c r="H143" s="500"/>
      <c r="I143" s="500"/>
      <c r="J143" s="500"/>
      <c r="K143" s="500"/>
      <c r="L143" s="500"/>
      <c r="M143" s="500"/>
      <c r="N143" s="500"/>
      <c r="O143" s="500"/>
      <c r="P143" s="500"/>
      <c r="Q143" s="500"/>
      <c r="R143" s="500"/>
      <c r="S143" s="500"/>
      <c r="T143" s="500"/>
      <c r="U143" s="500"/>
      <c r="V143" s="500"/>
      <c r="W143" s="500"/>
      <c r="X143" s="500"/>
      <c r="Y143" s="500"/>
      <c r="Z143" s="501"/>
      <c r="AA143" s="501"/>
      <c r="AB143" s="501"/>
      <c r="AC143" s="501"/>
      <c r="AD143" s="500"/>
      <c r="AE143" s="502"/>
      <c r="AF143" s="503"/>
      <c r="AG143" s="503"/>
      <c r="AH143" s="504"/>
      <c r="AI143" s="500"/>
      <c r="AJ143" s="500"/>
      <c r="AK143" s="500"/>
      <c r="AL143" s="500"/>
      <c r="AM143" s="500"/>
      <c r="AN143" s="500"/>
      <c r="AO143" s="500"/>
      <c r="AP143" s="500"/>
      <c r="AQ143" s="500"/>
      <c r="AR143" s="500"/>
      <c r="AS143" s="500"/>
      <c r="AT143" s="500"/>
      <c r="AU143" s="500"/>
      <c r="AV143" s="500"/>
      <c r="AW143" s="500"/>
      <c r="AX143" s="500"/>
      <c r="AY143" s="500"/>
      <c r="AZ143" s="500"/>
      <c r="BA143" s="500"/>
      <c r="BB143" s="500"/>
      <c r="BC143" s="500"/>
      <c r="BD143" s="500"/>
      <c r="BE143" s="500"/>
      <c r="BF143" s="500"/>
      <c r="BG143" s="500"/>
      <c r="BH143" s="500"/>
      <c r="BI143" s="500"/>
      <c r="BJ143" s="500"/>
      <c r="BK143" s="500"/>
      <c r="BL143" s="500"/>
      <c r="BM143" s="500"/>
      <c r="BN143" s="500"/>
      <c r="BO143" s="500"/>
      <c r="BP143" s="500"/>
      <c r="BQ143" s="500"/>
      <c r="BR143" s="500"/>
      <c r="BS143" s="500"/>
      <c r="BT143" s="500"/>
      <c r="BU143" s="500"/>
      <c r="BV143" s="500"/>
    </row>
    <row r="144" ht="14.25" customHeight="1">
      <c r="A144" s="500"/>
      <c r="B144" s="500"/>
      <c r="C144" s="500"/>
      <c r="D144" s="500"/>
      <c r="E144" s="500"/>
      <c r="F144" s="500"/>
      <c r="G144" s="500"/>
      <c r="H144" s="500"/>
      <c r="I144" s="500"/>
      <c r="J144" s="500"/>
      <c r="K144" s="500"/>
      <c r="L144" s="500"/>
      <c r="M144" s="500"/>
      <c r="N144" s="500"/>
      <c r="O144" s="500"/>
      <c r="P144" s="500"/>
      <c r="Q144" s="500"/>
      <c r="R144" s="500"/>
      <c r="S144" s="500"/>
      <c r="T144" s="500"/>
      <c r="U144" s="500"/>
      <c r="V144" s="500"/>
      <c r="W144" s="500"/>
      <c r="X144" s="500"/>
      <c r="Y144" s="500"/>
      <c r="Z144" s="501"/>
      <c r="AA144" s="501"/>
      <c r="AB144" s="501"/>
      <c r="AC144" s="501"/>
      <c r="AD144" s="500"/>
      <c r="AE144" s="502"/>
      <c r="AF144" s="503"/>
      <c r="AG144" s="503"/>
      <c r="AH144" s="504"/>
      <c r="AI144" s="500"/>
      <c r="AJ144" s="500"/>
      <c r="AK144" s="500"/>
      <c r="AL144" s="500"/>
      <c r="AM144" s="500"/>
      <c r="AN144" s="500"/>
      <c r="AO144" s="500"/>
      <c r="AP144" s="500"/>
      <c r="AQ144" s="500"/>
      <c r="AR144" s="500"/>
      <c r="AS144" s="500"/>
      <c r="AT144" s="500"/>
      <c r="AU144" s="500"/>
      <c r="AV144" s="500"/>
      <c r="AW144" s="500"/>
      <c r="AX144" s="500"/>
      <c r="AY144" s="500"/>
      <c r="AZ144" s="500"/>
      <c r="BA144" s="500"/>
      <c r="BB144" s="500"/>
      <c r="BC144" s="500"/>
      <c r="BD144" s="500"/>
      <c r="BE144" s="500"/>
      <c r="BF144" s="500"/>
      <c r="BG144" s="500"/>
      <c r="BH144" s="500"/>
      <c r="BI144" s="500"/>
      <c r="BJ144" s="500"/>
      <c r="BK144" s="500"/>
      <c r="BL144" s="500"/>
      <c r="BM144" s="500"/>
      <c r="BN144" s="500"/>
      <c r="BO144" s="500"/>
      <c r="BP144" s="500"/>
      <c r="BQ144" s="500"/>
      <c r="BR144" s="500"/>
      <c r="BS144" s="500"/>
      <c r="BT144" s="500"/>
      <c r="BU144" s="500"/>
      <c r="BV144" s="500"/>
    </row>
    <row r="145" ht="14.25" customHeight="1">
      <c r="A145" s="500"/>
      <c r="B145" s="500"/>
      <c r="C145" s="500"/>
      <c r="D145" s="500"/>
      <c r="E145" s="500"/>
      <c r="F145" s="500"/>
      <c r="G145" s="500"/>
      <c r="H145" s="500"/>
      <c r="I145" s="500"/>
      <c r="J145" s="500"/>
      <c r="K145" s="500"/>
      <c r="L145" s="500"/>
      <c r="M145" s="500"/>
      <c r="N145" s="500"/>
      <c r="O145" s="500"/>
      <c r="P145" s="500"/>
      <c r="Q145" s="500"/>
      <c r="R145" s="500"/>
      <c r="S145" s="500"/>
      <c r="T145" s="500"/>
      <c r="U145" s="500"/>
      <c r="V145" s="500"/>
      <c r="W145" s="500"/>
      <c r="X145" s="500"/>
      <c r="Y145" s="500"/>
      <c r="Z145" s="501"/>
      <c r="AA145" s="501"/>
      <c r="AB145" s="501"/>
      <c r="AC145" s="501"/>
      <c r="AD145" s="500"/>
      <c r="AE145" s="502"/>
      <c r="AF145" s="503"/>
      <c r="AG145" s="503"/>
      <c r="AH145" s="504"/>
      <c r="AI145" s="500"/>
      <c r="AJ145" s="500"/>
      <c r="AK145" s="500"/>
      <c r="AL145" s="500"/>
      <c r="AM145" s="500"/>
      <c r="AN145" s="500"/>
      <c r="AO145" s="500"/>
      <c r="AP145" s="500"/>
      <c r="AQ145" s="500"/>
      <c r="AR145" s="500"/>
      <c r="AS145" s="500"/>
      <c r="AT145" s="500"/>
      <c r="AU145" s="500"/>
      <c r="AV145" s="500"/>
      <c r="AW145" s="500"/>
      <c r="AX145" s="500"/>
      <c r="AY145" s="500"/>
      <c r="AZ145" s="500"/>
      <c r="BA145" s="500"/>
      <c r="BB145" s="500"/>
      <c r="BC145" s="500"/>
      <c r="BD145" s="500"/>
      <c r="BE145" s="500"/>
      <c r="BF145" s="500"/>
      <c r="BG145" s="500"/>
      <c r="BH145" s="500"/>
      <c r="BI145" s="500"/>
      <c r="BJ145" s="500"/>
      <c r="BK145" s="500"/>
      <c r="BL145" s="500"/>
      <c r="BM145" s="500"/>
      <c r="BN145" s="500"/>
      <c r="BO145" s="500"/>
      <c r="BP145" s="500"/>
      <c r="BQ145" s="500"/>
      <c r="BR145" s="500"/>
      <c r="BS145" s="500"/>
      <c r="BT145" s="500"/>
      <c r="BU145" s="500"/>
      <c r="BV145" s="500"/>
    </row>
    <row r="146" ht="14.25" customHeight="1">
      <c r="A146" s="500"/>
      <c r="B146" s="500"/>
      <c r="C146" s="500"/>
      <c r="D146" s="500"/>
      <c r="E146" s="500"/>
      <c r="F146" s="514" t="s">
        <v>2403</v>
      </c>
      <c r="G146" s="514" t="s">
        <v>2077</v>
      </c>
      <c r="H146" s="514" t="str">
        <f t="shared" ref="H146:I146" si="232">R109</f>
        <v>Odyssee*</v>
      </c>
      <c r="I146" s="514" t="str">
        <f t="shared" si="232"/>
        <v>Partner</v>
      </c>
      <c r="J146" s="514"/>
      <c r="K146" s="514" t="s">
        <v>2077</v>
      </c>
      <c r="L146" s="514" t="s">
        <v>2077</v>
      </c>
      <c r="M146" s="514" t="s">
        <v>2077</v>
      </c>
      <c r="N146" s="500"/>
      <c r="O146" s="500"/>
      <c r="P146" s="500"/>
      <c r="Q146" s="500"/>
      <c r="R146" s="500"/>
      <c r="S146" s="500"/>
      <c r="T146" s="500"/>
      <c r="U146" s="500"/>
      <c r="V146" s="500"/>
      <c r="W146" s="500"/>
      <c r="X146" s="500"/>
      <c r="Y146" s="500"/>
      <c r="Z146" s="501"/>
      <c r="AA146" s="501"/>
      <c r="AB146" s="501"/>
      <c r="AC146" s="501"/>
      <c r="AD146" s="500"/>
      <c r="AE146" s="502"/>
      <c r="AF146" s="503"/>
      <c r="AG146" s="503"/>
      <c r="AH146" s="504"/>
      <c r="AI146" s="500"/>
      <c r="AJ146" s="500"/>
      <c r="AK146" s="500"/>
      <c r="AL146" s="500"/>
      <c r="AM146" s="500"/>
      <c r="AN146" s="500"/>
      <c r="AO146" s="500"/>
      <c r="AP146" s="500"/>
      <c r="AQ146" s="500"/>
      <c r="AR146" s="500"/>
      <c r="AS146" s="500"/>
      <c r="AT146" s="500"/>
      <c r="AU146" s="500"/>
      <c r="AV146" s="500"/>
      <c r="AW146" s="500"/>
      <c r="AX146" s="500"/>
      <c r="AY146" s="500"/>
      <c r="AZ146" s="500"/>
      <c r="BA146" s="500"/>
      <c r="BB146" s="500"/>
      <c r="BC146" s="500"/>
      <c r="BD146" s="500"/>
      <c r="BE146" s="500"/>
      <c r="BF146" s="500"/>
      <c r="BG146" s="500"/>
      <c r="BH146" s="500"/>
      <c r="BI146" s="500"/>
      <c r="BJ146" s="500"/>
      <c r="BK146" s="500"/>
      <c r="BL146" s="500"/>
      <c r="BM146" s="500"/>
      <c r="BN146" s="500"/>
      <c r="BO146" s="500"/>
      <c r="BP146" s="500"/>
      <c r="BQ146" s="500"/>
      <c r="BR146" s="500"/>
      <c r="BS146" s="500"/>
      <c r="BT146" s="500"/>
      <c r="BU146" s="500"/>
      <c r="BV146" s="500"/>
    </row>
    <row r="147" ht="14.25" customHeight="1">
      <c r="A147" s="500"/>
      <c r="B147" s="500"/>
      <c r="C147" s="500" t="str">
        <f t="shared" ref="C147:C158" si="234">P110</f>
        <v>Title</v>
      </c>
      <c r="D147" s="500" t="str">
        <f>T110</f>
        <v>Code EU</v>
      </c>
      <c r="E147" s="500" t="str">
        <f t="shared" ref="E147:E158" si="235">Q110</f>
        <v>Unit</v>
      </c>
      <c r="F147" s="602">
        <v>2015.0</v>
      </c>
      <c r="G147" s="602">
        <v>2015.0</v>
      </c>
      <c r="H147" s="602">
        <f t="shared" ref="H147:I147" si="233">R110</f>
        <v>2019</v>
      </c>
      <c r="I147" s="602">
        <f t="shared" si="233"/>
        <v>2019</v>
      </c>
      <c r="J147" s="500"/>
      <c r="K147" s="806">
        <f t="shared" ref="K147:K158" si="237">X110</f>
        <v>2030</v>
      </c>
      <c r="L147" s="806">
        <f t="shared" ref="L147:L158" si="238">Z110</f>
        <v>2040</v>
      </c>
      <c r="M147" s="806">
        <f t="shared" ref="M147:M158" si="239">AB110</f>
        <v>2050</v>
      </c>
      <c r="N147" s="500"/>
      <c r="O147" s="500"/>
      <c r="P147" s="500"/>
      <c r="Q147" s="500"/>
      <c r="R147" s="500"/>
      <c r="S147" s="500"/>
      <c r="T147" s="500"/>
      <c r="U147" s="500"/>
      <c r="V147" s="500"/>
      <c r="W147" s="500"/>
      <c r="X147" s="500"/>
      <c r="Y147" s="500"/>
      <c r="Z147" s="501"/>
      <c r="AA147" s="501"/>
      <c r="AB147" s="501"/>
      <c r="AC147" s="501"/>
      <c r="AD147" s="500"/>
      <c r="AE147" s="502"/>
      <c r="AF147" s="503"/>
      <c r="AG147" s="503"/>
      <c r="AH147" s="504"/>
      <c r="AI147" s="500"/>
      <c r="AJ147" s="500"/>
      <c r="AK147" s="500"/>
      <c r="AL147" s="500"/>
      <c r="AM147" s="500"/>
      <c r="AN147" s="500"/>
      <c r="AO147" s="500"/>
      <c r="AP147" s="500"/>
      <c r="AQ147" s="500"/>
      <c r="AR147" s="500"/>
      <c r="AS147" s="500"/>
      <c r="AT147" s="500"/>
      <c r="AU147" s="500"/>
      <c r="AV147" s="500"/>
      <c r="AW147" s="500"/>
      <c r="AX147" s="500"/>
      <c r="AY147" s="500"/>
      <c r="AZ147" s="500"/>
      <c r="BA147" s="500"/>
      <c r="BB147" s="500"/>
      <c r="BC147" s="500"/>
      <c r="BD147" s="500"/>
      <c r="BE147" s="500"/>
      <c r="BF147" s="500"/>
      <c r="BG147" s="500"/>
      <c r="BH147" s="500"/>
      <c r="BI147" s="500"/>
      <c r="BJ147" s="500"/>
      <c r="BK147" s="500"/>
      <c r="BL147" s="500"/>
      <c r="BM147" s="500"/>
      <c r="BN147" s="500"/>
      <c r="BO147" s="500"/>
      <c r="BP147" s="500"/>
      <c r="BQ147" s="500"/>
      <c r="BR147" s="500"/>
      <c r="BS147" s="500"/>
      <c r="BT147" s="500"/>
      <c r="BU147" s="500"/>
      <c r="BV147" s="500"/>
    </row>
    <row r="148" ht="14.25" customHeight="1">
      <c r="A148" s="500" t="str">
        <f t="shared" ref="A148:A158" si="240">O111</f>
        <v>toccfsid1</v>
      </c>
      <c r="B148" s="500"/>
      <c r="C148" s="500" t="str">
        <f t="shared" si="234"/>
        <v>Final consumption of steel industry</v>
      </c>
      <c r="D148" s="500" t="str">
        <f t="shared" ref="D148:D159" si="241">$D$27</f>
        <v>BE</v>
      </c>
      <c r="E148" s="500" t="str">
        <f t="shared" si="235"/>
        <v>TWh</v>
      </c>
      <c r="F148" s="807">
        <f t="shared" ref="F148:F158" si="242">F63</f>
        <v>28.3474</v>
      </c>
      <c r="G148" s="807">
        <f t="shared" ref="G148:G158" si="243">H63</f>
        <v>28.3735</v>
      </c>
      <c r="H148" s="807">
        <f t="shared" ref="H148:I148" si="236">R111</f>
        <v>30.657</v>
      </c>
      <c r="I148" s="807">
        <f t="shared" si="236"/>
        <v>30.68522649</v>
      </c>
      <c r="J148" s="500"/>
      <c r="K148" s="807">
        <f t="shared" si="237"/>
        <v>23.42619824</v>
      </c>
      <c r="L148" s="807">
        <f t="shared" si="238"/>
        <v>16.22168822</v>
      </c>
      <c r="M148" s="807">
        <f t="shared" si="239"/>
        <v>14.187435</v>
      </c>
      <c r="N148" s="500"/>
      <c r="O148" s="500"/>
      <c r="P148" s="500"/>
      <c r="Q148" s="500"/>
      <c r="R148" s="500"/>
      <c r="S148" s="500"/>
      <c r="T148" s="500"/>
      <c r="U148" s="500"/>
      <c r="V148" s="500"/>
      <c r="W148" s="500"/>
      <c r="X148" s="500"/>
      <c r="Y148" s="500"/>
      <c r="Z148" s="501"/>
      <c r="AA148" s="501"/>
      <c r="AB148" s="501"/>
      <c r="AC148" s="501"/>
      <c r="AD148" s="500"/>
      <c r="AE148" s="502"/>
      <c r="AF148" s="503"/>
      <c r="AG148" s="503"/>
      <c r="AH148" s="504"/>
      <c r="AI148" s="500"/>
      <c r="AJ148" s="500"/>
      <c r="AK148" s="500"/>
      <c r="AL148" s="500"/>
      <c r="AM148" s="500"/>
      <c r="AN148" s="500"/>
      <c r="AO148" s="500"/>
      <c r="AP148" s="500"/>
      <c r="AQ148" s="500"/>
      <c r="AR148" s="500"/>
      <c r="AS148" s="500"/>
      <c r="AT148" s="500"/>
      <c r="AU148" s="500"/>
      <c r="AV148" s="500"/>
      <c r="AW148" s="500"/>
      <c r="AX148" s="500"/>
      <c r="AY148" s="500"/>
      <c r="AZ148" s="500"/>
      <c r="BA148" s="500"/>
      <c r="BB148" s="500"/>
      <c r="BC148" s="500"/>
      <c r="BD148" s="500"/>
      <c r="BE148" s="500"/>
      <c r="BF148" s="500"/>
      <c r="BG148" s="500"/>
      <c r="BH148" s="500"/>
      <c r="BI148" s="500"/>
      <c r="BJ148" s="500"/>
      <c r="BK148" s="500"/>
      <c r="BL148" s="500"/>
      <c r="BM148" s="500"/>
      <c r="BN148" s="500"/>
      <c r="BO148" s="500"/>
      <c r="BP148" s="500"/>
      <c r="BQ148" s="500"/>
      <c r="BR148" s="500"/>
      <c r="BS148" s="500"/>
      <c r="BT148" s="500"/>
      <c r="BU148" s="500"/>
      <c r="BV148" s="500"/>
    </row>
    <row r="149" ht="14.25" customHeight="1">
      <c r="A149" s="500" t="str">
        <f t="shared" si="240"/>
        <v>toccfcim</v>
      </c>
      <c r="B149" s="500"/>
      <c r="C149" s="500" t="str">
        <f t="shared" si="234"/>
        <v>Final consumption of cement industry</v>
      </c>
      <c r="D149" s="500" t="str">
        <f t="shared" si="241"/>
        <v>BE</v>
      </c>
      <c r="E149" s="500" t="str">
        <f t="shared" si="235"/>
        <v>TWh</v>
      </c>
      <c r="F149" s="807">
        <f t="shared" si="242"/>
        <v>5.5203</v>
      </c>
      <c r="G149" s="807">
        <f t="shared" si="243"/>
        <v>5.52</v>
      </c>
      <c r="H149" s="807">
        <f t="shared" ref="H149:I149" si="244">R112</f>
        <v>6.1239</v>
      </c>
      <c r="I149" s="807">
        <f t="shared" si="244"/>
        <v>6.123567197</v>
      </c>
      <c r="J149" s="500"/>
      <c r="K149" s="807">
        <f t="shared" si="237"/>
        <v>4.775185131</v>
      </c>
      <c r="L149" s="807">
        <f t="shared" si="238"/>
        <v>3.4043865</v>
      </c>
      <c r="M149" s="807">
        <f t="shared" si="239"/>
        <v>3.0590625</v>
      </c>
      <c r="N149" s="500"/>
      <c r="O149" s="500"/>
      <c r="P149" s="500"/>
      <c r="Q149" s="500"/>
      <c r="R149" s="500"/>
      <c r="S149" s="500"/>
      <c r="T149" s="500"/>
      <c r="U149" s="500"/>
      <c r="V149" s="500"/>
      <c r="W149" s="500"/>
      <c r="X149" s="500"/>
      <c r="Y149" s="500"/>
      <c r="Z149" s="501"/>
      <c r="AA149" s="501"/>
      <c r="AB149" s="501"/>
      <c r="AC149" s="501"/>
      <c r="AD149" s="500"/>
      <c r="AE149" s="502"/>
      <c r="AF149" s="503"/>
      <c r="AG149" s="503"/>
      <c r="AH149" s="504"/>
      <c r="AI149" s="500"/>
      <c r="AJ149" s="500"/>
      <c r="AK149" s="500"/>
      <c r="AL149" s="500"/>
      <c r="AM149" s="500"/>
      <c r="AN149" s="500"/>
      <c r="AO149" s="500"/>
      <c r="AP149" s="500"/>
      <c r="AQ149" s="500"/>
      <c r="AR149" s="500"/>
      <c r="AS149" s="500"/>
      <c r="AT149" s="500"/>
      <c r="AU149" s="500"/>
      <c r="AV149" s="500"/>
      <c r="AW149" s="500"/>
      <c r="AX149" s="500"/>
      <c r="AY149" s="500"/>
      <c r="AZ149" s="500"/>
      <c r="BA149" s="500"/>
      <c r="BB149" s="500"/>
      <c r="BC149" s="500"/>
      <c r="BD149" s="500"/>
      <c r="BE149" s="500"/>
      <c r="BF149" s="500"/>
      <c r="BG149" s="500"/>
      <c r="BH149" s="500"/>
      <c r="BI149" s="500"/>
      <c r="BJ149" s="500"/>
      <c r="BK149" s="500"/>
      <c r="BL149" s="500"/>
      <c r="BM149" s="500"/>
      <c r="BN149" s="500"/>
      <c r="BO149" s="500"/>
      <c r="BP149" s="500"/>
      <c r="BQ149" s="500"/>
      <c r="BR149" s="500"/>
      <c r="BS149" s="500"/>
      <c r="BT149" s="500"/>
      <c r="BU149" s="500"/>
      <c r="BV149" s="500"/>
    </row>
    <row r="150" ht="14.25" customHeight="1">
      <c r="A150" s="500" t="str">
        <f t="shared" si="240"/>
        <v>toccfppp</v>
      </c>
      <c r="B150" s="500"/>
      <c r="C150" s="500" t="str">
        <f t="shared" si="234"/>
        <v>Final consumption of paper, pulp and printing industry</v>
      </c>
      <c r="D150" s="500" t="str">
        <f t="shared" si="241"/>
        <v>BE</v>
      </c>
      <c r="E150" s="500" t="str">
        <f t="shared" si="235"/>
        <v>TWh</v>
      </c>
      <c r="F150" s="807">
        <f t="shared" si="242"/>
        <v>8.2541</v>
      </c>
      <c r="G150" s="807">
        <f t="shared" si="243"/>
        <v>8.2554</v>
      </c>
      <c r="H150" s="807">
        <f t="shared" ref="H150:I150" si="245">R113</f>
        <v>7.5453</v>
      </c>
      <c r="I150" s="807">
        <f t="shared" si="245"/>
        <v>7.546488366</v>
      </c>
      <c r="J150" s="500"/>
      <c r="K150" s="807">
        <f t="shared" si="237"/>
        <v>6.211038485</v>
      </c>
      <c r="L150" s="807">
        <f t="shared" si="238"/>
        <v>5.050989336</v>
      </c>
      <c r="M150" s="807">
        <f t="shared" si="239"/>
        <v>4.511375</v>
      </c>
      <c r="N150" s="500"/>
      <c r="O150" s="500"/>
      <c r="P150" s="500"/>
      <c r="Q150" s="500"/>
      <c r="R150" s="500"/>
      <c r="S150" s="500"/>
      <c r="T150" s="500"/>
      <c r="U150" s="500"/>
      <c r="V150" s="500"/>
      <c r="W150" s="500"/>
      <c r="X150" s="500"/>
      <c r="Y150" s="500"/>
      <c r="Z150" s="501"/>
      <c r="AA150" s="501"/>
      <c r="AB150" s="501"/>
      <c r="AC150" s="501"/>
      <c r="AD150" s="500"/>
      <c r="AE150" s="502"/>
      <c r="AF150" s="503"/>
      <c r="AG150" s="503"/>
      <c r="AH150" s="504"/>
      <c r="AI150" s="500"/>
      <c r="AJ150" s="500"/>
      <c r="AK150" s="500"/>
      <c r="AL150" s="500"/>
      <c r="AM150" s="500"/>
      <c r="AN150" s="500"/>
      <c r="AO150" s="500"/>
      <c r="AP150" s="500"/>
      <c r="AQ150" s="500"/>
      <c r="AR150" s="500"/>
      <c r="AS150" s="500"/>
      <c r="AT150" s="500"/>
      <c r="AU150" s="500"/>
      <c r="AV150" s="500"/>
      <c r="AW150" s="500"/>
      <c r="AX150" s="500"/>
      <c r="AY150" s="500"/>
      <c r="AZ150" s="500"/>
      <c r="BA150" s="500"/>
      <c r="BB150" s="500"/>
      <c r="BC150" s="500"/>
      <c r="BD150" s="500"/>
      <c r="BE150" s="500"/>
      <c r="BF150" s="500"/>
      <c r="BG150" s="500"/>
      <c r="BH150" s="500"/>
      <c r="BI150" s="500"/>
      <c r="BJ150" s="500"/>
      <c r="BK150" s="500"/>
      <c r="BL150" s="500"/>
      <c r="BM150" s="500"/>
      <c r="BN150" s="500"/>
      <c r="BO150" s="500"/>
      <c r="BP150" s="500"/>
      <c r="BQ150" s="500"/>
      <c r="BR150" s="500"/>
      <c r="BS150" s="500"/>
      <c r="BT150" s="500"/>
      <c r="BU150" s="500"/>
      <c r="BV150" s="500"/>
    </row>
    <row r="151" ht="14.25" customHeight="1">
      <c r="A151" s="500" t="str">
        <f t="shared" si="240"/>
        <v>toccfver</v>
      </c>
      <c r="B151" s="500"/>
      <c r="C151" s="500" t="str">
        <f t="shared" si="234"/>
        <v>Final consumption of glass industry</v>
      </c>
      <c r="D151" s="500" t="str">
        <f t="shared" si="241"/>
        <v>BE</v>
      </c>
      <c r="E151" s="500" t="str">
        <f t="shared" si="235"/>
        <v>TWh</v>
      </c>
      <c r="F151" s="807" t="str">
        <f t="shared" si="242"/>
        <v>n.a.</v>
      </c>
      <c r="G151" s="807">
        <f t="shared" si="243"/>
        <v>4.3</v>
      </c>
      <c r="H151" s="807" t="str">
        <f t="shared" ref="H151:I151" si="246">R114</f>
        <v>n.a.</v>
      </c>
      <c r="I151" s="807">
        <f t="shared" si="246"/>
        <v>4.3</v>
      </c>
      <c r="J151" s="500"/>
      <c r="K151" s="807">
        <f t="shared" si="237"/>
        <v>2.9316</v>
      </c>
      <c r="L151" s="807">
        <f t="shared" si="238"/>
        <v>1.629136</v>
      </c>
      <c r="M151" s="807">
        <f t="shared" si="239"/>
        <v>1.19</v>
      </c>
      <c r="N151" s="500"/>
      <c r="O151" s="500"/>
      <c r="P151" s="500"/>
      <c r="Q151" s="500"/>
      <c r="R151" s="500"/>
      <c r="S151" s="500"/>
      <c r="T151" s="500"/>
      <c r="U151" s="500"/>
      <c r="V151" s="500"/>
      <c r="W151" s="500"/>
      <c r="X151" s="500"/>
      <c r="Y151" s="500"/>
      <c r="Z151" s="501"/>
      <c r="AA151" s="501"/>
      <c r="AB151" s="501"/>
      <c r="AC151" s="501"/>
      <c r="AD151" s="500"/>
      <c r="AE151" s="502"/>
      <c r="AF151" s="503"/>
      <c r="AG151" s="503"/>
      <c r="AH151" s="504"/>
      <c r="AI151" s="500"/>
      <c r="AJ151" s="500"/>
      <c r="AK151" s="500"/>
      <c r="AL151" s="500"/>
      <c r="AM151" s="500"/>
      <c r="AN151" s="500"/>
      <c r="AO151" s="500"/>
      <c r="AP151" s="500"/>
      <c r="AQ151" s="500"/>
      <c r="AR151" s="500"/>
      <c r="AS151" s="500"/>
      <c r="AT151" s="500"/>
      <c r="AU151" s="500"/>
      <c r="AV151" s="500"/>
      <c r="AW151" s="500"/>
      <c r="AX151" s="500"/>
      <c r="AY151" s="500"/>
      <c r="AZ151" s="500"/>
      <c r="BA151" s="500"/>
      <c r="BB151" s="500"/>
      <c r="BC151" s="500"/>
      <c r="BD151" s="500"/>
      <c r="BE151" s="500"/>
      <c r="BF151" s="500"/>
      <c r="BG151" s="500"/>
      <c r="BH151" s="500"/>
      <c r="BI151" s="500"/>
      <c r="BJ151" s="500"/>
      <c r="BK151" s="500"/>
      <c r="BL151" s="500"/>
      <c r="BM151" s="500"/>
      <c r="BN151" s="500"/>
      <c r="BO151" s="500"/>
      <c r="BP151" s="500"/>
      <c r="BQ151" s="500"/>
      <c r="BR151" s="500"/>
      <c r="BS151" s="500"/>
      <c r="BT151" s="500"/>
      <c r="BU151" s="500"/>
      <c r="BV151" s="500"/>
    </row>
    <row r="152" ht="14.25" customHeight="1">
      <c r="A152" s="500" t="str">
        <f t="shared" si="240"/>
        <v>toccfamm</v>
      </c>
      <c r="B152" s="500"/>
      <c r="C152" s="500" t="str">
        <f t="shared" si="234"/>
        <v>Final consumption of ammonia industry</v>
      </c>
      <c r="D152" s="500" t="str">
        <f t="shared" si="241"/>
        <v>BE</v>
      </c>
      <c r="E152" s="500" t="str">
        <f t="shared" si="235"/>
        <v>TWh</v>
      </c>
      <c r="F152" s="807" t="str">
        <f t="shared" si="242"/>
        <v>#N/A</v>
      </c>
      <c r="G152" s="807">
        <f t="shared" si="243"/>
        <v>5.34</v>
      </c>
      <c r="H152" s="807" t="str">
        <f t="shared" ref="H152:I152" si="247">R115</f>
        <v>#N/A</v>
      </c>
      <c r="I152" s="807">
        <f t="shared" si="247"/>
        <v>5.34</v>
      </c>
      <c r="J152" s="500"/>
      <c r="K152" s="807">
        <f t="shared" si="237"/>
        <v>3.6372</v>
      </c>
      <c r="L152" s="807">
        <f t="shared" si="238"/>
        <v>1.9585632</v>
      </c>
      <c r="M152" s="807">
        <f t="shared" si="239"/>
        <v>1.47</v>
      </c>
      <c r="N152" s="500"/>
      <c r="O152" s="500"/>
      <c r="P152" s="500"/>
      <c r="Q152" s="500"/>
      <c r="R152" s="500"/>
      <c r="S152" s="500"/>
      <c r="T152" s="500"/>
      <c r="U152" s="500"/>
      <c r="V152" s="500"/>
      <c r="W152" s="500"/>
      <c r="X152" s="500"/>
      <c r="Y152" s="500"/>
      <c r="Z152" s="501"/>
      <c r="AA152" s="501"/>
      <c r="AB152" s="501"/>
      <c r="AC152" s="501"/>
      <c r="AD152" s="500"/>
      <c r="AE152" s="502"/>
      <c r="AF152" s="503"/>
      <c r="AG152" s="503"/>
      <c r="AH152" s="504"/>
      <c r="AI152" s="500"/>
      <c r="AJ152" s="500"/>
      <c r="AK152" s="500"/>
      <c r="AL152" s="500"/>
      <c r="AM152" s="500"/>
      <c r="AN152" s="500"/>
      <c r="AO152" s="500"/>
      <c r="AP152" s="500"/>
      <c r="AQ152" s="500"/>
      <c r="AR152" s="500"/>
      <c r="AS152" s="500"/>
      <c r="AT152" s="500"/>
      <c r="AU152" s="500"/>
      <c r="AV152" s="500"/>
      <c r="AW152" s="500"/>
      <c r="AX152" s="500"/>
      <c r="AY152" s="500"/>
      <c r="AZ152" s="500"/>
      <c r="BA152" s="500"/>
      <c r="BB152" s="500"/>
      <c r="BC152" s="500"/>
      <c r="BD152" s="500"/>
      <c r="BE152" s="500"/>
      <c r="BF152" s="500"/>
      <c r="BG152" s="500"/>
      <c r="BH152" s="500"/>
      <c r="BI152" s="500"/>
      <c r="BJ152" s="500"/>
      <c r="BK152" s="500"/>
      <c r="BL152" s="500"/>
      <c r="BM152" s="500"/>
      <c r="BN152" s="500"/>
      <c r="BO152" s="500"/>
      <c r="BP152" s="500"/>
      <c r="BQ152" s="500"/>
      <c r="BR152" s="500"/>
      <c r="BS152" s="500"/>
      <c r="BT152" s="500"/>
      <c r="BU152" s="500"/>
      <c r="BV152" s="500"/>
    </row>
    <row r="153" ht="14.25" customHeight="1">
      <c r="A153" s="500" t="str">
        <f t="shared" si="240"/>
        <v>toccfhvc</v>
      </c>
      <c r="B153" s="500"/>
      <c r="C153" s="500" t="str">
        <f t="shared" si="234"/>
        <v>Final consumption of HVC industry</v>
      </c>
      <c r="D153" s="500" t="str">
        <f t="shared" si="241"/>
        <v>BE</v>
      </c>
      <c r="E153" s="500" t="str">
        <f t="shared" si="235"/>
        <v>TWh</v>
      </c>
      <c r="F153" s="807" t="str">
        <f t="shared" si="242"/>
        <v>#N/A</v>
      </c>
      <c r="G153" s="807">
        <f t="shared" si="243"/>
        <v>30</v>
      </c>
      <c r="H153" s="807" t="str">
        <f t="shared" ref="H153:I153" si="248">R116</f>
        <v>#N/A</v>
      </c>
      <c r="I153" s="807">
        <f t="shared" si="248"/>
        <v>30</v>
      </c>
      <c r="J153" s="500"/>
      <c r="K153" s="807">
        <f t="shared" si="237"/>
        <v>26.522592</v>
      </c>
      <c r="L153" s="807">
        <f t="shared" si="238"/>
        <v>23.28809088</v>
      </c>
      <c r="M153" s="807">
        <f t="shared" si="239"/>
        <v>22.0968</v>
      </c>
      <c r="N153" s="500"/>
      <c r="O153" s="500"/>
      <c r="P153" s="500"/>
      <c r="Q153" s="500"/>
      <c r="R153" s="500"/>
      <c r="S153" s="500"/>
      <c r="T153" s="500"/>
      <c r="U153" s="500"/>
      <c r="V153" s="500"/>
      <c r="W153" s="500"/>
      <c r="X153" s="500"/>
      <c r="Y153" s="500"/>
      <c r="Z153" s="501"/>
      <c r="AA153" s="501"/>
      <c r="AB153" s="501"/>
      <c r="AC153" s="501"/>
      <c r="AD153" s="500"/>
      <c r="AE153" s="502"/>
      <c r="AF153" s="503"/>
      <c r="AG153" s="503"/>
      <c r="AH153" s="504"/>
      <c r="AI153" s="500"/>
      <c r="AJ153" s="500"/>
      <c r="AK153" s="500"/>
      <c r="AL153" s="500"/>
      <c r="AM153" s="500"/>
      <c r="AN153" s="500"/>
      <c r="AO153" s="500"/>
      <c r="AP153" s="500"/>
      <c r="AQ153" s="500"/>
      <c r="AR153" s="500"/>
      <c r="AS153" s="500"/>
      <c r="AT153" s="500"/>
      <c r="AU153" s="500"/>
      <c r="AV153" s="500"/>
      <c r="AW153" s="500"/>
      <c r="AX153" s="500"/>
      <c r="AY153" s="500"/>
      <c r="AZ153" s="500"/>
      <c r="BA153" s="500"/>
      <c r="BB153" s="500"/>
      <c r="BC153" s="500"/>
      <c r="BD153" s="500"/>
      <c r="BE153" s="500"/>
      <c r="BF153" s="500"/>
      <c r="BG153" s="500"/>
      <c r="BH153" s="500"/>
      <c r="BI153" s="500"/>
      <c r="BJ153" s="500"/>
      <c r="BK153" s="500"/>
      <c r="BL153" s="500"/>
      <c r="BM153" s="500"/>
      <c r="BN153" s="500"/>
      <c r="BO153" s="500"/>
      <c r="BP153" s="500"/>
      <c r="BQ153" s="500"/>
      <c r="BR153" s="500"/>
      <c r="BS153" s="500"/>
      <c r="BT153" s="500"/>
      <c r="BU153" s="500"/>
      <c r="BV153" s="500"/>
    </row>
    <row r="154" ht="14.25" customHeight="1">
      <c r="A154" s="500" t="str">
        <f t="shared" si="240"/>
        <v>toccfotc</v>
      </c>
      <c r="B154" s="500"/>
      <c r="C154" s="500" t="str">
        <f t="shared" si="234"/>
        <v>Final consumption of other chemicals industry</v>
      </c>
      <c r="D154" s="500" t="str">
        <f t="shared" si="241"/>
        <v>BE</v>
      </c>
      <c r="E154" s="500" t="str">
        <f t="shared" si="235"/>
        <v>TWh</v>
      </c>
      <c r="F154" s="807" t="str">
        <f t="shared" si="242"/>
        <v>#N/A</v>
      </c>
      <c r="G154" s="807">
        <f t="shared" si="243"/>
        <v>14.048</v>
      </c>
      <c r="H154" s="807" t="str">
        <f t="shared" ref="H154:I154" si="249">R117</f>
        <v>#N/A</v>
      </c>
      <c r="I154" s="807">
        <f t="shared" si="249"/>
        <v>14.048</v>
      </c>
      <c r="J154" s="500"/>
      <c r="K154" s="807">
        <f t="shared" si="237"/>
        <v>12.7499648</v>
      </c>
      <c r="L154" s="807">
        <f t="shared" si="238"/>
        <v>11.5699328</v>
      </c>
      <c r="M154" s="807">
        <f t="shared" si="239"/>
        <v>11.09792</v>
      </c>
      <c r="N154" s="500"/>
      <c r="O154" s="500"/>
      <c r="P154" s="500"/>
      <c r="Q154" s="500"/>
      <c r="R154" s="500"/>
      <c r="S154" s="500"/>
      <c r="T154" s="500"/>
      <c r="U154" s="500"/>
      <c r="V154" s="500"/>
      <c r="W154" s="500"/>
      <c r="X154" s="500"/>
      <c r="Y154" s="500"/>
      <c r="Z154" s="501"/>
      <c r="AA154" s="501"/>
      <c r="AB154" s="501"/>
      <c r="AC154" s="501"/>
      <c r="AD154" s="500"/>
      <c r="AE154" s="502"/>
      <c r="AF154" s="503"/>
      <c r="AG154" s="503"/>
      <c r="AH154" s="504"/>
      <c r="AI154" s="500"/>
      <c r="AJ154" s="500"/>
      <c r="AK154" s="500"/>
      <c r="AL154" s="500"/>
      <c r="AM154" s="500"/>
      <c r="AN154" s="500"/>
      <c r="AO154" s="500"/>
      <c r="AP154" s="500"/>
      <c r="AQ154" s="500"/>
      <c r="AR154" s="500"/>
      <c r="AS154" s="500"/>
      <c r="AT154" s="500"/>
      <c r="AU154" s="500"/>
      <c r="AV154" s="500"/>
      <c r="AW154" s="500"/>
      <c r="AX154" s="500"/>
      <c r="AY154" s="500"/>
      <c r="AZ154" s="500"/>
      <c r="BA154" s="500"/>
      <c r="BB154" s="500"/>
      <c r="BC154" s="500"/>
      <c r="BD154" s="500"/>
      <c r="BE154" s="500"/>
      <c r="BF154" s="500"/>
      <c r="BG154" s="500"/>
      <c r="BH154" s="500"/>
      <c r="BI154" s="500"/>
      <c r="BJ154" s="500"/>
      <c r="BK154" s="500"/>
      <c r="BL154" s="500"/>
      <c r="BM154" s="500"/>
      <c r="BN154" s="500"/>
      <c r="BO154" s="500"/>
      <c r="BP154" s="500"/>
      <c r="BQ154" s="500"/>
      <c r="BR154" s="500"/>
      <c r="BS154" s="500"/>
      <c r="BT154" s="500"/>
      <c r="BU154" s="500"/>
      <c r="BV154" s="500"/>
    </row>
    <row r="155" ht="14.25" customHeight="1">
      <c r="A155" s="500" t="str">
        <f t="shared" si="240"/>
        <v>toccfchi</v>
      </c>
      <c r="B155" s="500"/>
      <c r="C155" s="500" t="str">
        <f t="shared" si="234"/>
        <v>Final consumption of chemical industry</v>
      </c>
      <c r="D155" s="500" t="str">
        <f t="shared" si="241"/>
        <v>BE</v>
      </c>
      <c r="E155" s="500" t="str">
        <f t="shared" si="235"/>
        <v>TWh</v>
      </c>
      <c r="F155" s="807">
        <f t="shared" si="242"/>
        <v>49.9504</v>
      </c>
      <c r="G155" s="807">
        <f t="shared" si="243"/>
        <v>49.388</v>
      </c>
      <c r="H155" s="807">
        <f t="shared" ref="H155:I155" si="250">R118</f>
        <v>46.4105</v>
      </c>
      <c r="I155" s="807">
        <f t="shared" si="250"/>
        <v>49.388</v>
      </c>
      <c r="J155" s="500"/>
      <c r="K155" s="807">
        <f t="shared" si="237"/>
        <v>42.9097568</v>
      </c>
      <c r="L155" s="807">
        <f t="shared" si="238"/>
        <v>36.81658688</v>
      </c>
      <c r="M155" s="807">
        <f t="shared" si="239"/>
        <v>34.66472</v>
      </c>
      <c r="N155" s="500"/>
      <c r="O155" s="500"/>
      <c r="P155" s="500"/>
      <c r="Q155" s="500"/>
      <c r="R155" s="500"/>
      <c r="S155" s="500"/>
      <c r="T155" s="500"/>
      <c r="U155" s="500"/>
      <c r="V155" s="500"/>
      <c r="W155" s="500"/>
      <c r="X155" s="500"/>
      <c r="Y155" s="500"/>
      <c r="Z155" s="501"/>
      <c r="AA155" s="501"/>
      <c r="AB155" s="501"/>
      <c r="AC155" s="501"/>
      <c r="AD155" s="500"/>
      <c r="AE155" s="502"/>
      <c r="AF155" s="503"/>
      <c r="AG155" s="503"/>
      <c r="AH155" s="504"/>
      <c r="AI155" s="500"/>
      <c r="AJ155" s="500"/>
      <c r="AK155" s="500"/>
      <c r="AL155" s="500"/>
      <c r="AM155" s="500"/>
      <c r="AN155" s="500"/>
      <c r="AO155" s="500"/>
      <c r="AP155" s="500"/>
      <c r="AQ155" s="500"/>
      <c r="AR155" s="500"/>
      <c r="AS155" s="500"/>
      <c r="AT155" s="500"/>
      <c r="AU155" s="500"/>
      <c r="AV155" s="500"/>
      <c r="AW155" s="500"/>
      <c r="AX155" s="500"/>
      <c r="AY155" s="500"/>
      <c r="AZ155" s="500"/>
      <c r="BA155" s="500"/>
      <c r="BB155" s="500"/>
      <c r="BC155" s="500"/>
      <c r="BD155" s="500"/>
      <c r="BE155" s="500"/>
      <c r="BF155" s="500"/>
      <c r="BG155" s="500"/>
      <c r="BH155" s="500"/>
      <c r="BI155" s="500"/>
      <c r="BJ155" s="500"/>
      <c r="BK155" s="500"/>
      <c r="BL155" s="500"/>
      <c r="BM155" s="500"/>
      <c r="BN155" s="500"/>
      <c r="BO155" s="500"/>
      <c r="BP155" s="500"/>
      <c r="BQ155" s="500"/>
      <c r="BR155" s="500"/>
      <c r="BS155" s="500"/>
      <c r="BT155" s="500"/>
      <c r="BU155" s="500"/>
      <c r="BV155" s="500"/>
    </row>
    <row r="156" ht="14.25" customHeight="1">
      <c r="A156" s="500" t="str">
        <f t="shared" si="240"/>
        <v>toccfiaa</v>
      </c>
      <c r="B156" s="500"/>
      <c r="C156" s="500" t="str">
        <f t="shared" si="234"/>
        <v>Final consumption of food industry</v>
      </c>
      <c r="D156" s="500" t="str">
        <f t="shared" si="241"/>
        <v>BE</v>
      </c>
      <c r="E156" s="500" t="str">
        <f t="shared" si="235"/>
        <v>TWh</v>
      </c>
      <c r="F156" s="807">
        <f t="shared" si="242"/>
        <v>17.0583</v>
      </c>
      <c r="G156" s="807">
        <f t="shared" si="243"/>
        <v>16.5379</v>
      </c>
      <c r="H156" s="807">
        <f t="shared" ref="H156:I156" si="251">R119</f>
        <v>19.056</v>
      </c>
      <c r="I156" s="807">
        <f t="shared" si="251"/>
        <v>18.47465588</v>
      </c>
      <c r="J156" s="500"/>
      <c r="K156" s="807">
        <f t="shared" si="237"/>
        <v>14.00378916</v>
      </c>
      <c r="L156" s="807">
        <f t="shared" si="238"/>
        <v>9.939364864</v>
      </c>
      <c r="M156" s="807">
        <f t="shared" si="239"/>
        <v>8.313595146</v>
      </c>
      <c r="N156" s="500"/>
      <c r="O156" s="500"/>
      <c r="P156" s="500"/>
      <c r="Q156" s="500"/>
      <c r="R156" s="500"/>
      <c r="S156" s="500"/>
      <c r="T156" s="500"/>
      <c r="U156" s="500"/>
      <c r="V156" s="500"/>
      <c r="W156" s="500"/>
      <c r="X156" s="500"/>
      <c r="Y156" s="500"/>
      <c r="Z156" s="501"/>
      <c r="AA156" s="501"/>
      <c r="AB156" s="501"/>
      <c r="AC156" s="501"/>
      <c r="AD156" s="500"/>
      <c r="AE156" s="502"/>
      <c r="AF156" s="503"/>
      <c r="AG156" s="503"/>
      <c r="AH156" s="504"/>
      <c r="AI156" s="500"/>
      <c r="AJ156" s="500"/>
      <c r="AK156" s="500"/>
      <c r="AL156" s="500"/>
      <c r="AM156" s="500"/>
      <c r="AN156" s="500"/>
      <c r="AO156" s="500"/>
      <c r="AP156" s="500"/>
      <c r="AQ156" s="500"/>
      <c r="AR156" s="500"/>
      <c r="AS156" s="500"/>
      <c r="AT156" s="500"/>
      <c r="AU156" s="500"/>
      <c r="AV156" s="500"/>
      <c r="AW156" s="500"/>
      <c r="AX156" s="500"/>
      <c r="AY156" s="500"/>
      <c r="AZ156" s="500"/>
      <c r="BA156" s="500"/>
      <c r="BB156" s="500"/>
      <c r="BC156" s="500"/>
      <c r="BD156" s="500"/>
      <c r="BE156" s="500"/>
      <c r="BF156" s="500"/>
      <c r="BG156" s="500"/>
      <c r="BH156" s="500"/>
      <c r="BI156" s="500"/>
      <c r="BJ156" s="500"/>
      <c r="BK156" s="500"/>
      <c r="BL156" s="500"/>
      <c r="BM156" s="500"/>
      <c r="BN156" s="500"/>
      <c r="BO156" s="500"/>
      <c r="BP156" s="500"/>
      <c r="BQ156" s="500"/>
      <c r="BR156" s="500"/>
      <c r="BS156" s="500"/>
      <c r="BT156" s="500"/>
      <c r="BU156" s="500"/>
      <c r="BV156" s="500"/>
    </row>
    <row r="157" ht="14.25" customHeight="1">
      <c r="A157" s="500" t="str">
        <f t="shared" si="240"/>
        <v>toccfmnf</v>
      </c>
      <c r="B157" s="500"/>
      <c r="C157" s="500" t="str">
        <f t="shared" si="234"/>
        <v>Final consumption of non ferrous metals</v>
      </c>
      <c r="D157" s="500" t="str">
        <f t="shared" si="241"/>
        <v>BE</v>
      </c>
      <c r="E157" s="500" t="str">
        <f t="shared" si="235"/>
        <v>TWh</v>
      </c>
      <c r="F157" s="807">
        <f t="shared" si="242"/>
        <v>3.4216</v>
      </c>
      <c r="G157" s="807">
        <f t="shared" si="243"/>
        <v>3.4152</v>
      </c>
      <c r="H157" s="807">
        <f t="shared" ref="H157:I157" si="252">R120</f>
        <v>3.4813</v>
      </c>
      <c r="I157" s="807">
        <f t="shared" si="252"/>
        <v>3.474788333</v>
      </c>
      <c r="J157" s="500"/>
      <c r="K157" s="807">
        <f t="shared" si="237"/>
        <v>2.93967093</v>
      </c>
      <c r="L157" s="807">
        <f t="shared" si="238"/>
        <v>2.453200563</v>
      </c>
      <c r="M157" s="807">
        <f t="shared" si="239"/>
        <v>2.258612416</v>
      </c>
      <c r="N157" s="500"/>
      <c r="O157" s="500"/>
      <c r="P157" s="500"/>
      <c r="Q157" s="500"/>
      <c r="R157" s="500"/>
      <c r="S157" s="500"/>
      <c r="T157" s="500"/>
      <c r="U157" s="500"/>
      <c r="V157" s="500"/>
      <c r="W157" s="500"/>
      <c r="X157" s="500"/>
      <c r="Y157" s="500"/>
      <c r="Z157" s="501"/>
      <c r="AA157" s="501"/>
      <c r="AB157" s="501"/>
      <c r="AC157" s="501"/>
      <c r="AD157" s="500"/>
      <c r="AE157" s="502"/>
      <c r="AF157" s="503"/>
      <c r="AG157" s="503"/>
      <c r="AH157" s="504"/>
      <c r="AI157" s="500"/>
      <c r="AJ157" s="500"/>
      <c r="AK157" s="500"/>
      <c r="AL157" s="500"/>
      <c r="AM157" s="500"/>
      <c r="AN157" s="500"/>
      <c r="AO157" s="500"/>
      <c r="AP157" s="500"/>
      <c r="AQ157" s="500"/>
      <c r="AR157" s="500"/>
      <c r="AS157" s="500"/>
      <c r="AT157" s="500"/>
      <c r="AU157" s="500"/>
      <c r="AV157" s="500"/>
      <c r="AW157" s="500"/>
      <c r="AX157" s="500"/>
      <c r="AY157" s="500"/>
      <c r="AZ157" s="500"/>
      <c r="BA157" s="500"/>
      <c r="BB157" s="500"/>
      <c r="BC157" s="500"/>
      <c r="BD157" s="500"/>
      <c r="BE157" s="500"/>
      <c r="BF157" s="500"/>
      <c r="BG157" s="500"/>
      <c r="BH157" s="500"/>
      <c r="BI157" s="500"/>
      <c r="BJ157" s="500"/>
      <c r="BK157" s="500"/>
      <c r="BL157" s="500"/>
      <c r="BM157" s="500"/>
      <c r="BN157" s="500"/>
      <c r="BO157" s="500"/>
      <c r="BP157" s="500"/>
      <c r="BQ157" s="500"/>
      <c r="BR157" s="500"/>
      <c r="BS157" s="500"/>
      <c r="BT157" s="500"/>
      <c r="BU157" s="500"/>
      <c r="BV157" s="500"/>
    </row>
    <row r="158" ht="14.25" customHeight="1">
      <c r="A158" s="500" t="str">
        <f t="shared" si="240"/>
        <v>toccfoth</v>
      </c>
      <c r="B158" s="500"/>
      <c r="C158" s="500" t="str">
        <f t="shared" si="234"/>
        <v>Final consumption of others</v>
      </c>
      <c r="D158" s="500" t="str">
        <f t="shared" si="241"/>
        <v>BE</v>
      </c>
      <c r="E158" s="500" t="str">
        <f t="shared" si="235"/>
        <v>TWh</v>
      </c>
      <c r="F158" s="807" t="str">
        <f t="shared" si="242"/>
        <v>#N/A</v>
      </c>
      <c r="G158" s="807">
        <f t="shared" si="243"/>
        <v>23.7778</v>
      </c>
      <c r="H158" s="807" t="str">
        <f t="shared" ref="H158:I158" si="253">R121</f>
        <v>#N/A</v>
      </c>
      <c r="I158" s="807">
        <f t="shared" si="253"/>
        <v>18.67637373</v>
      </c>
      <c r="J158" s="500"/>
      <c r="K158" s="807">
        <f t="shared" si="237"/>
        <v>16.62197262</v>
      </c>
      <c r="L158" s="807">
        <f t="shared" si="238"/>
        <v>14.75433525</v>
      </c>
      <c r="M158" s="807">
        <f t="shared" si="239"/>
        <v>14.0072803</v>
      </c>
      <c r="N158" s="500"/>
      <c r="O158" s="500"/>
      <c r="P158" s="500"/>
      <c r="Q158" s="500"/>
      <c r="R158" s="500"/>
      <c r="S158" s="500"/>
      <c r="T158" s="500"/>
      <c r="U158" s="500"/>
      <c r="V158" s="500"/>
      <c r="W158" s="500"/>
      <c r="X158" s="500"/>
      <c r="Y158" s="500"/>
      <c r="Z158" s="501"/>
      <c r="AA158" s="501"/>
      <c r="AB158" s="501"/>
      <c r="AC158" s="501"/>
      <c r="AD158" s="500"/>
      <c r="AE158" s="502"/>
      <c r="AF158" s="503"/>
      <c r="AG158" s="503"/>
      <c r="AH158" s="504"/>
      <c r="AI158" s="500"/>
      <c r="AJ158" s="500"/>
      <c r="AK158" s="500"/>
      <c r="AL158" s="500"/>
      <c r="AM158" s="500"/>
      <c r="AN158" s="500"/>
      <c r="AO158" s="500"/>
      <c r="AP158" s="500"/>
      <c r="AQ158" s="500"/>
      <c r="AR158" s="500"/>
      <c r="AS158" s="500"/>
      <c r="AT158" s="500"/>
      <c r="AU158" s="500"/>
      <c r="AV158" s="500"/>
      <c r="AW158" s="500"/>
      <c r="AX158" s="500"/>
      <c r="AY158" s="500"/>
      <c r="AZ158" s="500"/>
      <c r="BA158" s="500"/>
      <c r="BB158" s="500"/>
      <c r="BC158" s="500"/>
      <c r="BD158" s="500"/>
      <c r="BE158" s="500"/>
      <c r="BF158" s="500"/>
      <c r="BG158" s="500"/>
      <c r="BH158" s="500"/>
      <c r="BI158" s="500"/>
      <c r="BJ158" s="500"/>
      <c r="BK158" s="500"/>
      <c r="BL158" s="500"/>
      <c r="BM158" s="500"/>
      <c r="BN158" s="500"/>
      <c r="BO158" s="500"/>
      <c r="BP158" s="500"/>
      <c r="BQ158" s="500"/>
      <c r="BR158" s="500"/>
      <c r="BS158" s="500"/>
      <c r="BT158" s="500"/>
      <c r="BU158" s="500"/>
      <c r="BV158" s="500"/>
    </row>
    <row r="159" ht="14.25" customHeight="1">
      <c r="A159" s="500" t="s">
        <v>2159</v>
      </c>
      <c r="B159" s="500"/>
      <c r="C159" s="500" t="str">
        <f>AH36</f>
        <v>Final consumption of industry</v>
      </c>
      <c r="D159" s="500" t="str">
        <f t="shared" si="241"/>
        <v>BE</v>
      </c>
      <c r="E159" s="500" t="str">
        <f>E158</f>
        <v>TWh</v>
      </c>
      <c r="F159" s="807">
        <f>F85</f>
        <v>139.5678</v>
      </c>
      <c r="G159" s="807">
        <f>H85</f>
        <v>139.5678</v>
      </c>
      <c r="H159" s="807">
        <f>G85</f>
        <v>138.6691</v>
      </c>
      <c r="I159" s="807">
        <f>I85</f>
        <v>138.6691</v>
      </c>
      <c r="J159" s="500"/>
      <c r="K159" s="807">
        <f>BA36</f>
        <v>113.8192114</v>
      </c>
      <c r="L159" s="807">
        <f>BK36</f>
        <v>90.26968761</v>
      </c>
      <c r="M159" s="807">
        <f>BU36</f>
        <v>82.19208036</v>
      </c>
      <c r="N159" s="500"/>
      <c r="O159" s="500"/>
      <c r="P159" s="500"/>
      <c r="Q159" s="500"/>
      <c r="R159" s="500"/>
      <c r="S159" s="500"/>
      <c r="T159" s="500"/>
      <c r="U159" s="500"/>
      <c r="V159" s="500"/>
      <c r="W159" s="500"/>
      <c r="X159" s="500"/>
      <c r="Y159" s="500"/>
      <c r="Z159" s="501"/>
      <c r="AA159" s="501"/>
      <c r="AB159" s="501"/>
      <c r="AC159" s="501"/>
      <c r="AD159" s="500"/>
      <c r="AE159" s="502"/>
      <c r="AF159" s="503"/>
      <c r="AG159" s="503"/>
      <c r="AH159" s="504"/>
      <c r="AI159" s="500"/>
      <c r="AJ159" s="500"/>
      <c r="AK159" s="500"/>
      <c r="AL159" s="500"/>
      <c r="AM159" s="500"/>
      <c r="AN159" s="500"/>
      <c r="AO159" s="500"/>
      <c r="AP159" s="500"/>
      <c r="AQ159" s="500"/>
      <c r="AR159" s="500"/>
      <c r="AS159" s="500"/>
      <c r="AT159" s="500"/>
      <c r="AU159" s="500"/>
      <c r="AV159" s="500"/>
      <c r="AW159" s="500"/>
      <c r="AX159" s="500"/>
      <c r="AY159" s="500"/>
      <c r="AZ159" s="500"/>
      <c r="BA159" s="500"/>
      <c r="BB159" s="500"/>
      <c r="BC159" s="500"/>
      <c r="BD159" s="500"/>
      <c r="BE159" s="500"/>
      <c r="BF159" s="500"/>
      <c r="BG159" s="500"/>
      <c r="BH159" s="500"/>
      <c r="BI159" s="500"/>
      <c r="BJ159" s="500"/>
      <c r="BK159" s="500"/>
      <c r="BL159" s="500"/>
      <c r="BM159" s="500"/>
      <c r="BN159" s="500"/>
      <c r="BO159" s="500"/>
      <c r="BP159" s="500"/>
      <c r="BQ159" s="500"/>
      <c r="BR159" s="500"/>
      <c r="BS159" s="500"/>
      <c r="BT159" s="500"/>
      <c r="BU159" s="500"/>
      <c r="BV159" s="500"/>
    </row>
    <row r="160" ht="14.25" customHeight="1">
      <c r="A160" s="500"/>
      <c r="B160" s="500"/>
      <c r="C160" s="500"/>
      <c r="D160" s="500"/>
      <c r="E160" s="500"/>
      <c r="F160" s="500"/>
      <c r="G160" s="500"/>
      <c r="H160" s="500"/>
      <c r="I160" s="500"/>
      <c r="J160" s="500"/>
      <c r="K160" s="500"/>
      <c r="L160" s="500"/>
      <c r="M160" s="500"/>
      <c r="N160" s="500"/>
      <c r="O160" s="500"/>
      <c r="P160" s="500"/>
      <c r="Q160" s="500"/>
      <c r="R160" s="500"/>
      <c r="S160" s="500"/>
      <c r="T160" s="500"/>
      <c r="U160" s="500"/>
      <c r="V160" s="500"/>
      <c r="W160" s="500"/>
      <c r="X160" s="500"/>
      <c r="Y160" s="500"/>
      <c r="Z160" s="501"/>
      <c r="AA160" s="501"/>
      <c r="AB160" s="501"/>
      <c r="AC160" s="501"/>
      <c r="AD160" s="500"/>
      <c r="AE160" s="502"/>
      <c r="AF160" s="503"/>
      <c r="AG160" s="503"/>
      <c r="AH160" s="504"/>
      <c r="AI160" s="500"/>
      <c r="AJ160" s="500"/>
      <c r="AK160" s="500"/>
      <c r="AL160" s="500"/>
      <c r="AM160" s="500"/>
      <c r="AN160" s="500"/>
      <c r="AO160" s="500"/>
      <c r="AP160" s="500"/>
      <c r="AQ160" s="500"/>
      <c r="AR160" s="500"/>
      <c r="AS160" s="500"/>
      <c r="AT160" s="500"/>
      <c r="AU160" s="500"/>
      <c r="AV160" s="500"/>
      <c r="AW160" s="500"/>
      <c r="AX160" s="500"/>
      <c r="AY160" s="500"/>
      <c r="AZ160" s="500"/>
      <c r="BA160" s="500"/>
      <c r="BB160" s="500"/>
      <c r="BC160" s="500"/>
      <c r="BD160" s="500"/>
      <c r="BE160" s="500"/>
      <c r="BF160" s="500"/>
      <c r="BG160" s="500"/>
      <c r="BH160" s="500"/>
      <c r="BI160" s="500"/>
      <c r="BJ160" s="500"/>
      <c r="BK160" s="500"/>
      <c r="BL160" s="500"/>
      <c r="BM160" s="500"/>
      <c r="BN160" s="500"/>
      <c r="BO160" s="500"/>
      <c r="BP160" s="500"/>
      <c r="BQ160" s="500"/>
      <c r="BR160" s="500"/>
      <c r="BS160" s="500"/>
      <c r="BT160" s="500"/>
      <c r="BU160" s="500"/>
      <c r="BV160" s="500"/>
    </row>
    <row r="161" ht="14.25" customHeight="1">
      <c r="A161" s="500"/>
      <c r="B161" s="500"/>
      <c r="C161" s="500"/>
      <c r="D161" s="500"/>
      <c r="E161" s="500"/>
      <c r="F161" s="500"/>
      <c r="G161" s="500"/>
      <c r="H161" s="500"/>
      <c r="I161" s="500"/>
      <c r="J161" s="500"/>
      <c r="K161" s="500"/>
      <c r="L161" s="500"/>
      <c r="M161" s="500"/>
      <c r="N161" s="500"/>
      <c r="O161" s="500"/>
      <c r="P161" s="500"/>
      <c r="Q161" s="500"/>
      <c r="R161" s="500"/>
      <c r="S161" s="500"/>
      <c r="T161" s="500"/>
      <c r="U161" s="500"/>
      <c r="V161" s="500"/>
      <c r="W161" s="500"/>
      <c r="X161" s="500"/>
      <c r="Y161" s="500"/>
      <c r="Z161" s="501"/>
      <c r="AA161" s="501"/>
      <c r="AB161" s="501"/>
      <c r="AC161" s="501"/>
      <c r="AD161" s="500"/>
      <c r="AE161" s="502"/>
      <c r="AF161" s="503"/>
      <c r="AG161" s="503"/>
      <c r="AH161" s="504"/>
      <c r="AI161" s="500"/>
      <c r="AJ161" s="500"/>
      <c r="AK161" s="500"/>
      <c r="AL161" s="500"/>
      <c r="AM161" s="500"/>
      <c r="AN161" s="500"/>
      <c r="AO161" s="500"/>
      <c r="AP161" s="500"/>
      <c r="AQ161" s="500"/>
      <c r="AR161" s="500"/>
      <c r="AS161" s="500"/>
      <c r="AT161" s="500"/>
      <c r="AU161" s="500"/>
      <c r="AV161" s="500"/>
      <c r="AW161" s="500"/>
      <c r="AX161" s="500"/>
      <c r="AY161" s="500"/>
      <c r="AZ161" s="500"/>
      <c r="BA161" s="500"/>
      <c r="BB161" s="500"/>
      <c r="BC161" s="500"/>
      <c r="BD161" s="500"/>
      <c r="BE161" s="500"/>
      <c r="BF161" s="500"/>
      <c r="BG161" s="500"/>
      <c r="BH161" s="500"/>
      <c r="BI161" s="500"/>
      <c r="BJ161" s="500"/>
      <c r="BK161" s="500"/>
      <c r="BL161" s="500"/>
      <c r="BM161" s="500"/>
      <c r="BN161" s="500"/>
      <c r="BO161" s="500"/>
      <c r="BP161" s="500"/>
      <c r="BQ161" s="500"/>
      <c r="BR161" s="500"/>
      <c r="BS161" s="500"/>
      <c r="BT161" s="500"/>
      <c r="BU161" s="500"/>
      <c r="BV161" s="500"/>
    </row>
    <row r="162" ht="14.25" customHeight="1">
      <c r="A162" s="500"/>
      <c r="B162" s="500"/>
      <c r="C162" s="500" t="s">
        <v>2299</v>
      </c>
      <c r="D162" s="500" t="s">
        <v>2471</v>
      </c>
      <c r="E162" s="500" t="s">
        <v>50</v>
      </c>
      <c r="F162" s="500"/>
      <c r="G162" s="500">
        <v>2015.0</v>
      </c>
      <c r="H162" s="500"/>
      <c r="I162" s="500">
        <v>2019.0</v>
      </c>
      <c r="J162" s="500"/>
      <c r="K162" s="602">
        <v>2030.0</v>
      </c>
      <c r="L162" s="602">
        <v>2040.0</v>
      </c>
      <c r="M162" s="602">
        <v>2050.0</v>
      </c>
      <c r="N162" s="500"/>
      <c r="O162" s="500"/>
      <c r="P162" s="500"/>
      <c r="Q162" s="500"/>
      <c r="R162" s="500"/>
      <c r="S162" s="500"/>
      <c r="T162" s="500"/>
      <c r="U162" s="500"/>
      <c r="V162" s="500"/>
      <c r="W162" s="500"/>
      <c r="X162" s="500"/>
      <c r="Y162" s="500"/>
      <c r="Z162" s="501"/>
      <c r="AA162" s="501"/>
      <c r="AB162" s="501"/>
      <c r="AC162" s="501"/>
      <c r="AD162" s="500"/>
      <c r="AE162" s="502"/>
      <c r="AF162" s="503"/>
      <c r="AG162" s="503"/>
      <c r="AH162" s="504"/>
      <c r="AI162" s="500"/>
      <c r="AJ162" s="500"/>
      <c r="AK162" s="500"/>
      <c r="AL162" s="500"/>
      <c r="AM162" s="500"/>
      <c r="AN162" s="500"/>
      <c r="AO162" s="500"/>
      <c r="AP162" s="500"/>
      <c r="AQ162" s="500"/>
      <c r="AR162" s="500"/>
      <c r="AS162" s="500"/>
      <c r="AT162" s="500"/>
      <c r="AU162" s="500"/>
      <c r="AV162" s="500"/>
      <c r="AW162" s="500"/>
      <c r="AX162" s="500"/>
      <c r="AY162" s="500"/>
      <c r="AZ162" s="500"/>
      <c r="BA162" s="500"/>
      <c r="BB162" s="500"/>
      <c r="BC162" s="500"/>
      <c r="BD162" s="500"/>
      <c r="BE162" s="500"/>
      <c r="BF162" s="500"/>
      <c r="BG162" s="500"/>
      <c r="BH162" s="500"/>
      <c r="BI162" s="500"/>
      <c r="BJ162" s="500"/>
      <c r="BK162" s="500"/>
      <c r="BL162" s="500"/>
      <c r="BM162" s="500"/>
      <c r="BN162" s="500"/>
      <c r="BO162" s="500"/>
      <c r="BP162" s="500"/>
      <c r="BQ162" s="500"/>
      <c r="BR162" s="500"/>
      <c r="BS162" s="500"/>
      <c r="BT162" s="500"/>
      <c r="BU162" s="500"/>
      <c r="BV162" s="500"/>
    </row>
    <row r="163" ht="14.25" customHeight="1">
      <c r="A163" s="500" t="s">
        <v>2215</v>
      </c>
      <c r="B163" s="500"/>
      <c r="C163" s="8" t="s">
        <v>2495</v>
      </c>
      <c r="D163" s="500" t="str">
        <f t="shared" ref="D163:D169" si="255">$D$27</f>
        <v>BE</v>
      </c>
      <c r="E163" s="500" t="s">
        <v>135</v>
      </c>
      <c r="F163" s="500"/>
      <c r="G163" s="807">
        <f t="array" ref="G163">INDEX($C$92:$M$101,MATCH($A163,$C$92:$C$101,0),MATCH(G$162,$C$92:$M$92,0))*H40/1000</f>
        <v>4.289628</v>
      </c>
      <c r="H163" s="500"/>
      <c r="I163" s="807">
        <f t="array" ref="I163">INDEX($C$92:$M$101,MATCH($A163,$C$92:$C$101,0),MATCH(I$162,$C$92:$M$92,0))*I40/1000</f>
        <v>5.0530016</v>
      </c>
      <c r="J163" s="500"/>
      <c r="K163" s="772">
        <f>(I163+(M163-I163)*$L$30)*$K$111/$F$111</f>
        <v>4.915635435</v>
      </c>
      <c r="L163" s="807">
        <f t="shared" ref="L163:M163" si="254">INDEX($C$92:$M$101,MATCH($A163,$C$92:$C$101,0),MATCH(L$162,$C$92:$M$92,0))*L138/1000</f>
        <v>0</v>
      </c>
      <c r="M163" s="807">
        <f t="shared" si="254"/>
        <v>0</v>
      </c>
      <c r="N163" s="500"/>
      <c r="O163" s="500"/>
      <c r="P163" s="500"/>
      <c r="Q163" s="500"/>
      <c r="R163" s="500"/>
      <c r="S163" s="500"/>
      <c r="T163" s="500"/>
      <c r="U163" s="500"/>
      <c r="V163" s="500"/>
      <c r="W163" s="500"/>
      <c r="X163" s="500"/>
      <c r="Y163" s="500"/>
      <c r="Z163" s="501"/>
      <c r="AA163" s="501"/>
      <c r="AB163" s="501"/>
      <c r="AC163" s="501"/>
      <c r="AD163" s="500"/>
      <c r="AE163" s="502"/>
      <c r="AF163" s="503"/>
      <c r="AG163" s="503"/>
      <c r="AH163" s="504"/>
      <c r="AI163" s="500"/>
      <c r="AJ163" s="500"/>
      <c r="AK163" s="500"/>
      <c r="AL163" s="500"/>
      <c r="AM163" s="500"/>
      <c r="AN163" s="500"/>
      <c r="AO163" s="500"/>
      <c r="AP163" s="500"/>
      <c r="AQ163" s="500"/>
      <c r="AR163" s="500"/>
      <c r="AS163" s="500"/>
      <c r="AT163" s="500"/>
      <c r="AU163" s="500"/>
      <c r="AV163" s="500"/>
      <c r="AW163" s="500"/>
      <c r="AX163" s="500"/>
      <c r="AY163" s="500"/>
      <c r="AZ163" s="500"/>
      <c r="BA163" s="500"/>
      <c r="BB163" s="500"/>
      <c r="BC163" s="500"/>
      <c r="BD163" s="500"/>
      <c r="BE163" s="500"/>
      <c r="BF163" s="500"/>
      <c r="BG163" s="500"/>
      <c r="BH163" s="500"/>
      <c r="BI163" s="500"/>
      <c r="BJ163" s="500"/>
      <c r="BK163" s="500"/>
      <c r="BL163" s="500"/>
      <c r="BM163" s="500"/>
      <c r="BN163" s="500"/>
      <c r="BO163" s="500"/>
      <c r="BP163" s="500"/>
      <c r="BQ163" s="500"/>
      <c r="BR163" s="500"/>
      <c r="BS163" s="500"/>
      <c r="BT163" s="500"/>
      <c r="BU163" s="500"/>
      <c r="BV163" s="500"/>
    </row>
    <row r="164" ht="14.25" customHeight="1">
      <c r="A164" s="500" t="s">
        <v>2217</v>
      </c>
      <c r="B164" s="500"/>
      <c r="C164" s="8" t="s">
        <v>2496</v>
      </c>
      <c r="D164" s="500" t="str">
        <f t="shared" si="255"/>
        <v>BE</v>
      </c>
      <c r="E164" s="500" t="s">
        <v>135</v>
      </c>
      <c r="F164" s="500"/>
      <c r="G164" s="807">
        <f t="shared" ref="G164:G167" si="257">INDEX($C$92:$M$101,MATCH($A164,$C$92:$C$101,0),MATCH(G$162,$C$92:$M$92,0))*H$70</f>
        <v>0</v>
      </c>
      <c r="H164" s="500"/>
      <c r="I164" s="807">
        <f t="shared" ref="I164:I167" si="258">INDEX($C$92:$M$101,MATCH($A164,$C$92:$C$101,0),MATCH(I$162,$C$92:$M$92,0))*I$70</f>
        <v>0</v>
      </c>
      <c r="J164" s="500"/>
      <c r="K164" s="772">
        <f t="shared" ref="K164:K166" si="259">I164*96%</f>
        <v>0</v>
      </c>
      <c r="L164" s="807">
        <f t="shared" ref="L164:M164" si="256">INDEX($C$92:$M$101,MATCH($A164,$C$92:$C$101,0),MATCH(L$162,$C$92:$M$92,0))*L$155</f>
        <v>0</v>
      </c>
      <c r="M164" s="807">
        <f t="shared" si="256"/>
        <v>0</v>
      </c>
      <c r="N164" s="500"/>
      <c r="O164" s="500"/>
      <c r="P164" s="500"/>
      <c r="Q164" s="500"/>
      <c r="R164" s="500"/>
      <c r="S164" s="500"/>
      <c r="T164" s="500"/>
      <c r="U164" s="500"/>
      <c r="V164" s="500"/>
      <c r="W164" s="500"/>
      <c r="X164" s="500"/>
      <c r="Y164" s="500"/>
      <c r="Z164" s="501"/>
      <c r="AA164" s="501"/>
      <c r="AB164" s="501"/>
      <c r="AC164" s="501"/>
      <c r="AD164" s="500"/>
      <c r="AE164" s="502"/>
      <c r="AF164" s="503"/>
      <c r="AG164" s="503"/>
      <c r="AH164" s="504"/>
      <c r="AI164" s="500"/>
      <c r="AJ164" s="500"/>
      <c r="AK164" s="500"/>
      <c r="AL164" s="500"/>
      <c r="AM164" s="500"/>
      <c r="AN164" s="500"/>
      <c r="AO164" s="500"/>
      <c r="AP164" s="500"/>
      <c r="AQ164" s="500"/>
      <c r="AR164" s="500"/>
      <c r="AS164" s="500"/>
      <c r="AT164" s="500"/>
      <c r="AU164" s="500"/>
      <c r="AV164" s="500"/>
      <c r="AW164" s="500"/>
      <c r="AX164" s="500"/>
      <c r="AY164" s="500"/>
      <c r="AZ164" s="500"/>
      <c r="BA164" s="500"/>
      <c r="BB164" s="500"/>
      <c r="BC164" s="500"/>
      <c r="BD164" s="500"/>
      <c r="BE164" s="500"/>
      <c r="BF164" s="500"/>
      <c r="BG164" s="500"/>
      <c r="BH164" s="500"/>
      <c r="BI164" s="500"/>
      <c r="BJ164" s="500"/>
      <c r="BK164" s="500"/>
      <c r="BL164" s="500"/>
      <c r="BM164" s="500"/>
      <c r="BN164" s="500"/>
      <c r="BO164" s="500"/>
      <c r="BP164" s="500"/>
      <c r="BQ164" s="500"/>
      <c r="BR164" s="500"/>
      <c r="BS164" s="500"/>
      <c r="BT164" s="500"/>
      <c r="BU164" s="500"/>
      <c r="BV164" s="500"/>
    </row>
    <row r="165" ht="14.25" customHeight="1">
      <c r="A165" s="500" t="s">
        <v>2219</v>
      </c>
      <c r="B165" s="500"/>
      <c r="C165" s="8" t="s">
        <v>2497</v>
      </c>
      <c r="D165" s="500" t="str">
        <f t="shared" si="255"/>
        <v>BE</v>
      </c>
      <c r="E165" s="500" t="s">
        <v>135</v>
      </c>
      <c r="F165" s="500"/>
      <c r="G165" s="807">
        <f t="shared" si="257"/>
        <v>6.815544</v>
      </c>
      <c r="H165" s="500"/>
      <c r="I165" s="807">
        <f t="shared" si="258"/>
        <v>6.815544</v>
      </c>
      <c r="J165" s="500"/>
      <c r="K165" s="772">
        <f t="shared" si="259"/>
        <v>6.54292224</v>
      </c>
      <c r="L165" s="807">
        <f t="shared" ref="L165:M165" si="260">INDEX($C$92:$M$101,MATCH($A165,$C$92:$C$101,0),MATCH(L$162,$C$92:$M$92,0))*L$155</f>
        <v>3.370926695</v>
      </c>
      <c r="M165" s="807">
        <f t="shared" si="260"/>
        <v>1.0399416</v>
      </c>
      <c r="N165" s="500"/>
      <c r="O165" s="500"/>
      <c r="P165" s="500"/>
      <c r="Q165" s="500"/>
      <c r="R165" s="500"/>
      <c r="S165" s="500"/>
      <c r="T165" s="500"/>
      <c r="U165" s="500"/>
      <c r="V165" s="500"/>
      <c r="W165" s="500"/>
      <c r="X165" s="500"/>
      <c r="Y165" s="500"/>
      <c r="Z165" s="501"/>
      <c r="AA165" s="501"/>
      <c r="AB165" s="501"/>
      <c r="AC165" s="501"/>
      <c r="AD165" s="500"/>
      <c r="AE165" s="502"/>
      <c r="AF165" s="503"/>
      <c r="AG165" s="503"/>
      <c r="AH165" s="504"/>
      <c r="AI165" s="500"/>
      <c r="AJ165" s="500"/>
      <c r="AK165" s="500"/>
      <c r="AL165" s="500"/>
      <c r="AM165" s="500"/>
      <c r="AN165" s="500"/>
      <c r="AO165" s="500"/>
      <c r="AP165" s="500"/>
      <c r="AQ165" s="500"/>
      <c r="AR165" s="500"/>
      <c r="AS165" s="500"/>
      <c r="AT165" s="500"/>
      <c r="AU165" s="500"/>
      <c r="AV165" s="500"/>
      <c r="AW165" s="500"/>
      <c r="AX165" s="500"/>
      <c r="AY165" s="500"/>
      <c r="AZ165" s="500"/>
      <c r="BA165" s="500"/>
      <c r="BB165" s="500"/>
      <c r="BC165" s="500"/>
      <c r="BD165" s="500"/>
      <c r="BE165" s="500"/>
      <c r="BF165" s="500"/>
      <c r="BG165" s="500"/>
      <c r="BH165" s="500"/>
      <c r="BI165" s="500"/>
      <c r="BJ165" s="500"/>
      <c r="BK165" s="500"/>
      <c r="BL165" s="500"/>
      <c r="BM165" s="500"/>
      <c r="BN165" s="500"/>
      <c r="BO165" s="500"/>
      <c r="BP165" s="500"/>
      <c r="BQ165" s="500"/>
      <c r="BR165" s="500"/>
      <c r="BS165" s="500"/>
      <c r="BT165" s="500"/>
      <c r="BU165" s="500"/>
      <c r="BV165" s="500"/>
    </row>
    <row r="166" ht="14.25" customHeight="1">
      <c r="A166" s="500" t="s">
        <v>2221</v>
      </c>
      <c r="B166" s="500"/>
      <c r="C166" s="8" t="s">
        <v>2498</v>
      </c>
      <c r="D166" s="500" t="str">
        <f t="shared" si="255"/>
        <v>BE</v>
      </c>
      <c r="E166" s="500" t="s">
        <v>135</v>
      </c>
      <c r="F166" s="500"/>
      <c r="G166" s="807">
        <f t="shared" si="257"/>
        <v>39.609176</v>
      </c>
      <c r="H166" s="500"/>
      <c r="I166" s="807">
        <f t="shared" si="258"/>
        <v>39.609176</v>
      </c>
      <c r="J166" s="500"/>
      <c r="K166" s="772">
        <f t="shared" si="259"/>
        <v>38.02480896</v>
      </c>
      <c r="L166" s="807">
        <f t="shared" ref="L166:M166" si="261">INDEX($C$92:$M$101,MATCH($A166,$C$92:$C$101,0),MATCH(L$162,$C$92:$M$92,0))*L$155</f>
        <v>20.13904119</v>
      </c>
      <c r="M166" s="807">
        <f t="shared" si="261"/>
        <v>7.24492648</v>
      </c>
      <c r="N166" s="500"/>
      <c r="O166" s="500"/>
      <c r="P166" s="500"/>
      <c r="Q166" s="500"/>
      <c r="R166" s="500"/>
      <c r="S166" s="500"/>
      <c r="T166" s="500"/>
      <c r="U166" s="500"/>
      <c r="V166" s="500"/>
      <c r="W166" s="500"/>
      <c r="X166" s="500"/>
      <c r="Y166" s="500"/>
      <c r="Z166" s="501"/>
      <c r="AA166" s="501"/>
      <c r="AB166" s="501"/>
      <c r="AC166" s="501"/>
      <c r="AD166" s="500"/>
      <c r="AE166" s="502"/>
      <c r="AF166" s="503"/>
      <c r="AG166" s="503"/>
      <c r="AH166" s="504"/>
      <c r="AI166" s="500"/>
      <c r="AJ166" s="500"/>
      <c r="AK166" s="500"/>
      <c r="AL166" s="500"/>
      <c r="AM166" s="500"/>
      <c r="AN166" s="500"/>
      <c r="AO166" s="500"/>
      <c r="AP166" s="500"/>
      <c r="AQ166" s="500"/>
      <c r="AR166" s="500"/>
      <c r="AS166" s="500"/>
      <c r="AT166" s="500"/>
      <c r="AU166" s="500"/>
      <c r="AV166" s="500"/>
      <c r="AW166" s="500"/>
      <c r="AX166" s="500"/>
      <c r="AY166" s="500"/>
      <c r="AZ166" s="500"/>
      <c r="BA166" s="500"/>
      <c r="BB166" s="500"/>
      <c r="BC166" s="500"/>
      <c r="BD166" s="500"/>
      <c r="BE166" s="500"/>
      <c r="BF166" s="500"/>
      <c r="BG166" s="500"/>
      <c r="BH166" s="500"/>
      <c r="BI166" s="500"/>
      <c r="BJ166" s="500"/>
      <c r="BK166" s="500"/>
      <c r="BL166" s="500"/>
      <c r="BM166" s="500"/>
      <c r="BN166" s="500"/>
      <c r="BO166" s="500"/>
      <c r="BP166" s="500"/>
      <c r="BQ166" s="500"/>
      <c r="BR166" s="500"/>
      <c r="BS166" s="500"/>
      <c r="BT166" s="500"/>
      <c r="BU166" s="500"/>
      <c r="BV166" s="500"/>
    </row>
    <row r="167" ht="14.25" customHeight="1">
      <c r="A167" s="500" t="s">
        <v>2223</v>
      </c>
      <c r="B167" s="500"/>
      <c r="C167" s="8" t="s">
        <v>2499</v>
      </c>
      <c r="D167" s="500" t="str">
        <f t="shared" si="255"/>
        <v>BE</v>
      </c>
      <c r="E167" s="500" t="s">
        <v>135</v>
      </c>
      <c r="F167" s="500"/>
      <c r="G167" s="807">
        <f t="shared" si="257"/>
        <v>0</v>
      </c>
      <c r="H167" s="500"/>
      <c r="I167" s="807">
        <f t="shared" si="258"/>
        <v>0</v>
      </c>
      <c r="J167" s="500"/>
      <c r="K167" s="772">
        <f>I167+(M167-I167)*$L$31</f>
        <v>0</v>
      </c>
      <c r="L167" s="807">
        <f t="shared" ref="L167:M167" si="262">INDEX($C$92:$M$101,MATCH($A167,$C$92:$C$101,0),MATCH(L$162,$C$92:$M$92,0))*L$155</f>
        <v>17.52285453</v>
      </c>
      <c r="M167" s="807">
        <f t="shared" si="262"/>
        <v>28.9450412</v>
      </c>
      <c r="N167" s="500"/>
      <c r="O167" s="500"/>
      <c r="P167" s="500"/>
      <c r="Q167" s="500"/>
      <c r="R167" s="500"/>
      <c r="S167" s="500"/>
      <c r="T167" s="500"/>
      <c r="U167" s="500"/>
      <c r="V167" s="500"/>
      <c r="W167" s="500"/>
      <c r="X167" s="500"/>
      <c r="Y167" s="500"/>
      <c r="Z167" s="501"/>
      <c r="AA167" s="501"/>
      <c r="AB167" s="501"/>
      <c r="AC167" s="501"/>
      <c r="AD167" s="500"/>
      <c r="AE167" s="502"/>
      <c r="AF167" s="503"/>
      <c r="AG167" s="503"/>
      <c r="AH167" s="504"/>
      <c r="AI167" s="500"/>
      <c r="AJ167" s="500"/>
      <c r="AK167" s="500"/>
      <c r="AL167" s="500"/>
      <c r="AM167" s="500"/>
      <c r="AN167" s="500"/>
      <c r="AO167" s="500"/>
      <c r="AP167" s="500"/>
      <c r="AQ167" s="500"/>
      <c r="AR167" s="500"/>
      <c r="AS167" s="500"/>
      <c r="AT167" s="500"/>
      <c r="AU167" s="500"/>
      <c r="AV167" s="500"/>
      <c r="AW167" s="500"/>
      <c r="AX167" s="500"/>
      <c r="AY167" s="500"/>
      <c r="AZ167" s="500"/>
      <c r="BA167" s="500"/>
      <c r="BB167" s="500"/>
      <c r="BC167" s="500"/>
      <c r="BD167" s="500"/>
      <c r="BE167" s="500"/>
      <c r="BF167" s="500"/>
      <c r="BG167" s="500"/>
      <c r="BH167" s="500"/>
      <c r="BI167" s="500"/>
      <c r="BJ167" s="500"/>
      <c r="BK167" s="500"/>
      <c r="BL167" s="500"/>
      <c r="BM167" s="500"/>
      <c r="BN167" s="500"/>
      <c r="BO167" s="500"/>
      <c r="BP167" s="500"/>
      <c r="BQ167" s="500"/>
      <c r="BR167" s="500"/>
      <c r="BS167" s="500"/>
      <c r="BT167" s="500"/>
      <c r="BU167" s="500"/>
      <c r="BV167" s="500"/>
    </row>
    <row r="168" ht="14.25" customHeight="1">
      <c r="A168" s="500" t="s">
        <v>2212</v>
      </c>
      <c r="B168" s="500"/>
      <c r="C168" s="8" t="s">
        <v>2500</v>
      </c>
      <c r="D168" s="500" t="str">
        <f t="shared" si="255"/>
        <v>BE</v>
      </c>
      <c r="E168" s="500" t="s">
        <v>135</v>
      </c>
      <c r="F168" s="500"/>
      <c r="G168" s="807">
        <f>SUM(G163:G167)</f>
        <v>50.714348</v>
      </c>
      <c r="H168" s="500"/>
      <c r="I168" s="807">
        <f>SUM(I163:I167)</f>
        <v>51.4777216</v>
      </c>
      <c r="J168" s="500"/>
      <c r="K168" s="772">
        <f t="shared" ref="K168:K169" si="264">I168+(M168-I168)*$L$28</f>
        <v>45.20868418</v>
      </c>
      <c r="L168" s="807">
        <f t="shared" ref="L168:M168" si="263">SUM(L163:L167)</f>
        <v>41.03282241</v>
      </c>
      <c r="M168" s="807">
        <f t="shared" si="263"/>
        <v>37.22990928</v>
      </c>
      <c r="N168" s="453">
        <f>M167/SUM(M165:M167)</f>
        <v>0.7774674115</v>
      </c>
      <c r="O168" s="500"/>
      <c r="P168" s="500"/>
      <c r="Q168" s="500"/>
      <c r="R168" s="500"/>
      <c r="S168" s="500"/>
      <c r="T168" s="500"/>
      <c r="U168" s="500"/>
      <c r="V168" s="500"/>
      <c r="W168" s="500"/>
      <c r="X168" s="500"/>
      <c r="Y168" s="500"/>
      <c r="Z168" s="501"/>
      <c r="AA168" s="501"/>
      <c r="AB168" s="501"/>
      <c r="AC168" s="501"/>
      <c r="AD168" s="500"/>
      <c r="AE168" s="502"/>
      <c r="AF168" s="503"/>
      <c r="AG168" s="503"/>
      <c r="AH168" s="504"/>
      <c r="AI168" s="500"/>
      <c r="AJ168" s="500"/>
      <c r="AK168" s="500"/>
      <c r="AL168" s="500"/>
      <c r="AM168" s="500"/>
      <c r="AN168" s="500"/>
      <c r="AO168" s="500"/>
      <c r="AP168" s="500"/>
      <c r="AQ168" s="500"/>
      <c r="AR168" s="500"/>
      <c r="AS168" s="500"/>
      <c r="AT168" s="500"/>
      <c r="AU168" s="500"/>
      <c r="AV168" s="500"/>
      <c r="AW168" s="500"/>
      <c r="AX168" s="500"/>
      <c r="AY168" s="500"/>
      <c r="AZ168" s="500"/>
      <c r="BA168" s="500"/>
      <c r="BB168" s="500"/>
      <c r="BC168" s="500"/>
      <c r="BD168" s="500"/>
      <c r="BE168" s="500"/>
      <c r="BF168" s="500"/>
      <c r="BG168" s="500"/>
      <c r="BH168" s="500"/>
      <c r="BI168" s="500"/>
      <c r="BJ168" s="500"/>
      <c r="BK168" s="500"/>
      <c r="BL168" s="500"/>
      <c r="BM168" s="500"/>
      <c r="BN168" s="500"/>
      <c r="BO168" s="500"/>
      <c r="BP168" s="500"/>
      <c r="BQ168" s="500"/>
      <c r="BR168" s="500"/>
      <c r="BS168" s="500"/>
      <c r="BT168" s="500"/>
      <c r="BU168" s="500"/>
      <c r="BV168" s="500"/>
    </row>
    <row r="169" ht="14.25" customHeight="1">
      <c r="A169" s="500" t="s">
        <v>216</v>
      </c>
      <c r="B169" s="500"/>
      <c r="C169" s="500" t="s">
        <v>2501</v>
      </c>
      <c r="D169" s="500" t="str">
        <f t="shared" si="255"/>
        <v>BE</v>
      </c>
      <c r="E169" s="500" t="s">
        <v>2226</v>
      </c>
      <c r="F169" s="500"/>
      <c r="G169" s="807">
        <f t="array" ref="G169">INDEX($C$92:$M$101,MATCH($A169,$C$92:$C$101,0),MATCH(G$162,$C$92:$M$92,0))*G159</f>
        <v>11.90930575</v>
      </c>
      <c r="H169" s="500"/>
      <c r="I169" s="807">
        <f t="array" ref="I169">INDEX($C$92:$M$101,MATCH($A169,$C$92:$C$101,0),MATCH(I$162,$C$92:$M$92,0))*I159</f>
        <v>11.83261978</v>
      </c>
      <c r="J169" s="500"/>
      <c r="K169" s="772">
        <f t="shared" si="264"/>
        <v>8.005713829</v>
      </c>
      <c r="L169" s="807">
        <f t="shared" ref="L169:M169" si="265">INDEX($C$92:$M$101,MATCH($A169,$C$92:$C$101,0),MATCH(L$162,$C$92:$M$92,0))*L159</f>
        <v>4.12473368</v>
      </c>
      <c r="M169" s="807">
        <f t="shared" si="265"/>
        <v>3.135106262</v>
      </c>
      <c r="N169" s="500"/>
      <c r="O169" s="500"/>
      <c r="P169" s="500"/>
      <c r="Q169" s="500"/>
      <c r="R169" s="500"/>
      <c r="S169" s="500"/>
      <c r="T169" s="500"/>
      <c r="U169" s="500"/>
      <c r="V169" s="500"/>
      <c r="W169" s="500"/>
      <c r="X169" s="500"/>
      <c r="Y169" s="500"/>
      <c r="Z169" s="501"/>
      <c r="AA169" s="501"/>
      <c r="AB169" s="501"/>
      <c r="AC169" s="501"/>
      <c r="AD169" s="500"/>
      <c r="AE169" s="502"/>
      <c r="AF169" s="503"/>
      <c r="AG169" s="503"/>
      <c r="AH169" s="504"/>
      <c r="AI169" s="500"/>
      <c r="AJ169" s="500"/>
      <c r="AK169" s="500"/>
      <c r="AL169" s="500"/>
      <c r="AM169" s="500"/>
      <c r="AN169" s="500"/>
      <c r="AO169" s="500"/>
      <c r="AP169" s="500"/>
      <c r="AQ169" s="500"/>
      <c r="AR169" s="500"/>
      <c r="AS169" s="500"/>
      <c r="AT169" s="500"/>
      <c r="AU169" s="500"/>
      <c r="AV169" s="500"/>
      <c r="AW169" s="500"/>
      <c r="AX169" s="500"/>
      <c r="AY169" s="500"/>
      <c r="AZ169" s="500"/>
      <c r="BA169" s="500"/>
      <c r="BB169" s="500"/>
      <c r="BC169" s="500"/>
      <c r="BD169" s="500"/>
      <c r="BE169" s="500"/>
      <c r="BF169" s="500"/>
      <c r="BG169" s="500"/>
      <c r="BH169" s="500"/>
      <c r="BI169" s="500"/>
      <c r="BJ169" s="500"/>
      <c r="BK169" s="500"/>
      <c r="BL169" s="500"/>
      <c r="BM169" s="500"/>
      <c r="BN169" s="500"/>
      <c r="BO169" s="500"/>
      <c r="BP169" s="500"/>
      <c r="BQ169" s="500"/>
      <c r="BR169" s="500"/>
      <c r="BS169" s="500"/>
      <c r="BT169" s="500"/>
      <c r="BU169" s="500"/>
      <c r="BV169" s="500"/>
    </row>
    <row r="170" ht="14.25" customHeight="1">
      <c r="A170" s="8"/>
      <c r="B170" s="500"/>
      <c r="C170" s="500"/>
      <c r="D170" s="500"/>
      <c r="E170" s="500"/>
      <c r="F170" s="500"/>
      <c r="G170" s="500"/>
      <c r="H170" s="500"/>
      <c r="I170" s="500"/>
      <c r="J170" s="500"/>
      <c r="K170" s="500"/>
      <c r="L170" s="500"/>
      <c r="M170" s="500"/>
      <c r="N170" s="500"/>
      <c r="O170" s="500"/>
      <c r="P170" s="500"/>
      <c r="Q170" s="500"/>
      <c r="R170" s="500"/>
      <c r="S170" s="500"/>
      <c r="T170" s="500"/>
      <c r="U170" s="500"/>
      <c r="V170" s="500"/>
      <c r="W170" s="500"/>
      <c r="X170" s="500"/>
      <c r="Y170" s="500"/>
      <c r="Z170" s="501"/>
      <c r="AA170" s="501"/>
      <c r="AB170" s="501"/>
      <c r="AC170" s="501"/>
      <c r="AD170" s="500"/>
      <c r="AE170" s="502"/>
      <c r="AF170" s="503"/>
      <c r="AG170" s="503"/>
      <c r="AH170" s="504"/>
      <c r="AI170" s="500"/>
      <c r="AJ170" s="500"/>
      <c r="AK170" s="500"/>
      <c r="AL170" s="500"/>
      <c r="AM170" s="500"/>
      <c r="AN170" s="500"/>
      <c r="AO170" s="500"/>
      <c r="AP170" s="500"/>
      <c r="AQ170" s="500"/>
      <c r="AR170" s="500"/>
      <c r="AS170" s="500"/>
      <c r="AT170" s="500"/>
      <c r="AU170" s="500"/>
      <c r="AV170" s="500"/>
      <c r="AW170" s="500"/>
      <c r="AX170" s="500"/>
      <c r="AY170" s="500"/>
      <c r="AZ170" s="500"/>
      <c r="BA170" s="500"/>
      <c r="BB170" s="500"/>
      <c r="BC170" s="500"/>
      <c r="BD170" s="500"/>
      <c r="BE170" s="500"/>
      <c r="BF170" s="500"/>
      <c r="BG170" s="500"/>
      <c r="BH170" s="500"/>
      <c r="BI170" s="500"/>
      <c r="BJ170" s="500"/>
      <c r="BK170" s="500"/>
      <c r="BL170" s="500"/>
      <c r="BM170" s="500"/>
      <c r="BN170" s="500"/>
      <c r="BO170" s="500"/>
      <c r="BP170" s="500"/>
      <c r="BQ170" s="500"/>
      <c r="BR170" s="500"/>
      <c r="BS170" s="500"/>
      <c r="BT170" s="500"/>
      <c r="BU170" s="500"/>
      <c r="BV170" s="500"/>
    </row>
    <row r="171" ht="14.25" customHeight="1">
      <c r="A171" s="8"/>
      <c r="B171" s="500"/>
      <c r="C171" s="500"/>
      <c r="D171" s="500"/>
      <c r="E171" s="500"/>
      <c r="F171" s="500"/>
      <c r="G171" s="500"/>
      <c r="H171" s="500"/>
      <c r="I171" s="500"/>
      <c r="J171" s="500"/>
      <c r="K171" s="500"/>
      <c r="L171" s="500"/>
      <c r="M171" s="500"/>
      <c r="N171" s="500"/>
      <c r="O171" s="500"/>
      <c r="P171" s="500"/>
      <c r="Q171" s="500"/>
      <c r="R171" s="500"/>
      <c r="S171" s="500"/>
      <c r="T171" s="500"/>
      <c r="U171" s="500"/>
      <c r="V171" s="500"/>
      <c r="W171" s="500"/>
      <c r="X171" s="500"/>
      <c r="Y171" s="500"/>
      <c r="Z171" s="501"/>
      <c r="AA171" s="501"/>
      <c r="AB171" s="501"/>
      <c r="AC171" s="501"/>
      <c r="AD171" s="500"/>
      <c r="AE171" s="502"/>
      <c r="AF171" s="503"/>
      <c r="AG171" s="503"/>
      <c r="AH171" s="504"/>
      <c r="AI171" s="500"/>
      <c r="AJ171" s="500"/>
      <c r="AK171" s="500"/>
      <c r="AL171" s="500"/>
      <c r="AM171" s="500"/>
      <c r="AN171" s="500"/>
      <c r="AO171" s="500"/>
      <c r="AP171" s="500"/>
      <c r="AQ171" s="500"/>
      <c r="AR171" s="500"/>
      <c r="AS171" s="500"/>
      <c r="AT171" s="500"/>
      <c r="AU171" s="500"/>
      <c r="AV171" s="500"/>
      <c r="AW171" s="500"/>
      <c r="AX171" s="500"/>
      <c r="AY171" s="500"/>
      <c r="AZ171" s="500"/>
      <c r="BA171" s="500"/>
      <c r="BB171" s="500"/>
      <c r="BC171" s="500"/>
      <c r="BD171" s="500"/>
      <c r="BE171" s="500"/>
      <c r="BF171" s="500"/>
      <c r="BG171" s="500"/>
      <c r="BH171" s="500"/>
      <c r="BI171" s="500"/>
      <c r="BJ171" s="500"/>
      <c r="BK171" s="500"/>
      <c r="BL171" s="500"/>
      <c r="BM171" s="500"/>
      <c r="BN171" s="500"/>
      <c r="BO171" s="500"/>
      <c r="BP171" s="500"/>
      <c r="BQ171" s="500"/>
      <c r="BR171" s="500"/>
      <c r="BS171" s="500"/>
      <c r="BT171" s="500"/>
      <c r="BU171" s="500"/>
      <c r="BV171" s="500"/>
    </row>
    <row r="172" ht="14.25" customHeight="1">
      <c r="A172" s="8"/>
      <c r="B172" s="500"/>
      <c r="C172" s="500"/>
      <c r="D172" s="500"/>
      <c r="E172" s="500"/>
      <c r="F172" s="500"/>
      <c r="G172" s="500"/>
      <c r="H172" s="500"/>
      <c r="I172" s="500"/>
      <c r="J172" s="500"/>
      <c r="K172" s="500"/>
      <c r="L172" s="500"/>
      <c r="M172" s="500"/>
      <c r="N172" s="500"/>
      <c r="O172" s="500"/>
      <c r="P172" s="500"/>
      <c r="Q172" s="500"/>
      <c r="R172" s="500"/>
      <c r="S172" s="500"/>
      <c r="T172" s="500"/>
      <c r="U172" s="500"/>
      <c r="V172" s="500"/>
      <c r="W172" s="500"/>
      <c r="X172" s="500"/>
      <c r="Y172" s="500"/>
      <c r="Z172" s="501"/>
      <c r="AA172" s="501"/>
      <c r="AB172" s="501"/>
      <c r="AC172" s="501"/>
      <c r="AD172" s="500"/>
      <c r="AE172" s="502"/>
      <c r="AF172" s="503"/>
      <c r="AG172" s="503"/>
      <c r="AH172" s="504"/>
      <c r="AI172" s="500"/>
      <c r="AJ172" s="500"/>
      <c r="AK172" s="500"/>
      <c r="AL172" s="500"/>
      <c r="AM172" s="500"/>
      <c r="AN172" s="500"/>
      <c r="AO172" s="500"/>
      <c r="AP172" s="500"/>
      <c r="AQ172" s="500"/>
      <c r="AR172" s="500"/>
      <c r="AS172" s="500"/>
      <c r="AT172" s="500"/>
      <c r="AU172" s="500"/>
      <c r="AV172" s="500"/>
      <c r="AW172" s="500"/>
      <c r="AX172" s="500"/>
      <c r="AY172" s="500"/>
      <c r="AZ172" s="500"/>
      <c r="BA172" s="500"/>
      <c r="BB172" s="500"/>
      <c r="BC172" s="500"/>
      <c r="BD172" s="500"/>
      <c r="BE172" s="500"/>
      <c r="BF172" s="500"/>
      <c r="BG172" s="500"/>
      <c r="BH172" s="500"/>
      <c r="BI172" s="500"/>
      <c r="BJ172" s="500"/>
      <c r="BK172" s="500"/>
      <c r="BL172" s="500"/>
      <c r="BM172" s="500"/>
      <c r="BN172" s="500"/>
      <c r="BO172" s="500"/>
      <c r="BP172" s="500"/>
      <c r="BQ172" s="500"/>
      <c r="BR172" s="500"/>
      <c r="BS172" s="500"/>
      <c r="BT172" s="500"/>
      <c r="BU172" s="500"/>
      <c r="BV172" s="500"/>
    </row>
    <row r="173" ht="14.25" customHeight="1">
      <c r="A173" s="8"/>
      <c r="B173" s="500"/>
      <c r="C173" s="500"/>
      <c r="D173" s="500"/>
      <c r="E173" s="500"/>
      <c r="F173" s="500"/>
      <c r="G173" s="500"/>
      <c r="H173" s="500"/>
      <c r="I173" s="500"/>
      <c r="J173" s="500"/>
      <c r="K173" s="500"/>
      <c r="L173" s="500"/>
      <c r="M173" s="500"/>
      <c r="N173" s="500"/>
      <c r="O173" s="500"/>
      <c r="P173" s="500"/>
      <c r="Q173" s="500"/>
      <c r="R173" s="500"/>
      <c r="S173" s="500"/>
      <c r="T173" s="500"/>
      <c r="U173" s="500"/>
      <c r="V173" s="500"/>
      <c r="W173" s="500"/>
      <c r="X173" s="500"/>
      <c r="Y173" s="500"/>
      <c r="Z173" s="501"/>
      <c r="AA173" s="501"/>
      <c r="AB173" s="501"/>
      <c r="AC173" s="501"/>
      <c r="AD173" s="500"/>
      <c r="AE173" s="502"/>
      <c r="AF173" s="503"/>
      <c r="AG173" s="503"/>
      <c r="AH173" s="504"/>
      <c r="AI173" s="500"/>
      <c r="AJ173" s="500"/>
      <c r="AK173" s="500"/>
      <c r="AL173" s="500"/>
      <c r="AM173" s="500"/>
      <c r="AN173" s="500"/>
      <c r="AO173" s="500"/>
      <c r="AP173" s="500"/>
      <c r="AQ173" s="500"/>
      <c r="AR173" s="500"/>
      <c r="AS173" s="500"/>
      <c r="AT173" s="500"/>
      <c r="AU173" s="500"/>
      <c r="AV173" s="500"/>
      <c r="AW173" s="500"/>
      <c r="AX173" s="500"/>
      <c r="AY173" s="500"/>
      <c r="AZ173" s="500"/>
      <c r="BA173" s="500"/>
      <c r="BB173" s="500"/>
      <c r="BC173" s="500"/>
      <c r="BD173" s="500"/>
      <c r="BE173" s="500"/>
      <c r="BF173" s="500"/>
      <c r="BG173" s="500"/>
      <c r="BH173" s="500"/>
      <c r="BI173" s="500"/>
      <c r="BJ173" s="500"/>
      <c r="BK173" s="500"/>
      <c r="BL173" s="500"/>
      <c r="BM173" s="500"/>
      <c r="BN173" s="500"/>
      <c r="BO173" s="500"/>
      <c r="BP173" s="500"/>
      <c r="BQ173" s="500"/>
      <c r="BR173" s="500"/>
      <c r="BS173" s="500"/>
      <c r="BT173" s="500"/>
      <c r="BU173" s="500"/>
      <c r="BV173" s="500"/>
    </row>
    <row r="174" ht="14.25" customHeight="1">
      <c r="A174" s="8"/>
      <c r="B174" s="500"/>
      <c r="C174" s="500"/>
      <c r="D174" s="500"/>
      <c r="E174" s="500"/>
      <c r="F174" s="500"/>
      <c r="G174" s="500"/>
      <c r="H174" s="500"/>
      <c r="I174" s="500"/>
      <c r="J174" s="500"/>
      <c r="K174" s="500"/>
      <c r="L174" s="500"/>
      <c r="M174" s="500"/>
      <c r="N174" s="500"/>
      <c r="O174" s="500"/>
      <c r="P174" s="500"/>
      <c r="Q174" s="500"/>
      <c r="R174" s="500"/>
      <c r="S174" s="500"/>
      <c r="T174" s="500"/>
      <c r="U174" s="500"/>
      <c r="V174" s="500"/>
      <c r="W174" s="500"/>
      <c r="X174" s="500"/>
      <c r="Y174" s="500"/>
      <c r="Z174" s="501"/>
      <c r="AA174" s="501"/>
      <c r="AB174" s="501"/>
      <c r="AC174" s="501"/>
      <c r="AD174" s="500"/>
      <c r="AE174" s="502"/>
      <c r="AF174" s="503"/>
      <c r="AG174" s="503"/>
      <c r="AH174" s="504"/>
      <c r="AI174" s="500"/>
      <c r="AJ174" s="500"/>
      <c r="AK174" s="500"/>
      <c r="AL174" s="500"/>
      <c r="AM174" s="500"/>
      <c r="AN174" s="500"/>
      <c r="AO174" s="500"/>
      <c r="AP174" s="500"/>
      <c r="AQ174" s="500"/>
      <c r="AR174" s="500"/>
      <c r="AS174" s="500"/>
      <c r="AT174" s="500"/>
      <c r="AU174" s="500"/>
      <c r="AV174" s="500"/>
      <c r="AW174" s="500"/>
      <c r="AX174" s="500"/>
      <c r="AY174" s="500"/>
      <c r="AZ174" s="500"/>
      <c r="BA174" s="500"/>
      <c r="BB174" s="500"/>
      <c r="BC174" s="500"/>
      <c r="BD174" s="500"/>
      <c r="BE174" s="500"/>
      <c r="BF174" s="500"/>
      <c r="BG174" s="500"/>
      <c r="BH174" s="500"/>
      <c r="BI174" s="500"/>
      <c r="BJ174" s="500"/>
      <c r="BK174" s="500"/>
      <c r="BL174" s="500"/>
      <c r="BM174" s="500"/>
      <c r="BN174" s="500"/>
      <c r="BO174" s="500"/>
      <c r="BP174" s="500"/>
      <c r="BQ174" s="500"/>
      <c r="BR174" s="500"/>
      <c r="BS174" s="500"/>
      <c r="BT174" s="500"/>
      <c r="BU174" s="500"/>
      <c r="BV174" s="500"/>
    </row>
    <row r="175" ht="14.25" customHeight="1">
      <c r="A175" s="8"/>
      <c r="B175" s="500"/>
      <c r="C175" s="500"/>
      <c r="D175" s="500"/>
      <c r="E175" s="500"/>
      <c r="F175" s="500"/>
      <c r="G175" s="500"/>
      <c r="H175" s="500"/>
      <c r="I175" s="500"/>
      <c r="J175" s="500"/>
      <c r="K175" s="500"/>
      <c r="L175" s="500"/>
      <c r="M175" s="500"/>
      <c r="N175" s="500"/>
      <c r="O175" s="500"/>
      <c r="P175" s="500"/>
      <c r="Q175" s="500"/>
      <c r="R175" s="500"/>
      <c r="S175" s="500"/>
      <c r="T175" s="500"/>
      <c r="U175" s="500"/>
      <c r="V175" s="500"/>
      <c r="W175" s="500"/>
      <c r="X175" s="500"/>
      <c r="Y175" s="500"/>
      <c r="Z175" s="501"/>
      <c r="AA175" s="501"/>
      <c r="AB175" s="501"/>
      <c r="AC175" s="501"/>
      <c r="AD175" s="500"/>
      <c r="AE175" s="502"/>
      <c r="AF175" s="503"/>
      <c r="AG175" s="503"/>
      <c r="AH175" s="504"/>
      <c r="AI175" s="500"/>
      <c r="AJ175" s="500"/>
      <c r="AK175" s="500"/>
      <c r="AL175" s="500"/>
      <c r="AM175" s="500"/>
      <c r="AN175" s="500"/>
      <c r="AO175" s="500"/>
      <c r="AP175" s="500"/>
      <c r="AQ175" s="500"/>
      <c r="AR175" s="500"/>
      <c r="AS175" s="500"/>
      <c r="AT175" s="500"/>
      <c r="AU175" s="500"/>
      <c r="AV175" s="500"/>
      <c r="AW175" s="500"/>
      <c r="AX175" s="500"/>
      <c r="AY175" s="500"/>
      <c r="AZ175" s="500"/>
      <c r="BA175" s="500"/>
      <c r="BB175" s="500"/>
      <c r="BC175" s="500"/>
      <c r="BD175" s="500"/>
      <c r="BE175" s="500"/>
      <c r="BF175" s="500"/>
      <c r="BG175" s="500"/>
      <c r="BH175" s="500"/>
      <c r="BI175" s="500"/>
      <c r="BJ175" s="500"/>
      <c r="BK175" s="500"/>
      <c r="BL175" s="500"/>
      <c r="BM175" s="500"/>
      <c r="BN175" s="500"/>
      <c r="BO175" s="500"/>
      <c r="BP175" s="500"/>
      <c r="BQ175" s="500"/>
      <c r="BR175" s="500"/>
      <c r="BS175" s="500"/>
      <c r="BT175" s="500"/>
      <c r="BU175" s="500"/>
      <c r="BV175" s="500"/>
    </row>
    <row r="176" ht="14.25" customHeight="1">
      <c r="A176" s="8"/>
      <c r="B176" s="500"/>
      <c r="C176" s="500"/>
      <c r="D176" s="500"/>
      <c r="E176" s="500"/>
      <c r="F176" s="500"/>
      <c r="G176" s="500"/>
      <c r="H176" s="500"/>
      <c r="I176" s="500"/>
      <c r="J176" s="500"/>
      <c r="K176" s="500"/>
      <c r="L176" s="500"/>
      <c r="M176" s="500"/>
      <c r="N176" s="500"/>
      <c r="O176" s="500"/>
      <c r="P176" s="500"/>
      <c r="Q176" s="500"/>
      <c r="R176" s="500"/>
      <c r="S176" s="500"/>
      <c r="T176" s="500"/>
      <c r="U176" s="500"/>
      <c r="V176" s="500"/>
      <c r="W176" s="500"/>
      <c r="X176" s="500"/>
      <c r="Y176" s="500"/>
      <c r="Z176" s="501"/>
      <c r="AA176" s="501"/>
      <c r="AB176" s="501"/>
      <c r="AC176" s="501"/>
      <c r="AD176" s="500"/>
      <c r="AE176" s="502"/>
      <c r="AF176" s="503"/>
      <c r="AG176" s="503"/>
      <c r="AH176" s="504"/>
      <c r="AI176" s="500"/>
      <c r="AJ176" s="500"/>
      <c r="AK176" s="500"/>
      <c r="AL176" s="500"/>
      <c r="AM176" s="500"/>
      <c r="AN176" s="500"/>
      <c r="AO176" s="500"/>
      <c r="AP176" s="500"/>
      <c r="AQ176" s="500"/>
      <c r="AR176" s="500"/>
      <c r="AS176" s="500"/>
      <c r="AT176" s="500"/>
      <c r="AU176" s="500"/>
      <c r="AV176" s="500"/>
      <c r="AW176" s="500"/>
      <c r="AX176" s="500"/>
      <c r="AY176" s="500"/>
      <c r="AZ176" s="500"/>
      <c r="BA176" s="500"/>
      <c r="BB176" s="500"/>
      <c r="BC176" s="500"/>
      <c r="BD176" s="500"/>
      <c r="BE176" s="500"/>
      <c r="BF176" s="500"/>
      <c r="BG176" s="500"/>
      <c r="BH176" s="500"/>
      <c r="BI176" s="500"/>
      <c r="BJ176" s="500"/>
      <c r="BK176" s="500"/>
      <c r="BL176" s="500"/>
      <c r="BM176" s="500"/>
      <c r="BN176" s="500"/>
      <c r="BO176" s="500"/>
      <c r="BP176" s="500"/>
      <c r="BQ176" s="500"/>
      <c r="BR176" s="500"/>
      <c r="BS176" s="500"/>
      <c r="BT176" s="500"/>
      <c r="BU176" s="500"/>
      <c r="BV176" s="500"/>
    </row>
    <row r="177" ht="14.25" customHeight="1">
      <c r="A177" s="8"/>
      <c r="B177" s="500"/>
      <c r="C177" s="500"/>
      <c r="D177" s="500"/>
      <c r="E177" s="500"/>
      <c r="F177" s="500"/>
      <c r="G177" s="500"/>
      <c r="H177" s="500"/>
      <c r="I177" s="500"/>
      <c r="J177" s="500"/>
      <c r="K177" s="500"/>
      <c r="L177" s="500"/>
      <c r="M177" s="500"/>
      <c r="N177" s="500"/>
      <c r="O177" s="500"/>
      <c r="P177" s="500"/>
      <c r="Q177" s="500"/>
      <c r="R177" s="500"/>
      <c r="S177" s="500"/>
      <c r="T177" s="500"/>
      <c r="U177" s="500"/>
      <c r="V177" s="500"/>
      <c r="W177" s="500"/>
      <c r="X177" s="500"/>
      <c r="Y177" s="500"/>
      <c r="Z177" s="501"/>
      <c r="AA177" s="501"/>
      <c r="AB177" s="501"/>
      <c r="AC177" s="501"/>
      <c r="AD177" s="500"/>
      <c r="AE177" s="502"/>
      <c r="AF177" s="503"/>
      <c r="AG177" s="503"/>
      <c r="AH177" s="504"/>
      <c r="AI177" s="500"/>
      <c r="AJ177" s="500"/>
      <c r="AK177" s="500"/>
      <c r="AL177" s="500"/>
      <c r="AM177" s="500"/>
      <c r="AN177" s="500"/>
      <c r="AO177" s="500"/>
      <c r="AP177" s="500"/>
      <c r="AQ177" s="500"/>
      <c r="AR177" s="500"/>
      <c r="AS177" s="500"/>
      <c r="AT177" s="500"/>
      <c r="AU177" s="500"/>
      <c r="AV177" s="500"/>
      <c r="AW177" s="500"/>
      <c r="AX177" s="500"/>
      <c r="AY177" s="500"/>
      <c r="AZ177" s="500"/>
      <c r="BA177" s="500"/>
      <c r="BB177" s="500"/>
      <c r="BC177" s="500"/>
      <c r="BD177" s="500"/>
      <c r="BE177" s="500"/>
      <c r="BF177" s="500"/>
      <c r="BG177" s="500"/>
      <c r="BH177" s="500"/>
      <c r="BI177" s="500"/>
      <c r="BJ177" s="500"/>
      <c r="BK177" s="500"/>
      <c r="BL177" s="500"/>
      <c r="BM177" s="500"/>
      <c r="BN177" s="500"/>
      <c r="BO177" s="500"/>
      <c r="BP177" s="500"/>
      <c r="BQ177" s="500"/>
      <c r="BR177" s="500"/>
      <c r="BS177" s="500"/>
      <c r="BT177" s="500"/>
      <c r="BU177" s="500"/>
      <c r="BV177" s="500"/>
    </row>
    <row r="178" ht="14.25" customHeight="1">
      <c r="A178" s="8"/>
      <c r="B178" s="500"/>
      <c r="C178" s="500"/>
      <c r="D178" s="500"/>
      <c r="E178" s="500"/>
      <c r="F178" s="500"/>
      <c r="G178" s="500"/>
      <c r="H178" s="500"/>
      <c r="I178" s="500"/>
      <c r="J178" s="500"/>
      <c r="K178" s="500"/>
      <c r="L178" s="500"/>
      <c r="M178" s="500"/>
      <c r="N178" s="500"/>
      <c r="O178" s="500"/>
      <c r="P178" s="500"/>
      <c r="Q178" s="500"/>
      <c r="R178" s="500"/>
      <c r="S178" s="500"/>
      <c r="T178" s="500"/>
      <c r="U178" s="500"/>
      <c r="V178" s="500"/>
      <c r="W178" s="500"/>
      <c r="X178" s="500"/>
      <c r="Y178" s="500"/>
      <c r="Z178" s="501"/>
      <c r="AA178" s="501"/>
      <c r="AB178" s="501"/>
      <c r="AC178" s="501"/>
      <c r="AD178" s="500"/>
      <c r="AE178" s="502"/>
      <c r="AF178" s="503"/>
      <c r="AG178" s="503"/>
      <c r="AH178" s="504"/>
      <c r="AI178" s="500"/>
      <c r="AJ178" s="500"/>
      <c r="AK178" s="500"/>
      <c r="AL178" s="500"/>
      <c r="AM178" s="500"/>
      <c r="AN178" s="500"/>
      <c r="AO178" s="500"/>
      <c r="AP178" s="500"/>
      <c r="AQ178" s="500"/>
      <c r="AR178" s="500"/>
      <c r="AS178" s="500"/>
      <c r="AT178" s="500"/>
      <c r="AU178" s="500"/>
      <c r="AV178" s="500"/>
      <c r="AW178" s="500"/>
      <c r="AX178" s="500"/>
      <c r="AY178" s="500"/>
      <c r="AZ178" s="500"/>
      <c r="BA178" s="500"/>
      <c r="BB178" s="500"/>
      <c r="BC178" s="500"/>
      <c r="BD178" s="500"/>
      <c r="BE178" s="500"/>
      <c r="BF178" s="500"/>
      <c r="BG178" s="500"/>
      <c r="BH178" s="500"/>
      <c r="BI178" s="500"/>
      <c r="BJ178" s="500"/>
      <c r="BK178" s="500"/>
      <c r="BL178" s="500"/>
      <c r="BM178" s="500"/>
      <c r="BN178" s="500"/>
      <c r="BO178" s="500"/>
      <c r="BP178" s="500"/>
      <c r="BQ178" s="500"/>
      <c r="BR178" s="500"/>
      <c r="BS178" s="500"/>
      <c r="BT178" s="500"/>
      <c r="BU178" s="500"/>
      <c r="BV178" s="500"/>
    </row>
    <row r="179" ht="14.25" customHeight="1">
      <c r="A179" s="8"/>
      <c r="B179" s="500"/>
      <c r="C179" s="500"/>
      <c r="D179" s="500"/>
      <c r="E179" s="500"/>
      <c r="F179" s="500"/>
      <c r="G179" s="500"/>
      <c r="H179" s="500"/>
      <c r="I179" s="500"/>
      <c r="J179" s="500"/>
      <c r="K179" s="500"/>
      <c r="L179" s="500"/>
      <c r="M179" s="500"/>
      <c r="N179" s="500"/>
      <c r="O179" s="500"/>
      <c r="P179" s="500"/>
      <c r="Q179" s="500"/>
      <c r="R179" s="500"/>
      <c r="S179" s="500"/>
      <c r="T179" s="500"/>
      <c r="U179" s="500"/>
      <c r="V179" s="500"/>
      <c r="W179" s="500"/>
      <c r="X179" s="500"/>
      <c r="Y179" s="500"/>
      <c r="Z179" s="501"/>
      <c r="AA179" s="501"/>
      <c r="AB179" s="501"/>
      <c r="AC179" s="501"/>
      <c r="AD179" s="500"/>
      <c r="AE179" s="502"/>
      <c r="AF179" s="503"/>
      <c r="AG179" s="503"/>
      <c r="AH179" s="504"/>
      <c r="AI179" s="500"/>
      <c r="AJ179" s="500"/>
      <c r="AK179" s="500"/>
      <c r="AL179" s="500"/>
      <c r="AM179" s="500"/>
      <c r="AN179" s="500"/>
      <c r="AO179" s="500"/>
      <c r="AP179" s="500"/>
      <c r="AQ179" s="500"/>
      <c r="AR179" s="500"/>
      <c r="AS179" s="500"/>
      <c r="AT179" s="500"/>
      <c r="AU179" s="500"/>
      <c r="AV179" s="500"/>
      <c r="AW179" s="500"/>
      <c r="AX179" s="500"/>
      <c r="AY179" s="500"/>
      <c r="AZ179" s="500"/>
      <c r="BA179" s="500"/>
      <c r="BB179" s="500"/>
      <c r="BC179" s="500"/>
      <c r="BD179" s="500"/>
      <c r="BE179" s="500"/>
      <c r="BF179" s="500"/>
      <c r="BG179" s="500"/>
      <c r="BH179" s="500"/>
      <c r="BI179" s="500"/>
      <c r="BJ179" s="500"/>
      <c r="BK179" s="500"/>
      <c r="BL179" s="500"/>
      <c r="BM179" s="500"/>
      <c r="BN179" s="500"/>
      <c r="BO179" s="500"/>
      <c r="BP179" s="500"/>
      <c r="BQ179" s="500"/>
      <c r="BR179" s="500"/>
      <c r="BS179" s="500"/>
      <c r="BT179" s="500"/>
      <c r="BU179" s="500"/>
      <c r="BV179" s="500"/>
    </row>
    <row r="180" ht="14.25" customHeight="1">
      <c r="A180" s="8"/>
      <c r="B180" s="500"/>
      <c r="C180" s="500"/>
      <c r="D180" s="500"/>
      <c r="E180" s="500"/>
      <c r="F180" s="500"/>
      <c r="G180" s="500"/>
      <c r="H180" s="500"/>
      <c r="I180" s="500"/>
      <c r="J180" s="500"/>
      <c r="K180" s="500"/>
      <c r="L180" s="500"/>
      <c r="M180" s="500"/>
      <c r="N180" s="500"/>
      <c r="O180" s="500"/>
      <c r="P180" s="500"/>
      <c r="Q180" s="500"/>
      <c r="R180" s="500"/>
      <c r="S180" s="500"/>
      <c r="T180" s="500"/>
      <c r="U180" s="500"/>
      <c r="V180" s="500"/>
      <c r="W180" s="500"/>
      <c r="X180" s="500"/>
      <c r="Y180" s="500"/>
      <c r="Z180" s="501"/>
      <c r="AA180" s="501"/>
      <c r="AB180" s="501"/>
      <c r="AC180" s="501"/>
      <c r="AD180" s="500"/>
      <c r="AE180" s="502"/>
      <c r="AF180" s="503"/>
      <c r="AG180" s="503"/>
      <c r="AH180" s="504"/>
      <c r="AI180" s="500"/>
      <c r="AJ180" s="500"/>
      <c r="AK180" s="500"/>
      <c r="AL180" s="500"/>
      <c r="AM180" s="500"/>
      <c r="AN180" s="500"/>
      <c r="AO180" s="500"/>
      <c r="AP180" s="500"/>
      <c r="AQ180" s="500"/>
      <c r="AR180" s="500"/>
      <c r="AS180" s="500"/>
      <c r="AT180" s="500"/>
      <c r="AU180" s="500"/>
      <c r="AV180" s="500"/>
      <c r="AW180" s="500"/>
      <c r="AX180" s="500"/>
      <c r="AY180" s="500"/>
      <c r="AZ180" s="500"/>
      <c r="BA180" s="500"/>
      <c r="BB180" s="500"/>
      <c r="BC180" s="500"/>
      <c r="BD180" s="500"/>
      <c r="BE180" s="500"/>
      <c r="BF180" s="500"/>
      <c r="BG180" s="500"/>
      <c r="BH180" s="500"/>
      <c r="BI180" s="500"/>
      <c r="BJ180" s="500"/>
      <c r="BK180" s="500"/>
      <c r="BL180" s="500"/>
      <c r="BM180" s="500"/>
      <c r="BN180" s="500"/>
      <c r="BO180" s="500"/>
      <c r="BP180" s="500"/>
      <c r="BQ180" s="500"/>
      <c r="BR180" s="500"/>
      <c r="BS180" s="500"/>
      <c r="BT180" s="500"/>
      <c r="BU180" s="500"/>
      <c r="BV180" s="500"/>
    </row>
    <row r="181" ht="14.25" customHeight="1">
      <c r="A181" s="8"/>
      <c r="B181" s="500"/>
      <c r="C181" s="500"/>
      <c r="D181" s="500"/>
      <c r="E181" s="500"/>
      <c r="F181" s="500"/>
      <c r="G181" s="500"/>
      <c r="H181" s="500"/>
      <c r="I181" s="500"/>
      <c r="J181" s="500"/>
      <c r="K181" s="500"/>
      <c r="L181" s="500"/>
      <c r="M181" s="500"/>
      <c r="N181" s="500"/>
      <c r="O181" s="500"/>
      <c r="P181" s="500"/>
      <c r="Q181" s="500"/>
      <c r="R181" s="500"/>
      <c r="S181" s="500"/>
      <c r="T181" s="500"/>
      <c r="U181" s="500"/>
      <c r="V181" s="500"/>
      <c r="W181" s="500"/>
      <c r="X181" s="500"/>
      <c r="Y181" s="500"/>
      <c r="Z181" s="501"/>
      <c r="AA181" s="501"/>
      <c r="AB181" s="501"/>
      <c r="AC181" s="501"/>
      <c r="AD181" s="500"/>
      <c r="AE181" s="502"/>
      <c r="AF181" s="503"/>
      <c r="AG181" s="503"/>
      <c r="AH181" s="504"/>
      <c r="AI181" s="500"/>
      <c r="AJ181" s="500"/>
      <c r="AK181" s="500"/>
      <c r="AL181" s="500"/>
      <c r="AM181" s="500"/>
      <c r="AN181" s="500"/>
      <c r="AO181" s="500"/>
      <c r="AP181" s="500"/>
      <c r="AQ181" s="500"/>
      <c r="AR181" s="500"/>
      <c r="AS181" s="500"/>
      <c r="AT181" s="500"/>
      <c r="AU181" s="500"/>
      <c r="AV181" s="500"/>
      <c r="AW181" s="500"/>
      <c r="AX181" s="500"/>
      <c r="AY181" s="500"/>
      <c r="AZ181" s="500"/>
      <c r="BA181" s="500"/>
      <c r="BB181" s="500"/>
      <c r="BC181" s="500"/>
      <c r="BD181" s="500"/>
      <c r="BE181" s="500"/>
      <c r="BF181" s="500"/>
      <c r="BG181" s="500"/>
      <c r="BH181" s="500"/>
      <c r="BI181" s="500"/>
      <c r="BJ181" s="500"/>
      <c r="BK181" s="500"/>
      <c r="BL181" s="500"/>
      <c r="BM181" s="500"/>
      <c r="BN181" s="500"/>
      <c r="BO181" s="500"/>
      <c r="BP181" s="500"/>
      <c r="BQ181" s="500"/>
      <c r="BR181" s="500"/>
      <c r="BS181" s="500"/>
      <c r="BT181" s="500"/>
      <c r="BU181" s="500"/>
      <c r="BV181" s="500"/>
    </row>
    <row r="182" ht="14.25" customHeight="1">
      <c r="A182" s="8"/>
      <c r="B182" s="500"/>
      <c r="C182" s="500"/>
      <c r="D182" s="500"/>
      <c r="E182" s="500"/>
      <c r="F182" s="500"/>
      <c r="G182" s="500"/>
      <c r="H182" s="500"/>
      <c r="I182" s="500"/>
      <c r="J182" s="500"/>
      <c r="K182" s="500"/>
      <c r="L182" s="500"/>
      <c r="M182" s="500"/>
      <c r="N182" s="500"/>
      <c r="O182" s="500"/>
      <c r="P182" s="500"/>
      <c r="Q182" s="500"/>
      <c r="R182" s="500"/>
      <c r="S182" s="500"/>
      <c r="T182" s="500"/>
      <c r="U182" s="500"/>
      <c r="V182" s="500"/>
      <c r="W182" s="500"/>
      <c r="X182" s="500"/>
      <c r="Y182" s="500"/>
      <c r="Z182" s="501"/>
      <c r="AA182" s="501"/>
      <c r="AB182" s="501"/>
      <c r="AC182" s="501"/>
      <c r="AD182" s="500"/>
      <c r="AE182" s="502"/>
      <c r="AF182" s="503"/>
      <c r="AG182" s="503"/>
      <c r="AH182" s="504"/>
      <c r="AI182" s="500"/>
      <c r="AJ182" s="500"/>
      <c r="AK182" s="500"/>
      <c r="AL182" s="500"/>
      <c r="AM182" s="500"/>
      <c r="AN182" s="500"/>
      <c r="AO182" s="500"/>
      <c r="AP182" s="500"/>
      <c r="AQ182" s="500"/>
      <c r="AR182" s="500"/>
      <c r="AS182" s="500"/>
      <c r="AT182" s="500"/>
      <c r="AU182" s="500"/>
      <c r="AV182" s="500"/>
      <c r="AW182" s="500"/>
      <c r="AX182" s="500"/>
      <c r="AY182" s="500"/>
      <c r="AZ182" s="500"/>
      <c r="BA182" s="500"/>
      <c r="BB182" s="500"/>
      <c r="BC182" s="500"/>
      <c r="BD182" s="500"/>
      <c r="BE182" s="500"/>
      <c r="BF182" s="500"/>
      <c r="BG182" s="500"/>
      <c r="BH182" s="500"/>
      <c r="BI182" s="500"/>
      <c r="BJ182" s="500"/>
      <c r="BK182" s="500"/>
      <c r="BL182" s="500"/>
      <c r="BM182" s="500"/>
      <c r="BN182" s="500"/>
      <c r="BO182" s="500"/>
      <c r="BP182" s="500"/>
      <c r="BQ182" s="500"/>
      <c r="BR182" s="500"/>
      <c r="BS182" s="500"/>
      <c r="BT182" s="500"/>
      <c r="BU182" s="500"/>
      <c r="BV182" s="500"/>
    </row>
    <row r="183" ht="14.25" customHeight="1">
      <c r="A183" s="8"/>
      <c r="B183" s="500"/>
      <c r="C183" s="500"/>
      <c r="D183" s="500"/>
      <c r="E183" s="500"/>
      <c r="F183" s="500"/>
      <c r="G183" s="500"/>
      <c r="H183" s="500"/>
      <c r="I183" s="500"/>
      <c r="J183" s="500"/>
      <c r="K183" s="500"/>
      <c r="L183" s="500"/>
      <c r="M183" s="500"/>
      <c r="N183" s="500"/>
      <c r="O183" s="500"/>
      <c r="P183" s="500"/>
      <c r="Q183" s="500"/>
      <c r="R183" s="500"/>
      <c r="S183" s="500"/>
      <c r="T183" s="500"/>
      <c r="U183" s="500"/>
      <c r="V183" s="500"/>
      <c r="W183" s="500"/>
      <c r="X183" s="500"/>
      <c r="Y183" s="500"/>
      <c r="Z183" s="501"/>
      <c r="AA183" s="501"/>
      <c r="AB183" s="501"/>
      <c r="AC183" s="501"/>
      <c r="AD183" s="500"/>
      <c r="AE183" s="502"/>
      <c r="AF183" s="503"/>
      <c r="AG183" s="503"/>
      <c r="AH183" s="504"/>
      <c r="AI183" s="500"/>
      <c r="AJ183" s="500"/>
      <c r="AK183" s="500"/>
      <c r="AL183" s="500"/>
      <c r="AM183" s="500"/>
      <c r="AN183" s="500"/>
      <c r="AO183" s="500"/>
      <c r="AP183" s="500"/>
      <c r="AQ183" s="500"/>
      <c r="AR183" s="500"/>
      <c r="AS183" s="500"/>
      <c r="AT183" s="500"/>
      <c r="AU183" s="500"/>
      <c r="AV183" s="500"/>
      <c r="AW183" s="500"/>
      <c r="AX183" s="500"/>
      <c r="AY183" s="500"/>
      <c r="AZ183" s="500"/>
      <c r="BA183" s="500"/>
      <c r="BB183" s="500"/>
      <c r="BC183" s="500"/>
      <c r="BD183" s="500"/>
      <c r="BE183" s="500"/>
      <c r="BF183" s="500"/>
      <c r="BG183" s="500"/>
      <c r="BH183" s="500"/>
      <c r="BI183" s="500"/>
      <c r="BJ183" s="500"/>
      <c r="BK183" s="500"/>
      <c r="BL183" s="500"/>
      <c r="BM183" s="500"/>
      <c r="BN183" s="500"/>
      <c r="BO183" s="500"/>
      <c r="BP183" s="500"/>
      <c r="BQ183" s="500"/>
      <c r="BR183" s="500"/>
      <c r="BS183" s="500"/>
      <c r="BT183" s="500"/>
      <c r="BU183" s="500"/>
      <c r="BV183" s="500"/>
    </row>
    <row r="184" ht="14.25" customHeight="1">
      <c r="A184" s="8"/>
      <c r="B184" s="500"/>
      <c r="C184" s="500"/>
      <c r="D184" s="500"/>
      <c r="E184" s="500"/>
      <c r="F184" s="500"/>
      <c r="G184" s="500"/>
      <c r="H184" s="500"/>
      <c r="I184" s="500"/>
      <c r="J184" s="500"/>
      <c r="K184" s="500"/>
      <c r="L184" s="500"/>
      <c r="M184" s="500"/>
      <c r="N184" s="500"/>
      <c r="O184" s="500"/>
      <c r="P184" s="500"/>
      <c r="Q184" s="500"/>
      <c r="R184" s="500"/>
      <c r="S184" s="500"/>
      <c r="T184" s="500"/>
      <c r="U184" s="500"/>
      <c r="V184" s="500"/>
      <c r="W184" s="500"/>
      <c r="X184" s="500"/>
      <c r="Y184" s="500"/>
      <c r="Z184" s="501"/>
      <c r="AA184" s="501"/>
      <c r="AB184" s="501"/>
      <c r="AC184" s="501"/>
      <c r="AD184" s="500"/>
      <c r="AE184" s="502"/>
      <c r="AF184" s="503"/>
      <c r="AG184" s="503"/>
      <c r="AH184" s="504"/>
      <c r="AI184" s="500"/>
      <c r="AJ184" s="500"/>
      <c r="AK184" s="500"/>
      <c r="AL184" s="500"/>
      <c r="AM184" s="500"/>
      <c r="AN184" s="500"/>
      <c r="AO184" s="500"/>
      <c r="AP184" s="500"/>
      <c r="AQ184" s="500"/>
      <c r="AR184" s="500"/>
      <c r="AS184" s="500"/>
      <c r="AT184" s="500"/>
      <c r="AU184" s="500"/>
      <c r="AV184" s="500"/>
      <c r="AW184" s="500"/>
      <c r="AX184" s="500"/>
      <c r="AY184" s="500"/>
      <c r="AZ184" s="500"/>
      <c r="BA184" s="500"/>
      <c r="BB184" s="500"/>
      <c r="BC184" s="500"/>
      <c r="BD184" s="500"/>
      <c r="BE184" s="500"/>
      <c r="BF184" s="500"/>
      <c r="BG184" s="500"/>
      <c r="BH184" s="500"/>
      <c r="BI184" s="500"/>
      <c r="BJ184" s="500"/>
      <c r="BK184" s="500"/>
      <c r="BL184" s="500"/>
      <c r="BM184" s="500"/>
      <c r="BN184" s="500"/>
      <c r="BO184" s="500"/>
      <c r="BP184" s="500"/>
      <c r="BQ184" s="500"/>
      <c r="BR184" s="500"/>
      <c r="BS184" s="500"/>
      <c r="BT184" s="500"/>
      <c r="BU184" s="500"/>
      <c r="BV184" s="500"/>
    </row>
    <row r="185" ht="14.25" customHeight="1">
      <c r="A185" s="8"/>
      <c r="B185" s="500"/>
      <c r="C185" s="500"/>
      <c r="D185" s="500"/>
      <c r="E185" s="500"/>
      <c r="F185" s="500"/>
      <c r="G185" s="500"/>
      <c r="H185" s="500"/>
      <c r="I185" s="500"/>
      <c r="J185" s="500"/>
      <c r="K185" s="500"/>
      <c r="L185" s="500"/>
      <c r="M185" s="500"/>
      <c r="N185" s="500"/>
      <c r="O185" s="500"/>
      <c r="P185" s="500"/>
      <c r="Q185" s="500"/>
      <c r="R185" s="500"/>
      <c r="S185" s="500"/>
      <c r="T185" s="500"/>
      <c r="U185" s="500"/>
      <c r="V185" s="500"/>
      <c r="W185" s="500"/>
      <c r="X185" s="500"/>
      <c r="Y185" s="500"/>
      <c r="Z185" s="501"/>
      <c r="AA185" s="501"/>
      <c r="AB185" s="501"/>
      <c r="AC185" s="501"/>
      <c r="AD185" s="500"/>
      <c r="AE185" s="502"/>
      <c r="AF185" s="503"/>
      <c r="AG185" s="503"/>
      <c r="AH185" s="504"/>
      <c r="AI185" s="500"/>
      <c r="AJ185" s="500"/>
      <c r="AK185" s="500"/>
      <c r="AL185" s="500"/>
      <c r="AM185" s="500"/>
      <c r="AN185" s="500"/>
      <c r="AO185" s="500"/>
      <c r="AP185" s="500"/>
      <c r="AQ185" s="500"/>
      <c r="AR185" s="500"/>
      <c r="AS185" s="500"/>
      <c r="AT185" s="500"/>
      <c r="AU185" s="500"/>
      <c r="AV185" s="500"/>
      <c r="AW185" s="500"/>
      <c r="AX185" s="500"/>
      <c r="AY185" s="500"/>
      <c r="AZ185" s="500"/>
      <c r="BA185" s="500"/>
      <c r="BB185" s="500"/>
      <c r="BC185" s="500"/>
      <c r="BD185" s="500"/>
      <c r="BE185" s="500"/>
      <c r="BF185" s="500"/>
      <c r="BG185" s="500"/>
      <c r="BH185" s="500"/>
      <c r="BI185" s="500"/>
      <c r="BJ185" s="500"/>
      <c r="BK185" s="500"/>
      <c r="BL185" s="500"/>
      <c r="BM185" s="500"/>
      <c r="BN185" s="500"/>
      <c r="BO185" s="500"/>
      <c r="BP185" s="500"/>
      <c r="BQ185" s="500"/>
      <c r="BR185" s="500"/>
      <c r="BS185" s="500"/>
      <c r="BT185" s="500"/>
      <c r="BU185" s="500"/>
      <c r="BV185" s="500"/>
    </row>
    <row r="186" ht="14.25" customHeight="1">
      <c r="A186" s="8"/>
      <c r="B186" s="500"/>
      <c r="C186" s="500"/>
      <c r="D186" s="500"/>
      <c r="E186" s="500"/>
      <c r="F186" s="500"/>
      <c r="G186" s="500"/>
      <c r="H186" s="500"/>
      <c r="I186" s="500"/>
      <c r="J186" s="500"/>
      <c r="K186" s="500"/>
      <c r="L186" s="500"/>
      <c r="M186" s="500"/>
      <c r="N186" s="500"/>
      <c r="O186" s="500"/>
      <c r="P186" s="500"/>
      <c r="Q186" s="500"/>
      <c r="R186" s="500"/>
      <c r="S186" s="500"/>
      <c r="T186" s="500"/>
      <c r="U186" s="500"/>
      <c r="V186" s="500"/>
      <c r="W186" s="500"/>
      <c r="X186" s="500"/>
      <c r="Y186" s="500"/>
      <c r="Z186" s="501"/>
      <c r="AA186" s="501"/>
      <c r="AB186" s="501"/>
      <c r="AC186" s="501"/>
      <c r="AD186" s="500"/>
      <c r="AE186" s="502"/>
      <c r="AF186" s="503"/>
      <c r="AG186" s="503"/>
      <c r="AH186" s="504"/>
      <c r="AI186" s="500"/>
      <c r="AJ186" s="500"/>
      <c r="AK186" s="500"/>
      <c r="AL186" s="500"/>
      <c r="AM186" s="500"/>
      <c r="AN186" s="500"/>
      <c r="AO186" s="500"/>
      <c r="AP186" s="500"/>
      <c r="AQ186" s="500"/>
      <c r="AR186" s="500"/>
      <c r="AS186" s="500"/>
      <c r="AT186" s="500"/>
      <c r="AU186" s="500"/>
      <c r="AV186" s="500"/>
      <c r="AW186" s="500"/>
      <c r="AX186" s="500"/>
      <c r="AY186" s="500"/>
      <c r="AZ186" s="500"/>
      <c r="BA186" s="500"/>
      <c r="BB186" s="500"/>
      <c r="BC186" s="500"/>
      <c r="BD186" s="500"/>
      <c r="BE186" s="500"/>
      <c r="BF186" s="500"/>
      <c r="BG186" s="500"/>
      <c r="BH186" s="500"/>
      <c r="BI186" s="500"/>
      <c r="BJ186" s="500"/>
      <c r="BK186" s="500"/>
      <c r="BL186" s="500"/>
      <c r="BM186" s="500"/>
      <c r="BN186" s="500"/>
      <c r="BO186" s="500"/>
      <c r="BP186" s="500"/>
      <c r="BQ186" s="500"/>
      <c r="BR186" s="500"/>
      <c r="BS186" s="500"/>
      <c r="BT186" s="500"/>
      <c r="BU186" s="500"/>
      <c r="BV186" s="500"/>
    </row>
    <row r="187" ht="14.25" customHeight="1">
      <c r="A187" s="8"/>
      <c r="B187" s="500"/>
      <c r="C187" s="500"/>
      <c r="D187" s="500"/>
      <c r="E187" s="500"/>
      <c r="F187" s="500"/>
      <c r="G187" s="500"/>
      <c r="H187" s="500"/>
      <c r="I187" s="500"/>
      <c r="J187" s="500"/>
      <c r="K187" s="500"/>
      <c r="L187" s="500"/>
      <c r="M187" s="500"/>
      <c r="N187" s="500"/>
      <c r="O187" s="500"/>
      <c r="P187" s="500"/>
      <c r="Q187" s="500"/>
      <c r="R187" s="500"/>
      <c r="S187" s="500"/>
      <c r="T187" s="500"/>
      <c r="U187" s="500"/>
      <c r="V187" s="500"/>
      <c r="W187" s="500"/>
      <c r="X187" s="500"/>
      <c r="Y187" s="500"/>
      <c r="Z187" s="501"/>
      <c r="AA187" s="501"/>
      <c r="AB187" s="501"/>
      <c r="AC187" s="501"/>
      <c r="AD187" s="500"/>
      <c r="AE187" s="502"/>
      <c r="AF187" s="503"/>
      <c r="AG187" s="503"/>
      <c r="AH187" s="504"/>
      <c r="AI187" s="500"/>
      <c r="AJ187" s="500"/>
      <c r="AK187" s="500"/>
      <c r="AL187" s="500"/>
      <c r="AM187" s="500"/>
      <c r="AN187" s="500"/>
      <c r="AO187" s="500"/>
      <c r="AP187" s="500"/>
      <c r="AQ187" s="500"/>
      <c r="AR187" s="500"/>
      <c r="AS187" s="500"/>
      <c r="AT187" s="500"/>
      <c r="AU187" s="500"/>
      <c r="AV187" s="500"/>
      <c r="AW187" s="500"/>
      <c r="AX187" s="500"/>
      <c r="AY187" s="500"/>
      <c r="AZ187" s="500"/>
      <c r="BA187" s="500"/>
      <c r="BB187" s="500"/>
      <c r="BC187" s="500"/>
      <c r="BD187" s="500"/>
      <c r="BE187" s="500"/>
      <c r="BF187" s="500"/>
      <c r="BG187" s="500"/>
      <c r="BH187" s="500"/>
      <c r="BI187" s="500"/>
      <c r="BJ187" s="500"/>
      <c r="BK187" s="500"/>
      <c r="BL187" s="500"/>
      <c r="BM187" s="500"/>
      <c r="BN187" s="500"/>
      <c r="BO187" s="500"/>
      <c r="BP187" s="500"/>
      <c r="BQ187" s="500"/>
      <c r="BR187" s="500"/>
      <c r="BS187" s="500"/>
      <c r="BT187" s="500"/>
      <c r="BU187" s="500"/>
      <c r="BV187" s="500"/>
    </row>
    <row r="188" ht="14.25" customHeight="1">
      <c r="A188" s="8"/>
      <c r="B188" s="500"/>
      <c r="C188" s="500"/>
      <c r="D188" s="500"/>
      <c r="E188" s="500"/>
      <c r="F188" s="500"/>
      <c r="G188" s="500"/>
      <c r="H188" s="500"/>
      <c r="I188" s="500"/>
      <c r="J188" s="500"/>
      <c r="K188" s="500"/>
      <c r="L188" s="500"/>
      <c r="M188" s="500"/>
      <c r="N188" s="500"/>
      <c r="O188" s="500"/>
      <c r="P188" s="500"/>
      <c r="Q188" s="500"/>
      <c r="R188" s="500"/>
      <c r="S188" s="500"/>
      <c r="T188" s="500"/>
      <c r="U188" s="500"/>
      <c r="V188" s="500"/>
      <c r="W188" s="500"/>
      <c r="X188" s="500"/>
      <c r="Y188" s="500"/>
      <c r="Z188" s="501"/>
      <c r="AA188" s="501"/>
      <c r="AB188" s="501"/>
      <c r="AC188" s="501"/>
      <c r="AD188" s="500"/>
      <c r="AE188" s="502"/>
      <c r="AF188" s="503"/>
      <c r="AG188" s="503"/>
      <c r="AH188" s="504"/>
      <c r="AI188" s="500"/>
      <c r="AJ188" s="500"/>
      <c r="AK188" s="500"/>
      <c r="AL188" s="500"/>
      <c r="AM188" s="500"/>
      <c r="AN188" s="500"/>
      <c r="AO188" s="500"/>
      <c r="AP188" s="500"/>
      <c r="AQ188" s="500"/>
      <c r="AR188" s="500"/>
      <c r="AS188" s="500"/>
      <c r="AT188" s="500"/>
      <c r="AU188" s="500"/>
      <c r="AV188" s="500"/>
      <c r="AW188" s="500"/>
      <c r="AX188" s="500"/>
      <c r="AY188" s="500"/>
      <c r="AZ188" s="500"/>
      <c r="BA188" s="500"/>
      <c r="BB188" s="500"/>
      <c r="BC188" s="500"/>
      <c r="BD188" s="500"/>
      <c r="BE188" s="500"/>
      <c r="BF188" s="500"/>
      <c r="BG188" s="500"/>
      <c r="BH188" s="500"/>
      <c r="BI188" s="500"/>
      <c r="BJ188" s="500"/>
      <c r="BK188" s="500"/>
      <c r="BL188" s="500"/>
      <c r="BM188" s="500"/>
      <c r="BN188" s="500"/>
      <c r="BO188" s="500"/>
      <c r="BP188" s="500"/>
      <c r="BQ188" s="500"/>
      <c r="BR188" s="500"/>
      <c r="BS188" s="500"/>
      <c r="BT188" s="500"/>
      <c r="BU188" s="500"/>
      <c r="BV188" s="500"/>
    </row>
    <row r="189" ht="14.25" customHeight="1">
      <c r="A189" s="8"/>
      <c r="B189" s="500"/>
      <c r="C189" s="500"/>
      <c r="D189" s="500"/>
      <c r="E189" s="500"/>
      <c r="F189" s="500"/>
      <c r="G189" s="500"/>
      <c r="H189" s="500"/>
      <c r="I189" s="500"/>
      <c r="J189" s="500"/>
      <c r="K189" s="500"/>
      <c r="L189" s="500"/>
      <c r="M189" s="500"/>
      <c r="N189" s="500"/>
      <c r="O189" s="500"/>
      <c r="P189" s="500"/>
      <c r="Q189" s="500"/>
      <c r="R189" s="500"/>
      <c r="S189" s="500"/>
      <c r="T189" s="500"/>
      <c r="U189" s="500"/>
      <c r="V189" s="500"/>
      <c r="W189" s="500"/>
      <c r="X189" s="500"/>
      <c r="Y189" s="500"/>
      <c r="Z189" s="501"/>
      <c r="AA189" s="501"/>
      <c r="AB189" s="501"/>
      <c r="AC189" s="501"/>
      <c r="AD189" s="500"/>
      <c r="AE189" s="502"/>
      <c r="AF189" s="503"/>
      <c r="AG189" s="503"/>
      <c r="AH189" s="504"/>
      <c r="AI189" s="500"/>
      <c r="AJ189" s="500"/>
      <c r="AK189" s="500"/>
      <c r="AL189" s="500"/>
      <c r="AM189" s="500"/>
      <c r="AN189" s="500"/>
      <c r="AO189" s="500"/>
      <c r="AP189" s="500"/>
      <c r="AQ189" s="500"/>
      <c r="AR189" s="500"/>
      <c r="AS189" s="500"/>
      <c r="AT189" s="500"/>
      <c r="AU189" s="500"/>
      <c r="AV189" s="500"/>
      <c r="AW189" s="500"/>
      <c r="AX189" s="500"/>
      <c r="AY189" s="500"/>
      <c r="AZ189" s="500"/>
      <c r="BA189" s="500"/>
      <c r="BB189" s="500"/>
      <c r="BC189" s="500"/>
      <c r="BD189" s="500"/>
      <c r="BE189" s="500"/>
      <c r="BF189" s="500"/>
      <c r="BG189" s="500"/>
      <c r="BH189" s="500"/>
      <c r="BI189" s="500"/>
      <c r="BJ189" s="500"/>
      <c r="BK189" s="500"/>
      <c r="BL189" s="500"/>
      <c r="BM189" s="500"/>
      <c r="BN189" s="500"/>
      <c r="BO189" s="500"/>
      <c r="BP189" s="500"/>
      <c r="BQ189" s="500"/>
      <c r="BR189" s="500"/>
      <c r="BS189" s="500"/>
      <c r="BT189" s="500"/>
      <c r="BU189" s="500"/>
      <c r="BV189" s="500"/>
    </row>
    <row r="190" ht="14.25" customHeight="1">
      <c r="A190" s="8"/>
      <c r="B190" s="500"/>
      <c r="C190" s="500"/>
      <c r="D190" s="500"/>
      <c r="E190" s="500"/>
      <c r="F190" s="500"/>
      <c r="G190" s="500"/>
      <c r="H190" s="500"/>
      <c r="I190" s="500"/>
      <c r="J190" s="500"/>
      <c r="K190" s="500"/>
      <c r="L190" s="500"/>
      <c r="M190" s="500"/>
      <c r="N190" s="500"/>
      <c r="O190" s="500"/>
      <c r="P190" s="500"/>
      <c r="Q190" s="500"/>
      <c r="R190" s="500"/>
      <c r="S190" s="500"/>
      <c r="T190" s="500"/>
      <c r="U190" s="500"/>
      <c r="V190" s="500"/>
      <c r="W190" s="500"/>
      <c r="X190" s="500"/>
      <c r="Y190" s="500"/>
      <c r="Z190" s="501"/>
      <c r="AA190" s="501"/>
      <c r="AB190" s="501"/>
      <c r="AC190" s="501"/>
      <c r="AD190" s="500"/>
      <c r="AE190" s="502"/>
      <c r="AF190" s="503"/>
      <c r="AG190" s="503"/>
      <c r="AH190" s="504"/>
      <c r="AI190" s="500"/>
      <c r="AJ190" s="500"/>
      <c r="AK190" s="500"/>
      <c r="AL190" s="500"/>
      <c r="AM190" s="500"/>
      <c r="AN190" s="500"/>
      <c r="AO190" s="500"/>
      <c r="AP190" s="500"/>
      <c r="AQ190" s="500"/>
      <c r="AR190" s="500"/>
      <c r="AS190" s="500"/>
      <c r="AT190" s="500"/>
      <c r="AU190" s="500"/>
      <c r="AV190" s="500"/>
      <c r="AW190" s="500"/>
      <c r="AX190" s="500"/>
      <c r="AY190" s="500"/>
      <c r="AZ190" s="500"/>
      <c r="BA190" s="500"/>
      <c r="BB190" s="500"/>
      <c r="BC190" s="500"/>
      <c r="BD190" s="500"/>
      <c r="BE190" s="500"/>
      <c r="BF190" s="500"/>
      <c r="BG190" s="500"/>
      <c r="BH190" s="500"/>
      <c r="BI190" s="500"/>
      <c r="BJ190" s="500"/>
      <c r="BK190" s="500"/>
      <c r="BL190" s="500"/>
      <c r="BM190" s="500"/>
      <c r="BN190" s="500"/>
      <c r="BO190" s="500"/>
      <c r="BP190" s="500"/>
      <c r="BQ190" s="500"/>
      <c r="BR190" s="500"/>
      <c r="BS190" s="500"/>
      <c r="BT190" s="500"/>
      <c r="BU190" s="500"/>
      <c r="BV190" s="500"/>
    </row>
    <row r="191" ht="14.25" customHeight="1">
      <c r="A191" s="8"/>
      <c r="B191" s="500"/>
      <c r="C191" s="500"/>
      <c r="D191" s="500"/>
      <c r="E191" s="500"/>
      <c r="F191" s="500"/>
      <c r="G191" s="500"/>
      <c r="H191" s="500"/>
      <c r="I191" s="500"/>
      <c r="J191" s="500"/>
      <c r="K191" s="500"/>
      <c r="L191" s="500"/>
      <c r="M191" s="500"/>
      <c r="N191" s="500"/>
      <c r="O191" s="500"/>
      <c r="P191" s="500"/>
      <c r="Q191" s="500"/>
      <c r="R191" s="500"/>
      <c r="S191" s="500"/>
      <c r="T191" s="500"/>
      <c r="U191" s="500"/>
      <c r="V191" s="500"/>
      <c r="W191" s="500"/>
      <c r="X191" s="500"/>
      <c r="Y191" s="500"/>
      <c r="Z191" s="501"/>
      <c r="AA191" s="501"/>
      <c r="AB191" s="501"/>
      <c r="AC191" s="501"/>
      <c r="AD191" s="500"/>
      <c r="AE191" s="502"/>
      <c r="AF191" s="503"/>
      <c r="AG191" s="503"/>
      <c r="AH191" s="504"/>
      <c r="AI191" s="500"/>
      <c r="AJ191" s="500"/>
      <c r="AK191" s="500"/>
      <c r="AL191" s="500"/>
      <c r="AM191" s="500"/>
      <c r="AN191" s="500"/>
      <c r="AO191" s="500"/>
      <c r="AP191" s="500"/>
      <c r="AQ191" s="500"/>
      <c r="AR191" s="500"/>
      <c r="AS191" s="500"/>
      <c r="AT191" s="500"/>
      <c r="AU191" s="500"/>
      <c r="AV191" s="500"/>
      <c r="AW191" s="500"/>
      <c r="AX191" s="500"/>
      <c r="AY191" s="500"/>
      <c r="AZ191" s="500"/>
      <c r="BA191" s="500"/>
      <c r="BB191" s="500"/>
      <c r="BC191" s="500"/>
      <c r="BD191" s="500"/>
      <c r="BE191" s="500"/>
      <c r="BF191" s="500"/>
      <c r="BG191" s="500"/>
      <c r="BH191" s="500"/>
      <c r="BI191" s="500"/>
      <c r="BJ191" s="500"/>
      <c r="BK191" s="500"/>
      <c r="BL191" s="500"/>
      <c r="BM191" s="500"/>
      <c r="BN191" s="500"/>
      <c r="BO191" s="500"/>
      <c r="BP191" s="500"/>
      <c r="BQ191" s="500"/>
      <c r="BR191" s="500"/>
      <c r="BS191" s="500"/>
      <c r="BT191" s="500"/>
      <c r="BU191" s="500"/>
      <c r="BV191" s="500"/>
    </row>
    <row r="192" ht="14.25" customHeight="1">
      <c r="A192" s="8"/>
      <c r="B192" s="500"/>
      <c r="C192" s="500"/>
      <c r="D192" s="500"/>
      <c r="E192" s="500"/>
      <c r="F192" s="500"/>
      <c r="G192" s="500"/>
      <c r="H192" s="500"/>
      <c r="I192" s="500"/>
      <c r="J192" s="500"/>
      <c r="K192" s="500"/>
      <c r="L192" s="500"/>
      <c r="M192" s="500"/>
      <c r="N192" s="500"/>
      <c r="O192" s="500"/>
      <c r="P192" s="500"/>
      <c r="Q192" s="500"/>
      <c r="R192" s="500"/>
      <c r="S192" s="500"/>
      <c r="T192" s="500"/>
      <c r="U192" s="500"/>
      <c r="V192" s="500"/>
      <c r="W192" s="500"/>
      <c r="X192" s="500"/>
      <c r="Y192" s="500"/>
      <c r="Z192" s="501"/>
      <c r="AA192" s="501"/>
      <c r="AB192" s="501"/>
      <c r="AC192" s="501"/>
      <c r="AD192" s="500"/>
      <c r="AE192" s="502"/>
      <c r="AF192" s="503"/>
      <c r="AG192" s="503"/>
      <c r="AH192" s="504"/>
      <c r="AI192" s="500"/>
      <c r="AJ192" s="500"/>
      <c r="AK192" s="500"/>
      <c r="AL192" s="500"/>
      <c r="AM192" s="500"/>
      <c r="AN192" s="500"/>
      <c r="AO192" s="500"/>
      <c r="AP192" s="500"/>
      <c r="AQ192" s="500"/>
      <c r="AR192" s="500"/>
      <c r="AS192" s="500"/>
      <c r="AT192" s="500"/>
      <c r="AU192" s="500"/>
      <c r="AV192" s="500"/>
      <c r="AW192" s="500"/>
      <c r="AX192" s="500"/>
      <c r="AY192" s="500"/>
      <c r="AZ192" s="500"/>
      <c r="BA192" s="500"/>
      <c r="BB192" s="500"/>
      <c r="BC192" s="500"/>
      <c r="BD192" s="500"/>
      <c r="BE192" s="500"/>
      <c r="BF192" s="500"/>
      <c r="BG192" s="500"/>
      <c r="BH192" s="500"/>
      <c r="BI192" s="500"/>
      <c r="BJ192" s="500"/>
      <c r="BK192" s="500"/>
      <c r="BL192" s="500"/>
      <c r="BM192" s="500"/>
      <c r="BN192" s="500"/>
      <c r="BO192" s="500"/>
      <c r="BP192" s="500"/>
      <c r="BQ192" s="500"/>
      <c r="BR192" s="500"/>
      <c r="BS192" s="500"/>
      <c r="BT192" s="500"/>
      <c r="BU192" s="500"/>
      <c r="BV192" s="500"/>
    </row>
    <row r="193" ht="14.25" customHeight="1">
      <c r="A193" s="8"/>
      <c r="B193" s="500"/>
      <c r="C193" s="500"/>
      <c r="D193" s="500"/>
      <c r="E193" s="500"/>
      <c r="F193" s="500"/>
      <c r="G193" s="500"/>
      <c r="H193" s="500"/>
      <c r="I193" s="500"/>
      <c r="J193" s="500"/>
      <c r="K193" s="500"/>
      <c r="L193" s="500"/>
      <c r="M193" s="500"/>
      <c r="N193" s="500"/>
      <c r="O193" s="500"/>
      <c r="P193" s="500"/>
      <c r="Q193" s="500"/>
      <c r="R193" s="500"/>
      <c r="S193" s="500"/>
      <c r="T193" s="500"/>
      <c r="U193" s="500"/>
      <c r="V193" s="500"/>
      <c r="W193" s="500"/>
      <c r="X193" s="500"/>
      <c r="Y193" s="500"/>
      <c r="Z193" s="501"/>
      <c r="AA193" s="501"/>
      <c r="AB193" s="501"/>
      <c r="AC193" s="501"/>
      <c r="AD193" s="500"/>
      <c r="AE193" s="500"/>
      <c r="AF193" s="503"/>
      <c r="AG193" s="503"/>
      <c r="AH193" s="504"/>
      <c r="AI193" s="500"/>
      <c r="AJ193" s="500"/>
      <c r="AK193" s="500"/>
      <c r="AL193" s="500"/>
      <c r="AM193" s="500"/>
      <c r="AN193" s="500"/>
      <c r="AO193" s="500"/>
      <c r="AP193" s="500"/>
      <c r="AQ193" s="500"/>
      <c r="AR193" s="500"/>
      <c r="AS193" s="500"/>
      <c r="AT193" s="500"/>
      <c r="AU193" s="500"/>
      <c r="AV193" s="500"/>
      <c r="AW193" s="500"/>
      <c r="AX193" s="500"/>
      <c r="AY193" s="500"/>
      <c r="AZ193" s="500"/>
      <c r="BA193" s="500"/>
      <c r="BB193" s="500"/>
      <c r="BC193" s="500"/>
      <c r="BD193" s="500"/>
      <c r="BE193" s="500"/>
      <c r="BF193" s="500"/>
      <c r="BG193" s="500"/>
      <c r="BH193" s="500"/>
      <c r="BI193" s="500"/>
      <c r="BJ193" s="500"/>
      <c r="BK193" s="500"/>
      <c r="BL193" s="500"/>
      <c r="BM193" s="500"/>
      <c r="BN193" s="500"/>
      <c r="BO193" s="500"/>
      <c r="BP193" s="500"/>
      <c r="BQ193" s="500"/>
      <c r="BR193" s="500"/>
      <c r="BS193" s="500"/>
      <c r="BT193" s="500"/>
      <c r="BU193" s="500"/>
      <c r="BV193" s="500"/>
    </row>
    <row r="194" ht="14.25" customHeight="1">
      <c r="A194" s="8"/>
      <c r="B194" s="500"/>
      <c r="C194" s="500"/>
      <c r="D194" s="500"/>
      <c r="E194" s="500"/>
      <c r="F194" s="500"/>
      <c r="G194" s="500"/>
      <c r="H194" s="500"/>
      <c r="I194" s="500"/>
      <c r="J194" s="500"/>
      <c r="K194" s="500"/>
      <c r="L194" s="500"/>
      <c r="M194" s="500"/>
      <c r="N194" s="500"/>
      <c r="O194" s="500"/>
      <c r="P194" s="500"/>
      <c r="Q194" s="500"/>
      <c r="R194" s="500"/>
      <c r="S194" s="500"/>
      <c r="T194" s="500"/>
      <c r="U194" s="500"/>
      <c r="V194" s="500"/>
      <c r="W194" s="500"/>
      <c r="X194" s="500"/>
      <c r="Y194" s="500"/>
      <c r="Z194" s="501"/>
      <c r="AA194" s="501"/>
      <c r="AB194" s="501"/>
      <c r="AC194" s="501"/>
      <c r="AD194" s="500"/>
      <c r="AE194" s="500"/>
      <c r="AF194" s="503"/>
      <c r="AG194" s="503"/>
      <c r="AH194" s="504"/>
      <c r="AI194" s="500"/>
      <c r="AJ194" s="500"/>
      <c r="AK194" s="500"/>
      <c r="AL194" s="500"/>
      <c r="AM194" s="500"/>
      <c r="AN194" s="500"/>
      <c r="AO194" s="500"/>
      <c r="AP194" s="500"/>
      <c r="AQ194" s="500"/>
      <c r="AR194" s="500"/>
      <c r="AS194" s="500"/>
      <c r="AT194" s="500"/>
      <c r="AU194" s="500"/>
      <c r="AV194" s="500"/>
      <c r="AW194" s="500"/>
      <c r="AX194" s="500"/>
      <c r="AY194" s="500"/>
      <c r="AZ194" s="500"/>
      <c r="BA194" s="500"/>
      <c r="BB194" s="500"/>
      <c r="BC194" s="500"/>
      <c r="BD194" s="500"/>
      <c r="BE194" s="500"/>
      <c r="BF194" s="500"/>
      <c r="BG194" s="500"/>
      <c r="BH194" s="500"/>
      <c r="BI194" s="500"/>
      <c r="BJ194" s="500"/>
      <c r="BK194" s="500"/>
      <c r="BL194" s="500"/>
      <c r="BM194" s="500"/>
      <c r="BN194" s="500"/>
      <c r="BO194" s="500"/>
      <c r="BP194" s="500"/>
      <c r="BQ194" s="500"/>
      <c r="BR194" s="500"/>
      <c r="BS194" s="500"/>
      <c r="BT194" s="500"/>
      <c r="BU194" s="500"/>
      <c r="BV194" s="500"/>
    </row>
    <row r="195" ht="14.25" customHeight="1">
      <c r="A195" s="8"/>
      <c r="B195" s="500"/>
      <c r="C195" s="500"/>
      <c r="D195" s="500"/>
      <c r="E195" s="500"/>
      <c r="F195" s="500"/>
      <c r="G195" s="500"/>
      <c r="H195" s="500"/>
      <c r="I195" s="500"/>
      <c r="J195" s="500"/>
      <c r="K195" s="500"/>
      <c r="L195" s="500"/>
      <c r="M195" s="500"/>
      <c r="N195" s="500"/>
      <c r="O195" s="500"/>
      <c r="P195" s="500"/>
      <c r="Q195" s="500"/>
      <c r="R195" s="500"/>
      <c r="S195" s="500"/>
      <c r="T195" s="500"/>
      <c r="U195" s="500"/>
      <c r="V195" s="500"/>
      <c r="W195" s="500"/>
      <c r="X195" s="500"/>
      <c r="Y195" s="500"/>
      <c r="Z195" s="501"/>
      <c r="AA195" s="501"/>
      <c r="AB195" s="501"/>
      <c r="AC195" s="501"/>
      <c r="AD195" s="500"/>
      <c r="AE195" s="500"/>
      <c r="AF195" s="503"/>
      <c r="AG195" s="503"/>
      <c r="AH195" s="504"/>
      <c r="AI195" s="500"/>
      <c r="AJ195" s="500"/>
      <c r="AK195" s="500"/>
      <c r="AL195" s="500"/>
      <c r="AM195" s="500"/>
      <c r="AN195" s="500"/>
      <c r="AO195" s="500"/>
      <c r="AP195" s="500"/>
      <c r="AQ195" s="500"/>
      <c r="AR195" s="500"/>
      <c r="AS195" s="500"/>
      <c r="AT195" s="500"/>
      <c r="AU195" s="500"/>
      <c r="AV195" s="500"/>
      <c r="AW195" s="500"/>
      <c r="AX195" s="500"/>
      <c r="AY195" s="500"/>
      <c r="AZ195" s="500"/>
      <c r="BA195" s="500"/>
      <c r="BB195" s="500"/>
      <c r="BC195" s="500"/>
      <c r="BD195" s="500"/>
      <c r="BE195" s="500"/>
      <c r="BF195" s="500"/>
      <c r="BG195" s="500"/>
      <c r="BH195" s="500"/>
      <c r="BI195" s="500"/>
      <c r="BJ195" s="500"/>
      <c r="BK195" s="500"/>
      <c r="BL195" s="500"/>
      <c r="BM195" s="500"/>
      <c r="BN195" s="500"/>
      <c r="BO195" s="500"/>
      <c r="BP195" s="500"/>
      <c r="BQ195" s="500"/>
      <c r="BR195" s="500"/>
      <c r="BS195" s="500"/>
      <c r="BT195" s="500"/>
      <c r="BU195" s="500"/>
      <c r="BV195" s="500"/>
    </row>
    <row r="196" ht="14.25" customHeight="1">
      <c r="A196" s="8"/>
      <c r="B196" s="500"/>
      <c r="C196" s="500"/>
      <c r="D196" s="500"/>
      <c r="E196" s="500"/>
      <c r="F196" s="500"/>
      <c r="G196" s="500"/>
      <c r="H196" s="500"/>
      <c r="I196" s="500"/>
      <c r="J196" s="500"/>
      <c r="K196" s="500"/>
      <c r="L196" s="500"/>
      <c r="M196" s="500"/>
      <c r="N196" s="500"/>
      <c r="O196" s="500"/>
      <c r="P196" s="500"/>
      <c r="Q196" s="500"/>
      <c r="R196" s="500"/>
      <c r="S196" s="500"/>
      <c r="T196" s="500"/>
      <c r="U196" s="500"/>
      <c r="V196" s="500"/>
      <c r="W196" s="500"/>
      <c r="X196" s="500"/>
      <c r="Y196" s="500"/>
      <c r="Z196" s="501"/>
      <c r="AA196" s="501"/>
      <c r="AB196" s="501"/>
      <c r="AC196" s="501"/>
      <c r="AD196" s="500"/>
      <c r="AE196" s="500"/>
      <c r="AF196" s="503"/>
      <c r="AG196" s="503"/>
      <c r="AH196" s="504"/>
      <c r="AI196" s="500"/>
      <c r="AJ196" s="500"/>
      <c r="AK196" s="500"/>
      <c r="AL196" s="500"/>
      <c r="AM196" s="500"/>
      <c r="AN196" s="500"/>
      <c r="AO196" s="500"/>
      <c r="AP196" s="500"/>
      <c r="AQ196" s="500"/>
      <c r="AR196" s="500"/>
      <c r="AS196" s="500"/>
      <c r="AT196" s="500"/>
      <c r="AU196" s="500"/>
      <c r="AV196" s="500"/>
      <c r="AW196" s="500"/>
      <c r="AX196" s="500"/>
      <c r="AY196" s="500"/>
      <c r="AZ196" s="500"/>
      <c r="BA196" s="500"/>
      <c r="BB196" s="500"/>
      <c r="BC196" s="500"/>
      <c r="BD196" s="500"/>
      <c r="BE196" s="500"/>
      <c r="BF196" s="500"/>
      <c r="BG196" s="500"/>
      <c r="BH196" s="500"/>
      <c r="BI196" s="500"/>
      <c r="BJ196" s="500"/>
      <c r="BK196" s="500"/>
      <c r="BL196" s="500"/>
      <c r="BM196" s="500"/>
      <c r="BN196" s="500"/>
      <c r="BO196" s="500"/>
      <c r="BP196" s="500"/>
      <c r="BQ196" s="500"/>
      <c r="BR196" s="500"/>
      <c r="BS196" s="500"/>
      <c r="BT196" s="500"/>
      <c r="BU196" s="500"/>
      <c r="BV196" s="500"/>
    </row>
    <row r="197" ht="14.25" customHeight="1">
      <c r="A197" s="8"/>
      <c r="B197" s="500"/>
      <c r="C197" s="500"/>
      <c r="D197" s="500"/>
      <c r="E197" s="500"/>
      <c r="F197" s="500"/>
      <c r="G197" s="500"/>
      <c r="H197" s="500"/>
      <c r="I197" s="500"/>
      <c r="J197" s="500"/>
      <c r="K197" s="500"/>
      <c r="L197" s="500"/>
      <c r="M197" s="500"/>
      <c r="N197" s="500"/>
      <c r="O197" s="500"/>
      <c r="P197" s="500"/>
      <c r="Q197" s="500"/>
      <c r="R197" s="500"/>
      <c r="S197" s="500"/>
      <c r="T197" s="500"/>
      <c r="U197" s="500"/>
      <c r="V197" s="500"/>
      <c r="W197" s="500"/>
      <c r="X197" s="500"/>
      <c r="Y197" s="500"/>
      <c r="Z197" s="501"/>
      <c r="AA197" s="501"/>
      <c r="AB197" s="501"/>
      <c r="AC197" s="501"/>
      <c r="AD197" s="500"/>
      <c r="AE197" s="500"/>
      <c r="AF197" s="503"/>
      <c r="AG197" s="503"/>
      <c r="AH197" s="504"/>
      <c r="AI197" s="500"/>
      <c r="AJ197" s="500"/>
      <c r="AK197" s="500"/>
      <c r="AL197" s="500"/>
      <c r="AM197" s="500"/>
      <c r="AN197" s="500"/>
      <c r="AO197" s="500"/>
      <c r="AP197" s="500"/>
      <c r="AQ197" s="500"/>
      <c r="AR197" s="500"/>
      <c r="AS197" s="500"/>
      <c r="AT197" s="500"/>
      <c r="AU197" s="500"/>
      <c r="AV197" s="500"/>
      <c r="AW197" s="500"/>
      <c r="AX197" s="500"/>
      <c r="AY197" s="500"/>
      <c r="AZ197" s="500"/>
      <c r="BA197" s="500"/>
      <c r="BB197" s="500"/>
      <c r="BC197" s="500"/>
      <c r="BD197" s="500"/>
      <c r="BE197" s="500"/>
      <c r="BF197" s="500"/>
      <c r="BG197" s="500"/>
      <c r="BH197" s="500"/>
      <c r="BI197" s="500"/>
      <c r="BJ197" s="500"/>
      <c r="BK197" s="500"/>
      <c r="BL197" s="500"/>
      <c r="BM197" s="500"/>
      <c r="BN197" s="500"/>
      <c r="BO197" s="500"/>
      <c r="BP197" s="500"/>
      <c r="BQ197" s="500"/>
      <c r="BR197" s="500"/>
      <c r="BS197" s="500"/>
      <c r="BT197" s="500"/>
      <c r="BU197" s="500"/>
      <c r="BV197" s="500"/>
    </row>
    <row r="198" ht="14.25" customHeight="1">
      <c r="A198" s="8"/>
      <c r="B198" s="500"/>
      <c r="C198" s="500"/>
      <c r="D198" s="500"/>
      <c r="E198" s="500"/>
      <c r="F198" s="500"/>
      <c r="G198" s="500"/>
      <c r="H198" s="500"/>
      <c r="I198" s="500"/>
      <c r="J198" s="500"/>
      <c r="K198" s="500"/>
      <c r="L198" s="500"/>
      <c r="M198" s="500"/>
      <c r="N198" s="500"/>
      <c r="O198" s="500"/>
      <c r="P198" s="500"/>
      <c r="Q198" s="500"/>
      <c r="R198" s="500"/>
      <c r="S198" s="500"/>
      <c r="T198" s="500"/>
      <c r="U198" s="500"/>
      <c r="V198" s="500"/>
      <c r="W198" s="500"/>
      <c r="X198" s="500"/>
      <c r="Y198" s="500"/>
      <c r="Z198" s="501"/>
      <c r="AA198" s="501"/>
      <c r="AB198" s="501"/>
      <c r="AC198" s="501"/>
      <c r="AD198" s="500"/>
      <c r="AE198" s="500"/>
      <c r="AF198" s="503"/>
      <c r="AG198" s="503"/>
      <c r="AH198" s="504"/>
      <c r="AI198" s="500"/>
      <c r="AJ198" s="500"/>
      <c r="AK198" s="500"/>
      <c r="AL198" s="500"/>
      <c r="AM198" s="500"/>
      <c r="AN198" s="500"/>
      <c r="AO198" s="500"/>
      <c r="AP198" s="500"/>
      <c r="AQ198" s="500"/>
      <c r="AR198" s="500"/>
      <c r="AS198" s="500"/>
      <c r="AT198" s="500"/>
      <c r="AU198" s="500"/>
      <c r="AV198" s="500"/>
      <c r="AW198" s="500"/>
      <c r="AX198" s="500"/>
      <c r="AY198" s="500"/>
      <c r="AZ198" s="500"/>
      <c r="BA198" s="500"/>
      <c r="BB198" s="500"/>
      <c r="BC198" s="500"/>
      <c r="BD198" s="500"/>
      <c r="BE198" s="500"/>
      <c r="BF198" s="500"/>
      <c r="BG198" s="500"/>
      <c r="BH198" s="500"/>
      <c r="BI198" s="500"/>
      <c r="BJ198" s="500"/>
      <c r="BK198" s="500"/>
      <c r="BL198" s="500"/>
      <c r="BM198" s="500"/>
      <c r="BN198" s="500"/>
      <c r="BO198" s="500"/>
      <c r="BP198" s="500"/>
      <c r="BQ198" s="500"/>
      <c r="BR198" s="500"/>
      <c r="BS198" s="500"/>
      <c r="BT198" s="500"/>
      <c r="BU198" s="500"/>
      <c r="BV198" s="500"/>
    </row>
    <row r="199" ht="14.25" customHeight="1">
      <c r="A199" s="8"/>
      <c r="B199" s="500"/>
      <c r="C199" s="500"/>
      <c r="D199" s="500"/>
      <c r="E199" s="500"/>
      <c r="F199" s="500"/>
      <c r="G199" s="500"/>
      <c r="H199" s="500"/>
      <c r="I199" s="500"/>
      <c r="J199" s="500"/>
      <c r="K199" s="500"/>
      <c r="L199" s="500"/>
      <c r="M199" s="500"/>
      <c r="N199" s="500"/>
      <c r="O199" s="500"/>
      <c r="P199" s="500"/>
      <c r="Q199" s="500"/>
      <c r="R199" s="500"/>
      <c r="S199" s="500"/>
      <c r="T199" s="500"/>
      <c r="U199" s="500"/>
      <c r="V199" s="500"/>
      <c r="W199" s="500"/>
      <c r="X199" s="500"/>
      <c r="Y199" s="500"/>
      <c r="Z199" s="501"/>
      <c r="AA199" s="501"/>
      <c r="AB199" s="501"/>
      <c r="AC199" s="501"/>
      <c r="AD199" s="500"/>
      <c r="AE199" s="500"/>
      <c r="AF199" s="503"/>
      <c r="AG199" s="503"/>
      <c r="AH199" s="504"/>
      <c r="AI199" s="500"/>
      <c r="AJ199" s="500"/>
      <c r="AK199" s="500"/>
      <c r="AL199" s="500"/>
      <c r="AM199" s="500"/>
      <c r="AN199" s="500"/>
      <c r="AO199" s="500"/>
      <c r="AP199" s="500"/>
      <c r="AQ199" s="500"/>
      <c r="AR199" s="500"/>
      <c r="AS199" s="500"/>
      <c r="AT199" s="500"/>
      <c r="AU199" s="500"/>
      <c r="AV199" s="500"/>
      <c r="AW199" s="500"/>
      <c r="AX199" s="500"/>
      <c r="AY199" s="500"/>
      <c r="AZ199" s="500"/>
      <c r="BA199" s="500"/>
      <c r="BB199" s="500"/>
      <c r="BC199" s="500"/>
      <c r="BD199" s="500"/>
      <c r="BE199" s="500"/>
      <c r="BF199" s="500"/>
      <c r="BG199" s="500"/>
      <c r="BH199" s="500"/>
      <c r="BI199" s="500"/>
      <c r="BJ199" s="500"/>
      <c r="BK199" s="500"/>
      <c r="BL199" s="500"/>
      <c r="BM199" s="500"/>
      <c r="BN199" s="500"/>
      <c r="BO199" s="500"/>
      <c r="BP199" s="500"/>
      <c r="BQ199" s="500"/>
      <c r="BR199" s="500"/>
      <c r="BS199" s="500"/>
      <c r="BT199" s="500"/>
      <c r="BU199" s="500"/>
      <c r="BV199" s="500"/>
    </row>
    <row r="200" ht="14.25" customHeight="1">
      <c r="A200" s="8"/>
      <c r="B200" s="500"/>
      <c r="C200" s="500"/>
      <c r="D200" s="500"/>
      <c r="E200" s="500"/>
      <c r="F200" s="500"/>
      <c r="G200" s="500"/>
      <c r="H200" s="500"/>
      <c r="I200" s="500"/>
      <c r="J200" s="500"/>
      <c r="K200" s="500"/>
      <c r="L200" s="500"/>
      <c r="M200" s="500"/>
      <c r="N200" s="500"/>
      <c r="O200" s="500"/>
      <c r="P200" s="500"/>
      <c r="Q200" s="500"/>
      <c r="R200" s="500"/>
      <c r="S200" s="500"/>
      <c r="T200" s="500"/>
      <c r="U200" s="500"/>
      <c r="V200" s="500"/>
      <c r="W200" s="500"/>
      <c r="X200" s="500"/>
      <c r="Y200" s="500"/>
      <c r="Z200" s="501"/>
      <c r="AA200" s="501"/>
      <c r="AB200" s="501"/>
      <c r="AC200" s="501"/>
      <c r="AD200" s="500"/>
      <c r="AE200" s="500"/>
      <c r="AF200" s="503"/>
      <c r="AG200" s="503"/>
      <c r="AH200" s="504"/>
      <c r="AI200" s="500"/>
      <c r="AJ200" s="500"/>
      <c r="AK200" s="500"/>
      <c r="AL200" s="500"/>
      <c r="AM200" s="500"/>
      <c r="AN200" s="500"/>
      <c r="AO200" s="500"/>
      <c r="AP200" s="500"/>
      <c r="AQ200" s="500"/>
      <c r="AR200" s="500"/>
      <c r="AS200" s="500"/>
      <c r="AT200" s="500"/>
      <c r="AU200" s="500"/>
      <c r="AV200" s="500"/>
      <c r="AW200" s="500"/>
      <c r="AX200" s="500"/>
      <c r="AY200" s="500"/>
      <c r="AZ200" s="500"/>
      <c r="BA200" s="500"/>
      <c r="BB200" s="500"/>
      <c r="BC200" s="500"/>
      <c r="BD200" s="500"/>
      <c r="BE200" s="500"/>
      <c r="BF200" s="500"/>
      <c r="BG200" s="500"/>
      <c r="BH200" s="500"/>
      <c r="BI200" s="500"/>
      <c r="BJ200" s="500"/>
      <c r="BK200" s="500"/>
      <c r="BL200" s="500"/>
      <c r="BM200" s="500"/>
      <c r="BN200" s="500"/>
      <c r="BO200" s="500"/>
      <c r="BP200" s="500"/>
      <c r="BQ200" s="500"/>
      <c r="BR200" s="500"/>
      <c r="BS200" s="500"/>
      <c r="BT200" s="500"/>
      <c r="BU200" s="500"/>
      <c r="BV200" s="500"/>
    </row>
    <row r="201" ht="14.25" customHeight="1">
      <c r="A201" s="8"/>
      <c r="B201" s="500"/>
      <c r="C201" s="500"/>
      <c r="D201" s="500"/>
      <c r="E201" s="500"/>
      <c r="F201" s="500"/>
      <c r="G201" s="500"/>
      <c r="H201" s="500"/>
      <c r="I201" s="500"/>
      <c r="J201" s="500"/>
      <c r="K201" s="500"/>
      <c r="L201" s="500"/>
      <c r="M201" s="500"/>
      <c r="N201" s="500"/>
      <c r="O201" s="500"/>
      <c r="P201" s="500"/>
      <c r="Q201" s="500"/>
      <c r="R201" s="500"/>
      <c r="S201" s="500"/>
      <c r="T201" s="500"/>
      <c r="U201" s="500"/>
      <c r="V201" s="500"/>
      <c r="W201" s="500"/>
      <c r="X201" s="500"/>
      <c r="Y201" s="500"/>
      <c r="Z201" s="501"/>
      <c r="AA201" s="501"/>
      <c r="AB201" s="501"/>
      <c r="AC201" s="501"/>
      <c r="AD201" s="500"/>
      <c r="AE201" s="500"/>
      <c r="AF201" s="503"/>
      <c r="AG201" s="503"/>
      <c r="AH201" s="504"/>
      <c r="AI201" s="500"/>
      <c r="AJ201" s="500"/>
      <c r="AK201" s="500"/>
      <c r="AL201" s="500"/>
      <c r="AM201" s="500"/>
      <c r="AN201" s="500"/>
      <c r="AO201" s="500"/>
      <c r="AP201" s="500"/>
      <c r="AQ201" s="500"/>
      <c r="AR201" s="500"/>
      <c r="AS201" s="500"/>
      <c r="AT201" s="500"/>
      <c r="AU201" s="500"/>
      <c r="AV201" s="500"/>
      <c r="AW201" s="500"/>
      <c r="AX201" s="500"/>
      <c r="AY201" s="500"/>
      <c r="AZ201" s="500"/>
      <c r="BA201" s="500"/>
      <c r="BB201" s="500"/>
      <c r="BC201" s="500"/>
      <c r="BD201" s="500"/>
      <c r="BE201" s="500"/>
      <c r="BF201" s="500"/>
      <c r="BG201" s="500"/>
      <c r="BH201" s="500"/>
      <c r="BI201" s="500"/>
      <c r="BJ201" s="500"/>
      <c r="BK201" s="500"/>
      <c r="BL201" s="500"/>
      <c r="BM201" s="500"/>
      <c r="BN201" s="500"/>
      <c r="BO201" s="500"/>
      <c r="BP201" s="500"/>
      <c r="BQ201" s="500"/>
      <c r="BR201" s="500"/>
      <c r="BS201" s="500"/>
      <c r="BT201" s="500"/>
      <c r="BU201" s="500"/>
      <c r="BV201" s="500"/>
    </row>
    <row r="202" ht="14.25" customHeight="1">
      <c r="A202" s="8"/>
      <c r="B202" s="500"/>
      <c r="C202" s="500"/>
      <c r="D202" s="500"/>
      <c r="E202" s="500"/>
      <c r="F202" s="500"/>
      <c r="G202" s="500"/>
      <c r="H202" s="500"/>
      <c r="I202" s="500"/>
      <c r="J202" s="500"/>
      <c r="K202" s="500"/>
      <c r="L202" s="500"/>
      <c r="M202" s="500"/>
      <c r="N202" s="500"/>
      <c r="O202" s="500"/>
      <c r="P202" s="500"/>
      <c r="Q202" s="500"/>
      <c r="R202" s="500"/>
      <c r="S202" s="500"/>
      <c r="T202" s="500"/>
      <c r="U202" s="500"/>
      <c r="V202" s="500"/>
      <c r="W202" s="500"/>
      <c r="X202" s="500"/>
      <c r="Y202" s="500"/>
      <c r="Z202" s="501"/>
      <c r="AA202" s="501"/>
      <c r="AB202" s="501"/>
      <c r="AC202" s="501"/>
      <c r="AD202" s="500"/>
      <c r="AE202" s="500"/>
      <c r="AF202" s="503"/>
      <c r="AG202" s="503"/>
      <c r="AH202" s="504"/>
      <c r="AI202" s="500"/>
      <c r="AJ202" s="500"/>
      <c r="AK202" s="500"/>
      <c r="AL202" s="500"/>
      <c r="AM202" s="500"/>
      <c r="AN202" s="500"/>
      <c r="AO202" s="500"/>
      <c r="AP202" s="500"/>
      <c r="AQ202" s="500"/>
      <c r="AR202" s="500"/>
      <c r="AS202" s="500"/>
      <c r="AT202" s="500"/>
      <c r="AU202" s="500"/>
      <c r="AV202" s="500"/>
      <c r="AW202" s="500"/>
      <c r="AX202" s="500"/>
      <c r="AY202" s="500"/>
      <c r="AZ202" s="500"/>
      <c r="BA202" s="500"/>
      <c r="BB202" s="500"/>
      <c r="BC202" s="500"/>
      <c r="BD202" s="500"/>
      <c r="BE202" s="500"/>
      <c r="BF202" s="500"/>
      <c r="BG202" s="500"/>
      <c r="BH202" s="500"/>
      <c r="BI202" s="500"/>
      <c r="BJ202" s="500"/>
      <c r="BK202" s="500"/>
      <c r="BL202" s="500"/>
      <c r="BM202" s="500"/>
      <c r="BN202" s="500"/>
      <c r="BO202" s="500"/>
      <c r="BP202" s="500"/>
      <c r="BQ202" s="500"/>
      <c r="BR202" s="500"/>
      <c r="BS202" s="500"/>
      <c r="BT202" s="500"/>
      <c r="BU202" s="500"/>
      <c r="BV202" s="500"/>
    </row>
    <row r="203" ht="14.25" customHeight="1">
      <c r="A203" s="8"/>
      <c r="B203" s="500"/>
      <c r="C203" s="500"/>
      <c r="D203" s="500"/>
      <c r="E203" s="500"/>
      <c r="F203" s="500"/>
      <c r="G203" s="500"/>
      <c r="H203" s="500"/>
      <c r="I203" s="500"/>
      <c r="J203" s="500"/>
      <c r="K203" s="500"/>
      <c r="L203" s="500"/>
      <c r="M203" s="500"/>
      <c r="N203" s="500"/>
      <c r="O203" s="500"/>
      <c r="P203" s="500"/>
      <c r="Q203" s="500"/>
      <c r="R203" s="500"/>
      <c r="S203" s="500"/>
      <c r="T203" s="500"/>
      <c r="U203" s="500"/>
      <c r="V203" s="500"/>
      <c r="W203" s="500"/>
      <c r="X203" s="500"/>
      <c r="Y203" s="500"/>
      <c r="Z203" s="501"/>
      <c r="AA203" s="501"/>
      <c r="AB203" s="501"/>
      <c r="AC203" s="501"/>
      <c r="AD203" s="500"/>
      <c r="AE203" s="500"/>
      <c r="AF203" s="503"/>
      <c r="AG203" s="503"/>
      <c r="AH203" s="504"/>
      <c r="AI203" s="500"/>
      <c r="AJ203" s="500"/>
      <c r="AK203" s="500"/>
      <c r="AL203" s="500"/>
      <c r="AM203" s="500"/>
      <c r="AN203" s="500"/>
      <c r="AO203" s="500"/>
      <c r="AP203" s="500"/>
      <c r="AQ203" s="500"/>
      <c r="AR203" s="500"/>
      <c r="AS203" s="500"/>
      <c r="AT203" s="500"/>
      <c r="AU203" s="500"/>
      <c r="AV203" s="500"/>
      <c r="AW203" s="500"/>
      <c r="AX203" s="500"/>
      <c r="AY203" s="500"/>
      <c r="AZ203" s="500"/>
      <c r="BA203" s="500"/>
      <c r="BB203" s="500"/>
      <c r="BC203" s="500"/>
      <c r="BD203" s="500"/>
      <c r="BE203" s="500"/>
      <c r="BF203" s="500"/>
      <c r="BG203" s="500"/>
      <c r="BH203" s="500"/>
      <c r="BI203" s="500"/>
      <c r="BJ203" s="500"/>
      <c r="BK203" s="500"/>
      <c r="BL203" s="500"/>
      <c r="BM203" s="500"/>
      <c r="BN203" s="500"/>
      <c r="BO203" s="500"/>
      <c r="BP203" s="500"/>
      <c r="BQ203" s="500"/>
      <c r="BR203" s="500"/>
      <c r="BS203" s="500"/>
      <c r="BT203" s="500"/>
      <c r="BU203" s="500"/>
      <c r="BV203" s="500"/>
    </row>
    <row r="204" ht="14.25" customHeight="1">
      <c r="A204" s="8"/>
      <c r="B204" s="500"/>
      <c r="C204" s="500"/>
      <c r="D204" s="500"/>
      <c r="E204" s="500"/>
      <c r="F204" s="500"/>
      <c r="G204" s="500"/>
      <c r="H204" s="500"/>
      <c r="I204" s="500"/>
      <c r="J204" s="500"/>
      <c r="K204" s="500"/>
      <c r="L204" s="500"/>
      <c r="M204" s="500"/>
      <c r="N204" s="500"/>
      <c r="O204" s="500"/>
      <c r="P204" s="500"/>
      <c r="Q204" s="500"/>
      <c r="R204" s="500"/>
      <c r="S204" s="500"/>
      <c r="T204" s="500"/>
      <c r="U204" s="500"/>
      <c r="V204" s="500"/>
      <c r="W204" s="500"/>
      <c r="X204" s="500"/>
      <c r="Y204" s="500"/>
      <c r="Z204" s="501"/>
      <c r="AA204" s="501"/>
      <c r="AB204" s="501"/>
      <c r="AC204" s="501"/>
      <c r="AD204" s="500"/>
      <c r="AE204" s="500"/>
      <c r="AF204" s="503"/>
      <c r="AG204" s="503"/>
      <c r="AH204" s="504"/>
      <c r="AI204" s="500"/>
      <c r="AJ204" s="500"/>
      <c r="AK204" s="500"/>
      <c r="AL204" s="500"/>
      <c r="AM204" s="500"/>
      <c r="AN204" s="500"/>
      <c r="AO204" s="500"/>
      <c r="AP204" s="500"/>
      <c r="AQ204" s="500"/>
      <c r="AR204" s="500"/>
      <c r="AS204" s="500"/>
      <c r="AT204" s="500"/>
      <c r="AU204" s="500"/>
      <c r="AV204" s="500"/>
      <c r="AW204" s="500"/>
      <c r="AX204" s="500"/>
      <c r="AY204" s="500"/>
      <c r="AZ204" s="500"/>
      <c r="BA204" s="500"/>
      <c r="BB204" s="500"/>
      <c r="BC204" s="500"/>
      <c r="BD204" s="500"/>
      <c r="BE204" s="500"/>
      <c r="BF204" s="500"/>
      <c r="BG204" s="500"/>
      <c r="BH204" s="500"/>
      <c r="BI204" s="500"/>
      <c r="BJ204" s="500"/>
      <c r="BK204" s="500"/>
      <c r="BL204" s="500"/>
      <c r="BM204" s="500"/>
      <c r="BN204" s="500"/>
      <c r="BO204" s="500"/>
      <c r="BP204" s="500"/>
      <c r="BQ204" s="500"/>
      <c r="BR204" s="500"/>
      <c r="BS204" s="500"/>
      <c r="BT204" s="500"/>
      <c r="BU204" s="500"/>
      <c r="BV204" s="500"/>
    </row>
    <row r="205" ht="14.25" customHeight="1">
      <c r="A205" s="8"/>
      <c r="B205" s="500"/>
      <c r="C205" s="500"/>
      <c r="D205" s="500"/>
      <c r="E205" s="500"/>
      <c r="F205" s="500"/>
      <c r="G205" s="500"/>
      <c r="H205" s="500"/>
      <c r="I205" s="500"/>
      <c r="J205" s="500"/>
      <c r="K205" s="500"/>
      <c r="L205" s="500"/>
      <c r="M205" s="500"/>
      <c r="N205" s="500"/>
      <c r="O205" s="500"/>
      <c r="P205" s="500"/>
      <c r="Q205" s="500"/>
      <c r="R205" s="500"/>
      <c r="S205" s="500"/>
      <c r="T205" s="500"/>
      <c r="U205" s="500"/>
      <c r="V205" s="500"/>
      <c r="W205" s="500"/>
      <c r="X205" s="500"/>
      <c r="Y205" s="500"/>
      <c r="Z205" s="501"/>
      <c r="AA205" s="501"/>
      <c r="AB205" s="501"/>
      <c r="AC205" s="501"/>
      <c r="AD205" s="500"/>
      <c r="AE205" s="500"/>
      <c r="AF205" s="503"/>
      <c r="AG205" s="503"/>
      <c r="AH205" s="504"/>
      <c r="AI205" s="500"/>
      <c r="AJ205" s="500"/>
      <c r="AK205" s="500"/>
      <c r="AL205" s="500"/>
      <c r="AM205" s="500"/>
      <c r="AN205" s="500"/>
      <c r="AO205" s="500"/>
      <c r="AP205" s="500"/>
      <c r="AQ205" s="500"/>
      <c r="AR205" s="500"/>
      <c r="AS205" s="500"/>
      <c r="AT205" s="500"/>
      <c r="AU205" s="500"/>
      <c r="AV205" s="500"/>
      <c r="AW205" s="500"/>
      <c r="AX205" s="500"/>
      <c r="AY205" s="500"/>
      <c r="AZ205" s="500"/>
      <c r="BA205" s="500"/>
      <c r="BB205" s="500"/>
      <c r="BC205" s="500"/>
      <c r="BD205" s="500"/>
      <c r="BE205" s="500"/>
      <c r="BF205" s="500"/>
      <c r="BG205" s="500"/>
      <c r="BH205" s="500"/>
      <c r="BI205" s="500"/>
      <c r="BJ205" s="500"/>
      <c r="BK205" s="500"/>
      <c r="BL205" s="500"/>
      <c r="BM205" s="500"/>
      <c r="BN205" s="500"/>
      <c r="BO205" s="500"/>
      <c r="BP205" s="500"/>
      <c r="BQ205" s="500"/>
      <c r="BR205" s="500"/>
      <c r="BS205" s="500"/>
      <c r="BT205" s="500"/>
      <c r="BU205" s="500"/>
      <c r="BV205" s="500"/>
    </row>
    <row r="206" ht="14.25" customHeight="1">
      <c r="A206" s="8"/>
      <c r="B206" s="500"/>
      <c r="C206" s="500"/>
      <c r="D206" s="500"/>
      <c r="E206" s="500"/>
      <c r="F206" s="500"/>
      <c r="G206" s="500"/>
      <c r="H206" s="500"/>
      <c r="I206" s="500"/>
      <c r="J206" s="500"/>
      <c r="K206" s="500"/>
      <c r="L206" s="500"/>
      <c r="M206" s="500"/>
      <c r="N206" s="500"/>
      <c r="O206" s="500"/>
      <c r="P206" s="500"/>
      <c r="Q206" s="500"/>
      <c r="R206" s="500"/>
      <c r="S206" s="500"/>
      <c r="T206" s="500"/>
      <c r="U206" s="500"/>
      <c r="V206" s="500"/>
      <c r="W206" s="500"/>
      <c r="X206" s="500"/>
      <c r="Y206" s="500"/>
      <c r="Z206" s="501"/>
      <c r="AA206" s="501"/>
      <c r="AB206" s="501"/>
      <c r="AC206" s="501"/>
      <c r="AD206" s="500"/>
      <c r="AE206" s="500"/>
      <c r="AF206" s="503"/>
      <c r="AG206" s="503"/>
      <c r="AH206" s="504"/>
      <c r="AI206" s="500"/>
      <c r="AJ206" s="500"/>
      <c r="AK206" s="500"/>
      <c r="AL206" s="500"/>
      <c r="AM206" s="500"/>
      <c r="AN206" s="500"/>
      <c r="AO206" s="500"/>
      <c r="AP206" s="500"/>
      <c r="AQ206" s="500"/>
      <c r="AR206" s="500"/>
      <c r="AS206" s="500"/>
      <c r="AT206" s="500"/>
      <c r="AU206" s="500"/>
      <c r="AV206" s="500"/>
      <c r="AW206" s="500"/>
      <c r="AX206" s="500"/>
      <c r="AY206" s="500"/>
      <c r="AZ206" s="500"/>
      <c r="BA206" s="500"/>
      <c r="BB206" s="500"/>
      <c r="BC206" s="500"/>
      <c r="BD206" s="500"/>
      <c r="BE206" s="500"/>
      <c r="BF206" s="500"/>
      <c r="BG206" s="500"/>
      <c r="BH206" s="500"/>
      <c r="BI206" s="500"/>
      <c r="BJ206" s="500"/>
      <c r="BK206" s="500"/>
      <c r="BL206" s="500"/>
      <c r="BM206" s="500"/>
      <c r="BN206" s="500"/>
      <c r="BO206" s="500"/>
      <c r="BP206" s="500"/>
      <c r="BQ206" s="500"/>
      <c r="BR206" s="500"/>
      <c r="BS206" s="500"/>
      <c r="BT206" s="500"/>
      <c r="BU206" s="500"/>
      <c r="BV206" s="500"/>
    </row>
    <row r="207" ht="14.25" customHeight="1">
      <c r="A207" s="8"/>
      <c r="B207" s="500"/>
      <c r="C207" s="500"/>
      <c r="D207" s="500"/>
      <c r="E207" s="500"/>
      <c r="F207" s="500"/>
      <c r="G207" s="500"/>
      <c r="H207" s="500"/>
      <c r="I207" s="500"/>
      <c r="J207" s="500"/>
      <c r="K207" s="500"/>
      <c r="L207" s="500"/>
      <c r="M207" s="500"/>
      <c r="N207" s="500"/>
      <c r="O207" s="500"/>
      <c r="P207" s="500"/>
      <c r="Q207" s="500"/>
      <c r="R207" s="500"/>
      <c r="S207" s="500"/>
      <c r="T207" s="500"/>
      <c r="U207" s="500"/>
      <c r="V207" s="500"/>
      <c r="W207" s="500"/>
      <c r="X207" s="500"/>
      <c r="Y207" s="500"/>
      <c r="Z207" s="501"/>
      <c r="AA207" s="501"/>
      <c r="AB207" s="501"/>
      <c r="AC207" s="501"/>
      <c r="AD207" s="500"/>
      <c r="AE207" s="500"/>
      <c r="AF207" s="503"/>
      <c r="AG207" s="503"/>
      <c r="AH207" s="504"/>
      <c r="AI207" s="500"/>
      <c r="AJ207" s="500"/>
      <c r="AK207" s="500"/>
      <c r="AL207" s="500"/>
      <c r="AM207" s="500"/>
      <c r="AN207" s="500"/>
      <c r="AO207" s="500"/>
      <c r="AP207" s="500"/>
      <c r="AQ207" s="500"/>
      <c r="AR207" s="500"/>
      <c r="AS207" s="500"/>
      <c r="AT207" s="500"/>
      <c r="AU207" s="500"/>
      <c r="AV207" s="500"/>
      <c r="AW207" s="500"/>
      <c r="AX207" s="500"/>
      <c r="AY207" s="500"/>
      <c r="AZ207" s="500"/>
      <c r="BA207" s="500"/>
      <c r="BB207" s="500"/>
      <c r="BC207" s="500"/>
      <c r="BD207" s="500"/>
      <c r="BE207" s="500"/>
      <c r="BF207" s="500"/>
      <c r="BG207" s="500"/>
      <c r="BH207" s="500"/>
      <c r="BI207" s="500"/>
      <c r="BJ207" s="500"/>
      <c r="BK207" s="500"/>
      <c r="BL207" s="500"/>
      <c r="BM207" s="500"/>
      <c r="BN207" s="500"/>
      <c r="BO207" s="500"/>
      <c r="BP207" s="500"/>
      <c r="BQ207" s="500"/>
      <c r="BR207" s="500"/>
      <c r="BS207" s="500"/>
      <c r="BT207" s="500"/>
      <c r="BU207" s="500"/>
      <c r="BV207" s="500"/>
    </row>
    <row r="208" ht="14.25" customHeight="1">
      <c r="A208" s="8"/>
      <c r="B208" s="500"/>
      <c r="C208" s="500"/>
      <c r="D208" s="500"/>
      <c r="E208" s="500"/>
      <c r="F208" s="500"/>
      <c r="G208" s="500"/>
      <c r="H208" s="500"/>
      <c r="I208" s="500"/>
      <c r="J208" s="500"/>
      <c r="K208" s="500"/>
      <c r="L208" s="500"/>
      <c r="M208" s="500"/>
      <c r="N208" s="500"/>
      <c r="O208" s="500"/>
      <c r="P208" s="500"/>
      <c r="Q208" s="500"/>
      <c r="R208" s="500"/>
      <c r="S208" s="500"/>
      <c r="T208" s="500"/>
      <c r="U208" s="500"/>
      <c r="V208" s="500"/>
      <c r="W208" s="500"/>
      <c r="X208" s="500"/>
      <c r="Y208" s="500"/>
      <c r="Z208" s="501"/>
      <c r="AA208" s="501"/>
      <c r="AB208" s="501"/>
      <c r="AC208" s="501"/>
      <c r="AD208" s="500"/>
      <c r="AE208" s="500"/>
      <c r="AF208" s="503"/>
      <c r="AG208" s="503"/>
      <c r="AH208" s="504"/>
      <c r="AI208" s="500"/>
      <c r="AJ208" s="500"/>
      <c r="AK208" s="500"/>
      <c r="AL208" s="500"/>
      <c r="AM208" s="500"/>
      <c r="AN208" s="500"/>
      <c r="AO208" s="500"/>
      <c r="AP208" s="500"/>
      <c r="AQ208" s="500"/>
      <c r="AR208" s="500"/>
      <c r="AS208" s="500"/>
      <c r="AT208" s="500"/>
      <c r="AU208" s="500"/>
      <c r="AV208" s="500"/>
      <c r="AW208" s="500"/>
      <c r="AX208" s="500"/>
      <c r="AY208" s="500"/>
      <c r="AZ208" s="500"/>
      <c r="BA208" s="500"/>
      <c r="BB208" s="500"/>
      <c r="BC208" s="500"/>
      <c r="BD208" s="500"/>
      <c r="BE208" s="500"/>
      <c r="BF208" s="500"/>
      <c r="BG208" s="500"/>
      <c r="BH208" s="500"/>
      <c r="BI208" s="500"/>
      <c r="BJ208" s="500"/>
      <c r="BK208" s="500"/>
      <c r="BL208" s="500"/>
      <c r="BM208" s="500"/>
      <c r="BN208" s="500"/>
      <c r="BO208" s="500"/>
      <c r="BP208" s="500"/>
      <c r="BQ208" s="500"/>
      <c r="BR208" s="500"/>
      <c r="BS208" s="500"/>
      <c r="BT208" s="500"/>
      <c r="BU208" s="500"/>
      <c r="BV208" s="500"/>
    </row>
    <row r="209" ht="14.25" customHeight="1">
      <c r="A209" s="8"/>
      <c r="B209" s="500"/>
      <c r="C209" s="500"/>
      <c r="D209" s="500"/>
      <c r="E209" s="500"/>
      <c r="F209" s="500"/>
      <c r="G209" s="500"/>
      <c r="H209" s="500"/>
      <c r="I209" s="500"/>
      <c r="J209" s="500"/>
      <c r="K209" s="500"/>
      <c r="L209" s="500"/>
      <c r="M209" s="500"/>
      <c r="N209" s="500"/>
      <c r="O209" s="500"/>
      <c r="P209" s="500"/>
      <c r="Q209" s="500"/>
      <c r="R209" s="500"/>
      <c r="S209" s="500"/>
      <c r="T209" s="500"/>
      <c r="U209" s="500"/>
      <c r="V209" s="500"/>
      <c r="W209" s="500"/>
      <c r="X209" s="500"/>
      <c r="Y209" s="500"/>
      <c r="Z209" s="501"/>
      <c r="AA209" s="501"/>
      <c r="AB209" s="501"/>
      <c r="AC209" s="501"/>
      <c r="AD209" s="500"/>
      <c r="AE209" s="500"/>
      <c r="AF209" s="503"/>
      <c r="AG209" s="503"/>
      <c r="AH209" s="504"/>
      <c r="AI209" s="500"/>
      <c r="AJ209" s="500"/>
      <c r="AK209" s="500"/>
      <c r="AL209" s="500"/>
      <c r="AM209" s="500"/>
      <c r="AN209" s="500"/>
      <c r="AO209" s="500"/>
      <c r="AP209" s="500"/>
      <c r="AQ209" s="500"/>
      <c r="AR209" s="500"/>
      <c r="AS209" s="500"/>
      <c r="AT209" s="500"/>
      <c r="AU209" s="500"/>
      <c r="AV209" s="500"/>
      <c r="AW209" s="500"/>
      <c r="AX209" s="500"/>
      <c r="AY209" s="500"/>
      <c r="AZ209" s="500"/>
      <c r="BA209" s="500"/>
      <c r="BB209" s="500"/>
      <c r="BC209" s="500"/>
      <c r="BD209" s="500"/>
      <c r="BE209" s="500"/>
      <c r="BF209" s="500"/>
      <c r="BG209" s="500"/>
      <c r="BH209" s="500"/>
      <c r="BI209" s="500"/>
      <c r="BJ209" s="500"/>
      <c r="BK209" s="500"/>
      <c r="BL209" s="500"/>
      <c r="BM209" s="500"/>
      <c r="BN209" s="500"/>
      <c r="BO209" s="500"/>
      <c r="BP209" s="500"/>
      <c r="BQ209" s="500"/>
      <c r="BR209" s="500"/>
      <c r="BS209" s="500"/>
      <c r="BT209" s="500"/>
      <c r="BU209" s="500"/>
      <c r="BV209" s="500"/>
    </row>
    <row r="210" ht="14.25" customHeight="1">
      <c r="A210" s="8"/>
      <c r="B210" s="500"/>
      <c r="C210" s="500"/>
      <c r="D210" s="500"/>
      <c r="E210" s="500"/>
      <c r="F210" s="500"/>
      <c r="G210" s="500"/>
      <c r="H210" s="500"/>
      <c r="I210" s="500"/>
      <c r="J210" s="500"/>
      <c r="K210" s="500"/>
      <c r="L210" s="500"/>
      <c r="M210" s="500"/>
      <c r="N210" s="500"/>
      <c r="O210" s="500"/>
      <c r="P210" s="500"/>
      <c r="Q210" s="500"/>
      <c r="R210" s="500"/>
      <c r="S210" s="500"/>
      <c r="T210" s="500"/>
      <c r="U210" s="500"/>
      <c r="V210" s="500"/>
      <c r="W210" s="500"/>
      <c r="X210" s="500"/>
      <c r="Y210" s="500"/>
      <c r="Z210" s="501"/>
      <c r="AA210" s="501"/>
      <c r="AB210" s="501"/>
      <c r="AC210" s="501"/>
      <c r="AD210" s="500"/>
      <c r="AE210" s="500"/>
      <c r="AF210" s="503"/>
      <c r="AG210" s="503"/>
      <c r="AH210" s="504"/>
      <c r="AI210" s="500"/>
      <c r="AJ210" s="500"/>
      <c r="AK210" s="500"/>
      <c r="AL210" s="500"/>
      <c r="AM210" s="500"/>
      <c r="AN210" s="500"/>
      <c r="AO210" s="500"/>
      <c r="AP210" s="500"/>
      <c r="AQ210" s="500"/>
      <c r="AR210" s="500"/>
      <c r="AS210" s="500"/>
      <c r="AT210" s="500"/>
      <c r="AU210" s="500"/>
      <c r="AV210" s="500"/>
      <c r="AW210" s="500"/>
      <c r="AX210" s="500"/>
      <c r="AY210" s="500"/>
      <c r="AZ210" s="500"/>
      <c r="BA210" s="500"/>
      <c r="BB210" s="500"/>
      <c r="BC210" s="500"/>
      <c r="BD210" s="500"/>
      <c r="BE210" s="500"/>
      <c r="BF210" s="500"/>
      <c r="BG210" s="500"/>
      <c r="BH210" s="500"/>
      <c r="BI210" s="500"/>
      <c r="BJ210" s="500"/>
      <c r="BK210" s="500"/>
      <c r="BL210" s="500"/>
      <c r="BM210" s="500"/>
      <c r="BN210" s="500"/>
      <c r="BO210" s="500"/>
      <c r="BP210" s="500"/>
      <c r="BQ210" s="500"/>
      <c r="BR210" s="500"/>
      <c r="BS210" s="500"/>
      <c r="BT210" s="500"/>
      <c r="BU210" s="500"/>
      <c r="BV210" s="500"/>
    </row>
    <row r="211" ht="14.25" customHeight="1">
      <c r="A211" s="8"/>
      <c r="B211" s="500"/>
      <c r="C211" s="500"/>
      <c r="D211" s="500"/>
      <c r="E211" s="500"/>
      <c r="F211" s="500"/>
      <c r="G211" s="500"/>
      <c r="H211" s="500"/>
      <c r="I211" s="500"/>
      <c r="J211" s="500"/>
      <c r="K211" s="500"/>
      <c r="L211" s="500"/>
      <c r="M211" s="500"/>
      <c r="N211" s="500"/>
      <c r="O211" s="500"/>
      <c r="P211" s="500"/>
      <c r="Q211" s="500"/>
      <c r="R211" s="500"/>
      <c r="S211" s="500"/>
      <c r="T211" s="500"/>
      <c r="U211" s="500"/>
      <c r="V211" s="500"/>
      <c r="W211" s="500"/>
      <c r="X211" s="500"/>
      <c r="Y211" s="500"/>
      <c r="Z211" s="501"/>
      <c r="AA211" s="501"/>
      <c r="AB211" s="501"/>
      <c r="AC211" s="501"/>
      <c r="AD211" s="500"/>
      <c r="AE211" s="500"/>
      <c r="AF211" s="503"/>
      <c r="AG211" s="503"/>
      <c r="AH211" s="504"/>
      <c r="AI211" s="500"/>
      <c r="AJ211" s="500"/>
      <c r="AK211" s="500"/>
      <c r="AL211" s="500"/>
      <c r="AM211" s="500"/>
      <c r="AN211" s="500"/>
      <c r="AO211" s="500"/>
      <c r="AP211" s="500"/>
      <c r="AQ211" s="500"/>
      <c r="AR211" s="500"/>
      <c r="AS211" s="500"/>
      <c r="AT211" s="500"/>
      <c r="AU211" s="500"/>
      <c r="AV211" s="500"/>
      <c r="AW211" s="500"/>
      <c r="AX211" s="500"/>
      <c r="AY211" s="500"/>
      <c r="AZ211" s="500"/>
      <c r="BA211" s="500"/>
      <c r="BB211" s="500"/>
      <c r="BC211" s="500"/>
      <c r="BD211" s="500"/>
      <c r="BE211" s="500"/>
      <c r="BF211" s="500"/>
      <c r="BG211" s="500"/>
      <c r="BH211" s="500"/>
      <c r="BI211" s="500"/>
      <c r="BJ211" s="500"/>
      <c r="BK211" s="500"/>
      <c r="BL211" s="500"/>
      <c r="BM211" s="500"/>
      <c r="BN211" s="500"/>
      <c r="BO211" s="500"/>
      <c r="BP211" s="500"/>
      <c r="BQ211" s="500"/>
      <c r="BR211" s="500"/>
      <c r="BS211" s="500"/>
      <c r="BT211" s="500"/>
      <c r="BU211" s="500"/>
      <c r="BV211" s="500"/>
    </row>
    <row r="212" ht="14.25" customHeight="1">
      <c r="A212" s="8"/>
      <c r="B212" s="500"/>
      <c r="C212" s="500"/>
      <c r="D212" s="500"/>
      <c r="E212" s="500"/>
      <c r="F212" s="500"/>
      <c r="G212" s="500"/>
      <c r="H212" s="500"/>
      <c r="I212" s="500"/>
      <c r="J212" s="500"/>
      <c r="K212" s="500"/>
      <c r="L212" s="500"/>
      <c r="M212" s="500"/>
      <c r="N212" s="500"/>
      <c r="O212" s="500"/>
      <c r="P212" s="500"/>
      <c r="Q212" s="500"/>
      <c r="R212" s="500"/>
      <c r="S212" s="500"/>
      <c r="T212" s="500"/>
      <c r="U212" s="500"/>
      <c r="V212" s="500"/>
      <c r="W212" s="500"/>
      <c r="X212" s="500"/>
      <c r="Y212" s="500"/>
      <c r="Z212" s="501"/>
      <c r="AA212" s="501"/>
      <c r="AB212" s="501"/>
      <c r="AC212" s="501"/>
      <c r="AD212" s="500"/>
      <c r="AE212" s="500"/>
      <c r="AF212" s="503"/>
      <c r="AG212" s="503"/>
      <c r="AH212" s="504"/>
      <c r="AI212" s="500"/>
      <c r="AJ212" s="500"/>
      <c r="AK212" s="500"/>
      <c r="AL212" s="500"/>
      <c r="AM212" s="500"/>
      <c r="AN212" s="500"/>
      <c r="AO212" s="500"/>
      <c r="AP212" s="500"/>
      <c r="AQ212" s="500"/>
      <c r="AR212" s="500"/>
      <c r="AS212" s="500"/>
      <c r="AT212" s="500"/>
      <c r="AU212" s="500"/>
      <c r="AV212" s="500"/>
      <c r="AW212" s="500"/>
      <c r="AX212" s="500"/>
      <c r="AY212" s="500"/>
      <c r="AZ212" s="500"/>
      <c r="BA212" s="500"/>
      <c r="BB212" s="500"/>
      <c r="BC212" s="500"/>
      <c r="BD212" s="500"/>
      <c r="BE212" s="500"/>
      <c r="BF212" s="500"/>
      <c r="BG212" s="500"/>
      <c r="BH212" s="500"/>
      <c r="BI212" s="500"/>
      <c r="BJ212" s="500"/>
      <c r="BK212" s="500"/>
      <c r="BL212" s="500"/>
      <c r="BM212" s="500"/>
      <c r="BN212" s="500"/>
      <c r="BO212" s="500"/>
      <c r="BP212" s="500"/>
      <c r="BQ212" s="500"/>
      <c r="BR212" s="500"/>
      <c r="BS212" s="500"/>
      <c r="BT212" s="500"/>
      <c r="BU212" s="500"/>
      <c r="BV212" s="500"/>
    </row>
    <row r="213" ht="14.25" customHeight="1">
      <c r="A213" s="8"/>
      <c r="B213" s="500"/>
      <c r="C213" s="500"/>
      <c r="D213" s="500"/>
      <c r="E213" s="500"/>
      <c r="F213" s="500"/>
      <c r="G213" s="500"/>
      <c r="H213" s="500"/>
      <c r="I213" s="500"/>
      <c r="J213" s="500"/>
      <c r="K213" s="500"/>
      <c r="L213" s="500"/>
      <c r="M213" s="500"/>
      <c r="N213" s="500"/>
      <c r="O213" s="500"/>
      <c r="P213" s="500"/>
      <c r="Q213" s="500"/>
      <c r="R213" s="500"/>
      <c r="S213" s="500"/>
      <c r="T213" s="500"/>
      <c r="U213" s="500"/>
      <c r="V213" s="500"/>
      <c r="W213" s="500"/>
      <c r="X213" s="500"/>
      <c r="Y213" s="500"/>
      <c r="Z213" s="501"/>
      <c r="AA213" s="501"/>
      <c r="AB213" s="501"/>
      <c r="AC213" s="501"/>
      <c r="AD213" s="500"/>
      <c r="AE213" s="500"/>
      <c r="AF213" s="503"/>
      <c r="AG213" s="503"/>
      <c r="AH213" s="504"/>
      <c r="AI213" s="500"/>
      <c r="AJ213" s="500"/>
      <c r="AK213" s="500"/>
      <c r="AL213" s="500"/>
      <c r="AM213" s="500"/>
      <c r="AN213" s="500"/>
      <c r="AO213" s="500"/>
      <c r="AP213" s="500"/>
      <c r="AQ213" s="500"/>
      <c r="AR213" s="500"/>
      <c r="AS213" s="500"/>
      <c r="AT213" s="500"/>
      <c r="AU213" s="500"/>
      <c r="AV213" s="500"/>
      <c r="AW213" s="500"/>
      <c r="AX213" s="500"/>
      <c r="AY213" s="500"/>
      <c r="AZ213" s="500"/>
      <c r="BA213" s="500"/>
      <c r="BB213" s="500"/>
      <c r="BC213" s="500"/>
      <c r="BD213" s="500"/>
      <c r="BE213" s="500"/>
      <c r="BF213" s="500"/>
      <c r="BG213" s="500"/>
      <c r="BH213" s="500"/>
      <c r="BI213" s="500"/>
      <c r="BJ213" s="500"/>
      <c r="BK213" s="500"/>
      <c r="BL213" s="500"/>
      <c r="BM213" s="500"/>
      <c r="BN213" s="500"/>
      <c r="BO213" s="500"/>
      <c r="BP213" s="500"/>
      <c r="BQ213" s="500"/>
      <c r="BR213" s="500"/>
      <c r="BS213" s="500"/>
      <c r="BT213" s="500"/>
      <c r="BU213" s="500"/>
      <c r="BV213" s="500"/>
    </row>
    <row r="214" ht="14.25" customHeight="1">
      <c r="A214" s="8"/>
      <c r="B214" s="500"/>
      <c r="C214" s="500"/>
      <c r="D214" s="500"/>
      <c r="E214" s="500"/>
      <c r="F214" s="500"/>
      <c r="G214" s="500"/>
      <c r="H214" s="500"/>
      <c r="I214" s="500"/>
      <c r="J214" s="500"/>
      <c r="K214" s="500"/>
      <c r="L214" s="500"/>
      <c r="M214" s="500"/>
      <c r="N214" s="500"/>
      <c r="O214" s="500"/>
      <c r="P214" s="500"/>
      <c r="Q214" s="500"/>
      <c r="R214" s="500"/>
      <c r="S214" s="500"/>
      <c r="T214" s="500"/>
      <c r="U214" s="500"/>
      <c r="V214" s="500"/>
      <c r="W214" s="500"/>
      <c r="X214" s="500"/>
      <c r="Y214" s="500"/>
      <c r="Z214" s="501"/>
      <c r="AA214" s="501"/>
      <c r="AB214" s="501"/>
      <c r="AC214" s="501"/>
      <c r="AD214" s="500"/>
      <c r="AE214" s="500"/>
      <c r="AF214" s="503"/>
      <c r="AG214" s="503"/>
      <c r="AH214" s="504"/>
      <c r="AI214" s="500"/>
      <c r="AJ214" s="500"/>
      <c r="AK214" s="500"/>
      <c r="AL214" s="500"/>
      <c r="AM214" s="500"/>
      <c r="AN214" s="500"/>
      <c r="AO214" s="500"/>
      <c r="AP214" s="500"/>
      <c r="AQ214" s="500"/>
      <c r="AR214" s="500"/>
      <c r="AS214" s="500"/>
      <c r="AT214" s="500"/>
      <c r="AU214" s="500"/>
      <c r="AV214" s="500"/>
      <c r="AW214" s="500"/>
      <c r="AX214" s="500"/>
      <c r="AY214" s="500"/>
      <c r="AZ214" s="500"/>
      <c r="BA214" s="500"/>
      <c r="BB214" s="500"/>
      <c r="BC214" s="500"/>
      <c r="BD214" s="500"/>
      <c r="BE214" s="500"/>
      <c r="BF214" s="500"/>
      <c r="BG214" s="500"/>
      <c r="BH214" s="500"/>
      <c r="BI214" s="500"/>
      <c r="BJ214" s="500"/>
      <c r="BK214" s="500"/>
      <c r="BL214" s="500"/>
      <c r="BM214" s="500"/>
      <c r="BN214" s="500"/>
      <c r="BO214" s="500"/>
      <c r="BP214" s="500"/>
      <c r="BQ214" s="500"/>
      <c r="BR214" s="500"/>
      <c r="BS214" s="500"/>
      <c r="BT214" s="500"/>
      <c r="BU214" s="500"/>
      <c r="BV214" s="500"/>
    </row>
    <row r="215" ht="14.25" customHeight="1">
      <c r="A215" s="8"/>
      <c r="B215" s="500"/>
      <c r="C215" s="500"/>
      <c r="D215" s="500"/>
      <c r="E215" s="500"/>
      <c r="F215" s="500"/>
      <c r="G215" s="500"/>
      <c r="H215" s="500"/>
      <c r="I215" s="500"/>
      <c r="J215" s="500"/>
      <c r="K215" s="500"/>
      <c r="L215" s="500"/>
      <c r="M215" s="500"/>
      <c r="N215" s="500"/>
      <c r="O215" s="500"/>
      <c r="P215" s="500"/>
      <c r="Q215" s="500"/>
      <c r="R215" s="500"/>
      <c r="S215" s="500"/>
      <c r="T215" s="500"/>
      <c r="U215" s="500"/>
      <c r="V215" s="500"/>
      <c r="W215" s="500"/>
      <c r="X215" s="500"/>
      <c r="Y215" s="500"/>
      <c r="Z215" s="501"/>
      <c r="AA215" s="501"/>
      <c r="AB215" s="501"/>
      <c r="AC215" s="501"/>
      <c r="AD215" s="500"/>
      <c r="AE215" s="500"/>
      <c r="AF215" s="503"/>
      <c r="AG215" s="503"/>
      <c r="AH215" s="504"/>
      <c r="AI215" s="500"/>
      <c r="AJ215" s="500"/>
      <c r="AK215" s="500"/>
      <c r="AL215" s="500"/>
      <c r="AM215" s="500"/>
      <c r="AN215" s="500"/>
      <c r="AO215" s="500"/>
      <c r="AP215" s="500"/>
      <c r="AQ215" s="500"/>
      <c r="AR215" s="500"/>
      <c r="AS215" s="500"/>
      <c r="AT215" s="500"/>
      <c r="AU215" s="500"/>
      <c r="AV215" s="500"/>
      <c r="AW215" s="500"/>
      <c r="AX215" s="500"/>
      <c r="AY215" s="500"/>
      <c r="AZ215" s="500"/>
      <c r="BA215" s="500"/>
      <c r="BB215" s="500"/>
      <c r="BC215" s="500"/>
      <c r="BD215" s="500"/>
      <c r="BE215" s="500"/>
      <c r="BF215" s="500"/>
      <c r="BG215" s="500"/>
      <c r="BH215" s="500"/>
      <c r="BI215" s="500"/>
      <c r="BJ215" s="500"/>
      <c r="BK215" s="500"/>
      <c r="BL215" s="500"/>
      <c r="BM215" s="500"/>
      <c r="BN215" s="500"/>
      <c r="BO215" s="500"/>
      <c r="BP215" s="500"/>
      <c r="BQ215" s="500"/>
      <c r="BR215" s="500"/>
      <c r="BS215" s="500"/>
      <c r="BT215" s="500"/>
      <c r="BU215" s="500"/>
      <c r="BV215" s="500"/>
    </row>
    <row r="216" ht="14.25" customHeight="1">
      <c r="A216" s="8"/>
      <c r="B216" s="500"/>
      <c r="C216" s="500"/>
      <c r="D216" s="500"/>
      <c r="E216" s="500"/>
      <c r="F216" s="500"/>
      <c r="G216" s="500"/>
      <c r="H216" s="500"/>
      <c r="I216" s="500"/>
      <c r="J216" s="500"/>
      <c r="K216" s="500"/>
      <c r="L216" s="500"/>
      <c r="M216" s="500"/>
      <c r="N216" s="500"/>
      <c r="O216" s="500"/>
      <c r="P216" s="500"/>
      <c r="Q216" s="500"/>
      <c r="R216" s="500"/>
      <c r="S216" s="500"/>
      <c r="T216" s="500"/>
      <c r="U216" s="500"/>
      <c r="V216" s="500"/>
      <c r="W216" s="500"/>
      <c r="X216" s="500"/>
      <c r="Y216" s="500"/>
      <c r="Z216" s="501"/>
      <c r="AA216" s="501"/>
      <c r="AB216" s="501"/>
      <c r="AC216" s="501"/>
      <c r="AD216" s="500"/>
      <c r="AE216" s="500"/>
      <c r="AF216" s="503"/>
      <c r="AG216" s="503"/>
      <c r="AH216" s="504"/>
      <c r="AI216" s="500"/>
      <c r="AJ216" s="500"/>
      <c r="AK216" s="500"/>
      <c r="AL216" s="500"/>
      <c r="AM216" s="500"/>
      <c r="AN216" s="500"/>
      <c r="AO216" s="500"/>
      <c r="AP216" s="500"/>
      <c r="AQ216" s="500"/>
      <c r="AR216" s="500"/>
      <c r="AS216" s="500"/>
      <c r="AT216" s="500"/>
      <c r="AU216" s="500"/>
      <c r="AV216" s="500"/>
      <c r="AW216" s="500"/>
      <c r="AX216" s="500"/>
      <c r="AY216" s="500"/>
      <c r="AZ216" s="500"/>
      <c r="BA216" s="500"/>
      <c r="BB216" s="500"/>
      <c r="BC216" s="500"/>
      <c r="BD216" s="500"/>
      <c r="BE216" s="500"/>
      <c r="BF216" s="500"/>
      <c r="BG216" s="500"/>
      <c r="BH216" s="500"/>
      <c r="BI216" s="500"/>
      <c r="BJ216" s="500"/>
      <c r="BK216" s="500"/>
      <c r="BL216" s="500"/>
      <c r="BM216" s="500"/>
      <c r="BN216" s="500"/>
      <c r="BO216" s="500"/>
      <c r="BP216" s="500"/>
      <c r="BQ216" s="500"/>
      <c r="BR216" s="500"/>
      <c r="BS216" s="500"/>
      <c r="BT216" s="500"/>
      <c r="BU216" s="500"/>
      <c r="BV216" s="500"/>
    </row>
    <row r="217" ht="14.25" customHeight="1">
      <c r="A217" s="8"/>
      <c r="B217" s="500"/>
      <c r="C217" s="500"/>
      <c r="D217" s="500"/>
      <c r="E217" s="500"/>
      <c r="F217" s="500"/>
      <c r="G217" s="500"/>
      <c r="H217" s="500"/>
      <c r="I217" s="500"/>
      <c r="J217" s="500"/>
      <c r="K217" s="500"/>
      <c r="L217" s="500"/>
      <c r="M217" s="500"/>
      <c r="N217" s="500"/>
      <c r="O217" s="500"/>
      <c r="P217" s="500"/>
      <c r="Q217" s="500"/>
      <c r="R217" s="500"/>
      <c r="S217" s="500"/>
      <c r="T217" s="500"/>
      <c r="U217" s="500"/>
      <c r="V217" s="500"/>
      <c r="W217" s="500"/>
      <c r="X217" s="500"/>
      <c r="Y217" s="500"/>
      <c r="Z217" s="501"/>
      <c r="AA217" s="501"/>
      <c r="AB217" s="501"/>
      <c r="AC217" s="501"/>
      <c r="AD217" s="500"/>
      <c r="AE217" s="500"/>
      <c r="AF217" s="503"/>
      <c r="AG217" s="503"/>
      <c r="AH217" s="504"/>
      <c r="AI217" s="500"/>
      <c r="AJ217" s="500"/>
      <c r="AK217" s="500"/>
      <c r="AL217" s="500"/>
      <c r="AM217" s="500"/>
      <c r="AN217" s="500"/>
      <c r="AO217" s="500"/>
      <c r="AP217" s="500"/>
      <c r="AQ217" s="500"/>
      <c r="AR217" s="500"/>
      <c r="AS217" s="500"/>
      <c r="AT217" s="500"/>
      <c r="AU217" s="500"/>
      <c r="AV217" s="500"/>
      <c r="AW217" s="500"/>
      <c r="AX217" s="500"/>
      <c r="AY217" s="500"/>
      <c r="AZ217" s="500"/>
      <c r="BA217" s="500"/>
      <c r="BB217" s="500"/>
      <c r="BC217" s="500"/>
      <c r="BD217" s="500"/>
      <c r="BE217" s="500"/>
      <c r="BF217" s="500"/>
      <c r="BG217" s="500"/>
      <c r="BH217" s="500"/>
      <c r="BI217" s="500"/>
      <c r="BJ217" s="500"/>
      <c r="BK217" s="500"/>
      <c r="BL217" s="500"/>
      <c r="BM217" s="500"/>
      <c r="BN217" s="500"/>
      <c r="BO217" s="500"/>
      <c r="BP217" s="500"/>
      <c r="BQ217" s="500"/>
      <c r="BR217" s="500"/>
      <c r="BS217" s="500"/>
      <c r="BT217" s="500"/>
      <c r="BU217" s="500"/>
      <c r="BV217" s="500"/>
    </row>
    <row r="218" ht="14.25" customHeight="1">
      <c r="A218" s="8"/>
      <c r="B218" s="500"/>
      <c r="C218" s="500"/>
      <c r="D218" s="500"/>
      <c r="E218" s="500"/>
      <c r="F218" s="500"/>
      <c r="G218" s="500"/>
      <c r="H218" s="500"/>
      <c r="I218" s="500"/>
      <c r="J218" s="500"/>
      <c r="K218" s="500"/>
      <c r="L218" s="500"/>
      <c r="M218" s="500"/>
      <c r="N218" s="500"/>
      <c r="O218" s="500"/>
      <c r="P218" s="500"/>
      <c r="Q218" s="500"/>
      <c r="R218" s="500"/>
      <c r="S218" s="500"/>
      <c r="T218" s="500"/>
      <c r="U218" s="500"/>
      <c r="V218" s="500"/>
      <c r="W218" s="500"/>
      <c r="X218" s="500"/>
      <c r="Y218" s="500"/>
      <c r="Z218" s="501"/>
      <c r="AA218" s="501"/>
      <c r="AB218" s="501"/>
      <c r="AC218" s="501"/>
      <c r="AD218" s="500"/>
      <c r="AE218" s="500"/>
      <c r="AF218" s="503"/>
      <c r="AG218" s="503"/>
      <c r="AH218" s="504"/>
      <c r="AI218" s="500"/>
      <c r="AJ218" s="500"/>
      <c r="AK218" s="500"/>
      <c r="AL218" s="500"/>
      <c r="AM218" s="500"/>
      <c r="AN218" s="500"/>
      <c r="AO218" s="500"/>
      <c r="AP218" s="500"/>
      <c r="AQ218" s="500"/>
      <c r="AR218" s="500"/>
      <c r="AS218" s="500"/>
      <c r="AT218" s="500"/>
      <c r="AU218" s="500"/>
      <c r="AV218" s="500"/>
      <c r="AW218" s="500"/>
      <c r="AX218" s="500"/>
      <c r="AY218" s="500"/>
      <c r="AZ218" s="500"/>
      <c r="BA218" s="500"/>
      <c r="BB218" s="500"/>
      <c r="BC218" s="500"/>
      <c r="BD218" s="500"/>
      <c r="BE218" s="500"/>
      <c r="BF218" s="500"/>
      <c r="BG218" s="500"/>
      <c r="BH218" s="500"/>
      <c r="BI218" s="500"/>
      <c r="BJ218" s="500"/>
      <c r="BK218" s="500"/>
      <c r="BL218" s="500"/>
      <c r="BM218" s="500"/>
      <c r="BN218" s="500"/>
      <c r="BO218" s="500"/>
      <c r="BP218" s="500"/>
      <c r="BQ218" s="500"/>
      <c r="BR218" s="500"/>
      <c r="BS218" s="500"/>
      <c r="BT218" s="500"/>
      <c r="BU218" s="500"/>
      <c r="BV218" s="500"/>
    </row>
    <row r="219" ht="14.25" customHeight="1">
      <c r="A219" s="8"/>
      <c r="B219" s="500"/>
      <c r="C219" s="500"/>
      <c r="D219" s="500"/>
      <c r="E219" s="500"/>
      <c r="F219" s="500"/>
      <c r="G219" s="500"/>
      <c r="H219" s="500"/>
      <c r="I219" s="500"/>
      <c r="J219" s="500"/>
      <c r="K219" s="500"/>
      <c r="L219" s="500"/>
      <c r="M219" s="500"/>
      <c r="N219" s="500"/>
      <c r="O219" s="500"/>
      <c r="P219" s="500"/>
      <c r="Q219" s="500"/>
      <c r="R219" s="500"/>
      <c r="S219" s="500"/>
      <c r="T219" s="500"/>
      <c r="U219" s="500"/>
      <c r="V219" s="500"/>
      <c r="W219" s="500"/>
      <c r="X219" s="500"/>
      <c r="Y219" s="500"/>
      <c r="Z219" s="501"/>
      <c r="AA219" s="501"/>
      <c r="AB219" s="501"/>
      <c r="AC219" s="501"/>
      <c r="AD219" s="500"/>
      <c r="AE219" s="500"/>
      <c r="AF219" s="503"/>
      <c r="AG219" s="503"/>
      <c r="AH219" s="504"/>
      <c r="AI219" s="500"/>
      <c r="AJ219" s="500"/>
      <c r="AK219" s="500"/>
      <c r="AL219" s="500"/>
      <c r="AM219" s="500"/>
      <c r="AN219" s="500"/>
      <c r="AO219" s="500"/>
      <c r="AP219" s="500"/>
      <c r="AQ219" s="500"/>
      <c r="AR219" s="500"/>
      <c r="AS219" s="500"/>
      <c r="AT219" s="500"/>
      <c r="AU219" s="500"/>
      <c r="AV219" s="500"/>
      <c r="AW219" s="500"/>
      <c r="AX219" s="500"/>
      <c r="AY219" s="500"/>
      <c r="AZ219" s="500"/>
      <c r="BA219" s="500"/>
      <c r="BB219" s="500"/>
      <c r="BC219" s="500"/>
      <c r="BD219" s="500"/>
      <c r="BE219" s="500"/>
      <c r="BF219" s="500"/>
      <c r="BG219" s="500"/>
      <c r="BH219" s="500"/>
      <c r="BI219" s="500"/>
      <c r="BJ219" s="500"/>
      <c r="BK219" s="500"/>
      <c r="BL219" s="500"/>
      <c r="BM219" s="500"/>
      <c r="BN219" s="500"/>
      <c r="BO219" s="500"/>
      <c r="BP219" s="500"/>
      <c r="BQ219" s="500"/>
      <c r="BR219" s="500"/>
      <c r="BS219" s="500"/>
      <c r="BT219" s="500"/>
      <c r="BU219" s="500"/>
      <c r="BV219" s="500"/>
    </row>
    <row r="220" ht="14.25" customHeight="1">
      <c r="A220" s="8"/>
      <c r="B220" s="500"/>
      <c r="C220" s="500"/>
      <c r="D220" s="500"/>
      <c r="E220" s="500"/>
      <c r="F220" s="500"/>
      <c r="G220" s="500"/>
      <c r="H220" s="500"/>
      <c r="I220" s="500"/>
      <c r="J220" s="500"/>
      <c r="K220" s="500"/>
      <c r="L220" s="500"/>
      <c r="M220" s="500"/>
      <c r="N220" s="500"/>
      <c r="O220" s="500"/>
      <c r="P220" s="500"/>
      <c r="Q220" s="500"/>
      <c r="R220" s="500"/>
      <c r="S220" s="500"/>
      <c r="T220" s="500"/>
      <c r="U220" s="500"/>
      <c r="V220" s="500"/>
      <c r="W220" s="500"/>
      <c r="X220" s="500"/>
      <c r="Y220" s="500"/>
      <c r="Z220" s="501"/>
      <c r="AA220" s="501"/>
      <c r="AB220" s="501"/>
      <c r="AC220" s="501"/>
      <c r="AD220" s="500"/>
      <c r="AE220" s="500"/>
      <c r="AF220" s="503"/>
      <c r="AG220" s="503"/>
      <c r="AH220" s="504"/>
      <c r="AI220" s="500"/>
      <c r="AJ220" s="500"/>
      <c r="AK220" s="500"/>
      <c r="AL220" s="500"/>
      <c r="AM220" s="500"/>
      <c r="AN220" s="500"/>
      <c r="AO220" s="500"/>
      <c r="AP220" s="500"/>
      <c r="AQ220" s="500"/>
      <c r="AR220" s="500"/>
      <c r="AS220" s="500"/>
      <c r="AT220" s="500"/>
      <c r="AU220" s="500"/>
      <c r="AV220" s="500"/>
      <c r="AW220" s="500"/>
      <c r="AX220" s="500"/>
      <c r="AY220" s="500"/>
      <c r="AZ220" s="500"/>
      <c r="BA220" s="500"/>
      <c r="BB220" s="500"/>
      <c r="BC220" s="500"/>
      <c r="BD220" s="500"/>
      <c r="BE220" s="500"/>
      <c r="BF220" s="500"/>
      <c r="BG220" s="500"/>
      <c r="BH220" s="500"/>
      <c r="BI220" s="500"/>
      <c r="BJ220" s="500"/>
      <c r="BK220" s="500"/>
      <c r="BL220" s="500"/>
      <c r="BM220" s="500"/>
      <c r="BN220" s="500"/>
      <c r="BO220" s="500"/>
      <c r="BP220" s="500"/>
      <c r="BQ220" s="500"/>
      <c r="BR220" s="500"/>
      <c r="BS220" s="500"/>
      <c r="BT220" s="500"/>
      <c r="BU220" s="500"/>
      <c r="BV220" s="500"/>
    </row>
    <row r="221" ht="14.25" customHeight="1">
      <c r="A221" s="8"/>
      <c r="B221" s="500"/>
      <c r="C221" s="500"/>
      <c r="D221" s="500"/>
      <c r="E221" s="500"/>
      <c r="F221" s="500"/>
      <c r="G221" s="500"/>
      <c r="H221" s="500"/>
      <c r="I221" s="500"/>
      <c r="J221" s="500"/>
      <c r="K221" s="500"/>
      <c r="L221" s="500"/>
      <c r="M221" s="500"/>
      <c r="N221" s="500"/>
      <c r="O221" s="500"/>
      <c r="P221" s="500"/>
      <c r="Q221" s="500"/>
      <c r="R221" s="500"/>
      <c r="S221" s="500"/>
      <c r="T221" s="500"/>
      <c r="U221" s="500"/>
      <c r="V221" s="500"/>
      <c r="W221" s="500"/>
      <c r="X221" s="500"/>
      <c r="Y221" s="500"/>
      <c r="Z221" s="501"/>
      <c r="AA221" s="501"/>
      <c r="AB221" s="501"/>
      <c r="AC221" s="501"/>
      <c r="AD221" s="500"/>
      <c r="AE221" s="500"/>
      <c r="AF221" s="503"/>
      <c r="AG221" s="503"/>
      <c r="AH221" s="504"/>
      <c r="AI221" s="500"/>
      <c r="AJ221" s="500"/>
      <c r="AK221" s="500"/>
      <c r="AL221" s="500"/>
      <c r="AM221" s="500"/>
      <c r="AN221" s="500"/>
      <c r="AO221" s="500"/>
      <c r="AP221" s="500"/>
      <c r="AQ221" s="500"/>
      <c r="AR221" s="500"/>
      <c r="AS221" s="500"/>
      <c r="AT221" s="500"/>
      <c r="AU221" s="500"/>
      <c r="AV221" s="500"/>
      <c r="AW221" s="500"/>
      <c r="AX221" s="500"/>
      <c r="AY221" s="500"/>
      <c r="AZ221" s="500"/>
      <c r="BA221" s="500"/>
      <c r="BB221" s="500"/>
      <c r="BC221" s="500"/>
      <c r="BD221" s="500"/>
      <c r="BE221" s="500"/>
      <c r="BF221" s="500"/>
      <c r="BG221" s="500"/>
      <c r="BH221" s="500"/>
      <c r="BI221" s="500"/>
      <c r="BJ221" s="500"/>
      <c r="BK221" s="500"/>
      <c r="BL221" s="500"/>
      <c r="BM221" s="500"/>
      <c r="BN221" s="500"/>
      <c r="BO221" s="500"/>
      <c r="BP221" s="500"/>
      <c r="BQ221" s="500"/>
      <c r="BR221" s="500"/>
      <c r="BS221" s="500"/>
      <c r="BT221" s="500"/>
      <c r="BU221" s="500"/>
      <c r="BV221" s="500"/>
    </row>
    <row r="222" ht="14.25" customHeight="1">
      <c r="A222" s="8"/>
      <c r="B222" s="500"/>
      <c r="C222" s="500"/>
      <c r="D222" s="500"/>
      <c r="E222" s="500"/>
      <c r="F222" s="500"/>
      <c r="G222" s="500"/>
      <c r="H222" s="500"/>
      <c r="I222" s="500"/>
      <c r="J222" s="500"/>
      <c r="K222" s="500"/>
      <c r="L222" s="500"/>
      <c r="M222" s="500"/>
      <c r="N222" s="500"/>
      <c r="O222" s="500"/>
      <c r="P222" s="500"/>
      <c r="Q222" s="500"/>
      <c r="R222" s="500"/>
      <c r="S222" s="500"/>
      <c r="T222" s="500"/>
      <c r="U222" s="500"/>
      <c r="V222" s="500"/>
      <c r="W222" s="500"/>
      <c r="X222" s="500"/>
      <c r="Y222" s="500"/>
      <c r="Z222" s="501"/>
      <c r="AA222" s="501"/>
      <c r="AB222" s="501"/>
      <c r="AC222" s="501"/>
      <c r="AD222" s="500"/>
      <c r="AE222" s="500"/>
      <c r="AF222" s="503"/>
      <c r="AG222" s="503"/>
      <c r="AH222" s="504"/>
      <c r="AI222" s="500"/>
      <c r="AJ222" s="500"/>
      <c r="AK222" s="500"/>
      <c r="AL222" s="500"/>
      <c r="AM222" s="500"/>
      <c r="AN222" s="500"/>
      <c r="AO222" s="500"/>
      <c r="AP222" s="500"/>
      <c r="AQ222" s="500"/>
      <c r="AR222" s="500"/>
      <c r="AS222" s="500"/>
      <c r="AT222" s="500"/>
      <c r="AU222" s="500"/>
      <c r="AV222" s="500"/>
      <c r="AW222" s="500"/>
      <c r="AX222" s="500"/>
      <c r="AY222" s="500"/>
      <c r="AZ222" s="500"/>
      <c r="BA222" s="500"/>
      <c r="BB222" s="500"/>
      <c r="BC222" s="500"/>
      <c r="BD222" s="500"/>
      <c r="BE222" s="500"/>
      <c r="BF222" s="500"/>
      <c r="BG222" s="500"/>
      <c r="BH222" s="500"/>
      <c r="BI222" s="500"/>
      <c r="BJ222" s="500"/>
      <c r="BK222" s="500"/>
      <c r="BL222" s="500"/>
      <c r="BM222" s="500"/>
      <c r="BN222" s="500"/>
      <c r="BO222" s="500"/>
      <c r="BP222" s="500"/>
      <c r="BQ222" s="500"/>
      <c r="BR222" s="500"/>
      <c r="BS222" s="500"/>
      <c r="BT222" s="500"/>
      <c r="BU222" s="500"/>
      <c r="BV222" s="500"/>
    </row>
    <row r="223" ht="14.25" customHeight="1">
      <c r="A223" s="8"/>
      <c r="B223" s="500"/>
      <c r="C223" s="500"/>
      <c r="D223" s="500"/>
      <c r="E223" s="500"/>
      <c r="F223" s="500"/>
      <c r="G223" s="500"/>
      <c r="H223" s="500"/>
      <c r="I223" s="500"/>
      <c r="J223" s="500"/>
      <c r="K223" s="500"/>
      <c r="L223" s="500"/>
      <c r="M223" s="500"/>
      <c r="N223" s="500"/>
      <c r="O223" s="500"/>
      <c r="P223" s="500"/>
      <c r="Q223" s="500"/>
      <c r="R223" s="500"/>
      <c r="S223" s="500"/>
      <c r="T223" s="500"/>
      <c r="U223" s="500"/>
      <c r="V223" s="500"/>
      <c r="W223" s="500"/>
      <c r="X223" s="500"/>
      <c r="Y223" s="500"/>
      <c r="Z223" s="501"/>
      <c r="AA223" s="501"/>
      <c r="AB223" s="501"/>
      <c r="AC223" s="501"/>
      <c r="AD223" s="500"/>
      <c r="AE223" s="500"/>
      <c r="AF223" s="503"/>
      <c r="AG223" s="503"/>
      <c r="AH223" s="504"/>
      <c r="AI223" s="500"/>
      <c r="AJ223" s="500"/>
      <c r="AK223" s="500"/>
      <c r="AL223" s="500"/>
      <c r="AM223" s="500"/>
      <c r="AN223" s="500"/>
      <c r="AO223" s="500"/>
      <c r="AP223" s="500"/>
      <c r="AQ223" s="500"/>
      <c r="AR223" s="500"/>
      <c r="AS223" s="500"/>
      <c r="AT223" s="500"/>
      <c r="AU223" s="500"/>
      <c r="AV223" s="500"/>
      <c r="AW223" s="500"/>
      <c r="AX223" s="500"/>
      <c r="AY223" s="500"/>
      <c r="AZ223" s="500"/>
      <c r="BA223" s="500"/>
      <c r="BB223" s="500"/>
      <c r="BC223" s="500"/>
      <c r="BD223" s="500"/>
      <c r="BE223" s="500"/>
      <c r="BF223" s="500"/>
      <c r="BG223" s="500"/>
      <c r="BH223" s="500"/>
      <c r="BI223" s="500"/>
      <c r="BJ223" s="500"/>
      <c r="BK223" s="500"/>
      <c r="BL223" s="500"/>
      <c r="BM223" s="500"/>
      <c r="BN223" s="500"/>
      <c r="BO223" s="500"/>
      <c r="BP223" s="500"/>
      <c r="BQ223" s="500"/>
      <c r="BR223" s="500"/>
      <c r="BS223" s="500"/>
      <c r="BT223" s="500"/>
      <c r="BU223" s="500"/>
      <c r="BV223" s="500"/>
    </row>
    <row r="224" ht="14.25" customHeight="1">
      <c r="A224" s="8"/>
      <c r="B224" s="500"/>
      <c r="C224" s="500"/>
      <c r="D224" s="500"/>
      <c r="E224" s="500"/>
      <c r="F224" s="500"/>
      <c r="G224" s="500"/>
      <c r="H224" s="500"/>
      <c r="I224" s="500"/>
      <c r="J224" s="500"/>
      <c r="K224" s="500"/>
      <c r="L224" s="500"/>
      <c r="M224" s="500"/>
      <c r="N224" s="500"/>
      <c r="O224" s="500"/>
      <c r="P224" s="500"/>
      <c r="Q224" s="500"/>
      <c r="R224" s="500"/>
      <c r="S224" s="500"/>
      <c r="T224" s="500"/>
      <c r="U224" s="500"/>
      <c r="V224" s="500"/>
      <c r="W224" s="500"/>
      <c r="X224" s="500"/>
      <c r="Y224" s="500"/>
      <c r="Z224" s="501"/>
      <c r="AA224" s="501"/>
      <c r="AB224" s="501"/>
      <c r="AC224" s="501"/>
      <c r="AD224" s="500"/>
      <c r="AE224" s="500"/>
      <c r="AF224" s="503"/>
      <c r="AG224" s="503"/>
      <c r="AH224" s="504"/>
      <c r="AI224" s="500"/>
      <c r="AJ224" s="500"/>
      <c r="AK224" s="500"/>
      <c r="AL224" s="500"/>
      <c r="AM224" s="500"/>
      <c r="AN224" s="500"/>
      <c r="AO224" s="500"/>
      <c r="AP224" s="500"/>
      <c r="AQ224" s="500"/>
      <c r="AR224" s="500"/>
      <c r="AS224" s="500"/>
      <c r="AT224" s="500"/>
      <c r="AU224" s="500"/>
      <c r="AV224" s="500"/>
      <c r="AW224" s="500"/>
      <c r="AX224" s="500"/>
      <c r="AY224" s="500"/>
      <c r="AZ224" s="500"/>
      <c r="BA224" s="500"/>
      <c r="BB224" s="500"/>
      <c r="BC224" s="500"/>
      <c r="BD224" s="500"/>
      <c r="BE224" s="500"/>
      <c r="BF224" s="500"/>
      <c r="BG224" s="500"/>
      <c r="BH224" s="500"/>
      <c r="BI224" s="500"/>
      <c r="BJ224" s="500"/>
      <c r="BK224" s="500"/>
      <c r="BL224" s="500"/>
      <c r="BM224" s="500"/>
      <c r="BN224" s="500"/>
      <c r="BO224" s="500"/>
      <c r="BP224" s="500"/>
      <c r="BQ224" s="500"/>
      <c r="BR224" s="500"/>
      <c r="BS224" s="500"/>
      <c r="BT224" s="500"/>
      <c r="BU224" s="500"/>
      <c r="BV224" s="500"/>
    </row>
    <row r="225" ht="14.25" customHeight="1">
      <c r="A225" s="8"/>
      <c r="B225" s="500"/>
      <c r="C225" s="500"/>
      <c r="D225" s="500"/>
      <c r="E225" s="500"/>
      <c r="F225" s="500"/>
      <c r="G225" s="500"/>
      <c r="H225" s="500"/>
      <c r="I225" s="500"/>
      <c r="J225" s="500"/>
      <c r="K225" s="500"/>
      <c r="L225" s="500"/>
      <c r="M225" s="500"/>
      <c r="N225" s="500"/>
      <c r="O225" s="500"/>
      <c r="P225" s="500"/>
      <c r="Q225" s="500"/>
      <c r="R225" s="500"/>
      <c r="S225" s="500"/>
      <c r="T225" s="500"/>
      <c r="U225" s="500"/>
      <c r="V225" s="500"/>
      <c r="W225" s="500"/>
      <c r="X225" s="500"/>
      <c r="Y225" s="500"/>
      <c r="Z225" s="501"/>
      <c r="AA225" s="501"/>
      <c r="AB225" s="501"/>
      <c r="AC225" s="501"/>
      <c r="AD225" s="500"/>
      <c r="AE225" s="500"/>
      <c r="AF225" s="503"/>
      <c r="AG225" s="503"/>
      <c r="AH225" s="504"/>
      <c r="AI225" s="500"/>
      <c r="AJ225" s="500"/>
      <c r="AK225" s="500"/>
      <c r="AL225" s="500"/>
      <c r="AM225" s="500"/>
      <c r="AN225" s="500"/>
      <c r="AO225" s="500"/>
      <c r="AP225" s="500"/>
      <c r="AQ225" s="500"/>
      <c r="AR225" s="500"/>
      <c r="AS225" s="500"/>
      <c r="AT225" s="500"/>
      <c r="AU225" s="500"/>
      <c r="AV225" s="500"/>
      <c r="AW225" s="500"/>
      <c r="AX225" s="500"/>
      <c r="AY225" s="500"/>
      <c r="AZ225" s="500"/>
      <c r="BA225" s="500"/>
      <c r="BB225" s="500"/>
      <c r="BC225" s="500"/>
      <c r="BD225" s="500"/>
      <c r="BE225" s="500"/>
      <c r="BF225" s="500"/>
      <c r="BG225" s="500"/>
      <c r="BH225" s="500"/>
      <c r="BI225" s="500"/>
      <c r="BJ225" s="500"/>
      <c r="BK225" s="500"/>
      <c r="BL225" s="500"/>
      <c r="BM225" s="500"/>
      <c r="BN225" s="500"/>
      <c r="BO225" s="500"/>
      <c r="BP225" s="500"/>
      <c r="BQ225" s="500"/>
      <c r="BR225" s="500"/>
      <c r="BS225" s="500"/>
      <c r="BT225" s="500"/>
      <c r="BU225" s="500"/>
      <c r="BV225" s="500"/>
    </row>
    <row r="226" ht="14.25" customHeight="1">
      <c r="A226" s="8"/>
      <c r="B226" s="500"/>
      <c r="C226" s="500"/>
      <c r="D226" s="500"/>
      <c r="E226" s="500"/>
      <c r="F226" s="500"/>
      <c r="G226" s="500"/>
      <c r="H226" s="500"/>
      <c r="I226" s="500"/>
      <c r="J226" s="500"/>
      <c r="K226" s="500"/>
      <c r="L226" s="500"/>
      <c r="M226" s="500"/>
      <c r="N226" s="500"/>
      <c r="O226" s="500"/>
      <c r="P226" s="500"/>
      <c r="Q226" s="500"/>
      <c r="R226" s="500"/>
      <c r="S226" s="500"/>
      <c r="T226" s="500"/>
      <c r="U226" s="500"/>
      <c r="V226" s="500"/>
      <c r="W226" s="500"/>
      <c r="X226" s="500"/>
      <c r="Y226" s="500"/>
      <c r="Z226" s="501"/>
      <c r="AA226" s="501"/>
      <c r="AB226" s="501"/>
      <c r="AC226" s="501"/>
      <c r="AD226" s="500"/>
      <c r="AE226" s="500"/>
      <c r="AF226" s="503"/>
      <c r="AG226" s="503"/>
      <c r="AH226" s="504"/>
      <c r="AI226" s="500"/>
      <c r="AJ226" s="500"/>
      <c r="AK226" s="500"/>
      <c r="AL226" s="500"/>
      <c r="AM226" s="500"/>
      <c r="AN226" s="500"/>
      <c r="AO226" s="500"/>
      <c r="AP226" s="500"/>
      <c r="AQ226" s="500"/>
      <c r="AR226" s="500"/>
      <c r="AS226" s="500"/>
      <c r="AT226" s="500"/>
      <c r="AU226" s="500"/>
      <c r="AV226" s="500"/>
      <c r="AW226" s="500"/>
      <c r="AX226" s="500"/>
      <c r="AY226" s="500"/>
      <c r="AZ226" s="500"/>
      <c r="BA226" s="500"/>
      <c r="BB226" s="500"/>
      <c r="BC226" s="500"/>
      <c r="BD226" s="500"/>
      <c r="BE226" s="500"/>
      <c r="BF226" s="500"/>
      <c r="BG226" s="500"/>
      <c r="BH226" s="500"/>
      <c r="BI226" s="500"/>
      <c r="BJ226" s="500"/>
      <c r="BK226" s="500"/>
      <c r="BL226" s="500"/>
      <c r="BM226" s="500"/>
      <c r="BN226" s="500"/>
      <c r="BO226" s="500"/>
      <c r="BP226" s="500"/>
      <c r="BQ226" s="500"/>
      <c r="BR226" s="500"/>
      <c r="BS226" s="500"/>
      <c r="BT226" s="500"/>
      <c r="BU226" s="500"/>
      <c r="BV226" s="500"/>
    </row>
    <row r="227" ht="14.25" customHeight="1">
      <c r="A227" s="8"/>
      <c r="B227" s="500"/>
      <c r="C227" s="500"/>
      <c r="D227" s="500"/>
      <c r="E227" s="500"/>
      <c r="F227" s="500"/>
      <c r="G227" s="500"/>
      <c r="H227" s="500"/>
      <c r="I227" s="500"/>
      <c r="J227" s="500"/>
      <c r="K227" s="500"/>
      <c r="L227" s="500"/>
      <c r="M227" s="500"/>
      <c r="N227" s="500"/>
      <c r="O227" s="500"/>
      <c r="P227" s="500"/>
      <c r="Q227" s="500"/>
      <c r="R227" s="500"/>
      <c r="S227" s="500"/>
      <c r="T227" s="500"/>
      <c r="U227" s="500"/>
      <c r="V227" s="500"/>
      <c r="W227" s="500"/>
      <c r="X227" s="500"/>
      <c r="Y227" s="500"/>
      <c r="Z227" s="501"/>
      <c r="AA227" s="501"/>
      <c r="AB227" s="501"/>
      <c r="AC227" s="501"/>
      <c r="AD227" s="500"/>
      <c r="AE227" s="500"/>
      <c r="AF227" s="503"/>
      <c r="AG227" s="503"/>
      <c r="AH227" s="504"/>
      <c r="AI227" s="500"/>
      <c r="AJ227" s="500"/>
      <c r="AK227" s="500"/>
      <c r="AL227" s="500"/>
      <c r="AM227" s="500"/>
      <c r="AN227" s="500"/>
      <c r="AO227" s="500"/>
      <c r="AP227" s="500"/>
      <c r="AQ227" s="500"/>
      <c r="AR227" s="500"/>
      <c r="AS227" s="500"/>
      <c r="AT227" s="500"/>
      <c r="AU227" s="500"/>
      <c r="AV227" s="500"/>
      <c r="AW227" s="500"/>
      <c r="AX227" s="500"/>
      <c r="AY227" s="500"/>
      <c r="AZ227" s="500"/>
      <c r="BA227" s="500"/>
      <c r="BB227" s="500"/>
      <c r="BC227" s="500"/>
      <c r="BD227" s="500"/>
      <c r="BE227" s="500"/>
      <c r="BF227" s="500"/>
      <c r="BG227" s="500"/>
      <c r="BH227" s="500"/>
      <c r="BI227" s="500"/>
      <c r="BJ227" s="500"/>
      <c r="BK227" s="500"/>
      <c r="BL227" s="500"/>
      <c r="BM227" s="500"/>
      <c r="BN227" s="500"/>
      <c r="BO227" s="500"/>
      <c r="BP227" s="500"/>
      <c r="BQ227" s="500"/>
      <c r="BR227" s="500"/>
      <c r="BS227" s="500"/>
      <c r="BT227" s="500"/>
      <c r="BU227" s="500"/>
      <c r="BV227" s="500"/>
    </row>
    <row r="228" ht="14.25" customHeight="1">
      <c r="A228" s="8"/>
      <c r="B228" s="500"/>
      <c r="C228" s="500"/>
      <c r="D228" s="500"/>
      <c r="E228" s="500"/>
      <c r="F228" s="500"/>
      <c r="G228" s="500"/>
      <c r="H228" s="500"/>
      <c r="I228" s="500"/>
      <c r="J228" s="500"/>
      <c r="K228" s="500"/>
      <c r="L228" s="500"/>
      <c r="M228" s="500"/>
      <c r="N228" s="500"/>
      <c r="O228" s="500"/>
      <c r="P228" s="500"/>
      <c r="Q228" s="500"/>
      <c r="R228" s="500"/>
      <c r="S228" s="500"/>
      <c r="T228" s="500"/>
      <c r="U228" s="500"/>
      <c r="V228" s="500"/>
      <c r="W228" s="500"/>
      <c r="X228" s="500"/>
      <c r="Y228" s="500"/>
      <c r="Z228" s="501"/>
      <c r="AA228" s="501"/>
      <c r="AB228" s="501"/>
      <c r="AC228" s="501"/>
      <c r="AD228" s="500"/>
      <c r="AE228" s="500"/>
      <c r="AF228" s="503"/>
      <c r="AG228" s="503"/>
      <c r="AH228" s="504"/>
      <c r="AI228" s="500"/>
      <c r="AJ228" s="500"/>
      <c r="AK228" s="500"/>
      <c r="AL228" s="500"/>
      <c r="AM228" s="500"/>
      <c r="AN228" s="500"/>
      <c r="AO228" s="500"/>
      <c r="AP228" s="500"/>
      <c r="AQ228" s="500"/>
      <c r="AR228" s="500"/>
      <c r="AS228" s="500"/>
      <c r="AT228" s="500"/>
      <c r="AU228" s="500"/>
      <c r="AV228" s="500"/>
      <c r="AW228" s="500"/>
      <c r="AX228" s="500"/>
      <c r="AY228" s="500"/>
      <c r="AZ228" s="500"/>
      <c r="BA228" s="500"/>
      <c r="BB228" s="500"/>
      <c r="BC228" s="500"/>
      <c r="BD228" s="500"/>
      <c r="BE228" s="500"/>
      <c r="BF228" s="500"/>
      <c r="BG228" s="500"/>
      <c r="BH228" s="500"/>
      <c r="BI228" s="500"/>
      <c r="BJ228" s="500"/>
      <c r="BK228" s="500"/>
      <c r="BL228" s="500"/>
      <c r="BM228" s="500"/>
      <c r="BN228" s="500"/>
      <c r="BO228" s="500"/>
      <c r="BP228" s="500"/>
      <c r="BQ228" s="500"/>
      <c r="BR228" s="500"/>
      <c r="BS228" s="500"/>
      <c r="BT228" s="500"/>
      <c r="BU228" s="500"/>
      <c r="BV228" s="500"/>
    </row>
    <row r="229" ht="14.25" customHeight="1">
      <c r="A229" s="8"/>
      <c r="B229" s="500"/>
      <c r="C229" s="500"/>
      <c r="D229" s="500"/>
      <c r="E229" s="500"/>
      <c r="F229" s="500"/>
      <c r="G229" s="500"/>
      <c r="H229" s="500"/>
      <c r="I229" s="500"/>
      <c r="J229" s="500"/>
      <c r="K229" s="500"/>
      <c r="L229" s="500"/>
      <c r="M229" s="500"/>
      <c r="N229" s="500"/>
      <c r="O229" s="500"/>
      <c r="P229" s="500"/>
      <c r="Q229" s="500"/>
      <c r="R229" s="500"/>
      <c r="S229" s="500"/>
      <c r="T229" s="500"/>
      <c r="U229" s="500"/>
      <c r="V229" s="500"/>
      <c r="W229" s="500"/>
      <c r="X229" s="500"/>
      <c r="Y229" s="500"/>
      <c r="Z229" s="501"/>
      <c r="AA229" s="501"/>
      <c r="AB229" s="501"/>
      <c r="AC229" s="501"/>
      <c r="AD229" s="500"/>
      <c r="AE229" s="500"/>
      <c r="AF229" s="503"/>
      <c r="AG229" s="503"/>
      <c r="AH229" s="504"/>
      <c r="AI229" s="500"/>
      <c r="AJ229" s="500"/>
      <c r="AK229" s="500"/>
      <c r="AL229" s="500"/>
      <c r="AM229" s="500"/>
      <c r="AN229" s="500"/>
      <c r="AO229" s="500"/>
      <c r="AP229" s="500"/>
      <c r="AQ229" s="500"/>
      <c r="AR229" s="500"/>
      <c r="AS229" s="500"/>
      <c r="AT229" s="500"/>
      <c r="AU229" s="500"/>
      <c r="AV229" s="500"/>
      <c r="AW229" s="500"/>
      <c r="AX229" s="500"/>
      <c r="AY229" s="500"/>
      <c r="AZ229" s="500"/>
      <c r="BA229" s="500"/>
      <c r="BB229" s="500"/>
      <c r="BC229" s="500"/>
      <c r="BD229" s="500"/>
      <c r="BE229" s="500"/>
      <c r="BF229" s="500"/>
      <c r="BG229" s="500"/>
      <c r="BH229" s="500"/>
      <c r="BI229" s="500"/>
      <c r="BJ229" s="500"/>
      <c r="BK229" s="500"/>
      <c r="BL229" s="500"/>
      <c r="BM229" s="500"/>
      <c r="BN229" s="500"/>
      <c r="BO229" s="500"/>
      <c r="BP229" s="500"/>
      <c r="BQ229" s="500"/>
      <c r="BR229" s="500"/>
      <c r="BS229" s="500"/>
      <c r="BT229" s="500"/>
      <c r="BU229" s="500"/>
      <c r="BV229" s="500"/>
    </row>
    <row r="230" ht="14.25" customHeight="1">
      <c r="A230" s="8"/>
      <c r="B230" s="500"/>
      <c r="C230" s="500"/>
      <c r="D230" s="500"/>
      <c r="E230" s="500"/>
      <c r="F230" s="500"/>
      <c r="G230" s="500"/>
      <c r="H230" s="500"/>
      <c r="I230" s="500"/>
      <c r="J230" s="500"/>
      <c r="K230" s="500"/>
      <c r="L230" s="500"/>
      <c r="M230" s="500"/>
      <c r="N230" s="500"/>
      <c r="O230" s="500"/>
      <c r="P230" s="500"/>
      <c r="Q230" s="500"/>
      <c r="R230" s="500"/>
      <c r="S230" s="500"/>
      <c r="T230" s="500"/>
      <c r="U230" s="500"/>
      <c r="V230" s="500"/>
      <c r="W230" s="500"/>
      <c r="X230" s="500"/>
      <c r="Y230" s="500"/>
      <c r="Z230" s="501"/>
      <c r="AA230" s="501"/>
      <c r="AB230" s="501"/>
      <c r="AC230" s="501"/>
      <c r="AD230" s="500"/>
      <c r="AE230" s="500"/>
      <c r="AF230" s="503"/>
      <c r="AG230" s="503"/>
      <c r="AH230" s="504"/>
      <c r="AI230" s="500"/>
      <c r="AJ230" s="500"/>
      <c r="AK230" s="500"/>
      <c r="AL230" s="500"/>
      <c r="AM230" s="500"/>
      <c r="AN230" s="500"/>
      <c r="AO230" s="500"/>
      <c r="AP230" s="500"/>
      <c r="AQ230" s="500"/>
      <c r="AR230" s="500"/>
      <c r="AS230" s="500"/>
      <c r="AT230" s="500"/>
      <c r="AU230" s="500"/>
      <c r="AV230" s="500"/>
      <c r="AW230" s="500"/>
      <c r="AX230" s="500"/>
      <c r="AY230" s="500"/>
      <c r="AZ230" s="500"/>
      <c r="BA230" s="500"/>
      <c r="BB230" s="500"/>
      <c r="BC230" s="500"/>
      <c r="BD230" s="500"/>
      <c r="BE230" s="500"/>
      <c r="BF230" s="500"/>
      <c r="BG230" s="500"/>
      <c r="BH230" s="500"/>
      <c r="BI230" s="500"/>
      <c r="BJ230" s="500"/>
      <c r="BK230" s="500"/>
      <c r="BL230" s="500"/>
      <c r="BM230" s="500"/>
      <c r="BN230" s="500"/>
      <c r="BO230" s="500"/>
      <c r="BP230" s="500"/>
      <c r="BQ230" s="500"/>
      <c r="BR230" s="500"/>
      <c r="BS230" s="500"/>
      <c r="BT230" s="500"/>
      <c r="BU230" s="500"/>
      <c r="BV230" s="500"/>
    </row>
    <row r="231" ht="14.25" customHeight="1">
      <c r="A231" s="8"/>
      <c r="B231" s="500"/>
      <c r="C231" s="500"/>
      <c r="D231" s="500"/>
      <c r="E231" s="500"/>
      <c r="F231" s="500"/>
      <c r="G231" s="500"/>
      <c r="H231" s="500"/>
      <c r="I231" s="500"/>
      <c r="J231" s="500"/>
      <c r="K231" s="500"/>
      <c r="L231" s="500"/>
      <c r="M231" s="500"/>
      <c r="N231" s="500"/>
      <c r="O231" s="500"/>
      <c r="P231" s="500"/>
      <c r="Q231" s="500"/>
      <c r="R231" s="500"/>
      <c r="S231" s="500"/>
      <c r="T231" s="500"/>
      <c r="U231" s="500"/>
      <c r="V231" s="500"/>
      <c r="W231" s="500"/>
      <c r="X231" s="500"/>
      <c r="Y231" s="500"/>
      <c r="Z231" s="501"/>
      <c r="AA231" s="501"/>
      <c r="AB231" s="501"/>
      <c r="AC231" s="501"/>
      <c r="AD231" s="500"/>
      <c r="AE231" s="500"/>
      <c r="AF231" s="503"/>
      <c r="AG231" s="503"/>
      <c r="AH231" s="504"/>
      <c r="AI231" s="500"/>
      <c r="AJ231" s="500"/>
      <c r="AK231" s="500"/>
      <c r="AL231" s="500"/>
      <c r="AM231" s="500"/>
      <c r="AN231" s="500"/>
      <c r="AO231" s="500"/>
      <c r="AP231" s="500"/>
      <c r="AQ231" s="500"/>
      <c r="AR231" s="500"/>
      <c r="AS231" s="500"/>
      <c r="AT231" s="500"/>
      <c r="AU231" s="500"/>
      <c r="AV231" s="500"/>
      <c r="AW231" s="500"/>
      <c r="AX231" s="500"/>
      <c r="AY231" s="500"/>
      <c r="AZ231" s="500"/>
      <c r="BA231" s="500"/>
      <c r="BB231" s="500"/>
      <c r="BC231" s="500"/>
      <c r="BD231" s="500"/>
      <c r="BE231" s="500"/>
      <c r="BF231" s="500"/>
      <c r="BG231" s="500"/>
      <c r="BH231" s="500"/>
      <c r="BI231" s="500"/>
      <c r="BJ231" s="500"/>
      <c r="BK231" s="500"/>
      <c r="BL231" s="500"/>
      <c r="BM231" s="500"/>
      <c r="BN231" s="500"/>
      <c r="BO231" s="500"/>
      <c r="BP231" s="500"/>
      <c r="BQ231" s="500"/>
      <c r="BR231" s="500"/>
      <c r="BS231" s="500"/>
      <c r="BT231" s="500"/>
      <c r="BU231" s="500"/>
      <c r="BV231" s="500"/>
    </row>
    <row r="232" ht="14.25" customHeight="1">
      <c r="A232" s="8"/>
      <c r="B232" s="500"/>
      <c r="C232" s="500"/>
      <c r="D232" s="500"/>
      <c r="E232" s="500"/>
      <c r="F232" s="500"/>
      <c r="G232" s="500"/>
      <c r="H232" s="500"/>
      <c r="I232" s="500"/>
      <c r="J232" s="500"/>
      <c r="K232" s="500"/>
      <c r="L232" s="500"/>
      <c r="M232" s="500"/>
      <c r="N232" s="500"/>
      <c r="O232" s="500"/>
      <c r="P232" s="500"/>
      <c r="Q232" s="500"/>
      <c r="R232" s="500"/>
      <c r="S232" s="500"/>
      <c r="T232" s="500"/>
      <c r="U232" s="500"/>
      <c r="V232" s="500"/>
      <c r="W232" s="500"/>
      <c r="X232" s="500"/>
      <c r="Y232" s="500"/>
      <c r="Z232" s="501"/>
      <c r="AA232" s="501"/>
      <c r="AB232" s="501"/>
      <c r="AC232" s="501"/>
      <c r="AD232" s="500"/>
      <c r="AE232" s="500"/>
      <c r="AF232" s="503"/>
      <c r="AG232" s="503"/>
      <c r="AH232" s="504"/>
      <c r="AI232" s="500"/>
      <c r="AJ232" s="500"/>
      <c r="AK232" s="500"/>
      <c r="AL232" s="500"/>
      <c r="AM232" s="500"/>
      <c r="AN232" s="500"/>
      <c r="AO232" s="500"/>
      <c r="AP232" s="500"/>
      <c r="AQ232" s="500"/>
      <c r="AR232" s="500"/>
      <c r="AS232" s="500"/>
      <c r="AT232" s="500"/>
      <c r="AU232" s="500"/>
      <c r="AV232" s="500"/>
      <c r="AW232" s="500"/>
      <c r="AX232" s="500"/>
      <c r="AY232" s="500"/>
      <c r="AZ232" s="500"/>
      <c r="BA232" s="500"/>
      <c r="BB232" s="500"/>
      <c r="BC232" s="500"/>
      <c r="BD232" s="500"/>
      <c r="BE232" s="500"/>
      <c r="BF232" s="500"/>
      <c r="BG232" s="500"/>
      <c r="BH232" s="500"/>
      <c r="BI232" s="500"/>
      <c r="BJ232" s="500"/>
      <c r="BK232" s="500"/>
      <c r="BL232" s="500"/>
      <c r="BM232" s="500"/>
      <c r="BN232" s="500"/>
      <c r="BO232" s="500"/>
      <c r="BP232" s="500"/>
      <c r="BQ232" s="500"/>
      <c r="BR232" s="500"/>
      <c r="BS232" s="500"/>
      <c r="BT232" s="500"/>
      <c r="BU232" s="500"/>
      <c r="BV232" s="500"/>
    </row>
    <row r="233" ht="14.25" customHeight="1">
      <c r="A233" s="8"/>
      <c r="B233" s="500"/>
      <c r="C233" s="500"/>
      <c r="D233" s="500"/>
      <c r="E233" s="500"/>
      <c r="F233" s="500"/>
      <c r="G233" s="500"/>
      <c r="H233" s="500"/>
      <c r="I233" s="500"/>
      <c r="J233" s="500"/>
      <c r="K233" s="500"/>
      <c r="L233" s="500"/>
      <c r="M233" s="500"/>
      <c r="N233" s="500"/>
      <c r="O233" s="500"/>
      <c r="P233" s="500"/>
      <c r="Q233" s="500"/>
      <c r="R233" s="500"/>
      <c r="S233" s="500"/>
      <c r="T233" s="500"/>
      <c r="U233" s="500"/>
      <c r="V233" s="500"/>
      <c r="W233" s="500"/>
      <c r="X233" s="500"/>
      <c r="Y233" s="500"/>
      <c r="Z233" s="501"/>
      <c r="AA233" s="501"/>
      <c r="AB233" s="501"/>
      <c r="AC233" s="501"/>
      <c r="AD233" s="500"/>
      <c r="AE233" s="500"/>
      <c r="AF233" s="503"/>
      <c r="AG233" s="503"/>
      <c r="AH233" s="504"/>
      <c r="AI233" s="500"/>
      <c r="AJ233" s="500"/>
      <c r="AK233" s="500"/>
      <c r="AL233" s="500"/>
      <c r="AM233" s="500"/>
      <c r="AN233" s="500"/>
      <c r="AO233" s="500"/>
      <c r="AP233" s="500"/>
      <c r="AQ233" s="500"/>
      <c r="AR233" s="500"/>
      <c r="AS233" s="500"/>
      <c r="AT233" s="500"/>
      <c r="AU233" s="500"/>
      <c r="AV233" s="500"/>
      <c r="AW233" s="500"/>
      <c r="AX233" s="500"/>
      <c r="AY233" s="500"/>
      <c r="AZ233" s="500"/>
      <c r="BA233" s="500"/>
      <c r="BB233" s="500"/>
      <c r="BC233" s="500"/>
      <c r="BD233" s="500"/>
      <c r="BE233" s="500"/>
      <c r="BF233" s="500"/>
      <c r="BG233" s="500"/>
      <c r="BH233" s="500"/>
      <c r="BI233" s="500"/>
      <c r="BJ233" s="500"/>
      <c r="BK233" s="500"/>
      <c r="BL233" s="500"/>
      <c r="BM233" s="500"/>
      <c r="BN233" s="500"/>
      <c r="BO233" s="500"/>
      <c r="BP233" s="500"/>
      <c r="BQ233" s="500"/>
      <c r="BR233" s="500"/>
      <c r="BS233" s="500"/>
      <c r="BT233" s="500"/>
      <c r="BU233" s="500"/>
      <c r="BV233" s="500"/>
    </row>
    <row r="234" ht="14.25" customHeight="1">
      <c r="A234" s="8"/>
      <c r="B234" s="500"/>
      <c r="C234" s="500"/>
      <c r="D234" s="500"/>
      <c r="E234" s="500"/>
      <c r="F234" s="500"/>
      <c r="G234" s="500"/>
      <c r="H234" s="500"/>
      <c r="I234" s="500"/>
      <c r="J234" s="500"/>
      <c r="K234" s="500"/>
      <c r="L234" s="500"/>
      <c r="M234" s="500"/>
      <c r="N234" s="500"/>
      <c r="O234" s="500"/>
      <c r="P234" s="500"/>
      <c r="Q234" s="500"/>
      <c r="R234" s="500"/>
      <c r="S234" s="500"/>
      <c r="T234" s="500"/>
      <c r="U234" s="500"/>
      <c r="V234" s="500"/>
      <c r="W234" s="500"/>
      <c r="X234" s="500"/>
      <c r="Y234" s="500"/>
      <c r="Z234" s="501"/>
      <c r="AA234" s="501"/>
      <c r="AB234" s="501"/>
      <c r="AC234" s="501"/>
      <c r="AD234" s="500"/>
      <c r="AE234" s="500"/>
      <c r="AF234" s="503"/>
      <c r="AG234" s="503"/>
      <c r="AH234" s="504"/>
      <c r="AI234" s="500"/>
      <c r="AJ234" s="500"/>
      <c r="AK234" s="500"/>
      <c r="AL234" s="500"/>
      <c r="AM234" s="500"/>
      <c r="AN234" s="500"/>
      <c r="AO234" s="500"/>
      <c r="AP234" s="500"/>
      <c r="AQ234" s="500"/>
      <c r="AR234" s="500"/>
      <c r="AS234" s="500"/>
      <c r="AT234" s="500"/>
      <c r="AU234" s="500"/>
      <c r="AV234" s="500"/>
      <c r="AW234" s="500"/>
      <c r="AX234" s="500"/>
      <c r="AY234" s="500"/>
      <c r="AZ234" s="500"/>
      <c r="BA234" s="500"/>
      <c r="BB234" s="500"/>
      <c r="BC234" s="500"/>
      <c r="BD234" s="500"/>
      <c r="BE234" s="500"/>
      <c r="BF234" s="500"/>
      <c r="BG234" s="500"/>
      <c r="BH234" s="500"/>
      <c r="BI234" s="500"/>
      <c r="BJ234" s="500"/>
      <c r="BK234" s="500"/>
      <c r="BL234" s="500"/>
      <c r="BM234" s="500"/>
      <c r="BN234" s="500"/>
      <c r="BO234" s="500"/>
      <c r="BP234" s="500"/>
      <c r="BQ234" s="500"/>
      <c r="BR234" s="500"/>
      <c r="BS234" s="500"/>
      <c r="BT234" s="500"/>
      <c r="BU234" s="500"/>
      <c r="BV234" s="500"/>
    </row>
    <row r="235" ht="14.25" customHeight="1">
      <c r="A235" s="8"/>
      <c r="B235" s="500"/>
      <c r="C235" s="500"/>
      <c r="D235" s="500"/>
      <c r="E235" s="500"/>
      <c r="F235" s="500"/>
      <c r="G235" s="500"/>
      <c r="H235" s="500"/>
      <c r="I235" s="500"/>
      <c r="J235" s="500"/>
      <c r="K235" s="500"/>
      <c r="L235" s="500"/>
      <c r="M235" s="500"/>
      <c r="N235" s="500"/>
      <c r="O235" s="500"/>
      <c r="P235" s="500"/>
      <c r="Q235" s="500"/>
      <c r="R235" s="500"/>
      <c r="S235" s="500"/>
      <c r="T235" s="500"/>
      <c r="U235" s="500"/>
      <c r="V235" s="500"/>
      <c r="W235" s="500"/>
      <c r="X235" s="500"/>
      <c r="Y235" s="500"/>
      <c r="Z235" s="501"/>
      <c r="AA235" s="501"/>
      <c r="AB235" s="501"/>
      <c r="AC235" s="501"/>
      <c r="AD235" s="500"/>
      <c r="AE235" s="500"/>
      <c r="AF235" s="503"/>
      <c r="AG235" s="503"/>
      <c r="AH235" s="504"/>
      <c r="AI235" s="500"/>
      <c r="AJ235" s="500"/>
      <c r="AK235" s="500"/>
      <c r="AL235" s="500"/>
      <c r="AM235" s="500"/>
      <c r="AN235" s="500"/>
      <c r="AO235" s="500"/>
      <c r="AP235" s="500"/>
      <c r="AQ235" s="500"/>
      <c r="AR235" s="500"/>
      <c r="AS235" s="500"/>
      <c r="AT235" s="500"/>
      <c r="AU235" s="500"/>
      <c r="AV235" s="500"/>
      <c r="AW235" s="500"/>
      <c r="AX235" s="500"/>
      <c r="AY235" s="500"/>
      <c r="AZ235" s="500"/>
      <c r="BA235" s="500"/>
      <c r="BB235" s="500"/>
      <c r="BC235" s="500"/>
      <c r="BD235" s="500"/>
      <c r="BE235" s="500"/>
      <c r="BF235" s="500"/>
      <c r="BG235" s="500"/>
      <c r="BH235" s="500"/>
      <c r="BI235" s="500"/>
      <c r="BJ235" s="500"/>
      <c r="BK235" s="500"/>
      <c r="BL235" s="500"/>
      <c r="BM235" s="500"/>
      <c r="BN235" s="500"/>
      <c r="BO235" s="500"/>
      <c r="BP235" s="500"/>
      <c r="BQ235" s="500"/>
      <c r="BR235" s="500"/>
      <c r="BS235" s="500"/>
      <c r="BT235" s="500"/>
      <c r="BU235" s="500"/>
      <c r="BV235" s="500"/>
    </row>
    <row r="236" ht="14.25" customHeight="1">
      <c r="A236" s="8"/>
      <c r="B236" s="500"/>
      <c r="C236" s="500"/>
      <c r="D236" s="500"/>
      <c r="E236" s="500"/>
      <c r="F236" s="500"/>
      <c r="G236" s="500"/>
      <c r="H236" s="500"/>
      <c r="I236" s="500"/>
      <c r="J236" s="500"/>
      <c r="K236" s="500"/>
      <c r="L236" s="500"/>
      <c r="M236" s="500"/>
      <c r="N236" s="500"/>
      <c r="O236" s="500"/>
      <c r="P236" s="500"/>
      <c r="Q236" s="500"/>
      <c r="R236" s="500"/>
      <c r="S236" s="500"/>
      <c r="T236" s="500"/>
      <c r="U236" s="500"/>
      <c r="V236" s="500"/>
      <c r="W236" s="500"/>
      <c r="X236" s="500"/>
      <c r="Y236" s="500"/>
      <c r="Z236" s="501"/>
      <c r="AA236" s="501"/>
      <c r="AB236" s="501"/>
      <c r="AC236" s="501"/>
      <c r="AD236" s="500"/>
      <c r="AE236" s="500"/>
      <c r="AF236" s="503"/>
      <c r="AG236" s="503"/>
      <c r="AH236" s="504"/>
      <c r="AI236" s="500"/>
      <c r="AJ236" s="500"/>
      <c r="AK236" s="500"/>
      <c r="AL236" s="500"/>
      <c r="AM236" s="500"/>
      <c r="AN236" s="500"/>
      <c r="AO236" s="500"/>
      <c r="AP236" s="500"/>
      <c r="AQ236" s="500"/>
      <c r="AR236" s="500"/>
      <c r="AS236" s="500"/>
      <c r="AT236" s="500"/>
      <c r="AU236" s="500"/>
      <c r="AV236" s="500"/>
      <c r="AW236" s="500"/>
      <c r="AX236" s="500"/>
      <c r="AY236" s="500"/>
      <c r="AZ236" s="500"/>
      <c r="BA236" s="500"/>
      <c r="BB236" s="500"/>
      <c r="BC236" s="500"/>
      <c r="BD236" s="500"/>
      <c r="BE236" s="500"/>
      <c r="BF236" s="500"/>
      <c r="BG236" s="500"/>
      <c r="BH236" s="500"/>
      <c r="BI236" s="500"/>
      <c r="BJ236" s="500"/>
      <c r="BK236" s="500"/>
      <c r="BL236" s="500"/>
      <c r="BM236" s="500"/>
      <c r="BN236" s="500"/>
      <c r="BO236" s="500"/>
      <c r="BP236" s="500"/>
      <c r="BQ236" s="500"/>
      <c r="BR236" s="500"/>
      <c r="BS236" s="500"/>
      <c r="BT236" s="500"/>
      <c r="BU236" s="500"/>
      <c r="BV236" s="500"/>
    </row>
    <row r="237" ht="14.25" customHeight="1">
      <c r="A237" s="8"/>
      <c r="B237" s="500"/>
      <c r="C237" s="500"/>
      <c r="D237" s="500"/>
      <c r="E237" s="500"/>
      <c r="F237" s="500"/>
      <c r="G237" s="500"/>
      <c r="H237" s="500"/>
      <c r="I237" s="500"/>
      <c r="J237" s="500"/>
      <c r="K237" s="500"/>
      <c r="L237" s="500"/>
      <c r="M237" s="500"/>
      <c r="N237" s="500"/>
      <c r="O237" s="500"/>
      <c r="P237" s="500"/>
      <c r="Q237" s="500"/>
      <c r="R237" s="500"/>
      <c r="S237" s="500"/>
      <c r="T237" s="500"/>
      <c r="U237" s="500"/>
      <c r="V237" s="500"/>
      <c r="W237" s="500"/>
      <c r="X237" s="500"/>
      <c r="Y237" s="500"/>
      <c r="Z237" s="501"/>
      <c r="AA237" s="501"/>
      <c r="AB237" s="501"/>
      <c r="AC237" s="501"/>
      <c r="AD237" s="500"/>
      <c r="AE237" s="500"/>
      <c r="AF237" s="503"/>
      <c r="AG237" s="503"/>
      <c r="AH237" s="504"/>
      <c r="AI237" s="500"/>
      <c r="AJ237" s="500"/>
      <c r="AK237" s="500"/>
      <c r="AL237" s="500"/>
      <c r="AM237" s="500"/>
      <c r="AN237" s="500"/>
      <c r="AO237" s="500"/>
      <c r="AP237" s="500"/>
      <c r="AQ237" s="500"/>
      <c r="AR237" s="500"/>
      <c r="AS237" s="500"/>
      <c r="AT237" s="500"/>
      <c r="AU237" s="500"/>
      <c r="AV237" s="500"/>
      <c r="AW237" s="500"/>
      <c r="AX237" s="500"/>
      <c r="AY237" s="500"/>
      <c r="AZ237" s="500"/>
      <c r="BA237" s="500"/>
      <c r="BB237" s="500"/>
      <c r="BC237" s="500"/>
      <c r="BD237" s="500"/>
      <c r="BE237" s="500"/>
      <c r="BF237" s="500"/>
      <c r="BG237" s="500"/>
      <c r="BH237" s="500"/>
      <c r="BI237" s="500"/>
      <c r="BJ237" s="500"/>
      <c r="BK237" s="500"/>
      <c r="BL237" s="500"/>
      <c r="BM237" s="500"/>
      <c r="BN237" s="500"/>
      <c r="BO237" s="500"/>
      <c r="BP237" s="500"/>
      <c r="BQ237" s="500"/>
      <c r="BR237" s="500"/>
      <c r="BS237" s="500"/>
      <c r="BT237" s="500"/>
      <c r="BU237" s="500"/>
      <c r="BV237" s="500"/>
    </row>
    <row r="238" ht="14.25" customHeight="1">
      <c r="A238" s="8"/>
      <c r="B238" s="500"/>
      <c r="C238" s="500"/>
      <c r="D238" s="500"/>
      <c r="E238" s="500"/>
      <c r="F238" s="500"/>
      <c r="G238" s="500"/>
      <c r="H238" s="500"/>
      <c r="I238" s="500"/>
      <c r="J238" s="500"/>
      <c r="K238" s="500"/>
      <c r="L238" s="500"/>
      <c r="M238" s="500"/>
      <c r="N238" s="500"/>
      <c r="O238" s="500"/>
      <c r="P238" s="500"/>
      <c r="Q238" s="500"/>
      <c r="R238" s="500"/>
      <c r="S238" s="500"/>
      <c r="T238" s="500"/>
      <c r="U238" s="500"/>
      <c r="V238" s="500"/>
      <c r="W238" s="500"/>
      <c r="X238" s="500"/>
      <c r="Y238" s="500"/>
      <c r="Z238" s="501"/>
      <c r="AA238" s="501"/>
      <c r="AB238" s="501"/>
      <c r="AC238" s="501"/>
      <c r="AD238" s="500"/>
      <c r="AE238" s="500"/>
      <c r="AF238" s="503"/>
      <c r="AG238" s="503"/>
      <c r="AH238" s="504"/>
      <c r="AI238" s="500"/>
      <c r="AJ238" s="500"/>
      <c r="AK238" s="500"/>
      <c r="AL238" s="500"/>
      <c r="AM238" s="500"/>
      <c r="AN238" s="500"/>
      <c r="AO238" s="500"/>
      <c r="AP238" s="500"/>
      <c r="AQ238" s="500"/>
      <c r="AR238" s="500"/>
      <c r="AS238" s="500"/>
      <c r="AT238" s="500"/>
      <c r="AU238" s="500"/>
      <c r="AV238" s="500"/>
      <c r="AW238" s="500"/>
      <c r="AX238" s="500"/>
      <c r="AY238" s="500"/>
      <c r="AZ238" s="500"/>
      <c r="BA238" s="500"/>
      <c r="BB238" s="500"/>
      <c r="BC238" s="500"/>
      <c r="BD238" s="500"/>
      <c r="BE238" s="500"/>
      <c r="BF238" s="500"/>
      <c r="BG238" s="500"/>
      <c r="BH238" s="500"/>
      <c r="BI238" s="500"/>
      <c r="BJ238" s="500"/>
      <c r="BK238" s="500"/>
      <c r="BL238" s="500"/>
      <c r="BM238" s="500"/>
      <c r="BN238" s="500"/>
      <c r="BO238" s="500"/>
      <c r="BP238" s="500"/>
      <c r="BQ238" s="500"/>
      <c r="BR238" s="500"/>
      <c r="BS238" s="500"/>
      <c r="BT238" s="500"/>
      <c r="BU238" s="500"/>
      <c r="BV238" s="500"/>
    </row>
    <row r="239" ht="14.25" customHeight="1">
      <c r="A239" s="8"/>
      <c r="B239" s="500"/>
      <c r="C239" s="500"/>
      <c r="D239" s="500"/>
      <c r="E239" s="500"/>
      <c r="F239" s="500"/>
      <c r="G239" s="500"/>
      <c r="H239" s="500"/>
      <c r="I239" s="500"/>
      <c r="J239" s="500"/>
      <c r="K239" s="500"/>
      <c r="L239" s="500"/>
      <c r="M239" s="500"/>
      <c r="N239" s="500"/>
      <c r="O239" s="500"/>
      <c r="P239" s="500"/>
      <c r="Q239" s="500"/>
      <c r="R239" s="500"/>
      <c r="S239" s="500"/>
      <c r="T239" s="500"/>
      <c r="U239" s="500"/>
      <c r="V239" s="500"/>
      <c r="W239" s="500"/>
      <c r="X239" s="500"/>
      <c r="Y239" s="500"/>
      <c r="Z239" s="501"/>
      <c r="AA239" s="501"/>
      <c r="AB239" s="501"/>
      <c r="AC239" s="501"/>
      <c r="AD239" s="500"/>
      <c r="AE239" s="500"/>
      <c r="AF239" s="503"/>
      <c r="AG239" s="503"/>
      <c r="AH239" s="504"/>
      <c r="AI239" s="500"/>
      <c r="AJ239" s="500"/>
      <c r="AK239" s="500"/>
      <c r="AL239" s="500"/>
      <c r="AM239" s="500"/>
      <c r="AN239" s="500"/>
      <c r="AO239" s="500"/>
      <c r="AP239" s="500"/>
      <c r="AQ239" s="500"/>
      <c r="AR239" s="500"/>
      <c r="AS239" s="500"/>
      <c r="AT239" s="500"/>
      <c r="AU239" s="500"/>
      <c r="AV239" s="500"/>
      <c r="AW239" s="500"/>
      <c r="AX239" s="500"/>
      <c r="AY239" s="500"/>
      <c r="AZ239" s="500"/>
      <c r="BA239" s="500"/>
      <c r="BB239" s="500"/>
      <c r="BC239" s="500"/>
      <c r="BD239" s="500"/>
      <c r="BE239" s="500"/>
      <c r="BF239" s="500"/>
      <c r="BG239" s="500"/>
      <c r="BH239" s="500"/>
      <c r="BI239" s="500"/>
      <c r="BJ239" s="500"/>
      <c r="BK239" s="500"/>
      <c r="BL239" s="500"/>
      <c r="BM239" s="500"/>
      <c r="BN239" s="500"/>
      <c r="BO239" s="500"/>
      <c r="BP239" s="500"/>
      <c r="BQ239" s="500"/>
      <c r="BR239" s="500"/>
      <c r="BS239" s="500"/>
      <c r="BT239" s="500"/>
      <c r="BU239" s="500"/>
      <c r="BV239" s="500"/>
    </row>
    <row r="240" ht="14.25" customHeight="1">
      <c r="A240" s="8"/>
      <c r="B240" s="500"/>
      <c r="C240" s="500"/>
      <c r="D240" s="500"/>
      <c r="E240" s="500"/>
      <c r="F240" s="500"/>
      <c r="G240" s="500"/>
      <c r="H240" s="500"/>
      <c r="I240" s="500"/>
      <c r="J240" s="500"/>
      <c r="K240" s="500"/>
      <c r="L240" s="500"/>
      <c r="M240" s="500"/>
      <c r="N240" s="500"/>
      <c r="O240" s="500"/>
      <c r="P240" s="500"/>
      <c r="Q240" s="500"/>
      <c r="R240" s="500"/>
      <c r="S240" s="500"/>
      <c r="T240" s="500"/>
      <c r="U240" s="500"/>
      <c r="V240" s="500"/>
      <c r="W240" s="500"/>
      <c r="X240" s="500"/>
      <c r="Y240" s="500"/>
      <c r="Z240" s="501"/>
      <c r="AA240" s="501"/>
      <c r="AB240" s="501"/>
      <c r="AC240" s="501"/>
      <c r="AD240" s="500"/>
      <c r="AE240" s="500"/>
      <c r="AF240" s="503"/>
      <c r="AG240" s="503"/>
      <c r="AH240" s="504"/>
      <c r="AI240" s="500"/>
      <c r="AJ240" s="500"/>
      <c r="AK240" s="500"/>
      <c r="AL240" s="500"/>
      <c r="AM240" s="500"/>
      <c r="AN240" s="500"/>
      <c r="AO240" s="500"/>
      <c r="AP240" s="500"/>
      <c r="AQ240" s="500"/>
      <c r="AR240" s="500"/>
      <c r="AS240" s="500"/>
      <c r="AT240" s="500"/>
      <c r="AU240" s="500"/>
      <c r="AV240" s="500"/>
      <c r="AW240" s="500"/>
      <c r="AX240" s="500"/>
      <c r="AY240" s="500"/>
      <c r="AZ240" s="500"/>
      <c r="BA240" s="500"/>
      <c r="BB240" s="500"/>
      <c r="BC240" s="500"/>
      <c r="BD240" s="500"/>
      <c r="BE240" s="500"/>
      <c r="BF240" s="500"/>
      <c r="BG240" s="500"/>
      <c r="BH240" s="500"/>
      <c r="BI240" s="500"/>
      <c r="BJ240" s="500"/>
      <c r="BK240" s="500"/>
      <c r="BL240" s="500"/>
      <c r="BM240" s="500"/>
      <c r="BN240" s="500"/>
      <c r="BO240" s="500"/>
      <c r="BP240" s="500"/>
      <c r="BQ240" s="500"/>
      <c r="BR240" s="500"/>
      <c r="BS240" s="500"/>
      <c r="BT240" s="500"/>
      <c r="BU240" s="500"/>
      <c r="BV240" s="500"/>
    </row>
    <row r="241" ht="14.25" customHeight="1">
      <c r="A241" s="8"/>
      <c r="B241" s="500"/>
      <c r="C241" s="500"/>
      <c r="D241" s="500"/>
      <c r="E241" s="500"/>
      <c r="F241" s="500"/>
      <c r="G241" s="500"/>
      <c r="H241" s="500"/>
      <c r="I241" s="500"/>
      <c r="J241" s="500"/>
      <c r="K241" s="500"/>
      <c r="L241" s="500"/>
      <c r="M241" s="500"/>
      <c r="N241" s="500"/>
      <c r="O241" s="500"/>
      <c r="P241" s="500"/>
      <c r="Q241" s="500"/>
      <c r="R241" s="500"/>
      <c r="S241" s="500"/>
      <c r="T241" s="500"/>
      <c r="U241" s="500"/>
      <c r="V241" s="500"/>
      <c r="W241" s="500"/>
      <c r="X241" s="500"/>
      <c r="Y241" s="500"/>
      <c r="Z241" s="501"/>
      <c r="AA241" s="501"/>
      <c r="AB241" s="501"/>
      <c r="AC241" s="501"/>
      <c r="AD241" s="500"/>
      <c r="AE241" s="500"/>
      <c r="AF241" s="503"/>
      <c r="AG241" s="503"/>
      <c r="AH241" s="504"/>
      <c r="AI241" s="500"/>
      <c r="AJ241" s="500"/>
      <c r="AK241" s="500"/>
      <c r="AL241" s="500"/>
      <c r="AM241" s="500"/>
      <c r="AN241" s="500"/>
      <c r="AO241" s="500"/>
      <c r="AP241" s="500"/>
      <c r="AQ241" s="500"/>
      <c r="AR241" s="500"/>
      <c r="AS241" s="500"/>
      <c r="AT241" s="500"/>
      <c r="AU241" s="500"/>
      <c r="AV241" s="500"/>
      <c r="AW241" s="500"/>
      <c r="AX241" s="500"/>
      <c r="AY241" s="500"/>
      <c r="AZ241" s="500"/>
      <c r="BA241" s="500"/>
      <c r="BB241" s="500"/>
      <c r="BC241" s="500"/>
      <c r="BD241" s="500"/>
      <c r="BE241" s="500"/>
      <c r="BF241" s="500"/>
      <c r="BG241" s="500"/>
      <c r="BH241" s="500"/>
      <c r="BI241" s="500"/>
      <c r="BJ241" s="500"/>
      <c r="BK241" s="500"/>
      <c r="BL241" s="500"/>
      <c r="BM241" s="500"/>
      <c r="BN241" s="500"/>
      <c r="BO241" s="500"/>
      <c r="BP241" s="500"/>
      <c r="BQ241" s="500"/>
      <c r="BR241" s="500"/>
      <c r="BS241" s="500"/>
      <c r="BT241" s="500"/>
      <c r="BU241" s="500"/>
      <c r="BV241" s="500"/>
    </row>
    <row r="242" ht="14.25" customHeight="1">
      <c r="A242" s="8"/>
      <c r="B242" s="500"/>
      <c r="C242" s="500"/>
      <c r="D242" s="500"/>
      <c r="E242" s="500"/>
      <c r="F242" s="500"/>
      <c r="G242" s="500"/>
      <c r="H242" s="500"/>
      <c r="I242" s="500"/>
      <c r="J242" s="500"/>
      <c r="K242" s="500"/>
      <c r="L242" s="500"/>
      <c r="M242" s="500"/>
      <c r="N242" s="500"/>
      <c r="O242" s="500"/>
      <c r="P242" s="500"/>
      <c r="Q242" s="500"/>
      <c r="R242" s="500"/>
      <c r="S242" s="500"/>
      <c r="T242" s="500"/>
      <c r="U242" s="500"/>
      <c r="V242" s="500"/>
      <c r="W242" s="500"/>
      <c r="X242" s="500"/>
      <c r="Y242" s="500"/>
      <c r="Z242" s="501"/>
      <c r="AA242" s="501"/>
      <c r="AB242" s="501"/>
      <c r="AC242" s="501"/>
      <c r="AD242" s="500"/>
      <c r="AE242" s="500"/>
      <c r="AF242" s="503"/>
      <c r="AG242" s="503"/>
      <c r="AH242" s="504"/>
      <c r="AI242" s="500"/>
      <c r="AJ242" s="500"/>
      <c r="AK242" s="500"/>
      <c r="AL242" s="500"/>
      <c r="AM242" s="500"/>
      <c r="AN242" s="500"/>
      <c r="AO242" s="500"/>
      <c r="AP242" s="500"/>
      <c r="AQ242" s="500"/>
      <c r="AR242" s="500"/>
      <c r="AS242" s="500"/>
      <c r="AT242" s="500"/>
      <c r="AU242" s="500"/>
      <c r="AV242" s="500"/>
      <c r="AW242" s="500"/>
      <c r="AX242" s="500"/>
      <c r="AY242" s="500"/>
      <c r="AZ242" s="500"/>
      <c r="BA242" s="500"/>
      <c r="BB242" s="500"/>
      <c r="BC242" s="500"/>
      <c r="BD242" s="500"/>
      <c r="BE242" s="500"/>
      <c r="BF242" s="500"/>
      <c r="BG242" s="500"/>
      <c r="BH242" s="500"/>
      <c r="BI242" s="500"/>
      <c r="BJ242" s="500"/>
      <c r="BK242" s="500"/>
      <c r="BL242" s="500"/>
      <c r="BM242" s="500"/>
      <c r="BN242" s="500"/>
      <c r="BO242" s="500"/>
      <c r="BP242" s="500"/>
      <c r="BQ242" s="500"/>
      <c r="BR242" s="500"/>
      <c r="BS242" s="500"/>
      <c r="BT242" s="500"/>
      <c r="BU242" s="500"/>
      <c r="BV242" s="500"/>
    </row>
    <row r="243" ht="14.25" customHeight="1">
      <c r="A243" s="8"/>
      <c r="B243" s="500"/>
      <c r="C243" s="500"/>
      <c r="D243" s="500"/>
      <c r="E243" s="500"/>
      <c r="F243" s="500"/>
      <c r="G243" s="500"/>
      <c r="H243" s="500"/>
      <c r="I243" s="500"/>
      <c r="J243" s="500"/>
      <c r="K243" s="500"/>
      <c r="L243" s="500"/>
      <c r="M243" s="500"/>
      <c r="N243" s="500"/>
      <c r="O243" s="500"/>
      <c r="P243" s="500"/>
      <c r="Q243" s="500"/>
      <c r="R243" s="500"/>
      <c r="S243" s="500"/>
      <c r="T243" s="500"/>
      <c r="U243" s="500"/>
      <c r="V243" s="500"/>
      <c r="W243" s="500"/>
      <c r="X243" s="500"/>
      <c r="Y243" s="500"/>
      <c r="Z243" s="501"/>
      <c r="AA243" s="501"/>
      <c r="AB243" s="501"/>
      <c r="AC243" s="501"/>
      <c r="AD243" s="500"/>
      <c r="AE243" s="500"/>
      <c r="AF243" s="503"/>
      <c r="AG243" s="503"/>
      <c r="AH243" s="504"/>
      <c r="AI243" s="500"/>
      <c r="AJ243" s="500"/>
      <c r="AK243" s="500"/>
      <c r="AL243" s="500"/>
      <c r="AM243" s="500"/>
      <c r="AN243" s="500"/>
      <c r="AO243" s="500"/>
      <c r="AP243" s="500"/>
      <c r="AQ243" s="500"/>
      <c r="AR243" s="500"/>
      <c r="AS243" s="500"/>
      <c r="AT243" s="500"/>
      <c r="AU243" s="500"/>
      <c r="AV243" s="500"/>
      <c r="AW243" s="500"/>
      <c r="AX243" s="500"/>
      <c r="AY243" s="500"/>
      <c r="AZ243" s="500"/>
      <c r="BA243" s="500"/>
      <c r="BB243" s="500"/>
      <c r="BC243" s="500"/>
      <c r="BD243" s="500"/>
      <c r="BE243" s="500"/>
      <c r="BF243" s="500"/>
      <c r="BG243" s="500"/>
      <c r="BH243" s="500"/>
      <c r="BI243" s="500"/>
      <c r="BJ243" s="500"/>
      <c r="BK243" s="500"/>
      <c r="BL243" s="500"/>
      <c r="BM243" s="500"/>
      <c r="BN243" s="500"/>
      <c r="BO243" s="500"/>
      <c r="BP243" s="500"/>
      <c r="BQ243" s="500"/>
      <c r="BR243" s="500"/>
      <c r="BS243" s="500"/>
      <c r="BT243" s="500"/>
      <c r="BU243" s="500"/>
      <c r="BV243" s="500"/>
    </row>
    <row r="244" ht="14.25" customHeight="1">
      <c r="A244" s="8"/>
      <c r="B244" s="500"/>
      <c r="C244" s="500"/>
      <c r="D244" s="500"/>
      <c r="E244" s="500"/>
      <c r="F244" s="500"/>
      <c r="G244" s="500"/>
      <c r="H244" s="500"/>
      <c r="I244" s="500"/>
      <c r="J244" s="500"/>
      <c r="K244" s="500"/>
      <c r="L244" s="500"/>
      <c r="M244" s="500"/>
      <c r="N244" s="500"/>
      <c r="O244" s="500"/>
      <c r="P244" s="500"/>
      <c r="Q244" s="500"/>
      <c r="R244" s="500"/>
      <c r="S244" s="500"/>
      <c r="T244" s="500"/>
      <c r="U244" s="500"/>
      <c r="V244" s="500"/>
      <c r="W244" s="500"/>
      <c r="X244" s="500"/>
      <c r="Y244" s="500"/>
      <c r="Z244" s="501"/>
      <c r="AA244" s="501"/>
      <c r="AB244" s="501"/>
      <c r="AC244" s="501"/>
      <c r="AD244" s="500"/>
      <c r="AE244" s="500"/>
      <c r="AF244" s="503"/>
      <c r="AG244" s="503"/>
      <c r="AH244" s="504"/>
      <c r="AI244" s="500"/>
      <c r="AJ244" s="500"/>
      <c r="AK244" s="500"/>
      <c r="AL244" s="500"/>
      <c r="AM244" s="500"/>
      <c r="AN244" s="500"/>
      <c r="AO244" s="500"/>
      <c r="AP244" s="500"/>
      <c r="AQ244" s="500"/>
      <c r="AR244" s="500"/>
      <c r="AS244" s="500"/>
      <c r="AT244" s="500"/>
      <c r="AU244" s="500"/>
      <c r="AV244" s="500"/>
      <c r="AW244" s="500"/>
      <c r="AX244" s="500"/>
      <c r="AY244" s="500"/>
      <c r="AZ244" s="500"/>
      <c r="BA244" s="500"/>
      <c r="BB244" s="500"/>
      <c r="BC244" s="500"/>
      <c r="BD244" s="500"/>
      <c r="BE244" s="500"/>
      <c r="BF244" s="500"/>
      <c r="BG244" s="500"/>
      <c r="BH244" s="500"/>
      <c r="BI244" s="500"/>
      <c r="BJ244" s="500"/>
      <c r="BK244" s="500"/>
      <c r="BL244" s="500"/>
      <c r="BM244" s="500"/>
      <c r="BN244" s="500"/>
      <c r="BO244" s="500"/>
      <c r="BP244" s="500"/>
      <c r="BQ244" s="500"/>
      <c r="BR244" s="500"/>
      <c r="BS244" s="500"/>
      <c r="BT244" s="500"/>
      <c r="BU244" s="500"/>
      <c r="BV244" s="500"/>
    </row>
    <row r="245" ht="14.25" customHeight="1">
      <c r="A245" s="8"/>
      <c r="B245" s="500"/>
      <c r="C245" s="500"/>
      <c r="D245" s="500"/>
      <c r="E245" s="500"/>
      <c r="F245" s="500"/>
      <c r="G245" s="500"/>
      <c r="H245" s="500"/>
      <c r="I245" s="500"/>
      <c r="J245" s="500"/>
      <c r="K245" s="500"/>
      <c r="L245" s="500"/>
      <c r="M245" s="500"/>
      <c r="N245" s="500"/>
      <c r="O245" s="500"/>
      <c r="P245" s="500"/>
      <c r="Q245" s="500"/>
      <c r="R245" s="500"/>
      <c r="S245" s="500"/>
      <c r="T245" s="500"/>
      <c r="U245" s="500"/>
      <c r="V245" s="500"/>
      <c r="W245" s="500"/>
      <c r="X245" s="500"/>
      <c r="Y245" s="500"/>
      <c r="Z245" s="501"/>
      <c r="AA245" s="501"/>
      <c r="AB245" s="501"/>
      <c r="AC245" s="501"/>
      <c r="AD245" s="500"/>
      <c r="AE245" s="500"/>
      <c r="AF245" s="503"/>
      <c r="AG245" s="503"/>
      <c r="AH245" s="504"/>
      <c r="AI245" s="500"/>
      <c r="AJ245" s="500"/>
      <c r="AK245" s="500"/>
      <c r="AL245" s="500"/>
      <c r="AM245" s="500"/>
      <c r="AN245" s="500"/>
      <c r="AO245" s="500"/>
      <c r="AP245" s="500"/>
      <c r="AQ245" s="500"/>
      <c r="AR245" s="500"/>
      <c r="AS245" s="500"/>
      <c r="AT245" s="500"/>
      <c r="AU245" s="500"/>
      <c r="AV245" s="500"/>
      <c r="AW245" s="500"/>
      <c r="AX245" s="500"/>
      <c r="AY245" s="500"/>
      <c r="AZ245" s="500"/>
      <c r="BA245" s="500"/>
      <c r="BB245" s="500"/>
      <c r="BC245" s="500"/>
      <c r="BD245" s="500"/>
      <c r="BE245" s="500"/>
      <c r="BF245" s="500"/>
      <c r="BG245" s="500"/>
      <c r="BH245" s="500"/>
      <c r="BI245" s="500"/>
      <c r="BJ245" s="500"/>
      <c r="BK245" s="500"/>
      <c r="BL245" s="500"/>
      <c r="BM245" s="500"/>
      <c r="BN245" s="500"/>
      <c r="BO245" s="500"/>
      <c r="BP245" s="500"/>
      <c r="BQ245" s="500"/>
      <c r="BR245" s="500"/>
      <c r="BS245" s="500"/>
      <c r="BT245" s="500"/>
      <c r="BU245" s="500"/>
      <c r="BV245" s="500"/>
    </row>
    <row r="246" ht="14.25" customHeight="1">
      <c r="A246" s="8"/>
      <c r="B246" s="500"/>
      <c r="C246" s="500"/>
      <c r="D246" s="500"/>
      <c r="E246" s="500"/>
      <c r="F246" s="500"/>
      <c r="G246" s="500"/>
      <c r="H246" s="500"/>
      <c r="I246" s="500"/>
      <c r="J246" s="500"/>
      <c r="K246" s="500"/>
      <c r="L246" s="500"/>
      <c r="M246" s="500"/>
      <c r="N246" s="500"/>
      <c r="O246" s="500"/>
      <c r="P246" s="500"/>
      <c r="Q246" s="500"/>
      <c r="R246" s="500"/>
      <c r="S246" s="500"/>
      <c r="T246" s="500"/>
      <c r="U246" s="500"/>
      <c r="V246" s="500"/>
      <c r="W246" s="500"/>
      <c r="X246" s="500"/>
      <c r="Y246" s="500"/>
      <c r="Z246" s="501"/>
      <c r="AA246" s="501"/>
      <c r="AB246" s="501"/>
      <c r="AC246" s="501"/>
      <c r="AD246" s="500"/>
      <c r="AE246" s="500"/>
      <c r="AF246" s="503"/>
      <c r="AG246" s="503"/>
      <c r="AH246" s="504"/>
      <c r="AI246" s="500"/>
      <c r="AJ246" s="500"/>
      <c r="AK246" s="500"/>
      <c r="AL246" s="500"/>
      <c r="AM246" s="500"/>
      <c r="AN246" s="500"/>
      <c r="AO246" s="500"/>
      <c r="AP246" s="500"/>
      <c r="AQ246" s="500"/>
      <c r="AR246" s="500"/>
      <c r="AS246" s="500"/>
      <c r="AT246" s="500"/>
      <c r="AU246" s="500"/>
      <c r="AV246" s="500"/>
      <c r="AW246" s="500"/>
      <c r="AX246" s="500"/>
      <c r="AY246" s="500"/>
      <c r="AZ246" s="500"/>
      <c r="BA246" s="500"/>
      <c r="BB246" s="500"/>
      <c r="BC246" s="500"/>
      <c r="BD246" s="500"/>
      <c r="BE246" s="500"/>
      <c r="BF246" s="500"/>
      <c r="BG246" s="500"/>
      <c r="BH246" s="500"/>
      <c r="BI246" s="500"/>
      <c r="BJ246" s="500"/>
      <c r="BK246" s="500"/>
      <c r="BL246" s="500"/>
      <c r="BM246" s="500"/>
      <c r="BN246" s="500"/>
      <c r="BO246" s="500"/>
      <c r="BP246" s="500"/>
      <c r="BQ246" s="500"/>
      <c r="BR246" s="500"/>
      <c r="BS246" s="500"/>
      <c r="BT246" s="500"/>
      <c r="BU246" s="500"/>
      <c r="BV246" s="500"/>
    </row>
    <row r="247" ht="14.25" customHeight="1">
      <c r="A247" s="8"/>
      <c r="B247" s="500"/>
      <c r="C247" s="500"/>
      <c r="D247" s="500"/>
      <c r="E247" s="500"/>
      <c r="F247" s="500"/>
      <c r="G247" s="500"/>
      <c r="H247" s="500"/>
      <c r="I247" s="500"/>
      <c r="J247" s="500"/>
      <c r="K247" s="500"/>
      <c r="L247" s="500"/>
      <c r="M247" s="500"/>
      <c r="N247" s="500"/>
      <c r="O247" s="500"/>
      <c r="P247" s="500"/>
      <c r="Q247" s="500"/>
      <c r="R247" s="500"/>
      <c r="S247" s="500"/>
      <c r="T247" s="500"/>
      <c r="U247" s="500"/>
      <c r="V247" s="500"/>
      <c r="W247" s="500"/>
      <c r="X247" s="500"/>
      <c r="Y247" s="500"/>
      <c r="Z247" s="501"/>
      <c r="AA247" s="501"/>
      <c r="AB247" s="501"/>
      <c r="AC247" s="501"/>
      <c r="AD247" s="500"/>
      <c r="AE247" s="500"/>
      <c r="AF247" s="503"/>
      <c r="AG247" s="503"/>
      <c r="AH247" s="504"/>
      <c r="AI247" s="500"/>
      <c r="AJ247" s="500"/>
      <c r="AK247" s="500"/>
      <c r="AL247" s="500"/>
      <c r="AM247" s="500"/>
      <c r="AN247" s="500"/>
      <c r="AO247" s="500"/>
      <c r="AP247" s="500"/>
      <c r="AQ247" s="500"/>
      <c r="AR247" s="500"/>
      <c r="AS247" s="500"/>
      <c r="AT247" s="500"/>
      <c r="AU247" s="500"/>
      <c r="AV247" s="500"/>
      <c r="AW247" s="500"/>
      <c r="AX247" s="500"/>
      <c r="AY247" s="500"/>
      <c r="AZ247" s="500"/>
      <c r="BA247" s="500"/>
      <c r="BB247" s="500"/>
      <c r="BC247" s="500"/>
      <c r="BD247" s="500"/>
      <c r="BE247" s="500"/>
      <c r="BF247" s="500"/>
      <c r="BG247" s="500"/>
      <c r="BH247" s="500"/>
      <c r="BI247" s="500"/>
      <c r="BJ247" s="500"/>
      <c r="BK247" s="500"/>
      <c r="BL247" s="500"/>
      <c r="BM247" s="500"/>
      <c r="BN247" s="500"/>
      <c r="BO247" s="500"/>
      <c r="BP247" s="500"/>
      <c r="BQ247" s="500"/>
      <c r="BR247" s="500"/>
      <c r="BS247" s="500"/>
      <c r="BT247" s="500"/>
      <c r="BU247" s="500"/>
      <c r="BV247" s="500"/>
    </row>
    <row r="248" ht="14.25" customHeight="1">
      <c r="A248" s="8"/>
      <c r="B248" s="500"/>
      <c r="C248" s="500"/>
      <c r="D248" s="500"/>
      <c r="E248" s="500"/>
      <c r="F248" s="500"/>
      <c r="G248" s="500"/>
      <c r="H248" s="500"/>
      <c r="I248" s="500"/>
      <c r="J248" s="500"/>
      <c r="K248" s="500"/>
      <c r="L248" s="500"/>
      <c r="M248" s="500"/>
      <c r="N248" s="500"/>
      <c r="O248" s="500"/>
      <c r="P248" s="500"/>
      <c r="Q248" s="500"/>
      <c r="R248" s="500"/>
      <c r="S248" s="500"/>
      <c r="T248" s="500"/>
      <c r="U248" s="500"/>
      <c r="V248" s="500"/>
      <c r="W248" s="500"/>
      <c r="X248" s="500"/>
      <c r="Y248" s="500"/>
      <c r="Z248" s="501"/>
      <c r="AA248" s="501"/>
      <c r="AB248" s="501"/>
      <c r="AC248" s="501"/>
      <c r="AD248" s="500"/>
      <c r="AE248" s="500"/>
      <c r="AF248" s="503"/>
      <c r="AG248" s="503"/>
      <c r="AH248" s="504"/>
      <c r="AI248" s="500"/>
      <c r="AJ248" s="500"/>
      <c r="AK248" s="500"/>
      <c r="AL248" s="500"/>
      <c r="AM248" s="500"/>
      <c r="AN248" s="500"/>
      <c r="AO248" s="500"/>
      <c r="AP248" s="500"/>
      <c r="AQ248" s="500"/>
      <c r="AR248" s="500"/>
      <c r="AS248" s="500"/>
      <c r="AT248" s="500"/>
      <c r="AU248" s="500"/>
      <c r="AV248" s="500"/>
      <c r="AW248" s="500"/>
      <c r="AX248" s="500"/>
      <c r="AY248" s="500"/>
      <c r="AZ248" s="500"/>
      <c r="BA248" s="500"/>
      <c r="BB248" s="500"/>
      <c r="BC248" s="500"/>
      <c r="BD248" s="500"/>
      <c r="BE248" s="500"/>
      <c r="BF248" s="500"/>
      <c r="BG248" s="500"/>
      <c r="BH248" s="500"/>
      <c r="BI248" s="500"/>
      <c r="BJ248" s="500"/>
      <c r="BK248" s="500"/>
      <c r="BL248" s="500"/>
      <c r="BM248" s="500"/>
      <c r="BN248" s="500"/>
      <c r="BO248" s="500"/>
      <c r="BP248" s="500"/>
      <c r="BQ248" s="500"/>
      <c r="BR248" s="500"/>
      <c r="BS248" s="500"/>
      <c r="BT248" s="500"/>
      <c r="BU248" s="500"/>
      <c r="BV248" s="500"/>
    </row>
    <row r="249" ht="14.25" customHeight="1">
      <c r="A249" s="8"/>
      <c r="B249" s="500"/>
      <c r="C249" s="500"/>
      <c r="D249" s="500"/>
      <c r="E249" s="500"/>
      <c r="F249" s="500"/>
      <c r="G249" s="500"/>
      <c r="H249" s="500"/>
      <c r="I249" s="500"/>
      <c r="J249" s="500"/>
      <c r="K249" s="500"/>
      <c r="L249" s="500"/>
      <c r="M249" s="500"/>
      <c r="N249" s="500"/>
      <c r="O249" s="500"/>
      <c r="P249" s="500"/>
      <c r="Q249" s="500"/>
      <c r="R249" s="500"/>
      <c r="S249" s="500"/>
      <c r="T249" s="500"/>
      <c r="U249" s="500"/>
      <c r="V249" s="500"/>
      <c r="W249" s="500"/>
      <c r="X249" s="500"/>
      <c r="Y249" s="500"/>
      <c r="Z249" s="501"/>
      <c r="AA249" s="501"/>
      <c r="AB249" s="501"/>
      <c r="AC249" s="501"/>
      <c r="AD249" s="500"/>
      <c r="AE249" s="500"/>
      <c r="AF249" s="503"/>
      <c r="AG249" s="503"/>
      <c r="AH249" s="504"/>
      <c r="AI249" s="500"/>
      <c r="AJ249" s="500"/>
      <c r="AK249" s="500"/>
      <c r="AL249" s="500"/>
      <c r="AM249" s="500"/>
      <c r="AN249" s="500"/>
      <c r="AO249" s="500"/>
      <c r="AP249" s="500"/>
      <c r="AQ249" s="500"/>
      <c r="AR249" s="500"/>
      <c r="AS249" s="500"/>
      <c r="AT249" s="500"/>
      <c r="AU249" s="500"/>
      <c r="AV249" s="500"/>
      <c r="AW249" s="500"/>
      <c r="AX249" s="500"/>
      <c r="AY249" s="500"/>
      <c r="AZ249" s="500"/>
      <c r="BA249" s="500"/>
      <c r="BB249" s="500"/>
      <c r="BC249" s="500"/>
      <c r="BD249" s="500"/>
      <c r="BE249" s="500"/>
      <c r="BF249" s="500"/>
      <c r="BG249" s="500"/>
      <c r="BH249" s="500"/>
      <c r="BI249" s="500"/>
      <c r="BJ249" s="500"/>
      <c r="BK249" s="500"/>
      <c r="BL249" s="500"/>
      <c r="BM249" s="500"/>
      <c r="BN249" s="500"/>
      <c r="BO249" s="500"/>
      <c r="BP249" s="500"/>
      <c r="BQ249" s="500"/>
      <c r="BR249" s="500"/>
      <c r="BS249" s="500"/>
      <c r="BT249" s="500"/>
      <c r="BU249" s="500"/>
      <c r="BV249" s="500"/>
    </row>
    <row r="250" ht="14.25" customHeight="1">
      <c r="A250" s="8"/>
      <c r="B250" s="500"/>
      <c r="C250" s="500"/>
      <c r="D250" s="500"/>
      <c r="E250" s="500"/>
      <c r="F250" s="500"/>
      <c r="G250" s="500"/>
      <c r="H250" s="500"/>
      <c r="I250" s="500"/>
      <c r="J250" s="500"/>
      <c r="K250" s="500"/>
      <c r="L250" s="500"/>
      <c r="M250" s="500"/>
      <c r="N250" s="500"/>
      <c r="O250" s="500"/>
      <c r="P250" s="500"/>
      <c r="Q250" s="500"/>
      <c r="R250" s="500"/>
      <c r="S250" s="500"/>
      <c r="T250" s="500"/>
      <c r="U250" s="500"/>
      <c r="V250" s="500"/>
      <c r="W250" s="500"/>
      <c r="X250" s="500"/>
      <c r="Y250" s="500"/>
      <c r="Z250" s="501"/>
      <c r="AA250" s="501"/>
      <c r="AB250" s="501"/>
      <c r="AC250" s="501"/>
      <c r="AD250" s="500"/>
      <c r="AE250" s="500"/>
      <c r="AF250" s="503"/>
      <c r="AG250" s="503"/>
      <c r="AH250" s="504"/>
      <c r="AI250" s="500"/>
      <c r="AJ250" s="500"/>
      <c r="AK250" s="500"/>
      <c r="AL250" s="500"/>
      <c r="AM250" s="500"/>
      <c r="AN250" s="500"/>
      <c r="AO250" s="500"/>
      <c r="AP250" s="500"/>
      <c r="AQ250" s="500"/>
      <c r="AR250" s="500"/>
      <c r="AS250" s="500"/>
      <c r="AT250" s="500"/>
      <c r="AU250" s="500"/>
      <c r="AV250" s="500"/>
      <c r="AW250" s="500"/>
      <c r="AX250" s="500"/>
      <c r="AY250" s="500"/>
      <c r="AZ250" s="500"/>
      <c r="BA250" s="500"/>
      <c r="BB250" s="500"/>
      <c r="BC250" s="500"/>
      <c r="BD250" s="500"/>
      <c r="BE250" s="500"/>
      <c r="BF250" s="500"/>
      <c r="BG250" s="500"/>
      <c r="BH250" s="500"/>
      <c r="BI250" s="500"/>
      <c r="BJ250" s="500"/>
      <c r="BK250" s="500"/>
      <c r="BL250" s="500"/>
      <c r="BM250" s="500"/>
      <c r="BN250" s="500"/>
      <c r="BO250" s="500"/>
      <c r="BP250" s="500"/>
      <c r="BQ250" s="500"/>
      <c r="BR250" s="500"/>
      <c r="BS250" s="500"/>
      <c r="BT250" s="500"/>
      <c r="BU250" s="500"/>
      <c r="BV250" s="500"/>
    </row>
    <row r="251" ht="14.25" customHeight="1">
      <c r="A251" s="8"/>
      <c r="B251" s="500"/>
      <c r="C251" s="500"/>
      <c r="D251" s="500"/>
      <c r="E251" s="500"/>
      <c r="F251" s="500"/>
      <c r="G251" s="500"/>
      <c r="H251" s="500"/>
      <c r="I251" s="500"/>
      <c r="J251" s="500"/>
      <c r="K251" s="500"/>
      <c r="L251" s="500"/>
      <c r="M251" s="500"/>
      <c r="N251" s="500"/>
      <c r="O251" s="500"/>
      <c r="P251" s="500"/>
      <c r="Q251" s="500"/>
      <c r="R251" s="500"/>
      <c r="S251" s="500"/>
      <c r="T251" s="500"/>
      <c r="U251" s="500"/>
      <c r="V251" s="500"/>
      <c r="W251" s="500"/>
      <c r="X251" s="500"/>
      <c r="Y251" s="500"/>
      <c r="Z251" s="501"/>
      <c r="AA251" s="501"/>
      <c r="AB251" s="501"/>
      <c r="AC251" s="501"/>
      <c r="AD251" s="500"/>
      <c r="AE251" s="500"/>
      <c r="AF251" s="503"/>
      <c r="AG251" s="503"/>
      <c r="AH251" s="504"/>
      <c r="AI251" s="500"/>
      <c r="AJ251" s="500"/>
      <c r="AK251" s="500"/>
      <c r="AL251" s="500"/>
      <c r="AM251" s="500"/>
      <c r="AN251" s="500"/>
      <c r="AO251" s="500"/>
      <c r="AP251" s="500"/>
      <c r="AQ251" s="500"/>
      <c r="AR251" s="500"/>
      <c r="AS251" s="500"/>
      <c r="AT251" s="500"/>
      <c r="AU251" s="500"/>
      <c r="AV251" s="500"/>
      <c r="AW251" s="500"/>
      <c r="AX251" s="500"/>
      <c r="AY251" s="500"/>
      <c r="AZ251" s="500"/>
      <c r="BA251" s="500"/>
      <c r="BB251" s="500"/>
      <c r="BC251" s="500"/>
      <c r="BD251" s="500"/>
      <c r="BE251" s="500"/>
      <c r="BF251" s="500"/>
      <c r="BG251" s="500"/>
      <c r="BH251" s="500"/>
      <c r="BI251" s="500"/>
      <c r="BJ251" s="500"/>
      <c r="BK251" s="500"/>
      <c r="BL251" s="500"/>
      <c r="BM251" s="500"/>
      <c r="BN251" s="500"/>
      <c r="BO251" s="500"/>
      <c r="BP251" s="500"/>
      <c r="BQ251" s="500"/>
      <c r="BR251" s="500"/>
      <c r="BS251" s="500"/>
      <c r="BT251" s="500"/>
      <c r="BU251" s="500"/>
      <c r="BV251" s="500"/>
    </row>
    <row r="252" ht="14.25" customHeight="1">
      <c r="A252" s="8"/>
      <c r="B252" s="500"/>
      <c r="C252" s="500"/>
      <c r="D252" s="500"/>
      <c r="E252" s="500"/>
      <c r="F252" s="500"/>
      <c r="G252" s="500"/>
      <c r="H252" s="500"/>
      <c r="I252" s="500"/>
      <c r="J252" s="500"/>
      <c r="K252" s="500"/>
      <c r="L252" s="500"/>
      <c r="M252" s="500"/>
      <c r="N252" s="500"/>
      <c r="O252" s="500"/>
      <c r="P252" s="500"/>
      <c r="Q252" s="500"/>
      <c r="R252" s="500"/>
      <c r="S252" s="500"/>
      <c r="T252" s="500"/>
      <c r="U252" s="500"/>
      <c r="V252" s="500"/>
      <c r="W252" s="500"/>
      <c r="X252" s="500"/>
      <c r="Y252" s="500"/>
      <c r="Z252" s="501"/>
      <c r="AA252" s="501"/>
      <c r="AB252" s="501"/>
      <c r="AC252" s="501"/>
      <c r="AD252" s="500"/>
      <c r="AE252" s="500"/>
      <c r="AF252" s="503"/>
      <c r="AG252" s="503"/>
      <c r="AH252" s="504"/>
      <c r="AI252" s="500"/>
      <c r="AJ252" s="500"/>
      <c r="AK252" s="500"/>
      <c r="AL252" s="500"/>
      <c r="AM252" s="500"/>
      <c r="AN252" s="500"/>
      <c r="AO252" s="500"/>
      <c r="AP252" s="500"/>
      <c r="AQ252" s="500"/>
      <c r="AR252" s="500"/>
      <c r="AS252" s="500"/>
      <c r="AT252" s="500"/>
      <c r="AU252" s="500"/>
      <c r="AV252" s="500"/>
      <c r="AW252" s="500"/>
      <c r="AX252" s="500"/>
      <c r="AY252" s="500"/>
      <c r="AZ252" s="500"/>
      <c r="BA252" s="500"/>
      <c r="BB252" s="500"/>
      <c r="BC252" s="500"/>
      <c r="BD252" s="500"/>
      <c r="BE252" s="500"/>
      <c r="BF252" s="500"/>
      <c r="BG252" s="500"/>
      <c r="BH252" s="500"/>
      <c r="BI252" s="500"/>
      <c r="BJ252" s="500"/>
      <c r="BK252" s="500"/>
      <c r="BL252" s="500"/>
      <c r="BM252" s="500"/>
      <c r="BN252" s="500"/>
      <c r="BO252" s="500"/>
      <c r="BP252" s="500"/>
      <c r="BQ252" s="500"/>
      <c r="BR252" s="500"/>
      <c r="BS252" s="500"/>
      <c r="BT252" s="500"/>
      <c r="BU252" s="500"/>
      <c r="BV252" s="500"/>
    </row>
    <row r="253" ht="14.25" customHeight="1">
      <c r="A253" s="8"/>
      <c r="B253" s="500"/>
      <c r="C253" s="500"/>
      <c r="D253" s="500"/>
      <c r="E253" s="500"/>
      <c r="F253" s="500"/>
      <c r="G253" s="500"/>
      <c r="H253" s="500"/>
      <c r="I253" s="500"/>
      <c r="J253" s="500"/>
      <c r="K253" s="500"/>
      <c r="L253" s="500"/>
      <c r="M253" s="500"/>
      <c r="N253" s="500"/>
      <c r="O253" s="500"/>
      <c r="P253" s="500"/>
      <c r="Q253" s="500"/>
      <c r="R253" s="500"/>
      <c r="S253" s="500"/>
      <c r="T253" s="500"/>
      <c r="U253" s="500"/>
      <c r="V253" s="500"/>
      <c r="W253" s="500"/>
      <c r="X253" s="500"/>
      <c r="Y253" s="500"/>
      <c r="Z253" s="501"/>
      <c r="AA253" s="501"/>
      <c r="AB253" s="501"/>
      <c r="AC253" s="501"/>
      <c r="AD253" s="500"/>
      <c r="AE253" s="500"/>
      <c r="AF253" s="503"/>
      <c r="AG253" s="503"/>
      <c r="AH253" s="504"/>
      <c r="AI253" s="500"/>
      <c r="AJ253" s="500"/>
      <c r="AK253" s="500"/>
      <c r="AL253" s="500"/>
      <c r="AM253" s="500"/>
      <c r="AN253" s="500"/>
      <c r="AO253" s="500"/>
      <c r="AP253" s="500"/>
      <c r="AQ253" s="500"/>
      <c r="AR253" s="500"/>
      <c r="AS253" s="500"/>
      <c r="AT253" s="500"/>
      <c r="AU253" s="500"/>
      <c r="AV253" s="500"/>
      <c r="AW253" s="500"/>
      <c r="AX253" s="500"/>
      <c r="AY253" s="500"/>
      <c r="AZ253" s="500"/>
      <c r="BA253" s="500"/>
      <c r="BB253" s="500"/>
      <c r="BC253" s="500"/>
      <c r="BD253" s="500"/>
      <c r="BE253" s="500"/>
      <c r="BF253" s="500"/>
      <c r="BG253" s="500"/>
      <c r="BH253" s="500"/>
      <c r="BI253" s="500"/>
      <c r="BJ253" s="500"/>
      <c r="BK253" s="500"/>
      <c r="BL253" s="500"/>
      <c r="BM253" s="500"/>
      <c r="BN253" s="500"/>
      <c r="BO253" s="500"/>
      <c r="BP253" s="500"/>
      <c r="BQ253" s="500"/>
      <c r="BR253" s="500"/>
      <c r="BS253" s="500"/>
      <c r="BT253" s="500"/>
      <c r="BU253" s="500"/>
      <c r="BV253" s="500"/>
    </row>
    <row r="254" ht="14.25" customHeight="1">
      <c r="A254" s="8"/>
      <c r="B254" s="500"/>
      <c r="C254" s="500"/>
      <c r="D254" s="500"/>
      <c r="E254" s="500"/>
      <c r="F254" s="500"/>
      <c r="G254" s="500"/>
      <c r="H254" s="500"/>
      <c r="I254" s="500"/>
      <c r="J254" s="500"/>
      <c r="K254" s="500"/>
      <c r="L254" s="500"/>
      <c r="M254" s="500"/>
      <c r="N254" s="500"/>
      <c r="O254" s="500"/>
      <c r="P254" s="500"/>
      <c r="Q254" s="500"/>
      <c r="R254" s="500"/>
      <c r="S254" s="500"/>
      <c r="T254" s="500"/>
      <c r="U254" s="500"/>
      <c r="V254" s="500"/>
      <c r="W254" s="500"/>
      <c r="X254" s="500"/>
      <c r="Y254" s="500"/>
      <c r="Z254" s="501"/>
      <c r="AA254" s="501"/>
      <c r="AB254" s="501"/>
      <c r="AC254" s="501"/>
      <c r="AD254" s="500"/>
      <c r="AE254" s="500"/>
      <c r="AF254" s="503"/>
      <c r="AG254" s="503"/>
      <c r="AH254" s="504"/>
      <c r="AI254" s="500"/>
      <c r="AJ254" s="500"/>
      <c r="AK254" s="500"/>
      <c r="AL254" s="500"/>
      <c r="AM254" s="500"/>
      <c r="AN254" s="500"/>
      <c r="AO254" s="500"/>
      <c r="AP254" s="500"/>
      <c r="AQ254" s="500"/>
      <c r="AR254" s="500"/>
      <c r="AS254" s="500"/>
      <c r="AT254" s="500"/>
      <c r="AU254" s="500"/>
      <c r="AV254" s="500"/>
      <c r="AW254" s="500"/>
      <c r="AX254" s="500"/>
      <c r="AY254" s="500"/>
      <c r="AZ254" s="500"/>
      <c r="BA254" s="500"/>
      <c r="BB254" s="500"/>
      <c r="BC254" s="500"/>
      <c r="BD254" s="500"/>
      <c r="BE254" s="500"/>
      <c r="BF254" s="500"/>
      <c r="BG254" s="500"/>
      <c r="BH254" s="500"/>
      <c r="BI254" s="500"/>
      <c r="BJ254" s="500"/>
      <c r="BK254" s="500"/>
      <c r="BL254" s="500"/>
      <c r="BM254" s="500"/>
      <c r="BN254" s="500"/>
      <c r="BO254" s="500"/>
      <c r="BP254" s="500"/>
      <c r="BQ254" s="500"/>
      <c r="BR254" s="500"/>
      <c r="BS254" s="500"/>
      <c r="BT254" s="500"/>
      <c r="BU254" s="500"/>
      <c r="BV254" s="500"/>
    </row>
    <row r="255" ht="14.25" customHeight="1">
      <c r="A255" s="8"/>
      <c r="B255" s="500"/>
      <c r="C255" s="500"/>
      <c r="D255" s="500"/>
      <c r="E255" s="500"/>
      <c r="F255" s="500"/>
      <c r="G255" s="500"/>
      <c r="H255" s="500"/>
      <c r="I255" s="500"/>
      <c r="J255" s="500"/>
      <c r="K255" s="500"/>
      <c r="L255" s="500"/>
      <c r="M255" s="500"/>
      <c r="N255" s="500"/>
      <c r="O255" s="500"/>
      <c r="P255" s="500"/>
      <c r="Q255" s="500"/>
      <c r="R255" s="500"/>
      <c r="S255" s="500"/>
      <c r="T255" s="500"/>
      <c r="U255" s="500"/>
      <c r="V255" s="500"/>
      <c r="W255" s="500"/>
      <c r="X255" s="500"/>
      <c r="Y255" s="500"/>
      <c r="Z255" s="501"/>
      <c r="AA255" s="501"/>
      <c r="AB255" s="501"/>
      <c r="AC255" s="501"/>
      <c r="AD255" s="500"/>
      <c r="AE255" s="500"/>
      <c r="AF255" s="503"/>
      <c r="AG255" s="503"/>
      <c r="AH255" s="504"/>
      <c r="AI255" s="500"/>
      <c r="AJ255" s="500"/>
      <c r="AK255" s="500"/>
      <c r="AL255" s="500"/>
      <c r="AM255" s="500"/>
      <c r="AN255" s="500"/>
      <c r="AO255" s="500"/>
      <c r="AP255" s="500"/>
      <c r="AQ255" s="500"/>
      <c r="AR255" s="500"/>
      <c r="AS255" s="500"/>
      <c r="AT255" s="500"/>
      <c r="AU255" s="500"/>
      <c r="AV255" s="500"/>
      <c r="AW255" s="500"/>
      <c r="AX255" s="500"/>
      <c r="AY255" s="500"/>
      <c r="AZ255" s="500"/>
      <c r="BA255" s="500"/>
      <c r="BB255" s="500"/>
      <c r="BC255" s="500"/>
      <c r="BD255" s="500"/>
      <c r="BE255" s="500"/>
      <c r="BF255" s="500"/>
      <c r="BG255" s="500"/>
      <c r="BH255" s="500"/>
      <c r="BI255" s="500"/>
      <c r="BJ255" s="500"/>
      <c r="BK255" s="500"/>
      <c r="BL255" s="500"/>
      <c r="BM255" s="500"/>
      <c r="BN255" s="500"/>
      <c r="BO255" s="500"/>
      <c r="BP255" s="500"/>
      <c r="BQ255" s="500"/>
      <c r="BR255" s="500"/>
      <c r="BS255" s="500"/>
      <c r="BT255" s="500"/>
      <c r="BU255" s="500"/>
      <c r="BV255" s="500"/>
    </row>
    <row r="256" ht="14.25" customHeight="1">
      <c r="A256" s="8"/>
      <c r="B256" s="500"/>
      <c r="C256" s="500"/>
      <c r="D256" s="500"/>
      <c r="E256" s="500"/>
      <c r="F256" s="500"/>
      <c r="G256" s="500"/>
      <c r="H256" s="500"/>
      <c r="I256" s="500"/>
      <c r="J256" s="500"/>
      <c r="K256" s="500"/>
      <c r="L256" s="500"/>
      <c r="M256" s="500"/>
      <c r="N256" s="500"/>
      <c r="O256" s="500"/>
      <c r="P256" s="500"/>
      <c r="Q256" s="500"/>
      <c r="R256" s="500"/>
      <c r="S256" s="500"/>
      <c r="T256" s="500"/>
      <c r="U256" s="500"/>
      <c r="V256" s="500"/>
      <c r="W256" s="500"/>
      <c r="X256" s="500"/>
      <c r="Y256" s="500"/>
      <c r="Z256" s="501"/>
      <c r="AA256" s="501"/>
      <c r="AB256" s="501"/>
      <c r="AC256" s="501"/>
      <c r="AD256" s="500"/>
      <c r="AE256" s="500"/>
      <c r="AF256" s="503"/>
      <c r="AG256" s="503"/>
      <c r="AH256" s="504"/>
      <c r="AI256" s="500"/>
      <c r="AJ256" s="500"/>
      <c r="AK256" s="500"/>
      <c r="AL256" s="500"/>
      <c r="AM256" s="500"/>
      <c r="AN256" s="500"/>
      <c r="AO256" s="500"/>
      <c r="AP256" s="500"/>
      <c r="AQ256" s="500"/>
      <c r="AR256" s="500"/>
      <c r="AS256" s="500"/>
      <c r="AT256" s="500"/>
      <c r="AU256" s="500"/>
      <c r="AV256" s="500"/>
      <c r="AW256" s="500"/>
      <c r="AX256" s="500"/>
      <c r="AY256" s="500"/>
      <c r="AZ256" s="500"/>
      <c r="BA256" s="500"/>
      <c r="BB256" s="500"/>
      <c r="BC256" s="500"/>
      <c r="BD256" s="500"/>
      <c r="BE256" s="500"/>
      <c r="BF256" s="500"/>
      <c r="BG256" s="500"/>
      <c r="BH256" s="500"/>
      <c r="BI256" s="500"/>
      <c r="BJ256" s="500"/>
      <c r="BK256" s="500"/>
      <c r="BL256" s="500"/>
      <c r="BM256" s="500"/>
      <c r="BN256" s="500"/>
      <c r="BO256" s="500"/>
      <c r="BP256" s="500"/>
      <c r="BQ256" s="500"/>
      <c r="BR256" s="500"/>
      <c r="BS256" s="500"/>
      <c r="BT256" s="500"/>
      <c r="BU256" s="500"/>
      <c r="BV256" s="500"/>
    </row>
    <row r="257" ht="14.25" customHeight="1">
      <c r="A257" s="8"/>
      <c r="B257" s="500"/>
      <c r="C257" s="500"/>
      <c r="D257" s="500"/>
      <c r="E257" s="500"/>
      <c r="F257" s="500"/>
      <c r="G257" s="500"/>
      <c r="H257" s="500"/>
      <c r="I257" s="500"/>
      <c r="J257" s="500"/>
      <c r="K257" s="500"/>
      <c r="L257" s="500"/>
      <c r="M257" s="500"/>
      <c r="N257" s="500"/>
      <c r="O257" s="500"/>
      <c r="P257" s="500"/>
      <c r="Q257" s="500"/>
      <c r="R257" s="500"/>
      <c r="S257" s="500"/>
      <c r="T257" s="500"/>
      <c r="U257" s="500"/>
      <c r="V257" s="500"/>
      <c r="W257" s="500"/>
      <c r="X257" s="500"/>
      <c r="Y257" s="500"/>
      <c r="Z257" s="501"/>
      <c r="AA257" s="501"/>
      <c r="AB257" s="501"/>
      <c r="AC257" s="501"/>
      <c r="AD257" s="500"/>
      <c r="AE257" s="500"/>
      <c r="AF257" s="503"/>
      <c r="AG257" s="503"/>
      <c r="AH257" s="504"/>
      <c r="AI257" s="500"/>
      <c r="AJ257" s="500"/>
      <c r="AK257" s="500"/>
      <c r="AL257" s="500"/>
      <c r="AM257" s="500"/>
      <c r="AN257" s="500"/>
      <c r="AO257" s="500"/>
      <c r="AP257" s="500"/>
      <c r="AQ257" s="500"/>
      <c r="AR257" s="500"/>
      <c r="AS257" s="500"/>
      <c r="AT257" s="500"/>
      <c r="AU257" s="500"/>
      <c r="AV257" s="500"/>
      <c r="AW257" s="500"/>
      <c r="AX257" s="500"/>
      <c r="AY257" s="500"/>
      <c r="AZ257" s="500"/>
      <c r="BA257" s="500"/>
      <c r="BB257" s="500"/>
      <c r="BC257" s="500"/>
      <c r="BD257" s="500"/>
      <c r="BE257" s="500"/>
      <c r="BF257" s="500"/>
      <c r="BG257" s="500"/>
      <c r="BH257" s="500"/>
      <c r="BI257" s="500"/>
      <c r="BJ257" s="500"/>
      <c r="BK257" s="500"/>
      <c r="BL257" s="500"/>
      <c r="BM257" s="500"/>
      <c r="BN257" s="500"/>
      <c r="BO257" s="500"/>
      <c r="BP257" s="500"/>
      <c r="BQ257" s="500"/>
      <c r="BR257" s="500"/>
      <c r="BS257" s="500"/>
      <c r="BT257" s="500"/>
      <c r="BU257" s="500"/>
      <c r="BV257" s="500"/>
    </row>
    <row r="258" ht="14.25" customHeight="1">
      <c r="A258" s="8"/>
      <c r="B258" s="500"/>
      <c r="C258" s="500"/>
      <c r="D258" s="500"/>
      <c r="E258" s="500"/>
      <c r="F258" s="500"/>
      <c r="G258" s="500"/>
      <c r="H258" s="500"/>
      <c r="I258" s="500"/>
      <c r="J258" s="500"/>
      <c r="K258" s="500"/>
      <c r="L258" s="500"/>
      <c r="M258" s="500"/>
      <c r="N258" s="500"/>
      <c r="O258" s="500"/>
      <c r="P258" s="500"/>
      <c r="Q258" s="500"/>
      <c r="R258" s="500"/>
      <c r="S258" s="500"/>
      <c r="T258" s="500"/>
      <c r="U258" s="500"/>
      <c r="V258" s="500"/>
      <c r="W258" s="500"/>
      <c r="X258" s="500"/>
      <c r="Y258" s="500"/>
      <c r="Z258" s="501"/>
      <c r="AA258" s="501"/>
      <c r="AB258" s="501"/>
      <c r="AC258" s="501"/>
      <c r="AD258" s="500"/>
      <c r="AE258" s="500"/>
      <c r="AF258" s="503"/>
      <c r="AG258" s="503"/>
      <c r="AH258" s="504"/>
      <c r="AI258" s="500"/>
      <c r="AJ258" s="500"/>
      <c r="AK258" s="500"/>
      <c r="AL258" s="500"/>
      <c r="AM258" s="500"/>
      <c r="AN258" s="500"/>
      <c r="AO258" s="500"/>
      <c r="AP258" s="500"/>
      <c r="AQ258" s="500"/>
      <c r="AR258" s="500"/>
      <c r="AS258" s="500"/>
      <c r="AT258" s="500"/>
      <c r="AU258" s="500"/>
      <c r="AV258" s="500"/>
      <c r="AW258" s="500"/>
      <c r="AX258" s="500"/>
      <c r="AY258" s="500"/>
      <c r="AZ258" s="500"/>
      <c r="BA258" s="500"/>
      <c r="BB258" s="500"/>
      <c r="BC258" s="500"/>
      <c r="BD258" s="500"/>
      <c r="BE258" s="500"/>
      <c r="BF258" s="500"/>
      <c r="BG258" s="500"/>
      <c r="BH258" s="500"/>
      <c r="BI258" s="500"/>
      <c r="BJ258" s="500"/>
      <c r="BK258" s="500"/>
      <c r="BL258" s="500"/>
      <c r="BM258" s="500"/>
      <c r="BN258" s="500"/>
      <c r="BO258" s="500"/>
      <c r="BP258" s="500"/>
      <c r="BQ258" s="500"/>
      <c r="BR258" s="500"/>
      <c r="BS258" s="500"/>
      <c r="BT258" s="500"/>
      <c r="BU258" s="500"/>
      <c r="BV258" s="500"/>
    </row>
    <row r="259" ht="14.25" customHeight="1">
      <c r="A259" s="8"/>
      <c r="B259" s="500"/>
      <c r="C259" s="500"/>
      <c r="D259" s="500"/>
      <c r="E259" s="500"/>
      <c r="F259" s="500"/>
      <c r="G259" s="500"/>
      <c r="H259" s="500"/>
      <c r="I259" s="500"/>
      <c r="J259" s="500"/>
      <c r="K259" s="500"/>
      <c r="L259" s="500"/>
      <c r="M259" s="500"/>
      <c r="N259" s="500"/>
      <c r="O259" s="500"/>
      <c r="P259" s="500"/>
      <c r="Q259" s="500"/>
      <c r="R259" s="500"/>
      <c r="S259" s="500"/>
      <c r="T259" s="500"/>
      <c r="U259" s="500"/>
      <c r="V259" s="500"/>
      <c r="W259" s="500"/>
      <c r="X259" s="500"/>
      <c r="Y259" s="500"/>
      <c r="Z259" s="501"/>
      <c r="AA259" s="501"/>
      <c r="AB259" s="501"/>
      <c r="AC259" s="501"/>
      <c r="AD259" s="500"/>
      <c r="AE259" s="500"/>
      <c r="AF259" s="503"/>
      <c r="AG259" s="503"/>
      <c r="AH259" s="504"/>
      <c r="AI259" s="500"/>
      <c r="AJ259" s="500"/>
      <c r="AK259" s="500"/>
      <c r="AL259" s="500"/>
      <c r="AM259" s="500"/>
      <c r="AN259" s="500"/>
      <c r="AO259" s="500"/>
      <c r="AP259" s="500"/>
      <c r="AQ259" s="500"/>
      <c r="AR259" s="500"/>
      <c r="AS259" s="500"/>
      <c r="AT259" s="500"/>
      <c r="AU259" s="500"/>
      <c r="AV259" s="500"/>
      <c r="AW259" s="500"/>
      <c r="AX259" s="500"/>
      <c r="AY259" s="500"/>
      <c r="AZ259" s="500"/>
      <c r="BA259" s="500"/>
      <c r="BB259" s="500"/>
      <c r="BC259" s="500"/>
      <c r="BD259" s="500"/>
      <c r="BE259" s="500"/>
      <c r="BF259" s="500"/>
      <c r="BG259" s="500"/>
      <c r="BH259" s="500"/>
      <c r="BI259" s="500"/>
      <c r="BJ259" s="500"/>
      <c r="BK259" s="500"/>
      <c r="BL259" s="500"/>
      <c r="BM259" s="500"/>
      <c r="BN259" s="500"/>
      <c r="BO259" s="500"/>
      <c r="BP259" s="500"/>
      <c r="BQ259" s="500"/>
      <c r="BR259" s="500"/>
      <c r="BS259" s="500"/>
      <c r="BT259" s="500"/>
      <c r="BU259" s="500"/>
      <c r="BV259" s="500"/>
    </row>
    <row r="260" ht="14.25" customHeight="1">
      <c r="A260" s="8"/>
      <c r="B260" s="500"/>
      <c r="C260" s="500"/>
      <c r="D260" s="500"/>
      <c r="E260" s="500"/>
      <c r="F260" s="500"/>
      <c r="G260" s="500"/>
      <c r="H260" s="500"/>
      <c r="I260" s="500"/>
      <c r="J260" s="500"/>
      <c r="K260" s="500"/>
      <c r="L260" s="500"/>
      <c r="M260" s="500"/>
      <c r="N260" s="500"/>
      <c r="O260" s="500"/>
      <c r="P260" s="500"/>
      <c r="Q260" s="500"/>
      <c r="R260" s="500"/>
      <c r="S260" s="500"/>
      <c r="T260" s="500"/>
      <c r="U260" s="500"/>
      <c r="V260" s="500"/>
      <c r="W260" s="500"/>
      <c r="X260" s="500"/>
      <c r="Y260" s="500"/>
      <c r="Z260" s="501"/>
      <c r="AA260" s="501"/>
      <c r="AB260" s="501"/>
      <c r="AC260" s="501"/>
      <c r="AD260" s="500"/>
      <c r="AE260" s="500"/>
      <c r="AF260" s="503"/>
      <c r="AG260" s="503"/>
      <c r="AH260" s="504"/>
      <c r="AI260" s="500"/>
      <c r="AJ260" s="500"/>
      <c r="AK260" s="500"/>
      <c r="AL260" s="500"/>
      <c r="AM260" s="500"/>
      <c r="AN260" s="500"/>
      <c r="AO260" s="500"/>
      <c r="AP260" s="500"/>
      <c r="AQ260" s="500"/>
      <c r="AR260" s="500"/>
      <c r="AS260" s="500"/>
      <c r="AT260" s="500"/>
      <c r="AU260" s="500"/>
      <c r="AV260" s="500"/>
      <c r="AW260" s="500"/>
      <c r="AX260" s="500"/>
      <c r="AY260" s="500"/>
      <c r="AZ260" s="500"/>
      <c r="BA260" s="500"/>
      <c r="BB260" s="500"/>
      <c r="BC260" s="500"/>
      <c r="BD260" s="500"/>
      <c r="BE260" s="500"/>
      <c r="BF260" s="500"/>
      <c r="BG260" s="500"/>
      <c r="BH260" s="500"/>
      <c r="BI260" s="500"/>
      <c r="BJ260" s="500"/>
      <c r="BK260" s="500"/>
      <c r="BL260" s="500"/>
      <c r="BM260" s="500"/>
      <c r="BN260" s="500"/>
      <c r="BO260" s="500"/>
      <c r="BP260" s="500"/>
      <c r="BQ260" s="500"/>
      <c r="BR260" s="500"/>
      <c r="BS260" s="500"/>
      <c r="BT260" s="500"/>
      <c r="BU260" s="500"/>
      <c r="BV260" s="500"/>
    </row>
    <row r="261" ht="14.25" customHeight="1">
      <c r="A261" s="8"/>
      <c r="B261" s="500"/>
      <c r="C261" s="500"/>
      <c r="D261" s="500"/>
      <c r="E261" s="500"/>
      <c r="F261" s="500"/>
      <c r="G261" s="500"/>
      <c r="H261" s="500"/>
      <c r="I261" s="500"/>
      <c r="J261" s="500"/>
      <c r="K261" s="500"/>
      <c r="L261" s="500"/>
      <c r="M261" s="500"/>
      <c r="N261" s="500"/>
      <c r="O261" s="500"/>
      <c r="P261" s="500"/>
      <c r="Q261" s="500"/>
      <c r="R261" s="500"/>
      <c r="S261" s="500"/>
      <c r="T261" s="500"/>
      <c r="U261" s="500"/>
      <c r="V261" s="500"/>
      <c r="W261" s="500"/>
      <c r="X261" s="500"/>
      <c r="Y261" s="500"/>
      <c r="Z261" s="501"/>
      <c r="AA261" s="501"/>
      <c r="AB261" s="501"/>
      <c r="AC261" s="501"/>
      <c r="AD261" s="500"/>
      <c r="AE261" s="500"/>
      <c r="AF261" s="503"/>
      <c r="AG261" s="503"/>
      <c r="AH261" s="504"/>
      <c r="AI261" s="500"/>
      <c r="AJ261" s="500"/>
      <c r="AK261" s="500"/>
      <c r="AL261" s="500"/>
      <c r="AM261" s="500"/>
      <c r="AN261" s="500"/>
      <c r="AO261" s="500"/>
      <c r="AP261" s="500"/>
      <c r="AQ261" s="500"/>
      <c r="AR261" s="500"/>
      <c r="AS261" s="500"/>
      <c r="AT261" s="500"/>
      <c r="AU261" s="500"/>
      <c r="AV261" s="500"/>
      <c r="AW261" s="500"/>
      <c r="AX261" s="500"/>
      <c r="AY261" s="500"/>
      <c r="AZ261" s="500"/>
      <c r="BA261" s="500"/>
      <c r="BB261" s="500"/>
      <c r="BC261" s="500"/>
      <c r="BD261" s="500"/>
      <c r="BE261" s="500"/>
      <c r="BF261" s="500"/>
      <c r="BG261" s="500"/>
      <c r="BH261" s="500"/>
      <c r="BI261" s="500"/>
      <c r="BJ261" s="500"/>
      <c r="BK261" s="500"/>
      <c r="BL261" s="500"/>
      <c r="BM261" s="500"/>
      <c r="BN261" s="500"/>
      <c r="BO261" s="500"/>
      <c r="BP261" s="500"/>
      <c r="BQ261" s="500"/>
      <c r="BR261" s="500"/>
      <c r="BS261" s="500"/>
      <c r="BT261" s="500"/>
      <c r="BU261" s="500"/>
      <c r="BV261" s="500"/>
    </row>
    <row r="262" ht="14.25" customHeight="1">
      <c r="A262" s="8"/>
      <c r="B262" s="500"/>
      <c r="C262" s="500"/>
      <c r="D262" s="500"/>
      <c r="E262" s="500"/>
      <c r="F262" s="500"/>
      <c r="G262" s="500"/>
      <c r="H262" s="500"/>
      <c r="I262" s="500"/>
      <c r="J262" s="500"/>
      <c r="K262" s="500"/>
      <c r="L262" s="500"/>
      <c r="M262" s="500"/>
      <c r="N262" s="500"/>
      <c r="O262" s="500"/>
      <c r="P262" s="500"/>
      <c r="Q262" s="500"/>
      <c r="R262" s="500"/>
      <c r="S262" s="500"/>
      <c r="T262" s="500"/>
      <c r="U262" s="500"/>
      <c r="V262" s="500"/>
      <c r="W262" s="500"/>
      <c r="X262" s="500"/>
      <c r="Y262" s="500"/>
      <c r="Z262" s="501"/>
      <c r="AA262" s="501"/>
      <c r="AB262" s="501"/>
      <c r="AC262" s="501"/>
      <c r="AD262" s="500"/>
      <c r="AE262" s="500"/>
      <c r="AF262" s="503"/>
      <c r="AG262" s="503"/>
      <c r="AH262" s="504"/>
      <c r="AI262" s="500"/>
      <c r="AJ262" s="500"/>
      <c r="AK262" s="500"/>
      <c r="AL262" s="500"/>
      <c r="AM262" s="500"/>
      <c r="AN262" s="500"/>
      <c r="AO262" s="500"/>
      <c r="AP262" s="500"/>
      <c r="AQ262" s="500"/>
      <c r="AR262" s="500"/>
      <c r="AS262" s="500"/>
      <c r="AT262" s="500"/>
      <c r="AU262" s="500"/>
      <c r="AV262" s="500"/>
      <c r="AW262" s="500"/>
      <c r="AX262" s="500"/>
      <c r="AY262" s="500"/>
      <c r="AZ262" s="500"/>
      <c r="BA262" s="500"/>
      <c r="BB262" s="500"/>
      <c r="BC262" s="500"/>
      <c r="BD262" s="500"/>
      <c r="BE262" s="500"/>
      <c r="BF262" s="500"/>
      <c r="BG262" s="500"/>
      <c r="BH262" s="500"/>
      <c r="BI262" s="500"/>
      <c r="BJ262" s="500"/>
      <c r="BK262" s="500"/>
      <c r="BL262" s="500"/>
      <c r="BM262" s="500"/>
      <c r="BN262" s="500"/>
      <c r="BO262" s="500"/>
      <c r="BP262" s="500"/>
      <c r="BQ262" s="500"/>
      <c r="BR262" s="500"/>
      <c r="BS262" s="500"/>
      <c r="BT262" s="500"/>
      <c r="BU262" s="500"/>
      <c r="BV262" s="500"/>
    </row>
    <row r="263" ht="14.25" customHeight="1">
      <c r="A263" s="8"/>
      <c r="B263" s="500"/>
      <c r="C263" s="500"/>
      <c r="D263" s="500"/>
      <c r="E263" s="500"/>
      <c r="F263" s="500"/>
      <c r="G263" s="500"/>
      <c r="H263" s="500"/>
      <c r="I263" s="500"/>
      <c r="J263" s="500"/>
      <c r="K263" s="500"/>
      <c r="L263" s="500"/>
      <c r="M263" s="500"/>
      <c r="N263" s="500"/>
      <c r="O263" s="500"/>
      <c r="P263" s="500"/>
      <c r="Q263" s="500"/>
      <c r="R263" s="500"/>
      <c r="S263" s="500"/>
      <c r="T263" s="500"/>
      <c r="U263" s="500"/>
      <c r="V263" s="500"/>
      <c r="W263" s="500"/>
      <c r="X263" s="500"/>
      <c r="Y263" s="500"/>
      <c r="Z263" s="501"/>
      <c r="AA263" s="501"/>
      <c r="AB263" s="501"/>
      <c r="AC263" s="501"/>
      <c r="AD263" s="500"/>
      <c r="AE263" s="500"/>
      <c r="AF263" s="503"/>
      <c r="AG263" s="503"/>
      <c r="AH263" s="504"/>
      <c r="AI263" s="500"/>
      <c r="AJ263" s="500"/>
      <c r="AK263" s="500"/>
      <c r="AL263" s="500"/>
      <c r="AM263" s="500"/>
      <c r="AN263" s="500"/>
      <c r="AO263" s="500"/>
      <c r="AP263" s="500"/>
      <c r="AQ263" s="500"/>
      <c r="AR263" s="500"/>
      <c r="AS263" s="500"/>
      <c r="AT263" s="500"/>
      <c r="AU263" s="500"/>
      <c r="AV263" s="500"/>
      <c r="AW263" s="500"/>
      <c r="AX263" s="500"/>
      <c r="AY263" s="500"/>
      <c r="AZ263" s="500"/>
      <c r="BA263" s="500"/>
      <c r="BB263" s="500"/>
      <c r="BC263" s="500"/>
      <c r="BD263" s="500"/>
      <c r="BE263" s="500"/>
      <c r="BF263" s="500"/>
      <c r="BG263" s="500"/>
      <c r="BH263" s="500"/>
      <c r="BI263" s="500"/>
      <c r="BJ263" s="500"/>
      <c r="BK263" s="500"/>
      <c r="BL263" s="500"/>
      <c r="BM263" s="500"/>
      <c r="BN263" s="500"/>
      <c r="BO263" s="500"/>
      <c r="BP263" s="500"/>
      <c r="BQ263" s="500"/>
      <c r="BR263" s="500"/>
      <c r="BS263" s="500"/>
      <c r="BT263" s="500"/>
      <c r="BU263" s="500"/>
      <c r="BV263" s="500"/>
    </row>
    <row r="264" ht="14.25" customHeight="1">
      <c r="A264" s="8"/>
      <c r="B264" s="500"/>
      <c r="C264" s="500"/>
      <c r="D264" s="500"/>
      <c r="E264" s="500"/>
      <c r="F264" s="500"/>
      <c r="G264" s="500"/>
      <c r="H264" s="500"/>
      <c r="I264" s="500"/>
      <c r="J264" s="500"/>
      <c r="K264" s="500"/>
      <c r="L264" s="500"/>
      <c r="M264" s="500"/>
      <c r="N264" s="500"/>
      <c r="O264" s="500"/>
      <c r="P264" s="500"/>
      <c r="Q264" s="500"/>
      <c r="R264" s="500"/>
      <c r="S264" s="500"/>
      <c r="T264" s="500"/>
      <c r="U264" s="500"/>
      <c r="V264" s="500"/>
      <c r="W264" s="500"/>
      <c r="X264" s="500"/>
      <c r="Y264" s="500"/>
      <c r="Z264" s="501"/>
      <c r="AA264" s="501"/>
      <c r="AB264" s="501"/>
      <c r="AC264" s="501"/>
      <c r="AD264" s="500"/>
      <c r="AE264" s="500"/>
      <c r="AF264" s="503"/>
      <c r="AG264" s="503"/>
      <c r="AH264" s="504"/>
      <c r="AI264" s="500"/>
      <c r="AJ264" s="500"/>
      <c r="AK264" s="500"/>
      <c r="AL264" s="500"/>
      <c r="AM264" s="500"/>
      <c r="AN264" s="500"/>
      <c r="AO264" s="500"/>
      <c r="AP264" s="500"/>
      <c r="AQ264" s="500"/>
      <c r="AR264" s="500"/>
      <c r="AS264" s="500"/>
      <c r="AT264" s="500"/>
      <c r="AU264" s="500"/>
      <c r="AV264" s="500"/>
      <c r="AW264" s="500"/>
      <c r="AX264" s="500"/>
      <c r="AY264" s="500"/>
      <c r="AZ264" s="500"/>
      <c r="BA264" s="500"/>
      <c r="BB264" s="500"/>
      <c r="BC264" s="500"/>
      <c r="BD264" s="500"/>
      <c r="BE264" s="500"/>
      <c r="BF264" s="500"/>
      <c r="BG264" s="500"/>
      <c r="BH264" s="500"/>
      <c r="BI264" s="500"/>
      <c r="BJ264" s="500"/>
      <c r="BK264" s="500"/>
      <c r="BL264" s="500"/>
      <c r="BM264" s="500"/>
      <c r="BN264" s="500"/>
      <c r="BO264" s="500"/>
      <c r="BP264" s="500"/>
      <c r="BQ264" s="500"/>
      <c r="BR264" s="500"/>
      <c r="BS264" s="500"/>
      <c r="BT264" s="500"/>
      <c r="BU264" s="500"/>
      <c r="BV264" s="500"/>
    </row>
    <row r="265" ht="14.25" customHeight="1">
      <c r="A265" s="8"/>
      <c r="B265" s="500"/>
      <c r="C265" s="500"/>
      <c r="D265" s="500"/>
      <c r="E265" s="500"/>
      <c r="F265" s="500"/>
      <c r="G265" s="500"/>
      <c r="H265" s="500"/>
      <c r="I265" s="500"/>
      <c r="J265" s="500"/>
      <c r="K265" s="500"/>
      <c r="L265" s="500"/>
      <c r="M265" s="500"/>
      <c r="N265" s="500"/>
      <c r="O265" s="500"/>
      <c r="P265" s="500"/>
      <c r="Q265" s="500"/>
      <c r="R265" s="500"/>
      <c r="S265" s="500"/>
      <c r="T265" s="500"/>
      <c r="U265" s="500"/>
      <c r="V265" s="500"/>
      <c r="W265" s="500"/>
      <c r="X265" s="500"/>
      <c r="Y265" s="500"/>
      <c r="Z265" s="501"/>
      <c r="AA265" s="501"/>
      <c r="AB265" s="501"/>
      <c r="AC265" s="501"/>
      <c r="AD265" s="500"/>
      <c r="AE265" s="500"/>
      <c r="AF265" s="503"/>
      <c r="AG265" s="503"/>
      <c r="AH265" s="504"/>
      <c r="AI265" s="500"/>
      <c r="AJ265" s="500"/>
      <c r="AK265" s="500"/>
      <c r="AL265" s="500"/>
      <c r="AM265" s="500"/>
      <c r="AN265" s="500"/>
      <c r="AO265" s="500"/>
      <c r="AP265" s="500"/>
      <c r="AQ265" s="500"/>
      <c r="AR265" s="500"/>
      <c r="AS265" s="500"/>
      <c r="AT265" s="500"/>
      <c r="AU265" s="500"/>
      <c r="AV265" s="500"/>
      <c r="AW265" s="500"/>
      <c r="AX265" s="500"/>
      <c r="AY265" s="500"/>
      <c r="AZ265" s="500"/>
      <c r="BA265" s="500"/>
      <c r="BB265" s="500"/>
      <c r="BC265" s="500"/>
      <c r="BD265" s="500"/>
      <c r="BE265" s="500"/>
      <c r="BF265" s="500"/>
      <c r="BG265" s="500"/>
      <c r="BH265" s="500"/>
      <c r="BI265" s="500"/>
      <c r="BJ265" s="500"/>
      <c r="BK265" s="500"/>
      <c r="BL265" s="500"/>
      <c r="BM265" s="500"/>
      <c r="BN265" s="500"/>
      <c r="BO265" s="500"/>
      <c r="BP265" s="500"/>
      <c r="BQ265" s="500"/>
      <c r="BR265" s="500"/>
      <c r="BS265" s="500"/>
      <c r="BT265" s="500"/>
      <c r="BU265" s="500"/>
      <c r="BV265" s="500"/>
    </row>
    <row r="266" ht="14.25" customHeight="1">
      <c r="A266" s="8"/>
      <c r="B266" s="500"/>
      <c r="C266" s="500"/>
      <c r="D266" s="500"/>
      <c r="E266" s="500"/>
      <c r="F266" s="500"/>
      <c r="G266" s="500"/>
      <c r="H266" s="500"/>
      <c r="I266" s="500"/>
      <c r="J266" s="500"/>
      <c r="K266" s="500"/>
      <c r="L266" s="500"/>
      <c r="M266" s="500"/>
      <c r="N266" s="500"/>
      <c r="O266" s="500"/>
      <c r="P266" s="500"/>
      <c r="Q266" s="500"/>
      <c r="R266" s="500"/>
      <c r="S266" s="500"/>
      <c r="T266" s="500"/>
      <c r="U266" s="500"/>
      <c r="V266" s="500"/>
      <c r="W266" s="500"/>
      <c r="X266" s="500"/>
      <c r="Y266" s="500"/>
      <c r="Z266" s="501"/>
      <c r="AA266" s="501"/>
      <c r="AB266" s="501"/>
      <c r="AC266" s="501"/>
      <c r="AD266" s="500"/>
      <c r="AE266" s="500"/>
      <c r="AF266" s="503"/>
      <c r="AG266" s="503"/>
      <c r="AH266" s="504"/>
      <c r="AI266" s="500"/>
      <c r="AJ266" s="500"/>
      <c r="AK266" s="500"/>
      <c r="AL266" s="500"/>
      <c r="AM266" s="500"/>
      <c r="AN266" s="500"/>
      <c r="AO266" s="500"/>
      <c r="AP266" s="500"/>
      <c r="AQ266" s="500"/>
      <c r="AR266" s="500"/>
      <c r="AS266" s="500"/>
      <c r="AT266" s="500"/>
      <c r="AU266" s="500"/>
      <c r="AV266" s="500"/>
      <c r="AW266" s="500"/>
      <c r="AX266" s="500"/>
      <c r="AY266" s="500"/>
      <c r="AZ266" s="500"/>
      <c r="BA266" s="500"/>
      <c r="BB266" s="500"/>
      <c r="BC266" s="500"/>
      <c r="BD266" s="500"/>
      <c r="BE266" s="500"/>
      <c r="BF266" s="500"/>
      <c r="BG266" s="500"/>
      <c r="BH266" s="500"/>
      <c r="BI266" s="500"/>
      <c r="BJ266" s="500"/>
      <c r="BK266" s="500"/>
      <c r="BL266" s="500"/>
      <c r="BM266" s="500"/>
      <c r="BN266" s="500"/>
      <c r="BO266" s="500"/>
      <c r="BP266" s="500"/>
      <c r="BQ266" s="500"/>
      <c r="BR266" s="500"/>
      <c r="BS266" s="500"/>
      <c r="BT266" s="500"/>
      <c r="BU266" s="500"/>
      <c r="BV266" s="500"/>
    </row>
    <row r="267" ht="14.25" customHeight="1">
      <c r="A267" s="8"/>
      <c r="B267" s="500"/>
      <c r="C267" s="500"/>
      <c r="D267" s="500"/>
      <c r="E267" s="500"/>
      <c r="F267" s="500"/>
      <c r="G267" s="500"/>
      <c r="H267" s="500"/>
      <c r="I267" s="500"/>
      <c r="J267" s="500"/>
      <c r="K267" s="500"/>
      <c r="L267" s="500"/>
      <c r="M267" s="500"/>
      <c r="N267" s="500"/>
      <c r="O267" s="500"/>
      <c r="P267" s="500"/>
      <c r="Q267" s="500"/>
      <c r="R267" s="500"/>
      <c r="S267" s="500"/>
      <c r="T267" s="500"/>
      <c r="U267" s="500"/>
      <c r="V267" s="500"/>
      <c r="W267" s="500"/>
      <c r="X267" s="500"/>
      <c r="Y267" s="500"/>
      <c r="Z267" s="501"/>
      <c r="AA267" s="501"/>
      <c r="AB267" s="501"/>
      <c r="AC267" s="501"/>
      <c r="AD267" s="500"/>
      <c r="AE267" s="500"/>
      <c r="AF267" s="503"/>
      <c r="AG267" s="503"/>
      <c r="AH267" s="504"/>
      <c r="AI267" s="500"/>
      <c r="AJ267" s="500"/>
      <c r="AK267" s="500"/>
      <c r="AL267" s="500"/>
      <c r="AM267" s="500"/>
      <c r="AN267" s="500"/>
      <c r="AO267" s="500"/>
      <c r="AP267" s="500"/>
      <c r="AQ267" s="500"/>
      <c r="AR267" s="500"/>
      <c r="AS267" s="500"/>
      <c r="AT267" s="500"/>
      <c r="AU267" s="500"/>
      <c r="AV267" s="500"/>
      <c r="AW267" s="500"/>
      <c r="AX267" s="500"/>
      <c r="AY267" s="500"/>
      <c r="AZ267" s="500"/>
      <c r="BA267" s="500"/>
      <c r="BB267" s="500"/>
      <c r="BC267" s="500"/>
      <c r="BD267" s="500"/>
      <c r="BE267" s="500"/>
      <c r="BF267" s="500"/>
      <c r="BG267" s="500"/>
      <c r="BH267" s="500"/>
      <c r="BI267" s="500"/>
      <c r="BJ267" s="500"/>
      <c r="BK267" s="500"/>
      <c r="BL267" s="500"/>
      <c r="BM267" s="500"/>
      <c r="BN267" s="500"/>
      <c r="BO267" s="500"/>
      <c r="BP267" s="500"/>
      <c r="BQ267" s="500"/>
      <c r="BR267" s="500"/>
      <c r="BS267" s="500"/>
      <c r="BT267" s="500"/>
      <c r="BU267" s="500"/>
      <c r="BV267" s="500"/>
    </row>
    <row r="268" ht="14.25" customHeight="1">
      <c r="A268" s="8"/>
      <c r="B268" s="500"/>
      <c r="C268" s="500"/>
      <c r="D268" s="500"/>
      <c r="E268" s="500"/>
      <c r="F268" s="500"/>
      <c r="G268" s="500"/>
      <c r="H268" s="500"/>
      <c r="I268" s="500"/>
      <c r="J268" s="500"/>
      <c r="K268" s="500"/>
      <c r="L268" s="500"/>
      <c r="M268" s="500"/>
      <c r="N268" s="500"/>
      <c r="O268" s="500"/>
      <c r="P268" s="500"/>
      <c r="Q268" s="500"/>
      <c r="R268" s="500"/>
      <c r="S268" s="500"/>
      <c r="T268" s="500"/>
      <c r="U268" s="500"/>
      <c r="V268" s="500"/>
      <c r="W268" s="500"/>
      <c r="X268" s="500"/>
      <c r="Y268" s="500"/>
      <c r="Z268" s="501"/>
      <c r="AA268" s="501"/>
      <c r="AB268" s="501"/>
      <c r="AC268" s="501"/>
      <c r="AD268" s="500"/>
      <c r="AE268" s="500"/>
      <c r="AF268" s="503"/>
      <c r="AG268" s="503"/>
      <c r="AH268" s="504"/>
      <c r="AI268" s="500"/>
      <c r="AJ268" s="500"/>
      <c r="AK268" s="500"/>
      <c r="AL268" s="500"/>
      <c r="AM268" s="500"/>
      <c r="AN268" s="500"/>
      <c r="AO268" s="500"/>
      <c r="AP268" s="500"/>
      <c r="AQ268" s="500"/>
      <c r="AR268" s="500"/>
      <c r="AS268" s="500"/>
      <c r="AT268" s="500"/>
      <c r="AU268" s="500"/>
      <c r="AV268" s="500"/>
      <c r="AW268" s="500"/>
      <c r="AX268" s="500"/>
      <c r="AY268" s="500"/>
      <c r="AZ268" s="500"/>
      <c r="BA268" s="500"/>
      <c r="BB268" s="500"/>
      <c r="BC268" s="500"/>
      <c r="BD268" s="500"/>
      <c r="BE268" s="500"/>
      <c r="BF268" s="500"/>
      <c r="BG268" s="500"/>
      <c r="BH268" s="500"/>
      <c r="BI268" s="500"/>
      <c r="BJ268" s="500"/>
      <c r="BK268" s="500"/>
      <c r="BL268" s="500"/>
      <c r="BM268" s="500"/>
      <c r="BN268" s="500"/>
      <c r="BO268" s="500"/>
      <c r="BP268" s="500"/>
      <c r="BQ268" s="500"/>
      <c r="BR268" s="500"/>
      <c r="BS268" s="500"/>
      <c r="BT268" s="500"/>
      <c r="BU268" s="500"/>
      <c r="BV268" s="500"/>
    </row>
    <row r="269" ht="14.25" customHeight="1">
      <c r="A269" s="8"/>
      <c r="B269" s="500"/>
      <c r="C269" s="500"/>
      <c r="D269" s="500"/>
      <c r="E269" s="500"/>
      <c r="F269" s="500"/>
      <c r="G269" s="500"/>
      <c r="H269" s="500"/>
      <c r="I269" s="500"/>
      <c r="J269" s="500"/>
      <c r="K269" s="500"/>
      <c r="L269" s="500"/>
      <c r="M269" s="500"/>
      <c r="N269" s="500"/>
      <c r="O269" s="500"/>
      <c r="P269" s="500"/>
      <c r="Q269" s="500"/>
      <c r="R269" s="500"/>
      <c r="S269" s="500"/>
      <c r="T269" s="500"/>
      <c r="U269" s="500"/>
      <c r="V269" s="500"/>
      <c r="W269" s="500"/>
      <c r="X269" s="500"/>
      <c r="Y269" s="500"/>
      <c r="Z269" s="501"/>
      <c r="AA269" s="501"/>
      <c r="AB269" s="501"/>
      <c r="AC269" s="501"/>
      <c r="AD269" s="500"/>
      <c r="AE269" s="500"/>
      <c r="AF269" s="503"/>
      <c r="AG269" s="503"/>
      <c r="AH269" s="504"/>
      <c r="AI269" s="500"/>
      <c r="AJ269" s="500"/>
      <c r="AK269" s="500"/>
      <c r="AL269" s="500"/>
      <c r="AM269" s="500"/>
      <c r="AN269" s="500"/>
      <c r="AO269" s="500"/>
      <c r="AP269" s="500"/>
      <c r="AQ269" s="500"/>
      <c r="AR269" s="500"/>
      <c r="AS269" s="500"/>
      <c r="AT269" s="500"/>
      <c r="AU269" s="500"/>
      <c r="AV269" s="500"/>
      <c r="AW269" s="500"/>
      <c r="AX269" s="500"/>
      <c r="AY269" s="500"/>
      <c r="AZ269" s="500"/>
      <c r="BA269" s="500"/>
      <c r="BB269" s="500"/>
      <c r="BC269" s="500"/>
      <c r="BD269" s="500"/>
      <c r="BE269" s="500"/>
      <c r="BF269" s="500"/>
      <c r="BG269" s="500"/>
      <c r="BH269" s="500"/>
      <c r="BI269" s="500"/>
      <c r="BJ269" s="500"/>
      <c r="BK269" s="500"/>
      <c r="BL269" s="500"/>
      <c r="BM269" s="500"/>
      <c r="BN269" s="500"/>
      <c r="BO269" s="500"/>
      <c r="BP269" s="500"/>
      <c r="BQ269" s="500"/>
      <c r="BR269" s="500"/>
      <c r="BS269" s="500"/>
      <c r="BT269" s="500"/>
      <c r="BU269" s="500"/>
      <c r="BV269" s="500"/>
    </row>
    <row r="270" ht="14.25" customHeight="1">
      <c r="A270" s="8"/>
      <c r="B270" s="500"/>
      <c r="C270" s="500"/>
      <c r="D270" s="500"/>
      <c r="E270" s="500"/>
      <c r="F270" s="500"/>
      <c r="G270" s="500"/>
      <c r="H270" s="500"/>
      <c r="I270" s="500"/>
      <c r="J270" s="500"/>
      <c r="K270" s="500"/>
      <c r="L270" s="500"/>
      <c r="M270" s="500"/>
      <c r="N270" s="500"/>
      <c r="O270" s="500"/>
      <c r="P270" s="500"/>
      <c r="Q270" s="500"/>
      <c r="R270" s="500"/>
      <c r="S270" s="500"/>
      <c r="T270" s="500"/>
      <c r="U270" s="500"/>
      <c r="V270" s="500"/>
      <c r="W270" s="500"/>
      <c r="X270" s="500"/>
      <c r="Y270" s="500"/>
      <c r="Z270" s="501"/>
      <c r="AA270" s="501"/>
      <c r="AB270" s="501"/>
      <c r="AC270" s="501"/>
      <c r="AD270" s="500"/>
      <c r="AE270" s="500"/>
      <c r="AF270" s="503"/>
      <c r="AG270" s="503"/>
      <c r="AH270" s="504"/>
      <c r="AI270" s="500"/>
      <c r="AJ270" s="500"/>
      <c r="AK270" s="500"/>
      <c r="AL270" s="500"/>
      <c r="AM270" s="500"/>
      <c r="AN270" s="500"/>
      <c r="AO270" s="500"/>
      <c r="AP270" s="500"/>
      <c r="AQ270" s="500"/>
      <c r="AR270" s="500"/>
      <c r="AS270" s="500"/>
      <c r="AT270" s="500"/>
      <c r="AU270" s="500"/>
      <c r="AV270" s="500"/>
      <c r="AW270" s="500"/>
      <c r="AX270" s="500"/>
      <c r="AY270" s="500"/>
      <c r="AZ270" s="500"/>
      <c r="BA270" s="500"/>
      <c r="BB270" s="500"/>
      <c r="BC270" s="500"/>
      <c r="BD270" s="500"/>
      <c r="BE270" s="500"/>
      <c r="BF270" s="500"/>
      <c r="BG270" s="500"/>
      <c r="BH270" s="500"/>
      <c r="BI270" s="500"/>
      <c r="BJ270" s="500"/>
      <c r="BK270" s="500"/>
      <c r="BL270" s="500"/>
      <c r="BM270" s="500"/>
      <c r="BN270" s="500"/>
      <c r="BO270" s="500"/>
      <c r="BP270" s="500"/>
      <c r="BQ270" s="500"/>
      <c r="BR270" s="500"/>
      <c r="BS270" s="500"/>
      <c r="BT270" s="500"/>
      <c r="BU270" s="500"/>
      <c r="BV270" s="500"/>
    </row>
    <row r="271" ht="14.25" customHeight="1">
      <c r="A271" s="8"/>
      <c r="B271" s="500"/>
      <c r="C271" s="500"/>
      <c r="D271" s="500"/>
      <c r="E271" s="500"/>
      <c r="F271" s="500"/>
      <c r="G271" s="500"/>
      <c r="H271" s="500"/>
      <c r="I271" s="500"/>
      <c r="J271" s="500"/>
      <c r="K271" s="500"/>
      <c r="L271" s="500"/>
      <c r="M271" s="500"/>
      <c r="N271" s="500"/>
      <c r="O271" s="500"/>
      <c r="P271" s="500"/>
      <c r="Q271" s="500"/>
      <c r="R271" s="500"/>
      <c r="S271" s="500"/>
      <c r="T271" s="500"/>
      <c r="U271" s="500"/>
      <c r="V271" s="500"/>
      <c r="W271" s="500"/>
      <c r="X271" s="500"/>
      <c r="Y271" s="500"/>
      <c r="Z271" s="501"/>
      <c r="AA271" s="501"/>
      <c r="AB271" s="501"/>
      <c r="AC271" s="501"/>
      <c r="AD271" s="500"/>
      <c r="AE271" s="500"/>
      <c r="AF271" s="503"/>
      <c r="AG271" s="503"/>
      <c r="AH271" s="504"/>
      <c r="AI271" s="500"/>
      <c r="AJ271" s="500"/>
      <c r="AK271" s="500"/>
      <c r="AL271" s="500"/>
      <c r="AM271" s="500"/>
      <c r="AN271" s="500"/>
      <c r="AO271" s="500"/>
      <c r="AP271" s="500"/>
      <c r="AQ271" s="500"/>
      <c r="AR271" s="500"/>
      <c r="AS271" s="500"/>
      <c r="AT271" s="500"/>
      <c r="AU271" s="500"/>
      <c r="AV271" s="500"/>
      <c r="AW271" s="500"/>
      <c r="AX271" s="500"/>
      <c r="AY271" s="500"/>
      <c r="AZ271" s="500"/>
      <c r="BA271" s="500"/>
      <c r="BB271" s="500"/>
      <c r="BC271" s="500"/>
      <c r="BD271" s="500"/>
      <c r="BE271" s="500"/>
      <c r="BF271" s="500"/>
      <c r="BG271" s="500"/>
      <c r="BH271" s="500"/>
      <c r="BI271" s="500"/>
      <c r="BJ271" s="500"/>
      <c r="BK271" s="500"/>
      <c r="BL271" s="500"/>
      <c r="BM271" s="500"/>
      <c r="BN271" s="500"/>
      <c r="BO271" s="500"/>
      <c r="BP271" s="500"/>
      <c r="BQ271" s="500"/>
      <c r="BR271" s="500"/>
      <c r="BS271" s="500"/>
      <c r="BT271" s="500"/>
      <c r="BU271" s="500"/>
      <c r="BV271" s="500"/>
    </row>
    <row r="272" ht="14.25" customHeight="1">
      <c r="A272" s="8"/>
      <c r="B272" s="500"/>
      <c r="C272" s="500"/>
      <c r="D272" s="500"/>
      <c r="E272" s="500"/>
      <c r="F272" s="500"/>
      <c r="G272" s="500"/>
      <c r="H272" s="500"/>
      <c r="I272" s="500"/>
      <c r="J272" s="500"/>
      <c r="K272" s="500"/>
      <c r="L272" s="500"/>
      <c r="M272" s="500"/>
      <c r="N272" s="500"/>
      <c r="O272" s="500"/>
      <c r="P272" s="500"/>
      <c r="Q272" s="500"/>
      <c r="R272" s="500"/>
      <c r="S272" s="500"/>
      <c r="T272" s="500"/>
      <c r="U272" s="500"/>
      <c r="V272" s="500"/>
      <c r="W272" s="500"/>
      <c r="X272" s="500"/>
      <c r="Y272" s="500"/>
      <c r="Z272" s="501"/>
      <c r="AA272" s="501"/>
      <c r="AB272" s="501"/>
      <c r="AC272" s="501"/>
      <c r="AD272" s="500"/>
      <c r="AE272" s="500"/>
      <c r="AF272" s="503"/>
      <c r="AG272" s="503"/>
      <c r="AH272" s="504"/>
      <c r="AI272" s="500"/>
      <c r="AJ272" s="500"/>
      <c r="AK272" s="500"/>
      <c r="AL272" s="500"/>
      <c r="AM272" s="500"/>
      <c r="AN272" s="500"/>
      <c r="AO272" s="500"/>
      <c r="AP272" s="500"/>
      <c r="AQ272" s="500"/>
      <c r="AR272" s="500"/>
      <c r="AS272" s="500"/>
      <c r="AT272" s="500"/>
      <c r="AU272" s="500"/>
      <c r="AV272" s="500"/>
      <c r="AW272" s="500"/>
      <c r="AX272" s="500"/>
      <c r="AY272" s="500"/>
      <c r="AZ272" s="500"/>
      <c r="BA272" s="500"/>
      <c r="BB272" s="500"/>
      <c r="BC272" s="500"/>
      <c r="BD272" s="500"/>
      <c r="BE272" s="500"/>
      <c r="BF272" s="500"/>
      <c r="BG272" s="500"/>
      <c r="BH272" s="500"/>
      <c r="BI272" s="500"/>
      <c r="BJ272" s="500"/>
      <c r="BK272" s="500"/>
      <c r="BL272" s="500"/>
      <c r="BM272" s="500"/>
      <c r="BN272" s="500"/>
      <c r="BO272" s="500"/>
      <c r="BP272" s="500"/>
      <c r="BQ272" s="500"/>
      <c r="BR272" s="500"/>
      <c r="BS272" s="500"/>
      <c r="BT272" s="500"/>
      <c r="BU272" s="500"/>
      <c r="BV272" s="500"/>
    </row>
    <row r="273" ht="14.25" customHeight="1">
      <c r="A273" s="8"/>
      <c r="B273" s="500"/>
      <c r="C273" s="500"/>
      <c r="D273" s="500"/>
      <c r="E273" s="500"/>
      <c r="F273" s="500"/>
      <c r="G273" s="500"/>
      <c r="H273" s="500"/>
      <c r="I273" s="500"/>
      <c r="J273" s="500"/>
      <c r="K273" s="500"/>
      <c r="L273" s="500"/>
      <c r="M273" s="500"/>
      <c r="N273" s="500"/>
      <c r="O273" s="500"/>
      <c r="P273" s="500"/>
      <c r="Q273" s="500"/>
      <c r="R273" s="500"/>
      <c r="S273" s="500"/>
      <c r="T273" s="500"/>
      <c r="U273" s="500"/>
      <c r="V273" s="500"/>
      <c r="W273" s="500"/>
      <c r="X273" s="500"/>
      <c r="Y273" s="500"/>
      <c r="Z273" s="501"/>
      <c r="AA273" s="501"/>
      <c r="AB273" s="501"/>
      <c r="AC273" s="501"/>
      <c r="AD273" s="500"/>
      <c r="AE273" s="500"/>
      <c r="AF273" s="503"/>
      <c r="AG273" s="503"/>
      <c r="AH273" s="504"/>
      <c r="AI273" s="500"/>
      <c r="AJ273" s="500"/>
      <c r="AK273" s="500"/>
      <c r="AL273" s="500"/>
      <c r="AM273" s="500"/>
      <c r="AN273" s="500"/>
      <c r="AO273" s="500"/>
      <c r="AP273" s="500"/>
      <c r="AQ273" s="500"/>
      <c r="AR273" s="500"/>
      <c r="AS273" s="500"/>
      <c r="AT273" s="500"/>
      <c r="AU273" s="500"/>
      <c r="AV273" s="500"/>
      <c r="AW273" s="500"/>
      <c r="AX273" s="500"/>
      <c r="AY273" s="500"/>
      <c r="AZ273" s="500"/>
      <c r="BA273" s="500"/>
      <c r="BB273" s="500"/>
      <c r="BC273" s="500"/>
      <c r="BD273" s="500"/>
      <c r="BE273" s="500"/>
      <c r="BF273" s="500"/>
      <c r="BG273" s="500"/>
      <c r="BH273" s="500"/>
      <c r="BI273" s="500"/>
      <c r="BJ273" s="500"/>
      <c r="BK273" s="500"/>
      <c r="BL273" s="500"/>
      <c r="BM273" s="500"/>
      <c r="BN273" s="500"/>
      <c r="BO273" s="500"/>
      <c r="BP273" s="500"/>
      <c r="BQ273" s="500"/>
      <c r="BR273" s="500"/>
      <c r="BS273" s="500"/>
      <c r="BT273" s="500"/>
      <c r="BU273" s="500"/>
      <c r="BV273" s="500"/>
    </row>
    <row r="274" ht="14.25" customHeight="1">
      <c r="A274" s="8"/>
      <c r="B274" s="500"/>
      <c r="C274" s="500"/>
      <c r="D274" s="500"/>
      <c r="E274" s="500"/>
      <c r="F274" s="500"/>
      <c r="G274" s="500"/>
      <c r="H274" s="500"/>
      <c r="I274" s="500"/>
      <c r="J274" s="500"/>
      <c r="K274" s="500"/>
      <c r="L274" s="500"/>
      <c r="M274" s="500"/>
      <c r="N274" s="500"/>
      <c r="O274" s="500"/>
      <c r="P274" s="500"/>
      <c r="Q274" s="500"/>
      <c r="R274" s="500"/>
      <c r="S274" s="500"/>
      <c r="T274" s="500"/>
      <c r="U274" s="500"/>
      <c r="V274" s="500"/>
      <c r="W274" s="500"/>
      <c r="X274" s="500"/>
      <c r="Y274" s="500"/>
      <c r="Z274" s="501"/>
      <c r="AA274" s="501"/>
      <c r="AB274" s="501"/>
      <c r="AC274" s="501"/>
      <c r="AD274" s="500"/>
      <c r="AE274" s="500"/>
      <c r="AF274" s="503"/>
      <c r="AG274" s="503"/>
      <c r="AH274" s="504"/>
      <c r="AI274" s="500"/>
      <c r="AJ274" s="500"/>
      <c r="AK274" s="500"/>
      <c r="AL274" s="500"/>
      <c r="AM274" s="500"/>
      <c r="AN274" s="500"/>
      <c r="AO274" s="500"/>
      <c r="AP274" s="500"/>
      <c r="AQ274" s="500"/>
      <c r="AR274" s="500"/>
      <c r="AS274" s="500"/>
      <c r="AT274" s="500"/>
      <c r="AU274" s="500"/>
      <c r="AV274" s="500"/>
      <c r="AW274" s="500"/>
      <c r="AX274" s="500"/>
      <c r="AY274" s="500"/>
      <c r="AZ274" s="500"/>
      <c r="BA274" s="500"/>
      <c r="BB274" s="500"/>
      <c r="BC274" s="500"/>
      <c r="BD274" s="500"/>
      <c r="BE274" s="500"/>
      <c r="BF274" s="500"/>
      <c r="BG274" s="500"/>
      <c r="BH274" s="500"/>
      <c r="BI274" s="500"/>
      <c r="BJ274" s="500"/>
      <c r="BK274" s="500"/>
      <c r="BL274" s="500"/>
      <c r="BM274" s="500"/>
      <c r="BN274" s="500"/>
      <c r="BO274" s="500"/>
      <c r="BP274" s="500"/>
      <c r="BQ274" s="500"/>
      <c r="BR274" s="500"/>
      <c r="BS274" s="500"/>
      <c r="BT274" s="500"/>
      <c r="BU274" s="500"/>
      <c r="BV274" s="500"/>
    </row>
    <row r="275" ht="14.25" customHeight="1">
      <c r="A275" s="8"/>
      <c r="B275" s="500"/>
      <c r="C275" s="500"/>
      <c r="D275" s="500"/>
      <c r="E275" s="500"/>
      <c r="F275" s="500"/>
      <c r="G275" s="500"/>
      <c r="H275" s="500"/>
      <c r="I275" s="500"/>
      <c r="J275" s="500"/>
      <c r="K275" s="500"/>
      <c r="L275" s="500"/>
      <c r="M275" s="500"/>
      <c r="N275" s="500"/>
      <c r="O275" s="500"/>
      <c r="P275" s="500"/>
      <c r="Q275" s="500"/>
      <c r="R275" s="500"/>
      <c r="S275" s="500"/>
      <c r="T275" s="500"/>
      <c r="U275" s="500"/>
      <c r="V275" s="500"/>
      <c r="W275" s="500"/>
      <c r="X275" s="500"/>
      <c r="Y275" s="500"/>
      <c r="Z275" s="501"/>
      <c r="AA275" s="501"/>
      <c r="AB275" s="501"/>
      <c r="AC275" s="501"/>
      <c r="AD275" s="500"/>
      <c r="AE275" s="500"/>
      <c r="AF275" s="503"/>
      <c r="AG275" s="503"/>
      <c r="AH275" s="504"/>
      <c r="AI275" s="500"/>
      <c r="AJ275" s="500"/>
      <c r="AK275" s="500"/>
      <c r="AL275" s="500"/>
      <c r="AM275" s="500"/>
      <c r="AN275" s="500"/>
      <c r="AO275" s="500"/>
      <c r="AP275" s="500"/>
      <c r="AQ275" s="500"/>
      <c r="AR275" s="500"/>
      <c r="AS275" s="500"/>
      <c r="AT275" s="500"/>
      <c r="AU275" s="500"/>
      <c r="AV275" s="500"/>
      <c r="AW275" s="500"/>
      <c r="AX275" s="500"/>
      <c r="AY275" s="500"/>
      <c r="AZ275" s="500"/>
      <c r="BA275" s="500"/>
      <c r="BB275" s="500"/>
      <c r="BC275" s="500"/>
      <c r="BD275" s="500"/>
      <c r="BE275" s="500"/>
      <c r="BF275" s="500"/>
      <c r="BG275" s="500"/>
      <c r="BH275" s="500"/>
      <c r="BI275" s="500"/>
      <c r="BJ275" s="500"/>
      <c r="BK275" s="500"/>
      <c r="BL275" s="500"/>
      <c r="BM275" s="500"/>
      <c r="BN275" s="500"/>
      <c r="BO275" s="500"/>
      <c r="BP275" s="500"/>
      <c r="BQ275" s="500"/>
      <c r="BR275" s="500"/>
      <c r="BS275" s="500"/>
      <c r="BT275" s="500"/>
      <c r="BU275" s="500"/>
      <c r="BV275" s="500"/>
    </row>
    <row r="276" ht="14.25" customHeight="1">
      <c r="A276" s="8"/>
      <c r="B276" s="500"/>
      <c r="C276" s="500"/>
      <c r="D276" s="500"/>
      <c r="E276" s="500"/>
      <c r="F276" s="500"/>
      <c r="G276" s="500"/>
      <c r="H276" s="500"/>
      <c r="I276" s="500"/>
      <c r="J276" s="500"/>
      <c r="K276" s="500"/>
      <c r="L276" s="500"/>
      <c r="M276" s="500"/>
      <c r="N276" s="500"/>
      <c r="O276" s="500"/>
      <c r="P276" s="500"/>
      <c r="Q276" s="500"/>
      <c r="R276" s="500"/>
      <c r="S276" s="500"/>
      <c r="T276" s="500"/>
      <c r="U276" s="500"/>
      <c r="V276" s="500"/>
      <c r="W276" s="500"/>
      <c r="X276" s="500"/>
      <c r="Y276" s="500"/>
      <c r="Z276" s="501"/>
      <c r="AA276" s="501"/>
      <c r="AB276" s="501"/>
      <c r="AC276" s="501"/>
      <c r="AD276" s="500"/>
      <c r="AE276" s="500"/>
      <c r="AF276" s="503"/>
      <c r="AG276" s="503"/>
      <c r="AH276" s="504"/>
      <c r="AI276" s="500"/>
      <c r="AJ276" s="500"/>
      <c r="AK276" s="500"/>
      <c r="AL276" s="500"/>
      <c r="AM276" s="500"/>
      <c r="AN276" s="500"/>
      <c r="AO276" s="500"/>
      <c r="AP276" s="500"/>
      <c r="AQ276" s="500"/>
      <c r="AR276" s="500"/>
      <c r="AS276" s="500"/>
      <c r="AT276" s="500"/>
      <c r="AU276" s="500"/>
      <c r="AV276" s="500"/>
      <c r="AW276" s="500"/>
      <c r="AX276" s="500"/>
      <c r="AY276" s="500"/>
      <c r="AZ276" s="500"/>
      <c r="BA276" s="500"/>
      <c r="BB276" s="500"/>
      <c r="BC276" s="500"/>
      <c r="BD276" s="500"/>
      <c r="BE276" s="500"/>
      <c r="BF276" s="500"/>
      <c r="BG276" s="500"/>
      <c r="BH276" s="500"/>
      <c r="BI276" s="500"/>
      <c r="BJ276" s="500"/>
      <c r="BK276" s="500"/>
      <c r="BL276" s="500"/>
      <c r="BM276" s="500"/>
      <c r="BN276" s="500"/>
      <c r="BO276" s="500"/>
      <c r="BP276" s="500"/>
      <c r="BQ276" s="500"/>
      <c r="BR276" s="500"/>
      <c r="BS276" s="500"/>
      <c r="BT276" s="500"/>
      <c r="BU276" s="500"/>
      <c r="BV276" s="500"/>
    </row>
    <row r="277" ht="14.25" customHeight="1">
      <c r="A277" s="8"/>
      <c r="B277" s="500"/>
      <c r="C277" s="500"/>
      <c r="D277" s="500"/>
      <c r="E277" s="500"/>
      <c r="F277" s="500"/>
      <c r="G277" s="500"/>
      <c r="H277" s="500"/>
      <c r="I277" s="500"/>
      <c r="J277" s="500"/>
      <c r="K277" s="500"/>
      <c r="L277" s="500"/>
      <c r="M277" s="500"/>
      <c r="N277" s="500"/>
      <c r="O277" s="500"/>
      <c r="P277" s="500"/>
      <c r="Q277" s="500"/>
      <c r="R277" s="500"/>
      <c r="S277" s="500"/>
      <c r="T277" s="500"/>
      <c r="U277" s="500"/>
      <c r="V277" s="500"/>
      <c r="W277" s="500"/>
      <c r="X277" s="500"/>
      <c r="Y277" s="500"/>
      <c r="Z277" s="501"/>
      <c r="AA277" s="501"/>
      <c r="AB277" s="501"/>
      <c r="AC277" s="501"/>
      <c r="AD277" s="500"/>
      <c r="AE277" s="500"/>
      <c r="AF277" s="503"/>
      <c r="AG277" s="503"/>
      <c r="AH277" s="504"/>
      <c r="AI277" s="500"/>
      <c r="AJ277" s="500"/>
      <c r="AK277" s="500"/>
      <c r="AL277" s="500"/>
      <c r="AM277" s="500"/>
      <c r="AN277" s="500"/>
      <c r="AO277" s="500"/>
      <c r="AP277" s="500"/>
      <c r="AQ277" s="500"/>
      <c r="AR277" s="500"/>
      <c r="AS277" s="500"/>
      <c r="AT277" s="500"/>
      <c r="AU277" s="500"/>
      <c r="AV277" s="500"/>
      <c r="AW277" s="500"/>
      <c r="AX277" s="500"/>
      <c r="AY277" s="500"/>
      <c r="AZ277" s="500"/>
      <c r="BA277" s="500"/>
      <c r="BB277" s="500"/>
      <c r="BC277" s="500"/>
      <c r="BD277" s="500"/>
      <c r="BE277" s="500"/>
      <c r="BF277" s="500"/>
      <c r="BG277" s="500"/>
      <c r="BH277" s="500"/>
      <c r="BI277" s="500"/>
      <c r="BJ277" s="500"/>
      <c r="BK277" s="500"/>
      <c r="BL277" s="500"/>
      <c r="BM277" s="500"/>
      <c r="BN277" s="500"/>
      <c r="BO277" s="500"/>
      <c r="BP277" s="500"/>
      <c r="BQ277" s="500"/>
      <c r="BR277" s="500"/>
      <c r="BS277" s="500"/>
      <c r="BT277" s="500"/>
      <c r="BU277" s="500"/>
      <c r="BV277" s="500"/>
    </row>
    <row r="278" ht="14.25" customHeight="1">
      <c r="A278" s="8"/>
      <c r="B278" s="500"/>
      <c r="C278" s="500"/>
      <c r="D278" s="500"/>
      <c r="E278" s="500"/>
      <c r="F278" s="500"/>
      <c r="G278" s="500"/>
      <c r="H278" s="500"/>
      <c r="I278" s="500"/>
      <c r="J278" s="500"/>
      <c r="K278" s="500"/>
      <c r="L278" s="500"/>
      <c r="M278" s="500"/>
      <c r="N278" s="500"/>
      <c r="O278" s="500"/>
      <c r="P278" s="500"/>
      <c r="Q278" s="500"/>
      <c r="R278" s="500"/>
      <c r="S278" s="500"/>
      <c r="T278" s="500"/>
      <c r="U278" s="500"/>
      <c r="V278" s="500"/>
      <c r="W278" s="500"/>
      <c r="X278" s="500"/>
      <c r="Y278" s="500"/>
      <c r="Z278" s="501"/>
      <c r="AA278" s="501"/>
      <c r="AB278" s="501"/>
      <c r="AC278" s="501"/>
      <c r="AD278" s="500"/>
      <c r="AE278" s="500"/>
      <c r="AF278" s="503"/>
      <c r="AG278" s="503"/>
      <c r="AH278" s="504"/>
      <c r="AI278" s="500"/>
      <c r="AJ278" s="500"/>
      <c r="AK278" s="500"/>
      <c r="AL278" s="500"/>
      <c r="AM278" s="500"/>
      <c r="AN278" s="500"/>
      <c r="AO278" s="500"/>
      <c r="AP278" s="500"/>
      <c r="AQ278" s="500"/>
      <c r="AR278" s="500"/>
      <c r="AS278" s="500"/>
      <c r="AT278" s="500"/>
      <c r="AU278" s="500"/>
      <c r="AV278" s="500"/>
      <c r="AW278" s="500"/>
      <c r="AX278" s="500"/>
      <c r="AY278" s="500"/>
      <c r="AZ278" s="500"/>
      <c r="BA278" s="500"/>
      <c r="BB278" s="500"/>
      <c r="BC278" s="500"/>
      <c r="BD278" s="500"/>
      <c r="BE278" s="500"/>
      <c r="BF278" s="500"/>
      <c r="BG278" s="500"/>
      <c r="BH278" s="500"/>
      <c r="BI278" s="500"/>
      <c r="BJ278" s="500"/>
      <c r="BK278" s="500"/>
      <c r="BL278" s="500"/>
      <c r="BM278" s="500"/>
      <c r="BN278" s="500"/>
      <c r="BO278" s="500"/>
      <c r="BP278" s="500"/>
      <c r="BQ278" s="500"/>
      <c r="BR278" s="500"/>
      <c r="BS278" s="500"/>
      <c r="BT278" s="500"/>
      <c r="BU278" s="500"/>
      <c r="BV278" s="500"/>
    </row>
    <row r="279" ht="14.25" customHeight="1">
      <c r="A279" s="8"/>
      <c r="B279" s="500"/>
      <c r="C279" s="500"/>
      <c r="D279" s="500"/>
      <c r="E279" s="500"/>
      <c r="F279" s="500"/>
      <c r="G279" s="500"/>
      <c r="H279" s="500"/>
      <c r="I279" s="500"/>
      <c r="J279" s="500"/>
      <c r="K279" s="500"/>
      <c r="L279" s="500"/>
      <c r="M279" s="500"/>
      <c r="N279" s="500"/>
      <c r="O279" s="500"/>
      <c r="P279" s="500"/>
      <c r="Q279" s="500"/>
      <c r="R279" s="500"/>
      <c r="S279" s="500"/>
      <c r="T279" s="500"/>
      <c r="U279" s="500"/>
      <c r="V279" s="500"/>
      <c r="W279" s="500"/>
      <c r="X279" s="500"/>
      <c r="Y279" s="500"/>
      <c r="Z279" s="501"/>
      <c r="AA279" s="501"/>
      <c r="AB279" s="501"/>
      <c r="AC279" s="501"/>
      <c r="AD279" s="500"/>
      <c r="AE279" s="500"/>
      <c r="AF279" s="503"/>
      <c r="AG279" s="503"/>
      <c r="AH279" s="504"/>
      <c r="AI279" s="500"/>
      <c r="AJ279" s="500"/>
      <c r="AK279" s="500"/>
      <c r="AL279" s="500"/>
      <c r="AM279" s="500"/>
      <c r="AN279" s="500"/>
      <c r="AO279" s="500"/>
      <c r="AP279" s="500"/>
      <c r="AQ279" s="500"/>
      <c r="AR279" s="500"/>
      <c r="AS279" s="500"/>
      <c r="AT279" s="500"/>
      <c r="AU279" s="500"/>
      <c r="AV279" s="500"/>
      <c r="AW279" s="500"/>
      <c r="AX279" s="500"/>
      <c r="AY279" s="500"/>
      <c r="AZ279" s="500"/>
      <c r="BA279" s="500"/>
      <c r="BB279" s="500"/>
      <c r="BC279" s="500"/>
      <c r="BD279" s="500"/>
      <c r="BE279" s="500"/>
      <c r="BF279" s="500"/>
      <c r="BG279" s="500"/>
      <c r="BH279" s="500"/>
      <c r="BI279" s="500"/>
      <c r="BJ279" s="500"/>
      <c r="BK279" s="500"/>
      <c r="BL279" s="500"/>
      <c r="BM279" s="500"/>
      <c r="BN279" s="500"/>
      <c r="BO279" s="500"/>
      <c r="BP279" s="500"/>
      <c r="BQ279" s="500"/>
      <c r="BR279" s="500"/>
      <c r="BS279" s="500"/>
      <c r="BT279" s="500"/>
      <c r="BU279" s="500"/>
      <c r="BV279" s="500"/>
    </row>
    <row r="280" ht="14.25" customHeight="1">
      <c r="A280" s="8"/>
      <c r="B280" s="500"/>
      <c r="C280" s="500"/>
      <c r="D280" s="500"/>
      <c r="E280" s="500"/>
      <c r="F280" s="500"/>
      <c r="G280" s="500"/>
      <c r="H280" s="500"/>
      <c r="I280" s="500"/>
      <c r="J280" s="500"/>
      <c r="K280" s="500"/>
      <c r="L280" s="500"/>
      <c r="M280" s="500"/>
      <c r="N280" s="500"/>
      <c r="O280" s="500"/>
      <c r="P280" s="500"/>
      <c r="Q280" s="500"/>
      <c r="R280" s="500"/>
      <c r="S280" s="500"/>
      <c r="T280" s="500"/>
      <c r="U280" s="500"/>
      <c r="V280" s="500"/>
      <c r="W280" s="500"/>
      <c r="X280" s="500"/>
      <c r="Y280" s="500"/>
      <c r="Z280" s="501"/>
      <c r="AA280" s="501"/>
      <c r="AB280" s="501"/>
      <c r="AC280" s="501"/>
      <c r="AD280" s="500"/>
      <c r="AE280" s="500"/>
      <c r="AF280" s="503"/>
      <c r="AG280" s="503"/>
      <c r="AH280" s="504"/>
      <c r="AI280" s="500"/>
      <c r="AJ280" s="500"/>
      <c r="AK280" s="500"/>
      <c r="AL280" s="500"/>
      <c r="AM280" s="500"/>
      <c r="AN280" s="500"/>
      <c r="AO280" s="500"/>
      <c r="AP280" s="500"/>
      <c r="AQ280" s="500"/>
      <c r="AR280" s="500"/>
      <c r="AS280" s="500"/>
      <c r="AT280" s="500"/>
      <c r="AU280" s="500"/>
      <c r="AV280" s="500"/>
      <c r="AW280" s="500"/>
      <c r="AX280" s="500"/>
      <c r="AY280" s="500"/>
      <c r="AZ280" s="500"/>
      <c r="BA280" s="500"/>
      <c r="BB280" s="500"/>
      <c r="BC280" s="500"/>
      <c r="BD280" s="500"/>
      <c r="BE280" s="500"/>
      <c r="BF280" s="500"/>
      <c r="BG280" s="500"/>
      <c r="BH280" s="500"/>
      <c r="BI280" s="500"/>
      <c r="BJ280" s="500"/>
      <c r="BK280" s="500"/>
      <c r="BL280" s="500"/>
      <c r="BM280" s="500"/>
      <c r="BN280" s="500"/>
      <c r="BO280" s="500"/>
      <c r="BP280" s="500"/>
      <c r="BQ280" s="500"/>
      <c r="BR280" s="500"/>
      <c r="BS280" s="500"/>
      <c r="BT280" s="500"/>
      <c r="BU280" s="500"/>
      <c r="BV280" s="500"/>
    </row>
    <row r="281" ht="14.25" customHeight="1">
      <c r="A281" s="8"/>
      <c r="B281" s="500"/>
      <c r="C281" s="500"/>
      <c r="D281" s="500"/>
      <c r="E281" s="500"/>
      <c r="F281" s="500"/>
      <c r="G281" s="500"/>
      <c r="H281" s="500"/>
      <c r="I281" s="500"/>
      <c r="J281" s="500"/>
      <c r="K281" s="500"/>
      <c r="L281" s="500"/>
      <c r="M281" s="500"/>
      <c r="N281" s="500"/>
      <c r="O281" s="500"/>
      <c r="P281" s="500"/>
      <c r="Q281" s="500"/>
      <c r="R281" s="500"/>
      <c r="S281" s="500"/>
      <c r="T281" s="500"/>
      <c r="U281" s="500"/>
      <c r="V281" s="500"/>
      <c r="W281" s="500"/>
      <c r="X281" s="500"/>
      <c r="Y281" s="500"/>
      <c r="Z281" s="501"/>
      <c r="AA281" s="501"/>
      <c r="AB281" s="501"/>
      <c r="AC281" s="501"/>
      <c r="AD281" s="500"/>
      <c r="AE281" s="500"/>
      <c r="AF281" s="503"/>
      <c r="AG281" s="503"/>
      <c r="AH281" s="504"/>
      <c r="AI281" s="500"/>
      <c r="AJ281" s="500"/>
      <c r="AK281" s="500"/>
      <c r="AL281" s="500"/>
      <c r="AM281" s="500"/>
      <c r="AN281" s="500"/>
      <c r="AO281" s="500"/>
      <c r="AP281" s="500"/>
      <c r="AQ281" s="500"/>
      <c r="AR281" s="500"/>
      <c r="AS281" s="500"/>
      <c r="AT281" s="500"/>
      <c r="AU281" s="500"/>
      <c r="AV281" s="500"/>
      <c r="AW281" s="500"/>
      <c r="AX281" s="500"/>
      <c r="AY281" s="500"/>
      <c r="AZ281" s="500"/>
      <c r="BA281" s="500"/>
      <c r="BB281" s="500"/>
      <c r="BC281" s="500"/>
      <c r="BD281" s="500"/>
      <c r="BE281" s="500"/>
      <c r="BF281" s="500"/>
      <c r="BG281" s="500"/>
      <c r="BH281" s="500"/>
      <c r="BI281" s="500"/>
      <c r="BJ281" s="500"/>
      <c r="BK281" s="500"/>
      <c r="BL281" s="500"/>
      <c r="BM281" s="500"/>
      <c r="BN281" s="500"/>
      <c r="BO281" s="500"/>
      <c r="BP281" s="500"/>
      <c r="BQ281" s="500"/>
      <c r="BR281" s="500"/>
      <c r="BS281" s="500"/>
      <c r="BT281" s="500"/>
      <c r="BU281" s="500"/>
      <c r="BV281" s="500"/>
    </row>
    <row r="282" ht="14.25" customHeight="1">
      <c r="A282" s="8"/>
      <c r="B282" s="500"/>
      <c r="C282" s="500"/>
      <c r="D282" s="500"/>
      <c r="E282" s="500"/>
      <c r="F282" s="500"/>
      <c r="G282" s="500"/>
      <c r="H282" s="500"/>
      <c r="I282" s="500"/>
      <c r="J282" s="500"/>
      <c r="K282" s="500"/>
      <c r="L282" s="500"/>
      <c r="M282" s="500"/>
      <c r="N282" s="500"/>
      <c r="O282" s="500"/>
      <c r="P282" s="500"/>
      <c r="Q282" s="500"/>
      <c r="R282" s="500"/>
      <c r="S282" s="500"/>
      <c r="T282" s="500"/>
      <c r="U282" s="500"/>
      <c r="V282" s="500"/>
      <c r="W282" s="500"/>
      <c r="X282" s="500"/>
      <c r="Y282" s="500"/>
      <c r="Z282" s="501"/>
      <c r="AA282" s="501"/>
      <c r="AB282" s="501"/>
      <c r="AC282" s="501"/>
      <c r="AD282" s="500"/>
      <c r="AE282" s="500"/>
      <c r="AF282" s="503"/>
      <c r="AG282" s="503"/>
      <c r="AH282" s="504"/>
      <c r="AI282" s="500"/>
      <c r="AJ282" s="500"/>
      <c r="AK282" s="500"/>
      <c r="AL282" s="500"/>
      <c r="AM282" s="500"/>
      <c r="AN282" s="500"/>
      <c r="AO282" s="500"/>
      <c r="AP282" s="500"/>
      <c r="AQ282" s="500"/>
      <c r="AR282" s="500"/>
      <c r="AS282" s="500"/>
      <c r="AT282" s="500"/>
      <c r="AU282" s="500"/>
      <c r="AV282" s="500"/>
      <c r="AW282" s="500"/>
      <c r="AX282" s="500"/>
      <c r="AY282" s="500"/>
      <c r="AZ282" s="500"/>
      <c r="BA282" s="500"/>
      <c r="BB282" s="500"/>
      <c r="BC282" s="500"/>
      <c r="BD282" s="500"/>
      <c r="BE282" s="500"/>
      <c r="BF282" s="500"/>
      <c r="BG282" s="500"/>
      <c r="BH282" s="500"/>
      <c r="BI282" s="500"/>
      <c r="BJ282" s="500"/>
      <c r="BK282" s="500"/>
      <c r="BL282" s="500"/>
      <c r="BM282" s="500"/>
      <c r="BN282" s="500"/>
      <c r="BO282" s="500"/>
      <c r="BP282" s="500"/>
      <c r="BQ282" s="500"/>
      <c r="BR282" s="500"/>
      <c r="BS282" s="500"/>
      <c r="BT282" s="500"/>
      <c r="BU282" s="500"/>
      <c r="BV282" s="500"/>
    </row>
    <row r="283" ht="14.25" customHeight="1">
      <c r="A283" s="8"/>
      <c r="B283" s="500"/>
      <c r="C283" s="500"/>
      <c r="D283" s="500"/>
      <c r="E283" s="500"/>
      <c r="F283" s="500"/>
      <c r="G283" s="500"/>
      <c r="H283" s="500"/>
      <c r="I283" s="500"/>
      <c r="J283" s="500"/>
      <c r="K283" s="500"/>
      <c r="L283" s="500"/>
      <c r="M283" s="500"/>
      <c r="N283" s="500"/>
      <c r="O283" s="500"/>
      <c r="P283" s="500"/>
      <c r="Q283" s="500"/>
      <c r="R283" s="500"/>
      <c r="S283" s="500"/>
      <c r="T283" s="500"/>
      <c r="U283" s="500"/>
      <c r="V283" s="500"/>
      <c r="W283" s="500"/>
      <c r="X283" s="500"/>
      <c r="Y283" s="500"/>
      <c r="Z283" s="501"/>
      <c r="AA283" s="501"/>
      <c r="AB283" s="501"/>
      <c r="AC283" s="501"/>
      <c r="AD283" s="500"/>
      <c r="AE283" s="500"/>
      <c r="AF283" s="503"/>
      <c r="AG283" s="503"/>
      <c r="AH283" s="504"/>
      <c r="AI283" s="500"/>
      <c r="AJ283" s="500"/>
      <c r="AK283" s="500"/>
      <c r="AL283" s="500"/>
      <c r="AM283" s="500"/>
      <c r="AN283" s="500"/>
      <c r="AO283" s="500"/>
      <c r="AP283" s="500"/>
      <c r="AQ283" s="500"/>
      <c r="AR283" s="500"/>
      <c r="AS283" s="500"/>
      <c r="AT283" s="500"/>
      <c r="AU283" s="500"/>
      <c r="AV283" s="500"/>
      <c r="AW283" s="500"/>
      <c r="AX283" s="500"/>
      <c r="AY283" s="500"/>
      <c r="AZ283" s="500"/>
      <c r="BA283" s="500"/>
      <c r="BB283" s="500"/>
      <c r="BC283" s="500"/>
      <c r="BD283" s="500"/>
      <c r="BE283" s="500"/>
      <c r="BF283" s="500"/>
      <c r="BG283" s="500"/>
      <c r="BH283" s="500"/>
      <c r="BI283" s="500"/>
      <c r="BJ283" s="500"/>
      <c r="BK283" s="500"/>
      <c r="BL283" s="500"/>
      <c r="BM283" s="500"/>
      <c r="BN283" s="500"/>
      <c r="BO283" s="500"/>
      <c r="BP283" s="500"/>
      <c r="BQ283" s="500"/>
      <c r="BR283" s="500"/>
      <c r="BS283" s="500"/>
      <c r="BT283" s="500"/>
      <c r="BU283" s="500"/>
      <c r="BV283" s="500"/>
    </row>
    <row r="284" ht="14.25" customHeight="1">
      <c r="A284" s="8"/>
      <c r="B284" s="500"/>
      <c r="C284" s="500"/>
      <c r="D284" s="500"/>
      <c r="E284" s="500"/>
      <c r="F284" s="500"/>
      <c r="G284" s="500"/>
      <c r="H284" s="500"/>
      <c r="I284" s="500"/>
      <c r="J284" s="500"/>
      <c r="K284" s="500"/>
      <c r="L284" s="500"/>
      <c r="M284" s="500"/>
      <c r="N284" s="500"/>
      <c r="O284" s="500"/>
      <c r="P284" s="500"/>
      <c r="Q284" s="500"/>
      <c r="R284" s="500"/>
      <c r="S284" s="500"/>
      <c r="T284" s="500"/>
      <c r="U284" s="500"/>
      <c r="V284" s="500"/>
      <c r="W284" s="500"/>
      <c r="X284" s="500"/>
      <c r="Y284" s="500"/>
      <c r="Z284" s="501"/>
      <c r="AA284" s="501"/>
      <c r="AB284" s="501"/>
      <c r="AC284" s="501"/>
      <c r="AD284" s="500"/>
      <c r="AE284" s="500"/>
      <c r="AF284" s="503"/>
      <c r="AG284" s="503"/>
      <c r="AH284" s="504"/>
      <c r="AI284" s="500"/>
      <c r="AJ284" s="500"/>
      <c r="AK284" s="500"/>
      <c r="AL284" s="500"/>
      <c r="AM284" s="500"/>
      <c r="AN284" s="500"/>
      <c r="AO284" s="500"/>
      <c r="AP284" s="500"/>
      <c r="AQ284" s="500"/>
      <c r="AR284" s="500"/>
      <c r="AS284" s="500"/>
      <c r="AT284" s="500"/>
      <c r="AU284" s="500"/>
      <c r="AV284" s="500"/>
      <c r="AW284" s="500"/>
      <c r="AX284" s="500"/>
      <c r="AY284" s="500"/>
      <c r="AZ284" s="500"/>
      <c r="BA284" s="500"/>
      <c r="BB284" s="500"/>
      <c r="BC284" s="500"/>
      <c r="BD284" s="500"/>
      <c r="BE284" s="500"/>
      <c r="BF284" s="500"/>
      <c r="BG284" s="500"/>
      <c r="BH284" s="500"/>
      <c r="BI284" s="500"/>
      <c r="BJ284" s="500"/>
      <c r="BK284" s="500"/>
      <c r="BL284" s="500"/>
      <c r="BM284" s="500"/>
      <c r="BN284" s="500"/>
      <c r="BO284" s="500"/>
      <c r="BP284" s="500"/>
      <c r="BQ284" s="500"/>
      <c r="BR284" s="500"/>
      <c r="BS284" s="500"/>
      <c r="BT284" s="500"/>
      <c r="BU284" s="500"/>
      <c r="BV284" s="500"/>
    </row>
    <row r="285" ht="14.25" customHeight="1">
      <c r="A285" s="8"/>
      <c r="B285" s="500"/>
      <c r="C285" s="500"/>
      <c r="D285" s="500"/>
      <c r="E285" s="500"/>
      <c r="F285" s="500"/>
      <c r="G285" s="500"/>
      <c r="H285" s="500"/>
      <c r="I285" s="500"/>
      <c r="J285" s="500"/>
      <c r="K285" s="500"/>
      <c r="L285" s="500"/>
      <c r="M285" s="500"/>
      <c r="N285" s="500"/>
      <c r="O285" s="500"/>
      <c r="P285" s="500"/>
      <c r="Q285" s="500"/>
      <c r="R285" s="500"/>
      <c r="S285" s="500"/>
      <c r="T285" s="500"/>
      <c r="U285" s="500"/>
      <c r="V285" s="500"/>
      <c r="W285" s="500"/>
      <c r="X285" s="500"/>
      <c r="Y285" s="500"/>
      <c r="Z285" s="501"/>
      <c r="AA285" s="501"/>
      <c r="AB285" s="501"/>
      <c r="AC285" s="501"/>
      <c r="AD285" s="500"/>
      <c r="AE285" s="500"/>
      <c r="AF285" s="503"/>
      <c r="AG285" s="503"/>
      <c r="AH285" s="504"/>
      <c r="AI285" s="500"/>
      <c r="AJ285" s="500"/>
      <c r="AK285" s="500"/>
      <c r="AL285" s="500"/>
      <c r="AM285" s="500"/>
      <c r="AN285" s="500"/>
      <c r="AO285" s="500"/>
      <c r="AP285" s="500"/>
      <c r="AQ285" s="500"/>
      <c r="AR285" s="500"/>
      <c r="AS285" s="500"/>
      <c r="AT285" s="500"/>
      <c r="AU285" s="500"/>
      <c r="AV285" s="500"/>
      <c r="AW285" s="500"/>
      <c r="AX285" s="500"/>
      <c r="AY285" s="500"/>
      <c r="AZ285" s="500"/>
      <c r="BA285" s="500"/>
      <c r="BB285" s="500"/>
      <c r="BC285" s="500"/>
      <c r="BD285" s="500"/>
      <c r="BE285" s="500"/>
      <c r="BF285" s="500"/>
      <c r="BG285" s="500"/>
      <c r="BH285" s="500"/>
      <c r="BI285" s="500"/>
      <c r="BJ285" s="500"/>
      <c r="BK285" s="500"/>
      <c r="BL285" s="500"/>
      <c r="BM285" s="500"/>
      <c r="BN285" s="500"/>
      <c r="BO285" s="500"/>
      <c r="BP285" s="500"/>
      <c r="BQ285" s="500"/>
      <c r="BR285" s="500"/>
      <c r="BS285" s="500"/>
      <c r="BT285" s="500"/>
      <c r="BU285" s="500"/>
      <c r="BV285" s="500"/>
    </row>
    <row r="286" ht="14.25" customHeight="1">
      <c r="A286" s="8"/>
      <c r="B286" s="500"/>
      <c r="C286" s="500"/>
      <c r="D286" s="500"/>
      <c r="E286" s="500"/>
      <c r="F286" s="500"/>
      <c r="G286" s="500"/>
      <c r="H286" s="500"/>
      <c r="I286" s="500"/>
      <c r="J286" s="500"/>
      <c r="K286" s="500"/>
      <c r="L286" s="500"/>
      <c r="M286" s="500"/>
      <c r="N286" s="500"/>
      <c r="O286" s="500"/>
      <c r="P286" s="500"/>
      <c r="Q286" s="500"/>
      <c r="R286" s="500"/>
      <c r="S286" s="500"/>
      <c r="T286" s="500"/>
      <c r="U286" s="500"/>
      <c r="V286" s="500"/>
      <c r="W286" s="500"/>
      <c r="X286" s="500"/>
      <c r="Y286" s="500"/>
      <c r="Z286" s="501"/>
      <c r="AA286" s="501"/>
      <c r="AB286" s="501"/>
      <c r="AC286" s="501"/>
      <c r="AD286" s="500"/>
      <c r="AE286" s="500"/>
      <c r="AF286" s="503"/>
      <c r="AG286" s="503"/>
      <c r="AH286" s="504"/>
      <c r="AI286" s="500"/>
      <c r="AJ286" s="500"/>
      <c r="AK286" s="500"/>
      <c r="AL286" s="500"/>
      <c r="AM286" s="500"/>
      <c r="AN286" s="500"/>
      <c r="AO286" s="500"/>
      <c r="AP286" s="500"/>
      <c r="AQ286" s="500"/>
      <c r="AR286" s="500"/>
      <c r="AS286" s="500"/>
      <c r="AT286" s="500"/>
      <c r="AU286" s="500"/>
      <c r="AV286" s="500"/>
      <c r="AW286" s="500"/>
      <c r="AX286" s="500"/>
      <c r="AY286" s="500"/>
      <c r="AZ286" s="500"/>
      <c r="BA286" s="500"/>
      <c r="BB286" s="500"/>
      <c r="BC286" s="500"/>
      <c r="BD286" s="500"/>
      <c r="BE286" s="500"/>
      <c r="BF286" s="500"/>
      <c r="BG286" s="500"/>
      <c r="BH286" s="500"/>
      <c r="BI286" s="500"/>
      <c r="BJ286" s="500"/>
      <c r="BK286" s="500"/>
      <c r="BL286" s="500"/>
      <c r="BM286" s="500"/>
      <c r="BN286" s="500"/>
      <c r="BO286" s="500"/>
      <c r="BP286" s="500"/>
      <c r="BQ286" s="500"/>
      <c r="BR286" s="500"/>
      <c r="BS286" s="500"/>
      <c r="BT286" s="500"/>
      <c r="BU286" s="500"/>
      <c r="BV286" s="500"/>
    </row>
    <row r="287" ht="14.25" customHeight="1">
      <c r="A287" s="8"/>
      <c r="B287" s="500"/>
      <c r="C287" s="500"/>
      <c r="D287" s="500"/>
      <c r="E287" s="500"/>
      <c r="F287" s="500"/>
      <c r="G287" s="500"/>
      <c r="H287" s="500"/>
      <c r="I287" s="500"/>
      <c r="J287" s="500"/>
      <c r="K287" s="500"/>
      <c r="L287" s="500"/>
      <c r="M287" s="500"/>
      <c r="N287" s="500"/>
      <c r="O287" s="500"/>
      <c r="P287" s="500"/>
      <c r="Q287" s="500"/>
      <c r="R287" s="500"/>
      <c r="S287" s="500"/>
      <c r="T287" s="500"/>
      <c r="U287" s="500"/>
      <c r="V287" s="500"/>
      <c r="W287" s="500"/>
      <c r="X287" s="500"/>
      <c r="Y287" s="500"/>
      <c r="Z287" s="501"/>
      <c r="AA287" s="501"/>
      <c r="AB287" s="501"/>
      <c r="AC287" s="501"/>
      <c r="AD287" s="500"/>
      <c r="AE287" s="500"/>
      <c r="AF287" s="503"/>
      <c r="AG287" s="503"/>
      <c r="AH287" s="504"/>
      <c r="AI287" s="500"/>
      <c r="AJ287" s="500"/>
      <c r="AK287" s="500"/>
      <c r="AL287" s="500"/>
      <c r="AM287" s="500"/>
      <c r="AN287" s="500"/>
      <c r="AO287" s="500"/>
      <c r="AP287" s="500"/>
      <c r="AQ287" s="500"/>
      <c r="AR287" s="500"/>
      <c r="AS287" s="500"/>
      <c r="AT287" s="500"/>
      <c r="AU287" s="500"/>
      <c r="AV287" s="500"/>
      <c r="AW287" s="500"/>
      <c r="AX287" s="500"/>
      <c r="AY287" s="500"/>
      <c r="AZ287" s="500"/>
      <c r="BA287" s="500"/>
      <c r="BB287" s="500"/>
      <c r="BC287" s="500"/>
      <c r="BD287" s="500"/>
      <c r="BE287" s="500"/>
      <c r="BF287" s="500"/>
      <c r="BG287" s="500"/>
      <c r="BH287" s="500"/>
      <c r="BI287" s="500"/>
      <c r="BJ287" s="500"/>
      <c r="BK287" s="500"/>
      <c r="BL287" s="500"/>
      <c r="BM287" s="500"/>
      <c r="BN287" s="500"/>
      <c r="BO287" s="500"/>
      <c r="BP287" s="500"/>
      <c r="BQ287" s="500"/>
      <c r="BR287" s="500"/>
      <c r="BS287" s="500"/>
      <c r="BT287" s="500"/>
      <c r="BU287" s="500"/>
      <c r="BV287" s="500"/>
    </row>
    <row r="288" ht="14.25" customHeight="1">
      <c r="A288" s="8"/>
      <c r="B288" s="500"/>
      <c r="C288" s="500"/>
      <c r="D288" s="500"/>
      <c r="E288" s="500"/>
      <c r="F288" s="500"/>
      <c r="G288" s="500"/>
      <c r="H288" s="500"/>
      <c r="I288" s="500"/>
      <c r="J288" s="500"/>
      <c r="K288" s="500"/>
      <c r="L288" s="500"/>
      <c r="M288" s="500"/>
      <c r="N288" s="500"/>
      <c r="O288" s="500"/>
      <c r="P288" s="500"/>
      <c r="Q288" s="500"/>
      <c r="R288" s="500"/>
      <c r="S288" s="500"/>
      <c r="T288" s="500"/>
      <c r="U288" s="500"/>
      <c r="V288" s="500"/>
      <c r="W288" s="500"/>
      <c r="X288" s="500"/>
      <c r="Y288" s="500"/>
      <c r="Z288" s="501"/>
      <c r="AA288" s="501"/>
      <c r="AB288" s="501"/>
      <c r="AC288" s="501"/>
      <c r="AD288" s="500"/>
      <c r="AE288" s="500"/>
      <c r="AF288" s="503"/>
      <c r="AG288" s="503"/>
      <c r="AH288" s="504"/>
      <c r="AI288" s="500"/>
      <c r="AJ288" s="500"/>
      <c r="AK288" s="500"/>
      <c r="AL288" s="500"/>
      <c r="AM288" s="500"/>
      <c r="AN288" s="500"/>
      <c r="AO288" s="500"/>
      <c r="AP288" s="500"/>
      <c r="AQ288" s="500"/>
      <c r="AR288" s="500"/>
      <c r="AS288" s="500"/>
      <c r="AT288" s="500"/>
      <c r="AU288" s="500"/>
      <c r="AV288" s="500"/>
      <c r="AW288" s="500"/>
      <c r="AX288" s="500"/>
      <c r="AY288" s="500"/>
      <c r="AZ288" s="500"/>
      <c r="BA288" s="500"/>
      <c r="BB288" s="500"/>
      <c r="BC288" s="500"/>
      <c r="BD288" s="500"/>
      <c r="BE288" s="500"/>
      <c r="BF288" s="500"/>
      <c r="BG288" s="500"/>
      <c r="BH288" s="500"/>
      <c r="BI288" s="500"/>
      <c r="BJ288" s="500"/>
      <c r="BK288" s="500"/>
      <c r="BL288" s="500"/>
      <c r="BM288" s="500"/>
      <c r="BN288" s="500"/>
      <c r="BO288" s="500"/>
      <c r="BP288" s="500"/>
      <c r="BQ288" s="500"/>
      <c r="BR288" s="500"/>
      <c r="BS288" s="500"/>
      <c r="BT288" s="500"/>
      <c r="BU288" s="500"/>
      <c r="BV288" s="500"/>
    </row>
    <row r="289" ht="14.25" customHeight="1">
      <c r="A289" s="8"/>
      <c r="B289" s="500"/>
      <c r="C289" s="500"/>
      <c r="D289" s="500"/>
      <c r="E289" s="500"/>
      <c r="F289" s="500"/>
      <c r="G289" s="500"/>
      <c r="H289" s="500"/>
      <c r="I289" s="500"/>
      <c r="J289" s="500"/>
      <c r="K289" s="500"/>
      <c r="L289" s="500"/>
      <c r="M289" s="500"/>
      <c r="N289" s="500"/>
      <c r="O289" s="500"/>
      <c r="P289" s="500"/>
      <c r="Q289" s="500"/>
      <c r="R289" s="500"/>
      <c r="S289" s="500"/>
      <c r="T289" s="500"/>
      <c r="U289" s="500"/>
      <c r="V289" s="500"/>
      <c r="W289" s="500"/>
      <c r="X289" s="500"/>
      <c r="Y289" s="500"/>
      <c r="Z289" s="501"/>
      <c r="AA289" s="501"/>
      <c r="AB289" s="501"/>
      <c r="AC289" s="501"/>
      <c r="AD289" s="500"/>
      <c r="AE289" s="500"/>
      <c r="AF289" s="503"/>
      <c r="AG289" s="503"/>
      <c r="AH289" s="504"/>
      <c r="AI289" s="500"/>
      <c r="AJ289" s="500"/>
      <c r="AK289" s="500"/>
      <c r="AL289" s="500"/>
      <c r="AM289" s="500"/>
      <c r="AN289" s="500"/>
      <c r="AO289" s="500"/>
      <c r="AP289" s="500"/>
      <c r="AQ289" s="500"/>
      <c r="AR289" s="500"/>
      <c r="AS289" s="500"/>
      <c r="AT289" s="500"/>
      <c r="AU289" s="500"/>
      <c r="AV289" s="500"/>
      <c r="AW289" s="500"/>
      <c r="AX289" s="500"/>
      <c r="AY289" s="500"/>
      <c r="AZ289" s="500"/>
      <c r="BA289" s="500"/>
      <c r="BB289" s="500"/>
      <c r="BC289" s="500"/>
      <c r="BD289" s="500"/>
      <c r="BE289" s="500"/>
      <c r="BF289" s="500"/>
      <c r="BG289" s="500"/>
      <c r="BH289" s="500"/>
      <c r="BI289" s="500"/>
      <c r="BJ289" s="500"/>
      <c r="BK289" s="500"/>
      <c r="BL289" s="500"/>
      <c r="BM289" s="500"/>
      <c r="BN289" s="500"/>
      <c r="BO289" s="500"/>
      <c r="BP289" s="500"/>
      <c r="BQ289" s="500"/>
      <c r="BR289" s="500"/>
      <c r="BS289" s="500"/>
      <c r="BT289" s="500"/>
      <c r="BU289" s="500"/>
      <c r="BV289" s="500"/>
    </row>
    <row r="290" ht="14.25" customHeight="1">
      <c r="A290" s="8"/>
      <c r="B290" s="500"/>
      <c r="C290" s="500"/>
      <c r="D290" s="500"/>
      <c r="E290" s="500"/>
      <c r="F290" s="500"/>
      <c r="G290" s="500"/>
      <c r="H290" s="500"/>
      <c r="I290" s="500"/>
      <c r="J290" s="500"/>
      <c r="K290" s="500"/>
      <c r="L290" s="500"/>
      <c r="M290" s="500"/>
      <c r="N290" s="500"/>
      <c r="O290" s="500"/>
      <c r="P290" s="500"/>
      <c r="Q290" s="500"/>
      <c r="R290" s="500"/>
      <c r="S290" s="500"/>
      <c r="T290" s="500"/>
      <c r="U290" s="500"/>
      <c r="V290" s="500"/>
      <c r="W290" s="500"/>
      <c r="X290" s="500"/>
      <c r="Y290" s="500"/>
      <c r="Z290" s="501"/>
      <c r="AA290" s="501"/>
      <c r="AB290" s="501"/>
      <c r="AC290" s="501"/>
      <c r="AD290" s="500"/>
      <c r="AE290" s="500"/>
      <c r="AF290" s="503"/>
      <c r="AG290" s="503"/>
      <c r="AH290" s="504"/>
      <c r="AI290" s="500"/>
      <c r="AJ290" s="500"/>
      <c r="AK290" s="500"/>
      <c r="AL290" s="500"/>
      <c r="AM290" s="500"/>
      <c r="AN290" s="500"/>
      <c r="AO290" s="500"/>
      <c r="AP290" s="500"/>
      <c r="AQ290" s="500"/>
      <c r="AR290" s="500"/>
      <c r="AS290" s="500"/>
      <c r="AT290" s="500"/>
      <c r="AU290" s="500"/>
      <c r="AV290" s="500"/>
      <c r="AW290" s="500"/>
      <c r="AX290" s="500"/>
      <c r="AY290" s="500"/>
      <c r="AZ290" s="500"/>
      <c r="BA290" s="500"/>
      <c r="BB290" s="500"/>
      <c r="BC290" s="500"/>
      <c r="BD290" s="500"/>
      <c r="BE290" s="500"/>
      <c r="BF290" s="500"/>
      <c r="BG290" s="500"/>
      <c r="BH290" s="500"/>
      <c r="BI290" s="500"/>
      <c r="BJ290" s="500"/>
      <c r="BK290" s="500"/>
      <c r="BL290" s="500"/>
      <c r="BM290" s="500"/>
      <c r="BN290" s="500"/>
      <c r="BO290" s="500"/>
      <c r="BP290" s="500"/>
      <c r="BQ290" s="500"/>
      <c r="BR290" s="500"/>
      <c r="BS290" s="500"/>
      <c r="BT290" s="500"/>
      <c r="BU290" s="500"/>
      <c r="BV290" s="500"/>
    </row>
    <row r="291" ht="14.25" customHeight="1">
      <c r="A291" s="8"/>
      <c r="B291" s="500"/>
      <c r="C291" s="500"/>
      <c r="D291" s="500"/>
      <c r="E291" s="500"/>
      <c r="F291" s="500"/>
      <c r="G291" s="500"/>
      <c r="H291" s="500"/>
      <c r="I291" s="500"/>
      <c r="J291" s="500"/>
      <c r="K291" s="500"/>
      <c r="L291" s="500"/>
      <c r="M291" s="500"/>
      <c r="N291" s="500"/>
      <c r="O291" s="500"/>
      <c r="P291" s="500"/>
      <c r="Q291" s="500"/>
      <c r="R291" s="500"/>
      <c r="S291" s="500"/>
      <c r="T291" s="500"/>
      <c r="U291" s="500"/>
      <c r="V291" s="500"/>
      <c r="W291" s="500"/>
      <c r="X291" s="500"/>
      <c r="Y291" s="500"/>
      <c r="Z291" s="501"/>
      <c r="AA291" s="501"/>
      <c r="AB291" s="501"/>
      <c r="AC291" s="501"/>
      <c r="AD291" s="500"/>
      <c r="AE291" s="500"/>
      <c r="AF291" s="503"/>
      <c r="AG291" s="503"/>
      <c r="AH291" s="504"/>
      <c r="AI291" s="500"/>
      <c r="AJ291" s="500"/>
      <c r="AK291" s="500"/>
      <c r="AL291" s="500"/>
      <c r="AM291" s="500"/>
      <c r="AN291" s="500"/>
      <c r="AO291" s="500"/>
      <c r="AP291" s="500"/>
      <c r="AQ291" s="500"/>
      <c r="AR291" s="500"/>
      <c r="AS291" s="500"/>
      <c r="AT291" s="500"/>
      <c r="AU291" s="500"/>
      <c r="AV291" s="500"/>
      <c r="AW291" s="500"/>
      <c r="AX291" s="500"/>
      <c r="AY291" s="500"/>
      <c r="AZ291" s="500"/>
      <c r="BA291" s="500"/>
      <c r="BB291" s="500"/>
      <c r="BC291" s="500"/>
      <c r="BD291" s="500"/>
      <c r="BE291" s="500"/>
      <c r="BF291" s="500"/>
      <c r="BG291" s="500"/>
      <c r="BH291" s="500"/>
      <c r="BI291" s="500"/>
      <c r="BJ291" s="500"/>
      <c r="BK291" s="500"/>
      <c r="BL291" s="500"/>
      <c r="BM291" s="500"/>
      <c r="BN291" s="500"/>
      <c r="BO291" s="500"/>
      <c r="BP291" s="500"/>
      <c r="BQ291" s="500"/>
      <c r="BR291" s="500"/>
      <c r="BS291" s="500"/>
      <c r="BT291" s="500"/>
      <c r="BU291" s="500"/>
      <c r="BV291" s="500"/>
    </row>
    <row r="292" ht="14.25" customHeight="1">
      <c r="A292" s="8"/>
      <c r="B292" s="500"/>
      <c r="C292" s="500"/>
      <c r="D292" s="500"/>
      <c r="E292" s="500"/>
      <c r="F292" s="500"/>
      <c r="G292" s="500"/>
      <c r="H292" s="500"/>
      <c r="I292" s="500"/>
      <c r="J292" s="500"/>
      <c r="K292" s="500"/>
      <c r="L292" s="500"/>
      <c r="M292" s="500"/>
      <c r="N292" s="500"/>
      <c r="O292" s="500"/>
      <c r="P292" s="500"/>
      <c r="Q292" s="500"/>
      <c r="R292" s="500"/>
      <c r="S292" s="500"/>
      <c r="T292" s="500"/>
      <c r="U292" s="500"/>
      <c r="V292" s="500"/>
      <c r="W292" s="500"/>
      <c r="X292" s="500"/>
      <c r="Y292" s="500"/>
      <c r="Z292" s="501"/>
      <c r="AA292" s="501"/>
      <c r="AB292" s="501"/>
      <c r="AC292" s="501"/>
      <c r="AD292" s="500"/>
      <c r="AE292" s="500"/>
      <c r="AF292" s="503"/>
      <c r="AG292" s="503"/>
      <c r="AH292" s="504"/>
      <c r="AI292" s="500"/>
      <c r="AJ292" s="500"/>
      <c r="AK292" s="500"/>
      <c r="AL292" s="500"/>
      <c r="AM292" s="500"/>
      <c r="AN292" s="500"/>
      <c r="AO292" s="500"/>
      <c r="AP292" s="500"/>
      <c r="AQ292" s="500"/>
      <c r="AR292" s="500"/>
      <c r="AS292" s="500"/>
      <c r="AT292" s="500"/>
      <c r="AU292" s="500"/>
      <c r="AV292" s="500"/>
      <c r="AW292" s="500"/>
      <c r="AX292" s="500"/>
      <c r="AY292" s="500"/>
      <c r="AZ292" s="500"/>
      <c r="BA292" s="500"/>
      <c r="BB292" s="500"/>
      <c r="BC292" s="500"/>
      <c r="BD292" s="500"/>
      <c r="BE292" s="500"/>
      <c r="BF292" s="500"/>
      <c r="BG292" s="500"/>
      <c r="BH292" s="500"/>
      <c r="BI292" s="500"/>
      <c r="BJ292" s="500"/>
      <c r="BK292" s="500"/>
      <c r="BL292" s="500"/>
      <c r="BM292" s="500"/>
      <c r="BN292" s="500"/>
      <c r="BO292" s="500"/>
      <c r="BP292" s="500"/>
      <c r="BQ292" s="500"/>
      <c r="BR292" s="500"/>
      <c r="BS292" s="500"/>
      <c r="BT292" s="500"/>
      <c r="BU292" s="500"/>
      <c r="BV292" s="500"/>
    </row>
    <row r="293" ht="14.25" customHeight="1">
      <c r="A293" s="8"/>
      <c r="B293" s="500"/>
      <c r="C293" s="500"/>
      <c r="D293" s="500"/>
      <c r="E293" s="500"/>
      <c r="F293" s="500"/>
      <c r="G293" s="500"/>
      <c r="H293" s="500"/>
      <c r="I293" s="500"/>
      <c r="J293" s="500"/>
      <c r="K293" s="500"/>
      <c r="L293" s="500"/>
      <c r="M293" s="500"/>
      <c r="N293" s="500"/>
      <c r="O293" s="500"/>
      <c r="P293" s="500"/>
      <c r="Q293" s="500"/>
      <c r="R293" s="500"/>
      <c r="S293" s="500"/>
      <c r="T293" s="500"/>
      <c r="U293" s="500"/>
      <c r="V293" s="500"/>
      <c r="W293" s="500"/>
      <c r="X293" s="500"/>
      <c r="Y293" s="500"/>
      <c r="Z293" s="501"/>
      <c r="AA293" s="501"/>
      <c r="AB293" s="501"/>
      <c r="AC293" s="501"/>
      <c r="AD293" s="500"/>
      <c r="AE293" s="500"/>
      <c r="AF293" s="503"/>
      <c r="AG293" s="503"/>
      <c r="AH293" s="504"/>
      <c r="AI293" s="500"/>
      <c r="AJ293" s="500"/>
      <c r="AK293" s="500"/>
      <c r="AL293" s="500"/>
      <c r="AM293" s="500"/>
      <c r="AN293" s="500"/>
      <c r="AO293" s="500"/>
      <c r="AP293" s="500"/>
      <c r="AQ293" s="500"/>
      <c r="AR293" s="500"/>
      <c r="AS293" s="500"/>
      <c r="AT293" s="500"/>
      <c r="AU293" s="500"/>
      <c r="AV293" s="500"/>
      <c r="AW293" s="500"/>
      <c r="AX293" s="500"/>
      <c r="AY293" s="500"/>
      <c r="AZ293" s="500"/>
      <c r="BA293" s="500"/>
      <c r="BB293" s="500"/>
      <c r="BC293" s="500"/>
      <c r="BD293" s="500"/>
      <c r="BE293" s="500"/>
      <c r="BF293" s="500"/>
      <c r="BG293" s="500"/>
      <c r="BH293" s="500"/>
      <c r="BI293" s="500"/>
      <c r="BJ293" s="500"/>
      <c r="BK293" s="500"/>
      <c r="BL293" s="500"/>
      <c r="BM293" s="500"/>
      <c r="BN293" s="500"/>
      <c r="BO293" s="500"/>
      <c r="BP293" s="500"/>
      <c r="BQ293" s="500"/>
      <c r="BR293" s="500"/>
      <c r="BS293" s="500"/>
      <c r="BT293" s="500"/>
      <c r="BU293" s="500"/>
      <c r="BV293" s="500"/>
    </row>
    <row r="294" ht="14.25" customHeight="1">
      <c r="A294" s="8"/>
      <c r="B294" s="500"/>
      <c r="C294" s="500"/>
      <c r="D294" s="500"/>
      <c r="E294" s="500"/>
      <c r="F294" s="500"/>
      <c r="G294" s="500"/>
      <c r="H294" s="500"/>
      <c r="I294" s="500"/>
      <c r="J294" s="500"/>
      <c r="K294" s="500"/>
      <c r="L294" s="500"/>
      <c r="M294" s="500"/>
      <c r="N294" s="500"/>
      <c r="O294" s="500"/>
      <c r="P294" s="500"/>
      <c r="Q294" s="500"/>
      <c r="R294" s="500"/>
      <c r="S294" s="500"/>
      <c r="T294" s="500"/>
      <c r="U294" s="500"/>
      <c r="V294" s="500"/>
      <c r="W294" s="500"/>
      <c r="X294" s="500"/>
      <c r="Y294" s="500"/>
      <c r="Z294" s="501"/>
      <c r="AA294" s="501"/>
      <c r="AB294" s="501"/>
      <c r="AC294" s="501"/>
      <c r="AD294" s="500"/>
      <c r="AE294" s="500"/>
      <c r="AF294" s="503"/>
      <c r="AG294" s="503"/>
      <c r="AH294" s="504"/>
      <c r="AI294" s="500"/>
      <c r="AJ294" s="500"/>
      <c r="AK294" s="500"/>
      <c r="AL294" s="500"/>
      <c r="AM294" s="500"/>
      <c r="AN294" s="500"/>
      <c r="AO294" s="500"/>
      <c r="AP294" s="500"/>
      <c r="AQ294" s="500"/>
      <c r="AR294" s="500"/>
      <c r="AS294" s="500"/>
      <c r="AT294" s="500"/>
      <c r="AU294" s="500"/>
      <c r="AV294" s="500"/>
      <c r="AW294" s="500"/>
      <c r="AX294" s="500"/>
      <c r="AY294" s="500"/>
      <c r="AZ294" s="500"/>
      <c r="BA294" s="500"/>
      <c r="BB294" s="500"/>
      <c r="BC294" s="500"/>
      <c r="BD294" s="500"/>
      <c r="BE294" s="500"/>
      <c r="BF294" s="500"/>
      <c r="BG294" s="500"/>
      <c r="BH294" s="500"/>
      <c r="BI294" s="500"/>
      <c r="BJ294" s="500"/>
      <c r="BK294" s="500"/>
      <c r="BL294" s="500"/>
      <c r="BM294" s="500"/>
      <c r="BN294" s="500"/>
      <c r="BO294" s="500"/>
      <c r="BP294" s="500"/>
      <c r="BQ294" s="500"/>
      <c r="BR294" s="500"/>
      <c r="BS294" s="500"/>
      <c r="BT294" s="500"/>
      <c r="BU294" s="500"/>
      <c r="BV294" s="500"/>
    </row>
    <row r="295" ht="14.25" customHeight="1">
      <c r="A295" s="8"/>
      <c r="B295" s="500"/>
      <c r="C295" s="500"/>
      <c r="D295" s="500"/>
      <c r="E295" s="500"/>
      <c r="F295" s="500"/>
      <c r="G295" s="500"/>
      <c r="H295" s="500"/>
      <c r="I295" s="500"/>
      <c r="J295" s="500"/>
      <c r="K295" s="500"/>
      <c r="L295" s="500"/>
      <c r="M295" s="500"/>
      <c r="N295" s="500"/>
      <c r="O295" s="500"/>
      <c r="P295" s="500"/>
      <c r="Q295" s="500"/>
      <c r="R295" s="500"/>
      <c r="S295" s="500"/>
      <c r="T295" s="500"/>
      <c r="U295" s="500"/>
      <c r="V295" s="500"/>
      <c r="W295" s="500"/>
      <c r="X295" s="500"/>
      <c r="Y295" s="500"/>
      <c r="Z295" s="501"/>
      <c r="AA295" s="501"/>
      <c r="AB295" s="501"/>
      <c r="AC295" s="501"/>
      <c r="AD295" s="500"/>
      <c r="AE295" s="500"/>
      <c r="AF295" s="503"/>
      <c r="AG295" s="503"/>
      <c r="AH295" s="504"/>
      <c r="AI295" s="500"/>
      <c r="AJ295" s="500"/>
      <c r="AK295" s="500"/>
      <c r="AL295" s="500"/>
      <c r="AM295" s="500"/>
      <c r="AN295" s="500"/>
      <c r="AO295" s="500"/>
      <c r="AP295" s="500"/>
      <c r="AQ295" s="500"/>
      <c r="AR295" s="500"/>
      <c r="AS295" s="500"/>
      <c r="AT295" s="500"/>
      <c r="AU295" s="500"/>
      <c r="AV295" s="500"/>
      <c r="AW295" s="500"/>
      <c r="AX295" s="500"/>
      <c r="AY295" s="500"/>
      <c r="AZ295" s="500"/>
      <c r="BA295" s="500"/>
      <c r="BB295" s="500"/>
      <c r="BC295" s="500"/>
      <c r="BD295" s="500"/>
      <c r="BE295" s="500"/>
      <c r="BF295" s="500"/>
      <c r="BG295" s="500"/>
      <c r="BH295" s="500"/>
      <c r="BI295" s="500"/>
      <c r="BJ295" s="500"/>
      <c r="BK295" s="500"/>
      <c r="BL295" s="500"/>
      <c r="BM295" s="500"/>
      <c r="BN295" s="500"/>
      <c r="BO295" s="500"/>
      <c r="BP295" s="500"/>
      <c r="BQ295" s="500"/>
      <c r="BR295" s="500"/>
      <c r="BS295" s="500"/>
      <c r="BT295" s="500"/>
      <c r="BU295" s="500"/>
      <c r="BV295" s="500"/>
    </row>
    <row r="296" ht="14.25" customHeight="1">
      <c r="A296" s="8"/>
      <c r="B296" s="500"/>
      <c r="C296" s="500"/>
      <c r="D296" s="500"/>
      <c r="E296" s="500"/>
      <c r="F296" s="500"/>
      <c r="G296" s="500"/>
      <c r="H296" s="500"/>
      <c r="I296" s="500"/>
      <c r="J296" s="500"/>
      <c r="K296" s="500"/>
      <c r="L296" s="500"/>
      <c r="M296" s="500"/>
      <c r="N296" s="500"/>
      <c r="O296" s="500"/>
      <c r="P296" s="500"/>
      <c r="Q296" s="500"/>
      <c r="R296" s="500"/>
      <c r="S296" s="500"/>
      <c r="T296" s="500"/>
      <c r="U296" s="500"/>
      <c r="V296" s="500"/>
      <c r="W296" s="500"/>
      <c r="X296" s="500"/>
      <c r="Y296" s="500"/>
      <c r="Z296" s="501"/>
      <c r="AA296" s="501"/>
      <c r="AB296" s="501"/>
      <c r="AC296" s="501"/>
      <c r="AD296" s="500"/>
      <c r="AE296" s="500"/>
      <c r="AF296" s="503"/>
      <c r="AG296" s="503"/>
      <c r="AH296" s="504"/>
      <c r="AI296" s="500"/>
      <c r="AJ296" s="500"/>
      <c r="AK296" s="500"/>
      <c r="AL296" s="500"/>
      <c r="AM296" s="500"/>
      <c r="AN296" s="500"/>
      <c r="AO296" s="500"/>
      <c r="AP296" s="500"/>
      <c r="AQ296" s="500"/>
      <c r="AR296" s="500"/>
      <c r="AS296" s="500"/>
      <c r="AT296" s="500"/>
      <c r="AU296" s="500"/>
      <c r="AV296" s="500"/>
      <c r="AW296" s="500"/>
      <c r="AX296" s="500"/>
      <c r="AY296" s="500"/>
      <c r="AZ296" s="500"/>
      <c r="BA296" s="500"/>
      <c r="BB296" s="500"/>
      <c r="BC296" s="500"/>
      <c r="BD296" s="500"/>
      <c r="BE296" s="500"/>
      <c r="BF296" s="500"/>
      <c r="BG296" s="500"/>
      <c r="BH296" s="500"/>
      <c r="BI296" s="500"/>
      <c r="BJ296" s="500"/>
      <c r="BK296" s="500"/>
      <c r="BL296" s="500"/>
      <c r="BM296" s="500"/>
      <c r="BN296" s="500"/>
      <c r="BO296" s="500"/>
      <c r="BP296" s="500"/>
      <c r="BQ296" s="500"/>
      <c r="BR296" s="500"/>
      <c r="BS296" s="500"/>
      <c r="BT296" s="500"/>
      <c r="BU296" s="500"/>
      <c r="BV296" s="500"/>
    </row>
    <row r="297" ht="14.25" customHeight="1">
      <c r="A297" s="8"/>
      <c r="B297" s="500"/>
      <c r="C297" s="500"/>
      <c r="D297" s="500"/>
      <c r="E297" s="500"/>
      <c r="F297" s="500"/>
      <c r="G297" s="500"/>
      <c r="H297" s="500"/>
      <c r="I297" s="500"/>
      <c r="J297" s="500"/>
      <c r="K297" s="500"/>
      <c r="L297" s="500"/>
      <c r="M297" s="500"/>
      <c r="N297" s="500"/>
      <c r="O297" s="500"/>
      <c r="P297" s="500"/>
      <c r="Q297" s="500"/>
      <c r="R297" s="500"/>
      <c r="S297" s="500"/>
      <c r="T297" s="500"/>
      <c r="U297" s="500"/>
      <c r="V297" s="500"/>
      <c r="W297" s="500"/>
      <c r="X297" s="500"/>
      <c r="Y297" s="500"/>
      <c r="Z297" s="501"/>
      <c r="AA297" s="501"/>
      <c r="AB297" s="501"/>
      <c r="AC297" s="501"/>
      <c r="AD297" s="500"/>
      <c r="AE297" s="500"/>
      <c r="AF297" s="503"/>
      <c r="AG297" s="503"/>
      <c r="AH297" s="504"/>
      <c r="AI297" s="500"/>
      <c r="AJ297" s="500"/>
      <c r="AK297" s="500"/>
      <c r="AL297" s="500"/>
      <c r="AM297" s="500"/>
      <c r="AN297" s="500"/>
      <c r="AO297" s="500"/>
      <c r="AP297" s="500"/>
      <c r="AQ297" s="500"/>
      <c r="AR297" s="500"/>
      <c r="AS297" s="500"/>
      <c r="AT297" s="500"/>
      <c r="AU297" s="500"/>
      <c r="AV297" s="500"/>
      <c r="AW297" s="500"/>
      <c r="AX297" s="500"/>
      <c r="AY297" s="500"/>
      <c r="AZ297" s="500"/>
      <c r="BA297" s="500"/>
      <c r="BB297" s="500"/>
      <c r="BC297" s="500"/>
      <c r="BD297" s="500"/>
      <c r="BE297" s="500"/>
      <c r="BF297" s="500"/>
      <c r="BG297" s="500"/>
      <c r="BH297" s="500"/>
      <c r="BI297" s="500"/>
      <c r="BJ297" s="500"/>
      <c r="BK297" s="500"/>
      <c r="BL297" s="500"/>
      <c r="BM297" s="500"/>
      <c r="BN297" s="500"/>
      <c r="BO297" s="500"/>
      <c r="BP297" s="500"/>
      <c r="BQ297" s="500"/>
      <c r="BR297" s="500"/>
      <c r="BS297" s="500"/>
      <c r="BT297" s="500"/>
      <c r="BU297" s="500"/>
      <c r="BV297" s="500"/>
    </row>
    <row r="298" ht="14.25" customHeight="1">
      <c r="A298" s="8"/>
      <c r="B298" s="500"/>
      <c r="C298" s="500"/>
      <c r="D298" s="500"/>
      <c r="E298" s="500"/>
      <c r="F298" s="500"/>
      <c r="G298" s="500"/>
      <c r="H298" s="500"/>
      <c r="I298" s="500"/>
      <c r="J298" s="500"/>
      <c r="K298" s="500"/>
      <c r="L298" s="500"/>
      <c r="M298" s="500"/>
      <c r="N298" s="500"/>
      <c r="O298" s="500"/>
      <c r="P298" s="500"/>
      <c r="Q298" s="500"/>
      <c r="R298" s="500"/>
      <c r="S298" s="500"/>
      <c r="T298" s="500"/>
      <c r="U298" s="500"/>
      <c r="V298" s="500"/>
      <c r="W298" s="500"/>
      <c r="X298" s="500"/>
      <c r="Y298" s="500"/>
      <c r="Z298" s="501"/>
      <c r="AA298" s="501"/>
      <c r="AB298" s="501"/>
      <c r="AC298" s="501"/>
      <c r="AD298" s="500"/>
      <c r="AE298" s="500"/>
      <c r="AF298" s="503"/>
      <c r="AG298" s="503"/>
      <c r="AH298" s="504"/>
      <c r="AI298" s="500"/>
      <c r="AJ298" s="500"/>
      <c r="AK298" s="500"/>
      <c r="AL298" s="500"/>
      <c r="AM298" s="500"/>
      <c r="AN298" s="500"/>
      <c r="AO298" s="500"/>
      <c r="AP298" s="500"/>
      <c r="AQ298" s="500"/>
      <c r="AR298" s="500"/>
      <c r="AS298" s="500"/>
      <c r="AT298" s="500"/>
      <c r="AU298" s="500"/>
      <c r="AV298" s="500"/>
      <c r="AW298" s="500"/>
      <c r="AX298" s="500"/>
      <c r="AY298" s="500"/>
      <c r="AZ298" s="500"/>
      <c r="BA298" s="500"/>
      <c r="BB298" s="500"/>
      <c r="BC298" s="500"/>
      <c r="BD298" s="500"/>
      <c r="BE298" s="500"/>
      <c r="BF298" s="500"/>
      <c r="BG298" s="500"/>
      <c r="BH298" s="500"/>
      <c r="BI298" s="500"/>
      <c r="BJ298" s="500"/>
      <c r="BK298" s="500"/>
      <c r="BL298" s="500"/>
      <c r="BM298" s="500"/>
      <c r="BN298" s="500"/>
      <c r="BO298" s="500"/>
      <c r="BP298" s="500"/>
      <c r="BQ298" s="500"/>
      <c r="BR298" s="500"/>
      <c r="BS298" s="500"/>
      <c r="BT298" s="500"/>
      <c r="BU298" s="500"/>
      <c r="BV298" s="500"/>
    </row>
    <row r="299" ht="14.25" customHeight="1">
      <c r="A299" s="8"/>
      <c r="B299" s="500"/>
      <c r="C299" s="500"/>
      <c r="D299" s="500"/>
      <c r="E299" s="500"/>
      <c r="F299" s="500"/>
      <c r="G299" s="500"/>
      <c r="H299" s="500"/>
      <c r="I299" s="500"/>
      <c r="J299" s="500"/>
      <c r="K299" s="500"/>
      <c r="L299" s="500"/>
      <c r="M299" s="500"/>
      <c r="N299" s="500"/>
      <c r="O299" s="500"/>
      <c r="P299" s="500"/>
      <c r="Q299" s="500"/>
      <c r="R299" s="500"/>
      <c r="S299" s="500"/>
      <c r="T299" s="500"/>
      <c r="U299" s="500"/>
      <c r="V299" s="500"/>
      <c r="W299" s="500"/>
      <c r="X299" s="500"/>
      <c r="Y299" s="500"/>
      <c r="Z299" s="501"/>
      <c r="AA299" s="501"/>
      <c r="AB299" s="501"/>
      <c r="AC299" s="501"/>
      <c r="AD299" s="500"/>
      <c r="AE299" s="500"/>
      <c r="AF299" s="503"/>
      <c r="AG299" s="503"/>
      <c r="AH299" s="504"/>
      <c r="AI299" s="500"/>
      <c r="AJ299" s="500"/>
      <c r="AK299" s="500"/>
      <c r="AL299" s="500"/>
      <c r="AM299" s="500"/>
      <c r="AN299" s="500"/>
      <c r="AO299" s="500"/>
      <c r="AP299" s="500"/>
      <c r="AQ299" s="500"/>
      <c r="AR299" s="500"/>
      <c r="AS299" s="500"/>
      <c r="AT299" s="500"/>
      <c r="AU299" s="500"/>
      <c r="AV299" s="500"/>
      <c r="AW299" s="500"/>
      <c r="AX299" s="500"/>
      <c r="AY299" s="500"/>
      <c r="AZ299" s="500"/>
      <c r="BA299" s="500"/>
      <c r="BB299" s="500"/>
      <c r="BC299" s="500"/>
      <c r="BD299" s="500"/>
      <c r="BE299" s="500"/>
      <c r="BF299" s="500"/>
      <c r="BG299" s="500"/>
      <c r="BH299" s="500"/>
      <c r="BI299" s="500"/>
      <c r="BJ299" s="500"/>
      <c r="BK299" s="500"/>
      <c r="BL299" s="500"/>
      <c r="BM299" s="500"/>
      <c r="BN299" s="500"/>
      <c r="BO299" s="500"/>
      <c r="BP299" s="500"/>
      <c r="BQ299" s="500"/>
      <c r="BR299" s="500"/>
      <c r="BS299" s="500"/>
      <c r="BT299" s="500"/>
      <c r="BU299" s="500"/>
      <c r="BV299" s="500"/>
    </row>
    <row r="300" ht="14.25" customHeight="1">
      <c r="A300" s="8"/>
      <c r="B300" s="500"/>
      <c r="C300" s="500"/>
      <c r="D300" s="500"/>
      <c r="E300" s="500"/>
      <c r="F300" s="500"/>
      <c r="G300" s="500"/>
      <c r="H300" s="500"/>
      <c r="I300" s="500"/>
      <c r="J300" s="500"/>
      <c r="K300" s="500"/>
      <c r="L300" s="500"/>
      <c r="M300" s="500"/>
      <c r="N300" s="500"/>
      <c r="O300" s="500"/>
      <c r="P300" s="500"/>
      <c r="Q300" s="500"/>
      <c r="R300" s="500"/>
      <c r="S300" s="500"/>
      <c r="T300" s="500"/>
      <c r="U300" s="500"/>
      <c r="V300" s="500"/>
      <c r="W300" s="500"/>
      <c r="X300" s="500"/>
      <c r="Y300" s="500"/>
      <c r="Z300" s="501"/>
      <c r="AA300" s="501"/>
      <c r="AB300" s="501"/>
      <c r="AC300" s="501"/>
      <c r="AD300" s="500"/>
      <c r="AE300" s="500"/>
      <c r="AF300" s="503"/>
      <c r="AG300" s="503"/>
      <c r="AH300" s="504"/>
      <c r="AI300" s="500"/>
      <c r="AJ300" s="500"/>
      <c r="AK300" s="500"/>
      <c r="AL300" s="500"/>
      <c r="AM300" s="500"/>
      <c r="AN300" s="500"/>
      <c r="AO300" s="500"/>
      <c r="AP300" s="500"/>
      <c r="AQ300" s="500"/>
      <c r="AR300" s="500"/>
      <c r="AS300" s="500"/>
      <c r="AT300" s="500"/>
      <c r="AU300" s="500"/>
      <c r="AV300" s="500"/>
      <c r="AW300" s="500"/>
      <c r="AX300" s="500"/>
      <c r="AY300" s="500"/>
      <c r="AZ300" s="500"/>
      <c r="BA300" s="500"/>
      <c r="BB300" s="500"/>
      <c r="BC300" s="500"/>
      <c r="BD300" s="500"/>
      <c r="BE300" s="500"/>
      <c r="BF300" s="500"/>
      <c r="BG300" s="500"/>
      <c r="BH300" s="500"/>
      <c r="BI300" s="500"/>
      <c r="BJ300" s="500"/>
      <c r="BK300" s="500"/>
      <c r="BL300" s="500"/>
      <c r="BM300" s="500"/>
      <c r="BN300" s="500"/>
      <c r="BO300" s="500"/>
      <c r="BP300" s="500"/>
      <c r="BQ300" s="500"/>
      <c r="BR300" s="500"/>
      <c r="BS300" s="500"/>
      <c r="BT300" s="500"/>
      <c r="BU300" s="500"/>
      <c r="BV300" s="500"/>
    </row>
    <row r="301" ht="14.25" customHeight="1">
      <c r="A301" s="8"/>
      <c r="B301" s="500"/>
      <c r="C301" s="500"/>
      <c r="D301" s="500"/>
      <c r="E301" s="500"/>
      <c r="F301" s="500"/>
      <c r="G301" s="500"/>
      <c r="H301" s="500"/>
      <c r="I301" s="500"/>
      <c r="J301" s="500"/>
      <c r="K301" s="500"/>
      <c r="L301" s="500"/>
      <c r="M301" s="500"/>
      <c r="N301" s="500"/>
      <c r="O301" s="500"/>
      <c r="P301" s="500"/>
      <c r="Q301" s="500"/>
      <c r="R301" s="500"/>
      <c r="S301" s="500"/>
      <c r="T301" s="500"/>
      <c r="U301" s="500"/>
      <c r="V301" s="500"/>
      <c r="W301" s="500"/>
      <c r="X301" s="500"/>
      <c r="Y301" s="500"/>
      <c r="Z301" s="501"/>
      <c r="AA301" s="501"/>
      <c r="AB301" s="501"/>
      <c r="AC301" s="501"/>
      <c r="AD301" s="500"/>
      <c r="AE301" s="500"/>
      <c r="AF301" s="503"/>
      <c r="AG301" s="503"/>
      <c r="AH301" s="504"/>
      <c r="AI301" s="500"/>
      <c r="AJ301" s="500"/>
      <c r="AK301" s="500"/>
      <c r="AL301" s="500"/>
      <c r="AM301" s="500"/>
      <c r="AN301" s="500"/>
      <c r="AO301" s="500"/>
      <c r="AP301" s="500"/>
      <c r="AQ301" s="500"/>
      <c r="AR301" s="500"/>
      <c r="AS301" s="500"/>
      <c r="AT301" s="500"/>
      <c r="AU301" s="500"/>
      <c r="AV301" s="500"/>
      <c r="AW301" s="500"/>
      <c r="AX301" s="500"/>
      <c r="AY301" s="500"/>
      <c r="AZ301" s="500"/>
      <c r="BA301" s="500"/>
      <c r="BB301" s="500"/>
      <c r="BC301" s="500"/>
      <c r="BD301" s="500"/>
      <c r="BE301" s="500"/>
      <c r="BF301" s="500"/>
      <c r="BG301" s="500"/>
      <c r="BH301" s="500"/>
      <c r="BI301" s="500"/>
      <c r="BJ301" s="500"/>
      <c r="BK301" s="500"/>
      <c r="BL301" s="500"/>
      <c r="BM301" s="500"/>
      <c r="BN301" s="500"/>
      <c r="BO301" s="500"/>
      <c r="BP301" s="500"/>
      <c r="BQ301" s="500"/>
      <c r="BR301" s="500"/>
      <c r="BS301" s="500"/>
      <c r="BT301" s="500"/>
      <c r="BU301" s="500"/>
      <c r="BV301" s="500"/>
    </row>
    <row r="302" ht="14.25" customHeight="1">
      <c r="A302" s="8"/>
      <c r="B302" s="500"/>
      <c r="C302" s="500"/>
      <c r="D302" s="500"/>
      <c r="E302" s="500"/>
      <c r="F302" s="500"/>
      <c r="G302" s="500"/>
      <c r="H302" s="500"/>
      <c r="I302" s="500"/>
      <c r="J302" s="500"/>
      <c r="K302" s="500"/>
      <c r="L302" s="500"/>
      <c r="M302" s="500"/>
      <c r="N302" s="500"/>
      <c r="O302" s="500"/>
      <c r="P302" s="500"/>
      <c r="Q302" s="500"/>
      <c r="R302" s="500"/>
      <c r="S302" s="500"/>
      <c r="T302" s="500"/>
      <c r="U302" s="500"/>
      <c r="V302" s="500"/>
      <c r="W302" s="500"/>
      <c r="X302" s="500"/>
      <c r="Y302" s="500"/>
      <c r="Z302" s="501"/>
      <c r="AA302" s="501"/>
      <c r="AB302" s="501"/>
      <c r="AC302" s="501"/>
      <c r="AD302" s="500"/>
      <c r="AE302" s="500"/>
      <c r="AF302" s="503"/>
      <c r="AG302" s="503"/>
      <c r="AH302" s="504"/>
      <c r="AI302" s="500"/>
      <c r="AJ302" s="500"/>
      <c r="AK302" s="500"/>
      <c r="AL302" s="500"/>
      <c r="AM302" s="500"/>
      <c r="AN302" s="500"/>
      <c r="AO302" s="500"/>
      <c r="AP302" s="500"/>
      <c r="AQ302" s="500"/>
      <c r="AR302" s="500"/>
      <c r="AS302" s="500"/>
      <c r="AT302" s="500"/>
      <c r="AU302" s="500"/>
      <c r="AV302" s="500"/>
      <c r="AW302" s="500"/>
      <c r="AX302" s="500"/>
      <c r="AY302" s="500"/>
      <c r="AZ302" s="500"/>
      <c r="BA302" s="500"/>
      <c r="BB302" s="500"/>
      <c r="BC302" s="500"/>
      <c r="BD302" s="500"/>
      <c r="BE302" s="500"/>
      <c r="BF302" s="500"/>
      <c r="BG302" s="500"/>
      <c r="BH302" s="500"/>
      <c r="BI302" s="500"/>
      <c r="BJ302" s="500"/>
      <c r="BK302" s="500"/>
      <c r="BL302" s="500"/>
      <c r="BM302" s="500"/>
      <c r="BN302" s="500"/>
      <c r="BO302" s="500"/>
      <c r="BP302" s="500"/>
      <c r="BQ302" s="500"/>
      <c r="BR302" s="500"/>
      <c r="BS302" s="500"/>
      <c r="BT302" s="500"/>
      <c r="BU302" s="500"/>
      <c r="BV302" s="500"/>
    </row>
    <row r="303" ht="14.25" customHeight="1">
      <c r="A303" s="8"/>
      <c r="B303" s="500"/>
      <c r="C303" s="500"/>
      <c r="D303" s="500"/>
      <c r="E303" s="500"/>
      <c r="F303" s="500"/>
      <c r="G303" s="500"/>
      <c r="H303" s="500"/>
      <c r="I303" s="500"/>
      <c r="J303" s="500"/>
      <c r="K303" s="500"/>
      <c r="L303" s="500"/>
      <c r="M303" s="500"/>
      <c r="N303" s="500"/>
      <c r="O303" s="500"/>
      <c r="P303" s="500"/>
      <c r="Q303" s="500"/>
      <c r="R303" s="500"/>
      <c r="S303" s="500"/>
      <c r="T303" s="500"/>
      <c r="U303" s="500"/>
      <c r="V303" s="500"/>
      <c r="W303" s="500"/>
      <c r="X303" s="500"/>
      <c r="Y303" s="500"/>
      <c r="Z303" s="501"/>
      <c r="AA303" s="501"/>
      <c r="AB303" s="501"/>
      <c r="AC303" s="501"/>
      <c r="AD303" s="500"/>
      <c r="AE303" s="500"/>
      <c r="AF303" s="503"/>
      <c r="AG303" s="503"/>
      <c r="AH303" s="504"/>
      <c r="AI303" s="500"/>
      <c r="AJ303" s="500"/>
      <c r="AK303" s="500"/>
      <c r="AL303" s="500"/>
      <c r="AM303" s="500"/>
      <c r="AN303" s="500"/>
      <c r="AO303" s="500"/>
      <c r="AP303" s="500"/>
      <c r="AQ303" s="500"/>
      <c r="AR303" s="500"/>
      <c r="AS303" s="500"/>
      <c r="AT303" s="500"/>
      <c r="AU303" s="500"/>
      <c r="AV303" s="500"/>
      <c r="AW303" s="500"/>
      <c r="AX303" s="500"/>
      <c r="AY303" s="500"/>
      <c r="AZ303" s="500"/>
      <c r="BA303" s="500"/>
      <c r="BB303" s="500"/>
      <c r="BC303" s="500"/>
      <c r="BD303" s="500"/>
      <c r="BE303" s="500"/>
      <c r="BF303" s="500"/>
      <c r="BG303" s="500"/>
      <c r="BH303" s="500"/>
      <c r="BI303" s="500"/>
      <c r="BJ303" s="500"/>
      <c r="BK303" s="500"/>
      <c r="BL303" s="500"/>
      <c r="BM303" s="500"/>
      <c r="BN303" s="500"/>
      <c r="BO303" s="500"/>
      <c r="BP303" s="500"/>
      <c r="BQ303" s="500"/>
      <c r="BR303" s="500"/>
      <c r="BS303" s="500"/>
      <c r="BT303" s="500"/>
      <c r="BU303" s="500"/>
      <c r="BV303" s="500"/>
    </row>
    <row r="304" ht="14.25" customHeight="1">
      <c r="A304" s="8"/>
      <c r="B304" s="500"/>
      <c r="C304" s="500"/>
      <c r="D304" s="500"/>
      <c r="E304" s="500"/>
      <c r="F304" s="500"/>
      <c r="G304" s="500"/>
      <c r="H304" s="500"/>
      <c r="I304" s="500"/>
      <c r="J304" s="500"/>
      <c r="K304" s="500"/>
      <c r="L304" s="500"/>
      <c r="M304" s="500"/>
      <c r="N304" s="500"/>
      <c r="O304" s="500"/>
      <c r="P304" s="500"/>
      <c r="Q304" s="500"/>
      <c r="R304" s="500"/>
      <c r="S304" s="500"/>
      <c r="T304" s="500"/>
      <c r="U304" s="500"/>
      <c r="V304" s="500"/>
      <c r="W304" s="500"/>
      <c r="X304" s="500"/>
      <c r="Y304" s="500"/>
      <c r="Z304" s="501"/>
      <c r="AA304" s="501"/>
      <c r="AB304" s="501"/>
      <c r="AC304" s="501"/>
      <c r="AD304" s="500"/>
      <c r="AE304" s="500"/>
      <c r="AF304" s="503"/>
      <c r="AG304" s="503"/>
      <c r="AH304" s="504"/>
      <c r="AI304" s="500"/>
      <c r="AJ304" s="500"/>
      <c r="AK304" s="500"/>
      <c r="AL304" s="500"/>
      <c r="AM304" s="500"/>
      <c r="AN304" s="500"/>
      <c r="AO304" s="500"/>
      <c r="AP304" s="500"/>
      <c r="AQ304" s="500"/>
      <c r="AR304" s="500"/>
      <c r="AS304" s="500"/>
      <c r="AT304" s="500"/>
      <c r="AU304" s="500"/>
      <c r="AV304" s="500"/>
      <c r="AW304" s="500"/>
      <c r="AX304" s="500"/>
      <c r="AY304" s="500"/>
      <c r="AZ304" s="500"/>
      <c r="BA304" s="500"/>
      <c r="BB304" s="500"/>
      <c r="BC304" s="500"/>
      <c r="BD304" s="500"/>
      <c r="BE304" s="500"/>
      <c r="BF304" s="500"/>
      <c r="BG304" s="500"/>
      <c r="BH304" s="500"/>
      <c r="BI304" s="500"/>
      <c r="BJ304" s="500"/>
      <c r="BK304" s="500"/>
      <c r="BL304" s="500"/>
      <c r="BM304" s="500"/>
      <c r="BN304" s="500"/>
      <c r="BO304" s="500"/>
      <c r="BP304" s="500"/>
      <c r="BQ304" s="500"/>
      <c r="BR304" s="500"/>
      <c r="BS304" s="500"/>
      <c r="BT304" s="500"/>
      <c r="BU304" s="500"/>
      <c r="BV304" s="500"/>
    </row>
    <row r="305" ht="14.25" customHeight="1">
      <c r="A305" s="8"/>
      <c r="B305" s="500"/>
      <c r="C305" s="500"/>
      <c r="D305" s="500"/>
      <c r="E305" s="500"/>
      <c r="F305" s="500"/>
      <c r="G305" s="500"/>
      <c r="H305" s="500"/>
      <c r="I305" s="500"/>
      <c r="J305" s="500"/>
      <c r="K305" s="500"/>
      <c r="L305" s="500"/>
      <c r="M305" s="500"/>
      <c r="N305" s="500"/>
      <c r="O305" s="500"/>
      <c r="P305" s="500"/>
      <c r="Q305" s="500"/>
      <c r="R305" s="500"/>
      <c r="S305" s="500"/>
      <c r="T305" s="500"/>
      <c r="U305" s="500"/>
      <c r="V305" s="500"/>
      <c r="W305" s="500"/>
      <c r="X305" s="500"/>
      <c r="Y305" s="500"/>
      <c r="Z305" s="501"/>
      <c r="AA305" s="501"/>
      <c r="AB305" s="501"/>
      <c r="AC305" s="501"/>
      <c r="AD305" s="500"/>
      <c r="AE305" s="500"/>
      <c r="AF305" s="503"/>
      <c r="AG305" s="503"/>
      <c r="AH305" s="504"/>
      <c r="AI305" s="500"/>
      <c r="AJ305" s="500"/>
      <c r="AK305" s="500"/>
      <c r="AL305" s="500"/>
      <c r="AM305" s="500"/>
      <c r="AN305" s="500"/>
      <c r="AO305" s="500"/>
      <c r="AP305" s="500"/>
      <c r="AQ305" s="500"/>
      <c r="AR305" s="500"/>
      <c r="AS305" s="500"/>
      <c r="AT305" s="500"/>
      <c r="AU305" s="500"/>
      <c r="AV305" s="500"/>
      <c r="AW305" s="500"/>
      <c r="AX305" s="500"/>
      <c r="AY305" s="500"/>
      <c r="AZ305" s="500"/>
      <c r="BA305" s="500"/>
      <c r="BB305" s="500"/>
      <c r="BC305" s="500"/>
      <c r="BD305" s="500"/>
      <c r="BE305" s="500"/>
      <c r="BF305" s="500"/>
      <c r="BG305" s="500"/>
      <c r="BH305" s="500"/>
      <c r="BI305" s="500"/>
      <c r="BJ305" s="500"/>
      <c r="BK305" s="500"/>
      <c r="BL305" s="500"/>
      <c r="BM305" s="500"/>
      <c r="BN305" s="500"/>
      <c r="BO305" s="500"/>
      <c r="BP305" s="500"/>
      <c r="BQ305" s="500"/>
      <c r="BR305" s="500"/>
      <c r="BS305" s="500"/>
      <c r="BT305" s="500"/>
      <c r="BU305" s="500"/>
      <c r="BV305" s="500"/>
    </row>
    <row r="306" ht="14.25" customHeight="1">
      <c r="A306" s="8"/>
      <c r="B306" s="500"/>
      <c r="C306" s="500"/>
      <c r="D306" s="500"/>
      <c r="E306" s="500"/>
      <c r="F306" s="500"/>
      <c r="G306" s="500"/>
      <c r="H306" s="500"/>
      <c r="I306" s="500"/>
      <c r="J306" s="500"/>
      <c r="K306" s="500"/>
      <c r="L306" s="500"/>
      <c r="M306" s="500"/>
      <c r="N306" s="500"/>
      <c r="O306" s="500"/>
      <c r="P306" s="500"/>
      <c r="Q306" s="500"/>
      <c r="R306" s="500"/>
      <c r="S306" s="500"/>
      <c r="T306" s="500"/>
      <c r="U306" s="500"/>
      <c r="V306" s="500"/>
      <c r="W306" s="500"/>
      <c r="X306" s="500"/>
      <c r="Y306" s="500"/>
      <c r="Z306" s="501"/>
      <c r="AA306" s="501"/>
      <c r="AB306" s="501"/>
      <c r="AC306" s="501"/>
      <c r="AD306" s="500"/>
      <c r="AE306" s="500"/>
      <c r="AF306" s="503"/>
      <c r="AG306" s="503"/>
      <c r="AH306" s="504"/>
      <c r="AI306" s="500"/>
      <c r="AJ306" s="500"/>
      <c r="AK306" s="500"/>
      <c r="AL306" s="500"/>
      <c r="AM306" s="500"/>
      <c r="AN306" s="500"/>
      <c r="AO306" s="500"/>
      <c r="AP306" s="500"/>
      <c r="AQ306" s="500"/>
      <c r="AR306" s="500"/>
      <c r="AS306" s="500"/>
      <c r="AT306" s="500"/>
      <c r="AU306" s="500"/>
      <c r="AV306" s="500"/>
      <c r="AW306" s="500"/>
      <c r="AX306" s="500"/>
      <c r="AY306" s="500"/>
      <c r="AZ306" s="500"/>
      <c r="BA306" s="500"/>
      <c r="BB306" s="500"/>
      <c r="BC306" s="500"/>
      <c r="BD306" s="500"/>
      <c r="BE306" s="500"/>
      <c r="BF306" s="500"/>
      <c r="BG306" s="500"/>
      <c r="BH306" s="500"/>
      <c r="BI306" s="500"/>
      <c r="BJ306" s="500"/>
      <c r="BK306" s="500"/>
      <c r="BL306" s="500"/>
      <c r="BM306" s="500"/>
      <c r="BN306" s="500"/>
      <c r="BO306" s="500"/>
      <c r="BP306" s="500"/>
      <c r="BQ306" s="500"/>
      <c r="BR306" s="500"/>
      <c r="BS306" s="500"/>
      <c r="BT306" s="500"/>
      <c r="BU306" s="500"/>
      <c r="BV306" s="500"/>
    </row>
    <row r="307" ht="14.25" customHeight="1">
      <c r="A307" s="8"/>
      <c r="B307" s="500"/>
      <c r="C307" s="500"/>
      <c r="D307" s="500"/>
      <c r="E307" s="500"/>
      <c r="F307" s="500"/>
      <c r="G307" s="500"/>
      <c r="H307" s="500"/>
      <c r="I307" s="500"/>
      <c r="J307" s="500"/>
      <c r="K307" s="500"/>
      <c r="L307" s="500"/>
      <c r="M307" s="500"/>
      <c r="N307" s="500"/>
      <c r="O307" s="500"/>
      <c r="P307" s="500"/>
      <c r="Q307" s="500"/>
      <c r="R307" s="500"/>
      <c r="S307" s="500"/>
      <c r="T307" s="500"/>
      <c r="U307" s="500"/>
      <c r="V307" s="500"/>
      <c r="W307" s="500"/>
      <c r="X307" s="500"/>
      <c r="Y307" s="500"/>
      <c r="Z307" s="501"/>
      <c r="AA307" s="501"/>
      <c r="AB307" s="501"/>
      <c r="AC307" s="501"/>
      <c r="AD307" s="500"/>
      <c r="AE307" s="500"/>
      <c r="AF307" s="503"/>
      <c r="AG307" s="503"/>
      <c r="AH307" s="504"/>
      <c r="AI307" s="500"/>
      <c r="AJ307" s="500"/>
      <c r="AK307" s="500"/>
      <c r="AL307" s="500"/>
      <c r="AM307" s="500"/>
      <c r="AN307" s="500"/>
      <c r="AO307" s="500"/>
      <c r="AP307" s="500"/>
      <c r="AQ307" s="500"/>
      <c r="AR307" s="500"/>
      <c r="AS307" s="500"/>
      <c r="AT307" s="500"/>
      <c r="AU307" s="500"/>
      <c r="AV307" s="500"/>
      <c r="AW307" s="500"/>
      <c r="AX307" s="500"/>
      <c r="AY307" s="500"/>
      <c r="AZ307" s="500"/>
      <c r="BA307" s="500"/>
      <c r="BB307" s="500"/>
      <c r="BC307" s="500"/>
      <c r="BD307" s="500"/>
      <c r="BE307" s="500"/>
      <c r="BF307" s="500"/>
      <c r="BG307" s="500"/>
      <c r="BH307" s="500"/>
      <c r="BI307" s="500"/>
      <c r="BJ307" s="500"/>
      <c r="BK307" s="500"/>
      <c r="BL307" s="500"/>
      <c r="BM307" s="500"/>
      <c r="BN307" s="500"/>
      <c r="BO307" s="500"/>
      <c r="BP307" s="500"/>
      <c r="BQ307" s="500"/>
      <c r="BR307" s="500"/>
      <c r="BS307" s="500"/>
      <c r="BT307" s="500"/>
      <c r="BU307" s="500"/>
      <c r="BV307" s="500"/>
    </row>
    <row r="308" ht="14.25" customHeight="1">
      <c r="A308" s="8"/>
      <c r="B308" s="500"/>
      <c r="C308" s="500"/>
      <c r="D308" s="500"/>
      <c r="E308" s="500"/>
      <c r="F308" s="500"/>
      <c r="G308" s="500"/>
      <c r="H308" s="500"/>
      <c r="I308" s="500"/>
      <c r="J308" s="500"/>
      <c r="K308" s="500"/>
      <c r="L308" s="500"/>
      <c r="M308" s="500"/>
      <c r="N308" s="500"/>
      <c r="O308" s="500"/>
      <c r="P308" s="500"/>
      <c r="Q308" s="500"/>
      <c r="R308" s="500"/>
      <c r="S308" s="500"/>
      <c r="T308" s="500"/>
      <c r="U308" s="500"/>
      <c r="V308" s="500"/>
      <c r="W308" s="500"/>
      <c r="X308" s="500"/>
      <c r="Y308" s="500"/>
      <c r="Z308" s="501"/>
      <c r="AA308" s="501"/>
      <c r="AB308" s="501"/>
      <c r="AC308" s="501"/>
      <c r="AD308" s="500"/>
      <c r="AE308" s="500"/>
      <c r="AF308" s="503"/>
      <c r="AG308" s="503"/>
      <c r="AH308" s="504"/>
      <c r="AI308" s="500"/>
      <c r="AJ308" s="500"/>
      <c r="AK308" s="500"/>
      <c r="AL308" s="500"/>
      <c r="AM308" s="500"/>
      <c r="AN308" s="500"/>
      <c r="AO308" s="500"/>
      <c r="AP308" s="500"/>
      <c r="AQ308" s="500"/>
      <c r="AR308" s="500"/>
      <c r="AS308" s="500"/>
      <c r="AT308" s="500"/>
      <c r="AU308" s="500"/>
      <c r="AV308" s="500"/>
      <c r="AW308" s="500"/>
      <c r="AX308" s="500"/>
      <c r="AY308" s="500"/>
      <c r="AZ308" s="500"/>
      <c r="BA308" s="500"/>
      <c r="BB308" s="500"/>
      <c r="BC308" s="500"/>
      <c r="BD308" s="500"/>
      <c r="BE308" s="500"/>
      <c r="BF308" s="500"/>
      <c r="BG308" s="500"/>
      <c r="BH308" s="500"/>
      <c r="BI308" s="500"/>
      <c r="BJ308" s="500"/>
      <c r="BK308" s="500"/>
      <c r="BL308" s="500"/>
      <c r="BM308" s="500"/>
      <c r="BN308" s="500"/>
      <c r="BO308" s="500"/>
      <c r="BP308" s="500"/>
      <c r="BQ308" s="500"/>
      <c r="BR308" s="500"/>
      <c r="BS308" s="500"/>
      <c r="BT308" s="500"/>
      <c r="BU308" s="500"/>
      <c r="BV308" s="500"/>
    </row>
    <row r="309" ht="14.25" customHeight="1">
      <c r="A309" s="8"/>
      <c r="B309" s="500"/>
      <c r="C309" s="500"/>
      <c r="D309" s="500"/>
      <c r="E309" s="500"/>
      <c r="F309" s="500"/>
      <c r="G309" s="500"/>
      <c r="H309" s="500"/>
      <c r="I309" s="500"/>
      <c r="J309" s="500"/>
      <c r="K309" s="500"/>
      <c r="L309" s="500"/>
      <c r="M309" s="500"/>
      <c r="N309" s="500"/>
      <c r="O309" s="500"/>
      <c r="P309" s="500"/>
      <c r="Q309" s="500"/>
      <c r="R309" s="500"/>
      <c r="S309" s="500"/>
      <c r="T309" s="500"/>
      <c r="U309" s="500"/>
      <c r="V309" s="500"/>
      <c r="W309" s="500"/>
      <c r="X309" s="500"/>
      <c r="Y309" s="500"/>
      <c r="Z309" s="501"/>
      <c r="AA309" s="501"/>
      <c r="AB309" s="501"/>
      <c r="AC309" s="501"/>
      <c r="AD309" s="500"/>
      <c r="AE309" s="500"/>
      <c r="AF309" s="503"/>
      <c r="AG309" s="503"/>
      <c r="AH309" s="504"/>
      <c r="AI309" s="500"/>
      <c r="AJ309" s="500"/>
      <c r="AK309" s="500"/>
      <c r="AL309" s="500"/>
      <c r="AM309" s="500"/>
      <c r="AN309" s="500"/>
      <c r="AO309" s="500"/>
      <c r="AP309" s="500"/>
      <c r="AQ309" s="500"/>
      <c r="AR309" s="500"/>
      <c r="AS309" s="500"/>
      <c r="AT309" s="500"/>
      <c r="AU309" s="500"/>
      <c r="AV309" s="500"/>
      <c r="AW309" s="500"/>
      <c r="AX309" s="500"/>
      <c r="AY309" s="500"/>
      <c r="AZ309" s="500"/>
      <c r="BA309" s="500"/>
      <c r="BB309" s="500"/>
      <c r="BC309" s="500"/>
      <c r="BD309" s="500"/>
      <c r="BE309" s="500"/>
      <c r="BF309" s="500"/>
      <c r="BG309" s="500"/>
      <c r="BH309" s="500"/>
      <c r="BI309" s="500"/>
      <c r="BJ309" s="500"/>
      <c r="BK309" s="500"/>
      <c r="BL309" s="500"/>
      <c r="BM309" s="500"/>
      <c r="BN309" s="500"/>
      <c r="BO309" s="500"/>
      <c r="BP309" s="500"/>
      <c r="BQ309" s="500"/>
      <c r="BR309" s="500"/>
      <c r="BS309" s="500"/>
      <c r="BT309" s="500"/>
      <c r="BU309" s="500"/>
      <c r="BV309" s="500"/>
    </row>
    <row r="310" ht="14.25" customHeight="1">
      <c r="A310" s="8"/>
      <c r="B310" s="500"/>
      <c r="C310" s="500"/>
      <c r="D310" s="500"/>
      <c r="E310" s="500"/>
      <c r="F310" s="500"/>
      <c r="G310" s="500"/>
      <c r="H310" s="500"/>
      <c r="I310" s="500"/>
      <c r="J310" s="500"/>
      <c r="K310" s="500"/>
      <c r="L310" s="500"/>
      <c r="M310" s="500"/>
      <c r="N310" s="500"/>
      <c r="O310" s="500"/>
      <c r="P310" s="500"/>
      <c r="Q310" s="500"/>
      <c r="R310" s="500"/>
      <c r="S310" s="500"/>
      <c r="T310" s="500"/>
      <c r="U310" s="500"/>
      <c r="V310" s="500"/>
      <c r="W310" s="500"/>
      <c r="X310" s="500"/>
      <c r="Y310" s="500"/>
      <c r="Z310" s="501"/>
      <c r="AA310" s="501"/>
      <c r="AB310" s="501"/>
      <c r="AC310" s="501"/>
      <c r="AD310" s="500"/>
      <c r="AE310" s="500"/>
      <c r="AF310" s="503"/>
      <c r="AG310" s="503"/>
      <c r="AH310" s="504"/>
      <c r="AI310" s="500"/>
      <c r="AJ310" s="500"/>
      <c r="AK310" s="500"/>
      <c r="AL310" s="500"/>
      <c r="AM310" s="500"/>
      <c r="AN310" s="500"/>
      <c r="AO310" s="500"/>
      <c r="AP310" s="500"/>
      <c r="AQ310" s="500"/>
      <c r="AR310" s="500"/>
      <c r="AS310" s="500"/>
      <c r="AT310" s="500"/>
      <c r="AU310" s="500"/>
      <c r="AV310" s="500"/>
      <c r="AW310" s="500"/>
      <c r="AX310" s="500"/>
      <c r="AY310" s="500"/>
      <c r="AZ310" s="500"/>
      <c r="BA310" s="500"/>
      <c r="BB310" s="500"/>
      <c r="BC310" s="500"/>
      <c r="BD310" s="500"/>
      <c r="BE310" s="500"/>
      <c r="BF310" s="500"/>
      <c r="BG310" s="500"/>
      <c r="BH310" s="500"/>
      <c r="BI310" s="500"/>
      <c r="BJ310" s="500"/>
      <c r="BK310" s="500"/>
      <c r="BL310" s="500"/>
      <c r="BM310" s="500"/>
      <c r="BN310" s="500"/>
      <c r="BO310" s="500"/>
      <c r="BP310" s="500"/>
      <c r="BQ310" s="500"/>
      <c r="BR310" s="500"/>
      <c r="BS310" s="500"/>
      <c r="BT310" s="500"/>
      <c r="BU310" s="500"/>
      <c r="BV310" s="500"/>
    </row>
    <row r="311" ht="14.25" customHeight="1">
      <c r="A311" s="8"/>
      <c r="B311" s="500"/>
      <c r="C311" s="500"/>
      <c r="D311" s="500"/>
      <c r="E311" s="500"/>
      <c r="F311" s="500"/>
      <c r="G311" s="500"/>
      <c r="H311" s="500"/>
      <c r="I311" s="500"/>
      <c r="J311" s="500"/>
      <c r="K311" s="500"/>
      <c r="L311" s="500"/>
      <c r="M311" s="500"/>
      <c r="N311" s="500"/>
      <c r="O311" s="500"/>
      <c r="P311" s="500"/>
      <c r="Q311" s="500"/>
      <c r="R311" s="500"/>
      <c r="S311" s="500"/>
      <c r="T311" s="500"/>
      <c r="U311" s="500"/>
      <c r="V311" s="500"/>
      <c r="W311" s="500"/>
      <c r="X311" s="500"/>
      <c r="Y311" s="500"/>
      <c r="Z311" s="501"/>
      <c r="AA311" s="501"/>
      <c r="AB311" s="501"/>
      <c r="AC311" s="501"/>
      <c r="AD311" s="500"/>
      <c r="AE311" s="500"/>
      <c r="AF311" s="503"/>
      <c r="AG311" s="503"/>
      <c r="AH311" s="504"/>
      <c r="AI311" s="500"/>
      <c r="AJ311" s="500"/>
      <c r="AK311" s="500"/>
      <c r="AL311" s="500"/>
      <c r="AM311" s="500"/>
      <c r="AN311" s="500"/>
      <c r="AO311" s="500"/>
      <c r="AP311" s="500"/>
      <c r="AQ311" s="500"/>
      <c r="AR311" s="500"/>
      <c r="AS311" s="500"/>
      <c r="AT311" s="500"/>
      <c r="AU311" s="500"/>
      <c r="AV311" s="500"/>
      <c r="AW311" s="500"/>
      <c r="AX311" s="500"/>
      <c r="AY311" s="500"/>
      <c r="AZ311" s="500"/>
      <c r="BA311" s="500"/>
      <c r="BB311" s="500"/>
      <c r="BC311" s="500"/>
      <c r="BD311" s="500"/>
      <c r="BE311" s="500"/>
      <c r="BF311" s="500"/>
      <c r="BG311" s="500"/>
      <c r="BH311" s="500"/>
      <c r="BI311" s="500"/>
      <c r="BJ311" s="500"/>
      <c r="BK311" s="500"/>
      <c r="BL311" s="500"/>
      <c r="BM311" s="500"/>
      <c r="BN311" s="500"/>
      <c r="BO311" s="500"/>
      <c r="BP311" s="500"/>
      <c r="BQ311" s="500"/>
      <c r="BR311" s="500"/>
      <c r="BS311" s="500"/>
      <c r="BT311" s="500"/>
      <c r="BU311" s="500"/>
      <c r="BV311" s="500"/>
    </row>
    <row r="312" ht="14.25" customHeight="1">
      <c r="A312" s="8"/>
      <c r="B312" s="500"/>
      <c r="C312" s="500"/>
      <c r="D312" s="500"/>
      <c r="E312" s="500"/>
      <c r="F312" s="500"/>
      <c r="G312" s="500"/>
      <c r="H312" s="500"/>
      <c r="I312" s="500"/>
      <c r="J312" s="500"/>
      <c r="K312" s="500"/>
      <c r="L312" s="500"/>
      <c r="M312" s="500"/>
      <c r="N312" s="500"/>
      <c r="O312" s="500"/>
      <c r="P312" s="500"/>
      <c r="Q312" s="500"/>
      <c r="R312" s="500"/>
      <c r="S312" s="500"/>
      <c r="T312" s="500"/>
      <c r="U312" s="500"/>
      <c r="V312" s="500"/>
      <c r="W312" s="500"/>
      <c r="X312" s="500"/>
      <c r="Y312" s="500"/>
      <c r="Z312" s="501"/>
      <c r="AA312" s="501"/>
      <c r="AB312" s="501"/>
      <c r="AC312" s="501"/>
      <c r="AD312" s="500"/>
      <c r="AE312" s="500"/>
      <c r="AF312" s="503"/>
      <c r="AG312" s="503"/>
      <c r="AH312" s="504"/>
      <c r="AI312" s="500"/>
      <c r="AJ312" s="500"/>
      <c r="AK312" s="500"/>
      <c r="AL312" s="500"/>
      <c r="AM312" s="500"/>
      <c r="AN312" s="500"/>
      <c r="AO312" s="500"/>
      <c r="AP312" s="500"/>
      <c r="AQ312" s="500"/>
      <c r="AR312" s="500"/>
      <c r="AS312" s="500"/>
      <c r="AT312" s="500"/>
      <c r="AU312" s="500"/>
      <c r="AV312" s="500"/>
      <c r="AW312" s="500"/>
      <c r="AX312" s="500"/>
      <c r="AY312" s="500"/>
      <c r="AZ312" s="500"/>
      <c r="BA312" s="500"/>
      <c r="BB312" s="500"/>
      <c r="BC312" s="500"/>
      <c r="BD312" s="500"/>
      <c r="BE312" s="500"/>
      <c r="BF312" s="500"/>
      <c r="BG312" s="500"/>
      <c r="BH312" s="500"/>
      <c r="BI312" s="500"/>
      <c r="BJ312" s="500"/>
      <c r="BK312" s="500"/>
      <c r="BL312" s="500"/>
      <c r="BM312" s="500"/>
      <c r="BN312" s="500"/>
      <c r="BO312" s="500"/>
      <c r="BP312" s="500"/>
      <c r="BQ312" s="500"/>
      <c r="BR312" s="500"/>
      <c r="BS312" s="500"/>
      <c r="BT312" s="500"/>
      <c r="BU312" s="500"/>
      <c r="BV312" s="500"/>
    </row>
    <row r="313" ht="14.25" customHeight="1">
      <c r="A313" s="8"/>
      <c r="B313" s="500"/>
      <c r="C313" s="500"/>
      <c r="D313" s="500"/>
      <c r="E313" s="500"/>
      <c r="F313" s="500"/>
      <c r="G313" s="500"/>
      <c r="H313" s="500"/>
      <c r="I313" s="500"/>
      <c r="J313" s="500"/>
      <c r="K313" s="500"/>
      <c r="L313" s="500"/>
      <c r="M313" s="500"/>
      <c r="N313" s="500"/>
      <c r="O313" s="500"/>
      <c r="P313" s="500"/>
      <c r="Q313" s="500"/>
      <c r="R313" s="500"/>
      <c r="S313" s="500"/>
      <c r="T313" s="500"/>
      <c r="U313" s="500"/>
      <c r="V313" s="500"/>
      <c r="W313" s="500"/>
      <c r="X313" s="500"/>
      <c r="Y313" s="500"/>
      <c r="Z313" s="501"/>
      <c r="AA313" s="501"/>
      <c r="AB313" s="501"/>
      <c r="AC313" s="501"/>
      <c r="AD313" s="500"/>
      <c r="AE313" s="500"/>
      <c r="AF313" s="503"/>
      <c r="AG313" s="503"/>
      <c r="AH313" s="504"/>
      <c r="AI313" s="500"/>
      <c r="AJ313" s="500"/>
      <c r="AK313" s="500"/>
      <c r="AL313" s="500"/>
      <c r="AM313" s="500"/>
      <c r="AN313" s="500"/>
      <c r="AO313" s="500"/>
      <c r="AP313" s="500"/>
      <c r="AQ313" s="500"/>
      <c r="AR313" s="500"/>
      <c r="AS313" s="500"/>
      <c r="AT313" s="500"/>
      <c r="AU313" s="500"/>
      <c r="AV313" s="500"/>
      <c r="AW313" s="500"/>
      <c r="AX313" s="500"/>
      <c r="AY313" s="500"/>
      <c r="AZ313" s="500"/>
      <c r="BA313" s="500"/>
      <c r="BB313" s="500"/>
      <c r="BC313" s="500"/>
      <c r="BD313" s="500"/>
      <c r="BE313" s="500"/>
      <c r="BF313" s="500"/>
      <c r="BG313" s="500"/>
      <c r="BH313" s="500"/>
      <c r="BI313" s="500"/>
      <c r="BJ313" s="500"/>
      <c r="BK313" s="500"/>
      <c r="BL313" s="500"/>
      <c r="BM313" s="500"/>
      <c r="BN313" s="500"/>
      <c r="BO313" s="500"/>
      <c r="BP313" s="500"/>
      <c r="BQ313" s="500"/>
      <c r="BR313" s="500"/>
      <c r="BS313" s="500"/>
      <c r="BT313" s="500"/>
      <c r="BU313" s="500"/>
      <c r="BV313" s="500"/>
    </row>
    <row r="314" ht="14.25" customHeight="1">
      <c r="A314" s="8"/>
      <c r="B314" s="500"/>
      <c r="C314" s="500"/>
      <c r="D314" s="500"/>
      <c r="E314" s="500"/>
      <c r="F314" s="500"/>
      <c r="G314" s="500"/>
      <c r="H314" s="500"/>
      <c r="I314" s="500"/>
      <c r="J314" s="500"/>
      <c r="K314" s="500"/>
      <c r="L314" s="500"/>
      <c r="M314" s="500"/>
      <c r="N314" s="500"/>
      <c r="O314" s="500"/>
      <c r="P314" s="500"/>
      <c r="Q314" s="500"/>
      <c r="R314" s="500"/>
      <c r="S314" s="500"/>
      <c r="T314" s="500"/>
      <c r="U314" s="500"/>
      <c r="V314" s="500"/>
      <c r="W314" s="500"/>
      <c r="X314" s="500"/>
      <c r="Y314" s="500"/>
      <c r="Z314" s="501"/>
      <c r="AA314" s="501"/>
      <c r="AB314" s="501"/>
      <c r="AC314" s="501"/>
      <c r="AD314" s="500"/>
      <c r="AE314" s="500"/>
      <c r="AF314" s="503"/>
      <c r="AG314" s="503"/>
      <c r="AH314" s="504"/>
      <c r="AI314" s="500"/>
      <c r="AJ314" s="500"/>
      <c r="AK314" s="500"/>
      <c r="AL314" s="500"/>
      <c r="AM314" s="500"/>
      <c r="AN314" s="500"/>
      <c r="AO314" s="500"/>
      <c r="AP314" s="500"/>
      <c r="AQ314" s="500"/>
      <c r="AR314" s="500"/>
      <c r="AS314" s="500"/>
      <c r="AT314" s="500"/>
      <c r="AU314" s="500"/>
      <c r="AV314" s="500"/>
      <c r="AW314" s="500"/>
      <c r="AX314" s="500"/>
      <c r="AY314" s="500"/>
      <c r="AZ314" s="500"/>
      <c r="BA314" s="500"/>
      <c r="BB314" s="500"/>
      <c r="BC314" s="500"/>
      <c r="BD314" s="500"/>
      <c r="BE314" s="500"/>
      <c r="BF314" s="500"/>
      <c r="BG314" s="500"/>
      <c r="BH314" s="500"/>
      <c r="BI314" s="500"/>
      <c r="BJ314" s="500"/>
      <c r="BK314" s="500"/>
      <c r="BL314" s="500"/>
      <c r="BM314" s="500"/>
      <c r="BN314" s="500"/>
      <c r="BO314" s="500"/>
      <c r="BP314" s="500"/>
      <c r="BQ314" s="500"/>
      <c r="BR314" s="500"/>
      <c r="BS314" s="500"/>
      <c r="BT314" s="500"/>
      <c r="BU314" s="500"/>
      <c r="BV314" s="500"/>
    </row>
    <row r="315" ht="14.25" customHeight="1">
      <c r="A315" s="8"/>
      <c r="B315" s="500"/>
      <c r="C315" s="500"/>
      <c r="D315" s="500"/>
      <c r="E315" s="500"/>
      <c r="F315" s="500"/>
      <c r="G315" s="500"/>
      <c r="H315" s="500"/>
      <c r="I315" s="500"/>
      <c r="J315" s="500"/>
      <c r="K315" s="500"/>
      <c r="L315" s="500"/>
      <c r="M315" s="500"/>
      <c r="N315" s="500"/>
      <c r="O315" s="500"/>
      <c r="P315" s="500"/>
      <c r="Q315" s="500"/>
      <c r="R315" s="500"/>
      <c r="S315" s="500"/>
      <c r="T315" s="500"/>
      <c r="U315" s="500"/>
      <c r="V315" s="500"/>
      <c r="W315" s="500"/>
      <c r="X315" s="500"/>
      <c r="Y315" s="500"/>
      <c r="Z315" s="501"/>
      <c r="AA315" s="501"/>
      <c r="AB315" s="501"/>
      <c r="AC315" s="501"/>
      <c r="AD315" s="500"/>
      <c r="AE315" s="500"/>
      <c r="AF315" s="503"/>
      <c r="AG315" s="503"/>
      <c r="AH315" s="504"/>
      <c r="AI315" s="500"/>
      <c r="AJ315" s="500"/>
      <c r="AK315" s="500"/>
      <c r="AL315" s="500"/>
      <c r="AM315" s="500"/>
      <c r="AN315" s="500"/>
      <c r="AO315" s="500"/>
      <c r="AP315" s="500"/>
      <c r="AQ315" s="500"/>
      <c r="AR315" s="500"/>
      <c r="AS315" s="500"/>
      <c r="AT315" s="500"/>
      <c r="AU315" s="500"/>
      <c r="AV315" s="500"/>
      <c r="AW315" s="500"/>
      <c r="AX315" s="500"/>
      <c r="AY315" s="500"/>
      <c r="AZ315" s="500"/>
      <c r="BA315" s="500"/>
      <c r="BB315" s="500"/>
      <c r="BC315" s="500"/>
      <c r="BD315" s="500"/>
      <c r="BE315" s="500"/>
      <c r="BF315" s="500"/>
      <c r="BG315" s="500"/>
      <c r="BH315" s="500"/>
      <c r="BI315" s="500"/>
      <c r="BJ315" s="500"/>
      <c r="BK315" s="500"/>
      <c r="BL315" s="500"/>
      <c r="BM315" s="500"/>
      <c r="BN315" s="500"/>
      <c r="BO315" s="500"/>
      <c r="BP315" s="500"/>
      <c r="BQ315" s="500"/>
      <c r="BR315" s="500"/>
      <c r="BS315" s="500"/>
      <c r="BT315" s="500"/>
      <c r="BU315" s="500"/>
      <c r="BV315" s="500"/>
    </row>
    <row r="316" ht="14.25" customHeight="1">
      <c r="A316" s="8"/>
      <c r="B316" s="500"/>
      <c r="C316" s="500"/>
      <c r="D316" s="500"/>
      <c r="E316" s="500"/>
      <c r="F316" s="500"/>
      <c r="G316" s="500"/>
      <c r="H316" s="500"/>
      <c r="I316" s="500"/>
      <c r="J316" s="500"/>
      <c r="K316" s="500"/>
      <c r="L316" s="500"/>
      <c r="M316" s="500"/>
      <c r="N316" s="500"/>
      <c r="O316" s="500"/>
      <c r="P316" s="500"/>
      <c r="Q316" s="500"/>
      <c r="R316" s="500"/>
      <c r="S316" s="500"/>
      <c r="T316" s="500"/>
      <c r="U316" s="500"/>
      <c r="V316" s="500"/>
      <c r="W316" s="500"/>
      <c r="X316" s="500"/>
      <c r="Y316" s="500"/>
      <c r="Z316" s="501"/>
      <c r="AA316" s="501"/>
      <c r="AB316" s="501"/>
      <c r="AC316" s="501"/>
      <c r="AD316" s="500"/>
      <c r="AE316" s="500"/>
      <c r="AF316" s="503"/>
      <c r="AG316" s="503"/>
      <c r="AH316" s="504"/>
      <c r="AI316" s="500"/>
      <c r="AJ316" s="500"/>
      <c r="AK316" s="500"/>
      <c r="AL316" s="500"/>
      <c r="AM316" s="500"/>
      <c r="AN316" s="500"/>
      <c r="AO316" s="500"/>
      <c r="AP316" s="500"/>
      <c r="AQ316" s="500"/>
      <c r="AR316" s="500"/>
      <c r="AS316" s="500"/>
      <c r="AT316" s="500"/>
      <c r="AU316" s="500"/>
      <c r="AV316" s="500"/>
      <c r="AW316" s="500"/>
      <c r="AX316" s="500"/>
      <c r="AY316" s="500"/>
      <c r="AZ316" s="500"/>
      <c r="BA316" s="500"/>
      <c r="BB316" s="500"/>
      <c r="BC316" s="500"/>
      <c r="BD316" s="500"/>
      <c r="BE316" s="500"/>
      <c r="BF316" s="500"/>
      <c r="BG316" s="500"/>
      <c r="BH316" s="500"/>
      <c r="BI316" s="500"/>
      <c r="BJ316" s="500"/>
      <c r="BK316" s="500"/>
      <c r="BL316" s="500"/>
      <c r="BM316" s="500"/>
      <c r="BN316" s="500"/>
      <c r="BO316" s="500"/>
      <c r="BP316" s="500"/>
      <c r="BQ316" s="500"/>
      <c r="BR316" s="500"/>
      <c r="BS316" s="500"/>
      <c r="BT316" s="500"/>
      <c r="BU316" s="500"/>
      <c r="BV316" s="500"/>
    </row>
    <row r="317" ht="14.25" customHeight="1">
      <c r="A317" s="8"/>
      <c r="B317" s="500"/>
      <c r="C317" s="500"/>
      <c r="D317" s="500"/>
      <c r="E317" s="500"/>
      <c r="F317" s="500"/>
      <c r="G317" s="500"/>
      <c r="H317" s="500"/>
      <c r="I317" s="500"/>
      <c r="J317" s="500"/>
      <c r="K317" s="500"/>
      <c r="L317" s="500"/>
      <c r="M317" s="500"/>
      <c r="N317" s="500"/>
      <c r="O317" s="500"/>
      <c r="P317" s="500"/>
      <c r="Q317" s="500"/>
      <c r="R317" s="500"/>
      <c r="S317" s="500"/>
      <c r="T317" s="500"/>
      <c r="U317" s="500"/>
      <c r="V317" s="500"/>
      <c r="W317" s="500"/>
      <c r="X317" s="500"/>
      <c r="Y317" s="500"/>
      <c r="Z317" s="501"/>
      <c r="AA317" s="501"/>
      <c r="AB317" s="501"/>
      <c r="AC317" s="501"/>
      <c r="AD317" s="500"/>
      <c r="AE317" s="500"/>
      <c r="AF317" s="503"/>
      <c r="AG317" s="503"/>
      <c r="AH317" s="504"/>
      <c r="AI317" s="500"/>
      <c r="AJ317" s="500"/>
      <c r="AK317" s="500"/>
      <c r="AL317" s="500"/>
      <c r="AM317" s="500"/>
      <c r="AN317" s="500"/>
      <c r="AO317" s="500"/>
      <c r="AP317" s="500"/>
      <c r="AQ317" s="500"/>
      <c r="AR317" s="500"/>
      <c r="AS317" s="500"/>
      <c r="AT317" s="500"/>
      <c r="AU317" s="500"/>
      <c r="AV317" s="500"/>
      <c r="AW317" s="500"/>
      <c r="AX317" s="500"/>
      <c r="AY317" s="500"/>
      <c r="AZ317" s="500"/>
      <c r="BA317" s="500"/>
      <c r="BB317" s="500"/>
      <c r="BC317" s="500"/>
      <c r="BD317" s="500"/>
      <c r="BE317" s="500"/>
      <c r="BF317" s="500"/>
      <c r="BG317" s="500"/>
      <c r="BH317" s="500"/>
      <c r="BI317" s="500"/>
      <c r="BJ317" s="500"/>
      <c r="BK317" s="500"/>
      <c r="BL317" s="500"/>
      <c r="BM317" s="500"/>
      <c r="BN317" s="500"/>
      <c r="BO317" s="500"/>
      <c r="BP317" s="500"/>
      <c r="BQ317" s="500"/>
      <c r="BR317" s="500"/>
      <c r="BS317" s="500"/>
      <c r="BT317" s="500"/>
      <c r="BU317" s="500"/>
      <c r="BV317" s="500"/>
    </row>
    <row r="318" ht="14.25" customHeight="1">
      <c r="A318" s="8"/>
      <c r="B318" s="500"/>
      <c r="C318" s="500"/>
      <c r="D318" s="500"/>
      <c r="E318" s="500"/>
      <c r="F318" s="500"/>
      <c r="G318" s="500"/>
      <c r="H318" s="500"/>
      <c r="I318" s="500"/>
      <c r="J318" s="500"/>
      <c r="K318" s="500"/>
      <c r="L318" s="500"/>
      <c r="M318" s="500"/>
      <c r="N318" s="500"/>
      <c r="O318" s="500"/>
      <c r="P318" s="500"/>
      <c r="Q318" s="500"/>
      <c r="R318" s="500"/>
      <c r="S318" s="500"/>
      <c r="T318" s="500"/>
      <c r="U318" s="500"/>
      <c r="V318" s="500"/>
      <c r="W318" s="500"/>
      <c r="X318" s="500"/>
      <c r="Y318" s="500"/>
      <c r="Z318" s="501"/>
      <c r="AA318" s="501"/>
      <c r="AB318" s="501"/>
      <c r="AC318" s="501"/>
      <c r="AD318" s="500"/>
      <c r="AE318" s="500"/>
      <c r="AF318" s="503"/>
      <c r="AG318" s="503"/>
      <c r="AH318" s="504"/>
      <c r="AI318" s="500"/>
      <c r="AJ318" s="500"/>
      <c r="AK318" s="500"/>
      <c r="AL318" s="500"/>
      <c r="AM318" s="500"/>
      <c r="AN318" s="500"/>
      <c r="AO318" s="500"/>
      <c r="AP318" s="500"/>
      <c r="AQ318" s="500"/>
      <c r="AR318" s="500"/>
      <c r="AS318" s="500"/>
      <c r="AT318" s="500"/>
      <c r="AU318" s="500"/>
      <c r="AV318" s="500"/>
      <c r="AW318" s="500"/>
      <c r="AX318" s="500"/>
      <c r="AY318" s="500"/>
      <c r="AZ318" s="500"/>
      <c r="BA318" s="500"/>
      <c r="BB318" s="500"/>
      <c r="BC318" s="500"/>
      <c r="BD318" s="500"/>
      <c r="BE318" s="500"/>
      <c r="BF318" s="500"/>
      <c r="BG318" s="500"/>
      <c r="BH318" s="500"/>
      <c r="BI318" s="500"/>
      <c r="BJ318" s="500"/>
      <c r="BK318" s="500"/>
      <c r="BL318" s="500"/>
      <c r="BM318" s="500"/>
      <c r="BN318" s="500"/>
      <c r="BO318" s="500"/>
      <c r="BP318" s="500"/>
      <c r="BQ318" s="500"/>
      <c r="BR318" s="500"/>
      <c r="BS318" s="500"/>
      <c r="BT318" s="500"/>
      <c r="BU318" s="500"/>
      <c r="BV318" s="500"/>
    </row>
    <row r="319" ht="14.25" customHeight="1">
      <c r="A319" s="8"/>
      <c r="B319" s="500"/>
      <c r="C319" s="500"/>
      <c r="D319" s="500"/>
      <c r="E319" s="500"/>
      <c r="F319" s="500"/>
      <c r="G319" s="500"/>
      <c r="H319" s="500"/>
      <c r="I319" s="500"/>
      <c r="J319" s="500"/>
      <c r="K319" s="500"/>
      <c r="L319" s="500"/>
      <c r="M319" s="500"/>
      <c r="N319" s="500"/>
      <c r="O319" s="500"/>
      <c r="P319" s="500"/>
      <c r="Q319" s="500"/>
      <c r="R319" s="500"/>
      <c r="S319" s="500"/>
      <c r="T319" s="500"/>
      <c r="U319" s="500"/>
      <c r="V319" s="500"/>
      <c r="W319" s="500"/>
      <c r="X319" s="500"/>
      <c r="Y319" s="500"/>
      <c r="Z319" s="501"/>
      <c r="AA319" s="501"/>
      <c r="AB319" s="501"/>
      <c r="AC319" s="501"/>
      <c r="AD319" s="500"/>
      <c r="AE319" s="500"/>
      <c r="AF319" s="503"/>
      <c r="AG319" s="503"/>
      <c r="AH319" s="504"/>
      <c r="AI319" s="500"/>
      <c r="AJ319" s="500"/>
      <c r="AK319" s="500"/>
      <c r="AL319" s="500"/>
      <c r="AM319" s="500"/>
      <c r="AN319" s="500"/>
      <c r="AO319" s="500"/>
      <c r="AP319" s="500"/>
      <c r="AQ319" s="500"/>
      <c r="AR319" s="500"/>
      <c r="AS319" s="500"/>
      <c r="AT319" s="500"/>
      <c r="AU319" s="500"/>
      <c r="AV319" s="500"/>
      <c r="AW319" s="500"/>
      <c r="AX319" s="500"/>
      <c r="AY319" s="500"/>
      <c r="AZ319" s="500"/>
      <c r="BA319" s="500"/>
      <c r="BB319" s="500"/>
      <c r="BC319" s="500"/>
      <c r="BD319" s="500"/>
      <c r="BE319" s="500"/>
      <c r="BF319" s="500"/>
      <c r="BG319" s="500"/>
      <c r="BH319" s="500"/>
      <c r="BI319" s="500"/>
      <c r="BJ319" s="500"/>
      <c r="BK319" s="500"/>
      <c r="BL319" s="500"/>
      <c r="BM319" s="500"/>
      <c r="BN319" s="500"/>
      <c r="BO319" s="500"/>
      <c r="BP319" s="500"/>
      <c r="BQ319" s="500"/>
      <c r="BR319" s="500"/>
      <c r="BS319" s="500"/>
      <c r="BT319" s="500"/>
      <c r="BU319" s="500"/>
      <c r="BV319" s="500"/>
    </row>
    <row r="320" ht="14.25" customHeight="1">
      <c r="A320" s="8"/>
      <c r="B320" s="500"/>
      <c r="C320" s="500"/>
      <c r="D320" s="500"/>
      <c r="E320" s="500"/>
      <c r="F320" s="500"/>
      <c r="G320" s="500"/>
      <c r="H320" s="500"/>
      <c r="I320" s="500"/>
      <c r="J320" s="500"/>
      <c r="K320" s="500"/>
      <c r="L320" s="500"/>
      <c r="M320" s="500"/>
      <c r="N320" s="500"/>
      <c r="O320" s="500"/>
      <c r="P320" s="500"/>
      <c r="Q320" s="500"/>
      <c r="R320" s="500"/>
      <c r="S320" s="500"/>
      <c r="T320" s="500"/>
      <c r="U320" s="500"/>
      <c r="V320" s="500"/>
      <c r="W320" s="500"/>
      <c r="X320" s="500"/>
      <c r="Y320" s="500"/>
      <c r="Z320" s="501"/>
      <c r="AA320" s="501"/>
      <c r="AB320" s="501"/>
      <c r="AC320" s="501"/>
      <c r="AD320" s="500"/>
      <c r="AE320" s="500"/>
      <c r="AF320" s="503"/>
      <c r="AG320" s="503"/>
      <c r="AH320" s="504"/>
      <c r="AI320" s="500"/>
      <c r="AJ320" s="500"/>
      <c r="AK320" s="500"/>
      <c r="AL320" s="500"/>
      <c r="AM320" s="500"/>
      <c r="AN320" s="500"/>
      <c r="AO320" s="500"/>
      <c r="AP320" s="500"/>
      <c r="AQ320" s="500"/>
      <c r="AR320" s="500"/>
      <c r="AS320" s="500"/>
      <c r="AT320" s="500"/>
      <c r="AU320" s="500"/>
      <c r="AV320" s="500"/>
      <c r="AW320" s="500"/>
      <c r="AX320" s="500"/>
      <c r="AY320" s="500"/>
      <c r="AZ320" s="500"/>
      <c r="BA320" s="500"/>
      <c r="BB320" s="500"/>
      <c r="BC320" s="500"/>
      <c r="BD320" s="500"/>
      <c r="BE320" s="500"/>
      <c r="BF320" s="500"/>
      <c r="BG320" s="500"/>
      <c r="BH320" s="500"/>
      <c r="BI320" s="500"/>
      <c r="BJ320" s="500"/>
      <c r="BK320" s="500"/>
      <c r="BL320" s="500"/>
      <c r="BM320" s="500"/>
      <c r="BN320" s="500"/>
      <c r="BO320" s="500"/>
      <c r="BP320" s="500"/>
      <c r="BQ320" s="500"/>
      <c r="BR320" s="500"/>
      <c r="BS320" s="500"/>
      <c r="BT320" s="500"/>
      <c r="BU320" s="500"/>
      <c r="BV320" s="500"/>
    </row>
    <row r="321" ht="14.25" customHeight="1">
      <c r="A321" s="8"/>
      <c r="B321" s="500"/>
      <c r="C321" s="500"/>
      <c r="D321" s="500"/>
      <c r="E321" s="500"/>
      <c r="F321" s="500"/>
      <c r="G321" s="500"/>
      <c r="H321" s="500"/>
      <c r="I321" s="500"/>
      <c r="J321" s="500"/>
      <c r="K321" s="500"/>
      <c r="L321" s="500"/>
      <c r="M321" s="500"/>
      <c r="N321" s="500"/>
      <c r="O321" s="500"/>
      <c r="P321" s="500"/>
      <c r="Q321" s="500"/>
      <c r="R321" s="500"/>
      <c r="S321" s="500"/>
      <c r="T321" s="500"/>
      <c r="U321" s="500"/>
      <c r="V321" s="500"/>
      <c r="W321" s="500"/>
      <c r="X321" s="500"/>
      <c r="Y321" s="500"/>
      <c r="Z321" s="501"/>
      <c r="AA321" s="501"/>
      <c r="AB321" s="501"/>
      <c r="AC321" s="501"/>
      <c r="AD321" s="500"/>
      <c r="AE321" s="500"/>
      <c r="AF321" s="503"/>
      <c r="AG321" s="503"/>
      <c r="AH321" s="504"/>
      <c r="AI321" s="500"/>
      <c r="AJ321" s="500"/>
      <c r="AK321" s="500"/>
      <c r="AL321" s="500"/>
      <c r="AM321" s="500"/>
      <c r="AN321" s="500"/>
      <c r="AO321" s="500"/>
      <c r="AP321" s="500"/>
      <c r="AQ321" s="500"/>
      <c r="AR321" s="500"/>
      <c r="AS321" s="500"/>
      <c r="AT321" s="500"/>
      <c r="AU321" s="500"/>
      <c r="AV321" s="500"/>
      <c r="AW321" s="500"/>
      <c r="AX321" s="500"/>
      <c r="AY321" s="500"/>
      <c r="AZ321" s="500"/>
      <c r="BA321" s="500"/>
      <c r="BB321" s="500"/>
      <c r="BC321" s="500"/>
      <c r="BD321" s="500"/>
      <c r="BE321" s="500"/>
      <c r="BF321" s="500"/>
      <c r="BG321" s="500"/>
      <c r="BH321" s="500"/>
      <c r="BI321" s="500"/>
      <c r="BJ321" s="500"/>
      <c r="BK321" s="500"/>
      <c r="BL321" s="500"/>
      <c r="BM321" s="500"/>
      <c r="BN321" s="500"/>
      <c r="BO321" s="500"/>
      <c r="BP321" s="500"/>
      <c r="BQ321" s="500"/>
      <c r="BR321" s="500"/>
      <c r="BS321" s="500"/>
      <c r="BT321" s="500"/>
      <c r="BU321" s="500"/>
      <c r="BV321" s="500"/>
    </row>
    <row r="322" ht="14.25" customHeight="1">
      <c r="A322" s="8"/>
      <c r="B322" s="500"/>
      <c r="C322" s="500"/>
      <c r="D322" s="500"/>
      <c r="E322" s="500"/>
      <c r="F322" s="500"/>
      <c r="G322" s="500"/>
      <c r="H322" s="500"/>
      <c r="I322" s="500"/>
      <c r="J322" s="500"/>
      <c r="K322" s="500"/>
      <c r="L322" s="500"/>
      <c r="M322" s="500"/>
      <c r="N322" s="500"/>
      <c r="O322" s="500"/>
      <c r="P322" s="500"/>
      <c r="Q322" s="500"/>
      <c r="R322" s="500"/>
      <c r="S322" s="500"/>
      <c r="T322" s="500"/>
      <c r="U322" s="500"/>
      <c r="V322" s="500"/>
      <c r="W322" s="500"/>
      <c r="X322" s="500"/>
      <c r="Y322" s="500"/>
      <c r="Z322" s="501"/>
      <c r="AA322" s="501"/>
      <c r="AB322" s="501"/>
      <c r="AC322" s="501"/>
      <c r="AD322" s="500"/>
      <c r="AE322" s="500"/>
      <c r="AF322" s="503"/>
      <c r="AG322" s="503"/>
      <c r="AH322" s="504"/>
      <c r="AI322" s="500"/>
      <c r="AJ322" s="500"/>
      <c r="AK322" s="500"/>
      <c r="AL322" s="500"/>
      <c r="AM322" s="500"/>
      <c r="AN322" s="500"/>
      <c r="AO322" s="500"/>
      <c r="AP322" s="500"/>
      <c r="AQ322" s="500"/>
      <c r="AR322" s="500"/>
      <c r="AS322" s="500"/>
      <c r="AT322" s="500"/>
      <c r="AU322" s="500"/>
      <c r="AV322" s="500"/>
      <c r="AW322" s="500"/>
      <c r="AX322" s="500"/>
      <c r="AY322" s="500"/>
      <c r="AZ322" s="500"/>
      <c r="BA322" s="500"/>
      <c r="BB322" s="500"/>
      <c r="BC322" s="500"/>
      <c r="BD322" s="500"/>
      <c r="BE322" s="500"/>
      <c r="BF322" s="500"/>
      <c r="BG322" s="500"/>
      <c r="BH322" s="500"/>
      <c r="BI322" s="500"/>
      <c r="BJ322" s="500"/>
      <c r="BK322" s="500"/>
      <c r="BL322" s="500"/>
      <c r="BM322" s="500"/>
      <c r="BN322" s="500"/>
      <c r="BO322" s="500"/>
      <c r="BP322" s="500"/>
      <c r="BQ322" s="500"/>
      <c r="BR322" s="500"/>
      <c r="BS322" s="500"/>
      <c r="BT322" s="500"/>
      <c r="BU322" s="500"/>
      <c r="BV322" s="500"/>
    </row>
    <row r="323" ht="14.25" customHeight="1">
      <c r="A323" s="8"/>
      <c r="B323" s="500"/>
      <c r="C323" s="500"/>
      <c r="D323" s="500"/>
      <c r="E323" s="500"/>
      <c r="F323" s="500"/>
      <c r="G323" s="500"/>
      <c r="H323" s="500"/>
      <c r="I323" s="500"/>
      <c r="J323" s="500"/>
      <c r="K323" s="500"/>
      <c r="L323" s="500"/>
      <c r="M323" s="500"/>
      <c r="N323" s="500"/>
      <c r="O323" s="500"/>
      <c r="P323" s="500"/>
      <c r="Q323" s="500"/>
      <c r="R323" s="500"/>
      <c r="S323" s="500"/>
      <c r="T323" s="500"/>
      <c r="U323" s="500"/>
      <c r="V323" s="500"/>
      <c r="W323" s="500"/>
      <c r="X323" s="500"/>
      <c r="Y323" s="500"/>
      <c r="Z323" s="501"/>
      <c r="AA323" s="501"/>
      <c r="AB323" s="501"/>
      <c r="AC323" s="501"/>
      <c r="AD323" s="500"/>
      <c r="AE323" s="500"/>
      <c r="AF323" s="503"/>
      <c r="AG323" s="503"/>
      <c r="AH323" s="504"/>
      <c r="AI323" s="500"/>
      <c r="AJ323" s="500"/>
      <c r="AK323" s="500"/>
      <c r="AL323" s="500"/>
      <c r="AM323" s="500"/>
      <c r="AN323" s="500"/>
      <c r="AO323" s="500"/>
      <c r="AP323" s="500"/>
      <c r="AQ323" s="500"/>
      <c r="AR323" s="500"/>
      <c r="AS323" s="500"/>
      <c r="AT323" s="500"/>
      <c r="AU323" s="500"/>
      <c r="AV323" s="500"/>
      <c r="AW323" s="500"/>
      <c r="AX323" s="500"/>
      <c r="AY323" s="500"/>
      <c r="AZ323" s="500"/>
      <c r="BA323" s="500"/>
      <c r="BB323" s="500"/>
      <c r="BC323" s="500"/>
      <c r="BD323" s="500"/>
      <c r="BE323" s="500"/>
      <c r="BF323" s="500"/>
      <c r="BG323" s="500"/>
      <c r="BH323" s="500"/>
      <c r="BI323" s="500"/>
      <c r="BJ323" s="500"/>
      <c r="BK323" s="500"/>
      <c r="BL323" s="500"/>
      <c r="BM323" s="500"/>
      <c r="BN323" s="500"/>
      <c r="BO323" s="500"/>
      <c r="BP323" s="500"/>
      <c r="BQ323" s="500"/>
      <c r="BR323" s="500"/>
      <c r="BS323" s="500"/>
      <c r="BT323" s="500"/>
      <c r="BU323" s="500"/>
      <c r="BV323" s="500"/>
    </row>
    <row r="324" ht="14.25" customHeight="1">
      <c r="A324" s="8"/>
      <c r="B324" s="500"/>
      <c r="C324" s="500"/>
      <c r="D324" s="500"/>
      <c r="E324" s="500"/>
      <c r="F324" s="500"/>
      <c r="G324" s="500"/>
      <c r="H324" s="500"/>
      <c r="I324" s="500"/>
      <c r="J324" s="500"/>
      <c r="K324" s="500"/>
      <c r="L324" s="500"/>
      <c r="M324" s="500"/>
      <c r="N324" s="500"/>
      <c r="O324" s="500"/>
      <c r="P324" s="500"/>
      <c r="Q324" s="500"/>
      <c r="R324" s="500"/>
      <c r="S324" s="500"/>
      <c r="T324" s="500"/>
      <c r="U324" s="500"/>
      <c r="V324" s="500"/>
      <c r="W324" s="500"/>
      <c r="X324" s="500"/>
      <c r="Y324" s="500"/>
      <c r="Z324" s="501"/>
      <c r="AA324" s="501"/>
      <c r="AB324" s="501"/>
      <c r="AC324" s="501"/>
      <c r="AD324" s="500"/>
      <c r="AE324" s="500"/>
      <c r="AF324" s="503"/>
      <c r="AG324" s="503"/>
      <c r="AH324" s="504"/>
      <c r="AI324" s="500"/>
      <c r="AJ324" s="500"/>
      <c r="AK324" s="500"/>
      <c r="AL324" s="500"/>
      <c r="AM324" s="500"/>
      <c r="AN324" s="500"/>
      <c r="AO324" s="500"/>
      <c r="AP324" s="500"/>
      <c r="AQ324" s="500"/>
      <c r="AR324" s="500"/>
      <c r="AS324" s="500"/>
      <c r="AT324" s="500"/>
      <c r="AU324" s="500"/>
      <c r="AV324" s="500"/>
      <c r="AW324" s="500"/>
      <c r="AX324" s="500"/>
      <c r="AY324" s="500"/>
      <c r="AZ324" s="500"/>
      <c r="BA324" s="500"/>
      <c r="BB324" s="500"/>
      <c r="BC324" s="500"/>
      <c r="BD324" s="500"/>
      <c r="BE324" s="500"/>
      <c r="BF324" s="500"/>
      <c r="BG324" s="500"/>
      <c r="BH324" s="500"/>
      <c r="BI324" s="500"/>
      <c r="BJ324" s="500"/>
      <c r="BK324" s="500"/>
      <c r="BL324" s="500"/>
      <c r="BM324" s="500"/>
      <c r="BN324" s="500"/>
      <c r="BO324" s="500"/>
      <c r="BP324" s="500"/>
      <c r="BQ324" s="500"/>
      <c r="BR324" s="500"/>
      <c r="BS324" s="500"/>
      <c r="BT324" s="500"/>
      <c r="BU324" s="500"/>
      <c r="BV324" s="500"/>
    </row>
    <row r="325" ht="14.25" customHeight="1">
      <c r="A325" s="8"/>
      <c r="B325" s="500"/>
      <c r="C325" s="500"/>
      <c r="D325" s="500"/>
      <c r="E325" s="500"/>
      <c r="F325" s="500"/>
      <c r="G325" s="500"/>
      <c r="H325" s="500"/>
      <c r="I325" s="500"/>
      <c r="J325" s="500"/>
      <c r="K325" s="500"/>
      <c r="L325" s="500"/>
      <c r="M325" s="500"/>
      <c r="N325" s="500"/>
      <c r="O325" s="500"/>
      <c r="P325" s="500"/>
      <c r="Q325" s="500"/>
      <c r="R325" s="500"/>
      <c r="S325" s="500"/>
      <c r="T325" s="500"/>
      <c r="U325" s="500"/>
      <c r="V325" s="500"/>
      <c r="W325" s="500"/>
      <c r="X325" s="500"/>
      <c r="Y325" s="500"/>
      <c r="Z325" s="501"/>
      <c r="AA325" s="501"/>
      <c r="AB325" s="501"/>
      <c r="AC325" s="501"/>
      <c r="AD325" s="500"/>
      <c r="AE325" s="500"/>
      <c r="AF325" s="503"/>
      <c r="AG325" s="503"/>
      <c r="AH325" s="504"/>
      <c r="AI325" s="500"/>
      <c r="AJ325" s="500"/>
      <c r="AK325" s="500"/>
      <c r="AL325" s="500"/>
      <c r="AM325" s="500"/>
      <c r="AN325" s="500"/>
      <c r="AO325" s="500"/>
      <c r="AP325" s="500"/>
      <c r="AQ325" s="500"/>
      <c r="AR325" s="500"/>
      <c r="AS325" s="500"/>
      <c r="AT325" s="500"/>
      <c r="AU325" s="500"/>
      <c r="AV325" s="500"/>
      <c r="AW325" s="500"/>
      <c r="AX325" s="500"/>
      <c r="AY325" s="500"/>
      <c r="AZ325" s="500"/>
      <c r="BA325" s="500"/>
      <c r="BB325" s="500"/>
      <c r="BC325" s="500"/>
      <c r="BD325" s="500"/>
      <c r="BE325" s="500"/>
      <c r="BF325" s="500"/>
      <c r="BG325" s="500"/>
      <c r="BH325" s="500"/>
      <c r="BI325" s="500"/>
      <c r="BJ325" s="500"/>
      <c r="BK325" s="500"/>
      <c r="BL325" s="500"/>
      <c r="BM325" s="500"/>
      <c r="BN325" s="500"/>
      <c r="BO325" s="500"/>
      <c r="BP325" s="500"/>
      <c r="BQ325" s="500"/>
      <c r="BR325" s="500"/>
      <c r="BS325" s="500"/>
      <c r="BT325" s="500"/>
      <c r="BU325" s="500"/>
      <c r="BV325" s="500"/>
    </row>
    <row r="326" ht="14.25" customHeight="1">
      <c r="A326" s="8"/>
      <c r="B326" s="500"/>
      <c r="C326" s="500"/>
      <c r="D326" s="500"/>
      <c r="E326" s="500"/>
      <c r="F326" s="500"/>
      <c r="G326" s="500"/>
      <c r="H326" s="500"/>
      <c r="I326" s="500"/>
      <c r="J326" s="500"/>
      <c r="K326" s="500"/>
      <c r="L326" s="500"/>
      <c r="M326" s="500"/>
      <c r="N326" s="500"/>
      <c r="O326" s="500"/>
      <c r="P326" s="500"/>
      <c r="Q326" s="500"/>
      <c r="R326" s="500"/>
      <c r="S326" s="500"/>
      <c r="T326" s="500"/>
      <c r="U326" s="500"/>
      <c r="V326" s="500"/>
      <c r="W326" s="500"/>
      <c r="X326" s="500"/>
      <c r="Y326" s="500"/>
      <c r="Z326" s="501"/>
      <c r="AA326" s="501"/>
      <c r="AB326" s="501"/>
      <c r="AC326" s="501"/>
      <c r="AD326" s="500"/>
      <c r="AE326" s="500"/>
      <c r="AF326" s="503"/>
      <c r="AG326" s="503"/>
      <c r="AH326" s="504"/>
      <c r="AI326" s="500"/>
      <c r="AJ326" s="500"/>
      <c r="AK326" s="500"/>
      <c r="AL326" s="500"/>
      <c r="AM326" s="500"/>
      <c r="AN326" s="500"/>
      <c r="AO326" s="500"/>
      <c r="AP326" s="500"/>
      <c r="AQ326" s="500"/>
      <c r="AR326" s="500"/>
      <c r="AS326" s="500"/>
      <c r="AT326" s="500"/>
      <c r="AU326" s="500"/>
      <c r="AV326" s="500"/>
      <c r="AW326" s="500"/>
      <c r="AX326" s="500"/>
      <c r="AY326" s="500"/>
      <c r="AZ326" s="500"/>
      <c r="BA326" s="500"/>
      <c r="BB326" s="500"/>
      <c r="BC326" s="500"/>
      <c r="BD326" s="500"/>
      <c r="BE326" s="500"/>
      <c r="BF326" s="500"/>
      <c r="BG326" s="500"/>
      <c r="BH326" s="500"/>
      <c r="BI326" s="500"/>
      <c r="BJ326" s="500"/>
      <c r="BK326" s="500"/>
      <c r="BL326" s="500"/>
      <c r="BM326" s="500"/>
      <c r="BN326" s="500"/>
      <c r="BO326" s="500"/>
      <c r="BP326" s="500"/>
      <c r="BQ326" s="500"/>
      <c r="BR326" s="500"/>
      <c r="BS326" s="500"/>
      <c r="BT326" s="500"/>
      <c r="BU326" s="500"/>
      <c r="BV326" s="500"/>
    </row>
    <row r="327" ht="14.25" customHeight="1">
      <c r="A327" s="8"/>
      <c r="B327" s="500"/>
      <c r="C327" s="500"/>
      <c r="D327" s="500"/>
      <c r="E327" s="500"/>
      <c r="F327" s="500"/>
      <c r="G327" s="500"/>
      <c r="H327" s="500"/>
      <c r="I327" s="500"/>
      <c r="J327" s="500"/>
      <c r="K327" s="500"/>
      <c r="L327" s="500"/>
      <c r="M327" s="500"/>
      <c r="N327" s="500"/>
      <c r="O327" s="500"/>
      <c r="P327" s="500"/>
      <c r="Q327" s="500"/>
      <c r="R327" s="500"/>
      <c r="S327" s="500"/>
      <c r="T327" s="500"/>
      <c r="U327" s="500"/>
      <c r="V327" s="500"/>
      <c r="W327" s="500"/>
      <c r="X327" s="500"/>
      <c r="Y327" s="500"/>
      <c r="Z327" s="501"/>
      <c r="AA327" s="501"/>
      <c r="AB327" s="501"/>
      <c r="AC327" s="501"/>
      <c r="AD327" s="500"/>
      <c r="AE327" s="500"/>
      <c r="AF327" s="503"/>
      <c r="AG327" s="503"/>
      <c r="AH327" s="504"/>
      <c r="AI327" s="500"/>
      <c r="AJ327" s="500"/>
      <c r="AK327" s="500"/>
      <c r="AL327" s="500"/>
      <c r="AM327" s="500"/>
      <c r="AN327" s="500"/>
      <c r="AO327" s="500"/>
      <c r="AP327" s="500"/>
      <c r="AQ327" s="500"/>
      <c r="AR327" s="500"/>
      <c r="AS327" s="500"/>
      <c r="AT327" s="500"/>
      <c r="AU327" s="500"/>
      <c r="AV327" s="500"/>
      <c r="AW327" s="500"/>
      <c r="AX327" s="500"/>
      <c r="AY327" s="500"/>
      <c r="AZ327" s="500"/>
      <c r="BA327" s="500"/>
      <c r="BB327" s="500"/>
      <c r="BC327" s="500"/>
      <c r="BD327" s="500"/>
      <c r="BE327" s="500"/>
      <c r="BF327" s="500"/>
      <c r="BG327" s="500"/>
      <c r="BH327" s="500"/>
      <c r="BI327" s="500"/>
      <c r="BJ327" s="500"/>
      <c r="BK327" s="500"/>
      <c r="BL327" s="500"/>
      <c r="BM327" s="500"/>
      <c r="BN327" s="500"/>
      <c r="BO327" s="500"/>
      <c r="BP327" s="500"/>
      <c r="BQ327" s="500"/>
      <c r="BR327" s="500"/>
      <c r="BS327" s="500"/>
      <c r="BT327" s="500"/>
      <c r="BU327" s="500"/>
      <c r="BV327" s="500"/>
    </row>
    <row r="328" ht="14.25" customHeight="1">
      <c r="A328" s="8"/>
      <c r="B328" s="500"/>
      <c r="C328" s="500"/>
      <c r="D328" s="500"/>
      <c r="E328" s="500"/>
      <c r="F328" s="500"/>
      <c r="G328" s="500"/>
      <c r="H328" s="500"/>
      <c r="I328" s="500"/>
      <c r="J328" s="500"/>
      <c r="K328" s="500"/>
      <c r="L328" s="500"/>
      <c r="M328" s="500"/>
      <c r="N328" s="500"/>
      <c r="O328" s="500"/>
      <c r="P328" s="500"/>
      <c r="Q328" s="500"/>
      <c r="R328" s="500"/>
      <c r="S328" s="500"/>
      <c r="T328" s="500"/>
      <c r="U328" s="500"/>
      <c r="V328" s="500"/>
      <c r="W328" s="500"/>
      <c r="X328" s="500"/>
      <c r="Y328" s="500"/>
      <c r="Z328" s="501"/>
      <c r="AA328" s="501"/>
      <c r="AB328" s="501"/>
      <c r="AC328" s="501"/>
      <c r="AD328" s="500"/>
      <c r="AE328" s="500"/>
      <c r="AF328" s="503"/>
      <c r="AG328" s="503"/>
      <c r="AH328" s="504"/>
      <c r="AI328" s="500"/>
      <c r="AJ328" s="500"/>
      <c r="AK328" s="500"/>
      <c r="AL328" s="500"/>
      <c r="AM328" s="500"/>
      <c r="AN328" s="500"/>
      <c r="AO328" s="500"/>
      <c r="AP328" s="500"/>
      <c r="AQ328" s="500"/>
      <c r="AR328" s="500"/>
      <c r="AS328" s="500"/>
      <c r="AT328" s="500"/>
      <c r="AU328" s="500"/>
      <c r="AV328" s="500"/>
      <c r="AW328" s="500"/>
      <c r="AX328" s="500"/>
      <c r="AY328" s="500"/>
      <c r="AZ328" s="500"/>
      <c r="BA328" s="500"/>
      <c r="BB328" s="500"/>
      <c r="BC328" s="500"/>
      <c r="BD328" s="500"/>
      <c r="BE328" s="500"/>
      <c r="BF328" s="500"/>
      <c r="BG328" s="500"/>
      <c r="BH328" s="500"/>
      <c r="BI328" s="500"/>
      <c r="BJ328" s="500"/>
      <c r="BK328" s="500"/>
      <c r="BL328" s="500"/>
      <c r="BM328" s="500"/>
      <c r="BN328" s="500"/>
      <c r="BO328" s="500"/>
      <c r="BP328" s="500"/>
      <c r="BQ328" s="500"/>
      <c r="BR328" s="500"/>
      <c r="BS328" s="500"/>
      <c r="BT328" s="500"/>
      <c r="BU328" s="500"/>
      <c r="BV328" s="500"/>
    </row>
    <row r="329" ht="14.25" customHeight="1">
      <c r="A329" s="8"/>
      <c r="B329" s="500"/>
      <c r="C329" s="500"/>
      <c r="D329" s="500"/>
      <c r="E329" s="500"/>
      <c r="F329" s="500"/>
      <c r="G329" s="500"/>
      <c r="H329" s="500"/>
      <c r="I329" s="500"/>
      <c r="J329" s="500"/>
      <c r="K329" s="500"/>
      <c r="L329" s="500"/>
      <c r="M329" s="500"/>
      <c r="N329" s="500"/>
      <c r="O329" s="500"/>
      <c r="P329" s="500"/>
      <c r="Q329" s="500"/>
      <c r="R329" s="500"/>
      <c r="S329" s="500"/>
      <c r="T329" s="500"/>
      <c r="U329" s="500"/>
      <c r="V329" s="500"/>
      <c r="W329" s="500"/>
      <c r="X329" s="500"/>
      <c r="Y329" s="500"/>
      <c r="Z329" s="501"/>
      <c r="AA329" s="501"/>
      <c r="AB329" s="501"/>
      <c r="AC329" s="501"/>
      <c r="AD329" s="500"/>
      <c r="AE329" s="500"/>
      <c r="AF329" s="503"/>
      <c r="AG329" s="503"/>
      <c r="AH329" s="504"/>
      <c r="AI329" s="500"/>
      <c r="AJ329" s="500"/>
      <c r="AK329" s="500"/>
      <c r="AL329" s="500"/>
      <c r="AM329" s="500"/>
      <c r="AN329" s="500"/>
      <c r="AO329" s="500"/>
      <c r="AP329" s="500"/>
      <c r="AQ329" s="500"/>
      <c r="AR329" s="500"/>
      <c r="AS329" s="500"/>
      <c r="AT329" s="500"/>
      <c r="AU329" s="500"/>
      <c r="AV329" s="500"/>
      <c r="AW329" s="500"/>
      <c r="AX329" s="500"/>
      <c r="AY329" s="500"/>
      <c r="AZ329" s="500"/>
      <c r="BA329" s="500"/>
      <c r="BB329" s="500"/>
      <c r="BC329" s="500"/>
      <c r="BD329" s="500"/>
      <c r="BE329" s="500"/>
      <c r="BF329" s="500"/>
      <c r="BG329" s="500"/>
      <c r="BH329" s="500"/>
      <c r="BI329" s="500"/>
      <c r="BJ329" s="500"/>
      <c r="BK329" s="500"/>
      <c r="BL329" s="500"/>
      <c r="BM329" s="500"/>
      <c r="BN329" s="500"/>
      <c r="BO329" s="500"/>
      <c r="BP329" s="500"/>
      <c r="BQ329" s="500"/>
      <c r="BR329" s="500"/>
      <c r="BS329" s="500"/>
      <c r="BT329" s="500"/>
      <c r="BU329" s="500"/>
      <c r="BV329" s="500"/>
    </row>
    <row r="330" ht="14.25" customHeight="1">
      <c r="A330" s="8"/>
      <c r="B330" s="500"/>
      <c r="C330" s="500"/>
      <c r="D330" s="500"/>
      <c r="E330" s="500"/>
      <c r="F330" s="500"/>
      <c r="G330" s="500"/>
      <c r="H330" s="500"/>
      <c r="I330" s="500"/>
      <c r="J330" s="500"/>
      <c r="K330" s="500"/>
      <c r="L330" s="500"/>
      <c r="M330" s="500"/>
      <c r="N330" s="500"/>
      <c r="O330" s="500"/>
      <c r="P330" s="500"/>
      <c r="Q330" s="500"/>
      <c r="R330" s="500"/>
      <c r="S330" s="500"/>
      <c r="T330" s="500"/>
      <c r="U330" s="500"/>
      <c r="V330" s="500"/>
      <c r="W330" s="500"/>
      <c r="X330" s="500"/>
      <c r="Y330" s="500"/>
      <c r="Z330" s="501"/>
      <c r="AA330" s="501"/>
      <c r="AB330" s="501"/>
      <c r="AC330" s="501"/>
      <c r="AD330" s="500"/>
      <c r="AE330" s="500"/>
      <c r="AF330" s="503"/>
      <c r="AG330" s="503"/>
      <c r="AH330" s="504"/>
      <c r="AI330" s="500"/>
      <c r="AJ330" s="500"/>
      <c r="AK330" s="500"/>
      <c r="AL330" s="500"/>
      <c r="AM330" s="500"/>
      <c r="AN330" s="500"/>
      <c r="AO330" s="500"/>
      <c r="AP330" s="500"/>
      <c r="AQ330" s="500"/>
      <c r="AR330" s="500"/>
      <c r="AS330" s="500"/>
      <c r="AT330" s="500"/>
      <c r="AU330" s="500"/>
      <c r="AV330" s="500"/>
      <c r="AW330" s="500"/>
      <c r="AX330" s="500"/>
      <c r="AY330" s="500"/>
      <c r="AZ330" s="500"/>
      <c r="BA330" s="500"/>
      <c r="BB330" s="500"/>
      <c r="BC330" s="500"/>
      <c r="BD330" s="500"/>
      <c r="BE330" s="500"/>
      <c r="BF330" s="500"/>
      <c r="BG330" s="500"/>
      <c r="BH330" s="500"/>
      <c r="BI330" s="500"/>
      <c r="BJ330" s="500"/>
      <c r="BK330" s="500"/>
      <c r="BL330" s="500"/>
      <c r="BM330" s="500"/>
      <c r="BN330" s="500"/>
      <c r="BO330" s="500"/>
      <c r="BP330" s="500"/>
      <c r="BQ330" s="500"/>
      <c r="BR330" s="500"/>
      <c r="BS330" s="500"/>
      <c r="BT330" s="500"/>
      <c r="BU330" s="500"/>
      <c r="BV330" s="500"/>
    </row>
    <row r="331" ht="14.25" customHeight="1">
      <c r="A331" s="8"/>
      <c r="B331" s="500"/>
      <c r="C331" s="500"/>
      <c r="D331" s="500"/>
      <c r="E331" s="500"/>
      <c r="F331" s="500"/>
      <c r="G331" s="500"/>
      <c r="H331" s="500"/>
      <c r="I331" s="500"/>
      <c r="J331" s="500"/>
      <c r="K331" s="500"/>
      <c r="L331" s="500"/>
      <c r="M331" s="500"/>
      <c r="N331" s="500"/>
      <c r="O331" s="500"/>
      <c r="P331" s="500"/>
      <c r="Q331" s="500"/>
      <c r="R331" s="500"/>
      <c r="S331" s="500"/>
      <c r="T331" s="500"/>
      <c r="U331" s="500"/>
      <c r="V331" s="500"/>
      <c r="W331" s="500"/>
      <c r="X331" s="500"/>
      <c r="Y331" s="500"/>
      <c r="Z331" s="501"/>
      <c r="AA331" s="501"/>
      <c r="AB331" s="501"/>
      <c r="AC331" s="501"/>
      <c r="AD331" s="500"/>
      <c r="AE331" s="500"/>
      <c r="AF331" s="503"/>
      <c r="AG331" s="503"/>
      <c r="AH331" s="504"/>
      <c r="AI331" s="500"/>
      <c r="AJ331" s="500"/>
      <c r="AK331" s="500"/>
      <c r="AL331" s="500"/>
      <c r="AM331" s="500"/>
      <c r="AN331" s="500"/>
      <c r="AO331" s="500"/>
      <c r="AP331" s="500"/>
      <c r="AQ331" s="500"/>
      <c r="AR331" s="500"/>
      <c r="AS331" s="500"/>
      <c r="AT331" s="500"/>
      <c r="AU331" s="500"/>
      <c r="AV331" s="500"/>
      <c r="AW331" s="500"/>
      <c r="AX331" s="500"/>
      <c r="AY331" s="500"/>
      <c r="AZ331" s="500"/>
      <c r="BA331" s="500"/>
      <c r="BB331" s="500"/>
      <c r="BC331" s="500"/>
      <c r="BD331" s="500"/>
      <c r="BE331" s="500"/>
      <c r="BF331" s="500"/>
      <c r="BG331" s="500"/>
      <c r="BH331" s="500"/>
      <c r="BI331" s="500"/>
      <c r="BJ331" s="500"/>
      <c r="BK331" s="500"/>
      <c r="BL331" s="500"/>
      <c r="BM331" s="500"/>
      <c r="BN331" s="500"/>
      <c r="BO331" s="500"/>
      <c r="BP331" s="500"/>
      <c r="BQ331" s="500"/>
      <c r="BR331" s="500"/>
      <c r="BS331" s="500"/>
      <c r="BT331" s="500"/>
      <c r="BU331" s="500"/>
      <c r="BV331" s="500"/>
    </row>
    <row r="332" ht="14.25" customHeight="1">
      <c r="A332" s="8"/>
      <c r="B332" s="500"/>
      <c r="C332" s="500"/>
      <c r="D332" s="500"/>
      <c r="E332" s="500"/>
      <c r="F332" s="500"/>
      <c r="G332" s="500"/>
      <c r="H332" s="500"/>
      <c r="I332" s="500"/>
      <c r="J332" s="500"/>
      <c r="K332" s="500"/>
      <c r="L332" s="500"/>
      <c r="M332" s="500"/>
      <c r="N332" s="500"/>
      <c r="O332" s="500"/>
      <c r="P332" s="500"/>
      <c r="Q332" s="500"/>
      <c r="R332" s="500"/>
      <c r="S332" s="500"/>
      <c r="T332" s="500"/>
      <c r="U332" s="500"/>
      <c r="V332" s="500"/>
      <c r="W332" s="500"/>
      <c r="X332" s="500"/>
      <c r="Y332" s="500"/>
      <c r="Z332" s="501"/>
      <c r="AA332" s="501"/>
      <c r="AB332" s="501"/>
      <c r="AC332" s="501"/>
      <c r="AD332" s="500"/>
      <c r="AE332" s="500"/>
      <c r="AF332" s="503"/>
      <c r="AG332" s="503"/>
      <c r="AH332" s="504"/>
      <c r="AI332" s="500"/>
      <c r="AJ332" s="500"/>
      <c r="AK332" s="500"/>
      <c r="AL332" s="500"/>
      <c r="AM332" s="500"/>
      <c r="AN332" s="500"/>
      <c r="AO332" s="500"/>
      <c r="AP332" s="500"/>
      <c r="AQ332" s="500"/>
      <c r="AR332" s="500"/>
      <c r="AS332" s="500"/>
      <c r="AT332" s="500"/>
      <c r="AU332" s="500"/>
      <c r="AV332" s="500"/>
      <c r="AW332" s="500"/>
      <c r="AX332" s="500"/>
      <c r="AY332" s="500"/>
      <c r="AZ332" s="500"/>
      <c r="BA332" s="500"/>
      <c r="BB332" s="500"/>
      <c r="BC332" s="500"/>
      <c r="BD332" s="500"/>
      <c r="BE332" s="500"/>
      <c r="BF332" s="500"/>
      <c r="BG332" s="500"/>
      <c r="BH332" s="500"/>
      <c r="BI332" s="500"/>
      <c r="BJ332" s="500"/>
      <c r="BK332" s="500"/>
      <c r="BL332" s="500"/>
      <c r="BM332" s="500"/>
      <c r="BN332" s="500"/>
      <c r="BO332" s="500"/>
      <c r="BP332" s="500"/>
      <c r="BQ332" s="500"/>
      <c r="BR332" s="500"/>
      <c r="BS332" s="500"/>
      <c r="BT332" s="500"/>
      <c r="BU332" s="500"/>
      <c r="BV332" s="500"/>
    </row>
    <row r="333" ht="14.25" customHeight="1">
      <c r="A333" s="8"/>
      <c r="B333" s="500"/>
      <c r="C333" s="500"/>
      <c r="D333" s="500"/>
      <c r="E333" s="500"/>
      <c r="F333" s="500"/>
      <c r="G333" s="500"/>
      <c r="H333" s="500"/>
      <c r="I333" s="500"/>
      <c r="J333" s="500"/>
      <c r="K333" s="500"/>
      <c r="L333" s="500"/>
      <c r="M333" s="500"/>
      <c r="N333" s="500"/>
      <c r="O333" s="500"/>
      <c r="P333" s="500"/>
      <c r="Q333" s="500"/>
      <c r="R333" s="500"/>
      <c r="S333" s="500"/>
      <c r="T333" s="500"/>
      <c r="U333" s="500"/>
      <c r="V333" s="500"/>
      <c r="W333" s="500"/>
      <c r="X333" s="500"/>
      <c r="Y333" s="500"/>
      <c r="Z333" s="501"/>
      <c r="AA333" s="501"/>
      <c r="AB333" s="501"/>
      <c r="AC333" s="501"/>
      <c r="AD333" s="500"/>
      <c r="AE333" s="500"/>
      <c r="AF333" s="503"/>
      <c r="AG333" s="503"/>
      <c r="AH333" s="504"/>
      <c r="AI333" s="500"/>
      <c r="AJ333" s="500"/>
      <c r="AK333" s="500"/>
      <c r="AL333" s="500"/>
      <c r="AM333" s="500"/>
      <c r="AN333" s="500"/>
      <c r="AO333" s="500"/>
      <c r="AP333" s="500"/>
      <c r="AQ333" s="500"/>
      <c r="AR333" s="500"/>
      <c r="AS333" s="500"/>
      <c r="AT333" s="500"/>
      <c r="AU333" s="500"/>
      <c r="AV333" s="500"/>
      <c r="AW333" s="500"/>
      <c r="AX333" s="500"/>
      <c r="AY333" s="500"/>
      <c r="AZ333" s="500"/>
      <c r="BA333" s="500"/>
      <c r="BB333" s="500"/>
      <c r="BC333" s="500"/>
      <c r="BD333" s="500"/>
      <c r="BE333" s="500"/>
      <c r="BF333" s="500"/>
      <c r="BG333" s="500"/>
      <c r="BH333" s="500"/>
      <c r="BI333" s="500"/>
      <c r="BJ333" s="500"/>
      <c r="BK333" s="500"/>
      <c r="BL333" s="500"/>
      <c r="BM333" s="500"/>
      <c r="BN333" s="500"/>
      <c r="BO333" s="500"/>
      <c r="BP333" s="500"/>
      <c r="BQ333" s="500"/>
      <c r="BR333" s="500"/>
      <c r="BS333" s="500"/>
      <c r="BT333" s="500"/>
      <c r="BU333" s="500"/>
      <c r="BV333" s="500"/>
    </row>
    <row r="334" ht="14.25" customHeight="1">
      <c r="A334" s="8"/>
      <c r="B334" s="500"/>
      <c r="C334" s="500"/>
      <c r="D334" s="500"/>
      <c r="E334" s="500"/>
      <c r="F334" s="500"/>
      <c r="G334" s="500"/>
      <c r="H334" s="500"/>
      <c r="I334" s="500"/>
      <c r="J334" s="500"/>
      <c r="K334" s="500"/>
      <c r="L334" s="500"/>
      <c r="M334" s="500"/>
      <c r="N334" s="500"/>
      <c r="O334" s="500"/>
      <c r="P334" s="500"/>
      <c r="Q334" s="500"/>
      <c r="R334" s="500"/>
      <c r="S334" s="500"/>
      <c r="T334" s="500"/>
      <c r="U334" s="500"/>
      <c r="V334" s="500"/>
      <c r="W334" s="500"/>
      <c r="X334" s="500"/>
      <c r="Y334" s="500"/>
      <c r="Z334" s="501"/>
      <c r="AA334" s="501"/>
      <c r="AB334" s="501"/>
      <c r="AC334" s="501"/>
      <c r="AD334" s="500"/>
      <c r="AE334" s="500"/>
      <c r="AF334" s="503"/>
      <c r="AG334" s="503"/>
      <c r="AH334" s="504"/>
      <c r="AI334" s="500"/>
      <c r="AJ334" s="500"/>
      <c r="AK334" s="500"/>
      <c r="AL334" s="500"/>
      <c r="AM334" s="500"/>
      <c r="AN334" s="500"/>
      <c r="AO334" s="500"/>
      <c r="AP334" s="500"/>
      <c r="AQ334" s="500"/>
      <c r="AR334" s="500"/>
      <c r="AS334" s="500"/>
      <c r="AT334" s="500"/>
      <c r="AU334" s="500"/>
      <c r="AV334" s="500"/>
      <c r="AW334" s="500"/>
      <c r="AX334" s="500"/>
      <c r="AY334" s="500"/>
      <c r="AZ334" s="500"/>
      <c r="BA334" s="500"/>
      <c r="BB334" s="500"/>
      <c r="BC334" s="500"/>
      <c r="BD334" s="500"/>
      <c r="BE334" s="500"/>
      <c r="BF334" s="500"/>
      <c r="BG334" s="500"/>
      <c r="BH334" s="500"/>
      <c r="BI334" s="500"/>
      <c r="BJ334" s="500"/>
      <c r="BK334" s="500"/>
      <c r="BL334" s="500"/>
      <c r="BM334" s="500"/>
      <c r="BN334" s="500"/>
      <c r="BO334" s="500"/>
      <c r="BP334" s="500"/>
      <c r="BQ334" s="500"/>
      <c r="BR334" s="500"/>
      <c r="BS334" s="500"/>
      <c r="BT334" s="500"/>
      <c r="BU334" s="500"/>
      <c r="BV334" s="500"/>
    </row>
    <row r="335" ht="14.25" customHeight="1">
      <c r="A335" s="8"/>
      <c r="B335" s="500"/>
      <c r="C335" s="500"/>
      <c r="D335" s="500"/>
      <c r="E335" s="500"/>
      <c r="F335" s="500"/>
      <c r="G335" s="500"/>
      <c r="H335" s="500"/>
      <c r="I335" s="500"/>
      <c r="J335" s="500"/>
      <c r="K335" s="500"/>
      <c r="L335" s="500"/>
      <c r="M335" s="500"/>
      <c r="N335" s="500"/>
      <c r="O335" s="500"/>
      <c r="P335" s="500"/>
      <c r="Q335" s="500"/>
      <c r="R335" s="500"/>
      <c r="S335" s="500"/>
      <c r="T335" s="500"/>
      <c r="U335" s="500"/>
      <c r="V335" s="500"/>
      <c r="W335" s="500"/>
      <c r="X335" s="500"/>
      <c r="Y335" s="500"/>
      <c r="Z335" s="501"/>
      <c r="AA335" s="501"/>
      <c r="AB335" s="501"/>
      <c r="AC335" s="501"/>
      <c r="AD335" s="500"/>
      <c r="AE335" s="500"/>
      <c r="AF335" s="503"/>
      <c r="AG335" s="503"/>
      <c r="AH335" s="504"/>
      <c r="AI335" s="500"/>
      <c r="AJ335" s="500"/>
      <c r="AK335" s="500"/>
      <c r="AL335" s="500"/>
      <c r="AM335" s="500"/>
      <c r="AN335" s="500"/>
      <c r="AO335" s="500"/>
      <c r="AP335" s="500"/>
      <c r="AQ335" s="500"/>
      <c r="AR335" s="500"/>
      <c r="AS335" s="500"/>
      <c r="AT335" s="500"/>
      <c r="AU335" s="500"/>
      <c r="AV335" s="500"/>
      <c r="AW335" s="500"/>
      <c r="AX335" s="500"/>
      <c r="AY335" s="500"/>
      <c r="AZ335" s="500"/>
      <c r="BA335" s="500"/>
      <c r="BB335" s="500"/>
      <c r="BC335" s="500"/>
      <c r="BD335" s="500"/>
      <c r="BE335" s="500"/>
      <c r="BF335" s="500"/>
      <c r="BG335" s="500"/>
      <c r="BH335" s="500"/>
      <c r="BI335" s="500"/>
      <c r="BJ335" s="500"/>
      <c r="BK335" s="500"/>
      <c r="BL335" s="500"/>
      <c r="BM335" s="500"/>
      <c r="BN335" s="500"/>
      <c r="BO335" s="500"/>
      <c r="BP335" s="500"/>
      <c r="BQ335" s="500"/>
      <c r="BR335" s="500"/>
      <c r="BS335" s="500"/>
      <c r="BT335" s="500"/>
      <c r="BU335" s="500"/>
      <c r="BV335" s="500"/>
    </row>
    <row r="336" ht="14.25" customHeight="1">
      <c r="A336" s="8"/>
      <c r="B336" s="500"/>
      <c r="C336" s="500"/>
      <c r="D336" s="500"/>
      <c r="E336" s="500"/>
      <c r="F336" s="500"/>
      <c r="G336" s="500"/>
      <c r="H336" s="500"/>
      <c r="I336" s="500"/>
      <c r="J336" s="500"/>
      <c r="K336" s="500"/>
      <c r="L336" s="500"/>
      <c r="M336" s="500"/>
      <c r="N336" s="500"/>
      <c r="O336" s="500"/>
      <c r="P336" s="500"/>
      <c r="Q336" s="500"/>
      <c r="R336" s="500"/>
      <c r="S336" s="500"/>
      <c r="T336" s="500"/>
      <c r="U336" s="500"/>
      <c r="V336" s="500"/>
      <c r="W336" s="500"/>
      <c r="X336" s="500"/>
      <c r="Y336" s="500"/>
      <c r="Z336" s="501"/>
      <c r="AA336" s="501"/>
      <c r="AB336" s="501"/>
      <c r="AC336" s="501"/>
      <c r="AD336" s="500"/>
      <c r="AE336" s="500"/>
      <c r="AF336" s="503"/>
      <c r="AG336" s="503"/>
      <c r="AH336" s="504"/>
      <c r="AI336" s="500"/>
      <c r="AJ336" s="500"/>
      <c r="AK336" s="500"/>
      <c r="AL336" s="500"/>
      <c r="AM336" s="500"/>
      <c r="AN336" s="500"/>
      <c r="AO336" s="500"/>
      <c r="AP336" s="500"/>
      <c r="AQ336" s="500"/>
      <c r="AR336" s="500"/>
      <c r="AS336" s="500"/>
      <c r="AT336" s="500"/>
      <c r="AU336" s="500"/>
      <c r="AV336" s="500"/>
      <c r="AW336" s="500"/>
      <c r="AX336" s="500"/>
      <c r="AY336" s="500"/>
      <c r="AZ336" s="500"/>
      <c r="BA336" s="500"/>
      <c r="BB336" s="500"/>
      <c r="BC336" s="500"/>
      <c r="BD336" s="500"/>
      <c r="BE336" s="500"/>
      <c r="BF336" s="500"/>
      <c r="BG336" s="500"/>
      <c r="BH336" s="500"/>
      <c r="BI336" s="500"/>
      <c r="BJ336" s="500"/>
      <c r="BK336" s="500"/>
      <c r="BL336" s="500"/>
      <c r="BM336" s="500"/>
      <c r="BN336" s="500"/>
      <c r="BO336" s="500"/>
      <c r="BP336" s="500"/>
      <c r="BQ336" s="500"/>
      <c r="BR336" s="500"/>
      <c r="BS336" s="500"/>
      <c r="BT336" s="500"/>
      <c r="BU336" s="500"/>
      <c r="BV336" s="500"/>
    </row>
    <row r="337" ht="14.25" customHeight="1">
      <c r="A337" s="8"/>
      <c r="B337" s="500"/>
      <c r="C337" s="500"/>
      <c r="D337" s="500"/>
      <c r="E337" s="500"/>
      <c r="F337" s="500"/>
      <c r="G337" s="500"/>
      <c r="H337" s="500"/>
      <c r="I337" s="500"/>
      <c r="J337" s="500"/>
      <c r="K337" s="500"/>
      <c r="L337" s="500"/>
      <c r="M337" s="500"/>
      <c r="N337" s="500"/>
      <c r="O337" s="500"/>
      <c r="P337" s="500"/>
      <c r="Q337" s="500"/>
      <c r="R337" s="500"/>
      <c r="S337" s="500"/>
      <c r="T337" s="500"/>
      <c r="U337" s="500"/>
      <c r="V337" s="500"/>
      <c r="W337" s="500"/>
      <c r="X337" s="500"/>
      <c r="Y337" s="500"/>
      <c r="Z337" s="501"/>
      <c r="AA337" s="501"/>
      <c r="AB337" s="501"/>
      <c r="AC337" s="501"/>
      <c r="AD337" s="500"/>
      <c r="AE337" s="500"/>
      <c r="AF337" s="503"/>
      <c r="AG337" s="503"/>
      <c r="AH337" s="504"/>
      <c r="AI337" s="500"/>
      <c r="AJ337" s="500"/>
      <c r="AK337" s="500"/>
      <c r="AL337" s="500"/>
      <c r="AM337" s="500"/>
      <c r="AN337" s="500"/>
      <c r="AO337" s="500"/>
      <c r="AP337" s="500"/>
      <c r="AQ337" s="500"/>
      <c r="AR337" s="500"/>
      <c r="AS337" s="500"/>
      <c r="AT337" s="500"/>
      <c r="AU337" s="500"/>
      <c r="AV337" s="500"/>
      <c r="AW337" s="500"/>
      <c r="AX337" s="500"/>
      <c r="AY337" s="500"/>
      <c r="AZ337" s="500"/>
      <c r="BA337" s="500"/>
      <c r="BB337" s="500"/>
      <c r="BC337" s="500"/>
      <c r="BD337" s="500"/>
      <c r="BE337" s="500"/>
      <c r="BF337" s="500"/>
      <c r="BG337" s="500"/>
      <c r="BH337" s="500"/>
      <c r="BI337" s="500"/>
      <c r="BJ337" s="500"/>
      <c r="BK337" s="500"/>
      <c r="BL337" s="500"/>
      <c r="BM337" s="500"/>
      <c r="BN337" s="500"/>
      <c r="BO337" s="500"/>
      <c r="BP337" s="500"/>
      <c r="BQ337" s="500"/>
      <c r="BR337" s="500"/>
      <c r="BS337" s="500"/>
      <c r="BT337" s="500"/>
      <c r="BU337" s="500"/>
      <c r="BV337" s="500"/>
    </row>
    <row r="338" ht="14.25" customHeight="1">
      <c r="A338" s="8"/>
      <c r="B338" s="500"/>
      <c r="C338" s="500"/>
      <c r="D338" s="500"/>
      <c r="E338" s="500"/>
      <c r="F338" s="500"/>
      <c r="G338" s="500"/>
      <c r="H338" s="500"/>
      <c r="I338" s="500"/>
      <c r="J338" s="500"/>
      <c r="K338" s="500"/>
      <c r="L338" s="500"/>
      <c r="M338" s="500"/>
      <c r="N338" s="500"/>
      <c r="O338" s="500"/>
      <c r="P338" s="500"/>
      <c r="Q338" s="500"/>
      <c r="R338" s="500"/>
      <c r="S338" s="500"/>
      <c r="T338" s="500"/>
      <c r="U338" s="500"/>
      <c r="V338" s="500"/>
      <c r="W338" s="500"/>
      <c r="X338" s="500"/>
      <c r="Y338" s="500"/>
      <c r="Z338" s="501"/>
      <c r="AA338" s="501"/>
      <c r="AB338" s="501"/>
      <c r="AC338" s="501"/>
      <c r="AD338" s="500"/>
      <c r="AE338" s="500"/>
      <c r="AF338" s="503"/>
      <c r="AG338" s="503"/>
      <c r="AH338" s="504"/>
      <c r="AI338" s="500"/>
      <c r="AJ338" s="500"/>
      <c r="AK338" s="500"/>
      <c r="AL338" s="500"/>
      <c r="AM338" s="500"/>
      <c r="AN338" s="500"/>
      <c r="AO338" s="500"/>
      <c r="AP338" s="500"/>
      <c r="AQ338" s="500"/>
      <c r="AR338" s="500"/>
      <c r="AS338" s="500"/>
      <c r="AT338" s="500"/>
      <c r="AU338" s="500"/>
      <c r="AV338" s="500"/>
      <c r="AW338" s="500"/>
      <c r="AX338" s="500"/>
      <c r="AY338" s="500"/>
      <c r="AZ338" s="500"/>
      <c r="BA338" s="500"/>
      <c r="BB338" s="500"/>
      <c r="BC338" s="500"/>
      <c r="BD338" s="500"/>
      <c r="BE338" s="500"/>
      <c r="BF338" s="500"/>
      <c r="BG338" s="500"/>
      <c r="BH338" s="500"/>
      <c r="BI338" s="500"/>
      <c r="BJ338" s="500"/>
      <c r="BK338" s="500"/>
      <c r="BL338" s="500"/>
      <c r="BM338" s="500"/>
      <c r="BN338" s="500"/>
      <c r="BO338" s="500"/>
      <c r="BP338" s="500"/>
      <c r="BQ338" s="500"/>
      <c r="BR338" s="500"/>
      <c r="BS338" s="500"/>
      <c r="BT338" s="500"/>
      <c r="BU338" s="500"/>
      <c r="BV338" s="500"/>
    </row>
    <row r="339" ht="14.25" customHeight="1">
      <c r="A339" s="8"/>
      <c r="B339" s="500"/>
      <c r="C339" s="500"/>
      <c r="D339" s="500"/>
      <c r="E339" s="500"/>
      <c r="F339" s="500"/>
      <c r="G339" s="500"/>
      <c r="H339" s="500"/>
      <c r="I339" s="500"/>
      <c r="J339" s="500"/>
      <c r="K339" s="500"/>
      <c r="L339" s="500"/>
      <c r="M339" s="500"/>
      <c r="N339" s="500"/>
      <c r="O339" s="500"/>
      <c r="P339" s="500"/>
      <c r="Q339" s="500"/>
      <c r="R339" s="500"/>
      <c r="S339" s="500"/>
      <c r="T339" s="500"/>
      <c r="U339" s="500"/>
      <c r="V339" s="500"/>
      <c r="W339" s="500"/>
      <c r="X339" s="500"/>
      <c r="Y339" s="500"/>
      <c r="Z339" s="501"/>
      <c r="AA339" s="501"/>
      <c r="AB339" s="501"/>
      <c r="AC339" s="501"/>
      <c r="AD339" s="500"/>
      <c r="AE339" s="500"/>
      <c r="AF339" s="503"/>
      <c r="AG339" s="503"/>
      <c r="AH339" s="504"/>
      <c r="AI339" s="500"/>
      <c r="AJ339" s="500"/>
      <c r="AK339" s="500"/>
      <c r="AL339" s="500"/>
      <c r="AM339" s="500"/>
      <c r="AN339" s="500"/>
      <c r="AO339" s="500"/>
      <c r="AP339" s="500"/>
      <c r="AQ339" s="500"/>
      <c r="AR339" s="500"/>
      <c r="AS339" s="500"/>
      <c r="AT339" s="500"/>
      <c r="AU339" s="500"/>
      <c r="AV339" s="500"/>
      <c r="AW339" s="500"/>
      <c r="AX339" s="500"/>
      <c r="AY339" s="500"/>
      <c r="AZ339" s="500"/>
      <c r="BA339" s="500"/>
      <c r="BB339" s="500"/>
      <c r="BC339" s="500"/>
      <c r="BD339" s="500"/>
      <c r="BE339" s="500"/>
      <c r="BF339" s="500"/>
      <c r="BG339" s="500"/>
      <c r="BH339" s="500"/>
      <c r="BI339" s="500"/>
      <c r="BJ339" s="500"/>
      <c r="BK339" s="500"/>
      <c r="BL339" s="500"/>
      <c r="BM339" s="500"/>
      <c r="BN339" s="500"/>
      <c r="BO339" s="500"/>
      <c r="BP339" s="500"/>
      <c r="BQ339" s="500"/>
      <c r="BR339" s="500"/>
      <c r="BS339" s="500"/>
      <c r="BT339" s="500"/>
      <c r="BU339" s="500"/>
      <c r="BV339" s="500"/>
    </row>
    <row r="340" ht="14.25" customHeight="1">
      <c r="A340" s="8"/>
      <c r="B340" s="500"/>
      <c r="C340" s="500"/>
      <c r="D340" s="500"/>
      <c r="E340" s="500"/>
      <c r="F340" s="500"/>
      <c r="G340" s="500"/>
      <c r="H340" s="500"/>
      <c r="I340" s="500"/>
      <c r="J340" s="500"/>
      <c r="K340" s="500"/>
      <c r="L340" s="500"/>
      <c r="M340" s="500"/>
      <c r="N340" s="500"/>
      <c r="O340" s="500"/>
      <c r="P340" s="500"/>
      <c r="Q340" s="500"/>
      <c r="R340" s="500"/>
      <c r="S340" s="500"/>
      <c r="T340" s="500"/>
      <c r="U340" s="500"/>
      <c r="V340" s="500"/>
      <c r="W340" s="500"/>
      <c r="X340" s="500"/>
      <c r="Y340" s="500"/>
      <c r="Z340" s="501"/>
      <c r="AA340" s="501"/>
      <c r="AB340" s="501"/>
      <c r="AC340" s="501"/>
      <c r="AD340" s="500"/>
      <c r="AE340" s="500"/>
      <c r="AF340" s="503"/>
      <c r="AG340" s="503"/>
      <c r="AH340" s="504"/>
      <c r="AI340" s="500"/>
      <c r="AJ340" s="500"/>
      <c r="AK340" s="500"/>
      <c r="AL340" s="500"/>
      <c r="AM340" s="500"/>
      <c r="AN340" s="500"/>
      <c r="AO340" s="500"/>
      <c r="AP340" s="500"/>
      <c r="AQ340" s="500"/>
      <c r="AR340" s="500"/>
      <c r="AS340" s="500"/>
      <c r="AT340" s="500"/>
      <c r="AU340" s="500"/>
      <c r="AV340" s="500"/>
      <c r="AW340" s="500"/>
      <c r="AX340" s="500"/>
      <c r="AY340" s="500"/>
      <c r="AZ340" s="500"/>
      <c r="BA340" s="500"/>
      <c r="BB340" s="500"/>
      <c r="BC340" s="500"/>
      <c r="BD340" s="500"/>
      <c r="BE340" s="500"/>
      <c r="BF340" s="500"/>
      <c r="BG340" s="500"/>
      <c r="BH340" s="500"/>
      <c r="BI340" s="500"/>
      <c r="BJ340" s="500"/>
      <c r="BK340" s="500"/>
      <c r="BL340" s="500"/>
      <c r="BM340" s="500"/>
      <c r="BN340" s="500"/>
      <c r="BO340" s="500"/>
      <c r="BP340" s="500"/>
      <c r="BQ340" s="500"/>
      <c r="BR340" s="500"/>
      <c r="BS340" s="500"/>
      <c r="BT340" s="500"/>
      <c r="BU340" s="500"/>
      <c r="BV340" s="500"/>
    </row>
    <row r="341" ht="14.25" customHeight="1">
      <c r="A341" s="8"/>
      <c r="B341" s="500"/>
      <c r="C341" s="500"/>
      <c r="D341" s="500"/>
      <c r="E341" s="500"/>
      <c r="F341" s="500"/>
      <c r="G341" s="500"/>
      <c r="H341" s="500"/>
      <c r="I341" s="500"/>
      <c r="J341" s="500"/>
      <c r="K341" s="500"/>
      <c r="L341" s="500"/>
      <c r="M341" s="500"/>
      <c r="N341" s="500"/>
      <c r="O341" s="500"/>
      <c r="P341" s="500"/>
      <c r="Q341" s="500"/>
      <c r="R341" s="500"/>
      <c r="S341" s="500"/>
      <c r="T341" s="500"/>
      <c r="U341" s="500"/>
      <c r="V341" s="500"/>
      <c r="W341" s="500"/>
      <c r="X341" s="500"/>
      <c r="Y341" s="500"/>
      <c r="Z341" s="501"/>
      <c r="AA341" s="501"/>
      <c r="AB341" s="501"/>
      <c r="AC341" s="501"/>
      <c r="AD341" s="500"/>
      <c r="AE341" s="500"/>
      <c r="AF341" s="503"/>
      <c r="AG341" s="503"/>
      <c r="AH341" s="504"/>
      <c r="AI341" s="500"/>
      <c r="AJ341" s="500"/>
      <c r="AK341" s="500"/>
      <c r="AL341" s="500"/>
      <c r="AM341" s="500"/>
      <c r="AN341" s="500"/>
      <c r="AO341" s="500"/>
      <c r="AP341" s="500"/>
      <c r="AQ341" s="500"/>
      <c r="AR341" s="500"/>
      <c r="AS341" s="500"/>
      <c r="AT341" s="500"/>
      <c r="AU341" s="500"/>
      <c r="AV341" s="500"/>
      <c r="AW341" s="500"/>
      <c r="AX341" s="500"/>
      <c r="AY341" s="500"/>
      <c r="AZ341" s="500"/>
      <c r="BA341" s="500"/>
      <c r="BB341" s="500"/>
      <c r="BC341" s="500"/>
      <c r="BD341" s="500"/>
      <c r="BE341" s="500"/>
      <c r="BF341" s="500"/>
      <c r="BG341" s="500"/>
      <c r="BH341" s="500"/>
      <c r="BI341" s="500"/>
      <c r="BJ341" s="500"/>
      <c r="BK341" s="500"/>
      <c r="BL341" s="500"/>
      <c r="BM341" s="500"/>
      <c r="BN341" s="500"/>
      <c r="BO341" s="500"/>
      <c r="BP341" s="500"/>
      <c r="BQ341" s="500"/>
      <c r="BR341" s="500"/>
      <c r="BS341" s="500"/>
      <c r="BT341" s="500"/>
      <c r="BU341" s="500"/>
      <c r="BV341" s="500"/>
    </row>
    <row r="342" ht="14.25" customHeight="1">
      <c r="A342" s="8"/>
      <c r="B342" s="500"/>
      <c r="C342" s="500"/>
      <c r="D342" s="500"/>
      <c r="E342" s="500"/>
      <c r="F342" s="500"/>
      <c r="G342" s="500"/>
      <c r="H342" s="500"/>
      <c r="I342" s="500"/>
      <c r="J342" s="500"/>
      <c r="K342" s="500"/>
      <c r="L342" s="500"/>
      <c r="M342" s="500"/>
      <c r="N342" s="500"/>
      <c r="O342" s="500"/>
      <c r="P342" s="500"/>
      <c r="Q342" s="500"/>
      <c r="R342" s="500"/>
      <c r="S342" s="500"/>
      <c r="T342" s="500"/>
      <c r="U342" s="500"/>
      <c r="V342" s="500"/>
      <c r="W342" s="500"/>
      <c r="X342" s="500"/>
      <c r="Y342" s="500"/>
      <c r="Z342" s="501"/>
      <c r="AA342" s="501"/>
      <c r="AB342" s="501"/>
      <c r="AC342" s="501"/>
      <c r="AD342" s="500"/>
      <c r="AE342" s="500"/>
      <c r="AF342" s="503"/>
      <c r="AG342" s="503"/>
      <c r="AH342" s="504"/>
      <c r="AI342" s="500"/>
      <c r="AJ342" s="500"/>
      <c r="AK342" s="500"/>
      <c r="AL342" s="500"/>
      <c r="AM342" s="500"/>
      <c r="AN342" s="500"/>
      <c r="AO342" s="500"/>
      <c r="AP342" s="500"/>
      <c r="AQ342" s="500"/>
      <c r="AR342" s="500"/>
      <c r="AS342" s="500"/>
      <c r="AT342" s="500"/>
      <c r="AU342" s="500"/>
      <c r="AV342" s="500"/>
      <c r="AW342" s="500"/>
      <c r="AX342" s="500"/>
      <c r="AY342" s="500"/>
      <c r="AZ342" s="500"/>
      <c r="BA342" s="500"/>
      <c r="BB342" s="500"/>
      <c r="BC342" s="500"/>
      <c r="BD342" s="500"/>
      <c r="BE342" s="500"/>
      <c r="BF342" s="500"/>
      <c r="BG342" s="500"/>
      <c r="BH342" s="500"/>
      <c r="BI342" s="500"/>
      <c r="BJ342" s="500"/>
      <c r="BK342" s="500"/>
      <c r="BL342" s="500"/>
      <c r="BM342" s="500"/>
      <c r="BN342" s="500"/>
      <c r="BO342" s="500"/>
      <c r="BP342" s="500"/>
      <c r="BQ342" s="500"/>
      <c r="BR342" s="500"/>
      <c r="BS342" s="500"/>
      <c r="BT342" s="500"/>
      <c r="BU342" s="500"/>
      <c r="BV342" s="500"/>
    </row>
    <row r="343" ht="14.25" customHeight="1">
      <c r="A343" s="8"/>
      <c r="B343" s="500"/>
      <c r="C343" s="500"/>
      <c r="D343" s="500"/>
      <c r="E343" s="500"/>
      <c r="F343" s="500"/>
      <c r="G343" s="500"/>
      <c r="H343" s="500"/>
      <c r="I343" s="500"/>
      <c r="J343" s="500"/>
      <c r="K343" s="500"/>
      <c r="L343" s="500"/>
      <c r="M343" s="500"/>
      <c r="N343" s="500"/>
      <c r="O343" s="500"/>
      <c r="P343" s="500"/>
      <c r="Q343" s="500"/>
      <c r="R343" s="500"/>
      <c r="S343" s="500"/>
      <c r="T343" s="500"/>
      <c r="U343" s="500"/>
      <c r="V343" s="500"/>
      <c r="W343" s="500"/>
      <c r="X343" s="500"/>
      <c r="Y343" s="500"/>
      <c r="Z343" s="501"/>
      <c r="AA343" s="501"/>
      <c r="AB343" s="501"/>
      <c r="AC343" s="501"/>
      <c r="AD343" s="500"/>
      <c r="AE343" s="500"/>
      <c r="AF343" s="503"/>
      <c r="AG343" s="503"/>
      <c r="AH343" s="504"/>
      <c r="AI343" s="500"/>
      <c r="AJ343" s="500"/>
      <c r="AK343" s="500"/>
      <c r="AL343" s="500"/>
      <c r="AM343" s="500"/>
      <c r="AN343" s="500"/>
      <c r="AO343" s="500"/>
      <c r="AP343" s="500"/>
      <c r="AQ343" s="500"/>
      <c r="AR343" s="500"/>
      <c r="AS343" s="500"/>
      <c r="AT343" s="500"/>
      <c r="AU343" s="500"/>
      <c r="AV343" s="500"/>
      <c r="AW343" s="500"/>
      <c r="AX343" s="500"/>
      <c r="AY343" s="500"/>
      <c r="AZ343" s="500"/>
      <c r="BA343" s="500"/>
      <c r="BB343" s="500"/>
      <c r="BC343" s="500"/>
      <c r="BD343" s="500"/>
      <c r="BE343" s="500"/>
      <c r="BF343" s="500"/>
      <c r="BG343" s="500"/>
      <c r="BH343" s="500"/>
      <c r="BI343" s="500"/>
      <c r="BJ343" s="500"/>
      <c r="BK343" s="500"/>
      <c r="BL343" s="500"/>
      <c r="BM343" s="500"/>
      <c r="BN343" s="500"/>
      <c r="BO343" s="500"/>
      <c r="BP343" s="500"/>
      <c r="BQ343" s="500"/>
      <c r="BR343" s="500"/>
      <c r="BS343" s="500"/>
      <c r="BT343" s="500"/>
      <c r="BU343" s="500"/>
      <c r="BV343" s="500"/>
    </row>
    <row r="344" ht="14.25" customHeight="1">
      <c r="A344" s="8"/>
      <c r="B344" s="500"/>
      <c r="C344" s="500"/>
      <c r="D344" s="500"/>
      <c r="E344" s="500"/>
      <c r="F344" s="500"/>
      <c r="G344" s="500"/>
      <c r="H344" s="500"/>
      <c r="I344" s="500"/>
      <c r="J344" s="500"/>
      <c r="K344" s="500"/>
      <c r="L344" s="500"/>
      <c r="M344" s="500"/>
      <c r="N344" s="500"/>
      <c r="O344" s="500"/>
      <c r="P344" s="500"/>
      <c r="Q344" s="500"/>
      <c r="R344" s="500"/>
      <c r="S344" s="500"/>
      <c r="T344" s="500"/>
      <c r="U344" s="500"/>
      <c r="V344" s="500"/>
      <c r="W344" s="500"/>
      <c r="X344" s="500"/>
      <c r="Y344" s="500"/>
      <c r="Z344" s="501"/>
      <c r="AA344" s="501"/>
      <c r="AB344" s="501"/>
      <c r="AC344" s="501"/>
      <c r="AD344" s="500"/>
      <c r="AE344" s="500"/>
      <c r="AF344" s="503"/>
      <c r="AG344" s="503"/>
      <c r="AH344" s="504"/>
      <c r="AI344" s="500"/>
      <c r="AJ344" s="500"/>
      <c r="AK344" s="500"/>
      <c r="AL344" s="500"/>
      <c r="AM344" s="500"/>
      <c r="AN344" s="500"/>
      <c r="AO344" s="500"/>
      <c r="AP344" s="500"/>
      <c r="AQ344" s="500"/>
      <c r="AR344" s="500"/>
      <c r="AS344" s="500"/>
      <c r="AT344" s="500"/>
      <c r="AU344" s="500"/>
      <c r="AV344" s="500"/>
      <c r="AW344" s="500"/>
      <c r="AX344" s="500"/>
      <c r="AY344" s="500"/>
      <c r="AZ344" s="500"/>
      <c r="BA344" s="500"/>
      <c r="BB344" s="500"/>
      <c r="BC344" s="500"/>
      <c r="BD344" s="500"/>
      <c r="BE344" s="500"/>
      <c r="BF344" s="500"/>
      <c r="BG344" s="500"/>
      <c r="BH344" s="500"/>
      <c r="BI344" s="500"/>
      <c r="BJ344" s="500"/>
      <c r="BK344" s="500"/>
      <c r="BL344" s="500"/>
      <c r="BM344" s="500"/>
      <c r="BN344" s="500"/>
      <c r="BO344" s="500"/>
      <c r="BP344" s="500"/>
      <c r="BQ344" s="500"/>
      <c r="BR344" s="500"/>
      <c r="BS344" s="500"/>
      <c r="BT344" s="500"/>
      <c r="BU344" s="500"/>
      <c r="BV344" s="500"/>
    </row>
    <row r="345" ht="14.25" customHeight="1">
      <c r="A345" s="8"/>
      <c r="B345" s="500"/>
      <c r="C345" s="500"/>
      <c r="D345" s="500"/>
      <c r="E345" s="500"/>
      <c r="F345" s="500"/>
      <c r="G345" s="500"/>
      <c r="H345" s="500"/>
      <c r="I345" s="500"/>
      <c r="J345" s="500"/>
      <c r="K345" s="500"/>
      <c r="L345" s="500"/>
      <c r="M345" s="500"/>
      <c r="N345" s="500"/>
      <c r="O345" s="500"/>
      <c r="P345" s="500"/>
      <c r="Q345" s="500"/>
      <c r="R345" s="500"/>
      <c r="S345" s="500"/>
      <c r="T345" s="500"/>
      <c r="U345" s="500"/>
      <c r="V345" s="500"/>
      <c r="W345" s="500"/>
      <c r="X345" s="500"/>
      <c r="Y345" s="500"/>
      <c r="Z345" s="501"/>
      <c r="AA345" s="501"/>
      <c r="AB345" s="501"/>
      <c r="AC345" s="501"/>
      <c r="AD345" s="500"/>
      <c r="AE345" s="500"/>
      <c r="AF345" s="503"/>
      <c r="AG345" s="503"/>
      <c r="AH345" s="504"/>
      <c r="AI345" s="500"/>
      <c r="AJ345" s="500"/>
      <c r="AK345" s="500"/>
      <c r="AL345" s="500"/>
      <c r="AM345" s="500"/>
      <c r="AN345" s="500"/>
      <c r="AO345" s="500"/>
      <c r="AP345" s="500"/>
      <c r="AQ345" s="500"/>
      <c r="AR345" s="500"/>
      <c r="AS345" s="500"/>
      <c r="AT345" s="500"/>
      <c r="AU345" s="500"/>
      <c r="AV345" s="500"/>
      <c r="AW345" s="500"/>
      <c r="AX345" s="500"/>
      <c r="AY345" s="500"/>
      <c r="AZ345" s="500"/>
      <c r="BA345" s="500"/>
      <c r="BB345" s="500"/>
      <c r="BC345" s="500"/>
      <c r="BD345" s="500"/>
      <c r="BE345" s="500"/>
      <c r="BF345" s="500"/>
      <c r="BG345" s="500"/>
      <c r="BH345" s="500"/>
      <c r="BI345" s="500"/>
      <c r="BJ345" s="500"/>
      <c r="BK345" s="500"/>
      <c r="BL345" s="500"/>
      <c r="BM345" s="500"/>
      <c r="BN345" s="500"/>
      <c r="BO345" s="500"/>
      <c r="BP345" s="500"/>
      <c r="BQ345" s="500"/>
      <c r="BR345" s="500"/>
      <c r="BS345" s="500"/>
      <c r="BT345" s="500"/>
      <c r="BU345" s="500"/>
      <c r="BV345" s="500"/>
    </row>
    <row r="346" ht="14.25" customHeight="1">
      <c r="A346" s="8"/>
      <c r="B346" s="500"/>
      <c r="C346" s="500"/>
      <c r="D346" s="500"/>
      <c r="E346" s="500"/>
      <c r="F346" s="500"/>
      <c r="G346" s="500"/>
      <c r="H346" s="500"/>
      <c r="I346" s="500"/>
      <c r="J346" s="500"/>
      <c r="K346" s="500"/>
      <c r="L346" s="500"/>
      <c r="M346" s="500"/>
      <c r="N346" s="500"/>
      <c r="O346" s="500"/>
      <c r="P346" s="500"/>
      <c r="Q346" s="500"/>
      <c r="R346" s="500"/>
      <c r="S346" s="500"/>
      <c r="T346" s="500"/>
      <c r="U346" s="500"/>
      <c r="V346" s="500"/>
      <c r="W346" s="500"/>
      <c r="X346" s="500"/>
      <c r="Y346" s="500"/>
      <c r="Z346" s="501"/>
      <c r="AA346" s="501"/>
      <c r="AB346" s="501"/>
      <c r="AC346" s="501"/>
      <c r="AD346" s="500"/>
      <c r="AE346" s="500"/>
      <c r="AF346" s="503"/>
      <c r="AG346" s="503"/>
      <c r="AH346" s="504"/>
      <c r="AI346" s="500"/>
      <c r="AJ346" s="500"/>
      <c r="AK346" s="500"/>
      <c r="AL346" s="500"/>
      <c r="AM346" s="500"/>
      <c r="AN346" s="500"/>
      <c r="AO346" s="500"/>
      <c r="AP346" s="500"/>
      <c r="AQ346" s="500"/>
      <c r="AR346" s="500"/>
      <c r="AS346" s="500"/>
      <c r="AT346" s="500"/>
      <c r="AU346" s="500"/>
      <c r="AV346" s="500"/>
      <c r="AW346" s="500"/>
      <c r="AX346" s="500"/>
      <c r="AY346" s="500"/>
      <c r="AZ346" s="500"/>
      <c r="BA346" s="500"/>
      <c r="BB346" s="500"/>
      <c r="BC346" s="500"/>
      <c r="BD346" s="500"/>
      <c r="BE346" s="500"/>
      <c r="BF346" s="500"/>
      <c r="BG346" s="500"/>
      <c r="BH346" s="500"/>
      <c r="BI346" s="500"/>
      <c r="BJ346" s="500"/>
      <c r="BK346" s="500"/>
      <c r="BL346" s="500"/>
      <c r="BM346" s="500"/>
      <c r="BN346" s="500"/>
      <c r="BO346" s="500"/>
      <c r="BP346" s="500"/>
      <c r="BQ346" s="500"/>
      <c r="BR346" s="500"/>
      <c r="BS346" s="500"/>
      <c r="BT346" s="500"/>
      <c r="BU346" s="500"/>
      <c r="BV346" s="500"/>
    </row>
    <row r="347" ht="14.25" customHeight="1">
      <c r="A347" s="8"/>
      <c r="B347" s="500"/>
      <c r="C347" s="500"/>
      <c r="D347" s="500"/>
      <c r="E347" s="500"/>
      <c r="F347" s="500"/>
      <c r="G347" s="500"/>
      <c r="H347" s="500"/>
      <c r="I347" s="500"/>
      <c r="J347" s="500"/>
      <c r="K347" s="500"/>
      <c r="L347" s="500"/>
      <c r="M347" s="500"/>
      <c r="N347" s="500"/>
      <c r="O347" s="500"/>
      <c r="P347" s="500"/>
      <c r="Q347" s="500"/>
      <c r="R347" s="500"/>
      <c r="S347" s="500"/>
      <c r="T347" s="500"/>
      <c r="U347" s="500"/>
      <c r="V347" s="500"/>
      <c r="W347" s="500"/>
      <c r="X347" s="500"/>
      <c r="Y347" s="500"/>
      <c r="Z347" s="501"/>
      <c r="AA347" s="501"/>
      <c r="AB347" s="501"/>
      <c r="AC347" s="501"/>
      <c r="AD347" s="500"/>
      <c r="AE347" s="500"/>
      <c r="AF347" s="503"/>
      <c r="AG347" s="503"/>
      <c r="AH347" s="504"/>
      <c r="AI347" s="500"/>
      <c r="AJ347" s="500"/>
      <c r="AK347" s="500"/>
      <c r="AL347" s="500"/>
      <c r="AM347" s="500"/>
      <c r="AN347" s="500"/>
      <c r="AO347" s="500"/>
      <c r="AP347" s="500"/>
      <c r="AQ347" s="500"/>
      <c r="AR347" s="500"/>
      <c r="AS347" s="500"/>
      <c r="AT347" s="500"/>
      <c r="AU347" s="500"/>
      <c r="AV347" s="500"/>
      <c r="AW347" s="500"/>
      <c r="AX347" s="500"/>
      <c r="AY347" s="500"/>
      <c r="AZ347" s="500"/>
      <c r="BA347" s="500"/>
      <c r="BB347" s="500"/>
      <c r="BC347" s="500"/>
      <c r="BD347" s="500"/>
      <c r="BE347" s="500"/>
      <c r="BF347" s="500"/>
      <c r="BG347" s="500"/>
      <c r="BH347" s="500"/>
      <c r="BI347" s="500"/>
      <c r="BJ347" s="500"/>
      <c r="BK347" s="500"/>
      <c r="BL347" s="500"/>
      <c r="BM347" s="500"/>
      <c r="BN347" s="500"/>
      <c r="BO347" s="500"/>
      <c r="BP347" s="500"/>
      <c r="BQ347" s="500"/>
      <c r="BR347" s="500"/>
      <c r="BS347" s="500"/>
      <c r="BT347" s="500"/>
      <c r="BU347" s="500"/>
      <c r="BV347" s="500"/>
    </row>
    <row r="348" ht="14.25" customHeight="1">
      <c r="A348" s="8"/>
      <c r="B348" s="500"/>
      <c r="C348" s="500"/>
      <c r="D348" s="500"/>
      <c r="E348" s="500"/>
      <c r="F348" s="500"/>
      <c r="G348" s="500"/>
      <c r="H348" s="500"/>
      <c r="I348" s="500"/>
      <c r="J348" s="500"/>
      <c r="K348" s="500"/>
      <c r="L348" s="500"/>
      <c r="M348" s="500"/>
      <c r="N348" s="500"/>
      <c r="O348" s="500"/>
      <c r="P348" s="500"/>
      <c r="Q348" s="500"/>
      <c r="R348" s="500"/>
      <c r="S348" s="500"/>
      <c r="T348" s="500"/>
      <c r="U348" s="500"/>
      <c r="V348" s="500"/>
      <c r="W348" s="500"/>
      <c r="X348" s="500"/>
      <c r="Y348" s="500"/>
      <c r="Z348" s="501"/>
      <c r="AA348" s="501"/>
      <c r="AB348" s="501"/>
      <c r="AC348" s="501"/>
      <c r="AD348" s="500"/>
      <c r="AE348" s="500"/>
      <c r="AF348" s="503"/>
      <c r="AG348" s="503"/>
      <c r="AH348" s="504"/>
      <c r="AI348" s="500"/>
      <c r="AJ348" s="500"/>
      <c r="AK348" s="500"/>
      <c r="AL348" s="500"/>
      <c r="AM348" s="500"/>
      <c r="AN348" s="500"/>
      <c r="AO348" s="500"/>
      <c r="AP348" s="500"/>
      <c r="AQ348" s="500"/>
      <c r="AR348" s="500"/>
      <c r="AS348" s="500"/>
      <c r="AT348" s="500"/>
      <c r="AU348" s="500"/>
      <c r="AV348" s="500"/>
      <c r="AW348" s="500"/>
      <c r="AX348" s="500"/>
      <c r="AY348" s="500"/>
      <c r="AZ348" s="500"/>
      <c r="BA348" s="500"/>
      <c r="BB348" s="500"/>
      <c r="BC348" s="500"/>
      <c r="BD348" s="500"/>
      <c r="BE348" s="500"/>
      <c r="BF348" s="500"/>
      <c r="BG348" s="500"/>
      <c r="BH348" s="500"/>
      <c r="BI348" s="500"/>
      <c r="BJ348" s="500"/>
      <c r="BK348" s="500"/>
      <c r="BL348" s="500"/>
      <c r="BM348" s="500"/>
      <c r="BN348" s="500"/>
      <c r="BO348" s="500"/>
      <c r="BP348" s="500"/>
      <c r="BQ348" s="500"/>
      <c r="BR348" s="500"/>
      <c r="BS348" s="500"/>
      <c r="BT348" s="500"/>
      <c r="BU348" s="500"/>
      <c r="BV348" s="500"/>
    </row>
    <row r="349" ht="14.25" customHeight="1">
      <c r="A349" s="500"/>
      <c r="B349" s="500"/>
      <c r="C349" s="500"/>
      <c r="D349" s="500"/>
      <c r="E349" s="500"/>
      <c r="F349" s="500"/>
      <c r="G349" s="500"/>
      <c r="H349" s="500"/>
      <c r="I349" s="500"/>
      <c r="J349" s="500"/>
      <c r="K349" s="500"/>
      <c r="L349" s="500"/>
      <c r="M349" s="500"/>
      <c r="N349" s="500"/>
      <c r="O349" s="500"/>
      <c r="P349" s="500"/>
      <c r="Q349" s="500"/>
      <c r="R349" s="500"/>
      <c r="S349" s="500"/>
      <c r="T349" s="500"/>
      <c r="U349" s="500"/>
      <c r="V349" s="500"/>
      <c r="W349" s="500"/>
      <c r="X349" s="500"/>
      <c r="Y349" s="500"/>
      <c r="Z349" s="501"/>
      <c r="AA349" s="501"/>
      <c r="AB349" s="501"/>
      <c r="AC349" s="501"/>
      <c r="AD349" s="500"/>
      <c r="AE349" s="500"/>
      <c r="AF349" s="503"/>
      <c r="AG349" s="503"/>
      <c r="AH349" s="504"/>
      <c r="AI349" s="500"/>
      <c r="AJ349" s="500"/>
      <c r="AK349" s="500"/>
      <c r="AL349" s="500"/>
      <c r="AM349" s="500"/>
      <c r="AN349" s="500"/>
      <c r="AO349" s="500"/>
      <c r="AP349" s="500"/>
      <c r="AQ349" s="500"/>
      <c r="AR349" s="500"/>
      <c r="AS349" s="500"/>
      <c r="AT349" s="500"/>
      <c r="AU349" s="500"/>
      <c r="AV349" s="500"/>
      <c r="AW349" s="500"/>
      <c r="AX349" s="500"/>
      <c r="AY349" s="500"/>
      <c r="AZ349" s="500"/>
      <c r="BA349" s="500"/>
      <c r="BB349" s="500"/>
      <c r="BC349" s="500"/>
      <c r="BD349" s="500"/>
      <c r="BE349" s="500"/>
      <c r="BF349" s="500"/>
      <c r="BG349" s="500"/>
      <c r="BH349" s="500"/>
      <c r="BI349" s="500"/>
      <c r="BJ349" s="500"/>
      <c r="BK349" s="500"/>
      <c r="BL349" s="500"/>
      <c r="BM349" s="500"/>
      <c r="BN349" s="500"/>
      <c r="BO349" s="500"/>
      <c r="BP349" s="500"/>
      <c r="BQ349" s="500"/>
      <c r="BR349" s="500"/>
      <c r="BS349" s="500"/>
      <c r="BT349" s="500"/>
      <c r="BU349" s="500"/>
      <c r="BV349" s="500"/>
    </row>
    <row r="350" ht="14.25" customHeight="1">
      <c r="A350" s="500"/>
      <c r="B350" s="500"/>
      <c r="C350" s="500"/>
      <c r="D350" s="500"/>
      <c r="E350" s="500"/>
      <c r="F350" s="500"/>
      <c r="G350" s="500"/>
      <c r="H350" s="500"/>
      <c r="I350" s="500"/>
      <c r="J350" s="500"/>
      <c r="K350" s="500"/>
      <c r="L350" s="500"/>
      <c r="M350" s="500"/>
      <c r="N350" s="500"/>
      <c r="O350" s="500"/>
      <c r="P350" s="500"/>
      <c r="Q350" s="500"/>
      <c r="R350" s="500"/>
      <c r="S350" s="500"/>
      <c r="T350" s="500"/>
      <c r="U350" s="500"/>
      <c r="V350" s="500"/>
      <c r="W350" s="500"/>
      <c r="X350" s="500"/>
      <c r="Y350" s="500"/>
      <c r="Z350" s="501"/>
      <c r="AA350" s="501"/>
      <c r="AB350" s="501"/>
      <c r="AC350" s="501"/>
      <c r="AD350" s="500"/>
      <c r="AE350" s="500"/>
      <c r="AF350" s="503"/>
      <c r="AG350" s="503"/>
      <c r="AH350" s="504"/>
      <c r="AI350" s="500"/>
      <c r="AJ350" s="500"/>
      <c r="AK350" s="500"/>
      <c r="AL350" s="500"/>
      <c r="AM350" s="500"/>
      <c r="AN350" s="500"/>
      <c r="AO350" s="500"/>
      <c r="AP350" s="500"/>
      <c r="AQ350" s="500"/>
      <c r="AR350" s="500"/>
      <c r="AS350" s="500"/>
      <c r="AT350" s="500"/>
      <c r="AU350" s="500"/>
      <c r="AV350" s="500"/>
      <c r="AW350" s="500"/>
      <c r="AX350" s="500"/>
      <c r="AY350" s="500"/>
      <c r="AZ350" s="500"/>
      <c r="BA350" s="500"/>
      <c r="BB350" s="500"/>
      <c r="BC350" s="500"/>
      <c r="BD350" s="500"/>
      <c r="BE350" s="500"/>
      <c r="BF350" s="500"/>
      <c r="BG350" s="500"/>
      <c r="BH350" s="500"/>
      <c r="BI350" s="500"/>
      <c r="BJ350" s="500"/>
      <c r="BK350" s="500"/>
      <c r="BL350" s="500"/>
      <c r="BM350" s="500"/>
      <c r="BN350" s="500"/>
      <c r="BO350" s="500"/>
      <c r="BP350" s="500"/>
      <c r="BQ350" s="500"/>
      <c r="BR350" s="500"/>
      <c r="BS350" s="500"/>
      <c r="BT350" s="500"/>
      <c r="BU350" s="500"/>
      <c r="BV350" s="500"/>
    </row>
    <row r="351" ht="14.25" customHeight="1">
      <c r="A351" s="500"/>
      <c r="B351" s="500"/>
      <c r="C351" s="500"/>
      <c r="D351" s="500"/>
      <c r="E351" s="500"/>
      <c r="F351" s="500"/>
      <c r="G351" s="500"/>
      <c r="H351" s="500"/>
      <c r="I351" s="500"/>
      <c r="J351" s="500"/>
      <c r="K351" s="500"/>
      <c r="L351" s="500"/>
      <c r="M351" s="500"/>
      <c r="N351" s="500"/>
      <c r="O351" s="500"/>
      <c r="P351" s="500"/>
      <c r="Q351" s="500"/>
      <c r="R351" s="500"/>
      <c r="S351" s="500"/>
      <c r="T351" s="500"/>
      <c r="U351" s="500"/>
      <c r="V351" s="500"/>
      <c r="W351" s="500"/>
      <c r="X351" s="500"/>
      <c r="Y351" s="500"/>
      <c r="Z351" s="501"/>
      <c r="AA351" s="501"/>
      <c r="AB351" s="501"/>
      <c r="AC351" s="501"/>
      <c r="AD351" s="500"/>
      <c r="AE351" s="500"/>
      <c r="AF351" s="503"/>
      <c r="AG351" s="503"/>
      <c r="AH351" s="504"/>
      <c r="AI351" s="500"/>
      <c r="AJ351" s="500"/>
      <c r="AK351" s="500"/>
      <c r="AL351" s="500"/>
      <c r="AM351" s="500"/>
      <c r="AN351" s="500"/>
      <c r="AO351" s="500"/>
      <c r="AP351" s="500"/>
      <c r="AQ351" s="500"/>
      <c r="AR351" s="500"/>
      <c r="AS351" s="500"/>
      <c r="AT351" s="500"/>
      <c r="AU351" s="500"/>
      <c r="AV351" s="500"/>
      <c r="AW351" s="500"/>
      <c r="AX351" s="500"/>
      <c r="AY351" s="500"/>
      <c r="AZ351" s="500"/>
      <c r="BA351" s="500"/>
      <c r="BB351" s="500"/>
      <c r="BC351" s="500"/>
      <c r="BD351" s="500"/>
      <c r="BE351" s="500"/>
      <c r="BF351" s="500"/>
      <c r="BG351" s="500"/>
      <c r="BH351" s="500"/>
      <c r="BI351" s="500"/>
      <c r="BJ351" s="500"/>
      <c r="BK351" s="500"/>
      <c r="BL351" s="500"/>
      <c r="BM351" s="500"/>
      <c r="BN351" s="500"/>
      <c r="BO351" s="500"/>
      <c r="BP351" s="500"/>
      <c r="BQ351" s="500"/>
      <c r="BR351" s="500"/>
      <c r="BS351" s="500"/>
      <c r="BT351" s="500"/>
      <c r="BU351" s="500"/>
      <c r="BV351" s="500"/>
    </row>
    <row r="352" ht="14.25" customHeight="1">
      <c r="A352" s="500"/>
      <c r="B352" s="500"/>
      <c r="C352" s="500"/>
      <c r="D352" s="500"/>
      <c r="E352" s="500"/>
      <c r="F352" s="500"/>
      <c r="G352" s="500"/>
      <c r="H352" s="500"/>
      <c r="I352" s="500"/>
      <c r="J352" s="500"/>
      <c r="K352" s="500"/>
      <c r="L352" s="500"/>
      <c r="M352" s="500"/>
      <c r="N352" s="500"/>
      <c r="O352" s="500"/>
      <c r="P352" s="500"/>
      <c r="Q352" s="500"/>
      <c r="R352" s="500"/>
      <c r="S352" s="500"/>
      <c r="T352" s="500"/>
      <c r="U352" s="500"/>
      <c r="V352" s="500"/>
      <c r="W352" s="500"/>
      <c r="X352" s="500"/>
      <c r="Y352" s="500"/>
      <c r="Z352" s="501"/>
      <c r="AA352" s="501"/>
      <c r="AB352" s="501"/>
      <c r="AC352" s="501"/>
      <c r="AD352" s="500"/>
      <c r="AE352" s="500"/>
      <c r="AF352" s="503"/>
      <c r="AG352" s="503"/>
      <c r="AH352" s="504"/>
      <c r="AI352" s="500"/>
      <c r="AJ352" s="500"/>
      <c r="AK352" s="500"/>
      <c r="AL352" s="500"/>
      <c r="AM352" s="500"/>
      <c r="AN352" s="500"/>
      <c r="AO352" s="500"/>
      <c r="AP352" s="500"/>
      <c r="AQ352" s="500"/>
      <c r="AR352" s="500"/>
      <c r="AS352" s="500"/>
      <c r="AT352" s="500"/>
      <c r="AU352" s="500"/>
      <c r="AV352" s="500"/>
      <c r="AW352" s="500"/>
      <c r="AX352" s="500"/>
      <c r="AY352" s="500"/>
      <c r="AZ352" s="500"/>
      <c r="BA352" s="500"/>
      <c r="BB352" s="500"/>
      <c r="BC352" s="500"/>
      <c r="BD352" s="500"/>
      <c r="BE352" s="500"/>
      <c r="BF352" s="500"/>
      <c r="BG352" s="500"/>
      <c r="BH352" s="500"/>
      <c r="BI352" s="500"/>
      <c r="BJ352" s="500"/>
      <c r="BK352" s="500"/>
      <c r="BL352" s="500"/>
      <c r="BM352" s="500"/>
      <c r="BN352" s="500"/>
      <c r="BO352" s="500"/>
      <c r="BP352" s="500"/>
      <c r="BQ352" s="500"/>
      <c r="BR352" s="500"/>
      <c r="BS352" s="500"/>
      <c r="BT352" s="500"/>
      <c r="BU352" s="500"/>
      <c r="BV352" s="500"/>
    </row>
    <row r="353" ht="14.25" customHeight="1">
      <c r="A353" s="500"/>
      <c r="B353" s="500"/>
      <c r="C353" s="500"/>
      <c r="D353" s="500"/>
      <c r="E353" s="500"/>
      <c r="F353" s="500"/>
      <c r="G353" s="500"/>
      <c r="H353" s="500"/>
      <c r="I353" s="500"/>
      <c r="J353" s="500"/>
      <c r="K353" s="500"/>
      <c r="L353" s="500"/>
      <c r="M353" s="500"/>
      <c r="N353" s="500"/>
      <c r="O353" s="500"/>
      <c r="P353" s="500"/>
      <c r="Q353" s="500"/>
      <c r="R353" s="500"/>
      <c r="S353" s="500"/>
      <c r="T353" s="500"/>
      <c r="U353" s="500"/>
      <c r="V353" s="500"/>
      <c r="W353" s="500"/>
      <c r="X353" s="500"/>
      <c r="Y353" s="500"/>
      <c r="Z353" s="501"/>
      <c r="AA353" s="501"/>
      <c r="AB353" s="501"/>
      <c r="AC353" s="501"/>
      <c r="AD353" s="500"/>
      <c r="AE353" s="500"/>
      <c r="AF353" s="503"/>
      <c r="AG353" s="503"/>
      <c r="AH353" s="504"/>
      <c r="AI353" s="500"/>
      <c r="AJ353" s="500"/>
      <c r="AK353" s="500"/>
      <c r="AL353" s="500"/>
      <c r="AM353" s="500"/>
      <c r="AN353" s="500"/>
      <c r="AO353" s="500"/>
      <c r="AP353" s="500"/>
      <c r="AQ353" s="500"/>
      <c r="AR353" s="500"/>
      <c r="AS353" s="500"/>
      <c r="AT353" s="500"/>
      <c r="AU353" s="500"/>
      <c r="AV353" s="500"/>
      <c r="AW353" s="500"/>
      <c r="AX353" s="500"/>
      <c r="AY353" s="500"/>
      <c r="AZ353" s="500"/>
      <c r="BA353" s="500"/>
      <c r="BB353" s="500"/>
      <c r="BC353" s="500"/>
      <c r="BD353" s="500"/>
      <c r="BE353" s="500"/>
      <c r="BF353" s="500"/>
      <c r="BG353" s="500"/>
      <c r="BH353" s="500"/>
      <c r="BI353" s="500"/>
      <c r="BJ353" s="500"/>
      <c r="BK353" s="500"/>
      <c r="BL353" s="500"/>
      <c r="BM353" s="500"/>
      <c r="BN353" s="500"/>
      <c r="BO353" s="500"/>
      <c r="BP353" s="500"/>
      <c r="BQ353" s="500"/>
      <c r="BR353" s="500"/>
      <c r="BS353" s="500"/>
      <c r="BT353" s="500"/>
      <c r="BU353" s="500"/>
      <c r="BV353" s="500"/>
    </row>
    <row r="354" ht="14.25" customHeight="1">
      <c r="A354" s="500"/>
      <c r="B354" s="500"/>
      <c r="C354" s="500"/>
      <c r="D354" s="500"/>
      <c r="E354" s="500"/>
      <c r="F354" s="500"/>
      <c r="G354" s="500"/>
      <c r="H354" s="500"/>
      <c r="I354" s="500"/>
      <c r="J354" s="500"/>
      <c r="K354" s="500"/>
      <c r="L354" s="500"/>
      <c r="M354" s="500"/>
      <c r="N354" s="500"/>
      <c r="O354" s="500"/>
      <c r="P354" s="500"/>
      <c r="Q354" s="500"/>
      <c r="R354" s="500"/>
      <c r="S354" s="500"/>
      <c r="T354" s="500"/>
      <c r="U354" s="500"/>
      <c r="V354" s="500"/>
      <c r="W354" s="500"/>
      <c r="X354" s="500"/>
      <c r="Y354" s="500"/>
      <c r="Z354" s="501"/>
      <c r="AA354" s="501"/>
      <c r="AB354" s="501"/>
      <c r="AC354" s="501"/>
      <c r="AD354" s="500"/>
      <c r="AE354" s="500"/>
      <c r="AF354" s="503"/>
      <c r="AG354" s="503"/>
      <c r="AH354" s="504"/>
      <c r="AI354" s="500"/>
      <c r="AJ354" s="500"/>
      <c r="AK354" s="500"/>
      <c r="AL354" s="500"/>
      <c r="AM354" s="500"/>
      <c r="AN354" s="500"/>
      <c r="AO354" s="500"/>
      <c r="AP354" s="500"/>
      <c r="AQ354" s="500"/>
      <c r="AR354" s="500"/>
      <c r="AS354" s="500"/>
      <c r="AT354" s="500"/>
      <c r="AU354" s="500"/>
      <c r="AV354" s="500"/>
      <c r="AW354" s="500"/>
      <c r="AX354" s="500"/>
      <c r="AY354" s="500"/>
      <c r="AZ354" s="500"/>
      <c r="BA354" s="500"/>
      <c r="BB354" s="500"/>
      <c r="BC354" s="500"/>
      <c r="BD354" s="500"/>
      <c r="BE354" s="500"/>
      <c r="BF354" s="500"/>
      <c r="BG354" s="500"/>
      <c r="BH354" s="500"/>
      <c r="BI354" s="500"/>
      <c r="BJ354" s="500"/>
      <c r="BK354" s="500"/>
      <c r="BL354" s="500"/>
      <c r="BM354" s="500"/>
      <c r="BN354" s="500"/>
      <c r="BO354" s="500"/>
      <c r="BP354" s="500"/>
      <c r="BQ354" s="500"/>
      <c r="BR354" s="500"/>
      <c r="BS354" s="500"/>
      <c r="BT354" s="500"/>
      <c r="BU354" s="500"/>
      <c r="BV354" s="500"/>
    </row>
    <row r="355" ht="14.25" customHeight="1">
      <c r="A355" s="500"/>
      <c r="B355" s="500"/>
      <c r="C355" s="500"/>
      <c r="D355" s="500"/>
      <c r="E355" s="500"/>
      <c r="F355" s="500"/>
      <c r="G355" s="500"/>
      <c r="H355" s="500"/>
      <c r="I355" s="500"/>
      <c r="J355" s="500"/>
      <c r="K355" s="500"/>
      <c r="L355" s="500"/>
      <c r="M355" s="500"/>
      <c r="N355" s="500"/>
      <c r="O355" s="500"/>
      <c r="P355" s="500"/>
      <c r="Q355" s="500"/>
      <c r="R355" s="500"/>
      <c r="S355" s="500"/>
      <c r="T355" s="500"/>
      <c r="U355" s="500"/>
      <c r="V355" s="500"/>
      <c r="W355" s="500"/>
      <c r="X355" s="500"/>
      <c r="Y355" s="500"/>
      <c r="Z355" s="501"/>
      <c r="AA355" s="501"/>
      <c r="AB355" s="501"/>
      <c r="AC355" s="501"/>
      <c r="AD355" s="500"/>
      <c r="AE355" s="500"/>
      <c r="AF355" s="503"/>
      <c r="AG355" s="503"/>
      <c r="AH355" s="504"/>
      <c r="AI355" s="500"/>
      <c r="AJ355" s="500"/>
      <c r="AK355" s="500"/>
      <c r="AL355" s="500"/>
      <c r="AM355" s="500"/>
      <c r="AN355" s="500"/>
      <c r="AO355" s="500"/>
      <c r="AP355" s="500"/>
      <c r="AQ355" s="500"/>
      <c r="AR355" s="500"/>
      <c r="AS355" s="500"/>
      <c r="AT355" s="500"/>
      <c r="AU355" s="500"/>
      <c r="AV355" s="500"/>
      <c r="AW355" s="500"/>
      <c r="AX355" s="500"/>
      <c r="AY355" s="500"/>
      <c r="AZ355" s="500"/>
      <c r="BA355" s="500"/>
      <c r="BB355" s="500"/>
      <c r="BC355" s="500"/>
      <c r="BD355" s="500"/>
      <c r="BE355" s="500"/>
      <c r="BF355" s="500"/>
      <c r="BG355" s="500"/>
      <c r="BH355" s="500"/>
      <c r="BI355" s="500"/>
      <c r="BJ355" s="500"/>
      <c r="BK355" s="500"/>
      <c r="BL355" s="500"/>
      <c r="BM355" s="500"/>
      <c r="BN355" s="500"/>
      <c r="BO355" s="500"/>
      <c r="BP355" s="500"/>
      <c r="BQ355" s="500"/>
      <c r="BR355" s="500"/>
      <c r="BS355" s="500"/>
      <c r="BT355" s="500"/>
      <c r="BU355" s="500"/>
      <c r="BV355" s="500"/>
    </row>
    <row r="356" ht="14.25" customHeight="1">
      <c r="A356" s="500"/>
      <c r="B356" s="500"/>
      <c r="C356" s="500"/>
      <c r="D356" s="500"/>
      <c r="E356" s="500"/>
      <c r="F356" s="500"/>
      <c r="G356" s="500"/>
      <c r="H356" s="500"/>
      <c r="I356" s="500"/>
      <c r="J356" s="500"/>
      <c r="K356" s="500"/>
      <c r="L356" s="500"/>
      <c r="M356" s="500"/>
      <c r="N356" s="500"/>
      <c r="O356" s="500"/>
      <c r="P356" s="500"/>
      <c r="Q356" s="500"/>
      <c r="R356" s="500"/>
      <c r="S356" s="500"/>
      <c r="T356" s="500"/>
      <c r="U356" s="500"/>
      <c r="V356" s="500"/>
      <c r="W356" s="500"/>
      <c r="X356" s="500"/>
      <c r="Y356" s="500"/>
      <c r="Z356" s="501"/>
      <c r="AA356" s="501"/>
      <c r="AB356" s="501"/>
      <c r="AC356" s="501"/>
      <c r="AD356" s="500"/>
      <c r="AE356" s="500"/>
      <c r="AF356" s="503"/>
      <c r="AG356" s="503"/>
      <c r="AH356" s="504"/>
      <c r="AI356" s="500"/>
      <c r="AJ356" s="500"/>
      <c r="AK356" s="500"/>
      <c r="AL356" s="500"/>
      <c r="AM356" s="500"/>
      <c r="AN356" s="500"/>
      <c r="AO356" s="500"/>
      <c r="AP356" s="500"/>
      <c r="AQ356" s="500"/>
      <c r="AR356" s="500"/>
      <c r="AS356" s="500"/>
      <c r="AT356" s="500"/>
      <c r="AU356" s="500"/>
      <c r="AV356" s="500"/>
      <c r="AW356" s="500"/>
      <c r="AX356" s="500"/>
      <c r="AY356" s="500"/>
      <c r="AZ356" s="500"/>
      <c r="BA356" s="500"/>
      <c r="BB356" s="500"/>
      <c r="BC356" s="500"/>
      <c r="BD356" s="500"/>
      <c r="BE356" s="500"/>
      <c r="BF356" s="500"/>
      <c r="BG356" s="500"/>
      <c r="BH356" s="500"/>
      <c r="BI356" s="500"/>
      <c r="BJ356" s="500"/>
      <c r="BK356" s="500"/>
      <c r="BL356" s="500"/>
      <c r="BM356" s="500"/>
      <c r="BN356" s="500"/>
      <c r="BO356" s="500"/>
      <c r="BP356" s="500"/>
      <c r="BQ356" s="500"/>
      <c r="BR356" s="500"/>
      <c r="BS356" s="500"/>
      <c r="BT356" s="500"/>
      <c r="BU356" s="500"/>
      <c r="BV356" s="500"/>
    </row>
    <row r="357" ht="14.25" customHeight="1">
      <c r="A357" s="500"/>
      <c r="B357" s="500"/>
      <c r="C357" s="500"/>
      <c r="D357" s="500"/>
      <c r="E357" s="500"/>
      <c r="F357" s="500"/>
      <c r="G357" s="500"/>
      <c r="H357" s="500"/>
      <c r="I357" s="500"/>
      <c r="J357" s="500"/>
      <c r="K357" s="500"/>
      <c r="L357" s="500"/>
      <c r="M357" s="500"/>
      <c r="N357" s="500"/>
      <c r="O357" s="500"/>
      <c r="P357" s="500"/>
      <c r="Q357" s="500"/>
      <c r="R357" s="500"/>
      <c r="S357" s="500"/>
      <c r="T357" s="500"/>
      <c r="U357" s="500"/>
      <c r="V357" s="500"/>
      <c r="W357" s="500"/>
      <c r="X357" s="500"/>
      <c r="Y357" s="500"/>
      <c r="Z357" s="501"/>
      <c r="AA357" s="501"/>
      <c r="AB357" s="501"/>
      <c r="AC357" s="501"/>
      <c r="AD357" s="500"/>
      <c r="AE357" s="500"/>
      <c r="AF357" s="503"/>
      <c r="AG357" s="503"/>
      <c r="AH357" s="504"/>
      <c r="AI357" s="500"/>
      <c r="AJ357" s="500"/>
      <c r="AK357" s="500"/>
      <c r="AL357" s="500"/>
      <c r="AM357" s="500"/>
      <c r="AN357" s="500"/>
      <c r="AO357" s="500"/>
      <c r="AP357" s="500"/>
      <c r="AQ357" s="500"/>
      <c r="AR357" s="500"/>
      <c r="AS357" s="500"/>
      <c r="AT357" s="500"/>
      <c r="AU357" s="500"/>
      <c r="AV357" s="500"/>
      <c r="AW357" s="500"/>
      <c r="AX357" s="500"/>
      <c r="AY357" s="500"/>
      <c r="AZ357" s="500"/>
      <c r="BA357" s="500"/>
      <c r="BB357" s="500"/>
      <c r="BC357" s="500"/>
      <c r="BD357" s="500"/>
      <c r="BE357" s="500"/>
      <c r="BF357" s="500"/>
      <c r="BG357" s="500"/>
      <c r="BH357" s="500"/>
      <c r="BI357" s="500"/>
      <c r="BJ357" s="500"/>
      <c r="BK357" s="500"/>
      <c r="BL357" s="500"/>
      <c r="BM357" s="500"/>
      <c r="BN357" s="500"/>
      <c r="BO357" s="500"/>
      <c r="BP357" s="500"/>
      <c r="BQ357" s="500"/>
      <c r="BR357" s="500"/>
      <c r="BS357" s="500"/>
      <c r="BT357" s="500"/>
      <c r="BU357" s="500"/>
      <c r="BV357" s="500"/>
    </row>
    <row r="358" ht="14.25" customHeight="1">
      <c r="A358" s="500"/>
      <c r="B358" s="500"/>
      <c r="C358" s="500"/>
      <c r="D358" s="500"/>
      <c r="E358" s="500"/>
      <c r="F358" s="500"/>
      <c r="G358" s="500"/>
      <c r="H358" s="500"/>
      <c r="I358" s="500"/>
      <c r="J358" s="500"/>
      <c r="K358" s="500"/>
      <c r="L358" s="500"/>
      <c r="M358" s="500"/>
      <c r="N358" s="500"/>
      <c r="O358" s="500"/>
      <c r="P358" s="500"/>
      <c r="Q358" s="500"/>
      <c r="R358" s="500"/>
      <c r="S358" s="500"/>
      <c r="T358" s="500"/>
      <c r="U358" s="500"/>
      <c r="V358" s="500"/>
      <c r="W358" s="500"/>
      <c r="X358" s="500"/>
      <c r="Y358" s="500"/>
      <c r="Z358" s="501"/>
      <c r="AA358" s="501"/>
      <c r="AB358" s="501"/>
      <c r="AC358" s="501"/>
      <c r="AD358" s="500"/>
      <c r="AE358" s="500"/>
      <c r="AF358" s="503"/>
      <c r="AG358" s="503"/>
      <c r="AH358" s="504"/>
      <c r="AI358" s="500"/>
      <c r="AJ358" s="500"/>
      <c r="AK358" s="500"/>
      <c r="AL358" s="500"/>
      <c r="AM358" s="500"/>
      <c r="AN358" s="500"/>
      <c r="AO358" s="500"/>
      <c r="AP358" s="500"/>
      <c r="AQ358" s="500"/>
      <c r="AR358" s="500"/>
      <c r="AS358" s="500"/>
      <c r="AT358" s="500"/>
      <c r="AU358" s="500"/>
      <c r="AV358" s="500"/>
      <c r="AW358" s="500"/>
      <c r="AX358" s="500"/>
      <c r="AY358" s="500"/>
      <c r="AZ358" s="500"/>
      <c r="BA358" s="500"/>
      <c r="BB358" s="500"/>
      <c r="BC358" s="500"/>
      <c r="BD358" s="500"/>
      <c r="BE358" s="500"/>
      <c r="BF358" s="500"/>
      <c r="BG358" s="500"/>
      <c r="BH358" s="500"/>
      <c r="BI358" s="500"/>
      <c r="BJ358" s="500"/>
      <c r="BK358" s="500"/>
      <c r="BL358" s="500"/>
      <c r="BM358" s="500"/>
      <c r="BN358" s="500"/>
      <c r="BO358" s="500"/>
      <c r="BP358" s="500"/>
      <c r="BQ358" s="500"/>
      <c r="BR358" s="500"/>
      <c r="BS358" s="500"/>
      <c r="BT358" s="500"/>
      <c r="BU358" s="500"/>
      <c r="BV358" s="500"/>
    </row>
    <row r="359" ht="14.25" customHeight="1">
      <c r="A359" s="500"/>
      <c r="B359" s="500"/>
      <c r="C359" s="500"/>
      <c r="D359" s="500"/>
      <c r="E359" s="500"/>
      <c r="F359" s="500"/>
      <c r="G359" s="500"/>
      <c r="H359" s="500"/>
      <c r="I359" s="500"/>
      <c r="J359" s="500"/>
      <c r="K359" s="500"/>
      <c r="L359" s="500"/>
      <c r="M359" s="500"/>
      <c r="N359" s="500"/>
      <c r="O359" s="500"/>
      <c r="P359" s="500"/>
      <c r="Q359" s="500"/>
      <c r="R359" s="500"/>
      <c r="S359" s="500"/>
      <c r="T359" s="500"/>
      <c r="U359" s="500"/>
      <c r="V359" s="500"/>
      <c r="W359" s="500"/>
      <c r="X359" s="500"/>
      <c r="Y359" s="500"/>
      <c r="Z359" s="501"/>
      <c r="AA359" s="501"/>
      <c r="AB359" s="501"/>
      <c r="AC359" s="501"/>
      <c r="AD359" s="500"/>
      <c r="AE359" s="500"/>
      <c r="AF359" s="503"/>
      <c r="AG359" s="503"/>
      <c r="AH359" s="504"/>
      <c r="AI359" s="500"/>
      <c r="AJ359" s="500"/>
      <c r="AK359" s="500"/>
      <c r="AL359" s="500"/>
      <c r="AM359" s="500"/>
      <c r="AN359" s="500"/>
      <c r="AO359" s="500"/>
      <c r="AP359" s="500"/>
      <c r="AQ359" s="500"/>
      <c r="AR359" s="500"/>
      <c r="AS359" s="500"/>
      <c r="AT359" s="500"/>
      <c r="AU359" s="500"/>
      <c r="AV359" s="500"/>
      <c r="AW359" s="500"/>
      <c r="AX359" s="500"/>
      <c r="AY359" s="500"/>
      <c r="AZ359" s="500"/>
      <c r="BA359" s="500"/>
      <c r="BB359" s="500"/>
      <c r="BC359" s="500"/>
      <c r="BD359" s="500"/>
      <c r="BE359" s="500"/>
      <c r="BF359" s="500"/>
      <c r="BG359" s="500"/>
      <c r="BH359" s="500"/>
      <c r="BI359" s="500"/>
      <c r="BJ359" s="500"/>
      <c r="BK359" s="500"/>
      <c r="BL359" s="500"/>
      <c r="BM359" s="500"/>
      <c r="BN359" s="500"/>
      <c r="BO359" s="500"/>
      <c r="BP359" s="500"/>
      <c r="BQ359" s="500"/>
      <c r="BR359" s="500"/>
      <c r="BS359" s="500"/>
      <c r="BT359" s="500"/>
      <c r="BU359" s="500"/>
      <c r="BV359" s="500"/>
    </row>
    <row r="360" ht="14.25" customHeight="1">
      <c r="A360" s="500"/>
      <c r="B360" s="500"/>
      <c r="C360" s="500"/>
      <c r="D360" s="500"/>
      <c r="E360" s="500"/>
      <c r="F360" s="500"/>
      <c r="G360" s="500"/>
      <c r="H360" s="500"/>
      <c r="I360" s="500"/>
      <c r="J360" s="500"/>
      <c r="K360" s="500"/>
      <c r="L360" s="500"/>
      <c r="M360" s="500"/>
      <c r="N360" s="500"/>
      <c r="O360" s="500"/>
      <c r="P360" s="500"/>
      <c r="Q360" s="500"/>
      <c r="R360" s="500"/>
      <c r="S360" s="500"/>
      <c r="T360" s="500"/>
      <c r="U360" s="500"/>
      <c r="V360" s="500"/>
      <c r="W360" s="500"/>
      <c r="X360" s="500"/>
      <c r="Y360" s="500"/>
      <c r="Z360" s="501"/>
      <c r="AA360" s="501"/>
      <c r="AB360" s="501"/>
      <c r="AC360" s="501"/>
      <c r="AD360" s="500"/>
      <c r="AE360" s="500"/>
      <c r="AF360" s="503"/>
      <c r="AG360" s="503"/>
      <c r="AH360" s="504"/>
      <c r="AI360" s="500"/>
      <c r="AJ360" s="500"/>
      <c r="AK360" s="500"/>
      <c r="AL360" s="500"/>
      <c r="AM360" s="500"/>
      <c r="AN360" s="500"/>
      <c r="AO360" s="500"/>
      <c r="AP360" s="500"/>
      <c r="AQ360" s="500"/>
      <c r="AR360" s="500"/>
      <c r="AS360" s="500"/>
      <c r="AT360" s="500"/>
      <c r="AU360" s="500"/>
      <c r="AV360" s="500"/>
      <c r="AW360" s="500"/>
      <c r="AX360" s="500"/>
      <c r="AY360" s="500"/>
      <c r="AZ360" s="500"/>
      <c r="BA360" s="500"/>
      <c r="BB360" s="500"/>
      <c r="BC360" s="500"/>
      <c r="BD360" s="500"/>
      <c r="BE360" s="500"/>
      <c r="BF360" s="500"/>
      <c r="BG360" s="500"/>
      <c r="BH360" s="500"/>
      <c r="BI360" s="500"/>
      <c r="BJ360" s="500"/>
      <c r="BK360" s="500"/>
      <c r="BL360" s="500"/>
      <c r="BM360" s="500"/>
      <c r="BN360" s="500"/>
      <c r="BO360" s="500"/>
      <c r="BP360" s="500"/>
      <c r="BQ360" s="500"/>
      <c r="BR360" s="500"/>
      <c r="BS360" s="500"/>
      <c r="BT360" s="500"/>
      <c r="BU360" s="500"/>
      <c r="BV360" s="500"/>
    </row>
    <row r="361" ht="14.25" customHeight="1">
      <c r="A361" s="500"/>
      <c r="B361" s="500"/>
      <c r="C361" s="500"/>
      <c r="D361" s="500"/>
      <c r="E361" s="500"/>
      <c r="F361" s="500"/>
      <c r="G361" s="500"/>
      <c r="H361" s="500"/>
      <c r="I361" s="500"/>
      <c r="J361" s="500"/>
      <c r="K361" s="500"/>
      <c r="L361" s="500"/>
      <c r="M361" s="500"/>
      <c r="N361" s="500"/>
      <c r="O361" s="500"/>
      <c r="P361" s="500"/>
      <c r="Q361" s="500"/>
      <c r="R361" s="500"/>
      <c r="S361" s="500"/>
      <c r="T361" s="500"/>
      <c r="U361" s="500"/>
      <c r="V361" s="500"/>
      <c r="W361" s="500"/>
      <c r="X361" s="500"/>
      <c r="Y361" s="500"/>
      <c r="Z361" s="501"/>
      <c r="AA361" s="501"/>
      <c r="AB361" s="501"/>
      <c r="AC361" s="501"/>
      <c r="AD361" s="500"/>
      <c r="AE361" s="500"/>
      <c r="AF361" s="503"/>
      <c r="AG361" s="503"/>
      <c r="AH361" s="504"/>
      <c r="AI361" s="500"/>
      <c r="AJ361" s="500"/>
      <c r="AK361" s="500"/>
      <c r="AL361" s="500"/>
      <c r="AM361" s="500"/>
      <c r="AN361" s="500"/>
      <c r="AO361" s="500"/>
      <c r="AP361" s="500"/>
      <c r="AQ361" s="500"/>
      <c r="AR361" s="500"/>
      <c r="AS361" s="500"/>
      <c r="AT361" s="500"/>
      <c r="AU361" s="500"/>
      <c r="AV361" s="500"/>
      <c r="AW361" s="500"/>
      <c r="AX361" s="500"/>
      <c r="AY361" s="500"/>
      <c r="AZ361" s="500"/>
      <c r="BA361" s="500"/>
      <c r="BB361" s="500"/>
      <c r="BC361" s="500"/>
      <c r="BD361" s="500"/>
      <c r="BE361" s="500"/>
      <c r="BF361" s="500"/>
      <c r="BG361" s="500"/>
      <c r="BH361" s="500"/>
      <c r="BI361" s="500"/>
      <c r="BJ361" s="500"/>
      <c r="BK361" s="500"/>
      <c r="BL361" s="500"/>
      <c r="BM361" s="500"/>
      <c r="BN361" s="500"/>
      <c r="BO361" s="500"/>
      <c r="BP361" s="500"/>
      <c r="BQ361" s="500"/>
      <c r="BR361" s="500"/>
      <c r="BS361" s="500"/>
      <c r="BT361" s="500"/>
      <c r="BU361" s="500"/>
      <c r="BV361" s="500"/>
    </row>
    <row r="362" ht="14.25" customHeight="1">
      <c r="A362" s="500"/>
      <c r="B362" s="500"/>
      <c r="C362" s="500"/>
      <c r="D362" s="500"/>
      <c r="E362" s="500"/>
      <c r="F362" s="500"/>
      <c r="G362" s="500"/>
      <c r="H362" s="500"/>
      <c r="I362" s="500"/>
      <c r="J362" s="500"/>
      <c r="K362" s="500"/>
      <c r="L362" s="500"/>
      <c r="M362" s="500"/>
      <c r="N362" s="500"/>
      <c r="O362" s="500"/>
      <c r="P362" s="500"/>
      <c r="Q362" s="500"/>
      <c r="R362" s="500"/>
      <c r="S362" s="500"/>
      <c r="T362" s="500"/>
      <c r="U362" s="500"/>
      <c r="V362" s="500"/>
      <c r="W362" s="500"/>
      <c r="X362" s="500"/>
      <c r="Y362" s="500"/>
      <c r="Z362" s="501"/>
      <c r="AA362" s="501"/>
      <c r="AB362" s="501"/>
      <c r="AC362" s="501"/>
      <c r="AD362" s="500"/>
      <c r="AE362" s="500"/>
      <c r="AF362" s="503"/>
      <c r="AG362" s="503"/>
      <c r="AH362" s="504"/>
      <c r="AI362" s="500"/>
      <c r="AJ362" s="500"/>
      <c r="AK362" s="500"/>
      <c r="AL362" s="500"/>
      <c r="AM362" s="500"/>
      <c r="AN362" s="500"/>
      <c r="AO362" s="500"/>
      <c r="AP362" s="500"/>
      <c r="AQ362" s="500"/>
      <c r="AR362" s="500"/>
      <c r="AS362" s="500"/>
      <c r="AT362" s="500"/>
      <c r="AU362" s="500"/>
      <c r="AV362" s="500"/>
      <c r="AW362" s="500"/>
      <c r="AX362" s="500"/>
      <c r="AY362" s="500"/>
      <c r="AZ362" s="500"/>
      <c r="BA362" s="500"/>
      <c r="BB362" s="500"/>
      <c r="BC362" s="500"/>
      <c r="BD362" s="500"/>
      <c r="BE362" s="500"/>
      <c r="BF362" s="500"/>
      <c r="BG362" s="500"/>
      <c r="BH362" s="500"/>
      <c r="BI362" s="500"/>
      <c r="BJ362" s="500"/>
      <c r="BK362" s="500"/>
      <c r="BL362" s="500"/>
      <c r="BM362" s="500"/>
      <c r="BN362" s="500"/>
      <c r="BO362" s="500"/>
      <c r="BP362" s="500"/>
      <c r="BQ362" s="500"/>
      <c r="BR362" s="500"/>
      <c r="BS362" s="500"/>
      <c r="BT362" s="500"/>
      <c r="BU362" s="500"/>
      <c r="BV362" s="500"/>
    </row>
    <row r="363" ht="14.25" customHeight="1">
      <c r="A363" s="500"/>
      <c r="B363" s="500"/>
      <c r="C363" s="500"/>
      <c r="D363" s="500"/>
      <c r="E363" s="500"/>
      <c r="F363" s="500"/>
      <c r="G363" s="500"/>
      <c r="H363" s="500"/>
      <c r="I363" s="500"/>
      <c r="J363" s="500"/>
      <c r="K363" s="500"/>
      <c r="L363" s="500"/>
      <c r="M363" s="500"/>
      <c r="N363" s="500"/>
      <c r="O363" s="500"/>
      <c r="P363" s="500"/>
      <c r="Q363" s="500"/>
      <c r="R363" s="500"/>
      <c r="S363" s="500"/>
      <c r="T363" s="500"/>
      <c r="U363" s="500"/>
      <c r="V363" s="500"/>
      <c r="W363" s="500"/>
      <c r="X363" s="500"/>
      <c r="Y363" s="500"/>
      <c r="Z363" s="501"/>
      <c r="AA363" s="501"/>
      <c r="AB363" s="501"/>
      <c r="AC363" s="501"/>
      <c r="AD363" s="500"/>
      <c r="AE363" s="500"/>
      <c r="AF363" s="503"/>
      <c r="AG363" s="503"/>
      <c r="AH363" s="504"/>
      <c r="AI363" s="500"/>
      <c r="AJ363" s="500"/>
      <c r="AK363" s="500"/>
      <c r="AL363" s="500"/>
      <c r="AM363" s="500"/>
      <c r="AN363" s="500"/>
      <c r="AO363" s="500"/>
      <c r="AP363" s="500"/>
      <c r="AQ363" s="500"/>
      <c r="AR363" s="500"/>
      <c r="AS363" s="500"/>
      <c r="AT363" s="500"/>
      <c r="AU363" s="500"/>
      <c r="AV363" s="500"/>
      <c r="AW363" s="500"/>
      <c r="AX363" s="500"/>
      <c r="AY363" s="500"/>
      <c r="AZ363" s="500"/>
      <c r="BA363" s="500"/>
      <c r="BB363" s="500"/>
      <c r="BC363" s="500"/>
      <c r="BD363" s="500"/>
      <c r="BE363" s="500"/>
      <c r="BF363" s="500"/>
      <c r="BG363" s="500"/>
      <c r="BH363" s="500"/>
      <c r="BI363" s="500"/>
      <c r="BJ363" s="500"/>
      <c r="BK363" s="500"/>
      <c r="BL363" s="500"/>
      <c r="BM363" s="500"/>
      <c r="BN363" s="500"/>
      <c r="BO363" s="500"/>
      <c r="BP363" s="500"/>
      <c r="BQ363" s="500"/>
      <c r="BR363" s="500"/>
      <c r="BS363" s="500"/>
      <c r="BT363" s="500"/>
      <c r="BU363" s="500"/>
      <c r="BV363" s="500"/>
    </row>
    <row r="364" ht="14.25" customHeight="1">
      <c r="A364" s="500"/>
      <c r="B364" s="500"/>
      <c r="C364" s="500"/>
      <c r="D364" s="500"/>
      <c r="E364" s="500"/>
      <c r="F364" s="500"/>
      <c r="G364" s="500"/>
      <c r="H364" s="500"/>
      <c r="I364" s="500"/>
      <c r="J364" s="500"/>
      <c r="K364" s="500"/>
      <c r="L364" s="500"/>
      <c r="M364" s="500"/>
      <c r="N364" s="500"/>
      <c r="O364" s="500"/>
      <c r="P364" s="500"/>
      <c r="Q364" s="500"/>
      <c r="R364" s="500"/>
      <c r="S364" s="500"/>
      <c r="T364" s="500"/>
      <c r="U364" s="500"/>
      <c r="V364" s="500"/>
      <c r="W364" s="500"/>
      <c r="X364" s="500"/>
      <c r="Y364" s="500"/>
      <c r="Z364" s="501"/>
      <c r="AA364" s="501"/>
      <c r="AB364" s="501"/>
      <c r="AC364" s="501"/>
      <c r="AD364" s="500"/>
      <c r="AE364" s="500"/>
      <c r="AF364" s="503"/>
      <c r="AG364" s="503"/>
      <c r="AH364" s="504"/>
      <c r="AI364" s="500"/>
      <c r="AJ364" s="500"/>
      <c r="AK364" s="500"/>
      <c r="AL364" s="500"/>
      <c r="AM364" s="500"/>
      <c r="AN364" s="500"/>
      <c r="AO364" s="500"/>
      <c r="AP364" s="500"/>
      <c r="AQ364" s="500"/>
      <c r="AR364" s="500"/>
      <c r="AS364" s="500"/>
      <c r="AT364" s="500"/>
      <c r="AU364" s="500"/>
      <c r="AV364" s="500"/>
      <c r="AW364" s="500"/>
      <c r="AX364" s="500"/>
      <c r="AY364" s="500"/>
      <c r="AZ364" s="500"/>
      <c r="BA364" s="500"/>
      <c r="BB364" s="500"/>
      <c r="BC364" s="500"/>
      <c r="BD364" s="500"/>
      <c r="BE364" s="500"/>
      <c r="BF364" s="500"/>
      <c r="BG364" s="500"/>
      <c r="BH364" s="500"/>
      <c r="BI364" s="500"/>
      <c r="BJ364" s="500"/>
      <c r="BK364" s="500"/>
      <c r="BL364" s="500"/>
      <c r="BM364" s="500"/>
      <c r="BN364" s="500"/>
      <c r="BO364" s="500"/>
      <c r="BP364" s="500"/>
      <c r="BQ364" s="500"/>
      <c r="BR364" s="500"/>
      <c r="BS364" s="500"/>
      <c r="BT364" s="500"/>
      <c r="BU364" s="500"/>
      <c r="BV364" s="500"/>
    </row>
    <row r="365" ht="14.25" customHeight="1">
      <c r="A365" s="500"/>
      <c r="B365" s="500"/>
      <c r="C365" s="500"/>
      <c r="D365" s="500"/>
      <c r="E365" s="500"/>
      <c r="F365" s="500"/>
      <c r="G365" s="500"/>
      <c r="H365" s="500"/>
      <c r="I365" s="500"/>
      <c r="J365" s="500"/>
      <c r="K365" s="500"/>
      <c r="L365" s="500"/>
      <c r="M365" s="500"/>
      <c r="N365" s="500"/>
      <c r="O365" s="500"/>
      <c r="P365" s="500"/>
      <c r="Q365" s="500"/>
      <c r="R365" s="500"/>
      <c r="S365" s="500"/>
      <c r="T365" s="500"/>
      <c r="U365" s="500"/>
      <c r="V365" s="500"/>
      <c r="W365" s="500"/>
      <c r="X365" s="500"/>
      <c r="Y365" s="500"/>
      <c r="Z365" s="501"/>
      <c r="AA365" s="501"/>
      <c r="AB365" s="501"/>
      <c r="AC365" s="501"/>
      <c r="AD365" s="500"/>
      <c r="AE365" s="500"/>
      <c r="AF365" s="503"/>
      <c r="AG365" s="503"/>
      <c r="AH365" s="504"/>
      <c r="AI365" s="500"/>
      <c r="AJ365" s="500"/>
      <c r="AK365" s="500"/>
      <c r="AL365" s="500"/>
      <c r="AM365" s="500"/>
      <c r="AN365" s="500"/>
      <c r="AO365" s="500"/>
      <c r="AP365" s="500"/>
      <c r="AQ365" s="500"/>
      <c r="AR365" s="500"/>
      <c r="AS365" s="500"/>
      <c r="AT365" s="500"/>
      <c r="AU365" s="500"/>
      <c r="AV365" s="500"/>
      <c r="AW365" s="500"/>
      <c r="AX365" s="500"/>
      <c r="AY365" s="500"/>
      <c r="AZ365" s="500"/>
      <c r="BA365" s="500"/>
      <c r="BB365" s="500"/>
      <c r="BC365" s="500"/>
      <c r="BD365" s="500"/>
      <c r="BE365" s="500"/>
      <c r="BF365" s="500"/>
      <c r="BG365" s="500"/>
      <c r="BH365" s="500"/>
      <c r="BI365" s="500"/>
      <c r="BJ365" s="500"/>
      <c r="BK365" s="500"/>
      <c r="BL365" s="500"/>
      <c r="BM365" s="500"/>
      <c r="BN365" s="500"/>
      <c r="BO365" s="500"/>
      <c r="BP365" s="500"/>
      <c r="BQ365" s="500"/>
      <c r="BR365" s="500"/>
      <c r="BS365" s="500"/>
      <c r="BT365" s="500"/>
      <c r="BU365" s="500"/>
      <c r="BV365" s="500"/>
    </row>
    <row r="366" ht="14.25" customHeight="1">
      <c r="A366" s="500"/>
      <c r="B366" s="500"/>
      <c r="C366" s="500"/>
      <c r="D366" s="500"/>
      <c r="E366" s="500"/>
      <c r="F366" s="500"/>
      <c r="G366" s="500"/>
      <c r="H366" s="500"/>
      <c r="I366" s="500"/>
      <c r="J366" s="500"/>
      <c r="K366" s="500"/>
      <c r="L366" s="500"/>
      <c r="M366" s="500"/>
      <c r="N366" s="500"/>
      <c r="O366" s="500"/>
      <c r="P366" s="500"/>
      <c r="Q366" s="500"/>
      <c r="R366" s="500"/>
      <c r="S366" s="500"/>
      <c r="T366" s="500"/>
      <c r="U366" s="500"/>
      <c r="V366" s="500"/>
      <c r="W366" s="500"/>
      <c r="X366" s="500"/>
      <c r="Y366" s="500"/>
      <c r="Z366" s="501"/>
      <c r="AA366" s="501"/>
      <c r="AB366" s="501"/>
      <c r="AC366" s="501"/>
      <c r="AD366" s="500"/>
      <c r="AE366" s="500"/>
      <c r="AF366" s="503"/>
      <c r="AG366" s="503"/>
      <c r="AH366" s="504"/>
      <c r="AI366" s="500"/>
      <c r="AJ366" s="500"/>
      <c r="AK366" s="500"/>
      <c r="AL366" s="500"/>
      <c r="AM366" s="500"/>
      <c r="AN366" s="500"/>
      <c r="AO366" s="500"/>
      <c r="AP366" s="500"/>
      <c r="AQ366" s="500"/>
      <c r="AR366" s="500"/>
      <c r="AS366" s="500"/>
      <c r="AT366" s="500"/>
      <c r="AU366" s="500"/>
      <c r="AV366" s="500"/>
      <c r="AW366" s="500"/>
      <c r="AX366" s="500"/>
      <c r="AY366" s="500"/>
      <c r="AZ366" s="500"/>
      <c r="BA366" s="500"/>
      <c r="BB366" s="500"/>
      <c r="BC366" s="500"/>
      <c r="BD366" s="500"/>
      <c r="BE366" s="500"/>
      <c r="BF366" s="500"/>
      <c r="BG366" s="500"/>
      <c r="BH366" s="500"/>
      <c r="BI366" s="500"/>
      <c r="BJ366" s="500"/>
      <c r="BK366" s="500"/>
      <c r="BL366" s="500"/>
      <c r="BM366" s="500"/>
      <c r="BN366" s="500"/>
      <c r="BO366" s="500"/>
      <c r="BP366" s="500"/>
      <c r="BQ366" s="500"/>
      <c r="BR366" s="500"/>
      <c r="BS366" s="500"/>
      <c r="BT366" s="500"/>
      <c r="BU366" s="500"/>
      <c r="BV366" s="500"/>
    </row>
    <row r="367" ht="14.25" customHeight="1">
      <c r="A367" s="500"/>
      <c r="B367" s="500"/>
      <c r="C367" s="500"/>
      <c r="D367" s="500"/>
      <c r="E367" s="500"/>
      <c r="F367" s="500"/>
      <c r="G367" s="500"/>
      <c r="H367" s="500"/>
      <c r="I367" s="500"/>
      <c r="J367" s="500"/>
      <c r="K367" s="500"/>
      <c r="L367" s="500"/>
      <c r="M367" s="500"/>
      <c r="N367" s="500"/>
      <c r="O367" s="500"/>
      <c r="P367" s="500"/>
      <c r="Q367" s="500"/>
      <c r="R367" s="500"/>
      <c r="S367" s="500"/>
      <c r="T367" s="500"/>
      <c r="U367" s="500"/>
      <c r="V367" s="500"/>
      <c r="W367" s="500"/>
      <c r="X367" s="500"/>
      <c r="Y367" s="500"/>
      <c r="Z367" s="501"/>
      <c r="AA367" s="501"/>
      <c r="AB367" s="501"/>
      <c r="AC367" s="501"/>
      <c r="AD367" s="500"/>
      <c r="AE367" s="500"/>
      <c r="AF367" s="503"/>
      <c r="AG367" s="503"/>
      <c r="AH367" s="504"/>
      <c r="AI367" s="500"/>
      <c r="AJ367" s="500"/>
      <c r="AK367" s="500"/>
      <c r="AL367" s="500"/>
      <c r="AM367" s="500"/>
      <c r="AN367" s="500"/>
      <c r="AO367" s="500"/>
      <c r="AP367" s="500"/>
      <c r="AQ367" s="500"/>
      <c r="AR367" s="500"/>
      <c r="AS367" s="500"/>
      <c r="AT367" s="500"/>
      <c r="AU367" s="500"/>
      <c r="AV367" s="500"/>
      <c r="AW367" s="500"/>
      <c r="AX367" s="500"/>
      <c r="AY367" s="500"/>
      <c r="AZ367" s="500"/>
      <c r="BA367" s="500"/>
      <c r="BB367" s="500"/>
      <c r="BC367" s="500"/>
      <c r="BD367" s="500"/>
      <c r="BE367" s="500"/>
      <c r="BF367" s="500"/>
      <c r="BG367" s="500"/>
      <c r="BH367" s="500"/>
      <c r="BI367" s="500"/>
      <c r="BJ367" s="500"/>
      <c r="BK367" s="500"/>
      <c r="BL367" s="500"/>
      <c r="BM367" s="500"/>
      <c r="BN367" s="500"/>
      <c r="BO367" s="500"/>
      <c r="BP367" s="500"/>
      <c r="BQ367" s="500"/>
      <c r="BR367" s="500"/>
      <c r="BS367" s="500"/>
      <c r="BT367" s="500"/>
      <c r="BU367" s="500"/>
      <c r="BV367" s="500"/>
    </row>
    <row r="368" ht="14.25" customHeight="1">
      <c r="A368" s="500"/>
      <c r="B368" s="500"/>
      <c r="C368" s="500"/>
      <c r="D368" s="500"/>
      <c r="E368" s="500"/>
      <c r="F368" s="500"/>
      <c r="G368" s="500"/>
      <c r="H368" s="500"/>
      <c r="I368" s="500"/>
      <c r="J368" s="500"/>
      <c r="K368" s="500"/>
      <c r="L368" s="500"/>
      <c r="M368" s="500"/>
      <c r="N368" s="500"/>
      <c r="O368" s="500"/>
      <c r="P368" s="500"/>
      <c r="Q368" s="500"/>
      <c r="R368" s="500"/>
      <c r="S368" s="500"/>
      <c r="T368" s="500"/>
      <c r="U368" s="500"/>
      <c r="V368" s="500"/>
      <c r="W368" s="500"/>
      <c r="X368" s="500"/>
      <c r="Y368" s="500"/>
      <c r="Z368" s="501"/>
      <c r="AA368" s="501"/>
      <c r="AB368" s="501"/>
      <c r="AC368" s="501"/>
      <c r="AD368" s="500"/>
      <c r="AE368" s="500"/>
      <c r="AF368" s="503"/>
      <c r="AG368" s="503"/>
      <c r="AH368" s="504"/>
      <c r="AI368" s="500"/>
      <c r="AJ368" s="500"/>
      <c r="AK368" s="500"/>
      <c r="AL368" s="500"/>
      <c r="AM368" s="500"/>
      <c r="AN368" s="500"/>
      <c r="AO368" s="500"/>
      <c r="AP368" s="500"/>
      <c r="AQ368" s="500"/>
      <c r="AR368" s="500"/>
      <c r="AS368" s="500"/>
      <c r="AT368" s="500"/>
      <c r="AU368" s="500"/>
      <c r="AV368" s="500"/>
      <c r="AW368" s="500"/>
      <c r="AX368" s="500"/>
      <c r="AY368" s="500"/>
      <c r="AZ368" s="500"/>
      <c r="BA368" s="500"/>
      <c r="BB368" s="500"/>
      <c r="BC368" s="500"/>
      <c r="BD368" s="500"/>
      <c r="BE368" s="500"/>
      <c r="BF368" s="500"/>
      <c r="BG368" s="500"/>
      <c r="BH368" s="500"/>
      <c r="BI368" s="500"/>
      <c r="BJ368" s="500"/>
      <c r="BK368" s="500"/>
      <c r="BL368" s="500"/>
      <c r="BM368" s="500"/>
      <c r="BN368" s="500"/>
      <c r="BO368" s="500"/>
      <c r="BP368" s="500"/>
      <c r="BQ368" s="500"/>
      <c r="BR368" s="500"/>
      <c r="BS368" s="500"/>
      <c r="BT368" s="500"/>
      <c r="BU368" s="500"/>
      <c r="BV368" s="500"/>
    </row>
    <row r="369" ht="14.25" customHeight="1">
      <c r="A369" s="500"/>
      <c r="B369" s="500"/>
      <c r="C369" s="500"/>
      <c r="D369" s="500"/>
      <c r="E369" s="500"/>
      <c r="F369" s="500"/>
      <c r="G369" s="500"/>
      <c r="H369" s="500"/>
      <c r="I369" s="500"/>
      <c r="J369" s="500"/>
      <c r="K369" s="500"/>
      <c r="L369" s="500"/>
      <c r="M369" s="500"/>
      <c r="N369" s="500"/>
      <c r="O369" s="500"/>
      <c r="P369" s="500"/>
      <c r="Q369" s="500"/>
      <c r="R369" s="500"/>
      <c r="S369" s="500"/>
      <c r="T369" s="500"/>
      <c r="U369" s="500"/>
      <c r="V369" s="500"/>
      <c r="W369" s="500"/>
      <c r="X369" s="500"/>
      <c r="Y369" s="500"/>
      <c r="Z369" s="501"/>
      <c r="AA369" s="501"/>
      <c r="AB369" s="501"/>
      <c r="AC369" s="501"/>
      <c r="AD369" s="500"/>
      <c r="AE369" s="500"/>
      <c r="AF369" s="503"/>
      <c r="AG369" s="503"/>
      <c r="AH369" s="504"/>
      <c r="AI369" s="500"/>
      <c r="AJ369" s="500"/>
      <c r="AK369" s="500"/>
      <c r="AL369" s="500"/>
      <c r="AM369" s="500"/>
      <c r="AN369" s="500"/>
      <c r="AO369" s="500"/>
      <c r="AP369" s="500"/>
      <c r="AQ369" s="500"/>
      <c r="AR369" s="500"/>
      <c r="AS369" s="500"/>
      <c r="AT369" s="500"/>
      <c r="AU369" s="500"/>
      <c r="AV369" s="500"/>
      <c r="AW369" s="500"/>
      <c r="AX369" s="500"/>
      <c r="AY369" s="500"/>
      <c r="AZ369" s="500"/>
      <c r="BA369" s="500"/>
      <c r="BB369" s="500"/>
      <c r="BC369" s="500"/>
      <c r="BD369" s="500"/>
      <c r="BE369" s="500"/>
      <c r="BF369" s="500"/>
      <c r="BG369" s="500"/>
      <c r="BH369" s="500"/>
      <c r="BI369" s="500"/>
      <c r="BJ369" s="500"/>
      <c r="BK369" s="500"/>
      <c r="BL369" s="500"/>
      <c r="BM369" s="500"/>
      <c r="BN369" s="500"/>
      <c r="BO369" s="500"/>
      <c r="BP369" s="500"/>
      <c r="BQ369" s="500"/>
      <c r="BR369" s="500"/>
      <c r="BS369" s="500"/>
      <c r="BT369" s="500"/>
      <c r="BU369" s="500"/>
      <c r="BV369" s="500"/>
    </row>
    <row r="370" ht="14.25" customHeight="1">
      <c r="A370" s="500"/>
      <c r="B370" s="500"/>
      <c r="C370" s="500"/>
      <c r="D370" s="500"/>
      <c r="E370" s="500"/>
      <c r="F370" s="500"/>
      <c r="G370" s="500"/>
      <c r="H370" s="500"/>
      <c r="I370" s="500"/>
      <c r="J370" s="500"/>
      <c r="K370" s="500"/>
      <c r="L370" s="500"/>
      <c r="M370" s="500"/>
      <c r="N370" s="500"/>
      <c r="O370" s="500"/>
      <c r="P370" s="500"/>
      <c r="Q370" s="500"/>
      <c r="R370" s="500"/>
      <c r="S370" s="500"/>
      <c r="T370" s="500"/>
      <c r="U370" s="500"/>
      <c r="V370" s="500"/>
      <c r="W370" s="500"/>
      <c r="X370" s="500"/>
      <c r="Y370" s="500"/>
      <c r="Z370" s="501"/>
      <c r="AA370" s="501"/>
      <c r="AB370" s="501"/>
      <c r="AC370" s="501"/>
      <c r="AD370" s="500"/>
      <c r="AE370" s="500"/>
      <c r="AF370" s="503"/>
      <c r="AG370" s="503"/>
      <c r="AH370" s="504"/>
      <c r="AI370" s="500"/>
      <c r="AJ370" s="500"/>
      <c r="AK370" s="500"/>
      <c r="AL370" s="500"/>
      <c r="AM370" s="500"/>
      <c r="AN370" s="500"/>
      <c r="AO370" s="500"/>
      <c r="AP370" s="500"/>
      <c r="AQ370" s="500"/>
      <c r="AR370" s="500"/>
      <c r="AS370" s="500"/>
      <c r="AT370" s="500"/>
      <c r="AU370" s="500"/>
      <c r="AV370" s="500"/>
      <c r="AW370" s="500"/>
      <c r="AX370" s="500"/>
      <c r="AY370" s="500"/>
      <c r="AZ370" s="500"/>
      <c r="BA370" s="500"/>
      <c r="BB370" s="500"/>
      <c r="BC370" s="500"/>
      <c r="BD370" s="500"/>
      <c r="BE370" s="500"/>
      <c r="BF370" s="500"/>
      <c r="BG370" s="500"/>
      <c r="BH370" s="500"/>
      <c r="BI370" s="500"/>
      <c r="BJ370" s="500"/>
      <c r="BK370" s="500"/>
      <c r="BL370" s="500"/>
      <c r="BM370" s="500"/>
      <c r="BN370" s="500"/>
      <c r="BO370" s="500"/>
      <c r="BP370" s="500"/>
      <c r="BQ370" s="500"/>
      <c r="BR370" s="500"/>
      <c r="BS370" s="500"/>
      <c r="BT370" s="500"/>
      <c r="BU370" s="500"/>
      <c r="BV370" s="500"/>
    </row>
    <row r="371" ht="14.25" customHeight="1">
      <c r="A371" s="500"/>
      <c r="B371" s="500"/>
      <c r="C371" s="500"/>
      <c r="D371" s="500"/>
      <c r="E371" s="500"/>
      <c r="F371" s="500"/>
      <c r="G371" s="500"/>
      <c r="H371" s="500"/>
      <c r="I371" s="500"/>
      <c r="J371" s="500"/>
      <c r="K371" s="500"/>
      <c r="L371" s="500"/>
      <c r="M371" s="500"/>
      <c r="N371" s="500"/>
      <c r="O371" s="500"/>
      <c r="P371" s="500"/>
      <c r="Q371" s="500"/>
      <c r="R371" s="500"/>
      <c r="S371" s="500"/>
      <c r="T371" s="500"/>
      <c r="U371" s="500"/>
      <c r="V371" s="500"/>
      <c r="W371" s="500"/>
      <c r="X371" s="500"/>
      <c r="Y371" s="500"/>
      <c r="Z371" s="501"/>
      <c r="AA371" s="501"/>
      <c r="AB371" s="501"/>
      <c r="AC371" s="501"/>
      <c r="AD371" s="500"/>
      <c r="AE371" s="500"/>
      <c r="AF371" s="503"/>
      <c r="AG371" s="503"/>
      <c r="AH371" s="504"/>
      <c r="AI371" s="500"/>
      <c r="AJ371" s="500"/>
      <c r="AK371" s="500"/>
      <c r="AL371" s="500"/>
      <c r="AM371" s="500"/>
      <c r="AN371" s="500"/>
      <c r="AO371" s="500"/>
      <c r="AP371" s="500"/>
      <c r="AQ371" s="500"/>
      <c r="AR371" s="500"/>
      <c r="AS371" s="500"/>
      <c r="AT371" s="500"/>
      <c r="AU371" s="500"/>
      <c r="AV371" s="500"/>
      <c r="AW371" s="500"/>
      <c r="AX371" s="500"/>
      <c r="AY371" s="500"/>
      <c r="AZ371" s="500"/>
      <c r="BA371" s="500"/>
      <c r="BB371" s="500"/>
      <c r="BC371" s="500"/>
      <c r="BD371" s="500"/>
      <c r="BE371" s="500"/>
      <c r="BF371" s="500"/>
      <c r="BG371" s="500"/>
      <c r="BH371" s="500"/>
      <c r="BI371" s="500"/>
      <c r="BJ371" s="500"/>
      <c r="BK371" s="500"/>
      <c r="BL371" s="500"/>
      <c r="BM371" s="500"/>
      <c r="BN371" s="500"/>
      <c r="BO371" s="500"/>
      <c r="BP371" s="500"/>
      <c r="BQ371" s="500"/>
      <c r="BR371" s="500"/>
      <c r="BS371" s="500"/>
      <c r="BT371" s="500"/>
      <c r="BU371" s="500"/>
      <c r="BV371" s="500"/>
    </row>
    <row r="372" ht="14.25" customHeight="1">
      <c r="A372" s="500"/>
      <c r="B372" s="500"/>
      <c r="C372" s="500"/>
      <c r="D372" s="500"/>
      <c r="E372" s="500"/>
      <c r="F372" s="500"/>
      <c r="G372" s="500"/>
      <c r="H372" s="500"/>
      <c r="I372" s="500"/>
      <c r="J372" s="500"/>
      <c r="K372" s="500"/>
      <c r="L372" s="500"/>
      <c r="M372" s="500"/>
      <c r="N372" s="500"/>
      <c r="O372" s="500"/>
      <c r="P372" s="500"/>
      <c r="Q372" s="500"/>
      <c r="R372" s="500"/>
      <c r="S372" s="500"/>
      <c r="T372" s="500"/>
      <c r="U372" s="500"/>
      <c r="V372" s="500"/>
      <c r="W372" s="500"/>
      <c r="X372" s="500"/>
      <c r="Y372" s="500"/>
      <c r="Z372" s="501"/>
      <c r="AA372" s="501"/>
      <c r="AB372" s="501"/>
      <c r="AC372" s="501"/>
      <c r="AD372" s="500"/>
      <c r="AE372" s="500"/>
      <c r="AF372" s="503"/>
      <c r="AG372" s="503"/>
      <c r="AH372" s="504"/>
      <c r="AI372" s="500"/>
      <c r="AJ372" s="500"/>
      <c r="AK372" s="500"/>
      <c r="AL372" s="500"/>
      <c r="AM372" s="500"/>
      <c r="AN372" s="500"/>
      <c r="AO372" s="500"/>
      <c r="AP372" s="500"/>
      <c r="AQ372" s="500"/>
      <c r="AR372" s="500"/>
      <c r="AS372" s="500"/>
      <c r="AT372" s="500"/>
      <c r="AU372" s="500"/>
      <c r="AV372" s="500"/>
      <c r="AW372" s="500"/>
      <c r="AX372" s="500"/>
      <c r="AY372" s="500"/>
      <c r="AZ372" s="500"/>
      <c r="BA372" s="500"/>
      <c r="BB372" s="500"/>
      <c r="BC372" s="500"/>
      <c r="BD372" s="500"/>
      <c r="BE372" s="500"/>
      <c r="BF372" s="500"/>
      <c r="BG372" s="500"/>
      <c r="BH372" s="500"/>
      <c r="BI372" s="500"/>
      <c r="BJ372" s="500"/>
      <c r="BK372" s="500"/>
      <c r="BL372" s="500"/>
      <c r="BM372" s="500"/>
      <c r="BN372" s="500"/>
      <c r="BO372" s="500"/>
      <c r="BP372" s="500"/>
      <c r="BQ372" s="500"/>
      <c r="BR372" s="500"/>
      <c r="BS372" s="500"/>
      <c r="BT372" s="500"/>
      <c r="BU372" s="500"/>
      <c r="BV372" s="500"/>
    </row>
    <row r="373" ht="14.25" customHeight="1">
      <c r="A373" s="500"/>
      <c r="B373" s="500"/>
      <c r="C373" s="500"/>
      <c r="D373" s="500"/>
      <c r="E373" s="500"/>
      <c r="F373" s="500"/>
      <c r="G373" s="500"/>
      <c r="H373" s="500"/>
      <c r="I373" s="500"/>
      <c r="J373" s="500"/>
      <c r="K373" s="500"/>
      <c r="L373" s="500"/>
      <c r="M373" s="500"/>
      <c r="N373" s="500"/>
      <c r="O373" s="500"/>
      <c r="P373" s="500"/>
      <c r="Q373" s="500"/>
      <c r="R373" s="500"/>
      <c r="S373" s="500"/>
      <c r="T373" s="500"/>
      <c r="U373" s="500"/>
      <c r="V373" s="500"/>
      <c r="W373" s="500"/>
      <c r="X373" s="500"/>
      <c r="Y373" s="500"/>
      <c r="Z373" s="501"/>
      <c r="AA373" s="501"/>
      <c r="AB373" s="501"/>
      <c r="AC373" s="501"/>
      <c r="AD373" s="500"/>
      <c r="AE373" s="500"/>
      <c r="AF373" s="503"/>
      <c r="AG373" s="503"/>
      <c r="AH373" s="504"/>
      <c r="AI373" s="500"/>
      <c r="AJ373" s="500"/>
      <c r="AK373" s="500"/>
      <c r="AL373" s="500"/>
      <c r="AM373" s="500"/>
      <c r="AN373" s="500"/>
      <c r="AO373" s="500"/>
      <c r="AP373" s="500"/>
      <c r="AQ373" s="500"/>
      <c r="AR373" s="500"/>
      <c r="AS373" s="500"/>
      <c r="AT373" s="500"/>
      <c r="AU373" s="500"/>
      <c r="AV373" s="500"/>
      <c r="AW373" s="500"/>
      <c r="AX373" s="500"/>
      <c r="AY373" s="500"/>
      <c r="AZ373" s="500"/>
      <c r="BA373" s="500"/>
      <c r="BB373" s="500"/>
      <c r="BC373" s="500"/>
      <c r="BD373" s="500"/>
      <c r="BE373" s="500"/>
      <c r="BF373" s="500"/>
      <c r="BG373" s="500"/>
      <c r="BH373" s="500"/>
      <c r="BI373" s="500"/>
      <c r="BJ373" s="500"/>
      <c r="BK373" s="500"/>
      <c r="BL373" s="500"/>
      <c r="BM373" s="500"/>
      <c r="BN373" s="500"/>
      <c r="BO373" s="500"/>
      <c r="BP373" s="500"/>
      <c r="BQ373" s="500"/>
      <c r="BR373" s="500"/>
      <c r="BS373" s="500"/>
      <c r="BT373" s="500"/>
      <c r="BU373" s="500"/>
      <c r="BV373" s="500"/>
    </row>
    <row r="374" ht="14.25" customHeight="1">
      <c r="A374" s="500"/>
      <c r="B374" s="500"/>
      <c r="C374" s="500"/>
      <c r="D374" s="500"/>
      <c r="E374" s="500"/>
      <c r="F374" s="500"/>
      <c r="G374" s="500"/>
      <c r="H374" s="500"/>
      <c r="I374" s="500"/>
      <c r="J374" s="500"/>
      <c r="K374" s="500"/>
      <c r="L374" s="500"/>
      <c r="M374" s="500"/>
      <c r="N374" s="500"/>
      <c r="O374" s="500"/>
      <c r="P374" s="500"/>
      <c r="Q374" s="500"/>
      <c r="R374" s="500"/>
      <c r="S374" s="500"/>
      <c r="T374" s="500"/>
      <c r="U374" s="500"/>
      <c r="V374" s="500"/>
      <c r="W374" s="500"/>
      <c r="X374" s="500"/>
      <c r="Y374" s="500"/>
      <c r="Z374" s="501"/>
      <c r="AA374" s="501"/>
      <c r="AB374" s="501"/>
      <c r="AC374" s="501"/>
      <c r="AD374" s="500"/>
      <c r="AE374" s="500"/>
      <c r="AF374" s="503"/>
      <c r="AG374" s="503"/>
      <c r="AH374" s="504"/>
      <c r="AI374" s="500"/>
      <c r="AJ374" s="500"/>
      <c r="AK374" s="500"/>
      <c r="AL374" s="500"/>
      <c r="AM374" s="500"/>
      <c r="AN374" s="500"/>
      <c r="AO374" s="500"/>
      <c r="AP374" s="500"/>
      <c r="AQ374" s="500"/>
      <c r="AR374" s="500"/>
      <c r="AS374" s="500"/>
      <c r="AT374" s="500"/>
      <c r="AU374" s="500"/>
      <c r="AV374" s="500"/>
      <c r="AW374" s="500"/>
      <c r="AX374" s="500"/>
      <c r="AY374" s="500"/>
      <c r="AZ374" s="500"/>
      <c r="BA374" s="500"/>
      <c r="BB374" s="500"/>
      <c r="BC374" s="500"/>
      <c r="BD374" s="500"/>
      <c r="BE374" s="500"/>
      <c r="BF374" s="500"/>
      <c r="BG374" s="500"/>
      <c r="BH374" s="500"/>
      <c r="BI374" s="500"/>
      <c r="BJ374" s="500"/>
      <c r="BK374" s="500"/>
      <c r="BL374" s="500"/>
      <c r="BM374" s="500"/>
      <c r="BN374" s="500"/>
      <c r="BO374" s="500"/>
      <c r="BP374" s="500"/>
      <c r="BQ374" s="500"/>
      <c r="BR374" s="500"/>
      <c r="BS374" s="500"/>
      <c r="BT374" s="500"/>
      <c r="BU374" s="500"/>
      <c r="BV374" s="500"/>
    </row>
    <row r="375" ht="14.25" customHeight="1">
      <c r="A375" s="500"/>
      <c r="B375" s="500"/>
      <c r="C375" s="500"/>
      <c r="D375" s="500"/>
      <c r="E375" s="500"/>
      <c r="F375" s="500"/>
      <c r="G375" s="500"/>
      <c r="H375" s="500"/>
      <c r="I375" s="500"/>
      <c r="J375" s="500"/>
      <c r="K375" s="500"/>
      <c r="L375" s="500"/>
      <c r="M375" s="500"/>
      <c r="N375" s="500"/>
      <c r="O375" s="500"/>
      <c r="P375" s="500"/>
      <c r="Q375" s="500"/>
      <c r="R375" s="500"/>
      <c r="S375" s="500"/>
      <c r="T375" s="500"/>
      <c r="U375" s="500"/>
      <c r="V375" s="500"/>
      <c r="W375" s="500"/>
      <c r="X375" s="500"/>
      <c r="Y375" s="500"/>
      <c r="Z375" s="501"/>
      <c r="AA375" s="501"/>
      <c r="AB375" s="501"/>
      <c r="AC375" s="501"/>
      <c r="AD375" s="500"/>
      <c r="AE375" s="500"/>
      <c r="AF375" s="503"/>
      <c r="AG375" s="503"/>
      <c r="AH375" s="504"/>
      <c r="AI375" s="500"/>
      <c r="AJ375" s="500"/>
      <c r="AK375" s="500"/>
      <c r="AL375" s="500"/>
      <c r="AM375" s="500"/>
      <c r="AN375" s="500"/>
      <c r="AO375" s="500"/>
      <c r="AP375" s="500"/>
      <c r="AQ375" s="500"/>
      <c r="AR375" s="500"/>
      <c r="AS375" s="500"/>
      <c r="AT375" s="500"/>
      <c r="AU375" s="500"/>
      <c r="AV375" s="500"/>
      <c r="AW375" s="500"/>
      <c r="AX375" s="500"/>
      <c r="AY375" s="500"/>
      <c r="AZ375" s="500"/>
      <c r="BA375" s="500"/>
      <c r="BB375" s="500"/>
      <c r="BC375" s="500"/>
      <c r="BD375" s="500"/>
      <c r="BE375" s="500"/>
      <c r="BF375" s="500"/>
      <c r="BG375" s="500"/>
      <c r="BH375" s="500"/>
      <c r="BI375" s="500"/>
      <c r="BJ375" s="500"/>
      <c r="BK375" s="500"/>
      <c r="BL375" s="500"/>
      <c r="BM375" s="500"/>
      <c r="BN375" s="500"/>
      <c r="BO375" s="500"/>
      <c r="BP375" s="500"/>
      <c r="BQ375" s="500"/>
      <c r="BR375" s="500"/>
      <c r="BS375" s="500"/>
      <c r="BT375" s="500"/>
      <c r="BU375" s="500"/>
      <c r="BV375" s="500"/>
    </row>
    <row r="376" ht="14.25" customHeight="1">
      <c r="A376" s="500"/>
      <c r="B376" s="500"/>
      <c r="C376" s="500"/>
      <c r="D376" s="500"/>
      <c r="E376" s="500"/>
      <c r="F376" s="500"/>
      <c r="G376" s="500"/>
      <c r="H376" s="500"/>
      <c r="I376" s="500"/>
      <c r="J376" s="500"/>
      <c r="K376" s="500"/>
      <c r="L376" s="500"/>
      <c r="M376" s="500"/>
      <c r="N376" s="500"/>
      <c r="O376" s="500"/>
      <c r="P376" s="500"/>
      <c r="Q376" s="500"/>
      <c r="R376" s="500"/>
      <c r="S376" s="500"/>
      <c r="T376" s="500"/>
      <c r="U376" s="500"/>
      <c r="V376" s="500"/>
      <c r="W376" s="500"/>
      <c r="X376" s="500"/>
      <c r="Y376" s="500"/>
      <c r="Z376" s="501"/>
      <c r="AA376" s="501"/>
      <c r="AB376" s="501"/>
      <c r="AC376" s="501"/>
      <c r="AD376" s="500"/>
      <c r="AE376" s="500"/>
      <c r="AF376" s="503"/>
      <c r="AG376" s="503"/>
      <c r="AH376" s="504"/>
      <c r="AI376" s="500"/>
      <c r="AJ376" s="500"/>
      <c r="AK376" s="500"/>
      <c r="AL376" s="500"/>
      <c r="AM376" s="500"/>
      <c r="AN376" s="500"/>
      <c r="AO376" s="500"/>
      <c r="AP376" s="500"/>
      <c r="AQ376" s="500"/>
      <c r="AR376" s="500"/>
      <c r="AS376" s="500"/>
      <c r="AT376" s="500"/>
      <c r="AU376" s="500"/>
      <c r="AV376" s="500"/>
      <c r="AW376" s="500"/>
      <c r="AX376" s="500"/>
      <c r="AY376" s="500"/>
      <c r="AZ376" s="500"/>
      <c r="BA376" s="500"/>
      <c r="BB376" s="500"/>
      <c r="BC376" s="500"/>
      <c r="BD376" s="500"/>
      <c r="BE376" s="500"/>
      <c r="BF376" s="500"/>
      <c r="BG376" s="500"/>
      <c r="BH376" s="500"/>
      <c r="BI376" s="500"/>
      <c r="BJ376" s="500"/>
      <c r="BK376" s="500"/>
      <c r="BL376" s="500"/>
      <c r="BM376" s="500"/>
      <c r="BN376" s="500"/>
      <c r="BO376" s="500"/>
      <c r="BP376" s="500"/>
      <c r="BQ376" s="500"/>
      <c r="BR376" s="500"/>
      <c r="BS376" s="500"/>
      <c r="BT376" s="500"/>
      <c r="BU376" s="500"/>
      <c r="BV376" s="500"/>
    </row>
    <row r="377" ht="14.25" customHeight="1">
      <c r="A377" s="500"/>
      <c r="B377" s="500"/>
      <c r="C377" s="500"/>
      <c r="D377" s="500"/>
      <c r="E377" s="500"/>
      <c r="F377" s="500"/>
      <c r="G377" s="500"/>
      <c r="H377" s="500"/>
      <c r="I377" s="500"/>
      <c r="J377" s="500"/>
      <c r="K377" s="500"/>
      <c r="L377" s="500"/>
      <c r="M377" s="500"/>
      <c r="N377" s="500"/>
      <c r="O377" s="500"/>
      <c r="P377" s="500"/>
      <c r="Q377" s="500"/>
      <c r="R377" s="500"/>
      <c r="S377" s="500"/>
      <c r="T377" s="500"/>
      <c r="U377" s="500"/>
      <c r="V377" s="500"/>
      <c r="W377" s="500"/>
      <c r="X377" s="500"/>
      <c r="Y377" s="500"/>
      <c r="Z377" s="501"/>
      <c r="AA377" s="501"/>
      <c r="AB377" s="501"/>
      <c r="AC377" s="501"/>
      <c r="AD377" s="500"/>
      <c r="AE377" s="500"/>
      <c r="AF377" s="503"/>
      <c r="AG377" s="503"/>
      <c r="AH377" s="504"/>
      <c r="AI377" s="500"/>
      <c r="AJ377" s="500"/>
      <c r="AK377" s="500"/>
      <c r="AL377" s="500"/>
      <c r="AM377" s="500"/>
      <c r="AN377" s="500"/>
      <c r="AO377" s="500"/>
      <c r="AP377" s="500"/>
      <c r="AQ377" s="500"/>
      <c r="AR377" s="500"/>
      <c r="AS377" s="500"/>
      <c r="AT377" s="500"/>
      <c r="AU377" s="500"/>
      <c r="AV377" s="500"/>
      <c r="AW377" s="500"/>
      <c r="AX377" s="500"/>
      <c r="AY377" s="500"/>
      <c r="AZ377" s="500"/>
      <c r="BA377" s="500"/>
      <c r="BB377" s="500"/>
      <c r="BC377" s="500"/>
      <c r="BD377" s="500"/>
      <c r="BE377" s="500"/>
      <c r="BF377" s="500"/>
      <c r="BG377" s="500"/>
      <c r="BH377" s="500"/>
      <c r="BI377" s="500"/>
      <c r="BJ377" s="500"/>
      <c r="BK377" s="500"/>
      <c r="BL377" s="500"/>
      <c r="BM377" s="500"/>
      <c r="BN377" s="500"/>
      <c r="BO377" s="500"/>
      <c r="BP377" s="500"/>
      <c r="BQ377" s="500"/>
      <c r="BR377" s="500"/>
      <c r="BS377" s="500"/>
      <c r="BT377" s="500"/>
      <c r="BU377" s="500"/>
      <c r="BV377" s="500"/>
    </row>
    <row r="378" ht="14.25" customHeight="1">
      <c r="A378" s="500"/>
      <c r="B378" s="500"/>
      <c r="C378" s="500"/>
      <c r="D378" s="500"/>
      <c r="E378" s="500"/>
      <c r="F378" s="500"/>
      <c r="G378" s="500"/>
      <c r="H378" s="500"/>
      <c r="I378" s="500"/>
      <c r="J378" s="500"/>
      <c r="K378" s="500"/>
      <c r="L378" s="500"/>
      <c r="M378" s="500"/>
      <c r="N378" s="500"/>
      <c r="O378" s="500"/>
      <c r="P378" s="500"/>
      <c r="Q378" s="500"/>
      <c r="R378" s="500"/>
      <c r="S378" s="500"/>
      <c r="T378" s="500"/>
      <c r="U378" s="500"/>
      <c r="V378" s="500"/>
      <c r="W378" s="500"/>
      <c r="X378" s="500"/>
      <c r="Y378" s="500"/>
      <c r="Z378" s="501"/>
      <c r="AA378" s="501"/>
      <c r="AB378" s="501"/>
      <c r="AC378" s="501"/>
      <c r="AD378" s="500"/>
      <c r="AE378" s="500"/>
      <c r="AF378" s="503"/>
      <c r="AG378" s="503"/>
      <c r="AH378" s="504"/>
      <c r="AI378" s="500"/>
      <c r="AJ378" s="500"/>
      <c r="AK378" s="500"/>
      <c r="AL378" s="500"/>
      <c r="AM378" s="500"/>
      <c r="AN378" s="500"/>
      <c r="AO378" s="500"/>
      <c r="AP378" s="500"/>
      <c r="AQ378" s="500"/>
      <c r="AR378" s="500"/>
      <c r="AS378" s="500"/>
      <c r="AT378" s="500"/>
      <c r="AU378" s="500"/>
      <c r="AV378" s="500"/>
      <c r="AW378" s="500"/>
      <c r="AX378" s="500"/>
      <c r="AY378" s="500"/>
      <c r="AZ378" s="500"/>
      <c r="BA378" s="500"/>
      <c r="BB378" s="500"/>
      <c r="BC378" s="500"/>
      <c r="BD378" s="500"/>
      <c r="BE378" s="500"/>
      <c r="BF378" s="500"/>
      <c r="BG378" s="500"/>
      <c r="BH378" s="500"/>
      <c r="BI378" s="500"/>
      <c r="BJ378" s="500"/>
      <c r="BK378" s="500"/>
      <c r="BL378" s="500"/>
      <c r="BM378" s="500"/>
      <c r="BN378" s="500"/>
      <c r="BO378" s="500"/>
      <c r="BP378" s="500"/>
      <c r="BQ378" s="500"/>
      <c r="BR378" s="500"/>
      <c r="BS378" s="500"/>
      <c r="BT378" s="500"/>
      <c r="BU378" s="500"/>
      <c r="BV378" s="500"/>
    </row>
    <row r="379" ht="14.25" customHeight="1">
      <c r="A379" s="500"/>
      <c r="B379" s="500"/>
      <c r="C379" s="500"/>
      <c r="D379" s="500"/>
      <c r="E379" s="500"/>
      <c r="F379" s="500"/>
      <c r="G379" s="500"/>
      <c r="H379" s="500"/>
      <c r="I379" s="500"/>
      <c r="J379" s="500"/>
      <c r="K379" s="500"/>
      <c r="L379" s="500"/>
      <c r="M379" s="500"/>
      <c r="N379" s="500"/>
      <c r="O379" s="500"/>
      <c r="P379" s="500"/>
      <c r="Q379" s="500"/>
      <c r="R379" s="500"/>
      <c r="S379" s="500"/>
      <c r="T379" s="500"/>
      <c r="U379" s="500"/>
      <c r="V379" s="500"/>
      <c r="W379" s="500"/>
      <c r="X379" s="500"/>
      <c r="Y379" s="500"/>
      <c r="Z379" s="501"/>
      <c r="AA379" s="501"/>
      <c r="AB379" s="501"/>
      <c r="AC379" s="501"/>
      <c r="AD379" s="500"/>
      <c r="AE379" s="500"/>
      <c r="AF379" s="503"/>
      <c r="AG379" s="503"/>
      <c r="AH379" s="504"/>
      <c r="AI379" s="500"/>
      <c r="AJ379" s="500"/>
      <c r="AK379" s="500"/>
      <c r="AL379" s="500"/>
      <c r="AM379" s="500"/>
      <c r="AN379" s="500"/>
      <c r="AO379" s="500"/>
      <c r="AP379" s="500"/>
      <c r="AQ379" s="500"/>
      <c r="AR379" s="500"/>
      <c r="AS379" s="500"/>
      <c r="AT379" s="500"/>
      <c r="AU379" s="500"/>
      <c r="AV379" s="500"/>
      <c r="AW379" s="500"/>
      <c r="AX379" s="500"/>
      <c r="AY379" s="500"/>
      <c r="AZ379" s="500"/>
      <c r="BA379" s="500"/>
      <c r="BB379" s="500"/>
      <c r="BC379" s="500"/>
      <c r="BD379" s="500"/>
      <c r="BE379" s="500"/>
      <c r="BF379" s="500"/>
      <c r="BG379" s="500"/>
      <c r="BH379" s="500"/>
      <c r="BI379" s="500"/>
      <c r="BJ379" s="500"/>
      <c r="BK379" s="500"/>
      <c r="BL379" s="500"/>
      <c r="BM379" s="500"/>
      <c r="BN379" s="500"/>
      <c r="BO379" s="500"/>
      <c r="BP379" s="500"/>
      <c r="BQ379" s="500"/>
      <c r="BR379" s="500"/>
      <c r="BS379" s="500"/>
      <c r="BT379" s="500"/>
      <c r="BU379" s="500"/>
      <c r="BV379" s="500"/>
    </row>
    <row r="380" ht="14.25" customHeight="1">
      <c r="A380" s="500"/>
      <c r="B380" s="500"/>
      <c r="C380" s="500"/>
      <c r="D380" s="500"/>
      <c r="E380" s="500"/>
      <c r="F380" s="500"/>
      <c r="G380" s="500"/>
      <c r="H380" s="500"/>
      <c r="I380" s="500"/>
      <c r="J380" s="500"/>
      <c r="K380" s="500"/>
      <c r="L380" s="500"/>
      <c r="M380" s="500"/>
      <c r="N380" s="500"/>
      <c r="O380" s="500"/>
      <c r="P380" s="500"/>
      <c r="Q380" s="500"/>
      <c r="R380" s="500"/>
      <c r="S380" s="500"/>
      <c r="T380" s="500"/>
      <c r="U380" s="500"/>
      <c r="V380" s="500"/>
      <c r="W380" s="500"/>
      <c r="X380" s="500"/>
      <c r="Y380" s="500"/>
      <c r="Z380" s="501"/>
      <c r="AA380" s="501"/>
      <c r="AB380" s="501"/>
      <c r="AC380" s="501"/>
      <c r="AD380" s="500"/>
      <c r="AE380" s="500"/>
      <c r="AF380" s="503"/>
      <c r="AG380" s="503"/>
      <c r="AH380" s="504"/>
      <c r="AI380" s="500"/>
      <c r="AJ380" s="500"/>
      <c r="AK380" s="500"/>
      <c r="AL380" s="500"/>
      <c r="AM380" s="500"/>
      <c r="AN380" s="500"/>
      <c r="AO380" s="500"/>
      <c r="AP380" s="500"/>
      <c r="AQ380" s="500"/>
      <c r="AR380" s="500"/>
      <c r="AS380" s="500"/>
      <c r="AT380" s="500"/>
      <c r="AU380" s="500"/>
      <c r="AV380" s="500"/>
      <c r="AW380" s="500"/>
      <c r="AX380" s="500"/>
      <c r="AY380" s="500"/>
      <c r="AZ380" s="500"/>
      <c r="BA380" s="500"/>
      <c r="BB380" s="500"/>
      <c r="BC380" s="500"/>
      <c r="BD380" s="500"/>
      <c r="BE380" s="500"/>
      <c r="BF380" s="500"/>
      <c r="BG380" s="500"/>
      <c r="BH380" s="500"/>
      <c r="BI380" s="500"/>
      <c r="BJ380" s="500"/>
      <c r="BK380" s="500"/>
      <c r="BL380" s="500"/>
      <c r="BM380" s="500"/>
      <c r="BN380" s="500"/>
      <c r="BO380" s="500"/>
      <c r="BP380" s="500"/>
      <c r="BQ380" s="500"/>
      <c r="BR380" s="500"/>
      <c r="BS380" s="500"/>
      <c r="BT380" s="500"/>
      <c r="BU380" s="500"/>
      <c r="BV380" s="500"/>
    </row>
    <row r="381" ht="14.25" customHeight="1">
      <c r="A381" s="500"/>
      <c r="B381" s="500"/>
      <c r="C381" s="500"/>
      <c r="D381" s="500"/>
      <c r="E381" s="500"/>
      <c r="F381" s="500"/>
      <c r="G381" s="500"/>
      <c r="H381" s="500"/>
      <c r="I381" s="500"/>
      <c r="J381" s="500"/>
      <c r="K381" s="500"/>
      <c r="L381" s="500"/>
      <c r="M381" s="500"/>
      <c r="N381" s="500"/>
      <c r="O381" s="500"/>
      <c r="P381" s="500"/>
      <c r="Q381" s="500"/>
      <c r="R381" s="500"/>
      <c r="S381" s="500"/>
      <c r="T381" s="500"/>
      <c r="U381" s="500"/>
      <c r="V381" s="500"/>
      <c r="W381" s="500"/>
      <c r="X381" s="500"/>
      <c r="Y381" s="500"/>
      <c r="Z381" s="501"/>
      <c r="AA381" s="501"/>
      <c r="AB381" s="501"/>
      <c r="AC381" s="501"/>
      <c r="AD381" s="500"/>
      <c r="AE381" s="500"/>
      <c r="AF381" s="503"/>
      <c r="AG381" s="503"/>
      <c r="AH381" s="504"/>
      <c r="AI381" s="500"/>
      <c r="AJ381" s="500"/>
      <c r="AK381" s="500"/>
      <c r="AL381" s="500"/>
      <c r="AM381" s="500"/>
      <c r="AN381" s="500"/>
      <c r="AO381" s="500"/>
      <c r="AP381" s="500"/>
      <c r="AQ381" s="500"/>
      <c r="AR381" s="500"/>
      <c r="AS381" s="500"/>
      <c r="AT381" s="500"/>
      <c r="AU381" s="500"/>
      <c r="AV381" s="500"/>
      <c r="AW381" s="500"/>
      <c r="AX381" s="500"/>
      <c r="AY381" s="500"/>
      <c r="AZ381" s="500"/>
      <c r="BA381" s="500"/>
      <c r="BB381" s="500"/>
      <c r="BC381" s="500"/>
      <c r="BD381" s="500"/>
      <c r="BE381" s="500"/>
      <c r="BF381" s="500"/>
      <c r="BG381" s="500"/>
      <c r="BH381" s="500"/>
      <c r="BI381" s="500"/>
      <c r="BJ381" s="500"/>
      <c r="BK381" s="500"/>
      <c r="BL381" s="500"/>
      <c r="BM381" s="500"/>
      <c r="BN381" s="500"/>
      <c r="BO381" s="500"/>
      <c r="BP381" s="500"/>
      <c r="BQ381" s="500"/>
      <c r="BR381" s="500"/>
      <c r="BS381" s="500"/>
      <c r="BT381" s="500"/>
      <c r="BU381" s="500"/>
      <c r="BV381" s="500"/>
    </row>
    <row r="382" ht="14.25" customHeight="1">
      <c r="A382" s="500"/>
      <c r="B382" s="500"/>
      <c r="C382" s="500"/>
      <c r="D382" s="500"/>
      <c r="E382" s="500"/>
      <c r="F382" s="500"/>
      <c r="G382" s="500"/>
      <c r="H382" s="500"/>
      <c r="I382" s="500"/>
      <c r="J382" s="500"/>
      <c r="K382" s="500"/>
      <c r="L382" s="500"/>
      <c r="M382" s="500"/>
      <c r="N382" s="500"/>
      <c r="O382" s="500"/>
      <c r="P382" s="500"/>
      <c r="Q382" s="500"/>
      <c r="R382" s="500"/>
      <c r="S382" s="500"/>
      <c r="T382" s="500"/>
      <c r="U382" s="500"/>
      <c r="V382" s="500"/>
      <c r="W382" s="500"/>
      <c r="X382" s="500"/>
      <c r="Y382" s="500"/>
      <c r="Z382" s="501"/>
      <c r="AA382" s="501"/>
      <c r="AB382" s="501"/>
      <c r="AC382" s="501"/>
      <c r="AD382" s="500"/>
      <c r="AE382" s="500"/>
      <c r="AF382" s="503"/>
      <c r="AG382" s="503"/>
      <c r="AH382" s="504"/>
      <c r="AI382" s="500"/>
      <c r="AJ382" s="500"/>
      <c r="AK382" s="500"/>
      <c r="AL382" s="500"/>
      <c r="AM382" s="500"/>
      <c r="AN382" s="500"/>
      <c r="AO382" s="500"/>
      <c r="AP382" s="500"/>
      <c r="AQ382" s="500"/>
      <c r="AR382" s="500"/>
      <c r="AS382" s="500"/>
      <c r="AT382" s="500"/>
      <c r="AU382" s="500"/>
      <c r="AV382" s="500"/>
      <c r="AW382" s="500"/>
      <c r="AX382" s="500"/>
      <c r="AY382" s="500"/>
      <c r="AZ382" s="500"/>
      <c r="BA382" s="500"/>
      <c r="BB382" s="500"/>
      <c r="BC382" s="500"/>
      <c r="BD382" s="500"/>
      <c r="BE382" s="500"/>
      <c r="BF382" s="500"/>
      <c r="BG382" s="500"/>
      <c r="BH382" s="500"/>
      <c r="BI382" s="500"/>
      <c r="BJ382" s="500"/>
      <c r="BK382" s="500"/>
      <c r="BL382" s="500"/>
      <c r="BM382" s="500"/>
      <c r="BN382" s="500"/>
      <c r="BO382" s="500"/>
      <c r="BP382" s="500"/>
      <c r="BQ382" s="500"/>
      <c r="BR382" s="500"/>
      <c r="BS382" s="500"/>
      <c r="BT382" s="500"/>
      <c r="BU382" s="500"/>
      <c r="BV382" s="500"/>
    </row>
    <row r="383" ht="14.25" customHeight="1">
      <c r="A383" s="500"/>
      <c r="B383" s="500"/>
      <c r="C383" s="500"/>
      <c r="D383" s="500"/>
      <c r="E383" s="500"/>
      <c r="F383" s="500"/>
      <c r="G383" s="500"/>
      <c r="H383" s="500"/>
      <c r="I383" s="500"/>
      <c r="J383" s="500"/>
      <c r="K383" s="500"/>
      <c r="L383" s="500"/>
      <c r="M383" s="500"/>
      <c r="N383" s="500"/>
      <c r="O383" s="500"/>
      <c r="P383" s="500"/>
      <c r="Q383" s="500"/>
      <c r="R383" s="500"/>
      <c r="S383" s="500"/>
      <c r="T383" s="500"/>
      <c r="U383" s="500"/>
      <c r="V383" s="500"/>
      <c r="W383" s="500"/>
      <c r="X383" s="500"/>
      <c r="Y383" s="500"/>
      <c r="Z383" s="501"/>
      <c r="AA383" s="501"/>
      <c r="AB383" s="501"/>
      <c r="AC383" s="501"/>
      <c r="AD383" s="500"/>
      <c r="AE383" s="500"/>
      <c r="AF383" s="503"/>
      <c r="AG383" s="503"/>
      <c r="AH383" s="504"/>
      <c r="AI383" s="500"/>
      <c r="AJ383" s="500"/>
      <c r="AK383" s="500"/>
      <c r="AL383" s="500"/>
      <c r="AM383" s="500"/>
      <c r="AN383" s="500"/>
      <c r="AO383" s="500"/>
      <c r="AP383" s="500"/>
      <c r="AQ383" s="500"/>
      <c r="AR383" s="500"/>
      <c r="AS383" s="500"/>
      <c r="AT383" s="500"/>
      <c r="AU383" s="500"/>
      <c r="AV383" s="500"/>
      <c r="AW383" s="500"/>
      <c r="AX383" s="500"/>
      <c r="AY383" s="500"/>
      <c r="AZ383" s="500"/>
      <c r="BA383" s="500"/>
      <c r="BB383" s="500"/>
      <c r="BC383" s="500"/>
      <c r="BD383" s="500"/>
      <c r="BE383" s="500"/>
      <c r="BF383" s="500"/>
      <c r="BG383" s="500"/>
      <c r="BH383" s="500"/>
      <c r="BI383" s="500"/>
      <c r="BJ383" s="500"/>
      <c r="BK383" s="500"/>
      <c r="BL383" s="500"/>
      <c r="BM383" s="500"/>
      <c r="BN383" s="500"/>
      <c r="BO383" s="500"/>
      <c r="BP383" s="500"/>
      <c r="BQ383" s="500"/>
      <c r="BR383" s="500"/>
      <c r="BS383" s="500"/>
      <c r="BT383" s="500"/>
      <c r="BU383" s="500"/>
      <c r="BV383" s="500"/>
    </row>
    <row r="384" ht="14.25" customHeight="1">
      <c r="A384" s="500"/>
      <c r="B384" s="500"/>
      <c r="C384" s="500"/>
      <c r="D384" s="500"/>
      <c r="E384" s="500"/>
      <c r="F384" s="500"/>
      <c r="G384" s="500"/>
      <c r="H384" s="500"/>
      <c r="I384" s="500"/>
      <c r="J384" s="500"/>
      <c r="K384" s="500"/>
      <c r="L384" s="500"/>
      <c r="M384" s="500"/>
      <c r="N384" s="500"/>
      <c r="O384" s="500"/>
      <c r="P384" s="500"/>
      <c r="Q384" s="500"/>
      <c r="R384" s="500"/>
      <c r="S384" s="500"/>
      <c r="T384" s="500"/>
      <c r="U384" s="500"/>
      <c r="V384" s="500"/>
      <c r="W384" s="500"/>
      <c r="X384" s="500"/>
      <c r="Y384" s="500"/>
      <c r="Z384" s="501"/>
      <c r="AA384" s="501"/>
      <c r="AB384" s="501"/>
      <c r="AC384" s="501"/>
      <c r="AD384" s="500"/>
      <c r="AE384" s="500"/>
      <c r="AF384" s="503"/>
      <c r="AG384" s="503"/>
      <c r="AH384" s="504"/>
      <c r="AI384" s="500"/>
      <c r="AJ384" s="500"/>
      <c r="AK384" s="500"/>
      <c r="AL384" s="500"/>
      <c r="AM384" s="500"/>
      <c r="AN384" s="500"/>
      <c r="AO384" s="500"/>
      <c r="AP384" s="500"/>
      <c r="AQ384" s="500"/>
      <c r="AR384" s="500"/>
      <c r="AS384" s="500"/>
      <c r="AT384" s="500"/>
      <c r="AU384" s="500"/>
      <c r="AV384" s="500"/>
      <c r="AW384" s="500"/>
      <c r="AX384" s="500"/>
      <c r="AY384" s="500"/>
      <c r="AZ384" s="500"/>
      <c r="BA384" s="500"/>
      <c r="BB384" s="500"/>
      <c r="BC384" s="500"/>
      <c r="BD384" s="500"/>
      <c r="BE384" s="500"/>
      <c r="BF384" s="500"/>
      <c r="BG384" s="500"/>
      <c r="BH384" s="500"/>
      <c r="BI384" s="500"/>
      <c r="BJ384" s="500"/>
      <c r="BK384" s="500"/>
      <c r="BL384" s="500"/>
      <c r="BM384" s="500"/>
      <c r="BN384" s="500"/>
      <c r="BO384" s="500"/>
      <c r="BP384" s="500"/>
      <c r="BQ384" s="500"/>
      <c r="BR384" s="500"/>
      <c r="BS384" s="500"/>
      <c r="BT384" s="500"/>
      <c r="BU384" s="500"/>
      <c r="BV384" s="500"/>
    </row>
    <row r="385" ht="14.25" customHeight="1">
      <c r="A385" s="500"/>
      <c r="B385" s="500"/>
      <c r="C385" s="500"/>
      <c r="D385" s="500"/>
      <c r="E385" s="500"/>
      <c r="F385" s="500"/>
      <c r="G385" s="500"/>
      <c r="H385" s="500"/>
      <c r="I385" s="500"/>
      <c r="J385" s="500"/>
      <c r="K385" s="500"/>
      <c r="L385" s="500"/>
      <c r="M385" s="500"/>
      <c r="N385" s="500"/>
      <c r="O385" s="500"/>
      <c r="P385" s="500"/>
      <c r="Q385" s="500"/>
      <c r="R385" s="500"/>
      <c r="S385" s="500"/>
      <c r="T385" s="500"/>
      <c r="U385" s="500"/>
      <c r="V385" s="500"/>
      <c r="W385" s="500"/>
      <c r="X385" s="500"/>
      <c r="Y385" s="500"/>
      <c r="Z385" s="501"/>
      <c r="AA385" s="501"/>
      <c r="AB385" s="501"/>
      <c r="AC385" s="501"/>
      <c r="AD385" s="500"/>
      <c r="AE385" s="500"/>
      <c r="AF385" s="503"/>
      <c r="AG385" s="503"/>
      <c r="AH385" s="504"/>
      <c r="AI385" s="500"/>
      <c r="AJ385" s="500"/>
      <c r="AK385" s="500"/>
      <c r="AL385" s="500"/>
      <c r="AM385" s="500"/>
      <c r="AN385" s="500"/>
      <c r="AO385" s="500"/>
      <c r="AP385" s="500"/>
      <c r="AQ385" s="500"/>
      <c r="AR385" s="500"/>
      <c r="AS385" s="500"/>
      <c r="AT385" s="500"/>
      <c r="AU385" s="500"/>
      <c r="AV385" s="500"/>
      <c r="AW385" s="500"/>
      <c r="AX385" s="500"/>
      <c r="AY385" s="500"/>
      <c r="AZ385" s="500"/>
      <c r="BA385" s="500"/>
      <c r="BB385" s="500"/>
      <c r="BC385" s="500"/>
      <c r="BD385" s="500"/>
      <c r="BE385" s="500"/>
      <c r="BF385" s="500"/>
      <c r="BG385" s="500"/>
      <c r="BH385" s="500"/>
      <c r="BI385" s="500"/>
      <c r="BJ385" s="500"/>
      <c r="BK385" s="500"/>
      <c r="BL385" s="500"/>
      <c r="BM385" s="500"/>
      <c r="BN385" s="500"/>
      <c r="BO385" s="500"/>
      <c r="BP385" s="500"/>
      <c r="BQ385" s="500"/>
      <c r="BR385" s="500"/>
      <c r="BS385" s="500"/>
      <c r="BT385" s="500"/>
      <c r="BU385" s="500"/>
      <c r="BV385" s="500"/>
    </row>
    <row r="386" ht="14.25" customHeight="1">
      <c r="A386" s="500"/>
      <c r="B386" s="500"/>
      <c r="C386" s="500"/>
      <c r="D386" s="500"/>
      <c r="E386" s="500"/>
      <c r="F386" s="500"/>
      <c r="G386" s="500"/>
      <c r="H386" s="500"/>
      <c r="I386" s="500"/>
      <c r="J386" s="500"/>
      <c r="K386" s="500"/>
      <c r="L386" s="500"/>
      <c r="M386" s="500"/>
      <c r="N386" s="500"/>
      <c r="O386" s="500"/>
      <c r="P386" s="500"/>
      <c r="Q386" s="500"/>
      <c r="R386" s="500"/>
      <c r="S386" s="500"/>
      <c r="T386" s="500"/>
      <c r="U386" s="500"/>
      <c r="V386" s="500"/>
      <c r="W386" s="500"/>
      <c r="X386" s="500"/>
      <c r="Y386" s="500"/>
      <c r="Z386" s="501"/>
      <c r="AA386" s="501"/>
      <c r="AB386" s="501"/>
      <c r="AC386" s="501"/>
      <c r="AD386" s="500"/>
      <c r="AE386" s="500"/>
      <c r="AF386" s="503"/>
      <c r="AG386" s="503"/>
      <c r="AH386" s="504"/>
      <c r="AI386" s="500"/>
      <c r="AJ386" s="500"/>
      <c r="AK386" s="500"/>
      <c r="AL386" s="500"/>
      <c r="AM386" s="500"/>
      <c r="AN386" s="500"/>
      <c r="AO386" s="500"/>
      <c r="AP386" s="500"/>
      <c r="AQ386" s="500"/>
      <c r="AR386" s="500"/>
      <c r="AS386" s="500"/>
      <c r="AT386" s="500"/>
      <c r="AU386" s="500"/>
      <c r="AV386" s="500"/>
      <c r="AW386" s="500"/>
      <c r="AX386" s="500"/>
      <c r="AY386" s="500"/>
      <c r="AZ386" s="500"/>
      <c r="BA386" s="500"/>
      <c r="BB386" s="500"/>
      <c r="BC386" s="500"/>
      <c r="BD386" s="500"/>
      <c r="BE386" s="500"/>
      <c r="BF386" s="500"/>
      <c r="BG386" s="500"/>
      <c r="BH386" s="500"/>
      <c r="BI386" s="500"/>
      <c r="BJ386" s="500"/>
      <c r="BK386" s="500"/>
      <c r="BL386" s="500"/>
      <c r="BM386" s="500"/>
      <c r="BN386" s="500"/>
      <c r="BO386" s="500"/>
      <c r="BP386" s="500"/>
      <c r="BQ386" s="500"/>
      <c r="BR386" s="500"/>
      <c r="BS386" s="500"/>
      <c r="BT386" s="500"/>
      <c r="BU386" s="500"/>
      <c r="BV386" s="500"/>
    </row>
    <row r="387" ht="14.25" customHeight="1">
      <c r="A387" s="500"/>
      <c r="B387" s="500"/>
      <c r="C387" s="500"/>
      <c r="D387" s="500"/>
      <c r="E387" s="500"/>
      <c r="F387" s="500"/>
      <c r="G387" s="500"/>
      <c r="H387" s="500"/>
      <c r="I387" s="500"/>
      <c r="J387" s="500"/>
      <c r="K387" s="500"/>
      <c r="L387" s="500"/>
      <c r="M387" s="500"/>
      <c r="N387" s="500"/>
      <c r="O387" s="500"/>
      <c r="P387" s="500"/>
      <c r="Q387" s="500"/>
      <c r="R387" s="500"/>
      <c r="S387" s="500"/>
      <c r="T387" s="500"/>
      <c r="U387" s="500"/>
      <c r="V387" s="500"/>
      <c r="W387" s="500"/>
      <c r="X387" s="500"/>
      <c r="Y387" s="500"/>
      <c r="Z387" s="501"/>
      <c r="AA387" s="501"/>
      <c r="AB387" s="501"/>
      <c r="AC387" s="501"/>
      <c r="AD387" s="500"/>
      <c r="AE387" s="500"/>
      <c r="AF387" s="503"/>
      <c r="AG387" s="503"/>
      <c r="AH387" s="504"/>
      <c r="AI387" s="500"/>
      <c r="AJ387" s="500"/>
      <c r="AK387" s="500"/>
      <c r="AL387" s="500"/>
      <c r="AM387" s="500"/>
      <c r="AN387" s="500"/>
      <c r="AO387" s="500"/>
      <c r="AP387" s="500"/>
      <c r="AQ387" s="500"/>
      <c r="AR387" s="500"/>
      <c r="AS387" s="500"/>
      <c r="AT387" s="500"/>
      <c r="AU387" s="500"/>
      <c r="AV387" s="500"/>
      <c r="AW387" s="500"/>
      <c r="AX387" s="500"/>
      <c r="AY387" s="500"/>
      <c r="AZ387" s="500"/>
      <c r="BA387" s="500"/>
      <c r="BB387" s="500"/>
      <c r="BC387" s="500"/>
      <c r="BD387" s="500"/>
      <c r="BE387" s="500"/>
      <c r="BF387" s="500"/>
      <c r="BG387" s="500"/>
      <c r="BH387" s="500"/>
      <c r="BI387" s="500"/>
      <c r="BJ387" s="500"/>
      <c r="BK387" s="500"/>
      <c r="BL387" s="500"/>
      <c r="BM387" s="500"/>
      <c r="BN387" s="500"/>
      <c r="BO387" s="500"/>
      <c r="BP387" s="500"/>
      <c r="BQ387" s="500"/>
      <c r="BR387" s="500"/>
      <c r="BS387" s="500"/>
      <c r="BT387" s="500"/>
      <c r="BU387" s="500"/>
      <c r="BV387" s="500"/>
    </row>
    <row r="388" ht="14.25" customHeight="1">
      <c r="A388" s="500"/>
      <c r="B388" s="500"/>
      <c r="C388" s="500"/>
      <c r="D388" s="500"/>
      <c r="E388" s="500"/>
      <c r="F388" s="500"/>
      <c r="G388" s="500"/>
      <c r="H388" s="500"/>
      <c r="I388" s="500"/>
      <c r="J388" s="500"/>
      <c r="K388" s="500"/>
      <c r="L388" s="500"/>
      <c r="M388" s="500"/>
      <c r="N388" s="500"/>
      <c r="O388" s="500"/>
      <c r="P388" s="500"/>
      <c r="Q388" s="500"/>
      <c r="R388" s="500"/>
      <c r="S388" s="500"/>
      <c r="T388" s="500"/>
      <c r="U388" s="500"/>
      <c r="V388" s="500"/>
      <c r="W388" s="500"/>
      <c r="X388" s="500"/>
      <c r="Y388" s="500"/>
      <c r="Z388" s="501"/>
      <c r="AA388" s="501"/>
      <c r="AB388" s="501"/>
      <c r="AC388" s="501"/>
      <c r="AD388" s="500"/>
      <c r="AE388" s="500"/>
      <c r="AF388" s="503"/>
      <c r="AG388" s="503"/>
      <c r="AH388" s="504"/>
      <c r="AI388" s="500"/>
      <c r="AJ388" s="500"/>
      <c r="AK388" s="500"/>
      <c r="AL388" s="500"/>
      <c r="AM388" s="500"/>
      <c r="AN388" s="500"/>
      <c r="AO388" s="500"/>
      <c r="AP388" s="500"/>
      <c r="AQ388" s="500"/>
      <c r="AR388" s="500"/>
      <c r="AS388" s="500"/>
      <c r="AT388" s="500"/>
      <c r="AU388" s="500"/>
      <c r="AV388" s="500"/>
      <c r="AW388" s="500"/>
      <c r="AX388" s="500"/>
      <c r="AY388" s="500"/>
      <c r="AZ388" s="500"/>
      <c r="BA388" s="500"/>
      <c r="BB388" s="500"/>
      <c r="BC388" s="500"/>
      <c r="BD388" s="500"/>
      <c r="BE388" s="500"/>
      <c r="BF388" s="500"/>
      <c r="BG388" s="500"/>
      <c r="BH388" s="500"/>
      <c r="BI388" s="500"/>
      <c r="BJ388" s="500"/>
      <c r="BK388" s="500"/>
      <c r="BL388" s="500"/>
      <c r="BM388" s="500"/>
      <c r="BN388" s="500"/>
      <c r="BO388" s="500"/>
      <c r="BP388" s="500"/>
      <c r="BQ388" s="500"/>
      <c r="BR388" s="500"/>
      <c r="BS388" s="500"/>
      <c r="BT388" s="500"/>
      <c r="BU388" s="500"/>
      <c r="BV388" s="500"/>
    </row>
    <row r="389" ht="14.25" customHeight="1">
      <c r="A389" s="500"/>
      <c r="B389" s="500"/>
      <c r="C389" s="500"/>
      <c r="D389" s="500"/>
      <c r="E389" s="500"/>
      <c r="F389" s="500"/>
      <c r="G389" s="500"/>
      <c r="H389" s="500"/>
      <c r="I389" s="500"/>
      <c r="J389" s="500"/>
      <c r="K389" s="500"/>
      <c r="L389" s="500"/>
      <c r="M389" s="500"/>
      <c r="N389" s="500"/>
      <c r="O389" s="500"/>
      <c r="P389" s="500"/>
      <c r="Q389" s="500"/>
      <c r="R389" s="500"/>
      <c r="S389" s="500"/>
      <c r="T389" s="500"/>
      <c r="U389" s="500"/>
      <c r="V389" s="500"/>
      <c r="W389" s="500"/>
      <c r="X389" s="500"/>
      <c r="Y389" s="500"/>
      <c r="Z389" s="501"/>
      <c r="AA389" s="501"/>
      <c r="AB389" s="501"/>
      <c r="AC389" s="501"/>
      <c r="AD389" s="500"/>
      <c r="AE389" s="500"/>
      <c r="AF389" s="503"/>
      <c r="AG389" s="503"/>
      <c r="AH389" s="504"/>
      <c r="AI389" s="500"/>
      <c r="AJ389" s="500"/>
      <c r="AK389" s="500"/>
      <c r="AL389" s="500"/>
      <c r="AM389" s="500"/>
      <c r="AN389" s="500"/>
      <c r="AO389" s="500"/>
      <c r="AP389" s="500"/>
      <c r="AQ389" s="500"/>
      <c r="AR389" s="500"/>
      <c r="AS389" s="500"/>
      <c r="AT389" s="500"/>
      <c r="AU389" s="500"/>
      <c r="AV389" s="500"/>
      <c r="AW389" s="500"/>
      <c r="AX389" s="500"/>
      <c r="AY389" s="500"/>
      <c r="AZ389" s="500"/>
      <c r="BA389" s="500"/>
      <c r="BB389" s="500"/>
      <c r="BC389" s="500"/>
      <c r="BD389" s="500"/>
      <c r="BE389" s="500"/>
      <c r="BF389" s="500"/>
      <c r="BG389" s="500"/>
      <c r="BH389" s="500"/>
      <c r="BI389" s="500"/>
      <c r="BJ389" s="500"/>
      <c r="BK389" s="500"/>
      <c r="BL389" s="500"/>
      <c r="BM389" s="500"/>
      <c r="BN389" s="500"/>
      <c r="BO389" s="500"/>
      <c r="BP389" s="500"/>
      <c r="BQ389" s="500"/>
      <c r="BR389" s="500"/>
      <c r="BS389" s="500"/>
      <c r="BT389" s="500"/>
      <c r="BU389" s="500"/>
      <c r="BV389" s="500"/>
    </row>
    <row r="390" ht="14.25" customHeight="1">
      <c r="A390" s="500"/>
      <c r="B390" s="500"/>
      <c r="C390" s="500"/>
      <c r="D390" s="500"/>
      <c r="E390" s="500"/>
      <c r="F390" s="500"/>
      <c r="G390" s="500"/>
      <c r="H390" s="500"/>
      <c r="I390" s="500"/>
      <c r="J390" s="500"/>
      <c r="K390" s="500"/>
      <c r="L390" s="500"/>
      <c r="M390" s="500"/>
      <c r="N390" s="500"/>
      <c r="O390" s="500"/>
      <c r="P390" s="500"/>
      <c r="Q390" s="500"/>
      <c r="R390" s="500"/>
      <c r="S390" s="500"/>
      <c r="T390" s="500"/>
      <c r="U390" s="500"/>
      <c r="V390" s="500"/>
      <c r="W390" s="500"/>
      <c r="X390" s="500"/>
      <c r="Y390" s="500"/>
      <c r="Z390" s="501"/>
      <c r="AA390" s="501"/>
      <c r="AB390" s="501"/>
      <c r="AC390" s="501"/>
      <c r="AD390" s="500"/>
      <c r="AE390" s="500"/>
      <c r="AF390" s="503"/>
      <c r="AG390" s="503"/>
      <c r="AH390" s="504"/>
      <c r="AI390" s="500"/>
      <c r="AJ390" s="500"/>
      <c r="AK390" s="500"/>
      <c r="AL390" s="500"/>
      <c r="AM390" s="500"/>
      <c r="AN390" s="500"/>
      <c r="AO390" s="500"/>
      <c r="AP390" s="500"/>
      <c r="AQ390" s="500"/>
      <c r="AR390" s="500"/>
      <c r="AS390" s="500"/>
      <c r="AT390" s="500"/>
      <c r="AU390" s="500"/>
      <c r="AV390" s="500"/>
      <c r="AW390" s="500"/>
      <c r="AX390" s="500"/>
      <c r="AY390" s="500"/>
      <c r="AZ390" s="500"/>
      <c r="BA390" s="500"/>
      <c r="BB390" s="500"/>
      <c r="BC390" s="500"/>
      <c r="BD390" s="500"/>
      <c r="BE390" s="500"/>
      <c r="BF390" s="500"/>
      <c r="BG390" s="500"/>
      <c r="BH390" s="500"/>
      <c r="BI390" s="500"/>
      <c r="BJ390" s="500"/>
      <c r="BK390" s="500"/>
      <c r="BL390" s="500"/>
      <c r="BM390" s="500"/>
      <c r="BN390" s="500"/>
      <c r="BO390" s="500"/>
      <c r="BP390" s="500"/>
      <c r="BQ390" s="500"/>
      <c r="BR390" s="500"/>
      <c r="BS390" s="500"/>
      <c r="BT390" s="500"/>
      <c r="BU390" s="500"/>
      <c r="BV390" s="500"/>
    </row>
    <row r="391" ht="14.25" customHeight="1">
      <c r="A391" s="500"/>
      <c r="B391" s="500"/>
      <c r="C391" s="500"/>
      <c r="D391" s="500"/>
      <c r="E391" s="500"/>
      <c r="F391" s="500"/>
      <c r="G391" s="500"/>
      <c r="H391" s="500"/>
      <c r="I391" s="500"/>
      <c r="J391" s="500"/>
      <c r="K391" s="500"/>
      <c r="L391" s="500"/>
      <c r="M391" s="500"/>
      <c r="N391" s="500"/>
      <c r="O391" s="500"/>
      <c r="P391" s="500"/>
      <c r="Q391" s="500"/>
      <c r="R391" s="500"/>
      <c r="S391" s="500"/>
      <c r="T391" s="500"/>
      <c r="U391" s="500"/>
      <c r="V391" s="500"/>
      <c r="W391" s="500"/>
      <c r="X391" s="500"/>
      <c r="Y391" s="500"/>
      <c r="Z391" s="501"/>
      <c r="AA391" s="501"/>
      <c r="AB391" s="501"/>
      <c r="AC391" s="501"/>
      <c r="AD391" s="500"/>
      <c r="AE391" s="500"/>
      <c r="AF391" s="503"/>
      <c r="AG391" s="503"/>
      <c r="AH391" s="504"/>
      <c r="AI391" s="500"/>
      <c r="AJ391" s="500"/>
      <c r="AK391" s="500"/>
      <c r="AL391" s="500"/>
      <c r="AM391" s="500"/>
      <c r="AN391" s="500"/>
      <c r="AO391" s="500"/>
      <c r="AP391" s="500"/>
      <c r="AQ391" s="500"/>
      <c r="AR391" s="500"/>
      <c r="AS391" s="500"/>
      <c r="AT391" s="500"/>
      <c r="AU391" s="500"/>
      <c r="AV391" s="500"/>
      <c r="AW391" s="500"/>
      <c r="AX391" s="500"/>
      <c r="AY391" s="500"/>
      <c r="AZ391" s="500"/>
      <c r="BA391" s="500"/>
      <c r="BB391" s="500"/>
      <c r="BC391" s="500"/>
      <c r="BD391" s="500"/>
      <c r="BE391" s="500"/>
      <c r="BF391" s="500"/>
      <c r="BG391" s="500"/>
      <c r="BH391" s="500"/>
      <c r="BI391" s="500"/>
      <c r="BJ391" s="500"/>
      <c r="BK391" s="500"/>
      <c r="BL391" s="500"/>
      <c r="BM391" s="500"/>
      <c r="BN391" s="500"/>
      <c r="BO391" s="500"/>
      <c r="BP391" s="500"/>
      <c r="BQ391" s="500"/>
      <c r="BR391" s="500"/>
      <c r="BS391" s="500"/>
      <c r="BT391" s="500"/>
      <c r="BU391" s="500"/>
      <c r="BV391" s="500"/>
    </row>
    <row r="392" ht="14.25" customHeight="1">
      <c r="A392" s="500"/>
      <c r="B392" s="500"/>
      <c r="C392" s="500"/>
      <c r="D392" s="500"/>
      <c r="E392" s="500"/>
      <c r="F392" s="500"/>
      <c r="G392" s="500"/>
      <c r="H392" s="500"/>
      <c r="I392" s="500"/>
      <c r="J392" s="500"/>
      <c r="K392" s="500"/>
      <c r="L392" s="500"/>
      <c r="M392" s="500"/>
      <c r="N392" s="500"/>
      <c r="O392" s="500"/>
      <c r="P392" s="500"/>
      <c r="Q392" s="500"/>
      <c r="R392" s="500"/>
      <c r="S392" s="500"/>
      <c r="T392" s="500"/>
      <c r="U392" s="500"/>
      <c r="V392" s="500"/>
      <c r="W392" s="500"/>
      <c r="X392" s="500"/>
      <c r="Y392" s="500"/>
      <c r="Z392" s="501"/>
      <c r="AA392" s="501"/>
      <c r="AB392" s="501"/>
      <c r="AC392" s="501"/>
      <c r="AD392" s="500"/>
      <c r="AE392" s="500"/>
      <c r="AF392" s="503"/>
      <c r="AG392" s="503"/>
      <c r="AH392" s="504"/>
      <c r="AI392" s="500"/>
      <c r="AJ392" s="500"/>
      <c r="AK392" s="500"/>
      <c r="AL392" s="500"/>
      <c r="AM392" s="500"/>
      <c r="AN392" s="500"/>
      <c r="AO392" s="500"/>
      <c r="AP392" s="500"/>
      <c r="AQ392" s="500"/>
      <c r="AR392" s="500"/>
      <c r="AS392" s="500"/>
      <c r="AT392" s="500"/>
      <c r="AU392" s="500"/>
      <c r="AV392" s="500"/>
      <c r="AW392" s="500"/>
      <c r="AX392" s="500"/>
      <c r="AY392" s="500"/>
      <c r="AZ392" s="500"/>
      <c r="BA392" s="500"/>
      <c r="BB392" s="500"/>
      <c r="BC392" s="500"/>
      <c r="BD392" s="500"/>
      <c r="BE392" s="500"/>
      <c r="BF392" s="500"/>
      <c r="BG392" s="500"/>
      <c r="BH392" s="500"/>
      <c r="BI392" s="500"/>
      <c r="BJ392" s="500"/>
      <c r="BK392" s="500"/>
      <c r="BL392" s="500"/>
      <c r="BM392" s="500"/>
      <c r="BN392" s="500"/>
      <c r="BO392" s="500"/>
      <c r="BP392" s="500"/>
      <c r="BQ392" s="500"/>
      <c r="BR392" s="500"/>
      <c r="BS392" s="500"/>
      <c r="BT392" s="500"/>
      <c r="BU392" s="500"/>
      <c r="BV392" s="500"/>
    </row>
    <row r="393" ht="14.25" customHeight="1">
      <c r="A393" s="500"/>
      <c r="B393" s="500"/>
      <c r="C393" s="500"/>
      <c r="D393" s="500"/>
      <c r="E393" s="500"/>
      <c r="F393" s="500"/>
      <c r="G393" s="500"/>
      <c r="H393" s="500"/>
      <c r="I393" s="500"/>
      <c r="J393" s="500"/>
      <c r="K393" s="500"/>
      <c r="L393" s="500"/>
      <c r="M393" s="500"/>
      <c r="N393" s="500"/>
      <c r="O393" s="500"/>
      <c r="P393" s="500"/>
      <c r="Q393" s="500"/>
      <c r="R393" s="500"/>
      <c r="S393" s="500"/>
      <c r="T393" s="500"/>
      <c r="U393" s="500"/>
      <c r="V393" s="500"/>
      <c r="W393" s="500"/>
      <c r="X393" s="500"/>
      <c r="Y393" s="500"/>
      <c r="Z393" s="501"/>
      <c r="AA393" s="501"/>
      <c r="AB393" s="501"/>
      <c r="AC393" s="501"/>
      <c r="AD393" s="500"/>
      <c r="AE393" s="500"/>
      <c r="AF393" s="503"/>
      <c r="AG393" s="503"/>
      <c r="AH393" s="504"/>
      <c r="AI393" s="500"/>
      <c r="AJ393" s="500"/>
      <c r="AK393" s="500"/>
      <c r="AL393" s="500"/>
      <c r="AM393" s="500"/>
      <c r="AN393" s="500"/>
      <c r="AO393" s="500"/>
      <c r="AP393" s="500"/>
      <c r="AQ393" s="500"/>
      <c r="AR393" s="500"/>
      <c r="AS393" s="500"/>
      <c r="AT393" s="500"/>
      <c r="AU393" s="500"/>
      <c r="AV393" s="500"/>
      <c r="AW393" s="500"/>
      <c r="AX393" s="500"/>
      <c r="AY393" s="500"/>
      <c r="AZ393" s="500"/>
      <c r="BA393" s="500"/>
      <c r="BB393" s="500"/>
      <c r="BC393" s="500"/>
      <c r="BD393" s="500"/>
      <c r="BE393" s="500"/>
      <c r="BF393" s="500"/>
      <c r="BG393" s="500"/>
      <c r="BH393" s="500"/>
      <c r="BI393" s="500"/>
      <c r="BJ393" s="500"/>
      <c r="BK393" s="500"/>
      <c r="BL393" s="500"/>
      <c r="BM393" s="500"/>
      <c r="BN393" s="500"/>
      <c r="BO393" s="500"/>
      <c r="BP393" s="500"/>
      <c r="BQ393" s="500"/>
      <c r="BR393" s="500"/>
      <c r="BS393" s="500"/>
      <c r="BT393" s="500"/>
      <c r="BU393" s="500"/>
      <c r="BV393" s="500"/>
    </row>
    <row r="394" ht="14.25" customHeight="1">
      <c r="A394" s="500"/>
      <c r="B394" s="500"/>
      <c r="C394" s="500"/>
      <c r="D394" s="500"/>
      <c r="E394" s="500"/>
      <c r="F394" s="500"/>
      <c r="G394" s="500"/>
      <c r="H394" s="500"/>
      <c r="I394" s="500"/>
      <c r="J394" s="500"/>
      <c r="K394" s="500"/>
      <c r="L394" s="500"/>
      <c r="M394" s="500"/>
      <c r="N394" s="500"/>
      <c r="O394" s="500"/>
      <c r="P394" s="500"/>
      <c r="Q394" s="500"/>
      <c r="R394" s="500"/>
      <c r="S394" s="500"/>
      <c r="T394" s="500"/>
      <c r="U394" s="500"/>
      <c r="V394" s="500"/>
      <c r="W394" s="500"/>
      <c r="X394" s="500"/>
      <c r="Y394" s="500"/>
      <c r="Z394" s="501"/>
      <c r="AA394" s="501"/>
      <c r="AB394" s="501"/>
      <c r="AC394" s="501"/>
      <c r="AD394" s="500"/>
      <c r="AE394" s="500"/>
      <c r="AF394" s="503"/>
      <c r="AG394" s="503"/>
      <c r="AH394" s="504"/>
      <c r="AI394" s="500"/>
      <c r="AJ394" s="500"/>
      <c r="AK394" s="500"/>
      <c r="AL394" s="500"/>
      <c r="AM394" s="500"/>
      <c r="AN394" s="500"/>
      <c r="AO394" s="500"/>
      <c r="AP394" s="500"/>
      <c r="AQ394" s="500"/>
      <c r="AR394" s="500"/>
      <c r="AS394" s="500"/>
      <c r="AT394" s="500"/>
      <c r="AU394" s="500"/>
      <c r="AV394" s="500"/>
      <c r="AW394" s="500"/>
      <c r="AX394" s="500"/>
      <c r="AY394" s="500"/>
      <c r="AZ394" s="500"/>
      <c r="BA394" s="500"/>
      <c r="BB394" s="500"/>
      <c r="BC394" s="500"/>
      <c r="BD394" s="500"/>
      <c r="BE394" s="500"/>
      <c r="BF394" s="500"/>
      <c r="BG394" s="500"/>
      <c r="BH394" s="500"/>
      <c r="BI394" s="500"/>
      <c r="BJ394" s="500"/>
      <c r="BK394" s="500"/>
      <c r="BL394" s="500"/>
      <c r="BM394" s="500"/>
      <c r="BN394" s="500"/>
      <c r="BO394" s="500"/>
      <c r="BP394" s="500"/>
      <c r="BQ394" s="500"/>
      <c r="BR394" s="500"/>
      <c r="BS394" s="500"/>
      <c r="BT394" s="500"/>
      <c r="BU394" s="500"/>
      <c r="BV394" s="500"/>
    </row>
    <row r="395" ht="14.25" customHeight="1">
      <c r="A395" s="500"/>
      <c r="B395" s="500"/>
      <c r="C395" s="500"/>
      <c r="D395" s="500"/>
      <c r="E395" s="500"/>
      <c r="F395" s="500"/>
      <c r="G395" s="500"/>
      <c r="H395" s="500"/>
      <c r="I395" s="500"/>
      <c r="J395" s="500"/>
      <c r="K395" s="500"/>
      <c r="L395" s="500"/>
      <c r="M395" s="500"/>
      <c r="N395" s="500"/>
      <c r="O395" s="500"/>
      <c r="P395" s="500"/>
      <c r="Q395" s="500"/>
      <c r="R395" s="500"/>
      <c r="S395" s="500"/>
      <c r="T395" s="500"/>
      <c r="U395" s="500"/>
      <c r="V395" s="500"/>
      <c r="W395" s="500"/>
      <c r="X395" s="500"/>
      <c r="Y395" s="500"/>
      <c r="Z395" s="501"/>
      <c r="AA395" s="501"/>
      <c r="AB395" s="501"/>
      <c r="AC395" s="501"/>
      <c r="AD395" s="500"/>
      <c r="AE395" s="500"/>
      <c r="AF395" s="503"/>
      <c r="AG395" s="503"/>
      <c r="AH395" s="504"/>
      <c r="AI395" s="500"/>
      <c r="AJ395" s="500"/>
      <c r="AK395" s="500"/>
      <c r="AL395" s="500"/>
      <c r="AM395" s="500"/>
      <c r="AN395" s="500"/>
      <c r="AO395" s="500"/>
      <c r="AP395" s="500"/>
      <c r="AQ395" s="500"/>
      <c r="AR395" s="500"/>
      <c r="AS395" s="500"/>
      <c r="AT395" s="500"/>
      <c r="AU395" s="500"/>
      <c r="AV395" s="500"/>
      <c r="AW395" s="500"/>
      <c r="AX395" s="500"/>
      <c r="AY395" s="500"/>
      <c r="AZ395" s="500"/>
      <c r="BA395" s="500"/>
      <c r="BB395" s="500"/>
      <c r="BC395" s="500"/>
      <c r="BD395" s="500"/>
      <c r="BE395" s="500"/>
      <c r="BF395" s="500"/>
      <c r="BG395" s="500"/>
      <c r="BH395" s="500"/>
      <c r="BI395" s="500"/>
      <c r="BJ395" s="500"/>
      <c r="BK395" s="500"/>
      <c r="BL395" s="500"/>
      <c r="BM395" s="500"/>
      <c r="BN395" s="500"/>
      <c r="BO395" s="500"/>
      <c r="BP395" s="500"/>
      <c r="BQ395" s="500"/>
      <c r="BR395" s="500"/>
      <c r="BS395" s="500"/>
      <c r="BT395" s="500"/>
      <c r="BU395" s="500"/>
      <c r="BV395" s="500"/>
    </row>
    <row r="396" ht="14.25" customHeight="1">
      <c r="A396" s="500"/>
      <c r="B396" s="500"/>
      <c r="C396" s="500"/>
      <c r="D396" s="500"/>
      <c r="E396" s="500"/>
      <c r="F396" s="500"/>
      <c r="G396" s="500"/>
      <c r="H396" s="500"/>
      <c r="I396" s="500"/>
      <c r="J396" s="500"/>
      <c r="K396" s="500"/>
      <c r="L396" s="500"/>
      <c r="M396" s="500"/>
      <c r="N396" s="500"/>
      <c r="O396" s="500"/>
      <c r="P396" s="500"/>
      <c r="Q396" s="500"/>
      <c r="R396" s="500"/>
      <c r="S396" s="500"/>
      <c r="T396" s="500"/>
      <c r="U396" s="500"/>
      <c r="V396" s="500"/>
      <c r="W396" s="500"/>
      <c r="X396" s="500"/>
      <c r="Y396" s="500"/>
      <c r="Z396" s="501"/>
      <c r="AA396" s="501"/>
      <c r="AB396" s="501"/>
      <c r="AC396" s="501"/>
      <c r="AD396" s="500"/>
      <c r="AE396" s="500"/>
      <c r="AF396" s="503"/>
      <c r="AG396" s="503"/>
      <c r="AH396" s="504"/>
      <c r="AI396" s="500"/>
      <c r="AJ396" s="500"/>
      <c r="AK396" s="500"/>
      <c r="AL396" s="500"/>
      <c r="AM396" s="500"/>
      <c r="AN396" s="500"/>
      <c r="AO396" s="500"/>
      <c r="AP396" s="500"/>
      <c r="AQ396" s="500"/>
      <c r="AR396" s="500"/>
      <c r="AS396" s="500"/>
      <c r="AT396" s="500"/>
      <c r="AU396" s="500"/>
      <c r="AV396" s="500"/>
      <c r="AW396" s="500"/>
      <c r="AX396" s="500"/>
      <c r="AY396" s="500"/>
      <c r="AZ396" s="500"/>
      <c r="BA396" s="500"/>
      <c r="BB396" s="500"/>
      <c r="BC396" s="500"/>
      <c r="BD396" s="500"/>
      <c r="BE396" s="500"/>
      <c r="BF396" s="500"/>
      <c r="BG396" s="500"/>
      <c r="BH396" s="500"/>
      <c r="BI396" s="500"/>
      <c r="BJ396" s="500"/>
      <c r="BK396" s="500"/>
      <c r="BL396" s="500"/>
      <c r="BM396" s="500"/>
      <c r="BN396" s="500"/>
      <c r="BO396" s="500"/>
      <c r="BP396" s="500"/>
      <c r="BQ396" s="500"/>
      <c r="BR396" s="500"/>
      <c r="BS396" s="500"/>
      <c r="BT396" s="500"/>
      <c r="BU396" s="500"/>
      <c r="BV396" s="500"/>
    </row>
    <row r="397" ht="14.25" customHeight="1">
      <c r="A397" s="500"/>
      <c r="B397" s="500"/>
      <c r="C397" s="500"/>
      <c r="D397" s="500"/>
      <c r="E397" s="500"/>
      <c r="F397" s="500"/>
      <c r="G397" s="500"/>
      <c r="H397" s="500"/>
      <c r="I397" s="500"/>
      <c r="J397" s="500"/>
      <c r="K397" s="500"/>
      <c r="L397" s="500"/>
      <c r="M397" s="500"/>
      <c r="N397" s="500"/>
      <c r="O397" s="500"/>
      <c r="P397" s="500"/>
      <c r="Q397" s="500"/>
      <c r="R397" s="500"/>
      <c r="S397" s="500"/>
      <c r="T397" s="500"/>
      <c r="U397" s="500"/>
      <c r="V397" s="500"/>
      <c r="W397" s="500"/>
      <c r="X397" s="500"/>
      <c r="Y397" s="500"/>
      <c r="Z397" s="501"/>
      <c r="AA397" s="501"/>
      <c r="AB397" s="501"/>
      <c r="AC397" s="501"/>
      <c r="AD397" s="500"/>
      <c r="AE397" s="500"/>
      <c r="AF397" s="503"/>
      <c r="AG397" s="503"/>
      <c r="AH397" s="504"/>
      <c r="AI397" s="500"/>
      <c r="AJ397" s="500"/>
      <c r="AK397" s="500"/>
      <c r="AL397" s="500"/>
      <c r="AM397" s="500"/>
      <c r="AN397" s="500"/>
      <c r="AO397" s="500"/>
      <c r="AP397" s="500"/>
      <c r="AQ397" s="500"/>
      <c r="AR397" s="500"/>
      <c r="AS397" s="500"/>
      <c r="AT397" s="500"/>
      <c r="AU397" s="500"/>
      <c r="AV397" s="500"/>
      <c r="AW397" s="500"/>
      <c r="AX397" s="500"/>
      <c r="AY397" s="500"/>
      <c r="AZ397" s="500"/>
      <c r="BA397" s="500"/>
      <c r="BB397" s="500"/>
      <c r="BC397" s="500"/>
      <c r="BD397" s="500"/>
      <c r="BE397" s="500"/>
      <c r="BF397" s="500"/>
      <c r="BG397" s="500"/>
      <c r="BH397" s="500"/>
      <c r="BI397" s="500"/>
      <c r="BJ397" s="500"/>
      <c r="BK397" s="500"/>
      <c r="BL397" s="500"/>
      <c r="BM397" s="500"/>
      <c r="BN397" s="500"/>
      <c r="BO397" s="500"/>
      <c r="BP397" s="500"/>
      <c r="BQ397" s="500"/>
      <c r="BR397" s="500"/>
      <c r="BS397" s="500"/>
      <c r="BT397" s="500"/>
      <c r="BU397" s="500"/>
      <c r="BV397" s="500"/>
    </row>
    <row r="398" ht="14.25" customHeight="1">
      <c r="A398" s="500"/>
      <c r="B398" s="500"/>
      <c r="C398" s="500"/>
      <c r="D398" s="500"/>
      <c r="E398" s="500"/>
      <c r="F398" s="500"/>
      <c r="G398" s="500"/>
      <c r="H398" s="500"/>
      <c r="I398" s="500"/>
      <c r="J398" s="500"/>
      <c r="K398" s="500"/>
      <c r="L398" s="500"/>
      <c r="M398" s="500"/>
      <c r="N398" s="500"/>
      <c r="O398" s="500"/>
      <c r="P398" s="500"/>
      <c r="Q398" s="500"/>
      <c r="R398" s="500"/>
      <c r="S398" s="500"/>
      <c r="T398" s="500"/>
      <c r="U398" s="500"/>
      <c r="V398" s="500"/>
      <c r="W398" s="500"/>
      <c r="X398" s="500"/>
      <c r="Y398" s="500"/>
      <c r="Z398" s="501"/>
      <c r="AA398" s="501"/>
      <c r="AB398" s="501"/>
      <c r="AC398" s="501"/>
      <c r="AD398" s="500"/>
      <c r="AE398" s="500"/>
      <c r="AF398" s="503"/>
      <c r="AG398" s="503"/>
      <c r="AH398" s="504"/>
      <c r="AI398" s="500"/>
      <c r="AJ398" s="500"/>
      <c r="AK398" s="500"/>
      <c r="AL398" s="500"/>
      <c r="AM398" s="500"/>
      <c r="AN398" s="500"/>
      <c r="AO398" s="500"/>
      <c r="AP398" s="500"/>
      <c r="AQ398" s="500"/>
      <c r="AR398" s="500"/>
      <c r="AS398" s="500"/>
      <c r="AT398" s="500"/>
      <c r="AU398" s="500"/>
      <c r="AV398" s="500"/>
      <c r="AW398" s="500"/>
      <c r="AX398" s="500"/>
      <c r="AY398" s="500"/>
      <c r="AZ398" s="500"/>
      <c r="BA398" s="500"/>
      <c r="BB398" s="500"/>
      <c r="BC398" s="500"/>
      <c r="BD398" s="500"/>
      <c r="BE398" s="500"/>
      <c r="BF398" s="500"/>
      <c r="BG398" s="500"/>
      <c r="BH398" s="500"/>
      <c r="BI398" s="500"/>
      <c r="BJ398" s="500"/>
      <c r="BK398" s="500"/>
      <c r="BL398" s="500"/>
      <c r="BM398" s="500"/>
      <c r="BN398" s="500"/>
      <c r="BO398" s="500"/>
      <c r="BP398" s="500"/>
      <c r="BQ398" s="500"/>
      <c r="BR398" s="500"/>
      <c r="BS398" s="500"/>
      <c r="BT398" s="500"/>
      <c r="BU398" s="500"/>
      <c r="BV398" s="500"/>
    </row>
    <row r="399" ht="14.25" customHeight="1">
      <c r="A399" s="500"/>
      <c r="B399" s="500"/>
      <c r="C399" s="500"/>
      <c r="D399" s="500"/>
      <c r="E399" s="500"/>
      <c r="F399" s="500"/>
      <c r="G399" s="500"/>
      <c r="H399" s="500"/>
      <c r="I399" s="500"/>
      <c r="J399" s="500"/>
      <c r="K399" s="500"/>
      <c r="L399" s="500"/>
      <c r="M399" s="500"/>
      <c r="N399" s="500"/>
      <c r="O399" s="500"/>
      <c r="P399" s="500"/>
      <c r="Q399" s="500"/>
      <c r="R399" s="500"/>
      <c r="S399" s="500"/>
      <c r="T399" s="500"/>
      <c r="U399" s="500"/>
      <c r="V399" s="500"/>
      <c r="W399" s="500"/>
      <c r="X399" s="500"/>
      <c r="Y399" s="500"/>
      <c r="Z399" s="501"/>
      <c r="AA399" s="501"/>
      <c r="AB399" s="501"/>
      <c r="AC399" s="501"/>
      <c r="AD399" s="500"/>
      <c r="AE399" s="500"/>
      <c r="AF399" s="503"/>
      <c r="AG399" s="503"/>
      <c r="AH399" s="504"/>
      <c r="AI399" s="500"/>
      <c r="AJ399" s="500"/>
      <c r="AK399" s="500"/>
      <c r="AL399" s="500"/>
      <c r="AM399" s="500"/>
      <c r="AN399" s="500"/>
      <c r="AO399" s="500"/>
      <c r="AP399" s="500"/>
      <c r="AQ399" s="500"/>
      <c r="AR399" s="500"/>
      <c r="AS399" s="500"/>
      <c r="AT399" s="500"/>
      <c r="AU399" s="500"/>
      <c r="AV399" s="500"/>
      <c r="AW399" s="500"/>
      <c r="AX399" s="500"/>
      <c r="AY399" s="500"/>
      <c r="AZ399" s="500"/>
      <c r="BA399" s="500"/>
      <c r="BB399" s="500"/>
      <c r="BC399" s="500"/>
      <c r="BD399" s="500"/>
      <c r="BE399" s="500"/>
      <c r="BF399" s="500"/>
      <c r="BG399" s="500"/>
      <c r="BH399" s="500"/>
      <c r="BI399" s="500"/>
      <c r="BJ399" s="500"/>
      <c r="BK399" s="500"/>
      <c r="BL399" s="500"/>
      <c r="BM399" s="500"/>
      <c r="BN399" s="500"/>
      <c r="BO399" s="500"/>
      <c r="BP399" s="500"/>
      <c r="BQ399" s="500"/>
      <c r="BR399" s="500"/>
      <c r="BS399" s="500"/>
      <c r="BT399" s="500"/>
      <c r="BU399" s="500"/>
      <c r="BV399" s="500"/>
    </row>
    <row r="400" ht="14.25" customHeight="1">
      <c r="A400" s="500"/>
      <c r="B400" s="500"/>
      <c r="C400" s="500"/>
      <c r="D400" s="500"/>
      <c r="E400" s="500"/>
      <c r="F400" s="500"/>
      <c r="G400" s="500"/>
      <c r="H400" s="500"/>
      <c r="I400" s="500"/>
      <c r="J400" s="500"/>
      <c r="K400" s="500"/>
      <c r="L400" s="500"/>
      <c r="M400" s="500"/>
      <c r="N400" s="500"/>
      <c r="O400" s="500"/>
      <c r="P400" s="500"/>
      <c r="Q400" s="500"/>
      <c r="R400" s="500"/>
      <c r="S400" s="500"/>
      <c r="T400" s="500"/>
      <c r="U400" s="500"/>
      <c r="V400" s="500"/>
      <c r="W400" s="500"/>
      <c r="X400" s="500"/>
      <c r="Y400" s="500"/>
      <c r="Z400" s="501"/>
      <c r="AA400" s="501"/>
      <c r="AB400" s="501"/>
      <c r="AC400" s="501"/>
      <c r="AD400" s="500"/>
      <c r="AE400" s="500"/>
      <c r="AF400" s="503"/>
      <c r="AG400" s="503"/>
      <c r="AH400" s="504"/>
      <c r="AI400" s="500"/>
      <c r="AJ400" s="500"/>
      <c r="AK400" s="500"/>
      <c r="AL400" s="500"/>
      <c r="AM400" s="500"/>
      <c r="AN400" s="500"/>
      <c r="AO400" s="500"/>
      <c r="AP400" s="500"/>
      <c r="AQ400" s="500"/>
      <c r="AR400" s="500"/>
      <c r="AS400" s="500"/>
      <c r="AT400" s="500"/>
      <c r="AU400" s="500"/>
      <c r="AV400" s="500"/>
      <c r="AW400" s="500"/>
      <c r="AX400" s="500"/>
      <c r="AY400" s="500"/>
      <c r="AZ400" s="500"/>
      <c r="BA400" s="500"/>
      <c r="BB400" s="500"/>
      <c r="BC400" s="500"/>
      <c r="BD400" s="500"/>
      <c r="BE400" s="500"/>
      <c r="BF400" s="500"/>
      <c r="BG400" s="500"/>
      <c r="BH400" s="500"/>
      <c r="BI400" s="500"/>
      <c r="BJ400" s="500"/>
      <c r="BK400" s="500"/>
      <c r="BL400" s="500"/>
      <c r="BM400" s="500"/>
      <c r="BN400" s="500"/>
      <c r="BO400" s="500"/>
      <c r="BP400" s="500"/>
      <c r="BQ400" s="500"/>
      <c r="BR400" s="500"/>
      <c r="BS400" s="500"/>
      <c r="BT400" s="500"/>
      <c r="BU400" s="500"/>
      <c r="BV400" s="500"/>
    </row>
    <row r="401" ht="14.25" customHeight="1">
      <c r="A401" s="500"/>
      <c r="B401" s="500"/>
      <c r="C401" s="500"/>
      <c r="D401" s="500"/>
      <c r="E401" s="500"/>
      <c r="F401" s="500"/>
      <c r="G401" s="500"/>
      <c r="H401" s="500"/>
      <c r="I401" s="500"/>
      <c r="J401" s="500"/>
      <c r="K401" s="500"/>
      <c r="L401" s="500"/>
      <c r="M401" s="500"/>
      <c r="N401" s="500"/>
      <c r="O401" s="500"/>
      <c r="P401" s="500"/>
      <c r="Q401" s="500"/>
      <c r="R401" s="500"/>
      <c r="S401" s="500"/>
      <c r="T401" s="500"/>
      <c r="U401" s="500"/>
      <c r="V401" s="500"/>
      <c r="W401" s="500"/>
      <c r="X401" s="500"/>
      <c r="Y401" s="500"/>
      <c r="Z401" s="501"/>
      <c r="AA401" s="501"/>
      <c r="AB401" s="501"/>
      <c r="AC401" s="501"/>
      <c r="AD401" s="500"/>
      <c r="AE401" s="500"/>
      <c r="AF401" s="503"/>
      <c r="AG401" s="503"/>
      <c r="AH401" s="504"/>
      <c r="AI401" s="500"/>
      <c r="AJ401" s="500"/>
      <c r="AK401" s="500"/>
      <c r="AL401" s="500"/>
      <c r="AM401" s="500"/>
      <c r="AN401" s="500"/>
      <c r="AO401" s="500"/>
      <c r="AP401" s="500"/>
      <c r="AQ401" s="500"/>
      <c r="AR401" s="500"/>
      <c r="AS401" s="500"/>
      <c r="AT401" s="500"/>
      <c r="AU401" s="500"/>
      <c r="AV401" s="500"/>
      <c r="AW401" s="500"/>
      <c r="AX401" s="500"/>
      <c r="AY401" s="500"/>
      <c r="AZ401" s="500"/>
      <c r="BA401" s="500"/>
      <c r="BB401" s="500"/>
      <c r="BC401" s="500"/>
      <c r="BD401" s="500"/>
      <c r="BE401" s="500"/>
      <c r="BF401" s="500"/>
      <c r="BG401" s="500"/>
      <c r="BH401" s="500"/>
      <c r="BI401" s="500"/>
      <c r="BJ401" s="500"/>
      <c r="BK401" s="500"/>
      <c r="BL401" s="500"/>
      <c r="BM401" s="500"/>
      <c r="BN401" s="500"/>
      <c r="BO401" s="500"/>
      <c r="BP401" s="500"/>
      <c r="BQ401" s="500"/>
      <c r="BR401" s="500"/>
      <c r="BS401" s="500"/>
      <c r="BT401" s="500"/>
      <c r="BU401" s="500"/>
      <c r="BV401" s="500"/>
    </row>
    <row r="402" ht="14.25" customHeight="1">
      <c r="A402" s="500"/>
      <c r="B402" s="500"/>
      <c r="C402" s="500"/>
      <c r="D402" s="500"/>
      <c r="E402" s="500"/>
      <c r="F402" s="500"/>
      <c r="G402" s="500"/>
      <c r="H402" s="500"/>
      <c r="I402" s="500"/>
      <c r="J402" s="500"/>
      <c r="K402" s="500"/>
      <c r="L402" s="500"/>
      <c r="M402" s="500"/>
      <c r="N402" s="500"/>
      <c r="O402" s="500"/>
      <c r="P402" s="500"/>
      <c r="Q402" s="500"/>
      <c r="R402" s="500"/>
      <c r="S402" s="500"/>
      <c r="T402" s="500"/>
      <c r="U402" s="500"/>
      <c r="V402" s="500"/>
      <c r="W402" s="500"/>
      <c r="X402" s="500"/>
      <c r="Y402" s="500"/>
      <c r="Z402" s="501"/>
      <c r="AA402" s="501"/>
      <c r="AB402" s="501"/>
      <c r="AC402" s="501"/>
      <c r="AD402" s="500"/>
      <c r="AE402" s="500"/>
      <c r="AF402" s="503"/>
      <c r="AG402" s="503"/>
      <c r="AH402" s="504"/>
      <c r="AI402" s="500"/>
      <c r="AJ402" s="500"/>
      <c r="AK402" s="500"/>
      <c r="AL402" s="500"/>
      <c r="AM402" s="500"/>
      <c r="AN402" s="500"/>
      <c r="AO402" s="500"/>
      <c r="AP402" s="500"/>
      <c r="AQ402" s="500"/>
      <c r="AR402" s="500"/>
      <c r="AS402" s="500"/>
      <c r="AT402" s="500"/>
      <c r="AU402" s="500"/>
      <c r="AV402" s="500"/>
      <c r="AW402" s="500"/>
      <c r="AX402" s="500"/>
      <c r="AY402" s="500"/>
      <c r="AZ402" s="500"/>
      <c r="BA402" s="500"/>
      <c r="BB402" s="500"/>
      <c r="BC402" s="500"/>
      <c r="BD402" s="500"/>
      <c r="BE402" s="500"/>
      <c r="BF402" s="500"/>
      <c r="BG402" s="500"/>
      <c r="BH402" s="500"/>
      <c r="BI402" s="500"/>
      <c r="BJ402" s="500"/>
      <c r="BK402" s="500"/>
      <c r="BL402" s="500"/>
      <c r="BM402" s="500"/>
      <c r="BN402" s="500"/>
      <c r="BO402" s="500"/>
      <c r="BP402" s="500"/>
      <c r="BQ402" s="500"/>
      <c r="BR402" s="500"/>
      <c r="BS402" s="500"/>
      <c r="BT402" s="500"/>
      <c r="BU402" s="500"/>
      <c r="BV402" s="500"/>
    </row>
    <row r="403" ht="14.25" customHeight="1">
      <c r="A403" s="500"/>
      <c r="B403" s="500"/>
      <c r="C403" s="500"/>
      <c r="D403" s="500"/>
      <c r="E403" s="500"/>
      <c r="F403" s="500"/>
      <c r="G403" s="500"/>
      <c r="H403" s="500"/>
      <c r="I403" s="500"/>
      <c r="J403" s="500"/>
      <c r="K403" s="500"/>
      <c r="L403" s="500"/>
      <c r="M403" s="500"/>
      <c r="N403" s="500"/>
      <c r="O403" s="500"/>
      <c r="P403" s="500"/>
      <c r="Q403" s="500"/>
      <c r="R403" s="500"/>
      <c r="S403" s="500"/>
      <c r="T403" s="500"/>
      <c r="U403" s="500"/>
      <c r="V403" s="500"/>
      <c r="W403" s="500"/>
      <c r="X403" s="500"/>
      <c r="Y403" s="500"/>
      <c r="Z403" s="501"/>
      <c r="AA403" s="501"/>
      <c r="AB403" s="501"/>
      <c r="AC403" s="501"/>
      <c r="AD403" s="500"/>
      <c r="AE403" s="500"/>
      <c r="AF403" s="503"/>
      <c r="AG403" s="503"/>
      <c r="AH403" s="504"/>
      <c r="AI403" s="500"/>
      <c r="AJ403" s="500"/>
      <c r="AK403" s="500"/>
      <c r="AL403" s="500"/>
      <c r="AM403" s="500"/>
      <c r="AN403" s="500"/>
      <c r="AO403" s="500"/>
      <c r="AP403" s="500"/>
      <c r="AQ403" s="500"/>
      <c r="AR403" s="500"/>
      <c r="AS403" s="500"/>
      <c r="AT403" s="500"/>
      <c r="AU403" s="500"/>
      <c r="AV403" s="500"/>
      <c r="AW403" s="500"/>
      <c r="AX403" s="500"/>
      <c r="AY403" s="500"/>
      <c r="AZ403" s="500"/>
      <c r="BA403" s="500"/>
      <c r="BB403" s="500"/>
      <c r="BC403" s="500"/>
      <c r="BD403" s="500"/>
      <c r="BE403" s="500"/>
      <c r="BF403" s="500"/>
      <c r="BG403" s="500"/>
      <c r="BH403" s="500"/>
      <c r="BI403" s="500"/>
      <c r="BJ403" s="500"/>
      <c r="BK403" s="500"/>
      <c r="BL403" s="500"/>
      <c r="BM403" s="500"/>
      <c r="BN403" s="500"/>
      <c r="BO403" s="500"/>
      <c r="BP403" s="500"/>
      <c r="BQ403" s="500"/>
      <c r="BR403" s="500"/>
      <c r="BS403" s="500"/>
      <c r="BT403" s="500"/>
      <c r="BU403" s="500"/>
      <c r="BV403" s="500"/>
    </row>
    <row r="404" ht="14.25" customHeight="1">
      <c r="A404" s="500"/>
      <c r="B404" s="500"/>
      <c r="C404" s="500"/>
      <c r="D404" s="500"/>
      <c r="E404" s="500"/>
      <c r="F404" s="500"/>
      <c r="G404" s="500"/>
      <c r="H404" s="500"/>
      <c r="I404" s="500"/>
      <c r="J404" s="500"/>
      <c r="K404" s="500"/>
      <c r="L404" s="500"/>
      <c r="M404" s="500"/>
      <c r="N404" s="500"/>
      <c r="O404" s="500"/>
      <c r="P404" s="500"/>
      <c r="Q404" s="500"/>
      <c r="R404" s="500"/>
      <c r="S404" s="500"/>
      <c r="T404" s="500"/>
      <c r="U404" s="500"/>
      <c r="V404" s="500"/>
      <c r="W404" s="500"/>
      <c r="X404" s="500"/>
      <c r="Y404" s="500"/>
      <c r="Z404" s="501"/>
      <c r="AA404" s="501"/>
      <c r="AB404" s="501"/>
      <c r="AC404" s="501"/>
      <c r="AD404" s="500"/>
      <c r="AE404" s="500"/>
      <c r="AF404" s="503"/>
      <c r="AG404" s="503"/>
      <c r="AH404" s="504"/>
      <c r="AI404" s="500"/>
      <c r="AJ404" s="500"/>
      <c r="AK404" s="500"/>
      <c r="AL404" s="500"/>
      <c r="AM404" s="500"/>
      <c r="AN404" s="500"/>
      <c r="AO404" s="500"/>
      <c r="AP404" s="500"/>
      <c r="AQ404" s="500"/>
      <c r="AR404" s="500"/>
      <c r="AS404" s="500"/>
      <c r="AT404" s="500"/>
      <c r="AU404" s="500"/>
      <c r="AV404" s="500"/>
      <c r="AW404" s="500"/>
      <c r="AX404" s="500"/>
      <c r="AY404" s="500"/>
      <c r="AZ404" s="500"/>
      <c r="BA404" s="500"/>
      <c r="BB404" s="500"/>
      <c r="BC404" s="500"/>
      <c r="BD404" s="500"/>
      <c r="BE404" s="500"/>
      <c r="BF404" s="500"/>
      <c r="BG404" s="500"/>
      <c r="BH404" s="500"/>
      <c r="BI404" s="500"/>
      <c r="BJ404" s="500"/>
      <c r="BK404" s="500"/>
      <c r="BL404" s="500"/>
      <c r="BM404" s="500"/>
      <c r="BN404" s="500"/>
      <c r="BO404" s="500"/>
      <c r="BP404" s="500"/>
      <c r="BQ404" s="500"/>
      <c r="BR404" s="500"/>
      <c r="BS404" s="500"/>
      <c r="BT404" s="500"/>
      <c r="BU404" s="500"/>
      <c r="BV404" s="500"/>
    </row>
    <row r="405" ht="14.25" customHeight="1">
      <c r="A405" s="500"/>
      <c r="B405" s="500"/>
      <c r="C405" s="500"/>
      <c r="D405" s="500"/>
      <c r="E405" s="500"/>
      <c r="F405" s="500"/>
      <c r="G405" s="500"/>
      <c r="H405" s="500"/>
      <c r="I405" s="500"/>
      <c r="J405" s="500"/>
      <c r="K405" s="500"/>
      <c r="L405" s="500"/>
      <c r="M405" s="500"/>
      <c r="N405" s="500"/>
      <c r="O405" s="500"/>
      <c r="P405" s="500"/>
      <c r="Q405" s="500"/>
      <c r="R405" s="500"/>
      <c r="S405" s="500"/>
      <c r="T405" s="500"/>
      <c r="U405" s="500"/>
      <c r="V405" s="500"/>
      <c r="W405" s="500"/>
      <c r="X405" s="500"/>
      <c r="Y405" s="500"/>
      <c r="Z405" s="501"/>
      <c r="AA405" s="501"/>
      <c r="AB405" s="501"/>
      <c r="AC405" s="501"/>
      <c r="AD405" s="500"/>
      <c r="AE405" s="500"/>
      <c r="AF405" s="503"/>
      <c r="AG405" s="503"/>
      <c r="AH405" s="504"/>
      <c r="AI405" s="500"/>
      <c r="AJ405" s="500"/>
      <c r="AK405" s="500"/>
      <c r="AL405" s="500"/>
      <c r="AM405" s="500"/>
      <c r="AN405" s="500"/>
      <c r="AO405" s="500"/>
      <c r="AP405" s="500"/>
      <c r="AQ405" s="500"/>
      <c r="AR405" s="500"/>
      <c r="AS405" s="500"/>
      <c r="AT405" s="500"/>
      <c r="AU405" s="500"/>
      <c r="AV405" s="500"/>
      <c r="AW405" s="500"/>
      <c r="AX405" s="500"/>
      <c r="AY405" s="500"/>
      <c r="AZ405" s="500"/>
      <c r="BA405" s="500"/>
      <c r="BB405" s="500"/>
      <c r="BC405" s="500"/>
      <c r="BD405" s="500"/>
      <c r="BE405" s="500"/>
      <c r="BF405" s="500"/>
      <c r="BG405" s="500"/>
      <c r="BH405" s="500"/>
      <c r="BI405" s="500"/>
      <c r="BJ405" s="500"/>
      <c r="BK405" s="500"/>
      <c r="BL405" s="500"/>
      <c r="BM405" s="500"/>
      <c r="BN405" s="500"/>
      <c r="BO405" s="500"/>
      <c r="BP405" s="500"/>
      <c r="BQ405" s="500"/>
      <c r="BR405" s="500"/>
      <c r="BS405" s="500"/>
      <c r="BT405" s="500"/>
      <c r="BU405" s="500"/>
      <c r="BV405" s="500"/>
    </row>
    <row r="406" ht="14.25" customHeight="1">
      <c r="A406" s="500"/>
      <c r="B406" s="500"/>
      <c r="C406" s="500"/>
      <c r="D406" s="500"/>
      <c r="E406" s="500"/>
      <c r="F406" s="500"/>
      <c r="G406" s="500"/>
      <c r="H406" s="500"/>
      <c r="I406" s="500"/>
      <c r="J406" s="500"/>
      <c r="K406" s="500"/>
      <c r="L406" s="500"/>
      <c r="M406" s="500"/>
      <c r="N406" s="500"/>
      <c r="O406" s="500"/>
      <c r="P406" s="500"/>
      <c r="Q406" s="500"/>
      <c r="R406" s="500"/>
      <c r="S406" s="500"/>
      <c r="T406" s="500"/>
      <c r="U406" s="500"/>
      <c r="V406" s="500"/>
      <c r="W406" s="500"/>
      <c r="X406" s="500"/>
      <c r="Y406" s="500"/>
      <c r="Z406" s="501"/>
      <c r="AA406" s="501"/>
      <c r="AB406" s="501"/>
      <c r="AC406" s="501"/>
      <c r="AD406" s="500"/>
      <c r="AE406" s="500"/>
      <c r="AF406" s="503"/>
      <c r="AG406" s="503"/>
      <c r="AH406" s="504"/>
      <c r="AI406" s="500"/>
      <c r="AJ406" s="500"/>
      <c r="AK406" s="500"/>
      <c r="AL406" s="500"/>
      <c r="AM406" s="500"/>
      <c r="AN406" s="500"/>
      <c r="AO406" s="500"/>
      <c r="AP406" s="500"/>
      <c r="AQ406" s="500"/>
      <c r="AR406" s="500"/>
      <c r="AS406" s="500"/>
      <c r="AT406" s="500"/>
      <c r="AU406" s="500"/>
      <c r="AV406" s="500"/>
      <c r="AW406" s="500"/>
      <c r="AX406" s="500"/>
      <c r="AY406" s="500"/>
      <c r="AZ406" s="500"/>
      <c r="BA406" s="500"/>
      <c r="BB406" s="500"/>
      <c r="BC406" s="500"/>
      <c r="BD406" s="500"/>
      <c r="BE406" s="500"/>
      <c r="BF406" s="500"/>
      <c r="BG406" s="500"/>
      <c r="BH406" s="500"/>
      <c r="BI406" s="500"/>
      <c r="BJ406" s="500"/>
      <c r="BK406" s="500"/>
      <c r="BL406" s="500"/>
      <c r="BM406" s="500"/>
      <c r="BN406" s="500"/>
      <c r="BO406" s="500"/>
      <c r="BP406" s="500"/>
      <c r="BQ406" s="500"/>
      <c r="BR406" s="500"/>
      <c r="BS406" s="500"/>
      <c r="BT406" s="500"/>
      <c r="BU406" s="500"/>
      <c r="BV406" s="500"/>
    </row>
    <row r="407" ht="14.25" customHeight="1">
      <c r="A407" s="500"/>
      <c r="B407" s="500"/>
      <c r="C407" s="500"/>
      <c r="D407" s="500"/>
      <c r="E407" s="500"/>
      <c r="F407" s="500"/>
      <c r="G407" s="500"/>
      <c r="H407" s="500"/>
      <c r="I407" s="500"/>
      <c r="J407" s="500"/>
      <c r="K407" s="500"/>
      <c r="L407" s="500"/>
      <c r="M407" s="500"/>
      <c r="N407" s="500"/>
      <c r="O407" s="500"/>
      <c r="P407" s="500"/>
      <c r="Q407" s="500"/>
      <c r="R407" s="500"/>
      <c r="S407" s="500"/>
      <c r="T407" s="500"/>
      <c r="U407" s="500"/>
      <c r="V407" s="500"/>
      <c r="W407" s="500"/>
      <c r="X407" s="500"/>
      <c r="Y407" s="500"/>
      <c r="Z407" s="501"/>
      <c r="AA407" s="501"/>
      <c r="AB407" s="501"/>
      <c r="AC407" s="501"/>
      <c r="AD407" s="500"/>
      <c r="AE407" s="500"/>
      <c r="AF407" s="503"/>
      <c r="AG407" s="503"/>
      <c r="AH407" s="504"/>
      <c r="AI407" s="500"/>
      <c r="AJ407" s="500"/>
      <c r="AK407" s="500"/>
      <c r="AL407" s="500"/>
      <c r="AM407" s="500"/>
      <c r="AN407" s="500"/>
      <c r="AO407" s="500"/>
      <c r="AP407" s="500"/>
      <c r="AQ407" s="500"/>
      <c r="AR407" s="500"/>
      <c r="AS407" s="500"/>
      <c r="AT407" s="500"/>
      <c r="AU407" s="500"/>
      <c r="AV407" s="500"/>
      <c r="AW407" s="500"/>
      <c r="AX407" s="500"/>
      <c r="AY407" s="500"/>
      <c r="AZ407" s="500"/>
      <c r="BA407" s="500"/>
      <c r="BB407" s="500"/>
      <c r="BC407" s="500"/>
      <c r="BD407" s="500"/>
      <c r="BE407" s="500"/>
      <c r="BF407" s="500"/>
      <c r="BG407" s="500"/>
      <c r="BH407" s="500"/>
      <c r="BI407" s="500"/>
      <c r="BJ407" s="500"/>
      <c r="BK407" s="500"/>
      <c r="BL407" s="500"/>
      <c r="BM407" s="500"/>
      <c r="BN407" s="500"/>
      <c r="BO407" s="500"/>
      <c r="BP407" s="500"/>
      <c r="BQ407" s="500"/>
      <c r="BR407" s="500"/>
      <c r="BS407" s="500"/>
      <c r="BT407" s="500"/>
      <c r="BU407" s="500"/>
      <c r="BV407" s="500"/>
    </row>
    <row r="408" ht="14.25" customHeight="1">
      <c r="A408" s="500"/>
      <c r="B408" s="500"/>
      <c r="C408" s="500"/>
      <c r="D408" s="500"/>
      <c r="E408" s="500"/>
      <c r="F408" s="500"/>
      <c r="G408" s="500"/>
      <c r="H408" s="500"/>
      <c r="I408" s="500"/>
      <c r="J408" s="500"/>
      <c r="K408" s="500"/>
      <c r="L408" s="500"/>
      <c r="M408" s="500"/>
      <c r="N408" s="500"/>
      <c r="O408" s="500"/>
      <c r="P408" s="500"/>
      <c r="Q408" s="500"/>
      <c r="R408" s="500"/>
      <c r="S408" s="500"/>
      <c r="T408" s="500"/>
      <c r="U408" s="500"/>
      <c r="V408" s="500"/>
      <c r="W408" s="500"/>
      <c r="X408" s="500"/>
      <c r="Y408" s="500"/>
      <c r="Z408" s="501"/>
      <c r="AA408" s="501"/>
      <c r="AB408" s="501"/>
      <c r="AC408" s="501"/>
      <c r="AD408" s="500"/>
      <c r="AE408" s="500"/>
      <c r="AF408" s="503"/>
      <c r="AG408" s="503"/>
      <c r="AH408" s="504"/>
      <c r="AI408" s="500"/>
      <c r="AJ408" s="500"/>
      <c r="AK408" s="500"/>
      <c r="AL408" s="500"/>
      <c r="AM408" s="500"/>
      <c r="AN408" s="500"/>
      <c r="AO408" s="500"/>
      <c r="AP408" s="500"/>
      <c r="AQ408" s="500"/>
      <c r="AR408" s="500"/>
      <c r="AS408" s="500"/>
      <c r="AT408" s="500"/>
      <c r="AU408" s="500"/>
      <c r="AV408" s="500"/>
      <c r="AW408" s="500"/>
      <c r="AX408" s="500"/>
      <c r="AY408" s="500"/>
      <c r="AZ408" s="500"/>
      <c r="BA408" s="500"/>
      <c r="BB408" s="500"/>
      <c r="BC408" s="500"/>
      <c r="BD408" s="500"/>
      <c r="BE408" s="500"/>
      <c r="BF408" s="500"/>
      <c r="BG408" s="500"/>
      <c r="BH408" s="500"/>
      <c r="BI408" s="500"/>
      <c r="BJ408" s="500"/>
      <c r="BK408" s="500"/>
      <c r="BL408" s="500"/>
      <c r="BM408" s="500"/>
      <c r="BN408" s="500"/>
      <c r="BO408" s="500"/>
      <c r="BP408" s="500"/>
      <c r="BQ408" s="500"/>
      <c r="BR408" s="500"/>
      <c r="BS408" s="500"/>
      <c r="BT408" s="500"/>
      <c r="BU408" s="500"/>
      <c r="BV408" s="500"/>
    </row>
    <row r="409" ht="14.25" customHeight="1">
      <c r="A409" s="500"/>
      <c r="B409" s="500"/>
      <c r="C409" s="500"/>
      <c r="D409" s="500"/>
      <c r="E409" s="500"/>
      <c r="F409" s="500"/>
      <c r="G409" s="500"/>
      <c r="H409" s="500"/>
      <c r="I409" s="500"/>
      <c r="J409" s="500"/>
      <c r="K409" s="500"/>
      <c r="L409" s="500"/>
      <c r="M409" s="500"/>
      <c r="N409" s="500"/>
      <c r="O409" s="500"/>
      <c r="P409" s="500"/>
      <c r="Q409" s="500"/>
      <c r="R409" s="500"/>
      <c r="S409" s="500"/>
      <c r="T409" s="500"/>
      <c r="U409" s="500"/>
      <c r="V409" s="500"/>
      <c r="W409" s="500"/>
      <c r="X409" s="500"/>
      <c r="Y409" s="500"/>
      <c r="Z409" s="501"/>
      <c r="AA409" s="501"/>
      <c r="AB409" s="501"/>
      <c r="AC409" s="501"/>
      <c r="AD409" s="500"/>
      <c r="AE409" s="500"/>
      <c r="AF409" s="503"/>
      <c r="AG409" s="503"/>
      <c r="AH409" s="504"/>
      <c r="AI409" s="500"/>
      <c r="AJ409" s="500"/>
      <c r="AK409" s="500"/>
      <c r="AL409" s="500"/>
      <c r="AM409" s="500"/>
      <c r="AN409" s="500"/>
      <c r="AO409" s="500"/>
      <c r="AP409" s="500"/>
      <c r="AQ409" s="500"/>
      <c r="AR409" s="500"/>
      <c r="AS409" s="500"/>
      <c r="AT409" s="500"/>
      <c r="AU409" s="500"/>
      <c r="AV409" s="500"/>
      <c r="AW409" s="500"/>
      <c r="AX409" s="500"/>
      <c r="AY409" s="500"/>
      <c r="AZ409" s="500"/>
      <c r="BA409" s="500"/>
      <c r="BB409" s="500"/>
      <c r="BC409" s="500"/>
      <c r="BD409" s="500"/>
      <c r="BE409" s="500"/>
      <c r="BF409" s="500"/>
      <c r="BG409" s="500"/>
      <c r="BH409" s="500"/>
      <c r="BI409" s="500"/>
      <c r="BJ409" s="500"/>
      <c r="BK409" s="500"/>
      <c r="BL409" s="500"/>
      <c r="BM409" s="500"/>
      <c r="BN409" s="500"/>
      <c r="BO409" s="500"/>
      <c r="BP409" s="500"/>
      <c r="BQ409" s="500"/>
      <c r="BR409" s="500"/>
      <c r="BS409" s="500"/>
      <c r="BT409" s="500"/>
      <c r="BU409" s="500"/>
      <c r="BV409" s="500"/>
    </row>
    <row r="410" ht="14.25" customHeight="1">
      <c r="A410" s="500"/>
      <c r="B410" s="500"/>
      <c r="C410" s="500"/>
      <c r="D410" s="500"/>
      <c r="E410" s="500"/>
      <c r="F410" s="500"/>
      <c r="G410" s="500"/>
      <c r="H410" s="500"/>
      <c r="I410" s="500"/>
      <c r="J410" s="500"/>
      <c r="K410" s="500"/>
      <c r="L410" s="500"/>
      <c r="M410" s="500"/>
      <c r="N410" s="500"/>
      <c r="O410" s="500"/>
      <c r="P410" s="500"/>
      <c r="Q410" s="500"/>
      <c r="R410" s="500"/>
      <c r="S410" s="500"/>
      <c r="T410" s="500"/>
      <c r="U410" s="500"/>
      <c r="V410" s="500"/>
      <c r="W410" s="500"/>
      <c r="X410" s="500"/>
      <c r="Y410" s="500"/>
      <c r="Z410" s="501"/>
      <c r="AA410" s="501"/>
      <c r="AB410" s="501"/>
      <c r="AC410" s="501"/>
      <c r="AD410" s="500"/>
      <c r="AE410" s="500"/>
      <c r="AF410" s="503"/>
      <c r="AG410" s="503"/>
      <c r="AH410" s="504"/>
      <c r="AI410" s="500"/>
      <c r="AJ410" s="500"/>
      <c r="AK410" s="500"/>
      <c r="AL410" s="500"/>
      <c r="AM410" s="500"/>
      <c r="AN410" s="500"/>
      <c r="AO410" s="500"/>
      <c r="AP410" s="500"/>
      <c r="AQ410" s="500"/>
      <c r="AR410" s="500"/>
      <c r="AS410" s="500"/>
      <c r="AT410" s="500"/>
      <c r="AU410" s="500"/>
      <c r="AV410" s="500"/>
      <c r="AW410" s="500"/>
      <c r="AX410" s="500"/>
      <c r="AY410" s="500"/>
      <c r="AZ410" s="500"/>
      <c r="BA410" s="500"/>
      <c r="BB410" s="500"/>
      <c r="BC410" s="500"/>
      <c r="BD410" s="500"/>
      <c r="BE410" s="500"/>
      <c r="BF410" s="500"/>
      <c r="BG410" s="500"/>
      <c r="BH410" s="500"/>
      <c r="BI410" s="500"/>
      <c r="BJ410" s="500"/>
      <c r="BK410" s="500"/>
      <c r="BL410" s="500"/>
      <c r="BM410" s="500"/>
      <c r="BN410" s="500"/>
      <c r="BO410" s="500"/>
      <c r="BP410" s="500"/>
      <c r="BQ410" s="500"/>
      <c r="BR410" s="500"/>
      <c r="BS410" s="500"/>
      <c r="BT410" s="500"/>
      <c r="BU410" s="500"/>
      <c r="BV410" s="500"/>
    </row>
    <row r="411" ht="14.25" customHeight="1">
      <c r="A411" s="500"/>
      <c r="B411" s="500"/>
      <c r="C411" s="500"/>
      <c r="D411" s="500"/>
      <c r="E411" s="500"/>
      <c r="F411" s="500"/>
      <c r="G411" s="500"/>
      <c r="H411" s="500"/>
      <c r="I411" s="500"/>
      <c r="J411" s="500"/>
      <c r="K411" s="500"/>
      <c r="L411" s="500"/>
      <c r="M411" s="500"/>
      <c r="N411" s="500"/>
      <c r="O411" s="500"/>
      <c r="P411" s="500"/>
      <c r="Q411" s="500"/>
      <c r="R411" s="500"/>
      <c r="S411" s="500"/>
      <c r="T411" s="500"/>
      <c r="U411" s="500"/>
      <c r="V411" s="500"/>
      <c r="W411" s="500"/>
      <c r="X411" s="500"/>
      <c r="Y411" s="500"/>
      <c r="Z411" s="501"/>
      <c r="AA411" s="501"/>
      <c r="AB411" s="501"/>
      <c r="AC411" s="501"/>
      <c r="AD411" s="500"/>
      <c r="AE411" s="500"/>
      <c r="AF411" s="503"/>
      <c r="AG411" s="503"/>
      <c r="AH411" s="504"/>
      <c r="AI411" s="500"/>
      <c r="AJ411" s="500"/>
      <c r="AK411" s="500"/>
      <c r="AL411" s="500"/>
      <c r="AM411" s="500"/>
      <c r="AN411" s="500"/>
      <c r="AO411" s="500"/>
      <c r="AP411" s="500"/>
      <c r="AQ411" s="500"/>
      <c r="AR411" s="500"/>
      <c r="AS411" s="500"/>
      <c r="AT411" s="500"/>
      <c r="AU411" s="500"/>
      <c r="AV411" s="500"/>
      <c r="AW411" s="500"/>
      <c r="AX411" s="500"/>
      <c r="AY411" s="500"/>
      <c r="AZ411" s="500"/>
      <c r="BA411" s="500"/>
      <c r="BB411" s="500"/>
      <c r="BC411" s="500"/>
      <c r="BD411" s="500"/>
      <c r="BE411" s="500"/>
      <c r="BF411" s="500"/>
      <c r="BG411" s="500"/>
      <c r="BH411" s="500"/>
      <c r="BI411" s="500"/>
      <c r="BJ411" s="500"/>
      <c r="BK411" s="500"/>
      <c r="BL411" s="500"/>
      <c r="BM411" s="500"/>
      <c r="BN411" s="500"/>
      <c r="BO411" s="500"/>
      <c r="BP411" s="500"/>
      <c r="BQ411" s="500"/>
      <c r="BR411" s="500"/>
      <c r="BS411" s="500"/>
      <c r="BT411" s="500"/>
      <c r="BU411" s="500"/>
      <c r="BV411" s="500"/>
    </row>
    <row r="412" ht="14.25" customHeight="1">
      <c r="A412" s="500"/>
      <c r="B412" s="500"/>
      <c r="C412" s="500"/>
      <c r="D412" s="500"/>
      <c r="E412" s="500"/>
      <c r="F412" s="500"/>
      <c r="G412" s="500"/>
      <c r="H412" s="500"/>
      <c r="I412" s="500"/>
      <c r="J412" s="500"/>
      <c r="K412" s="500"/>
      <c r="L412" s="500"/>
      <c r="M412" s="500"/>
      <c r="N412" s="500"/>
      <c r="O412" s="500"/>
      <c r="P412" s="500"/>
      <c r="Q412" s="500"/>
      <c r="R412" s="500"/>
      <c r="S412" s="500"/>
      <c r="T412" s="500"/>
      <c r="U412" s="500"/>
      <c r="V412" s="500"/>
      <c r="W412" s="500"/>
      <c r="X412" s="500"/>
      <c r="Y412" s="500"/>
      <c r="Z412" s="501"/>
      <c r="AA412" s="501"/>
      <c r="AB412" s="501"/>
      <c r="AC412" s="501"/>
      <c r="AD412" s="500"/>
      <c r="AE412" s="500"/>
      <c r="AF412" s="503"/>
      <c r="AG412" s="503"/>
      <c r="AH412" s="504"/>
      <c r="AI412" s="500"/>
      <c r="AJ412" s="500"/>
      <c r="AK412" s="500"/>
      <c r="AL412" s="500"/>
      <c r="AM412" s="500"/>
      <c r="AN412" s="500"/>
      <c r="AO412" s="500"/>
      <c r="AP412" s="500"/>
      <c r="AQ412" s="500"/>
      <c r="AR412" s="500"/>
      <c r="AS412" s="500"/>
      <c r="AT412" s="500"/>
      <c r="AU412" s="500"/>
      <c r="AV412" s="500"/>
      <c r="AW412" s="500"/>
      <c r="AX412" s="500"/>
      <c r="AY412" s="500"/>
      <c r="AZ412" s="500"/>
      <c r="BA412" s="500"/>
      <c r="BB412" s="500"/>
      <c r="BC412" s="500"/>
      <c r="BD412" s="500"/>
      <c r="BE412" s="500"/>
      <c r="BF412" s="500"/>
      <c r="BG412" s="500"/>
      <c r="BH412" s="500"/>
      <c r="BI412" s="500"/>
      <c r="BJ412" s="500"/>
      <c r="BK412" s="500"/>
      <c r="BL412" s="500"/>
      <c r="BM412" s="500"/>
      <c r="BN412" s="500"/>
      <c r="BO412" s="500"/>
      <c r="BP412" s="500"/>
      <c r="BQ412" s="500"/>
      <c r="BR412" s="500"/>
      <c r="BS412" s="500"/>
      <c r="BT412" s="500"/>
      <c r="BU412" s="500"/>
      <c r="BV412" s="500"/>
    </row>
    <row r="413" ht="14.25" customHeight="1">
      <c r="A413" s="500"/>
      <c r="B413" s="500"/>
      <c r="C413" s="500"/>
      <c r="D413" s="500"/>
      <c r="E413" s="500"/>
      <c r="F413" s="500"/>
      <c r="G413" s="500"/>
      <c r="H413" s="500"/>
      <c r="I413" s="500"/>
      <c r="J413" s="500"/>
      <c r="K413" s="500"/>
      <c r="L413" s="500"/>
      <c r="M413" s="500"/>
      <c r="N413" s="500"/>
      <c r="O413" s="500"/>
      <c r="P413" s="500"/>
      <c r="Q413" s="500"/>
      <c r="R413" s="500"/>
      <c r="S413" s="500"/>
      <c r="T413" s="500"/>
      <c r="U413" s="500"/>
      <c r="V413" s="500"/>
      <c r="W413" s="500"/>
      <c r="X413" s="500"/>
      <c r="Y413" s="500"/>
      <c r="Z413" s="501"/>
      <c r="AA413" s="501"/>
      <c r="AB413" s="501"/>
      <c r="AC413" s="501"/>
      <c r="AD413" s="500"/>
      <c r="AE413" s="500"/>
      <c r="AF413" s="503"/>
      <c r="AG413" s="503"/>
      <c r="AH413" s="504"/>
      <c r="AI413" s="500"/>
      <c r="AJ413" s="500"/>
      <c r="AK413" s="500"/>
      <c r="AL413" s="500"/>
      <c r="AM413" s="500"/>
      <c r="AN413" s="500"/>
      <c r="AO413" s="500"/>
      <c r="AP413" s="500"/>
      <c r="AQ413" s="500"/>
      <c r="AR413" s="500"/>
      <c r="AS413" s="500"/>
      <c r="AT413" s="500"/>
      <c r="AU413" s="500"/>
      <c r="AV413" s="500"/>
      <c r="AW413" s="500"/>
      <c r="AX413" s="500"/>
      <c r="AY413" s="500"/>
      <c r="AZ413" s="500"/>
      <c r="BA413" s="500"/>
      <c r="BB413" s="500"/>
      <c r="BC413" s="500"/>
      <c r="BD413" s="500"/>
      <c r="BE413" s="500"/>
      <c r="BF413" s="500"/>
      <c r="BG413" s="500"/>
      <c r="BH413" s="500"/>
      <c r="BI413" s="500"/>
      <c r="BJ413" s="500"/>
      <c r="BK413" s="500"/>
      <c r="BL413" s="500"/>
      <c r="BM413" s="500"/>
      <c r="BN413" s="500"/>
      <c r="BO413" s="500"/>
      <c r="BP413" s="500"/>
      <c r="BQ413" s="500"/>
      <c r="BR413" s="500"/>
      <c r="BS413" s="500"/>
      <c r="BT413" s="500"/>
      <c r="BU413" s="500"/>
      <c r="BV413" s="500"/>
    </row>
    <row r="414" ht="14.25" customHeight="1">
      <c r="A414" s="500"/>
      <c r="B414" s="500"/>
      <c r="C414" s="500"/>
      <c r="D414" s="500"/>
      <c r="E414" s="500"/>
      <c r="F414" s="500"/>
      <c r="G414" s="500"/>
      <c r="H414" s="500"/>
      <c r="I414" s="500"/>
      <c r="J414" s="500"/>
      <c r="K414" s="500"/>
      <c r="L414" s="500"/>
      <c r="M414" s="500"/>
      <c r="N414" s="500"/>
      <c r="O414" s="500"/>
      <c r="P414" s="500"/>
      <c r="Q414" s="500"/>
      <c r="R414" s="500"/>
      <c r="S414" s="500"/>
      <c r="T414" s="500"/>
      <c r="U414" s="500"/>
      <c r="V414" s="500"/>
      <c r="W414" s="500"/>
      <c r="X414" s="500"/>
      <c r="Y414" s="500"/>
      <c r="Z414" s="501"/>
      <c r="AA414" s="501"/>
      <c r="AB414" s="501"/>
      <c r="AC414" s="501"/>
      <c r="AD414" s="500"/>
      <c r="AE414" s="500"/>
      <c r="AF414" s="503"/>
      <c r="AG414" s="503"/>
      <c r="AH414" s="504"/>
      <c r="AI414" s="500"/>
      <c r="AJ414" s="500"/>
      <c r="AK414" s="500"/>
      <c r="AL414" s="500"/>
      <c r="AM414" s="500"/>
      <c r="AN414" s="500"/>
      <c r="AO414" s="500"/>
      <c r="AP414" s="500"/>
      <c r="AQ414" s="500"/>
      <c r="AR414" s="500"/>
      <c r="AS414" s="500"/>
      <c r="AT414" s="500"/>
      <c r="AU414" s="500"/>
      <c r="AV414" s="500"/>
      <c r="AW414" s="500"/>
      <c r="AX414" s="500"/>
      <c r="AY414" s="500"/>
      <c r="AZ414" s="500"/>
      <c r="BA414" s="500"/>
      <c r="BB414" s="500"/>
      <c r="BC414" s="500"/>
      <c r="BD414" s="500"/>
      <c r="BE414" s="500"/>
      <c r="BF414" s="500"/>
      <c r="BG414" s="500"/>
      <c r="BH414" s="500"/>
      <c r="BI414" s="500"/>
      <c r="BJ414" s="500"/>
      <c r="BK414" s="500"/>
      <c r="BL414" s="500"/>
      <c r="BM414" s="500"/>
      <c r="BN414" s="500"/>
      <c r="BO414" s="500"/>
      <c r="BP414" s="500"/>
      <c r="BQ414" s="500"/>
      <c r="BR414" s="500"/>
      <c r="BS414" s="500"/>
      <c r="BT414" s="500"/>
      <c r="BU414" s="500"/>
      <c r="BV414" s="500"/>
    </row>
    <row r="415" ht="14.25" customHeight="1">
      <c r="A415" s="500"/>
      <c r="B415" s="500"/>
      <c r="C415" s="500"/>
      <c r="D415" s="500"/>
      <c r="E415" s="500"/>
      <c r="F415" s="500"/>
      <c r="G415" s="500"/>
      <c r="H415" s="500"/>
      <c r="I415" s="500"/>
      <c r="J415" s="500"/>
      <c r="K415" s="500"/>
      <c r="L415" s="500"/>
      <c r="M415" s="500"/>
      <c r="N415" s="500"/>
      <c r="O415" s="500"/>
      <c r="P415" s="500"/>
      <c r="Q415" s="500"/>
      <c r="R415" s="500"/>
      <c r="S415" s="500"/>
      <c r="T415" s="500"/>
      <c r="U415" s="500"/>
      <c r="V415" s="500"/>
      <c r="W415" s="500"/>
      <c r="X415" s="500"/>
      <c r="Y415" s="500"/>
      <c r="Z415" s="501"/>
      <c r="AA415" s="501"/>
      <c r="AB415" s="501"/>
      <c r="AC415" s="501"/>
      <c r="AD415" s="500"/>
      <c r="AE415" s="500"/>
      <c r="AF415" s="503"/>
      <c r="AG415" s="503"/>
      <c r="AH415" s="504"/>
      <c r="AI415" s="500"/>
      <c r="AJ415" s="500"/>
      <c r="AK415" s="500"/>
      <c r="AL415" s="500"/>
      <c r="AM415" s="500"/>
      <c r="AN415" s="500"/>
      <c r="AO415" s="500"/>
      <c r="AP415" s="500"/>
      <c r="AQ415" s="500"/>
      <c r="AR415" s="500"/>
      <c r="AS415" s="500"/>
      <c r="AT415" s="500"/>
      <c r="AU415" s="500"/>
      <c r="AV415" s="500"/>
      <c r="AW415" s="500"/>
      <c r="AX415" s="500"/>
      <c r="AY415" s="500"/>
      <c r="AZ415" s="500"/>
      <c r="BA415" s="500"/>
      <c r="BB415" s="500"/>
      <c r="BC415" s="500"/>
      <c r="BD415" s="500"/>
      <c r="BE415" s="500"/>
      <c r="BF415" s="500"/>
      <c r="BG415" s="500"/>
      <c r="BH415" s="500"/>
      <c r="BI415" s="500"/>
      <c r="BJ415" s="500"/>
      <c r="BK415" s="500"/>
      <c r="BL415" s="500"/>
      <c r="BM415" s="500"/>
      <c r="BN415" s="500"/>
      <c r="BO415" s="500"/>
      <c r="BP415" s="500"/>
      <c r="BQ415" s="500"/>
      <c r="BR415" s="500"/>
      <c r="BS415" s="500"/>
      <c r="BT415" s="500"/>
      <c r="BU415" s="500"/>
      <c r="BV415" s="500"/>
    </row>
    <row r="416" ht="14.25" customHeight="1">
      <c r="A416" s="500"/>
      <c r="B416" s="500"/>
      <c r="C416" s="500"/>
      <c r="D416" s="500"/>
      <c r="E416" s="500"/>
      <c r="F416" s="500"/>
      <c r="G416" s="500"/>
      <c r="H416" s="500"/>
      <c r="I416" s="500"/>
      <c r="J416" s="500"/>
      <c r="K416" s="500"/>
      <c r="L416" s="500"/>
      <c r="M416" s="500"/>
      <c r="N416" s="500"/>
      <c r="O416" s="500"/>
      <c r="P416" s="500"/>
      <c r="Q416" s="500"/>
      <c r="R416" s="500"/>
      <c r="S416" s="500"/>
      <c r="T416" s="500"/>
      <c r="U416" s="500"/>
      <c r="V416" s="500"/>
      <c r="W416" s="500"/>
      <c r="X416" s="500"/>
      <c r="Y416" s="500"/>
      <c r="Z416" s="501"/>
      <c r="AA416" s="501"/>
      <c r="AB416" s="501"/>
      <c r="AC416" s="501"/>
      <c r="AD416" s="500"/>
      <c r="AE416" s="500"/>
      <c r="AF416" s="503"/>
      <c r="AG416" s="503"/>
      <c r="AH416" s="504"/>
      <c r="AI416" s="500"/>
      <c r="AJ416" s="500"/>
      <c r="AK416" s="500"/>
      <c r="AL416" s="500"/>
      <c r="AM416" s="500"/>
      <c r="AN416" s="500"/>
      <c r="AO416" s="500"/>
      <c r="AP416" s="500"/>
      <c r="AQ416" s="500"/>
      <c r="AR416" s="500"/>
      <c r="AS416" s="500"/>
      <c r="AT416" s="500"/>
      <c r="AU416" s="500"/>
      <c r="AV416" s="500"/>
      <c r="AW416" s="500"/>
      <c r="AX416" s="500"/>
      <c r="AY416" s="500"/>
      <c r="AZ416" s="500"/>
      <c r="BA416" s="500"/>
      <c r="BB416" s="500"/>
      <c r="BC416" s="500"/>
      <c r="BD416" s="500"/>
      <c r="BE416" s="500"/>
      <c r="BF416" s="500"/>
      <c r="BG416" s="500"/>
      <c r="BH416" s="500"/>
      <c r="BI416" s="500"/>
      <c r="BJ416" s="500"/>
      <c r="BK416" s="500"/>
      <c r="BL416" s="500"/>
      <c r="BM416" s="500"/>
      <c r="BN416" s="500"/>
      <c r="BO416" s="500"/>
      <c r="BP416" s="500"/>
      <c r="BQ416" s="500"/>
      <c r="BR416" s="500"/>
      <c r="BS416" s="500"/>
      <c r="BT416" s="500"/>
      <c r="BU416" s="500"/>
      <c r="BV416" s="500"/>
    </row>
    <row r="417" ht="14.25" customHeight="1">
      <c r="A417" s="500"/>
      <c r="B417" s="500"/>
      <c r="C417" s="500"/>
      <c r="D417" s="500"/>
      <c r="E417" s="500"/>
      <c r="F417" s="500"/>
      <c r="G417" s="500"/>
      <c r="H417" s="500"/>
      <c r="I417" s="500"/>
      <c r="J417" s="500"/>
      <c r="K417" s="500"/>
      <c r="L417" s="500"/>
      <c r="M417" s="500"/>
      <c r="N417" s="500"/>
      <c r="O417" s="500"/>
      <c r="P417" s="500"/>
      <c r="Q417" s="500"/>
      <c r="R417" s="500"/>
      <c r="S417" s="500"/>
      <c r="T417" s="500"/>
      <c r="U417" s="500"/>
      <c r="V417" s="500"/>
      <c r="W417" s="500"/>
      <c r="X417" s="500"/>
      <c r="Y417" s="500"/>
      <c r="Z417" s="501"/>
      <c r="AA417" s="501"/>
      <c r="AB417" s="501"/>
      <c r="AC417" s="501"/>
      <c r="AD417" s="500"/>
      <c r="AE417" s="500"/>
      <c r="AF417" s="503"/>
      <c r="AG417" s="503"/>
      <c r="AH417" s="504"/>
      <c r="AI417" s="500"/>
      <c r="AJ417" s="500"/>
      <c r="AK417" s="500"/>
      <c r="AL417" s="500"/>
      <c r="AM417" s="500"/>
      <c r="AN417" s="500"/>
      <c r="AO417" s="500"/>
      <c r="AP417" s="500"/>
      <c r="AQ417" s="500"/>
      <c r="AR417" s="500"/>
      <c r="AS417" s="500"/>
      <c r="AT417" s="500"/>
      <c r="AU417" s="500"/>
      <c r="AV417" s="500"/>
      <c r="AW417" s="500"/>
      <c r="AX417" s="500"/>
      <c r="AY417" s="500"/>
      <c r="AZ417" s="500"/>
      <c r="BA417" s="500"/>
      <c r="BB417" s="500"/>
      <c r="BC417" s="500"/>
      <c r="BD417" s="500"/>
      <c r="BE417" s="500"/>
      <c r="BF417" s="500"/>
      <c r="BG417" s="500"/>
      <c r="BH417" s="500"/>
      <c r="BI417" s="500"/>
      <c r="BJ417" s="500"/>
      <c r="BK417" s="500"/>
      <c r="BL417" s="500"/>
      <c r="BM417" s="500"/>
      <c r="BN417" s="500"/>
      <c r="BO417" s="500"/>
      <c r="BP417" s="500"/>
      <c r="BQ417" s="500"/>
      <c r="BR417" s="500"/>
      <c r="BS417" s="500"/>
      <c r="BT417" s="500"/>
      <c r="BU417" s="500"/>
      <c r="BV417" s="500"/>
    </row>
    <row r="418" ht="14.25" customHeight="1">
      <c r="A418" s="500"/>
      <c r="B418" s="500"/>
      <c r="C418" s="500"/>
      <c r="D418" s="500"/>
      <c r="E418" s="500"/>
      <c r="F418" s="500"/>
      <c r="G418" s="500"/>
      <c r="H418" s="500"/>
      <c r="I418" s="500"/>
      <c r="J418" s="500"/>
      <c r="K418" s="500"/>
      <c r="L418" s="500"/>
      <c r="M418" s="500"/>
      <c r="N418" s="500"/>
      <c r="O418" s="500"/>
      <c r="P418" s="500"/>
      <c r="Q418" s="500"/>
      <c r="R418" s="500"/>
      <c r="S418" s="500"/>
      <c r="T418" s="500"/>
      <c r="U418" s="500"/>
      <c r="V418" s="500"/>
      <c r="W418" s="500"/>
      <c r="X418" s="500"/>
      <c r="Y418" s="500"/>
      <c r="Z418" s="501"/>
      <c r="AA418" s="501"/>
      <c r="AB418" s="501"/>
      <c r="AC418" s="501"/>
      <c r="AD418" s="500"/>
      <c r="AE418" s="500"/>
      <c r="AF418" s="503"/>
      <c r="AG418" s="503"/>
      <c r="AH418" s="504"/>
      <c r="AI418" s="500"/>
      <c r="AJ418" s="500"/>
      <c r="AK418" s="500"/>
      <c r="AL418" s="500"/>
      <c r="AM418" s="500"/>
      <c r="AN418" s="500"/>
      <c r="AO418" s="500"/>
      <c r="AP418" s="500"/>
      <c r="AQ418" s="500"/>
      <c r="AR418" s="500"/>
      <c r="AS418" s="500"/>
      <c r="AT418" s="500"/>
      <c r="AU418" s="500"/>
      <c r="AV418" s="500"/>
      <c r="AW418" s="500"/>
      <c r="AX418" s="500"/>
      <c r="AY418" s="500"/>
      <c r="AZ418" s="500"/>
      <c r="BA418" s="500"/>
      <c r="BB418" s="500"/>
      <c r="BC418" s="500"/>
      <c r="BD418" s="500"/>
      <c r="BE418" s="500"/>
      <c r="BF418" s="500"/>
      <c r="BG418" s="500"/>
      <c r="BH418" s="500"/>
      <c r="BI418" s="500"/>
      <c r="BJ418" s="500"/>
      <c r="BK418" s="500"/>
      <c r="BL418" s="500"/>
      <c r="BM418" s="500"/>
      <c r="BN418" s="500"/>
      <c r="BO418" s="500"/>
      <c r="BP418" s="500"/>
      <c r="BQ418" s="500"/>
      <c r="BR418" s="500"/>
      <c r="BS418" s="500"/>
      <c r="BT418" s="500"/>
      <c r="BU418" s="500"/>
      <c r="BV418" s="500"/>
    </row>
    <row r="419" ht="14.25" customHeight="1">
      <c r="A419" s="500"/>
      <c r="B419" s="500"/>
      <c r="C419" s="500"/>
      <c r="D419" s="500"/>
      <c r="E419" s="500"/>
      <c r="F419" s="500"/>
      <c r="G419" s="500"/>
      <c r="H419" s="500"/>
      <c r="I419" s="500"/>
      <c r="J419" s="500"/>
      <c r="K419" s="500"/>
      <c r="L419" s="500"/>
      <c r="M419" s="500"/>
      <c r="N419" s="500"/>
      <c r="O419" s="500"/>
      <c r="P419" s="500"/>
      <c r="Q419" s="500"/>
      <c r="R419" s="500"/>
      <c r="S419" s="500"/>
      <c r="T419" s="500"/>
      <c r="U419" s="500"/>
      <c r="V419" s="500"/>
      <c r="W419" s="500"/>
      <c r="X419" s="500"/>
      <c r="Y419" s="500"/>
      <c r="Z419" s="501"/>
      <c r="AA419" s="501"/>
      <c r="AB419" s="501"/>
      <c r="AC419" s="501"/>
      <c r="AD419" s="500"/>
      <c r="AE419" s="500"/>
      <c r="AF419" s="503"/>
      <c r="AG419" s="503"/>
      <c r="AH419" s="504"/>
      <c r="AI419" s="500"/>
      <c r="AJ419" s="500"/>
      <c r="AK419" s="500"/>
      <c r="AL419" s="500"/>
      <c r="AM419" s="500"/>
      <c r="AN419" s="500"/>
      <c r="AO419" s="500"/>
      <c r="AP419" s="500"/>
      <c r="AQ419" s="500"/>
      <c r="AR419" s="500"/>
      <c r="AS419" s="500"/>
      <c r="AT419" s="500"/>
      <c r="AU419" s="500"/>
      <c r="AV419" s="500"/>
      <c r="AW419" s="500"/>
      <c r="AX419" s="500"/>
      <c r="AY419" s="500"/>
      <c r="AZ419" s="500"/>
      <c r="BA419" s="500"/>
      <c r="BB419" s="500"/>
      <c r="BC419" s="500"/>
      <c r="BD419" s="500"/>
      <c r="BE419" s="500"/>
      <c r="BF419" s="500"/>
      <c r="BG419" s="500"/>
      <c r="BH419" s="500"/>
      <c r="BI419" s="500"/>
      <c r="BJ419" s="500"/>
      <c r="BK419" s="500"/>
      <c r="BL419" s="500"/>
      <c r="BM419" s="500"/>
      <c r="BN419" s="500"/>
      <c r="BO419" s="500"/>
      <c r="BP419" s="500"/>
      <c r="BQ419" s="500"/>
      <c r="BR419" s="500"/>
      <c r="BS419" s="500"/>
      <c r="BT419" s="500"/>
      <c r="BU419" s="500"/>
      <c r="BV419" s="500"/>
    </row>
    <row r="420" ht="14.25" customHeight="1">
      <c r="A420" s="500"/>
      <c r="B420" s="500"/>
      <c r="C420" s="500"/>
      <c r="D420" s="500"/>
      <c r="E420" s="500"/>
      <c r="F420" s="500"/>
      <c r="G420" s="500"/>
      <c r="H420" s="500"/>
      <c r="I420" s="500"/>
      <c r="J420" s="500"/>
      <c r="K420" s="500"/>
      <c r="L420" s="500"/>
      <c r="M420" s="500"/>
      <c r="N420" s="500"/>
      <c r="O420" s="500"/>
      <c r="P420" s="500"/>
      <c r="Q420" s="500"/>
      <c r="R420" s="500"/>
      <c r="S420" s="500"/>
      <c r="T420" s="500"/>
      <c r="U420" s="500"/>
      <c r="V420" s="500"/>
      <c r="W420" s="500"/>
      <c r="X420" s="500"/>
      <c r="Y420" s="500"/>
      <c r="Z420" s="501"/>
      <c r="AA420" s="501"/>
      <c r="AB420" s="501"/>
      <c r="AC420" s="501"/>
      <c r="AD420" s="500"/>
      <c r="AE420" s="500"/>
      <c r="AF420" s="503"/>
      <c r="AG420" s="503"/>
      <c r="AH420" s="504"/>
      <c r="AI420" s="500"/>
      <c r="AJ420" s="500"/>
      <c r="AK420" s="500"/>
      <c r="AL420" s="500"/>
      <c r="AM420" s="500"/>
      <c r="AN420" s="500"/>
      <c r="AO420" s="500"/>
      <c r="AP420" s="500"/>
      <c r="AQ420" s="500"/>
      <c r="AR420" s="500"/>
      <c r="AS420" s="500"/>
      <c r="AT420" s="500"/>
      <c r="AU420" s="500"/>
      <c r="AV420" s="500"/>
      <c r="AW420" s="500"/>
      <c r="AX420" s="500"/>
      <c r="AY420" s="500"/>
      <c r="AZ420" s="500"/>
      <c r="BA420" s="500"/>
      <c r="BB420" s="500"/>
      <c r="BC420" s="500"/>
      <c r="BD420" s="500"/>
      <c r="BE420" s="500"/>
      <c r="BF420" s="500"/>
      <c r="BG420" s="500"/>
      <c r="BH420" s="500"/>
      <c r="BI420" s="500"/>
      <c r="BJ420" s="500"/>
      <c r="BK420" s="500"/>
      <c r="BL420" s="500"/>
      <c r="BM420" s="500"/>
      <c r="BN420" s="500"/>
      <c r="BO420" s="500"/>
      <c r="BP420" s="500"/>
      <c r="BQ420" s="500"/>
      <c r="BR420" s="500"/>
      <c r="BS420" s="500"/>
      <c r="BT420" s="500"/>
      <c r="BU420" s="500"/>
      <c r="BV420" s="500"/>
    </row>
    <row r="421" ht="14.25" customHeight="1">
      <c r="A421" s="500"/>
      <c r="B421" s="500"/>
      <c r="C421" s="500"/>
      <c r="D421" s="500"/>
      <c r="E421" s="500"/>
      <c r="F421" s="500"/>
      <c r="G421" s="500"/>
      <c r="H421" s="500"/>
      <c r="I421" s="500"/>
      <c r="J421" s="500"/>
      <c r="K421" s="500"/>
      <c r="L421" s="500"/>
      <c r="M421" s="500"/>
      <c r="N421" s="500"/>
      <c r="O421" s="500"/>
      <c r="P421" s="500"/>
      <c r="Q421" s="500"/>
      <c r="R421" s="500"/>
      <c r="S421" s="500"/>
      <c r="T421" s="500"/>
      <c r="U421" s="500"/>
      <c r="V421" s="500"/>
      <c r="W421" s="500"/>
      <c r="X421" s="500"/>
      <c r="Y421" s="500"/>
      <c r="Z421" s="501"/>
      <c r="AA421" s="501"/>
      <c r="AB421" s="501"/>
      <c r="AC421" s="501"/>
      <c r="AD421" s="500"/>
      <c r="AE421" s="500"/>
      <c r="AF421" s="503"/>
      <c r="AG421" s="503"/>
      <c r="AH421" s="504"/>
      <c r="AI421" s="500"/>
      <c r="AJ421" s="500"/>
      <c r="AK421" s="500"/>
      <c r="AL421" s="500"/>
      <c r="AM421" s="500"/>
      <c r="AN421" s="500"/>
      <c r="AO421" s="500"/>
      <c r="AP421" s="500"/>
      <c r="AQ421" s="500"/>
      <c r="AR421" s="500"/>
      <c r="AS421" s="500"/>
      <c r="AT421" s="500"/>
      <c r="AU421" s="500"/>
      <c r="AV421" s="500"/>
      <c r="AW421" s="500"/>
      <c r="AX421" s="500"/>
      <c r="AY421" s="500"/>
      <c r="AZ421" s="500"/>
      <c r="BA421" s="500"/>
      <c r="BB421" s="500"/>
      <c r="BC421" s="500"/>
      <c r="BD421" s="500"/>
      <c r="BE421" s="500"/>
      <c r="BF421" s="500"/>
      <c r="BG421" s="500"/>
      <c r="BH421" s="500"/>
      <c r="BI421" s="500"/>
      <c r="BJ421" s="500"/>
      <c r="BK421" s="500"/>
      <c r="BL421" s="500"/>
      <c r="BM421" s="500"/>
      <c r="BN421" s="500"/>
      <c r="BO421" s="500"/>
      <c r="BP421" s="500"/>
      <c r="BQ421" s="500"/>
      <c r="BR421" s="500"/>
      <c r="BS421" s="500"/>
      <c r="BT421" s="500"/>
      <c r="BU421" s="500"/>
      <c r="BV421" s="500"/>
    </row>
    <row r="422" ht="14.25" customHeight="1">
      <c r="A422" s="500"/>
      <c r="B422" s="500"/>
      <c r="C422" s="500"/>
      <c r="D422" s="500"/>
      <c r="E422" s="500"/>
      <c r="F422" s="500"/>
      <c r="G422" s="500"/>
      <c r="H422" s="500"/>
      <c r="I422" s="500"/>
      <c r="J422" s="500"/>
      <c r="K422" s="500"/>
      <c r="L422" s="500"/>
      <c r="M422" s="500"/>
      <c r="N422" s="500"/>
      <c r="O422" s="500"/>
      <c r="P422" s="500"/>
      <c r="Q422" s="500"/>
      <c r="R422" s="500"/>
      <c r="S422" s="500"/>
      <c r="T422" s="500"/>
      <c r="U422" s="500"/>
      <c r="V422" s="500"/>
      <c r="W422" s="500"/>
      <c r="X422" s="500"/>
      <c r="Y422" s="500"/>
      <c r="Z422" s="501"/>
      <c r="AA422" s="501"/>
      <c r="AB422" s="501"/>
      <c r="AC422" s="501"/>
      <c r="AD422" s="500"/>
      <c r="AE422" s="500"/>
      <c r="AF422" s="503"/>
      <c r="AG422" s="503"/>
      <c r="AH422" s="504"/>
      <c r="AI422" s="500"/>
      <c r="AJ422" s="500"/>
      <c r="AK422" s="500"/>
      <c r="AL422" s="500"/>
      <c r="AM422" s="500"/>
      <c r="AN422" s="500"/>
      <c r="AO422" s="500"/>
      <c r="AP422" s="500"/>
      <c r="AQ422" s="500"/>
      <c r="AR422" s="500"/>
      <c r="AS422" s="500"/>
      <c r="AT422" s="500"/>
      <c r="AU422" s="500"/>
      <c r="AV422" s="500"/>
      <c r="AW422" s="500"/>
      <c r="AX422" s="500"/>
      <c r="AY422" s="500"/>
      <c r="AZ422" s="500"/>
      <c r="BA422" s="500"/>
      <c r="BB422" s="500"/>
      <c r="BC422" s="500"/>
      <c r="BD422" s="500"/>
      <c r="BE422" s="500"/>
      <c r="BF422" s="500"/>
      <c r="BG422" s="500"/>
      <c r="BH422" s="500"/>
      <c r="BI422" s="500"/>
      <c r="BJ422" s="500"/>
      <c r="BK422" s="500"/>
      <c r="BL422" s="500"/>
      <c r="BM422" s="500"/>
      <c r="BN422" s="500"/>
      <c r="BO422" s="500"/>
      <c r="BP422" s="500"/>
      <c r="BQ422" s="500"/>
      <c r="BR422" s="500"/>
      <c r="BS422" s="500"/>
      <c r="BT422" s="500"/>
      <c r="BU422" s="500"/>
      <c r="BV422" s="500"/>
    </row>
    <row r="423" ht="14.25" customHeight="1">
      <c r="A423" s="500"/>
      <c r="B423" s="500"/>
      <c r="C423" s="500"/>
      <c r="D423" s="500"/>
      <c r="E423" s="500"/>
      <c r="F423" s="500"/>
      <c r="G423" s="500"/>
      <c r="H423" s="500"/>
      <c r="I423" s="500"/>
      <c r="J423" s="500"/>
      <c r="K423" s="500"/>
      <c r="L423" s="500"/>
      <c r="M423" s="500"/>
      <c r="N423" s="500"/>
      <c r="O423" s="500"/>
      <c r="P423" s="500"/>
      <c r="Q423" s="500"/>
      <c r="R423" s="500"/>
      <c r="S423" s="500"/>
      <c r="T423" s="500"/>
      <c r="U423" s="500"/>
      <c r="V423" s="500"/>
      <c r="W423" s="500"/>
      <c r="X423" s="500"/>
      <c r="Y423" s="500"/>
      <c r="Z423" s="501"/>
      <c r="AA423" s="501"/>
      <c r="AB423" s="501"/>
      <c r="AC423" s="501"/>
      <c r="AD423" s="500"/>
      <c r="AE423" s="500"/>
      <c r="AF423" s="503"/>
      <c r="AG423" s="503"/>
      <c r="AH423" s="504"/>
      <c r="AI423" s="500"/>
      <c r="AJ423" s="500"/>
      <c r="AK423" s="500"/>
      <c r="AL423" s="500"/>
      <c r="AM423" s="500"/>
      <c r="AN423" s="500"/>
      <c r="AO423" s="500"/>
      <c r="AP423" s="500"/>
      <c r="AQ423" s="500"/>
      <c r="AR423" s="500"/>
      <c r="AS423" s="500"/>
      <c r="AT423" s="500"/>
      <c r="AU423" s="500"/>
      <c r="AV423" s="500"/>
      <c r="AW423" s="500"/>
      <c r="AX423" s="500"/>
      <c r="AY423" s="500"/>
      <c r="AZ423" s="500"/>
      <c r="BA423" s="500"/>
      <c r="BB423" s="500"/>
      <c r="BC423" s="500"/>
      <c r="BD423" s="500"/>
      <c r="BE423" s="500"/>
      <c r="BF423" s="500"/>
      <c r="BG423" s="500"/>
      <c r="BH423" s="500"/>
      <c r="BI423" s="500"/>
      <c r="BJ423" s="500"/>
      <c r="BK423" s="500"/>
      <c r="BL423" s="500"/>
      <c r="BM423" s="500"/>
      <c r="BN423" s="500"/>
      <c r="BO423" s="500"/>
      <c r="BP423" s="500"/>
      <c r="BQ423" s="500"/>
      <c r="BR423" s="500"/>
      <c r="BS423" s="500"/>
      <c r="BT423" s="500"/>
      <c r="BU423" s="500"/>
      <c r="BV423" s="500"/>
    </row>
    <row r="424" ht="14.25" customHeight="1">
      <c r="A424" s="500"/>
      <c r="B424" s="500"/>
      <c r="C424" s="500"/>
      <c r="D424" s="500"/>
      <c r="E424" s="500"/>
      <c r="F424" s="500"/>
      <c r="G424" s="500"/>
      <c r="H424" s="500"/>
      <c r="I424" s="500"/>
      <c r="J424" s="500"/>
      <c r="K424" s="500"/>
      <c r="L424" s="500"/>
      <c r="M424" s="500"/>
      <c r="N424" s="500"/>
      <c r="O424" s="500"/>
      <c r="P424" s="500"/>
      <c r="Q424" s="500"/>
      <c r="R424" s="500"/>
      <c r="S424" s="500"/>
      <c r="T424" s="500"/>
      <c r="U424" s="500"/>
      <c r="V424" s="500"/>
      <c r="W424" s="500"/>
      <c r="X424" s="500"/>
      <c r="Y424" s="500"/>
      <c r="Z424" s="501"/>
      <c r="AA424" s="501"/>
      <c r="AB424" s="501"/>
      <c r="AC424" s="501"/>
      <c r="AD424" s="500"/>
      <c r="AE424" s="500"/>
      <c r="AF424" s="503"/>
      <c r="AG424" s="503"/>
      <c r="AH424" s="504"/>
      <c r="AI424" s="500"/>
      <c r="AJ424" s="500"/>
      <c r="AK424" s="500"/>
      <c r="AL424" s="500"/>
      <c r="AM424" s="500"/>
      <c r="AN424" s="500"/>
      <c r="AO424" s="500"/>
      <c r="AP424" s="500"/>
      <c r="AQ424" s="500"/>
      <c r="AR424" s="500"/>
      <c r="AS424" s="500"/>
      <c r="AT424" s="500"/>
      <c r="AU424" s="500"/>
      <c r="AV424" s="500"/>
      <c r="AW424" s="500"/>
      <c r="AX424" s="500"/>
      <c r="AY424" s="500"/>
      <c r="AZ424" s="500"/>
      <c r="BA424" s="500"/>
      <c r="BB424" s="500"/>
      <c r="BC424" s="500"/>
      <c r="BD424" s="500"/>
      <c r="BE424" s="500"/>
      <c r="BF424" s="500"/>
      <c r="BG424" s="500"/>
      <c r="BH424" s="500"/>
      <c r="BI424" s="500"/>
      <c r="BJ424" s="500"/>
      <c r="BK424" s="500"/>
      <c r="BL424" s="500"/>
      <c r="BM424" s="500"/>
      <c r="BN424" s="500"/>
      <c r="BO424" s="500"/>
      <c r="BP424" s="500"/>
      <c r="BQ424" s="500"/>
      <c r="BR424" s="500"/>
      <c r="BS424" s="500"/>
      <c r="BT424" s="500"/>
      <c r="BU424" s="500"/>
      <c r="BV424" s="500"/>
    </row>
    <row r="425" ht="14.25" customHeight="1">
      <c r="A425" s="500"/>
      <c r="B425" s="500"/>
      <c r="C425" s="500"/>
      <c r="D425" s="500"/>
      <c r="E425" s="500"/>
      <c r="F425" s="500"/>
      <c r="G425" s="500"/>
      <c r="H425" s="500"/>
      <c r="I425" s="500"/>
      <c r="J425" s="500"/>
      <c r="K425" s="500"/>
      <c r="L425" s="500"/>
      <c r="M425" s="500"/>
      <c r="N425" s="500"/>
      <c r="O425" s="500"/>
      <c r="P425" s="500"/>
      <c r="Q425" s="500"/>
      <c r="R425" s="500"/>
      <c r="S425" s="500"/>
      <c r="T425" s="500"/>
      <c r="U425" s="500"/>
      <c r="V425" s="500"/>
      <c r="W425" s="500"/>
      <c r="X425" s="500"/>
      <c r="Y425" s="500"/>
      <c r="Z425" s="501"/>
      <c r="AA425" s="501"/>
      <c r="AB425" s="501"/>
      <c r="AC425" s="501"/>
      <c r="AD425" s="500"/>
      <c r="AE425" s="500"/>
      <c r="AF425" s="503"/>
      <c r="AG425" s="503"/>
      <c r="AH425" s="504"/>
      <c r="AI425" s="500"/>
      <c r="AJ425" s="500"/>
      <c r="AK425" s="500"/>
      <c r="AL425" s="500"/>
      <c r="AM425" s="500"/>
      <c r="AN425" s="500"/>
      <c r="AO425" s="500"/>
      <c r="AP425" s="500"/>
      <c r="AQ425" s="500"/>
      <c r="AR425" s="500"/>
      <c r="AS425" s="500"/>
      <c r="AT425" s="500"/>
      <c r="AU425" s="500"/>
      <c r="AV425" s="500"/>
      <c r="AW425" s="500"/>
      <c r="AX425" s="500"/>
      <c r="AY425" s="500"/>
      <c r="AZ425" s="500"/>
      <c r="BA425" s="500"/>
      <c r="BB425" s="500"/>
      <c r="BC425" s="500"/>
      <c r="BD425" s="500"/>
      <c r="BE425" s="500"/>
      <c r="BF425" s="500"/>
      <c r="BG425" s="500"/>
      <c r="BH425" s="500"/>
      <c r="BI425" s="500"/>
      <c r="BJ425" s="500"/>
      <c r="BK425" s="500"/>
      <c r="BL425" s="500"/>
      <c r="BM425" s="500"/>
      <c r="BN425" s="500"/>
      <c r="BO425" s="500"/>
      <c r="BP425" s="500"/>
      <c r="BQ425" s="500"/>
      <c r="BR425" s="500"/>
      <c r="BS425" s="500"/>
      <c r="BT425" s="500"/>
      <c r="BU425" s="500"/>
      <c r="BV425" s="500"/>
    </row>
    <row r="426" ht="14.25" customHeight="1">
      <c r="A426" s="500"/>
      <c r="B426" s="500"/>
      <c r="C426" s="500"/>
      <c r="D426" s="500"/>
      <c r="E426" s="500"/>
      <c r="F426" s="500"/>
      <c r="G426" s="500"/>
      <c r="H426" s="500"/>
      <c r="I426" s="500"/>
      <c r="J426" s="500"/>
      <c r="K426" s="500"/>
      <c r="L426" s="500"/>
      <c r="M426" s="500"/>
      <c r="N426" s="500"/>
      <c r="O426" s="500"/>
      <c r="P426" s="500"/>
      <c r="Q426" s="500"/>
      <c r="R426" s="500"/>
      <c r="S426" s="500"/>
      <c r="T426" s="500"/>
      <c r="U426" s="500"/>
      <c r="V426" s="500"/>
      <c r="W426" s="500"/>
      <c r="X426" s="500"/>
      <c r="Y426" s="500"/>
      <c r="Z426" s="501"/>
      <c r="AA426" s="501"/>
      <c r="AB426" s="501"/>
      <c r="AC426" s="501"/>
      <c r="AD426" s="500"/>
      <c r="AE426" s="500"/>
      <c r="AF426" s="503"/>
      <c r="AG426" s="503"/>
      <c r="AH426" s="504"/>
      <c r="AI426" s="500"/>
      <c r="AJ426" s="500"/>
      <c r="AK426" s="500"/>
      <c r="AL426" s="500"/>
      <c r="AM426" s="500"/>
      <c r="AN426" s="500"/>
      <c r="AO426" s="500"/>
      <c r="AP426" s="500"/>
      <c r="AQ426" s="500"/>
      <c r="AR426" s="500"/>
      <c r="AS426" s="500"/>
      <c r="AT426" s="500"/>
      <c r="AU426" s="500"/>
      <c r="AV426" s="500"/>
      <c r="AW426" s="500"/>
      <c r="AX426" s="500"/>
      <c r="AY426" s="500"/>
      <c r="AZ426" s="500"/>
      <c r="BA426" s="500"/>
      <c r="BB426" s="500"/>
      <c r="BC426" s="500"/>
      <c r="BD426" s="500"/>
      <c r="BE426" s="500"/>
      <c r="BF426" s="500"/>
      <c r="BG426" s="500"/>
      <c r="BH426" s="500"/>
      <c r="BI426" s="500"/>
      <c r="BJ426" s="500"/>
      <c r="BK426" s="500"/>
      <c r="BL426" s="500"/>
      <c r="BM426" s="500"/>
      <c r="BN426" s="500"/>
      <c r="BO426" s="500"/>
      <c r="BP426" s="500"/>
      <c r="BQ426" s="500"/>
      <c r="BR426" s="500"/>
      <c r="BS426" s="500"/>
      <c r="BT426" s="500"/>
      <c r="BU426" s="500"/>
      <c r="BV426" s="500"/>
    </row>
    <row r="427" ht="14.25" customHeight="1">
      <c r="A427" s="500"/>
      <c r="B427" s="500"/>
      <c r="C427" s="500"/>
      <c r="D427" s="500"/>
      <c r="E427" s="500"/>
      <c r="F427" s="500"/>
      <c r="G427" s="500"/>
      <c r="H427" s="500"/>
      <c r="I427" s="500"/>
      <c r="J427" s="500"/>
      <c r="K427" s="500"/>
      <c r="L427" s="500"/>
      <c r="M427" s="500"/>
      <c r="N427" s="500"/>
      <c r="O427" s="500"/>
      <c r="P427" s="500"/>
      <c r="Q427" s="500"/>
      <c r="R427" s="500"/>
      <c r="S427" s="500"/>
      <c r="T427" s="500"/>
      <c r="U427" s="500"/>
      <c r="V427" s="500"/>
      <c r="W427" s="500"/>
      <c r="X427" s="500"/>
      <c r="Y427" s="500"/>
      <c r="Z427" s="501"/>
      <c r="AA427" s="501"/>
      <c r="AB427" s="501"/>
      <c r="AC427" s="501"/>
      <c r="AD427" s="500"/>
      <c r="AE427" s="500"/>
      <c r="AF427" s="503"/>
      <c r="AG427" s="503"/>
      <c r="AH427" s="504"/>
      <c r="AI427" s="500"/>
      <c r="AJ427" s="500"/>
      <c r="AK427" s="500"/>
      <c r="AL427" s="500"/>
      <c r="AM427" s="500"/>
      <c r="AN427" s="500"/>
      <c r="AO427" s="500"/>
      <c r="AP427" s="500"/>
      <c r="AQ427" s="500"/>
      <c r="AR427" s="500"/>
      <c r="AS427" s="500"/>
      <c r="AT427" s="500"/>
      <c r="AU427" s="500"/>
      <c r="AV427" s="500"/>
      <c r="AW427" s="500"/>
      <c r="AX427" s="500"/>
      <c r="AY427" s="500"/>
      <c r="AZ427" s="500"/>
      <c r="BA427" s="500"/>
      <c r="BB427" s="500"/>
      <c r="BC427" s="500"/>
      <c r="BD427" s="500"/>
      <c r="BE427" s="500"/>
      <c r="BF427" s="500"/>
      <c r="BG427" s="500"/>
      <c r="BH427" s="500"/>
      <c r="BI427" s="500"/>
      <c r="BJ427" s="500"/>
      <c r="BK427" s="500"/>
      <c r="BL427" s="500"/>
      <c r="BM427" s="500"/>
      <c r="BN427" s="500"/>
      <c r="BO427" s="500"/>
      <c r="BP427" s="500"/>
      <c r="BQ427" s="500"/>
      <c r="BR427" s="500"/>
      <c r="BS427" s="500"/>
      <c r="BT427" s="500"/>
      <c r="BU427" s="500"/>
      <c r="BV427" s="500"/>
    </row>
    <row r="428" ht="14.25" customHeight="1">
      <c r="A428" s="500"/>
      <c r="B428" s="500"/>
      <c r="C428" s="500"/>
      <c r="D428" s="500"/>
      <c r="E428" s="500"/>
      <c r="F428" s="500"/>
      <c r="G428" s="500"/>
      <c r="H428" s="500"/>
      <c r="I428" s="500"/>
      <c r="J428" s="500"/>
      <c r="K428" s="500"/>
      <c r="L428" s="500"/>
      <c r="M428" s="500"/>
      <c r="N428" s="500"/>
      <c r="O428" s="500"/>
      <c r="P428" s="500"/>
      <c r="Q428" s="500"/>
      <c r="R428" s="500"/>
      <c r="S428" s="500"/>
      <c r="T428" s="500"/>
      <c r="U428" s="500"/>
      <c r="V428" s="500"/>
      <c r="W428" s="500"/>
      <c r="X428" s="500"/>
      <c r="Y428" s="500"/>
      <c r="Z428" s="501"/>
      <c r="AA428" s="501"/>
      <c r="AB428" s="501"/>
      <c r="AC428" s="501"/>
      <c r="AD428" s="500"/>
      <c r="AE428" s="500"/>
      <c r="AF428" s="503"/>
      <c r="AG428" s="503"/>
      <c r="AH428" s="504"/>
      <c r="AI428" s="500"/>
      <c r="AJ428" s="500"/>
      <c r="AK428" s="500"/>
      <c r="AL428" s="500"/>
      <c r="AM428" s="500"/>
      <c r="AN428" s="500"/>
      <c r="AO428" s="500"/>
      <c r="AP428" s="500"/>
      <c r="AQ428" s="500"/>
      <c r="AR428" s="500"/>
      <c r="AS428" s="500"/>
      <c r="AT428" s="500"/>
      <c r="AU428" s="500"/>
      <c r="AV428" s="500"/>
      <c r="AW428" s="500"/>
      <c r="AX428" s="500"/>
      <c r="AY428" s="500"/>
      <c r="AZ428" s="500"/>
      <c r="BA428" s="500"/>
      <c r="BB428" s="500"/>
      <c r="BC428" s="500"/>
      <c r="BD428" s="500"/>
      <c r="BE428" s="500"/>
      <c r="BF428" s="500"/>
      <c r="BG428" s="500"/>
      <c r="BH428" s="500"/>
      <c r="BI428" s="500"/>
      <c r="BJ428" s="500"/>
      <c r="BK428" s="500"/>
      <c r="BL428" s="500"/>
      <c r="BM428" s="500"/>
      <c r="BN428" s="500"/>
      <c r="BO428" s="500"/>
      <c r="BP428" s="500"/>
      <c r="BQ428" s="500"/>
      <c r="BR428" s="500"/>
      <c r="BS428" s="500"/>
      <c r="BT428" s="500"/>
      <c r="BU428" s="500"/>
      <c r="BV428" s="500"/>
    </row>
    <row r="429" ht="14.25" customHeight="1">
      <c r="A429" s="500"/>
      <c r="B429" s="500"/>
      <c r="C429" s="500"/>
      <c r="D429" s="500"/>
      <c r="E429" s="500"/>
      <c r="F429" s="500"/>
      <c r="G429" s="500"/>
      <c r="H429" s="500"/>
      <c r="I429" s="500"/>
      <c r="J429" s="500"/>
      <c r="K429" s="500"/>
      <c r="L429" s="500"/>
      <c r="M429" s="500"/>
      <c r="N429" s="500"/>
      <c r="O429" s="500"/>
      <c r="P429" s="500"/>
      <c r="Q429" s="500"/>
      <c r="R429" s="500"/>
      <c r="S429" s="500"/>
      <c r="T429" s="500"/>
      <c r="U429" s="500"/>
      <c r="V429" s="500"/>
      <c r="W429" s="500"/>
      <c r="X429" s="500"/>
      <c r="Y429" s="500"/>
      <c r="Z429" s="501"/>
      <c r="AA429" s="501"/>
      <c r="AB429" s="501"/>
      <c r="AC429" s="501"/>
      <c r="AD429" s="500"/>
      <c r="AE429" s="500"/>
      <c r="AF429" s="503"/>
      <c r="AG429" s="503"/>
      <c r="AH429" s="504"/>
      <c r="AI429" s="500"/>
      <c r="AJ429" s="500"/>
      <c r="AK429" s="500"/>
      <c r="AL429" s="500"/>
      <c r="AM429" s="500"/>
      <c r="AN429" s="500"/>
      <c r="AO429" s="500"/>
      <c r="AP429" s="500"/>
      <c r="AQ429" s="500"/>
      <c r="AR429" s="500"/>
      <c r="AS429" s="500"/>
      <c r="AT429" s="500"/>
      <c r="AU429" s="500"/>
      <c r="AV429" s="500"/>
      <c r="AW429" s="500"/>
      <c r="AX429" s="500"/>
      <c r="AY429" s="500"/>
      <c r="AZ429" s="500"/>
      <c r="BA429" s="500"/>
      <c r="BB429" s="500"/>
      <c r="BC429" s="500"/>
      <c r="BD429" s="500"/>
      <c r="BE429" s="500"/>
      <c r="BF429" s="500"/>
      <c r="BG429" s="500"/>
      <c r="BH429" s="500"/>
      <c r="BI429" s="500"/>
      <c r="BJ429" s="500"/>
      <c r="BK429" s="500"/>
      <c r="BL429" s="500"/>
      <c r="BM429" s="500"/>
      <c r="BN429" s="500"/>
      <c r="BO429" s="500"/>
      <c r="BP429" s="500"/>
      <c r="BQ429" s="500"/>
      <c r="BR429" s="500"/>
      <c r="BS429" s="500"/>
      <c r="BT429" s="500"/>
      <c r="BU429" s="500"/>
      <c r="BV429" s="500"/>
    </row>
    <row r="430" ht="14.25" customHeight="1">
      <c r="A430" s="500"/>
      <c r="B430" s="500"/>
      <c r="C430" s="500"/>
      <c r="D430" s="500"/>
      <c r="E430" s="500"/>
      <c r="F430" s="500"/>
      <c r="G430" s="500"/>
      <c r="H430" s="500"/>
      <c r="I430" s="500"/>
      <c r="J430" s="500"/>
      <c r="K430" s="500"/>
      <c r="L430" s="500"/>
      <c r="M430" s="500"/>
      <c r="N430" s="500"/>
      <c r="O430" s="500"/>
      <c r="P430" s="500"/>
      <c r="Q430" s="500"/>
      <c r="R430" s="500"/>
      <c r="S430" s="500"/>
      <c r="T430" s="500"/>
      <c r="U430" s="500"/>
      <c r="V430" s="500"/>
      <c r="W430" s="500"/>
      <c r="X430" s="500"/>
      <c r="Y430" s="500"/>
      <c r="Z430" s="501"/>
      <c r="AA430" s="501"/>
      <c r="AB430" s="501"/>
      <c r="AC430" s="501"/>
      <c r="AD430" s="500"/>
      <c r="AE430" s="500"/>
      <c r="AF430" s="503"/>
      <c r="AG430" s="503"/>
      <c r="AH430" s="504"/>
      <c r="AI430" s="500"/>
      <c r="AJ430" s="500"/>
      <c r="AK430" s="500"/>
      <c r="AL430" s="500"/>
      <c r="AM430" s="500"/>
      <c r="AN430" s="500"/>
      <c r="AO430" s="500"/>
      <c r="AP430" s="500"/>
      <c r="AQ430" s="500"/>
      <c r="AR430" s="500"/>
      <c r="AS430" s="500"/>
      <c r="AT430" s="500"/>
      <c r="AU430" s="500"/>
      <c r="AV430" s="500"/>
      <c r="AW430" s="500"/>
      <c r="AX430" s="500"/>
      <c r="AY430" s="500"/>
      <c r="AZ430" s="500"/>
      <c r="BA430" s="500"/>
      <c r="BB430" s="500"/>
      <c r="BC430" s="500"/>
      <c r="BD430" s="500"/>
      <c r="BE430" s="500"/>
      <c r="BF430" s="500"/>
      <c r="BG430" s="500"/>
      <c r="BH430" s="500"/>
      <c r="BI430" s="500"/>
      <c r="BJ430" s="500"/>
      <c r="BK430" s="500"/>
      <c r="BL430" s="500"/>
      <c r="BM430" s="500"/>
      <c r="BN430" s="500"/>
      <c r="BO430" s="500"/>
      <c r="BP430" s="500"/>
      <c r="BQ430" s="500"/>
      <c r="BR430" s="500"/>
      <c r="BS430" s="500"/>
      <c r="BT430" s="500"/>
      <c r="BU430" s="500"/>
      <c r="BV430" s="500"/>
    </row>
    <row r="431" ht="14.25" customHeight="1">
      <c r="A431" s="500"/>
      <c r="B431" s="500"/>
      <c r="C431" s="500"/>
      <c r="D431" s="500"/>
      <c r="E431" s="500"/>
      <c r="F431" s="500"/>
      <c r="G431" s="500"/>
      <c r="H431" s="500"/>
      <c r="I431" s="500"/>
      <c r="J431" s="500"/>
      <c r="K431" s="500"/>
      <c r="L431" s="500"/>
      <c r="M431" s="500"/>
      <c r="N431" s="500"/>
      <c r="O431" s="500"/>
      <c r="P431" s="500"/>
      <c r="Q431" s="500"/>
      <c r="R431" s="500"/>
      <c r="S431" s="500"/>
      <c r="T431" s="500"/>
      <c r="U431" s="500"/>
      <c r="V431" s="500"/>
      <c r="W431" s="500"/>
      <c r="X431" s="500"/>
      <c r="Y431" s="500"/>
      <c r="Z431" s="501"/>
      <c r="AA431" s="501"/>
      <c r="AB431" s="501"/>
      <c r="AC431" s="501"/>
      <c r="AD431" s="500"/>
      <c r="AE431" s="500"/>
      <c r="AF431" s="503"/>
      <c r="AG431" s="503"/>
      <c r="AH431" s="504"/>
      <c r="AI431" s="500"/>
      <c r="AJ431" s="500"/>
      <c r="AK431" s="500"/>
      <c r="AL431" s="500"/>
      <c r="AM431" s="500"/>
      <c r="AN431" s="500"/>
      <c r="AO431" s="500"/>
      <c r="AP431" s="500"/>
      <c r="AQ431" s="500"/>
      <c r="AR431" s="500"/>
      <c r="AS431" s="500"/>
      <c r="AT431" s="500"/>
      <c r="AU431" s="500"/>
      <c r="AV431" s="500"/>
      <c r="AW431" s="500"/>
      <c r="AX431" s="500"/>
      <c r="AY431" s="500"/>
      <c r="AZ431" s="500"/>
      <c r="BA431" s="500"/>
      <c r="BB431" s="500"/>
      <c r="BC431" s="500"/>
      <c r="BD431" s="500"/>
      <c r="BE431" s="500"/>
      <c r="BF431" s="500"/>
      <c r="BG431" s="500"/>
      <c r="BH431" s="500"/>
      <c r="BI431" s="500"/>
      <c r="BJ431" s="500"/>
      <c r="BK431" s="500"/>
      <c r="BL431" s="500"/>
      <c r="BM431" s="500"/>
      <c r="BN431" s="500"/>
      <c r="BO431" s="500"/>
      <c r="BP431" s="500"/>
      <c r="BQ431" s="500"/>
      <c r="BR431" s="500"/>
      <c r="BS431" s="500"/>
      <c r="BT431" s="500"/>
      <c r="BU431" s="500"/>
      <c r="BV431" s="500"/>
    </row>
    <row r="432" ht="14.25" customHeight="1">
      <c r="A432" s="500"/>
      <c r="B432" s="500"/>
      <c r="C432" s="500"/>
      <c r="D432" s="500"/>
      <c r="E432" s="500"/>
      <c r="F432" s="500"/>
      <c r="G432" s="500"/>
      <c r="H432" s="500"/>
      <c r="I432" s="500"/>
      <c r="J432" s="500"/>
      <c r="K432" s="500"/>
      <c r="L432" s="500"/>
      <c r="M432" s="500"/>
      <c r="N432" s="500"/>
      <c r="O432" s="500"/>
      <c r="P432" s="500"/>
      <c r="Q432" s="500"/>
      <c r="R432" s="500"/>
      <c r="S432" s="500"/>
      <c r="T432" s="500"/>
      <c r="U432" s="500"/>
      <c r="V432" s="500"/>
      <c r="W432" s="500"/>
      <c r="X432" s="500"/>
      <c r="Y432" s="500"/>
      <c r="Z432" s="501"/>
      <c r="AA432" s="501"/>
      <c r="AB432" s="501"/>
      <c r="AC432" s="501"/>
      <c r="AD432" s="500"/>
      <c r="AE432" s="500"/>
      <c r="AF432" s="503"/>
      <c r="AG432" s="503"/>
      <c r="AH432" s="504"/>
      <c r="AI432" s="500"/>
      <c r="AJ432" s="500"/>
      <c r="AK432" s="500"/>
      <c r="AL432" s="500"/>
      <c r="AM432" s="500"/>
      <c r="AN432" s="500"/>
      <c r="AO432" s="500"/>
      <c r="AP432" s="500"/>
      <c r="AQ432" s="500"/>
      <c r="AR432" s="500"/>
      <c r="AS432" s="500"/>
      <c r="AT432" s="500"/>
      <c r="AU432" s="500"/>
      <c r="AV432" s="500"/>
      <c r="AW432" s="500"/>
      <c r="AX432" s="500"/>
      <c r="AY432" s="500"/>
      <c r="AZ432" s="500"/>
      <c r="BA432" s="500"/>
      <c r="BB432" s="500"/>
      <c r="BC432" s="500"/>
      <c r="BD432" s="500"/>
      <c r="BE432" s="500"/>
      <c r="BF432" s="500"/>
      <c r="BG432" s="500"/>
      <c r="BH432" s="500"/>
      <c r="BI432" s="500"/>
      <c r="BJ432" s="500"/>
      <c r="BK432" s="500"/>
      <c r="BL432" s="500"/>
      <c r="BM432" s="500"/>
      <c r="BN432" s="500"/>
      <c r="BO432" s="500"/>
      <c r="BP432" s="500"/>
      <c r="BQ432" s="500"/>
      <c r="BR432" s="500"/>
      <c r="BS432" s="500"/>
      <c r="BT432" s="500"/>
      <c r="BU432" s="500"/>
      <c r="BV432" s="500"/>
    </row>
    <row r="433" ht="14.25" customHeight="1">
      <c r="A433" s="500"/>
      <c r="B433" s="500"/>
      <c r="C433" s="500"/>
      <c r="D433" s="500"/>
      <c r="E433" s="500"/>
      <c r="F433" s="500"/>
      <c r="G433" s="500"/>
      <c r="H433" s="500"/>
      <c r="I433" s="500"/>
      <c r="J433" s="500"/>
      <c r="K433" s="500"/>
      <c r="L433" s="500"/>
      <c r="M433" s="500"/>
      <c r="N433" s="500"/>
      <c r="O433" s="500"/>
      <c r="P433" s="500"/>
      <c r="Q433" s="500"/>
      <c r="R433" s="500"/>
      <c r="S433" s="500"/>
      <c r="T433" s="500"/>
      <c r="U433" s="500"/>
      <c r="V433" s="500"/>
      <c r="W433" s="500"/>
      <c r="X433" s="500"/>
      <c r="Y433" s="500"/>
      <c r="Z433" s="501"/>
      <c r="AA433" s="501"/>
      <c r="AB433" s="501"/>
      <c r="AC433" s="501"/>
      <c r="AD433" s="500"/>
      <c r="AE433" s="500"/>
      <c r="AF433" s="503"/>
      <c r="AG433" s="503"/>
      <c r="AH433" s="504"/>
      <c r="AI433" s="500"/>
      <c r="AJ433" s="500"/>
      <c r="AK433" s="500"/>
      <c r="AL433" s="500"/>
      <c r="AM433" s="500"/>
      <c r="AN433" s="500"/>
      <c r="AO433" s="500"/>
      <c r="AP433" s="500"/>
      <c r="AQ433" s="500"/>
      <c r="AR433" s="500"/>
      <c r="AS433" s="500"/>
      <c r="AT433" s="500"/>
      <c r="AU433" s="500"/>
      <c r="AV433" s="500"/>
      <c r="AW433" s="500"/>
      <c r="AX433" s="500"/>
      <c r="AY433" s="500"/>
      <c r="AZ433" s="500"/>
      <c r="BA433" s="500"/>
      <c r="BB433" s="500"/>
      <c r="BC433" s="500"/>
      <c r="BD433" s="500"/>
      <c r="BE433" s="500"/>
      <c r="BF433" s="500"/>
      <c r="BG433" s="500"/>
      <c r="BH433" s="500"/>
      <c r="BI433" s="500"/>
      <c r="BJ433" s="500"/>
      <c r="BK433" s="500"/>
      <c r="BL433" s="500"/>
      <c r="BM433" s="500"/>
      <c r="BN433" s="500"/>
      <c r="BO433" s="500"/>
      <c r="BP433" s="500"/>
      <c r="BQ433" s="500"/>
      <c r="BR433" s="500"/>
      <c r="BS433" s="500"/>
      <c r="BT433" s="500"/>
      <c r="BU433" s="500"/>
      <c r="BV433" s="500"/>
    </row>
    <row r="434" ht="14.25" customHeight="1">
      <c r="A434" s="500"/>
      <c r="B434" s="500"/>
      <c r="C434" s="500"/>
      <c r="D434" s="500"/>
      <c r="E434" s="500"/>
      <c r="F434" s="500"/>
      <c r="G434" s="500"/>
      <c r="H434" s="500"/>
      <c r="I434" s="500"/>
      <c r="J434" s="500"/>
      <c r="K434" s="500"/>
      <c r="L434" s="500"/>
      <c r="M434" s="500"/>
      <c r="N434" s="500"/>
      <c r="O434" s="500"/>
      <c r="P434" s="500"/>
      <c r="Q434" s="500"/>
      <c r="R434" s="500"/>
      <c r="S434" s="500"/>
      <c r="T434" s="500"/>
      <c r="U434" s="500"/>
      <c r="V434" s="500"/>
      <c r="W434" s="500"/>
      <c r="X434" s="500"/>
      <c r="Y434" s="500"/>
      <c r="Z434" s="501"/>
      <c r="AA434" s="501"/>
      <c r="AB434" s="501"/>
      <c r="AC434" s="501"/>
      <c r="AD434" s="500"/>
      <c r="AE434" s="500"/>
      <c r="AF434" s="503"/>
      <c r="AG434" s="503"/>
      <c r="AH434" s="504"/>
      <c r="AI434" s="500"/>
      <c r="AJ434" s="500"/>
      <c r="AK434" s="500"/>
      <c r="AL434" s="500"/>
      <c r="AM434" s="500"/>
      <c r="AN434" s="500"/>
      <c r="AO434" s="500"/>
      <c r="AP434" s="500"/>
      <c r="AQ434" s="500"/>
      <c r="AR434" s="500"/>
      <c r="AS434" s="500"/>
      <c r="AT434" s="500"/>
      <c r="AU434" s="500"/>
      <c r="AV434" s="500"/>
      <c r="AW434" s="500"/>
      <c r="AX434" s="500"/>
      <c r="AY434" s="500"/>
      <c r="AZ434" s="500"/>
      <c r="BA434" s="500"/>
      <c r="BB434" s="500"/>
      <c r="BC434" s="500"/>
      <c r="BD434" s="500"/>
      <c r="BE434" s="500"/>
      <c r="BF434" s="500"/>
      <c r="BG434" s="500"/>
      <c r="BH434" s="500"/>
      <c r="BI434" s="500"/>
      <c r="BJ434" s="500"/>
      <c r="BK434" s="500"/>
      <c r="BL434" s="500"/>
      <c r="BM434" s="500"/>
      <c r="BN434" s="500"/>
      <c r="BO434" s="500"/>
      <c r="BP434" s="500"/>
      <c r="BQ434" s="500"/>
      <c r="BR434" s="500"/>
      <c r="BS434" s="500"/>
      <c r="BT434" s="500"/>
      <c r="BU434" s="500"/>
      <c r="BV434" s="500"/>
    </row>
    <row r="435" ht="14.25" customHeight="1">
      <c r="A435" s="500"/>
      <c r="B435" s="500"/>
      <c r="C435" s="500"/>
      <c r="D435" s="500"/>
      <c r="E435" s="500"/>
      <c r="F435" s="500"/>
      <c r="G435" s="500"/>
      <c r="H435" s="500"/>
      <c r="I435" s="500"/>
      <c r="J435" s="500"/>
      <c r="K435" s="500"/>
      <c r="L435" s="500"/>
      <c r="M435" s="500"/>
      <c r="N435" s="500"/>
      <c r="O435" s="500"/>
      <c r="P435" s="500"/>
      <c r="Q435" s="500"/>
      <c r="R435" s="500"/>
      <c r="S435" s="500"/>
      <c r="T435" s="500"/>
      <c r="U435" s="500"/>
      <c r="V435" s="500"/>
      <c r="W435" s="500"/>
      <c r="X435" s="500"/>
      <c r="Y435" s="500"/>
      <c r="Z435" s="501"/>
      <c r="AA435" s="501"/>
      <c r="AB435" s="501"/>
      <c r="AC435" s="501"/>
      <c r="AD435" s="500"/>
      <c r="AE435" s="500"/>
      <c r="AF435" s="503"/>
      <c r="AG435" s="503"/>
      <c r="AH435" s="504"/>
      <c r="AI435" s="500"/>
      <c r="AJ435" s="500"/>
      <c r="AK435" s="500"/>
      <c r="AL435" s="500"/>
      <c r="AM435" s="500"/>
      <c r="AN435" s="500"/>
      <c r="AO435" s="500"/>
      <c r="AP435" s="500"/>
      <c r="AQ435" s="500"/>
      <c r="AR435" s="500"/>
      <c r="AS435" s="500"/>
      <c r="AT435" s="500"/>
      <c r="AU435" s="500"/>
      <c r="AV435" s="500"/>
      <c r="AW435" s="500"/>
      <c r="AX435" s="500"/>
      <c r="AY435" s="500"/>
      <c r="AZ435" s="500"/>
      <c r="BA435" s="500"/>
      <c r="BB435" s="500"/>
      <c r="BC435" s="500"/>
      <c r="BD435" s="500"/>
      <c r="BE435" s="500"/>
      <c r="BF435" s="500"/>
      <c r="BG435" s="500"/>
      <c r="BH435" s="500"/>
      <c r="BI435" s="500"/>
      <c r="BJ435" s="500"/>
      <c r="BK435" s="500"/>
      <c r="BL435" s="500"/>
      <c r="BM435" s="500"/>
      <c r="BN435" s="500"/>
      <c r="BO435" s="500"/>
      <c r="BP435" s="500"/>
      <c r="BQ435" s="500"/>
      <c r="BR435" s="500"/>
      <c r="BS435" s="500"/>
      <c r="BT435" s="500"/>
      <c r="BU435" s="500"/>
      <c r="BV435" s="500"/>
    </row>
    <row r="436" ht="14.25" customHeight="1">
      <c r="A436" s="500"/>
      <c r="B436" s="500"/>
      <c r="C436" s="500"/>
      <c r="D436" s="500"/>
      <c r="E436" s="500"/>
      <c r="F436" s="500"/>
      <c r="G436" s="500"/>
      <c r="H436" s="500"/>
      <c r="I436" s="500"/>
      <c r="J436" s="500"/>
      <c r="K436" s="500"/>
      <c r="L436" s="500"/>
      <c r="M436" s="500"/>
      <c r="N436" s="500"/>
      <c r="O436" s="500"/>
      <c r="P436" s="500"/>
      <c r="Q436" s="500"/>
      <c r="R436" s="500"/>
      <c r="S436" s="500"/>
      <c r="T436" s="500"/>
      <c r="U436" s="500"/>
      <c r="V436" s="500"/>
      <c r="W436" s="500"/>
      <c r="X436" s="500"/>
      <c r="Y436" s="500"/>
      <c r="Z436" s="501"/>
      <c r="AA436" s="501"/>
      <c r="AB436" s="501"/>
      <c r="AC436" s="501"/>
      <c r="AD436" s="500"/>
      <c r="AE436" s="500"/>
      <c r="AF436" s="503"/>
      <c r="AG436" s="503"/>
      <c r="AH436" s="504"/>
      <c r="AI436" s="500"/>
      <c r="AJ436" s="500"/>
      <c r="AK436" s="500"/>
      <c r="AL436" s="500"/>
      <c r="AM436" s="500"/>
      <c r="AN436" s="500"/>
      <c r="AO436" s="500"/>
      <c r="AP436" s="500"/>
      <c r="AQ436" s="500"/>
      <c r="AR436" s="500"/>
      <c r="AS436" s="500"/>
      <c r="AT436" s="500"/>
      <c r="AU436" s="500"/>
      <c r="AV436" s="500"/>
      <c r="AW436" s="500"/>
      <c r="AX436" s="500"/>
      <c r="AY436" s="500"/>
      <c r="AZ436" s="500"/>
      <c r="BA436" s="500"/>
      <c r="BB436" s="500"/>
      <c r="BC436" s="500"/>
      <c r="BD436" s="500"/>
      <c r="BE436" s="500"/>
      <c r="BF436" s="500"/>
      <c r="BG436" s="500"/>
      <c r="BH436" s="500"/>
      <c r="BI436" s="500"/>
      <c r="BJ436" s="500"/>
      <c r="BK436" s="500"/>
      <c r="BL436" s="500"/>
      <c r="BM436" s="500"/>
      <c r="BN436" s="500"/>
      <c r="BO436" s="500"/>
      <c r="BP436" s="500"/>
      <c r="BQ436" s="500"/>
      <c r="BR436" s="500"/>
      <c r="BS436" s="500"/>
      <c r="BT436" s="500"/>
      <c r="BU436" s="500"/>
      <c r="BV436" s="500"/>
    </row>
    <row r="437" ht="14.25" customHeight="1">
      <c r="A437" s="500"/>
      <c r="B437" s="500"/>
      <c r="C437" s="500"/>
      <c r="D437" s="500"/>
      <c r="E437" s="500"/>
      <c r="F437" s="500"/>
      <c r="G437" s="500"/>
      <c r="H437" s="500"/>
      <c r="I437" s="500"/>
      <c r="J437" s="500"/>
      <c r="K437" s="500"/>
      <c r="L437" s="500"/>
      <c r="M437" s="500"/>
      <c r="N437" s="500"/>
      <c r="O437" s="500"/>
      <c r="P437" s="500"/>
      <c r="Q437" s="500"/>
      <c r="R437" s="500"/>
      <c r="S437" s="500"/>
      <c r="T437" s="500"/>
      <c r="U437" s="500"/>
      <c r="V437" s="500"/>
      <c r="W437" s="500"/>
      <c r="X437" s="500"/>
      <c r="Y437" s="500"/>
      <c r="Z437" s="501"/>
      <c r="AA437" s="501"/>
      <c r="AB437" s="501"/>
      <c r="AC437" s="501"/>
      <c r="AD437" s="500"/>
      <c r="AE437" s="500"/>
      <c r="AF437" s="503"/>
      <c r="AG437" s="503"/>
      <c r="AH437" s="504"/>
      <c r="AI437" s="500"/>
      <c r="AJ437" s="500"/>
      <c r="AK437" s="500"/>
      <c r="AL437" s="500"/>
      <c r="AM437" s="500"/>
      <c r="AN437" s="500"/>
      <c r="AO437" s="500"/>
      <c r="AP437" s="500"/>
      <c r="AQ437" s="500"/>
      <c r="AR437" s="500"/>
      <c r="AS437" s="500"/>
      <c r="AT437" s="500"/>
      <c r="AU437" s="500"/>
      <c r="AV437" s="500"/>
      <c r="AW437" s="500"/>
      <c r="AX437" s="500"/>
      <c r="AY437" s="500"/>
      <c r="AZ437" s="500"/>
      <c r="BA437" s="500"/>
      <c r="BB437" s="500"/>
      <c r="BC437" s="500"/>
      <c r="BD437" s="500"/>
      <c r="BE437" s="500"/>
      <c r="BF437" s="500"/>
      <c r="BG437" s="500"/>
      <c r="BH437" s="500"/>
      <c r="BI437" s="500"/>
      <c r="BJ437" s="500"/>
      <c r="BK437" s="500"/>
      <c r="BL437" s="500"/>
      <c r="BM437" s="500"/>
      <c r="BN437" s="500"/>
      <c r="BO437" s="500"/>
      <c r="BP437" s="500"/>
      <c r="BQ437" s="500"/>
      <c r="BR437" s="500"/>
      <c r="BS437" s="500"/>
      <c r="BT437" s="500"/>
      <c r="BU437" s="500"/>
      <c r="BV437" s="500"/>
    </row>
    <row r="438" ht="14.25" customHeight="1">
      <c r="A438" s="500"/>
      <c r="B438" s="500"/>
      <c r="C438" s="500"/>
      <c r="D438" s="500"/>
      <c r="E438" s="500"/>
      <c r="F438" s="500"/>
      <c r="G438" s="500"/>
      <c r="H438" s="500"/>
      <c r="I438" s="500"/>
      <c r="J438" s="500"/>
      <c r="K438" s="500"/>
      <c r="L438" s="500"/>
      <c r="M438" s="500"/>
      <c r="N438" s="500"/>
      <c r="O438" s="500"/>
      <c r="P438" s="500"/>
      <c r="Q438" s="500"/>
      <c r="R438" s="500"/>
      <c r="S438" s="500"/>
      <c r="T438" s="500"/>
      <c r="U438" s="500"/>
      <c r="V438" s="500"/>
      <c r="W438" s="500"/>
      <c r="X438" s="500"/>
      <c r="Y438" s="500"/>
      <c r="Z438" s="501"/>
      <c r="AA438" s="501"/>
      <c r="AB438" s="501"/>
      <c r="AC438" s="501"/>
      <c r="AD438" s="500"/>
      <c r="AE438" s="500"/>
      <c r="AF438" s="503"/>
      <c r="AG438" s="503"/>
      <c r="AH438" s="504"/>
      <c r="AI438" s="500"/>
      <c r="AJ438" s="500"/>
      <c r="AK438" s="500"/>
      <c r="AL438" s="500"/>
      <c r="AM438" s="500"/>
      <c r="AN438" s="500"/>
      <c r="AO438" s="500"/>
      <c r="AP438" s="500"/>
      <c r="AQ438" s="500"/>
      <c r="AR438" s="500"/>
      <c r="AS438" s="500"/>
      <c r="AT438" s="500"/>
      <c r="AU438" s="500"/>
      <c r="AV438" s="500"/>
      <c r="AW438" s="500"/>
      <c r="AX438" s="500"/>
      <c r="AY438" s="500"/>
      <c r="AZ438" s="500"/>
      <c r="BA438" s="500"/>
      <c r="BB438" s="500"/>
      <c r="BC438" s="500"/>
      <c r="BD438" s="500"/>
      <c r="BE438" s="500"/>
      <c r="BF438" s="500"/>
      <c r="BG438" s="500"/>
      <c r="BH438" s="500"/>
      <c r="BI438" s="500"/>
      <c r="BJ438" s="500"/>
      <c r="BK438" s="500"/>
      <c r="BL438" s="500"/>
      <c r="BM438" s="500"/>
      <c r="BN438" s="500"/>
      <c r="BO438" s="500"/>
      <c r="BP438" s="500"/>
      <c r="BQ438" s="500"/>
      <c r="BR438" s="500"/>
      <c r="BS438" s="500"/>
      <c r="BT438" s="500"/>
      <c r="BU438" s="500"/>
      <c r="BV438" s="500"/>
    </row>
    <row r="439" ht="14.25" customHeight="1">
      <c r="A439" s="500"/>
      <c r="B439" s="500"/>
      <c r="C439" s="500"/>
      <c r="D439" s="500"/>
      <c r="E439" s="500"/>
      <c r="F439" s="500"/>
      <c r="G439" s="500"/>
      <c r="H439" s="500"/>
      <c r="I439" s="500"/>
      <c r="J439" s="500"/>
      <c r="K439" s="500"/>
      <c r="L439" s="500"/>
      <c r="M439" s="500"/>
      <c r="N439" s="500"/>
      <c r="O439" s="500"/>
      <c r="P439" s="500"/>
      <c r="Q439" s="500"/>
      <c r="R439" s="500"/>
      <c r="S439" s="500"/>
      <c r="T439" s="500"/>
      <c r="U439" s="500"/>
      <c r="V439" s="500"/>
      <c r="W439" s="500"/>
      <c r="X439" s="500"/>
      <c r="Y439" s="500"/>
      <c r="Z439" s="501"/>
      <c r="AA439" s="501"/>
      <c r="AB439" s="501"/>
      <c r="AC439" s="501"/>
      <c r="AD439" s="500"/>
      <c r="AE439" s="500"/>
      <c r="AF439" s="503"/>
      <c r="AG439" s="503"/>
      <c r="AH439" s="504"/>
      <c r="AI439" s="500"/>
      <c r="AJ439" s="500"/>
      <c r="AK439" s="500"/>
      <c r="AL439" s="500"/>
      <c r="AM439" s="500"/>
      <c r="AN439" s="500"/>
      <c r="AO439" s="500"/>
      <c r="AP439" s="500"/>
      <c r="AQ439" s="500"/>
      <c r="AR439" s="500"/>
      <c r="AS439" s="500"/>
      <c r="AT439" s="500"/>
      <c r="AU439" s="500"/>
      <c r="AV439" s="500"/>
      <c r="AW439" s="500"/>
      <c r="AX439" s="500"/>
      <c r="AY439" s="500"/>
      <c r="AZ439" s="500"/>
      <c r="BA439" s="500"/>
      <c r="BB439" s="500"/>
      <c r="BC439" s="500"/>
      <c r="BD439" s="500"/>
      <c r="BE439" s="500"/>
      <c r="BF439" s="500"/>
      <c r="BG439" s="500"/>
      <c r="BH439" s="500"/>
      <c r="BI439" s="500"/>
      <c r="BJ439" s="500"/>
      <c r="BK439" s="500"/>
      <c r="BL439" s="500"/>
      <c r="BM439" s="500"/>
      <c r="BN439" s="500"/>
      <c r="BO439" s="500"/>
      <c r="BP439" s="500"/>
      <c r="BQ439" s="500"/>
      <c r="BR439" s="500"/>
      <c r="BS439" s="500"/>
      <c r="BT439" s="500"/>
      <c r="BU439" s="500"/>
      <c r="BV439" s="500"/>
    </row>
    <row r="440" ht="14.25" customHeight="1">
      <c r="A440" s="500"/>
      <c r="B440" s="500"/>
      <c r="C440" s="500"/>
      <c r="D440" s="500"/>
      <c r="E440" s="500"/>
      <c r="F440" s="500"/>
      <c r="G440" s="500"/>
      <c r="H440" s="500"/>
      <c r="I440" s="500"/>
      <c r="J440" s="500"/>
      <c r="K440" s="500"/>
      <c r="L440" s="500"/>
      <c r="M440" s="500"/>
      <c r="N440" s="500"/>
      <c r="O440" s="500"/>
      <c r="P440" s="500"/>
      <c r="Q440" s="500"/>
      <c r="R440" s="500"/>
      <c r="S440" s="500"/>
      <c r="T440" s="500"/>
      <c r="U440" s="500"/>
      <c r="V440" s="500"/>
      <c r="W440" s="500"/>
      <c r="X440" s="500"/>
      <c r="Y440" s="500"/>
      <c r="Z440" s="501"/>
      <c r="AA440" s="501"/>
      <c r="AB440" s="501"/>
      <c r="AC440" s="501"/>
      <c r="AD440" s="500"/>
      <c r="AE440" s="500"/>
      <c r="AF440" s="503"/>
      <c r="AG440" s="503"/>
      <c r="AH440" s="504"/>
      <c r="AI440" s="500"/>
      <c r="AJ440" s="500"/>
      <c r="AK440" s="500"/>
      <c r="AL440" s="500"/>
      <c r="AM440" s="500"/>
      <c r="AN440" s="500"/>
      <c r="AO440" s="500"/>
      <c r="AP440" s="500"/>
      <c r="AQ440" s="500"/>
      <c r="AR440" s="500"/>
      <c r="AS440" s="500"/>
      <c r="AT440" s="500"/>
      <c r="AU440" s="500"/>
      <c r="AV440" s="500"/>
      <c r="AW440" s="500"/>
      <c r="AX440" s="500"/>
      <c r="AY440" s="500"/>
      <c r="AZ440" s="500"/>
      <c r="BA440" s="500"/>
      <c r="BB440" s="500"/>
      <c r="BC440" s="500"/>
      <c r="BD440" s="500"/>
      <c r="BE440" s="500"/>
      <c r="BF440" s="500"/>
      <c r="BG440" s="500"/>
      <c r="BH440" s="500"/>
      <c r="BI440" s="500"/>
      <c r="BJ440" s="500"/>
      <c r="BK440" s="500"/>
      <c r="BL440" s="500"/>
      <c r="BM440" s="500"/>
      <c r="BN440" s="500"/>
      <c r="BO440" s="500"/>
      <c r="BP440" s="500"/>
      <c r="BQ440" s="500"/>
      <c r="BR440" s="500"/>
      <c r="BS440" s="500"/>
      <c r="BT440" s="500"/>
      <c r="BU440" s="500"/>
      <c r="BV440" s="500"/>
    </row>
    <row r="441" ht="14.25" customHeight="1">
      <c r="A441" s="500"/>
      <c r="B441" s="500"/>
      <c r="C441" s="500"/>
      <c r="D441" s="500"/>
      <c r="E441" s="500"/>
      <c r="F441" s="500"/>
      <c r="G441" s="500"/>
      <c r="H441" s="500"/>
      <c r="I441" s="500"/>
      <c r="J441" s="500"/>
      <c r="K441" s="500"/>
      <c r="L441" s="500"/>
      <c r="M441" s="500"/>
      <c r="N441" s="500"/>
      <c r="O441" s="500"/>
      <c r="P441" s="500"/>
      <c r="Q441" s="500"/>
      <c r="R441" s="500"/>
      <c r="S441" s="500"/>
      <c r="T441" s="500"/>
      <c r="U441" s="500"/>
      <c r="V441" s="500"/>
      <c r="W441" s="500"/>
      <c r="X441" s="500"/>
      <c r="Y441" s="500"/>
      <c r="Z441" s="501"/>
      <c r="AA441" s="501"/>
      <c r="AB441" s="501"/>
      <c r="AC441" s="501"/>
      <c r="AD441" s="500"/>
      <c r="AE441" s="500"/>
      <c r="AF441" s="503"/>
      <c r="AG441" s="503"/>
      <c r="AH441" s="504"/>
      <c r="AI441" s="500"/>
      <c r="AJ441" s="500"/>
      <c r="AK441" s="500"/>
      <c r="AL441" s="500"/>
      <c r="AM441" s="500"/>
      <c r="AN441" s="500"/>
      <c r="AO441" s="500"/>
      <c r="AP441" s="500"/>
      <c r="AQ441" s="500"/>
      <c r="AR441" s="500"/>
      <c r="AS441" s="500"/>
      <c r="AT441" s="500"/>
      <c r="AU441" s="500"/>
      <c r="AV441" s="500"/>
      <c r="AW441" s="500"/>
      <c r="AX441" s="500"/>
      <c r="AY441" s="500"/>
      <c r="AZ441" s="500"/>
      <c r="BA441" s="500"/>
      <c r="BB441" s="500"/>
      <c r="BC441" s="500"/>
      <c r="BD441" s="500"/>
      <c r="BE441" s="500"/>
      <c r="BF441" s="500"/>
      <c r="BG441" s="500"/>
      <c r="BH441" s="500"/>
      <c r="BI441" s="500"/>
      <c r="BJ441" s="500"/>
      <c r="BK441" s="500"/>
      <c r="BL441" s="500"/>
      <c r="BM441" s="500"/>
      <c r="BN441" s="500"/>
      <c r="BO441" s="500"/>
      <c r="BP441" s="500"/>
      <c r="BQ441" s="500"/>
      <c r="BR441" s="500"/>
      <c r="BS441" s="500"/>
      <c r="BT441" s="500"/>
      <c r="BU441" s="500"/>
      <c r="BV441" s="500"/>
    </row>
    <row r="442" ht="14.25" customHeight="1">
      <c r="A442" s="500"/>
      <c r="B442" s="500"/>
      <c r="C442" s="500"/>
      <c r="D442" s="500"/>
      <c r="E442" s="500"/>
      <c r="F442" s="500"/>
      <c r="G442" s="500"/>
      <c r="H442" s="500"/>
      <c r="I442" s="500"/>
      <c r="J442" s="500"/>
      <c r="K442" s="500"/>
      <c r="L442" s="500"/>
      <c r="M442" s="500"/>
      <c r="N442" s="500"/>
      <c r="O442" s="500"/>
      <c r="P442" s="500"/>
      <c r="Q442" s="500"/>
      <c r="R442" s="500"/>
      <c r="S442" s="500"/>
      <c r="T442" s="500"/>
      <c r="U442" s="500"/>
      <c r="V442" s="500"/>
      <c r="W442" s="500"/>
      <c r="X442" s="500"/>
      <c r="Y442" s="500"/>
      <c r="Z442" s="501"/>
      <c r="AA442" s="501"/>
      <c r="AB442" s="501"/>
      <c r="AC442" s="501"/>
      <c r="AD442" s="500"/>
      <c r="AE442" s="500"/>
      <c r="AF442" s="503"/>
      <c r="AG442" s="503"/>
      <c r="AH442" s="504"/>
      <c r="AI442" s="500"/>
      <c r="AJ442" s="500"/>
      <c r="AK442" s="500"/>
      <c r="AL442" s="500"/>
      <c r="AM442" s="500"/>
      <c r="AN442" s="500"/>
      <c r="AO442" s="500"/>
      <c r="AP442" s="500"/>
      <c r="AQ442" s="500"/>
      <c r="AR442" s="500"/>
      <c r="AS442" s="500"/>
      <c r="AT442" s="500"/>
      <c r="AU442" s="500"/>
      <c r="AV442" s="500"/>
      <c r="AW442" s="500"/>
      <c r="AX442" s="500"/>
      <c r="AY442" s="500"/>
      <c r="AZ442" s="500"/>
      <c r="BA442" s="500"/>
      <c r="BB442" s="500"/>
      <c r="BC442" s="500"/>
      <c r="BD442" s="500"/>
      <c r="BE442" s="500"/>
      <c r="BF442" s="500"/>
      <c r="BG442" s="500"/>
      <c r="BH442" s="500"/>
      <c r="BI442" s="500"/>
      <c r="BJ442" s="500"/>
      <c r="BK442" s="500"/>
      <c r="BL442" s="500"/>
      <c r="BM442" s="500"/>
      <c r="BN442" s="500"/>
      <c r="BO442" s="500"/>
      <c r="BP442" s="500"/>
      <c r="BQ442" s="500"/>
      <c r="BR442" s="500"/>
      <c r="BS442" s="500"/>
      <c r="BT442" s="500"/>
      <c r="BU442" s="500"/>
      <c r="BV442" s="500"/>
    </row>
    <row r="443" ht="14.25" customHeight="1">
      <c r="A443" s="500"/>
      <c r="B443" s="500"/>
      <c r="C443" s="500"/>
      <c r="D443" s="500"/>
      <c r="E443" s="500"/>
      <c r="F443" s="500"/>
      <c r="G443" s="500"/>
      <c r="H443" s="500"/>
      <c r="I443" s="500"/>
      <c r="J443" s="500"/>
      <c r="K443" s="500"/>
      <c r="L443" s="500"/>
      <c r="M443" s="500"/>
      <c r="N443" s="500"/>
      <c r="O443" s="500"/>
      <c r="P443" s="500"/>
      <c r="Q443" s="500"/>
      <c r="R443" s="500"/>
      <c r="S443" s="500"/>
      <c r="T443" s="500"/>
      <c r="U443" s="500"/>
      <c r="V443" s="500"/>
      <c r="W443" s="500"/>
      <c r="X443" s="500"/>
      <c r="Y443" s="500"/>
      <c r="Z443" s="501"/>
      <c r="AA443" s="501"/>
      <c r="AB443" s="501"/>
      <c r="AC443" s="501"/>
      <c r="AD443" s="500"/>
      <c r="AE443" s="500"/>
      <c r="AF443" s="503"/>
      <c r="AG443" s="503"/>
      <c r="AH443" s="504"/>
      <c r="AI443" s="500"/>
      <c r="AJ443" s="500"/>
      <c r="AK443" s="500"/>
      <c r="AL443" s="500"/>
      <c r="AM443" s="500"/>
      <c r="AN443" s="500"/>
      <c r="AO443" s="500"/>
      <c r="AP443" s="500"/>
      <c r="AQ443" s="500"/>
      <c r="AR443" s="500"/>
      <c r="AS443" s="500"/>
      <c r="AT443" s="500"/>
      <c r="AU443" s="500"/>
      <c r="AV443" s="500"/>
      <c r="AW443" s="500"/>
      <c r="AX443" s="500"/>
      <c r="AY443" s="500"/>
      <c r="AZ443" s="500"/>
      <c r="BA443" s="500"/>
      <c r="BB443" s="500"/>
      <c r="BC443" s="500"/>
      <c r="BD443" s="500"/>
      <c r="BE443" s="500"/>
      <c r="BF443" s="500"/>
      <c r="BG443" s="500"/>
      <c r="BH443" s="500"/>
      <c r="BI443" s="500"/>
      <c r="BJ443" s="500"/>
      <c r="BK443" s="500"/>
      <c r="BL443" s="500"/>
      <c r="BM443" s="500"/>
      <c r="BN443" s="500"/>
      <c r="BO443" s="500"/>
      <c r="BP443" s="500"/>
      <c r="BQ443" s="500"/>
      <c r="BR443" s="500"/>
      <c r="BS443" s="500"/>
      <c r="BT443" s="500"/>
      <c r="BU443" s="500"/>
      <c r="BV443" s="500"/>
    </row>
    <row r="444" ht="14.25" customHeight="1">
      <c r="A444" s="500"/>
      <c r="B444" s="500"/>
      <c r="C444" s="500"/>
      <c r="D444" s="500"/>
      <c r="E444" s="500"/>
      <c r="F444" s="500"/>
      <c r="G444" s="500"/>
      <c r="H444" s="500"/>
      <c r="I444" s="500"/>
      <c r="J444" s="500"/>
      <c r="K444" s="500"/>
      <c r="L444" s="500"/>
      <c r="M444" s="500"/>
      <c r="N444" s="500"/>
      <c r="O444" s="500"/>
      <c r="P444" s="500"/>
      <c r="Q444" s="500"/>
      <c r="R444" s="500"/>
      <c r="S444" s="500"/>
      <c r="T444" s="500"/>
      <c r="U444" s="500"/>
      <c r="V444" s="500"/>
      <c r="W444" s="500"/>
      <c r="X444" s="500"/>
      <c r="Y444" s="500"/>
      <c r="Z444" s="501"/>
      <c r="AA444" s="501"/>
      <c r="AB444" s="501"/>
      <c r="AC444" s="501"/>
      <c r="AD444" s="500"/>
      <c r="AE444" s="500"/>
      <c r="AF444" s="503"/>
      <c r="AG444" s="503"/>
      <c r="AH444" s="504"/>
      <c r="AI444" s="500"/>
      <c r="AJ444" s="500"/>
      <c r="AK444" s="500"/>
      <c r="AL444" s="500"/>
      <c r="AM444" s="500"/>
      <c r="AN444" s="500"/>
      <c r="AO444" s="500"/>
      <c r="AP444" s="500"/>
      <c r="AQ444" s="500"/>
      <c r="AR444" s="500"/>
      <c r="AS444" s="500"/>
      <c r="AT444" s="500"/>
      <c r="AU444" s="500"/>
      <c r="AV444" s="500"/>
      <c r="AW444" s="500"/>
      <c r="AX444" s="500"/>
      <c r="AY444" s="500"/>
      <c r="AZ444" s="500"/>
      <c r="BA444" s="500"/>
      <c r="BB444" s="500"/>
      <c r="BC444" s="500"/>
      <c r="BD444" s="500"/>
      <c r="BE444" s="500"/>
      <c r="BF444" s="500"/>
      <c r="BG444" s="500"/>
      <c r="BH444" s="500"/>
      <c r="BI444" s="500"/>
      <c r="BJ444" s="500"/>
      <c r="BK444" s="500"/>
      <c r="BL444" s="500"/>
      <c r="BM444" s="500"/>
      <c r="BN444" s="500"/>
      <c r="BO444" s="500"/>
      <c r="BP444" s="500"/>
      <c r="BQ444" s="500"/>
      <c r="BR444" s="500"/>
      <c r="BS444" s="500"/>
      <c r="BT444" s="500"/>
      <c r="BU444" s="500"/>
      <c r="BV444" s="500"/>
    </row>
    <row r="445" ht="14.25" customHeight="1">
      <c r="A445" s="500"/>
      <c r="B445" s="500"/>
      <c r="C445" s="500"/>
      <c r="D445" s="500"/>
      <c r="E445" s="500"/>
      <c r="F445" s="500"/>
      <c r="G445" s="500"/>
      <c r="H445" s="500"/>
      <c r="I445" s="500"/>
      <c r="J445" s="500"/>
      <c r="K445" s="500"/>
      <c r="L445" s="500"/>
      <c r="M445" s="500"/>
      <c r="N445" s="500"/>
      <c r="O445" s="500"/>
      <c r="P445" s="500"/>
      <c r="Q445" s="500"/>
      <c r="R445" s="500"/>
      <c r="S445" s="500"/>
      <c r="T445" s="500"/>
      <c r="U445" s="500"/>
      <c r="V445" s="500"/>
      <c r="W445" s="500"/>
      <c r="X445" s="500"/>
      <c r="Y445" s="500"/>
      <c r="Z445" s="501"/>
      <c r="AA445" s="501"/>
      <c r="AB445" s="501"/>
      <c r="AC445" s="501"/>
      <c r="AD445" s="500"/>
      <c r="AE445" s="500"/>
      <c r="AF445" s="503"/>
      <c r="AG445" s="503"/>
      <c r="AH445" s="504"/>
      <c r="AI445" s="500"/>
      <c r="AJ445" s="500"/>
      <c r="AK445" s="500"/>
      <c r="AL445" s="500"/>
      <c r="AM445" s="500"/>
      <c r="AN445" s="500"/>
      <c r="AO445" s="500"/>
      <c r="AP445" s="500"/>
      <c r="AQ445" s="500"/>
      <c r="AR445" s="500"/>
      <c r="AS445" s="500"/>
      <c r="AT445" s="500"/>
      <c r="AU445" s="500"/>
      <c r="AV445" s="500"/>
      <c r="AW445" s="500"/>
      <c r="AX445" s="500"/>
      <c r="AY445" s="500"/>
      <c r="AZ445" s="500"/>
      <c r="BA445" s="500"/>
      <c r="BB445" s="500"/>
      <c r="BC445" s="500"/>
      <c r="BD445" s="500"/>
      <c r="BE445" s="500"/>
      <c r="BF445" s="500"/>
      <c r="BG445" s="500"/>
      <c r="BH445" s="500"/>
      <c r="BI445" s="500"/>
      <c r="BJ445" s="500"/>
      <c r="BK445" s="500"/>
      <c r="BL445" s="500"/>
      <c r="BM445" s="500"/>
      <c r="BN445" s="500"/>
      <c r="BO445" s="500"/>
      <c r="BP445" s="500"/>
      <c r="BQ445" s="500"/>
      <c r="BR445" s="500"/>
      <c r="BS445" s="500"/>
      <c r="BT445" s="500"/>
      <c r="BU445" s="500"/>
      <c r="BV445" s="500"/>
    </row>
    <row r="446" ht="14.25" customHeight="1">
      <c r="A446" s="500"/>
      <c r="B446" s="500"/>
      <c r="C446" s="500"/>
      <c r="D446" s="500"/>
      <c r="E446" s="500"/>
      <c r="F446" s="500"/>
      <c r="G446" s="500"/>
      <c r="H446" s="500"/>
      <c r="I446" s="500"/>
      <c r="J446" s="500"/>
      <c r="K446" s="500"/>
      <c r="L446" s="500"/>
      <c r="M446" s="500"/>
      <c r="N446" s="500"/>
      <c r="O446" s="500"/>
      <c r="P446" s="500"/>
      <c r="Q446" s="500"/>
      <c r="R446" s="500"/>
      <c r="S446" s="500"/>
      <c r="T446" s="500"/>
      <c r="U446" s="500"/>
      <c r="V446" s="500"/>
      <c r="W446" s="500"/>
      <c r="X446" s="500"/>
      <c r="Y446" s="500"/>
      <c r="Z446" s="501"/>
      <c r="AA446" s="501"/>
      <c r="AB446" s="501"/>
      <c r="AC446" s="501"/>
      <c r="AD446" s="500"/>
      <c r="AE446" s="500"/>
      <c r="AF446" s="503"/>
      <c r="AG446" s="503"/>
      <c r="AH446" s="504"/>
      <c r="AI446" s="500"/>
      <c r="AJ446" s="500"/>
      <c r="AK446" s="500"/>
      <c r="AL446" s="500"/>
      <c r="AM446" s="500"/>
      <c r="AN446" s="500"/>
      <c r="AO446" s="500"/>
      <c r="AP446" s="500"/>
      <c r="AQ446" s="500"/>
      <c r="AR446" s="500"/>
      <c r="AS446" s="500"/>
      <c r="AT446" s="500"/>
      <c r="AU446" s="500"/>
      <c r="AV446" s="500"/>
      <c r="AW446" s="500"/>
      <c r="AX446" s="500"/>
      <c r="AY446" s="500"/>
      <c r="AZ446" s="500"/>
      <c r="BA446" s="500"/>
      <c r="BB446" s="500"/>
      <c r="BC446" s="500"/>
      <c r="BD446" s="500"/>
      <c r="BE446" s="500"/>
      <c r="BF446" s="500"/>
      <c r="BG446" s="500"/>
      <c r="BH446" s="500"/>
      <c r="BI446" s="500"/>
      <c r="BJ446" s="500"/>
      <c r="BK446" s="500"/>
      <c r="BL446" s="500"/>
      <c r="BM446" s="500"/>
      <c r="BN446" s="500"/>
      <c r="BO446" s="500"/>
      <c r="BP446" s="500"/>
      <c r="BQ446" s="500"/>
      <c r="BR446" s="500"/>
      <c r="BS446" s="500"/>
      <c r="BT446" s="500"/>
      <c r="BU446" s="500"/>
      <c r="BV446" s="500"/>
    </row>
    <row r="447" ht="14.25" customHeight="1">
      <c r="A447" s="500"/>
      <c r="B447" s="500"/>
      <c r="C447" s="500"/>
      <c r="D447" s="500"/>
      <c r="E447" s="500"/>
      <c r="F447" s="500"/>
      <c r="G447" s="500"/>
      <c r="H447" s="500"/>
      <c r="I447" s="500"/>
      <c r="J447" s="500"/>
      <c r="K447" s="500"/>
      <c r="L447" s="500"/>
      <c r="M447" s="500"/>
      <c r="N447" s="500"/>
      <c r="O447" s="500"/>
      <c r="P447" s="500"/>
      <c r="Q447" s="500"/>
      <c r="R447" s="500"/>
      <c r="S447" s="500"/>
      <c r="T447" s="500"/>
      <c r="U447" s="500"/>
      <c r="V447" s="500"/>
      <c r="W447" s="500"/>
      <c r="X447" s="500"/>
      <c r="Y447" s="500"/>
      <c r="Z447" s="501"/>
      <c r="AA447" s="501"/>
      <c r="AB447" s="501"/>
      <c r="AC447" s="501"/>
      <c r="AD447" s="500"/>
      <c r="AE447" s="500"/>
      <c r="AF447" s="503"/>
      <c r="AG447" s="503"/>
      <c r="AH447" s="504"/>
      <c r="AI447" s="500"/>
      <c r="AJ447" s="500"/>
      <c r="AK447" s="500"/>
      <c r="AL447" s="500"/>
      <c r="AM447" s="500"/>
      <c r="AN447" s="500"/>
      <c r="AO447" s="500"/>
      <c r="AP447" s="500"/>
      <c r="AQ447" s="500"/>
      <c r="AR447" s="500"/>
      <c r="AS447" s="500"/>
      <c r="AT447" s="500"/>
      <c r="AU447" s="500"/>
      <c r="AV447" s="500"/>
      <c r="AW447" s="500"/>
      <c r="AX447" s="500"/>
      <c r="AY447" s="500"/>
      <c r="AZ447" s="500"/>
      <c r="BA447" s="500"/>
      <c r="BB447" s="500"/>
      <c r="BC447" s="500"/>
      <c r="BD447" s="500"/>
      <c r="BE447" s="500"/>
      <c r="BF447" s="500"/>
      <c r="BG447" s="500"/>
      <c r="BH447" s="500"/>
      <c r="BI447" s="500"/>
      <c r="BJ447" s="500"/>
      <c r="BK447" s="500"/>
      <c r="BL447" s="500"/>
      <c r="BM447" s="500"/>
      <c r="BN447" s="500"/>
      <c r="BO447" s="500"/>
      <c r="BP447" s="500"/>
      <c r="BQ447" s="500"/>
      <c r="BR447" s="500"/>
      <c r="BS447" s="500"/>
      <c r="BT447" s="500"/>
      <c r="BU447" s="500"/>
      <c r="BV447" s="500"/>
    </row>
    <row r="448" ht="14.25" customHeight="1">
      <c r="A448" s="500"/>
      <c r="B448" s="500"/>
      <c r="C448" s="500"/>
      <c r="D448" s="500"/>
      <c r="E448" s="500"/>
      <c r="F448" s="500"/>
      <c r="G448" s="500"/>
      <c r="H448" s="500"/>
      <c r="I448" s="500"/>
      <c r="J448" s="500"/>
      <c r="K448" s="500"/>
      <c r="L448" s="500"/>
      <c r="M448" s="500"/>
      <c r="N448" s="500"/>
      <c r="O448" s="500"/>
      <c r="P448" s="500"/>
      <c r="Q448" s="500"/>
      <c r="R448" s="500"/>
      <c r="S448" s="500"/>
      <c r="T448" s="500"/>
      <c r="U448" s="500"/>
      <c r="V448" s="500"/>
      <c r="W448" s="500"/>
      <c r="X448" s="500"/>
      <c r="Y448" s="500"/>
      <c r="Z448" s="501"/>
      <c r="AA448" s="501"/>
      <c r="AB448" s="501"/>
      <c r="AC448" s="501"/>
      <c r="AD448" s="500"/>
      <c r="AE448" s="500"/>
      <c r="AF448" s="503"/>
      <c r="AG448" s="503"/>
      <c r="AH448" s="504"/>
      <c r="AI448" s="500"/>
      <c r="AJ448" s="500"/>
      <c r="AK448" s="500"/>
      <c r="AL448" s="500"/>
      <c r="AM448" s="500"/>
      <c r="AN448" s="500"/>
      <c r="AO448" s="500"/>
      <c r="AP448" s="500"/>
      <c r="AQ448" s="500"/>
      <c r="AR448" s="500"/>
      <c r="AS448" s="500"/>
      <c r="AT448" s="500"/>
      <c r="AU448" s="500"/>
      <c r="AV448" s="500"/>
      <c r="AW448" s="500"/>
      <c r="AX448" s="500"/>
      <c r="AY448" s="500"/>
      <c r="AZ448" s="500"/>
      <c r="BA448" s="500"/>
      <c r="BB448" s="500"/>
      <c r="BC448" s="500"/>
      <c r="BD448" s="500"/>
      <c r="BE448" s="500"/>
      <c r="BF448" s="500"/>
      <c r="BG448" s="500"/>
      <c r="BH448" s="500"/>
      <c r="BI448" s="500"/>
      <c r="BJ448" s="500"/>
      <c r="BK448" s="500"/>
      <c r="BL448" s="500"/>
      <c r="BM448" s="500"/>
      <c r="BN448" s="500"/>
      <c r="BO448" s="500"/>
      <c r="BP448" s="500"/>
      <c r="BQ448" s="500"/>
      <c r="BR448" s="500"/>
      <c r="BS448" s="500"/>
      <c r="BT448" s="500"/>
      <c r="BU448" s="500"/>
      <c r="BV448" s="500"/>
    </row>
    <row r="449" ht="14.25" customHeight="1">
      <c r="A449" s="500"/>
      <c r="B449" s="500"/>
      <c r="C449" s="500"/>
      <c r="D449" s="500"/>
      <c r="E449" s="500"/>
      <c r="F449" s="500"/>
      <c r="G449" s="500"/>
      <c r="H449" s="500"/>
      <c r="I449" s="500"/>
      <c r="J449" s="500"/>
      <c r="K449" s="500"/>
      <c r="L449" s="500"/>
      <c r="M449" s="500"/>
      <c r="N449" s="500"/>
      <c r="O449" s="500"/>
      <c r="P449" s="500"/>
      <c r="Q449" s="500"/>
      <c r="R449" s="500"/>
      <c r="S449" s="500"/>
      <c r="T449" s="500"/>
      <c r="U449" s="500"/>
      <c r="V449" s="500"/>
      <c r="W449" s="500"/>
      <c r="X449" s="500"/>
      <c r="Y449" s="500"/>
      <c r="Z449" s="501"/>
      <c r="AA449" s="501"/>
      <c r="AB449" s="501"/>
      <c r="AC449" s="501"/>
      <c r="AD449" s="500"/>
      <c r="AE449" s="500"/>
      <c r="AF449" s="503"/>
      <c r="AG449" s="503"/>
      <c r="AH449" s="504"/>
      <c r="AI449" s="500"/>
      <c r="AJ449" s="500"/>
      <c r="AK449" s="500"/>
      <c r="AL449" s="500"/>
      <c r="AM449" s="500"/>
      <c r="AN449" s="500"/>
      <c r="AO449" s="500"/>
      <c r="AP449" s="500"/>
      <c r="AQ449" s="500"/>
      <c r="AR449" s="500"/>
      <c r="AS449" s="500"/>
      <c r="AT449" s="500"/>
      <c r="AU449" s="500"/>
      <c r="AV449" s="500"/>
      <c r="AW449" s="500"/>
      <c r="AX449" s="500"/>
      <c r="AY449" s="500"/>
      <c r="AZ449" s="500"/>
      <c r="BA449" s="500"/>
      <c r="BB449" s="500"/>
      <c r="BC449" s="500"/>
      <c r="BD449" s="500"/>
      <c r="BE449" s="500"/>
      <c r="BF449" s="500"/>
      <c r="BG449" s="500"/>
      <c r="BH449" s="500"/>
      <c r="BI449" s="500"/>
      <c r="BJ449" s="500"/>
      <c r="BK449" s="500"/>
      <c r="BL449" s="500"/>
      <c r="BM449" s="500"/>
      <c r="BN449" s="500"/>
      <c r="BO449" s="500"/>
      <c r="BP449" s="500"/>
      <c r="BQ449" s="500"/>
      <c r="BR449" s="500"/>
      <c r="BS449" s="500"/>
      <c r="BT449" s="500"/>
      <c r="BU449" s="500"/>
      <c r="BV449" s="500"/>
    </row>
    <row r="450" ht="14.25" customHeight="1">
      <c r="A450" s="500"/>
      <c r="B450" s="500"/>
      <c r="C450" s="500"/>
      <c r="D450" s="500"/>
      <c r="E450" s="500"/>
      <c r="F450" s="500"/>
      <c r="G450" s="500"/>
      <c r="H450" s="500"/>
      <c r="I450" s="500"/>
      <c r="J450" s="500"/>
      <c r="K450" s="500"/>
      <c r="L450" s="500"/>
      <c r="M450" s="500"/>
      <c r="N450" s="500"/>
      <c r="O450" s="500"/>
      <c r="P450" s="500"/>
      <c r="Q450" s="500"/>
      <c r="R450" s="500"/>
      <c r="S450" s="500"/>
      <c r="T450" s="500"/>
      <c r="U450" s="500"/>
      <c r="V450" s="500"/>
      <c r="W450" s="500"/>
      <c r="X450" s="500"/>
      <c r="Y450" s="500"/>
      <c r="Z450" s="501"/>
      <c r="AA450" s="501"/>
      <c r="AB450" s="501"/>
      <c r="AC450" s="501"/>
      <c r="AD450" s="500"/>
      <c r="AE450" s="500"/>
      <c r="AF450" s="503"/>
      <c r="AG450" s="503"/>
      <c r="AH450" s="504"/>
      <c r="AI450" s="500"/>
      <c r="AJ450" s="500"/>
      <c r="AK450" s="500"/>
      <c r="AL450" s="500"/>
      <c r="AM450" s="500"/>
      <c r="AN450" s="500"/>
      <c r="AO450" s="500"/>
      <c r="AP450" s="500"/>
      <c r="AQ450" s="500"/>
      <c r="AR450" s="500"/>
      <c r="AS450" s="500"/>
      <c r="AT450" s="500"/>
      <c r="AU450" s="500"/>
      <c r="AV450" s="500"/>
      <c r="AW450" s="500"/>
      <c r="AX450" s="500"/>
      <c r="AY450" s="500"/>
      <c r="AZ450" s="500"/>
      <c r="BA450" s="500"/>
      <c r="BB450" s="500"/>
      <c r="BC450" s="500"/>
      <c r="BD450" s="500"/>
      <c r="BE450" s="500"/>
      <c r="BF450" s="500"/>
      <c r="BG450" s="500"/>
      <c r="BH450" s="500"/>
      <c r="BI450" s="500"/>
      <c r="BJ450" s="500"/>
      <c r="BK450" s="500"/>
      <c r="BL450" s="500"/>
      <c r="BM450" s="500"/>
      <c r="BN450" s="500"/>
      <c r="BO450" s="500"/>
      <c r="BP450" s="500"/>
      <c r="BQ450" s="500"/>
      <c r="BR450" s="500"/>
      <c r="BS450" s="500"/>
      <c r="BT450" s="500"/>
      <c r="BU450" s="500"/>
      <c r="BV450" s="500"/>
    </row>
    <row r="451" ht="14.25" customHeight="1">
      <c r="A451" s="500"/>
      <c r="B451" s="500"/>
      <c r="C451" s="500"/>
      <c r="D451" s="500"/>
      <c r="E451" s="500"/>
      <c r="F451" s="500"/>
      <c r="G451" s="500"/>
      <c r="H451" s="500"/>
      <c r="I451" s="500"/>
      <c r="J451" s="500"/>
      <c r="K451" s="500"/>
      <c r="L451" s="500"/>
      <c r="M451" s="500"/>
      <c r="N451" s="500"/>
      <c r="O451" s="500"/>
      <c r="P451" s="500"/>
      <c r="Q451" s="500"/>
      <c r="R451" s="500"/>
      <c r="S451" s="500"/>
      <c r="T451" s="500"/>
      <c r="U451" s="500"/>
      <c r="V451" s="500"/>
      <c r="W451" s="500"/>
      <c r="X451" s="500"/>
      <c r="Y451" s="500"/>
      <c r="Z451" s="501"/>
      <c r="AA451" s="501"/>
      <c r="AB451" s="501"/>
      <c r="AC451" s="501"/>
      <c r="AD451" s="500"/>
      <c r="AE451" s="500"/>
      <c r="AF451" s="503"/>
      <c r="AG451" s="503"/>
      <c r="AH451" s="504"/>
      <c r="AI451" s="500"/>
      <c r="AJ451" s="500"/>
      <c r="AK451" s="500"/>
      <c r="AL451" s="500"/>
      <c r="AM451" s="500"/>
      <c r="AN451" s="500"/>
      <c r="AO451" s="500"/>
      <c r="AP451" s="500"/>
      <c r="AQ451" s="500"/>
      <c r="AR451" s="500"/>
      <c r="AS451" s="500"/>
      <c r="AT451" s="500"/>
      <c r="AU451" s="500"/>
      <c r="AV451" s="500"/>
      <c r="AW451" s="500"/>
      <c r="AX451" s="500"/>
      <c r="AY451" s="500"/>
      <c r="AZ451" s="500"/>
      <c r="BA451" s="500"/>
      <c r="BB451" s="500"/>
      <c r="BC451" s="500"/>
      <c r="BD451" s="500"/>
      <c r="BE451" s="500"/>
      <c r="BF451" s="500"/>
      <c r="BG451" s="500"/>
      <c r="BH451" s="500"/>
      <c r="BI451" s="500"/>
      <c r="BJ451" s="500"/>
      <c r="BK451" s="500"/>
      <c r="BL451" s="500"/>
      <c r="BM451" s="500"/>
      <c r="BN451" s="500"/>
      <c r="BO451" s="500"/>
      <c r="BP451" s="500"/>
      <c r="BQ451" s="500"/>
      <c r="BR451" s="500"/>
      <c r="BS451" s="500"/>
      <c r="BT451" s="500"/>
      <c r="BU451" s="500"/>
      <c r="BV451" s="500"/>
    </row>
    <row r="452" ht="14.25" customHeight="1">
      <c r="A452" s="500"/>
      <c r="B452" s="500"/>
      <c r="C452" s="500"/>
      <c r="D452" s="500"/>
      <c r="E452" s="500"/>
      <c r="F452" s="500"/>
      <c r="G452" s="500"/>
      <c r="H452" s="500"/>
      <c r="I452" s="500"/>
      <c r="J452" s="500"/>
      <c r="K452" s="500"/>
      <c r="L452" s="500"/>
      <c r="M452" s="500"/>
      <c r="N452" s="500"/>
      <c r="O452" s="500"/>
      <c r="P452" s="500"/>
      <c r="Q452" s="500"/>
      <c r="R452" s="500"/>
      <c r="S452" s="500"/>
      <c r="T452" s="500"/>
      <c r="U452" s="500"/>
      <c r="V452" s="500"/>
      <c r="W452" s="500"/>
      <c r="X452" s="500"/>
      <c r="Y452" s="500"/>
      <c r="Z452" s="501"/>
      <c r="AA452" s="501"/>
      <c r="AB452" s="501"/>
      <c r="AC452" s="501"/>
      <c r="AD452" s="500"/>
      <c r="AE452" s="500"/>
      <c r="AF452" s="503"/>
      <c r="AG452" s="503"/>
      <c r="AH452" s="504"/>
      <c r="AI452" s="500"/>
      <c r="AJ452" s="500"/>
      <c r="AK452" s="500"/>
      <c r="AL452" s="500"/>
      <c r="AM452" s="500"/>
      <c r="AN452" s="500"/>
      <c r="AO452" s="500"/>
      <c r="AP452" s="500"/>
      <c r="AQ452" s="500"/>
      <c r="AR452" s="500"/>
      <c r="AS452" s="500"/>
      <c r="AT452" s="500"/>
      <c r="AU452" s="500"/>
      <c r="AV452" s="500"/>
      <c r="AW452" s="500"/>
      <c r="AX452" s="500"/>
      <c r="AY452" s="500"/>
      <c r="AZ452" s="500"/>
      <c r="BA452" s="500"/>
      <c r="BB452" s="500"/>
      <c r="BC452" s="500"/>
      <c r="BD452" s="500"/>
      <c r="BE452" s="500"/>
      <c r="BF452" s="500"/>
      <c r="BG452" s="500"/>
      <c r="BH452" s="500"/>
      <c r="BI452" s="500"/>
      <c r="BJ452" s="500"/>
      <c r="BK452" s="500"/>
      <c r="BL452" s="500"/>
      <c r="BM452" s="500"/>
      <c r="BN452" s="500"/>
      <c r="BO452" s="500"/>
      <c r="BP452" s="500"/>
      <c r="BQ452" s="500"/>
      <c r="BR452" s="500"/>
      <c r="BS452" s="500"/>
      <c r="BT452" s="500"/>
      <c r="BU452" s="500"/>
      <c r="BV452" s="500"/>
    </row>
    <row r="453" ht="14.25" customHeight="1">
      <c r="A453" s="500"/>
      <c r="B453" s="500"/>
      <c r="C453" s="500"/>
      <c r="D453" s="500"/>
      <c r="E453" s="500"/>
      <c r="F453" s="500"/>
      <c r="G453" s="500"/>
      <c r="H453" s="500"/>
      <c r="I453" s="500"/>
      <c r="J453" s="500"/>
      <c r="K453" s="500"/>
      <c r="L453" s="500"/>
      <c r="M453" s="500"/>
      <c r="N453" s="500"/>
      <c r="O453" s="500"/>
      <c r="P453" s="500"/>
      <c r="Q453" s="500"/>
      <c r="R453" s="500"/>
      <c r="S453" s="500"/>
      <c r="T453" s="500"/>
      <c r="U453" s="500"/>
      <c r="V453" s="500"/>
      <c r="W453" s="500"/>
      <c r="X453" s="500"/>
      <c r="Y453" s="500"/>
      <c r="Z453" s="501"/>
      <c r="AA453" s="501"/>
      <c r="AB453" s="501"/>
      <c r="AC453" s="501"/>
      <c r="AD453" s="500"/>
      <c r="AE453" s="500"/>
      <c r="AF453" s="503"/>
      <c r="AG453" s="503"/>
      <c r="AH453" s="504"/>
      <c r="AI453" s="500"/>
      <c r="AJ453" s="500"/>
      <c r="AK453" s="500"/>
      <c r="AL453" s="500"/>
      <c r="AM453" s="500"/>
      <c r="AN453" s="500"/>
      <c r="AO453" s="500"/>
      <c r="AP453" s="500"/>
      <c r="AQ453" s="500"/>
      <c r="AR453" s="500"/>
      <c r="AS453" s="500"/>
      <c r="AT453" s="500"/>
      <c r="AU453" s="500"/>
      <c r="AV453" s="500"/>
      <c r="AW453" s="500"/>
      <c r="AX453" s="500"/>
      <c r="AY453" s="500"/>
      <c r="AZ453" s="500"/>
      <c r="BA453" s="500"/>
      <c r="BB453" s="500"/>
      <c r="BC453" s="500"/>
      <c r="BD453" s="500"/>
      <c r="BE453" s="500"/>
      <c r="BF453" s="500"/>
      <c r="BG453" s="500"/>
      <c r="BH453" s="500"/>
      <c r="BI453" s="500"/>
      <c r="BJ453" s="500"/>
      <c r="BK453" s="500"/>
      <c r="BL453" s="500"/>
      <c r="BM453" s="500"/>
      <c r="BN453" s="500"/>
      <c r="BO453" s="500"/>
      <c r="BP453" s="500"/>
      <c r="BQ453" s="500"/>
      <c r="BR453" s="500"/>
      <c r="BS453" s="500"/>
      <c r="BT453" s="500"/>
      <c r="BU453" s="500"/>
      <c r="BV453" s="500"/>
    </row>
    <row r="454" ht="14.25" customHeight="1">
      <c r="A454" s="500"/>
      <c r="B454" s="500"/>
      <c r="C454" s="500"/>
      <c r="D454" s="500"/>
      <c r="E454" s="500"/>
      <c r="F454" s="500"/>
      <c r="G454" s="500"/>
      <c r="H454" s="500"/>
      <c r="I454" s="500"/>
      <c r="J454" s="500"/>
      <c r="K454" s="500"/>
      <c r="L454" s="500"/>
      <c r="M454" s="500"/>
      <c r="N454" s="500"/>
      <c r="O454" s="500"/>
      <c r="P454" s="500"/>
      <c r="Q454" s="500"/>
      <c r="R454" s="500"/>
      <c r="S454" s="500"/>
      <c r="T454" s="500"/>
      <c r="U454" s="500"/>
      <c r="V454" s="500"/>
      <c r="W454" s="500"/>
      <c r="X454" s="500"/>
      <c r="Y454" s="500"/>
      <c r="Z454" s="501"/>
      <c r="AA454" s="501"/>
      <c r="AB454" s="501"/>
      <c r="AC454" s="501"/>
      <c r="AD454" s="500"/>
      <c r="AE454" s="500"/>
      <c r="AF454" s="503"/>
      <c r="AG454" s="503"/>
      <c r="AH454" s="504"/>
      <c r="AI454" s="500"/>
      <c r="AJ454" s="500"/>
      <c r="AK454" s="500"/>
      <c r="AL454" s="500"/>
      <c r="AM454" s="500"/>
      <c r="AN454" s="500"/>
      <c r="AO454" s="500"/>
      <c r="AP454" s="500"/>
      <c r="AQ454" s="500"/>
      <c r="AR454" s="500"/>
      <c r="AS454" s="500"/>
      <c r="AT454" s="500"/>
      <c r="AU454" s="500"/>
      <c r="AV454" s="500"/>
      <c r="AW454" s="500"/>
      <c r="AX454" s="500"/>
      <c r="AY454" s="500"/>
      <c r="AZ454" s="500"/>
      <c r="BA454" s="500"/>
      <c r="BB454" s="500"/>
      <c r="BC454" s="500"/>
      <c r="BD454" s="500"/>
      <c r="BE454" s="500"/>
      <c r="BF454" s="500"/>
      <c r="BG454" s="500"/>
      <c r="BH454" s="500"/>
      <c r="BI454" s="500"/>
      <c r="BJ454" s="500"/>
      <c r="BK454" s="500"/>
      <c r="BL454" s="500"/>
      <c r="BM454" s="500"/>
      <c r="BN454" s="500"/>
      <c r="BO454" s="500"/>
      <c r="BP454" s="500"/>
      <c r="BQ454" s="500"/>
      <c r="BR454" s="500"/>
      <c r="BS454" s="500"/>
      <c r="BT454" s="500"/>
      <c r="BU454" s="500"/>
      <c r="BV454" s="500"/>
    </row>
    <row r="455" ht="14.25" customHeight="1">
      <c r="A455" s="500"/>
      <c r="B455" s="500"/>
      <c r="C455" s="500"/>
      <c r="D455" s="500"/>
      <c r="E455" s="500"/>
      <c r="F455" s="500"/>
      <c r="G455" s="500"/>
      <c r="H455" s="500"/>
      <c r="I455" s="500"/>
      <c r="J455" s="500"/>
      <c r="K455" s="500"/>
      <c r="L455" s="500"/>
      <c r="M455" s="500"/>
      <c r="N455" s="500"/>
      <c r="O455" s="500"/>
      <c r="P455" s="500"/>
      <c r="Q455" s="500"/>
      <c r="R455" s="500"/>
      <c r="S455" s="500"/>
      <c r="T455" s="500"/>
      <c r="U455" s="500"/>
      <c r="V455" s="500"/>
      <c r="W455" s="500"/>
      <c r="X455" s="500"/>
      <c r="Y455" s="500"/>
      <c r="Z455" s="501"/>
      <c r="AA455" s="501"/>
      <c r="AB455" s="501"/>
      <c r="AC455" s="501"/>
      <c r="AD455" s="500"/>
      <c r="AE455" s="500"/>
      <c r="AF455" s="503"/>
      <c r="AG455" s="503"/>
      <c r="AH455" s="504"/>
      <c r="AI455" s="500"/>
      <c r="AJ455" s="500"/>
      <c r="AK455" s="500"/>
      <c r="AL455" s="500"/>
      <c r="AM455" s="500"/>
      <c r="AN455" s="500"/>
      <c r="AO455" s="500"/>
      <c r="AP455" s="500"/>
      <c r="AQ455" s="500"/>
      <c r="AR455" s="500"/>
      <c r="AS455" s="500"/>
      <c r="AT455" s="500"/>
      <c r="AU455" s="500"/>
      <c r="AV455" s="500"/>
      <c r="AW455" s="500"/>
      <c r="AX455" s="500"/>
      <c r="AY455" s="500"/>
      <c r="AZ455" s="500"/>
      <c r="BA455" s="500"/>
      <c r="BB455" s="500"/>
      <c r="BC455" s="500"/>
      <c r="BD455" s="500"/>
      <c r="BE455" s="500"/>
      <c r="BF455" s="500"/>
      <c r="BG455" s="500"/>
      <c r="BH455" s="500"/>
      <c r="BI455" s="500"/>
      <c r="BJ455" s="500"/>
      <c r="BK455" s="500"/>
      <c r="BL455" s="500"/>
      <c r="BM455" s="500"/>
      <c r="BN455" s="500"/>
      <c r="BO455" s="500"/>
      <c r="BP455" s="500"/>
      <c r="BQ455" s="500"/>
      <c r="BR455" s="500"/>
      <c r="BS455" s="500"/>
      <c r="BT455" s="500"/>
      <c r="BU455" s="500"/>
      <c r="BV455" s="500"/>
    </row>
    <row r="456" ht="14.25" customHeight="1">
      <c r="A456" s="500"/>
      <c r="B456" s="500"/>
      <c r="C456" s="500"/>
      <c r="D456" s="500"/>
      <c r="E456" s="500"/>
      <c r="F456" s="500"/>
      <c r="G456" s="500"/>
      <c r="H456" s="500"/>
      <c r="I456" s="500"/>
      <c r="J456" s="500"/>
      <c r="K456" s="500"/>
      <c r="L456" s="500"/>
      <c r="M456" s="500"/>
      <c r="N456" s="500"/>
      <c r="O456" s="500"/>
      <c r="P456" s="500"/>
      <c r="Q456" s="500"/>
      <c r="R456" s="500"/>
      <c r="S456" s="500"/>
      <c r="T456" s="500"/>
      <c r="U456" s="500"/>
      <c r="V456" s="500"/>
      <c r="W456" s="500"/>
      <c r="X456" s="500"/>
      <c r="Y456" s="500"/>
      <c r="Z456" s="501"/>
      <c r="AA456" s="501"/>
      <c r="AB456" s="501"/>
      <c r="AC456" s="501"/>
      <c r="AD456" s="500"/>
      <c r="AE456" s="500"/>
      <c r="AF456" s="503"/>
      <c r="AG456" s="503"/>
      <c r="AH456" s="504"/>
      <c r="AI456" s="500"/>
      <c r="AJ456" s="500"/>
      <c r="AK456" s="500"/>
      <c r="AL456" s="500"/>
      <c r="AM456" s="500"/>
      <c r="AN456" s="500"/>
      <c r="AO456" s="500"/>
      <c r="AP456" s="500"/>
      <c r="AQ456" s="500"/>
      <c r="AR456" s="500"/>
      <c r="AS456" s="500"/>
      <c r="AT456" s="500"/>
      <c r="AU456" s="500"/>
      <c r="AV456" s="500"/>
      <c r="AW456" s="500"/>
      <c r="AX456" s="500"/>
      <c r="AY456" s="500"/>
      <c r="AZ456" s="500"/>
      <c r="BA456" s="500"/>
      <c r="BB456" s="500"/>
      <c r="BC456" s="500"/>
      <c r="BD456" s="500"/>
      <c r="BE456" s="500"/>
      <c r="BF456" s="500"/>
      <c r="BG456" s="500"/>
      <c r="BH456" s="500"/>
      <c r="BI456" s="500"/>
      <c r="BJ456" s="500"/>
      <c r="BK456" s="500"/>
      <c r="BL456" s="500"/>
      <c r="BM456" s="500"/>
      <c r="BN456" s="500"/>
      <c r="BO456" s="500"/>
      <c r="BP456" s="500"/>
      <c r="BQ456" s="500"/>
      <c r="BR456" s="500"/>
      <c r="BS456" s="500"/>
      <c r="BT456" s="500"/>
      <c r="BU456" s="500"/>
      <c r="BV456" s="500"/>
    </row>
    <row r="457" ht="14.25" customHeight="1">
      <c r="A457" s="500"/>
      <c r="B457" s="500"/>
      <c r="C457" s="500"/>
      <c r="D457" s="500"/>
      <c r="E457" s="500"/>
      <c r="F457" s="500"/>
      <c r="G457" s="500"/>
      <c r="H457" s="500"/>
      <c r="I457" s="500"/>
      <c r="J457" s="500"/>
      <c r="K457" s="500"/>
      <c r="L457" s="500"/>
      <c r="M457" s="500"/>
      <c r="N457" s="500"/>
      <c r="O457" s="500"/>
      <c r="P457" s="500"/>
      <c r="Q457" s="500"/>
      <c r="R457" s="500"/>
      <c r="S457" s="500"/>
      <c r="T457" s="500"/>
      <c r="U457" s="500"/>
      <c r="V457" s="500"/>
      <c r="W457" s="500"/>
      <c r="X457" s="500"/>
      <c r="Y457" s="500"/>
      <c r="Z457" s="501"/>
      <c r="AA457" s="501"/>
      <c r="AB457" s="501"/>
      <c r="AC457" s="501"/>
      <c r="AD457" s="500"/>
      <c r="AE457" s="500"/>
      <c r="AF457" s="503"/>
      <c r="AG457" s="503"/>
      <c r="AH457" s="504"/>
      <c r="AI457" s="500"/>
      <c r="AJ457" s="500"/>
      <c r="AK457" s="500"/>
      <c r="AL457" s="500"/>
      <c r="AM457" s="500"/>
      <c r="AN457" s="500"/>
      <c r="AO457" s="500"/>
      <c r="AP457" s="500"/>
      <c r="AQ457" s="500"/>
      <c r="AR457" s="500"/>
      <c r="AS457" s="500"/>
      <c r="AT457" s="500"/>
      <c r="AU457" s="500"/>
      <c r="AV457" s="500"/>
      <c r="AW457" s="500"/>
      <c r="AX457" s="500"/>
      <c r="AY457" s="500"/>
      <c r="AZ457" s="500"/>
      <c r="BA457" s="500"/>
      <c r="BB457" s="500"/>
      <c r="BC457" s="500"/>
      <c r="BD457" s="500"/>
      <c r="BE457" s="500"/>
      <c r="BF457" s="500"/>
      <c r="BG457" s="500"/>
      <c r="BH457" s="500"/>
      <c r="BI457" s="500"/>
      <c r="BJ457" s="500"/>
      <c r="BK457" s="500"/>
      <c r="BL457" s="500"/>
      <c r="BM457" s="500"/>
      <c r="BN457" s="500"/>
      <c r="BO457" s="500"/>
      <c r="BP457" s="500"/>
      <c r="BQ457" s="500"/>
      <c r="BR457" s="500"/>
      <c r="BS457" s="500"/>
      <c r="BT457" s="500"/>
      <c r="BU457" s="500"/>
      <c r="BV457" s="500"/>
    </row>
    <row r="458" ht="14.25" customHeight="1">
      <c r="A458" s="500"/>
      <c r="B458" s="500"/>
      <c r="C458" s="500"/>
      <c r="D458" s="500"/>
      <c r="E458" s="500"/>
      <c r="F458" s="500"/>
      <c r="G458" s="500"/>
      <c r="H458" s="500"/>
      <c r="I458" s="500"/>
      <c r="J458" s="500"/>
      <c r="K458" s="500"/>
      <c r="L458" s="500"/>
      <c r="M458" s="500"/>
      <c r="N458" s="500"/>
      <c r="O458" s="500"/>
      <c r="P458" s="500"/>
      <c r="Q458" s="500"/>
      <c r="R458" s="500"/>
      <c r="S458" s="500"/>
      <c r="T458" s="500"/>
      <c r="U458" s="500"/>
      <c r="V458" s="500"/>
      <c r="W458" s="500"/>
      <c r="X458" s="500"/>
      <c r="Y458" s="500"/>
      <c r="Z458" s="501"/>
      <c r="AA458" s="501"/>
      <c r="AB458" s="501"/>
      <c r="AC458" s="501"/>
      <c r="AD458" s="500"/>
      <c r="AE458" s="500"/>
      <c r="AF458" s="503"/>
      <c r="AG458" s="503"/>
      <c r="AH458" s="504"/>
      <c r="AI458" s="500"/>
      <c r="AJ458" s="500"/>
      <c r="AK458" s="500"/>
      <c r="AL458" s="500"/>
      <c r="AM458" s="500"/>
      <c r="AN458" s="500"/>
      <c r="AO458" s="500"/>
      <c r="AP458" s="500"/>
      <c r="AQ458" s="500"/>
      <c r="AR458" s="500"/>
      <c r="AS458" s="500"/>
      <c r="AT458" s="500"/>
      <c r="AU458" s="500"/>
      <c r="AV458" s="500"/>
      <c r="AW458" s="500"/>
      <c r="AX458" s="500"/>
      <c r="AY458" s="500"/>
      <c r="AZ458" s="500"/>
      <c r="BA458" s="500"/>
      <c r="BB458" s="500"/>
      <c r="BC458" s="500"/>
      <c r="BD458" s="500"/>
      <c r="BE458" s="500"/>
      <c r="BF458" s="500"/>
      <c r="BG458" s="500"/>
      <c r="BH458" s="500"/>
      <c r="BI458" s="500"/>
      <c r="BJ458" s="500"/>
      <c r="BK458" s="500"/>
      <c r="BL458" s="500"/>
      <c r="BM458" s="500"/>
      <c r="BN458" s="500"/>
      <c r="BO458" s="500"/>
      <c r="BP458" s="500"/>
      <c r="BQ458" s="500"/>
      <c r="BR458" s="500"/>
      <c r="BS458" s="500"/>
      <c r="BT458" s="500"/>
      <c r="BU458" s="500"/>
      <c r="BV458" s="500"/>
    </row>
    <row r="459" ht="14.25" customHeight="1">
      <c r="A459" s="500"/>
      <c r="B459" s="500"/>
      <c r="C459" s="500"/>
      <c r="D459" s="500"/>
      <c r="E459" s="500"/>
      <c r="F459" s="500"/>
      <c r="G459" s="500"/>
      <c r="H459" s="500"/>
      <c r="I459" s="500"/>
      <c r="J459" s="500"/>
      <c r="K459" s="500"/>
      <c r="L459" s="500"/>
      <c r="M459" s="500"/>
      <c r="N459" s="500"/>
      <c r="O459" s="500"/>
      <c r="P459" s="500"/>
      <c r="Q459" s="500"/>
      <c r="R459" s="500"/>
      <c r="S459" s="500"/>
      <c r="T459" s="500"/>
      <c r="U459" s="500"/>
      <c r="V459" s="500"/>
      <c r="W459" s="500"/>
      <c r="X459" s="500"/>
      <c r="Y459" s="500"/>
      <c r="Z459" s="501"/>
      <c r="AA459" s="501"/>
      <c r="AB459" s="501"/>
      <c r="AC459" s="501"/>
      <c r="AD459" s="500"/>
      <c r="AE459" s="500"/>
      <c r="AF459" s="503"/>
      <c r="AG459" s="503"/>
      <c r="AH459" s="504"/>
      <c r="AI459" s="500"/>
      <c r="AJ459" s="500"/>
      <c r="AK459" s="500"/>
      <c r="AL459" s="500"/>
      <c r="AM459" s="500"/>
      <c r="AN459" s="500"/>
      <c r="AO459" s="500"/>
      <c r="AP459" s="500"/>
      <c r="AQ459" s="500"/>
      <c r="AR459" s="500"/>
      <c r="AS459" s="500"/>
      <c r="AT459" s="500"/>
      <c r="AU459" s="500"/>
      <c r="AV459" s="500"/>
      <c r="AW459" s="500"/>
      <c r="AX459" s="500"/>
      <c r="AY459" s="500"/>
      <c r="AZ459" s="500"/>
      <c r="BA459" s="500"/>
      <c r="BB459" s="500"/>
      <c r="BC459" s="500"/>
      <c r="BD459" s="500"/>
      <c r="BE459" s="500"/>
      <c r="BF459" s="500"/>
      <c r="BG459" s="500"/>
      <c r="BH459" s="500"/>
      <c r="BI459" s="500"/>
      <c r="BJ459" s="500"/>
      <c r="BK459" s="500"/>
      <c r="BL459" s="500"/>
      <c r="BM459" s="500"/>
      <c r="BN459" s="500"/>
      <c r="BO459" s="500"/>
      <c r="BP459" s="500"/>
      <c r="BQ459" s="500"/>
      <c r="BR459" s="500"/>
      <c r="BS459" s="500"/>
      <c r="BT459" s="500"/>
      <c r="BU459" s="500"/>
      <c r="BV459" s="500"/>
    </row>
    <row r="460" ht="14.25" customHeight="1">
      <c r="A460" s="500"/>
      <c r="B460" s="500"/>
      <c r="C460" s="500"/>
      <c r="D460" s="500"/>
      <c r="E460" s="500"/>
      <c r="F460" s="500"/>
      <c r="G460" s="500"/>
      <c r="H460" s="500"/>
      <c r="I460" s="500"/>
      <c r="J460" s="500"/>
      <c r="K460" s="500"/>
      <c r="L460" s="500"/>
      <c r="M460" s="500"/>
      <c r="N460" s="500"/>
      <c r="O460" s="500"/>
      <c r="P460" s="500"/>
      <c r="Q460" s="500"/>
      <c r="R460" s="500"/>
      <c r="S460" s="500"/>
      <c r="T460" s="500"/>
      <c r="U460" s="500"/>
      <c r="V460" s="500"/>
      <c r="W460" s="500"/>
      <c r="X460" s="500"/>
      <c r="Y460" s="500"/>
      <c r="Z460" s="501"/>
      <c r="AA460" s="501"/>
      <c r="AB460" s="501"/>
      <c r="AC460" s="501"/>
      <c r="AD460" s="500"/>
      <c r="AE460" s="500"/>
      <c r="AF460" s="503"/>
      <c r="AG460" s="503"/>
      <c r="AH460" s="504"/>
      <c r="AI460" s="500"/>
      <c r="AJ460" s="500"/>
      <c r="AK460" s="500"/>
      <c r="AL460" s="500"/>
      <c r="AM460" s="500"/>
      <c r="AN460" s="500"/>
      <c r="AO460" s="500"/>
      <c r="AP460" s="500"/>
      <c r="AQ460" s="500"/>
      <c r="AR460" s="500"/>
      <c r="AS460" s="500"/>
      <c r="AT460" s="500"/>
      <c r="AU460" s="500"/>
      <c r="AV460" s="500"/>
      <c r="AW460" s="500"/>
      <c r="AX460" s="500"/>
      <c r="AY460" s="500"/>
      <c r="AZ460" s="500"/>
      <c r="BA460" s="500"/>
      <c r="BB460" s="500"/>
      <c r="BC460" s="500"/>
      <c r="BD460" s="500"/>
      <c r="BE460" s="500"/>
      <c r="BF460" s="500"/>
      <c r="BG460" s="500"/>
      <c r="BH460" s="500"/>
      <c r="BI460" s="500"/>
      <c r="BJ460" s="500"/>
      <c r="BK460" s="500"/>
      <c r="BL460" s="500"/>
      <c r="BM460" s="500"/>
      <c r="BN460" s="500"/>
      <c r="BO460" s="500"/>
      <c r="BP460" s="500"/>
      <c r="BQ460" s="500"/>
      <c r="BR460" s="500"/>
      <c r="BS460" s="500"/>
      <c r="BT460" s="500"/>
      <c r="BU460" s="500"/>
      <c r="BV460" s="500"/>
    </row>
    <row r="461" ht="14.25" customHeight="1">
      <c r="A461" s="500"/>
      <c r="B461" s="500"/>
      <c r="C461" s="500"/>
      <c r="D461" s="500"/>
      <c r="E461" s="500"/>
      <c r="F461" s="500"/>
      <c r="G461" s="500"/>
      <c r="H461" s="500"/>
      <c r="I461" s="500"/>
      <c r="J461" s="500"/>
      <c r="K461" s="500"/>
      <c r="L461" s="500"/>
      <c r="M461" s="500"/>
      <c r="N461" s="500"/>
      <c r="O461" s="500"/>
      <c r="P461" s="500"/>
      <c r="Q461" s="500"/>
      <c r="R461" s="500"/>
      <c r="S461" s="500"/>
      <c r="T461" s="500"/>
      <c r="U461" s="500"/>
      <c r="V461" s="500"/>
      <c r="W461" s="500"/>
      <c r="X461" s="500"/>
      <c r="Y461" s="500"/>
      <c r="Z461" s="501"/>
      <c r="AA461" s="501"/>
      <c r="AB461" s="501"/>
      <c r="AC461" s="501"/>
      <c r="AD461" s="500"/>
      <c r="AE461" s="500"/>
      <c r="AF461" s="503"/>
      <c r="AG461" s="503"/>
      <c r="AH461" s="504"/>
      <c r="AI461" s="500"/>
      <c r="AJ461" s="500"/>
      <c r="AK461" s="500"/>
      <c r="AL461" s="500"/>
      <c r="AM461" s="500"/>
      <c r="AN461" s="500"/>
      <c r="AO461" s="500"/>
      <c r="AP461" s="500"/>
      <c r="AQ461" s="500"/>
      <c r="AR461" s="500"/>
      <c r="AS461" s="500"/>
      <c r="AT461" s="500"/>
      <c r="AU461" s="500"/>
      <c r="AV461" s="500"/>
      <c r="AW461" s="500"/>
      <c r="AX461" s="500"/>
      <c r="AY461" s="500"/>
      <c r="AZ461" s="500"/>
      <c r="BA461" s="500"/>
      <c r="BB461" s="500"/>
      <c r="BC461" s="500"/>
      <c r="BD461" s="500"/>
      <c r="BE461" s="500"/>
      <c r="BF461" s="500"/>
      <c r="BG461" s="500"/>
      <c r="BH461" s="500"/>
      <c r="BI461" s="500"/>
      <c r="BJ461" s="500"/>
      <c r="BK461" s="500"/>
      <c r="BL461" s="500"/>
      <c r="BM461" s="500"/>
      <c r="BN461" s="500"/>
      <c r="BO461" s="500"/>
      <c r="BP461" s="500"/>
      <c r="BQ461" s="500"/>
      <c r="BR461" s="500"/>
      <c r="BS461" s="500"/>
      <c r="BT461" s="500"/>
      <c r="BU461" s="500"/>
      <c r="BV461" s="500"/>
    </row>
    <row r="462" ht="14.25" customHeight="1">
      <c r="A462" s="500"/>
      <c r="B462" s="500"/>
      <c r="C462" s="500"/>
      <c r="D462" s="500"/>
      <c r="E462" s="500"/>
      <c r="F462" s="500"/>
      <c r="G462" s="500"/>
      <c r="H462" s="500"/>
      <c r="I462" s="500"/>
      <c r="J462" s="500"/>
      <c r="K462" s="500"/>
      <c r="L462" s="500"/>
      <c r="M462" s="500"/>
      <c r="N462" s="500"/>
      <c r="O462" s="500"/>
      <c r="P462" s="500"/>
      <c r="Q462" s="500"/>
      <c r="R462" s="500"/>
      <c r="S462" s="500"/>
      <c r="T462" s="500"/>
      <c r="U462" s="500"/>
      <c r="V462" s="500"/>
      <c r="W462" s="500"/>
      <c r="X462" s="500"/>
      <c r="Y462" s="500"/>
      <c r="Z462" s="501"/>
      <c r="AA462" s="501"/>
      <c r="AB462" s="501"/>
      <c r="AC462" s="501"/>
      <c r="AD462" s="500"/>
      <c r="AE462" s="500"/>
      <c r="AF462" s="503"/>
      <c r="AG462" s="503"/>
      <c r="AH462" s="504"/>
      <c r="AI462" s="500"/>
      <c r="AJ462" s="500"/>
      <c r="AK462" s="500"/>
      <c r="AL462" s="500"/>
      <c r="AM462" s="500"/>
      <c r="AN462" s="500"/>
      <c r="AO462" s="500"/>
      <c r="AP462" s="500"/>
      <c r="AQ462" s="500"/>
      <c r="AR462" s="500"/>
      <c r="AS462" s="500"/>
      <c r="AT462" s="500"/>
      <c r="AU462" s="500"/>
      <c r="AV462" s="500"/>
      <c r="AW462" s="500"/>
      <c r="AX462" s="500"/>
      <c r="AY462" s="500"/>
      <c r="AZ462" s="500"/>
      <c r="BA462" s="500"/>
      <c r="BB462" s="500"/>
      <c r="BC462" s="500"/>
      <c r="BD462" s="500"/>
      <c r="BE462" s="500"/>
      <c r="BF462" s="500"/>
      <c r="BG462" s="500"/>
      <c r="BH462" s="500"/>
      <c r="BI462" s="500"/>
      <c r="BJ462" s="500"/>
      <c r="BK462" s="500"/>
      <c r="BL462" s="500"/>
      <c r="BM462" s="500"/>
      <c r="BN462" s="500"/>
      <c r="BO462" s="500"/>
      <c r="BP462" s="500"/>
      <c r="BQ462" s="500"/>
      <c r="BR462" s="500"/>
      <c r="BS462" s="500"/>
      <c r="BT462" s="500"/>
      <c r="BU462" s="500"/>
      <c r="BV462" s="500"/>
    </row>
    <row r="463" ht="14.25" customHeight="1">
      <c r="A463" s="500"/>
      <c r="B463" s="500"/>
      <c r="C463" s="500"/>
      <c r="D463" s="500"/>
      <c r="E463" s="500"/>
      <c r="F463" s="500"/>
      <c r="G463" s="500"/>
      <c r="H463" s="500"/>
      <c r="I463" s="500"/>
      <c r="J463" s="500"/>
      <c r="K463" s="500"/>
      <c r="L463" s="500"/>
      <c r="M463" s="500"/>
      <c r="N463" s="500"/>
      <c r="O463" s="500"/>
      <c r="P463" s="500"/>
      <c r="Q463" s="500"/>
      <c r="R463" s="500"/>
      <c r="S463" s="500"/>
      <c r="T463" s="500"/>
      <c r="U463" s="500"/>
      <c r="V463" s="500"/>
      <c r="W463" s="500"/>
      <c r="X463" s="500"/>
      <c r="Y463" s="500"/>
      <c r="Z463" s="501"/>
      <c r="AA463" s="501"/>
      <c r="AB463" s="501"/>
      <c r="AC463" s="501"/>
      <c r="AD463" s="500"/>
      <c r="AE463" s="500"/>
      <c r="AF463" s="503"/>
      <c r="AG463" s="503"/>
      <c r="AH463" s="504"/>
      <c r="AI463" s="500"/>
      <c r="AJ463" s="500"/>
      <c r="AK463" s="500"/>
      <c r="AL463" s="500"/>
      <c r="AM463" s="500"/>
      <c r="AN463" s="500"/>
      <c r="AO463" s="500"/>
      <c r="AP463" s="500"/>
      <c r="AQ463" s="500"/>
      <c r="AR463" s="500"/>
      <c r="AS463" s="500"/>
      <c r="AT463" s="500"/>
      <c r="AU463" s="500"/>
      <c r="AV463" s="500"/>
      <c r="AW463" s="500"/>
      <c r="AX463" s="500"/>
      <c r="AY463" s="500"/>
      <c r="AZ463" s="500"/>
      <c r="BA463" s="500"/>
      <c r="BB463" s="500"/>
      <c r="BC463" s="500"/>
      <c r="BD463" s="500"/>
      <c r="BE463" s="500"/>
      <c r="BF463" s="500"/>
      <c r="BG463" s="500"/>
      <c r="BH463" s="500"/>
      <c r="BI463" s="500"/>
      <c r="BJ463" s="500"/>
      <c r="BK463" s="500"/>
      <c r="BL463" s="500"/>
      <c r="BM463" s="500"/>
      <c r="BN463" s="500"/>
      <c r="BO463" s="500"/>
      <c r="BP463" s="500"/>
      <c r="BQ463" s="500"/>
      <c r="BR463" s="500"/>
      <c r="BS463" s="500"/>
      <c r="BT463" s="500"/>
      <c r="BU463" s="500"/>
      <c r="BV463" s="500"/>
    </row>
    <row r="464" ht="14.25" customHeight="1">
      <c r="A464" s="500"/>
      <c r="B464" s="500"/>
      <c r="C464" s="500"/>
      <c r="D464" s="500"/>
      <c r="E464" s="500"/>
      <c r="F464" s="500"/>
      <c r="G464" s="500"/>
      <c r="H464" s="500"/>
      <c r="I464" s="500"/>
      <c r="J464" s="500"/>
      <c r="K464" s="500"/>
      <c r="L464" s="500"/>
      <c r="M464" s="500"/>
      <c r="N464" s="500"/>
      <c r="O464" s="500"/>
      <c r="P464" s="500"/>
      <c r="Q464" s="500"/>
      <c r="R464" s="500"/>
      <c r="S464" s="500"/>
      <c r="T464" s="500"/>
      <c r="U464" s="500"/>
      <c r="V464" s="500"/>
      <c r="W464" s="500"/>
      <c r="X464" s="500"/>
      <c r="Y464" s="500"/>
      <c r="Z464" s="501"/>
      <c r="AA464" s="501"/>
      <c r="AB464" s="501"/>
      <c r="AC464" s="501"/>
      <c r="AD464" s="500"/>
      <c r="AE464" s="500"/>
      <c r="AF464" s="503"/>
      <c r="AG464" s="503"/>
      <c r="AH464" s="504"/>
      <c r="AI464" s="500"/>
      <c r="AJ464" s="500"/>
      <c r="AK464" s="500"/>
      <c r="AL464" s="500"/>
      <c r="AM464" s="500"/>
      <c r="AN464" s="500"/>
      <c r="AO464" s="500"/>
      <c r="AP464" s="500"/>
      <c r="AQ464" s="500"/>
      <c r="AR464" s="500"/>
      <c r="AS464" s="500"/>
      <c r="AT464" s="500"/>
      <c r="AU464" s="500"/>
      <c r="AV464" s="500"/>
      <c r="AW464" s="500"/>
      <c r="AX464" s="500"/>
      <c r="AY464" s="500"/>
      <c r="AZ464" s="500"/>
      <c r="BA464" s="500"/>
      <c r="BB464" s="500"/>
      <c r="BC464" s="500"/>
      <c r="BD464" s="500"/>
      <c r="BE464" s="500"/>
      <c r="BF464" s="500"/>
      <c r="BG464" s="500"/>
      <c r="BH464" s="500"/>
      <c r="BI464" s="500"/>
      <c r="BJ464" s="500"/>
      <c r="BK464" s="500"/>
      <c r="BL464" s="500"/>
      <c r="BM464" s="500"/>
      <c r="BN464" s="500"/>
      <c r="BO464" s="500"/>
      <c r="BP464" s="500"/>
      <c r="BQ464" s="500"/>
      <c r="BR464" s="500"/>
      <c r="BS464" s="500"/>
      <c r="BT464" s="500"/>
      <c r="BU464" s="500"/>
      <c r="BV464" s="500"/>
    </row>
    <row r="465" ht="14.25" customHeight="1">
      <c r="A465" s="500"/>
      <c r="B465" s="500"/>
      <c r="C465" s="500"/>
      <c r="D465" s="500"/>
      <c r="E465" s="500"/>
      <c r="F465" s="500"/>
      <c r="G465" s="500"/>
      <c r="H465" s="500"/>
      <c r="I465" s="500"/>
      <c r="J465" s="500"/>
      <c r="K465" s="500"/>
      <c r="L465" s="500"/>
      <c r="M465" s="500"/>
      <c r="N465" s="500"/>
      <c r="O465" s="500"/>
      <c r="P465" s="500"/>
      <c r="Q465" s="500"/>
      <c r="R465" s="500"/>
      <c r="S465" s="500"/>
      <c r="T465" s="500"/>
      <c r="U465" s="500"/>
      <c r="V465" s="500"/>
      <c r="W465" s="500"/>
      <c r="X465" s="500"/>
      <c r="Y465" s="500"/>
      <c r="Z465" s="501"/>
      <c r="AA465" s="501"/>
      <c r="AB465" s="501"/>
      <c r="AC465" s="501"/>
      <c r="AD465" s="500"/>
      <c r="AE465" s="500"/>
      <c r="AF465" s="503"/>
      <c r="AG465" s="503"/>
      <c r="AH465" s="504"/>
      <c r="AI465" s="500"/>
      <c r="AJ465" s="500"/>
      <c r="AK465" s="500"/>
      <c r="AL465" s="500"/>
      <c r="AM465" s="500"/>
      <c r="AN465" s="500"/>
      <c r="AO465" s="500"/>
      <c r="AP465" s="500"/>
      <c r="AQ465" s="500"/>
      <c r="AR465" s="500"/>
      <c r="AS465" s="500"/>
      <c r="AT465" s="500"/>
      <c r="AU465" s="500"/>
      <c r="AV465" s="500"/>
      <c r="AW465" s="500"/>
      <c r="AX465" s="500"/>
      <c r="AY465" s="500"/>
      <c r="AZ465" s="500"/>
      <c r="BA465" s="500"/>
      <c r="BB465" s="500"/>
      <c r="BC465" s="500"/>
      <c r="BD465" s="500"/>
      <c r="BE465" s="500"/>
      <c r="BF465" s="500"/>
      <c r="BG465" s="500"/>
      <c r="BH465" s="500"/>
      <c r="BI465" s="500"/>
      <c r="BJ465" s="500"/>
      <c r="BK465" s="500"/>
      <c r="BL465" s="500"/>
      <c r="BM465" s="500"/>
      <c r="BN465" s="500"/>
      <c r="BO465" s="500"/>
      <c r="BP465" s="500"/>
      <c r="BQ465" s="500"/>
      <c r="BR465" s="500"/>
      <c r="BS465" s="500"/>
      <c r="BT465" s="500"/>
      <c r="BU465" s="500"/>
      <c r="BV465" s="500"/>
    </row>
    <row r="466" ht="14.25" customHeight="1">
      <c r="A466" s="500"/>
      <c r="B466" s="500"/>
      <c r="C466" s="500"/>
      <c r="D466" s="500"/>
      <c r="E466" s="500"/>
      <c r="F466" s="500"/>
      <c r="G466" s="500"/>
      <c r="H466" s="500"/>
      <c r="I466" s="500"/>
      <c r="J466" s="500"/>
      <c r="K466" s="500"/>
      <c r="L466" s="500"/>
      <c r="M466" s="500"/>
      <c r="N466" s="500"/>
      <c r="O466" s="500"/>
      <c r="P466" s="500"/>
      <c r="Q466" s="500"/>
      <c r="R466" s="500"/>
      <c r="S466" s="500"/>
      <c r="T466" s="500"/>
      <c r="U466" s="500"/>
      <c r="V466" s="500"/>
      <c r="W466" s="500"/>
      <c r="X466" s="500"/>
      <c r="Y466" s="500"/>
      <c r="Z466" s="501"/>
      <c r="AA466" s="501"/>
      <c r="AB466" s="501"/>
      <c r="AC466" s="501"/>
      <c r="AD466" s="500"/>
      <c r="AE466" s="500"/>
      <c r="AF466" s="503"/>
      <c r="AG466" s="503"/>
      <c r="AH466" s="504"/>
      <c r="AI466" s="500"/>
      <c r="AJ466" s="500"/>
      <c r="AK466" s="500"/>
      <c r="AL466" s="500"/>
      <c r="AM466" s="500"/>
      <c r="AN466" s="500"/>
      <c r="AO466" s="500"/>
      <c r="AP466" s="500"/>
      <c r="AQ466" s="500"/>
      <c r="AR466" s="500"/>
      <c r="AS466" s="500"/>
      <c r="AT466" s="500"/>
      <c r="AU466" s="500"/>
      <c r="AV466" s="500"/>
      <c r="AW466" s="500"/>
      <c r="AX466" s="500"/>
      <c r="AY466" s="500"/>
      <c r="AZ466" s="500"/>
      <c r="BA466" s="500"/>
      <c r="BB466" s="500"/>
      <c r="BC466" s="500"/>
      <c r="BD466" s="500"/>
      <c r="BE466" s="500"/>
      <c r="BF466" s="500"/>
      <c r="BG466" s="500"/>
      <c r="BH466" s="500"/>
      <c r="BI466" s="500"/>
      <c r="BJ466" s="500"/>
      <c r="BK466" s="500"/>
      <c r="BL466" s="500"/>
      <c r="BM466" s="500"/>
      <c r="BN466" s="500"/>
      <c r="BO466" s="500"/>
      <c r="BP466" s="500"/>
      <c r="BQ466" s="500"/>
      <c r="BR466" s="500"/>
      <c r="BS466" s="500"/>
      <c r="BT466" s="500"/>
      <c r="BU466" s="500"/>
      <c r="BV466" s="500"/>
    </row>
    <row r="467" ht="14.25" customHeight="1">
      <c r="A467" s="500"/>
      <c r="B467" s="500"/>
      <c r="C467" s="500"/>
      <c r="D467" s="500"/>
      <c r="E467" s="500"/>
      <c r="F467" s="500"/>
      <c r="G467" s="500"/>
      <c r="H467" s="500"/>
      <c r="I467" s="500"/>
      <c r="J467" s="500"/>
      <c r="K467" s="500"/>
      <c r="L467" s="500"/>
      <c r="M467" s="500"/>
      <c r="N467" s="500"/>
      <c r="O467" s="500"/>
      <c r="P467" s="500"/>
      <c r="Q467" s="500"/>
      <c r="R467" s="500"/>
      <c r="S467" s="500"/>
      <c r="T467" s="500"/>
      <c r="U467" s="500"/>
      <c r="V467" s="500"/>
      <c r="W467" s="500"/>
      <c r="X467" s="500"/>
      <c r="Y467" s="500"/>
      <c r="Z467" s="501"/>
      <c r="AA467" s="501"/>
      <c r="AB467" s="501"/>
      <c r="AC467" s="501"/>
      <c r="AD467" s="500"/>
      <c r="AE467" s="500"/>
      <c r="AF467" s="503"/>
      <c r="AG467" s="503"/>
      <c r="AH467" s="504"/>
      <c r="AI467" s="500"/>
      <c r="AJ467" s="500"/>
      <c r="AK467" s="500"/>
      <c r="AL467" s="500"/>
      <c r="AM467" s="500"/>
      <c r="AN467" s="500"/>
      <c r="AO467" s="500"/>
      <c r="AP467" s="500"/>
      <c r="AQ467" s="500"/>
      <c r="AR467" s="500"/>
      <c r="AS467" s="500"/>
      <c r="AT467" s="500"/>
      <c r="AU467" s="500"/>
      <c r="AV467" s="500"/>
      <c r="AW467" s="500"/>
      <c r="AX467" s="500"/>
      <c r="AY467" s="500"/>
      <c r="AZ467" s="500"/>
      <c r="BA467" s="500"/>
      <c r="BB467" s="500"/>
      <c r="BC467" s="500"/>
      <c r="BD467" s="500"/>
      <c r="BE467" s="500"/>
      <c r="BF467" s="500"/>
      <c r="BG467" s="500"/>
      <c r="BH467" s="500"/>
      <c r="BI467" s="500"/>
      <c r="BJ467" s="500"/>
      <c r="BK467" s="500"/>
      <c r="BL467" s="500"/>
      <c r="BM467" s="500"/>
      <c r="BN467" s="500"/>
      <c r="BO467" s="500"/>
      <c r="BP467" s="500"/>
      <c r="BQ467" s="500"/>
      <c r="BR467" s="500"/>
      <c r="BS467" s="500"/>
      <c r="BT467" s="500"/>
      <c r="BU467" s="500"/>
      <c r="BV467" s="500"/>
    </row>
    <row r="468" ht="14.25" customHeight="1">
      <c r="A468" s="500"/>
      <c r="B468" s="500"/>
      <c r="C468" s="500"/>
      <c r="D468" s="500"/>
      <c r="E468" s="500"/>
      <c r="F468" s="500"/>
      <c r="G468" s="500"/>
      <c r="H468" s="500"/>
      <c r="I468" s="500"/>
      <c r="J468" s="500"/>
      <c r="K468" s="500"/>
      <c r="L468" s="500"/>
      <c r="M468" s="500"/>
      <c r="N468" s="500"/>
      <c r="O468" s="500"/>
      <c r="P468" s="500"/>
      <c r="Q468" s="500"/>
      <c r="R468" s="500"/>
      <c r="S468" s="500"/>
      <c r="T468" s="500"/>
      <c r="U468" s="500"/>
      <c r="V468" s="500"/>
      <c r="W468" s="500"/>
      <c r="X468" s="500"/>
      <c r="Y468" s="500"/>
      <c r="Z468" s="501"/>
      <c r="AA468" s="501"/>
      <c r="AB468" s="501"/>
      <c r="AC468" s="501"/>
      <c r="AD468" s="500"/>
      <c r="AE468" s="500"/>
      <c r="AF468" s="503"/>
      <c r="AG468" s="503"/>
      <c r="AH468" s="504"/>
      <c r="AI468" s="500"/>
      <c r="AJ468" s="500"/>
      <c r="AK468" s="500"/>
      <c r="AL468" s="500"/>
      <c r="AM468" s="500"/>
      <c r="AN468" s="500"/>
      <c r="AO468" s="500"/>
      <c r="AP468" s="500"/>
      <c r="AQ468" s="500"/>
      <c r="AR468" s="500"/>
      <c r="AS468" s="500"/>
      <c r="AT468" s="500"/>
      <c r="AU468" s="500"/>
      <c r="AV468" s="500"/>
      <c r="AW468" s="500"/>
      <c r="AX468" s="500"/>
      <c r="AY468" s="500"/>
      <c r="AZ468" s="500"/>
      <c r="BA468" s="500"/>
      <c r="BB468" s="500"/>
      <c r="BC468" s="500"/>
      <c r="BD468" s="500"/>
      <c r="BE468" s="500"/>
      <c r="BF468" s="500"/>
      <c r="BG468" s="500"/>
      <c r="BH468" s="500"/>
      <c r="BI468" s="500"/>
      <c r="BJ468" s="500"/>
      <c r="BK468" s="500"/>
      <c r="BL468" s="500"/>
      <c r="BM468" s="500"/>
      <c r="BN468" s="500"/>
      <c r="BO468" s="500"/>
      <c r="BP468" s="500"/>
      <c r="BQ468" s="500"/>
      <c r="BR468" s="500"/>
      <c r="BS468" s="500"/>
      <c r="BT468" s="500"/>
      <c r="BU468" s="500"/>
      <c r="BV468" s="500"/>
    </row>
    <row r="469" ht="14.25" customHeight="1">
      <c r="A469" s="500"/>
      <c r="B469" s="500"/>
      <c r="C469" s="500"/>
      <c r="D469" s="500"/>
      <c r="E469" s="500"/>
      <c r="F469" s="500"/>
      <c r="G469" s="500"/>
      <c r="H469" s="500"/>
      <c r="I469" s="500"/>
      <c r="J469" s="500"/>
      <c r="K469" s="500"/>
      <c r="L469" s="500"/>
      <c r="M469" s="500"/>
      <c r="N469" s="500"/>
      <c r="O469" s="500"/>
      <c r="P469" s="500"/>
      <c r="Q469" s="500"/>
      <c r="R469" s="500"/>
      <c r="S469" s="500"/>
      <c r="T469" s="500"/>
      <c r="U469" s="500"/>
      <c r="V469" s="500"/>
      <c r="W469" s="500"/>
      <c r="X469" s="500"/>
      <c r="Y469" s="500"/>
      <c r="Z469" s="501"/>
      <c r="AA469" s="501"/>
      <c r="AB469" s="501"/>
      <c r="AC469" s="501"/>
      <c r="AD469" s="500"/>
      <c r="AE469" s="500"/>
      <c r="AF469" s="503"/>
      <c r="AG469" s="503"/>
      <c r="AH469" s="504"/>
      <c r="AI469" s="500"/>
      <c r="AJ469" s="500"/>
      <c r="AK469" s="500"/>
      <c r="AL469" s="500"/>
      <c r="AM469" s="500"/>
      <c r="AN469" s="500"/>
      <c r="AO469" s="500"/>
      <c r="AP469" s="500"/>
      <c r="AQ469" s="500"/>
      <c r="AR469" s="500"/>
      <c r="AS469" s="500"/>
      <c r="AT469" s="500"/>
      <c r="AU469" s="500"/>
      <c r="AV469" s="500"/>
      <c r="AW469" s="500"/>
      <c r="AX469" s="500"/>
      <c r="AY469" s="500"/>
      <c r="AZ469" s="500"/>
      <c r="BA469" s="500"/>
      <c r="BB469" s="500"/>
      <c r="BC469" s="500"/>
      <c r="BD469" s="500"/>
      <c r="BE469" s="500"/>
      <c r="BF469" s="500"/>
      <c r="BG469" s="500"/>
      <c r="BH469" s="500"/>
      <c r="BI469" s="500"/>
      <c r="BJ469" s="500"/>
      <c r="BK469" s="500"/>
      <c r="BL469" s="500"/>
      <c r="BM469" s="500"/>
      <c r="BN469" s="500"/>
      <c r="BO469" s="500"/>
      <c r="BP469" s="500"/>
      <c r="BQ469" s="500"/>
      <c r="BR469" s="500"/>
      <c r="BS469" s="500"/>
      <c r="BT469" s="500"/>
      <c r="BU469" s="500"/>
      <c r="BV469" s="500"/>
    </row>
    <row r="470" ht="14.25" customHeight="1">
      <c r="A470" s="500"/>
      <c r="B470" s="500"/>
      <c r="C470" s="500"/>
      <c r="D470" s="500"/>
      <c r="E470" s="500"/>
      <c r="F470" s="500"/>
      <c r="G470" s="500"/>
      <c r="H470" s="500"/>
      <c r="I470" s="500"/>
      <c r="J470" s="500"/>
      <c r="K470" s="500"/>
      <c r="L470" s="500"/>
      <c r="M470" s="500"/>
      <c r="N470" s="500"/>
      <c r="O470" s="500"/>
      <c r="P470" s="500"/>
      <c r="Q470" s="500"/>
      <c r="R470" s="500"/>
      <c r="S470" s="500"/>
      <c r="T470" s="500"/>
      <c r="U470" s="500"/>
      <c r="V470" s="500"/>
      <c r="W470" s="500"/>
      <c r="X470" s="500"/>
      <c r="Y470" s="500"/>
      <c r="Z470" s="501"/>
      <c r="AA470" s="501"/>
      <c r="AB470" s="501"/>
      <c r="AC470" s="501"/>
      <c r="AD470" s="500"/>
      <c r="AE470" s="500"/>
      <c r="AF470" s="503"/>
      <c r="AG470" s="503"/>
      <c r="AH470" s="504"/>
      <c r="AI470" s="500"/>
      <c r="AJ470" s="500"/>
      <c r="AK470" s="500"/>
      <c r="AL470" s="500"/>
      <c r="AM470" s="500"/>
      <c r="AN470" s="500"/>
      <c r="AO470" s="500"/>
      <c r="AP470" s="500"/>
      <c r="AQ470" s="500"/>
      <c r="AR470" s="500"/>
      <c r="AS470" s="500"/>
      <c r="AT470" s="500"/>
      <c r="AU470" s="500"/>
      <c r="AV470" s="500"/>
      <c r="AW470" s="500"/>
      <c r="AX470" s="500"/>
      <c r="AY470" s="500"/>
      <c r="AZ470" s="500"/>
      <c r="BA470" s="500"/>
      <c r="BB470" s="500"/>
      <c r="BC470" s="500"/>
      <c r="BD470" s="500"/>
      <c r="BE470" s="500"/>
      <c r="BF470" s="500"/>
      <c r="BG470" s="500"/>
      <c r="BH470" s="500"/>
      <c r="BI470" s="500"/>
      <c r="BJ470" s="500"/>
      <c r="BK470" s="500"/>
      <c r="BL470" s="500"/>
      <c r="BM470" s="500"/>
      <c r="BN470" s="500"/>
      <c r="BO470" s="500"/>
      <c r="BP470" s="500"/>
      <c r="BQ470" s="500"/>
      <c r="BR470" s="500"/>
      <c r="BS470" s="500"/>
      <c r="BT470" s="500"/>
      <c r="BU470" s="500"/>
      <c r="BV470" s="500"/>
    </row>
    <row r="471" ht="14.25" customHeight="1">
      <c r="A471" s="500"/>
      <c r="B471" s="500"/>
      <c r="C471" s="500"/>
      <c r="D471" s="500"/>
      <c r="E471" s="500"/>
      <c r="F471" s="500"/>
      <c r="G471" s="500"/>
      <c r="H471" s="500"/>
      <c r="I471" s="500"/>
      <c r="J471" s="500"/>
      <c r="K471" s="500"/>
      <c r="L471" s="500"/>
      <c r="M471" s="500"/>
      <c r="N471" s="500"/>
      <c r="O471" s="500"/>
      <c r="P471" s="500"/>
      <c r="Q471" s="500"/>
      <c r="R471" s="500"/>
      <c r="S471" s="500"/>
      <c r="T471" s="500"/>
      <c r="U471" s="500"/>
      <c r="V471" s="500"/>
      <c r="W471" s="500"/>
      <c r="X471" s="500"/>
      <c r="Y471" s="500"/>
      <c r="Z471" s="501"/>
      <c r="AA471" s="501"/>
      <c r="AB471" s="501"/>
      <c r="AC471" s="501"/>
      <c r="AD471" s="500"/>
      <c r="AE471" s="500"/>
      <c r="AF471" s="503"/>
      <c r="AG471" s="503"/>
      <c r="AH471" s="504"/>
      <c r="AI471" s="500"/>
      <c r="AJ471" s="500"/>
      <c r="AK471" s="500"/>
      <c r="AL471" s="500"/>
      <c r="AM471" s="500"/>
      <c r="AN471" s="500"/>
      <c r="AO471" s="500"/>
      <c r="AP471" s="500"/>
      <c r="AQ471" s="500"/>
      <c r="AR471" s="500"/>
      <c r="AS471" s="500"/>
      <c r="AT471" s="500"/>
      <c r="AU471" s="500"/>
      <c r="AV471" s="500"/>
      <c r="AW471" s="500"/>
      <c r="AX471" s="500"/>
      <c r="AY471" s="500"/>
      <c r="AZ471" s="500"/>
      <c r="BA471" s="500"/>
      <c r="BB471" s="500"/>
      <c r="BC471" s="500"/>
      <c r="BD471" s="500"/>
      <c r="BE471" s="500"/>
      <c r="BF471" s="500"/>
      <c r="BG471" s="500"/>
      <c r="BH471" s="500"/>
      <c r="BI471" s="500"/>
      <c r="BJ471" s="500"/>
      <c r="BK471" s="500"/>
      <c r="BL471" s="500"/>
      <c r="BM471" s="500"/>
      <c r="BN471" s="500"/>
      <c r="BO471" s="500"/>
      <c r="BP471" s="500"/>
      <c r="BQ471" s="500"/>
      <c r="BR471" s="500"/>
      <c r="BS471" s="500"/>
      <c r="BT471" s="500"/>
      <c r="BU471" s="500"/>
      <c r="BV471" s="500"/>
    </row>
    <row r="472" ht="14.25" customHeight="1">
      <c r="A472" s="500"/>
      <c r="B472" s="500"/>
      <c r="C472" s="500"/>
      <c r="D472" s="500"/>
      <c r="E472" s="500"/>
      <c r="F472" s="500"/>
      <c r="G472" s="500"/>
      <c r="H472" s="500"/>
      <c r="I472" s="500"/>
      <c r="J472" s="500"/>
      <c r="K472" s="500"/>
      <c r="L472" s="500"/>
      <c r="M472" s="500"/>
      <c r="N472" s="500"/>
      <c r="O472" s="500"/>
      <c r="P472" s="500"/>
      <c r="Q472" s="500"/>
      <c r="R472" s="500"/>
      <c r="S472" s="500"/>
      <c r="T472" s="500"/>
      <c r="U472" s="500"/>
      <c r="V472" s="500"/>
      <c r="W472" s="500"/>
      <c r="X472" s="500"/>
      <c r="Y472" s="500"/>
      <c r="Z472" s="501"/>
      <c r="AA472" s="501"/>
      <c r="AB472" s="501"/>
      <c r="AC472" s="501"/>
      <c r="AD472" s="500"/>
      <c r="AE472" s="500"/>
      <c r="AF472" s="503"/>
      <c r="AG472" s="503"/>
      <c r="AH472" s="504"/>
      <c r="AI472" s="500"/>
      <c r="AJ472" s="500"/>
      <c r="AK472" s="500"/>
      <c r="AL472" s="500"/>
      <c r="AM472" s="500"/>
      <c r="AN472" s="500"/>
      <c r="AO472" s="500"/>
      <c r="AP472" s="500"/>
      <c r="AQ472" s="500"/>
      <c r="AR472" s="500"/>
      <c r="AS472" s="500"/>
      <c r="AT472" s="500"/>
      <c r="AU472" s="500"/>
      <c r="AV472" s="500"/>
      <c r="AW472" s="500"/>
      <c r="AX472" s="500"/>
      <c r="AY472" s="500"/>
      <c r="AZ472" s="500"/>
      <c r="BA472" s="500"/>
      <c r="BB472" s="500"/>
      <c r="BC472" s="500"/>
      <c r="BD472" s="500"/>
      <c r="BE472" s="500"/>
      <c r="BF472" s="500"/>
      <c r="BG472" s="500"/>
      <c r="BH472" s="500"/>
      <c r="BI472" s="500"/>
      <c r="BJ472" s="500"/>
      <c r="BK472" s="500"/>
      <c r="BL472" s="500"/>
      <c r="BM472" s="500"/>
      <c r="BN472" s="500"/>
      <c r="BO472" s="500"/>
      <c r="BP472" s="500"/>
      <c r="BQ472" s="500"/>
      <c r="BR472" s="500"/>
      <c r="BS472" s="500"/>
      <c r="BT472" s="500"/>
      <c r="BU472" s="500"/>
      <c r="BV472" s="500"/>
    </row>
    <row r="473" ht="14.25" customHeight="1">
      <c r="A473" s="500"/>
      <c r="B473" s="500"/>
      <c r="C473" s="500"/>
      <c r="D473" s="500"/>
      <c r="E473" s="500"/>
      <c r="F473" s="500"/>
      <c r="G473" s="500"/>
      <c r="H473" s="500"/>
      <c r="I473" s="500"/>
      <c r="J473" s="500"/>
      <c r="K473" s="500"/>
      <c r="L473" s="500"/>
      <c r="M473" s="500"/>
      <c r="N473" s="500"/>
      <c r="O473" s="500"/>
      <c r="P473" s="500"/>
      <c r="Q473" s="500"/>
      <c r="R473" s="500"/>
      <c r="S473" s="500"/>
      <c r="T473" s="500"/>
      <c r="U473" s="500"/>
      <c r="V473" s="500"/>
      <c r="W473" s="500"/>
      <c r="X473" s="500"/>
      <c r="Y473" s="500"/>
      <c r="Z473" s="501"/>
      <c r="AA473" s="501"/>
      <c r="AB473" s="501"/>
      <c r="AC473" s="501"/>
      <c r="AD473" s="500"/>
      <c r="AE473" s="500"/>
      <c r="AF473" s="503"/>
      <c r="AG473" s="503"/>
      <c r="AH473" s="504"/>
      <c r="AI473" s="500"/>
      <c r="AJ473" s="500"/>
      <c r="AK473" s="500"/>
      <c r="AL473" s="500"/>
      <c r="AM473" s="500"/>
      <c r="AN473" s="500"/>
      <c r="AO473" s="500"/>
      <c r="AP473" s="500"/>
      <c r="AQ473" s="500"/>
      <c r="AR473" s="500"/>
      <c r="AS473" s="500"/>
      <c r="AT473" s="500"/>
      <c r="AU473" s="500"/>
      <c r="AV473" s="500"/>
      <c r="AW473" s="500"/>
      <c r="AX473" s="500"/>
      <c r="AY473" s="500"/>
      <c r="AZ473" s="500"/>
      <c r="BA473" s="500"/>
      <c r="BB473" s="500"/>
      <c r="BC473" s="500"/>
      <c r="BD473" s="500"/>
      <c r="BE473" s="500"/>
      <c r="BF473" s="500"/>
      <c r="BG473" s="500"/>
      <c r="BH473" s="500"/>
      <c r="BI473" s="500"/>
      <c r="BJ473" s="500"/>
      <c r="BK473" s="500"/>
      <c r="BL473" s="500"/>
      <c r="BM473" s="500"/>
      <c r="BN473" s="500"/>
      <c r="BO473" s="500"/>
      <c r="BP473" s="500"/>
      <c r="BQ473" s="500"/>
      <c r="BR473" s="500"/>
      <c r="BS473" s="500"/>
      <c r="BT473" s="500"/>
      <c r="BU473" s="500"/>
      <c r="BV473" s="500"/>
    </row>
    <row r="474" ht="14.25" customHeight="1">
      <c r="A474" s="500"/>
      <c r="B474" s="500"/>
      <c r="C474" s="500"/>
      <c r="D474" s="500"/>
      <c r="E474" s="500"/>
      <c r="F474" s="500"/>
      <c r="G474" s="500"/>
      <c r="H474" s="500"/>
      <c r="I474" s="500"/>
      <c r="J474" s="500"/>
      <c r="K474" s="500"/>
      <c r="L474" s="500"/>
      <c r="M474" s="500"/>
      <c r="N474" s="500"/>
      <c r="O474" s="500"/>
      <c r="P474" s="500"/>
      <c r="Q474" s="500"/>
      <c r="R474" s="500"/>
      <c r="S474" s="500"/>
      <c r="T474" s="500"/>
      <c r="U474" s="500"/>
      <c r="V474" s="500"/>
      <c r="W474" s="500"/>
      <c r="X474" s="500"/>
      <c r="Y474" s="500"/>
      <c r="Z474" s="501"/>
      <c r="AA474" s="501"/>
      <c r="AB474" s="501"/>
      <c r="AC474" s="501"/>
      <c r="AD474" s="500"/>
      <c r="AE474" s="500"/>
      <c r="AF474" s="503"/>
      <c r="AG474" s="503"/>
      <c r="AH474" s="504"/>
      <c r="AI474" s="500"/>
      <c r="AJ474" s="500"/>
      <c r="AK474" s="500"/>
      <c r="AL474" s="500"/>
      <c r="AM474" s="500"/>
      <c r="AN474" s="500"/>
      <c r="AO474" s="500"/>
      <c r="AP474" s="500"/>
      <c r="AQ474" s="500"/>
      <c r="AR474" s="500"/>
      <c r="AS474" s="500"/>
      <c r="AT474" s="500"/>
      <c r="AU474" s="500"/>
      <c r="AV474" s="500"/>
      <c r="AW474" s="500"/>
      <c r="AX474" s="500"/>
      <c r="AY474" s="500"/>
      <c r="AZ474" s="500"/>
      <c r="BA474" s="500"/>
      <c r="BB474" s="500"/>
      <c r="BC474" s="500"/>
      <c r="BD474" s="500"/>
      <c r="BE474" s="500"/>
      <c r="BF474" s="500"/>
      <c r="BG474" s="500"/>
      <c r="BH474" s="500"/>
      <c r="BI474" s="500"/>
      <c r="BJ474" s="500"/>
      <c r="BK474" s="500"/>
      <c r="BL474" s="500"/>
      <c r="BM474" s="500"/>
      <c r="BN474" s="500"/>
      <c r="BO474" s="500"/>
      <c r="BP474" s="500"/>
      <c r="BQ474" s="500"/>
      <c r="BR474" s="500"/>
      <c r="BS474" s="500"/>
      <c r="BT474" s="500"/>
      <c r="BU474" s="500"/>
      <c r="BV474" s="500"/>
    </row>
    <row r="475" ht="14.25" customHeight="1">
      <c r="A475" s="500"/>
      <c r="B475" s="500"/>
      <c r="C475" s="500"/>
      <c r="D475" s="500"/>
      <c r="E475" s="500"/>
      <c r="F475" s="500"/>
      <c r="G475" s="500"/>
      <c r="H475" s="500"/>
      <c r="I475" s="500"/>
      <c r="J475" s="500"/>
      <c r="K475" s="500"/>
      <c r="L475" s="500"/>
      <c r="M475" s="500"/>
      <c r="N475" s="500"/>
      <c r="O475" s="500"/>
      <c r="P475" s="500"/>
      <c r="Q475" s="500"/>
      <c r="R475" s="500"/>
      <c r="S475" s="500"/>
      <c r="T475" s="500"/>
      <c r="U475" s="500"/>
      <c r="V475" s="500"/>
      <c r="W475" s="500"/>
      <c r="X475" s="500"/>
      <c r="Y475" s="500"/>
      <c r="Z475" s="501"/>
      <c r="AA475" s="501"/>
      <c r="AB475" s="501"/>
      <c r="AC475" s="501"/>
      <c r="AD475" s="500"/>
      <c r="AE475" s="500"/>
      <c r="AF475" s="503"/>
      <c r="AG475" s="503"/>
      <c r="AH475" s="504"/>
      <c r="AI475" s="500"/>
      <c r="AJ475" s="500"/>
      <c r="AK475" s="500"/>
      <c r="AL475" s="500"/>
      <c r="AM475" s="500"/>
      <c r="AN475" s="500"/>
      <c r="AO475" s="500"/>
      <c r="AP475" s="500"/>
      <c r="AQ475" s="500"/>
      <c r="AR475" s="500"/>
      <c r="AS475" s="500"/>
      <c r="AT475" s="500"/>
      <c r="AU475" s="500"/>
      <c r="AV475" s="500"/>
      <c r="AW475" s="500"/>
      <c r="AX475" s="500"/>
      <c r="AY475" s="500"/>
      <c r="AZ475" s="500"/>
      <c r="BA475" s="500"/>
      <c r="BB475" s="500"/>
      <c r="BC475" s="500"/>
      <c r="BD475" s="500"/>
      <c r="BE475" s="500"/>
      <c r="BF475" s="500"/>
      <c r="BG475" s="500"/>
      <c r="BH475" s="500"/>
      <c r="BI475" s="500"/>
      <c r="BJ475" s="500"/>
      <c r="BK475" s="500"/>
      <c r="BL475" s="500"/>
      <c r="BM475" s="500"/>
      <c r="BN475" s="500"/>
      <c r="BO475" s="500"/>
      <c r="BP475" s="500"/>
      <c r="BQ475" s="500"/>
      <c r="BR475" s="500"/>
      <c r="BS475" s="500"/>
      <c r="BT475" s="500"/>
      <c r="BU475" s="500"/>
      <c r="BV475" s="500"/>
    </row>
    <row r="476" ht="14.25" customHeight="1">
      <c r="A476" s="500"/>
      <c r="B476" s="500"/>
      <c r="C476" s="500"/>
      <c r="D476" s="500"/>
      <c r="E476" s="500"/>
      <c r="F476" s="500"/>
      <c r="G476" s="500"/>
      <c r="H476" s="500"/>
      <c r="I476" s="500"/>
      <c r="J476" s="500"/>
      <c r="K476" s="500"/>
      <c r="L476" s="500"/>
      <c r="M476" s="500"/>
      <c r="N476" s="500"/>
      <c r="O476" s="500"/>
      <c r="P476" s="500"/>
      <c r="Q476" s="500"/>
      <c r="R476" s="500"/>
      <c r="S476" s="500"/>
      <c r="T476" s="500"/>
      <c r="U476" s="500"/>
      <c r="V476" s="500"/>
      <c r="W476" s="500"/>
      <c r="X476" s="500"/>
      <c r="Y476" s="500"/>
      <c r="Z476" s="501"/>
      <c r="AA476" s="501"/>
      <c r="AB476" s="501"/>
      <c r="AC476" s="501"/>
      <c r="AD476" s="500"/>
      <c r="AE476" s="500"/>
      <c r="AF476" s="503"/>
      <c r="AG476" s="503"/>
      <c r="AH476" s="504"/>
      <c r="AI476" s="500"/>
      <c r="AJ476" s="500"/>
      <c r="AK476" s="500"/>
      <c r="AL476" s="500"/>
      <c r="AM476" s="500"/>
      <c r="AN476" s="500"/>
      <c r="AO476" s="500"/>
      <c r="AP476" s="500"/>
      <c r="AQ476" s="500"/>
      <c r="AR476" s="500"/>
      <c r="AS476" s="500"/>
      <c r="AT476" s="500"/>
      <c r="AU476" s="500"/>
      <c r="AV476" s="500"/>
      <c r="AW476" s="500"/>
      <c r="AX476" s="500"/>
      <c r="AY476" s="500"/>
      <c r="AZ476" s="500"/>
      <c r="BA476" s="500"/>
      <c r="BB476" s="500"/>
      <c r="BC476" s="500"/>
      <c r="BD476" s="500"/>
      <c r="BE476" s="500"/>
      <c r="BF476" s="500"/>
      <c r="BG476" s="500"/>
      <c r="BH476" s="500"/>
      <c r="BI476" s="500"/>
      <c r="BJ476" s="500"/>
      <c r="BK476" s="500"/>
      <c r="BL476" s="500"/>
      <c r="BM476" s="500"/>
      <c r="BN476" s="500"/>
      <c r="BO476" s="500"/>
      <c r="BP476" s="500"/>
      <c r="BQ476" s="500"/>
      <c r="BR476" s="500"/>
      <c r="BS476" s="500"/>
      <c r="BT476" s="500"/>
      <c r="BU476" s="500"/>
      <c r="BV476" s="500"/>
    </row>
    <row r="477" ht="14.25" customHeight="1">
      <c r="A477" s="500"/>
      <c r="B477" s="500"/>
      <c r="C477" s="500"/>
      <c r="D477" s="500"/>
      <c r="E477" s="500"/>
      <c r="F477" s="500"/>
      <c r="G477" s="500"/>
      <c r="H477" s="500"/>
      <c r="I477" s="500"/>
      <c r="J477" s="500"/>
      <c r="K477" s="500"/>
      <c r="L477" s="500"/>
      <c r="M477" s="500"/>
      <c r="N477" s="500"/>
      <c r="O477" s="500"/>
      <c r="P477" s="500"/>
      <c r="Q477" s="500"/>
      <c r="R477" s="500"/>
      <c r="S477" s="500"/>
      <c r="T477" s="500"/>
      <c r="U477" s="500"/>
      <c r="V477" s="500"/>
      <c r="W477" s="500"/>
      <c r="X477" s="500"/>
      <c r="Y477" s="500"/>
      <c r="Z477" s="501"/>
      <c r="AA477" s="501"/>
      <c r="AB477" s="501"/>
      <c r="AC477" s="501"/>
      <c r="AD477" s="500"/>
      <c r="AE477" s="500"/>
      <c r="AF477" s="503"/>
      <c r="AG477" s="503"/>
      <c r="AH477" s="504"/>
      <c r="AI477" s="500"/>
      <c r="AJ477" s="500"/>
      <c r="AK477" s="500"/>
      <c r="AL477" s="500"/>
      <c r="AM477" s="500"/>
      <c r="AN477" s="500"/>
      <c r="AO477" s="500"/>
      <c r="AP477" s="500"/>
      <c r="AQ477" s="500"/>
      <c r="AR477" s="500"/>
      <c r="AS477" s="500"/>
      <c r="AT477" s="500"/>
      <c r="AU477" s="500"/>
      <c r="AV477" s="500"/>
      <c r="AW477" s="500"/>
      <c r="AX477" s="500"/>
      <c r="AY477" s="500"/>
      <c r="AZ477" s="500"/>
      <c r="BA477" s="500"/>
      <c r="BB477" s="500"/>
      <c r="BC477" s="500"/>
      <c r="BD477" s="500"/>
      <c r="BE477" s="500"/>
      <c r="BF477" s="500"/>
      <c r="BG477" s="500"/>
      <c r="BH477" s="500"/>
      <c r="BI477" s="500"/>
      <c r="BJ477" s="500"/>
      <c r="BK477" s="500"/>
      <c r="BL477" s="500"/>
      <c r="BM477" s="500"/>
      <c r="BN477" s="500"/>
      <c r="BO477" s="500"/>
      <c r="BP477" s="500"/>
      <c r="BQ477" s="500"/>
      <c r="BR477" s="500"/>
      <c r="BS477" s="500"/>
      <c r="BT477" s="500"/>
      <c r="BU477" s="500"/>
      <c r="BV477" s="500"/>
    </row>
    <row r="478" ht="14.25" customHeight="1">
      <c r="A478" s="500"/>
      <c r="B478" s="500"/>
      <c r="C478" s="500"/>
      <c r="D478" s="500"/>
      <c r="E478" s="500"/>
      <c r="F478" s="500"/>
      <c r="G478" s="500"/>
      <c r="H478" s="500"/>
      <c r="I478" s="500"/>
      <c r="J478" s="500"/>
      <c r="K478" s="500"/>
      <c r="L478" s="500"/>
      <c r="M478" s="500"/>
      <c r="N478" s="500"/>
      <c r="O478" s="500"/>
      <c r="P478" s="500"/>
      <c r="Q478" s="500"/>
      <c r="R478" s="500"/>
      <c r="S478" s="500"/>
      <c r="T478" s="500"/>
      <c r="U478" s="500"/>
      <c r="V478" s="500"/>
      <c r="W478" s="500"/>
      <c r="X478" s="500"/>
      <c r="Y478" s="500"/>
      <c r="Z478" s="501"/>
      <c r="AA478" s="501"/>
      <c r="AB478" s="501"/>
      <c r="AC478" s="501"/>
      <c r="AD478" s="500"/>
      <c r="AE478" s="500"/>
      <c r="AF478" s="503"/>
      <c r="AG478" s="503"/>
      <c r="AH478" s="504"/>
      <c r="AI478" s="500"/>
      <c r="AJ478" s="500"/>
      <c r="AK478" s="500"/>
      <c r="AL478" s="500"/>
      <c r="AM478" s="500"/>
      <c r="AN478" s="500"/>
      <c r="AO478" s="500"/>
      <c r="AP478" s="500"/>
      <c r="AQ478" s="500"/>
      <c r="AR478" s="500"/>
      <c r="AS478" s="500"/>
      <c r="AT478" s="500"/>
      <c r="AU478" s="500"/>
      <c r="AV478" s="500"/>
      <c r="AW478" s="500"/>
      <c r="AX478" s="500"/>
      <c r="AY478" s="500"/>
      <c r="AZ478" s="500"/>
      <c r="BA478" s="500"/>
      <c r="BB478" s="500"/>
      <c r="BC478" s="500"/>
      <c r="BD478" s="500"/>
      <c r="BE478" s="500"/>
      <c r="BF478" s="500"/>
      <c r="BG478" s="500"/>
      <c r="BH478" s="500"/>
      <c r="BI478" s="500"/>
      <c r="BJ478" s="500"/>
      <c r="BK478" s="500"/>
      <c r="BL478" s="500"/>
      <c r="BM478" s="500"/>
      <c r="BN478" s="500"/>
      <c r="BO478" s="500"/>
      <c r="BP478" s="500"/>
      <c r="BQ478" s="500"/>
      <c r="BR478" s="500"/>
      <c r="BS478" s="500"/>
      <c r="BT478" s="500"/>
      <c r="BU478" s="500"/>
      <c r="BV478" s="500"/>
    </row>
    <row r="479" ht="14.25" customHeight="1">
      <c r="A479" s="500"/>
      <c r="B479" s="500"/>
      <c r="C479" s="500"/>
      <c r="D479" s="500"/>
      <c r="E479" s="500"/>
      <c r="F479" s="500"/>
      <c r="G479" s="500"/>
      <c r="H479" s="500"/>
      <c r="I479" s="500"/>
      <c r="J479" s="500"/>
      <c r="K479" s="500"/>
      <c r="L479" s="500"/>
      <c r="M479" s="500"/>
      <c r="N479" s="500"/>
      <c r="O479" s="500"/>
      <c r="P479" s="500"/>
      <c r="Q479" s="500"/>
      <c r="R479" s="500"/>
      <c r="S479" s="500"/>
      <c r="T479" s="500"/>
      <c r="U479" s="500"/>
      <c r="V479" s="500"/>
      <c r="W479" s="500"/>
      <c r="X479" s="500"/>
      <c r="Y479" s="500"/>
      <c r="Z479" s="501"/>
      <c r="AA479" s="501"/>
      <c r="AB479" s="501"/>
      <c r="AC479" s="501"/>
      <c r="AD479" s="500"/>
      <c r="AE479" s="500"/>
      <c r="AF479" s="503"/>
      <c r="AG479" s="503"/>
      <c r="AH479" s="504"/>
      <c r="AI479" s="500"/>
      <c r="AJ479" s="500"/>
      <c r="AK479" s="500"/>
      <c r="AL479" s="500"/>
      <c r="AM479" s="500"/>
      <c r="AN479" s="500"/>
      <c r="AO479" s="500"/>
      <c r="AP479" s="500"/>
      <c r="AQ479" s="500"/>
      <c r="AR479" s="500"/>
      <c r="AS479" s="500"/>
      <c r="AT479" s="500"/>
      <c r="AU479" s="500"/>
      <c r="AV479" s="500"/>
      <c r="AW479" s="500"/>
      <c r="AX479" s="500"/>
      <c r="AY479" s="500"/>
      <c r="AZ479" s="500"/>
      <c r="BA479" s="500"/>
      <c r="BB479" s="500"/>
      <c r="BC479" s="500"/>
      <c r="BD479" s="500"/>
      <c r="BE479" s="500"/>
      <c r="BF479" s="500"/>
      <c r="BG479" s="500"/>
      <c r="BH479" s="500"/>
      <c r="BI479" s="500"/>
      <c r="BJ479" s="500"/>
      <c r="BK479" s="500"/>
      <c r="BL479" s="500"/>
      <c r="BM479" s="500"/>
      <c r="BN479" s="500"/>
      <c r="BO479" s="500"/>
      <c r="BP479" s="500"/>
      <c r="BQ479" s="500"/>
      <c r="BR479" s="500"/>
      <c r="BS479" s="500"/>
      <c r="BT479" s="500"/>
      <c r="BU479" s="500"/>
      <c r="BV479" s="500"/>
    </row>
    <row r="480" ht="14.25" customHeight="1">
      <c r="A480" s="500"/>
      <c r="B480" s="500"/>
      <c r="C480" s="500"/>
      <c r="D480" s="500"/>
      <c r="E480" s="500"/>
      <c r="F480" s="500"/>
      <c r="G480" s="500"/>
      <c r="H480" s="500"/>
      <c r="I480" s="500"/>
      <c r="J480" s="500"/>
      <c r="K480" s="500"/>
      <c r="L480" s="500"/>
      <c r="M480" s="500"/>
      <c r="N480" s="500"/>
      <c r="O480" s="500"/>
      <c r="P480" s="500"/>
      <c r="Q480" s="500"/>
      <c r="R480" s="500"/>
      <c r="S480" s="500"/>
      <c r="T480" s="500"/>
      <c r="U480" s="500"/>
      <c r="V480" s="500"/>
      <c r="W480" s="500"/>
      <c r="X480" s="500"/>
      <c r="Y480" s="500"/>
      <c r="Z480" s="501"/>
      <c r="AA480" s="501"/>
      <c r="AB480" s="501"/>
      <c r="AC480" s="501"/>
      <c r="AD480" s="500"/>
      <c r="AE480" s="500"/>
      <c r="AF480" s="503"/>
      <c r="AG480" s="503"/>
      <c r="AH480" s="504"/>
      <c r="AI480" s="500"/>
      <c r="AJ480" s="500"/>
      <c r="AK480" s="500"/>
      <c r="AL480" s="500"/>
      <c r="AM480" s="500"/>
      <c r="AN480" s="500"/>
      <c r="AO480" s="500"/>
      <c r="AP480" s="500"/>
      <c r="AQ480" s="500"/>
      <c r="AR480" s="500"/>
      <c r="AS480" s="500"/>
      <c r="AT480" s="500"/>
      <c r="AU480" s="500"/>
      <c r="AV480" s="500"/>
      <c r="AW480" s="500"/>
      <c r="AX480" s="500"/>
      <c r="AY480" s="500"/>
      <c r="AZ480" s="500"/>
      <c r="BA480" s="500"/>
      <c r="BB480" s="500"/>
      <c r="BC480" s="500"/>
      <c r="BD480" s="500"/>
      <c r="BE480" s="500"/>
      <c r="BF480" s="500"/>
      <c r="BG480" s="500"/>
      <c r="BH480" s="500"/>
      <c r="BI480" s="500"/>
      <c r="BJ480" s="500"/>
      <c r="BK480" s="500"/>
      <c r="BL480" s="500"/>
      <c r="BM480" s="500"/>
      <c r="BN480" s="500"/>
      <c r="BO480" s="500"/>
      <c r="BP480" s="500"/>
      <c r="BQ480" s="500"/>
      <c r="BR480" s="500"/>
      <c r="BS480" s="500"/>
      <c r="BT480" s="500"/>
      <c r="BU480" s="500"/>
      <c r="BV480" s="500"/>
    </row>
    <row r="481" ht="14.25" customHeight="1">
      <c r="A481" s="500"/>
      <c r="B481" s="500"/>
      <c r="C481" s="500"/>
      <c r="D481" s="500"/>
      <c r="E481" s="500"/>
      <c r="F481" s="500"/>
      <c r="G481" s="500"/>
      <c r="H481" s="500"/>
      <c r="I481" s="500"/>
      <c r="J481" s="500"/>
      <c r="K481" s="500"/>
      <c r="L481" s="500"/>
      <c r="M481" s="500"/>
      <c r="N481" s="500"/>
      <c r="O481" s="500"/>
      <c r="P481" s="500"/>
      <c r="Q481" s="500"/>
      <c r="R481" s="500"/>
      <c r="S481" s="500"/>
      <c r="T481" s="500"/>
      <c r="U481" s="500"/>
      <c r="V481" s="500"/>
      <c r="W481" s="500"/>
      <c r="X481" s="500"/>
      <c r="Y481" s="500"/>
      <c r="Z481" s="501"/>
      <c r="AA481" s="501"/>
      <c r="AB481" s="501"/>
      <c r="AC481" s="501"/>
      <c r="AD481" s="500"/>
      <c r="AE481" s="500"/>
      <c r="AF481" s="503"/>
      <c r="AG481" s="503"/>
      <c r="AH481" s="504"/>
      <c r="AI481" s="500"/>
      <c r="AJ481" s="500"/>
      <c r="AK481" s="500"/>
      <c r="AL481" s="500"/>
      <c r="AM481" s="500"/>
      <c r="AN481" s="500"/>
      <c r="AO481" s="500"/>
      <c r="AP481" s="500"/>
      <c r="AQ481" s="500"/>
      <c r="AR481" s="500"/>
      <c r="AS481" s="500"/>
      <c r="AT481" s="500"/>
      <c r="AU481" s="500"/>
      <c r="AV481" s="500"/>
      <c r="AW481" s="500"/>
      <c r="AX481" s="500"/>
      <c r="AY481" s="500"/>
      <c r="AZ481" s="500"/>
      <c r="BA481" s="500"/>
      <c r="BB481" s="500"/>
      <c r="BC481" s="500"/>
      <c r="BD481" s="500"/>
      <c r="BE481" s="500"/>
      <c r="BF481" s="500"/>
      <c r="BG481" s="500"/>
      <c r="BH481" s="500"/>
      <c r="BI481" s="500"/>
      <c r="BJ481" s="500"/>
      <c r="BK481" s="500"/>
      <c r="BL481" s="500"/>
      <c r="BM481" s="500"/>
      <c r="BN481" s="500"/>
      <c r="BO481" s="500"/>
      <c r="BP481" s="500"/>
      <c r="BQ481" s="500"/>
      <c r="BR481" s="500"/>
      <c r="BS481" s="500"/>
      <c r="BT481" s="500"/>
      <c r="BU481" s="500"/>
      <c r="BV481" s="500"/>
    </row>
    <row r="482" ht="14.25" customHeight="1">
      <c r="A482" s="500"/>
      <c r="B482" s="500"/>
      <c r="C482" s="500"/>
      <c r="D482" s="500"/>
      <c r="E482" s="500"/>
      <c r="F482" s="500"/>
      <c r="G482" s="500"/>
      <c r="H482" s="500"/>
      <c r="I482" s="500"/>
      <c r="J482" s="500"/>
      <c r="K482" s="500"/>
      <c r="L482" s="500"/>
      <c r="M482" s="500"/>
      <c r="N482" s="500"/>
      <c r="O482" s="500"/>
      <c r="P482" s="500"/>
      <c r="Q482" s="500"/>
      <c r="R482" s="500"/>
      <c r="S482" s="500"/>
      <c r="T482" s="500"/>
      <c r="U482" s="500"/>
      <c r="V482" s="500"/>
      <c r="W482" s="500"/>
      <c r="X482" s="500"/>
      <c r="Y482" s="500"/>
      <c r="Z482" s="501"/>
      <c r="AA482" s="501"/>
      <c r="AB482" s="501"/>
      <c r="AC482" s="501"/>
      <c r="AD482" s="500"/>
      <c r="AE482" s="500"/>
      <c r="AF482" s="503"/>
      <c r="AG482" s="503"/>
      <c r="AH482" s="504"/>
      <c r="AI482" s="500"/>
      <c r="AJ482" s="500"/>
      <c r="AK482" s="500"/>
      <c r="AL482" s="500"/>
      <c r="AM482" s="500"/>
      <c r="AN482" s="500"/>
      <c r="AO482" s="500"/>
      <c r="AP482" s="500"/>
      <c r="AQ482" s="500"/>
      <c r="AR482" s="500"/>
      <c r="AS482" s="500"/>
      <c r="AT482" s="500"/>
      <c r="AU482" s="500"/>
      <c r="AV482" s="500"/>
      <c r="AW482" s="500"/>
      <c r="AX482" s="500"/>
      <c r="AY482" s="500"/>
      <c r="AZ482" s="500"/>
      <c r="BA482" s="500"/>
      <c r="BB482" s="500"/>
      <c r="BC482" s="500"/>
      <c r="BD482" s="500"/>
      <c r="BE482" s="500"/>
      <c r="BF482" s="500"/>
      <c r="BG482" s="500"/>
      <c r="BH482" s="500"/>
      <c r="BI482" s="500"/>
      <c r="BJ482" s="500"/>
      <c r="BK482" s="500"/>
      <c r="BL482" s="500"/>
      <c r="BM482" s="500"/>
      <c r="BN482" s="500"/>
      <c r="BO482" s="500"/>
      <c r="BP482" s="500"/>
      <c r="BQ482" s="500"/>
      <c r="BR482" s="500"/>
      <c r="BS482" s="500"/>
      <c r="BT482" s="500"/>
      <c r="BU482" s="500"/>
      <c r="BV482" s="500"/>
    </row>
    <row r="483" ht="14.25" customHeight="1">
      <c r="A483" s="500"/>
      <c r="B483" s="500"/>
      <c r="C483" s="500"/>
      <c r="D483" s="500"/>
      <c r="E483" s="500"/>
      <c r="F483" s="500"/>
      <c r="G483" s="500"/>
      <c r="H483" s="500"/>
      <c r="I483" s="500"/>
      <c r="J483" s="500"/>
      <c r="K483" s="500"/>
      <c r="L483" s="500"/>
      <c r="M483" s="500"/>
      <c r="N483" s="500"/>
      <c r="O483" s="500"/>
      <c r="P483" s="500"/>
      <c r="Q483" s="500"/>
      <c r="R483" s="500"/>
      <c r="S483" s="500"/>
      <c r="T483" s="500"/>
      <c r="U483" s="500"/>
      <c r="V483" s="500"/>
      <c r="W483" s="500"/>
      <c r="X483" s="500"/>
      <c r="Y483" s="500"/>
      <c r="Z483" s="501"/>
      <c r="AA483" s="501"/>
      <c r="AB483" s="501"/>
      <c r="AC483" s="501"/>
      <c r="AD483" s="500"/>
      <c r="AE483" s="500"/>
      <c r="AF483" s="503"/>
      <c r="AG483" s="503"/>
      <c r="AH483" s="504"/>
      <c r="AI483" s="500"/>
      <c r="AJ483" s="500"/>
      <c r="AK483" s="500"/>
      <c r="AL483" s="500"/>
      <c r="AM483" s="500"/>
      <c r="AN483" s="500"/>
      <c r="AO483" s="500"/>
      <c r="AP483" s="500"/>
      <c r="AQ483" s="500"/>
      <c r="AR483" s="500"/>
      <c r="AS483" s="500"/>
      <c r="AT483" s="500"/>
      <c r="AU483" s="500"/>
      <c r="AV483" s="500"/>
      <c r="AW483" s="500"/>
      <c r="AX483" s="500"/>
      <c r="AY483" s="500"/>
      <c r="AZ483" s="500"/>
      <c r="BA483" s="500"/>
      <c r="BB483" s="500"/>
      <c r="BC483" s="500"/>
      <c r="BD483" s="500"/>
      <c r="BE483" s="500"/>
      <c r="BF483" s="500"/>
      <c r="BG483" s="500"/>
      <c r="BH483" s="500"/>
      <c r="BI483" s="500"/>
      <c r="BJ483" s="500"/>
      <c r="BK483" s="500"/>
      <c r="BL483" s="500"/>
      <c r="BM483" s="500"/>
      <c r="BN483" s="500"/>
      <c r="BO483" s="500"/>
      <c r="BP483" s="500"/>
      <c r="BQ483" s="500"/>
      <c r="BR483" s="500"/>
      <c r="BS483" s="500"/>
      <c r="BT483" s="500"/>
      <c r="BU483" s="500"/>
      <c r="BV483" s="500"/>
    </row>
    <row r="484" ht="14.25" customHeight="1">
      <c r="A484" s="500"/>
      <c r="B484" s="500"/>
      <c r="C484" s="500"/>
      <c r="D484" s="500"/>
      <c r="E484" s="500"/>
      <c r="F484" s="500"/>
      <c r="G484" s="500"/>
      <c r="H484" s="500"/>
      <c r="I484" s="500"/>
      <c r="J484" s="500"/>
      <c r="K484" s="500"/>
      <c r="L484" s="500"/>
      <c r="M484" s="500"/>
      <c r="N484" s="500"/>
      <c r="O484" s="500"/>
      <c r="P484" s="500"/>
      <c r="Q484" s="500"/>
      <c r="R484" s="500"/>
      <c r="S484" s="500"/>
      <c r="T484" s="500"/>
      <c r="U484" s="500"/>
      <c r="V484" s="500"/>
      <c r="W484" s="500"/>
      <c r="X484" s="500"/>
      <c r="Y484" s="500"/>
      <c r="Z484" s="501"/>
      <c r="AA484" s="501"/>
      <c r="AB484" s="501"/>
      <c r="AC484" s="501"/>
      <c r="AD484" s="500"/>
      <c r="AE484" s="500"/>
      <c r="AF484" s="503"/>
      <c r="AG484" s="503"/>
      <c r="AH484" s="504"/>
      <c r="AI484" s="500"/>
      <c r="AJ484" s="500"/>
      <c r="AK484" s="500"/>
      <c r="AL484" s="500"/>
      <c r="AM484" s="500"/>
      <c r="AN484" s="500"/>
      <c r="AO484" s="500"/>
      <c r="AP484" s="500"/>
      <c r="AQ484" s="500"/>
      <c r="AR484" s="500"/>
      <c r="AS484" s="500"/>
      <c r="AT484" s="500"/>
      <c r="AU484" s="500"/>
      <c r="AV484" s="500"/>
      <c r="AW484" s="500"/>
      <c r="AX484" s="500"/>
      <c r="AY484" s="500"/>
      <c r="AZ484" s="500"/>
      <c r="BA484" s="500"/>
      <c r="BB484" s="500"/>
      <c r="BC484" s="500"/>
      <c r="BD484" s="500"/>
      <c r="BE484" s="500"/>
      <c r="BF484" s="500"/>
      <c r="BG484" s="500"/>
      <c r="BH484" s="500"/>
      <c r="BI484" s="500"/>
      <c r="BJ484" s="500"/>
      <c r="BK484" s="500"/>
      <c r="BL484" s="500"/>
      <c r="BM484" s="500"/>
      <c r="BN484" s="500"/>
      <c r="BO484" s="500"/>
      <c r="BP484" s="500"/>
      <c r="BQ484" s="500"/>
      <c r="BR484" s="500"/>
      <c r="BS484" s="500"/>
      <c r="BT484" s="500"/>
      <c r="BU484" s="500"/>
      <c r="BV484" s="500"/>
    </row>
    <row r="485" ht="14.25" customHeight="1">
      <c r="A485" s="500"/>
      <c r="B485" s="500"/>
      <c r="C485" s="500"/>
      <c r="D485" s="500"/>
      <c r="E485" s="500"/>
      <c r="F485" s="500"/>
      <c r="G485" s="500"/>
      <c r="H485" s="500"/>
      <c r="I485" s="500"/>
      <c r="J485" s="500"/>
      <c r="K485" s="500"/>
      <c r="L485" s="500"/>
      <c r="M485" s="500"/>
      <c r="N485" s="500"/>
      <c r="O485" s="500"/>
      <c r="P485" s="500"/>
      <c r="Q485" s="500"/>
      <c r="R485" s="500"/>
      <c r="S485" s="500"/>
      <c r="T485" s="500"/>
      <c r="U485" s="500"/>
      <c r="V485" s="500"/>
      <c r="W485" s="500"/>
      <c r="X485" s="500"/>
      <c r="Y485" s="500"/>
      <c r="Z485" s="501"/>
      <c r="AA485" s="501"/>
      <c r="AB485" s="501"/>
      <c r="AC485" s="501"/>
      <c r="AD485" s="500"/>
      <c r="AE485" s="500"/>
      <c r="AF485" s="503"/>
      <c r="AG485" s="503"/>
      <c r="AH485" s="504"/>
      <c r="AI485" s="500"/>
      <c r="AJ485" s="500"/>
      <c r="AK485" s="500"/>
      <c r="AL485" s="500"/>
      <c r="AM485" s="500"/>
      <c r="AN485" s="500"/>
      <c r="AO485" s="500"/>
      <c r="AP485" s="500"/>
      <c r="AQ485" s="500"/>
      <c r="AR485" s="500"/>
      <c r="AS485" s="500"/>
      <c r="AT485" s="500"/>
      <c r="AU485" s="500"/>
      <c r="AV485" s="500"/>
      <c r="AW485" s="500"/>
      <c r="AX485" s="500"/>
      <c r="AY485" s="500"/>
      <c r="AZ485" s="500"/>
      <c r="BA485" s="500"/>
      <c r="BB485" s="500"/>
      <c r="BC485" s="500"/>
      <c r="BD485" s="500"/>
      <c r="BE485" s="500"/>
      <c r="BF485" s="500"/>
      <c r="BG485" s="500"/>
      <c r="BH485" s="500"/>
      <c r="BI485" s="500"/>
      <c r="BJ485" s="500"/>
      <c r="BK485" s="500"/>
      <c r="BL485" s="500"/>
      <c r="BM485" s="500"/>
      <c r="BN485" s="500"/>
      <c r="BO485" s="500"/>
      <c r="BP485" s="500"/>
      <c r="BQ485" s="500"/>
      <c r="BR485" s="500"/>
      <c r="BS485" s="500"/>
      <c r="BT485" s="500"/>
      <c r="BU485" s="500"/>
      <c r="BV485" s="500"/>
    </row>
    <row r="486" ht="14.25" customHeight="1">
      <c r="A486" s="500"/>
      <c r="B486" s="500"/>
      <c r="C486" s="500"/>
      <c r="D486" s="500"/>
      <c r="E486" s="500"/>
      <c r="F486" s="500"/>
      <c r="G486" s="500"/>
      <c r="H486" s="500"/>
      <c r="I486" s="500"/>
      <c r="J486" s="500"/>
      <c r="K486" s="500"/>
      <c r="L486" s="500"/>
      <c r="M486" s="500"/>
      <c r="N486" s="500"/>
      <c r="O486" s="500"/>
      <c r="P486" s="500"/>
      <c r="Q486" s="500"/>
      <c r="R486" s="500"/>
      <c r="S486" s="500"/>
      <c r="T486" s="500"/>
      <c r="U486" s="500"/>
      <c r="V486" s="500"/>
      <c r="W486" s="500"/>
      <c r="X486" s="500"/>
      <c r="Y486" s="500"/>
      <c r="Z486" s="501"/>
      <c r="AA486" s="501"/>
      <c r="AB486" s="501"/>
      <c r="AC486" s="501"/>
      <c r="AD486" s="500"/>
      <c r="AE486" s="500"/>
      <c r="AF486" s="503"/>
      <c r="AG486" s="503"/>
      <c r="AH486" s="504"/>
      <c r="AI486" s="500"/>
      <c r="AJ486" s="500"/>
      <c r="AK486" s="500"/>
      <c r="AL486" s="500"/>
      <c r="AM486" s="500"/>
      <c r="AN486" s="500"/>
      <c r="AO486" s="500"/>
      <c r="AP486" s="500"/>
      <c r="AQ486" s="500"/>
      <c r="AR486" s="500"/>
      <c r="AS486" s="500"/>
      <c r="AT486" s="500"/>
      <c r="AU486" s="500"/>
      <c r="AV486" s="500"/>
      <c r="AW486" s="500"/>
      <c r="AX486" s="500"/>
      <c r="AY486" s="500"/>
      <c r="AZ486" s="500"/>
      <c r="BA486" s="500"/>
      <c r="BB486" s="500"/>
      <c r="BC486" s="500"/>
      <c r="BD486" s="500"/>
      <c r="BE486" s="500"/>
      <c r="BF486" s="500"/>
      <c r="BG486" s="500"/>
      <c r="BH486" s="500"/>
      <c r="BI486" s="500"/>
      <c r="BJ486" s="500"/>
      <c r="BK486" s="500"/>
      <c r="BL486" s="500"/>
      <c r="BM486" s="500"/>
      <c r="BN486" s="500"/>
      <c r="BO486" s="500"/>
      <c r="BP486" s="500"/>
      <c r="BQ486" s="500"/>
      <c r="BR486" s="500"/>
      <c r="BS486" s="500"/>
      <c r="BT486" s="500"/>
      <c r="BU486" s="500"/>
      <c r="BV486" s="500"/>
    </row>
    <row r="487" ht="14.25" customHeight="1">
      <c r="A487" s="500"/>
      <c r="B487" s="500"/>
      <c r="C487" s="500"/>
      <c r="D487" s="500"/>
      <c r="E487" s="500"/>
      <c r="F487" s="500"/>
      <c r="G487" s="500"/>
      <c r="H487" s="500"/>
      <c r="I487" s="500"/>
      <c r="J487" s="500"/>
      <c r="K487" s="500"/>
      <c r="L487" s="500"/>
      <c r="M487" s="500"/>
      <c r="N487" s="500"/>
      <c r="O487" s="500"/>
      <c r="P487" s="500"/>
      <c r="Q487" s="500"/>
      <c r="R487" s="500"/>
      <c r="S487" s="500"/>
      <c r="T487" s="500"/>
      <c r="U487" s="500"/>
      <c r="V487" s="500"/>
      <c r="W487" s="500"/>
      <c r="X487" s="500"/>
      <c r="Y487" s="500"/>
      <c r="Z487" s="501"/>
      <c r="AA487" s="501"/>
      <c r="AB487" s="501"/>
      <c r="AC487" s="501"/>
      <c r="AD487" s="500"/>
      <c r="AE487" s="500"/>
      <c r="AF487" s="503"/>
      <c r="AG487" s="503"/>
      <c r="AH487" s="504"/>
      <c r="AI487" s="500"/>
      <c r="AJ487" s="500"/>
      <c r="AK487" s="500"/>
      <c r="AL487" s="500"/>
      <c r="AM487" s="500"/>
      <c r="AN487" s="500"/>
      <c r="AO487" s="500"/>
      <c r="AP487" s="500"/>
      <c r="AQ487" s="500"/>
      <c r="AR487" s="500"/>
      <c r="AS487" s="500"/>
      <c r="AT487" s="500"/>
      <c r="AU487" s="500"/>
      <c r="AV487" s="500"/>
      <c r="AW487" s="500"/>
      <c r="AX487" s="500"/>
      <c r="AY487" s="500"/>
      <c r="AZ487" s="500"/>
      <c r="BA487" s="500"/>
      <c r="BB487" s="500"/>
      <c r="BC487" s="500"/>
      <c r="BD487" s="500"/>
      <c r="BE487" s="500"/>
      <c r="BF487" s="500"/>
      <c r="BG487" s="500"/>
      <c r="BH487" s="500"/>
      <c r="BI487" s="500"/>
      <c r="BJ487" s="500"/>
      <c r="BK487" s="500"/>
      <c r="BL487" s="500"/>
      <c r="BM487" s="500"/>
      <c r="BN487" s="500"/>
      <c r="BO487" s="500"/>
      <c r="BP487" s="500"/>
      <c r="BQ487" s="500"/>
      <c r="BR487" s="500"/>
      <c r="BS487" s="500"/>
      <c r="BT487" s="500"/>
      <c r="BU487" s="500"/>
      <c r="BV487" s="500"/>
    </row>
    <row r="488" ht="14.25" customHeight="1">
      <c r="A488" s="500"/>
      <c r="B488" s="500"/>
      <c r="C488" s="500"/>
      <c r="D488" s="500"/>
      <c r="E488" s="500"/>
      <c r="F488" s="500"/>
      <c r="G488" s="500"/>
      <c r="H488" s="500"/>
      <c r="I488" s="500"/>
      <c r="J488" s="500"/>
      <c r="K488" s="500"/>
      <c r="L488" s="500"/>
      <c r="M488" s="500"/>
      <c r="N488" s="500"/>
      <c r="O488" s="500"/>
      <c r="P488" s="500"/>
      <c r="Q488" s="500"/>
      <c r="R488" s="500"/>
      <c r="S488" s="500"/>
      <c r="T488" s="500"/>
      <c r="U488" s="500"/>
      <c r="V488" s="500"/>
      <c r="W488" s="500"/>
      <c r="X488" s="500"/>
      <c r="Y488" s="500"/>
      <c r="Z488" s="501"/>
      <c r="AA488" s="501"/>
      <c r="AB488" s="501"/>
      <c r="AC488" s="501"/>
      <c r="AD488" s="500"/>
      <c r="AE488" s="500"/>
      <c r="AF488" s="503"/>
      <c r="AG488" s="503"/>
      <c r="AH488" s="504"/>
      <c r="AI488" s="500"/>
      <c r="AJ488" s="500"/>
      <c r="AK488" s="500"/>
      <c r="AL488" s="500"/>
      <c r="AM488" s="500"/>
      <c r="AN488" s="500"/>
      <c r="AO488" s="500"/>
      <c r="AP488" s="500"/>
      <c r="AQ488" s="500"/>
      <c r="AR488" s="500"/>
      <c r="AS488" s="500"/>
      <c r="AT488" s="500"/>
      <c r="AU488" s="500"/>
      <c r="AV488" s="500"/>
      <c r="AW488" s="500"/>
      <c r="AX488" s="500"/>
      <c r="AY488" s="500"/>
      <c r="AZ488" s="500"/>
      <c r="BA488" s="500"/>
      <c r="BB488" s="500"/>
      <c r="BC488" s="500"/>
      <c r="BD488" s="500"/>
      <c r="BE488" s="500"/>
      <c r="BF488" s="500"/>
      <c r="BG488" s="500"/>
      <c r="BH488" s="500"/>
      <c r="BI488" s="500"/>
      <c r="BJ488" s="500"/>
      <c r="BK488" s="500"/>
      <c r="BL488" s="500"/>
      <c r="BM488" s="500"/>
      <c r="BN488" s="500"/>
      <c r="BO488" s="500"/>
      <c r="BP488" s="500"/>
      <c r="BQ488" s="500"/>
      <c r="BR488" s="500"/>
      <c r="BS488" s="500"/>
      <c r="BT488" s="500"/>
      <c r="BU488" s="500"/>
      <c r="BV488" s="500"/>
    </row>
    <row r="489" ht="14.25" customHeight="1">
      <c r="A489" s="500"/>
      <c r="B489" s="500"/>
      <c r="C489" s="500"/>
      <c r="D489" s="500"/>
      <c r="E489" s="500"/>
      <c r="F489" s="500"/>
      <c r="G489" s="500"/>
      <c r="H489" s="500"/>
      <c r="I489" s="500"/>
      <c r="J489" s="500"/>
      <c r="K489" s="500"/>
      <c r="L489" s="500"/>
      <c r="M489" s="500"/>
      <c r="N489" s="500"/>
      <c r="O489" s="500"/>
      <c r="P489" s="500"/>
      <c r="Q489" s="500"/>
      <c r="R489" s="500"/>
      <c r="S489" s="500"/>
      <c r="T489" s="500"/>
      <c r="U489" s="500"/>
      <c r="V489" s="500"/>
      <c r="W489" s="500"/>
      <c r="X489" s="500"/>
      <c r="Y489" s="500"/>
      <c r="Z489" s="501"/>
      <c r="AA489" s="501"/>
      <c r="AB489" s="501"/>
      <c r="AC489" s="501"/>
      <c r="AD489" s="500"/>
      <c r="AE489" s="500"/>
      <c r="AF489" s="503"/>
      <c r="AG489" s="503"/>
      <c r="AH489" s="504"/>
      <c r="AI489" s="500"/>
      <c r="AJ489" s="500"/>
      <c r="AK489" s="500"/>
      <c r="AL489" s="500"/>
      <c r="AM489" s="500"/>
      <c r="AN489" s="500"/>
      <c r="AO489" s="500"/>
      <c r="AP489" s="500"/>
      <c r="AQ489" s="500"/>
      <c r="AR489" s="500"/>
      <c r="AS489" s="500"/>
      <c r="AT489" s="500"/>
      <c r="AU489" s="500"/>
      <c r="AV489" s="500"/>
      <c r="AW489" s="500"/>
      <c r="AX489" s="500"/>
      <c r="AY489" s="500"/>
      <c r="AZ489" s="500"/>
      <c r="BA489" s="500"/>
      <c r="BB489" s="500"/>
      <c r="BC489" s="500"/>
      <c r="BD489" s="500"/>
      <c r="BE489" s="500"/>
      <c r="BF489" s="500"/>
      <c r="BG489" s="500"/>
      <c r="BH489" s="500"/>
      <c r="BI489" s="500"/>
      <c r="BJ489" s="500"/>
      <c r="BK489" s="500"/>
      <c r="BL489" s="500"/>
      <c r="BM489" s="500"/>
      <c r="BN489" s="500"/>
      <c r="BO489" s="500"/>
      <c r="BP489" s="500"/>
      <c r="BQ489" s="500"/>
      <c r="BR489" s="500"/>
      <c r="BS489" s="500"/>
      <c r="BT489" s="500"/>
      <c r="BU489" s="500"/>
      <c r="BV489" s="500"/>
    </row>
    <row r="490" ht="14.25" customHeight="1">
      <c r="A490" s="500"/>
      <c r="B490" s="500"/>
      <c r="C490" s="500"/>
      <c r="D490" s="500"/>
      <c r="E490" s="500"/>
      <c r="F490" s="500"/>
      <c r="G490" s="500"/>
      <c r="H490" s="500"/>
      <c r="I490" s="500"/>
      <c r="J490" s="500"/>
      <c r="K490" s="500"/>
      <c r="L490" s="500"/>
      <c r="M490" s="500"/>
      <c r="N490" s="500"/>
      <c r="O490" s="500"/>
      <c r="P490" s="500"/>
      <c r="Q490" s="500"/>
      <c r="R490" s="500"/>
      <c r="S490" s="500"/>
      <c r="T490" s="500"/>
      <c r="U490" s="500"/>
      <c r="V490" s="500"/>
      <c r="W490" s="500"/>
      <c r="X490" s="500"/>
      <c r="Y490" s="500"/>
      <c r="Z490" s="501"/>
      <c r="AA490" s="501"/>
      <c r="AB490" s="501"/>
      <c r="AC490" s="501"/>
      <c r="AD490" s="500"/>
      <c r="AE490" s="500"/>
      <c r="AF490" s="503"/>
      <c r="AG490" s="503"/>
      <c r="AH490" s="504"/>
      <c r="AI490" s="500"/>
      <c r="AJ490" s="500"/>
      <c r="AK490" s="500"/>
      <c r="AL490" s="500"/>
      <c r="AM490" s="500"/>
      <c r="AN490" s="500"/>
      <c r="AO490" s="500"/>
      <c r="AP490" s="500"/>
      <c r="AQ490" s="500"/>
      <c r="AR490" s="500"/>
      <c r="AS490" s="500"/>
      <c r="AT490" s="500"/>
      <c r="AU490" s="500"/>
      <c r="AV490" s="500"/>
      <c r="AW490" s="500"/>
      <c r="AX490" s="500"/>
      <c r="AY490" s="500"/>
      <c r="AZ490" s="500"/>
      <c r="BA490" s="500"/>
      <c r="BB490" s="500"/>
      <c r="BC490" s="500"/>
      <c r="BD490" s="500"/>
      <c r="BE490" s="500"/>
      <c r="BF490" s="500"/>
      <c r="BG490" s="500"/>
      <c r="BH490" s="500"/>
      <c r="BI490" s="500"/>
      <c r="BJ490" s="500"/>
      <c r="BK490" s="500"/>
      <c r="BL490" s="500"/>
      <c r="BM490" s="500"/>
      <c r="BN490" s="500"/>
      <c r="BO490" s="500"/>
      <c r="BP490" s="500"/>
      <c r="BQ490" s="500"/>
      <c r="BR490" s="500"/>
      <c r="BS490" s="500"/>
      <c r="BT490" s="500"/>
      <c r="BU490" s="500"/>
      <c r="BV490" s="500"/>
    </row>
    <row r="491" ht="14.25" customHeight="1">
      <c r="A491" s="500"/>
      <c r="B491" s="500"/>
      <c r="C491" s="500"/>
      <c r="D491" s="500"/>
      <c r="E491" s="500"/>
      <c r="F491" s="500"/>
      <c r="G491" s="500"/>
      <c r="H491" s="500"/>
      <c r="I491" s="500"/>
      <c r="J491" s="500"/>
      <c r="K491" s="500"/>
      <c r="L491" s="500"/>
      <c r="M491" s="500"/>
      <c r="N491" s="500"/>
      <c r="O491" s="500"/>
      <c r="P491" s="500"/>
      <c r="Q491" s="500"/>
      <c r="R491" s="500"/>
      <c r="S491" s="500"/>
      <c r="T491" s="500"/>
      <c r="U491" s="500"/>
      <c r="V491" s="500"/>
      <c r="W491" s="500"/>
      <c r="X491" s="500"/>
      <c r="Y491" s="500"/>
      <c r="Z491" s="501"/>
      <c r="AA491" s="501"/>
      <c r="AB491" s="501"/>
      <c r="AC491" s="501"/>
      <c r="AD491" s="500"/>
      <c r="AE491" s="500"/>
      <c r="AF491" s="503"/>
      <c r="AG491" s="503"/>
      <c r="AH491" s="504"/>
      <c r="AI491" s="500"/>
      <c r="AJ491" s="500"/>
      <c r="AK491" s="500"/>
      <c r="AL491" s="500"/>
      <c r="AM491" s="500"/>
      <c r="AN491" s="500"/>
      <c r="AO491" s="500"/>
      <c r="AP491" s="500"/>
      <c r="AQ491" s="500"/>
      <c r="AR491" s="500"/>
      <c r="AS491" s="500"/>
      <c r="AT491" s="500"/>
      <c r="AU491" s="500"/>
      <c r="AV491" s="500"/>
      <c r="AW491" s="500"/>
      <c r="AX491" s="500"/>
      <c r="AY491" s="500"/>
      <c r="AZ491" s="500"/>
      <c r="BA491" s="500"/>
      <c r="BB491" s="500"/>
      <c r="BC491" s="500"/>
      <c r="BD491" s="500"/>
      <c r="BE491" s="500"/>
      <c r="BF491" s="500"/>
      <c r="BG491" s="500"/>
      <c r="BH491" s="500"/>
      <c r="BI491" s="500"/>
      <c r="BJ491" s="500"/>
      <c r="BK491" s="500"/>
      <c r="BL491" s="500"/>
      <c r="BM491" s="500"/>
      <c r="BN491" s="500"/>
      <c r="BO491" s="500"/>
      <c r="BP491" s="500"/>
      <c r="BQ491" s="500"/>
      <c r="BR491" s="500"/>
      <c r="BS491" s="500"/>
      <c r="BT491" s="500"/>
      <c r="BU491" s="500"/>
      <c r="BV491" s="500"/>
    </row>
    <row r="492" ht="14.25" customHeight="1">
      <c r="A492" s="500"/>
      <c r="B492" s="500"/>
      <c r="C492" s="500"/>
      <c r="D492" s="500"/>
      <c r="E492" s="500"/>
      <c r="F492" s="500"/>
      <c r="G492" s="500"/>
      <c r="H492" s="500"/>
      <c r="I492" s="500"/>
      <c r="J492" s="500"/>
      <c r="K492" s="500"/>
      <c r="L492" s="500"/>
      <c r="M492" s="500"/>
      <c r="N492" s="500"/>
      <c r="O492" s="500"/>
      <c r="P492" s="500"/>
      <c r="Q492" s="500"/>
      <c r="R492" s="500"/>
      <c r="S492" s="500"/>
      <c r="T492" s="500"/>
      <c r="U492" s="500"/>
      <c r="V492" s="500"/>
      <c r="W492" s="500"/>
      <c r="X492" s="500"/>
      <c r="Y492" s="500"/>
      <c r="Z492" s="501"/>
      <c r="AA492" s="501"/>
      <c r="AB492" s="501"/>
      <c r="AC492" s="501"/>
      <c r="AD492" s="500"/>
      <c r="AE492" s="500"/>
      <c r="AF492" s="503"/>
      <c r="AG492" s="503"/>
      <c r="AH492" s="504"/>
      <c r="AI492" s="500"/>
      <c r="AJ492" s="500"/>
      <c r="AK492" s="500"/>
      <c r="AL492" s="500"/>
      <c r="AM492" s="500"/>
      <c r="AN492" s="500"/>
      <c r="AO492" s="500"/>
      <c r="AP492" s="500"/>
      <c r="AQ492" s="500"/>
      <c r="AR492" s="500"/>
      <c r="AS492" s="500"/>
      <c r="AT492" s="500"/>
      <c r="AU492" s="500"/>
      <c r="AV492" s="500"/>
      <c r="AW492" s="500"/>
      <c r="AX492" s="500"/>
      <c r="AY492" s="500"/>
      <c r="AZ492" s="500"/>
      <c r="BA492" s="500"/>
      <c r="BB492" s="500"/>
      <c r="BC492" s="500"/>
      <c r="BD492" s="500"/>
      <c r="BE492" s="500"/>
      <c r="BF492" s="500"/>
      <c r="BG492" s="500"/>
      <c r="BH492" s="500"/>
      <c r="BI492" s="500"/>
      <c r="BJ492" s="500"/>
      <c r="BK492" s="500"/>
      <c r="BL492" s="500"/>
      <c r="BM492" s="500"/>
      <c r="BN492" s="500"/>
      <c r="BO492" s="500"/>
      <c r="BP492" s="500"/>
      <c r="BQ492" s="500"/>
      <c r="BR492" s="500"/>
      <c r="BS492" s="500"/>
      <c r="BT492" s="500"/>
      <c r="BU492" s="500"/>
      <c r="BV492" s="500"/>
    </row>
    <row r="493" ht="14.25" customHeight="1">
      <c r="A493" s="500"/>
      <c r="B493" s="500"/>
      <c r="C493" s="500"/>
      <c r="D493" s="500"/>
      <c r="E493" s="500"/>
      <c r="F493" s="500"/>
      <c r="G493" s="500"/>
      <c r="H493" s="500"/>
      <c r="I493" s="500"/>
      <c r="J493" s="500"/>
      <c r="K493" s="500"/>
      <c r="L493" s="500"/>
      <c r="M493" s="500"/>
      <c r="N493" s="500"/>
      <c r="O493" s="500"/>
      <c r="P493" s="500"/>
      <c r="Q493" s="500"/>
      <c r="R493" s="500"/>
      <c r="S493" s="500"/>
      <c r="T493" s="500"/>
      <c r="U493" s="500"/>
      <c r="V493" s="500"/>
      <c r="W493" s="500"/>
      <c r="X493" s="500"/>
      <c r="Y493" s="500"/>
      <c r="Z493" s="501"/>
      <c r="AA493" s="501"/>
      <c r="AB493" s="501"/>
      <c r="AC493" s="501"/>
      <c r="AD493" s="500"/>
      <c r="AE493" s="500"/>
      <c r="AF493" s="503"/>
      <c r="AG493" s="503"/>
      <c r="AH493" s="504"/>
      <c r="AI493" s="500"/>
      <c r="AJ493" s="500"/>
      <c r="AK493" s="500"/>
      <c r="AL493" s="500"/>
      <c r="AM493" s="500"/>
      <c r="AN493" s="500"/>
      <c r="AO493" s="500"/>
      <c r="AP493" s="500"/>
      <c r="AQ493" s="500"/>
      <c r="AR493" s="500"/>
      <c r="AS493" s="500"/>
      <c r="AT493" s="500"/>
      <c r="AU493" s="500"/>
      <c r="AV493" s="500"/>
      <c r="AW493" s="500"/>
      <c r="AX493" s="500"/>
      <c r="AY493" s="500"/>
      <c r="AZ493" s="500"/>
      <c r="BA493" s="500"/>
      <c r="BB493" s="500"/>
      <c r="BC493" s="500"/>
      <c r="BD493" s="500"/>
      <c r="BE493" s="500"/>
      <c r="BF493" s="500"/>
      <c r="BG493" s="500"/>
      <c r="BH493" s="500"/>
      <c r="BI493" s="500"/>
      <c r="BJ493" s="500"/>
      <c r="BK493" s="500"/>
      <c r="BL493" s="500"/>
      <c r="BM493" s="500"/>
      <c r="BN493" s="500"/>
      <c r="BO493" s="500"/>
      <c r="BP493" s="500"/>
      <c r="BQ493" s="500"/>
      <c r="BR493" s="500"/>
      <c r="BS493" s="500"/>
      <c r="BT493" s="500"/>
      <c r="BU493" s="500"/>
      <c r="BV493" s="500"/>
    </row>
    <row r="494" ht="14.25" customHeight="1">
      <c r="A494" s="500"/>
      <c r="B494" s="500"/>
      <c r="C494" s="500"/>
      <c r="D494" s="500"/>
      <c r="E494" s="500"/>
      <c r="F494" s="500"/>
      <c r="G494" s="500"/>
      <c r="H494" s="500"/>
      <c r="I494" s="500"/>
      <c r="J494" s="500"/>
      <c r="K494" s="500"/>
      <c r="L494" s="500"/>
      <c r="M494" s="500"/>
      <c r="N494" s="500"/>
      <c r="O494" s="500"/>
      <c r="P494" s="500"/>
      <c r="Q494" s="500"/>
      <c r="R494" s="500"/>
      <c r="S494" s="500"/>
      <c r="T494" s="500"/>
      <c r="U494" s="500"/>
      <c r="V494" s="500"/>
      <c r="W494" s="500"/>
      <c r="X494" s="500"/>
      <c r="Y494" s="500"/>
      <c r="Z494" s="501"/>
      <c r="AA494" s="501"/>
      <c r="AB494" s="501"/>
      <c r="AC494" s="501"/>
      <c r="AD494" s="500"/>
      <c r="AE494" s="500"/>
      <c r="AF494" s="503"/>
      <c r="AG494" s="503"/>
      <c r="AH494" s="504"/>
      <c r="AI494" s="500"/>
      <c r="AJ494" s="500"/>
      <c r="AK494" s="500"/>
      <c r="AL494" s="500"/>
      <c r="AM494" s="500"/>
      <c r="AN494" s="500"/>
      <c r="AO494" s="500"/>
      <c r="AP494" s="500"/>
      <c r="AQ494" s="500"/>
      <c r="AR494" s="500"/>
      <c r="AS494" s="500"/>
      <c r="AT494" s="500"/>
      <c r="AU494" s="500"/>
      <c r="AV494" s="500"/>
      <c r="AW494" s="500"/>
      <c r="AX494" s="500"/>
      <c r="AY494" s="500"/>
      <c r="AZ494" s="500"/>
      <c r="BA494" s="500"/>
      <c r="BB494" s="500"/>
      <c r="BC494" s="500"/>
      <c r="BD494" s="500"/>
      <c r="BE494" s="500"/>
      <c r="BF494" s="500"/>
      <c r="BG494" s="500"/>
      <c r="BH494" s="500"/>
      <c r="BI494" s="500"/>
      <c r="BJ494" s="500"/>
      <c r="BK494" s="500"/>
      <c r="BL494" s="500"/>
      <c r="BM494" s="500"/>
      <c r="BN494" s="500"/>
      <c r="BO494" s="500"/>
      <c r="BP494" s="500"/>
      <c r="BQ494" s="500"/>
      <c r="BR494" s="500"/>
      <c r="BS494" s="500"/>
      <c r="BT494" s="500"/>
      <c r="BU494" s="500"/>
      <c r="BV494" s="500"/>
    </row>
    <row r="495" ht="14.25" customHeight="1">
      <c r="A495" s="500"/>
      <c r="B495" s="500"/>
      <c r="C495" s="500"/>
      <c r="D495" s="500"/>
      <c r="E495" s="500"/>
      <c r="F495" s="500"/>
      <c r="G495" s="500"/>
      <c r="H495" s="500"/>
      <c r="I495" s="500"/>
      <c r="J495" s="500"/>
      <c r="K495" s="500"/>
      <c r="L495" s="500"/>
      <c r="M495" s="500"/>
      <c r="N495" s="500"/>
      <c r="O495" s="500"/>
      <c r="P495" s="500"/>
      <c r="Q495" s="500"/>
      <c r="R495" s="500"/>
      <c r="S495" s="500"/>
      <c r="T495" s="500"/>
      <c r="U495" s="500"/>
      <c r="V495" s="500"/>
      <c r="W495" s="500"/>
      <c r="X495" s="500"/>
      <c r="Y495" s="500"/>
      <c r="Z495" s="501"/>
      <c r="AA495" s="501"/>
      <c r="AB495" s="501"/>
      <c r="AC495" s="501"/>
      <c r="AD495" s="500"/>
      <c r="AE495" s="500"/>
      <c r="AF495" s="503"/>
      <c r="AG495" s="503"/>
      <c r="AH495" s="504"/>
      <c r="AI495" s="500"/>
      <c r="AJ495" s="500"/>
      <c r="AK495" s="500"/>
      <c r="AL495" s="500"/>
      <c r="AM495" s="500"/>
      <c r="AN495" s="500"/>
      <c r="AO495" s="500"/>
      <c r="AP495" s="500"/>
      <c r="AQ495" s="500"/>
      <c r="AR495" s="500"/>
      <c r="AS495" s="500"/>
      <c r="AT495" s="500"/>
      <c r="AU495" s="500"/>
      <c r="AV495" s="500"/>
      <c r="AW495" s="500"/>
      <c r="AX495" s="500"/>
      <c r="AY495" s="500"/>
      <c r="AZ495" s="500"/>
      <c r="BA495" s="500"/>
      <c r="BB495" s="500"/>
      <c r="BC495" s="500"/>
      <c r="BD495" s="500"/>
      <c r="BE495" s="500"/>
      <c r="BF495" s="500"/>
      <c r="BG495" s="500"/>
      <c r="BH495" s="500"/>
      <c r="BI495" s="500"/>
      <c r="BJ495" s="500"/>
      <c r="BK495" s="500"/>
      <c r="BL495" s="500"/>
      <c r="BM495" s="500"/>
      <c r="BN495" s="500"/>
      <c r="BO495" s="500"/>
      <c r="BP495" s="500"/>
      <c r="BQ495" s="500"/>
      <c r="BR495" s="500"/>
      <c r="BS495" s="500"/>
      <c r="BT495" s="500"/>
      <c r="BU495" s="500"/>
      <c r="BV495" s="500"/>
    </row>
    <row r="496" ht="14.25" customHeight="1">
      <c r="A496" s="500"/>
      <c r="B496" s="500"/>
      <c r="C496" s="500"/>
      <c r="D496" s="500"/>
      <c r="E496" s="500"/>
      <c r="F496" s="500"/>
      <c r="G496" s="500"/>
      <c r="H496" s="500"/>
      <c r="I496" s="500"/>
      <c r="J496" s="500"/>
      <c r="K496" s="500"/>
      <c r="L496" s="500"/>
      <c r="M496" s="500"/>
      <c r="N496" s="500"/>
      <c r="O496" s="500"/>
      <c r="P496" s="500"/>
      <c r="Q496" s="500"/>
      <c r="R496" s="500"/>
      <c r="S496" s="500"/>
      <c r="T496" s="500"/>
      <c r="U496" s="500"/>
      <c r="V496" s="500"/>
      <c r="W496" s="500"/>
      <c r="X496" s="500"/>
      <c r="Y496" s="500"/>
      <c r="Z496" s="501"/>
      <c r="AA496" s="501"/>
      <c r="AB496" s="501"/>
      <c r="AC496" s="501"/>
      <c r="AD496" s="500"/>
      <c r="AE496" s="500"/>
      <c r="AF496" s="503"/>
      <c r="AG496" s="503"/>
      <c r="AH496" s="504"/>
      <c r="AI496" s="500"/>
      <c r="AJ496" s="500"/>
      <c r="AK496" s="500"/>
      <c r="AL496" s="500"/>
      <c r="AM496" s="500"/>
      <c r="AN496" s="500"/>
      <c r="AO496" s="500"/>
      <c r="AP496" s="500"/>
      <c r="AQ496" s="500"/>
      <c r="AR496" s="500"/>
      <c r="AS496" s="500"/>
      <c r="AT496" s="500"/>
      <c r="AU496" s="500"/>
      <c r="AV496" s="500"/>
      <c r="AW496" s="500"/>
      <c r="AX496" s="500"/>
      <c r="AY496" s="500"/>
      <c r="AZ496" s="500"/>
      <c r="BA496" s="500"/>
      <c r="BB496" s="500"/>
      <c r="BC496" s="500"/>
      <c r="BD496" s="500"/>
      <c r="BE496" s="500"/>
      <c r="BF496" s="500"/>
      <c r="BG496" s="500"/>
      <c r="BH496" s="500"/>
      <c r="BI496" s="500"/>
      <c r="BJ496" s="500"/>
      <c r="BK496" s="500"/>
      <c r="BL496" s="500"/>
      <c r="BM496" s="500"/>
      <c r="BN496" s="500"/>
      <c r="BO496" s="500"/>
      <c r="BP496" s="500"/>
      <c r="BQ496" s="500"/>
      <c r="BR496" s="500"/>
      <c r="BS496" s="500"/>
      <c r="BT496" s="500"/>
      <c r="BU496" s="500"/>
      <c r="BV496" s="500"/>
    </row>
    <row r="497" ht="14.25" customHeight="1">
      <c r="A497" s="500"/>
      <c r="B497" s="500"/>
      <c r="C497" s="500"/>
      <c r="D497" s="500"/>
      <c r="E497" s="500"/>
      <c r="F497" s="500"/>
      <c r="G497" s="500"/>
      <c r="H497" s="500"/>
      <c r="I497" s="500"/>
      <c r="J497" s="500"/>
      <c r="K497" s="500"/>
      <c r="L497" s="500"/>
      <c r="M497" s="500"/>
      <c r="N497" s="500"/>
      <c r="O497" s="500"/>
      <c r="P497" s="500"/>
      <c r="Q497" s="500"/>
      <c r="R497" s="500"/>
      <c r="S497" s="500"/>
      <c r="T497" s="500"/>
      <c r="U497" s="500"/>
      <c r="V497" s="500"/>
      <c r="W497" s="500"/>
      <c r="X497" s="500"/>
      <c r="Y497" s="500"/>
      <c r="Z497" s="501"/>
      <c r="AA497" s="501"/>
      <c r="AB497" s="501"/>
      <c r="AC497" s="501"/>
      <c r="AD497" s="500"/>
      <c r="AE497" s="500"/>
      <c r="AF497" s="503"/>
      <c r="AG497" s="503"/>
      <c r="AH497" s="504"/>
      <c r="AI497" s="500"/>
      <c r="AJ497" s="500"/>
      <c r="AK497" s="500"/>
      <c r="AL497" s="500"/>
      <c r="AM497" s="500"/>
      <c r="AN497" s="500"/>
      <c r="AO497" s="500"/>
      <c r="AP497" s="500"/>
      <c r="AQ497" s="500"/>
      <c r="AR497" s="500"/>
      <c r="AS497" s="500"/>
      <c r="AT497" s="500"/>
      <c r="AU497" s="500"/>
      <c r="AV497" s="500"/>
      <c r="AW497" s="500"/>
      <c r="AX497" s="500"/>
      <c r="AY497" s="500"/>
      <c r="AZ497" s="500"/>
      <c r="BA497" s="500"/>
      <c r="BB497" s="500"/>
      <c r="BC497" s="500"/>
      <c r="BD497" s="500"/>
      <c r="BE497" s="500"/>
      <c r="BF497" s="500"/>
      <c r="BG497" s="500"/>
      <c r="BH497" s="500"/>
      <c r="BI497" s="500"/>
      <c r="BJ497" s="500"/>
      <c r="BK497" s="500"/>
      <c r="BL497" s="500"/>
      <c r="BM497" s="500"/>
      <c r="BN497" s="500"/>
      <c r="BO497" s="500"/>
      <c r="BP497" s="500"/>
      <c r="BQ497" s="500"/>
      <c r="BR497" s="500"/>
      <c r="BS497" s="500"/>
      <c r="BT497" s="500"/>
      <c r="BU497" s="500"/>
      <c r="BV497" s="500"/>
    </row>
    <row r="498" ht="14.25" customHeight="1">
      <c r="A498" s="500"/>
      <c r="B498" s="500"/>
      <c r="C498" s="500"/>
      <c r="D498" s="500"/>
      <c r="E498" s="500"/>
      <c r="F498" s="500"/>
      <c r="G498" s="500"/>
      <c r="H498" s="500"/>
      <c r="I498" s="500"/>
      <c r="J498" s="500"/>
      <c r="K498" s="500"/>
      <c r="L498" s="500"/>
      <c r="M498" s="500"/>
      <c r="N498" s="500"/>
      <c r="O498" s="500"/>
      <c r="P498" s="500"/>
      <c r="Q498" s="500"/>
      <c r="R498" s="500"/>
      <c r="S498" s="500"/>
      <c r="T498" s="500"/>
      <c r="U498" s="500"/>
      <c r="V498" s="500"/>
      <c r="W498" s="500"/>
      <c r="X498" s="500"/>
      <c r="Y498" s="500"/>
      <c r="Z498" s="501"/>
      <c r="AA498" s="501"/>
      <c r="AB498" s="501"/>
      <c r="AC498" s="501"/>
      <c r="AD498" s="500"/>
      <c r="AE498" s="500"/>
      <c r="AF498" s="503"/>
      <c r="AG498" s="503"/>
      <c r="AH498" s="504"/>
      <c r="AI498" s="500"/>
      <c r="AJ498" s="500"/>
      <c r="AK498" s="500"/>
      <c r="AL498" s="500"/>
      <c r="AM498" s="500"/>
      <c r="AN498" s="500"/>
      <c r="AO498" s="500"/>
      <c r="AP498" s="500"/>
      <c r="AQ498" s="500"/>
      <c r="AR498" s="500"/>
      <c r="AS498" s="500"/>
      <c r="AT498" s="500"/>
      <c r="AU498" s="500"/>
      <c r="AV498" s="500"/>
      <c r="AW498" s="500"/>
      <c r="AX498" s="500"/>
      <c r="AY498" s="500"/>
      <c r="AZ498" s="500"/>
      <c r="BA498" s="500"/>
      <c r="BB498" s="500"/>
      <c r="BC498" s="500"/>
      <c r="BD498" s="500"/>
      <c r="BE498" s="500"/>
      <c r="BF498" s="500"/>
      <c r="BG498" s="500"/>
      <c r="BH498" s="500"/>
      <c r="BI498" s="500"/>
      <c r="BJ498" s="500"/>
      <c r="BK498" s="500"/>
      <c r="BL498" s="500"/>
      <c r="BM498" s="500"/>
      <c r="BN498" s="500"/>
      <c r="BO498" s="500"/>
      <c r="BP498" s="500"/>
      <c r="BQ498" s="500"/>
      <c r="BR498" s="500"/>
      <c r="BS498" s="500"/>
      <c r="BT498" s="500"/>
      <c r="BU498" s="500"/>
      <c r="BV498" s="500"/>
    </row>
    <row r="499" ht="14.25" customHeight="1">
      <c r="A499" s="500"/>
      <c r="B499" s="500"/>
      <c r="C499" s="500"/>
      <c r="D499" s="500"/>
      <c r="E499" s="500"/>
      <c r="F499" s="500"/>
      <c r="G499" s="500"/>
      <c r="H499" s="500"/>
      <c r="I499" s="500"/>
      <c r="J499" s="500"/>
      <c r="K499" s="500"/>
      <c r="L499" s="500"/>
      <c r="M499" s="500"/>
      <c r="N499" s="500"/>
      <c r="O499" s="500"/>
      <c r="P499" s="500"/>
      <c r="Q499" s="500"/>
      <c r="R499" s="500"/>
      <c r="S499" s="500"/>
      <c r="T499" s="500"/>
      <c r="U499" s="500"/>
      <c r="V499" s="500"/>
      <c r="W499" s="500"/>
      <c r="X499" s="500"/>
      <c r="Y499" s="500"/>
      <c r="Z499" s="501"/>
      <c r="AA499" s="501"/>
      <c r="AB499" s="501"/>
      <c r="AC499" s="501"/>
      <c r="AD499" s="500"/>
      <c r="AE499" s="500"/>
      <c r="AF499" s="503"/>
      <c r="AG499" s="503"/>
      <c r="AH499" s="504"/>
      <c r="AI499" s="500"/>
      <c r="AJ499" s="500"/>
      <c r="AK499" s="500"/>
      <c r="AL499" s="500"/>
      <c r="AM499" s="500"/>
      <c r="AN499" s="500"/>
      <c r="AO499" s="500"/>
      <c r="AP499" s="500"/>
      <c r="AQ499" s="500"/>
      <c r="AR499" s="500"/>
      <c r="AS499" s="500"/>
      <c r="AT499" s="500"/>
      <c r="AU499" s="500"/>
      <c r="AV499" s="500"/>
      <c r="AW499" s="500"/>
      <c r="AX499" s="500"/>
      <c r="AY499" s="500"/>
      <c r="AZ499" s="500"/>
      <c r="BA499" s="500"/>
      <c r="BB499" s="500"/>
      <c r="BC499" s="500"/>
      <c r="BD499" s="500"/>
      <c r="BE499" s="500"/>
      <c r="BF499" s="500"/>
      <c r="BG499" s="500"/>
      <c r="BH499" s="500"/>
      <c r="BI499" s="500"/>
      <c r="BJ499" s="500"/>
      <c r="BK499" s="500"/>
      <c r="BL499" s="500"/>
      <c r="BM499" s="500"/>
      <c r="BN499" s="500"/>
      <c r="BO499" s="500"/>
      <c r="BP499" s="500"/>
      <c r="BQ499" s="500"/>
      <c r="BR499" s="500"/>
      <c r="BS499" s="500"/>
      <c r="BT499" s="500"/>
      <c r="BU499" s="500"/>
      <c r="BV499" s="500"/>
    </row>
    <row r="500" ht="14.25" customHeight="1">
      <c r="A500" s="500"/>
      <c r="B500" s="500"/>
      <c r="C500" s="500"/>
      <c r="D500" s="500"/>
      <c r="E500" s="500"/>
      <c r="F500" s="500"/>
      <c r="G500" s="500"/>
      <c r="H500" s="500"/>
      <c r="I500" s="500"/>
      <c r="J500" s="500"/>
      <c r="K500" s="500"/>
      <c r="L500" s="500"/>
      <c r="M500" s="500"/>
      <c r="N500" s="500"/>
      <c r="O500" s="500"/>
      <c r="P500" s="500"/>
      <c r="Q500" s="500"/>
      <c r="R500" s="500"/>
      <c r="S500" s="500"/>
      <c r="T500" s="500"/>
      <c r="U500" s="500"/>
      <c r="V500" s="500"/>
      <c r="W500" s="500"/>
      <c r="X500" s="500"/>
      <c r="Y500" s="500"/>
      <c r="Z500" s="501"/>
      <c r="AA500" s="501"/>
      <c r="AB500" s="501"/>
      <c r="AC500" s="501"/>
      <c r="AD500" s="500"/>
      <c r="AE500" s="500"/>
      <c r="AF500" s="503"/>
      <c r="AG500" s="503"/>
      <c r="AH500" s="504"/>
      <c r="AI500" s="500"/>
      <c r="AJ500" s="500"/>
      <c r="AK500" s="500"/>
      <c r="AL500" s="500"/>
      <c r="AM500" s="500"/>
      <c r="AN500" s="500"/>
      <c r="AO500" s="500"/>
      <c r="AP500" s="500"/>
      <c r="AQ500" s="500"/>
      <c r="AR500" s="500"/>
      <c r="AS500" s="500"/>
      <c r="AT500" s="500"/>
      <c r="AU500" s="500"/>
      <c r="AV500" s="500"/>
      <c r="AW500" s="500"/>
      <c r="AX500" s="500"/>
      <c r="AY500" s="500"/>
      <c r="AZ500" s="500"/>
      <c r="BA500" s="500"/>
      <c r="BB500" s="500"/>
      <c r="BC500" s="500"/>
      <c r="BD500" s="500"/>
      <c r="BE500" s="500"/>
      <c r="BF500" s="500"/>
      <c r="BG500" s="500"/>
      <c r="BH500" s="500"/>
      <c r="BI500" s="500"/>
      <c r="BJ500" s="500"/>
      <c r="BK500" s="500"/>
      <c r="BL500" s="500"/>
      <c r="BM500" s="500"/>
      <c r="BN500" s="500"/>
      <c r="BO500" s="500"/>
      <c r="BP500" s="500"/>
      <c r="BQ500" s="500"/>
      <c r="BR500" s="500"/>
      <c r="BS500" s="500"/>
      <c r="BT500" s="500"/>
      <c r="BU500" s="500"/>
      <c r="BV500" s="500"/>
    </row>
    <row r="501" ht="14.25" customHeight="1">
      <c r="A501" s="500"/>
      <c r="B501" s="500"/>
      <c r="C501" s="500"/>
      <c r="D501" s="500"/>
      <c r="E501" s="500"/>
      <c r="F501" s="500"/>
      <c r="G501" s="500"/>
      <c r="H501" s="500"/>
      <c r="I501" s="500"/>
      <c r="J501" s="500"/>
      <c r="K501" s="500"/>
      <c r="L501" s="500"/>
      <c r="M501" s="500"/>
      <c r="N501" s="500"/>
      <c r="O501" s="500"/>
      <c r="P501" s="500"/>
      <c r="Q501" s="500"/>
      <c r="R501" s="500"/>
      <c r="S501" s="500"/>
      <c r="T501" s="500"/>
      <c r="U501" s="500"/>
      <c r="V501" s="500"/>
      <c r="W501" s="500"/>
      <c r="X501" s="500"/>
      <c r="Y501" s="500"/>
      <c r="Z501" s="501"/>
      <c r="AA501" s="501"/>
      <c r="AB501" s="501"/>
      <c r="AC501" s="501"/>
      <c r="AD501" s="500"/>
      <c r="AE501" s="500"/>
      <c r="AF501" s="503"/>
      <c r="AG501" s="503"/>
      <c r="AH501" s="504"/>
      <c r="AI501" s="500"/>
      <c r="AJ501" s="500"/>
      <c r="AK501" s="500"/>
      <c r="AL501" s="500"/>
      <c r="AM501" s="500"/>
      <c r="AN501" s="500"/>
      <c r="AO501" s="500"/>
      <c r="AP501" s="500"/>
      <c r="AQ501" s="500"/>
      <c r="AR501" s="500"/>
      <c r="AS501" s="500"/>
      <c r="AT501" s="500"/>
      <c r="AU501" s="500"/>
      <c r="AV501" s="500"/>
      <c r="AW501" s="500"/>
      <c r="AX501" s="500"/>
      <c r="AY501" s="500"/>
      <c r="AZ501" s="500"/>
      <c r="BA501" s="500"/>
      <c r="BB501" s="500"/>
      <c r="BC501" s="500"/>
      <c r="BD501" s="500"/>
      <c r="BE501" s="500"/>
      <c r="BF501" s="500"/>
      <c r="BG501" s="500"/>
      <c r="BH501" s="500"/>
      <c r="BI501" s="500"/>
      <c r="BJ501" s="500"/>
      <c r="BK501" s="500"/>
      <c r="BL501" s="500"/>
      <c r="BM501" s="500"/>
      <c r="BN501" s="500"/>
      <c r="BO501" s="500"/>
      <c r="BP501" s="500"/>
      <c r="BQ501" s="500"/>
      <c r="BR501" s="500"/>
      <c r="BS501" s="500"/>
      <c r="BT501" s="500"/>
      <c r="BU501" s="500"/>
      <c r="BV501" s="500"/>
    </row>
    <row r="502" ht="14.25" customHeight="1">
      <c r="A502" s="500"/>
      <c r="B502" s="500"/>
      <c r="C502" s="500"/>
      <c r="D502" s="500"/>
      <c r="E502" s="500"/>
      <c r="F502" s="500"/>
      <c r="G502" s="500"/>
      <c r="H502" s="500"/>
      <c r="I502" s="500"/>
      <c r="J502" s="500"/>
      <c r="K502" s="500"/>
      <c r="L502" s="500"/>
      <c r="M502" s="500"/>
      <c r="N502" s="500"/>
      <c r="O502" s="500"/>
      <c r="P502" s="500"/>
      <c r="Q502" s="500"/>
      <c r="R502" s="500"/>
      <c r="S502" s="500"/>
      <c r="T502" s="500"/>
      <c r="U502" s="500"/>
      <c r="V502" s="500"/>
      <c r="W502" s="500"/>
      <c r="X502" s="500"/>
      <c r="Y502" s="500"/>
      <c r="Z502" s="501"/>
      <c r="AA502" s="501"/>
      <c r="AB502" s="501"/>
      <c r="AC502" s="501"/>
      <c r="AD502" s="500"/>
      <c r="AE502" s="500"/>
      <c r="AF502" s="503"/>
      <c r="AG502" s="503"/>
      <c r="AH502" s="504"/>
      <c r="AI502" s="500"/>
      <c r="AJ502" s="500"/>
      <c r="AK502" s="500"/>
      <c r="AL502" s="500"/>
      <c r="AM502" s="500"/>
      <c r="AN502" s="500"/>
      <c r="AO502" s="500"/>
      <c r="AP502" s="500"/>
      <c r="AQ502" s="500"/>
      <c r="AR502" s="500"/>
      <c r="AS502" s="500"/>
      <c r="AT502" s="500"/>
      <c r="AU502" s="500"/>
      <c r="AV502" s="500"/>
      <c r="AW502" s="500"/>
      <c r="AX502" s="500"/>
      <c r="AY502" s="500"/>
      <c r="AZ502" s="500"/>
      <c r="BA502" s="500"/>
      <c r="BB502" s="500"/>
      <c r="BC502" s="500"/>
      <c r="BD502" s="500"/>
      <c r="BE502" s="500"/>
      <c r="BF502" s="500"/>
      <c r="BG502" s="500"/>
      <c r="BH502" s="500"/>
      <c r="BI502" s="500"/>
      <c r="BJ502" s="500"/>
      <c r="BK502" s="500"/>
      <c r="BL502" s="500"/>
      <c r="BM502" s="500"/>
      <c r="BN502" s="500"/>
      <c r="BO502" s="500"/>
      <c r="BP502" s="500"/>
      <c r="BQ502" s="500"/>
      <c r="BR502" s="500"/>
      <c r="BS502" s="500"/>
      <c r="BT502" s="500"/>
      <c r="BU502" s="500"/>
      <c r="BV502" s="500"/>
    </row>
    <row r="503" ht="14.25" customHeight="1">
      <c r="A503" s="500"/>
      <c r="B503" s="500"/>
      <c r="C503" s="500"/>
      <c r="D503" s="500"/>
      <c r="E503" s="500"/>
      <c r="F503" s="500"/>
      <c r="G503" s="500"/>
      <c r="H503" s="500"/>
      <c r="I503" s="500"/>
      <c r="J503" s="500"/>
      <c r="K503" s="500"/>
      <c r="L503" s="500"/>
      <c r="M503" s="500"/>
      <c r="N503" s="500"/>
      <c r="O503" s="500"/>
      <c r="P503" s="500"/>
      <c r="Q503" s="500"/>
      <c r="R503" s="500"/>
      <c r="S503" s="500"/>
      <c r="T503" s="500"/>
      <c r="U503" s="500"/>
      <c r="V503" s="500"/>
      <c r="W503" s="500"/>
      <c r="X503" s="500"/>
      <c r="Y503" s="500"/>
      <c r="Z503" s="501"/>
      <c r="AA503" s="501"/>
      <c r="AB503" s="501"/>
      <c r="AC503" s="501"/>
      <c r="AD503" s="500"/>
      <c r="AE503" s="500"/>
      <c r="AF503" s="503"/>
      <c r="AG503" s="503"/>
      <c r="AH503" s="504"/>
      <c r="AI503" s="500"/>
      <c r="AJ503" s="500"/>
      <c r="AK503" s="500"/>
      <c r="AL503" s="500"/>
      <c r="AM503" s="500"/>
      <c r="AN503" s="500"/>
      <c r="AO503" s="500"/>
      <c r="AP503" s="500"/>
      <c r="AQ503" s="500"/>
      <c r="AR503" s="500"/>
      <c r="AS503" s="500"/>
      <c r="AT503" s="500"/>
      <c r="AU503" s="500"/>
      <c r="AV503" s="500"/>
      <c r="AW503" s="500"/>
      <c r="AX503" s="500"/>
      <c r="AY503" s="500"/>
      <c r="AZ503" s="500"/>
      <c r="BA503" s="500"/>
      <c r="BB503" s="500"/>
      <c r="BC503" s="500"/>
      <c r="BD503" s="500"/>
      <c r="BE503" s="500"/>
      <c r="BF503" s="500"/>
      <c r="BG503" s="500"/>
      <c r="BH503" s="500"/>
      <c r="BI503" s="500"/>
      <c r="BJ503" s="500"/>
      <c r="BK503" s="500"/>
      <c r="BL503" s="500"/>
      <c r="BM503" s="500"/>
      <c r="BN503" s="500"/>
      <c r="BO503" s="500"/>
      <c r="BP503" s="500"/>
      <c r="BQ503" s="500"/>
      <c r="BR503" s="500"/>
      <c r="BS503" s="500"/>
      <c r="BT503" s="500"/>
      <c r="BU503" s="500"/>
      <c r="BV503" s="500"/>
    </row>
    <row r="504" ht="14.25" customHeight="1">
      <c r="A504" s="500"/>
      <c r="B504" s="500"/>
      <c r="C504" s="500"/>
      <c r="D504" s="500"/>
      <c r="E504" s="500"/>
      <c r="F504" s="500"/>
      <c r="G504" s="500"/>
      <c r="H504" s="500"/>
      <c r="I504" s="500"/>
      <c r="J504" s="500"/>
      <c r="K504" s="500"/>
      <c r="L504" s="500"/>
      <c r="M504" s="500"/>
      <c r="N504" s="500"/>
      <c r="O504" s="500"/>
      <c r="P504" s="500"/>
      <c r="Q504" s="500"/>
      <c r="R504" s="500"/>
      <c r="S504" s="500"/>
      <c r="T504" s="500"/>
      <c r="U504" s="500"/>
      <c r="V504" s="500"/>
      <c r="W504" s="500"/>
      <c r="X504" s="500"/>
      <c r="Y504" s="500"/>
      <c r="Z504" s="501"/>
      <c r="AA504" s="501"/>
      <c r="AB504" s="501"/>
      <c r="AC504" s="501"/>
      <c r="AD504" s="500"/>
      <c r="AE504" s="500"/>
      <c r="AF504" s="503"/>
      <c r="AG504" s="503"/>
      <c r="AH504" s="504"/>
      <c r="AI504" s="500"/>
      <c r="AJ504" s="500"/>
      <c r="AK504" s="500"/>
      <c r="AL504" s="500"/>
      <c r="AM504" s="500"/>
      <c r="AN504" s="500"/>
      <c r="AO504" s="500"/>
      <c r="AP504" s="500"/>
      <c r="AQ504" s="500"/>
      <c r="AR504" s="500"/>
      <c r="AS504" s="500"/>
      <c r="AT504" s="500"/>
      <c r="AU504" s="500"/>
      <c r="AV504" s="500"/>
      <c r="AW504" s="500"/>
      <c r="AX504" s="500"/>
      <c r="AY504" s="500"/>
      <c r="AZ504" s="500"/>
      <c r="BA504" s="500"/>
      <c r="BB504" s="500"/>
      <c r="BC504" s="500"/>
      <c r="BD504" s="500"/>
      <c r="BE504" s="500"/>
      <c r="BF504" s="500"/>
      <c r="BG504" s="500"/>
      <c r="BH504" s="500"/>
      <c r="BI504" s="500"/>
      <c r="BJ504" s="500"/>
      <c r="BK504" s="500"/>
      <c r="BL504" s="500"/>
      <c r="BM504" s="500"/>
      <c r="BN504" s="500"/>
      <c r="BO504" s="500"/>
      <c r="BP504" s="500"/>
      <c r="BQ504" s="500"/>
      <c r="BR504" s="500"/>
      <c r="BS504" s="500"/>
      <c r="BT504" s="500"/>
      <c r="BU504" s="500"/>
      <c r="BV504" s="500"/>
    </row>
    <row r="505" ht="14.25" customHeight="1">
      <c r="A505" s="500"/>
      <c r="B505" s="500"/>
      <c r="C505" s="500"/>
      <c r="D505" s="500"/>
      <c r="E505" s="500"/>
      <c r="F505" s="500"/>
      <c r="G505" s="500"/>
      <c r="H505" s="500"/>
      <c r="I505" s="500"/>
      <c r="J505" s="500"/>
      <c r="K505" s="500"/>
      <c r="L505" s="500"/>
      <c r="M505" s="500"/>
      <c r="N505" s="500"/>
      <c r="O505" s="500"/>
      <c r="P505" s="500"/>
      <c r="Q505" s="500"/>
      <c r="R505" s="500"/>
      <c r="S505" s="500"/>
      <c r="T505" s="500"/>
      <c r="U505" s="500"/>
      <c r="V505" s="500"/>
      <c r="W505" s="500"/>
      <c r="X505" s="500"/>
      <c r="Y505" s="500"/>
      <c r="Z505" s="501"/>
      <c r="AA505" s="501"/>
      <c r="AB505" s="501"/>
      <c r="AC505" s="501"/>
      <c r="AD505" s="500"/>
      <c r="AE505" s="500"/>
      <c r="AF505" s="503"/>
      <c r="AG505" s="503"/>
      <c r="AH505" s="504"/>
      <c r="AI505" s="500"/>
      <c r="AJ505" s="500"/>
      <c r="AK505" s="500"/>
      <c r="AL505" s="500"/>
      <c r="AM505" s="500"/>
      <c r="AN505" s="500"/>
      <c r="AO505" s="500"/>
      <c r="AP505" s="500"/>
      <c r="AQ505" s="500"/>
      <c r="AR505" s="500"/>
      <c r="AS505" s="500"/>
      <c r="AT505" s="500"/>
      <c r="AU505" s="500"/>
      <c r="AV505" s="500"/>
      <c r="AW505" s="500"/>
      <c r="AX505" s="500"/>
      <c r="AY505" s="500"/>
      <c r="AZ505" s="500"/>
      <c r="BA505" s="500"/>
      <c r="BB505" s="500"/>
      <c r="BC505" s="500"/>
      <c r="BD505" s="500"/>
      <c r="BE505" s="500"/>
      <c r="BF505" s="500"/>
      <c r="BG505" s="500"/>
      <c r="BH505" s="500"/>
      <c r="BI505" s="500"/>
      <c r="BJ505" s="500"/>
      <c r="BK505" s="500"/>
      <c r="BL505" s="500"/>
      <c r="BM505" s="500"/>
      <c r="BN505" s="500"/>
      <c r="BO505" s="500"/>
      <c r="BP505" s="500"/>
      <c r="BQ505" s="500"/>
      <c r="BR505" s="500"/>
      <c r="BS505" s="500"/>
      <c r="BT505" s="500"/>
      <c r="BU505" s="500"/>
      <c r="BV505" s="500"/>
    </row>
    <row r="506" ht="14.25" customHeight="1">
      <c r="A506" s="500"/>
      <c r="B506" s="500"/>
      <c r="C506" s="500"/>
      <c r="D506" s="500"/>
      <c r="E506" s="500"/>
      <c r="F506" s="500"/>
      <c r="G506" s="500"/>
      <c r="H506" s="500"/>
      <c r="I506" s="500"/>
      <c r="J506" s="500"/>
      <c r="K506" s="500"/>
      <c r="L506" s="500"/>
      <c r="M506" s="500"/>
      <c r="N506" s="500"/>
      <c r="O506" s="500"/>
      <c r="P506" s="500"/>
      <c r="Q506" s="500"/>
      <c r="R506" s="500"/>
      <c r="S506" s="500"/>
      <c r="T506" s="500"/>
      <c r="U506" s="500"/>
      <c r="V506" s="500"/>
      <c r="W506" s="500"/>
      <c r="X506" s="500"/>
      <c r="Y506" s="500"/>
      <c r="Z506" s="501"/>
      <c r="AA506" s="501"/>
      <c r="AB506" s="501"/>
      <c r="AC506" s="501"/>
      <c r="AD506" s="500"/>
      <c r="AE506" s="500"/>
      <c r="AF506" s="503"/>
      <c r="AG506" s="503"/>
      <c r="AH506" s="504"/>
      <c r="AI506" s="500"/>
      <c r="AJ506" s="500"/>
      <c r="AK506" s="500"/>
      <c r="AL506" s="500"/>
      <c r="AM506" s="500"/>
      <c r="AN506" s="500"/>
      <c r="AO506" s="500"/>
      <c r="AP506" s="500"/>
      <c r="AQ506" s="500"/>
      <c r="AR506" s="500"/>
      <c r="AS506" s="500"/>
      <c r="AT506" s="500"/>
      <c r="AU506" s="500"/>
      <c r="AV506" s="500"/>
      <c r="AW506" s="500"/>
      <c r="AX506" s="500"/>
      <c r="AY506" s="500"/>
      <c r="AZ506" s="500"/>
      <c r="BA506" s="500"/>
      <c r="BB506" s="500"/>
      <c r="BC506" s="500"/>
      <c r="BD506" s="500"/>
      <c r="BE506" s="500"/>
      <c r="BF506" s="500"/>
      <c r="BG506" s="500"/>
      <c r="BH506" s="500"/>
      <c r="BI506" s="500"/>
      <c r="BJ506" s="500"/>
      <c r="BK506" s="500"/>
      <c r="BL506" s="500"/>
      <c r="BM506" s="500"/>
      <c r="BN506" s="500"/>
      <c r="BO506" s="500"/>
      <c r="BP506" s="500"/>
      <c r="BQ506" s="500"/>
      <c r="BR506" s="500"/>
      <c r="BS506" s="500"/>
      <c r="BT506" s="500"/>
      <c r="BU506" s="500"/>
      <c r="BV506" s="500"/>
    </row>
    <row r="507" ht="14.25" customHeight="1">
      <c r="A507" s="500"/>
      <c r="B507" s="500"/>
      <c r="C507" s="500"/>
      <c r="D507" s="500"/>
      <c r="E507" s="500"/>
      <c r="F507" s="500"/>
      <c r="G507" s="500"/>
      <c r="H507" s="500"/>
      <c r="I507" s="500"/>
      <c r="J507" s="500"/>
      <c r="K507" s="500"/>
      <c r="L507" s="500"/>
      <c r="M507" s="500"/>
      <c r="N507" s="500"/>
      <c r="O507" s="500"/>
      <c r="P507" s="500"/>
      <c r="Q507" s="500"/>
      <c r="R507" s="500"/>
      <c r="S507" s="500"/>
      <c r="T507" s="500"/>
      <c r="U507" s="500"/>
      <c r="V507" s="500"/>
      <c r="W507" s="500"/>
      <c r="X507" s="500"/>
      <c r="Y507" s="500"/>
      <c r="Z507" s="501"/>
      <c r="AA507" s="501"/>
      <c r="AB507" s="501"/>
      <c r="AC507" s="501"/>
      <c r="AD507" s="500"/>
      <c r="AE507" s="500"/>
      <c r="AF507" s="503"/>
      <c r="AG507" s="503"/>
      <c r="AH507" s="504"/>
      <c r="AI507" s="500"/>
      <c r="AJ507" s="500"/>
      <c r="AK507" s="500"/>
      <c r="AL507" s="500"/>
      <c r="AM507" s="500"/>
      <c r="AN507" s="500"/>
      <c r="AO507" s="500"/>
      <c r="AP507" s="500"/>
      <c r="AQ507" s="500"/>
      <c r="AR507" s="500"/>
      <c r="AS507" s="500"/>
      <c r="AT507" s="500"/>
      <c r="AU507" s="500"/>
      <c r="AV507" s="500"/>
      <c r="AW507" s="500"/>
      <c r="AX507" s="500"/>
      <c r="AY507" s="500"/>
      <c r="AZ507" s="500"/>
      <c r="BA507" s="500"/>
      <c r="BB507" s="500"/>
      <c r="BC507" s="500"/>
      <c r="BD507" s="500"/>
      <c r="BE507" s="500"/>
      <c r="BF507" s="500"/>
      <c r="BG507" s="500"/>
      <c r="BH507" s="500"/>
      <c r="BI507" s="500"/>
      <c r="BJ507" s="500"/>
      <c r="BK507" s="500"/>
      <c r="BL507" s="500"/>
      <c r="BM507" s="500"/>
      <c r="BN507" s="500"/>
      <c r="BO507" s="500"/>
      <c r="BP507" s="500"/>
      <c r="BQ507" s="500"/>
      <c r="BR507" s="500"/>
      <c r="BS507" s="500"/>
      <c r="BT507" s="500"/>
      <c r="BU507" s="500"/>
      <c r="BV507" s="500"/>
    </row>
    <row r="508" ht="14.25" customHeight="1">
      <c r="A508" s="500"/>
      <c r="B508" s="500"/>
      <c r="C508" s="500"/>
      <c r="D508" s="500"/>
      <c r="E508" s="500"/>
      <c r="F508" s="500"/>
      <c r="G508" s="500"/>
      <c r="H508" s="500"/>
      <c r="I508" s="500"/>
      <c r="J508" s="500"/>
      <c r="K508" s="500"/>
      <c r="L508" s="500"/>
      <c r="M508" s="500"/>
      <c r="N508" s="500"/>
      <c r="O508" s="500"/>
      <c r="P508" s="500"/>
      <c r="Q508" s="500"/>
      <c r="R508" s="500"/>
      <c r="S508" s="500"/>
      <c r="T508" s="500"/>
      <c r="U508" s="500"/>
      <c r="V508" s="500"/>
      <c r="W508" s="500"/>
      <c r="X508" s="500"/>
      <c r="Y508" s="500"/>
      <c r="Z508" s="501"/>
      <c r="AA508" s="501"/>
      <c r="AB508" s="501"/>
      <c r="AC508" s="501"/>
      <c r="AD508" s="500"/>
      <c r="AE508" s="500"/>
      <c r="AF508" s="503"/>
      <c r="AG508" s="503"/>
      <c r="AH508" s="504"/>
      <c r="AI508" s="500"/>
      <c r="AJ508" s="500"/>
      <c r="AK508" s="500"/>
      <c r="AL508" s="500"/>
      <c r="AM508" s="500"/>
      <c r="AN508" s="500"/>
      <c r="AO508" s="500"/>
      <c r="AP508" s="500"/>
      <c r="AQ508" s="500"/>
      <c r="AR508" s="500"/>
      <c r="AS508" s="500"/>
      <c r="AT508" s="500"/>
      <c r="AU508" s="500"/>
      <c r="AV508" s="500"/>
      <c r="AW508" s="500"/>
      <c r="AX508" s="500"/>
      <c r="AY508" s="500"/>
      <c r="AZ508" s="500"/>
      <c r="BA508" s="500"/>
      <c r="BB508" s="500"/>
      <c r="BC508" s="500"/>
      <c r="BD508" s="500"/>
      <c r="BE508" s="500"/>
      <c r="BF508" s="500"/>
      <c r="BG508" s="500"/>
      <c r="BH508" s="500"/>
      <c r="BI508" s="500"/>
      <c r="BJ508" s="500"/>
      <c r="BK508" s="500"/>
      <c r="BL508" s="500"/>
      <c r="BM508" s="500"/>
      <c r="BN508" s="500"/>
      <c r="BO508" s="500"/>
      <c r="BP508" s="500"/>
      <c r="BQ508" s="500"/>
      <c r="BR508" s="500"/>
      <c r="BS508" s="500"/>
      <c r="BT508" s="500"/>
      <c r="BU508" s="500"/>
      <c r="BV508" s="500"/>
    </row>
    <row r="509" ht="14.25" customHeight="1">
      <c r="A509" s="500"/>
      <c r="B509" s="500"/>
      <c r="C509" s="500"/>
      <c r="D509" s="500"/>
      <c r="E509" s="500"/>
      <c r="F509" s="500"/>
      <c r="G509" s="500"/>
      <c r="H509" s="500"/>
      <c r="I509" s="500"/>
      <c r="J509" s="500"/>
      <c r="K509" s="500"/>
      <c r="L509" s="500"/>
      <c r="M509" s="500"/>
      <c r="N509" s="500"/>
      <c r="O509" s="500"/>
      <c r="P509" s="500"/>
      <c r="Q509" s="500"/>
      <c r="R509" s="500"/>
      <c r="S509" s="500"/>
      <c r="T509" s="500"/>
      <c r="U509" s="500"/>
      <c r="V509" s="500"/>
      <c r="W509" s="500"/>
      <c r="X509" s="500"/>
      <c r="Y509" s="500"/>
      <c r="Z509" s="501"/>
      <c r="AA509" s="501"/>
      <c r="AB509" s="501"/>
      <c r="AC509" s="501"/>
      <c r="AD509" s="500"/>
      <c r="AE509" s="500"/>
      <c r="AF509" s="503"/>
      <c r="AG509" s="503"/>
      <c r="AH509" s="504"/>
      <c r="AI509" s="500"/>
      <c r="AJ509" s="500"/>
      <c r="AK509" s="500"/>
      <c r="AL509" s="500"/>
      <c r="AM509" s="500"/>
      <c r="AN509" s="500"/>
      <c r="AO509" s="500"/>
      <c r="AP509" s="500"/>
      <c r="AQ509" s="500"/>
      <c r="AR509" s="500"/>
      <c r="AS509" s="500"/>
      <c r="AT509" s="500"/>
      <c r="AU509" s="500"/>
      <c r="AV509" s="500"/>
      <c r="AW509" s="500"/>
      <c r="AX509" s="500"/>
      <c r="AY509" s="500"/>
      <c r="AZ509" s="500"/>
      <c r="BA509" s="500"/>
      <c r="BB509" s="500"/>
      <c r="BC509" s="500"/>
      <c r="BD509" s="500"/>
      <c r="BE509" s="500"/>
      <c r="BF509" s="500"/>
      <c r="BG509" s="500"/>
      <c r="BH509" s="500"/>
      <c r="BI509" s="500"/>
      <c r="BJ509" s="500"/>
      <c r="BK509" s="500"/>
      <c r="BL509" s="500"/>
      <c r="BM509" s="500"/>
      <c r="BN509" s="500"/>
      <c r="BO509" s="500"/>
      <c r="BP509" s="500"/>
      <c r="BQ509" s="500"/>
      <c r="BR509" s="500"/>
      <c r="BS509" s="500"/>
      <c r="BT509" s="500"/>
      <c r="BU509" s="500"/>
      <c r="BV509" s="500"/>
    </row>
    <row r="510" ht="14.25" customHeight="1">
      <c r="A510" s="500"/>
      <c r="B510" s="500"/>
      <c r="C510" s="500"/>
      <c r="D510" s="500"/>
      <c r="E510" s="500"/>
      <c r="F510" s="500"/>
      <c r="G510" s="500"/>
      <c r="H510" s="500"/>
      <c r="I510" s="500"/>
      <c r="J510" s="500"/>
      <c r="K510" s="500"/>
      <c r="L510" s="500"/>
      <c r="M510" s="500"/>
      <c r="N510" s="500"/>
      <c r="O510" s="500"/>
      <c r="P510" s="500"/>
      <c r="Q510" s="500"/>
      <c r="R510" s="500"/>
      <c r="S510" s="500"/>
      <c r="T510" s="500"/>
      <c r="U510" s="500"/>
      <c r="V510" s="500"/>
      <c r="W510" s="500"/>
      <c r="X510" s="500"/>
      <c r="Y510" s="500"/>
      <c r="Z510" s="501"/>
      <c r="AA510" s="501"/>
      <c r="AB510" s="501"/>
      <c r="AC510" s="501"/>
      <c r="AD510" s="500"/>
      <c r="AE510" s="500"/>
      <c r="AF510" s="503"/>
      <c r="AG510" s="503"/>
      <c r="AH510" s="504"/>
      <c r="AI510" s="500"/>
      <c r="AJ510" s="500"/>
      <c r="AK510" s="500"/>
      <c r="AL510" s="500"/>
      <c r="AM510" s="500"/>
      <c r="AN510" s="500"/>
      <c r="AO510" s="500"/>
      <c r="AP510" s="500"/>
      <c r="AQ510" s="500"/>
      <c r="AR510" s="500"/>
      <c r="AS510" s="500"/>
      <c r="AT510" s="500"/>
      <c r="AU510" s="500"/>
      <c r="AV510" s="500"/>
      <c r="AW510" s="500"/>
      <c r="AX510" s="500"/>
      <c r="AY510" s="500"/>
      <c r="AZ510" s="500"/>
      <c r="BA510" s="500"/>
      <c r="BB510" s="500"/>
      <c r="BC510" s="500"/>
      <c r="BD510" s="500"/>
      <c r="BE510" s="500"/>
      <c r="BF510" s="500"/>
      <c r="BG510" s="500"/>
      <c r="BH510" s="500"/>
      <c r="BI510" s="500"/>
      <c r="BJ510" s="500"/>
      <c r="BK510" s="500"/>
      <c r="BL510" s="500"/>
      <c r="BM510" s="500"/>
      <c r="BN510" s="500"/>
      <c r="BO510" s="500"/>
      <c r="BP510" s="500"/>
      <c r="BQ510" s="500"/>
      <c r="BR510" s="500"/>
      <c r="BS510" s="500"/>
      <c r="BT510" s="500"/>
      <c r="BU510" s="500"/>
      <c r="BV510" s="500"/>
    </row>
    <row r="511" ht="14.25" customHeight="1">
      <c r="A511" s="500"/>
      <c r="B511" s="500"/>
      <c r="C511" s="500"/>
      <c r="D511" s="500"/>
      <c r="E511" s="500"/>
      <c r="F511" s="500"/>
      <c r="G511" s="500"/>
      <c r="H511" s="500"/>
      <c r="I511" s="500"/>
      <c r="J511" s="500"/>
      <c r="K511" s="500"/>
      <c r="L511" s="500"/>
      <c r="M511" s="500"/>
      <c r="N511" s="500"/>
      <c r="O511" s="500"/>
      <c r="P511" s="500"/>
      <c r="Q511" s="500"/>
      <c r="R511" s="500"/>
      <c r="S511" s="500"/>
      <c r="T511" s="500"/>
      <c r="U511" s="500"/>
      <c r="V511" s="500"/>
      <c r="W511" s="500"/>
      <c r="X511" s="500"/>
      <c r="Y511" s="500"/>
      <c r="Z511" s="501"/>
      <c r="AA511" s="501"/>
      <c r="AB511" s="501"/>
      <c r="AC511" s="501"/>
      <c r="AD511" s="500"/>
      <c r="AE511" s="500"/>
      <c r="AF511" s="503"/>
      <c r="AG511" s="503"/>
      <c r="AH511" s="504"/>
      <c r="AI511" s="500"/>
      <c r="AJ511" s="500"/>
      <c r="AK511" s="500"/>
      <c r="AL511" s="500"/>
      <c r="AM511" s="500"/>
      <c r="AN511" s="500"/>
      <c r="AO511" s="500"/>
      <c r="AP511" s="500"/>
      <c r="AQ511" s="500"/>
      <c r="AR511" s="500"/>
      <c r="AS511" s="500"/>
      <c r="AT511" s="500"/>
      <c r="AU511" s="500"/>
      <c r="AV511" s="500"/>
      <c r="AW511" s="500"/>
      <c r="AX511" s="500"/>
      <c r="AY511" s="500"/>
      <c r="AZ511" s="500"/>
      <c r="BA511" s="500"/>
      <c r="BB511" s="500"/>
      <c r="BC511" s="500"/>
      <c r="BD511" s="500"/>
      <c r="BE511" s="500"/>
      <c r="BF511" s="500"/>
      <c r="BG511" s="500"/>
      <c r="BH511" s="500"/>
      <c r="BI511" s="500"/>
      <c r="BJ511" s="500"/>
      <c r="BK511" s="500"/>
      <c r="BL511" s="500"/>
      <c r="BM511" s="500"/>
      <c r="BN511" s="500"/>
      <c r="BO511" s="500"/>
      <c r="BP511" s="500"/>
      <c r="BQ511" s="500"/>
      <c r="BR511" s="500"/>
      <c r="BS511" s="500"/>
      <c r="BT511" s="500"/>
      <c r="BU511" s="500"/>
      <c r="BV511" s="500"/>
    </row>
    <row r="512" ht="14.25" customHeight="1">
      <c r="A512" s="500"/>
      <c r="B512" s="500"/>
      <c r="C512" s="500"/>
      <c r="D512" s="500"/>
      <c r="E512" s="500"/>
      <c r="F512" s="500"/>
      <c r="G512" s="500"/>
      <c r="H512" s="500"/>
      <c r="I512" s="500"/>
      <c r="J512" s="500"/>
      <c r="K512" s="500"/>
      <c r="L512" s="500"/>
      <c r="M512" s="500"/>
      <c r="N512" s="500"/>
      <c r="O512" s="500"/>
      <c r="P512" s="500"/>
      <c r="Q512" s="500"/>
      <c r="R512" s="500"/>
      <c r="S512" s="500"/>
      <c r="T512" s="500"/>
      <c r="U512" s="500"/>
      <c r="V512" s="500"/>
      <c r="W512" s="500"/>
      <c r="X512" s="500"/>
      <c r="Y512" s="500"/>
      <c r="Z512" s="501"/>
      <c r="AA512" s="501"/>
      <c r="AB512" s="501"/>
      <c r="AC512" s="501"/>
      <c r="AD512" s="500"/>
      <c r="AE512" s="500"/>
      <c r="AF512" s="503"/>
      <c r="AG512" s="503"/>
      <c r="AH512" s="504"/>
      <c r="AI512" s="500"/>
      <c r="AJ512" s="500"/>
      <c r="AK512" s="500"/>
      <c r="AL512" s="500"/>
      <c r="AM512" s="500"/>
      <c r="AN512" s="500"/>
      <c r="AO512" s="500"/>
      <c r="AP512" s="500"/>
      <c r="AQ512" s="500"/>
      <c r="AR512" s="500"/>
      <c r="AS512" s="500"/>
      <c r="AT512" s="500"/>
      <c r="AU512" s="500"/>
      <c r="AV512" s="500"/>
      <c r="AW512" s="500"/>
      <c r="AX512" s="500"/>
      <c r="AY512" s="500"/>
      <c r="AZ512" s="500"/>
      <c r="BA512" s="500"/>
      <c r="BB512" s="500"/>
      <c r="BC512" s="500"/>
      <c r="BD512" s="500"/>
      <c r="BE512" s="500"/>
      <c r="BF512" s="500"/>
      <c r="BG512" s="500"/>
      <c r="BH512" s="500"/>
      <c r="BI512" s="500"/>
      <c r="BJ512" s="500"/>
      <c r="BK512" s="500"/>
      <c r="BL512" s="500"/>
      <c r="BM512" s="500"/>
      <c r="BN512" s="500"/>
      <c r="BO512" s="500"/>
      <c r="BP512" s="500"/>
      <c r="BQ512" s="500"/>
      <c r="BR512" s="500"/>
      <c r="BS512" s="500"/>
      <c r="BT512" s="500"/>
      <c r="BU512" s="500"/>
      <c r="BV512" s="500"/>
    </row>
    <row r="513" ht="14.25" customHeight="1">
      <c r="A513" s="500"/>
      <c r="B513" s="500"/>
      <c r="C513" s="500"/>
      <c r="D513" s="500"/>
      <c r="E513" s="500"/>
      <c r="F513" s="500"/>
      <c r="G513" s="500"/>
      <c r="H513" s="500"/>
      <c r="I513" s="500"/>
      <c r="J513" s="500"/>
      <c r="K513" s="500"/>
      <c r="L513" s="500"/>
      <c r="M513" s="500"/>
      <c r="N513" s="500"/>
      <c r="O513" s="500"/>
      <c r="P513" s="500"/>
      <c r="Q513" s="500"/>
      <c r="R513" s="500"/>
      <c r="S513" s="500"/>
      <c r="T513" s="500"/>
      <c r="U513" s="500"/>
      <c r="V513" s="500"/>
      <c r="W513" s="500"/>
      <c r="X513" s="500"/>
      <c r="Y513" s="500"/>
      <c r="Z513" s="501"/>
      <c r="AA513" s="501"/>
      <c r="AB513" s="501"/>
      <c r="AC513" s="501"/>
      <c r="AD513" s="500"/>
      <c r="AE513" s="500"/>
      <c r="AF513" s="503"/>
      <c r="AG513" s="503"/>
      <c r="AH513" s="504"/>
      <c r="AI513" s="500"/>
      <c r="AJ513" s="500"/>
      <c r="AK513" s="500"/>
      <c r="AL513" s="500"/>
      <c r="AM513" s="500"/>
      <c r="AN513" s="500"/>
      <c r="AO513" s="500"/>
      <c r="AP513" s="500"/>
      <c r="AQ513" s="500"/>
      <c r="AR513" s="500"/>
      <c r="AS513" s="500"/>
      <c r="AT513" s="500"/>
      <c r="AU513" s="500"/>
      <c r="AV513" s="500"/>
      <c r="AW513" s="500"/>
      <c r="AX513" s="500"/>
      <c r="AY513" s="500"/>
      <c r="AZ513" s="500"/>
      <c r="BA513" s="500"/>
      <c r="BB513" s="500"/>
      <c r="BC513" s="500"/>
      <c r="BD513" s="500"/>
      <c r="BE513" s="500"/>
      <c r="BF513" s="500"/>
      <c r="BG513" s="500"/>
      <c r="BH513" s="500"/>
      <c r="BI513" s="500"/>
      <c r="BJ513" s="500"/>
      <c r="BK513" s="500"/>
      <c r="BL513" s="500"/>
      <c r="BM513" s="500"/>
      <c r="BN513" s="500"/>
      <c r="BO513" s="500"/>
      <c r="BP513" s="500"/>
      <c r="BQ513" s="500"/>
      <c r="BR513" s="500"/>
      <c r="BS513" s="500"/>
      <c r="BT513" s="500"/>
      <c r="BU513" s="500"/>
      <c r="BV513" s="500"/>
    </row>
    <row r="514" ht="14.25" customHeight="1">
      <c r="A514" s="500"/>
      <c r="B514" s="500"/>
      <c r="C514" s="500"/>
      <c r="D514" s="500"/>
      <c r="E514" s="500"/>
      <c r="F514" s="500"/>
      <c r="G514" s="500"/>
      <c r="H514" s="500"/>
      <c r="I514" s="500"/>
      <c r="J514" s="500"/>
      <c r="K514" s="500"/>
      <c r="L514" s="500"/>
      <c r="M514" s="500"/>
      <c r="N514" s="500"/>
      <c r="O514" s="500"/>
      <c r="P514" s="500"/>
      <c r="Q514" s="500"/>
      <c r="R514" s="500"/>
      <c r="S514" s="500"/>
      <c r="T514" s="500"/>
      <c r="U514" s="500"/>
      <c r="V514" s="500"/>
      <c r="W514" s="500"/>
      <c r="X514" s="500"/>
      <c r="Y514" s="500"/>
      <c r="Z514" s="501"/>
      <c r="AA514" s="501"/>
      <c r="AB514" s="501"/>
      <c r="AC514" s="501"/>
      <c r="AD514" s="500"/>
      <c r="AE514" s="500"/>
      <c r="AF514" s="503"/>
      <c r="AG514" s="503"/>
      <c r="AH514" s="504"/>
      <c r="AI514" s="500"/>
      <c r="AJ514" s="500"/>
      <c r="AK514" s="500"/>
      <c r="AL514" s="500"/>
      <c r="AM514" s="500"/>
      <c r="AN514" s="500"/>
      <c r="AO514" s="500"/>
      <c r="AP514" s="500"/>
      <c r="AQ514" s="500"/>
      <c r="AR514" s="500"/>
      <c r="AS514" s="500"/>
      <c r="AT514" s="500"/>
      <c r="AU514" s="500"/>
      <c r="AV514" s="500"/>
      <c r="AW514" s="500"/>
      <c r="AX514" s="500"/>
      <c r="AY514" s="500"/>
      <c r="AZ514" s="500"/>
      <c r="BA514" s="500"/>
      <c r="BB514" s="500"/>
      <c r="BC514" s="500"/>
      <c r="BD514" s="500"/>
      <c r="BE514" s="500"/>
      <c r="BF514" s="500"/>
      <c r="BG514" s="500"/>
      <c r="BH514" s="500"/>
      <c r="BI514" s="500"/>
      <c r="BJ514" s="500"/>
      <c r="BK514" s="500"/>
      <c r="BL514" s="500"/>
      <c r="BM514" s="500"/>
      <c r="BN514" s="500"/>
      <c r="BO514" s="500"/>
      <c r="BP514" s="500"/>
      <c r="BQ514" s="500"/>
      <c r="BR514" s="500"/>
      <c r="BS514" s="500"/>
      <c r="BT514" s="500"/>
      <c r="BU514" s="500"/>
      <c r="BV514" s="500"/>
    </row>
    <row r="515" ht="14.25" customHeight="1">
      <c r="A515" s="500"/>
      <c r="B515" s="500"/>
      <c r="C515" s="500"/>
      <c r="D515" s="500"/>
      <c r="E515" s="500"/>
      <c r="F515" s="500"/>
      <c r="G515" s="500"/>
      <c r="H515" s="500"/>
      <c r="I515" s="500"/>
      <c r="J515" s="500"/>
      <c r="K515" s="500"/>
      <c r="L515" s="500"/>
      <c r="M515" s="500"/>
      <c r="N515" s="500"/>
      <c r="O515" s="500"/>
      <c r="P515" s="500"/>
      <c r="Q515" s="500"/>
      <c r="R515" s="500"/>
      <c r="S515" s="500"/>
      <c r="T515" s="500"/>
      <c r="U515" s="500"/>
      <c r="V515" s="500"/>
      <c r="W515" s="500"/>
      <c r="X515" s="500"/>
      <c r="Y515" s="500"/>
      <c r="Z515" s="501"/>
      <c r="AA515" s="501"/>
      <c r="AB515" s="501"/>
      <c r="AC515" s="501"/>
      <c r="AD515" s="500"/>
      <c r="AE515" s="500"/>
      <c r="AF515" s="503"/>
      <c r="AG515" s="503"/>
      <c r="AH515" s="504"/>
      <c r="AI515" s="500"/>
      <c r="AJ515" s="500"/>
      <c r="AK515" s="500"/>
      <c r="AL515" s="500"/>
      <c r="AM515" s="500"/>
      <c r="AN515" s="500"/>
      <c r="AO515" s="500"/>
      <c r="AP515" s="500"/>
      <c r="AQ515" s="500"/>
      <c r="AR515" s="500"/>
      <c r="AS515" s="500"/>
      <c r="AT515" s="500"/>
      <c r="AU515" s="500"/>
      <c r="AV515" s="500"/>
      <c r="AW515" s="500"/>
      <c r="AX515" s="500"/>
      <c r="AY515" s="500"/>
      <c r="AZ515" s="500"/>
      <c r="BA515" s="500"/>
      <c r="BB515" s="500"/>
      <c r="BC515" s="500"/>
      <c r="BD515" s="500"/>
      <c r="BE515" s="500"/>
      <c r="BF515" s="500"/>
      <c r="BG515" s="500"/>
      <c r="BH515" s="500"/>
      <c r="BI515" s="500"/>
      <c r="BJ515" s="500"/>
      <c r="BK515" s="500"/>
      <c r="BL515" s="500"/>
      <c r="BM515" s="500"/>
      <c r="BN515" s="500"/>
      <c r="BO515" s="500"/>
      <c r="BP515" s="500"/>
      <c r="BQ515" s="500"/>
      <c r="BR515" s="500"/>
      <c r="BS515" s="500"/>
      <c r="BT515" s="500"/>
      <c r="BU515" s="500"/>
      <c r="BV515" s="500"/>
    </row>
    <row r="516" ht="14.25" customHeight="1">
      <c r="A516" s="500"/>
      <c r="B516" s="500"/>
      <c r="C516" s="500"/>
      <c r="D516" s="500"/>
      <c r="E516" s="500"/>
      <c r="F516" s="500"/>
      <c r="G516" s="500"/>
      <c r="H516" s="500"/>
      <c r="I516" s="500"/>
      <c r="J516" s="500"/>
      <c r="K516" s="500"/>
      <c r="L516" s="500"/>
      <c r="M516" s="500"/>
      <c r="N516" s="500"/>
      <c r="O516" s="500"/>
      <c r="P516" s="500"/>
      <c r="Q516" s="500"/>
      <c r="R516" s="500"/>
      <c r="S516" s="500"/>
      <c r="T516" s="500"/>
      <c r="U516" s="500"/>
      <c r="V516" s="500"/>
      <c r="W516" s="500"/>
      <c r="X516" s="500"/>
      <c r="Y516" s="500"/>
      <c r="Z516" s="501"/>
      <c r="AA516" s="501"/>
      <c r="AB516" s="501"/>
      <c r="AC516" s="501"/>
      <c r="AD516" s="500"/>
      <c r="AE516" s="500"/>
      <c r="AF516" s="503"/>
      <c r="AG516" s="503"/>
      <c r="AH516" s="504"/>
      <c r="AI516" s="500"/>
      <c r="AJ516" s="500"/>
      <c r="AK516" s="500"/>
      <c r="AL516" s="500"/>
      <c r="AM516" s="500"/>
      <c r="AN516" s="500"/>
      <c r="AO516" s="500"/>
      <c r="AP516" s="500"/>
      <c r="AQ516" s="500"/>
      <c r="AR516" s="500"/>
      <c r="AS516" s="500"/>
      <c r="AT516" s="500"/>
      <c r="AU516" s="500"/>
      <c r="AV516" s="500"/>
      <c r="AW516" s="500"/>
      <c r="AX516" s="500"/>
      <c r="AY516" s="500"/>
      <c r="AZ516" s="500"/>
      <c r="BA516" s="500"/>
      <c r="BB516" s="500"/>
      <c r="BC516" s="500"/>
      <c r="BD516" s="500"/>
      <c r="BE516" s="500"/>
      <c r="BF516" s="500"/>
      <c r="BG516" s="500"/>
      <c r="BH516" s="500"/>
      <c r="BI516" s="500"/>
      <c r="BJ516" s="500"/>
      <c r="BK516" s="500"/>
      <c r="BL516" s="500"/>
      <c r="BM516" s="500"/>
      <c r="BN516" s="500"/>
      <c r="BO516" s="500"/>
      <c r="BP516" s="500"/>
      <c r="BQ516" s="500"/>
      <c r="BR516" s="500"/>
      <c r="BS516" s="500"/>
      <c r="BT516" s="500"/>
      <c r="BU516" s="500"/>
      <c r="BV516" s="500"/>
    </row>
    <row r="517" ht="14.25" customHeight="1">
      <c r="A517" s="500"/>
      <c r="B517" s="500"/>
      <c r="C517" s="500"/>
      <c r="D517" s="500"/>
      <c r="E517" s="500"/>
      <c r="F517" s="500"/>
      <c r="G517" s="500"/>
      <c r="H517" s="500"/>
      <c r="I517" s="500"/>
      <c r="J517" s="500"/>
      <c r="K517" s="500"/>
      <c r="L517" s="500"/>
      <c r="M517" s="500"/>
      <c r="N517" s="500"/>
      <c r="O517" s="500"/>
      <c r="P517" s="500"/>
      <c r="Q517" s="500"/>
      <c r="R517" s="500"/>
      <c r="S517" s="500"/>
      <c r="T517" s="500"/>
      <c r="U517" s="500"/>
      <c r="V517" s="500"/>
      <c r="W517" s="500"/>
      <c r="X517" s="500"/>
      <c r="Y517" s="500"/>
      <c r="Z517" s="501"/>
      <c r="AA517" s="501"/>
      <c r="AB517" s="501"/>
      <c r="AC517" s="501"/>
      <c r="AD517" s="500"/>
      <c r="AE517" s="500"/>
      <c r="AF517" s="503"/>
      <c r="AG517" s="503"/>
      <c r="AH517" s="504"/>
      <c r="AI517" s="500"/>
      <c r="AJ517" s="500"/>
      <c r="AK517" s="500"/>
      <c r="AL517" s="500"/>
      <c r="AM517" s="500"/>
      <c r="AN517" s="500"/>
      <c r="AO517" s="500"/>
      <c r="AP517" s="500"/>
      <c r="AQ517" s="500"/>
      <c r="AR517" s="500"/>
      <c r="AS517" s="500"/>
      <c r="AT517" s="500"/>
      <c r="AU517" s="500"/>
      <c r="AV517" s="500"/>
      <c r="AW517" s="500"/>
      <c r="AX517" s="500"/>
      <c r="AY517" s="500"/>
      <c r="AZ517" s="500"/>
      <c r="BA517" s="500"/>
      <c r="BB517" s="500"/>
      <c r="BC517" s="500"/>
      <c r="BD517" s="500"/>
      <c r="BE517" s="500"/>
      <c r="BF517" s="500"/>
      <c r="BG517" s="500"/>
      <c r="BH517" s="500"/>
      <c r="BI517" s="500"/>
      <c r="BJ517" s="500"/>
      <c r="BK517" s="500"/>
      <c r="BL517" s="500"/>
      <c r="BM517" s="500"/>
      <c r="BN517" s="500"/>
      <c r="BO517" s="500"/>
      <c r="BP517" s="500"/>
      <c r="BQ517" s="500"/>
      <c r="BR517" s="500"/>
      <c r="BS517" s="500"/>
      <c r="BT517" s="500"/>
      <c r="BU517" s="500"/>
      <c r="BV517" s="500"/>
    </row>
    <row r="518" ht="14.25" customHeight="1">
      <c r="A518" s="500"/>
      <c r="B518" s="500"/>
      <c r="C518" s="500"/>
      <c r="D518" s="500"/>
      <c r="E518" s="500"/>
      <c r="F518" s="500"/>
      <c r="G518" s="500"/>
      <c r="H518" s="500"/>
      <c r="I518" s="500"/>
      <c r="J518" s="500"/>
      <c r="K518" s="500"/>
      <c r="L518" s="500"/>
      <c r="M518" s="500"/>
      <c r="N518" s="500"/>
      <c r="O518" s="500"/>
      <c r="P518" s="500"/>
      <c r="Q518" s="500"/>
      <c r="R518" s="500"/>
      <c r="S518" s="500"/>
      <c r="T518" s="500"/>
      <c r="U518" s="500"/>
      <c r="V518" s="500"/>
      <c r="W518" s="500"/>
      <c r="X518" s="500"/>
      <c r="Y518" s="500"/>
      <c r="Z518" s="501"/>
      <c r="AA518" s="501"/>
      <c r="AB518" s="501"/>
      <c r="AC518" s="501"/>
      <c r="AD518" s="500"/>
      <c r="AE518" s="500"/>
      <c r="AF518" s="503"/>
      <c r="AG518" s="503"/>
      <c r="AH518" s="504"/>
      <c r="AI518" s="500"/>
      <c r="AJ518" s="500"/>
      <c r="AK518" s="500"/>
      <c r="AL518" s="500"/>
      <c r="AM518" s="500"/>
      <c r="AN518" s="500"/>
      <c r="AO518" s="500"/>
      <c r="AP518" s="500"/>
      <c r="AQ518" s="500"/>
      <c r="AR518" s="500"/>
      <c r="AS518" s="500"/>
      <c r="AT518" s="500"/>
      <c r="AU518" s="500"/>
      <c r="AV518" s="500"/>
      <c r="AW518" s="500"/>
      <c r="AX518" s="500"/>
      <c r="AY518" s="500"/>
      <c r="AZ518" s="500"/>
      <c r="BA518" s="500"/>
      <c r="BB518" s="500"/>
      <c r="BC518" s="500"/>
      <c r="BD518" s="500"/>
      <c r="BE518" s="500"/>
      <c r="BF518" s="500"/>
      <c r="BG518" s="500"/>
      <c r="BH518" s="500"/>
      <c r="BI518" s="500"/>
      <c r="BJ518" s="500"/>
      <c r="BK518" s="500"/>
      <c r="BL518" s="500"/>
      <c r="BM518" s="500"/>
      <c r="BN518" s="500"/>
      <c r="BO518" s="500"/>
      <c r="BP518" s="500"/>
      <c r="BQ518" s="500"/>
      <c r="BR518" s="500"/>
      <c r="BS518" s="500"/>
      <c r="BT518" s="500"/>
      <c r="BU518" s="500"/>
      <c r="BV518" s="500"/>
    </row>
    <row r="519" ht="14.25" customHeight="1">
      <c r="A519" s="500"/>
      <c r="B519" s="500"/>
      <c r="C519" s="500"/>
      <c r="D519" s="500"/>
      <c r="E519" s="500"/>
      <c r="F519" s="500"/>
      <c r="G519" s="500"/>
      <c r="H519" s="500"/>
      <c r="I519" s="500"/>
      <c r="J519" s="500"/>
      <c r="K519" s="500"/>
      <c r="L519" s="500"/>
      <c r="M519" s="500"/>
      <c r="N519" s="500"/>
      <c r="O519" s="500"/>
      <c r="P519" s="500"/>
      <c r="Q519" s="500"/>
      <c r="R519" s="500"/>
      <c r="S519" s="500"/>
      <c r="T519" s="500"/>
      <c r="U519" s="500"/>
      <c r="V519" s="500"/>
      <c r="W519" s="500"/>
      <c r="X519" s="500"/>
      <c r="Y519" s="500"/>
      <c r="Z519" s="501"/>
      <c r="AA519" s="501"/>
      <c r="AB519" s="501"/>
      <c r="AC519" s="501"/>
      <c r="AD519" s="500"/>
      <c r="AE519" s="500"/>
      <c r="AF519" s="503"/>
      <c r="AG519" s="503"/>
      <c r="AH519" s="504"/>
      <c r="AI519" s="500"/>
      <c r="AJ519" s="500"/>
      <c r="AK519" s="500"/>
      <c r="AL519" s="500"/>
      <c r="AM519" s="500"/>
      <c r="AN519" s="500"/>
      <c r="AO519" s="500"/>
      <c r="AP519" s="500"/>
      <c r="AQ519" s="500"/>
      <c r="AR519" s="500"/>
      <c r="AS519" s="500"/>
      <c r="AT519" s="500"/>
      <c r="AU519" s="500"/>
      <c r="AV519" s="500"/>
      <c r="AW519" s="500"/>
      <c r="AX519" s="500"/>
      <c r="AY519" s="500"/>
      <c r="AZ519" s="500"/>
      <c r="BA519" s="500"/>
      <c r="BB519" s="500"/>
      <c r="BC519" s="500"/>
      <c r="BD519" s="500"/>
      <c r="BE519" s="500"/>
      <c r="BF519" s="500"/>
      <c r="BG519" s="500"/>
      <c r="BH519" s="500"/>
      <c r="BI519" s="500"/>
      <c r="BJ519" s="500"/>
      <c r="BK519" s="500"/>
      <c r="BL519" s="500"/>
      <c r="BM519" s="500"/>
      <c r="BN519" s="500"/>
      <c r="BO519" s="500"/>
      <c r="BP519" s="500"/>
      <c r="BQ519" s="500"/>
      <c r="BR519" s="500"/>
      <c r="BS519" s="500"/>
      <c r="BT519" s="500"/>
      <c r="BU519" s="500"/>
      <c r="BV519" s="500"/>
    </row>
    <row r="520" ht="14.25" customHeight="1">
      <c r="A520" s="500"/>
      <c r="B520" s="500"/>
      <c r="C520" s="500"/>
      <c r="D520" s="500"/>
      <c r="E520" s="500"/>
      <c r="F520" s="500"/>
      <c r="G520" s="500"/>
      <c r="H520" s="500"/>
      <c r="I520" s="500"/>
      <c r="J520" s="500"/>
      <c r="K520" s="500"/>
      <c r="L520" s="500"/>
      <c r="M520" s="500"/>
      <c r="N520" s="500"/>
      <c r="O520" s="500"/>
      <c r="P520" s="500"/>
      <c r="Q520" s="500"/>
      <c r="R520" s="500"/>
      <c r="S520" s="500"/>
      <c r="T520" s="500"/>
      <c r="U520" s="500"/>
      <c r="V520" s="500"/>
      <c r="W520" s="500"/>
      <c r="X520" s="500"/>
      <c r="Y520" s="500"/>
      <c r="Z520" s="501"/>
      <c r="AA520" s="501"/>
      <c r="AB520" s="501"/>
      <c r="AC520" s="501"/>
      <c r="AD520" s="500"/>
      <c r="AE520" s="500"/>
      <c r="AF520" s="503"/>
      <c r="AG520" s="503"/>
      <c r="AH520" s="504"/>
      <c r="AI520" s="500"/>
      <c r="AJ520" s="500"/>
      <c r="AK520" s="500"/>
      <c r="AL520" s="500"/>
      <c r="AM520" s="500"/>
      <c r="AN520" s="500"/>
      <c r="AO520" s="500"/>
      <c r="AP520" s="500"/>
      <c r="AQ520" s="500"/>
      <c r="AR520" s="500"/>
      <c r="AS520" s="500"/>
      <c r="AT520" s="500"/>
      <c r="AU520" s="500"/>
      <c r="AV520" s="500"/>
      <c r="AW520" s="500"/>
      <c r="AX520" s="500"/>
      <c r="AY520" s="500"/>
      <c r="AZ520" s="500"/>
      <c r="BA520" s="500"/>
      <c r="BB520" s="500"/>
      <c r="BC520" s="500"/>
      <c r="BD520" s="500"/>
      <c r="BE520" s="500"/>
      <c r="BF520" s="500"/>
      <c r="BG520" s="500"/>
      <c r="BH520" s="500"/>
      <c r="BI520" s="500"/>
      <c r="BJ520" s="500"/>
      <c r="BK520" s="500"/>
      <c r="BL520" s="500"/>
      <c r="BM520" s="500"/>
      <c r="BN520" s="500"/>
      <c r="BO520" s="500"/>
      <c r="BP520" s="500"/>
      <c r="BQ520" s="500"/>
      <c r="BR520" s="500"/>
      <c r="BS520" s="500"/>
      <c r="BT520" s="500"/>
      <c r="BU520" s="500"/>
      <c r="BV520" s="500"/>
    </row>
    <row r="521" ht="14.25" customHeight="1">
      <c r="A521" s="500"/>
      <c r="B521" s="500"/>
      <c r="C521" s="500"/>
      <c r="D521" s="500"/>
      <c r="E521" s="500"/>
      <c r="F521" s="500"/>
      <c r="G521" s="500"/>
      <c r="H521" s="500"/>
      <c r="I521" s="500"/>
      <c r="J521" s="500"/>
      <c r="K521" s="500"/>
      <c r="L521" s="500"/>
      <c r="M521" s="500"/>
      <c r="N521" s="500"/>
      <c r="O521" s="500"/>
      <c r="P521" s="500"/>
      <c r="Q521" s="500"/>
      <c r="R521" s="500"/>
      <c r="S521" s="500"/>
      <c r="T521" s="500"/>
      <c r="U521" s="500"/>
      <c r="V521" s="500"/>
      <c r="W521" s="500"/>
      <c r="X521" s="500"/>
      <c r="Y521" s="500"/>
      <c r="Z521" s="501"/>
      <c r="AA521" s="501"/>
      <c r="AB521" s="501"/>
      <c r="AC521" s="501"/>
      <c r="AD521" s="500"/>
      <c r="AE521" s="500"/>
      <c r="AF521" s="503"/>
      <c r="AG521" s="503"/>
      <c r="AH521" s="504"/>
      <c r="AI521" s="500"/>
      <c r="AJ521" s="500"/>
      <c r="AK521" s="500"/>
      <c r="AL521" s="500"/>
      <c r="AM521" s="500"/>
      <c r="AN521" s="500"/>
      <c r="AO521" s="500"/>
      <c r="AP521" s="500"/>
      <c r="AQ521" s="500"/>
      <c r="AR521" s="500"/>
      <c r="AS521" s="500"/>
      <c r="AT521" s="500"/>
      <c r="AU521" s="500"/>
      <c r="AV521" s="500"/>
      <c r="AW521" s="500"/>
      <c r="AX521" s="500"/>
      <c r="AY521" s="500"/>
      <c r="AZ521" s="500"/>
      <c r="BA521" s="500"/>
      <c r="BB521" s="500"/>
      <c r="BC521" s="500"/>
      <c r="BD521" s="500"/>
      <c r="BE521" s="500"/>
      <c r="BF521" s="500"/>
      <c r="BG521" s="500"/>
      <c r="BH521" s="500"/>
      <c r="BI521" s="500"/>
      <c r="BJ521" s="500"/>
      <c r="BK521" s="500"/>
      <c r="BL521" s="500"/>
      <c r="BM521" s="500"/>
      <c r="BN521" s="500"/>
      <c r="BO521" s="500"/>
      <c r="BP521" s="500"/>
      <c r="BQ521" s="500"/>
      <c r="BR521" s="500"/>
      <c r="BS521" s="500"/>
      <c r="BT521" s="500"/>
      <c r="BU521" s="500"/>
      <c r="BV521" s="500"/>
    </row>
    <row r="522" ht="14.25" customHeight="1">
      <c r="A522" s="500"/>
      <c r="B522" s="500"/>
      <c r="C522" s="500"/>
      <c r="D522" s="500"/>
      <c r="E522" s="500"/>
      <c r="F522" s="500"/>
      <c r="G522" s="500"/>
      <c r="H522" s="500"/>
      <c r="I522" s="500"/>
      <c r="J522" s="500"/>
      <c r="K522" s="500"/>
      <c r="L522" s="500"/>
      <c r="M522" s="500"/>
      <c r="N522" s="500"/>
      <c r="O522" s="500"/>
      <c r="P522" s="500"/>
      <c r="Q522" s="500"/>
      <c r="R522" s="500"/>
      <c r="S522" s="500"/>
      <c r="T522" s="500"/>
      <c r="U522" s="500"/>
      <c r="V522" s="500"/>
      <c r="W522" s="500"/>
      <c r="X522" s="500"/>
      <c r="Y522" s="500"/>
      <c r="Z522" s="501"/>
      <c r="AA522" s="501"/>
      <c r="AB522" s="501"/>
      <c r="AC522" s="501"/>
      <c r="AD522" s="500"/>
      <c r="AE522" s="500"/>
      <c r="AF522" s="503"/>
      <c r="AG522" s="503"/>
      <c r="AH522" s="504"/>
      <c r="AI522" s="500"/>
      <c r="AJ522" s="500"/>
      <c r="AK522" s="500"/>
      <c r="AL522" s="500"/>
      <c r="AM522" s="500"/>
      <c r="AN522" s="500"/>
      <c r="AO522" s="500"/>
      <c r="AP522" s="500"/>
      <c r="AQ522" s="500"/>
      <c r="AR522" s="500"/>
      <c r="AS522" s="500"/>
      <c r="AT522" s="500"/>
      <c r="AU522" s="500"/>
      <c r="AV522" s="500"/>
      <c r="AW522" s="500"/>
      <c r="AX522" s="500"/>
      <c r="AY522" s="500"/>
      <c r="AZ522" s="500"/>
      <c r="BA522" s="500"/>
      <c r="BB522" s="500"/>
      <c r="BC522" s="500"/>
      <c r="BD522" s="500"/>
      <c r="BE522" s="500"/>
      <c r="BF522" s="500"/>
      <c r="BG522" s="500"/>
      <c r="BH522" s="500"/>
      <c r="BI522" s="500"/>
      <c r="BJ522" s="500"/>
      <c r="BK522" s="500"/>
      <c r="BL522" s="500"/>
      <c r="BM522" s="500"/>
      <c r="BN522" s="500"/>
      <c r="BO522" s="500"/>
      <c r="BP522" s="500"/>
      <c r="BQ522" s="500"/>
      <c r="BR522" s="500"/>
      <c r="BS522" s="500"/>
      <c r="BT522" s="500"/>
      <c r="BU522" s="500"/>
      <c r="BV522" s="500"/>
    </row>
    <row r="523" ht="14.25" customHeight="1">
      <c r="A523" s="500"/>
      <c r="B523" s="500"/>
      <c r="C523" s="500"/>
      <c r="D523" s="500"/>
      <c r="E523" s="500"/>
      <c r="F523" s="500"/>
      <c r="G523" s="500"/>
      <c r="H523" s="500"/>
      <c r="I523" s="500"/>
      <c r="J523" s="500"/>
      <c r="K523" s="500"/>
      <c r="L523" s="500"/>
      <c r="M523" s="500"/>
      <c r="N523" s="500"/>
      <c r="O523" s="500"/>
      <c r="P523" s="500"/>
      <c r="Q523" s="500"/>
      <c r="R523" s="500"/>
      <c r="S523" s="500"/>
      <c r="T523" s="500"/>
      <c r="U523" s="500"/>
      <c r="V523" s="500"/>
      <c r="W523" s="500"/>
      <c r="X523" s="500"/>
      <c r="Y523" s="500"/>
      <c r="Z523" s="501"/>
      <c r="AA523" s="501"/>
      <c r="AB523" s="501"/>
      <c r="AC523" s="501"/>
      <c r="AD523" s="500"/>
      <c r="AE523" s="500"/>
      <c r="AF523" s="503"/>
      <c r="AG523" s="503"/>
      <c r="AH523" s="504"/>
      <c r="AI523" s="500"/>
      <c r="AJ523" s="500"/>
      <c r="AK523" s="500"/>
      <c r="AL523" s="500"/>
      <c r="AM523" s="500"/>
      <c r="AN523" s="500"/>
      <c r="AO523" s="500"/>
      <c r="AP523" s="500"/>
      <c r="AQ523" s="500"/>
      <c r="AR523" s="500"/>
      <c r="AS523" s="500"/>
      <c r="AT523" s="500"/>
      <c r="AU523" s="500"/>
      <c r="AV523" s="500"/>
      <c r="AW523" s="500"/>
      <c r="AX523" s="500"/>
      <c r="AY523" s="500"/>
      <c r="AZ523" s="500"/>
      <c r="BA523" s="500"/>
      <c r="BB523" s="500"/>
      <c r="BC523" s="500"/>
      <c r="BD523" s="500"/>
      <c r="BE523" s="500"/>
      <c r="BF523" s="500"/>
      <c r="BG523" s="500"/>
      <c r="BH523" s="500"/>
      <c r="BI523" s="500"/>
      <c r="BJ523" s="500"/>
      <c r="BK523" s="500"/>
      <c r="BL523" s="500"/>
      <c r="BM523" s="500"/>
      <c r="BN523" s="500"/>
      <c r="BO523" s="500"/>
      <c r="BP523" s="500"/>
      <c r="BQ523" s="500"/>
      <c r="BR523" s="500"/>
      <c r="BS523" s="500"/>
      <c r="BT523" s="500"/>
      <c r="BU523" s="500"/>
      <c r="BV523" s="500"/>
    </row>
    <row r="524" ht="14.25" customHeight="1">
      <c r="A524" s="500"/>
      <c r="B524" s="500"/>
      <c r="C524" s="500"/>
      <c r="D524" s="500"/>
      <c r="E524" s="500"/>
      <c r="F524" s="500"/>
      <c r="G524" s="500"/>
      <c r="H524" s="500"/>
      <c r="I524" s="500"/>
      <c r="J524" s="500"/>
      <c r="K524" s="500"/>
      <c r="L524" s="500"/>
      <c r="M524" s="500"/>
      <c r="N524" s="500"/>
      <c r="O524" s="500"/>
      <c r="P524" s="500"/>
      <c r="Q524" s="500"/>
      <c r="R524" s="500"/>
      <c r="S524" s="500"/>
      <c r="T524" s="500"/>
      <c r="U524" s="500"/>
      <c r="V524" s="500"/>
      <c r="W524" s="500"/>
      <c r="X524" s="500"/>
      <c r="Y524" s="500"/>
      <c r="Z524" s="501"/>
      <c r="AA524" s="501"/>
      <c r="AB524" s="501"/>
      <c r="AC524" s="501"/>
      <c r="AD524" s="500"/>
      <c r="AE524" s="500"/>
      <c r="AF524" s="503"/>
      <c r="AG524" s="503"/>
      <c r="AH524" s="504"/>
      <c r="AI524" s="500"/>
      <c r="AJ524" s="500"/>
      <c r="AK524" s="500"/>
      <c r="AL524" s="500"/>
      <c r="AM524" s="500"/>
      <c r="AN524" s="500"/>
      <c r="AO524" s="500"/>
      <c r="AP524" s="500"/>
      <c r="AQ524" s="500"/>
      <c r="AR524" s="500"/>
      <c r="AS524" s="500"/>
      <c r="AT524" s="500"/>
      <c r="AU524" s="500"/>
      <c r="AV524" s="500"/>
      <c r="AW524" s="500"/>
      <c r="AX524" s="500"/>
      <c r="AY524" s="500"/>
      <c r="AZ524" s="500"/>
      <c r="BA524" s="500"/>
      <c r="BB524" s="500"/>
      <c r="BC524" s="500"/>
      <c r="BD524" s="500"/>
      <c r="BE524" s="500"/>
      <c r="BF524" s="500"/>
      <c r="BG524" s="500"/>
      <c r="BH524" s="500"/>
      <c r="BI524" s="500"/>
      <c r="BJ524" s="500"/>
      <c r="BK524" s="500"/>
      <c r="BL524" s="500"/>
      <c r="BM524" s="500"/>
      <c r="BN524" s="500"/>
      <c r="BO524" s="500"/>
      <c r="BP524" s="500"/>
      <c r="BQ524" s="500"/>
      <c r="BR524" s="500"/>
      <c r="BS524" s="500"/>
      <c r="BT524" s="500"/>
      <c r="BU524" s="500"/>
      <c r="BV524" s="500"/>
    </row>
    <row r="525" ht="14.25" customHeight="1">
      <c r="A525" s="500"/>
      <c r="B525" s="500"/>
      <c r="C525" s="500"/>
      <c r="D525" s="500"/>
      <c r="E525" s="500"/>
      <c r="F525" s="500"/>
      <c r="G525" s="500"/>
      <c r="H525" s="500"/>
      <c r="I525" s="500"/>
      <c r="J525" s="500"/>
      <c r="K525" s="500"/>
      <c r="L525" s="500"/>
      <c r="M525" s="500"/>
      <c r="N525" s="500"/>
      <c r="O525" s="500"/>
      <c r="P525" s="500"/>
      <c r="Q525" s="500"/>
      <c r="R525" s="500"/>
      <c r="S525" s="500"/>
      <c r="T525" s="500"/>
      <c r="U525" s="500"/>
      <c r="V525" s="500"/>
      <c r="W525" s="500"/>
      <c r="X525" s="500"/>
      <c r="Y525" s="500"/>
      <c r="Z525" s="501"/>
      <c r="AA525" s="501"/>
      <c r="AB525" s="501"/>
      <c r="AC525" s="501"/>
      <c r="AD525" s="500"/>
      <c r="AE525" s="500"/>
      <c r="AF525" s="503"/>
      <c r="AG525" s="503"/>
      <c r="AH525" s="504"/>
      <c r="AI525" s="500"/>
      <c r="AJ525" s="500"/>
      <c r="AK525" s="500"/>
      <c r="AL525" s="500"/>
      <c r="AM525" s="500"/>
      <c r="AN525" s="500"/>
      <c r="AO525" s="500"/>
      <c r="AP525" s="500"/>
      <c r="AQ525" s="500"/>
      <c r="AR525" s="500"/>
      <c r="AS525" s="500"/>
      <c r="AT525" s="500"/>
      <c r="AU525" s="500"/>
      <c r="AV525" s="500"/>
      <c r="AW525" s="500"/>
      <c r="AX525" s="500"/>
      <c r="AY525" s="500"/>
      <c r="AZ525" s="500"/>
      <c r="BA525" s="500"/>
      <c r="BB525" s="500"/>
      <c r="BC525" s="500"/>
      <c r="BD525" s="500"/>
      <c r="BE525" s="500"/>
      <c r="BF525" s="500"/>
      <c r="BG525" s="500"/>
      <c r="BH525" s="500"/>
      <c r="BI525" s="500"/>
      <c r="BJ525" s="500"/>
      <c r="BK525" s="500"/>
      <c r="BL525" s="500"/>
      <c r="BM525" s="500"/>
      <c r="BN525" s="500"/>
      <c r="BO525" s="500"/>
      <c r="BP525" s="500"/>
      <c r="BQ525" s="500"/>
      <c r="BR525" s="500"/>
      <c r="BS525" s="500"/>
      <c r="BT525" s="500"/>
      <c r="BU525" s="500"/>
      <c r="BV525" s="500"/>
    </row>
    <row r="526" ht="14.25" customHeight="1">
      <c r="A526" s="500"/>
      <c r="B526" s="500"/>
      <c r="C526" s="500"/>
      <c r="D526" s="500"/>
      <c r="E526" s="500"/>
      <c r="F526" s="500"/>
      <c r="G526" s="500"/>
      <c r="H526" s="500"/>
      <c r="I526" s="500"/>
      <c r="J526" s="500"/>
      <c r="K526" s="500"/>
      <c r="L526" s="500"/>
      <c r="M526" s="500"/>
      <c r="N526" s="500"/>
      <c r="O526" s="500"/>
      <c r="P526" s="500"/>
      <c r="Q526" s="500"/>
      <c r="R526" s="500"/>
      <c r="S526" s="500"/>
      <c r="T526" s="500"/>
      <c r="U526" s="500"/>
      <c r="V526" s="500"/>
      <c r="W526" s="500"/>
      <c r="X526" s="500"/>
      <c r="Y526" s="500"/>
      <c r="Z526" s="501"/>
      <c r="AA526" s="501"/>
      <c r="AB526" s="501"/>
      <c r="AC526" s="501"/>
      <c r="AD526" s="500"/>
      <c r="AE526" s="500"/>
      <c r="AF526" s="503"/>
      <c r="AG526" s="503"/>
      <c r="AH526" s="504"/>
      <c r="AI526" s="500"/>
      <c r="AJ526" s="500"/>
      <c r="AK526" s="500"/>
      <c r="AL526" s="500"/>
      <c r="AM526" s="500"/>
      <c r="AN526" s="500"/>
      <c r="AO526" s="500"/>
      <c r="AP526" s="500"/>
      <c r="AQ526" s="500"/>
      <c r="AR526" s="500"/>
      <c r="AS526" s="500"/>
      <c r="AT526" s="500"/>
      <c r="AU526" s="500"/>
      <c r="AV526" s="500"/>
      <c r="AW526" s="500"/>
      <c r="AX526" s="500"/>
      <c r="AY526" s="500"/>
      <c r="AZ526" s="500"/>
      <c r="BA526" s="500"/>
      <c r="BB526" s="500"/>
      <c r="BC526" s="500"/>
      <c r="BD526" s="500"/>
      <c r="BE526" s="500"/>
      <c r="BF526" s="500"/>
      <c r="BG526" s="500"/>
      <c r="BH526" s="500"/>
      <c r="BI526" s="500"/>
      <c r="BJ526" s="500"/>
      <c r="BK526" s="500"/>
      <c r="BL526" s="500"/>
      <c r="BM526" s="500"/>
      <c r="BN526" s="500"/>
      <c r="BO526" s="500"/>
      <c r="BP526" s="500"/>
      <c r="BQ526" s="500"/>
      <c r="BR526" s="500"/>
      <c r="BS526" s="500"/>
      <c r="BT526" s="500"/>
      <c r="BU526" s="500"/>
      <c r="BV526" s="500"/>
    </row>
    <row r="527" ht="14.25" customHeight="1">
      <c r="A527" s="500"/>
      <c r="B527" s="500"/>
      <c r="C527" s="500"/>
      <c r="D527" s="500"/>
      <c r="E527" s="500"/>
      <c r="F527" s="500"/>
      <c r="G527" s="500"/>
      <c r="H527" s="500"/>
      <c r="I527" s="500"/>
      <c r="J527" s="500"/>
      <c r="K527" s="500"/>
      <c r="L527" s="500"/>
      <c r="M527" s="500"/>
      <c r="N527" s="500"/>
      <c r="O527" s="500"/>
      <c r="P527" s="500"/>
      <c r="Q527" s="500"/>
      <c r="R527" s="500"/>
      <c r="S527" s="500"/>
      <c r="T527" s="500"/>
      <c r="U527" s="500"/>
      <c r="V527" s="500"/>
      <c r="W527" s="500"/>
      <c r="X527" s="500"/>
      <c r="Y527" s="500"/>
      <c r="Z527" s="501"/>
      <c r="AA527" s="501"/>
      <c r="AB527" s="501"/>
      <c r="AC527" s="501"/>
      <c r="AD527" s="500"/>
      <c r="AE527" s="500"/>
      <c r="AF527" s="503"/>
      <c r="AG527" s="503"/>
      <c r="AH527" s="504"/>
      <c r="AI527" s="500"/>
      <c r="AJ527" s="500"/>
      <c r="AK527" s="500"/>
      <c r="AL527" s="500"/>
      <c r="AM527" s="500"/>
      <c r="AN527" s="500"/>
      <c r="AO527" s="500"/>
      <c r="AP527" s="500"/>
      <c r="AQ527" s="500"/>
      <c r="AR527" s="500"/>
      <c r="AS527" s="500"/>
      <c r="AT527" s="500"/>
      <c r="AU527" s="500"/>
      <c r="AV527" s="500"/>
      <c r="AW527" s="500"/>
      <c r="AX527" s="500"/>
      <c r="AY527" s="500"/>
      <c r="AZ527" s="500"/>
      <c r="BA527" s="500"/>
      <c r="BB527" s="500"/>
      <c r="BC527" s="500"/>
      <c r="BD527" s="500"/>
      <c r="BE527" s="500"/>
      <c r="BF527" s="500"/>
      <c r="BG527" s="500"/>
      <c r="BH527" s="500"/>
      <c r="BI527" s="500"/>
      <c r="BJ527" s="500"/>
      <c r="BK527" s="500"/>
      <c r="BL527" s="500"/>
      <c r="BM527" s="500"/>
      <c r="BN527" s="500"/>
      <c r="BO527" s="500"/>
      <c r="BP527" s="500"/>
      <c r="BQ527" s="500"/>
      <c r="BR527" s="500"/>
      <c r="BS527" s="500"/>
      <c r="BT527" s="500"/>
      <c r="BU527" s="500"/>
      <c r="BV527" s="500"/>
    </row>
    <row r="528" ht="14.25" customHeight="1">
      <c r="A528" s="500"/>
      <c r="B528" s="500"/>
      <c r="C528" s="500"/>
      <c r="D528" s="500"/>
      <c r="E528" s="500"/>
      <c r="F528" s="500"/>
      <c r="G528" s="500"/>
      <c r="H528" s="500"/>
      <c r="I528" s="500"/>
      <c r="J528" s="500"/>
      <c r="K528" s="500"/>
      <c r="L528" s="500"/>
      <c r="M528" s="500"/>
      <c r="N528" s="500"/>
      <c r="O528" s="500"/>
      <c r="P528" s="500"/>
      <c r="Q528" s="500"/>
      <c r="R528" s="500"/>
      <c r="S528" s="500"/>
      <c r="T528" s="500"/>
      <c r="U528" s="500"/>
      <c r="V528" s="500"/>
      <c r="W528" s="500"/>
      <c r="X528" s="500"/>
      <c r="Y528" s="500"/>
      <c r="Z528" s="501"/>
      <c r="AA528" s="501"/>
      <c r="AB528" s="501"/>
      <c r="AC528" s="501"/>
      <c r="AD528" s="500"/>
      <c r="AE528" s="500"/>
      <c r="AF528" s="503"/>
      <c r="AG528" s="503"/>
      <c r="AH528" s="504"/>
      <c r="AI528" s="500"/>
      <c r="AJ528" s="500"/>
      <c r="AK528" s="500"/>
      <c r="AL528" s="500"/>
      <c r="AM528" s="500"/>
      <c r="AN528" s="500"/>
      <c r="AO528" s="500"/>
      <c r="AP528" s="500"/>
      <c r="AQ528" s="500"/>
      <c r="AR528" s="500"/>
      <c r="AS528" s="500"/>
      <c r="AT528" s="500"/>
      <c r="AU528" s="500"/>
      <c r="AV528" s="500"/>
      <c r="AW528" s="500"/>
      <c r="AX528" s="500"/>
      <c r="AY528" s="500"/>
      <c r="AZ528" s="500"/>
      <c r="BA528" s="500"/>
      <c r="BB528" s="500"/>
      <c r="BC528" s="500"/>
      <c r="BD528" s="500"/>
      <c r="BE528" s="500"/>
      <c r="BF528" s="500"/>
      <c r="BG528" s="500"/>
      <c r="BH528" s="500"/>
      <c r="BI528" s="500"/>
      <c r="BJ528" s="500"/>
      <c r="BK528" s="500"/>
      <c r="BL528" s="500"/>
      <c r="BM528" s="500"/>
      <c r="BN528" s="500"/>
      <c r="BO528" s="500"/>
      <c r="BP528" s="500"/>
      <c r="BQ528" s="500"/>
      <c r="BR528" s="500"/>
      <c r="BS528" s="500"/>
      <c r="BT528" s="500"/>
      <c r="BU528" s="500"/>
      <c r="BV528" s="500"/>
    </row>
    <row r="529" ht="14.25" customHeight="1">
      <c r="A529" s="500"/>
      <c r="B529" s="500"/>
      <c r="C529" s="500"/>
      <c r="D529" s="500"/>
      <c r="E529" s="500"/>
      <c r="F529" s="500"/>
      <c r="G529" s="500"/>
      <c r="H529" s="500"/>
      <c r="I529" s="500"/>
      <c r="J529" s="500"/>
      <c r="K529" s="500"/>
      <c r="L529" s="500"/>
      <c r="M529" s="500"/>
      <c r="N529" s="500"/>
      <c r="O529" s="500"/>
      <c r="P529" s="500"/>
      <c r="Q529" s="500"/>
      <c r="R529" s="500"/>
      <c r="S529" s="500"/>
      <c r="T529" s="500"/>
      <c r="U529" s="500"/>
      <c r="V529" s="500"/>
      <c r="W529" s="500"/>
      <c r="X529" s="500"/>
      <c r="Y529" s="500"/>
      <c r="Z529" s="501"/>
      <c r="AA529" s="501"/>
      <c r="AB529" s="501"/>
      <c r="AC529" s="501"/>
      <c r="AD529" s="500"/>
      <c r="AE529" s="500"/>
      <c r="AF529" s="503"/>
      <c r="AG529" s="503"/>
      <c r="AH529" s="504"/>
      <c r="AI529" s="500"/>
      <c r="AJ529" s="500"/>
      <c r="AK529" s="500"/>
      <c r="AL529" s="500"/>
      <c r="AM529" s="500"/>
      <c r="AN529" s="500"/>
      <c r="AO529" s="500"/>
      <c r="AP529" s="500"/>
      <c r="AQ529" s="500"/>
      <c r="AR529" s="500"/>
      <c r="AS529" s="500"/>
      <c r="AT529" s="500"/>
      <c r="AU529" s="500"/>
      <c r="AV529" s="500"/>
      <c r="AW529" s="500"/>
      <c r="AX529" s="500"/>
      <c r="AY529" s="500"/>
      <c r="AZ529" s="500"/>
      <c r="BA529" s="500"/>
      <c r="BB529" s="500"/>
      <c r="BC529" s="500"/>
      <c r="BD529" s="500"/>
      <c r="BE529" s="500"/>
      <c r="BF529" s="500"/>
      <c r="BG529" s="500"/>
      <c r="BH529" s="500"/>
      <c r="BI529" s="500"/>
      <c r="BJ529" s="500"/>
      <c r="BK529" s="500"/>
      <c r="BL529" s="500"/>
      <c r="BM529" s="500"/>
      <c r="BN529" s="500"/>
      <c r="BO529" s="500"/>
      <c r="BP529" s="500"/>
      <c r="BQ529" s="500"/>
      <c r="BR529" s="500"/>
      <c r="BS529" s="500"/>
      <c r="BT529" s="500"/>
      <c r="BU529" s="500"/>
      <c r="BV529" s="500"/>
    </row>
    <row r="530" ht="14.25" customHeight="1">
      <c r="A530" s="500"/>
      <c r="B530" s="500"/>
      <c r="C530" s="500"/>
      <c r="D530" s="500"/>
      <c r="E530" s="500"/>
      <c r="F530" s="500"/>
      <c r="G530" s="500"/>
      <c r="H530" s="500"/>
      <c r="I530" s="500"/>
      <c r="J530" s="500"/>
      <c r="K530" s="500"/>
      <c r="L530" s="500"/>
      <c r="M530" s="500"/>
      <c r="N530" s="500"/>
      <c r="O530" s="500"/>
      <c r="P530" s="500"/>
      <c r="Q530" s="500"/>
      <c r="R530" s="500"/>
      <c r="S530" s="500"/>
      <c r="T530" s="500"/>
      <c r="U530" s="500"/>
      <c r="V530" s="500"/>
      <c r="W530" s="500"/>
      <c r="X530" s="500"/>
      <c r="Y530" s="500"/>
      <c r="Z530" s="501"/>
      <c r="AA530" s="501"/>
      <c r="AB530" s="501"/>
      <c r="AC530" s="501"/>
      <c r="AD530" s="500"/>
      <c r="AE530" s="500"/>
      <c r="AF530" s="503"/>
      <c r="AG530" s="503"/>
      <c r="AH530" s="504"/>
      <c r="AI530" s="500"/>
      <c r="AJ530" s="500"/>
      <c r="AK530" s="500"/>
      <c r="AL530" s="500"/>
      <c r="AM530" s="500"/>
      <c r="AN530" s="500"/>
      <c r="AO530" s="500"/>
      <c r="AP530" s="500"/>
      <c r="AQ530" s="500"/>
      <c r="AR530" s="500"/>
      <c r="AS530" s="500"/>
      <c r="AT530" s="500"/>
      <c r="AU530" s="500"/>
      <c r="AV530" s="500"/>
      <c r="AW530" s="500"/>
      <c r="AX530" s="500"/>
      <c r="AY530" s="500"/>
      <c r="AZ530" s="500"/>
      <c r="BA530" s="500"/>
      <c r="BB530" s="500"/>
      <c r="BC530" s="500"/>
      <c r="BD530" s="500"/>
      <c r="BE530" s="500"/>
      <c r="BF530" s="500"/>
      <c r="BG530" s="500"/>
      <c r="BH530" s="500"/>
      <c r="BI530" s="500"/>
      <c r="BJ530" s="500"/>
      <c r="BK530" s="500"/>
      <c r="BL530" s="500"/>
      <c r="BM530" s="500"/>
      <c r="BN530" s="500"/>
      <c r="BO530" s="500"/>
      <c r="BP530" s="500"/>
      <c r="BQ530" s="500"/>
      <c r="BR530" s="500"/>
      <c r="BS530" s="500"/>
      <c r="BT530" s="500"/>
      <c r="BU530" s="500"/>
      <c r="BV530" s="500"/>
    </row>
    <row r="531" ht="14.25" customHeight="1">
      <c r="A531" s="500"/>
      <c r="B531" s="500"/>
      <c r="C531" s="500"/>
      <c r="D531" s="500"/>
      <c r="E531" s="500"/>
      <c r="F531" s="500"/>
      <c r="G531" s="500"/>
      <c r="H531" s="500"/>
      <c r="I531" s="500"/>
      <c r="J531" s="500"/>
      <c r="K531" s="500"/>
      <c r="L531" s="500"/>
      <c r="M531" s="500"/>
      <c r="N531" s="500"/>
      <c r="O531" s="500"/>
      <c r="P531" s="500"/>
      <c r="Q531" s="500"/>
      <c r="R531" s="500"/>
      <c r="S531" s="500"/>
      <c r="T531" s="500"/>
      <c r="U531" s="500"/>
      <c r="V531" s="500"/>
      <c r="W531" s="500"/>
      <c r="X531" s="500"/>
      <c r="Y531" s="500"/>
      <c r="Z531" s="501"/>
      <c r="AA531" s="501"/>
      <c r="AB531" s="501"/>
      <c r="AC531" s="501"/>
      <c r="AD531" s="500"/>
      <c r="AE531" s="500"/>
      <c r="AF531" s="503"/>
      <c r="AG531" s="503"/>
      <c r="AH531" s="504"/>
      <c r="AI531" s="500"/>
      <c r="AJ531" s="500"/>
      <c r="AK531" s="500"/>
      <c r="AL531" s="500"/>
      <c r="AM531" s="500"/>
      <c r="AN531" s="500"/>
      <c r="AO531" s="500"/>
      <c r="AP531" s="500"/>
      <c r="AQ531" s="500"/>
      <c r="AR531" s="500"/>
      <c r="AS531" s="500"/>
      <c r="AT531" s="500"/>
      <c r="AU531" s="500"/>
      <c r="AV531" s="500"/>
      <c r="AW531" s="500"/>
      <c r="AX531" s="500"/>
      <c r="AY531" s="500"/>
      <c r="AZ531" s="500"/>
      <c r="BA531" s="500"/>
      <c r="BB531" s="500"/>
      <c r="BC531" s="500"/>
      <c r="BD531" s="500"/>
      <c r="BE531" s="500"/>
      <c r="BF531" s="500"/>
      <c r="BG531" s="500"/>
      <c r="BH531" s="500"/>
      <c r="BI531" s="500"/>
      <c r="BJ531" s="500"/>
      <c r="BK531" s="500"/>
      <c r="BL531" s="500"/>
      <c r="BM531" s="500"/>
      <c r="BN531" s="500"/>
      <c r="BO531" s="500"/>
      <c r="BP531" s="500"/>
      <c r="BQ531" s="500"/>
      <c r="BR531" s="500"/>
      <c r="BS531" s="500"/>
      <c r="BT531" s="500"/>
      <c r="BU531" s="500"/>
      <c r="BV531" s="500"/>
    </row>
    <row r="532" ht="14.25" customHeight="1">
      <c r="A532" s="500"/>
      <c r="B532" s="500"/>
      <c r="C532" s="500"/>
      <c r="D532" s="500"/>
      <c r="E532" s="500"/>
      <c r="F532" s="500"/>
      <c r="G532" s="500"/>
      <c r="H532" s="500"/>
      <c r="I532" s="500"/>
      <c r="J532" s="500"/>
      <c r="K532" s="500"/>
      <c r="L532" s="500"/>
      <c r="M532" s="500"/>
      <c r="N532" s="500"/>
      <c r="O532" s="500"/>
      <c r="P532" s="500"/>
      <c r="Q532" s="500"/>
      <c r="R532" s="500"/>
      <c r="S532" s="500"/>
      <c r="T532" s="500"/>
      <c r="U532" s="500"/>
      <c r="V532" s="500"/>
      <c r="W532" s="500"/>
      <c r="X532" s="500"/>
      <c r="Y532" s="500"/>
      <c r="Z532" s="501"/>
      <c r="AA532" s="501"/>
      <c r="AB532" s="501"/>
      <c r="AC532" s="501"/>
      <c r="AD532" s="500"/>
      <c r="AE532" s="500"/>
      <c r="AF532" s="503"/>
      <c r="AG532" s="503"/>
      <c r="AH532" s="504"/>
      <c r="AI532" s="500"/>
      <c r="AJ532" s="500"/>
      <c r="AK532" s="500"/>
      <c r="AL532" s="500"/>
      <c r="AM532" s="500"/>
      <c r="AN532" s="500"/>
      <c r="AO532" s="500"/>
      <c r="AP532" s="500"/>
      <c r="AQ532" s="500"/>
      <c r="AR532" s="500"/>
      <c r="AS532" s="500"/>
      <c r="AT532" s="500"/>
      <c r="AU532" s="500"/>
      <c r="AV532" s="500"/>
      <c r="AW532" s="500"/>
      <c r="AX532" s="500"/>
      <c r="AY532" s="500"/>
      <c r="AZ532" s="500"/>
      <c r="BA532" s="500"/>
      <c r="BB532" s="500"/>
      <c r="BC532" s="500"/>
      <c r="BD532" s="500"/>
      <c r="BE532" s="500"/>
      <c r="BF532" s="500"/>
      <c r="BG532" s="500"/>
      <c r="BH532" s="500"/>
      <c r="BI532" s="500"/>
      <c r="BJ532" s="500"/>
      <c r="BK532" s="500"/>
      <c r="BL532" s="500"/>
      <c r="BM532" s="500"/>
      <c r="BN532" s="500"/>
      <c r="BO532" s="500"/>
      <c r="BP532" s="500"/>
      <c r="BQ532" s="500"/>
      <c r="BR532" s="500"/>
      <c r="BS532" s="500"/>
      <c r="BT532" s="500"/>
      <c r="BU532" s="500"/>
      <c r="BV532" s="500"/>
    </row>
    <row r="533" ht="14.25" customHeight="1">
      <c r="A533" s="500"/>
      <c r="B533" s="500"/>
      <c r="C533" s="500"/>
      <c r="D533" s="500"/>
      <c r="E533" s="500"/>
      <c r="F533" s="500"/>
      <c r="G533" s="500"/>
      <c r="H533" s="500"/>
      <c r="I533" s="500"/>
      <c r="J533" s="500"/>
      <c r="K533" s="500"/>
      <c r="L533" s="500"/>
      <c r="M533" s="500"/>
      <c r="N533" s="500"/>
      <c r="O533" s="500"/>
      <c r="P533" s="500"/>
      <c r="Q533" s="500"/>
      <c r="R533" s="500"/>
      <c r="S533" s="500"/>
      <c r="T533" s="500"/>
      <c r="U533" s="500"/>
      <c r="V533" s="500"/>
      <c r="W533" s="500"/>
      <c r="X533" s="500"/>
      <c r="Y533" s="500"/>
      <c r="Z533" s="501"/>
      <c r="AA533" s="501"/>
      <c r="AB533" s="501"/>
      <c r="AC533" s="501"/>
      <c r="AD533" s="500"/>
      <c r="AE533" s="500"/>
      <c r="AF533" s="503"/>
      <c r="AG533" s="503"/>
      <c r="AH533" s="504"/>
      <c r="AI533" s="500"/>
      <c r="AJ533" s="500"/>
      <c r="AK533" s="500"/>
      <c r="AL533" s="500"/>
      <c r="AM533" s="500"/>
      <c r="AN533" s="500"/>
      <c r="AO533" s="500"/>
      <c r="AP533" s="500"/>
      <c r="AQ533" s="500"/>
      <c r="AR533" s="500"/>
      <c r="AS533" s="500"/>
      <c r="AT533" s="500"/>
      <c r="AU533" s="500"/>
      <c r="AV533" s="500"/>
      <c r="AW533" s="500"/>
      <c r="AX533" s="500"/>
      <c r="AY533" s="500"/>
      <c r="AZ533" s="500"/>
      <c r="BA533" s="500"/>
      <c r="BB533" s="500"/>
      <c r="BC533" s="500"/>
      <c r="BD533" s="500"/>
      <c r="BE533" s="500"/>
      <c r="BF533" s="500"/>
      <c r="BG533" s="500"/>
      <c r="BH533" s="500"/>
      <c r="BI533" s="500"/>
      <c r="BJ533" s="500"/>
      <c r="BK533" s="500"/>
      <c r="BL533" s="500"/>
      <c r="BM533" s="500"/>
      <c r="BN533" s="500"/>
      <c r="BO533" s="500"/>
      <c r="BP533" s="500"/>
      <c r="BQ533" s="500"/>
      <c r="BR533" s="500"/>
      <c r="BS533" s="500"/>
      <c r="BT533" s="500"/>
      <c r="BU533" s="500"/>
      <c r="BV533" s="500"/>
    </row>
    <row r="534" ht="14.25" customHeight="1">
      <c r="A534" s="500"/>
      <c r="B534" s="500"/>
      <c r="C534" s="500"/>
      <c r="D534" s="500"/>
      <c r="E534" s="500"/>
      <c r="F534" s="500"/>
      <c r="G534" s="500"/>
      <c r="H534" s="500"/>
      <c r="I534" s="500"/>
      <c r="J534" s="500"/>
      <c r="K534" s="500"/>
      <c r="L534" s="500"/>
      <c r="M534" s="500"/>
      <c r="N534" s="500"/>
      <c r="O534" s="500"/>
      <c r="P534" s="500"/>
      <c r="Q534" s="500"/>
      <c r="R534" s="500"/>
      <c r="S534" s="500"/>
      <c r="T534" s="500"/>
      <c r="U534" s="500"/>
      <c r="V534" s="500"/>
      <c r="W534" s="500"/>
      <c r="X534" s="500"/>
      <c r="Y534" s="500"/>
      <c r="Z534" s="501"/>
      <c r="AA534" s="501"/>
      <c r="AB534" s="501"/>
      <c r="AC534" s="501"/>
      <c r="AD534" s="500"/>
      <c r="AE534" s="500"/>
      <c r="AF534" s="503"/>
      <c r="AG534" s="503"/>
      <c r="AH534" s="504"/>
      <c r="AI534" s="500"/>
      <c r="AJ534" s="500"/>
      <c r="AK534" s="500"/>
      <c r="AL534" s="500"/>
      <c r="AM534" s="500"/>
      <c r="AN534" s="500"/>
      <c r="AO534" s="500"/>
      <c r="AP534" s="500"/>
      <c r="AQ534" s="500"/>
      <c r="AR534" s="500"/>
      <c r="AS534" s="500"/>
      <c r="AT534" s="500"/>
      <c r="AU534" s="500"/>
      <c r="AV534" s="500"/>
      <c r="AW534" s="500"/>
      <c r="AX534" s="500"/>
      <c r="AY534" s="500"/>
      <c r="AZ534" s="500"/>
      <c r="BA534" s="500"/>
      <c r="BB534" s="500"/>
      <c r="BC534" s="500"/>
      <c r="BD534" s="500"/>
      <c r="BE534" s="500"/>
      <c r="BF534" s="500"/>
      <c r="BG534" s="500"/>
      <c r="BH534" s="500"/>
      <c r="BI534" s="500"/>
      <c r="BJ534" s="500"/>
      <c r="BK534" s="500"/>
      <c r="BL534" s="500"/>
      <c r="BM534" s="500"/>
      <c r="BN534" s="500"/>
      <c r="BO534" s="500"/>
      <c r="BP534" s="500"/>
      <c r="BQ534" s="500"/>
      <c r="BR534" s="500"/>
      <c r="BS534" s="500"/>
      <c r="BT534" s="500"/>
      <c r="BU534" s="500"/>
      <c r="BV534" s="500"/>
    </row>
    <row r="535" ht="14.25" customHeight="1">
      <c r="A535" s="500"/>
      <c r="B535" s="500"/>
      <c r="C535" s="500"/>
      <c r="D535" s="500"/>
      <c r="E535" s="500"/>
      <c r="F535" s="500"/>
      <c r="G535" s="500"/>
      <c r="H535" s="500"/>
      <c r="I535" s="500"/>
      <c r="J535" s="500"/>
      <c r="K535" s="500"/>
      <c r="L535" s="500"/>
      <c r="M535" s="500"/>
      <c r="N535" s="500"/>
      <c r="O535" s="500"/>
      <c r="P535" s="500"/>
      <c r="Q535" s="500"/>
      <c r="R535" s="500"/>
      <c r="S535" s="500"/>
      <c r="T535" s="500"/>
      <c r="U535" s="500"/>
      <c r="V535" s="500"/>
      <c r="W535" s="500"/>
      <c r="X535" s="500"/>
      <c r="Y535" s="500"/>
      <c r="Z535" s="501"/>
      <c r="AA535" s="501"/>
      <c r="AB535" s="501"/>
      <c r="AC535" s="501"/>
      <c r="AD535" s="500"/>
      <c r="AE535" s="500"/>
      <c r="AF535" s="503"/>
      <c r="AG535" s="503"/>
      <c r="AH535" s="504"/>
      <c r="AI535" s="500"/>
      <c r="AJ535" s="500"/>
      <c r="AK535" s="500"/>
      <c r="AL535" s="500"/>
      <c r="AM535" s="500"/>
      <c r="AN535" s="500"/>
      <c r="AO535" s="500"/>
      <c r="AP535" s="500"/>
      <c r="AQ535" s="500"/>
      <c r="AR535" s="500"/>
      <c r="AS535" s="500"/>
      <c r="AT535" s="500"/>
      <c r="AU535" s="500"/>
      <c r="AV535" s="500"/>
      <c r="AW535" s="500"/>
      <c r="AX535" s="500"/>
      <c r="AY535" s="500"/>
      <c r="AZ535" s="500"/>
      <c r="BA535" s="500"/>
      <c r="BB535" s="500"/>
      <c r="BC535" s="500"/>
      <c r="BD535" s="500"/>
      <c r="BE535" s="500"/>
      <c r="BF535" s="500"/>
      <c r="BG535" s="500"/>
      <c r="BH535" s="500"/>
      <c r="BI535" s="500"/>
      <c r="BJ535" s="500"/>
      <c r="BK535" s="500"/>
      <c r="BL535" s="500"/>
      <c r="BM535" s="500"/>
      <c r="BN535" s="500"/>
      <c r="BO535" s="500"/>
      <c r="BP535" s="500"/>
      <c r="BQ535" s="500"/>
      <c r="BR535" s="500"/>
      <c r="BS535" s="500"/>
      <c r="BT535" s="500"/>
      <c r="BU535" s="500"/>
      <c r="BV535" s="500"/>
    </row>
    <row r="536" ht="14.25" customHeight="1">
      <c r="A536" s="500"/>
      <c r="B536" s="500"/>
      <c r="C536" s="500"/>
      <c r="D536" s="500"/>
      <c r="E536" s="500"/>
      <c r="F536" s="500"/>
      <c r="G536" s="500"/>
      <c r="H536" s="500"/>
      <c r="I536" s="500"/>
      <c r="J536" s="500"/>
      <c r="K536" s="500"/>
      <c r="L536" s="500"/>
      <c r="M536" s="500"/>
      <c r="N536" s="500"/>
      <c r="O536" s="500"/>
      <c r="P536" s="500"/>
      <c r="Q536" s="500"/>
      <c r="R536" s="500"/>
      <c r="S536" s="500"/>
      <c r="T536" s="500"/>
      <c r="U536" s="500"/>
      <c r="V536" s="500"/>
      <c r="W536" s="500"/>
      <c r="X536" s="500"/>
      <c r="Y536" s="500"/>
      <c r="Z536" s="501"/>
      <c r="AA536" s="501"/>
      <c r="AB536" s="501"/>
      <c r="AC536" s="501"/>
      <c r="AD536" s="500"/>
      <c r="AE536" s="500"/>
      <c r="AF536" s="503"/>
      <c r="AG536" s="503"/>
      <c r="AH536" s="504"/>
      <c r="AI536" s="500"/>
      <c r="AJ536" s="500"/>
      <c r="AK536" s="500"/>
      <c r="AL536" s="500"/>
      <c r="AM536" s="500"/>
      <c r="AN536" s="500"/>
      <c r="AO536" s="500"/>
      <c r="AP536" s="500"/>
      <c r="AQ536" s="500"/>
      <c r="AR536" s="500"/>
      <c r="AS536" s="500"/>
      <c r="AT536" s="500"/>
      <c r="AU536" s="500"/>
      <c r="AV536" s="500"/>
      <c r="AW536" s="500"/>
      <c r="AX536" s="500"/>
      <c r="AY536" s="500"/>
      <c r="AZ536" s="500"/>
      <c r="BA536" s="500"/>
      <c r="BB536" s="500"/>
      <c r="BC536" s="500"/>
      <c r="BD536" s="500"/>
      <c r="BE536" s="500"/>
      <c r="BF536" s="500"/>
      <c r="BG536" s="500"/>
      <c r="BH536" s="500"/>
      <c r="BI536" s="500"/>
      <c r="BJ536" s="500"/>
      <c r="BK536" s="500"/>
      <c r="BL536" s="500"/>
      <c r="BM536" s="500"/>
      <c r="BN536" s="500"/>
      <c r="BO536" s="500"/>
      <c r="BP536" s="500"/>
      <c r="BQ536" s="500"/>
      <c r="BR536" s="500"/>
      <c r="BS536" s="500"/>
      <c r="BT536" s="500"/>
      <c r="BU536" s="500"/>
      <c r="BV536" s="500"/>
    </row>
    <row r="537" ht="14.25" customHeight="1">
      <c r="A537" s="500"/>
      <c r="B537" s="500"/>
      <c r="C537" s="500"/>
      <c r="D537" s="500"/>
      <c r="E537" s="500"/>
      <c r="F537" s="500"/>
      <c r="G537" s="500"/>
      <c r="H537" s="500"/>
      <c r="I537" s="500"/>
      <c r="J537" s="500"/>
      <c r="K537" s="500"/>
      <c r="L537" s="500"/>
      <c r="M537" s="500"/>
      <c r="N537" s="500"/>
      <c r="O537" s="500"/>
      <c r="P537" s="500"/>
      <c r="Q537" s="500"/>
      <c r="R537" s="500"/>
      <c r="S537" s="500"/>
      <c r="T537" s="500"/>
      <c r="U537" s="500"/>
      <c r="V537" s="500"/>
      <c r="W537" s="500"/>
      <c r="X537" s="500"/>
      <c r="Y537" s="500"/>
      <c r="Z537" s="501"/>
      <c r="AA537" s="501"/>
      <c r="AB537" s="501"/>
      <c r="AC537" s="501"/>
      <c r="AD537" s="500"/>
      <c r="AE537" s="500"/>
      <c r="AF537" s="503"/>
      <c r="AG537" s="503"/>
      <c r="AH537" s="504"/>
      <c r="AI537" s="500"/>
      <c r="AJ537" s="500"/>
      <c r="AK537" s="500"/>
      <c r="AL537" s="500"/>
      <c r="AM537" s="500"/>
      <c r="AN537" s="500"/>
      <c r="AO537" s="500"/>
      <c r="AP537" s="500"/>
      <c r="AQ537" s="500"/>
      <c r="AR537" s="500"/>
      <c r="AS537" s="500"/>
      <c r="AT537" s="500"/>
      <c r="AU537" s="500"/>
      <c r="AV537" s="500"/>
      <c r="AW537" s="500"/>
      <c r="AX537" s="500"/>
      <c r="AY537" s="500"/>
      <c r="AZ537" s="500"/>
      <c r="BA537" s="500"/>
      <c r="BB537" s="500"/>
      <c r="BC537" s="500"/>
      <c r="BD537" s="500"/>
      <c r="BE537" s="500"/>
      <c r="BF537" s="500"/>
      <c r="BG537" s="500"/>
      <c r="BH537" s="500"/>
      <c r="BI537" s="500"/>
      <c r="BJ537" s="500"/>
      <c r="BK537" s="500"/>
      <c r="BL537" s="500"/>
      <c r="BM537" s="500"/>
      <c r="BN537" s="500"/>
      <c r="BO537" s="500"/>
      <c r="BP537" s="500"/>
      <c r="BQ537" s="500"/>
      <c r="BR537" s="500"/>
      <c r="BS537" s="500"/>
      <c r="BT537" s="500"/>
      <c r="BU537" s="500"/>
      <c r="BV537" s="500"/>
    </row>
    <row r="538" ht="14.25" customHeight="1">
      <c r="A538" s="500"/>
      <c r="B538" s="500"/>
      <c r="C538" s="500"/>
      <c r="D538" s="500"/>
      <c r="E538" s="500"/>
      <c r="F538" s="500"/>
      <c r="G538" s="500"/>
      <c r="H538" s="500"/>
      <c r="I538" s="500"/>
      <c r="J538" s="500"/>
      <c r="K538" s="500"/>
      <c r="L538" s="500"/>
      <c r="M538" s="500"/>
      <c r="N538" s="500"/>
      <c r="O538" s="500"/>
      <c r="P538" s="500"/>
      <c r="Q538" s="500"/>
      <c r="R538" s="500"/>
      <c r="S538" s="500"/>
      <c r="T538" s="500"/>
      <c r="U538" s="500"/>
      <c r="V538" s="500"/>
      <c r="W538" s="500"/>
      <c r="X538" s="500"/>
      <c r="Y538" s="500"/>
      <c r="Z538" s="501"/>
      <c r="AA538" s="501"/>
      <c r="AB538" s="501"/>
      <c r="AC538" s="501"/>
      <c r="AD538" s="500"/>
      <c r="AE538" s="500"/>
      <c r="AF538" s="503"/>
      <c r="AG538" s="503"/>
      <c r="AH538" s="504"/>
      <c r="AI538" s="500"/>
      <c r="AJ538" s="500"/>
      <c r="AK538" s="500"/>
      <c r="AL538" s="500"/>
      <c r="AM538" s="500"/>
      <c r="AN538" s="500"/>
      <c r="AO538" s="500"/>
      <c r="AP538" s="500"/>
      <c r="AQ538" s="500"/>
      <c r="AR538" s="500"/>
      <c r="AS538" s="500"/>
      <c r="AT538" s="500"/>
      <c r="AU538" s="500"/>
      <c r="AV538" s="500"/>
      <c r="AW538" s="500"/>
      <c r="AX538" s="500"/>
      <c r="AY538" s="500"/>
      <c r="AZ538" s="500"/>
      <c r="BA538" s="500"/>
      <c r="BB538" s="500"/>
      <c r="BC538" s="500"/>
      <c r="BD538" s="500"/>
      <c r="BE538" s="500"/>
      <c r="BF538" s="500"/>
      <c r="BG538" s="500"/>
      <c r="BH538" s="500"/>
      <c r="BI538" s="500"/>
      <c r="BJ538" s="500"/>
      <c r="BK538" s="500"/>
      <c r="BL538" s="500"/>
      <c r="BM538" s="500"/>
      <c r="BN538" s="500"/>
      <c r="BO538" s="500"/>
      <c r="BP538" s="500"/>
      <c r="BQ538" s="500"/>
      <c r="BR538" s="500"/>
      <c r="BS538" s="500"/>
      <c r="BT538" s="500"/>
      <c r="BU538" s="500"/>
      <c r="BV538" s="500"/>
    </row>
    <row r="539" ht="14.25" customHeight="1">
      <c r="A539" s="500"/>
      <c r="B539" s="500"/>
      <c r="C539" s="500"/>
      <c r="D539" s="500"/>
      <c r="E539" s="500"/>
      <c r="F539" s="500"/>
      <c r="G539" s="500"/>
      <c r="H539" s="500"/>
      <c r="I539" s="500"/>
      <c r="J539" s="500"/>
      <c r="K539" s="500"/>
      <c r="L539" s="500"/>
      <c r="M539" s="500"/>
      <c r="N539" s="500"/>
      <c r="O539" s="500"/>
      <c r="P539" s="500"/>
      <c r="Q539" s="500"/>
      <c r="R539" s="500"/>
      <c r="S539" s="500"/>
      <c r="T539" s="500"/>
      <c r="U539" s="500"/>
      <c r="V539" s="500"/>
      <c r="W539" s="500"/>
      <c r="X539" s="500"/>
      <c r="Y539" s="500"/>
      <c r="Z539" s="501"/>
      <c r="AA539" s="501"/>
      <c r="AB539" s="501"/>
      <c r="AC539" s="501"/>
      <c r="AD539" s="500"/>
      <c r="AE539" s="500"/>
      <c r="AF539" s="503"/>
      <c r="AG539" s="503"/>
      <c r="AH539" s="504"/>
      <c r="AI539" s="500"/>
      <c r="AJ539" s="500"/>
      <c r="AK539" s="500"/>
      <c r="AL539" s="500"/>
      <c r="AM539" s="500"/>
      <c r="AN539" s="500"/>
      <c r="AO539" s="500"/>
      <c r="AP539" s="500"/>
      <c r="AQ539" s="500"/>
      <c r="AR539" s="500"/>
      <c r="AS539" s="500"/>
      <c r="AT539" s="500"/>
      <c r="AU539" s="500"/>
      <c r="AV539" s="500"/>
      <c r="AW539" s="500"/>
      <c r="AX539" s="500"/>
      <c r="AY539" s="500"/>
      <c r="AZ539" s="500"/>
      <c r="BA539" s="500"/>
      <c r="BB539" s="500"/>
      <c r="BC539" s="500"/>
      <c r="BD539" s="500"/>
      <c r="BE539" s="500"/>
      <c r="BF539" s="500"/>
      <c r="BG539" s="500"/>
      <c r="BH539" s="500"/>
      <c r="BI539" s="500"/>
      <c r="BJ539" s="500"/>
      <c r="BK539" s="500"/>
      <c r="BL539" s="500"/>
      <c r="BM539" s="500"/>
      <c r="BN539" s="500"/>
      <c r="BO539" s="500"/>
      <c r="BP539" s="500"/>
      <c r="BQ539" s="500"/>
      <c r="BR539" s="500"/>
      <c r="BS539" s="500"/>
      <c r="BT539" s="500"/>
      <c r="BU539" s="500"/>
      <c r="BV539" s="500"/>
    </row>
    <row r="540" ht="14.25" customHeight="1">
      <c r="A540" s="500"/>
      <c r="B540" s="500"/>
      <c r="C540" s="500"/>
      <c r="D540" s="500"/>
      <c r="E540" s="500"/>
      <c r="F540" s="500"/>
      <c r="G540" s="500"/>
      <c r="H540" s="500"/>
      <c r="I540" s="500"/>
      <c r="J540" s="500"/>
      <c r="K540" s="500"/>
      <c r="L540" s="500"/>
      <c r="M540" s="500"/>
      <c r="N540" s="500"/>
      <c r="O540" s="500"/>
      <c r="P540" s="500"/>
      <c r="Q540" s="500"/>
      <c r="R540" s="500"/>
      <c r="S540" s="500"/>
      <c r="T540" s="500"/>
      <c r="U540" s="500"/>
      <c r="V540" s="500"/>
      <c r="W540" s="500"/>
      <c r="X540" s="500"/>
      <c r="Y540" s="500"/>
      <c r="Z540" s="501"/>
      <c r="AA540" s="501"/>
      <c r="AB540" s="501"/>
      <c r="AC540" s="501"/>
      <c r="AD540" s="500"/>
      <c r="AE540" s="500"/>
      <c r="AF540" s="503"/>
      <c r="AG540" s="503"/>
      <c r="AH540" s="504"/>
      <c r="AI540" s="500"/>
      <c r="AJ540" s="500"/>
      <c r="AK540" s="500"/>
      <c r="AL540" s="500"/>
      <c r="AM540" s="500"/>
      <c r="AN540" s="500"/>
      <c r="AO540" s="500"/>
      <c r="AP540" s="500"/>
      <c r="AQ540" s="500"/>
      <c r="AR540" s="500"/>
      <c r="AS540" s="500"/>
      <c r="AT540" s="500"/>
      <c r="AU540" s="500"/>
      <c r="AV540" s="500"/>
      <c r="AW540" s="500"/>
      <c r="AX540" s="500"/>
      <c r="AY540" s="500"/>
      <c r="AZ540" s="500"/>
      <c r="BA540" s="500"/>
      <c r="BB540" s="500"/>
      <c r="BC540" s="500"/>
      <c r="BD540" s="500"/>
      <c r="BE540" s="500"/>
      <c r="BF540" s="500"/>
      <c r="BG540" s="500"/>
      <c r="BH540" s="500"/>
      <c r="BI540" s="500"/>
      <c r="BJ540" s="500"/>
      <c r="BK540" s="500"/>
      <c r="BL540" s="500"/>
      <c r="BM540" s="500"/>
      <c r="BN540" s="500"/>
      <c r="BO540" s="500"/>
      <c r="BP540" s="500"/>
      <c r="BQ540" s="500"/>
      <c r="BR540" s="500"/>
      <c r="BS540" s="500"/>
      <c r="BT540" s="500"/>
      <c r="BU540" s="500"/>
      <c r="BV540" s="500"/>
    </row>
    <row r="541" ht="14.25" customHeight="1">
      <c r="A541" s="500"/>
      <c r="B541" s="500"/>
      <c r="C541" s="500"/>
      <c r="D541" s="500"/>
      <c r="E541" s="500"/>
      <c r="F541" s="500"/>
      <c r="G541" s="500"/>
      <c r="H541" s="500"/>
      <c r="I541" s="500"/>
      <c r="J541" s="500"/>
      <c r="K541" s="500"/>
      <c r="L541" s="500"/>
      <c r="M541" s="500"/>
      <c r="N541" s="500"/>
      <c r="O541" s="500"/>
      <c r="P541" s="500"/>
      <c r="Q541" s="500"/>
      <c r="R541" s="500"/>
      <c r="S541" s="500"/>
      <c r="T541" s="500"/>
      <c r="U541" s="500"/>
      <c r="V541" s="500"/>
      <c r="W541" s="500"/>
      <c r="X541" s="500"/>
      <c r="Y541" s="500"/>
      <c r="Z541" s="501"/>
      <c r="AA541" s="501"/>
      <c r="AB541" s="501"/>
      <c r="AC541" s="501"/>
      <c r="AD541" s="500"/>
      <c r="AE541" s="500"/>
      <c r="AF541" s="503"/>
      <c r="AG541" s="503"/>
      <c r="AH541" s="504"/>
      <c r="AI541" s="500"/>
      <c r="AJ541" s="500"/>
      <c r="AK541" s="500"/>
      <c r="AL541" s="500"/>
      <c r="AM541" s="500"/>
      <c r="AN541" s="500"/>
      <c r="AO541" s="500"/>
      <c r="AP541" s="500"/>
      <c r="AQ541" s="500"/>
      <c r="AR541" s="500"/>
      <c r="AS541" s="500"/>
      <c r="AT541" s="500"/>
      <c r="AU541" s="500"/>
      <c r="AV541" s="500"/>
      <c r="AW541" s="500"/>
      <c r="AX541" s="500"/>
      <c r="AY541" s="500"/>
      <c r="AZ541" s="500"/>
      <c r="BA541" s="500"/>
      <c r="BB541" s="500"/>
      <c r="BC541" s="500"/>
      <c r="BD541" s="500"/>
      <c r="BE541" s="500"/>
      <c r="BF541" s="500"/>
      <c r="BG541" s="500"/>
      <c r="BH541" s="500"/>
      <c r="BI541" s="500"/>
      <c r="BJ541" s="500"/>
      <c r="BK541" s="500"/>
      <c r="BL541" s="500"/>
      <c r="BM541" s="500"/>
      <c r="BN541" s="500"/>
      <c r="BO541" s="500"/>
      <c r="BP541" s="500"/>
      <c r="BQ541" s="500"/>
      <c r="BR541" s="500"/>
      <c r="BS541" s="500"/>
      <c r="BT541" s="500"/>
      <c r="BU541" s="500"/>
      <c r="BV541" s="500"/>
    </row>
    <row r="542" ht="14.25" customHeight="1">
      <c r="A542" s="500"/>
      <c r="B542" s="500"/>
      <c r="C542" s="500"/>
      <c r="D542" s="500"/>
      <c r="E542" s="500"/>
      <c r="F542" s="500"/>
      <c r="G542" s="500"/>
      <c r="H542" s="500"/>
      <c r="I542" s="500"/>
      <c r="J542" s="500"/>
      <c r="K542" s="500"/>
      <c r="L542" s="500"/>
      <c r="M542" s="500"/>
      <c r="N542" s="500"/>
      <c r="O542" s="500"/>
      <c r="P542" s="500"/>
      <c r="Q542" s="500"/>
      <c r="R542" s="500"/>
      <c r="S542" s="500"/>
      <c r="T542" s="500"/>
      <c r="U542" s="500"/>
      <c r="V542" s="500"/>
      <c r="W542" s="500"/>
      <c r="X542" s="500"/>
      <c r="Y542" s="500"/>
      <c r="Z542" s="501"/>
      <c r="AA542" s="501"/>
      <c r="AB542" s="501"/>
      <c r="AC542" s="501"/>
      <c r="AD542" s="500"/>
      <c r="AE542" s="500"/>
      <c r="AF542" s="503"/>
      <c r="AG542" s="503"/>
      <c r="AH542" s="504"/>
      <c r="AI542" s="500"/>
      <c r="AJ542" s="500"/>
      <c r="AK542" s="500"/>
      <c r="AL542" s="500"/>
      <c r="AM542" s="500"/>
      <c r="AN542" s="500"/>
      <c r="AO542" s="500"/>
      <c r="AP542" s="500"/>
      <c r="AQ542" s="500"/>
      <c r="AR542" s="500"/>
      <c r="AS542" s="500"/>
      <c r="AT542" s="500"/>
      <c r="AU542" s="500"/>
      <c r="AV542" s="500"/>
      <c r="AW542" s="500"/>
      <c r="AX542" s="500"/>
      <c r="AY542" s="500"/>
      <c r="AZ542" s="500"/>
      <c r="BA542" s="500"/>
      <c r="BB542" s="500"/>
      <c r="BC542" s="500"/>
      <c r="BD542" s="500"/>
      <c r="BE542" s="500"/>
      <c r="BF542" s="500"/>
      <c r="BG542" s="500"/>
      <c r="BH542" s="500"/>
      <c r="BI542" s="500"/>
      <c r="BJ542" s="500"/>
      <c r="BK542" s="500"/>
      <c r="BL542" s="500"/>
      <c r="BM542" s="500"/>
      <c r="BN542" s="500"/>
      <c r="BO542" s="500"/>
      <c r="BP542" s="500"/>
      <c r="BQ542" s="500"/>
      <c r="BR542" s="500"/>
      <c r="BS542" s="500"/>
      <c r="BT542" s="500"/>
      <c r="BU542" s="500"/>
      <c r="BV542" s="500"/>
    </row>
    <row r="543" ht="14.25" customHeight="1">
      <c r="A543" s="500"/>
      <c r="B543" s="500"/>
      <c r="C543" s="500"/>
      <c r="D543" s="500"/>
      <c r="E543" s="500"/>
      <c r="F543" s="500"/>
      <c r="G543" s="500"/>
      <c r="H543" s="500"/>
      <c r="I543" s="500"/>
      <c r="J543" s="500"/>
      <c r="K543" s="500"/>
      <c r="L543" s="500"/>
      <c r="M543" s="500"/>
      <c r="N543" s="500"/>
      <c r="O543" s="500"/>
      <c r="P543" s="500"/>
      <c r="Q543" s="500"/>
      <c r="R543" s="500"/>
      <c r="S543" s="500"/>
      <c r="T543" s="500"/>
      <c r="U543" s="500"/>
      <c r="V543" s="500"/>
      <c r="W543" s="500"/>
      <c r="X543" s="500"/>
      <c r="Y543" s="500"/>
      <c r="Z543" s="501"/>
      <c r="AA543" s="501"/>
      <c r="AB543" s="501"/>
      <c r="AC543" s="501"/>
      <c r="AD543" s="500"/>
      <c r="AE543" s="500"/>
      <c r="AF543" s="503"/>
      <c r="AG543" s="503"/>
      <c r="AH543" s="504"/>
      <c r="AI543" s="500"/>
      <c r="AJ543" s="500"/>
      <c r="AK543" s="500"/>
      <c r="AL543" s="500"/>
      <c r="AM543" s="500"/>
      <c r="AN543" s="500"/>
      <c r="AO543" s="500"/>
      <c r="AP543" s="500"/>
      <c r="AQ543" s="500"/>
      <c r="AR543" s="500"/>
      <c r="AS543" s="500"/>
      <c r="AT543" s="500"/>
      <c r="AU543" s="500"/>
      <c r="AV543" s="500"/>
      <c r="AW543" s="500"/>
      <c r="AX543" s="500"/>
      <c r="AY543" s="500"/>
      <c r="AZ543" s="500"/>
      <c r="BA543" s="500"/>
      <c r="BB543" s="500"/>
      <c r="BC543" s="500"/>
      <c r="BD543" s="500"/>
      <c r="BE543" s="500"/>
      <c r="BF543" s="500"/>
      <c r="BG543" s="500"/>
      <c r="BH543" s="500"/>
      <c r="BI543" s="500"/>
      <c r="BJ543" s="500"/>
      <c r="BK543" s="500"/>
      <c r="BL543" s="500"/>
      <c r="BM543" s="500"/>
      <c r="BN543" s="500"/>
      <c r="BO543" s="500"/>
      <c r="BP543" s="500"/>
      <c r="BQ543" s="500"/>
      <c r="BR543" s="500"/>
      <c r="BS543" s="500"/>
      <c r="BT543" s="500"/>
      <c r="BU543" s="500"/>
      <c r="BV543" s="500"/>
    </row>
    <row r="544" ht="14.25" customHeight="1">
      <c r="A544" s="500"/>
      <c r="B544" s="500"/>
      <c r="C544" s="500"/>
      <c r="D544" s="500"/>
      <c r="E544" s="500"/>
      <c r="F544" s="500"/>
      <c r="G544" s="500"/>
      <c r="H544" s="500"/>
      <c r="I544" s="500"/>
      <c r="J544" s="500"/>
      <c r="K544" s="500"/>
      <c r="L544" s="500"/>
      <c r="M544" s="500"/>
      <c r="N544" s="500"/>
      <c r="O544" s="500"/>
      <c r="P544" s="500"/>
      <c r="Q544" s="500"/>
      <c r="R544" s="500"/>
      <c r="S544" s="500"/>
      <c r="T544" s="500"/>
      <c r="U544" s="500"/>
      <c r="V544" s="500"/>
      <c r="W544" s="500"/>
      <c r="X544" s="500"/>
      <c r="Y544" s="500"/>
      <c r="Z544" s="501"/>
      <c r="AA544" s="501"/>
      <c r="AB544" s="501"/>
      <c r="AC544" s="501"/>
      <c r="AD544" s="500"/>
      <c r="AE544" s="500"/>
      <c r="AF544" s="503"/>
      <c r="AG544" s="503"/>
      <c r="AH544" s="504"/>
      <c r="AI544" s="500"/>
      <c r="AJ544" s="500"/>
      <c r="AK544" s="500"/>
      <c r="AL544" s="500"/>
      <c r="AM544" s="500"/>
      <c r="AN544" s="500"/>
      <c r="AO544" s="500"/>
      <c r="AP544" s="500"/>
      <c r="AQ544" s="500"/>
      <c r="AR544" s="500"/>
      <c r="AS544" s="500"/>
      <c r="AT544" s="500"/>
      <c r="AU544" s="500"/>
      <c r="AV544" s="500"/>
      <c r="AW544" s="500"/>
      <c r="AX544" s="500"/>
      <c r="AY544" s="500"/>
      <c r="AZ544" s="500"/>
      <c r="BA544" s="500"/>
      <c r="BB544" s="500"/>
      <c r="BC544" s="500"/>
      <c r="BD544" s="500"/>
      <c r="BE544" s="500"/>
      <c r="BF544" s="500"/>
      <c r="BG544" s="500"/>
      <c r="BH544" s="500"/>
      <c r="BI544" s="500"/>
      <c r="BJ544" s="500"/>
      <c r="BK544" s="500"/>
      <c r="BL544" s="500"/>
      <c r="BM544" s="500"/>
      <c r="BN544" s="500"/>
      <c r="BO544" s="500"/>
      <c r="BP544" s="500"/>
      <c r="BQ544" s="500"/>
      <c r="BR544" s="500"/>
      <c r="BS544" s="500"/>
      <c r="BT544" s="500"/>
      <c r="BU544" s="500"/>
      <c r="BV544" s="500"/>
    </row>
    <row r="545" ht="14.25" customHeight="1">
      <c r="A545" s="500"/>
      <c r="B545" s="500"/>
      <c r="C545" s="500"/>
      <c r="D545" s="500"/>
      <c r="E545" s="500"/>
      <c r="F545" s="500"/>
      <c r="G545" s="500"/>
      <c r="H545" s="500"/>
      <c r="I545" s="500"/>
      <c r="J545" s="500"/>
      <c r="K545" s="500"/>
      <c r="L545" s="500"/>
      <c r="M545" s="500"/>
      <c r="N545" s="500"/>
      <c r="O545" s="500"/>
      <c r="P545" s="500"/>
      <c r="Q545" s="500"/>
      <c r="R545" s="500"/>
      <c r="S545" s="500"/>
      <c r="T545" s="500"/>
      <c r="U545" s="500"/>
      <c r="V545" s="500"/>
      <c r="W545" s="500"/>
      <c r="X545" s="500"/>
      <c r="Y545" s="500"/>
      <c r="Z545" s="501"/>
      <c r="AA545" s="501"/>
      <c r="AB545" s="501"/>
      <c r="AC545" s="501"/>
      <c r="AD545" s="500"/>
      <c r="AE545" s="500"/>
      <c r="AF545" s="503"/>
      <c r="AG545" s="503"/>
      <c r="AH545" s="504"/>
      <c r="AI545" s="500"/>
      <c r="AJ545" s="500"/>
      <c r="AK545" s="500"/>
      <c r="AL545" s="500"/>
      <c r="AM545" s="500"/>
      <c r="AN545" s="500"/>
      <c r="AO545" s="500"/>
      <c r="AP545" s="500"/>
      <c r="AQ545" s="500"/>
      <c r="AR545" s="500"/>
      <c r="AS545" s="500"/>
      <c r="AT545" s="500"/>
      <c r="AU545" s="500"/>
      <c r="AV545" s="500"/>
      <c r="AW545" s="500"/>
      <c r="AX545" s="500"/>
      <c r="AY545" s="500"/>
      <c r="AZ545" s="500"/>
      <c r="BA545" s="500"/>
      <c r="BB545" s="500"/>
      <c r="BC545" s="500"/>
      <c r="BD545" s="500"/>
      <c r="BE545" s="500"/>
      <c r="BF545" s="500"/>
      <c r="BG545" s="500"/>
      <c r="BH545" s="500"/>
      <c r="BI545" s="500"/>
      <c r="BJ545" s="500"/>
      <c r="BK545" s="500"/>
      <c r="BL545" s="500"/>
      <c r="BM545" s="500"/>
      <c r="BN545" s="500"/>
      <c r="BO545" s="500"/>
      <c r="BP545" s="500"/>
      <c r="BQ545" s="500"/>
      <c r="BR545" s="500"/>
      <c r="BS545" s="500"/>
      <c r="BT545" s="500"/>
      <c r="BU545" s="500"/>
      <c r="BV545" s="500"/>
    </row>
    <row r="546" ht="14.25" customHeight="1">
      <c r="A546" s="500"/>
      <c r="B546" s="500"/>
      <c r="C546" s="500"/>
      <c r="D546" s="500"/>
      <c r="E546" s="500"/>
      <c r="F546" s="500"/>
      <c r="G546" s="500"/>
      <c r="H546" s="500"/>
      <c r="I546" s="500"/>
      <c r="J546" s="500"/>
      <c r="K546" s="500"/>
      <c r="L546" s="500"/>
      <c r="M546" s="500"/>
      <c r="N546" s="500"/>
      <c r="O546" s="500"/>
      <c r="P546" s="500"/>
      <c r="Q546" s="500"/>
      <c r="R546" s="500"/>
      <c r="S546" s="500"/>
      <c r="T546" s="500"/>
      <c r="U546" s="500"/>
      <c r="V546" s="500"/>
      <c r="W546" s="500"/>
      <c r="X546" s="500"/>
      <c r="Y546" s="500"/>
      <c r="Z546" s="501"/>
      <c r="AA546" s="501"/>
      <c r="AB546" s="501"/>
      <c r="AC546" s="501"/>
      <c r="AD546" s="500"/>
      <c r="AE546" s="500"/>
      <c r="AF546" s="503"/>
      <c r="AG546" s="503"/>
      <c r="AH546" s="504"/>
      <c r="AI546" s="500"/>
      <c r="AJ546" s="500"/>
      <c r="AK546" s="500"/>
      <c r="AL546" s="500"/>
      <c r="AM546" s="500"/>
      <c r="AN546" s="500"/>
      <c r="AO546" s="500"/>
      <c r="AP546" s="500"/>
      <c r="AQ546" s="500"/>
      <c r="AR546" s="500"/>
      <c r="AS546" s="500"/>
      <c r="AT546" s="500"/>
      <c r="AU546" s="500"/>
      <c r="AV546" s="500"/>
      <c r="AW546" s="500"/>
      <c r="AX546" s="500"/>
      <c r="AY546" s="500"/>
      <c r="AZ546" s="500"/>
      <c r="BA546" s="500"/>
      <c r="BB546" s="500"/>
      <c r="BC546" s="500"/>
      <c r="BD546" s="500"/>
      <c r="BE546" s="500"/>
      <c r="BF546" s="500"/>
      <c r="BG546" s="500"/>
      <c r="BH546" s="500"/>
      <c r="BI546" s="500"/>
      <c r="BJ546" s="500"/>
      <c r="BK546" s="500"/>
      <c r="BL546" s="500"/>
      <c r="BM546" s="500"/>
      <c r="BN546" s="500"/>
      <c r="BO546" s="500"/>
      <c r="BP546" s="500"/>
      <c r="BQ546" s="500"/>
      <c r="BR546" s="500"/>
      <c r="BS546" s="500"/>
      <c r="BT546" s="500"/>
      <c r="BU546" s="500"/>
      <c r="BV546" s="500"/>
    </row>
    <row r="547" ht="14.25" customHeight="1">
      <c r="A547" s="500"/>
      <c r="B547" s="500"/>
      <c r="C547" s="500"/>
      <c r="D547" s="500"/>
      <c r="E547" s="500"/>
      <c r="F547" s="500"/>
      <c r="G547" s="500"/>
      <c r="H547" s="500"/>
      <c r="I547" s="500"/>
      <c r="J547" s="500"/>
      <c r="K547" s="500"/>
      <c r="L547" s="500"/>
      <c r="M547" s="500"/>
      <c r="N547" s="500"/>
      <c r="O547" s="500"/>
      <c r="P547" s="500"/>
      <c r="Q547" s="500"/>
      <c r="R547" s="500"/>
      <c r="S547" s="500"/>
      <c r="T547" s="500"/>
      <c r="U547" s="500"/>
      <c r="V547" s="500"/>
      <c r="W547" s="500"/>
      <c r="X547" s="500"/>
      <c r="Y547" s="500"/>
      <c r="Z547" s="501"/>
      <c r="AA547" s="501"/>
      <c r="AB547" s="501"/>
      <c r="AC547" s="501"/>
      <c r="AD547" s="500"/>
      <c r="AE547" s="500"/>
      <c r="AF547" s="503"/>
      <c r="AG547" s="503"/>
      <c r="AH547" s="504"/>
      <c r="AI547" s="500"/>
      <c r="AJ547" s="500"/>
      <c r="AK547" s="500"/>
      <c r="AL547" s="500"/>
      <c r="AM547" s="500"/>
      <c r="AN547" s="500"/>
      <c r="AO547" s="500"/>
      <c r="AP547" s="500"/>
      <c r="AQ547" s="500"/>
      <c r="AR547" s="500"/>
      <c r="AS547" s="500"/>
      <c r="AT547" s="500"/>
      <c r="AU547" s="500"/>
      <c r="AV547" s="500"/>
      <c r="AW547" s="500"/>
      <c r="AX547" s="500"/>
      <c r="AY547" s="500"/>
      <c r="AZ547" s="500"/>
      <c r="BA547" s="500"/>
      <c r="BB547" s="500"/>
      <c r="BC547" s="500"/>
      <c r="BD547" s="500"/>
      <c r="BE547" s="500"/>
      <c r="BF547" s="500"/>
      <c r="BG547" s="500"/>
      <c r="BH547" s="500"/>
      <c r="BI547" s="500"/>
      <c r="BJ547" s="500"/>
      <c r="BK547" s="500"/>
      <c r="BL547" s="500"/>
      <c r="BM547" s="500"/>
      <c r="BN547" s="500"/>
      <c r="BO547" s="500"/>
      <c r="BP547" s="500"/>
      <c r="BQ547" s="500"/>
      <c r="BR547" s="500"/>
      <c r="BS547" s="500"/>
      <c r="BT547" s="500"/>
      <c r="BU547" s="500"/>
      <c r="BV547" s="500"/>
    </row>
    <row r="548" ht="14.25" customHeight="1">
      <c r="A548" s="500"/>
      <c r="B548" s="500"/>
      <c r="C548" s="500"/>
      <c r="D548" s="500"/>
      <c r="E548" s="500"/>
      <c r="F548" s="500"/>
      <c r="G548" s="500"/>
      <c r="H548" s="500"/>
      <c r="I548" s="500"/>
      <c r="J548" s="500"/>
      <c r="K548" s="500"/>
      <c r="L548" s="500"/>
      <c r="M548" s="500"/>
      <c r="N548" s="500"/>
      <c r="O548" s="500"/>
      <c r="P548" s="500"/>
      <c r="Q548" s="500"/>
      <c r="R548" s="500"/>
      <c r="S548" s="500"/>
      <c r="T548" s="500"/>
      <c r="U548" s="500"/>
      <c r="V548" s="500"/>
      <c r="W548" s="500"/>
      <c r="X548" s="500"/>
      <c r="Y548" s="500"/>
      <c r="Z548" s="501"/>
      <c r="AA548" s="501"/>
      <c r="AB548" s="501"/>
      <c r="AC548" s="501"/>
      <c r="AD548" s="500"/>
      <c r="AE548" s="500"/>
      <c r="AF548" s="503"/>
      <c r="AG548" s="503"/>
      <c r="AH548" s="504"/>
      <c r="AI548" s="500"/>
      <c r="AJ548" s="500"/>
      <c r="AK548" s="500"/>
      <c r="AL548" s="500"/>
      <c r="AM548" s="500"/>
      <c r="AN548" s="500"/>
      <c r="AO548" s="500"/>
      <c r="AP548" s="500"/>
      <c r="AQ548" s="500"/>
      <c r="AR548" s="500"/>
      <c r="AS548" s="500"/>
      <c r="AT548" s="500"/>
      <c r="AU548" s="500"/>
      <c r="AV548" s="500"/>
      <c r="AW548" s="500"/>
      <c r="AX548" s="500"/>
      <c r="AY548" s="500"/>
      <c r="AZ548" s="500"/>
      <c r="BA548" s="500"/>
      <c r="BB548" s="500"/>
      <c r="BC548" s="500"/>
      <c r="BD548" s="500"/>
      <c r="BE548" s="500"/>
      <c r="BF548" s="500"/>
      <c r="BG548" s="500"/>
      <c r="BH548" s="500"/>
      <c r="BI548" s="500"/>
      <c r="BJ548" s="500"/>
      <c r="BK548" s="500"/>
      <c r="BL548" s="500"/>
      <c r="BM548" s="500"/>
      <c r="BN548" s="500"/>
      <c r="BO548" s="500"/>
      <c r="BP548" s="500"/>
      <c r="BQ548" s="500"/>
      <c r="BR548" s="500"/>
      <c r="BS548" s="500"/>
      <c r="BT548" s="500"/>
      <c r="BU548" s="500"/>
      <c r="BV548" s="500"/>
    </row>
    <row r="549" ht="14.25" customHeight="1">
      <c r="A549" s="500"/>
      <c r="B549" s="500"/>
      <c r="C549" s="500"/>
      <c r="D549" s="500"/>
      <c r="E549" s="500"/>
      <c r="F549" s="500"/>
      <c r="G549" s="500"/>
      <c r="H549" s="500"/>
      <c r="I549" s="500"/>
      <c r="J549" s="500"/>
      <c r="K549" s="500"/>
      <c r="L549" s="500"/>
      <c r="M549" s="500"/>
      <c r="N549" s="500"/>
      <c r="O549" s="500"/>
      <c r="P549" s="500"/>
      <c r="Q549" s="500"/>
      <c r="R549" s="500"/>
      <c r="S549" s="500"/>
      <c r="T549" s="500"/>
      <c r="U549" s="500"/>
      <c r="V549" s="500"/>
      <c r="W549" s="500"/>
      <c r="X549" s="500"/>
      <c r="Y549" s="500"/>
      <c r="Z549" s="501"/>
      <c r="AA549" s="501"/>
      <c r="AB549" s="501"/>
      <c r="AC549" s="501"/>
      <c r="AD549" s="500"/>
      <c r="AE549" s="500"/>
      <c r="AF549" s="503"/>
      <c r="AG549" s="503"/>
      <c r="AH549" s="504"/>
      <c r="AI549" s="500"/>
      <c r="AJ549" s="500"/>
      <c r="AK549" s="500"/>
      <c r="AL549" s="500"/>
      <c r="AM549" s="500"/>
      <c r="AN549" s="500"/>
      <c r="AO549" s="500"/>
      <c r="AP549" s="500"/>
      <c r="AQ549" s="500"/>
      <c r="AR549" s="500"/>
      <c r="AS549" s="500"/>
      <c r="AT549" s="500"/>
      <c r="AU549" s="500"/>
      <c r="AV549" s="500"/>
      <c r="AW549" s="500"/>
      <c r="AX549" s="500"/>
      <c r="AY549" s="500"/>
      <c r="AZ549" s="500"/>
      <c r="BA549" s="500"/>
      <c r="BB549" s="500"/>
      <c r="BC549" s="500"/>
      <c r="BD549" s="500"/>
      <c r="BE549" s="500"/>
      <c r="BF549" s="500"/>
      <c r="BG549" s="500"/>
      <c r="BH549" s="500"/>
      <c r="BI549" s="500"/>
      <c r="BJ549" s="500"/>
      <c r="BK549" s="500"/>
      <c r="BL549" s="500"/>
      <c r="BM549" s="500"/>
      <c r="BN549" s="500"/>
      <c r="BO549" s="500"/>
      <c r="BP549" s="500"/>
      <c r="BQ549" s="500"/>
      <c r="BR549" s="500"/>
      <c r="BS549" s="500"/>
      <c r="BT549" s="500"/>
      <c r="BU549" s="500"/>
      <c r="BV549" s="500"/>
    </row>
    <row r="550" ht="14.25" customHeight="1">
      <c r="A550" s="500"/>
      <c r="B550" s="500"/>
      <c r="C550" s="500"/>
      <c r="D550" s="500"/>
      <c r="E550" s="500"/>
      <c r="F550" s="500"/>
      <c r="G550" s="500"/>
      <c r="H550" s="500"/>
      <c r="I550" s="500"/>
      <c r="J550" s="500"/>
      <c r="K550" s="500"/>
      <c r="L550" s="500"/>
      <c r="M550" s="500"/>
      <c r="N550" s="500"/>
      <c r="O550" s="500"/>
      <c r="P550" s="500"/>
      <c r="Q550" s="500"/>
      <c r="R550" s="500"/>
      <c r="S550" s="500"/>
      <c r="T550" s="500"/>
      <c r="U550" s="500"/>
      <c r="V550" s="500"/>
      <c r="W550" s="500"/>
      <c r="X550" s="500"/>
      <c r="Y550" s="500"/>
      <c r="Z550" s="501"/>
      <c r="AA550" s="501"/>
      <c r="AB550" s="501"/>
      <c r="AC550" s="501"/>
      <c r="AD550" s="500"/>
      <c r="AE550" s="500"/>
      <c r="AF550" s="503"/>
      <c r="AG550" s="503"/>
      <c r="AH550" s="504"/>
      <c r="AI550" s="500"/>
      <c r="AJ550" s="500"/>
      <c r="AK550" s="500"/>
      <c r="AL550" s="500"/>
      <c r="AM550" s="500"/>
      <c r="AN550" s="500"/>
      <c r="AO550" s="500"/>
      <c r="AP550" s="500"/>
      <c r="AQ550" s="500"/>
      <c r="AR550" s="500"/>
      <c r="AS550" s="500"/>
      <c r="AT550" s="500"/>
      <c r="AU550" s="500"/>
      <c r="AV550" s="500"/>
      <c r="AW550" s="500"/>
      <c r="AX550" s="500"/>
      <c r="AY550" s="500"/>
      <c r="AZ550" s="500"/>
      <c r="BA550" s="500"/>
      <c r="BB550" s="500"/>
      <c r="BC550" s="500"/>
      <c r="BD550" s="500"/>
      <c r="BE550" s="500"/>
      <c r="BF550" s="500"/>
      <c r="BG550" s="500"/>
      <c r="BH550" s="500"/>
      <c r="BI550" s="500"/>
      <c r="BJ550" s="500"/>
      <c r="BK550" s="500"/>
      <c r="BL550" s="500"/>
      <c r="BM550" s="500"/>
      <c r="BN550" s="500"/>
      <c r="BO550" s="500"/>
      <c r="BP550" s="500"/>
      <c r="BQ550" s="500"/>
      <c r="BR550" s="500"/>
      <c r="BS550" s="500"/>
      <c r="BT550" s="500"/>
      <c r="BU550" s="500"/>
      <c r="BV550" s="500"/>
    </row>
    <row r="551" ht="14.25" customHeight="1">
      <c r="A551" s="500"/>
      <c r="B551" s="500"/>
      <c r="C551" s="500"/>
      <c r="D551" s="500"/>
      <c r="E551" s="500"/>
      <c r="F551" s="500"/>
      <c r="G551" s="500"/>
      <c r="H551" s="500"/>
      <c r="I551" s="500"/>
      <c r="J551" s="500"/>
      <c r="K551" s="500"/>
      <c r="L551" s="500"/>
      <c r="M551" s="500"/>
      <c r="N551" s="500"/>
      <c r="O551" s="500"/>
      <c r="P551" s="500"/>
      <c r="Q551" s="500"/>
      <c r="R551" s="500"/>
      <c r="S551" s="500"/>
      <c r="T551" s="500"/>
      <c r="U551" s="500"/>
      <c r="V551" s="500"/>
      <c r="W551" s="500"/>
      <c r="X551" s="500"/>
      <c r="Y551" s="500"/>
      <c r="Z551" s="501"/>
      <c r="AA551" s="501"/>
      <c r="AB551" s="501"/>
      <c r="AC551" s="501"/>
      <c r="AD551" s="500"/>
      <c r="AE551" s="500"/>
      <c r="AF551" s="503"/>
      <c r="AG551" s="503"/>
      <c r="AH551" s="504"/>
      <c r="AI551" s="500"/>
      <c r="AJ551" s="500"/>
      <c r="AK551" s="500"/>
      <c r="AL551" s="500"/>
      <c r="AM551" s="500"/>
      <c r="AN551" s="500"/>
      <c r="AO551" s="500"/>
      <c r="AP551" s="500"/>
      <c r="AQ551" s="500"/>
      <c r="AR551" s="500"/>
      <c r="AS551" s="500"/>
      <c r="AT551" s="500"/>
      <c r="AU551" s="500"/>
      <c r="AV551" s="500"/>
      <c r="AW551" s="500"/>
      <c r="AX551" s="500"/>
      <c r="AY551" s="500"/>
      <c r="AZ551" s="500"/>
      <c r="BA551" s="500"/>
      <c r="BB551" s="500"/>
      <c r="BC551" s="500"/>
      <c r="BD551" s="500"/>
      <c r="BE551" s="500"/>
      <c r="BF551" s="500"/>
      <c r="BG551" s="500"/>
      <c r="BH551" s="500"/>
      <c r="BI551" s="500"/>
      <c r="BJ551" s="500"/>
      <c r="BK551" s="500"/>
      <c r="BL551" s="500"/>
      <c r="BM551" s="500"/>
      <c r="BN551" s="500"/>
      <c r="BO551" s="500"/>
      <c r="BP551" s="500"/>
      <c r="BQ551" s="500"/>
      <c r="BR551" s="500"/>
      <c r="BS551" s="500"/>
      <c r="BT551" s="500"/>
      <c r="BU551" s="500"/>
      <c r="BV551" s="500"/>
    </row>
    <row r="552" ht="14.25" customHeight="1">
      <c r="A552" s="500"/>
      <c r="B552" s="500"/>
      <c r="C552" s="500"/>
      <c r="D552" s="500"/>
      <c r="E552" s="500"/>
      <c r="F552" s="500"/>
      <c r="G552" s="500"/>
      <c r="H552" s="500"/>
      <c r="I552" s="500"/>
      <c r="J552" s="500"/>
      <c r="K552" s="500"/>
      <c r="L552" s="500"/>
      <c r="M552" s="500"/>
      <c r="N552" s="500"/>
      <c r="O552" s="500"/>
      <c r="P552" s="500"/>
      <c r="Q552" s="500"/>
      <c r="R552" s="500"/>
      <c r="S552" s="500"/>
      <c r="T552" s="500"/>
      <c r="U552" s="500"/>
      <c r="V552" s="500"/>
      <c r="W552" s="500"/>
      <c r="X552" s="500"/>
      <c r="Y552" s="500"/>
      <c r="Z552" s="501"/>
      <c r="AA552" s="501"/>
      <c r="AB552" s="501"/>
      <c r="AC552" s="501"/>
      <c r="AD552" s="500"/>
      <c r="AE552" s="500"/>
      <c r="AF552" s="503"/>
      <c r="AG552" s="503"/>
      <c r="AH552" s="504"/>
      <c r="AI552" s="500"/>
      <c r="AJ552" s="500"/>
      <c r="AK552" s="500"/>
      <c r="AL552" s="500"/>
      <c r="AM552" s="500"/>
      <c r="AN552" s="500"/>
      <c r="AO552" s="500"/>
      <c r="AP552" s="500"/>
      <c r="AQ552" s="500"/>
      <c r="AR552" s="500"/>
      <c r="AS552" s="500"/>
      <c r="AT552" s="500"/>
      <c r="AU552" s="500"/>
      <c r="AV552" s="500"/>
      <c r="AW552" s="500"/>
      <c r="AX552" s="500"/>
      <c r="AY552" s="500"/>
      <c r="AZ552" s="500"/>
      <c r="BA552" s="500"/>
      <c r="BB552" s="500"/>
      <c r="BC552" s="500"/>
      <c r="BD552" s="500"/>
      <c r="BE552" s="500"/>
      <c r="BF552" s="500"/>
      <c r="BG552" s="500"/>
      <c r="BH552" s="500"/>
      <c r="BI552" s="500"/>
      <c r="BJ552" s="500"/>
      <c r="BK552" s="500"/>
      <c r="BL552" s="500"/>
      <c r="BM552" s="500"/>
      <c r="BN552" s="500"/>
      <c r="BO552" s="500"/>
      <c r="BP552" s="500"/>
      <c r="BQ552" s="500"/>
      <c r="BR552" s="500"/>
      <c r="BS552" s="500"/>
      <c r="BT552" s="500"/>
      <c r="BU552" s="500"/>
      <c r="BV552" s="500"/>
    </row>
    <row r="553" ht="14.25" customHeight="1">
      <c r="A553" s="500"/>
      <c r="B553" s="500"/>
      <c r="C553" s="500"/>
      <c r="D553" s="500"/>
      <c r="E553" s="500"/>
      <c r="F553" s="500"/>
      <c r="G553" s="500"/>
      <c r="H553" s="500"/>
      <c r="I553" s="500"/>
      <c r="J553" s="500"/>
      <c r="K553" s="500"/>
      <c r="L553" s="500"/>
      <c r="M553" s="500"/>
      <c r="N553" s="500"/>
      <c r="O553" s="500"/>
      <c r="P553" s="500"/>
      <c r="Q553" s="500"/>
      <c r="R553" s="500"/>
      <c r="S553" s="500"/>
      <c r="T553" s="500"/>
      <c r="U553" s="500"/>
      <c r="V553" s="500"/>
      <c r="W553" s="500"/>
      <c r="X553" s="500"/>
      <c r="Y553" s="500"/>
      <c r="Z553" s="501"/>
      <c r="AA553" s="501"/>
      <c r="AB553" s="501"/>
      <c r="AC553" s="501"/>
      <c r="AD553" s="500"/>
      <c r="AE553" s="500"/>
      <c r="AF553" s="503"/>
      <c r="AG553" s="503"/>
      <c r="AH553" s="504"/>
      <c r="AI553" s="500"/>
      <c r="AJ553" s="500"/>
      <c r="AK553" s="500"/>
      <c r="AL553" s="500"/>
      <c r="AM553" s="500"/>
      <c r="AN553" s="500"/>
      <c r="AO553" s="500"/>
      <c r="AP553" s="500"/>
      <c r="AQ553" s="500"/>
      <c r="AR553" s="500"/>
      <c r="AS553" s="500"/>
      <c r="AT553" s="500"/>
      <c r="AU553" s="500"/>
      <c r="AV553" s="500"/>
      <c r="AW553" s="500"/>
      <c r="AX553" s="500"/>
      <c r="AY553" s="500"/>
      <c r="AZ553" s="500"/>
      <c r="BA553" s="500"/>
      <c r="BB553" s="500"/>
      <c r="BC553" s="500"/>
      <c r="BD553" s="500"/>
      <c r="BE553" s="500"/>
      <c r="BF553" s="500"/>
      <c r="BG553" s="500"/>
      <c r="BH553" s="500"/>
      <c r="BI553" s="500"/>
      <c r="BJ553" s="500"/>
      <c r="BK553" s="500"/>
      <c r="BL553" s="500"/>
      <c r="BM553" s="500"/>
      <c r="BN553" s="500"/>
      <c r="BO553" s="500"/>
      <c r="BP553" s="500"/>
      <c r="BQ553" s="500"/>
      <c r="BR553" s="500"/>
      <c r="BS553" s="500"/>
      <c r="BT553" s="500"/>
      <c r="BU553" s="500"/>
      <c r="BV553" s="500"/>
    </row>
    <row r="554" ht="14.25" customHeight="1">
      <c r="A554" s="500"/>
      <c r="B554" s="500"/>
      <c r="C554" s="500"/>
      <c r="D554" s="500"/>
      <c r="E554" s="500"/>
      <c r="F554" s="500"/>
      <c r="G554" s="500"/>
      <c r="H554" s="500"/>
      <c r="I554" s="500"/>
      <c r="J554" s="500"/>
      <c r="K554" s="500"/>
      <c r="L554" s="500"/>
      <c r="M554" s="500"/>
      <c r="N554" s="500"/>
      <c r="O554" s="500"/>
      <c r="P554" s="500"/>
      <c r="Q554" s="500"/>
      <c r="R554" s="500"/>
      <c r="S554" s="500"/>
      <c r="T554" s="500"/>
      <c r="U554" s="500"/>
      <c r="V554" s="500"/>
      <c r="W554" s="500"/>
      <c r="X554" s="500"/>
      <c r="Y554" s="500"/>
      <c r="Z554" s="501"/>
      <c r="AA554" s="501"/>
      <c r="AB554" s="501"/>
      <c r="AC554" s="501"/>
      <c r="AD554" s="500"/>
      <c r="AE554" s="500"/>
      <c r="AF554" s="503"/>
      <c r="AG554" s="503"/>
      <c r="AH554" s="504"/>
      <c r="AI554" s="500"/>
      <c r="AJ554" s="500"/>
      <c r="AK554" s="500"/>
      <c r="AL554" s="500"/>
      <c r="AM554" s="500"/>
      <c r="AN554" s="500"/>
      <c r="AO554" s="500"/>
      <c r="AP554" s="500"/>
      <c r="AQ554" s="500"/>
      <c r="AR554" s="500"/>
      <c r="AS554" s="500"/>
      <c r="AT554" s="500"/>
      <c r="AU554" s="500"/>
      <c r="AV554" s="500"/>
      <c r="AW554" s="500"/>
      <c r="AX554" s="500"/>
      <c r="AY554" s="500"/>
      <c r="AZ554" s="500"/>
      <c r="BA554" s="500"/>
      <c r="BB554" s="500"/>
      <c r="BC554" s="500"/>
      <c r="BD554" s="500"/>
      <c r="BE554" s="500"/>
      <c r="BF554" s="500"/>
      <c r="BG554" s="500"/>
      <c r="BH554" s="500"/>
      <c r="BI554" s="500"/>
      <c r="BJ554" s="500"/>
      <c r="BK554" s="500"/>
      <c r="BL554" s="500"/>
      <c r="BM554" s="500"/>
      <c r="BN554" s="500"/>
      <c r="BO554" s="500"/>
      <c r="BP554" s="500"/>
      <c r="BQ554" s="500"/>
      <c r="BR554" s="500"/>
      <c r="BS554" s="500"/>
      <c r="BT554" s="500"/>
      <c r="BU554" s="500"/>
      <c r="BV554" s="500"/>
    </row>
    <row r="555" ht="14.25" customHeight="1">
      <c r="A555" s="500"/>
      <c r="B555" s="500"/>
      <c r="C555" s="500"/>
      <c r="D555" s="500"/>
      <c r="E555" s="500"/>
      <c r="F555" s="500"/>
      <c r="G555" s="500"/>
      <c r="H555" s="500"/>
      <c r="I555" s="500"/>
      <c r="J555" s="500"/>
      <c r="K555" s="500"/>
      <c r="L555" s="500"/>
      <c r="M555" s="500"/>
      <c r="N555" s="500"/>
      <c r="O555" s="500"/>
      <c r="P555" s="500"/>
      <c r="Q555" s="500"/>
      <c r="R555" s="500"/>
      <c r="S555" s="500"/>
      <c r="T555" s="500"/>
      <c r="U555" s="500"/>
      <c r="V555" s="500"/>
      <c r="W555" s="500"/>
      <c r="X555" s="500"/>
      <c r="Y555" s="500"/>
      <c r="Z555" s="501"/>
      <c r="AA555" s="501"/>
      <c r="AB555" s="501"/>
      <c r="AC555" s="501"/>
      <c r="AD555" s="500"/>
      <c r="AE555" s="500"/>
      <c r="AF555" s="503"/>
      <c r="AG555" s="503"/>
      <c r="AH555" s="504"/>
      <c r="AI555" s="500"/>
      <c r="AJ555" s="500"/>
      <c r="AK555" s="500"/>
      <c r="AL555" s="500"/>
      <c r="AM555" s="500"/>
      <c r="AN555" s="500"/>
      <c r="AO555" s="500"/>
      <c r="AP555" s="500"/>
      <c r="AQ555" s="500"/>
      <c r="AR555" s="500"/>
      <c r="AS555" s="500"/>
      <c r="AT555" s="500"/>
      <c r="AU555" s="500"/>
      <c r="AV555" s="500"/>
      <c r="AW555" s="500"/>
      <c r="AX555" s="500"/>
      <c r="AY555" s="500"/>
      <c r="AZ555" s="500"/>
      <c r="BA555" s="500"/>
      <c r="BB555" s="500"/>
      <c r="BC555" s="500"/>
      <c r="BD555" s="500"/>
      <c r="BE555" s="500"/>
      <c r="BF555" s="500"/>
      <c r="BG555" s="500"/>
      <c r="BH555" s="500"/>
      <c r="BI555" s="500"/>
      <c r="BJ555" s="500"/>
      <c r="BK555" s="500"/>
      <c r="BL555" s="500"/>
      <c r="BM555" s="500"/>
      <c r="BN555" s="500"/>
      <c r="BO555" s="500"/>
      <c r="BP555" s="500"/>
      <c r="BQ555" s="500"/>
      <c r="BR555" s="500"/>
      <c r="BS555" s="500"/>
      <c r="BT555" s="500"/>
      <c r="BU555" s="500"/>
      <c r="BV555" s="500"/>
    </row>
    <row r="556" ht="14.25" customHeight="1">
      <c r="A556" s="500"/>
      <c r="B556" s="500"/>
      <c r="C556" s="500"/>
      <c r="D556" s="500"/>
      <c r="E556" s="500"/>
      <c r="F556" s="500"/>
      <c r="G556" s="500"/>
      <c r="H556" s="500"/>
      <c r="I556" s="500"/>
      <c r="J556" s="500"/>
      <c r="K556" s="500"/>
      <c r="L556" s="500"/>
      <c r="M556" s="500"/>
      <c r="N556" s="500"/>
      <c r="O556" s="500"/>
      <c r="P556" s="500"/>
      <c r="Q556" s="500"/>
      <c r="R556" s="500"/>
      <c r="S556" s="500"/>
      <c r="T556" s="500"/>
      <c r="U556" s="500"/>
      <c r="V556" s="500"/>
      <c r="W556" s="500"/>
      <c r="X556" s="500"/>
      <c r="Y556" s="500"/>
      <c r="Z556" s="501"/>
      <c r="AA556" s="501"/>
      <c r="AB556" s="501"/>
      <c r="AC556" s="501"/>
      <c r="AD556" s="500"/>
      <c r="AE556" s="500"/>
      <c r="AF556" s="503"/>
      <c r="AG556" s="503"/>
      <c r="AH556" s="504"/>
      <c r="AI556" s="500"/>
      <c r="AJ556" s="500"/>
      <c r="AK556" s="500"/>
      <c r="AL556" s="500"/>
      <c r="AM556" s="500"/>
      <c r="AN556" s="500"/>
      <c r="AO556" s="500"/>
      <c r="AP556" s="500"/>
      <c r="AQ556" s="500"/>
      <c r="AR556" s="500"/>
      <c r="AS556" s="500"/>
      <c r="AT556" s="500"/>
      <c r="AU556" s="500"/>
      <c r="AV556" s="500"/>
      <c r="AW556" s="500"/>
      <c r="AX556" s="500"/>
      <c r="AY556" s="500"/>
      <c r="AZ556" s="500"/>
      <c r="BA556" s="500"/>
      <c r="BB556" s="500"/>
      <c r="BC556" s="500"/>
      <c r="BD556" s="500"/>
      <c r="BE556" s="500"/>
      <c r="BF556" s="500"/>
      <c r="BG556" s="500"/>
      <c r="BH556" s="500"/>
      <c r="BI556" s="500"/>
      <c r="BJ556" s="500"/>
      <c r="BK556" s="500"/>
      <c r="BL556" s="500"/>
      <c r="BM556" s="500"/>
      <c r="BN556" s="500"/>
      <c r="BO556" s="500"/>
      <c r="BP556" s="500"/>
      <c r="BQ556" s="500"/>
      <c r="BR556" s="500"/>
      <c r="BS556" s="500"/>
      <c r="BT556" s="500"/>
      <c r="BU556" s="500"/>
      <c r="BV556" s="500"/>
    </row>
    <row r="557" ht="14.25" customHeight="1">
      <c r="A557" s="500"/>
      <c r="B557" s="500"/>
      <c r="C557" s="500"/>
      <c r="D557" s="500"/>
      <c r="E557" s="500"/>
      <c r="F557" s="500"/>
      <c r="G557" s="500"/>
      <c r="H557" s="500"/>
      <c r="I557" s="500"/>
      <c r="J557" s="500"/>
      <c r="K557" s="500"/>
      <c r="L557" s="500"/>
      <c r="M557" s="500"/>
      <c r="N557" s="500"/>
      <c r="O557" s="500"/>
      <c r="P557" s="500"/>
      <c r="Q557" s="500"/>
      <c r="R557" s="500"/>
      <c r="S557" s="500"/>
      <c r="T557" s="500"/>
      <c r="U557" s="500"/>
      <c r="V557" s="500"/>
      <c r="W557" s="500"/>
      <c r="X557" s="500"/>
      <c r="Y557" s="500"/>
      <c r="Z557" s="501"/>
      <c r="AA557" s="501"/>
      <c r="AB557" s="501"/>
      <c r="AC557" s="501"/>
      <c r="AD557" s="500"/>
      <c r="AE557" s="500"/>
      <c r="AF557" s="503"/>
      <c r="AG557" s="503"/>
      <c r="AH557" s="504"/>
      <c r="AI557" s="500"/>
      <c r="AJ557" s="500"/>
      <c r="AK557" s="500"/>
      <c r="AL557" s="500"/>
      <c r="AM557" s="500"/>
      <c r="AN557" s="500"/>
      <c r="AO557" s="500"/>
      <c r="AP557" s="500"/>
      <c r="AQ557" s="500"/>
      <c r="AR557" s="500"/>
      <c r="AS557" s="500"/>
      <c r="AT557" s="500"/>
      <c r="AU557" s="500"/>
      <c r="AV557" s="500"/>
      <c r="AW557" s="500"/>
      <c r="AX557" s="500"/>
      <c r="AY557" s="500"/>
      <c r="AZ557" s="500"/>
      <c r="BA557" s="500"/>
      <c r="BB557" s="500"/>
      <c r="BC557" s="500"/>
      <c r="BD557" s="500"/>
      <c r="BE557" s="500"/>
      <c r="BF557" s="500"/>
      <c r="BG557" s="500"/>
      <c r="BH557" s="500"/>
      <c r="BI557" s="500"/>
      <c r="BJ557" s="500"/>
      <c r="BK557" s="500"/>
      <c r="BL557" s="500"/>
      <c r="BM557" s="500"/>
      <c r="BN557" s="500"/>
      <c r="BO557" s="500"/>
      <c r="BP557" s="500"/>
      <c r="BQ557" s="500"/>
      <c r="BR557" s="500"/>
      <c r="BS557" s="500"/>
      <c r="BT557" s="500"/>
      <c r="BU557" s="500"/>
      <c r="BV557" s="500"/>
    </row>
    <row r="558" ht="14.25" customHeight="1">
      <c r="A558" s="500"/>
      <c r="B558" s="500"/>
      <c r="C558" s="500"/>
      <c r="D558" s="500"/>
      <c r="E558" s="500"/>
      <c r="F558" s="500"/>
      <c r="G558" s="500"/>
      <c r="H558" s="500"/>
      <c r="I558" s="500"/>
      <c r="J558" s="500"/>
      <c r="K558" s="500"/>
      <c r="L558" s="500"/>
      <c r="M558" s="500"/>
      <c r="N558" s="500"/>
      <c r="O558" s="500"/>
      <c r="P558" s="500"/>
      <c r="Q558" s="500"/>
      <c r="R558" s="500"/>
      <c r="S558" s="500"/>
      <c r="T558" s="500"/>
      <c r="U558" s="500"/>
      <c r="V558" s="500"/>
      <c r="W558" s="500"/>
      <c r="X558" s="500"/>
      <c r="Y558" s="500"/>
      <c r="Z558" s="501"/>
      <c r="AA558" s="501"/>
      <c r="AB558" s="501"/>
      <c r="AC558" s="501"/>
      <c r="AD558" s="500"/>
      <c r="AE558" s="500"/>
      <c r="AF558" s="503"/>
      <c r="AG558" s="503"/>
      <c r="AH558" s="504"/>
      <c r="AI558" s="500"/>
      <c r="AJ558" s="500"/>
      <c r="AK558" s="500"/>
      <c r="AL558" s="500"/>
      <c r="AM558" s="500"/>
      <c r="AN558" s="500"/>
      <c r="AO558" s="500"/>
      <c r="AP558" s="500"/>
      <c r="AQ558" s="500"/>
      <c r="AR558" s="500"/>
      <c r="AS558" s="500"/>
      <c r="AT558" s="500"/>
      <c r="AU558" s="500"/>
      <c r="AV558" s="500"/>
      <c r="AW558" s="500"/>
      <c r="AX558" s="500"/>
      <c r="AY558" s="500"/>
      <c r="AZ558" s="500"/>
      <c r="BA558" s="500"/>
      <c r="BB558" s="500"/>
      <c r="BC558" s="500"/>
      <c r="BD558" s="500"/>
      <c r="BE558" s="500"/>
      <c r="BF558" s="500"/>
      <c r="BG558" s="500"/>
      <c r="BH558" s="500"/>
      <c r="BI558" s="500"/>
      <c r="BJ558" s="500"/>
      <c r="BK558" s="500"/>
      <c r="BL558" s="500"/>
      <c r="BM558" s="500"/>
      <c r="BN558" s="500"/>
      <c r="BO558" s="500"/>
      <c r="BP558" s="500"/>
      <c r="BQ558" s="500"/>
      <c r="BR558" s="500"/>
      <c r="BS558" s="500"/>
      <c r="BT558" s="500"/>
      <c r="BU558" s="500"/>
      <c r="BV558" s="500"/>
    </row>
    <row r="559" ht="14.25" customHeight="1">
      <c r="A559" s="500"/>
      <c r="B559" s="500"/>
      <c r="C559" s="500"/>
      <c r="D559" s="500"/>
      <c r="E559" s="500"/>
      <c r="F559" s="500"/>
      <c r="G559" s="500"/>
      <c r="H559" s="500"/>
      <c r="I559" s="500"/>
      <c r="J559" s="500"/>
      <c r="K559" s="500"/>
      <c r="L559" s="500"/>
      <c r="M559" s="500"/>
      <c r="N559" s="500"/>
      <c r="O559" s="500"/>
      <c r="P559" s="500"/>
      <c r="Q559" s="500"/>
      <c r="R559" s="500"/>
      <c r="S559" s="500"/>
      <c r="T559" s="500"/>
      <c r="U559" s="500"/>
      <c r="V559" s="500"/>
      <c r="W559" s="500"/>
      <c r="X559" s="500"/>
      <c r="Y559" s="500"/>
      <c r="Z559" s="501"/>
      <c r="AA559" s="501"/>
      <c r="AB559" s="501"/>
      <c r="AC559" s="501"/>
      <c r="AD559" s="500"/>
      <c r="AE559" s="500"/>
      <c r="AF559" s="503"/>
      <c r="AG559" s="503"/>
      <c r="AH559" s="504"/>
      <c r="AI559" s="500"/>
      <c r="AJ559" s="500"/>
      <c r="AK559" s="500"/>
      <c r="AL559" s="500"/>
      <c r="AM559" s="500"/>
      <c r="AN559" s="500"/>
      <c r="AO559" s="500"/>
      <c r="AP559" s="500"/>
      <c r="AQ559" s="500"/>
      <c r="AR559" s="500"/>
      <c r="AS559" s="500"/>
      <c r="AT559" s="500"/>
      <c r="AU559" s="500"/>
      <c r="AV559" s="500"/>
      <c r="AW559" s="500"/>
      <c r="AX559" s="500"/>
      <c r="AY559" s="500"/>
      <c r="AZ559" s="500"/>
      <c r="BA559" s="500"/>
      <c r="BB559" s="500"/>
      <c r="BC559" s="500"/>
      <c r="BD559" s="500"/>
      <c r="BE559" s="500"/>
      <c r="BF559" s="500"/>
      <c r="BG559" s="500"/>
      <c r="BH559" s="500"/>
      <c r="BI559" s="500"/>
      <c r="BJ559" s="500"/>
      <c r="BK559" s="500"/>
      <c r="BL559" s="500"/>
      <c r="BM559" s="500"/>
      <c r="BN559" s="500"/>
      <c r="BO559" s="500"/>
      <c r="BP559" s="500"/>
      <c r="BQ559" s="500"/>
      <c r="BR559" s="500"/>
      <c r="BS559" s="500"/>
      <c r="BT559" s="500"/>
      <c r="BU559" s="500"/>
      <c r="BV559" s="500"/>
    </row>
    <row r="560" ht="14.25" customHeight="1">
      <c r="A560" s="500"/>
      <c r="B560" s="500"/>
      <c r="C560" s="500"/>
      <c r="D560" s="500"/>
      <c r="E560" s="500"/>
      <c r="F560" s="500"/>
      <c r="G560" s="500"/>
      <c r="H560" s="500"/>
      <c r="I560" s="500"/>
      <c r="J560" s="500"/>
      <c r="K560" s="500"/>
      <c r="L560" s="500"/>
      <c r="M560" s="500"/>
      <c r="N560" s="500"/>
      <c r="O560" s="500"/>
      <c r="P560" s="500"/>
      <c r="Q560" s="500"/>
      <c r="R560" s="500"/>
      <c r="S560" s="500"/>
      <c r="T560" s="500"/>
      <c r="U560" s="500"/>
      <c r="V560" s="500"/>
      <c r="W560" s="500"/>
      <c r="X560" s="500"/>
      <c r="Y560" s="500"/>
      <c r="Z560" s="501"/>
      <c r="AA560" s="501"/>
      <c r="AB560" s="501"/>
      <c r="AC560" s="501"/>
      <c r="AD560" s="500"/>
      <c r="AE560" s="500"/>
      <c r="AF560" s="503"/>
      <c r="AG560" s="503"/>
      <c r="AH560" s="504"/>
      <c r="AI560" s="500"/>
      <c r="AJ560" s="500"/>
      <c r="AK560" s="500"/>
      <c r="AL560" s="500"/>
      <c r="AM560" s="500"/>
      <c r="AN560" s="500"/>
      <c r="AO560" s="500"/>
      <c r="AP560" s="500"/>
      <c r="AQ560" s="500"/>
      <c r="AR560" s="500"/>
      <c r="AS560" s="500"/>
      <c r="AT560" s="500"/>
      <c r="AU560" s="500"/>
      <c r="AV560" s="500"/>
      <c r="AW560" s="500"/>
      <c r="AX560" s="500"/>
      <c r="AY560" s="500"/>
      <c r="AZ560" s="500"/>
      <c r="BA560" s="500"/>
      <c r="BB560" s="500"/>
      <c r="BC560" s="500"/>
      <c r="BD560" s="500"/>
      <c r="BE560" s="500"/>
      <c r="BF560" s="500"/>
      <c r="BG560" s="500"/>
      <c r="BH560" s="500"/>
      <c r="BI560" s="500"/>
      <c r="BJ560" s="500"/>
      <c r="BK560" s="500"/>
      <c r="BL560" s="500"/>
      <c r="BM560" s="500"/>
      <c r="BN560" s="500"/>
      <c r="BO560" s="500"/>
      <c r="BP560" s="500"/>
      <c r="BQ560" s="500"/>
      <c r="BR560" s="500"/>
      <c r="BS560" s="500"/>
      <c r="BT560" s="500"/>
      <c r="BU560" s="500"/>
      <c r="BV560" s="500"/>
    </row>
    <row r="561" ht="14.25" customHeight="1">
      <c r="A561" s="500"/>
      <c r="B561" s="500"/>
      <c r="C561" s="500"/>
      <c r="D561" s="500"/>
      <c r="E561" s="500"/>
      <c r="F561" s="500"/>
      <c r="G561" s="500"/>
      <c r="H561" s="500"/>
      <c r="I561" s="500"/>
      <c r="J561" s="500"/>
      <c r="K561" s="500"/>
      <c r="L561" s="500"/>
      <c r="M561" s="500"/>
      <c r="N561" s="500"/>
      <c r="O561" s="500"/>
      <c r="P561" s="500"/>
      <c r="Q561" s="500"/>
      <c r="R561" s="500"/>
      <c r="S561" s="500"/>
      <c r="T561" s="500"/>
      <c r="U561" s="500"/>
      <c r="V561" s="500"/>
      <c r="W561" s="500"/>
      <c r="X561" s="500"/>
      <c r="Y561" s="500"/>
      <c r="Z561" s="501"/>
      <c r="AA561" s="501"/>
      <c r="AB561" s="501"/>
      <c r="AC561" s="501"/>
      <c r="AD561" s="500"/>
      <c r="AE561" s="500"/>
      <c r="AF561" s="503"/>
      <c r="AG561" s="503"/>
      <c r="AH561" s="504"/>
      <c r="AI561" s="500"/>
      <c r="AJ561" s="500"/>
      <c r="AK561" s="500"/>
      <c r="AL561" s="500"/>
      <c r="AM561" s="500"/>
      <c r="AN561" s="500"/>
      <c r="AO561" s="500"/>
      <c r="AP561" s="500"/>
      <c r="AQ561" s="500"/>
      <c r="AR561" s="500"/>
      <c r="AS561" s="500"/>
      <c r="AT561" s="500"/>
      <c r="AU561" s="500"/>
      <c r="AV561" s="500"/>
      <c r="AW561" s="500"/>
      <c r="AX561" s="500"/>
      <c r="AY561" s="500"/>
      <c r="AZ561" s="500"/>
      <c r="BA561" s="500"/>
      <c r="BB561" s="500"/>
      <c r="BC561" s="500"/>
      <c r="BD561" s="500"/>
      <c r="BE561" s="500"/>
      <c r="BF561" s="500"/>
      <c r="BG561" s="500"/>
      <c r="BH561" s="500"/>
      <c r="BI561" s="500"/>
      <c r="BJ561" s="500"/>
      <c r="BK561" s="500"/>
      <c r="BL561" s="500"/>
      <c r="BM561" s="500"/>
      <c r="BN561" s="500"/>
      <c r="BO561" s="500"/>
      <c r="BP561" s="500"/>
      <c r="BQ561" s="500"/>
      <c r="BR561" s="500"/>
      <c r="BS561" s="500"/>
      <c r="BT561" s="500"/>
      <c r="BU561" s="500"/>
      <c r="BV561" s="500"/>
    </row>
    <row r="562" ht="14.25" customHeight="1">
      <c r="A562" s="500"/>
      <c r="B562" s="500"/>
      <c r="C562" s="500"/>
      <c r="D562" s="500"/>
      <c r="E562" s="500"/>
      <c r="F562" s="500"/>
      <c r="G562" s="500"/>
      <c r="H562" s="500"/>
      <c r="I562" s="500"/>
      <c r="J562" s="500"/>
      <c r="K562" s="500"/>
      <c r="L562" s="500"/>
      <c r="M562" s="500"/>
      <c r="N562" s="500"/>
      <c r="O562" s="500"/>
      <c r="P562" s="500"/>
      <c r="Q562" s="500"/>
      <c r="R562" s="500"/>
      <c r="S562" s="500"/>
      <c r="T562" s="500"/>
      <c r="U562" s="500"/>
      <c r="V562" s="500"/>
      <c r="W562" s="500"/>
      <c r="X562" s="500"/>
      <c r="Y562" s="500"/>
      <c r="Z562" s="501"/>
      <c r="AA562" s="501"/>
      <c r="AB562" s="501"/>
      <c r="AC562" s="501"/>
      <c r="AD562" s="500"/>
      <c r="AE562" s="500"/>
      <c r="AF562" s="503"/>
      <c r="AG562" s="503"/>
      <c r="AH562" s="504"/>
      <c r="AI562" s="500"/>
      <c r="AJ562" s="500"/>
      <c r="AK562" s="500"/>
      <c r="AL562" s="500"/>
      <c r="AM562" s="500"/>
      <c r="AN562" s="500"/>
      <c r="AO562" s="500"/>
      <c r="AP562" s="500"/>
      <c r="AQ562" s="500"/>
      <c r="AR562" s="500"/>
      <c r="AS562" s="500"/>
      <c r="AT562" s="500"/>
      <c r="AU562" s="500"/>
      <c r="AV562" s="500"/>
      <c r="AW562" s="500"/>
      <c r="AX562" s="500"/>
      <c r="AY562" s="500"/>
      <c r="AZ562" s="500"/>
      <c r="BA562" s="500"/>
      <c r="BB562" s="500"/>
      <c r="BC562" s="500"/>
      <c r="BD562" s="500"/>
      <c r="BE562" s="500"/>
      <c r="BF562" s="500"/>
      <c r="BG562" s="500"/>
      <c r="BH562" s="500"/>
      <c r="BI562" s="500"/>
      <c r="BJ562" s="500"/>
      <c r="BK562" s="500"/>
      <c r="BL562" s="500"/>
      <c r="BM562" s="500"/>
      <c r="BN562" s="500"/>
      <c r="BO562" s="500"/>
      <c r="BP562" s="500"/>
      <c r="BQ562" s="500"/>
      <c r="BR562" s="500"/>
      <c r="BS562" s="500"/>
      <c r="BT562" s="500"/>
      <c r="BU562" s="500"/>
      <c r="BV562" s="500"/>
    </row>
    <row r="563" ht="14.25" customHeight="1">
      <c r="A563" s="500"/>
      <c r="B563" s="500"/>
      <c r="C563" s="500"/>
      <c r="D563" s="500"/>
      <c r="E563" s="500"/>
      <c r="F563" s="500"/>
      <c r="G563" s="500"/>
      <c r="H563" s="500"/>
      <c r="I563" s="500"/>
      <c r="J563" s="500"/>
      <c r="K563" s="500"/>
      <c r="L563" s="500"/>
      <c r="M563" s="500"/>
      <c r="N563" s="500"/>
      <c r="O563" s="500"/>
      <c r="P563" s="500"/>
      <c r="Q563" s="500"/>
      <c r="R563" s="500"/>
      <c r="S563" s="500"/>
      <c r="T563" s="500"/>
      <c r="U563" s="500"/>
      <c r="V563" s="500"/>
      <c r="W563" s="500"/>
      <c r="X563" s="500"/>
      <c r="Y563" s="500"/>
      <c r="Z563" s="501"/>
      <c r="AA563" s="501"/>
      <c r="AB563" s="501"/>
      <c r="AC563" s="501"/>
      <c r="AD563" s="500"/>
      <c r="AE563" s="500"/>
      <c r="AF563" s="503"/>
      <c r="AG563" s="503"/>
      <c r="AH563" s="504"/>
      <c r="AI563" s="500"/>
      <c r="AJ563" s="500"/>
      <c r="AK563" s="500"/>
      <c r="AL563" s="500"/>
      <c r="AM563" s="500"/>
      <c r="AN563" s="500"/>
      <c r="AO563" s="500"/>
      <c r="AP563" s="500"/>
      <c r="AQ563" s="500"/>
      <c r="AR563" s="500"/>
      <c r="AS563" s="500"/>
      <c r="AT563" s="500"/>
      <c r="AU563" s="500"/>
      <c r="AV563" s="500"/>
      <c r="AW563" s="500"/>
      <c r="AX563" s="500"/>
      <c r="AY563" s="500"/>
      <c r="AZ563" s="500"/>
      <c r="BA563" s="500"/>
      <c r="BB563" s="500"/>
      <c r="BC563" s="500"/>
      <c r="BD563" s="500"/>
      <c r="BE563" s="500"/>
      <c r="BF563" s="500"/>
      <c r="BG563" s="500"/>
      <c r="BH563" s="500"/>
      <c r="BI563" s="500"/>
      <c r="BJ563" s="500"/>
      <c r="BK563" s="500"/>
      <c r="BL563" s="500"/>
      <c r="BM563" s="500"/>
      <c r="BN563" s="500"/>
      <c r="BO563" s="500"/>
      <c r="BP563" s="500"/>
      <c r="BQ563" s="500"/>
      <c r="BR563" s="500"/>
      <c r="BS563" s="500"/>
      <c r="BT563" s="500"/>
      <c r="BU563" s="500"/>
      <c r="BV563" s="500"/>
    </row>
    <row r="564" ht="14.25" customHeight="1">
      <c r="A564" s="500"/>
      <c r="B564" s="500"/>
      <c r="C564" s="500"/>
      <c r="D564" s="500"/>
      <c r="E564" s="500"/>
      <c r="F564" s="500"/>
      <c r="G564" s="500"/>
      <c r="H564" s="500"/>
      <c r="I564" s="500"/>
      <c r="J564" s="500"/>
      <c r="K564" s="500"/>
      <c r="L564" s="500"/>
      <c r="M564" s="500"/>
      <c r="N564" s="500"/>
      <c r="O564" s="500"/>
      <c r="P564" s="500"/>
      <c r="Q564" s="500"/>
      <c r="R564" s="500"/>
      <c r="S564" s="500"/>
      <c r="T564" s="500"/>
      <c r="U564" s="500"/>
      <c r="V564" s="500"/>
      <c r="W564" s="500"/>
      <c r="X564" s="500"/>
      <c r="Y564" s="500"/>
      <c r="Z564" s="501"/>
      <c r="AA564" s="501"/>
      <c r="AB564" s="501"/>
      <c r="AC564" s="501"/>
      <c r="AD564" s="500"/>
      <c r="AE564" s="500"/>
      <c r="AF564" s="503"/>
      <c r="AG564" s="503"/>
      <c r="AH564" s="504"/>
      <c r="AI564" s="500"/>
      <c r="AJ564" s="500"/>
      <c r="AK564" s="500"/>
      <c r="AL564" s="500"/>
      <c r="AM564" s="500"/>
      <c r="AN564" s="500"/>
      <c r="AO564" s="500"/>
      <c r="AP564" s="500"/>
      <c r="AQ564" s="500"/>
      <c r="AR564" s="500"/>
      <c r="AS564" s="500"/>
      <c r="AT564" s="500"/>
      <c r="AU564" s="500"/>
      <c r="AV564" s="500"/>
      <c r="AW564" s="500"/>
      <c r="AX564" s="500"/>
      <c r="AY564" s="500"/>
      <c r="AZ564" s="500"/>
      <c r="BA564" s="500"/>
      <c r="BB564" s="500"/>
      <c r="BC564" s="500"/>
      <c r="BD564" s="500"/>
      <c r="BE564" s="500"/>
      <c r="BF564" s="500"/>
      <c r="BG564" s="500"/>
      <c r="BH564" s="500"/>
      <c r="BI564" s="500"/>
      <c r="BJ564" s="500"/>
      <c r="BK564" s="500"/>
      <c r="BL564" s="500"/>
      <c r="BM564" s="500"/>
      <c r="BN564" s="500"/>
      <c r="BO564" s="500"/>
      <c r="BP564" s="500"/>
      <c r="BQ564" s="500"/>
      <c r="BR564" s="500"/>
      <c r="BS564" s="500"/>
      <c r="BT564" s="500"/>
      <c r="BU564" s="500"/>
      <c r="BV564" s="500"/>
    </row>
    <row r="565" ht="14.25" customHeight="1">
      <c r="A565" s="500"/>
      <c r="B565" s="500"/>
      <c r="C565" s="500"/>
      <c r="D565" s="500"/>
      <c r="E565" s="500"/>
      <c r="F565" s="500"/>
      <c r="G565" s="500"/>
      <c r="H565" s="500"/>
      <c r="I565" s="500"/>
      <c r="J565" s="500"/>
      <c r="K565" s="500"/>
      <c r="L565" s="500"/>
      <c r="M565" s="500"/>
      <c r="N565" s="500"/>
      <c r="O565" s="500"/>
      <c r="P565" s="500"/>
      <c r="Q565" s="500"/>
      <c r="R565" s="500"/>
      <c r="S565" s="500"/>
      <c r="T565" s="500"/>
      <c r="U565" s="500"/>
      <c r="V565" s="500"/>
      <c r="W565" s="500"/>
      <c r="X565" s="500"/>
      <c r="Y565" s="500"/>
      <c r="Z565" s="501"/>
      <c r="AA565" s="501"/>
      <c r="AB565" s="501"/>
      <c r="AC565" s="501"/>
      <c r="AD565" s="500"/>
      <c r="AE565" s="500"/>
      <c r="AF565" s="503"/>
      <c r="AG565" s="503"/>
      <c r="AH565" s="504"/>
      <c r="AI565" s="500"/>
      <c r="AJ565" s="500"/>
      <c r="AK565" s="500"/>
      <c r="AL565" s="500"/>
      <c r="AM565" s="500"/>
      <c r="AN565" s="500"/>
      <c r="AO565" s="500"/>
      <c r="AP565" s="500"/>
      <c r="AQ565" s="500"/>
      <c r="AR565" s="500"/>
      <c r="AS565" s="500"/>
      <c r="AT565" s="500"/>
      <c r="AU565" s="500"/>
      <c r="AV565" s="500"/>
      <c r="AW565" s="500"/>
      <c r="AX565" s="500"/>
      <c r="AY565" s="500"/>
      <c r="AZ565" s="500"/>
      <c r="BA565" s="500"/>
      <c r="BB565" s="500"/>
      <c r="BC565" s="500"/>
      <c r="BD565" s="500"/>
      <c r="BE565" s="500"/>
      <c r="BF565" s="500"/>
      <c r="BG565" s="500"/>
      <c r="BH565" s="500"/>
      <c r="BI565" s="500"/>
      <c r="BJ565" s="500"/>
      <c r="BK565" s="500"/>
      <c r="BL565" s="500"/>
      <c r="BM565" s="500"/>
      <c r="BN565" s="500"/>
      <c r="BO565" s="500"/>
      <c r="BP565" s="500"/>
      <c r="BQ565" s="500"/>
      <c r="BR565" s="500"/>
      <c r="BS565" s="500"/>
      <c r="BT565" s="500"/>
      <c r="BU565" s="500"/>
      <c r="BV565" s="500"/>
    </row>
    <row r="566" ht="14.25" customHeight="1">
      <c r="A566" s="500"/>
      <c r="B566" s="500"/>
      <c r="C566" s="500"/>
      <c r="D566" s="500"/>
      <c r="E566" s="500"/>
      <c r="F566" s="500"/>
      <c r="G566" s="500"/>
      <c r="H566" s="500"/>
      <c r="I566" s="500"/>
      <c r="J566" s="500"/>
      <c r="K566" s="500"/>
      <c r="L566" s="500"/>
      <c r="M566" s="500"/>
      <c r="N566" s="500"/>
      <c r="O566" s="500"/>
      <c r="P566" s="500"/>
      <c r="Q566" s="500"/>
      <c r="R566" s="500"/>
      <c r="S566" s="500"/>
      <c r="T566" s="500"/>
      <c r="U566" s="500"/>
      <c r="V566" s="500"/>
      <c r="W566" s="500"/>
      <c r="X566" s="500"/>
      <c r="Y566" s="500"/>
      <c r="Z566" s="501"/>
      <c r="AA566" s="501"/>
      <c r="AB566" s="501"/>
      <c r="AC566" s="501"/>
      <c r="AD566" s="500"/>
      <c r="AE566" s="500"/>
      <c r="AF566" s="503"/>
      <c r="AG566" s="503"/>
      <c r="AH566" s="504"/>
      <c r="AI566" s="500"/>
      <c r="AJ566" s="500"/>
      <c r="AK566" s="500"/>
      <c r="AL566" s="500"/>
      <c r="AM566" s="500"/>
      <c r="AN566" s="500"/>
      <c r="AO566" s="500"/>
      <c r="AP566" s="500"/>
      <c r="AQ566" s="500"/>
      <c r="AR566" s="500"/>
      <c r="AS566" s="500"/>
      <c r="AT566" s="500"/>
      <c r="AU566" s="500"/>
      <c r="AV566" s="500"/>
      <c r="AW566" s="500"/>
      <c r="AX566" s="500"/>
      <c r="AY566" s="500"/>
      <c r="AZ566" s="500"/>
      <c r="BA566" s="500"/>
      <c r="BB566" s="500"/>
      <c r="BC566" s="500"/>
      <c r="BD566" s="500"/>
      <c r="BE566" s="500"/>
      <c r="BF566" s="500"/>
      <c r="BG566" s="500"/>
      <c r="BH566" s="500"/>
      <c r="BI566" s="500"/>
      <c r="BJ566" s="500"/>
      <c r="BK566" s="500"/>
      <c r="BL566" s="500"/>
      <c r="BM566" s="500"/>
      <c r="BN566" s="500"/>
      <c r="BO566" s="500"/>
      <c r="BP566" s="500"/>
      <c r="BQ566" s="500"/>
      <c r="BR566" s="500"/>
      <c r="BS566" s="500"/>
      <c r="BT566" s="500"/>
      <c r="BU566" s="500"/>
      <c r="BV566" s="500"/>
    </row>
    <row r="567" ht="14.25" customHeight="1">
      <c r="A567" s="500"/>
      <c r="B567" s="500"/>
      <c r="C567" s="500"/>
      <c r="D567" s="500"/>
      <c r="E567" s="500"/>
      <c r="F567" s="500"/>
      <c r="G567" s="500"/>
      <c r="H567" s="500"/>
      <c r="I567" s="500"/>
      <c r="J567" s="500"/>
      <c r="K567" s="500"/>
      <c r="L567" s="500"/>
      <c r="M567" s="500"/>
      <c r="N567" s="500"/>
      <c r="O567" s="500"/>
      <c r="P567" s="500"/>
      <c r="Q567" s="500"/>
      <c r="R567" s="500"/>
      <c r="S567" s="500"/>
      <c r="T567" s="500"/>
      <c r="U567" s="500"/>
      <c r="V567" s="500"/>
      <c r="W567" s="500"/>
      <c r="X567" s="500"/>
      <c r="Y567" s="500"/>
      <c r="Z567" s="501"/>
      <c r="AA567" s="501"/>
      <c r="AB567" s="501"/>
      <c r="AC567" s="501"/>
      <c r="AD567" s="500"/>
      <c r="AE567" s="500"/>
      <c r="AF567" s="503"/>
      <c r="AG567" s="503"/>
      <c r="AH567" s="504"/>
      <c r="AI567" s="500"/>
      <c r="AJ567" s="500"/>
      <c r="AK567" s="500"/>
      <c r="AL567" s="500"/>
      <c r="AM567" s="500"/>
      <c r="AN567" s="500"/>
      <c r="AO567" s="500"/>
      <c r="AP567" s="500"/>
      <c r="AQ567" s="500"/>
      <c r="AR567" s="500"/>
      <c r="AS567" s="500"/>
      <c r="AT567" s="500"/>
      <c r="AU567" s="500"/>
      <c r="AV567" s="500"/>
      <c r="AW567" s="500"/>
      <c r="AX567" s="500"/>
      <c r="AY567" s="500"/>
      <c r="AZ567" s="500"/>
      <c r="BA567" s="500"/>
      <c r="BB567" s="500"/>
      <c r="BC567" s="500"/>
      <c r="BD567" s="500"/>
      <c r="BE567" s="500"/>
      <c r="BF567" s="500"/>
      <c r="BG567" s="500"/>
      <c r="BH567" s="500"/>
      <c r="BI567" s="500"/>
      <c r="BJ567" s="500"/>
      <c r="BK567" s="500"/>
      <c r="BL567" s="500"/>
      <c r="BM567" s="500"/>
      <c r="BN567" s="500"/>
      <c r="BO567" s="500"/>
      <c r="BP567" s="500"/>
      <c r="BQ567" s="500"/>
      <c r="BR567" s="500"/>
      <c r="BS567" s="500"/>
      <c r="BT567" s="500"/>
      <c r="BU567" s="500"/>
      <c r="BV567" s="500"/>
    </row>
    <row r="568" ht="14.25" customHeight="1">
      <c r="A568" s="500"/>
      <c r="B568" s="500"/>
      <c r="C568" s="500"/>
      <c r="D568" s="500"/>
      <c r="E568" s="500"/>
      <c r="F568" s="500"/>
      <c r="G568" s="500"/>
      <c r="H568" s="500"/>
      <c r="I568" s="500"/>
      <c r="J568" s="500"/>
      <c r="K568" s="500"/>
      <c r="L568" s="500"/>
      <c r="M568" s="500"/>
      <c r="N568" s="500"/>
      <c r="O568" s="500"/>
      <c r="P568" s="500"/>
      <c r="Q568" s="500"/>
      <c r="R568" s="500"/>
      <c r="S568" s="500"/>
      <c r="T568" s="500"/>
      <c r="U568" s="500"/>
      <c r="V568" s="500"/>
      <c r="W568" s="500"/>
      <c r="X568" s="500"/>
      <c r="Y568" s="500"/>
      <c r="Z568" s="501"/>
      <c r="AA568" s="501"/>
      <c r="AB568" s="501"/>
      <c r="AC568" s="501"/>
      <c r="AD568" s="500"/>
      <c r="AE568" s="500"/>
      <c r="AF568" s="503"/>
      <c r="AG568" s="503"/>
      <c r="AH568" s="504"/>
      <c r="AI568" s="500"/>
      <c r="AJ568" s="500"/>
      <c r="AK568" s="500"/>
      <c r="AL568" s="500"/>
      <c r="AM568" s="500"/>
      <c r="AN568" s="500"/>
      <c r="AO568" s="500"/>
      <c r="AP568" s="500"/>
      <c r="AQ568" s="500"/>
      <c r="AR568" s="500"/>
      <c r="AS568" s="500"/>
      <c r="AT568" s="500"/>
      <c r="AU568" s="500"/>
      <c r="AV568" s="500"/>
      <c r="AW568" s="500"/>
      <c r="AX568" s="500"/>
      <c r="AY568" s="500"/>
      <c r="AZ568" s="500"/>
      <c r="BA568" s="500"/>
      <c r="BB568" s="500"/>
      <c r="BC568" s="500"/>
      <c r="BD568" s="500"/>
      <c r="BE568" s="500"/>
      <c r="BF568" s="500"/>
      <c r="BG568" s="500"/>
      <c r="BH568" s="500"/>
      <c r="BI568" s="500"/>
      <c r="BJ568" s="500"/>
      <c r="BK568" s="500"/>
      <c r="BL568" s="500"/>
      <c r="BM568" s="500"/>
      <c r="BN568" s="500"/>
      <c r="BO568" s="500"/>
      <c r="BP568" s="500"/>
      <c r="BQ568" s="500"/>
      <c r="BR568" s="500"/>
      <c r="BS568" s="500"/>
      <c r="BT568" s="500"/>
      <c r="BU568" s="500"/>
      <c r="BV568" s="500"/>
    </row>
    <row r="569" ht="14.25" customHeight="1">
      <c r="A569" s="500"/>
      <c r="B569" s="500"/>
      <c r="C569" s="500"/>
      <c r="D569" s="500"/>
      <c r="E569" s="500"/>
      <c r="F569" s="500"/>
      <c r="G569" s="500"/>
      <c r="H569" s="500"/>
      <c r="I569" s="500"/>
      <c r="J569" s="500"/>
      <c r="K569" s="500"/>
      <c r="L569" s="500"/>
      <c r="M569" s="500"/>
      <c r="N569" s="500"/>
      <c r="O569" s="500"/>
      <c r="P569" s="500"/>
      <c r="Q569" s="500"/>
      <c r="R569" s="500"/>
      <c r="S569" s="500"/>
      <c r="T569" s="500"/>
      <c r="U569" s="500"/>
      <c r="V569" s="500"/>
      <c r="W569" s="500"/>
      <c r="X569" s="500"/>
      <c r="Y569" s="500"/>
      <c r="Z569" s="501"/>
      <c r="AA569" s="501"/>
      <c r="AB569" s="501"/>
      <c r="AC569" s="501"/>
      <c r="AD569" s="500"/>
      <c r="AE569" s="500"/>
      <c r="AF569" s="503"/>
      <c r="AG569" s="503"/>
      <c r="AH569" s="504"/>
      <c r="AI569" s="500"/>
      <c r="AJ569" s="500"/>
      <c r="AK569" s="500"/>
      <c r="AL569" s="500"/>
      <c r="AM569" s="500"/>
      <c r="AN569" s="500"/>
      <c r="AO569" s="500"/>
      <c r="AP569" s="500"/>
      <c r="AQ569" s="500"/>
      <c r="AR569" s="500"/>
      <c r="AS569" s="500"/>
      <c r="AT569" s="500"/>
      <c r="AU569" s="500"/>
      <c r="AV569" s="500"/>
      <c r="AW569" s="500"/>
      <c r="AX569" s="500"/>
      <c r="AY569" s="500"/>
      <c r="AZ569" s="500"/>
      <c r="BA569" s="500"/>
      <c r="BB569" s="500"/>
      <c r="BC569" s="500"/>
      <c r="BD569" s="500"/>
      <c r="BE569" s="500"/>
      <c r="BF569" s="500"/>
      <c r="BG569" s="500"/>
      <c r="BH569" s="500"/>
      <c r="BI569" s="500"/>
      <c r="BJ569" s="500"/>
      <c r="BK569" s="500"/>
      <c r="BL569" s="500"/>
      <c r="BM569" s="500"/>
      <c r="BN569" s="500"/>
      <c r="BO569" s="500"/>
      <c r="BP569" s="500"/>
      <c r="BQ569" s="500"/>
      <c r="BR569" s="500"/>
      <c r="BS569" s="500"/>
      <c r="BT569" s="500"/>
      <c r="BU569" s="500"/>
      <c r="BV569" s="500"/>
    </row>
    <row r="570" ht="14.25" customHeight="1">
      <c r="A570" s="500"/>
      <c r="B570" s="500"/>
      <c r="C570" s="500"/>
      <c r="D570" s="500"/>
      <c r="E570" s="500"/>
      <c r="F570" s="500"/>
      <c r="G570" s="500"/>
      <c r="H570" s="500"/>
      <c r="I570" s="500"/>
      <c r="J570" s="500"/>
      <c r="K570" s="500"/>
      <c r="L570" s="500"/>
      <c r="M570" s="500"/>
      <c r="N570" s="500"/>
      <c r="O570" s="500"/>
      <c r="P570" s="500"/>
      <c r="Q570" s="500"/>
      <c r="R570" s="500"/>
      <c r="S570" s="500"/>
      <c r="T570" s="500"/>
      <c r="U570" s="500"/>
      <c r="V570" s="500"/>
      <c r="W570" s="500"/>
      <c r="X570" s="500"/>
      <c r="Y570" s="500"/>
      <c r="Z570" s="501"/>
      <c r="AA570" s="501"/>
      <c r="AB570" s="501"/>
      <c r="AC570" s="501"/>
      <c r="AD570" s="500"/>
      <c r="AE570" s="500"/>
      <c r="AF570" s="503"/>
      <c r="AG570" s="503"/>
      <c r="AH570" s="504"/>
      <c r="AI570" s="500"/>
      <c r="AJ570" s="500"/>
      <c r="AK570" s="500"/>
      <c r="AL570" s="500"/>
      <c r="AM570" s="500"/>
      <c r="AN570" s="500"/>
      <c r="AO570" s="500"/>
      <c r="AP570" s="500"/>
      <c r="AQ570" s="500"/>
      <c r="AR570" s="500"/>
      <c r="AS570" s="500"/>
      <c r="AT570" s="500"/>
      <c r="AU570" s="500"/>
      <c r="AV570" s="500"/>
      <c r="AW570" s="500"/>
      <c r="AX570" s="500"/>
      <c r="AY570" s="500"/>
      <c r="AZ570" s="500"/>
      <c r="BA570" s="500"/>
      <c r="BB570" s="500"/>
      <c r="BC570" s="500"/>
      <c r="BD570" s="500"/>
      <c r="BE570" s="500"/>
      <c r="BF570" s="500"/>
      <c r="BG570" s="500"/>
      <c r="BH570" s="500"/>
      <c r="BI570" s="500"/>
      <c r="BJ570" s="500"/>
      <c r="BK570" s="500"/>
      <c r="BL570" s="500"/>
      <c r="BM570" s="500"/>
      <c r="BN570" s="500"/>
      <c r="BO570" s="500"/>
      <c r="BP570" s="500"/>
      <c r="BQ570" s="500"/>
      <c r="BR570" s="500"/>
      <c r="BS570" s="500"/>
      <c r="BT570" s="500"/>
      <c r="BU570" s="500"/>
      <c r="BV570" s="500"/>
    </row>
    <row r="571" ht="14.25" customHeight="1">
      <c r="A571" s="500"/>
      <c r="B571" s="500"/>
      <c r="C571" s="500"/>
      <c r="D571" s="500"/>
      <c r="E571" s="500"/>
      <c r="F571" s="500"/>
      <c r="G571" s="500"/>
      <c r="H571" s="500"/>
      <c r="I571" s="500"/>
      <c r="J571" s="500"/>
      <c r="K571" s="500"/>
      <c r="L571" s="500"/>
      <c r="M571" s="500"/>
      <c r="N571" s="500"/>
      <c r="O571" s="500"/>
      <c r="P571" s="500"/>
      <c r="Q571" s="500"/>
      <c r="R571" s="500"/>
      <c r="S571" s="500"/>
      <c r="T571" s="500"/>
      <c r="U571" s="500"/>
      <c r="V571" s="500"/>
      <c r="W571" s="500"/>
      <c r="X571" s="500"/>
      <c r="Y571" s="500"/>
      <c r="Z571" s="501"/>
      <c r="AA571" s="501"/>
      <c r="AB571" s="501"/>
      <c r="AC571" s="501"/>
      <c r="AD571" s="500"/>
      <c r="AE571" s="500"/>
      <c r="AF571" s="503"/>
      <c r="AG571" s="503"/>
      <c r="AH571" s="504"/>
      <c r="AI571" s="500"/>
      <c r="AJ571" s="500"/>
      <c r="AK571" s="500"/>
      <c r="AL571" s="500"/>
      <c r="AM571" s="500"/>
      <c r="AN571" s="500"/>
      <c r="AO571" s="500"/>
      <c r="AP571" s="500"/>
      <c r="AQ571" s="500"/>
      <c r="AR571" s="500"/>
      <c r="AS571" s="500"/>
      <c r="AT571" s="500"/>
      <c r="AU571" s="500"/>
      <c r="AV571" s="500"/>
      <c r="AW571" s="500"/>
      <c r="AX571" s="500"/>
      <c r="AY571" s="500"/>
      <c r="AZ571" s="500"/>
      <c r="BA571" s="500"/>
      <c r="BB571" s="500"/>
      <c r="BC571" s="500"/>
      <c r="BD571" s="500"/>
      <c r="BE571" s="500"/>
      <c r="BF571" s="500"/>
      <c r="BG571" s="500"/>
      <c r="BH571" s="500"/>
      <c r="BI571" s="500"/>
      <c r="BJ571" s="500"/>
      <c r="BK571" s="500"/>
      <c r="BL571" s="500"/>
      <c r="BM571" s="500"/>
      <c r="BN571" s="500"/>
      <c r="BO571" s="500"/>
      <c r="BP571" s="500"/>
      <c r="BQ571" s="500"/>
      <c r="BR571" s="500"/>
      <c r="BS571" s="500"/>
      <c r="BT571" s="500"/>
      <c r="BU571" s="500"/>
      <c r="BV571" s="500"/>
    </row>
    <row r="572" ht="14.25" customHeight="1">
      <c r="A572" s="500"/>
      <c r="B572" s="500"/>
      <c r="C572" s="500"/>
      <c r="D572" s="500"/>
      <c r="E572" s="500"/>
      <c r="F572" s="500"/>
      <c r="G572" s="500"/>
      <c r="H572" s="500"/>
      <c r="I572" s="500"/>
      <c r="J572" s="500"/>
      <c r="K572" s="500"/>
      <c r="L572" s="500"/>
      <c r="M572" s="500"/>
      <c r="N572" s="500"/>
      <c r="O572" s="500"/>
      <c r="P572" s="500"/>
      <c r="Q572" s="500"/>
      <c r="R572" s="500"/>
      <c r="S572" s="500"/>
      <c r="T572" s="500"/>
      <c r="U572" s="500"/>
      <c r="V572" s="500"/>
      <c r="W572" s="500"/>
      <c r="X572" s="500"/>
      <c r="Y572" s="500"/>
      <c r="Z572" s="501"/>
      <c r="AA572" s="501"/>
      <c r="AB572" s="501"/>
      <c r="AC572" s="501"/>
      <c r="AD572" s="500"/>
      <c r="AE572" s="500"/>
      <c r="AF572" s="503"/>
      <c r="AG572" s="503"/>
      <c r="AH572" s="504"/>
      <c r="AI572" s="500"/>
      <c r="AJ572" s="500"/>
      <c r="AK572" s="500"/>
      <c r="AL572" s="500"/>
      <c r="AM572" s="500"/>
      <c r="AN572" s="500"/>
      <c r="AO572" s="500"/>
      <c r="AP572" s="500"/>
      <c r="AQ572" s="500"/>
      <c r="AR572" s="500"/>
      <c r="AS572" s="500"/>
      <c r="AT572" s="500"/>
      <c r="AU572" s="500"/>
      <c r="AV572" s="500"/>
      <c r="AW572" s="500"/>
      <c r="AX572" s="500"/>
      <c r="AY572" s="500"/>
      <c r="AZ572" s="500"/>
      <c r="BA572" s="500"/>
      <c r="BB572" s="500"/>
      <c r="BC572" s="500"/>
      <c r="BD572" s="500"/>
      <c r="BE572" s="500"/>
      <c r="BF572" s="500"/>
      <c r="BG572" s="500"/>
      <c r="BH572" s="500"/>
      <c r="BI572" s="500"/>
      <c r="BJ572" s="500"/>
      <c r="BK572" s="500"/>
      <c r="BL572" s="500"/>
      <c r="BM572" s="500"/>
      <c r="BN572" s="500"/>
      <c r="BO572" s="500"/>
      <c r="BP572" s="500"/>
      <c r="BQ572" s="500"/>
      <c r="BR572" s="500"/>
      <c r="BS572" s="500"/>
      <c r="BT572" s="500"/>
      <c r="BU572" s="500"/>
      <c r="BV572" s="500"/>
    </row>
    <row r="573" ht="14.25" customHeight="1">
      <c r="A573" s="500"/>
      <c r="B573" s="500"/>
      <c r="C573" s="500"/>
      <c r="D573" s="500"/>
      <c r="E573" s="500"/>
      <c r="F573" s="500"/>
      <c r="G573" s="500"/>
      <c r="H573" s="500"/>
      <c r="I573" s="500"/>
      <c r="J573" s="500"/>
      <c r="K573" s="500"/>
      <c r="L573" s="500"/>
      <c r="M573" s="500"/>
      <c r="N573" s="500"/>
      <c r="O573" s="500"/>
      <c r="P573" s="500"/>
      <c r="Q573" s="500"/>
      <c r="R573" s="500"/>
      <c r="S573" s="500"/>
      <c r="T573" s="500"/>
      <c r="U573" s="500"/>
      <c r="V573" s="500"/>
      <c r="W573" s="500"/>
      <c r="X573" s="500"/>
      <c r="Y573" s="500"/>
      <c r="Z573" s="501"/>
      <c r="AA573" s="501"/>
      <c r="AB573" s="501"/>
      <c r="AC573" s="501"/>
      <c r="AD573" s="500"/>
      <c r="AE573" s="500"/>
      <c r="AF573" s="503"/>
      <c r="AG573" s="503"/>
      <c r="AH573" s="504"/>
      <c r="AI573" s="500"/>
      <c r="AJ573" s="500"/>
      <c r="AK573" s="500"/>
      <c r="AL573" s="500"/>
      <c r="AM573" s="500"/>
      <c r="AN573" s="500"/>
      <c r="AO573" s="500"/>
      <c r="AP573" s="500"/>
      <c r="AQ573" s="500"/>
      <c r="AR573" s="500"/>
      <c r="AS573" s="500"/>
      <c r="AT573" s="500"/>
      <c r="AU573" s="500"/>
      <c r="AV573" s="500"/>
      <c r="AW573" s="500"/>
      <c r="AX573" s="500"/>
      <c r="AY573" s="500"/>
      <c r="AZ573" s="500"/>
      <c r="BA573" s="500"/>
      <c r="BB573" s="500"/>
      <c r="BC573" s="500"/>
      <c r="BD573" s="500"/>
      <c r="BE573" s="500"/>
      <c r="BF573" s="500"/>
      <c r="BG573" s="500"/>
      <c r="BH573" s="500"/>
      <c r="BI573" s="500"/>
      <c r="BJ573" s="500"/>
      <c r="BK573" s="500"/>
      <c r="BL573" s="500"/>
      <c r="BM573" s="500"/>
      <c r="BN573" s="500"/>
      <c r="BO573" s="500"/>
      <c r="BP573" s="500"/>
      <c r="BQ573" s="500"/>
      <c r="BR573" s="500"/>
      <c r="BS573" s="500"/>
      <c r="BT573" s="500"/>
      <c r="BU573" s="500"/>
      <c r="BV573" s="500"/>
    </row>
    <row r="574" ht="14.25" customHeight="1">
      <c r="A574" s="500"/>
      <c r="B574" s="500"/>
      <c r="C574" s="500"/>
      <c r="D574" s="500"/>
      <c r="E574" s="500"/>
      <c r="F574" s="500"/>
      <c r="G574" s="500"/>
      <c r="H574" s="500"/>
      <c r="I574" s="500"/>
      <c r="J574" s="500"/>
      <c r="K574" s="500"/>
      <c r="L574" s="500"/>
      <c r="M574" s="500"/>
      <c r="N574" s="500"/>
      <c r="O574" s="500"/>
      <c r="P574" s="500"/>
      <c r="Q574" s="500"/>
      <c r="R574" s="500"/>
      <c r="S574" s="500"/>
      <c r="T574" s="500"/>
      <c r="U574" s="500"/>
      <c r="V574" s="500"/>
      <c r="W574" s="500"/>
      <c r="X574" s="500"/>
      <c r="Y574" s="500"/>
      <c r="Z574" s="501"/>
      <c r="AA574" s="501"/>
      <c r="AB574" s="501"/>
      <c r="AC574" s="501"/>
      <c r="AD574" s="500"/>
      <c r="AE574" s="500"/>
      <c r="AF574" s="503"/>
      <c r="AG574" s="503"/>
      <c r="AH574" s="504"/>
      <c r="AI574" s="500"/>
      <c r="AJ574" s="500"/>
      <c r="AK574" s="500"/>
      <c r="AL574" s="500"/>
      <c r="AM574" s="500"/>
      <c r="AN574" s="500"/>
      <c r="AO574" s="500"/>
      <c r="AP574" s="500"/>
      <c r="AQ574" s="500"/>
      <c r="AR574" s="500"/>
      <c r="AS574" s="500"/>
      <c r="AT574" s="500"/>
      <c r="AU574" s="500"/>
      <c r="AV574" s="500"/>
      <c r="AW574" s="500"/>
      <c r="AX574" s="500"/>
      <c r="AY574" s="500"/>
      <c r="AZ574" s="500"/>
      <c r="BA574" s="500"/>
      <c r="BB574" s="500"/>
      <c r="BC574" s="500"/>
      <c r="BD574" s="500"/>
      <c r="BE574" s="500"/>
      <c r="BF574" s="500"/>
      <c r="BG574" s="500"/>
      <c r="BH574" s="500"/>
      <c r="BI574" s="500"/>
      <c r="BJ574" s="500"/>
      <c r="BK574" s="500"/>
      <c r="BL574" s="500"/>
      <c r="BM574" s="500"/>
      <c r="BN574" s="500"/>
      <c r="BO574" s="500"/>
      <c r="BP574" s="500"/>
      <c r="BQ574" s="500"/>
      <c r="BR574" s="500"/>
      <c r="BS574" s="500"/>
      <c r="BT574" s="500"/>
      <c r="BU574" s="500"/>
      <c r="BV574" s="500"/>
    </row>
    <row r="575" ht="14.25" customHeight="1">
      <c r="A575" s="500"/>
      <c r="B575" s="500"/>
      <c r="C575" s="500"/>
      <c r="D575" s="500"/>
      <c r="E575" s="500"/>
      <c r="F575" s="500"/>
      <c r="G575" s="500"/>
      <c r="H575" s="500"/>
      <c r="I575" s="500"/>
      <c r="J575" s="500"/>
      <c r="K575" s="500"/>
      <c r="L575" s="500"/>
      <c r="M575" s="500"/>
      <c r="N575" s="500"/>
      <c r="O575" s="500"/>
      <c r="P575" s="500"/>
      <c r="Q575" s="500"/>
      <c r="R575" s="500"/>
      <c r="S575" s="500"/>
      <c r="T575" s="500"/>
      <c r="U575" s="500"/>
      <c r="V575" s="500"/>
      <c r="W575" s="500"/>
      <c r="X575" s="500"/>
      <c r="Y575" s="500"/>
      <c r="Z575" s="501"/>
      <c r="AA575" s="501"/>
      <c r="AB575" s="501"/>
      <c r="AC575" s="501"/>
      <c r="AD575" s="500"/>
      <c r="AE575" s="500"/>
      <c r="AF575" s="503"/>
      <c r="AG575" s="503"/>
      <c r="AH575" s="504"/>
      <c r="AI575" s="500"/>
      <c r="AJ575" s="500"/>
      <c r="AK575" s="500"/>
      <c r="AL575" s="500"/>
      <c r="AM575" s="500"/>
      <c r="AN575" s="500"/>
      <c r="AO575" s="500"/>
      <c r="AP575" s="500"/>
      <c r="AQ575" s="500"/>
      <c r="AR575" s="500"/>
      <c r="AS575" s="500"/>
      <c r="AT575" s="500"/>
      <c r="AU575" s="500"/>
      <c r="AV575" s="500"/>
      <c r="AW575" s="500"/>
      <c r="AX575" s="500"/>
      <c r="AY575" s="500"/>
      <c r="AZ575" s="500"/>
      <c r="BA575" s="500"/>
      <c r="BB575" s="500"/>
      <c r="BC575" s="500"/>
      <c r="BD575" s="500"/>
      <c r="BE575" s="500"/>
      <c r="BF575" s="500"/>
      <c r="BG575" s="500"/>
      <c r="BH575" s="500"/>
      <c r="BI575" s="500"/>
      <c r="BJ575" s="500"/>
      <c r="BK575" s="500"/>
      <c r="BL575" s="500"/>
      <c r="BM575" s="500"/>
      <c r="BN575" s="500"/>
      <c r="BO575" s="500"/>
      <c r="BP575" s="500"/>
      <c r="BQ575" s="500"/>
      <c r="BR575" s="500"/>
      <c r="BS575" s="500"/>
      <c r="BT575" s="500"/>
      <c r="BU575" s="500"/>
      <c r="BV575" s="500"/>
    </row>
    <row r="576" ht="14.25" customHeight="1">
      <c r="A576" s="500"/>
      <c r="B576" s="500"/>
      <c r="C576" s="500"/>
      <c r="D576" s="500"/>
      <c r="E576" s="500"/>
      <c r="F576" s="500"/>
      <c r="G576" s="500"/>
      <c r="H576" s="500"/>
      <c r="I576" s="500"/>
      <c r="J576" s="500"/>
      <c r="K576" s="500"/>
      <c r="L576" s="500"/>
      <c r="M576" s="500"/>
      <c r="N576" s="500"/>
      <c r="O576" s="500"/>
      <c r="P576" s="500"/>
      <c r="Q576" s="500"/>
      <c r="R576" s="500"/>
      <c r="S576" s="500"/>
      <c r="T576" s="500"/>
      <c r="U576" s="500"/>
      <c r="V576" s="500"/>
      <c r="W576" s="500"/>
      <c r="X576" s="500"/>
      <c r="Y576" s="500"/>
      <c r="Z576" s="501"/>
      <c r="AA576" s="501"/>
      <c r="AB576" s="501"/>
      <c r="AC576" s="501"/>
      <c r="AD576" s="500"/>
      <c r="AE576" s="500"/>
      <c r="AF576" s="503"/>
      <c r="AG576" s="503"/>
      <c r="AH576" s="504"/>
      <c r="AI576" s="500"/>
      <c r="AJ576" s="500"/>
      <c r="AK576" s="500"/>
      <c r="AL576" s="500"/>
      <c r="AM576" s="500"/>
      <c r="AN576" s="500"/>
      <c r="AO576" s="500"/>
      <c r="AP576" s="500"/>
      <c r="AQ576" s="500"/>
      <c r="AR576" s="500"/>
      <c r="AS576" s="500"/>
      <c r="AT576" s="500"/>
      <c r="AU576" s="500"/>
      <c r="AV576" s="500"/>
      <c r="AW576" s="500"/>
      <c r="AX576" s="500"/>
      <c r="AY576" s="500"/>
      <c r="AZ576" s="500"/>
      <c r="BA576" s="500"/>
      <c r="BB576" s="500"/>
      <c r="BC576" s="500"/>
      <c r="BD576" s="500"/>
      <c r="BE576" s="500"/>
      <c r="BF576" s="500"/>
      <c r="BG576" s="500"/>
      <c r="BH576" s="500"/>
      <c r="BI576" s="500"/>
      <c r="BJ576" s="500"/>
      <c r="BK576" s="500"/>
      <c r="BL576" s="500"/>
      <c r="BM576" s="500"/>
      <c r="BN576" s="500"/>
      <c r="BO576" s="500"/>
      <c r="BP576" s="500"/>
      <c r="BQ576" s="500"/>
      <c r="BR576" s="500"/>
      <c r="BS576" s="500"/>
      <c r="BT576" s="500"/>
      <c r="BU576" s="500"/>
      <c r="BV576" s="500"/>
    </row>
    <row r="577" ht="14.25" customHeight="1">
      <c r="A577" s="500"/>
      <c r="B577" s="500"/>
      <c r="C577" s="500"/>
      <c r="D577" s="500"/>
      <c r="E577" s="500"/>
      <c r="F577" s="500"/>
      <c r="G577" s="500"/>
      <c r="H577" s="500"/>
      <c r="I577" s="500"/>
      <c r="J577" s="500"/>
      <c r="K577" s="500"/>
      <c r="L577" s="500"/>
      <c r="M577" s="500"/>
      <c r="N577" s="500"/>
      <c r="O577" s="500"/>
      <c r="P577" s="500"/>
      <c r="Q577" s="500"/>
      <c r="R577" s="500"/>
      <c r="S577" s="500"/>
      <c r="T577" s="500"/>
      <c r="U577" s="500"/>
      <c r="V577" s="500"/>
      <c r="W577" s="500"/>
      <c r="X577" s="500"/>
      <c r="Y577" s="500"/>
      <c r="Z577" s="501"/>
      <c r="AA577" s="501"/>
      <c r="AB577" s="501"/>
      <c r="AC577" s="501"/>
      <c r="AD577" s="500"/>
      <c r="AE577" s="500"/>
      <c r="AF577" s="503"/>
      <c r="AG577" s="503"/>
      <c r="AH577" s="504"/>
      <c r="AI577" s="500"/>
      <c r="AJ577" s="500"/>
      <c r="AK577" s="500"/>
      <c r="AL577" s="500"/>
      <c r="AM577" s="500"/>
      <c r="AN577" s="500"/>
      <c r="AO577" s="500"/>
      <c r="AP577" s="500"/>
      <c r="AQ577" s="500"/>
      <c r="AR577" s="500"/>
      <c r="AS577" s="500"/>
      <c r="AT577" s="500"/>
      <c r="AU577" s="500"/>
      <c r="AV577" s="500"/>
      <c r="AW577" s="500"/>
      <c r="AX577" s="500"/>
      <c r="AY577" s="500"/>
      <c r="AZ577" s="500"/>
      <c r="BA577" s="500"/>
      <c r="BB577" s="500"/>
      <c r="BC577" s="500"/>
      <c r="BD577" s="500"/>
      <c r="BE577" s="500"/>
      <c r="BF577" s="500"/>
      <c r="BG577" s="500"/>
      <c r="BH577" s="500"/>
      <c r="BI577" s="500"/>
      <c r="BJ577" s="500"/>
      <c r="BK577" s="500"/>
      <c r="BL577" s="500"/>
      <c r="BM577" s="500"/>
      <c r="BN577" s="500"/>
      <c r="BO577" s="500"/>
      <c r="BP577" s="500"/>
      <c r="BQ577" s="500"/>
      <c r="BR577" s="500"/>
      <c r="BS577" s="500"/>
      <c r="BT577" s="500"/>
      <c r="BU577" s="500"/>
      <c r="BV577" s="500"/>
    </row>
    <row r="578" ht="14.25" customHeight="1">
      <c r="A578" s="500"/>
      <c r="B578" s="500"/>
      <c r="C578" s="500"/>
      <c r="D578" s="500"/>
      <c r="E578" s="500"/>
      <c r="F578" s="500"/>
      <c r="G578" s="500"/>
      <c r="H578" s="500"/>
      <c r="I578" s="500"/>
      <c r="J578" s="500"/>
      <c r="K578" s="500"/>
      <c r="L578" s="500"/>
      <c r="M578" s="500"/>
      <c r="N578" s="500"/>
      <c r="O578" s="500"/>
      <c r="P578" s="500"/>
      <c r="Q578" s="500"/>
      <c r="R578" s="500"/>
      <c r="S578" s="500"/>
      <c r="T578" s="500"/>
      <c r="U578" s="500"/>
      <c r="V578" s="500"/>
      <c r="W578" s="500"/>
      <c r="X578" s="500"/>
      <c r="Y578" s="500"/>
      <c r="Z578" s="501"/>
      <c r="AA578" s="501"/>
      <c r="AB578" s="501"/>
      <c r="AC578" s="501"/>
      <c r="AD578" s="500"/>
      <c r="AE578" s="500"/>
      <c r="AF578" s="503"/>
      <c r="AG578" s="503"/>
      <c r="AH578" s="504"/>
      <c r="AI578" s="500"/>
      <c r="AJ578" s="500"/>
      <c r="AK578" s="500"/>
      <c r="AL578" s="500"/>
      <c r="AM578" s="500"/>
      <c r="AN578" s="500"/>
      <c r="AO578" s="500"/>
      <c r="AP578" s="500"/>
      <c r="AQ578" s="500"/>
      <c r="AR578" s="500"/>
      <c r="AS578" s="500"/>
      <c r="AT578" s="500"/>
      <c r="AU578" s="500"/>
      <c r="AV578" s="500"/>
      <c r="AW578" s="500"/>
      <c r="AX578" s="500"/>
      <c r="AY578" s="500"/>
      <c r="AZ578" s="500"/>
      <c r="BA578" s="500"/>
      <c r="BB578" s="500"/>
      <c r="BC578" s="500"/>
      <c r="BD578" s="500"/>
      <c r="BE578" s="500"/>
      <c r="BF578" s="500"/>
      <c r="BG578" s="500"/>
      <c r="BH578" s="500"/>
      <c r="BI578" s="500"/>
      <c r="BJ578" s="500"/>
      <c r="BK578" s="500"/>
      <c r="BL578" s="500"/>
      <c r="BM578" s="500"/>
      <c r="BN578" s="500"/>
      <c r="BO578" s="500"/>
      <c r="BP578" s="500"/>
      <c r="BQ578" s="500"/>
      <c r="BR578" s="500"/>
      <c r="BS578" s="500"/>
      <c r="BT578" s="500"/>
      <c r="BU578" s="500"/>
      <c r="BV578" s="500"/>
    </row>
    <row r="579" ht="14.25" customHeight="1">
      <c r="A579" s="500"/>
      <c r="B579" s="500"/>
      <c r="C579" s="500"/>
      <c r="D579" s="500"/>
      <c r="E579" s="500"/>
      <c r="F579" s="500"/>
      <c r="G579" s="500"/>
      <c r="H579" s="500"/>
      <c r="I579" s="500"/>
      <c r="J579" s="500"/>
      <c r="K579" s="500"/>
      <c r="L579" s="500"/>
      <c r="M579" s="500"/>
      <c r="N579" s="500"/>
      <c r="O579" s="500"/>
      <c r="P579" s="500"/>
      <c r="Q579" s="500"/>
      <c r="R579" s="500"/>
      <c r="S579" s="500"/>
      <c r="T579" s="500"/>
      <c r="U579" s="500"/>
      <c r="V579" s="500"/>
      <c r="W579" s="500"/>
      <c r="X579" s="500"/>
      <c r="Y579" s="500"/>
      <c r="Z579" s="501"/>
      <c r="AA579" s="501"/>
      <c r="AB579" s="501"/>
      <c r="AC579" s="501"/>
      <c r="AD579" s="500"/>
      <c r="AE579" s="500"/>
      <c r="AF579" s="503"/>
      <c r="AG579" s="503"/>
      <c r="AH579" s="504"/>
      <c r="AI579" s="500"/>
      <c r="AJ579" s="500"/>
      <c r="AK579" s="500"/>
      <c r="AL579" s="500"/>
      <c r="AM579" s="500"/>
      <c r="AN579" s="500"/>
      <c r="AO579" s="500"/>
      <c r="AP579" s="500"/>
      <c r="AQ579" s="500"/>
      <c r="AR579" s="500"/>
      <c r="AS579" s="500"/>
      <c r="AT579" s="500"/>
      <c r="AU579" s="500"/>
      <c r="AV579" s="500"/>
      <c r="AW579" s="500"/>
      <c r="AX579" s="500"/>
      <c r="AY579" s="500"/>
      <c r="AZ579" s="500"/>
      <c r="BA579" s="500"/>
      <c r="BB579" s="500"/>
      <c r="BC579" s="500"/>
      <c r="BD579" s="500"/>
      <c r="BE579" s="500"/>
      <c r="BF579" s="500"/>
      <c r="BG579" s="500"/>
      <c r="BH579" s="500"/>
      <c r="BI579" s="500"/>
      <c r="BJ579" s="500"/>
      <c r="BK579" s="500"/>
      <c r="BL579" s="500"/>
      <c r="BM579" s="500"/>
      <c r="BN579" s="500"/>
      <c r="BO579" s="500"/>
      <c r="BP579" s="500"/>
      <c r="BQ579" s="500"/>
      <c r="BR579" s="500"/>
      <c r="BS579" s="500"/>
      <c r="BT579" s="500"/>
      <c r="BU579" s="500"/>
      <c r="BV579" s="500"/>
    </row>
    <row r="580" ht="14.25" customHeight="1">
      <c r="A580" s="500"/>
      <c r="B580" s="500"/>
      <c r="C580" s="500"/>
      <c r="D580" s="500"/>
      <c r="E580" s="500"/>
      <c r="F580" s="500"/>
      <c r="G580" s="500"/>
      <c r="H580" s="500"/>
      <c r="I580" s="500"/>
      <c r="J580" s="500"/>
      <c r="K580" s="500"/>
      <c r="L580" s="500"/>
      <c r="M580" s="500"/>
      <c r="N580" s="500"/>
      <c r="O580" s="500"/>
      <c r="P580" s="500"/>
      <c r="Q580" s="500"/>
      <c r="R580" s="500"/>
      <c r="S580" s="500"/>
      <c r="T580" s="500"/>
      <c r="U580" s="500"/>
      <c r="V580" s="500"/>
      <c r="W580" s="500"/>
      <c r="X580" s="500"/>
      <c r="Y580" s="500"/>
      <c r="Z580" s="501"/>
      <c r="AA580" s="501"/>
      <c r="AB580" s="501"/>
      <c r="AC580" s="501"/>
      <c r="AD580" s="500"/>
      <c r="AE580" s="500"/>
      <c r="AF580" s="503"/>
      <c r="AG580" s="503"/>
      <c r="AH580" s="504"/>
      <c r="AI580" s="500"/>
      <c r="AJ580" s="500"/>
      <c r="AK580" s="500"/>
      <c r="AL580" s="500"/>
      <c r="AM580" s="500"/>
      <c r="AN580" s="500"/>
      <c r="AO580" s="500"/>
      <c r="AP580" s="500"/>
      <c r="AQ580" s="500"/>
      <c r="AR580" s="500"/>
      <c r="AS580" s="500"/>
      <c r="AT580" s="500"/>
      <c r="AU580" s="500"/>
      <c r="AV580" s="500"/>
      <c r="AW580" s="500"/>
      <c r="AX580" s="500"/>
      <c r="AY580" s="500"/>
      <c r="AZ580" s="500"/>
      <c r="BA580" s="500"/>
      <c r="BB580" s="500"/>
      <c r="BC580" s="500"/>
      <c r="BD580" s="500"/>
      <c r="BE580" s="500"/>
      <c r="BF580" s="500"/>
      <c r="BG580" s="500"/>
      <c r="BH580" s="500"/>
      <c r="BI580" s="500"/>
      <c r="BJ580" s="500"/>
      <c r="BK580" s="500"/>
      <c r="BL580" s="500"/>
      <c r="BM580" s="500"/>
      <c r="BN580" s="500"/>
      <c r="BO580" s="500"/>
      <c r="BP580" s="500"/>
      <c r="BQ580" s="500"/>
      <c r="BR580" s="500"/>
      <c r="BS580" s="500"/>
      <c r="BT580" s="500"/>
      <c r="BU580" s="500"/>
      <c r="BV580" s="500"/>
    </row>
    <row r="581" ht="14.25" customHeight="1">
      <c r="A581" s="500"/>
      <c r="B581" s="500"/>
      <c r="C581" s="500"/>
      <c r="D581" s="500"/>
      <c r="E581" s="500"/>
      <c r="F581" s="500"/>
      <c r="G581" s="500"/>
      <c r="H581" s="500"/>
      <c r="I581" s="500"/>
      <c r="J581" s="500"/>
      <c r="K581" s="500"/>
      <c r="L581" s="500"/>
      <c r="M581" s="500"/>
      <c r="N581" s="500"/>
      <c r="O581" s="500"/>
      <c r="P581" s="500"/>
      <c r="Q581" s="500"/>
      <c r="R581" s="500"/>
      <c r="S581" s="500"/>
      <c r="T581" s="500"/>
      <c r="U581" s="500"/>
      <c r="V581" s="500"/>
      <c r="W581" s="500"/>
      <c r="X581" s="500"/>
      <c r="Y581" s="500"/>
      <c r="Z581" s="501"/>
      <c r="AA581" s="501"/>
      <c r="AB581" s="501"/>
      <c r="AC581" s="501"/>
      <c r="AD581" s="500"/>
      <c r="AE581" s="500"/>
      <c r="AF581" s="503"/>
      <c r="AG581" s="503"/>
      <c r="AH581" s="504"/>
      <c r="AI581" s="500"/>
      <c r="AJ581" s="500"/>
      <c r="AK581" s="500"/>
      <c r="AL581" s="500"/>
      <c r="AM581" s="500"/>
      <c r="AN581" s="500"/>
      <c r="AO581" s="500"/>
      <c r="AP581" s="500"/>
      <c r="AQ581" s="500"/>
      <c r="AR581" s="500"/>
      <c r="AS581" s="500"/>
      <c r="AT581" s="500"/>
      <c r="AU581" s="500"/>
      <c r="AV581" s="500"/>
      <c r="AW581" s="500"/>
      <c r="AX581" s="500"/>
      <c r="AY581" s="500"/>
      <c r="AZ581" s="500"/>
      <c r="BA581" s="500"/>
      <c r="BB581" s="500"/>
      <c r="BC581" s="500"/>
      <c r="BD581" s="500"/>
      <c r="BE581" s="500"/>
      <c r="BF581" s="500"/>
      <c r="BG581" s="500"/>
      <c r="BH581" s="500"/>
      <c r="BI581" s="500"/>
      <c r="BJ581" s="500"/>
      <c r="BK581" s="500"/>
      <c r="BL581" s="500"/>
      <c r="BM581" s="500"/>
      <c r="BN581" s="500"/>
      <c r="BO581" s="500"/>
      <c r="BP581" s="500"/>
      <c r="BQ581" s="500"/>
      <c r="BR581" s="500"/>
      <c r="BS581" s="500"/>
      <c r="BT581" s="500"/>
      <c r="BU581" s="500"/>
      <c r="BV581" s="500"/>
    </row>
    <row r="582" ht="14.25" customHeight="1">
      <c r="A582" s="500"/>
      <c r="B582" s="500"/>
      <c r="C582" s="500"/>
      <c r="D582" s="500"/>
      <c r="E582" s="500"/>
      <c r="F582" s="500"/>
      <c r="G582" s="500"/>
      <c r="H582" s="500"/>
      <c r="I582" s="500"/>
      <c r="J582" s="500"/>
      <c r="K582" s="500"/>
      <c r="L582" s="500"/>
      <c r="M582" s="500"/>
      <c r="N582" s="500"/>
      <c r="O582" s="500"/>
      <c r="P582" s="500"/>
      <c r="Q582" s="500"/>
      <c r="R582" s="500"/>
      <c r="S582" s="500"/>
      <c r="T582" s="500"/>
      <c r="U582" s="500"/>
      <c r="V582" s="500"/>
      <c r="W582" s="500"/>
      <c r="X582" s="500"/>
      <c r="Y582" s="500"/>
      <c r="Z582" s="501"/>
      <c r="AA582" s="501"/>
      <c r="AB582" s="501"/>
      <c r="AC582" s="501"/>
      <c r="AD582" s="500"/>
      <c r="AE582" s="500"/>
      <c r="AF582" s="503"/>
      <c r="AG582" s="503"/>
      <c r="AH582" s="504"/>
      <c r="AI582" s="500"/>
      <c r="AJ582" s="500"/>
      <c r="AK582" s="500"/>
      <c r="AL582" s="500"/>
      <c r="AM582" s="500"/>
      <c r="AN582" s="500"/>
      <c r="AO582" s="500"/>
      <c r="AP582" s="500"/>
      <c r="AQ582" s="500"/>
      <c r="AR582" s="500"/>
      <c r="AS582" s="500"/>
      <c r="AT582" s="500"/>
      <c r="AU582" s="500"/>
      <c r="AV582" s="500"/>
      <c r="AW582" s="500"/>
      <c r="AX582" s="500"/>
      <c r="AY582" s="500"/>
      <c r="AZ582" s="500"/>
      <c r="BA582" s="500"/>
      <c r="BB582" s="500"/>
      <c r="BC582" s="500"/>
      <c r="BD582" s="500"/>
      <c r="BE582" s="500"/>
      <c r="BF582" s="500"/>
      <c r="BG582" s="500"/>
      <c r="BH582" s="500"/>
      <c r="BI582" s="500"/>
      <c r="BJ582" s="500"/>
      <c r="BK582" s="500"/>
      <c r="BL582" s="500"/>
      <c r="BM582" s="500"/>
      <c r="BN582" s="500"/>
      <c r="BO582" s="500"/>
      <c r="BP582" s="500"/>
      <c r="BQ582" s="500"/>
      <c r="BR582" s="500"/>
      <c r="BS582" s="500"/>
      <c r="BT582" s="500"/>
      <c r="BU582" s="500"/>
      <c r="BV582" s="500"/>
    </row>
    <row r="583" ht="14.25" customHeight="1">
      <c r="A583" s="500"/>
      <c r="B583" s="500"/>
      <c r="C583" s="500"/>
      <c r="D583" s="500"/>
      <c r="E583" s="500"/>
      <c r="F583" s="500"/>
      <c r="G583" s="500"/>
      <c r="H583" s="500"/>
      <c r="I583" s="500"/>
      <c r="J583" s="500"/>
      <c r="K583" s="500"/>
      <c r="L583" s="500"/>
      <c r="M583" s="500"/>
      <c r="N583" s="500"/>
      <c r="O583" s="500"/>
      <c r="P583" s="500"/>
      <c r="Q583" s="500"/>
      <c r="R583" s="500"/>
      <c r="S583" s="500"/>
      <c r="T583" s="500"/>
      <c r="U583" s="500"/>
      <c r="V583" s="500"/>
      <c r="W583" s="500"/>
      <c r="X583" s="500"/>
      <c r="Y583" s="500"/>
      <c r="Z583" s="501"/>
      <c r="AA583" s="501"/>
      <c r="AB583" s="501"/>
      <c r="AC583" s="501"/>
      <c r="AD583" s="500"/>
      <c r="AE583" s="500"/>
      <c r="AF583" s="503"/>
      <c r="AG583" s="503"/>
      <c r="AH583" s="504"/>
      <c r="AI583" s="500"/>
      <c r="AJ583" s="500"/>
      <c r="AK583" s="500"/>
      <c r="AL583" s="500"/>
      <c r="AM583" s="500"/>
      <c r="AN583" s="500"/>
      <c r="AO583" s="500"/>
      <c r="AP583" s="500"/>
      <c r="AQ583" s="500"/>
      <c r="AR583" s="500"/>
      <c r="AS583" s="500"/>
      <c r="AT583" s="500"/>
      <c r="AU583" s="500"/>
      <c r="AV583" s="500"/>
      <c r="AW583" s="500"/>
      <c r="AX583" s="500"/>
      <c r="AY583" s="500"/>
      <c r="AZ583" s="500"/>
      <c r="BA583" s="500"/>
      <c r="BB583" s="500"/>
      <c r="BC583" s="500"/>
      <c r="BD583" s="500"/>
      <c r="BE583" s="500"/>
      <c r="BF583" s="500"/>
      <c r="BG583" s="500"/>
      <c r="BH583" s="500"/>
      <c r="BI583" s="500"/>
      <c r="BJ583" s="500"/>
      <c r="BK583" s="500"/>
      <c r="BL583" s="500"/>
      <c r="BM583" s="500"/>
      <c r="BN583" s="500"/>
      <c r="BO583" s="500"/>
      <c r="BP583" s="500"/>
      <c r="BQ583" s="500"/>
      <c r="BR583" s="500"/>
      <c r="BS583" s="500"/>
      <c r="BT583" s="500"/>
      <c r="BU583" s="500"/>
      <c r="BV583" s="500"/>
    </row>
    <row r="584" ht="14.25" customHeight="1">
      <c r="A584" s="500"/>
      <c r="B584" s="500"/>
      <c r="C584" s="500"/>
      <c r="D584" s="500"/>
      <c r="E584" s="500"/>
      <c r="F584" s="500"/>
      <c r="G584" s="500"/>
      <c r="H584" s="500"/>
      <c r="I584" s="500"/>
      <c r="J584" s="500"/>
      <c r="K584" s="500"/>
      <c r="L584" s="500"/>
      <c r="M584" s="500"/>
      <c r="N584" s="500"/>
      <c r="O584" s="500"/>
      <c r="P584" s="500"/>
      <c r="Q584" s="500"/>
      <c r="R584" s="500"/>
      <c r="S584" s="500"/>
      <c r="T584" s="500"/>
      <c r="U584" s="500"/>
      <c r="V584" s="500"/>
      <c r="W584" s="500"/>
      <c r="X584" s="500"/>
      <c r="Y584" s="500"/>
      <c r="Z584" s="501"/>
      <c r="AA584" s="501"/>
      <c r="AB584" s="501"/>
      <c r="AC584" s="501"/>
      <c r="AD584" s="500"/>
      <c r="AE584" s="500"/>
      <c r="AF584" s="503"/>
      <c r="AG584" s="503"/>
      <c r="AH584" s="504"/>
      <c r="AI584" s="500"/>
      <c r="AJ584" s="500"/>
      <c r="AK584" s="500"/>
      <c r="AL584" s="500"/>
      <c r="AM584" s="500"/>
      <c r="AN584" s="500"/>
      <c r="AO584" s="500"/>
      <c r="AP584" s="500"/>
      <c r="AQ584" s="500"/>
      <c r="AR584" s="500"/>
      <c r="AS584" s="500"/>
      <c r="AT584" s="500"/>
      <c r="AU584" s="500"/>
      <c r="AV584" s="500"/>
      <c r="AW584" s="500"/>
      <c r="AX584" s="500"/>
      <c r="AY584" s="500"/>
      <c r="AZ584" s="500"/>
      <c r="BA584" s="500"/>
      <c r="BB584" s="500"/>
      <c r="BC584" s="500"/>
      <c r="BD584" s="500"/>
      <c r="BE584" s="500"/>
      <c r="BF584" s="500"/>
      <c r="BG584" s="500"/>
      <c r="BH584" s="500"/>
      <c r="BI584" s="500"/>
      <c r="BJ584" s="500"/>
      <c r="BK584" s="500"/>
      <c r="BL584" s="500"/>
      <c r="BM584" s="500"/>
      <c r="BN584" s="500"/>
      <c r="BO584" s="500"/>
      <c r="BP584" s="500"/>
      <c r="BQ584" s="500"/>
      <c r="BR584" s="500"/>
      <c r="BS584" s="500"/>
      <c r="BT584" s="500"/>
      <c r="BU584" s="500"/>
      <c r="BV584" s="500"/>
    </row>
    <row r="585" ht="14.25" customHeight="1">
      <c r="A585" s="500"/>
      <c r="B585" s="500"/>
      <c r="C585" s="500"/>
      <c r="D585" s="500"/>
      <c r="E585" s="500"/>
      <c r="F585" s="500"/>
      <c r="G585" s="500"/>
      <c r="H585" s="500"/>
      <c r="I585" s="500"/>
      <c r="J585" s="500"/>
      <c r="K585" s="500"/>
      <c r="L585" s="500"/>
      <c r="M585" s="500"/>
      <c r="N585" s="500"/>
      <c r="O585" s="500"/>
      <c r="P585" s="500"/>
      <c r="Q585" s="500"/>
      <c r="R585" s="500"/>
      <c r="S585" s="500"/>
      <c r="T585" s="500"/>
      <c r="U585" s="500"/>
      <c r="V585" s="500"/>
      <c r="W585" s="500"/>
      <c r="X585" s="500"/>
      <c r="Y585" s="500"/>
      <c r="Z585" s="501"/>
      <c r="AA585" s="501"/>
      <c r="AB585" s="501"/>
      <c r="AC585" s="501"/>
      <c r="AD585" s="500"/>
      <c r="AE585" s="500"/>
      <c r="AF585" s="503"/>
      <c r="AG585" s="503"/>
      <c r="AH585" s="504"/>
      <c r="AI585" s="500"/>
      <c r="AJ585" s="500"/>
      <c r="AK585" s="500"/>
      <c r="AL585" s="500"/>
      <c r="AM585" s="500"/>
      <c r="AN585" s="500"/>
      <c r="AO585" s="500"/>
      <c r="AP585" s="500"/>
      <c r="AQ585" s="500"/>
      <c r="AR585" s="500"/>
      <c r="AS585" s="500"/>
      <c r="AT585" s="500"/>
      <c r="AU585" s="500"/>
      <c r="AV585" s="500"/>
      <c r="AW585" s="500"/>
      <c r="AX585" s="500"/>
      <c r="AY585" s="500"/>
      <c r="AZ585" s="500"/>
      <c r="BA585" s="500"/>
      <c r="BB585" s="500"/>
      <c r="BC585" s="500"/>
      <c r="BD585" s="500"/>
      <c r="BE585" s="500"/>
      <c r="BF585" s="500"/>
      <c r="BG585" s="500"/>
      <c r="BH585" s="500"/>
      <c r="BI585" s="500"/>
      <c r="BJ585" s="500"/>
      <c r="BK585" s="500"/>
      <c r="BL585" s="500"/>
      <c r="BM585" s="500"/>
      <c r="BN585" s="500"/>
      <c r="BO585" s="500"/>
      <c r="BP585" s="500"/>
      <c r="BQ585" s="500"/>
      <c r="BR585" s="500"/>
      <c r="BS585" s="500"/>
      <c r="BT585" s="500"/>
      <c r="BU585" s="500"/>
      <c r="BV585" s="500"/>
    </row>
    <row r="586" ht="14.25" customHeight="1">
      <c r="A586" s="500"/>
      <c r="B586" s="500"/>
      <c r="C586" s="500"/>
      <c r="D586" s="500"/>
      <c r="E586" s="500"/>
      <c r="F586" s="500"/>
      <c r="G586" s="500"/>
      <c r="H586" s="500"/>
      <c r="I586" s="500"/>
      <c r="J586" s="500"/>
      <c r="K586" s="500"/>
      <c r="L586" s="500"/>
      <c r="M586" s="500"/>
      <c r="N586" s="500"/>
      <c r="O586" s="500"/>
      <c r="P586" s="500"/>
      <c r="Q586" s="500"/>
      <c r="R586" s="500"/>
      <c r="S586" s="500"/>
      <c r="T586" s="500"/>
      <c r="U586" s="500"/>
      <c r="V586" s="500"/>
      <c r="W586" s="500"/>
      <c r="X586" s="500"/>
      <c r="Y586" s="500"/>
      <c r="Z586" s="501"/>
      <c r="AA586" s="501"/>
      <c r="AB586" s="501"/>
      <c r="AC586" s="501"/>
      <c r="AD586" s="500"/>
      <c r="AE586" s="500"/>
      <c r="AF586" s="503"/>
      <c r="AG586" s="503"/>
      <c r="AH586" s="504"/>
      <c r="AI586" s="500"/>
      <c r="AJ586" s="500"/>
      <c r="AK586" s="500"/>
      <c r="AL586" s="500"/>
      <c r="AM586" s="500"/>
      <c r="AN586" s="500"/>
      <c r="AO586" s="500"/>
      <c r="AP586" s="500"/>
      <c r="AQ586" s="500"/>
      <c r="AR586" s="500"/>
      <c r="AS586" s="500"/>
      <c r="AT586" s="500"/>
      <c r="AU586" s="500"/>
      <c r="AV586" s="500"/>
      <c r="AW586" s="500"/>
      <c r="AX586" s="500"/>
      <c r="AY586" s="500"/>
      <c r="AZ586" s="500"/>
      <c r="BA586" s="500"/>
      <c r="BB586" s="500"/>
      <c r="BC586" s="500"/>
      <c r="BD586" s="500"/>
      <c r="BE586" s="500"/>
      <c r="BF586" s="500"/>
      <c r="BG586" s="500"/>
      <c r="BH586" s="500"/>
      <c r="BI586" s="500"/>
      <c r="BJ586" s="500"/>
      <c r="BK586" s="500"/>
      <c r="BL586" s="500"/>
      <c r="BM586" s="500"/>
      <c r="BN586" s="500"/>
      <c r="BO586" s="500"/>
      <c r="BP586" s="500"/>
      <c r="BQ586" s="500"/>
      <c r="BR586" s="500"/>
      <c r="BS586" s="500"/>
      <c r="BT586" s="500"/>
      <c r="BU586" s="500"/>
      <c r="BV586" s="500"/>
    </row>
    <row r="587" ht="14.25" customHeight="1">
      <c r="A587" s="500"/>
      <c r="B587" s="500"/>
      <c r="C587" s="500"/>
      <c r="D587" s="500"/>
      <c r="E587" s="500"/>
      <c r="F587" s="500"/>
      <c r="G587" s="500"/>
      <c r="H587" s="500"/>
      <c r="I587" s="500"/>
      <c r="J587" s="500"/>
      <c r="K587" s="500"/>
      <c r="L587" s="500"/>
      <c r="M587" s="500"/>
      <c r="N587" s="500"/>
      <c r="O587" s="500"/>
      <c r="P587" s="500"/>
      <c r="Q587" s="500"/>
      <c r="R587" s="500"/>
      <c r="S587" s="500"/>
      <c r="T587" s="500"/>
      <c r="U587" s="500"/>
      <c r="V587" s="500"/>
      <c r="W587" s="500"/>
      <c r="X587" s="500"/>
      <c r="Y587" s="500"/>
      <c r="Z587" s="501"/>
      <c r="AA587" s="501"/>
      <c r="AB587" s="501"/>
      <c r="AC587" s="501"/>
      <c r="AD587" s="500"/>
      <c r="AE587" s="500"/>
      <c r="AF587" s="503"/>
      <c r="AG587" s="503"/>
      <c r="AH587" s="504"/>
      <c r="AI587" s="500"/>
      <c r="AJ587" s="500"/>
      <c r="AK587" s="500"/>
      <c r="AL587" s="500"/>
      <c r="AM587" s="500"/>
      <c r="AN587" s="500"/>
      <c r="AO587" s="500"/>
      <c r="AP587" s="500"/>
      <c r="AQ587" s="500"/>
      <c r="AR587" s="500"/>
      <c r="AS587" s="500"/>
      <c r="AT587" s="500"/>
      <c r="AU587" s="500"/>
      <c r="AV587" s="500"/>
      <c r="AW587" s="500"/>
      <c r="AX587" s="500"/>
      <c r="AY587" s="500"/>
      <c r="AZ587" s="500"/>
      <c r="BA587" s="500"/>
      <c r="BB587" s="500"/>
      <c r="BC587" s="500"/>
      <c r="BD587" s="500"/>
      <c r="BE587" s="500"/>
      <c r="BF587" s="500"/>
      <c r="BG587" s="500"/>
      <c r="BH587" s="500"/>
      <c r="BI587" s="500"/>
      <c r="BJ587" s="500"/>
      <c r="BK587" s="500"/>
      <c r="BL587" s="500"/>
      <c r="BM587" s="500"/>
      <c r="BN587" s="500"/>
      <c r="BO587" s="500"/>
      <c r="BP587" s="500"/>
      <c r="BQ587" s="500"/>
      <c r="BR587" s="500"/>
      <c r="BS587" s="500"/>
      <c r="BT587" s="500"/>
      <c r="BU587" s="500"/>
      <c r="BV587" s="500"/>
    </row>
    <row r="588" ht="14.25" customHeight="1">
      <c r="A588" s="500"/>
      <c r="B588" s="500"/>
      <c r="C588" s="500"/>
      <c r="D588" s="500"/>
      <c r="E588" s="500"/>
      <c r="F588" s="500"/>
      <c r="G588" s="500"/>
      <c r="H588" s="500"/>
      <c r="I588" s="500"/>
      <c r="J588" s="500"/>
      <c r="K588" s="500"/>
      <c r="L588" s="500"/>
      <c r="M588" s="500"/>
      <c r="N588" s="500"/>
      <c r="O588" s="500"/>
      <c r="P588" s="500"/>
      <c r="Q588" s="500"/>
      <c r="R588" s="500"/>
      <c r="S588" s="500"/>
      <c r="T588" s="500"/>
      <c r="U588" s="500"/>
      <c r="V588" s="500"/>
      <c r="W588" s="500"/>
      <c r="X588" s="500"/>
      <c r="Y588" s="500"/>
      <c r="Z588" s="501"/>
      <c r="AA588" s="501"/>
      <c r="AB588" s="501"/>
      <c r="AC588" s="501"/>
      <c r="AD588" s="500"/>
      <c r="AE588" s="500"/>
      <c r="AF588" s="503"/>
      <c r="AG588" s="503"/>
      <c r="AH588" s="504"/>
      <c r="AI588" s="500"/>
      <c r="AJ588" s="500"/>
      <c r="AK588" s="500"/>
      <c r="AL588" s="500"/>
      <c r="AM588" s="500"/>
      <c r="AN588" s="500"/>
      <c r="AO588" s="500"/>
      <c r="AP588" s="500"/>
      <c r="AQ588" s="500"/>
      <c r="AR588" s="500"/>
      <c r="AS588" s="500"/>
      <c r="AT588" s="500"/>
      <c r="AU588" s="500"/>
      <c r="AV588" s="500"/>
      <c r="AW588" s="500"/>
      <c r="AX588" s="500"/>
      <c r="AY588" s="500"/>
      <c r="AZ588" s="500"/>
      <c r="BA588" s="500"/>
      <c r="BB588" s="500"/>
      <c r="BC588" s="500"/>
      <c r="BD588" s="500"/>
      <c r="BE588" s="500"/>
      <c r="BF588" s="500"/>
      <c r="BG588" s="500"/>
      <c r="BH588" s="500"/>
      <c r="BI588" s="500"/>
      <c r="BJ588" s="500"/>
      <c r="BK588" s="500"/>
      <c r="BL588" s="500"/>
      <c r="BM588" s="500"/>
      <c r="BN588" s="500"/>
      <c r="BO588" s="500"/>
      <c r="BP588" s="500"/>
      <c r="BQ588" s="500"/>
      <c r="BR588" s="500"/>
      <c r="BS588" s="500"/>
      <c r="BT588" s="500"/>
      <c r="BU588" s="500"/>
      <c r="BV588" s="500"/>
    </row>
    <row r="589" ht="14.25" customHeight="1">
      <c r="A589" s="500"/>
      <c r="B589" s="500"/>
      <c r="C589" s="500"/>
      <c r="D589" s="500"/>
      <c r="E589" s="500"/>
      <c r="F589" s="500"/>
      <c r="G589" s="500"/>
      <c r="H589" s="500"/>
      <c r="I589" s="500"/>
      <c r="J589" s="500"/>
      <c r="K589" s="500"/>
      <c r="L589" s="500"/>
      <c r="M589" s="500"/>
      <c r="N589" s="500"/>
      <c r="O589" s="500"/>
      <c r="P589" s="500"/>
      <c r="Q589" s="500"/>
      <c r="R589" s="500"/>
      <c r="S589" s="500"/>
      <c r="T589" s="500"/>
      <c r="U589" s="500"/>
      <c r="V589" s="500"/>
      <c r="W589" s="500"/>
      <c r="X589" s="500"/>
      <c r="Y589" s="500"/>
      <c r="Z589" s="501"/>
      <c r="AA589" s="501"/>
      <c r="AB589" s="501"/>
      <c r="AC589" s="501"/>
      <c r="AD589" s="500"/>
      <c r="AE589" s="500"/>
      <c r="AF589" s="503"/>
      <c r="AG589" s="503"/>
      <c r="AH589" s="504"/>
      <c r="AI589" s="500"/>
      <c r="AJ589" s="500"/>
      <c r="AK589" s="500"/>
      <c r="AL589" s="500"/>
      <c r="AM589" s="500"/>
      <c r="AN589" s="500"/>
      <c r="AO589" s="500"/>
      <c r="AP589" s="500"/>
      <c r="AQ589" s="500"/>
      <c r="AR589" s="500"/>
      <c r="AS589" s="500"/>
      <c r="AT589" s="500"/>
      <c r="AU589" s="500"/>
      <c r="AV589" s="500"/>
      <c r="AW589" s="500"/>
      <c r="AX589" s="500"/>
      <c r="AY589" s="500"/>
      <c r="AZ589" s="500"/>
      <c r="BA589" s="500"/>
      <c r="BB589" s="500"/>
      <c r="BC589" s="500"/>
      <c r="BD589" s="500"/>
      <c r="BE589" s="500"/>
      <c r="BF589" s="500"/>
      <c r="BG589" s="500"/>
      <c r="BH589" s="500"/>
      <c r="BI589" s="500"/>
      <c r="BJ589" s="500"/>
      <c r="BK589" s="500"/>
      <c r="BL589" s="500"/>
      <c r="BM589" s="500"/>
      <c r="BN589" s="500"/>
      <c r="BO589" s="500"/>
      <c r="BP589" s="500"/>
      <c r="BQ589" s="500"/>
      <c r="BR589" s="500"/>
      <c r="BS589" s="500"/>
      <c r="BT589" s="500"/>
      <c r="BU589" s="500"/>
      <c r="BV589" s="500"/>
    </row>
    <row r="590" ht="14.25" customHeight="1">
      <c r="A590" s="500"/>
      <c r="B590" s="500"/>
      <c r="C590" s="500"/>
      <c r="D590" s="500"/>
      <c r="E590" s="500"/>
      <c r="F590" s="500"/>
      <c r="G590" s="500"/>
      <c r="H590" s="500"/>
      <c r="I590" s="500"/>
      <c r="J590" s="500"/>
      <c r="K590" s="500"/>
      <c r="L590" s="500"/>
      <c r="M590" s="500"/>
      <c r="N590" s="500"/>
      <c r="O590" s="500"/>
      <c r="P590" s="500"/>
      <c r="Q590" s="500"/>
      <c r="R590" s="500"/>
      <c r="S590" s="500"/>
      <c r="T590" s="500"/>
      <c r="U590" s="500"/>
      <c r="V590" s="500"/>
      <c r="W590" s="500"/>
      <c r="X590" s="500"/>
      <c r="Y590" s="500"/>
      <c r="Z590" s="501"/>
      <c r="AA590" s="501"/>
      <c r="AB590" s="501"/>
      <c r="AC590" s="501"/>
      <c r="AD590" s="500"/>
      <c r="AE590" s="500"/>
      <c r="AF590" s="503"/>
      <c r="AG590" s="503"/>
      <c r="AH590" s="504"/>
      <c r="AI590" s="500"/>
      <c r="AJ590" s="500"/>
      <c r="AK590" s="500"/>
      <c r="AL590" s="500"/>
      <c r="AM590" s="500"/>
      <c r="AN590" s="500"/>
      <c r="AO590" s="500"/>
      <c r="AP590" s="500"/>
      <c r="AQ590" s="500"/>
      <c r="AR590" s="500"/>
      <c r="AS590" s="500"/>
      <c r="AT590" s="500"/>
      <c r="AU590" s="500"/>
      <c r="AV590" s="500"/>
      <c r="AW590" s="500"/>
      <c r="AX590" s="500"/>
      <c r="AY590" s="500"/>
      <c r="AZ590" s="500"/>
      <c r="BA590" s="500"/>
      <c r="BB590" s="500"/>
      <c r="BC590" s="500"/>
      <c r="BD590" s="500"/>
      <c r="BE590" s="500"/>
      <c r="BF590" s="500"/>
      <c r="BG590" s="500"/>
      <c r="BH590" s="500"/>
      <c r="BI590" s="500"/>
      <c r="BJ590" s="500"/>
      <c r="BK590" s="500"/>
      <c r="BL590" s="500"/>
      <c r="BM590" s="500"/>
      <c r="BN590" s="500"/>
      <c r="BO590" s="500"/>
      <c r="BP590" s="500"/>
      <c r="BQ590" s="500"/>
      <c r="BR590" s="500"/>
      <c r="BS590" s="500"/>
      <c r="BT590" s="500"/>
      <c r="BU590" s="500"/>
      <c r="BV590" s="500"/>
    </row>
    <row r="591" ht="14.25" customHeight="1">
      <c r="A591" s="500"/>
      <c r="B591" s="500"/>
      <c r="C591" s="500"/>
      <c r="D591" s="500"/>
      <c r="E591" s="500"/>
      <c r="F591" s="500"/>
      <c r="G591" s="500"/>
      <c r="H591" s="500"/>
      <c r="I591" s="500"/>
      <c r="J591" s="500"/>
      <c r="K591" s="500"/>
      <c r="L591" s="500"/>
      <c r="M591" s="500"/>
      <c r="N591" s="500"/>
      <c r="O591" s="500"/>
      <c r="P591" s="500"/>
      <c r="Q591" s="500"/>
      <c r="R591" s="500"/>
      <c r="S591" s="500"/>
      <c r="T591" s="500"/>
      <c r="U591" s="500"/>
      <c r="V591" s="500"/>
      <c r="W591" s="500"/>
      <c r="X591" s="500"/>
      <c r="Y591" s="500"/>
      <c r="Z591" s="501"/>
      <c r="AA591" s="501"/>
      <c r="AB591" s="501"/>
      <c r="AC591" s="501"/>
      <c r="AD591" s="500"/>
      <c r="AE591" s="500"/>
      <c r="AF591" s="503"/>
      <c r="AG591" s="503"/>
      <c r="AH591" s="504"/>
      <c r="AI591" s="500"/>
      <c r="AJ591" s="500"/>
      <c r="AK591" s="500"/>
      <c r="AL591" s="500"/>
      <c r="AM591" s="500"/>
      <c r="AN591" s="500"/>
      <c r="AO591" s="500"/>
      <c r="AP591" s="500"/>
      <c r="AQ591" s="500"/>
      <c r="AR591" s="500"/>
      <c r="AS591" s="500"/>
      <c r="AT591" s="500"/>
      <c r="AU591" s="500"/>
      <c r="AV591" s="500"/>
      <c r="AW591" s="500"/>
      <c r="AX591" s="500"/>
      <c r="AY591" s="500"/>
      <c r="AZ591" s="500"/>
      <c r="BA591" s="500"/>
      <c r="BB591" s="500"/>
      <c r="BC591" s="500"/>
      <c r="BD591" s="500"/>
      <c r="BE591" s="500"/>
      <c r="BF591" s="500"/>
      <c r="BG591" s="500"/>
      <c r="BH591" s="500"/>
      <c r="BI591" s="500"/>
      <c r="BJ591" s="500"/>
      <c r="BK591" s="500"/>
      <c r="BL591" s="500"/>
      <c r="BM591" s="500"/>
      <c r="BN591" s="500"/>
      <c r="BO591" s="500"/>
      <c r="BP591" s="500"/>
      <c r="BQ591" s="500"/>
      <c r="BR591" s="500"/>
      <c r="BS591" s="500"/>
      <c r="BT591" s="500"/>
      <c r="BU591" s="500"/>
      <c r="BV591" s="500"/>
    </row>
    <row r="592" ht="14.25" customHeight="1">
      <c r="A592" s="500"/>
      <c r="B592" s="500"/>
      <c r="C592" s="500"/>
      <c r="D592" s="500"/>
      <c r="E592" s="500"/>
      <c r="F592" s="500"/>
      <c r="G592" s="500"/>
      <c r="H592" s="500"/>
      <c r="I592" s="500"/>
      <c r="J592" s="500"/>
      <c r="K592" s="500"/>
      <c r="L592" s="500"/>
      <c r="M592" s="500"/>
      <c r="N592" s="500"/>
      <c r="O592" s="500"/>
      <c r="P592" s="500"/>
      <c r="Q592" s="500"/>
      <c r="R592" s="500"/>
      <c r="S592" s="500"/>
      <c r="T592" s="500"/>
      <c r="U592" s="500"/>
      <c r="V592" s="500"/>
      <c r="W592" s="500"/>
      <c r="X592" s="500"/>
      <c r="Y592" s="500"/>
      <c r="Z592" s="501"/>
      <c r="AA592" s="501"/>
      <c r="AB592" s="501"/>
      <c r="AC592" s="501"/>
      <c r="AD592" s="500"/>
      <c r="AE592" s="500"/>
      <c r="AF592" s="503"/>
      <c r="AG592" s="503"/>
      <c r="AH592" s="504"/>
      <c r="AI592" s="500"/>
      <c r="AJ592" s="500"/>
      <c r="AK592" s="500"/>
      <c r="AL592" s="500"/>
      <c r="AM592" s="500"/>
      <c r="AN592" s="500"/>
      <c r="AO592" s="500"/>
      <c r="AP592" s="500"/>
      <c r="AQ592" s="500"/>
      <c r="AR592" s="500"/>
      <c r="AS592" s="500"/>
      <c r="AT592" s="500"/>
      <c r="AU592" s="500"/>
      <c r="AV592" s="500"/>
      <c r="AW592" s="500"/>
      <c r="AX592" s="500"/>
      <c r="AY592" s="500"/>
      <c r="AZ592" s="500"/>
      <c r="BA592" s="500"/>
      <c r="BB592" s="500"/>
      <c r="BC592" s="500"/>
      <c r="BD592" s="500"/>
      <c r="BE592" s="500"/>
      <c r="BF592" s="500"/>
      <c r="BG592" s="500"/>
      <c r="BH592" s="500"/>
      <c r="BI592" s="500"/>
      <c r="BJ592" s="500"/>
      <c r="BK592" s="500"/>
      <c r="BL592" s="500"/>
      <c r="BM592" s="500"/>
      <c r="BN592" s="500"/>
      <c r="BO592" s="500"/>
      <c r="BP592" s="500"/>
      <c r="BQ592" s="500"/>
      <c r="BR592" s="500"/>
      <c r="BS592" s="500"/>
      <c r="BT592" s="500"/>
      <c r="BU592" s="500"/>
      <c r="BV592" s="500"/>
    </row>
    <row r="593" ht="14.25" customHeight="1">
      <c r="A593" s="500"/>
      <c r="B593" s="500"/>
      <c r="C593" s="500"/>
      <c r="D593" s="500"/>
      <c r="E593" s="500"/>
      <c r="F593" s="500"/>
      <c r="G593" s="500"/>
      <c r="H593" s="500"/>
      <c r="I593" s="500"/>
      <c r="J593" s="500"/>
      <c r="K593" s="500"/>
      <c r="L593" s="500"/>
      <c r="M593" s="500"/>
      <c r="N593" s="500"/>
      <c r="O593" s="500"/>
      <c r="P593" s="500"/>
      <c r="Q593" s="500"/>
      <c r="R593" s="500"/>
      <c r="S593" s="500"/>
      <c r="T593" s="500"/>
      <c r="U593" s="500"/>
      <c r="V593" s="500"/>
      <c r="W593" s="500"/>
      <c r="X593" s="500"/>
      <c r="Y593" s="500"/>
      <c r="Z593" s="501"/>
      <c r="AA593" s="501"/>
      <c r="AB593" s="501"/>
      <c r="AC593" s="501"/>
      <c r="AD593" s="500"/>
      <c r="AE593" s="500"/>
      <c r="AF593" s="503"/>
      <c r="AG593" s="503"/>
      <c r="AH593" s="504"/>
      <c r="AI593" s="500"/>
      <c r="AJ593" s="500"/>
      <c r="AK593" s="500"/>
      <c r="AL593" s="500"/>
      <c r="AM593" s="500"/>
      <c r="AN593" s="500"/>
      <c r="AO593" s="500"/>
      <c r="AP593" s="500"/>
      <c r="AQ593" s="500"/>
      <c r="AR593" s="500"/>
      <c r="AS593" s="500"/>
      <c r="AT593" s="500"/>
      <c r="AU593" s="500"/>
      <c r="AV593" s="500"/>
      <c r="AW593" s="500"/>
      <c r="AX593" s="500"/>
      <c r="AY593" s="500"/>
      <c r="AZ593" s="500"/>
      <c r="BA593" s="500"/>
      <c r="BB593" s="500"/>
      <c r="BC593" s="500"/>
      <c r="BD593" s="500"/>
      <c r="BE593" s="500"/>
      <c r="BF593" s="500"/>
      <c r="BG593" s="500"/>
      <c r="BH593" s="500"/>
      <c r="BI593" s="500"/>
      <c r="BJ593" s="500"/>
      <c r="BK593" s="500"/>
      <c r="BL593" s="500"/>
      <c r="BM593" s="500"/>
      <c r="BN593" s="500"/>
      <c r="BO593" s="500"/>
      <c r="BP593" s="500"/>
      <c r="BQ593" s="500"/>
      <c r="BR593" s="500"/>
      <c r="BS593" s="500"/>
      <c r="BT593" s="500"/>
      <c r="BU593" s="500"/>
      <c r="BV593" s="500"/>
    </row>
    <row r="594" ht="14.25" customHeight="1">
      <c r="A594" s="500"/>
      <c r="B594" s="500"/>
      <c r="C594" s="500"/>
      <c r="D594" s="500"/>
      <c r="E594" s="500"/>
      <c r="F594" s="500"/>
      <c r="G594" s="500"/>
      <c r="H594" s="500"/>
      <c r="I594" s="500"/>
      <c r="J594" s="500"/>
      <c r="K594" s="500"/>
      <c r="L594" s="500"/>
      <c r="M594" s="500"/>
      <c r="N594" s="500"/>
      <c r="O594" s="500"/>
      <c r="P594" s="500"/>
      <c r="Q594" s="500"/>
      <c r="R594" s="500"/>
      <c r="S594" s="500"/>
      <c r="T594" s="500"/>
      <c r="U594" s="500"/>
      <c r="V594" s="500"/>
      <c r="W594" s="500"/>
      <c r="X594" s="500"/>
      <c r="Y594" s="500"/>
      <c r="Z594" s="501"/>
      <c r="AA594" s="501"/>
      <c r="AB594" s="501"/>
      <c r="AC594" s="501"/>
      <c r="AD594" s="500"/>
      <c r="AE594" s="500"/>
      <c r="AF594" s="503"/>
      <c r="AG594" s="503"/>
      <c r="AH594" s="504"/>
      <c r="AI594" s="500"/>
      <c r="AJ594" s="500"/>
      <c r="AK594" s="500"/>
      <c r="AL594" s="500"/>
      <c r="AM594" s="500"/>
      <c r="AN594" s="500"/>
      <c r="AO594" s="500"/>
      <c r="AP594" s="500"/>
      <c r="AQ594" s="500"/>
      <c r="AR594" s="500"/>
      <c r="AS594" s="500"/>
      <c r="AT594" s="500"/>
      <c r="AU594" s="500"/>
      <c r="AV594" s="500"/>
      <c r="AW594" s="500"/>
      <c r="AX594" s="500"/>
      <c r="AY594" s="500"/>
      <c r="AZ594" s="500"/>
      <c r="BA594" s="500"/>
      <c r="BB594" s="500"/>
      <c r="BC594" s="500"/>
      <c r="BD594" s="500"/>
      <c r="BE594" s="500"/>
      <c r="BF594" s="500"/>
      <c r="BG594" s="500"/>
      <c r="BH594" s="500"/>
      <c r="BI594" s="500"/>
      <c r="BJ594" s="500"/>
      <c r="BK594" s="500"/>
      <c r="BL594" s="500"/>
      <c r="BM594" s="500"/>
      <c r="BN594" s="500"/>
      <c r="BO594" s="500"/>
      <c r="BP594" s="500"/>
      <c r="BQ594" s="500"/>
      <c r="BR594" s="500"/>
      <c r="BS594" s="500"/>
      <c r="BT594" s="500"/>
      <c r="BU594" s="500"/>
      <c r="BV594" s="500"/>
    </row>
    <row r="595" ht="14.25" customHeight="1">
      <c r="A595" s="500"/>
      <c r="B595" s="500"/>
      <c r="C595" s="500"/>
      <c r="D595" s="500"/>
      <c r="E595" s="500"/>
      <c r="F595" s="500"/>
      <c r="G595" s="500"/>
      <c r="H595" s="500"/>
      <c r="I595" s="500"/>
      <c r="J595" s="500"/>
      <c r="K595" s="500"/>
      <c r="L595" s="500"/>
      <c r="M595" s="500"/>
      <c r="N595" s="500"/>
      <c r="O595" s="500"/>
      <c r="P595" s="500"/>
      <c r="Q595" s="500"/>
      <c r="R595" s="500"/>
      <c r="S595" s="500"/>
      <c r="T595" s="500"/>
      <c r="U595" s="500"/>
      <c r="V595" s="500"/>
      <c r="W595" s="500"/>
      <c r="X595" s="500"/>
      <c r="Y595" s="500"/>
      <c r="Z595" s="501"/>
      <c r="AA595" s="501"/>
      <c r="AB595" s="501"/>
      <c r="AC595" s="501"/>
      <c r="AD595" s="500"/>
      <c r="AE595" s="500"/>
      <c r="AF595" s="503"/>
      <c r="AG595" s="503"/>
      <c r="AH595" s="504"/>
      <c r="AI595" s="500"/>
      <c r="AJ595" s="500"/>
      <c r="AK595" s="500"/>
      <c r="AL595" s="500"/>
      <c r="AM595" s="500"/>
      <c r="AN595" s="500"/>
      <c r="AO595" s="500"/>
      <c r="AP595" s="500"/>
      <c r="AQ595" s="500"/>
      <c r="AR595" s="500"/>
      <c r="AS595" s="500"/>
      <c r="AT595" s="500"/>
      <c r="AU595" s="500"/>
      <c r="AV595" s="500"/>
      <c r="AW595" s="500"/>
      <c r="AX595" s="500"/>
      <c r="AY595" s="500"/>
      <c r="AZ595" s="500"/>
      <c r="BA595" s="500"/>
      <c r="BB595" s="500"/>
      <c r="BC595" s="500"/>
      <c r="BD595" s="500"/>
      <c r="BE595" s="500"/>
      <c r="BF595" s="500"/>
      <c r="BG595" s="500"/>
      <c r="BH595" s="500"/>
      <c r="BI595" s="500"/>
      <c r="BJ595" s="500"/>
      <c r="BK595" s="500"/>
      <c r="BL595" s="500"/>
      <c r="BM595" s="500"/>
      <c r="BN595" s="500"/>
      <c r="BO595" s="500"/>
      <c r="BP595" s="500"/>
      <c r="BQ595" s="500"/>
      <c r="BR595" s="500"/>
      <c r="BS595" s="500"/>
      <c r="BT595" s="500"/>
      <c r="BU595" s="500"/>
      <c r="BV595" s="500"/>
    </row>
    <row r="596" ht="14.25" customHeight="1">
      <c r="A596" s="500"/>
      <c r="B596" s="500"/>
      <c r="C596" s="500"/>
      <c r="D596" s="500"/>
      <c r="E596" s="500"/>
      <c r="F596" s="500"/>
      <c r="G596" s="500"/>
      <c r="H596" s="500"/>
      <c r="I596" s="500"/>
      <c r="J596" s="500"/>
      <c r="K596" s="500"/>
      <c r="L596" s="500"/>
      <c r="M596" s="500"/>
      <c r="N596" s="500"/>
      <c r="O596" s="500"/>
      <c r="P596" s="500"/>
      <c r="Q596" s="500"/>
      <c r="R596" s="500"/>
      <c r="S596" s="500"/>
      <c r="T596" s="500"/>
      <c r="U596" s="500"/>
      <c r="V596" s="500"/>
      <c r="W596" s="500"/>
      <c r="X596" s="500"/>
      <c r="Y596" s="500"/>
      <c r="Z596" s="501"/>
      <c r="AA596" s="501"/>
      <c r="AB596" s="501"/>
      <c r="AC596" s="501"/>
      <c r="AD596" s="500"/>
      <c r="AE596" s="500"/>
      <c r="AF596" s="503"/>
      <c r="AG596" s="503"/>
      <c r="AH596" s="504"/>
      <c r="AI596" s="500"/>
      <c r="AJ596" s="500"/>
      <c r="AK596" s="500"/>
      <c r="AL596" s="500"/>
      <c r="AM596" s="500"/>
      <c r="AN596" s="500"/>
      <c r="AO596" s="500"/>
      <c r="AP596" s="500"/>
      <c r="AQ596" s="500"/>
      <c r="AR596" s="500"/>
      <c r="AS596" s="500"/>
      <c r="AT596" s="500"/>
      <c r="AU596" s="500"/>
      <c r="AV596" s="500"/>
      <c r="AW596" s="500"/>
      <c r="AX596" s="500"/>
      <c r="AY596" s="500"/>
      <c r="AZ596" s="500"/>
      <c r="BA596" s="500"/>
      <c r="BB596" s="500"/>
      <c r="BC596" s="500"/>
      <c r="BD596" s="500"/>
      <c r="BE596" s="500"/>
      <c r="BF596" s="500"/>
      <c r="BG596" s="500"/>
      <c r="BH596" s="500"/>
      <c r="BI596" s="500"/>
      <c r="BJ596" s="500"/>
      <c r="BK596" s="500"/>
      <c r="BL596" s="500"/>
      <c r="BM596" s="500"/>
      <c r="BN596" s="500"/>
      <c r="BO596" s="500"/>
      <c r="BP596" s="500"/>
      <c r="BQ596" s="500"/>
      <c r="BR596" s="500"/>
      <c r="BS596" s="500"/>
      <c r="BT596" s="500"/>
      <c r="BU596" s="500"/>
      <c r="BV596" s="500"/>
    </row>
    <row r="597" ht="14.25" customHeight="1">
      <c r="A597" s="500"/>
      <c r="B597" s="500"/>
      <c r="C597" s="500"/>
      <c r="D597" s="500"/>
      <c r="E597" s="500"/>
      <c r="F597" s="500"/>
      <c r="G597" s="500"/>
      <c r="H597" s="500"/>
      <c r="I597" s="500"/>
      <c r="J597" s="500"/>
      <c r="K597" s="500"/>
      <c r="L597" s="500"/>
      <c r="M597" s="500"/>
      <c r="N597" s="500"/>
      <c r="O597" s="500"/>
      <c r="P597" s="500"/>
      <c r="Q597" s="500"/>
      <c r="R597" s="500"/>
      <c r="S597" s="500"/>
      <c r="T597" s="500"/>
      <c r="U597" s="500"/>
      <c r="V597" s="500"/>
      <c r="W597" s="500"/>
      <c r="X597" s="500"/>
      <c r="Y597" s="500"/>
      <c r="Z597" s="501"/>
      <c r="AA597" s="501"/>
      <c r="AB597" s="501"/>
      <c r="AC597" s="501"/>
      <c r="AD597" s="500"/>
      <c r="AE597" s="500"/>
      <c r="AF597" s="503"/>
      <c r="AG597" s="503"/>
      <c r="AH597" s="504"/>
      <c r="AI597" s="500"/>
      <c r="AJ597" s="500"/>
      <c r="AK597" s="500"/>
      <c r="AL597" s="500"/>
      <c r="AM597" s="500"/>
      <c r="AN597" s="500"/>
      <c r="AO597" s="500"/>
      <c r="AP597" s="500"/>
      <c r="AQ597" s="500"/>
      <c r="AR597" s="500"/>
      <c r="AS597" s="500"/>
      <c r="AT597" s="500"/>
      <c r="AU597" s="500"/>
      <c r="AV597" s="500"/>
      <c r="AW597" s="500"/>
      <c r="AX597" s="500"/>
      <c r="AY597" s="500"/>
      <c r="AZ597" s="500"/>
      <c r="BA597" s="500"/>
      <c r="BB597" s="500"/>
      <c r="BC597" s="500"/>
      <c r="BD597" s="500"/>
      <c r="BE597" s="500"/>
      <c r="BF597" s="500"/>
      <c r="BG597" s="500"/>
      <c r="BH597" s="500"/>
      <c r="BI597" s="500"/>
      <c r="BJ597" s="500"/>
      <c r="BK597" s="500"/>
      <c r="BL597" s="500"/>
      <c r="BM597" s="500"/>
      <c r="BN597" s="500"/>
      <c r="BO597" s="500"/>
      <c r="BP597" s="500"/>
      <c r="BQ597" s="500"/>
      <c r="BR597" s="500"/>
      <c r="BS597" s="500"/>
      <c r="BT597" s="500"/>
      <c r="BU597" s="500"/>
      <c r="BV597" s="500"/>
    </row>
    <row r="598" ht="14.25" customHeight="1">
      <c r="A598" s="500"/>
      <c r="B598" s="500"/>
      <c r="C598" s="500"/>
      <c r="D598" s="500"/>
      <c r="E598" s="500"/>
      <c r="F598" s="500"/>
      <c r="G598" s="500"/>
      <c r="H598" s="500"/>
      <c r="I598" s="500"/>
      <c r="J598" s="500"/>
      <c r="K598" s="500"/>
      <c r="L598" s="500"/>
      <c r="M598" s="500"/>
      <c r="N598" s="500"/>
      <c r="O598" s="500"/>
      <c r="P598" s="500"/>
      <c r="Q598" s="500"/>
      <c r="R598" s="500"/>
      <c r="S598" s="500"/>
      <c r="T598" s="500"/>
      <c r="U598" s="500"/>
      <c r="V598" s="500"/>
      <c r="W598" s="500"/>
      <c r="X598" s="500"/>
      <c r="Y598" s="500"/>
      <c r="Z598" s="501"/>
      <c r="AA598" s="501"/>
      <c r="AB598" s="501"/>
      <c r="AC598" s="501"/>
      <c r="AD598" s="500"/>
      <c r="AE598" s="500"/>
      <c r="AF598" s="503"/>
      <c r="AG598" s="503"/>
      <c r="AH598" s="504"/>
      <c r="AI598" s="500"/>
      <c r="AJ598" s="500"/>
      <c r="AK598" s="500"/>
      <c r="AL598" s="500"/>
      <c r="AM598" s="500"/>
      <c r="AN598" s="500"/>
      <c r="AO598" s="500"/>
      <c r="AP598" s="500"/>
      <c r="AQ598" s="500"/>
      <c r="AR598" s="500"/>
      <c r="AS598" s="500"/>
      <c r="AT598" s="500"/>
      <c r="AU598" s="500"/>
      <c r="AV598" s="500"/>
      <c r="AW598" s="500"/>
      <c r="AX598" s="500"/>
      <c r="AY598" s="500"/>
      <c r="AZ598" s="500"/>
      <c r="BA598" s="500"/>
      <c r="BB598" s="500"/>
      <c r="BC598" s="500"/>
      <c r="BD598" s="500"/>
      <c r="BE598" s="500"/>
      <c r="BF598" s="500"/>
      <c r="BG598" s="500"/>
      <c r="BH598" s="500"/>
      <c r="BI598" s="500"/>
      <c r="BJ598" s="500"/>
      <c r="BK598" s="500"/>
      <c r="BL598" s="500"/>
      <c r="BM598" s="500"/>
      <c r="BN598" s="500"/>
      <c r="BO598" s="500"/>
      <c r="BP598" s="500"/>
      <c r="BQ598" s="500"/>
      <c r="BR598" s="500"/>
      <c r="BS598" s="500"/>
      <c r="BT598" s="500"/>
      <c r="BU598" s="500"/>
      <c r="BV598" s="500"/>
    </row>
    <row r="599" ht="14.25" customHeight="1">
      <c r="A599" s="500"/>
      <c r="B599" s="500"/>
      <c r="C599" s="500"/>
      <c r="D599" s="500"/>
      <c r="E599" s="500"/>
      <c r="F599" s="500"/>
      <c r="G599" s="500"/>
      <c r="H599" s="500"/>
      <c r="I599" s="500"/>
      <c r="J599" s="500"/>
      <c r="K599" s="500"/>
      <c r="L599" s="500"/>
      <c r="M599" s="500"/>
      <c r="N599" s="500"/>
      <c r="O599" s="500"/>
      <c r="P599" s="500"/>
      <c r="Q599" s="500"/>
      <c r="R599" s="500"/>
      <c r="S599" s="500"/>
      <c r="T599" s="500"/>
      <c r="U599" s="500"/>
      <c r="V599" s="500"/>
      <c r="W599" s="500"/>
      <c r="X599" s="500"/>
      <c r="Y599" s="500"/>
      <c r="Z599" s="501"/>
      <c r="AA599" s="501"/>
      <c r="AB599" s="501"/>
      <c r="AC599" s="501"/>
      <c r="AD599" s="500"/>
      <c r="AE599" s="500"/>
      <c r="AF599" s="503"/>
      <c r="AG599" s="503"/>
      <c r="AH599" s="504"/>
      <c r="AI599" s="500"/>
      <c r="AJ599" s="500"/>
      <c r="AK599" s="500"/>
      <c r="AL599" s="500"/>
      <c r="AM599" s="500"/>
      <c r="AN599" s="500"/>
      <c r="AO599" s="500"/>
      <c r="AP599" s="500"/>
      <c r="AQ599" s="500"/>
      <c r="AR599" s="500"/>
      <c r="AS599" s="500"/>
      <c r="AT599" s="500"/>
      <c r="AU599" s="500"/>
      <c r="AV599" s="500"/>
      <c r="AW599" s="500"/>
      <c r="AX599" s="500"/>
      <c r="AY599" s="500"/>
      <c r="AZ599" s="500"/>
      <c r="BA599" s="500"/>
      <c r="BB599" s="500"/>
      <c r="BC599" s="500"/>
      <c r="BD599" s="500"/>
      <c r="BE599" s="500"/>
      <c r="BF599" s="500"/>
      <c r="BG599" s="500"/>
      <c r="BH599" s="500"/>
      <c r="BI599" s="500"/>
      <c r="BJ599" s="500"/>
      <c r="BK599" s="500"/>
      <c r="BL599" s="500"/>
      <c r="BM599" s="500"/>
      <c r="BN599" s="500"/>
      <c r="BO599" s="500"/>
      <c r="BP599" s="500"/>
      <c r="BQ599" s="500"/>
      <c r="BR599" s="500"/>
      <c r="BS599" s="500"/>
      <c r="BT599" s="500"/>
      <c r="BU599" s="500"/>
      <c r="BV599" s="500"/>
    </row>
    <row r="600" ht="14.25" customHeight="1">
      <c r="A600" s="500"/>
      <c r="B600" s="500"/>
      <c r="C600" s="500"/>
      <c r="D600" s="500"/>
      <c r="E600" s="500"/>
      <c r="F600" s="500"/>
      <c r="G600" s="500"/>
      <c r="H600" s="500"/>
      <c r="I600" s="500"/>
      <c r="J600" s="500"/>
      <c r="K600" s="500"/>
      <c r="L600" s="500"/>
      <c r="M600" s="500"/>
      <c r="N600" s="500"/>
      <c r="O600" s="500"/>
      <c r="P600" s="500"/>
      <c r="Q600" s="500"/>
      <c r="R600" s="500"/>
      <c r="S600" s="500"/>
      <c r="T600" s="500"/>
      <c r="U600" s="500"/>
      <c r="V600" s="500"/>
      <c r="W600" s="500"/>
      <c r="X600" s="500"/>
      <c r="Y600" s="500"/>
      <c r="Z600" s="501"/>
      <c r="AA600" s="501"/>
      <c r="AB600" s="501"/>
      <c r="AC600" s="501"/>
      <c r="AD600" s="500"/>
      <c r="AE600" s="500"/>
      <c r="AF600" s="503"/>
      <c r="AG600" s="503"/>
      <c r="AH600" s="504"/>
      <c r="AI600" s="500"/>
      <c r="AJ600" s="500"/>
      <c r="AK600" s="500"/>
      <c r="AL600" s="500"/>
      <c r="AM600" s="500"/>
      <c r="AN600" s="500"/>
      <c r="AO600" s="500"/>
      <c r="AP600" s="500"/>
      <c r="AQ600" s="500"/>
      <c r="AR600" s="500"/>
      <c r="AS600" s="500"/>
      <c r="AT600" s="500"/>
      <c r="AU600" s="500"/>
      <c r="AV600" s="500"/>
      <c r="AW600" s="500"/>
      <c r="AX600" s="500"/>
      <c r="AY600" s="500"/>
      <c r="AZ600" s="500"/>
      <c r="BA600" s="500"/>
      <c r="BB600" s="500"/>
      <c r="BC600" s="500"/>
      <c r="BD600" s="500"/>
      <c r="BE600" s="500"/>
      <c r="BF600" s="500"/>
      <c r="BG600" s="500"/>
      <c r="BH600" s="500"/>
      <c r="BI600" s="500"/>
      <c r="BJ600" s="500"/>
      <c r="BK600" s="500"/>
      <c r="BL600" s="500"/>
      <c r="BM600" s="500"/>
      <c r="BN600" s="500"/>
      <c r="BO600" s="500"/>
      <c r="BP600" s="500"/>
      <c r="BQ600" s="500"/>
      <c r="BR600" s="500"/>
      <c r="BS600" s="500"/>
      <c r="BT600" s="500"/>
      <c r="BU600" s="500"/>
      <c r="BV600" s="500"/>
    </row>
    <row r="601" ht="14.25" customHeight="1">
      <c r="A601" s="500"/>
      <c r="B601" s="500"/>
      <c r="C601" s="500"/>
      <c r="D601" s="500"/>
      <c r="E601" s="500"/>
      <c r="F601" s="500"/>
      <c r="G601" s="500"/>
      <c r="H601" s="500"/>
      <c r="I601" s="500"/>
      <c r="J601" s="500"/>
      <c r="K601" s="500"/>
      <c r="L601" s="500"/>
      <c r="M601" s="500"/>
      <c r="N601" s="500"/>
      <c r="O601" s="500"/>
      <c r="P601" s="500"/>
      <c r="Q601" s="500"/>
      <c r="R601" s="500"/>
      <c r="S601" s="500"/>
      <c r="T601" s="500"/>
      <c r="U601" s="500"/>
      <c r="V601" s="500"/>
      <c r="W601" s="500"/>
      <c r="X601" s="500"/>
      <c r="Y601" s="500"/>
      <c r="Z601" s="501"/>
      <c r="AA601" s="501"/>
      <c r="AB601" s="501"/>
      <c r="AC601" s="501"/>
      <c r="AD601" s="500"/>
      <c r="AE601" s="500"/>
      <c r="AF601" s="503"/>
      <c r="AG601" s="503"/>
      <c r="AH601" s="504"/>
      <c r="AI601" s="500"/>
      <c r="AJ601" s="500"/>
      <c r="AK601" s="500"/>
      <c r="AL601" s="500"/>
      <c r="AM601" s="500"/>
      <c r="AN601" s="500"/>
      <c r="AO601" s="500"/>
      <c r="AP601" s="500"/>
      <c r="AQ601" s="500"/>
      <c r="AR601" s="500"/>
      <c r="AS601" s="500"/>
      <c r="AT601" s="500"/>
      <c r="AU601" s="500"/>
      <c r="AV601" s="500"/>
      <c r="AW601" s="500"/>
      <c r="AX601" s="500"/>
      <c r="AY601" s="500"/>
      <c r="AZ601" s="500"/>
      <c r="BA601" s="500"/>
      <c r="BB601" s="500"/>
      <c r="BC601" s="500"/>
      <c r="BD601" s="500"/>
      <c r="BE601" s="500"/>
      <c r="BF601" s="500"/>
      <c r="BG601" s="500"/>
      <c r="BH601" s="500"/>
      <c r="BI601" s="500"/>
      <c r="BJ601" s="500"/>
      <c r="BK601" s="500"/>
      <c r="BL601" s="500"/>
      <c r="BM601" s="500"/>
      <c r="BN601" s="500"/>
      <c r="BO601" s="500"/>
      <c r="BP601" s="500"/>
      <c r="BQ601" s="500"/>
      <c r="BR601" s="500"/>
      <c r="BS601" s="500"/>
      <c r="BT601" s="500"/>
      <c r="BU601" s="500"/>
      <c r="BV601" s="500"/>
    </row>
    <row r="602" ht="14.25" customHeight="1">
      <c r="A602" s="500"/>
      <c r="B602" s="500"/>
      <c r="C602" s="500"/>
      <c r="D602" s="500"/>
      <c r="E602" s="500"/>
      <c r="F602" s="500"/>
      <c r="G602" s="500"/>
      <c r="H602" s="500"/>
      <c r="I602" s="500"/>
      <c r="J602" s="500"/>
      <c r="K602" s="500"/>
      <c r="L602" s="500"/>
      <c r="M602" s="500"/>
      <c r="N602" s="500"/>
      <c r="O602" s="500"/>
      <c r="P602" s="500"/>
      <c r="Q602" s="500"/>
      <c r="R602" s="500"/>
      <c r="S602" s="500"/>
      <c r="T602" s="500"/>
      <c r="U602" s="500"/>
      <c r="V602" s="500"/>
      <c r="W602" s="500"/>
      <c r="X602" s="500"/>
      <c r="Y602" s="500"/>
      <c r="Z602" s="501"/>
      <c r="AA602" s="501"/>
      <c r="AB602" s="501"/>
      <c r="AC602" s="501"/>
      <c r="AD602" s="500"/>
      <c r="AE602" s="500"/>
      <c r="AF602" s="503"/>
      <c r="AG602" s="503"/>
      <c r="AH602" s="504"/>
      <c r="AI602" s="500"/>
      <c r="AJ602" s="500"/>
      <c r="AK602" s="500"/>
      <c r="AL602" s="500"/>
      <c r="AM602" s="500"/>
      <c r="AN602" s="500"/>
      <c r="AO602" s="500"/>
      <c r="AP602" s="500"/>
      <c r="AQ602" s="500"/>
      <c r="AR602" s="500"/>
      <c r="AS602" s="500"/>
      <c r="AT602" s="500"/>
      <c r="AU602" s="500"/>
      <c r="AV602" s="500"/>
      <c r="AW602" s="500"/>
      <c r="AX602" s="500"/>
      <c r="AY602" s="500"/>
      <c r="AZ602" s="500"/>
      <c r="BA602" s="500"/>
      <c r="BB602" s="500"/>
      <c r="BC602" s="500"/>
      <c r="BD602" s="500"/>
      <c r="BE602" s="500"/>
      <c r="BF602" s="500"/>
      <c r="BG602" s="500"/>
      <c r="BH602" s="500"/>
      <c r="BI602" s="500"/>
      <c r="BJ602" s="500"/>
      <c r="BK602" s="500"/>
      <c r="BL602" s="500"/>
      <c r="BM602" s="500"/>
      <c r="BN602" s="500"/>
      <c r="BO602" s="500"/>
      <c r="BP602" s="500"/>
      <c r="BQ602" s="500"/>
      <c r="BR602" s="500"/>
      <c r="BS602" s="500"/>
      <c r="BT602" s="500"/>
      <c r="BU602" s="500"/>
      <c r="BV602" s="500"/>
    </row>
    <row r="603" ht="14.25" customHeight="1">
      <c r="A603" s="500"/>
      <c r="B603" s="500"/>
      <c r="C603" s="500"/>
      <c r="D603" s="500"/>
      <c r="E603" s="500"/>
      <c r="F603" s="500"/>
      <c r="G603" s="500"/>
      <c r="H603" s="500"/>
      <c r="I603" s="500"/>
      <c r="J603" s="500"/>
      <c r="K603" s="500"/>
      <c r="L603" s="500"/>
      <c r="M603" s="500"/>
      <c r="N603" s="500"/>
      <c r="O603" s="500"/>
      <c r="P603" s="500"/>
      <c r="Q603" s="500"/>
      <c r="R603" s="500"/>
      <c r="S603" s="500"/>
      <c r="T603" s="500"/>
      <c r="U603" s="500"/>
      <c r="V603" s="500"/>
      <c r="W603" s="500"/>
      <c r="X603" s="500"/>
      <c r="Y603" s="500"/>
      <c r="Z603" s="501"/>
      <c r="AA603" s="501"/>
      <c r="AB603" s="501"/>
      <c r="AC603" s="501"/>
      <c r="AD603" s="500"/>
      <c r="AE603" s="500"/>
      <c r="AF603" s="503"/>
      <c r="AG603" s="503"/>
      <c r="AH603" s="504"/>
      <c r="AI603" s="500"/>
      <c r="AJ603" s="500"/>
      <c r="AK603" s="500"/>
      <c r="AL603" s="500"/>
      <c r="AM603" s="500"/>
      <c r="AN603" s="500"/>
      <c r="AO603" s="500"/>
      <c r="AP603" s="500"/>
      <c r="AQ603" s="500"/>
      <c r="AR603" s="500"/>
      <c r="AS603" s="500"/>
      <c r="AT603" s="500"/>
      <c r="AU603" s="500"/>
      <c r="AV603" s="500"/>
      <c r="AW603" s="500"/>
      <c r="AX603" s="500"/>
      <c r="AY603" s="500"/>
      <c r="AZ603" s="500"/>
      <c r="BA603" s="500"/>
      <c r="BB603" s="500"/>
      <c r="BC603" s="500"/>
      <c r="BD603" s="500"/>
      <c r="BE603" s="500"/>
      <c r="BF603" s="500"/>
      <c r="BG603" s="500"/>
      <c r="BH603" s="500"/>
      <c r="BI603" s="500"/>
      <c r="BJ603" s="500"/>
      <c r="BK603" s="500"/>
      <c r="BL603" s="500"/>
      <c r="BM603" s="500"/>
      <c r="BN603" s="500"/>
      <c r="BO603" s="500"/>
      <c r="BP603" s="500"/>
      <c r="BQ603" s="500"/>
      <c r="BR603" s="500"/>
      <c r="BS603" s="500"/>
      <c r="BT603" s="500"/>
      <c r="BU603" s="500"/>
      <c r="BV603" s="500"/>
    </row>
    <row r="604" ht="14.25" customHeight="1">
      <c r="A604" s="500"/>
      <c r="B604" s="500"/>
      <c r="C604" s="500"/>
      <c r="D604" s="500"/>
      <c r="E604" s="500"/>
      <c r="F604" s="500"/>
      <c r="G604" s="500"/>
      <c r="H604" s="500"/>
      <c r="I604" s="500"/>
      <c r="J604" s="500"/>
      <c r="K604" s="500"/>
      <c r="L604" s="500"/>
      <c r="M604" s="500"/>
      <c r="N604" s="500"/>
      <c r="O604" s="500"/>
      <c r="P604" s="500"/>
      <c r="Q604" s="500"/>
      <c r="R604" s="500"/>
      <c r="S604" s="500"/>
      <c r="T604" s="500"/>
      <c r="U604" s="500"/>
      <c r="V604" s="500"/>
      <c r="W604" s="500"/>
      <c r="X604" s="500"/>
      <c r="Y604" s="500"/>
      <c r="Z604" s="501"/>
      <c r="AA604" s="501"/>
      <c r="AB604" s="501"/>
      <c r="AC604" s="501"/>
      <c r="AD604" s="500"/>
      <c r="AE604" s="500"/>
      <c r="AF604" s="503"/>
      <c r="AG604" s="503"/>
      <c r="AH604" s="504"/>
      <c r="AI604" s="500"/>
      <c r="AJ604" s="500"/>
      <c r="AK604" s="500"/>
      <c r="AL604" s="500"/>
      <c r="AM604" s="500"/>
      <c r="AN604" s="500"/>
      <c r="AO604" s="500"/>
      <c r="AP604" s="500"/>
      <c r="AQ604" s="500"/>
      <c r="AR604" s="500"/>
      <c r="AS604" s="500"/>
      <c r="AT604" s="500"/>
      <c r="AU604" s="500"/>
      <c r="AV604" s="500"/>
      <c r="AW604" s="500"/>
      <c r="AX604" s="500"/>
      <c r="AY604" s="500"/>
      <c r="AZ604" s="500"/>
      <c r="BA604" s="500"/>
      <c r="BB604" s="500"/>
      <c r="BC604" s="500"/>
      <c r="BD604" s="500"/>
      <c r="BE604" s="500"/>
      <c r="BF604" s="500"/>
      <c r="BG604" s="500"/>
      <c r="BH604" s="500"/>
      <c r="BI604" s="500"/>
      <c r="BJ604" s="500"/>
      <c r="BK604" s="500"/>
      <c r="BL604" s="500"/>
      <c r="BM604" s="500"/>
      <c r="BN604" s="500"/>
      <c r="BO604" s="500"/>
      <c r="BP604" s="500"/>
      <c r="BQ604" s="500"/>
      <c r="BR604" s="500"/>
      <c r="BS604" s="500"/>
      <c r="BT604" s="500"/>
      <c r="BU604" s="500"/>
      <c r="BV604" s="500"/>
    </row>
    <row r="605" ht="14.25" customHeight="1">
      <c r="A605" s="500"/>
      <c r="B605" s="500"/>
      <c r="C605" s="500"/>
      <c r="D605" s="500"/>
      <c r="E605" s="500"/>
      <c r="F605" s="500"/>
      <c r="G605" s="500"/>
      <c r="H605" s="500"/>
      <c r="I605" s="500"/>
      <c r="J605" s="500"/>
      <c r="K605" s="500"/>
      <c r="L605" s="500"/>
      <c r="M605" s="500"/>
      <c r="N605" s="500"/>
      <c r="O605" s="500"/>
      <c r="P605" s="500"/>
      <c r="Q605" s="500"/>
      <c r="R605" s="500"/>
      <c r="S605" s="500"/>
      <c r="T605" s="500"/>
      <c r="U605" s="500"/>
      <c r="V605" s="500"/>
      <c r="W605" s="500"/>
      <c r="X605" s="500"/>
      <c r="Y605" s="500"/>
      <c r="Z605" s="501"/>
      <c r="AA605" s="501"/>
      <c r="AB605" s="501"/>
      <c r="AC605" s="501"/>
      <c r="AD605" s="500"/>
      <c r="AE605" s="500"/>
      <c r="AF605" s="503"/>
      <c r="AG605" s="503"/>
      <c r="AH605" s="504"/>
      <c r="AI605" s="500"/>
      <c r="AJ605" s="500"/>
      <c r="AK605" s="500"/>
      <c r="AL605" s="500"/>
      <c r="AM605" s="500"/>
      <c r="AN605" s="500"/>
      <c r="AO605" s="500"/>
      <c r="AP605" s="500"/>
      <c r="AQ605" s="500"/>
      <c r="AR605" s="500"/>
      <c r="AS605" s="500"/>
      <c r="AT605" s="500"/>
      <c r="AU605" s="500"/>
      <c r="AV605" s="500"/>
      <c r="AW605" s="500"/>
      <c r="AX605" s="500"/>
      <c r="AY605" s="500"/>
      <c r="AZ605" s="500"/>
      <c r="BA605" s="500"/>
      <c r="BB605" s="500"/>
      <c r="BC605" s="500"/>
      <c r="BD605" s="500"/>
      <c r="BE605" s="500"/>
      <c r="BF605" s="500"/>
      <c r="BG605" s="500"/>
      <c r="BH605" s="500"/>
      <c r="BI605" s="500"/>
      <c r="BJ605" s="500"/>
      <c r="BK605" s="500"/>
      <c r="BL605" s="500"/>
      <c r="BM605" s="500"/>
      <c r="BN605" s="500"/>
      <c r="BO605" s="500"/>
      <c r="BP605" s="500"/>
      <c r="BQ605" s="500"/>
      <c r="BR605" s="500"/>
      <c r="BS605" s="500"/>
      <c r="BT605" s="500"/>
      <c r="BU605" s="500"/>
      <c r="BV605" s="500"/>
    </row>
    <row r="606" ht="14.25" customHeight="1">
      <c r="A606" s="500"/>
      <c r="B606" s="500"/>
      <c r="C606" s="500"/>
      <c r="D606" s="500"/>
      <c r="E606" s="500"/>
      <c r="F606" s="500"/>
      <c r="G606" s="500"/>
      <c r="H606" s="500"/>
      <c r="I606" s="500"/>
      <c r="J606" s="500"/>
      <c r="K606" s="500"/>
      <c r="L606" s="500"/>
      <c r="M606" s="500"/>
      <c r="N606" s="500"/>
      <c r="O606" s="500"/>
      <c r="P606" s="500"/>
      <c r="Q606" s="500"/>
      <c r="R606" s="500"/>
      <c r="S606" s="500"/>
      <c r="T606" s="500"/>
      <c r="U606" s="500"/>
      <c r="V606" s="500"/>
      <c r="W606" s="500"/>
      <c r="X606" s="500"/>
      <c r="Y606" s="500"/>
      <c r="Z606" s="501"/>
      <c r="AA606" s="501"/>
      <c r="AB606" s="501"/>
      <c r="AC606" s="501"/>
      <c r="AD606" s="500"/>
      <c r="AE606" s="500"/>
      <c r="AF606" s="503"/>
      <c r="AG606" s="503"/>
      <c r="AH606" s="504"/>
      <c r="AI606" s="500"/>
      <c r="AJ606" s="500"/>
      <c r="AK606" s="500"/>
      <c r="AL606" s="500"/>
      <c r="AM606" s="500"/>
      <c r="AN606" s="500"/>
      <c r="AO606" s="500"/>
      <c r="AP606" s="500"/>
      <c r="AQ606" s="500"/>
      <c r="AR606" s="500"/>
      <c r="AS606" s="500"/>
      <c r="AT606" s="500"/>
      <c r="AU606" s="500"/>
      <c r="AV606" s="500"/>
      <c r="AW606" s="500"/>
      <c r="AX606" s="500"/>
      <c r="AY606" s="500"/>
      <c r="AZ606" s="500"/>
      <c r="BA606" s="500"/>
      <c r="BB606" s="500"/>
      <c r="BC606" s="500"/>
      <c r="BD606" s="500"/>
      <c r="BE606" s="500"/>
      <c r="BF606" s="500"/>
      <c r="BG606" s="500"/>
      <c r="BH606" s="500"/>
      <c r="BI606" s="500"/>
      <c r="BJ606" s="500"/>
      <c r="BK606" s="500"/>
      <c r="BL606" s="500"/>
      <c r="BM606" s="500"/>
      <c r="BN606" s="500"/>
      <c r="BO606" s="500"/>
      <c r="BP606" s="500"/>
      <c r="BQ606" s="500"/>
      <c r="BR606" s="500"/>
      <c r="BS606" s="500"/>
      <c r="BT606" s="500"/>
      <c r="BU606" s="500"/>
      <c r="BV606" s="500"/>
    </row>
    <row r="607" ht="14.25" customHeight="1">
      <c r="A607" s="500"/>
      <c r="B607" s="500"/>
      <c r="C607" s="500"/>
      <c r="D607" s="500"/>
      <c r="E607" s="500"/>
      <c r="F607" s="500"/>
      <c r="G607" s="500"/>
      <c r="H607" s="500"/>
      <c r="I607" s="500"/>
      <c r="J607" s="500"/>
      <c r="K607" s="500"/>
      <c r="L607" s="500"/>
      <c r="M607" s="500"/>
      <c r="N607" s="500"/>
      <c r="O607" s="500"/>
      <c r="P607" s="500"/>
      <c r="Q607" s="500"/>
      <c r="R607" s="500"/>
      <c r="S607" s="500"/>
      <c r="T607" s="500"/>
      <c r="U607" s="500"/>
      <c r="V607" s="500"/>
      <c r="W607" s="500"/>
      <c r="X607" s="500"/>
      <c r="Y607" s="500"/>
      <c r="Z607" s="501"/>
      <c r="AA607" s="501"/>
      <c r="AB607" s="501"/>
      <c r="AC607" s="501"/>
      <c r="AD607" s="500"/>
      <c r="AE607" s="500"/>
      <c r="AF607" s="503"/>
      <c r="AG607" s="503"/>
      <c r="AH607" s="504"/>
      <c r="AI607" s="500"/>
      <c r="AJ607" s="500"/>
      <c r="AK607" s="500"/>
      <c r="AL607" s="500"/>
      <c r="AM607" s="500"/>
      <c r="AN607" s="500"/>
      <c r="AO607" s="500"/>
      <c r="AP607" s="500"/>
      <c r="AQ607" s="500"/>
      <c r="AR607" s="500"/>
      <c r="AS607" s="500"/>
      <c r="AT607" s="500"/>
      <c r="AU607" s="500"/>
      <c r="AV607" s="500"/>
      <c r="AW607" s="500"/>
      <c r="AX607" s="500"/>
      <c r="AY607" s="500"/>
      <c r="AZ607" s="500"/>
      <c r="BA607" s="500"/>
      <c r="BB607" s="500"/>
      <c r="BC607" s="500"/>
      <c r="BD607" s="500"/>
      <c r="BE607" s="500"/>
      <c r="BF607" s="500"/>
      <c r="BG607" s="500"/>
      <c r="BH607" s="500"/>
      <c r="BI607" s="500"/>
      <c r="BJ607" s="500"/>
      <c r="BK607" s="500"/>
      <c r="BL607" s="500"/>
      <c r="BM607" s="500"/>
      <c r="BN607" s="500"/>
      <c r="BO607" s="500"/>
      <c r="BP607" s="500"/>
      <c r="BQ607" s="500"/>
      <c r="BR607" s="500"/>
      <c r="BS607" s="500"/>
      <c r="BT607" s="500"/>
      <c r="BU607" s="500"/>
      <c r="BV607" s="500"/>
    </row>
    <row r="608" ht="14.25" customHeight="1">
      <c r="A608" s="500"/>
      <c r="B608" s="500"/>
      <c r="C608" s="500"/>
      <c r="D608" s="500"/>
      <c r="E608" s="500"/>
      <c r="F608" s="500"/>
      <c r="G608" s="500"/>
      <c r="H608" s="500"/>
      <c r="I608" s="500"/>
      <c r="J608" s="500"/>
      <c r="K608" s="500"/>
      <c r="L608" s="500"/>
      <c r="M608" s="500"/>
      <c r="N608" s="500"/>
      <c r="O608" s="500"/>
      <c r="P608" s="500"/>
      <c r="Q608" s="500"/>
      <c r="R608" s="500"/>
      <c r="S608" s="500"/>
      <c r="T608" s="500"/>
      <c r="U608" s="500"/>
      <c r="V608" s="500"/>
      <c r="W608" s="500"/>
      <c r="X608" s="500"/>
      <c r="Y608" s="500"/>
      <c r="Z608" s="501"/>
      <c r="AA608" s="501"/>
      <c r="AB608" s="501"/>
      <c r="AC608" s="501"/>
      <c r="AD608" s="500"/>
      <c r="AE608" s="500"/>
      <c r="AF608" s="503"/>
      <c r="AG608" s="503"/>
      <c r="AH608" s="504"/>
      <c r="AI608" s="500"/>
      <c r="AJ608" s="500"/>
      <c r="AK608" s="500"/>
      <c r="AL608" s="500"/>
      <c r="AM608" s="500"/>
      <c r="AN608" s="500"/>
      <c r="AO608" s="500"/>
      <c r="AP608" s="500"/>
      <c r="AQ608" s="500"/>
      <c r="AR608" s="500"/>
      <c r="AS608" s="500"/>
      <c r="AT608" s="500"/>
      <c r="AU608" s="500"/>
      <c r="AV608" s="500"/>
      <c r="AW608" s="500"/>
      <c r="AX608" s="500"/>
      <c r="AY608" s="500"/>
      <c r="AZ608" s="500"/>
      <c r="BA608" s="500"/>
      <c r="BB608" s="500"/>
      <c r="BC608" s="500"/>
      <c r="BD608" s="500"/>
      <c r="BE608" s="500"/>
      <c r="BF608" s="500"/>
      <c r="BG608" s="500"/>
      <c r="BH608" s="500"/>
      <c r="BI608" s="500"/>
      <c r="BJ608" s="500"/>
      <c r="BK608" s="500"/>
      <c r="BL608" s="500"/>
      <c r="BM608" s="500"/>
      <c r="BN608" s="500"/>
      <c r="BO608" s="500"/>
      <c r="BP608" s="500"/>
      <c r="BQ608" s="500"/>
      <c r="BR608" s="500"/>
      <c r="BS608" s="500"/>
      <c r="BT608" s="500"/>
      <c r="BU608" s="500"/>
      <c r="BV608" s="500"/>
    </row>
    <row r="609" ht="14.25" customHeight="1">
      <c r="A609" s="500"/>
      <c r="B609" s="500"/>
      <c r="C609" s="500"/>
      <c r="D609" s="500"/>
      <c r="E609" s="500"/>
      <c r="F609" s="500"/>
      <c r="G609" s="500"/>
      <c r="H609" s="500"/>
      <c r="I609" s="500"/>
      <c r="J609" s="500"/>
      <c r="K609" s="500"/>
      <c r="L609" s="500"/>
      <c r="M609" s="500"/>
      <c r="N609" s="500"/>
      <c r="O609" s="500"/>
      <c r="P609" s="500"/>
      <c r="Q609" s="500"/>
      <c r="R609" s="500"/>
      <c r="S609" s="500"/>
      <c r="T609" s="500"/>
      <c r="U609" s="500"/>
      <c r="V609" s="500"/>
      <c r="W609" s="500"/>
      <c r="X609" s="500"/>
      <c r="Y609" s="500"/>
      <c r="Z609" s="501"/>
      <c r="AA609" s="501"/>
      <c r="AB609" s="501"/>
      <c r="AC609" s="501"/>
      <c r="AD609" s="500"/>
      <c r="AE609" s="500"/>
      <c r="AF609" s="503"/>
      <c r="AG609" s="503"/>
      <c r="AH609" s="504"/>
      <c r="AI609" s="500"/>
      <c r="AJ609" s="500"/>
      <c r="AK609" s="500"/>
      <c r="AL609" s="500"/>
      <c r="AM609" s="500"/>
      <c r="AN609" s="500"/>
      <c r="AO609" s="500"/>
      <c r="AP609" s="500"/>
      <c r="AQ609" s="500"/>
      <c r="AR609" s="500"/>
      <c r="AS609" s="500"/>
      <c r="AT609" s="500"/>
      <c r="AU609" s="500"/>
      <c r="AV609" s="500"/>
      <c r="AW609" s="500"/>
      <c r="AX609" s="500"/>
      <c r="AY609" s="500"/>
      <c r="AZ609" s="500"/>
      <c r="BA609" s="500"/>
      <c r="BB609" s="500"/>
      <c r="BC609" s="500"/>
      <c r="BD609" s="500"/>
      <c r="BE609" s="500"/>
      <c r="BF609" s="500"/>
      <c r="BG609" s="500"/>
      <c r="BH609" s="500"/>
      <c r="BI609" s="500"/>
      <c r="BJ609" s="500"/>
      <c r="BK609" s="500"/>
      <c r="BL609" s="500"/>
      <c r="BM609" s="500"/>
      <c r="BN609" s="500"/>
      <c r="BO609" s="500"/>
      <c r="BP609" s="500"/>
      <c r="BQ609" s="500"/>
      <c r="BR609" s="500"/>
      <c r="BS609" s="500"/>
      <c r="BT609" s="500"/>
      <c r="BU609" s="500"/>
      <c r="BV609" s="500"/>
    </row>
    <row r="610" ht="14.25" customHeight="1">
      <c r="A610" s="500"/>
      <c r="B610" s="500"/>
      <c r="C610" s="500"/>
      <c r="D610" s="500"/>
      <c r="E610" s="500"/>
      <c r="F610" s="500"/>
      <c r="G610" s="500"/>
      <c r="H610" s="500"/>
      <c r="I610" s="500"/>
      <c r="J610" s="500"/>
      <c r="K610" s="500"/>
      <c r="L610" s="500"/>
      <c r="M610" s="500"/>
      <c r="N610" s="500"/>
      <c r="O610" s="500"/>
      <c r="P610" s="500"/>
      <c r="Q610" s="500"/>
      <c r="R610" s="500"/>
      <c r="S610" s="500"/>
      <c r="T610" s="500"/>
      <c r="U610" s="500"/>
      <c r="V610" s="500"/>
      <c r="W610" s="500"/>
      <c r="X610" s="500"/>
      <c r="Y610" s="500"/>
      <c r="Z610" s="501"/>
      <c r="AA610" s="501"/>
      <c r="AB610" s="501"/>
      <c r="AC610" s="501"/>
      <c r="AD610" s="500"/>
      <c r="AE610" s="500"/>
      <c r="AF610" s="503"/>
      <c r="AG610" s="503"/>
      <c r="AH610" s="504"/>
      <c r="AI610" s="500"/>
      <c r="AJ610" s="500"/>
      <c r="AK610" s="500"/>
      <c r="AL610" s="500"/>
      <c r="AM610" s="500"/>
      <c r="AN610" s="500"/>
      <c r="AO610" s="500"/>
      <c r="AP610" s="500"/>
      <c r="AQ610" s="500"/>
      <c r="AR610" s="500"/>
      <c r="AS610" s="500"/>
      <c r="AT610" s="500"/>
      <c r="AU610" s="500"/>
      <c r="AV610" s="500"/>
      <c r="AW610" s="500"/>
      <c r="AX610" s="500"/>
      <c r="AY610" s="500"/>
      <c r="AZ610" s="500"/>
      <c r="BA610" s="500"/>
      <c r="BB610" s="500"/>
      <c r="BC610" s="500"/>
      <c r="BD610" s="500"/>
      <c r="BE610" s="500"/>
      <c r="BF610" s="500"/>
      <c r="BG610" s="500"/>
      <c r="BH610" s="500"/>
      <c r="BI610" s="500"/>
      <c r="BJ610" s="500"/>
      <c r="BK610" s="500"/>
      <c r="BL610" s="500"/>
      <c r="BM610" s="500"/>
      <c r="BN610" s="500"/>
      <c r="BO610" s="500"/>
      <c r="BP610" s="500"/>
      <c r="BQ610" s="500"/>
      <c r="BR610" s="500"/>
      <c r="BS610" s="500"/>
      <c r="BT610" s="500"/>
      <c r="BU610" s="500"/>
      <c r="BV610" s="500"/>
    </row>
    <row r="611" ht="14.25" customHeight="1">
      <c r="A611" s="500"/>
      <c r="B611" s="500"/>
      <c r="C611" s="500"/>
      <c r="D611" s="500"/>
      <c r="E611" s="500"/>
      <c r="F611" s="500"/>
      <c r="G611" s="500"/>
      <c r="H611" s="500"/>
      <c r="I611" s="500"/>
      <c r="J611" s="500"/>
      <c r="K611" s="500"/>
      <c r="L611" s="500"/>
      <c r="M611" s="500"/>
      <c r="N611" s="500"/>
      <c r="O611" s="500"/>
      <c r="P611" s="500"/>
      <c r="Q611" s="500"/>
      <c r="R611" s="500"/>
      <c r="S611" s="500"/>
      <c r="T611" s="500"/>
      <c r="U611" s="500"/>
      <c r="V611" s="500"/>
      <c r="W611" s="500"/>
      <c r="X611" s="500"/>
      <c r="Y611" s="500"/>
      <c r="Z611" s="501"/>
      <c r="AA611" s="501"/>
      <c r="AB611" s="501"/>
      <c r="AC611" s="501"/>
      <c r="AD611" s="500"/>
      <c r="AE611" s="500"/>
      <c r="AF611" s="503"/>
      <c r="AG611" s="503"/>
      <c r="AH611" s="504"/>
      <c r="AI611" s="500"/>
      <c r="AJ611" s="500"/>
      <c r="AK611" s="500"/>
      <c r="AL611" s="500"/>
      <c r="AM611" s="500"/>
      <c r="AN611" s="500"/>
      <c r="AO611" s="500"/>
      <c r="AP611" s="500"/>
      <c r="AQ611" s="500"/>
      <c r="AR611" s="500"/>
      <c r="AS611" s="500"/>
      <c r="AT611" s="500"/>
      <c r="AU611" s="500"/>
      <c r="AV611" s="500"/>
      <c r="AW611" s="500"/>
      <c r="AX611" s="500"/>
      <c r="AY611" s="500"/>
      <c r="AZ611" s="500"/>
      <c r="BA611" s="500"/>
      <c r="BB611" s="500"/>
      <c r="BC611" s="500"/>
      <c r="BD611" s="500"/>
      <c r="BE611" s="500"/>
      <c r="BF611" s="500"/>
      <c r="BG611" s="500"/>
      <c r="BH611" s="500"/>
      <c r="BI611" s="500"/>
      <c r="BJ611" s="500"/>
      <c r="BK611" s="500"/>
      <c r="BL611" s="500"/>
      <c r="BM611" s="500"/>
      <c r="BN611" s="500"/>
      <c r="BO611" s="500"/>
      <c r="BP611" s="500"/>
      <c r="BQ611" s="500"/>
      <c r="BR611" s="500"/>
      <c r="BS611" s="500"/>
      <c r="BT611" s="500"/>
      <c r="BU611" s="500"/>
      <c r="BV611" s="500"/>
    </row>
    <row r="612" ht="14.25" customHeight="1">
      <c r="A612" s="500"/>
      <c r="B612" s="500"/>
      <c r="C612" s="500"/>
      <c r="D612" s="500"/>
      <c r="E612" s="500"/>
      <c r="F612" s="500"/>
      <c r="G612" s="500"/>
      <c r="H612" s="500"/>
      <c r="I612" s="500"/>
      <c r="J612" s="500"/>
      <c r="K612" s="500"/>
      <c r="L612" s="500"/>
      <c r="M612" s="500"/>
      <c r="N612" s="500"/>
      <c r="O612" s="500"/>
      <c r="P612" s="500"/>
      <c r="Q612" s="500"/>
      <c r="R612" s="500"/>
      <c r="S612" s="500"/>
      <c r="T612" s="500"/>
      <c r="U612" s="500"/>
      <c r="V612" s="500"/>
      <c r="W612" s="500"/>
      <c r="X612" s="500"/>
      <c r="Y612" s="500"/>
      <c r="Z612" s="501"/>
      <c r="AA612" s="501"/>
      <c r="AB612" s="501"/>
      <c r="AC612" s="501"/>
      <c r="AD612" s="500"/>
      <c r="AE612" s="500"/>
      <c r="AF612" s="503"/>
      <c r="AG612" s="503"/>
      <c r="AH612" s="504"/>
      <c r="AI612" s="500"/>
      <c r="AJ612" s="500"/>
      <c r="AK612" s="500"/>
      <c r="AL612" s="500"/>
      <c r="AM612" s="500"/>
      <c r="AN612" s="500"/>
      <c r="AO612" s="500"/>
      <c r="AP612" s="500"/>
      <c r="AQ612" s="500"/>
      <c r="AR612" s="500"/>
      <c r="AS612" s="500"/>
      <c r="AT612" s="500"/>
      <c r="AU612" s="500"/>
      <c r="AV612" s="500"/>
      <c r="AW612" s="500"/>
      <c r="AX612" s="500"/>
      <c r="AY612" s="500"/>
      <c r="AZ612" s="500"/>
      <c r="BA612" s="500"/>
      <c r="BB612" s="500"/>
      <c r="BC612" s="500"/>
      <c r="BD612" s="500"/>
      <c r="BE612" s="500"/>
      <c r="BF612" s="500"/>
      <c r="BG612" s="500"/>
      <c r="BH612" s="500"/>
      <c r="BI612" s="500"/>
      <c r="BJ612" s="500"/>
      <c r="BK612" s="500"/>
      <c r="BL612" s="500"/>
      <c r="BM612" s="500"/>
      <c r="BN612" s="500"/>
      <c r="BO612" s="500"/>
      <c r="BP612" s="500"/>
      <c r="BQ612" s="500"/>
      <c r="BR612" s="500"/>
      <c r="BS612" s="500"/>
      <c r="BT612" s="500"/>
      <c r="BU612" s="500"/>
      <c r="BV612" s="500"/>
    </row>
    <row r="613" ht="14.25" customHeight="1">
      <c r="A613" s="500"/>
      <c r="B613" s="500"/>
      <c r="C613" s="500"/>
      <c r="D613" s="500"/>
      <c r="E613" s="500"/>
      <c r="F613" s="500"/>
      <c r="G613" s="500"/>
      <c r="H613" s="500"/>
      <c r="I613" s="500"/>
      <c r="J613" s="500"/>
      <c r="K613" s="500"/>
      <c r="L613" s="500"/>
      <c r="M613" s="500"/>
      <c r="N613" s="500"/>
      <c r="O613" s="500"/>
      <c r="P613" s="500"/>
      <c r="Q613" s="500"/>
      <c r="R613" s="500"/>
      <c r="S613" s="500"/>
      <c r="T613" s="500"/>
      <c r="U613" s="500"/>
      <c r="V613" s="500"/>
      <c r="W613" s="500"/>
      <c r="X613" s="500"/>
      <c r="Y613" s="500"/>
      <c r="Z613" s="501"/>
      <c r="AA613" s="501"/>
      <c r="AB613" s="501"/>
      <c r="AC613" s="501"/>
      <c r="AD613" s="500"/>
      <c r="AE613" s="500"/>
      <c r="AF613" s="503"/>
      <c r="AG613" s="503"/>
      <c r="AH613" s="504"/>
      <c r="AI613" s="500"/>
      <c r="AJ613" s="500"/>
      <c r="AK613" s="500"/>
      <c r="AL613" s="500"/>
      <c r="AM613" s="500"/>
      <c r="AN613" s="500"/>
      <c r="AO613" s="500"/>
      <c r="AP613" s="500"/>
      <c r="AQ613" s="500"/>
      <c r="AR613" s="500"/>
      <c r="AS613" s="500"/>
      <c r="AT613" s="500"/>
      <c r="AU613" s="500"/>
      <c r="AV613" s="500"/>
      <c r="AW613" s="500"/>
      <c r="AX613" s="500"/>
      <c r="AY613" s="500"/>
      <c r="AZ613" s="500"/>
      <c r="BA613" s="500"/>
      <c r="BB613" s="500"/>
      <c r="BC613" s="500"/>
      <c r="BD613" s="500"/>
      <c r="BE613" s="500"/>
      <c r="BF613" s="500"/>
      <c r="BG613" s="500"/>
      <c r="BH613" s="500"/>
      <c r="BI613" s="500"/>
      <c r="BJ613" s="500"/>
      <c r="BK613" s="500"/>
      <c r="BL613" s="500"/>
      <c r="BM613" s="500"/>
      <c r="BN613" s="500"/>
      <c r="BO613" s="500"/>
      <c r="BP613" s="500"/>
      <c r="BQ613" s="500"/>
      <c r="BR613" s="500"/>
      <c r="BS613" s="500"/>
      <c r="BT613" s="500"/>
      <c r="BU613" s="500"/>
      <c r="BV613" s="500"/>
    </row>
    <row r="614" ht="14.25" customHeight="1">
      <c r="A614" s="500"/>
      <c r="B614" s="500"/>
      <c r="C614" s="500"/>
      <c r="D614" s="500"/>
      <c r="E614" s="500"/>
      <c r="F614" s="500"/>
      <c r="G614" s="500"/>
      <c r="H614" s="500"/>
      <c r="I614" s="500"/>
      <c r="J614" s="500"/>
      <c r="K614" s="500"/>
      <c r="L614" s="500"/>
      <c r="M614" s="500"/>
      <c r="N614" s="500"/>
      <c r="O614" s="500"/>
      <c r="P614" s="500"/>
      <c r="Q614" s="500"/>
      <c r="R614" s="500"/>
      <c r="S614" s="500"/>
      <c r="T614" s="500"/>
      <c r="U614" s="500"/>
      <c r="V614" s="500"/>
      <c r="W614" s="500"/>
      <c r="X614" s="500"/>
      <c r="Y614" s="500"/>
      <c r="Z614" s="501"/>
      <c r="AA614" s="501"/>
      <c r="AB614" s="501"/>
      <c r="AC614" s="501"/>
      <c r="AD614" s="500"/>
      <c r="AE614" s="500"/>
      <c r="AF614" s="503"/>
      <c r="AG614" s="503"/>
      <c r="AH614" s="504"/>
      <c r="AI614" s="500"/>
      <c r="AJ614" s="500"/>
      <c r="AK614" s="500"/>
      <c r="AL614" s="500"/>
      <c r="AM614" s="500"/>
      <c r="AN614" s="500"/>
      <c r="AO614" s="500"/>
      <c r="AP614" s="500"/>
      <c r="AQ614" s="500"/>
      <c r="AR614" s="500"/>
      <c r="AS614" s="500"/>
      <c r="AT614" s="500"/>
      <c r="AU614" s="500"/>
      <c r="AV614" s="500"/>
      <c r="AW614" s="500"/>
      <c r="AX614" s="500"/>
      <c r="AY614" s="500"/>
      <c r="AZ614" s="500"/>
      <c r="BA614" s="500"/>
      <c r="BB614" s="500"/>
      <c r="BC614" s="500"/>
      <c r="BD614" s="500"/>
      <c r="BE614" s="500"/>
      <c r="BF614" s="500"/>
      <c r="BG614" s="500"/>
      <c r="BH614" s="500"/>
      <c r="BI614" s="500"/>
      <c r="BJ614" s="500"/>
      <c r="BK614" s="500"/>
      <c r="BL614" s="500"/>
      <c r="BM614" s="500"/>
      <c r="BN614" s="500"/>
      <c r="BO614" s="500"/>
      <c r="BP614" s="500"/>
      <c r="BQ614" s="500"/>
      <c r="BR614" s="500"/>
      <c r="BS614" s="500"/>
      <c r="BT614" s="500"/>
      <c r="BU614" s="500"/>
      <c r="BV614" s="500"/>
    </row>
    <row r="615" ht="14.25" customHeight="1">
      <c r="A615" s="500"/>
      <c r="B615" s="500"/>
      <c r="C615" s="500"/>
      <c r="D615" s="500"/>
      <c r="E615" s="500"/>
      <c r="F615" s="500"/>
      <c r="G615" s="500"/>
      <c r="H615" s="500"/>
      <c r="I615" s="500"/>
      <c r="J615" s="500"/>
      <c r="K615" s="500"/>
      <c r="L615" s="500"/>
      <c r="M615" s="500"/>
      <c r="N615" s="500"/>
      <c r="O615" s="500"/>
      <c r="P615" s="500"/>
      <c r="Q615" s="500"/>
      <c r="R615" s="500"/>
      <c r="S615" s="500"/>
      <c r="T615" s="500"/>
      <c r="U615" s="500"/>
      <c r="V615" s="500"/>
      <c r="W615" s="500"/>
      <c r="X615" s="500"/>
      <c r="Y615" s="500"/>
      <c r="Z615" s="501"/>
      <c r="AA615" s="501"/>
      <c r="AB615" s="501"/>
      <c r="AC615" s="501"/>
      <c r="AD615" s="500"/>
      <c r="AE615" s="500"/>
      <c r="AF615" s="503"/>
      <c r="AG615" s="503"/>
      <c r="AH615" s="504"/>
      <c r="AI615" s="500"/>
      <c r="AJ615" s="500"/>
      <c r="AK615" s="500"/>
      <c r="AL615" s="500"/>
      <c r="AM615" s="500"/>
      <c r="AN615" s="500"/>
      <c r="AO615" s="500"/>
      <c r="AP615" s="500"/>
      <c r="AQ615" s="500"/>
      <c r="AR615" s="500"/>
      <c r="AS615" s="500"/>
      <c r="AT615" s="500"/>
      <c r="AU615" s="500"/>
      <c r="AV615" s="500"/>
      <c r="AW615" s="500"/>
      <c r="AX615" s="500"/>
      <c r="AY615" s="500"/>
      <c r="AZ615" s="500"/>
      <c r="BA615" s="500"/>
      <c r="BB615" s="500"/>
      <c r="BC615" s="500"/>
      <c r="BD615" s="500"/>
      <c r="BE615" s="500"/>
      <c r="BF615" s="500"/>
      <c r="BG615" s="500"/>
      <c r="BH615" s="500"/>
      <c r="BI615" s="500"/>
      <c r="BJ615" s="500"/>
      <c r="BK615" s="500"/>
      <c r="BL615" s="500"/>
      <c r="BM615" s="500"/>
      <c r="BN615" s="500"/>
      <c r="BO615" s="500"/>
      <c r="BP615" s="500"/>
      <c r="BQ615" s="500"/>
      <c r="BR615" s="500"/>
      <c r="BS615" s="500"/>
      <c r="BT615" s="500"/>
      <c r="BU615" s="500"/>
      <c r="BV615" s="500"/>
    </row>
    <row r="616" ht="14.25" customHeight="1">
      <c r="A616" s="500"/>
      <c r="B616" s="500"/>
      <c r="C616" s="500"/>
      <c r="D616" s="500"/>
      <c r="E616" s="500"/>
      <c r="F616" s="500"/>
      <c r="G616" s="500"/>
      <c r="H616" s="500"/>
      <c r="I616" s="500"/>
      <c r="J616" s="500"/>
      <c r="K616" s="500"/>
      <c r="L616" s="500"/>
      <c r="M616" s="500"/>
      <c r="N616" s="500"/>
      <c r="O616" s="500"/>
      <c r="P616" s="500"/>
      <c r="Q616" s="500"/>
      <c r="R616" s="500"/>
      <c r="S616" s="500"/>
      <c r="T616" s="500"/>
      <c r="U616" s="500"/>
      <c r="V616" s="500"/>
      <c r="W616" s="500"/>
      <c r="X616" s="500"/>
      <c r="Y616" s="500"/>
      <c r="Z616" s="501"/>
      <c r="AA616" s="501"/>
      <c r="AB616" s="501"/>
      <c r="AC616" s="501"/>
      <c r="AD616" s="500"/>
      <c r="AE616" s="500"/>
      <c r="AF616" s="503"/>
      <c r="AG616" s="503"/>
      <c r="AH616" s="504"/>
      <c r="AI616" s="500"/>
      <c r="AJ616" s="500"/>
      <c r="AK616" s="500"/>
      <c r="AL616" s="500"/>
      <c r="AM616" s="500"/>
      <c r="AN616" s="500"/>
      <c r="AO616" s="500"/>
      <c r="AP616" s="500"/>
      <c r="AQ616" s="500"/>
      <c r="AR616" s="500"/>
      <c r="AS616" s="500"/>
      <c r="AT616" s="500"/>
      <c r="AU616" s="500"/>
      <c r="AV616" s="500"/>
      <c r="AW616" s="500"/>
      <c r="AX616" s="500"/>
      <c r="AY616" s="500"/>
      <c r="AZ616" s="500"/>
      <c r="BA616" s="500"/>
      <c r="BB616" s="500"/>
      <c r="BC616" s="500"/>
      <c r="BD616" s="500"/>
      <c r="BE616" s="500"/>
      <c r="BF616" s="500"/>
      <c r="BG616" s="500"/>
      <c r="BH616" s="500"/>
      <c r="BI616" s="500"/>
      <c r="BJ616" s="500"/>
      <c r="BK616" s="500"/>
      <c r="BL616" s="500"/>
      <c r="BM616" s="500"/>
      <c r="BN616" s="500"/>
      <c r="BO616" s="500"/>
      <c r="BP616" s="500"/>
      <c r="BQ616" s="500"/>
      <c r="BR616" s="500"/>
      <c r="BS616" s="500"/>
      <c r="BT616" s="500"/>
      <c r="BU616" s="500"/>
      <c r="BV616" s="500"/>
    </row>
    <row r="617" ht="14.25" customHeight="1">
      <c r="A617" s="500"/>
      <c r="B617" s="500"/>
      <c r="C617" s="500"/>
      <c r="D617" s="500"/>
      <c r="E617" s="500"/>
      <c r="F617" s="500"/>
      <c r="G617" s="500"/>
      <c r="H617" s="500"/>
      <c r="I617" s="500"/>
      <c r="J617" s="500"/>
      <c r="K617" s="500"/>
      <c r="L617" s="500"/>
      <c r="M617" s="500"/>
      <c r="N617" s="500"/>
      <c r="O617" s="500"/>
      <c r="P617" s="500"/>
      <c r="Q617" s="500"/>
      <c r="R617" s="500"/>
      <c r="S617" s="500"/>
      <c r="T617" s="500"/>
      <c r="U617" s="500"/>
      <c r="V617" s="500"/>
      <c r="W617" s="500"/>
      <c r="X617" s="500"/>
      <c r="Y617" s="500"/>
      <c r="Z617" s="501"/>
      <c r="AA617" s="501"/>
      <c r="AB617" s="501"/>
      <c r="AC617" s="501"/>
      <c r="AD617" s="500"/>
      <c r="AE617" s="500"/>
      <c r="AF617" s="503"/>
      <c r="AG617" s="503"/>
      <c r="AH617" s="504"/>
      <c r="AI617" s="500"/>
      <c r="AJ617" s="500"/>
      <c r="AK617" s="500"/>
      <c r="AL617" s="500"/>
      <c r="AM617" s="500"/>
      <c r="AN617" s="500"/>
      <c r="AO617" s="500"/>
      <c r="AP617" s="500"/>
      <c r="AQ617" s="500"/>
      <c r="AR617" s="500"/>
      <c r="AS617" s="500"/>
      <c r="AT617" s="500"/>
      <c r="AU617" s="500"/>
      <c r="AV617" s="500"/>
      <c r="AW617" s="500"/>
      <c r="AX617" s="500"/>
      <c r="AY617" s="500"/>
      <c r="AZ617" s="500"/>
      <c r="BA617" s="500"/>
      <c r="BB617" s="500"/>
      <c r="BC617" s="500"/>
      <c r="BD617" s="500"/>
      <c r="BE617" s="500"/>
      <c r="BF617" s="500"/>
      <c r="BG617" s="500"/>
      <c r="BH617" s="500"/>
      <c r="BI617" s="500"/>
      <c r="BJ617" s="500"/>
      <c r="BK617" s="500"/>
      <c r="BL617" s="500"/>
      <c r="BM617" s="500"/>
      <c r="BN617" s="500"/>
      <c r="BO617" s="500"/>
      <c r="BP617" s="500"/>
      <c r="BQ617" s="500"/>
      <c r="BR617" s="500"/>
      <c r="BS617" s="500"/>
      <c r="BT617" s="500"/>
      <c r="BU617" s="500"/>
      <c r="BV617" s="500"/>
    </row>
    <row r="618" ht="14.25" customHeight="1">
      <c r="A618" s="500"/>
      <c r="B618" s="500"/>
      <c r="C618" s="500"/>
      <c r="D618" s="500"/>
      <c r="E618" s="500"/>
      <c r="F618" s="500"/>
      <c r="G618" s="500"/>
      <c r="H618" s="500"/>
      <c r="I618" s="500"/>
      <c r="J618" s="500"/>
      <c r="K618" s="500"/>
      <c r="L618" s="500"/>
      <c r="M618" s="500"/>
      <c r="N618" s="500"/>
      <c r="O618" s="500"/>
      <c r="P618" s="500"/>
      <c r="Q618" s="500"/>
      <c r="R618" s="500"/>
      <c r="S618" s="500"/>
      <c r="T618" s="500"/>
      <c r="U618" s="500"/>
      <c r="V618" s="500"/>
      <c r="W618" s="500"/>
      <c r="X618" s="500"/>
      <c r="Y618" s="500"/>
      <c r="Z618" s="501"/>
      <c r="AA618" s="501"/>
      <c r="AB618" s="501"/>
      <c r="AC618" s="501"/>
      <c r="AD618" s="500"/>
      <c r="AE618" s="500"/>
      <c r="AF618" s="503"/>
      <c r="AG618" s="503"/>
      <c r="AH618" s="504"/>
      <c r="AI618" s="500"/>
      <c r="AJ618" s="500"/>
      <c r="AK618" s="500"/>
      <c r="AL618" s="500"/>
      <c r="AM618" s="500"/>
      <c r="AN618" s="500"/>
      <c r="AO618" s="500"/>
      <c r="AP618" s="500"/>
      <c r="AQ618" s="500"/>
      <c r="AR618" s="500"/>
      <c r="AS618" s="500"/>
      <c r="AT618" s="500"/>
      <c r="AU618" s="500"/>
      <c r="AV618" s="500"/>
      <c r="AW618" s="500"/>
      <c r="AX618" s="500"/>
      <c r="AY618" s="500"/>
      <c r="AZ618" s="500"/>
      <c r="BA618" s="500"/>
      <c r="BB618" s="500"/>
      <c r="BC618" s="500"/>
      <c r="BD618" s="500"/>
      <c r="BE618" s="500"/>
      <c r="BF618" s="500"/>
      <c r="BG618" s="500"/>
      <c r="BH618" s="500"/>
      <c r="BI618" s="500"/>
      <c r="BJ618" s="500"/>
      <c r="BK618" s="500"/>
      <c r="BL618" s="500"/>
      <c r="BM618" s="500"/>
      <c r="BN618" s="500"/>
      <c r="BO618" s="500"/>
      <c r="BP618" s="500"/>
      <c r="BQ618" s="500"/>
      <c r="BR618" s="500"/>
      <c r="BS618" s="500"/>
      <c r="BT618" s="500"/>
      <c r="BU618" s="500"/>
      <c r="BV618" s="500"/>
    </row>
    <row r="619" ht="14.25" customHeight="1">
      <c r="A619" s="500"/>
      <c r="B619" s="500"/>
      <c r="C619" s="500"/>
      <c r="D619" s="500"/>
      <c r="E619" s="500"/>
      <c r="F619" s="500"/>
      <c r="G619" s="500"/>
      <c r="H619" s="500"/>
      <c r="I619" s="500"/>
      <c r="J619" s="500"/>
      <c r="K619" s="500"/>
      <c r="L619" s="500"/>
      <c r="M619" s="500"/>
      <c r="N619" s="500"/>
      <c r="O619" s="500"/>
      <c r="P619" s="500"/>
      <c r="Q619" s="500"/>
      <c r="R619" s="500"/>
      <c r="S619" s="500"/>
      <c r="T619" s="500"/>
      <c r="U619" s="500"/>
      <c r="V619" s="500"/>
      <c r="W619" s="500"/>
      <c r="X619" s="500"/>
      <c r="Y619" s="500"/>
      <c r="Z619" s="501"/>
      <c r="AA619" s="501"/>
      <c r="AB619" s="501"/>
      <c r="AC619" s="501"/>
      <c r="AD619" s="500"/>
      <c r="AE619" s="500"/>
      <c r="AF619" s="503"/>
      <c r="AG619" s="503"/>
      <c r="AH619" s="504"/>
      <c r="AI619" s="500"/>
      <c r="AJ619" s="500"/>
      <c r="AK619" s="500"/>
      <c r="AL619" s="500"/>
      <c r="AM619" s="500"/>
      <c r="AN619" s="500"/>
      <c r="AO619" s="500"/>
      <c r="AP619" s="500"/>
      <c r="AQ619" s="500"/>
      <c r="AR619" s="500"/>
      <c r="AS619" s="500"/>
      <c r="AT619" s="500"/>
      <c r="AU619" s="500"/>
      <c r="AV619" s="500"/>
      <c r="AW619" s="500"/>
      <c r="AX619" s="500"/>
      <c r="AY619" s="500"/>
      <c r="AZ619" s="500"/>
      <c r="BA619" s="500"/>
      <c r="BB619" s="500"/>
      <c r="BC619" s="500"/>
      <c r="BD619" s="500"/>
      <c r="BE619" s="500"/>
      <c r="BF619" s="500"/>
      <c r="BG619" s="500"/>
      <c r="BH619" s="500"/>
      <c r="BI619" s="500"/>
      <c r="BJ619" s="500"/>
      <c r="BK619" s="500"/>
      <c r="BL619" s="500"/>
      <c r="BM619" s="500"/>
      <c r="BN619" s="500"/>
      <c r="BO619" s="500"/>
      <c r="BP619" s="500"/>
      <c r="BQ619" s="500"/>
      <c r="BR619" s="500"/>
      <c r="BS619" s="500"/>
      <c r="BT619" s="500"/>
      <c r="BU619" s="500"/>
      <c r="BV619" s="500"/>
    </row>
    <row r="620" ht="14.25" customHeight="1">
      <c r="A620" s="500"/>
      <c r="B620" s="500"/>
      <c r="C620" s="500"/>
      <c r="D620" s="500"/>
      <c r="E620" s="500"/>
      <c r="F620" s="500"/>
      <c r="G620" s="500"/>
      <c r="H620" s="500"/>
      <c r="I620" s="500"/>
      <c r="J620" s="500"/>
      <c r="K620" s="500"/>
      <c r="L620" s="500"/>
      <c r="M620" s="500"/>
      <c r="N620" s="500"/>
      <c r="O620" s="500"/>
      <c r="P620" s="500"/>
      <c r="Q620" s="500"/>
      <c r="R620" s="500"/>
      <c r="S620" s="500"/>
      <c r="T620" s="500"/>
      <c r="U620" s="500"/>
      <c r="V620" s="500"/>
      <c r="W620" s="500"/>
      <c r="X620" s="500"/>
      <c r="Y620" s="500"/>
      <c r="Z620" s="501"/>
      <c r="AA620" s="501"/>
      <c r="AB620" s="501"/>
      <c r="AC620" s="501"/>
      <c r="AD620" s="500"/>
      <c r="AE620" s="500"/>
      <c r="AF620" s="503"/>
      <c r="AG620" s="503"/>
      <c r="AH620" s="504"/>
      <c r="AI620" s="500"/>
      <c r="AJ620" s="500"/>
      <c r="AK620" s="500"/>
      <c r="AL620" s="500"/>
      <c r="AM620" s="500"/>
      <c r="AN620" s="500"/>
      <c r="AO620" s="500"/>
      <c r="AP620" s="500"/>
      <c r="AQ620" s="500"/>
      <c r="AR620" s="500"/>
      <c r="AS620" s="500"/>
      <c r="AT620" s="500"/>
      <c r="AU620" s="500"/>
      <c r="AV620" s="500"/>
      <c r="AW620" s="500"/>
      <c r="AX620" s="500"/>
      <c r="AY620" s="500"/>
      <c r="AZ620" s="500"/>
      <c r="BA620" s="500"/>
      <c r="BB620" s="500"/>
      <c r="BC620" s="500"/>
      <c r="BD620" s="500"/>
      <c r="BE620" s="500"/>
      <c r="BF620" s="500"/>
      <c r="BG620" s="500"/>
      <c r="BH620" s="500"/>
      <c r="BI620" s="500"/>
      <c r="BJ620" s="500"/>
      <c r="BK620" s="500"/>
      <c r="BL620" s="500"/>
      <c r="BM620" s="500"/>
      <c r="BN620" s="500"/>
      <c r="BO620" s="500"/>
      <c r="BP620" s="500"/>
      <c r="BQ620" s="500"/>
      <c r="BR620" s="500"/>
      <c r="BS620" s="500"/>
      <c r="BT620" s="500"/>
      <c r="BU620" s="500"/>
      <c r="BV620" s="500"/>
    </row>
    <row r="621" ht="14.25" customHeight="1">
      <c r="A621" s="500"/>
      <c r="B621" s="500"/>
      <c r="C621" s="500"/>
      <c r="D621" s="500"/>
      <c r="E621" s="500"/>
      <c r="F621" s="500"/>
      <c r="G621" s="500"/>
      <c r="H621" s="500"/>
      <c r="I621" s="500"/>
      <c r="J621" s="500"/>
      <c r="K621" s="500"/>
      <c r="L621" s="500"/>
      <c r="M621" s="500"/>
      <c r="N621" s="500"/>
      <c r="O621" s="500"/>
      <c r="P621" s="500"/>
      <c r="Q621" s="500"/>
      <c r="R621" s="500"/>
      <c r="S621" s="500"/>
      <c r="T621" s="500"/>
      <c r="U621" s="500"/>
      <c r="V621" s="500"/>
      <c r="W621" s="500"/>
      <c r="X621" s="500"/>
      <c r="Y621" s="500"/>
      <c r="Z621" s="501"/>
      <c r="AA621" s="501"/>
      <c r="AB621" s="501"/>
      <c r="AC621" s="501"/>
      <c r="AD621" s="500"/>
      <c r="AE621" s="500"/>
      <c r="AF621" s="503"/>
      <c r="AG621" s="503"/>
      <c r="AH621" s="504"/>
      <c r="AI621" s="500"/>
      <c r="AJ621" s="500"/>
      <c r="AK621" s="500"/>
      <c r="AL621" s="500"/>
      <c r="AM621" s="500"/>
      <c r="AN621" s="500"/>
      <c r="AO621" s="500"/>
      <c r="AP621" s="500"/>
      <c r="AQ621" s="500"/>
      <c r="AR621" s="500"/>
      <c r="AS621" s="500"/>
      <c r="AT621" s="500"/>
      <c r="AU621" s="500"/>
      <c r="AV621" s="500"/>
      <c r="AW621" s="500"/>
      <c r="AX621" s="500"/>
      <c r="AY621" s="500"/>
      <c r="AZ621" s="500"/>
      <c r="BA621" s="500"/>
      <c r="BB621" s="500"/>
      <c r="BC621" s="500"/>
      <c r="BD621" s="500"/>
      <c r="BE621" s="500"/>
      <c r="BF621" s="500"/>
      <c r="BG621" s="500"/>
      <c r="BH621" s="500"/>
      <c r="BI621" s="500"/>
      <c r="BJ621" s="500"/>
      <c r="BK621" s="500"/>
      <c r="BL621" s="500"/>
      <c r="BM621" s="500"/>
      <c r="BN621" s="500"/>
      <c r="BO621" s="500"/>
      <c r="BP621" s="500"/>
      <c r="BQ621" s="500"/>
      <c r="BR621" s="500"/>
      <c r="BS621" s="500"/>
      <c r="BT621" s="500"/>
      <c r="BU621" s="500"/>
      <c r="BV621" s="500"/>
    </row>
    <row r="622" ht="14.25" customHeight="1">
      <c r="A622" s="500"/>
      <c r="B622" s="500"/>
      <c r="C622" s="500"/>
      <c r="D622" s="500"/>
      <c r="E622" s="500"/>
      <c r="F622" s="500"/>
      <c r="G622" s="500"/>
      <c r="H622" s="500"/>
      <c r="I622" s="500"/>
      <c r="J622" s="500"/>
      <c r="K622" s="500"/>
      <c r="L622" s="500"/>
      <c r="M622" s="500"/>
      <c r="N622" s="500"/>
      <c r="O622" s="500"/>
      <c r="P622" s="500"/>
      <c r="Q622" s="500"/>
      <c r="R622" s="500"/>
      <c r="S622" s="500"/>
      <c r="T622" s="500"/>
      <c r="U622" s="500"/>
      <c r="V622" s="500"/>
      <c r="W622" s="500"/>
      <c r="X622" s="500"/>
      <c r="Y622" s="500"/>
      <c r="Z622" s="501"/>
      <c r="AA622" s="501"/>
      <c r="AB622" s="501"/>
      <c r="AC622" s="501"/>
      <c r="AD622" s="500"/>
      <c r="AE622" s="500"/>
      <c r="AF622" s="503"/>
      <c r="AG622" s="503"/>
      <c r="AH622" s="504"/>
      <c r="AI622" s="500"/>
      <c r="AJ622" s="500"/>
      <c r="AK622" s="500"/>
      <c r="AL622" s="500"/>
      <c r="AM622" s="500"/>
      <c r="AN622" s="500"/>
      <c r="AO622" s="500"/>
      <c r="AP622" s="500"/>
      <c r="AQ622" s="500"/>
      <c r="AR622" s="500"/>
      <c r="AS622" s="500"/>
      <c r="AT622" s="500"/>
      <c r="AU622" s="500"/>
      <c r="AV622" s="500"/>
      <c r="AW622" s="500"/>
      <c r="AX622" s="500"/>
      <c r="AY622" s="500"/>
      <c r="AZ622" s="500"/>
      <c r="BA622" s="500"/>
      <c r="BB622" s="500"/>
      <c r="BC622" s="500"/>
      <c r="BD622" s="500"/>
      <c r="BE622" s="500"/>
      <c r="BF622" s="500"/>
      <c r="BG622" s="500"/>
      <c r="BH622" s="500"/>
      <c r="BI622" s="500"/>
      <c r="BJ622" s="500"/>
      <c r="BK622" s="500"/>
      <c r="BL622" s="500"/>
      <c r="BM622" s="500"/>
      <c r="BN622" s="500"/>
      <c r="BO622" s="500"/>
      <c r="BP622" s="500"/>
      <c r="BQ622" s="500"/>
      <c r="BR622" s="500"/>
      <c r="BS622" s="500"/>
      <c r="BT622" s="500"/>
      <c r="BU622" s="500"/>
      <c r="BV622" s="500"/>
    </row>
    <row r="623" ht="14.25" customHeight="1">
      <c r="A623" s="500"/>
      <c r="B623" s="500"/>
      <c r="C623" s="500"/>
      <c r="D623" s="500"/>
      <c r="E623" s="500"/>
      <c r="F623" s="500"/>
      <c r="G623" s="500"/>
      <c r="H623" s="500"/>
      <c r="I623" s="500"/>
      <c r="J623" s="500"/>
      <c r="K623" s="500"/>
      <c r="L623" s="500"/>
      <c r="M623" s="500"/>
      <c r="N623" s="500"/>
      <c r="O623" s="500"/>
      <c r="P623" s="500"/>
      <c r="Q623" s="500"/>
      <c r="R623" s="500"/>
      <c r="S623" s="500"/>
      <c r="T623" s="500"/>
      <c r="U623" s="500"/>
      <c r="V623" s="500"/>
      <c r="W623" s="500"/>
      <c r="X623" s="500"/>
      <c r="Y623" s="500"/>
      <c r="Z623" s="501"/>
      <c r="AA623" s="501"/>
      <c r="AB623" s="501"/>
      <c r="AC623" s="501"/>
      <c r="AD623" s="500"/>
      <c r="AE623" s="500"/>
      <c r="AF623" s="503"/>
      <c r="AG623" s="503"/>
      <c r="AH623" s="504"/>
      <c r="AI623" s="500"/>
      <c r="AJ623" s="500"/>
      <c r="AK623" s="500"/>
      <c r="AL623" s="500"/>
      <c r="AM623" s="500"/>
      <c r="AN623" s="500"/>
      <c r="AO623" s="500"/>
      <c r="AP623" s="500"/>
      <c r="AQ623" s="500"/>
      <c r="AR623" s="500"/>
      <c r="AS623" s="500"/>
      <c r="AT623" s="500"/>
      <c r="AU623" s="500"/>
      <c r="AV623" s="500"/>
      <c r="AW623" s="500"/>
      <c r="AX623" s="500"/>
      <c r="AY623" s="500"/>
      <c r="AZ623" s="500"/>
      <c r="BA623" s="500"/>
      <c r="BB623" s="500"/>
      <c r="BC623" s="500"/>
      <c r="BD623" s="500"/>
      <c r="BE623" s="500"/>
      <c r="BF623" s="500"/>
      <c r="BG623" s="500"/>
      <c r="BH623" s="500"/>
      <c r="BI623" s="500"/>
      <c r="BJ623" s="500"/>
      <c r="BK623" s="500"/>
      <c r="BL623" s="500"/>
      <c r="BM623" s="500"/>
      <c r="BN623" s="500"/>
      <c r="BO623" s="500"/>
      <c r="BP623" s="500"/>
      <c r="BQ623" s="500"/>
      <c r="BR623" s="500"/>
      <c r="BS623" s="500"/>
      <c r="BT623" s="500"/>
      <c r="BU623" s="500"/>
      <c r="BV623" s="500"/>
    </row>
    <row r="624" ht="14.25" customHeight="1">
      <c r="A624" s="500"/>
      <c r="B624" s="500"/>
      <c r="C624" s="500"/>
      <c r="D624" s="500"/>
      <c r="E624" s="500"/>
      <c r="F624" s="500"/>
      <c r="G624" s="500"/>
      <c r="H624" s="500"/>
      <c r="I624" s="500"/>
      <c r="J624" s="500"/>
      <c r="K624" s="500"/>
      <c r="L624" s="500"/>
      <c r="M624" s="500"/>
      <c r="N624" s="500"/>
      <c r="O624" s="500"/>
      <c r="P624" s="500"/>
      <c r="Q624" s="500"/>
      <c r="R624" s="500"/>
      <c r="S624" s="500"/>
      <c r="T624" s="500"/>
      <c r="U624" s="500"/>
      <c r="V624" s="500"/>
      <c r="W624" s="500"/>
      <c r="X624" s="500"/>
      <c r="Y624" s="500"/>
      <c r="Z624" s="501"/>
      <c r="AA624" s="501"/>
      <c r="AB624" s="501"/>
      <c r="AC624" s="501"/>
      <c r="AD624" s="500"/>
      <c r="AE624" s="500"/>
      <c r="AF624" s="503"/>
      <c r="AG624" s="503"/>
      <c r="AH624" s="504"/>
      <c r="AI624" s="500"/>
      <c r="AJ624" s="500"/>
      <c r="AK624" s="500"/>
      <c r="AL624" s="500"/>
      <c r="AM624" s="500"/>
      <c r="AN624" s="500"/>
      <c r="AO624" s="500"/>
      <c r="AP624" s="500"/>
      <c r="AQ624" s="500"/>
      <c r="AR624" s="500"/>
      <c r="AS624" s="500"/>
      <c r="AT624" s="500"/>
      <c r="AU624" s="500"/>
      <c r="AV624" s="500"/>
      <c r="AW624" s="500"/>
      <c r="AX624" s="500"/>
      <c r="AY624" s="500"/>
      <c r="AZ624" s="500"/>
      <c r="BA624" s="500"/>
      <c r="BB624" s="500"/>
      <c r="BC624" s="500"/>
      <c r="BD624" s="500"/>
      <c r="BE624" s="500"/>
      <c r="BF624" s="500"/>
      <c r="BG624" s="500"/>
      <c r="BH624" s="500"/>
      <c r="BI624" s="500"/>
      <c r="BJ624" s="500"/>
      <c r="BK624" s="500"/>
      <c r="BL624" s="500"/>
      <c r="BM624" s="500"/>
      <c r="BN624" s="500"/>
      <c r="BO624" s="500"/>
      <c r="BP624" s="500"/>
      <c r="BQ624" s="500"/>
      <c r="BR624" s="500"/>
      <c r="BS624" s="500"/>
      <c r="BT624" s="500"/>
      <c r="BU624" s="500"/>
      <c r="BV624" s="500"/>
    </row>
    <row r="625" ht="14.25" customHeight="1">
      <c r="A625" s="500"/>
      <c r="B625" s="500"/>
      <c r="C625" s="500"/>
      <c r="D625" s="500"/>
      <c r="E625" s="500"/>
      <c r="F625" s="500"/>
      <c r="G625" s="500"/>
      <c r="H625" s="500"/>
      <c r="I625" s="500"/>
      <c r="J625" s="500"/>
      <c r="K625" s="500"/>
      <c r="L625" s="500"/>
      <c r="M625" s="500"/>
      <c r="N625" s="500"/>
      <c r="O625" s="500"/>
      <c r="P625" s="500"/>
      <c r="Q625" s="500"/>
      <c r="R625" s="500"/>
      <c r="S625" s="500"/>
      <c r="T625" s="500"/>
      <c r="U625" s="500"/>
      <c r="V625" s="500"/>
      <c r="W625" s="500"/>
      <c r="X625" s="500"/>
      <c r="Y625" s="500"/>
      <c r="Z625" s="501"/>
      <c r="AA625" s="501"/>
      <c r="AB625" s="501"/>
      <c r="AC625" s="501"/>
      <c r="AD625" s="500"/>
      <c r="AE625" s="500"/>
      <c r="AF625" s="503"/>
      <c r="AG625" s="503"/>
      <c r="AH625" s="504"/>
      <c r="AI625" s="500"/>
      <c r="AJ625" s="500"/>
      <c r="AK625" s="500"/>
      <c r="AL625" s="500"/>
      <c r="AM625" s="500"/>
      <c r="AN625" s="500"/>
      <c r="AO625" s="500"/>
      <c r="AP625" s="500"/>
      <c r="AQ625" s="500"/>
      <c r="AR625" s="500"/>
      <c r="AS625" s="500"/>
      <c r="AT625" s="500"/>
      <c r="AU625" s="500"/>
      <c r="AV625" s="500"/>
      <c r="AW625" s="500"/>
      <c r="AX625" s="500"/>
      <c r="AY625" s="500"/>
      <c r="AZ625" s="500"/>
      <c r="BA625" s="500"/>
      <c r="BB625" s="500"/>
      <c r="BC625" s="500"/>
      <c r="BD625" s="500"/>
      <c r="BE625" s="500"/>
      <c r="BF625" s="500"/>
      <c r="BG625" s="500"/>
      <c r="BH625" s="500"/>
      <c r="BI625" s="500"/>
      <c r="BJ625" s="500"/>
      <c r="BK625" s="500"/>
      <c r="BL625" s="500"/>
      <c r="BM625" s="500"/>
      <c r="BN625" s="500"/>
      <c r="BO625" s="500"/>
      <c r="BP625" s="500"/>
      <c r="BQ625" s="500"/>
      <c r="BR625" s="500"/>
      <c r="BS625" s="500"/>
      <c r="BT625" s="500"/>
      <c r="BU625" s="500"/>
      <c r="BV625" s="500"/>
    </row>
    <row r="626" ht="14.25" customHeight="1">
      <c r="A626" s="500"/>
      <c r="B626" s="500"/>
      <c r="C626" s="500"/>
      <c r="D626" s="500"/>
      <c r="E626" s="500"/>
      <c r="F626" s="500"/>
      <c r="G626" s="500"/>
      <c r="H626" s="500"/>
      <c r="I626" s="500"/>
      <c r="J626" s="500"/>
      <c r="K626" s="500"/>
      <c r="L626" s="500"/>
      <c r="M626" s="500"/>
      <c r="N626" s="500"/>
      <c r="O626" s="500"/>
      <c r="P626" s="500"/>
      <c r="Q626" s="500"/>
      <c r="R626" s="500"/>
      <c r="S626" s="500"/>
      <c r="T626" s="500"/>
      <c r="U626" s="500"/>
      <c r="V626" s="500"/>
      <c r="W626" s="500"/>
      <c r="X626" s="500"/>
      <c r="Y626" s="500"/>
      <c r="Z626" s="501"/>
      <c r="AA626" s="501"/>
      <c r="AB626" s="501"/>
      <c r="AC626" s="501"/>
      <c r="AD626" s="500"/>
      <c r="AE626" s="500"/>
      <c r="AF626" s="503"/>
      <c r="AG626" s="503"/>
      <c r="AH626" s="504"/>
      <c r="AI626" s="500"/>
      <c r="AJ626" s="500"/>
      <c r="AK626" s="500"/>
      <c r="AL626" s="500"/>
      <c r="AM626" s="500"/>
      <c r="AN626" s="500"/>
      <c r="AO626" s="500"/>
      <c r="AP626" s="500"/>
      <c r="AQ626" s="500"/>
      <c r="AR626" s="500"/>
      <c r="AS626" s="500"/>
      <c r="AT626" s="500"/>
      <c r="AU626" s="500"/>
      <c r="AV626" s="500"/>
      <c r="AW626" s="500"/>
      <c r="AX626" s="500"/>
      <c r="AY626" s="500"/>
      <c r="AZ626" s="500"/>
      <c r="BA626" s="500"/>
      <c r="BB626" s="500"/>
      <c r="BC626" s="500"/>
      <c r="BD626" s="500"/>
      <c r="BE626" s="500"/>
      <c r="BF626" s="500"/>
      <c r="BG626" s="500"/>
      <c r="BH626" s="500"/>
      <c r="BI626" s="500"/>
      <c r="BJ626" s="500"/>
      <c r="BK626" s="500"/>
      <c r="BL626" s="500"/>
      <c r="BM626" s="500"/>
      <c r="BN626" s="500"/>
      <c r="BO626" s="500"/>
      <c r="BP626" s="500"/>
      <c r="BQ626" s="500"/>
      <c r="BR626" s="500"/>
      <c r="BS626" s="500"/>
      <c r="BT626" s="500"/>
      <c r="BU626" s="500"/>
      <c r="BV626" s="500"/>
    </row>
    <row r="627" ht="14.25" customHeight="1">
      <c r="A627" s="500"/>
      <c r="B627" s="500"/>
      <c r="C627" s="500"/>
      <c r="D627" s="500"/>
      <c r="E627" s="500"/>
      <c r="F627" s="500"/>
      <c r="G627" s="500"/>
      <c r="H627" s="500"/>
      <c r="I627" s="500"/>
      <c r="J627" s="500"/>
      <c r="K627" s="500"/>
      <c r="L627" s="500"/>
      <c r="M627" s="500"/>
      <c r="N627" s="500"/>
      <c r="O627" s="500"/>
      <c r="P627" s="500"/>
      <c r="Q627" s="500"/>
      <c r="R627" s="500"/>
      <c r="S627" s="500"/>
      <c r="T627" s="500"/>
      <c r="U627" s="500"/>
      <c r="V627" s="500"/>
      <c r="W627" s="500"/>
      <c r="X627" s="500"/>
      <c r="Y627" s="500"/>
      <c r="Z627" s="501"/>
      <c r="AA627" s="501"/>
      <c r="AB627" s="501"/>
      <c r="AC627" s="501"/>
      <c r="AD627" s="500"/>
      <c r="AE627" s="500"/>
      <c r="AF627" s="503"/>
      <c r="AG627" s="503"/>
      <c r="AH627" s="504"/>
      <c r="AI627" s="500"/>
      <c r="AJ627" s="500"/>
      <c r="AK627" s="500"/>
      <c r="AL627" s="500"/>
      <c r="AM627" s="500"/>
      <c r="AN627" s="500"/>
      <c r="AO627" s="500"/>
      <c r="AP627" s="500"/>
      <c r="AQ627" s="500"/>
      <c r="AR627" s="500"/>
      <c r="AS627" s="500"/>
      <c r="AT627" s="500"/>
      <c r="AU627" s="500"/>
      <c r="AV627" s="500"/>
      <c r="AW627" s="500"/>
      <c r="AX627" s="500"/>
      <c r="AY627" s="500"/>
      <c r="AZ627" s="500"/>
      <c r="BA627" s="500"/>
      <c r="BB627" s="500"/>
      <c r="BC627" s="500"/>
      <c r="BD627" s="500"/>
      <c r="BE627" s="500"/>
      <c r="BF627" s="500"/>
      <c r="BG627" s="500"/>
      <c r="BH627" s="500"/>
      <c r="BI627" s="500"/>
      <c r="BJ627" s="500"/>
      <c r="BK627" s="500"/>
      <c r="BL627" s="500"/>
      <c r="BM627" s="500"/>
      <c r="BN627" s="500"/>
      <c r="BO627" s="500"/>
      <c r="BP627" s="500"/>
      <c r="BQ627" s="500"/>
      <c r="BR627" s="500"/>
      <c r="BS627" s="500"/>
      <c r="BT627" s="500"/>
      <c r="BU627" s="500"/>
      <c r="BV627" s="500"/>
    </row>
    <row r="628" ht="14.25" customHeight="1">
      <c r="A628" s="500"/>
      <c r="B628" s="500"/>
      <c r="C628" s="500"/>
      <c r="D628" s="500"/>
      <c r="E628" s="500"/>
      <c r="F628" s="500"/>
      <c r="G628" s="500"/>
      <c r="H628" s="500"/>
      <c r="I628" s="500"/>
      <c r="J628" s="500"/>
      <c r="K628" s="500"/>
      <c r="L628" s="500"/>
      <c r="M628" s="500"/>
      <c r="N628" s="500"/>
      <c r="O628" s="500"/>
      <c r="P628" s="500"/>
      <c r="Q628" s="500"/>
      <c r="R628" s="500"/>
      <c r="S628" s="500"/>
      <c r="T628" s="500"/>
      <c r="U628" s="500"/>
      <c r="V628" s="500"/>
      <c r="W628" s="500"/>
      <c r="X628" s="500"/>
      <c r="Y628" s="500"/>
      <c r="Z628" s="501"/>
      <c r="AA628" s="501"/>
      <c r="AB628" s="501"/>
      <c r="AC628" s="501"/>
      <c r="AD628" s="500"/>
      <c r="AE628" s="500"/>
      <c r="AF628" s="503"/>
      <c r="AG628" s="503"/>
      <c r="AH628" s="504"/>
      <c r="AI628" s="500"/>
      <c r="AJ628" s="500"/>
      <c r="AK628" s="500"/>
      <c r="AL628" s="500"/>
      <c r="AM628" s="500"/>
      <c r="AN628" s="500"/>
      <c r="AO628" s="500"/>
      <c r="AP628" s="500"/>
      <c r="AQ628" s="500"/>
      <c r="AR628" s="500"/>
      <c r="AS628" s="500"/>
      <c r="AT628" s="500"/>
      <c r="AU628" s="500"/>
      <c r="AV628" s="500"/>
      <c r="AW628" s="500"/>
      <c r="AX628" s="500"/>
      <c r="AY628" s="500"/>
      <c r="AZ628" s="500"/>
      <c r="BA628" s="500"/>
      <c r="BB628" s="500"/>
      <c r="BC628" s="500"/>
      <c r="BD628" s="500"/>
      <c r="BE628" s="500"/>
      <c r="BF628" s="500"/>
      <c r="BG628" s="500"/>
      <c r="BH628" s="500"/>
      <c r="BI628" s="500"/>
      <c r="BJ628" s="500"/>
      <c r="BK628" s="500"/>
      <c r="BL628" s="500"/>
      <c r="BM628" s="500"/>
      <c r="BN628" s="500"/>
      <c r="BO628" s="500"/>
      <c r="BP628" s="500"/>
      <c r="BQ628" s="500"/>
      <c r="BR628" s="500"/>
      <c r="BS628" s="500"/>
      <c r="BT628" s="500"/>
      <c r="BU628" s="500"/>
      <c r="BV628" s="500"/>
    </row>
    <row r="629" ht="14.25" customHeight="1">
      <c r="A629" s="500"/>
      <c r="B629" s="500"/>
      <c r="C629" s="500"/>
      <c r="D629" s="500"/>
      <c r="E629" s="500"/>
      <c r="F629" s="500"/>
      <c r="G629" s="500"/>
      <c r="H629" s="500"/>
      <c r="I629" s="500"/>
      <c r="J629" s="500"/>
      <c r="K629" s="500"/>
      <c r="L629" s="500"/>
      <c r="M629" s="500"/>
      <c r="N629" s="500"/>
      <c r="O629" s="500"/>
      <c r="P629" s="500"/>
      <c r="Q629" s="500"/>
      <c r="R629" s="500"/>
      <c r="S629" s="500"/>
      <c r="T629" s="500"/>
      <c r="U629" s="500"/>
      <c r="V629" s="500"/>
      <c r="W629" s="500"/>
      <c r="X629" s="500"/>
      <c r="Y629" s="500"/>
      <c r="Z629" s="501"/>
      <c r="AA629" s="501"/>
      <c r="AB629" s="501"/>
      <c r="AC629" s="501"/>
      <c r="AD629" s="500"/>
      <c r="AE629" s="500"/>
      <c r="AF629" s="503"/>
      <c r="AG629" s="503"/>
      <c r="AH629" s="504"/>
      <c r="AI629" s="500"/>
      <c r="AJ629" s="500"/>
      <c r="AK629" s="500"/>
      <c r="AL629" s="500"/>
      <c r="AM629" s="500"/>
      <c r="AN629" s="500"/>
      <c r="AO629" s="500"/>
      <c r="AP629" s="500"/>
      <c r="AQ629" s="500"/>
      <c r="AR629" s="500"/>
      <c r="AS629" s="500"/>
      <c r="AT629" s="500"/>
      <c r="AU629" s="500"/>
      <c r="AV629" s="500"/>
      <c r="AW629" s="500"/>
      <c r="AX629" s="500"/>
      <c r="AY629" s="500"/>
      <c r="AZ629" s="500"/>
      <c r="BA629" s="500"/>
      <c r="BB629" s="500"/>
      <c r="BC629" s="500"/>
      <c r="BD629" s="500"/>
      <c r="BE629" s="500"/>
      <c r="BF629" s="500"/>
      <c r="BG629" s="500"/>
      <c r="BH629" s="500"/>
      <c r="BI629" s="500"/>
      <c r="BJ629" s="500"/>
      <c r="BK629" s="500"/>
      <c r="BL629" s="500"/>
      <c r="BM629" s="500"/>
      <c r="BN629" s="500"/>
      <c r="BO629" s="500"/>
      <c r="BP629" s="500"/>
      <c r="BQ629" s="500"/>
      <c r="BR629" s="500"/>
      <c r="BS629" s="500"/>
      <c r="BT629" s="500"/>
      <c r="BU629" s="500"/>
      <c r="BV629" s="500"/>
    </row>
    <row r="630" ht="14.25" customHeight="1">
      <c r="A630" s="500"/>
      <c r="B630" s="500"/>
      <c r="C630" s="500"/>
      <c r="D630" s="500"/>
      <c r="E630" s="500"/>
      <c r="F630" s="500"/>
      <c r="G630" s="500"/>
      <c r="H630" s="500"/>
      <c r="I630" s="500"/>
      <c r="J630" s="500"/>
      <c r="K630" s="500"/>
      <c r="L630" s="500"/>
      <c r="M630" s="500"/>
      <c r="N630" s="500"/>
      <c r="O630" s="500"/>
      <c r="P630" s="500"/>
      <c r="Q630" s="500"/>
      <c r="R630" s="500"/>
      <c r="S630" s="500"/>
      <c r="T630" s="500"/>
      <c r="U630" s="500"/>
      <c r="V630" s="500"/>
      <c r="W630" s="500"/>
      <c r="X630" s="500"/>
      <c r="Y630" s="500"/>
      <c r="Z630" s="501"/>
      <c r="AA630" s="501"/>
      <c r="AB630" s="501"/>
      <c r="AC630" s="501"/>
      <c r="AD630" s="500"/>
      <c r="AE630" s="500"/>
      <c r="AF630" s="503"/>
      <c r="AG630" s="503"/>
      <c r="AH630" s="504"/>
      <c r="AI630" s="500"/>
      <c r="AJ630" s="500"/>
      <c r="AK630" s="500"/>
      <c r="AL630" s="500"/>
      <c r="AM630" s="500"/>
      <c r="AN630" s="500"/>
      <c r="AO630" s="500"/>
      <c r="AP630" s="500"/>
      <c r="AQ630" s="500"/>
      <c r="AR630" s="500"/>
      <c r="AS630" s="500"/>
      <c r="AT630" s="500"/>
      <c r="AU630" s="500"/>
      <c r="AV630" s="500"/>
      <c r="AW630" s="500"/>
      <c r="AX630" s="500"/>
      <c r="AY630" s="500"/>
      <c r="AZ630" s="500"/>
      <c r="BA630" s="500"/>
      <c r="BB630" s="500"/>
      <c r="BC630" s="500"/>
      <c r="BD630" s="500"/>
      <c r="BE630" s="500"/>
      <c r="BF630" s="500"/>
      <c r="BG630" s="500"/>
      <c r="BH630" s="500"/>
      <c r="BI630" s="500"/>
      <c r="BJ630" s="500"/>
      <c r="BK630" s="500"/>
      <c r="BL630" s="500"/>
      <c r="BM630" s="500"/>
      <c r="BN630" s="500"/>
      <c r="BO630" s="500"/>
      <c r="BP630" s="500"/>
      <c r="BQ630" s="500"/>
      <c r="BR630" s="500"/>
      <c r="BS630" s="500"/>
      <c r="BT630" s="500"/>
      <c r="BU630" s="500"/>
      <c r="BV630" s="500"/>
    </row>
    <row r="631" ht="14.25" customHeight="1">
      <c r="A631" s="500"/>
      <c r="B631" s="500"/>
      <c r="C631" s="500"/>
      <c r="D631" s="500"/>
      <c r="E631" s="500"/>
      <c r="F631" s="500"/>
      <c r="G631" s="500"/>
      <c r="H631" s="500"/>
      <c r="I631" s="500"/>
      <c r="J631" s="500"/>
      <c r="K631" s="500"/>
      <c r="L631" s="500"/>
      <c r="M631" s="500"/>
      <c r="N631" s="500"/>
      <c r="O631" s="500"/>
      <c r="P631" s="500"/>
      <c r="Q631" s="500"/>
      <c r="R631" s="500"/>
      <c r="S631" s="500"/>
      <c r="T631" s="500"/>
      <c r="U631" s="500"/>
      <c r="V631" s="500"/>
      <c r="W631" s="500"/>
      <c r="X631" s="500"/>
      <c r="Y631" s="500"/>
      <c r="Z631" s="501"/>
      <c r="AA631" s="501"/>
      <c r="AB631" s="501"/>
      <c r="AC631" s="501"/>
      <c r="AD631" s="500"/>
      <c r="AE631" s="500"/>
      <c r="AF631" s="503"/>
      <c r="AG631" s="503"/>
      <c r="AH631" s="504"/>
      <c r="AI631" s="500"/>
      <c r="AJ631" s="500"/>
      <c r="AK631" s="500"/>
      <c r="AL631" s="500"/>
      <c r="AM631" s="500"/>
      <c r="AN631" s="500"/>
      <c r="AO631" s="500"/>
      <c r="AP631" s="500"/>
      <c r="AQ631" s="500"/>
      <c r="AR631" s="500"/>
      <c r="AS631" s="500"/>
      <c r="AT631" s="500"/>
      <c r="AU631" s="500"/>
      <c r="AV631" s="500"/>
      <c r="AW631" s="500"/>
      <c r="AX631" s="500"/>
      <c r="AY631" s="500"/>
      <c r="AZ631" s="500"/>
      <c r="BA631" s="500"/>
      <c r="BB631" s="500"/>
      <c r="BC631" s="500"/>
      <c r="BD631" s="500"/>
      <c r="BE631" s="500"/>
      <c r="BF631" s="500"/>
      <c r="BG631" s="500"/>
      <c r="BH631" s="500"/>
      <c r="BI631" s="500"/>
      <c r="BJ631" s="500"/>
      <c r="BK631" s="500"/>
      <c r="BL631" s="500"/>
      <c r="BM631" s="500"/>
      <c r="BN631" s="500"/>
      <c r="BO631" s="500"/>
      <c r="BP631" s="500"/>
      <c r="BQ631" s="500"/>
      <c r="BR631" s="500"/>
      <c r="BS631" s="500"/>
      <c r="BT631" s="500"/>
      <c r="BU631" s="500"/>
      <c r="BV631" s="500"/>
    </row>
    <row r="632" ht="14.25" customHeight="1">
      <c r="A632" s="500"/>
      <c r="B632" s="500"/>
      <c r="C632" s="500"/>
      <c r="D632" s="500"/>
      <c r="E632" s="500"/>
      <c r="F632" s="500"/>
      <c r="G632" s="500"/>
      <c r="H632" s="500"/>
      <c r="I632" s="500"/>
      <c r="J632" s="500"/>
      <c r="K632" s="500"/>
      <c r="L632" s="500"/>
      <c r="M632" s="500"/>
      <c r="N632" s="500"/>
      <c r="O632" s="500"/>
      <c r="P632" s="500"/>
      <c r="Q632" s="500"/>
      <c r="R632" s="500"/>
      <c r="S632" s="500"/>
      <c r="T632" s="500"/>
      <c r="U632" s="500"/>
      <c r="V632" s="500"/>
      <c r="W632" s="500"/>
      <c r="X632" s="500"/>
      <c r="Y632" s="500"/>
      <c r="Z632" s="501"/>
      <c r="AA632" s="501"/>
      <c r="AB632" s="501"/>
      <c r="AC632" s="501"/>
      <c r="AD632" s="500"/>
      <c r="AE632" s="500"/>
      <c r="AF632" s="503"/>
      <c r="AG632" s="503"/>
      <c r="AH632" s="504"/>
      <c r="AI632" s="500"/>
      <c r="AJ632" s="500"/>
      <c r="AK632" s="500"/>
      <c r="AL632" s="500"/>
      <c r="AM632" s="500"/>
      <c r="AN632" s="500"/>
      <c r="AO632" s="500"/>
      <c r="AP632" s="500"/>
      <c r="AQ632" s="500"/>
      <c r="AR632" s="500"/>
      <c r="AS632" s="500"/>
      <c r="AT632" s="500"/>
      <c r="AU632" s="500"/>
      <c r="AV632" s="500"/>
      <c r="AW632" s="500"/>
      <c r="AX632" s="500"/>
      <c r="AY632" s="500"/>
      <c r="AZ632" s="500"/>
      <c r="BA632" s="500"/>
      <c r="BB632" s="500"/>
      <c r="BC632" s="500"/>
      <c r="BD632" s="500"/>
      <c r="BE632" s="500"/>
      <c r="BF632" s="500"/>
      <c r="BG632" s="500"/>
      <c r="BH632" s="500"/>
      <c r="BI632" s="500"/>
      <c r="BJ632" s="500"/>
      <c r="BK632" s="500"/>
      <c r="BL632" s="500"/>
      <c r="BM632" s="500"/>
      <c r="BN632" s="500"/>
      <c r="BO632" s="500"/>
      <c r="BP632" s="500"/>
      <c r="BQ632" s="500"/>
      <c r="BR632" s="500"/>
      <c r="BS632" s="500"/>
      <c r="BT632" s="500"/>
      <c r="BU632" s="500"/>
      <c r="BV632" s="500"/>
    </row>
    <row r="633" ht="14.25" customHeight="1">
      <c r="A633" s="500"/>
      <c r="B633" s="500"/>
      <c r="C633" s="500"/>
      <c r="D633" s="500"/>
      <c r="E633" s="500"/>
      <c r="F633" s="500"/>
      <c r="G633" s="500"/>
      <c r="H633" s="500"/>
      <c r="I633" s="500"/>
      <c r="J633" s="500"/>
      <c r="K633" s="500"/>
      <c r="L633" s="500"/>
      <c r="M633" s="500"/>
      <c r="N633" s="500"/>
      <c r="O633" s="500"/>
      <c r="P633" s="500"/>
      <c r="Q633" s="500"/>
      <c r="R633" s="500"/>
      <c r="S633" s="500"/>
      <c r="T633" s="500"/>
      <c r="U633" s="500"/>
      <c r="V633" s="500"/>
      <c r="W633" s="500"/>
      <c r="X633" s="500"/>
      <c r="Y633" s="500"/>
      <c r="Z633" s="501"/>
      <c r="AA633" s="501"/>
      <c r="AB633" s="501"/>
      <c r="AC633" s="501"/>
      <c r="AD633" s="500"/>
      <c r="AE633" s="500"/>
      <c r="AF633" s="503"/>
      <c r="AG633" s="503"/>
      <c r="AH633" s="504"/>
      <c r="AI633" s="500"/>
      <c r="AJ633" s="500"/>
      <c r="AK633" s="500"/>
      <c r="AL633" s="500"/>
      <c r="AM633" s="500"/>
      <c r="AN633" s="500"/>
      <c r="AO633" s="500"/>
      <c r="AP633" s="500"/>
      <c r="AQ633" s="500"/>
      <c r="AR633" s="500"/>
      <c r="AS633" s="500"/>
      <c r="AT633" s="500"/>
      <c r="AU633" s="500"/>
      <c r="AV633" s="500"/>
      <c r="AW633" s="500"/>
      <c r="AX633" s="500"/>
      <c r="AY633" s="500"/>
      <c r="AZ633" s="500"/>
      <c r="BA633" s="500"/>
      <c r="BB633" s="500"/>
      <c r="BC633" s="500"/>
      <c r="BD633" s="500"/>
      <c r="BE633" s="500"/>
      <c r="BF633" s="500"/>
      <c r="BG633" s="500"/>
      <c r="BH633" s="500"/>
      <c r="BI633" s="500"/>
      <c r="BJ633" s="500"/>
      <c r="BK633" s="500"/>
      <c r="BL633" s="500"/>
      <c r="BM633" s="500"/>
      <c r="BN633" s="500"/>
      <c r="BO633" s="500"/>
      <c r="BP633" s="500"/>
      <c r="BQ633" s="500"/>
      <c r="BR633" s="500"/>
      <c r="BS633" s="500"/>
      <c r="BT633" s="500"/>
      <c r="BU633" s="500"/>
      <c r="BV633" s="500"/>
    </row>
    <row r="634" ht="14.25" customHeight="1">
      <c r="A634" s="500"/>
      <c r="B634" s="500"/>
      <c r="C634" s="500"/>
      <c r="D634" s="500"/>
      <c r="E634" s="500"/>
      <c r="F634" s="500"/>
      <c r="G634" s="500"/>
      <c r="H634" s="500"/>
      <c r="I634" s="500"/>
      <c r="J634" s="500"/>
      <c r="K634" s="500"/>
      <c r="L634" s="500"/>
      <c r="M634" s="500"/>
      <c r="N634" s="500"/>
      <c r="O634" s="500"/>
      <c r="P634" s="500"/>
      <c r="Q634" s="500"/>
      <c r="R634" s="500"/>
      <c r="S634" s="500"/>
      <c r="T634" s="500"/>
      <c r="U634" s="500"/>
      <c r="V634" s="500"/>
      <c r="W634" s="500"/>
      <c r="X634" s="500"/>
      <c r="Y634" s="500"/>
      <c r="Z634" s="501"/>
      <c r="AA634" s="501"/>
      <c r="AB634" s="501"/>
      <c r="AC634" s="501"/>
      <c r="AD634" s="500"/>
      <c r="AE634" s="500"/>
      <c r="AF634" s="503"/>
      <c r="AG634" s="503"/>
      <c r="AH634" s="504"/>
      <c r="AI634" s="500"/>
      <c r="AJ634" s="500"/>
      <c r="AK634" s="500"/>
      <c r="AL634" s="500"/>
      <c r="AM634" s="500"/>
      <c r="AN634" s="500"/>
      <c r="AO634" s="500"/>
      <c r="AP634" s="500"/>
      <c r="AQ634" s="500"/>
      <c r="AR634" s="500"/>
      <c r="AS634" s="500"/>
      <c r="AT634" s="500"/>
      <c r="AU634" s="500"/>
      <c r="AV634" s="500"/>
      <c r="AW634" s="500"/>
      <c r="AX634" s="500"/>
      <c r="AY634" s="500"/>
      <c r="AZ634" s="500"/>
      <c r="BA634" s="500"/>
      <c r="BB634" s="500"/>
      <c r="BC634" s="500"/>
      <c r="BD634" s="500"/>
      <c r="BE634" s="500"/>
      <c r="BF634" s="500"/>
      <c r="BG634" s="500"/>
      <c r="BH634" s="500"/>
      <c r="BI634" s="500"/>
      <c r="BJ634" s="500"/>
      <c r="BK634" s="500"/>
      <c r="BL634" s="500"/>
      <c r="BM634" s="500"/>
      <c r="BN634" s="500"/>
      <c r="BO634" s="500"/>
      <c r="BP634" s="500"/>
      <c r="BQ634" s="500"/>
      <c r="BR634" s="500"/>
      <c r="BS634" s="500"/>
      <c r="BT634" s="500"/>
      <c r="BU634" s="500"/>
      <c r="BV634" s="500"/>
    </row>
    <row r="635" ht="14.25" customHeight="1">
      <c r="A635" s="500"/>
      <c r="B635" s="500"/>
      <c r="C635" s="500"/>
      <c r="D635" s="500"/>
      <c r="E635" s="500"/>
      <c r="F635" s="500"/>
      <c r="G635" s="500"/>
      <c r="H635" s="500"/>
      <c r="I635" s="500"/>
      <c r="J635" s="500"/>
      <c r="K635" s="500"/>
      <c r="L635" s="500"/>
      <c r="M635" s="500"/>
      <c r="N635" s="500"/>
      <c r="O635" s="500"/>
      <c r="P635" s="500"/>
      <c r="Q635" s="500"/>
      <c r="R635" s="500"/>
      <c r="S635" s="500"/>
      <c r="T635" s="500"/>
      <c r="U635" s="500"/>
      <c r="V635" s="500"/>
      <c r="W635" s="500"/>
      <c r="X635" s="500"/>
      <c r="Y635" s="500"/>
      <c r="Z635" s="501"/>
      <c r="AA635" s="501"/>
      <c r="AB635" s="501"/>
      <c r="AC635" s="501"/>
      <c r="AD635" s="500"/>
      <c r="AE635" s="500"/>
      <c r="AF635" s="503"/>
      <c r="AG635" s="503"/>
      <c r="AH635" s="504"/>
      <c r="AI635" s="500"/>
      <c r="AJ635" s="500"/>
      <c r="AK635" s="500"/>
      <c r="AL635" s="500"/>
      <c r="AM635" s="500"/>
      <c r="AN635" s="500"/>
      <c r="AO635" s="500"/>
      <c r="AP635" s="500"/>
      <c r="AQ635" s="500"/>
      <c r="AR635" s="500"/>
      <c r="AS635" s="500"/>
      <c r="AT635" s="500"/>
      <c r="AU635" s="500"/>
      <c r="AV635" s="500"/>
      <c r="AW635" s="500"/>
      <c r="AX635" s="500"/>
      <c r="AY635" s="500"/>
      <c r="AZ635" s="500"/>
      <c r="BA635" s="500"/>
      <c r="BB635" s="500"/>
      <c r="BC635" s="500"/>
      <c r="BD635" s="500"/>
      <c r="BE635" s="500"/>
      <c r="BF635" s="500"/>
      <c r="BG635" s="500"/>
      <c r="BH635" s="500"/>
      <c r="BI635" s="500"/>
      <c r="BJ635" s="500"/>
      <c r="BK635" s="500"/>
      <c r="BL635" s="500"/>
      <c r="BM635" s="500"/>
      <c r="BN635" s="500"/>
      <c r="BO635" s="500"/>
      <c r="BP635" s="500"/>
      <c r="BQ635" s="500"/>
      <c r="BR635" s="500"/>
      <c r="BS635" s="500"/>
      <c r="BT635" s="500"/>
      <c r="BU635" s="500"/>
      <c r="BV635" s="500"/>
    </row>
    <row r="636" ht="14.25" customHeight="1">
      <c r="A636" s="500"/>
      <c r="B636" s="500"/>
      <c r="C636" s="500"/>
      <c r="D636" s="500"/>
      <c r="E636" s="500"/>
      <c r="F636" s="500"/>
      <c r="G636" s="500"/>
      <c r="H636" s="500"/>
      <c r="I636" s="500"/>
      <c r="J636" s="500"/>
      <c r="K636" s="500"/>
      <c r="L636" s="500"/>
      <c r="M636" s="500"/>
      <c r="N636" s="500"/>
      <c r="O636" s="500"/>
      <c r="P636" s="500"/>
      <c r="Q636" s="500"/>
      <c r="R636" s="500"/>
      <c r="S636" s="500"/>
      <c r="T636" s="500"/>
      <c r="U636" s="500"/>
      <c r="V636" s="500"/>
      <c r="W636" s="500"/>
      <c r="X636" s="500"/>
      <c r="Y636" s="500"/>
      <c r="Z636" s="501"/>
      <c r="AA636" s="501"/>
      <c r="AB636" s="501"/>
      <c r="AC636" s="501"/>
      <c r="AD636" s="500"/>
      <c r="AE636" s="500"/>
      <c r="AF636" s="503"/>
      <c r="AG636" s="503"/>
      <c r="AH636" s="504"/>
      <c r="AI636" s="500"/>
      <c r="AJ636" s="500"/>
      <c r="AK636" s="500"/>
      <c r="AL636" s="500"/>
      <c r="AM636" s="500"/>
      <c r="AN636" s="500"/>
      <c r="AO636" s="500"/>
      <c r="AP636" s="500"/>
      <c r="AQ636" s="500"/>
      <c r="AR636" s="500"/>
      <c r="AS636" s="500"/>
      <c r="AT636" s="500"/>
      <c r="AU636" s="500"/>
      <c r="AV636" s="500"/>
      <c r="AW636" s="500"/>
      <c r="AX636" s="500"/>
      <c r="AY636" s="500"/>
      <c r="AZ636" s="500"/>
      <c r="BA636" s="500"/>
      <c r="BB636" s="500"/>
      <c r="BC636" s="500"/>
      <c r="BD636" s="500"/>
      <c r="BE636" s="500"/>
      <c r="BF636" s="500"/>
      <c r="BG636" s="500"/>
      <c r="BH636" s="500"/>
      <c r="BI636" s="500"/>
      <c r="BJ636" s="500"/>
      <c r="BK636" s="500"/>
      <c r="BL636" s="500"/>
      <c r="BM636" s="500"/>
      <c r="BN636" s="500"/>
      <c r="BO636" s="500"/>
      <c r="BP636" s="500"/>
      <c r="BQ636" s="500"/>
      <c r="BR636" s="500"/>
      <c r="BS636" s="500"/>
      <c r="BT636" s="500"/>
      <c r="BU636" s="500"/>
      <c r="BV636" s="500"/>
    </row>
    <row r="637" ht="14.25" customHeight="1">
      <c r="A637" s="500"/>
      <c r="B637" s="500"/>
      <c r="C637" s="500"/>
      <c r="D637" s="500"/>
      <c r="E637" s="500"/>
      <c r="F637" s="500"/>
      <c r="G637" s="500"/>
      <c r="H637" s="500"/>
      <c r="I637" s="500"/>
      <c r="J637" s="500"/>
      <c r="K637" s="500"/>
      <c r="L637" s="500"/>
      <c r="M637" s="500"/>
      <c r="N637" s="500"/>
      <c r="O637" s="500"/>
      <c r="P637" s="500"/>
      <c r="Q637" s="500"/>
      <c r="R637" s="500"/>
      <c r="S637" s="500"/>
      <c r="T637" s="500"/>
      <c r="U637" s="500"/>
      <c r="V637" s="500"/>
      <c r="W637" s="500"/>
      <c r="X637" s="500"/>
      <c r="Y637" s="500"/>
      <c r="Z637" s="501"/>
      <c r="AA637" s="501"/>
      <c r="AB637" s="501"/>
      <c r="AC637" s="501"/>
      <c r="AD637" s="500"/>
      <c r="AE637" s="500"/>
      <c r="AF637" s="503"/>
      <c r="AG637" s="503"/>
      <c r="AH637" s="504"/>
      <c r="AI637" s="500"/>
      <c r="AJ637" s="500"/>
      <c r="AK637" s="500"/>
      <c r="AL637" s="500"/>
      <c r="AM637" s="500"/>
      <c r="AN637" s="500"/>
      <c r="AO637" s="500"/>
      <c r="AP637" s="500"/>
      <c r="AQ637" s="500"/>
      <c r="AR637" s="500"/>
      <c r="AS637" s="500"/>
      <c r="AT637" s="500"/>
      <c r="AU637" s="500"/>
      <c r="AV637" s="500"/>
      <c r="AW637" s="500"/>
      <c r="AX637" s="500"/>
      <c r="AY637" s="500"/>
      <c r="AZ637" s="500"/>
      <c r="BA637" s="500"/>
      <c r="BB637" s="500"/>
      <c r="BC637" s="500"/>
      <c r="BD637" s="500"/>
      <c r="BE637" s="500"/>
      <c r="BF637" s="500"/>
      <c r="BG637" s="500"/>
      <c r="BH637" s="500"/>
      <c r="BI637" s="500"/>
      <c r="BJ637" s="500"/>
      <c r="BK637" s="500"/>
      <c r="BL637" s="500"/>
      <c r="BM637" s="500"/>
      <c r="BN637" s="500"/>
      <c r="BO637" s="500"/>
      <c r="BP637" s="500"/>
      <c r="BQ637" s="500"/>
      <c r="BR637" s="500"/>
      <c r="BS637" s="500"/>
      <c r="BT637" s="500"/>
      <c r="BU637" s="500"/>
      <c r="BV637" s="500"/>
    </row>
    <row r="638" ht="14.25" customHeight="1">
      <c r="A638" s="500"/>
      <c r="B638" s="500"/>
      <c r="C638" s="500"/>
      <c r="D638" s="500"/>
      <c r="E638" s="500"/>
      <c r="F638" s="500"/>
      <c r="G638" s="500"/>
      <c r="H638" s="500"/>
      <c r="I638" s="500"/>
      <c r="J638" s="500"/>
      <c r="K638" s="500"/>
      <c r="L638" s="500"/>
      <c r="M638" s="500"/>
      <c r="N638" s="500"/>
      <c r="O638" s="500"/>
      <c r="P638" s="500"/>
      <c r="Q638" s="500"/>
      <c r="R638" s="500"/>
      <c r="S638" s="500"/>
      <c r="T638" s="500"/>
      <c r="U638" s="500"/>
      <c r="V638" s="500"/>
      <c r="W638" s="500"/>
      <c r="X638" s="500"/>
      <c r="Y638" s="500"/>
      <c r="Z638" s="501"/>
      <c r="AA638" s="501"/>
      <c r="AB638" s="501"/>
      <c r="AC638" s="501"/>
      <c r="AD638" s="500"/>
      <c r="AE638" s="500"/>
      <c r="AF638" s="503"/>
      <c r="AG638" s="503"/>
      <c r="AH638" s="504"/>
      <c r="AI638" s="500"/>
      <c r="AJ638" s="500"/>
      <c r="AK638" s="500"/>
      <c r="AL638" s="500"/>
      <c r="AM638" s="500"/>
      <c r="AN638" s="500"/>
      <c r="AO638" s="500"/>
      <c r="AP638" s="500"/>
      <c r="AQ638" s="500"/>
      <c r="AR638" s="500"/>
      <c r="AS638" s="500"/>
      <c r="AT638" s="500"/>
      <c r="AU638" s="500"/>
      <c r="AV638" s="500"/>
      <c r="AW638" s="500"/>
      <c r="AX638" s="500"/>
      <c r="AY638" s="500"/>
      <c r="AZ638" s="500"/>
      <c r="BA638" s="500"/>
      <c r="BB638" s="500"/>
      <c r="BC638" s="500"/>
      <c r="BD638" s="500"/>
      <c r="BE638" s="500"/>
      <c r="BF638" s="500"/>
      <c r="BG638" s="500"/>
      <c r="BH638" s="500"/>
      <c r="BI638" s="500"/>
      <c r="BJ638" s="500"/>
      <c r="BK638" s="500"/>
      <c r="BL638" s="500"/>
      <c r="BM638" s="500"/>
      <c r="BN638" s="500"/>
      <c r="BO638" s="500"/>
      <c r="BP638" s="500"/>
      <c r="BQ638" s="500"/>
      <c r="BR638" s="500"/>
      <c r="BS638" s="500"/>
      <c r="BT638" s="500"/>
      <c r="BU638" s="500"/>
      <c r="BV638" s="500"/>
    </row>
    <row r="639" ht="14.25" customHeight="1">
      <c r="A639" s="500"/>
      <c r="B639" s="500"/>
      <c r="C639" s="500"/>
      <c r="D639" s="500"/>
      <c r="E639" s="500"/>
      <c r="F639" s="500"/>
      <c r="G639" s="500"/>
      <c r="H639" s="500"/>
      <c r="I639" s="500"/>
      <c r="J639" s="500"/>
      <c r="K639" s="500"/>
      <c r="L639" s="500"/>
      <c r="M639" s="500"/>
      <c r="N639" s="500"/>
      <c r="O639" s="500"/>
      <c r="P639" s="500"/>
      <c r="Q639" s="500"/>
      <c r="R639" s="500"/>
      <c r="S639" s="500"/>
      <c r="T639" s="500"/>
      <c r="U639" s="500"/>
      <c r="V639" s="500"/>
      <c r="W639" s="500"/>
      <c r="X639" s="500"/>
      <c r="Y639" s="500"/>
      <c r="Z639" s="501"/>
      <c r="AA639" s="501"/>
      <c r="AB639" s="501"/>
      <c r="AC639" s="501"/>
      <c r="AD639" s="500"/>
      <c r="AE639" s="500"/>
      <c r="AF639" s="503"/>
      <c r="AG639" s="503"/>
      <c r="AH639" s="504"/>
      <c r="AI639" s="500"/>
      <c r="AJ639" s="500"/>
      <c r="AK639" s="500"/>
      <c r="AL639" s="500"/>
      <c r="AM639" s="500"/>
      <c r="AN639" s="500"/>
      <c r="AO639" s="500"/>
      <c r="AP639" s="500"/>
      <c r="AQ639" s="500"/>
      <c r="AR639" s="500"/>
      <c r="AS639" s="500"/>
      <c r="AT639" s="500"/>
      <c r="AU639" s="500"/>
      <c r="AV639" s="500"/>
      <c r="AW639" s="500"/>
      <c r="AX639" s="500"/>
      <c r="AY639" s="500"/>
      <c r="AZ639" s="500"/>
      <c r="BA639" s="500"/>
      <c r="BB639" s="500"/>
      <c r="BC639" s="500"/>
      <c r="BD639" s="500"/>
      <c r="BE639" s="500"/>
      <c r="BF639" s="500"/>
      <c r="BG639" s="500"/>
      <c r="BH639" s="500"/>
      <c r="BI639" s="500"/>
      <c r="BJ639" s="500"/>
      <c r="BK639" s="500"/>
      <c r="BL639" s="500"/>
      <c r="BM639" s="500"/>
      <c r="BN639" s="500"/>
      <c r="BO639" s="500"/>
      <c r="BP639" s="500"/>
      <c r="BQ639" s="500"/>
      <c r="BR639" s="500"/>
      <c r="BS639" s="500"/>
      <c r="BT639" s="500"/>
      <c r="BU639" s="500"/>
      <c r="BV639" s="500"/>
    </row>
    <row r="640" ht="14.25" customHeight="1">
      <c r="A640" s="500"/>
      <c r="B640" s="500"/>
      <c r="C640" s="500"/>
      <c r="D640" s="500"/>
      <c r="E640" s="500"/>
      <c r="F640" s="500"/>
      <c r="G640" s="500"/>
      <c r="H640" s="500"/>
      <c r="I640" s="500"/>
      <c r="J640" s="500"/>
      <c r="K640" s="500"/>
      <c r="L640" s="500"/>
      <c r="M640" s="500"/>
      <c r="N640" s="500"/>
      <c r="O640" s="500"/>
      <c r="P640" s="500"/>
      <c r="Q640" s="500"/>
      <c r="R640" s="500"/>
      <c r="S640" s="500"/>
      <c r="T640" s="500"/>
      <c r="U640" s="500"/>
      <c r="V640" s="500"/>
      <c r="W640" s="500"/>
      <c r="X640" s="500"/>
      <c r="Y640" s="500"/>
      <c r="Z640" s="501"/>
      <c r="AA640" s="501"/>
      <c r="AB640" s="501"/>
      <c r="AC640" s="501"/>
      <c r="AD640" s="500"/>
      <c r="AE640" s="500"/>
      <c r="AF640" s="503"/>
      <c r="AG640" s="503"/>
      <c r="AH640" s="504"/>
      <c r="AI640" s="500"/>
      <c r="AJ640" s="500"/>
      <c r="AK640" s="500"/>
      <c r="AL640" s="500"/>
      <c r="AM640" s="500"/>
      <c r="AN640" s="500"/>
      <c r="AO640" s="500"/>
      <c r="AP640" s="500"/>
      <c r="AQ640" s="500"/>
      <c r="AR640" s="500"/>
      <c r="AS640" s="500"/>
      <c r="AT640" s="500"/>
      <c r="AU640" s="500"/>
      <c r="AV640" s="500"/>
      <c r="AW640" s="500"/>
      <c r="AX640" s="500"/>
      <c r="AY640" s="500"/>
      <c r="AZ640" s="500"/>
      <c r="BA640" s="500"/>
      <c r="BB640" s="500"/>
      <c r="BC640" s="500"/>
      <c r="BD640" s="500"/>
      <c r="BE640" s="500"/>
      <c r="BF640" s="500"/>
      <c r="BG640" s="500"/>
      <c r="BH640" s="500"/>
      <c r="BI640" s="500"/>
      <c r="BJ640" s="500"/>
      <c r="BK640" s="500"/>
      <c r="BL640" s="500"/>
      <c r="BM640" s="500"/>
      <c r="BN640" s="500"/>
      <c r="BO640" s="500"/>
      <c r="BP640" s="500"/>
      <c r="BQ640" s="500"/>
      <c r="BR640" s="500"/>
      <c r="BS640" s="500"/>
      <c r="BT640" s="500"/>
      <c r="BU640" s="500"/>
      <c r="BV640" s="500"/>
    </row>
    <row r="641" ht="14.25" customHeight="1">
      <c r="A641" s="500"/>
      <c r="B641" s="500"/>
      <c r="C641" s="500"/>
      <c r="D641" s="500"/>
      <c r="E641" s="500"/>
      <c r="F641" s="500"/>
      <c r="G641" s="500"/>
      <c r="H641" s="500"/>
      <c r="I641" s="500"/>
      <c r="J641" s="500"/>
      <c r="K641" s="500"/>
      <c r="L641" s="500"/>
      <c r="M641" s="500"/>
      <c r="N641" s="500"/>
      <c r="O641" s="500"/>
      <c r="P641" s="500"/>
      <c r="Q641" s="500"/>
      <c r="R641" s="500"/>
      <c r="S641" s="500"/>
      <c r="T641" s="500"/>
      <c r="U641" s="500"/>
      <c r="V641" s="500"/>
      <c r="W641" s="500"/>
      <c r="X641" s="500"/>
      <c r="Y641" s="500"/>
      <c r="Z641" s="501"/>
      <c r="AA641" s="501"/>
      <c r="AB641" s="501"/>
      <c r="AC641" s="501"/>
      <c r="AD641" s="500"/>
      <c r="AE641" s="500"/>
      <c r="AF641" s="503"/>
      <c r="AG641" s="503"/>
      <c r="AH641" s="504"/>
      <c r="AI641" s="500"/>
      <c r="AJ641" s="500"/>
      <c r="AK641" s="500"/>
      <c r="AL641" s="500"/>
      <c r="AM641" s="500"/>
      <c r="AN641" s="500"/>
      <c r="AO641" s="500"/>
      <c r="AP641" s="500"/>
      <c r="AQ641" s="500"/>
      <c r="AR641" s="500"/>
      <c r="AS641" s="500"/>
      <c r="AT641" s="500"/>
      <c r="AU641" s="500"/>
      <c r="AV641" s="500"/>
      <c r="AW641" s="500"/>
      <c r="AX641" s="500"/>
      <c r="AY641" s="500"/>
      <c r="AZ641" s="500"/>
      <c r="BA641" s="500"/>
      <c r="BB641" s="500"/>
      <c r="BC641" s="500"/>
      <c r="BD641" s="500"/>
      <c r="BE641" s="500"/>
      <c r="BF641" s="500"/>
      <c r="BG641" s="500"/>
      <c r="BH641" s="500"/>
      <c r="BI641" s="500"/>
      <c r="BJ641" s="500"/>
      <c r="BK641" s="500"/>
      <c r="BL641" s="500"/>
      <c r="BM641" s="500"/>
      <c r="BN641" s="500"/>
      <c r="BO641" s="500"/>
      <c r="BP641" s="500"/>
      <c r="BQ641" s="500"/>
      <c r="BR641" s="500"/>
      <c r="BS641" s="500"/>
      <c r="BT641" s="500"/>
      <c r="BU641" s="500"/>
      <c r="BV641" s="500"/>
    </row>
    <row r="642" ht="14.25" customHeight="1">
      <c r="A642" s="500"/>
      <c r="B642" s="500"/>
      <c r="C642" s="500"/>
      <c r="D642" s="500"/>
      <c r="E642" s="500"/>
      <c r="F642" s="500"/>
      <c r="G642" s="500"/>
      <c r="H642" s="500"/>
      <c r="I642" s="500"/>
      <c r="J642" s="500"/>
      <c r="K642" s="500"/>
      <c r="L642" s="500"/>
      <c r="M642" s="500"/>
      <c r="N642" s="500"/>
      <c r="O642" s="500"/>
      <c r="P642" s="500"/>
      <c r="Q642" s="500"/>
      <c r="R642" s="500"/>
      <c r="S642" s="500"/>
      <c r="T642" s="500"/>
      <c r="U642" s="500"/>
      <c r="V642" s="500"/>
      <c r="W642" s="500"/>
      <c r="X642" s="500"/>
      <c r="Y642" s="500"/>
      <c r="Z642" s="501"/>
      <c r="AA642" s="501"/>
      <c r="AB642" s="501"/>
      <c r="AC642" s="501"/>
      <c r="AD642" s="500"/>
      <c r="AE642" s="500"/>
      <c r="AF642" s="503"/>
      <c r="AG642" s="503"/>
      <c r="AH642" s="504"/>
      <c r="AI642" s="500"/>
      <c r="AJ642" s="500"/>
      <c r="AK642" s="500"/>
      <c r="AL642" s="500"/>
      <c r="AM642" s="500"/>
      <c r="AN642" s="500"/>
      <c r="AO642" s="500"/>
      <c r="AP642" s="500"/>
      <c r="AQ642" s="500"/>
      <c r="AR642" s="500"/>
      <c r="AS642" s="500"/>
      <c r="AT642" s="500"/>
      <c r="AU642" s="500"/>
      <c r="AV642" s="500"/>
      <c r="AW642" s="500"/>
      <c r="AX642" s="500"/>
      <c r="AY642" s="500"/>
      <c r="AZ642" s="500"/>
      <c r="BA642" s="500"/>
      <c r="BB642" s="500"/>
      <c r="BC642" s="500"/>
      <c r="BD642" s="500"/>
      <c r="BE642" s="500"/>
      <c r="BF642" s="500"/>
      <c r="BG642" s="500"/>
      <c r="BH642" s="500"/>
      <c r="BI642" s="500"/>
      <c r="BJ642" s="500"/>
      <c r="BK642" s="500"/>
      <c r="BL642" s="500"/>
      <c r="BM642" s="500"/>
      <c r="BN642" s="500"/>
      <c r="BO642" s="500"/>
      <c r="BP642" s="500"/>
      <c r="BQ642" s="500"/>
      <c r="BR642" s="500"/>
      <c r="BS642" s="500"/>
      <c r="BT642" s="500"/>
      <c r="BU642" s="500"/>
      <c r="BV642" s="500"/>
    </row>
    <row r="643" ht="14.25" customHeight="1">
      <c r="A643" s="500"/>
      <c r="B643" s="500"/>
      <c r="C643" s="500"/>
      <c r="D643" s="500"/>
      <c r="E643" s="500"/>
      <c r="F643" s="500"/>
      <c r="G643" s="500"/>
      <c r="H643" s="500"/>
      <c r="I643" s="500"/>
      <c r="J643" s="500"/>
      <c r="K643" s="500"/>
      <c r="L643" s="500"/>
      <c r="M643" s="500"/>
      <c r="N643" s="500"/>
      <c r="O643" s="500"/>
      <c r="P643" s="500"/>
      <c r="Q643" s="500"/>
      <c r="R643" s="500"/>
      <c r="S643" s="500"/>
      <c r="T643" s="500"/>
      <c r="U643" s="500"/>
      <c r="V643" s="500"/>
      <c r="W643" s="500"/>
      <c r="X643" s="500"/>
      <c r="Y643" s="500"/>
      <c r="Z643" s="501"/>
      <c r="AA643" s="501"/>
      <c r="AB643" s="501"/>
      <c r="AC643" s="501"/>
      <c r="AD643" s="500"/>
      <c r="AE643" s="500"/>
      <c r="AF643" s="503"/>
      <c r="AG643" s="503"/>
      <c r="AH643" s="504"/>
      <c r="AI643" s="500"/>
      <c r="AJ643" s="500"/>
      <c r="AK643" s="500"/>
      <c r="AL643" s="500"/>
      <c r="AM643" s="500"/>
      <c r="AN643" s="500"/>
      <c r="AO643" s="500"/>
      <c r="AP643" s="500"/>
      <c r="AQ643" s="500"/>
      <c r="AR643" s="500"/>
      <c r="AS643" s="500"/>
      <c r="AT643" s="500"/>
      <c r="AU643" s="500"/>
      <c r="AV643" s="500"/>
      <c r="AW643" s="500"/>
      <c r="AX643" s="500"/>
      <c r="AY643" s="500"/>
      <c r="AZ643" s="500"/>
      <c r="BA643" s="500"/>
      <c r="BB643" s="500"/>
      <c r="BC643" s="500"/>
      <c r="BD643" s="500"/>
      <c r="BE643" s="500"/>
      <c r="BF643" s="500"/>
      <c r="BG643" s="500"/>
      <c r="BH643" s="500"/>
      <c r="BI643" s="500"/>
      <c r="BJ643" s="500"/>
      <c r="BK643" s="500"/>
      <c r="BL643" s="500"/>
      <c r="BM643" s="500"/>
      <c r="BN643" s="500"/>
      <c r="BO643" s="500"/>
      <c r="BP643" s="500"/>
      <c r="BQ643" s="500"/>
      <c r="BR643" s="500"/>
      <c r="BS643" s="500"/>
      <c r="BT643" s="500"/>
      <c r="BU643" s="500"/>
      <c r="BV643" s="500"/>
    </row>
    <row r="644" ht="14.25" customHeight="1">
      <c r="A644" s="500"/>
      <c r="B644" s="500"/>
      <c r="C644" s="500"/>
      <c r="D644" s="500"/>
      <c r="E644" s="500"/>
      <c r="F644" s="500"/>
      <c r="G644" s="500"/>
      <c r="H644" s="500"/>
      <c r="I644" s="500"/>
      <c r="J644" s="500"/>
      <c r="K644" s="500"/>
      <c r="L644" s="500"/>
      <c r="M644" s="500"/>
      <c r="N644" s="500"/>
      <c r="O644" s="500"/>
      <c r="P644" s="500"/>
      <c r="Q644" s="500"/>
      <c r="R644" s="500"/>
      <c r="S644" s="500"/>
      <c r="T644" s="500"/>
      <c r="U644" s="500"/>
      <c r="V644" s="500"/>
      <c r="W644" s="500"/>
      <c r="X644" s="500"/>
      <c r="Y644" s="500"/>
      <c r="Z644" s="501"/>
      <c r="AA644" s="501"/>
      <c r="AB644" s="501"/>
      <c r="AC644" s="501"/>
      <c r="AD644" s="500"/>
      <c r="AE644" s="500"/>
      <c r="AF644" s="503"/>
      <c r="AG644" s="503"/>
      <c r="AH644" s="504"/>
      <c r="AI644" s="500"/>
      <c r="AJ644" s="500"/>
      <c r="AK644" s="500"/>
      <c r="AL644" s="500"/>
      <c r="AM644" s="500"/>
      <c r="AN644" s="500"/>
      <c r="AO644" s="500"/>
      <c r="AP644" s="500"/>
      <c r="AQ644" s="500"/>
      <c r="AR644" s="500"/>
      <c r="AS644" s="500"/>
      <c r="AT644" s="500"/>
      <c r="AU644" s="500"/>
      <c r="AV644" s="500"/>
      <c r="AW644" s="500"/>
      <c r="AX644" s="500"/>
      <c r="AY644" s="500"/>
      <c r="AZ644" s="500"/>
      <c r="BA644" s="500"/>
      <c r="BB644" s="500"/>
      <c r="BC644" s="500"/>
      <c r="BD644" s="500"/>
      <c r="BE644" s="500"/>
      <c r="BF644" s="500"/>
      <c r="BG644" s="500"/>
      <c r="BH644" s="500"/>
      <c r="BI644" s="500"/>
      <c r="BJ644" s="500"/>
      <c r="BK644" s="500"/>
      <c r="BL644" s="500"/>
      <c r="BM644" s="500"/>
      <c r="BN644" s="500"/>
      <c r="BO644" s="500"/>
      <c r="BP644" s="500"/>
      <c r="BQ644" s="500"/>
      <c r="BR644" s="500"/>
      <c r="BS644" s="500"/>
      <c r="BT644" s="500"/>
      <c r="BU644" s="500"/>
      <c r="BV644" s="500"/>
    </row>
    <row r="645" ht="14.25" customHeight="1">
      <c r="A645" s="500"/>
      <c r="B645" s="500"/>
      <c r="C645" s="500"/>
      <c r="D645" s="500"/>
      <c r="E645" s="500"/>
      <c r="F645" s="500"/>
      <c r="G645" s="500"/>
      <c r="H645" s="500"/>
      <c r="I645" s="500"/>
      <c r="J645" s="500"/>
      <c r="K645" s="500"/>
      <c r="L645" s="500"/>
      <c r="M645" s="500"/>
      <c r="N645" s="500"/>
      <c r="O645" s="500"/>
      <c r="P645" s="500"/>
      <c r="Q645" s="500"/>
      <c r="R645" s="500"/>
      <c r="S645" s="500"/>
      <c r="T645" s="500"/>
      <c r="U645" s="500"/>
      <c r="V645" s="500"/>
      <c r="W645" s="500"/>
      <c r="X645" s="500"/>
      <c r="Y645" s="500"/>
      <c r="Z645" s="501"/>
      <c r="AA645" s="501"/>
      <c r="AB645" s="501"/>
      <c r="AC645" s="501"/>
      <c r="AD645" s="500"/>
      <c r="AE645" s="500"/>
      <c r="AF645" s="503"/>
      <c r="AG645" s="503"/>
      <c r="AH645" s="504"/>
      <c r="AI645" s="500"/>
      <c r="AJ645" s="500"/>
      <c r="AK645" s="500"/>
      <c r="AL645" s="500"/>
      <c r="AM645" s="500"/>
      <c r="AN645" s="500"/>
      <c r="AO645" s="500"/>
      <c r="AP645" s="500"/>
      <c r="AQ645" s="500"/>
      <c r="AR645" s="500"/>
      <c r="AS645" s="500"/>
      <c r="AT645" s="500"/>
      <c r="AU645" s="500"/>
      <c r="AV645" s="500"/>
      <c r="AW645" s="500"/>
      <c r="AX645" s="500"/>
      <c r="AY645" s="500"/>
      <c r="AZ645" s="500"/>
      <c r="BA645" s="500"/>
      <c r="BB645" s="500"/>
      <c r="BC645" s="500"/>
      <c r="BD645" s="500"/>
      <c r="BE645" s="500"/>
      <c r="BF645" s="500"/>
      <c r="BG645" s="500"/>
      <c r="BH645" s="500"/>
      <c r="BI645" s="500"/>
      <c r="BJ645" s="500"/>
      <c r="BK645" s="500"/>
      <c r="BL645" s="500"/>
      <c r="BM645" s="500"/>
      <c r="BN645" s="500"/>
      <c r="BO645" s="500"/>
      <c r="BP645" s="500"/>
      <c r="BQ645" s="500"/>
      <c r="BR645" s="500"/>
      <c r="BS645" s="500"/>
      <c r="BT645" s="500"/>
      <c r="BU645" s="500"/>
      <c r="BV645" s="500"/>
    </row>
    <row r="646" ht="14.25" customHeight="1">
      <c r="A646" s="500"/>
      <c r="B646" s="500"/>
      <c r="C646" s="500"/>
      <c r="D646" s="500"/>
      <c r="E646" s="500"/>
      <c r="F646" s="500"/>
      <c r="G646" s="500"/>
      <c r="H646" s="500"/>
      <c r="I646" s="500"/>
      <c r="J646" s="500"/>
      <c r="K646" s="500"/>
      <c r="L646" s="500"/>
      <c r="M646" s="500"/>
      <c r="N646" s="500"/>
      <c r="O646" s="500"/>
      <c r="P646" s="500"/>
      <c r="Q646" s="500"/>
      <c r="R646" s="500"/>
      <c r="S646" s="500"/>
      <c r="T646" s="500"/>
      <c r="U646" s="500"/>
      <c r="V646" s="500"/>
      <c r="W646" s="500"/>
      <c r="X646" s="500"/>
      <c r="Y646" s="500"/>
      <c r="Z646" s="501"/>
      <c r="AA646" s="501"/>
      <c r="AB646" s="501"/>
      <c r="AC646" s="501"/>
      <c r="AD646" s="500"/>
      <c r="AE646" s="500"/>
      <c r="AF646" s="503"/>
      <c r="AG646" s="503"/>
      <c r="AH646" s="504"/>
      <c r="AI646" s="500"/>
      <c r="AJ646" s="500"/>
      <c r="AK646" s="500"/>
      <c r="AL646" s="500"/>
      <c r="AM646" s="500"/>
      <c r="AN646" s="500"/>
      <c r="AO646" s="500"/>
      <c r="AP646" s="500"/>
      <c r="AQ646" s="500"/>
      <c r="AR646" s="500"/>
      <c r="AS646" s="500"/>
      <c r="AT646" s="500"/>
      <c r="AU646" s="500"/>
      <c r="AV646" s="500"/>
      <c r="AW646" s="500"/>
      <c r="AX646" s="500"/>
      <c r="AY646" s="500"/>
      <c r="AZ646" s="500"/>
      <c r="BA646" s="500"/>
      <c r="BB646" s="500"/>
      <c r="BC646" s="500"/>
      <c r="BD646" s="500"/>
      <c r="BE646" s="500"/>
      <c r="BF646" s="500"/>
      <c r="BG646" s="500"/>
      <c r="BH646" s="500"/>
      <c r="BI646" s="500"/>
      <c r="BJ646" s="500"/>
      <c r="BK646" s="500"/>
      <c r="BL646" s="500"/>
      <c r="BM646" s="500"/>
      <c r="BN646" s="500"/>
      <c r="BO646" s="500"/>
      <c r="BP646" s="500"/>
      <c r="BQ646" s="500"/>
      <c r="BR646" s="500"/>
      <c r="BS646" s="500"/>
      <c r="BT646" s="500"/>
      <c r="BU646" s="500"/>
      <c r="BV646" s="500"/>
    </row>
    <row r="647" ht="14.25" customHeight="1">
      <c r="A647" s="500"/>
      <c r="B647" s="500"/>
      <c r="C647" s="500"/>
      <c r="D647" s="500"/>
      <c r="E647" s="500"/>
      <c r="F647" s="500"/>
      <c r="G647" s="500"/>
      <c r="H647" s="500"/>
      <c r="I647" s="500"/>
      <c r="J647" s="500"/>
      <c r="K647" s="500"/>
      <c r="L647" s="500"/>
      <c r="M647" s="500"/>
      <c r="N647" s="500"/>
      <c r="O647" s="500"/>
      <c r="P647" s="500"/>
      <c r="Q647" s="500"/>
      <c r="R647" s="500"/>
      <c r="S647" s="500"/>
      <c r="T647" s="500"/>
      <c r="U647" s="500"/>
      <c r="V647" s="500"/>
      <c r="W647" s="500"/>
      <c r="X647" s="500"/>
      <c r="Y647" s="500"/>
      <c r="Z647" s="501"/>
      <c r="AA647" s="501"/>
      <c r="AB647" s="501"/>
      <c r="AC647" s="501"/>
      <c r="AD647" s="500"/>
      <c r="AE647" s="500"/>
      <c r="AF647" s="503"/>
      <c r="AG647" s="503"/>
      <c r="AH647" s="504"/>
      <c r="AI647" s="500"/>
      <c r="AJ647" s="500"/>
      <c r="AK647" s="500"/>
      <c r="AL647" s="500"/>
      <c r="AM647" s="500"/>
      <c r="AN647" s="500"/>
      <c r="AO647" s="500"/>
      <c r="AP647" s="500"/>
      <c r="AQ647" s="500"/>
      <c r="AR647" s="500"/>
      <c r="AS647" s="500"/>
      <c r="AT647" s="500"/>
      <c r="AU647" s="500"/>
      <c r="AV647" s="500"/>
      <c r="AW647" s="500"/>
      <c r="AX647" s="500"/>
      <c r="AY647" s="500"/>
      <c r="AZ647" s="500"/>
      <c r="BA647" s="500"/>
      <c r="BB647" s="500"/>
      <c r="BC647" s="500"/>
      <c r="BD647" s="500"/>
      <c r="BE647" s="500"/>
      <c r="BF647" s="500"/>
      <c r="BG647" s="500"/>
      <c r="BH647" s="500"/>
      <c r="BI647" s="500"/>
      <c r="BJ647" s="500"/>
      <c r="BK647" s="500"/>
      <c r="BL647" s="500"/>
      <c r="BM647" s="500"/>
      <c r="BN647" s="500"/>
      <c r="BO647" s="500"/>
      <c r="BP647" s="500"/>
      <c r="BQ647" s="500"/>
      <c r="BR647" s="500"/>
      <c r="BS647" s="500"/>
      <c r="BT647" s="500"/>
      <c r="BU647" s="500"/>
      <c r="BV647" s="500"/>
    </row>
    <row r="648" ht="14.25" customHeight="1">
      <c r="A648" s="500"/>
      <c r="B648" s="500"/>
      <c r="C648" s="500"/>
      <c r="D648" s="500"/>
      <c r="E648" s="500"/>
      <c r="F648" s="500"/>
      <c r="G648" s="500"/>
      <c r="H648" s="500"/>
      <c r="I648" s="500"/>
      <c r="J648" s="500"/>
      <c r="K648" s="500"/>
      <c r="L648" s="500"/>
      <c r="M648" s="500"/>
      <c r="N648" s="500"/>
      <c r="O648" s="500"/>
      <c r="P648" s="500"/>
      <c r="Q648" s="500"/>
      <c r="R648" s="500"/>
      <c r="S648" s="500"/>
      <c r="T648" s="500"/>
      <c r="U648" s="500"/>
      <c r="V648" s="500"/>
      <c r="W648" s="500"/>
      <c r="X648" s="500"/>
      <c r="Y648" s="500"/>
      <c r="Z648" s="501"/>
      <c r="AA648" s="501"/>
      <c r="AB648" s="501"/>
      <c r="AC648" s="501"/>
      <c r="AD648" s="500"/>
      <c r="AE648" s="500"/>
      <c r="AF648" s="503"/>
      <c r="AG648" s="503"/>
      <c r="AH648" s="504"/>
      <c r="AI648" s="500"/>
      <c r="AJ648" s="500"/>
      <c r="AK648" s="500"/>
      <c r="AL648" s="500"/>
      <c r="AM648" s="500"/>
      <c r="AN648" s="500"/>
      <c r="AO648" s="500"/>
      <c r="AP648" s="500"/>
      <c r="AQ648" s="500"/>
      <c r="AR648" s="500"/>
      <c r="AS648" s="500"/>
      <c r="AT648" s="500"/>
      <c r="AU648" s="500"/>
      <c r="AV648" s="500"/>
      <c r="AW648" s="500"/>
      <c r="AX648" s="500"/>
      <c r="AY648" s="500"/>
      <c r="AZ648" s="500"/>
      <c r="BA648" s="500"/>
      <c r="BB648" s="500"/>
      <c r="BC648" s="500"/>
      <c r="BD648" s="500"/>
      <c r="BE648" s="500"/>
      <c r="BF648" s="500"/>
      <c r="BG648" s="500"/>
      <c r="BH648" s="500"/>
      <c r="BI648" s="500"/>
      <c r="BJ648" s="500"/>
      <c r="BK648" s="500"/>
      <c r="BL648" s="500"/>
      <c r="BM648" s="500"/>
      <c r="BN648" s="500"/>
      <c r="BO648" s="500"/>
      <c r="BP648" s="500"/>
      <c r="BQ648" s="500"/>
      <c r="BR648" s="500"/>
      <c r="BS648" s="500"/>
      <c r="BT648" s="500"/>
      <c r="BU648" s="500"/>
      <c r="BV648" s="500"/>
    </row>
    <row r="649" ht="14.25" customHeight="1">
      <c r="A649" s="500"/>
      <c r="B649" s="500"/>
      <c r="C649" s="500"/>
      <c r="D649" s="500"/>
      <c r="E649" s="500"/>
      <c r="F649" s="500"/>
      <c r="G649" s="500"/>
      <c r="H649" s="500"/>
      <c r="I649" s="500"/>
      <c r="J649" s="500"/>
      <c r="K649" s="500"/>
      <c r="L649" s="500"/>
      <c r="M649" s="500"/>
      <c r="N649" s="500"/>
      <c r="O649" s="500"/>
      <c r="P649" s="500"/>
      <c r="Q649" s="500"/>
      <c r="R649" s="500"/>
      <c r="S649" s="500"/>
      <c r="T649" s="500"/>
      <c r="U649" s="500"/>
      <c r="V649" s="500"/>
      <c r="W649" s="500"/>
      <c r="X649" s="500"/>
      <c r="Y649" s="500"/>
      <c r="Z649" s="501"/>
      <c r="AA649" s="501"/>
      <c r="AB649" s="501"/>
      <c r="AC649" s="501"/>
      <c r="AD649" s="500"/>
      <c r="AE649" s="500"/>
      <c r="AF649" s="503"/>
      <c r="AG649" s="503"/>
      <c r="AH649" s="504"/>
      <c r="AI649" s="500"/>
      <c r="AJ649" s="500"/>
      <c r="AK649" s="500"/>
      <c r="AL649" s="500"/>
      <c r="AM649" s="500"/>
      <c r="AN649" s="500"/>
      <c r="AO649" s="500"/>
      <c r="AP649" s="500"/>
      <c r="AQ649" s="500"/>
      <c r="AR649" s="500"/>
      <c r="AS649" s="500"/>
      <c r="AT649" s="500"/>
      <c r="AU649" s="500"/>
      <c r="AV649" s="500"/>
      <c r="AW649" s="500"/>
      <c r="AX649" s="500"/>
      <c r="AY649" s="500"/>
      <c r="AZ649" s="500"/>
      <c r="BA649" s="500"/>
      <c r="BB649" s="500"/>
      <c r="BC649" s="500"/>
      <c r="BD649" s="500"/>
      <c r="BE649" s="500"/>
      <c r="BF649" s="500"/>
      <c r="BG649" s="500"/>
      <c r="BH649" s="500"/>
      <c r="BI649" s="500"/>
      <c r="BJ649" s="500"/>
      <c r="BK649" s="500"/>
      <c r="BL649" s="500"/>
      <c r="BM649" s="500"/>
      <c r="BN649" s="500"/>
      <c r="BO649" s="500"/>
      <c r="BP649" s="500"/>
      <c r="BQ649" s="500"/>
      <c r="BR649" s="500"/>
      <c r="BS649" s="500"/>
      <c r="BT649" s="500"/>
      <c r="BU649" s="500"/>
      <c r="BV649" s="500"/>
    </row>
    <row r="650" ht="14.25" customHeight="1">
      <c r="A650" s="500"/>
      <c r="B650" s="500"/>
      <c r="C650" s="500"/>
      <c r="D650" s="500"/>
      <c r="E650" s="500"/>
      <c r="F650" s="500"/>
      <c r="G650" s="500"/>
      <c r="H650" s="500"/>
      <c r="I650" s="500"/>
      <c r="J650" s="500"/>
      <c r="K650" s="500"/>
      <c r="L650" s="500"/>
      <c r="M650" s="500"/>
      <c r="N650" s="500"/>
      <c r="O650" s="500"/>
      <c r="P650" s="500"/>
      <c r="Q650" s="500"/>
      <c r="R650" s="500"/>
      <c r="S650" s="500"/>
      <c r="T650" s="500"/>
      <c r="U650" s="500"/>
      <c r="V650" s="500"/>
      <c r="W650" s="500"/>
      <c r="X650" s="500"/>
      <c r="Y650" s="500"/>
      <c r="Z650" s="501"/>
      <c r="AA650" s="501"/>
      <c r="AB650" s="501"/>
      <c r="AC650" s="501"/>
      <c r="AD650" s="500"/>
      <c r="AE650" s="500"/>
      <c r="AF650" s="503"/>
      <c r="AG650" s="503"/>
      <c r="AH650" s="504"/>
      <c r="AI650" s="500"/>
      <c r="AJ650" s="500"/>
      <c r="AK650" s="500"/>
      <c r="AL650" s="500"/>
      <c r="AM650" s="500"/>
      <c r="AN650" s="500"/>
      <c r="AO650" s="500"/>
      <c r="AP650" s="500"/>
      <c r="AQ650" s="500"/>
      <c r="AR650" s="500"/>
      <c r="AS650" s="500"/>
      <c r="AT650" s="500"/>
      <c r="AU650" s="500"/>
      <c r="AV650" s="500"/>
      <c r="AW650" s="500"/>
      <c r="AX650" s="500"/>
      <c r="AY650" s="500"/>
      <c r="AZ650" s="500"/>
      <c r="BA650" s="500"/>
      <c r="BB650" s="500"/>
      <c r="BC650" s="500"/>
      <c r="BD650" s="500"/>
      <c r="BE650" s="500"/>
      <c r="BF650" s="500"/>
      <c r="BG650" s="500"/>
      <c r="BH650" s="500"/>
      <c r="BI650" s="500"/>
      <c r="BJ650" s="500"/>
      <c r="BK650" s="500"/>
      <c r="BL650" s="500"/>
      <c r="BM650" s="500"/>
      <c r="BN650" s="500"/>
      <c r="BO650" s="500"/>
      <c r="BP650" s="500"/>
      <c r="BQ650" s="500"/>
      <c r="BR650" s="500"/>
      <c r="BS650" s="500"/>
      <c r="BT650" s="500"/>
      <c r="BU650" s="500"/>
      <c r="BV650" s="500"/>
    </row>
    <row r="651" ht="14.25" customHeight="1">
      <c r="A651" s="500"/>
      <c r="B651" s="500"/>
      <c r="C651" s="500"/>
      <c r="D651" s="500"/>
      <c r="E651" s="500"/>
      <c r="F651" s="500"/>
      <c r="G651" s="500"/>
      <c r="H651" s="500"/>
      <c r="I651" s="500"/>
      <c r="J651" s="500"/>
      <c r="K651" s="500"/>
      <c r="L651" s="500"/>
      <c r="M651" s="500"/>
      <c r="N651" s="500"/>
      <c r="O651" s="500"/>
      <c r="P651" s="500"/>
      <c r="Q651" s="500"/>
      <c r="R651" s="500"/>
      <c r="S651" s="500"/>
      <c r="T651" s="500"/>
      <c r="U651" s="500"/>
      <c r="V651" s="500"/>
      <c r="W651" s="500"/>
      <c r="X651" s="500"/>
      <c r="Y651" s="500"/>
      <c r="Z651" s="501"/>
      <c r="AA651" s="501"/>
      <c r="AB651" s="501"/>
      <c r="AC651" s="501"/>
      <c r="AD651" s="500"/>
      <c r="AE651" s="500"/>
      <c r="AF651" s="503"/>
      <c r="AG651" s="503"/>
      <c r="AH651" s="504"/>
      <c r="AI651" s="500"/>
      <c r="AJ651" s="500"/>
      <c r="AK651" s="500"/>
      <c r="AL651" s="500"/>
      <c r="AM651" s="500"/>
      <c r="AN651" s="500"/>
      <c r="AO651" s="500"/>
      <c r="AP651" s="500"/>
      <c r="AQ651" s="500"/>
      <c r="AR651" s="500"/>
      <c r="AS651" s="500"/>
      <c r="AT651" s="500"/>
      <c r="AU651" s="500"/>
      <c r="AV651" s="500"/>
      <c r="AW651" s="500"/>
      <c r="AX651" s="500"/>
      <c r="AY651" s="500"/>
      <c r="AZ651" s="500"/>
      <c r="BA651" s="500"/>
      <c r="BB651" s="500"/>
      <c r="BC651" s="500"/>
      <c r="BD651" s="500"/>
      <c r="BE651" s="500"/>
      <c r="BF651" s="500"/>
      <c r="BG651" s="500"/>
      <c r="BH651" s="500"/>
      <c r="BI651" s="500"/>
      <c r="BJ651" s="500"/>
      <c r="BK651" s="500"/>
      <c r="BL651" s="500"/>
      <c r="BM651" s="500"/>
      <c r="BN651" s="500"/>
      <c r="BO651" s="500"/>
      <c r="BP651" s="500"/>
      <c r="BQ651" s="500"/>
      <c r="BR651" s="500"/>
      <c r="BS651" s="500"/>
      <c r="BT651" s="500"/>
      <c r="BU651" s="500"/>
      <c r="BV651" s="500"/>
    </row>
    <row r="652" ht="14.25" customHeight="1">
      <c r="A652" s="500"/>
      <c r="B652" s="500"/>
      <c r="C652" s="500"/>
      <c r="D652" s="500"/>
      <c r="E652" s="500"/>
      <c r="F652" s="500"/>
      <c r="G652" s="500"/>
      <c r="H652" s="500"/>
      <c r="I652" s="500"/>
      <c r="J652" s="500"/>
      <c r="K652" s="500"/>
      <c r="L652" s="500"/>
      <c r="M652" s="500"/>
      <c r="N652" s="500"/>
      <c r="O652" s="500"/>
      <c r="P652" s="500"/>
      <c r="Q652" s="500"/>
      <c r="R652" s="500"/>
      <c r="S652" s="500"/>
      <c r="T652" s="500"/>
      <c r="U652" s="500"/>
      <c r="V652" s="500"/>
      <c r="W652" s="500"/>
      <c r="X652" s="500"/>
      <c r="Y652" s="500"/>
      <c r="Z652" s="501"/>
      <c r="AA652" s="501"/>
      <c r="AB652" s="501"/>
      <c r="AC652" s="501"/>
      <c r="AD652" s="500"/>
      <c r="AE652" s="500"/>
      <c r="AF652" s="503"/>
      <c r="AG652" s="503"/>
      <c r="AH652" s="504"/>
      <c r="AI652" s="500"/>
      <c r="AJ652" s="500"/>
      <c r="AK652" s="500"/>
      <c r="AL652" s="500"/>
      <c r="AM652" s="500"/>
      <c r="AN652" s="500"/>
      <c r="AO652" s="500"/>
      <c r="AP652" s="500"/>
      <c r="AQ652" s="500"/>
      <c r="AR652" s="500"/>
      <c r="AS652" s="500"/>
      <c r="AT652" s="500"/>
      <c r="AU652" s="500"/>
      <c r="AV652" s="500"/>
      <c r="AW652" s="500"/>
      <c r="AX652" s="500"/>
      <c r="AY652" s="500"/>
      <c r="AZ652" s="500"/>
      <c r="BA652" s="500"/>
      <c r="BB652" s="500"/>
      <c r="BC652" s="500"/>
      <c r="BD652" s="500"/>
      <c r="BE652" s="500"/>
      <c r="BF652" s="500"/>
      <c r="BG652" s="500"/>
      <c r="BH652" s="500"/>
      <c r="BI652" s="500"/>
      <c r="BJ652" s="500"/>
      <c r="BK652" s="500"/>
      <c r="BL652" s="500"/>
      <c r="BM652" s="500"/>
      <c r="BN652" s="500"/>
      <c r="BO652" s="500"/>
      <c r="BP652" s="500"/>
      <c r="BQ652" s="500"/>
      <c r="BR652" s="500"/>
      <c r="BS652" s="500"/>
      <c r="BT652" s="500"/>
      <c r="BU652" s="500"/>
      <c r="BV652" s="500"/>
    </row>
    <row r="653" ht="14.25" customHeight="1">
      <c r="A653" s="500"/>
      <c r="B653" s="500"/>
      <c r="C653" s="500"/>
      <c r="D653" s="500"/>
      <c r="E653" s="500"/>
      <c r="F653" s="500"/>
      <c r="G653" s="500"/>
      <c r="H653" s="500"/>
      <c r="I653" s="500"/>
      <c r="J653" s="500"/>
      <c r="K653" s="500"/>
      <c r="L653" s="500"/>
      <c r="M653" s="500"/>
      <c r="N653" s="500"/>
      <c r="O653" s="500"/>
      <c r="P653" s="500"/>
      <c r="Q653" s="500"/>
      <c r="R653" s="500"/>
      <c r="S653" s="500"/>
      <c r="T653" s="500"/>
      <c r="U653" s="500"/>
      <c r="V653" s="500"/>
      <c r="W653" s="500"/>
      <c r="X653" s="500"/>
      <c r="Y653" s="500"/>
      <c r="Z653" s="501"/>
      <c r="AA653" s="501"/>
      <c r="AB653" s="501"/>
      <c r="AC653" s="501"/>
      <c r="AD653" s="500"/>
      <c r="AE653" s="500"/>
      <c r="AF653" s="503"/>
      <c r="AG653" s="503"/>
      <c r="AH653" s="504"/>
      <c r="AI653" s="500"/>
      <c r="AJ653" s="500"/>
      <c r="AK653" s="500"/>
      <c r="AL653" s="500"/>
      <c r="AM653" s="500"/>
      <c r="AN653" s="500"/>
      <c r="AO653" s="500"/>
      <c r="AP653" s="500"/>
      <c r="AQ653" s="500"/>
      <c r="AR653" s="500"/>
      <c r="AS653" s="500"/>
      <c r="AT653" s="500"/>
      <c r="AU653" s="500"/>
      <c r="AV653" s="500"/>
      <c r="AW653" s="500"/>
      <c r="AX653" s="500"/>
      <c r="AY653" s="500"/>
      <c r="AZ653" s="500"/>
      <c r="BA653" s="500"/>
      <c r="BB653" s="500"/>
      <c r="BC653" s="500"/>
      <c r="BD653" s="500"/>
      <c r="BE653" s="500"/>
      <c r="BF653" s="500"/>
      <c r="BG653" s="500"/>
      <c r="BH653" s="500"/>
      <c r="BI653" s="500"/>
      <c r="BJ653" s="500"/>
      <c r="BK653" s="500"/>
      <c r="BL653" s="500"/>
      <c r="BM653" s="500"/>
      <c r="BN653" s="500"/>
      <c r="BO653" s="500"/>
      <c r="BP653" s="500"/>
      <c r="BQ653" s="500"/>
      <c r="BR653" s="500"/>
      <c r="BS653" s="500"/>
      <c r="BT653" s="500"/>
      <c r="BU653" s="500"/>
      <c r="BV653" s="500"/>
    </row>
    <row r="654" ht="14.25" customHeight="1">
      <c r="A654" s="500"/>
      <c r="B654" s="500"/>
      <c r="C654" s="500"/>
      <c r="D654" s="500"/>
      <c r="E654" s="500"/>
      <c r="F654" s="500"/>
      <c r="G654" s="500"/>
      <c r="H654" s="500"/>
      <c r="I654" s="500"/>
      <c r="J654" s="500"/>
      <c r="K654" s="500"/>
      <c r="L654" s="500"/>
      <c r="M654" s="500"/>
      <c r="N654" s="500"/>
      <c r="O654" s="500"/>
      <c r="P654" s="500"/>
      <c r="Q654" s="500"/>
      <c r="R654" s="500"/>
      <c r="S654" s="500"/>
      <c r="T654" s="500"/>
      <c r="U654" s="500"/>
      <c r="V654" s="500"/>
      <c r="W654" s="500"/>
      <c r="X654" s="500"/>
      <c r="Y654" s="500"/>
      <c r="Z654" s="501"/>
      <c r="AA654" s="501"/>
      <c r="AB654" s="501"/>
      <c r="AC654" s="501"/>
      <c r="AD654" s="500"/>
      <c r="AE654" s="500"/>
      <c r="AF654" s="503"/>
      <c r="AG654" s="503"/>
      <c r="AH654" s="504"/>
      <c r="AI654" s="500"/>
      <c r="AJ654" s="500"/>
      <c r="AK654" s="500"/>
      <c r="AL654" s="500"/>
      <c r="AM654" s="500"/>
      <c r="AN654" s="500"/>
      <c r="AO654" s="500"/>
      <c r="AP654" s="500"/>
      <c r="AQ654" s="500"/>
      <c r="AR654" s="500"/>
      <c r="AS654" s="500"/>
      <c r="AT654" s="500"/>
      <c r="AU654" s="500"/>
      <c r="AV654" s="500"/>
      <c r="AW654" s="500"/>
      <c r="AX654" s="500"/>
      <c r="AY654" s="500"/>
      <c r="AZ654" s="500"/>
      <c r="BA654" s="500"/>
      <c r="BB654" s="500"/>
      <c r="BC654" s="500"/>
      <c r="BD654" s="500"/>
      <c r="BE654" s="500"/>
      <c r="BF654" s="500"/>
      <c r="BG654" s="500"/>
      <c r="BH654" s="500"/>
      <c r="BI654" s="500"/>
      <c r="BJ654" s="500"/>
      <c r="BK654" s="500"/>
      <c r="BL654" s="500"/>
      <c r="BM654" s="500"/>
      <c r="BN654" s="500"/>
      <c r="BO654" s="500"/>
      <c r="BP654" s="500"/>
      <c r="BQ654" s="500"/>
      <c r="BR654" s="500"/>
      <c r="BS654" s="500"/>
      <c r="BT654" s="500"/>
      <c r="BU654" s="500"/>
      <c r="BV654" s="500"/>
    </row>
    <row r="655" ht="14.25" customHeight="1">
      <c r="A655" s="500"/>
      <c r="B655" s="500"/>
      <c r="C655" s="500"/>
      <c r="D655" s="500"/>
      <c r="E655" s="500"/>
      <c r="F655" s="500"/>
      <c r="G655" s="500"/>
      <c r="H655" s="500"/>
      <c r="I655" s="500"/>
      <c r="J655" s="500"/>
      <c r="K655" s="500"/>
      <c r="L655" s="500"/>
      <c r="M655" s="500"/>
      <c r="N655" s="500"/>
      <c r="O655" s="500"/>
      <c r="P655" s="500"/>
      <c r="Q655" s="500"/>
      <c r="R655" s="500"/>
      <c r="S655" s="500"/>
      <c r="T655" s="500"/>
      <c r="U655" s="500"/>
      <c r="V655" s="500"/>
      <c r="W655" s="500"/>
      <c r="X655" s="500"/>
      <c r="Y655" s="500"/>
      <c r="Z655" s="501"/>
      <c r="AA655" s="501"/>
      <c r="AB655" s="501"/>
      <c r="AC655" s="501"/>
      <c r="AD655" s="500"/>
      <c r="AE655" s="500"/>
      <c r="AF655" s="503"/>
      <c r="AG655" s="503"/>
      <c r="AH655" s="504"/>
      <c r="AI655" s="500"/>
      <c r="AJ655" s="500"/>
      <c r="AK655" s="500"/>
      <c r="AL655" s="500"/>
      <c r="AM655" s="500"/>
      <c r="AN655" s="500"/>
      <c r="AO655" s="500"/>
      <c r="AP655" s="500"/>
      <c r="AQ655" s="500"/>
      <c r="AR655" s="500"/>
      <c r="AS655" s="500"/>
      <c r="AT655" s="500"/>
      <c r="AU655" s="500"/>
      <c r="AV655" s="500"/>
      <c r="AW655" s="500"/>
      <c r="AX655" s="500"/>
      <c r="AY655" s="500"/>
      <c r="AZ655" s="500"/>
      <c r="BA655" s="500"/>
      <c r="BB655" s="500"/>
      <c r="BC655" s="500"/>
      <c r="BD655" s="500"/>
      <c r="BE655" s="500"/>
      <c r="BF655" s="500"/>
      <c r="BG655" s="500"/>
      <c r="BH655" s="500"/>
      <c r="BI655" s="500"/>
      <c r="BJ655" s="500"/>
      <c r="BK655" s="500"/>
      <c r="BL655" s="500"/>
      <c r="BM655" s="500"/>
      <c r="BN655" s="500"/>
      <c r="BO655" s="500"/>
      <c r="BP655" s="500"/>
      <c r="BQ655" s="500"/>
      <c r="BR655" s="500"/>
      <c r="BS655" s="500"/>
      <c r="BT655" s="500"/>
      <c r="BU655" s="500"/>
      <c r="BV655" s="500"/>
    </row>
    <row r="656" ht="14.25" customHeight="1">
      <c r="A656" s="500"/>
      <c r="B656" s="500"/>
      <c r="C656" s="500"/>
      <c r="D656" s="500"/>
      <c r="E656" s="500"/>
      <c r="F656" s="500"/>
      <c r="G656" s="500"/>
      <c r="H656" s="500"/>
      <c r="I656" s="500"/>
      <c r="J656" s="500"/>
      <c r="K656" s="500"/>
      <c r="L656" s="500"/>
      <c r="M656" s="500"/>
      <c r="N656" s="500"/>
      <c r="O656" s="500"/>
      <c r="P656" s="500"/>
      <c r="Q656" s="500"/>
      <c r="R656" s="500"/>
      <c r="S656" s="500"/>
      <c r="T656" s="500"/>
      <c r="U656" s="500"/>
      <c r="V656" s="500"/>
      <c r="W656" s="500"/>
      <c r="X656" s="500"/>
      <c r="Y656" s="500"/>
      <c r="Z656" s="501"/>
      <c r="AA656" s="501"/>
      <c r="AB656" s="501"/>
      <c r="AC656" s="501"/>
      <c r="AD656" s="500"/>
      <c r="AE656" s="500"/>
      <c r="AF656" s="503"/>
      <c r="AG656" s="503"/>
      <c r="AH656" s="504"/>
      <c r="AI656" s="500"/>
      <c r="AJ656" s="500"/>
      <c r="AK656" s="500"/>
      <c r="AL656" s="500"/>
      <c r="AM656" s="500"/>
      <c r="AN656" s="500"/>
      <c r="AO656" s="500"/>
      <c r="AP656" s="500"/>
      <c r="AQ656" s="500"/>
      <c r="AR656" s="500"/>
      <c r="AS656" s="500"/>
      <c r="AT656" s="500"/>
      <c r="AU656" s="500"/>
      <c r="AV656" s="500"/>
      <c r="AW656" s="500"/>
      <c r="AX656" s="500"/>
      <c r="AY656" s="500"/>
      <c r="AZ656" s="500"/>
      <c r="BA656" s="500"/>
      <c r="BB656" s="500"/>
      <c r="BC656" s="500"/>
      <c r="BD656" s="500"/>
      <c r="BE656" s="500"/>
      <c r="BF656" s="500"/>
      <c r="BG656" s="500"/>
      <c r="BH656" s="500"/>
      <c r="BI656" s="500"/>
      <c r="BJ656" s="500"/>
      <c r="BK656" s="500"/>
      <c r="BL656" s="500"/>
      <c r="BM656" s="500"/>
      <c r="BN656" s="500"/>
      <c r="BO656" s="500"/>
      <c r="BP656" s="500"/>
      <c r="BQ656" s="500"/>
      <c r="BR656" s="500"/>
      <c r="BS656" s="500"/>
      <c r="BT656" s="500"/>
      <c r="BU656" s="500"/>
      <c r="BV656" s="500"/>
    </row>
    <row r="657" ht="14.25" customHeight="1">
      <c r="A657" s="500"/>
      <c r="B657" s="500"/>
      <c r="C657" s="500"/>
      <c r="D657" s="500"/>
      <c r="E657" s="500"/>
      <c r="F657" s="500"/>
      <c r="G657" s="500"/>
      <c r="H657" s="500"/>
      <c r="I657" s="500"/>
      <c r="J657" s="500"/>
      <c r="K657" s="500"/>
      <c r="L657" s="500"/>
      <c r="M657" s="500"/>
      <c r="N657" s="500"/>
      <c r="O657" s="500"/>
      <c r="P657" s="500"/>
      <c r="Q657" s="500"/>
      <c r="R657" s="500"/>
      <c r="S657" s="500"/>
      <c r="T657" s="500"/>
      <c r="U657" s="500"/>
      <c r="V657" s="500"/>
      <c r="W657" s="500"/>
      <c r="X657" s="500"/>
      <c r="Y657" s="500"/>
      <c r="Z657" s="501"/>
      <c r="AA657" s="501"/>
      <c r="AB657" s="501"/>
      <c r="AC657" s="501"/>
      <c r="AD657" s="500"/>
      <c r="AE657" s="500"/>
      <c r="AF657" s="503"/>
      <c r="AG657" s="503"/>
      <c r="AH657" s="504"/>
      <c r="AI657" s="500"/>
      <c r="AJ657" s="500"/>
      <c r="AK657" s="500"/>
      <c r="AL657" s="500"/>
      <c r="AM657" s="500"/>
      <c r="AN657" s="500"/>
      <c r="AO657" s="500"/>
      <c r="AP657" s="500"/>
      <c r="AQ657" s="500"/>
      <c r="AR657" s="500"/>
      <c r="AS657" s="500"/>
      <c r="AT657" s="500"/>
      <c r="AU657" s="500"/>
      <c r="AV657" s="500"/>
      <c r="AW657" s="500"/>
      <c r="AX657" s="500"/>
      <c r="AY657" s="500"/>
      <c r="AZ657" s="500"/>
      <c r="BA657" s="500"/>
      <c r="BB657" s="500"/>
      <c r="BC657" s="500"/>
      <c r="BD657" s="500"/>
      <c r="BE657" s="500"/>
      <c r="BF657" s="500"/>
      <c r="BG657" s="500"/>
      <c r="BH657" s="500"/>
      <c r="BI657" s="500"/>
      <c r="BJ657" s="500"/>
      <c r="BK657" s="500"/>
      <c r="BL657" s="500"/>
      <c r="BM657" s="500"/>
      <c r="BN657" s="500"/>
      <c r="BO657" s="500"/>
      <c r="BP657" s="500"/>
      <c r="BQ657" s="500"/>
      <c r="BR657" s="500"/>
      <c r="BS657" s="500"/>
      <c r="BT657" s="500"/>
      <c r="BU657" s="500"/>
      <c r="BV657" s="500"/>
    </row>
    <row r="658" ht="14.25" customHeight="1">
      <c r="A658" s="500"/>
      <c r="B658" s="500"/>
      <c r="C658" s="500"/>
      <c r="D658" s="500"/>
      <c r="E658" s="500"/>
      <c r="F658" s="500"/>
      <c r="G658" s="500"/>
      <c r="H658" s="500"/>
      <c r="I658" s="500"/>
      <c r="J658" s="500"/>
      <c r="K658" s="500"/>
      <c r="L658" s="500"/>
      <c r="M658" s="500"/>
      <c r="N658" s="500"/>
      <c r="O658" s="500"/>
      <c r="P658" s="500"/>
      <c r="Q658" s="500"/>
      <c r="R658" s="500"/>
      <c r="S658" s="500"/>
      <c r="T658" s="500"/>
      <c r="U658" s="500"/>
      <c r="V658" s="500"/>
      <c r="W658" s="500"/>
      <c r="X658" s="500"/>
      <c r="Y658" s="500"/>
      <c r="Z658" s="501"/>
      <c r="AA658" s="501"/>
      <c r="AB658" s="501"/>
      <c r="AC658" s="501"/>
      <c r="AD658" s="500"/>
      <c r="AE658" s="500"/>
      <c r="AF658" s="503"/>
      <c r="AG658" s="503"/>
      <c r="AH658" s="504"/>
      <c r="AI658" s="500"/>
      <c r="AJ658" s="500"/>
      <c r="AK658" s="500"/>
      <c r="AL658" s="500"/>
      <c r="AM658" s="500"/>
      <c r="AN658" s="500"/>
      <c r="AO658" s="500"/>
      <c r="AP658" s="500"/>
      <c r="AQ658" s="500"/>
      <c r="AR658" s="500"/>
      <c r="AS658" s="500"/>
      <c r="AT658" s="500"/>
      <c r="AU658" s="500"/>
      <c r="AV658" s="500"/>
      <c r="AW658" s="500"/>
      <c r="AX658" s="500"/>
      <c r="AY658" s="500"/>
      <c r="AZ658" s="500"/>
      <c r="BA658" s="500"/>
      <c r="BB658" s="500"/>
      <c r="BC658" s="500"/>
      <c r="BD658" s="500"/>
      <c r="BE658" s="500"/>
      <c r="BF658" s="500"/>
      <c r="BG658" s="500"/>
      <c r="BH658" s="500"/>
      <c r="BI658" s="500"/>
      <c r="BJ658" s="500"/>
      <c r="BK658" s="500"/>
      <c r="BL658" s="500"/>
      <c r="BM658" s="500"/>
      <c r="BN658" s="500"/>
      <c r="BO658" s="500"/>
      <c r="BP658" s="500"/>
      <c r="BQ658" s="500"/>
      <c r="BR658" s="500"/>
      <c r="BS658" s="500"/>
      <c r="BT658" s="500"/>
      <c r="BU658" s="500"/>
      <c r="BV658" s="500"/>
    </row>
    <row r="659" ht="14.25" customHeight="1">
      <c r="A659" s="500"/>
      <c r="B659" s="500"/>
      <c r="C659" s="500"/>
      <c r="D659" s="500"/>
      <c r="E659" s="500"/>
      <c r="F659" s="500"/>
      <c r="G659" s="500"/>
      <c r="H659" s="500"/>
      <c r="I659" s="500"/>
      <c r="J659" s="500"/>
      <c r="K659" s="500"/>
      <c r="L659" s="500"/>
      <c r="M659" s="500"/>
      <c r="N659" s="500"/>
      <c r="O659" s="500"/>
      <c r="P659" s="500"/>
      <c r="Q659" s="500"/>
      <c r="R659" s="500"/>
      <c r="S659" s="500"/>
      <c r="T659" s="500"/>
      <c r="U659" s="500"/>
      <c r="V659" s="500"/>
      <c r="W659" s="500"/>
      <c r="X659" s="500"/>
      <c r="Y659" s="500"/>
      <c r="Z659" s="501"/>
      <c r="AA659" s="501"/>
      <c r="AB659" s="501"/>
      <c r="AC659" s="501"/>
      <c r="AD659" s="500"/>
      <c r="AE659" s="500"/>
      <c r="AF659" s="503"/>
      <c r="AG659" s="503"/>
      <c r="AH659" s="504"/>
      <c r="AI659" s="500"/>
      <c r="AJ659" s="500"/>
      <c r="AK659" s="500"/>
      <c r="AL659" s="500"/>
      <c r="AM659" s="500"/>
      <c r="AN659" s="500"/>
      <c r="AO659" s="500"/>
      <c r="AP659" s="500"/>
      <c r="AQ659" s="500"/>
      <c r="AR659" s="500"/>
      <c r="AS659" s="500"/>
      <c r="AT659" s="500"/>
      <c r="AU659" s="500"/>
      <c r="AV659" s="500"/>
      <c r="AW659" s="500"/>
      <c r="AX659" s="500"/>
      <c r="AY659" s="500"/>
      <c r="AZ659" s="500"/>
      <c r="BA659" s="500"/>
      <c r="BB659" s="500"/>
      <c r="BC659" s="500"/>
      <c r="BD659" s="500"/>
      <c r="BE659" s="500"/>
      <c r="BF659" s="500"/>
      <c r="BG659" s="500"/>
      <c r="BH659" s="500"/>
      <c r="BI659" s="500"/>
      <c r="BJ659" s="500"/>
      <c r="BK659" s="500"/>
      <c r="BL659" s="500"/>
      <c r="BM659" s="500"/>
      <c r="BN659" s="500"/>
      <c r="BO659" s="500"/>
      <c r="BP659" s="500"/>
      <c r="BQ659" s="500"/>
      <c r="BR659" s="500"/>
      <c r="BS659" s="500"/>
      <c r="BT659" s="500"/>
      <c r="BU659" s="500"/>
      <c r="BV659" s="500"/>
    </row>
    <row r="660" ht="14.25" customHeight="1">
      <c r="A660" s="500"/>
      <c r="B660" s="500"/>
      <c r="C660" s="500"/>
      <c r="D660" s="500"/>
      <c r="E660" s="500"/>
      <c r="F660" s="500"/>
      <c r="G660" s="500"/>
      <c r="H660" s="500"/>
      <c r="I660" s="500"/>
      <c r="J660" s="500"/>
      <c r="K660" s="500"/>
      <c r="L660" s="500"/>
      <c r="M660" s="500"/>
      <c r="N660" s="500"/>
      <c r="O660" s="500"/>
      <c r="P660" s="500"/>
      <c r="Q660" s="500"/>
      <c r="R660" s="500"/>
      <c r="S660" s="500"/>
      <c r="T660" s="500"/>
      <c r="U660" s="500"/>
      <c r="V660" s="500"/>
      <c r="W660" s="500"/>
      <c r="X660" s="500"/>
      <c r="Y660" s="500"/>
      <c r="Z660" s="501"/>
      <c r="AA660" s="501"/>
      <c r="AB660" s="501"/>
      <c r="AC660" s="501"/>
      <c r="AD660" s="500"/>
      <c r="AE660" s="500"/>
      <c r="AF660" s="503"/>
      <c r="AG660" s="503"/>
      <c r="AH660" s="504"/>
      <c r="AI660" s="500"/>
      <c r="AJ660" s="500"/>
      <c r="AK660" s="500"/>
      <c r="AL660" s="500"/>
      <c r="AM660" s="500"/>
      <c r="AN660" s="500"/>
      <c r="AO660" s="500"/>
      <c r="AP660" s="500"/>
      <c r="AQ660" s="500"/>
      <c r="AR660" s="500"/>
      <c r="AS660" s="500"/>
      <c r="AT660" s="500"/>
      <c r="AU660" s="500"/>
      <c r="AV660" s="500"/>
      <c r="AW660" s="500"/>
      <c r="AX660" s="500"/>
      <c r="AY660" s="500"/>
      <c r="AZ660" s="500"/>
      <c r="BA660" s="500"/>
      <c r="BB660" s="500"/>
      <c r="BC660" s="500"/>
      <c r="BD660" s="500"/>
      <c r="BE660" s="500"/>
      <c r="BF660" s="500"/>
      <c r="BG660" s="500"/>
      <c r="BH660" s="500"/>
      <c r="BI660" s="500"/>
      <c r="BJ660" s="500"/>
      <c r="BK660" s="500"/>
      <c r="BL660" s="500"/>
      <c r="BM660" s="500"/>
      <c r="BN660" s="500"/>
      <c r="BO660" s="500"/>
      <c r="BP660" s="500"/>
      <c r="BQ660" s="500"/>
      <c r="BR660" s="500"/>
      <c r="BS660" s="500"/>
      <c r="BT660" s="500"/>
      <c r="BU660" s="500"/>
      <c r="BV660" s="500"/>
    </row>
    <row r="661" ht="14.25" customHeight="1">
      <c r="A661" s="500"/>
      <c r="B661" s="500"/>
      <c r="C661" s="500"/>
      <c r="D661" s="500"/>
      <c r="E661" s="500"/>
      <c r="F661" s="500"/>
      <c r="G661" s="500"/>
      <c r="H661" s="500"/>
      <c r="I661" s="500"/>
      <c r="J661" s="500"/>
      <c r="K661" s="500"/>
      <c r="L661" s="500"/>
      <c r="M661" s="500"/>
      <c r="N661" s="500"/>
      <c r="O661" s="500"/>
      <c r="P661" s="500"/>
      <c r="Q661" s="500"/>
      <c r="R661" s="500"/>
      <c r="S661" s="500"/>
      <c r="T661" s="500"/>
      <c r="U661" s="500"/>
      <c r="V661" s="500"/>
      <c r="W661" s="500"/>
      <c r="X661" s="500"/>
      <c r="Y661" s="500"/>
      <c r="Z661" s="501"/>
      <c r="AA661" s="501"/>
      <c r="AB661" s="501"/>
      <c r="AC661" s="501"/>
      <c r="AD661" s="500"/>
      <c r="AE661" s="500"/>
      <c r="AF661" s="503"/>
      <c r="AG661" s="503"/>
      <c r="AH661" s="504"/>
      <c r="AI661" s="500"/>
      <c r="AJ661" s="500"/>
      <c r="AK661" s="500"/>
      <c r="AL661" s="500"/>
      <c r="AM661" s="500"/>
      <c r="AN661" s="500"/>
      <c r="AO661" s="500"/>
      <c r="AP661" s="500"/>
      <c r="AQ661" s="500"/>
      <c r="AR661" s="500"/>
      <c r="AS661" s="500"/>
      <c r="AT661" s="500"/>
      <c r="AU661" s="500"/>
      <c r="AV661" s="500"/>
      <c r="AW661" s="500"/>
      <c r="AX661" s="500"/>
      <c r="AY661" s="500"/>
      <c r="AZ661" s="500"/>
      <c r="BA661" s="500"/>
      <c r="BB661" s="500"/>
      <c r="BC661" s="500"/>
      <c r="BD661" s="500"/>
      <c r="BE661" s="500"/>
      <c r="BF661" s="500"/>
      <c r="BG661" s="500"/>
      <c r="BH661" s="500"/>
      <c r="BI661" s="500"/>
      <c r="BJ661" s="500"/>
      <c r="BK661" s="500"/>
      <c r="BL661" s="500"/>
      <c r="BM661" s="500"/>
      <c r="BN661" s="500"/>
      <c r="BO661" s="500"/>
      <c r="BP661" s="500"/>
      <c r="BQ661" s="500"/>
      <c r="BR661" s="500"/>
      <c r="BS661" s="500"/>
      <c r="BT661" s="500"/>
      <c r="BU661" s="500"/>
      <c r="BV661" s="500"/>
    </row>
    <row r="662" ht="14.25" customHeight="1">
      <c r="A662" s="500"/>
      <c r="B662" s="500"/>
      <c r="C662" s="500"/>
      <c r="D662" s="500"/>
      <c r="E662" s="500"/>
      <c r="F662" s="500"/>
      <c r="G662" s="500"/>
      <c r="H662" s="500"/>
      <c r="I662" s="500"/>
      <c r="J662" s="500"/>
      <c r="K662" s="500"/>
      <c r="L662" s="500"/>
      <c r="M662" s="500"/>
      <c r="N662" s="500"/>
      <c r="O662" s="500"/>
      <c r="P662" s="500"/>
      <c r="Q662" s="500"/>
      <c r="R662" s="500"/>
      <c r="S662" s="500"/>
      <c r="T662" s="500"/>
      <c r="U662" s="500"/>
      <c r="V662" s="500"/>
      <c r="W662" s="500"/>
      <c r="X662" s="500"/>
      <c r="Y662" s="500"/>
      <c r="Z662" s="501"/>
      <c r="AA662" s="501"/>
      <c r="AB662" s="501"/>
      <c r="AC662" s="501"/>
      <c r="AD662" s="500"/>
      <c r="AE662" s="500"/>
      <c r="AF662" s="503"/>
      <c r="AG662" s="503"/>
      <c r="AH662" s="504"/>
      <c r="AI662" s="500"/>
      <c r="AJ662" s="500"/>
      <c r="AK662" s="500"/>
      <c r="AL662" s="500"/>
      <c r="AM662" s="500"/>
      <c r="AN662" s="500"/>
      <c r="AO662" s="500"/>
      <c r="AP662" s="500"/>
      <c r="AQ662" s="500"/>
      <c r="AR662" s="500"/>
      <c r="AS662" s="500"/>
      <c r="AT662" s="500"/>
      <c r="AU662" s="500"/>
      <c r="AV662" s="500"/>
      <c r="AW662" s="500"/>
      <c r="AX662" s="500"/>
      <c r="AY662" s="500"/>
      <c r="AZ662" s="500"/>
      <c r="BA662" s="500"/>
      <c r="BB662" s="500"/>
      <c r="BC662" s="500"/>
      <c r="BD662" s="500"/>
      <c r="BE662" s="500"/>
      <c r="BF662" s="500"/>
      <c r="BG662" s="500"/>
      <c r="BH662" s="500"/>
      <c r="BI662" s="500"/>
      <c r="BJ662" s="500"/>
      <c r="BK662" s="500"/>
      <c r="BL662" s="500"/>
      <c r="BM662" s="500"/>
      <c r="BN662" s="500"/>
      <c r="BO662" s="500"/>
      <c r="BP662" s="500"/>
      <c r="BQ662" s="500"/>
      <c r="BR662" s="500"/>
      <c r="BS662" s="500"/>
      <c r="BT662" s="500"/>
      <c r="BU662" s="500"/>
      <c r="BV662" s="500"/>
    </row>
    <row r="663" ht="14.25" customHeight="1">
      <c r="A663" s="500"/>
      <c r="B663" s="500"/>
      <c r="C663" s="500"/>
      <c r="D663" s="500"/>
      <c r="E663" s="500"/>
      <c r="F663" s="500"/>
      <c r="G663" s="500"/>
      <c r="H663" s="500"/>
      <c r="I663" s="500"/>
      <c r="J663" s="500"/>
      <c r="K663" s="500"/>
      <c r="L663" s="500"/>
      <c r="M663" s="500"/>
      <c r="N663" s="500"/>
      <c r="O663" s="500"/>
      <c r="P663" s="500"/>
      <c r="Q663" s="500"/>
      <c r="R663" s="500"/>
      <c r="S663" s="500"/>
      <c r="T663" s="500"/>
      <c r="U663" s="500"/>
      <c r="V663" s="500"/>
      <c r="W663" s="500"/>
      <c r="X663" s="500"/>
      <c r="Y663" s="500"/>
      <c r="Z663" s="501"/>
      <c r="AA663" s="501"/>
      <c r="AB663" s="501"/>
      <c r="AC663" s="501"/>
      <c r="AD663" s="500"/>
      <c r="AE663" s="500"/>
      <c r="AF663" s="503"/>
      <c r="AG663" s="503"/>
      <c r="AH663" s="504"/>
      <c r="AI663" s="500"/>
      <c r="AJ663" s="500"/>
      <c r="AK663" s="500"/>
      <c r="AL663" s="500"/>
      <c r="AM663" s="500"/>
      <c r="AN663" s="500"/>
      <c r="AO663" s="500"/>
      <c r="AP663" s="500"/>
      <c r="AQ663" s="500"/>
      <c r="AR663" s="500"/>
      <c r="AS663" s="500"/>
      <c r="AT663" s="500"/>
      <c r="AU663" s="500"/>
      <c r="AV663" s="500"/>
      <c r="AW663" s="500"/>
      <c r="AX663" s="500"/>
      <c r="AY663" s="500"/>
      <c r="AZ663" s="500"/>
      <c r="BA663" s="500"/>
      <c r="BB663" s="500"/>
      <c r="BC663" s="500"/>
      <c r="BD663" s="500"/>
      <c r="BE663" s="500"/>
      <c r="BF663" s="500"/>
      <c r="BG663" s="500"/>
      <c r="BH663" s="500"/>
      <c r="BI663" s="500"/>
      <c r="BJ663" s="500"/>
      <c r="BK663" s="500"/>
      <c r="BL663" s="500"/>
      <c r="BM663" s="500"/>
      <c r="BN663" s="500"/>
      <c r="BO663" s="500"/>
      <c r="BP663" s="500"/>
      <c r="BQ663" s="500"/>
      <c r="BR663" s="500"/>
      <c r="BS663" s="500"/>
      <c r="BT663" s="500"/>
      <c r="BU663" s="500"/>
      <c r="BV663" s="500"/>
    </row>
    <row r="664" ht="14.25" customHeight="1">
      <c r="A664" s="500"/>
      <c r="B664" s="500"/>
      <c r="C664" s="500"/>
      <c r="D664" s="500"/>
      <c r="E664" s="500"/>
      <c r="F664" s="500"/>
      <c r="G664" s="500"/>
      <c r="H664" s="500"/>
      <c r="I664" s="500"/>
      <c r="J664" s="500"/>
      <c r="K664" s="500"/>
      <c r="L664" s="500"/>
      <c r="M664" s="500"/>
      <c r="N664" s="500"/>
      <c r="O664" s="500"/>
      <c r="P664" s="500"/>
      <c r="Q664" s="500"/>
      <c r="R664" s="500"/>
      <c r="S664" s="500"/>
      <c r="T664" s="500"/>
      <c r="U664" s="500"/>
      <c r="V664" s="500"/>
      <c r="W664" s="500"/>
      <c r="X664" s="500"/>
      <c r="Y664" s="500"/>
      <c r="Z664" s="501"/>
      <c r="AA664" s="501"/>
      <c r="AB664" s="501"/>
      <c r="AC664" s="501"/>
      <c r="AD664" s="500"/>
      <c r="AE664" s="500"/>
      <c r="AF664" s="503"/>
      <c r="AG664" s="503"/>
      <c r="AH664" s="504"/>
      <c r="AI664" s="500"/>
      <c r="AJ664" s="500"/>
      <c r="AK664" s="500"/>
      <c r="AL664" s="500"/>
      <c r="AM664" s="500"/>
      <c r="AN664" s="500"/>
      <c r="AO664" s="500"/>
      <c r="AP664" s="500"/>
      <c r="AQ664" s="500"/>
      <c r="AR664" s="500"/>
      <c r="AS664" s="500"/>
      <c r="AT664" s="500"/>
      <c r="AU664" s="500"/>
      <c r="AV664" s="500"/>
      <c r="AW664" s="500"/>
      <c r="AX664" s="500"/>
      <c r="AY664" s="500"/>
      <c r="AZ664" s="500"/>
      <c r="BA664" s="500"/>
      <c r="BB664" s="500"/>
      <c r="BC664" s="500"/>
      <c r="BD664" s="500"/>
      <c r="BE664" s="500"/>
      <c r="BF664" s="500"/>
      <c r="BG664" s="500"/>
      <c r="BH664" s="500"/>
      <c r="BI664" s="500"/>
      <c r="BJ664" s="500"/>
      <c r="BK664" s="500"/>
      <c r="BL664" s="500"/>
      <c r="BM664" s="500"/>
      <c r="BN664" s="500"/>
      <c r="BO664" s="500"/>
      <c r="BP664" s="500"/>
      <c r="BQ664" s="500"/>
      <c r="BR664" s="500"/>
      <c r="BS664" s="500"/>
      <c r="BT664" s="500"/>
      <c r="BU664" s="500"/>
      <c r="BV664" s="500"/>
    </row>
    <row r="665" ht="14.25" customHeight="1">
      <c r="A665" s="500"/>
      <c r="B665" s="500"/>
      <c r="C665" s="500"/>
      <c r="D665" s="500"/>
      <c r="E665" s="500"/>
      <c r="F665" s="500"/>
      <c r="G665" s="500"/>
      <c r="H665" s="500"/>
      <c r="I665" s="500"/>
      <c r="J665" s="500"/>
      <c r="K665" s="500"/>
      <c r="L665" s="500"/>
      <c r="M665" s="500"/>
      <c r="N665" s="500"/>
      <c r="O665" s="500"/>
      <c r="P665" s="500"/>
      <c r="Q665" s="500"/>
      <c r="R665" s="500"/>
      <c r="S665" s="500"/>
      <c r="T665" s="500"/>
      <c r="U665" s="500"/>
      <c r="V665" s="500"/>
      <c r="W665" s="500"/>
      <c r="X665" s="500"/>
      <c r="Y665" s="500"/>
      <c r="Z665" s="501"/>
      <c r="AA665" s="501"/>
      <c r="AB665" s="501"/>
      <c r="AC665" s="501"/>
      <c r="AD665" s="500"/>
      <c r="AE665" s="500"/>
      <c r="AF665" s="503"/>
      <c r="AG665" s="503"/>
      <c r="AH665" s="504"/>
      <c r="AI665" s="500"/>
      <c r="AJ665" s="500"/>
      <c r="AK665" s="500"/>
      <c r="AL665" s="500"/>
      <c r="AM665" s="500"/>
      <c r="AN665" s="500"/>
      <c r="AO665" s="500"/>
      <c r="AP665" s="500"/>
      <c r="AQ665" s="500"/>
      <c r="AR665" s="500"/>
      <c r="AS665" s="500"/>
      <c r="AT665" s="500"/>
      <c r="AU665" s="500"/>
      <c r="AV665" s="500"/>
      <c r="AW665" s="500"/>
      <c r="AX665" s="500"/>
      <c r="AY665" s="500"/>
      <c r="AZ665" s="500"/>
      <c r="BA665" s="500"/>
      <c r="BB665" s="500"/>
      <c r="BC665" s="500"/>
      <c r="BD665" s="500"/>
      <c r="BE665" s="500"/>
      <c r="BF665" s="500"/>
      <c r="BG665" s="500"/>
      <c r="BH665" s="500"/>
      <c r="BI665" s="500"/>
      <c r="BJ665" s="500"/>
      <c r="BK665" s="500"/>
      <c r="BL665" s="500"/>
      <c r="BM665" s="500"/>
      <c r="BN665" s="500"/>
      <c r="BO665" s="500"/>
      <c r="BP665" s="500"/>
      <c r="BQ665" s="500"/>
      <c r="BR665" s="500"/>
      <c r="BS665" s="500"/>
      <c r="BT665" s="500"/>
      <c r="BU665" s="500"/>
      <c r="BV665" s="500"/>
    </row>
    <row r="666" ht="14.25" customHeight="1">
      <c r="A666" s="500"/>
      <c r="B666" s="500"/>
      <c r="C666" s="500"/>
      <c r="D666" s="500"/>
      <c r="E666" s="500"/>
      <c r="F666" s="500"/>
      <c r="G666" s="500"/>
      <c r="H666" s="500"/>
      <c r="I666" s="500"/>
      <c r="J666" s="500"/>
      <c r="K666" s="500"/>
      <c r="L666" s="500"/>
      <c r="M666" s="500"/>
      <c r="N666" s="500"/>
      <c r="O666" s="500"/>
      <c r="P666" s="500"/>
      <c r="Q666" s="500"/>
      <c r="R666" s="500"/>
      <c r="S666" s="500"/>
      <c r="T666" s="500"/>
      <c r="U666" s="500"/>
      <c r="V666" s="500"/>
      <c r="W666" s="500"/>
      <c r="X666" s="500"/>
      <c r="Y666" s="500"/>
      <c r="Z666" s="501"/>
      <c r="AA666" s="501"/>
      <c r="AB666" s="501"/>
      <c r="AC666" s="501"/>
      <c r="AD666" s="500"/>
      <c r="AE666" s="500"/>
      <c r="AF666" s="503"/>
      <c r="AG666" s="503"/>
      <c r="AH666" s="504"/>
      <c r="AI666" s="500"/>
      <c r="AJ666" s="500"/>
      <c r="AK666" s="500"/>
      <c r="AL666" s="500"/>
      <c r="AM666" s="500"/>
      <c r="AN666" s="500"/>
      <c r="AO666" s="500"/>
      <c r="AP666" s="500"/>
      <c r="AQ666" s="500"/>
      <c r="AR666" s="500"/>
      <c r="AS666" s="500"/>
      <c r="AT666" s="500"/>
      <c r="AU666" s="500"/>
      <c r="AV666" s="500"/>
      <c r="AW666" s="500"/>
      <c r="AX666" s="500"/>
      <c r="AY666" s="500"/>
      <c r="AZ666" s="500"/>
      <c r="BA666" s="500"/>
      <c r="BB666" s="500"/>
      <c r="BC666" s="500"/>
      <c r="BD666" s="500"/>
      <c r="BE666" s="500"/>
      <c r="BF666" s="500"/>
      <c r="BG666" s="500"/>
      <c r="BH666" s="500"/>
      <c r="BI666" s="500"/>
      <c r="BJ666" s="500"/>
      <c r="BK666" s="500"/>
      <c r="BL666" s="500"/>
      <c r="BM666" s="500"/>
      <c r="BN666" s="500"/>
      <c r="BO666" s="500"/>
      <c r="BP666" s="500"/>
      <c r="BQ666" s="500"/>
      <c r="BR666" s="500"/>
      <c r="BS666" s="500"/>
      <c r="BT666" s="500"/>
      <c r="BU666" s="500"/>
      <c r="BV666" s="500"/>
    </row>
    <row r="667" ht="14.25" customHeight="1">
      <c r="A667" s="500"/>
      <c r="B667" s="500"/>
      <c r="C667" s="500"/>
      <c r="D667" s="500"/>
      <c r="E667" s="500"/>
      <c r="F667" s="500"/>
      <c r="G667" s="500"/>
      <c r="H667" s="500"/>
      <c r="I667" s="500"/>
      <c r="J667" s="500"/>
      <c r="K667" s="500"/>
      <c r="L667" s="500"/>
      <c r="M667" s="500"/>
      <c r="N667" s="500"/>
      <c r="O667" s="500"/>
      <c r="P667" s="500"/>
      <c r="Q667" s="500"/>
      <c r="R667" s="500"/>
      <c r="S667" s="500"/>
      <c r="T667" s="500"/>
      <c r="U667" s="500"/>
      <c r="V667" s="500"/>
      <c r="W667" s="500"/>
      <c r="X667" s="500"/>
      <c r="Y667" s="500"/>
      <c r="Z667" s="501"/>
      <c r="AA667" s="501"/>
      <c r="AB667" s="501"/>
      <c r="AC667" s="501"/>
      <c r="AD667" s="500"/>
      <c r="AE667" s="500"/>
      <c r="AF667" s="503"/>
      <c r="AG667" s="503"/>
      <c r="AH667" s="504"/>
      <c r="AI667" s="500"/>
      <c r="AJ667" s="500"/>
      <c r="AK667" s="500"/>
      <c r="AL667" s="500"/>
      <c r="AM667" s="500"/>
      <c r="AN667" s="500"/>
      <c r="AO667" s="500"/>
      <c r="AP667" s="500"/>
      <c r="AQ667" s="500"/>
      <c r="AR667" s="500"/>
      <c r="AS667" s="500"/>
      <c r="AT667" s="500"/>
      <c r="AU667" s="500"/>
      <c r="AV667" s="500"/>
      <c r="AW667" s="500"/>
      <c r="AX667" s="500"/>
      <c r="AY667" s="500"/>
      <c r="AZ667" s="500"/>
      <c r="BA667" s="500"/>
      <c r="BB667" s="500"/>
      <c r="BC667" s="500"/>
      <c r="BD667" s="500"/>
      <c r="BE667" s="500"/>
      <c r="BF667" s="500"/>
      <c r="BG667" s="500"/>
      <c r="BH667" s="500"/>
      <c r="BI667" s="500"/>
      <c r="BJ667" s="500"/>
      <c r="BK667" s="500"/>
      <c r="BL667" s="500"/>
      <c r="BM667" s="500"/>
      <c r="BN667" s="500"/>
      <c r="BO667" s="500"/>
      <c r="BP667" s="500"/>
      <c r="BQ667" s="500"/>
      <c r="BR667" s="500"/>
      <c r="BS667" s="500"/>
      <c r="BT667" s="500"/>
      <c r="BU667" s="500"/>
      <c r="BV667" s="500"/>
    </row>
    <row r="668" ht="14.25" customHeight="1">
      <c r="A668" s="500"/>
      <c r="B668" s="500"/>
      <c r="C668" s="500"/>
      <c r="D668" s="500"/>
      <c r="E668" s="500"/>
      <c r="F668" s="500"/>
      <c r="G668" s="500"/>
      <c r="H668" s="500"/>
      <c r="I668" s="500"/>
      <c r="J668" s="500"/>
      <c r="K668" s="500"/>
      <c r="L668" s="500"/>
      <c r="M668" s="500"/>
      <c r="N668" s="500"/>
      <c r="O668" s="500"/>
      <c r="P668" s="500"/>
      <c r="Q668" s="500"/>
      <c r="R668" s="500"/>
      <c r="S668" s="500"/>
      <c r="T668" s="500"/>
      <c r="U668" s="500"/>
      <c r="V668" s="500"/>
      <c r="W668" s="500"/>
      <c r="X668" s="500"/>
      <c r="Y668" s="500"/>
      <c r="Z668" s="501"/>
      <c r="AA668" s="501"/>
      <c r="AB668" s="501"/>
      <c r="AC668" s="501"/>
      <c r="AD668" s="500"/>
      <c r="AE668" s="500"/>
      <c r="AF668" s="503"/>
      <c r="AG668" s="503"/>
      <c r="AH668" s="504"/>
      <c r="AI668" s="500"/>
      <c r="AJ668" s="500"/>
      <c r="AK668" s="500"/>
      <c r="AL668" s="500"/>
      <c r="AM668" s="500"/>
      <c r="AN668" s="500"/>
      <c r="AO668" s="500"/>
      <c r="AP668" s="500"/>
      <c r="AQ668" s="500"/>
      <c r="AR668" s="500"/>
      <c r="AS668" s="500"/>
      <c r="AT668" s="500"/>
      <c r="AU668" s="500"/>
      <c r="AV668" s="500"/>
      <c r="AW668" s="500"/>
      <c r="AX668" s="500"/>
      <c r="AY668" s="500"/>
      <c r="AZ668" s="500"/>
      <c r="BA668" s="500"/>
      <c r="BB668" s="500"/>
      <c r="BC668" s="500"/>
      <c r="BD668" s="500"/>
      <c r="BE668" s="500"/>
      <c r="BF668" s="500"/>
      <c r="BG668" s="500"/>
      <c r="BH668" s="500"/>
      <c r="BI668" s="500"/>
      <c r="BJ668" s="500"/>
      <c r="BK668" s="500"/>
      <c r="BL668" s="500"/>
      <c r="BM668" s="500"/>
      <c r="BN668" s="500"/>
      <c r="BO668" s="500"/>
      <c r="BP668" s="500"/>
      <c r="BQ668" s="500"/>
      <c r="BR668" s="500"/>
      <c r="BS668" s="500"/>
      <c r="BT668" s="500"/>
      <c r="BU668" s="500"/>
      <c r="BV668" s="500"/>
    </row>
    <row r="669" ht="14.25" customHeight="1">
      <c r="A669" s="500"/>
      <c r="B669" s="500"/>
      <c r="C669" s="500"/>
      <c r="D669" s="500"/>
      <c r="E669" s="500"/>
      <c r="F669" s="500"/>
      <c r="G669" s="500"/>
      <c r="H669" s="500"/>
      <c r="I669" s="500"/>
      <c r="J669" s="500"/>
      <c r="K669" s="500"/>
      <c r="L669" s="500"/>
      <c r="M669" s="500"/>
      <c r="N669" s="500"/>
      <c r="O669" s="500"/>
      <c r="P669" s="500"/>
      <c r="Q669" s="500"/>
      <c r="R669" s="500"/>
      <c r="S669" s="500"/>
      <c r="T669" s="500"/>
      <c r="U669" s="500"/>
      <c r="V669" s="500"/>
      <c r="W669" s="500"/>
      <c r="X669" s="500"/>
      <c r="Y669" s="500"/>
      <c r="Z669" s="501"/>
      <c r="AA669" s="501"/>
      <c r="AB669" s="501"/>
      <c r="AC669" s="501"/>
      <c r="AD669" s="500"/>
      <c r="AE669" s="500"/>
      <c r="AF669" s="503"/>
      <c r="AG669" s="503"/>
      <c r="AH669" s="504"/>
      <c r="AI669" s="500"/>
      <c r="AJ669" s="500"/>
      <c r="AK669" s="500"/>
      <c r="AL669" s="500"/>
      <c r="AM669" s="500"/>
      <c r="AN669" s="500"/>
      <c r="AO669" s="500"/>
      <c r="AP669" s="500"/>
      <c r="AQ669" s="500"/>
      <c r="AR669" s="500"/>
      <c r="AS669" s="500"/>
      <c r="AT669" s="500"/>
      <c r="AU669" s="500"/>
      <c r="AV669" s="500"/>
      <c r="AW669" s="500"/>
      <c r="AX669" s="500"/>
      <c r="AY669" s="500"/>
      <c r="AZ669" s="500"/>
      <c r="BA669" s="500"/>
      <c r="BB669" s="500"/>
      <c r="BC669" s="500"/>
      <c r="BD669" s="500"/>
      <c r="BE669" s="500"/>
      <c r="BF669" s="500"/>
      <c r="BG669" s="500"/>
      <c r="BH669" s="500"/>
      <c r="BI669" s="500"/>
      <c r="BJ669" s="500"/>
      <c r="BK669" s="500"/>
      <c r="BL669" s="500"/>
      <c r="BM669" s="500"/>
      <c r="BN669" s="500"/>
      <c r="BO669" s="500"/>
      <c r="BP669" s="500"/>
      <c r="BQ669" s="500"/>
      <c r="BR669" s="500"/>
      <c r="BS669" s="500"/>
      <c r="BT669" s="500"/>
      <c r="BU669" s="500"/>
      <c r="BV669" s="500"/>
    </row>
    <row r="670" ht="14.25" customHeight="1">
      <c r="A670" s="500"/>
      <c r="B670" s="500"/>
      <c r="C670" s="500"/>
      <c r="D670" s="500"/>
      <c r="E670" s="500"/>
      <c r="F670" s="500"/>
      <c r="G670" s="500"/>
      <c r="H670" s="500"/>
      <c r="I670" s="500"/>
      <c r="J670" s="500"/>
      <c r="K670" s="500"/>
      <c r="L670" s="500"/>
      <c r="M670" s="500"/>
      <c r="N670" s="500"/>
      <c r="O670" s="500"/>
      <c r="P670" s="500"/>
      <c r="Q670" s="500"/>
      <c r="R670" s="500"/>
      <c r="S670" s="500"/>
      <c r="T670" s="500"/>
      <c r="U670" s="500"/>
      <c r="V670" s="500"/>
      <c r="W670" s="500"/>
      <c r="X670" s="500"/>
      <c r="Y670" s="500"/>
      <c r="Z670" s="501"/>
      <c r="AA670" s="501"/>
      <c r="AB670" s="501"/>
      <c r="AC670" s="501"/>
      <c r="AD670" s="500"/>
      <c r="AE670" s="500"/>
      <c r="AF670" s="503"/>
      <c r="AG670" s="503"/>
      <c r="AH670" s="504"/>
      <c r="AI670" s="500"/>
      <c r="AJ670" s="500"/>
      <c r="AK670" s="500"/>
      <c r="AL670" s="500"/>
      <c r="AM670" s="500"/>
      <c r="AN670" s="500"/>
      <c r="AO670" s="500"/>
      <c r="AP670" s="500"/>
      <c r="AQ670" s="500"/>
      <c r="AR670" s="500"/>
      <c r="AS670" s="500"/>
      <c r="AT670" s="500"/>
      <c r="AU670" s="500"/>
      <c r="AV670" s="500"/>
      <c r="AW670" s="500"/>
      <c r="AX670" s="500"/>
      <c r="AY670" s="500"/>
      <c r="AZ670" s="500"/>
      <c r="BA670" s="500"/>
      <c r="BB670" s="500"/>
      <c r="BC670" s="500"/>
      <c r="BD670" s="500"/>
      <c r="BE670" s="500"/>
      <c r="BF670" s="500"/>
      <c r="BG670" s="500"/>
      <c r="BH670" s="500"/>
      <c r="BI670" s="500"/>
      <c r="BJ670" s="500"/>
      <c r="BK670" s="500"/>
      <c r="BL670" s="500"/>
      <c r="BM670" s="500"/>
      <c r="BN670" s="500"/>
      <c r="BO670" s="500"/>
      <c r="BP670" s="500"/>
      <c r="BQ670" s="500"/>
      <c r="BR670" s="500"/>
      <c r="BS670" s="500"/>
      <c r="BT670" s="500"/>
      <c r="BU670" s="500"/>
      <c r="BV670" s="500"/>
    </row>
    <row r="671" ht="14.25" customHeight="1">
      <c r="A671" s="500"/>
      <c r="B671" s="500"/>
      <c r="C671" s="500"/>
      <c r="D671" s="500"/>
      <c r="E671" s="500"/>
      <c r="F671" s="500"/>
      <c r="G671" s="500"/>
      <c r="H671" s="500"/>
      <c r="I671" s="500"/>
      <c r="J671" s="500"/>
      <c r="K671" s="500"/>
      <c r="L671" s="500"/>
      <c r="M671" s="500"/>
      <c r="N671" s="500"/>
      <c r="O671" s="500"/>
      <c r="P671" s="500"/>
      <c r="Q671" s="500"/>
      <c r="R671" s="500"/>
      <c r="S671" s="500"/>
      <c r="T671" s="500"/>
      <c r="U671" s="500"/>
      <c r="V671" s="500"/>
      <c r="W671" s="500"/>
      <c r="X671" s="500"/>
      <c r="Y671" s="500"/>
      <c r="Z671" s="501"/>
      <c r="AA671" s="501"/>
      <c r="AB671" s="501"/>
      <c r="AC671" s="501"/>
      <c r="AD671" s="500"/>
      <c r="AE671" s="500"/>
      <c r="AF671" s="503"/>
      <c r="AG671" s="503"/>
      <c r="AH671" s="504"/>
      <c r="AI671" s="500"/>
      <c r="AJ671" s="500"/>
      <c r="AK671" s="500"/>
      <c r="AL671" s="500"/>
      <c r="AM671" s="500"/>
      <c r="AN671" s="500"/>
      <c r="AO671" s="500"/>
      <c r="AP671" s="500"/>
      <c r="AQ671" s="500"/>
      <c r="AR671" s="500"/>
      <c r="AS671" s="500"/>
      <c r="AT671" s="500"/>
      <c r="AU671" s="500"/>
      <c r="AV671" s="500"/>
      <c r="AW671" s="500"/>
      <c r="AX671" s="500"/>
      <c r="AY671" s="500"/>
      <c r="AZ671" s="500"/>
      <c r="BA671" s="500"/>
      <c r="BB671" s="500"/>
      <c r="BC671" s="500"/>
      <c r="BD671" s="500"/>
      <c r="BE671" s="500"/>
      <c r="BF671" s="500"/>
      <c r="BG671" s="500"/>
      <c r="BH671" s="500"/>
      <c r="BI671" s="500"/>
      <c r="BJ671" s="500"/>
      <c r="BK671" s="500"/>
      <c r="BL671" s="500"/>
      <c r="BM671" s="500"/>
      <c r="BN671" s="500"/>
      <c r="BO671" s="500"/>
      <c r="BP671" s="500"/>
      <c r="BQ671" s="500"/>
      <c r="BR671" s="500"/>
      <c r="BS671" s="500"/>
      <c r="BT671" s="500"/>
      <c r="BU671" s="500"/>
      <c r="BV671" s="500"/>
    </row>
    <row r="672" ht="14.25" customHeight="1">
      <c r="A672" s="500"/>
      <c r="B672" s="500"/>
      <c r="C672" s="500"/>
      <c r="D672" s="500"/>
      <c r="E672" s="500"/>
      <c r="F672" s="500"/>
      <c r="G672" s="500"/>
      <c r="H672" s="500"/>
      <c r="I672" s="500"/>
      <c r="J672" s="500"/>
      <c r="K672" s="500"/>
      <c r="L672" s="500"/>
      <c r="M672" s="500"/>
      <c r="N672" s="500"/>
      <c r="O672" s="500"/>
      <c r="P672" s="500"/>
      <c r="Q672" s="500"/>
      <c r="R672" s="500"/>
      <c r="S672" s="500"/>
      <c r="T672" s="500"/>
      <c r="U672" s="500"/>
      <c r="V672" s="500"/>
      <c r="W672" s="500"/>
      <c r="X672" s="500"/>
      <c r="Y672" s="500"/>
      <c r="Z672" s="501"/>
      <c r="AA672" s="501"/>
      <c r="AB672" s="501"/>
      <c r="AC672" s="501"/>
      <c r="AD672" s="500"/>
      <c r="AE672" s="500"/>
      <c r="AF672" s="503"/>
      <c r="AG672" s="503"/>
      <c r="AH672" s="504"/>
      <c r="AI672" s="500"/>
      <c r="AJ672" s="500"/>
      <c r="AK672" s="500"/>
      <c r="AL672" s="500"/>
      <c r="AM672" s="500"/>
      <c r="AN672" s="500"/>
      <c r="AO672" s="500"/>
      <c r="AP672" s="500"/>
      <c r="AQ672" s="500"/>
      <c r="AR672" s="500"/>
      <c r="AS672" s="500"/>
      <c r="AT672" s="500"/>
      <c r="AU672" s="500"/>
      <c r="AV672" s="500"/>
      <c r="AW672" s="500"/>
      <c r="AX672" s="500"/>
      <c r="AY672" s="500"/>
      <c r="AZ672" s="500"/>
      <c r="BA672" s="500"/>
      <c r="BB672" s="500"/>
      <c r="BC672" s="500"/>
      <c r="BD672" s="500"/>
      <c r="BE672" s="500"/>
      <c r="BF672" s="500"/>
      <c r="BG672" s="500"/>
      <c r="BH672" s="500"/>
      <c r="BI672" s="500"/>
      <c r="BJ672" s="500"/>
      <c r="BK672" s="500"/>
      <c r="BL672" s="500"/>
      <c r="BM672" s="500"/>
      <c r="BN672" s="500"/>
      <c r="BO672" s="500"/>
      <c r="BP672" s="500"/>
      <c r="BQ672" s="500"/>
      <c r="BR672" s="500"/>
      <c r="BS672" s="500"/>
      <c r="BT672" s="500"/>
      <c r="BU672" s="500"/>
      <c r="BV672" s="500"/>
    </row>
    <row r="673" ht="14.25" customHeight="1">
      <c r="A673" s="500"/>
      <c r="B673" s="500"/>
      <c r="C673" s="500"/>
      <c r="D673" s="500"/>
      <c r="E673" s="500"/>
      <c r="F673" s="500"/>
      <c r="G673" s="500"/>
      <c r="H673" s="500"/>
      <c r="I673" s="500"/>
      <c r="J673" s="500"/>
      <c r="K673" s="500"/>
      <c r="L673" s="500"/>
      <c r="M673" s="500"/>
      <c r="N673" s="500"/>
      <c r="O673" s="500"/>
      <c r="P673" s="500"/>
      <c r="Q673" s="500"/>
      <c r="R673" s="500"/>
      <c r="S673" s="500"/>
      <c r="T673" s="500"/>
      <c r="U673" s="500"/>
      <c r="V673" s="500"/>
      <c r="W673" s="500"/>
      <c r="X673" s="500"/>
      <c r="Y673" s="500"/>
      <c r="Z673" s="501"/>
      <c r="AA673" s="501"/>
      <c r="AB673" s="501"/>
      <c r="AC673" s="501"/>
      <c r="AD673" s="500"/>
      <c r="AE673" s="500"/>
      <c r="AF673" s="503"/>
      <c r="AG673" s="503"/>
      <c r="AH673" s="504"/>
      <c r="AI673" s="500"/>
      <c r="AJ673" s="500"/>
      <c r="AK673" s="500"/>
      <c r="AL673" s="500"/>
      <c r="AM673" s="500"/>
      <c r="AN673" s="500"/>
      <c r="AO673" s="500"/>
      <c r="AP673" s="500"/>
      <c r="AQ673" s="500"/>
      <c r="AR673" s="500"/>
      <c r="AS673" s="500"/>
      <c r="AT673" s="500"/>
      <c r="AU673" s="500"/>
      <c r="AV673" s="500"/>
      <c r="AW673" s="500"/>
      <c r="AX673" s="500"/>
      <c r="AY673" s="500"/>
      <c r="AZ673" s="500"/>
      <c r="BA673" s="500"/>
      <c r="BB673" s="500"/>
      <c r="BC673" s="500"/>
      <c r="BD673" s="500"/>
      <c r="BE673" s="500"/>
      <c r="BF673" s="500"/>
      <c r="BG673" s="500"/>
      <c r="BH673" s="500"/>
      <c r="BI673" s="500"/>
      <c r="BJ673" s="500"/>
      <c r="BK673" s="500"/>
      <c r="BL673" s="500"/>
      <c r="BM673" s="500"/>
      <c r="BN673" s="500"/>
      <c r="BO673" s="500"/>
      <c r="BP673" s="500"/>
      <c r="BQ673" s="500"/>
      <c r="BR673" s="500"/>
      <c r="BS673" s="500"/>
      <c r="BT673" s="500"/>
      <c r="BU673" s="500"/>
      <c r="BV673" s="500"/>
    </row>
    <row r="674" ht="14.25" customHeight="1">
      <c r="A674" s="500"/>
      <c r="B674" s="500"/>
      <c r="C674" s="500"/>
      <c r="D674" s="500"/>
      <c r="E674" s="500"/>
      <c r="F674" s="500"/>
      <c r="G674" s="500"/>
      <c r="H674" s="500"/>
      <c r="I674" s="500"/>
      <c r="J674" s="500"/>
      <c r="K674" s="500"/>
      <c r="L674" s="500"/>
      <c r="M674" s="500"/>
      <c r="N674" s="500"/>
      <c r="O674" s="500"/>
      <c r="P674" s="500"/>
      <c r="Q674" s="500"/>
      <c r="R674" s="500"/>
      <c r="S674" s="500"/>
      <c r="T674" s="500"/>
      <c r="U674" s="500"/>
      <c r="V674" s="500"/>
      <c r="W674" s="500"/>
      <c r="X674" s="500"/>
      <c r="Y674" s="500"/>
      <c r="Z674" s="501"/>
      <c r="AA674" s="501"/>
      <c r="AB674" s="501"/>
      <c r="AC674" s="501"/>
      <c r="AD674" s="500"/>
      <c r="AE674" s="500"/>
      <c r="AF674" s="503"/>
      <c r="AG674" s="503"/>
      <c r="AH674" s="504"/>
      <c r="AI674" s="500"/>
      <c r="AJ674" s="500"/>
      <c r="AK674" s="500"/>
      <c r="AL674" s="500"/>
      <c r="AM674" s="500"/>
      <c r="AN674" s="500"/>
      <c r="AO674" s="500"/>
      <c r="AP674" s="500"/>
      <c r="AQ674" s="500"/>
      <c r="AR674" s="500"/>
      <c r="AS674" s="500"/>
      <c r="AT674" s="500"/>
      <c r="AU674" s="500"/>
      <c r="AV674" s="500"/>
      <c r="AW674" s="500"/>
      <c r="AX674" s="500"/>
      <c r="AY674" s="500"/>
      <c r="AZ674" s="500"/>
      <c r="BA674" s="500"/>
      <c r="BB674" s="500"/>
      <c r="BC674" s="500"/>
      <c r="BD674" s="500"/>
      <c r="BE674" s="500"/>
      <c r="BF674" s="500"/>
      <c r="BG674" s="500"/>
      <c r="BH674" s="500"/>
      <c r="BI674" s="500"/>
      <c r="BJ674" s="500"/>
      <c r="BK674" s="500"/>
      <c r="BL674" s="500"/>
      <c r="BM674" s="500"/>
      <c r="BN674" s="500"/>
      <c r="BO674" s="500"/>
      <c r="BP674" s="500"/>
      <c r="BQ674" s="500"/>
      <c r="BR674" s="500"/>
      <c r="BS674" s="500"/>
      <c r="BT674" s="500"/>
      <c r="BU674" s="500"/>
      <c r="BV674" s="500"/>
    </row>
    <row r="675" ht="14.25" customHeight="1">
      <c r="A675" s="500"/>
      <c r="B675" s="500"/>
      <c r="C675" s="500"/>
      <c r="D675" s="500"/>
      <c r="E675" s="500"/>
      <c r="F675" s="500"/>
      <c r="G675" s="500"/>
      <c r="H675" s="500"/>
      <c r="I675" s="500"/>
      <c r="J675" s="500"/>
      <c r="K675" s="500"/>
      <c r="L675" s="500"/>
      <c r="M675" s="500"/>
      <c r="N675" s="500"/>
      <c r="O675" s="500"/>
      <c r="P675" s="500"/>
      <c r="Q675" s="500"/>
      <c r="R675" s="500"/>
      <c r="S675" s="500"/>
      <c r="T675" s="500"/>
      <c r="U675" s="500"/>
      <c r="V675" s="500"/>
      <c r="W675" s="500"/>
      <c r="X675" s="500"/>
      <c r="Y675" s="500"/>
      <c r="Z675" s="501"/>
      <c r="AA675" s="501"/>
      <c r="AB675" s="501"/>
      <c r="AC675" s="501"/>
      <c r="AD675" s="500"/>
      <c r="AE675" s="500"/>
      <c r="AF675" s="503"/>
      <c r="AG675" s="503"/>
      <c r="AH675" s="504"/>
      <c r="AI675" s="500"/>
      <c r="AJ675" s="500"/>
      <c r="AK675" s="500"/>
      <c r="AL675" s="500"/>
      <c r="AM675" s="500"/>
      <c r="AN675" s="500"/>
      <c r="AO675" s="500"/>
      <c r="AP675" s="500"/>
      <c r="AQ675" s="500"/>
      <c r="AR675" s="500"/>
      <c r="AS675" s="500"/>
      <c r="AT675" s="500"/>
      <c r="AU675" s="500"/>
      <c r="AV675" s="500"/>
      <c r="AW675" s="500"/>
      <c r="AX675" s="500"/>
      <c r="AY675" s="500"/>
      <c r="AZ675" s="500"/>
      <c r="BA675" s="500"/>
      <c r="BB675" s="500"/>
      <c r="BC675" s="500"/>
      <c r="BD675" s="500"/>
      <c r="BE675" s="500"/>
      <c r="BF675" s="500"/>
      <c r="BG675" s="500"/>
      <c r="BH675" s="500"/>
      <c r="BI675" s="500"/>
      <c r="BJ675" s="500"/>
      <c r="BK675" s="500"/>
      <c r="BL675" s="500"/>
      <c r="BM675" s="500"/>
      <c r="BN675" s="500"/>
      <c r="BO675" s="500"/>
      <c r="BP675" s="500"/>
      <c r="BQ675" s="500"/>
      <c r="BR675" s="500"/>
      <c r="BS675" s="500"/>
      <c r="BT675" s="500"/>
      <c r="BU675" s="500"/>
      <c r="BV675" s="500"/>
    </row>
    <row r="676" ht="14.25" customHeight="1">
      <c r="A676" s="500"/>
      <c r="B676" s="500"/>
      <c r="C676" s="500"/>
      <c r="D676" s="500"/>
      <c r="E676" s="500"/>
      <c r="F676" s="500"/>
      <c r="G676" s="500"/>
      <c r="H676" s="500"/>
      <c r="I676" s="500"/>
      <c r="J676" s="500"/>
      <c r="K676" s="500"/>
      <c r="L676" s="500"/>
      <c r="M676" s="500"/>
      <c r="N676" s="500"/>
      <c r="O676" s="500"/>
      <c r="P676" s="500"/>
      <c r="Q676" s="500"/>
      <c r="R676" s="500"/>
      <c r="S676" s="500"/>
      <c r="T676" s="500"/>
      <c r="U676" s="500"/>
      <c r="V676" s="500"/>
      <c r="W676" s="500"/>
      <c r="X676" s="500"/>
      <c r="Y676" s="500"/>
      <c r="Z676" s="501"/>
      <c r="AA676" s="501"/>
      <c r="AB676" s="501"/>
      <c r="AC676" s="501"/>
      <c r="AD676" s="500"/>
      <c r="AE676" s="500"/>
      <c r="AF676" s="503"/>
      <c r="AG676" s="503"/>
      <c r="AH676" s="504"/>
      <c r="AI676" s="500"/>
      <c r="AJ676" s="500"/>
      <c r="AK676" s="500"/>
      <c r="AL676" s="500"/>
      <c r="AM676" s="500"/>
      <c r="AN676" s="500"/>
      <c r="AO676" s="500"/>
      <c r="AP676" s="500"/>
      <c r="AQ676" s="500"/>
      <c r="AR676" s="500"/>
      <c r="AS676" s="500"/>
      <c r="AT676" s="500"/>
      <c r="AU676" s="500"/>
      <c r="AV676" s="500"/>
      <c r="AW676" s="500"/>
      <c r="AX676" s="500"/>
      <c r="AY676" s="500"/>
      <c r="AZ676" s="500"/>
      <c r="BA676" s="500"/>
      <c r="BB676" s="500"/>
      <c r="BC676" s="500"/>
      <c r="BD676" s="500"/>
      <c r="BE676" s="500"/>
      <c r="BF676" s="500"/>
      <c r="BG676" s="500"/>
      <c r="BH676" s="500"/>
      <c r="BI676" s="500"/>
      <c r="BJ676" s="500"/>
      <c r="BK676" s="500"/>
      <c r="BL676" s="500"/>
      <c r="BM676" s="500"/>
      <c r="BN676" s="500"/>
      <c r="BO676" s="500"/>
      <c r="BP676" s="500"/>
      <c r="BQ676" s="500"/>
      <c r="BR676" s="500"/>
      <c r="BS676" s="500"/>
      <c r="BT676" s="500"/>
      <c r="BU676" s="500"/>
      <c r="BV676" s="500"/>
    </row>
    <row r="677" ht="14.25" customHeight="1">
      <c r="A677" s="500"/>
      <c r="B677" s="500"/>
      <c r="C677" s="500"/>
      <c r="D677" s="500"/>
      <c r="E677" s="500"/>
      <c r="F677" s="500"/>
      <c r="G677" s="500"/>
      <c r="H677" s="500"/>
      <c r="I677" s="500"/>
      <c r="J677" s="500"/>
      <c r="K677" s="500"/>
      <c r="L677" s="500"/>
      <c r="M677" s="500"/>
      <c r="N677" s="500"/>
      <c r="O677" s="500"/>
      <c r="P677" s="500"/>
      <c r="Q677" s="500"/>
      <c r="R677" s="500"/>
      <c r="S677" s="500"/>
      <c r="T677" s="500"/>
      <c r="U677" s="500"/>
      <c r="V677" s="500"/>
      <c r="W677" s="500"/>
      <c r="X677" s="500"/>
      <c r="Y677" s="500"/>
      <c r="Z677" s="501"/>
      <c r="AA677" s="501"/>
      <c r="AB677" s="501"/>
      <c r="AC677" s="501"/>
      <c r="AD677" s="500"/>
      <c r="AE677" s="500"/>
      <c r="AF677" s="503"/>
      <c r="AG677" s="503"/>
      <c r="AH677" s="504"/>
      <c r="AI677" s="500"/>
      <c r="AJ677" s="500"/>
      <c r="AK677" s="500"/>
      <c r="AL677" s="500"/>
      <c r="AM677" s="500"/>
      <c r="AN677" s="500"/>
      <c r="AO677" s="500"/>
      <c r="AP677" s="500"/>
      <c r="AQ677" s="500"/>
      <c r="AR677" s="500"/>
      <c r="AS677" s="500"/>
      <c r="AT677" s="500"/>
      <c r="AU677" s="500"/>
      <c r="AV677" s="500"/>
      <c r="AW677" s="500"/>
      <c r="AX677" s="500"/>
      <c r="AY677" s="500"/>
      <c r="AZ677" s="500"/>
      <c r="BA677" s="500"/>
      <c r="BB677" s="500"/>
      <c r="BC677" s="500"/>
      <c r="BD677" s="500"/>
      <c r="BE677" s="500"/>
      <c r="BF677" s="500"/>
      <c r="BG677" s="500"/>
      <c r="BH677" s="500"/>
      <c r="BI677" s="500"/>
      <c r="BJ677" s="500"/>
      <c r="BK677" s="500"/>
      <c r="BL677" s="500"/>
      <c r="BM677" s="500"/>
      <c r="BN677" s="500"/>
      <c r="BO677" s="500"/>
      <c r="BP677" s="500"/>
      <c r="BQ677" s="500"/>
      <c r="BR677" s="500"/>
      <c r="BS677" s="500"/>
      <c r="BT677" s="500"/>
      <c r="BU677" s="500"/>
      <c r="BV677" s="500"/>
    </row>
    <row r="678" ht="14.25" customHeight="1">
      <c r="A678" s="500"/>
      <c r="B678" s="500"/>
      <c r="C678" s="500"/>
      <c r="D678" s="500"/>
      <c r="E678" s="500"/>
      <c r="F678" s="500"/>
      <c r="G678" s="500"/>
      <c r="H678" s="500"/>
      <c r="I678" s="500"/>
      <c r="J678" s="500"/>
      <c r="K678" s="500"/>
      <c r="L678" s="500"/>
      <c r="M678" s="500"/>
      <c r="N678" s="500"/>
      <c r="O678" s="500"/>
      <c r="P678" s="500"/>
      <c r="Q678" s="500"/>
      <c r="R678" s="500"/>
      <c r="S678" s="500"/>
      <c r="T678" s="500"/>
      <c r="U678" s="500"/>
      <c r="V678" s="500"/>
      <c r="W678" s="500"/>
      <c r="X678" s="500"/>
      <c r="Y678" s="500"/>
      <c r="Z678" s="501"/>
      <c r="AA678" s="501"/>
      <c r="AB678" s="501"/>
      <c r="AC678" s="501"/>
      <c r="AD678" s="500"/>
      <c r="AE678" s="500"/>
      <c r="AF678" s="503"/>
      <c r="AG678" s="503"/>
      <c r="AH678" s="504"/>
      <c r="AI678" s="500"/>
      <c r="AJ678" s="500"/>
      <c r="AK678" s="500"/>
      <c r="AL678" s="500"/>
      <c r="AM678" s="500"/>
      <c r="AN678" s="500"/>
      <c r="AO678" s="500"/>
      <c r="AP678" s="500"/>
      <c r="AQ678" s="500"/>
      <c r="AR678" s="500"/>
      <c r="AS678" s="500"/>
      <c r="AT678" s="500"/>
      <c r="AU678" s="500"/>
      <c r="AV678" s="500"/>
      <c r="AW678" s="500"/>
      <c r="AX678" s="500"/>
      <c r="AY678" s="500"/>
      <c r="AZ678" s="500"/>
      <c r="BA678" s="500"/>
      <c r="BB678" s="500"/>
      <c r="BC678" s="500"/>
      <c r="BD678" s="500"/>
      <c r="BE678" s="500"/>
      <c r="BF678" s="500"/>
      <c r="BG678" s="500"/>
      <c r="BH678" s="500"/>
      <c r="BI678" s="500"/>
      <c r="BJ678" s="500"/>
      <c r="BK678" s="500"/>
      <c r="BL678" s="500"/>
      <c r="BM678" s="500"/>
      <c r="BN678" s="500"/>
      <c r="BO678" s="500"/>
      <c r="BP678" s="500"/>
      <c r="BQ678" s="500"/>
      <c r="BR678" s="500"/>
      <c r="BS678" s="500"/>
      <c r="BT678" s="500"/>
      <c r="BU678" s="500"/>
      <c r="BV678" s="500"/>
    </row>
    <row r="679" ht="14.25" customHeight="1">
      <c r="A679" s="500"/>
      <c r="B679" s="500"/>
      <c r="C679" s="500"/>
      <c r="D679" s="500"/>
      <c r="E679" s="500"/>
      <c r="F679" s="500"/>
      <c r="G679" s="500"/>
      <c r="H679" s="500"/>
      <c r="I679" s="500"/>
      <c r="J679" s="500"/>
      <c r="K679" s="500"/>
      <c r="L679" s="500"/>
      <c r="M679" s="500"/>
      <c r="N679" s="500"/>
      <c r="O679" s="500"/>
      <c r="P679" s="500"/>
      <c r="Q679" s="500"/>
      <c r="R679" s="500"/>
      <c r="S679" s="500"/>
      <c r="T679" s="500"/>
      <c r="U679" s="500"/>
      <c r="V679" s="500"/>
      <c r="W679" s="500"/>
      <c r="X679" s="500"/>
      <c r="Y679" s="500"/>
      <c r="Z679" s="501"/>
      <c r="AA679" s="501"/>
      <c r="AB679" s="501"/>
      <c r="AC679" s="501"/>
      <c r="AD679" s="500"/>
      <c r="AE679" s="500"/>
      <c r="AF679" s="503"/>
      <c r="AG679" s="503"/>
      <c r="AH679" s="504"/>
      <c r="AI679" s="500"/>
      <c r="AJ679" s="500"/>
      <c r="AK679" s="500"/>
      <c r="AL679" s="500"/>
      <c r="AM679" s="500"/>
      <c r="AN679" s="500"/>
      <c r="AO679" s="500"/>
      <c r="AP679" s="500"/>
      <c r="AQ679" s="500"/>
      <c r="AR679" s="500"/>
      <c r="AS679" s="500"/>
      <c r="AT679" s="500"/>
      <c r="AU679" s="500"/>
      <c r="AV679" s="500"/>
      <c r="AW679" s="500"/>
      <c r="AX679" s="500"/>
      <c r="AY679" s="500"/>
      <c r="AZ679" s="500"/>
      <c r="BA679" s="500"/>
      <c r="BB679" s="500"/>
      <c r="BC679" s="500"/>
      <c r="BD679" s="500"/>
      <c r="BE679" s="500"/>
      <c r="BF679" s="500"/>
      <c r="BG679" s="500"/>
      <c r="BH679" s="500"/>
      <c r="BI679" s="500"/>
      <c r="BJ679" s="500"/>
      <c r="BK679" s="500"/>
      <c r="BL679" s="500"/>
      <c r="BM679" s="500"/>
      <c r="BN679" s="500"/>
      <c r="BO679" s="500"/>
      <c r="BP679" s="500"/>
      <c r="BQ679" s="500"/>
      <c r="BR679" s="500"/>
      <c r="BS679" s="500"/>
      <c r="BT679" s="500"/>
      <c r="BU679" s="500"/>
      <c r="BV679" s="500"/>
    </row>
    <row r="680" ht="14.25" customHeight="1">
      <c r="A680" s="500"/>
      <c r="B680" s="500"/>
      <c r="C680" s="500"/>
      <c r="D680" s="500"/>
      <c r="E680" s="500"/>
      <c r="F680" s="500"/>
      <c r="G680" s="500"/>
      <c r="H680" s="500"/>
      <c r="I680" s="500"/>
      <c r="J680" s="500"/>
      <c r="K680" s="500"/>
      <c r="L680" s="500"/>
      <c r="M680" s="500"/>
      <c r="N680" s="500"/>
      <c r="O680" s="500"/>
      <c r="P680" s="500"/>
      <c r="Q680" s="500"/>
      <c r="R680" s="500"/>
      <c r="S680" s="500"/>
      <c r="T680" s="500"/>
      <c r="U680" s="500"/>
      <c r="V680" s="500"/>
      <c r="W680" s="500"/>
      <c r="X680" s="500"/>
      <c r="Y680" s="500"/>
      <c r="Z680" s="501"/>
      <c r="AA680" s="501"/>
      <c r="AB680" s="501"/>
      <c r="AC680" s="501"/>
      <c r="AD680" s="500"/>
      <c r="AE680" s="500"/>
      <c r="AF680" s="503"/>
      <c r="AG680" s="503"/>
      <c r="AH680" s="504"/>
      <c r="AI680" s="500"/>
      <c r="AJ680" s="500"/>
      <c r="AK680" s="500"/>
      <c r="AL680" s="500"/>
      <c r="AM680" s="500"/>
      <c r="AN680" s="500"/>
      <c r="AO680" s="500"/>
      <c r="AP680" s="500"/>
      <c r="AQ680" s="500"/>
      <c r="AR680" s="500"/>
      <c r="AS680" s="500"/>
      <c r="AT680" s="500"/>
      <c r="AU680" s="500"/>
      <c r="AV680" s="500"/>
      <c r="AW680" s="500"/>
      <c r="AX680" s="500"/>
      <c r="AY680" s="500"/>
      <c r="AZ680" s="500"/>
      <c r="BA680" s="500"/>
      <c r="BB680" s="500"/>
      <c r="BC680" s="500"/>
      <c r="BD680" s="500"/>
      <c r="BE680" s="500"/>
      <c r="BF680" s="500"/>
      <c r="BG680" s="500"/>
      <c r="BH680" s="500"/>
      <c r="BI680" s="500"/>
      <c r="BJ680" s="500"/>
      <c r="BK680" s="500"/>
      <c r="BL680" s="500"/>
      <c r="BM680" s="500"/>
      <c r="BN680" s="500"/>
      <c r="BO680" s="500"/>
      <c r="BP680" s="500"/>
      <c r="BQ680" s="500"/>
      <c r="BR680" s="500"/>
      <c r="BS680" s="500"/>
      <c r="BT680" s="500"/>
      <c r="BU680" s="500"/>
      <c r="BV680" s="500"/>
    </row>
    <row r="681" ht="14.25" customHeight="1">
      <c r="A681" s="500"/>
      <c r="B681" s="500"/>
      <c r="C681" s="500"/>
      <c r="D681" s="500"/>
      <c r="E681" s="500"/>
      <c r="F681" s="500"/>
      <c r="G681" s="500"/>
      <c r="H681" s="500"/>
      <c r="I681" s="500"/>
      <c r="J681" s="500"/>
      <c r="K681" s="500"/>
      <c r="L681" s="500"/>
      <c r="M681" s="500"/>
      <c r="N681" s="500"/>
      <c r="O681" s="500"/>
      <c r="P681" s="500"/>
      <c r="Q681" s="500"/>
      <c r="R681" s="500"/>
      <c r="S681" s="500"/>
      <c r="T681" s="500"/>
      <c r="U681" s="500"/>
      <c r="V681" s="500"/>
      <c r="W681" s="500"/>
      <c r="X681" s="500"/>
      <c r="Y681" s="500"/>
      <c r="Z681" s="501"/>
      <c r="AA681" s="501"/>
      <c r="AB681" s="501"/>
      <c r="AC681" s="501"/>
      <c r="AD681" s="500"/>
      <c r="AE681" s="500"/>
      <c r="AF681" s="503"/>
      <c r="AG681" s="503"/>
      <c r="AH681" s="504"/>
      <c r="AI681" s="500"/>
      <c r="AJ681" s="500"/>
      <c r="AK681" s="500"/>
      <c r="AL681" s="500"/>
      <c r="AM681" s="500"/>
      <c r="AN681" s="500"/>
      <c r="AO681" s="500"/>
      <c r="AP681" s="500"/>
      <c r="AQ681" s="500"/>
      <c r="AR681" s="500"/>
      <c r="AS681" s="500"/>
      <c r="AT681" s="500"/>
      <c r="AU681" s="500"/>
      <c r="AV681" s="500"/>
      <c r="AW681" s="500"/>
      <c r="AX681" s="500"/>
      <c r="AY681" s="500"/>
      <c r="AZ681" s="500"/>
      <c r="BA681" s="500"/>
      <c r="BB681" s="500"/>
      <c r="BC681" s="500"/>
      <c r="BD681" s="500"/>
      <c r="BE681" s="500"/>
      <c r="BF681" s="500"/>
      <c r="BG681" s="500"/>
      <c r="BH681" s="500"/>
      <c r="BI681" s="500"/>
      <c r="BJ681" s="500"/>
      <c r="BK681" s="500"/>
      <c r="BL681" s="500"/>
      <c r="BM681" s="500"/>
      <c r="BN681" s="500"/>
      <c r="BO681" s="500"/>
      <c r="BP681" s="500"/>
      <c r="BQ681" s="500"/>
      <c r="BR681" s="500"/>
      <c r="BS681" s="500"/>
      <c r="BT681" s="500"/>
      <c r="BU681" s="500"/>
      <c r="BV681" s="500"/>
    </row>
    <row r="682" ht="14.25" customHeight="1">
      <c r="A682" s="500"/>
      <c r="B682" s="500"/>
      <c r="C682" s="500"/>
      <c r="D682" s="500"/>
      <c r="E682" s="500"/>
      <c r="F682" s="500"/>
      <c r="G682" s="500"/>
      <c r="H682" s="500"/>
      <c r="I682" s="500"/>
      <c r="J682" s="500"/>
      <c r="K682" s="500"/>
      <c r="L682" s="500"/>
      <c r="M682" s="500"/>
      <c r="N682" s="500"/>
      <c r="O682" s="500"/>
      <c r="P682" s="500"/>
      <c r="Q682" s="500"/>
      <c r="R682" s="500"/>
      <c r="S682" s="500"/>
      <c r="T682" s="500"/>
      <c r="U682" s="500"/>
      <c r="V682" s="500"/>
      <c r="W682" s="500"/>
      <c r="X682" s="500"/>
      <c r="Y682" s="500"/>
      <c r="Z682" s="501"/>
      <c r="AA682" s="501"/>
      <c r="AB682" s="501"/>
      <c r="AC682" s="501"/>
      <c r="AD682" s="500"/>
      <c r="AE682" s="500"/>
      <c r="AF682" s="503"/>
      <c r="AG682" s="503"/>
      <c r="AH682" s="504"/>
      <c r="AI682" s="500"/>
      <c r="AJ682" s="500"/>
      <c r="AK682" s="500"/>
      <c r="AL682" s="500"/>
      <c r="AM682" s="500"/>
      <c r="AN682" s="500"/>
      <c r="AO682" s="500"/>
      <c r="AP682" s="500"/>
      <c r="AQ682" s="500"/>
      <c r="AR682" s="500"/>
      <c r="AS682" s="500"/>
      <c r="AT682" s="500"/>
      <c r="AU682" s="500"/>
      <c r="AV682" s="500"/>
      <c r="AW682" s="500"/>
      <c r="AX682" s="500"/>
      <c r="AY682" s="500"/>
      <c r="AZ682" s="500"/>
      <c r="BA682" s="500"/>
      <c r="BB682" s="500"/>
      <c r="BC682" s="500"/>
      <c r="BD682" s="500"/>
      <c r="BE682" s="500"/>
      <c r="BF682" s="500"/>
      <c r="BG682" s="500"/>
      <c r="BH682" s="500"/>
      <c r="BI682" s="500"/>
      <c r="BJ682" s="500"/>
      <c r="BK682" s="500"/>
      <c r="BL682" s="500"/>
      <c r="BM682" s="500"/>
      <c r="BN682" s="500"/>
      <c r="BO682" s="500"/>
      <c r="BP682" s="500"/>
      <c r="BQ682" s="500"/>
      <c r="BR682" s="500"/>
      <c r="BS682" s="500"/>
      <c r="BT682" s="500"/>
      <c r="BU682" s="500"/>
      <c r="BV682" s="500"/>
    </row>
    <row r="683" ht="14.25" customHeight="1">
      <c r="A683" s="500"/>
      <c r="B683" s="500"/>
      <c r="C683" s="500"/>
      <c r="D683" s="500"/>
      <c r="E683" s="500"/>
      <c r="F683" s="500"/>
      <c r="G683" s="500"/>
      <c r="H683" s="500"/>
      <c r="I683" s="500"/>
      <c r="J683" s="500"/>
      <c r="K683" s="500"/>
      <c r="L683" s="500"/>
      <c r="M683" s="500"/>
      <c r="N683" s="500"/>
      <c r="O683" s="500"/>
      <c r="P683" s="500"/>
      <c r="Q683" s="500"/>
      <c r="R683" s="500"/>
      <c r="S683" s="500"/>
      <c r="T683" s="500"/>
      <c r="U683" s="500"/>
      <c r="V683" s="500"/>
      <c r="W683" s="500"/>
      <c r="X683" s="500"/>
      <c r="Y683" s="500"/>
      <c r="Z683" s="501"/>
      <c r="AA683" s="501"/>
      <c r="AB683" s="501"/>
      <c r="AC683" s="501"/>
      <c r="AD683" s="500"/>
      <c r="AE683" s="500"/>
      <c r="AF683" s="503"/>
      <c r="AG683" s="503"/>
      <c r="AH683" s="504"/>
      <c r="AI683" s="500"/>
      <c r="AJ683" s="500"/>
      <c r="AK683" s="500"/>
      <c r="AL683" s="500"/>
      <c r="AM683" s="500"/>
      <c r="AN683" s="500"/>
      <c r="AO683" s="500"/>
      <c r="AP683" s="500"/>
      <c r="AQ683" s="500"/>
      <c r="AR683" s="500"/>
      <c r="AS683" s="500"/>
      <c r="AT683" s="500"/>
      <c r="AU683" s="500"/>
      <c r="AV683" s="500"/>
      <c r="AW683" s="500"/>
      <c r="AX683" s="500"/>
      <c r="AY683" s="500"/>
      <c r="AZ683" s="500"/>
      <c r="BA683" s="500"/>
      <c r="BB683" s="500"/>
      <c r="BC683" s="500"/>
      <c r="BD683" s="500"/>
      <c r="BE683" s="500"/>
      <c r="BF683" s="500"/>
      <c r="BG683" s="500"/>
      <c r="BH683" s="500"/>
      <c r="BI683" s="500"/>
      <c r="BJ683" s="500"/>
      <c r="BK683" s="500"/>
      <c r="BL683" s="500"/>
      <c r="BM683" s="500"/>
      <c r="BN683" s="500"/>
      <c r="BO683" s="500"/>
      <c r="BP683" s="500"/>
      <c r="BQ683" s="500"/>
      <c r="BR683" s="500"/>
      <c r="BS683" s="500"/>
      <c r="BT683" s="500"/>
      <c r="BU683" s="500"/>
      <c r="BV683" s="500"/>
    </row>
    <row r="684" ht="14.25" customHeight="1">
      <c r="A684" s="500"/>
      <c r="B684" s="500"/>
      <c r="C684" s="500"/>
      <c r="D684" s="500"/>
      <c r="E684" s="500"/>
      <c r="F684" s="500"/>
      <c r="G684" s="500"/>
      <c r="H684" s="500"/>
      <c r="I684" s="500"/>
      <c r="J684" s="500"/>
      <c r="K684" s="500"/>
      <c r="L684" s="500"/>
      <c r="M684" s="500"/>
      <c r="N684" s="500"/>
      <c r="O684" s="500"/>
      <c r="P684" s="500"/>
      <c r="Q684" s="500"/>
      <c r="R684" s="500"/>
      <c r="S684" s="500"/>
      <c r="T684" s="500"/>
      <c r="U684" s="500"/>
      <c r="V684" s="500"/>
      <c r="W684" s="500"/>
      <c r="X684" s="500"/>
      <c r="Y684" s="500"/>
      <c r="Z684" s="501"/>
      <c r="AA684" s="501"/>
      <c r="AB684" s="501"/>
      <c r="AC684" s="501"/>
      <c r="AD684" s="500"/>
      <c r="AE684" s="500"/>
      <c r="AF684" s="503"/>
      <c r="AG684" s="503"/>
      <c r="AH684" s="504"/>
      <c r="AI684" s="500"/>
      <c r="AJ684" s="500"/>
      <c r="AK684" s="500"/>
      <c r="AL684" s="500"/>
      <c r="AM684" s="500"/>
      <c r="AN684" s="500"/>
      <c r="AO684" s="500"/>
      <c r="AP684" s="500"/>
      <c r="AQ684" s="500"/>
      <c r="AR684" s="500"/>
      <c r="AS684" s="500"/>
      <c r="AT684" s="500"/>
      <c r="AU684" s="500"/>
      <c r="AV684" s="500"/>
      <c r="AW684" s="500"/>
      <c r="AX684" s="500"/>
      <c r="AY684" s="500"/>
      <c r="AZ684" s="500"/>
      <c r="BA684" s="500"/>
      <c r="BB684" s="500"/>
      <c r="BC684" s="500"/>
      <c r="BD684" s="500"/>
      <c r="BE684" s="500"/>
      <c r="BF684" s="500"/>
      <c r="BG684" s="500"/>
      <c r="BH684" s="500"/>
      <c r="BI684" s="500"/>
      <c r="BJ684" s="500"/>
      <c r="BK684" s="500"/>
      <c r="BL684" s="500"/>
      <c r="BM684" s="500"/>
      <c r="BN684" s="500"/>
      <c r="BO684" s="500"/>
      <c r="BP684" s="500"/>
      <c r="BQ684" s="500"/>
      <c r="BR684" s="500"/>
      <c r="BS684" s="500"/>
      <c r="BT684" s="500"/>
      <c r="BU684" s="500"/>
      <c r="BV684" s="500"/>
    </row>
    <row r="685" ht="14.25" customHeight="1">
      <c r="A685" s="500"/>
      <c r="B685" s="500"/>
      <c r="C685" s="500"/>
      <c r="D685" s="500"/>
      <c r="E685" s="500"/>
      <c r="F685" s="500"/>
      <c r="G685" s="500"/>
      <c r="H685" s="500"/>
      <c r="I685" s="500"/>
      <c r="J685" s="500"/>
      <c r="K685" s="500"/>
      <c r="L685" s="500"/>
      <c r="M685" s="500"/>
      <c r="N685" s="500"/>
      <c r="O685" s="500"/>
      <c r="P685" s="500"/>
      <c r="Q685" s="500"/>
      <c r="R685" s="500"/>
      <c r="S685" s="500"/>
      <c r="T685" s="500"/>
      <c r="U685" s="500"/>
      <c r="V685" s="500"/>
      <c r="W685" s="500"/>
      <c r="X685" s="500"/>
      <c r="Y685" s="500"/>
      <c r="Z685" s="501"/>
      <c r="AA685" s="501"/>
      <c r="AB685" s="501"/>
      <c r="AC685" s="501"/>
      <c r="AD685" s="500"/>
      <c r="AE685" s="500"/>
      <c r="AF685" s="503"/>
      <c r="AG685" s="503"/>
      <c r="AH685" s="504"/>
      <c r="AI685" s="500"/>
      <c r="AJ685" s="500"/>
      <c r="AK685" s="500"/>
      <c r="AL685" s="500"/>
      <c r="AM685" s="500"/>
      <c r="AN685" s="500"/>
      <c r="AO685" s="500"/>
      <c r="AP685" s="500"/>
      <c r="AQ685" s="500"/>
      <c r="AR685" s="500"/>
      <c r="AS685" s="500"/>
      <c r="AT685" s="500"/>
      <c r="AU685" s="500"/>
      <c r="AV685" s="500"/>
      <c r="AW685" s="500"/>
      <c r="AX685" s="500"/>
      <c r="AY685" s="500"/>
      <c r="AZ685" s="500"/>
      <c r="BA685" s="500"/>
      <c r="BB685" s="500"/>
      <c r="BC685" s="500"/>
      <c r="BD685" s="500"/>
      <c r="BE685" s="500"/>
      <c r="BF685" s="500"/>
      <c r="BG685" s="500"/>
      <c r="BH685" s="500"/>
      <c r="BI685" s="500"/>
      <c r="BJ685" s="500"/>
      <c r="BK685" s="500"/>
      <c r="BL685" s="500"/>
      <c r="BM685" s="500"/>
      <c r="BN685" s="500"/>
      <c r="BO685" s="500"/>
      <c r="BP685" s="500"/>
      <c r="BQ685" s="500"/>
      <c r="BR685" s="500"/>
      <c r="BS685" s="500"/>
      <c r="BT685" s="500"/>
      <c r="BU685" s="500"/>
      <c r="BV685" s="500"/>
    </row>
    <row r="686" ht="14.25" customHeight="1">
      <c r="A686" s="500"/>
      <c r="B686" s="500"/>
      <c r="C686" s="500"/>
      <c r="D686" s="500"/>
      <c r="E686" s="500"/>
      <c r="F686" s="500"/>
      <c r="G686" s="500"/>
      <c r="H686" s="500"/>
      <c r="I686" s="500"/>
      <c r="J686" s="500"/>
      <c r="K686" s="500"/>
      <c r="L686" s="500"/>
      <c r="M686" s="500"/>
      <c r="N686" s="500"/>
      <c r="O686" s="500"/>
      <c r="P686" s="500"/>
      <c r="Q686" s="500"/>
      <c r="R686" s="500"/>
      <c r="S686" s="500"/>
      <c r="T686" s="500"/>
      <c r="U686" s="500"/>
      <c r="V686" s="500"/>
      <c r="W686" s="500"/>
      <c r="X686" s="500"/>
      <c r="Y686" s="500"/>
      <c r="Z686" s="501"/>
      <c r="AA686" s="501"/>
      <c r="AB686" s="501"/>
      <c r="AC686" s="501"/>
      <c r="AD686" s="500"/>
      <c r="AE686" s="500"/>
      <c r="AF686" s="503"/>
      <c r="AG686" s="503"/>
      <c r="AH686" s="504"/>
      <c r="AI686" s="500"/>
      <c r="AJ686" s="500"/>
      <c r="AK686" s="500"/>
      <c r="AL686" s="500"/>
      <c r="AM686" s="500"/>
      <c r="AN686" s="500"/>
      <c r="AO686" s="500"/>
      <c r="AP686" s="500"/>
      <c r="AQ686" s="500"/>
      <c r="AR686" s="500"/>
      <c r="AS686" s="500"/>
      <c r="AT686" s="500"/>
      <c r="AU686" s="500"/>
      <c r="AV686" s="500"/>
      <c r="AW686" s="500"/>
      <c r="AX686" s="500"/>
      <c r="AY686" s="500"/>
      <c r="AZ686" s="500"/>
      <c r="BA686" s="500"/>
      <c r="BB686" s="500"/>
      <c r="BC686" s="500"/>
      <c r="BD686" s="500"/>
      <c r="BE686" s="500"/>
      <c r="BF686" s="500"/>
      <c r="BG686" s="500"/>
      <c r="BH686" s="500"/>
      <c r="BI686" s="500"/>
      <c r="BJ686" s="500"/>
      <c r="BK686" s="500"/>
      <c r="BL686" s="500"/>
      <c r="BM686" s="500"/>
      <c r="BN686" s="500"/>
      <c r="BO686" s="500"/>
      <c r="BP686" s="500"/>
      <c r="BQ686" s="500"/>
      <c r="BR686" s="500"/>
      <c r="BS686" s="500"/>
      <c r="BT686" s="500"/>
      <c r="BU686" s="500"/>
      <c r="BV686" s="500"/>
    </row>
    <row r="687" ht="14.25" customHeight="1">
      <c r="A687" s="500"/>
      <c r="B687" s="500"/>
      <c r="C687" s="500"/>
      <c r="D687" s="500"/>
      <c r="E687" s="500"/>
      <c r="F687" s="500"/>
      <c r="G687" s="500"/>
      <c r="H687" s="500"/>
      <c r="I687" s="500"/>
      <c r="J687" s="500"/>
      <c r="K687" s="500"/>
      <c r="L687" s="500"/>
      <c r="M687" s="500"/>
      <c r="N687" s="500"/>
      <c r="O687" s="500"/>
      <c r="P687" s="500"/>
      <c r="Q687" s="500"/>
      <c r="R687" s="500"/>
      <c r="S687" s="500"/>
      <c r="T687" s="500"/>
      <c r="U687" s="500"/>
      <c r="V687" s="500"/>
      <c r="W687" s="500"/>
      <c r="X687" s="500"/>
      <c r="Y687" s="500"/>
      <c r="Z687" s="501"/>
      <c r="AA687" s="501"/>
      <c r="AB687" s="501"/>
      <c r="AC687" s="501"/>
      <c r="AD687" s="500"/>
      <c r="AE687" s="500"/>
      <c r="AF687" s="503"/>
      <c r="AG687" s="503"/>
      <c r="AH687" s="504"/>
      <c r="AI687" s="500"/>
      <c r="AJ687" s="500"/>
      <c r="AK687" s="500"/>
      <c r="AL687" s="500"/>
      <c r="AM687" s="500"/>
      <c r="AN687" s="500"/>
      <c r="AO687" s="500"/>
      <c r="AP687" s="500"/>
      <c r="AQ687" s="500"/>
      <c r="AR687" s="500"/>
      <c r="AS687" s="500"/>
      <c r="AT687" s="500"/>
      <c r="AU687" s="500"/>
      <c r="AV687" s="500"/>
      <c r="AW687" s="500"/>
      <c r="AX687" s="500"/>
      <c r="AY687" s="500"/>
      <c r="AZ687" s="500"/>
      <c r="BA687" s="500"/>
      <c r="BB687" s="500"/>
      <c r="BC687" s="500"/>
      <c r="BD687" s="500"/>
      <c r="BE687" s="500"/>
      <c r="BF687" s="500"/>
      <c r="BG687" s="500"/>
      <c r="BH687" s="500"/>
      <c r="BI687" s="500"/>
      <c r="BJ687" s="500"/>
      <c r="BK687" s="500"/>
      <c r="BL687" s="500"/>
      <c r="BM687" s="500"/>
      <c r="BN687" s="500"/>
      <c r="BO687" s="500"/>
      <c r="BP687" s="500"/>
      <c r="BQ687" s="500"/>
      <c r="BR687" s="500"/>
      <c r="BS687" s="500"/>
      <c r="BT687" s="500"/>
      <c r="BU687" s="500"/>
      <c r="BV687" s="500"/>
    </row>
    <row r="688" ht="14.25" customHeight="1">
      <c r="A688" s="500"/>
      <c r="B688" s="500"/>
      <c r="C688" s="500"/>
      <c r="D688" s="500"/>
      <c r="E688" s="500"/>
      <c r="F688" s="500"/>
      <c r="G688" s="500"/>
      <c r="H688" s="500"/>
      <c r="I688" s="500"/>
      <c r="J688" s="500"/>
      <c r="K688" s="500"/>
      <c r="L688" s="500"/>
      <c r="M688" s="500"/>
      <c r="N688" s="500"/>
      <c r="O688" s="500"/>
      <c r="P688" s="500"/>
      <c r="Q688" s="500"/>
      <c r="R688" s="500"/>
      <c r="S688" s="500"/>
      <c r="T688" s="500"/>
      <c r="U688" s="500"/>
      <c r="V688" s="500"/>
      <c r="W688" s="500"/>
      <c r="X688" s="500"/>
      <c r="Y688" s="500"/>
      <c r="Z688" s="501"/>
      <c r="AA688" s="501"/>
      <c r="AB688" s="501"/>
      <c r="AC688" s="501"/>
      <c r="AD688" s="500"/>
      <c r="AE688" s="500"/>
      <c r="AF688" s="503"/>
      <c r="AG688" s="503"/>
      <c r="AH688" s="504"/>
      <c r="AI688" s="500"/>
      <c r="AJ688" s="500"/>
      <c r="AK688" s="500"/>
      <c r="AL688" s="500"/>
      <c r="AM688" s="500"/>
      <c r="AN688" s="500"/>
      <c r="AO688" s="500"/>
      <c r="AP688" s="500"/>
      <c r="AQ688" s="500"/>
      <c r="AR688" s="500"/>
      <c r="AS688" s="500"/>
      <c r="AT688" s="500"/>
      <c r="AU688" s="500"/>
      <c r="AV688" s="500"/>
      <c r="AW688" s="500"/>
      <c r="AX688" s="500"/>
      <c r="AY688" s="500"/>
      <c r="AZ688" s="500"/>
      <c r="BA688" s="500"/>
      <c r="BB688" s="500"/>
      <c r="BC688" s="500"/>
      <c r="BD688" s="500"/>
      <c r="BE688" s="500"/>
      <c r="BF688" s="500"/>
      <c r="BG688" s="500"/>
      <c r="BH688" s="500"/>
      <c r="BI688" s="500"/>
      <c r="BJ688" s="500"/>
      <c r="BK688" s="500"/>
      <c r="BL688" s="500"/>
      <c r="BM688" s="500"/>
      <c r="BN688" s="500"/>
      <c r="BO688" s="500"/>
      <c r="BP688" s="500"/>
      <c r="BQ688" s="500"/>
      <c r="BR688" s="500"/>
      <c r="BS688" s="500"/>
      <c r="BT688" s="500"/>
      <c r="BU688" s="500"/>
      <c r="BV688" s="500"/>
    </row>
    <row r="689" ht="14.25" customHeight="1">
      <c r="A689" s="500"/>
      <c r="B689" s="500"/>
      <c r="C689" s="500"/>
      <c r="D689" s="500"/>
      <c r="E689" s="500"/>
      <c r="F689" s="500"/>
      <c r="G689" s="500"/>
      <c r="H689" s="500"/>
      <c r="I689" s="500"/>
      <c r="J689" s="500"/>
      <c r="K689" s="500"/>
      <c r="L689" s="500"/>
      <c r="M689" s="500"/>
      <c r="N689" s="500"/>
      <c r="O689" s="500"/>
      <c r="P689" s="500"/>
      <c r="Q689" s="500"/>
      <c r="R689" s="500"/>
      <c r="S689" s="500"/>
      <c r="T689" s="500"/>
      <c r="U689" s="500"/>
      <c r="V689" s="500"/>
      <c r="W689" s="500"/>
      <c r="X689" s="500"/>
      <c r="Y689" s="500"/>
      <c r="Z689" s="501"/>
      <c r="AA689" s="501"/>
      <c r="AB689" s="501"/>
      <c r="AC689" s="501"/>
      <c r="AD689" s="500"/>
      <c r="AE689" s="500"/>
      <c r="AF689" s="503"/>
      <c r="AG689" s="503"/>
      <c r="AH689" s="504"/>
      <c r="AI689" s="500"/>
      <c r="AJ689" s="500"/>
      <c r="AK689" s="500"/>
      <c r="AL689" s="500"/>
      <c r="AM689" s="500"/>
      <c r="AN689" s="500"/>
      <c r="AO689" s="500"/>
      <c r="AP689" s="500"/>
      <c r="AQ689" s="500"/>
      <c r="AR689" s="500"/>
      <c r="AS689" s="500"/>
      <c r="AT689" s="500"/>
      <c r="AU689" s="500"/>
      <c r="AV689" s="500"/>
      <c r="AW689" s="500"/>
      <c r="AX689" s="500"/>
      <c r="AY689" s="500"/>
      <c r="AZ689" s="500"/>
      <c r="BA689" s="500"/>
      <c r="BB689" s="500"/>
      <c r="BC689" s="500"/>
      <c r="BD689" s="500"/>
      <c r="BE689" s="500"/>
      <c r="BF689" s="500"/>
      <c r="BG689" s="500"/>
      <c r="BH689" s="500"/>
      <c r="BI689" s="500"/>
      <c r="BJ689" s="500"/>
      <c r="BK689" s="500"/>
      <c r="BL689" s="500"/>
      <c r="BM689" s="500"/>
      <c r="BN689" s="500"/>
      <c r="BO689" s="500"/>
      <c r="BP689" s="500"/>
      <c r="BQ689" s="500"/>
      <c r="BR689" s="500"/>
      <c r="BS689" s="500"/>
      <c r="BT689" s="500"/>
      <c r="BU689" s="500"/>
      <c r="BV689" s="500"/>
    </row>
    <row r="690" ht="14.25" customHeight="1">
      <c r="A690" s="500"/>
      <c r="B690" s="500"/>
      <c r="C690" s="500"/>
      <c r="D690" s="500"/>
      <c r="E690" s="500"/>
      <c r="F690" s="500"/>
      <c r="G690" s="500"/>
      <c r="H690" s="500"/>
      <c r="I690" s="500"/>
      <c r="J690" s="500"/>
      <c r="K690" s="500"/>
      <c r="L690" s="500"/>
      <c r="M690" s="500"/>
      <c r="N690" s="500"/>
      <c r="O690" s="500"/>
      <c r="P690" s="500"/>
      <c r="Q690" s="500"/>
      <c r="R690" s="500"/>
      <c r="S690" s="500"/>
      <c r="T690" s="500"/>
      <c r="U690" s="500"/>
      <c r="V690" s="500"/>
      <c r="W690" s="500"/>
      <c r="X690" s="500"/>
      <c r="Y690" s="500"/>
      <c r="Z690" s="501"/>
      <c r="AA690" s="501"/>
      <c r="AB690" s="501"/>
      <c r="AC690" s="501"/>
      <c r="AD690" s="500"/>
      <c r="AE690" s="500"/>
      <c r="AF690" s="503"/>
      <c r="AG690" s="503"/>
      <c r="AH690" s="504"/>
      <c r="AI690" s="500"/>
      <c r="AJ690" s="500"/>
      <c r="AK690" s="500"/>
      <c r="AL690" s="500"/>
      <c r="AM690" s="500"/>
      <c r="AN690" s="500"/>
      <c r="AO690" s="500"/>
      <c r="AP690" s="500"/>
      <c r="AQ690" s="500"/>
      <c r="AR690" s="500"/>
      <c r="AS690" s="500"/>
      <c r="AT690" s="500"/>
      <c r="AU690" s="500"/>
      <c r="AV690" s="500"/>
      <c r="AW690" s="500"/>
      <c r="AX690" s="500"/>
      <c r="AY690" s="500"/>
      <c r="AZ690" s="500"/>
      <c r="BA690" s="500"/>
      <c r="BB690" s="500"/>
      <c r="BC690" s="500"/>
      <c r="BD690" s="500"/>
      <c r="BE690" s="500"/>
      <c r="BF690" s="500"/>
      <c r="BG690" s="500"/>
      <c r="BH690" s="500"/>
      <c r="BI690" s="500"/>
      <c r="BJ690" s="500"/>
      <c r="BK690" s="500"/>
      <c r="BL690" s="500"/>
      <c r="BM690" s="500"/>
      <c r="BN690" s="500"/>
      <c r="BO690" s="500"/>
      <c r="BP690" s="500"/>
      <c r="BQ690" s="500"/>
      <c r="BR690" s="500"/>
      <c r="BS690" s="500"/>
      <c r="BT690" s="500"/>
      <c r="BU690" s="500"/>
      <c r="BV690" s="500"/>
    </row>
    <row r="691" ht="14.25" customHeight="1">
      <c r="A691" s="500"/>
      <c r="B691" s="500"/>
      <c r="C691" s="500"/>
      <c r="D691" s="500"/>
      <c r="E691" s="500"/>
      <c r="F691" s="500"/>
      <c r="G691" s="500"/>
      <c r="H691" s="500"/>
      <c r="I691" s="500"/>
      <c r="J691" s="500"/>
      <c r="K691" s="500"/>
      <c r="L691" s="500"/>
      <c r="M691" s="500"/>
      <c r="N691" s="500"/>
      <c r="O691" s="500"/>
      <c r="P691" s="500"/>
      <c r="Q691" s="500"/>
      <c r="R691" s="500"/>
      <c r="S691" s="500"/>
      <c r="T691" s="500"/>
      <c r="U691" s="500"/>
      <c r="V691" s="500"/>
      <c r="W691" s="500"/>
      <c r="X691" s="500"/>
      <c r="Y691" s="500"/>
      <c r="Z691" s="501"/>
      <c r="AA691" s="501"/>
      <c r="AB691" s="501"/>
      <c r="AC691" s="501"/>
      <c r="AD691" s="500"/>
      <c r="AE691" s="500"/>
      <c r="AF691" s="503"/>
      <c r="AG691" s="503"/>
      <c r="AH691" s="504"/>
      <c r="AI691" s="500"/>
      <c r="AJ691" s="500"/>
      <c r="AK691" s="500"/>
      <c r="AL691" s="500"/>
      <c r="AM691" s="500"/>
      <c r="AN691" s="500"/>
      <c r="AO691" s="500"/>
      <c r="AP691" s="500"/>
      <c r="AQ691" s="500"/>
      <c r="AR691" s="500"/>
      <c r="AS691" s="500"/>
      <c r="AT691" s="500"/>
      <c r="AU691" s="500"/>
      <c r="AV691" s="500"/>
      <c r="AW691" s="500"/>
      <c r="AX691" s="500"/>
      <c r="AY691" s="500"/>
      <c r="AZ691" s="500"/>
      <c r="BA691" s="500"/>
      <c r="BB691" s="500"/>
      <c r="BC691" s="500"/>
      <c r="BD691" s="500"/>
      <c r="BE691" s="500"/>
      <c r="BF691" s="500"/>
      <c r="BG691" s="500"/>
      <c r="BH691" s="500"/>
      <c r="BI691" s="500"/>
      <c r="BJ691" s="500"/>
      <c r="BK691" s="500"/>
      <c r="BL691" s="500"/>
      <c r="BM691" s="500"/>
      <c r="BN691" s="500"/>
      <c r="BO691" s="500"/>
      <c r="BP691" s="500"/>
      <c r="BQ691" s="500"/>
      <c r="BR691" s="500"/>
      <c r="BS691" s="500"/>
      <c r="BT691" s="500"/>
      <c r="BU691" s="500"/>
      <c r="BV691" s="500"/>
    </row>
    <row r="692" ht="14.25" customHeight="1">
      <c r="A692" s="500"/>
      <c r="B692" s="500"/>
      <c r="C692" s="500"/>
      <c r="D692" s="500"/>
      <c r="E692" s="500"/>
      <c r="F692" s="500"/>
      <c r="G692" s="500"/>
      <c r="H692" s="500"/>
      <c r="I692" s="500"/>
      <c r="J692" s="500"/>
      <c r="K692" s="500"/>
      <c r="L692" s="500"/>
      <c r="M692" s="500"/>
      <c r="N692" s="500"/>
      <c r="O692" s="500"/>
      <c r="P692" s="500"/>
      <c r="Q692" s="500"/>
      <c r="R692" s="500"/>
      <c r="S692" s="500"/>
      <c r="T692" s="500"/>
      <c r="U692" s="500"/>
      <c r="V692" s="500"/>
      <c r="W692" s="500"/>
      <c r="X692" s="500"/>
      <c r="Y692" s="500"/>
      <c r="Z692" s="501"/>
      <c r="AA692" s="501"/>
      <c r="AB692" s="501"/>
      <c r="AC692" s="501"/>
      <c r="AD692" s="500"/>
      <c r="AE692" s="500"/>
      <c r="AF692" s="503"/>
      <c r="AG692" s="503"/>
      <c r="AH692" s="504"/>
      <c r="AI692" s="500"/>
      <c r="AJ692" s="500"/>
      <c r="AK692" s="500"/>
      <c r="AL692" s="500"/>
      <c r="AM692" s="500"/>
      <c r="AN692" s="500"/>
      <c r="AO692" s="500"/>
      <c r="AP692" s="500"/>
      <c r="AQ692" s="500"/>
      <c r="AR692" s="500"/>
      <c r="AS692" s="500"/>
      <c r="AT692" s="500"/>
      <c r="AU692" s="500"/>
      <c r="AV692" s="500"/>
      <c r="AW692" s="500"/>
      <c r="AX692" s="500"/>
      <c r="AY692" s="500"/>
      <c r="AZ692" s="500"/>
      <c r="BA692" s="500"/>
      <c r="BB692" s="500"/>
      <c r="BC692" s="500"/>
      <c r="BD692" s="500"/>
      <c r="BE692" s="500"/>
      <c r="BF692" s="500"/>
      <c r="BG692" s="500"/>
      <c r="BH692" s="500"/>
      <c r="BI692" s="500"/>
      <c r="BJ692" s="500"/>
      <c r="BK692" s="500"/>
      <c r="BL692" s="500"/>
      <c r="BM692" s="500"/>
      <c r="BN692" s="500"/>
      <c r="BO692" s="500"/>
      <c r="BP692" s="500"/>
      <c r="BQ692" s="500"/>
      <c r="BR692" s="500"/>
      <c r="BS692" s="500"/>
      <c r="BT692" s="500"/>
      <c r="BU692" s="500"/>
      <c r="BV692" s="500"/>
    </row>
    <row r="693" ht="14.25" customHeight="1">
      <c r="A693" s="500"/>
      <c r="B693" s="500"/>
      <c r="C693" s="500"/>
      <c r="D693" s="500"/>
      <c r="E693" s="500"/>
      <c r="F693" s="500"/>
      <c r="G693" s="500"/>
      <c r="H693" s="500"/>
      <c r="I693" s="500"/>
      <c r="J693" s="500"/>
      <c r="K693" s="500"/>
      <c r="L693" s="500"/>
      <c r="M693" s="500"/>
      <c r="N693" s="500"/>
      <c r="O693" s="500"/>
      <c r="P693" s="500"/>
      <c r="Q693" s="500"/>
      <c r="R693" s="500"/>
      <c r="S693" s="500"/>
      <c r="T693" s="500"/>
      <c r="U693" s="500"/>
      <c r="V693" s="500"/>
      <c r="W693" s="500"/>
      <c r="X693" s="500"/>
      <c r="Y693" s="500"/>
      <c r="Z693" s="501"/>
      <c r="AA693" s="501"/>
      <c r="AB693" s="501"/>
      <c r="AC693" s="501"/>
      <c r="AD693" s="500"/>
      <c r="AE693" s="500"/>
      <c r="AF693" s="503"/>
      <c r="AG693" s="503"/>
      <c r="AH693" s="504"/>
      <c r="AI693" s="500"/>
      <c r="AJ693" s="500"/>
      <c r="AK693" s="500"/>
      <c r="AL693" s="500"/>
      <c r="AM693" s="500"/>
      <c r="AN693" s="500"/>
      <c r="AO693" s="500"/>
      <c r="AP693" s="500"/>
      <c r="AQ693" s="500"/>
      <c r="AR693" s="500"/>
      <c r="AS693" s="500"/>
      <c r="AT693" s="500"/>
      <c r="AU693" s="500"/>
      <c r="AV693" s="500"/>
      <c r="AW693" s="500"/>
      <c r="AX693" s="500"/>
      <c r="AY693" s="500"/>
      <c r="AZ693" s="500"/>
      <c r="BA693" s="500"/>
      <c r="BB693" s="500"/>
      <c r="BC693" s="500"/>
      <c r="BD693" s="500"/>
      <c r="BE693" s="500"/>
      <c r="BF693" s="500"/>
      <c r="BG693" s="500"/>
      <c r="BH693" s="500"/>
      <c r="BI693" s="500"/>
      <c r="BJ693" s="500"/>
      <c r="BK693" s="500"/>
      <c r="BL693" s="500"/>
      <c r="BM693" s="500"/>
      <c r="BN693" s="500"/>
      <c r="BO693" s="500"/>
      <c r="BP693" s="500"/>
      <c r="BQ693" s="500"/>
      <c r="BR693" s="500"/>
      <c r="BS693" s="500"/>
      <c r="BT693" s="500"/>
      <c r="BU693" s="500"/>
      <c r="BV693" s="500"/>
    </row>
    <row r="694" ht="14.25" customHeight="1">
      <c r="A694" s="500"/>
      <c r="B694" s="500"/>
      <c r="C694" s="500"/>
      <c r="D694" s="500"/>
      <c r="E694" s="500"/>
      <c r="F694" s="500"/>
      <c r="G694" s="500"/>
      <c r="H694" s="500"/>
      <c r="I694" s="500"/>
      <c r="J694" s="500"/>
      <c r="K694" s="500"/>
      <c r="L694" s="500"/>
      <c r="M694" s="500"/>
      <c r="N694" s="500"/>
      <c r="O694" s="500"/>
      <c r="P694" s="500"/>
      <c r="Q694" s="500"/>
      <c r="R694" s="500"/>
      <c r="S694" s="500"/>
      <c r="T694" s="500"/>
      <c r="U694" s="500"/>
      <c r="V694" s="500"/>
      <c r="W694" s="500"/>
      <c r="X694" s="500"/>
      <c r="Y694" s="500"/>
      <c r="Z694" s="501"/>
      <c r="AA694" s="501"/>
      <c r="AB694" s="501"/>
      <c r="AC694" s="501"/>
      <c r="AD694" s="500"/>
      <c r="AE694" s="500"/>
      <c r="AF694" s="503"/>
      <c r="AG694" s="503"/>
      <c r="AH694" s="504"/>
      <c r="AI694" s="500"/>
      <c r="AJ694" s="500"/>
      <c r="AK694" s="500"/>
      <c r="AL694" s="500"/>
      <c r="AM694" s="500"/>
      <c r="AN694" s="500"/>
      <c r="AO694" s="500"/>
      <c r="AP694" s="500"/>
      <c r="AQ694" s="500"/>
      <c r="AR694" s="500"/>
      <c r="AS694" s="500"/>
      <c r="AT694" s="500"/>
      <c r="AU694" s="500"/>
      <c r="AV694" s="500"/>
      <c r="AW694" s="500"/>
      <c r="AX694" s="500"/>
      <c r="AY694" s="500"/>
      <c r="AZ694" s="500"/>
      <c r="BA694" s="500"/>
      <c r="BB694" s="500"/>
      <c r="BC694" s="500"/>
      <c r="BD694" s="500"/>
      <c r="BE694" s="500"/>
      <c r="BF694" s="500"/>
      <c r="BG694" s="500"/>
      <c r="BH694" s="500"/>
      <c r="BI694" s="500"/>
      <c r="BJ694" s="500"/>
      <c r="BK694" s="500"/>
      <c r="BL694" s="500"/>
      <c r="BM694" s="500"/>
      <c r="BN694" s="500"/>
      <c r="BO694" s="500"/>
      <c r="BP694" s="500"/>
      <c r="BQ694" s="500"/>
      <c r="BR694" s="500"/>
      <c r="BS694" s="500"/>
      <c r="BT694" s="500"/>
      <c r="BU694" s="500"/>
      <c r="BV694" s="500"/>
    </row>
    <row r="695" ht="14.25" customHeight="1">
      <c r="A695" s="500"/>
      <c r="B695" s="500"/>
      <c r="C695" s="500"/>
      <c r="D695" s="500"/>
      <c r="E695" s="500"/>
      <c r="F695" s="500"/>
      <c r="G695" s="500"/>
      <c r="H695" s="500"/>
      <c r="I695" s="500"/>
      <c r="J695" s="500"/>
      <c r="K695" s="500"/>
      <c r="L695" s="500"/>
      <c r="M695" s="500"/>
      <c r="N695" s="500"/>
      <c r="O695" s="500"/>
      <c r="P695" s="500"/>
      <c r="Q695" s="500"/>
      <c r="R695" s="500"/>
      <c r="S695" s="500"/>
      <c r="T695" s="500"/>
      <c r="U695" s="500"/>
      <c r="V695" s="500"/>
      <c r="W695" s="500"/>
      <c r="X695" s="500"/>
      <c r="Y695" s="500"/>
      <c r="Z695" s="501"/>
      <c r="AA695" s="501"/>
      <c r="AB695" s="501"/>
      <c r="AC695" s="501"/>
      <c r="AD695" s="500"/>
      <c r="AE695" s="500"/>
      <c r="AF695" s="503"/>
      <c r="AG695" s="503"/>
      <c r="AH695" s="504"/>
      <c r="AI695" s="500"/>
      <c r="AJ695" s="500"/>
      <c r="AK695" s="500"/>
      <c r="AL695" s="500"/>
      <c r="AM695" s="500"/>
      <c r="AN695" s="500"/>
      <c r="AO695" s="500"/>
      <c r="AP695" s="500"/>
      <c r="AQ695" s="500"/>
      <c r="AR695" s="500"/>
      <c r="AS695" s="500"/>
      <c r="AT695" s="500"/>
      <c r="AU695" s="500"/>
      <c r="AV695" s="500"/>
      <c r="AW695" s="500"/>
      <c r="AX695" s="500"/>
      <c r="AY695" s="500"/>
      <c r="AZ695" s="500"/>
      <c r="BA695" s="500"/>
      <c r="BB695" s="500"/>
      <c r="BC695" s="500"/>
      <c r="BD695" s="500"/>
      <c r="BE695" s="500"/>
      <c r="BF695" s="500"/>
      <c r="BG695" s="500"/>
      <c r="BH695" s="500"/>
      <c r="BI695" s="500"/>
      <c r="BJ695" s="500"/>
      <c r="BK695" s="500"/>
      <c r="BL695" s="500"/>
      <c r="BM695" s="500"/>
      <c r="BN695" s="500"/>
      <c r="BO695" s="500"/>
      <c r="BP695" s="500"/>
      <c r="BQ695" s="500"/>
      <c r="BR695" s="500"/>
      <c r="BS695" s="500"/>
      <c r="BT695" s="500"/>
      <c r="BU695" s="500"/>
      <c r="BV695" s="500"/>
    </row>
    <row r="696" ht="14.25" customHeight="1">
      <c r="A696" s="500"/>
      <c r="B696" s="500"/>
      <c r="C696" s="500"/>
      <c r="D696" s="500"/>
      <c r="E696" s="500"/>
      <c r="F696" s="500"/>
      <c r="G696" s="500"/>
      <c r="H696" s="500"/>
      <c r="I696" s="500"/>
      <c r="J696" s="500"/>
      <c r="K696" s="500"/>
      <c r="L696" s="500"/>
      <c r="M696" s="500"/>
      <c r="N696" s="500"/>
      <c r="O696" s="500"/>
      <c r="P696" s="500"/>
      <c r="Q696" s="500"/>
      <c r="R696" s="500"/>
      <c r="S696" s="500"/>
      <c r="T696" s="500"/>
      <c r="U696" s="500"/>
      <c r="V696" s="500"/>
      <c r="W696" s="500"/>
      <c r="X696" s="500"/>
      <c r="Y696" s="500"/>
      <c r="Z696" s="501"/>
      <c r="AA696" s="501"/>
      <c r="AB696" s="501"/>
      <c r="AC696" s="501"/>
      <c r="AD696" s="500"/>
      <c r="AE696" s="500"/>
      <c r="AF696" s="503"/>
      <c r="AG696" s="503"/>
      <c r="AH696" s="504"/>
      <c r="AI696" s="500"/>
      <c r="AJ696" s="500"/>
      <c r="AK696" s="500"/>
      <c r="AL696" s="500"/>
      <c r="AM696" s="500"/>
      <c r="AN696" s="500"/>
      <c r="AO696" s="500"/>
      <c r="AP696" s="500"/>
      <c r="AQ696" s="500"/>
      <c r="AR696" s="500"/>
      <c r="AS696" s="500"/>
      <c r="AT696" s="500"/>
      <c r="AU696" s="500"/>
      <c r="AV696" s="500"/>
      <c r="AW696" s="500"/>
      <c r="AX696" s="500"/>
      <c r="AY696" s="500"/>
      <c r="AZ696" s="500"/>
      <c r="BA696" s="500"/>
      <c r="BB696" s="500"/>
      <c r="BC696" s="500"/>
      <c r="BD696" s="500"/>
      <c r="BE696" s="500"/>
      <c r="BF696" s="500"/>
      <c r="BG696" s="500"/>
      <c r="BH696" s="500"/>
      <c r="BI696" s="500"/>
      <c r="BJ696" s="500"/>
      <c r="BK696" s="500"/>
      <c r="BL696" s="500"/>
      <c r="BM696" s="500"/>
      <c r="BN696" s="500"/>
      <c r="BO696" s="500"/>
      <c r="BP696" s="500"/>
      <c r="BQ696" s="500"/>
      <c r="BR696" s="500"/>
      <c r="BS696" s="500"/>
      <c r="BT696" s="500"/>
      <c r="BU696" s="500"/>
      <c r="BV696" s="500"/>
    </row>
    <row r="697" ht="14.25" customHeight="1">
      <c r="A697" s="500"/>
      <c r="B697" s="500"/>
      <c r="C697" s="500"/>
      <c r="D697" s="500"/>
      <c r="E697" s="500"/>
      <c r="F697" s="500"/>
      <c r="G697" s="500"/>
      <c r="H697" s="500"/>
      <c r="I697" s="500"/>
      <c r="J697" s="500"/>
      <c r="K697" s="500"/>
      <c r="L697" s="500"/>
      <c r="M697" s="500"/>
      <c r="N697" s="500"/>
      <c r="O697" s="500"/>
      <c r="P697" s="500"/>
      <c r="Q697" s="500"/>
      <c r="R697" s="500"/>
      <c r="S697" s="500"/>
      <c r="T697" s="500"/>
      <c r="U697" s="500"/>
      <c r="V697" s="500"/>
      <c r="W697" s="500"/>
      <c r="X697" s="500"/>
      <c r="Y697" s="500"/>
      <c r="Z697" s="501"/>
      <c r="AA697" s="501"/>
      <c r="AB697" s="501"/>
      <c r="AC697" s="501"/>
      <c r="AD697" s="500"/>
      <c r="AE697" s="500"/>
      <c r="AF697" s="503"/>
      <c r="AG697" s="503"/>
      <c r="AH697" s="504"/>
      <c r="AI697" s="500"/>
      <c r="AJ697" s="500"/>
      <c r="AK697" s="500"/>
      <c r="AL697" s="500"/>
      <c r="AM697" s="500"/>
      <c r="AN697" s="500"/>
      <c r="AO697" s="500"/>
      <c r="AP697" s="500"/>
      <c r="AQ697" s="500"/>
      <c r="AR697" s="500"/>
      <c r="AS697" s="500"/>
      <c r="AT697" s="500"/>
      <c r="AU697" s="500"/>
      <c r="AV697" s="500"/>
      <c r="AW697" s="500"/>
      <c r="AX697" s="500"/>
      <c r="AY697" s="500"/>
      <c r="AZ697" s="500"/>
      <c r="BA697" s="500"/>
      <c r="BB697" s="500"/>
      <c r="BC697" s="500"/>
      <c r="BD697" s="500"/>
      <c r="BE697" s="500"/>
      <c r="BF697" s="500"/>
      <c r="BG697" s="500"/>
      <c r="BH697" s="500"/>
      <c r="BI697" s="500"/>
      <c r="BJ697" s="500"/>
      <c r="BK697" s="500"/>
      <c r="BL697" s="500"/>
      <c r="BM697" s="500"/>
      <c r="BN697" s="500"/>
      <c r="BO697" s="500"/>
      <c r="BP697" s="500"/>
      <c r="BQ697" s="500"/>
      <c r="BR697" s="500"/>
      <c r="BS697" s="500"/>
      <c r="BT697" s="500"/>
      <c r="BU697" s="500"/>
      <c r="BV697" s="500"/>
    </row>
    <row r="698" ht="14.25" customHeight="1">
      <c r="A698" s="500"/>
      <c r="B698" s="500"/>
      <c r="C698" s="500"/>
      <c r="D698" s="500"/>
      <c r="E698" s="500"/>
      <c r="F698" s="500"/>
      <c r="G698" s="500"/>
      <c r="H698" s="500"/>
      <c r="I698" s="500"/>
      <c r="J698" s="500"/>
      <c r="K698" s="500"/>
      <c r="L698" s="500"/>
      <c r="M698" s="500"/>
      <c r="N698" s="500"/>
      <c r="O698" s="500"/>
      <c r="P698" s="500"/>
      <c r="Q698" s="500"/>
      <c r="R698" s="500"/>
      <c r="S698" s="500"/>
      <c r="T698" s="500"/>
      <c r="U698" s="500"/>
      <c r="V698" s="500"/>
      <c r="W698" s="500"/>
      <c r="X698" s="500"/>
      <c r="Y698" s="500"/>
      <c r="Z698" s="501"/>
      <c r="AA698" s="501"/>
      <c r="AB698" s="501"/>
      <c r="AC698" s="501"/>
      <c r="AD698" s="500"/>
      <c r="AE698" s="500"/>
      <c r="AF698" s="503"/>
      <c r="AG698" s="503"/>
      <c r="AH698" s="504"/>
      <c r="AI698" s="500"/>
      <c r="AJ698" s="500"/>
      <c r="AK698" s="500"/>
      <c r="AL698" s="500"/>
      <c r="AM698" s="500"/>
      <c r="AN698" s="500"/>
      <c r="AO698" s="500"/>
      <c r="AP698" s="500"/>
      <c r="AQ698" s="500"/>
      <c r="AR698" s="500"/>
      <c r="AS698" s="500"/>
      <c r="AT698" s="500"/>
      <c r="AU698" s="500"/>
      <c r="AV698" s="500"/>
      <c r="AW698" s="500"/>
      <c r="AX698" s="500"/>
      <c r="AY698" s="500"/>
      <c r="AZ698" s="500"/>
      <c r="BA698" s="500"/>
      <c r="BB698" s="500"/>
      <c r="BC698" s="500"/>
      <c r="BD698" s="500"/>
      <c r="BE698" s="500"/>
      <c r="BF698" s="500"/>
      <c r="BG698" s="500"/>
      <c r="BH698" s="500"/>
      <c r="BI698" s="500"/>
      <c r="BJ698" s="500"/>
      <c r="BK698" s="500"/>
      <c r="BL698" s="500"/>
      <c r="BM698" s="500"/>
      <c r="BN698" s="500"/>
      <c r="BO698" s="500"/>
      <c r="BP698" s="500"/>
      <c r="BQ698" s="500"/>
      <c r="BR698" s="500"/>
      <c r="BS698" s="500"/>
      <c r="BT698" s="500"/>
      <c r="BU698" s="500"/>
      <c r="BV698" s="500"/>
    </row>
    <row r="699" ht="14.25" customHeight="1">
      <c r="A699" s="500"/>
      <c r="B699" s="500"/>
      <c r="C699" s="500"/>
      <c r="D699" s="500"/>
      <c r="E699" s="500"/>
      <c r="F699" s="500"/>
      <c r="G699" s="500"/>
      <c r="H699" s="500"/>
      <c r="I699" s="500"/>
      <c r="J699" s="500"/>
      <c r="K699" s="500"/>
      <c r="L699" s="500"/>
      <c r="M699" s="500"/>
      <c r="N699" s="500"/>
      <c r="O699" s="500"/>
      <c r="P699" s="500"/>
      <c r="Q699" s="500"/>
      <c r="R699" s="500"/>
      <c r="S699" s="500"/>
      <c r="T699" s="500"/>
      <c r="U699" s="500"/>
      <c r="V699" s="500"/>
      <c r="W699" s="500"/>
      <c r="X699" s="500"/>
      <c r="Y699" s="500"/>
      <c r="Z699" s="501"/>
      <c r="AA699" s="501"/>
      <c r="AB699" s="501"/>
      <c r="AC699" s="501"/>
      <c r="AD699" s="500"/>
      <c r="AE699" s="500"/>
      <c r="AF699" s="503"/>
      <c r="AG699" s="503"/>
      <c r="AH699" s="504"/>
      <c r="AI699" s="500"/>
      <c r="AJ699" s="500"/>
      <c r="AK699" s="500"/>
      <c r="AL699" s="500"/>
      <c r="AM699" s="500"/>
      <c r="AN699" s="500"/>
      <c r="AO699" s="500"/>
      <c r="AP699" s="500"/>
      <c r="AQ699" s="500"/>
      <c r="AR699" s="500"/>
      <c r="AS699" s="500"/>
      <c r="AT699" s="500"/>
      <c r="AU699" s="500"/>
      <c r="AV699" s="500"/>
      <c r="AW699" s="500"/>
      <c r="AX699" s="500"/>
      <c r="AY699" s="500"/>
      <c r="AZ699" s="500"/>
      <c r="BA699" s="500"/>
      <c r="BB699" s="500"/>
      <c r="BC699" s="500"/>
      <c r="BD699" s="500"/>
      <c r="BE699" s="500"/>
      <c r="BF699" s="500"/>
      <c r="BG699" s="500"/>
      <c r="BH699" s="500"/>
      <c r="BI699" s="500"/>
      <c r="BJ699" s="500"/>
      <c r="BK699" s="500"/>
      <c r="BL699" s="500"/>
      <c r="BM699" s="500"/>
      <c r="BN699" s="500"/>
      <c r="BO699" s="500"/>
      <c r="BP699" s="500"/>
      <c r="BQ699" s="500"/>
      <c r="BR699" s="500"/>
      <c r="BS699" s="500"/>
      <c r="BT699" s="500"/>
      <c r="BU699" s="500"/>
      <c r="BV699" s="500"/>
    </row>
    <row r="700" ht="14.25" customHeight="1">
      <c r="A700" s="500"/>
      <c r="B700" s="500"/>
      <c r="C700" s="500"/>
      <c r="D700" s="500"/>
      <c r="E700" s="500"/>
      <c r="F700" s="500"/>
      <c r="G700" s="500"/>
      <c r="H700" s="500"/>
      <c r="I700" s="500"/>
      <c r="J700" s="500"/>
      <c r="K700" s="500"/>
      <c r="L700" s="500"/>
      <c r="M700" s="500"/>
      <c r="N700" s="500"/>
      <c r="O700" s="500"/>
      <c r="P700" s="500"/>
      <c r="Q700" s="500"/>
      <c r="R700" s="500"/>
      <c r="S700" s="500"/>
      <c r="T700" s="500"/>
      <c r="U700" s="500"/>
      <c r="V700" s="500"/>
      <c r="W700" s="500"/>
      <c r="X700" s="500"/>
      <c r="Y700" s="500"/>
      <c r="Z700" s="501"/>
      <c r="AA700" s="501"/>
      <c r="AB700" s="501"/>
      <c r="AC700" s="501"/>
      <c r="AD700" s="500"/>
      <c r="AE700" s="500"/>
      <c r="AF700" s="503"/>
      <c r="AG700" s="503"/>
      <c r="AH700" s="504"/>
      <c r="AI700" s="500"/>
      <c r="AJ700" s="500"/>
      <c r="AK700" s="500"/>
      <c r="AL700" s="500"/>
      <c r="AM700" s="500"/>
      <c r="AN700" s="500"/>
      <c r="AO700" s="500"/>
      <c r="AP700" s="500"/>
      <c r="AQ700" s="500"/>
      <c r="AR700" s="500"/>
      <c r="AS700" s="500"/>
      <c r="AT700" s="500"/>
      <c r="AU700" s="500"/>
      <c r="AV700" s="500"/>
      <c r="AW700" s="500"/>
      <c r="AX700" s="500"/>
      <c r="AY700" s="500"/>
      <c r="AZ700" s="500"/>
      <c r="BA700" s="500"/>
      <c r="BB700" s="500"/>
      <c r="BC700" s="500"/>
      <c r="BD700" s="500"/>
      <c r="BE700" s="500"/>
      <c r="BF700" s="500"/>
      <c r="BG700" s="500"/>
      <c r="BH700" s="500"/>
      <c r="BI700" s="500"/>
      <c r="BJ700" s="500"/>
      <c r="BK700" s="500"/>
      <c r="BL700" s="500"/>
      <c r="BM700" s="500"/>
      <c r="BN700" s="500"/>
      <c r="BO700" s="500"/>
      <c r="BP700" s="500"/>
      <c r="BQ700" s="500"/>
      <c r="BR700" s="500"/>
      <c r="BS700" s="500"/>
      <c r="BT700" s="500"/>
      <c r="BU700" s="500"/>
      <c r="BV700" s="500"/>
    </row>
    <row r="701" ht="14.25" customHeight="1">
      <c r="A701" s="500"/>
      <c r="B701" s="500"/>
      <c r="C701" s="500"/>
      <c r="D701" s="500"/>
      <c r="E701" s="500"/>
      <c r="F701" s="500"/>
      <c r="G701" s="500"/>
      <c r="H701" s="500"/>
      <c r="I701" s="500"/>
      <c r="J701" s="500"/>
      <c r="K701" s="500"/>
      <c r="L701" s="500"/>
      <c r="M701" s="500"/>
      <c r="N701" s="500"/>
      <c r="O701" s="500"/>
      <c r="P701" s="500"/>
      <c r="Q701" s="500"/>
      <c r="R701" s="500"/>
      <c r="S701" s="500"/>
      <c r="T701" s="500"/>
      <c r="U701" s="500"/>
      <c r="V701" s="500"/>
      <c r="W701" s="500"/>
      <c r="X701" s="500"/>
      <c r="Y701" s="500"/>
      <c r="Z701" s="501"/>
      <c r="AA701" s="501"/>
      <c r="AB701" s="501"/>
      <c r="AC701" s="501"/>
      <c r="AD701" s="500"/>
      <c r="AE701" s="500"/>
      <c r="AF701" s="503"/>
      <c r="AG701" s="503"/>
      <c r="AH701" s="504"/>
      <c r="AI701" s="500"/>
      <c r="AJ701" s="500"/>
      <c r="AK701" s="500"/>
      <c r="AL701" s="500"/>
      <c r="AM701" s="500"/>
      <c r="AN701" s="500"/>
      <c r="AO701" s="500"/>
      <c r="AP701" s="500"/>
      <c r="AQ701" s="500"/>
      <c r="AR701" s="500"/>
      <c r="AS701" s="500"/>
      <c r="AT701" s="500"/>
      <c r="AU701" s="500"/>
      <c r="AV701" s="500"/>
      <c r="AW701" s="500"/>
      <c r="AX701" s="500"/>
      <c r="AY701" s="500"/>
      <c r="AZ701" s="500"/>
      <c r="BA701" s="500"/>
      <c r="BB701" s="500"/>
      <c r="BC701" s="500"/>
      <c r="BD701" s="500"/>
      <c r="BE701" s="500"/>
      <c r="BF701" s="500"/>
      <c r="BG701" s="500"/>
      <c r="BH701" s="500"/>
      <c r="BI701" s="500"/>
      <c r="BJ701" s="500"/>
      <c r="BK701" s="500"/>
      <c r="BL701" s="500"/>
      <c r="BM701" s="500"/>
      <c r="BN701" s="500"/>
      <c r="BO701" s="500"/>
      <c r="BP701" s="500"/>
      <c r="BQ701" s="500"/>
      <c r="BR701" s="500"/>
      <c r="BS701" s="500"/>
      <c r="BT701" s="500"/>
      <c r="BU701" s="500"/>
      <c r="BV701" s="500"/>
    </row>
    <row r="702" ht="14.25" customHeight="1">
      <c r="A702" s="500"/>
      <c r="B702" s="500"/>
      <c r="C702" s="500"/>
      <c r="D702" s="500"/>
      <c r="E702" s="500"/>
      <c r="F702" s="500"/>
      <c r="G702" s="500"/>
      <c r="H702" s="500"/>
      <c r="I702" s="500"/>
      <c r="J702" s="500"/>
      <c r="K702" s="500"/>
      <c r="L702" s="500"/>
      <c r="M702" s="500"/>
      <c r="N702" s="500"/>
      <c r="O702" s="500"/>
      <c r="P702" s="500"/>
      <c r="Q702" s="500"/>
      <c r="R702" s="500"/>
      <c r="S702" s="500"/>
      <c r="T702" s="500"/>
      <c r="U702" s="500"/>
      <c r="V702" s="500"/>
      <c r="W702" s="500"/>
      <c r="X702" s="500"/>
      <c r="Y702" s="500"/>
      <c r="Z702" s="501"/>
      <c r="AA702" s="501"/>
      <c r="AB702" s="501"/>
      <c r="AC702" s="501"/>
      <c r="AD702" s="500"/>
      <c r="AE702" s="500"/>
      <c r="AF702" s="503"/>
      <c r="AG702" s="503"/>
      <c r="AH702" s="504"/>
      <c r="AI702" s="500"/>
      <c r="AJ702" s="500"/>
      <c r="AK702" s="500"/>
      <c r="AL702" s="500"/>
      <c r="AM702" s="500"/>
      <c r="AN702" s="500"/>
      <c r="AO702" s="500"/>
      <c r="AP702" s="500"/>
      <c r="AQ702" s="500"/>
      <c r="AR702" s="500"/>
      <c r="AS702" s="500"/>
      <c r="AT702" s="500"/>
      <c r="AU702" s="500"/>
      <c r="AV702" s="500"/>
      <c r="AW702" s="500"/>
      <c r="AX702" s="500"/>
      <c r="AY702" s="500"/>
      <c r="AZ702" s="500"/>
      <c r="BA702" s="500"/>
      <c r="BB702" s="500"/>
      <c r="BC702" s="500"/>
      <c r="BD702" s="500"/>
      <c r="BE702" s="500"/>
      <c r="BF702" s="500"/>
      <c r="BG702" s="500"/>
      <c r="BH702" s="500"/>
      <c r="BI702" s="500"/>
      <c r="BJ702" s="500"/>
      <c r="BK702" s="500"/>
      <c r="BL702" s="500"/>
      <c r="BM702" s="500"/>
      <c r="BN702" s="500"/>
      <c r="BO702" s="500"/>
      <c r="BP702" s="500"/>
      <c r="BQ702" s="500"/>
      <c r="BR702" s="500"/>
      <c r="BS702" s="500"/>
      <c r="BT702" s="500"/>
      <c r="BU702" s="500"/>
      <c r="BV702" s="500"/>
    </row>
    <row r="703" ht="14.25" customHeight="1">
      <c r="A703" s="500"/>
      <c r="B703" s="500"/>
      <c r="C703" s="500"/>
      <c r="D703" s="500"/>
      <c r="E703" s="500"/>
      <c r="F703" s="500"/>
      <c r="G703" s="500"/>
      <c r="H703" s="500"/>
      <c r="I703" s="500"/>
      <c r="J703" s="500"/>
      <c r="K703" s="500"/>
      <c r="L703" s="500"/>
      <c r="M703" s="500"/>
      <c r="N703" s="500"/>
      <c r="O703" s="500"/>
      <c r="P703" s="500"/>
      <c r="Q703" s="500"/>
      <c r="R703" s="500"/>
      <c r="S703" s="500"/>
      <c r="T703" s="500"/>
      <c r="U703" s="500"/>
      <c r="V703" s="500"/>
      <c r="W703" s="500"/>
      <c r="X703" s="500"/>
      <c r="Y703" s="500"/>
      <c r="Z703" s="501"/>
      <c r="AA703" s="501"/>
      <c r="AB703" s="501"/>
      <c r="AC703" s="501"/>
      <c r="AD703" s="500"/>
      <c r="AE703" s="500"/>
      <c r="AF703" s="503"/>
      <c r="AG703" s="503"/>
      <c r="AH703" s="504"/>
      <c r="AI703" s="500"/>
      <c r="AJ703" s="500"/>
      <c r="AK703" s="500"/>
      <c r="AL703" s="500"/>
      <c r="AM703" s="500"/>
      <c r="AN703" s="500"/>
      <c r="AO703" s="500"/>
      <c r="AP703" s="500"/>
      <c r="AQ703" s="500"/>
      <c r="AR703" s="500"/>
      <c r="AS703" s="500"/>
      <c r="AT703" s="500"/>
      <c r="AU703" s="500"/>
      <c r="AV703" s="500"/>
      <c r="AW703" s="500"/>
      <c r="AX703" s="500"/>
      <c r="AY703" s="500"/>
      <c r="AZ703" s="500"/>
      <c r="BA703" s="500"/>
      <c r="BB703" s="500"/>
      <c r="BC703" s="500"/>
      <c r="BD703" s="500"/>
      <c r="BE703" s="500"/>
      <c r="BF703" s="500"/>
      <c r="BG703" s="500"/>
      <c r="BH703" s="500"/>
      <c r="BI703" s="500"/>
      <c r="BJ703" s="500"/>
      <c r="BK703" s="500"/>
      <c r="BL703" s="500"/>
      <c r="BM703" s="500"/>
      <c r="BN703" s="500"/>
      <c r="BO703" s="500"/>
      <c r="BP703" s="500"/>
      <c r="BQ703" s="500"/>
      <c r="BR703" s="500"/>
      <c r="BS703" s="500"/>
      <c r="BT703" s="500"/>
      <c r="BU703" s="500"/>
      <c r="BV703" s="500"/>
    </row>
    <row r="704" ht="14.25" customHeight="1">
      <c r="A704" s="500"/>
      <c r="B704" s="500"/>
      <c r="C704" s="500"/>
      <c r="D704" s="500"/>
      <c r="E704" s="500"/>
      <c r="F704" s="500"/>
      <c r="G704" s="500"/>
      <c r="H704" s="500"/>
      <c r="I704" s="500"/>
      <c r="J704" s="500"/>
      <c r="K704" s="500"/>
      <c r="L704" s="500"/>
      <c r="M704" s="500"/>
      <c r="N704" s="500"/>
      <c r="O704" s="500"/>
      <c r="P704" s="500"/>
      <c r="Q704" s="500"/>
      <c r="R704" s="500"/>
      <c r="S704" s="500"/>
      <c r="T704" s="500"/>
      <c r="U704" s="500"/>
      <c r="V704" s="500"/>
      <c r="W704" s="500"/>
      <c r="X704" s="500"/>
      <c r="Y704" s="500"/>
      <c r="Z704" s="501"/>
      <c r="AA704" s="501"/>
      <c r="AB704" s="501"/>
      <c r="AC704" s="501"/>
      <c r="AD704" s="500"/>
      <c r="AE704" s="500"/>
      <c r="AF704" s="503"/>
      <c r="AG704" s="503"/>
      <c r="AH704" s="504"/>
      <c r="AI704" s="500"/>
      <c r="AJ704" s="500"/>
      <c r="AK704" s="500"/>
      <c r="AL704" s="500"/>
      <c r="AM704" s="500"/>
      <c r="AN704" s="500"/>
      <c r="AO704" s="500"/>
      <c r="AP704" s="500"/>
      <c r="AQ704" s="500"/>
      <c r="AR704" s="500"/>
      <c r="AS704" s="500"/>
      <c r="AT704" s="500"/>
      <c r="AU704" s="500"/>
      <c r="AV704" s="500"/>
      <c r="AW704" s="500"/>
      <c r="AX704" s="500"/>
      <c r="AY704" s="500"/>
      <c r="AZ704" s="500"/>
      <c r="BA704" s="500"/>
      <c r="BB704" s="500"/>
      <c r="BC704" s="500"/>
      <c r="BD704" s="500"/>
      <c r="BE704" s="500"/>
      <c r="BF704" s="500"/>
      <c r="BG704" s="500"/>
      <c r="BH704" s="500"/>
      <c r="BI704" s="500"/>
      <c r="BJ704" s="500"/>
      <c r="BK704" s="500"/>
      <c r="BL704" s="500"/>
      <c r="BM704" s="500"/>
      <c r="BN704" s="500"/>
      <c r="BO704" s="500"/>
      <c r="BP704" s="500"/>
      <c r="BQ704" s="500"/>
      <c r="BR704" s="500"/>
      <c r="BS704" s="500"/>
      <c r="BT704" s="500"/>
      <c r="BU704" s="500"/>
      <c r="BV704" s="500"/>
    </row>
    <row r="705" ht="14.25" customHeight="1">
      <c r="A705" s="500"/>
      <c r="B705" s="500"/>
      <c r="C705" s="500"/>
      <c r="D705" s="500"/>
      <c r="E705" s="500"/>
      <c r="F705" s="500"/>
      <c r="G705" s="500"/>
      <c r="H705" s="500"/>
      <c r="I705" s="500"/>
      <c r="J705" s="500"/>
      <c r="K705" s="500"/>
      <c r="L705" s="500"/>
      <c r="M705" s="500"/>
      <c r="N705" s="500"/>
      <c r="O705" s="500"/>
      <c r="P705" s="500"/>
      <c r="Q705" s="500"/>
      <c r="R705" s="500"/>
      <c r="S705" s="500"/>
      <c r="T705" s="500"/>
      <c r="U705" s="500"/>
      <c r="V705" s="500"/>
      <c r="W705" s="500"/>
      <c r="X705" s="500"/>
      <c r="Y705" s="500"/>
      <c r="Z705" s="501"/>
      <c r="AA705" s="501"/>
      <c r="AB705" s="501"/>
      <c r="AC705" s="501"/>
      <c r="AD705" s="500"/>
      <c r="AE705" s="500"/>
      <c r="AF705" s="503"/>
      <c r="AG705" s="503"/>
      <c r="AH705" s="504"/>
      <c r="AI705" s="500"/>
      <c r="AJ705" s="500"/>
      <c r="AK705" s="500"/>
      <c r="AL705" s="500"/>
      <c r="AM705" s="500"/>
      <c r="AN705" s="500"/>
      <c r="AO705" s="500"/>
      <c r="AP705" s="500"/>
      <c r="AQ705" s="500"/>
      <c r="AR705" s="500"/>
      <c r="AS705" s="500"/>
      <c r="AT705" s="500"/>
      <c r="AU705" s="500"/>
      <c r="AV705" s="500"/>
      <c r="AW705" s="500"/>
      <c r="AX705" s="500"/>
      <c r="AY705" s="500"/>
      <c r="AZ705" s="500"/>
      <c r="BA705" s="500"/>
      <c r="BB705" s="500"/>
      <c r="BC705" s="500"/>
      <c r="BD705" s="500"/>
      <c r="BE705" s="500"/>
      <c r="BF705" s="500"/>
      <c r="BG705" s="500"/>
      <c r="BH705" s="500"/>
      <c r="BI705" s="500"/>
      <c r="BJ705" s="500"/>
      <c r="BK705" s="500"/>
      <c r="BL705" s="500"/>
      <c r="BM705" s="500"/>
      <c r="BN705" s="500"/>
      <c r="BO705" s="500"/>
      <c r="BP705" s="500"/>
      <c r="BQ705" s="500"/>
      <c r="BR705" s="500"/>
      <c r="BS705" s="500"/>
      <c r="BT705" s="500"/>
      <c r="BU705" s="500"/>
      <c r="BV705" s="500"/>
    </row>
    <row r="706" ht="14.25" customHeight="1">
      <c r="A706" s="500"/>
      <c r="B706" s="500"/>
      <c r="C706" s="500"/>
      <c r="D706" s="500"/>
      <c r="E706" s="500"/>
      <c r="F706" s="500"/>
      <c r="G706" s="500"/>
      <c r="H706" s="500"/>
      <c r="I706" s="500"/>
      <c r="J706" s="500"/>
      <c r="K706" s="500"/>
      <c r="L706" s="500"/>
      <c r="M706" s="500"/>
      <c r="N706" s="500"/>
      <c r="O706" s="500"/>
      <c r="P706" s="500"/>
      <c r="Q706" s="500"/>
      <c r="R706" s="500"/>
      <c r="S706" s="500"/>
      <c r="T706" s="500"/>
      <c r="U706" s="500"/>
      <c r="V706" s="500"/>
      <c r="W706" s="500"/>
      <c r="X706" s="500"/>
      <c r="Y706" s="500"/>
      <c r="Z706" s="501"/>
      <c r="AA706" s="501"/>
      <c r="AB706" s="501"/>
      <c r="AC706" s="501"/>
      <c r="AD706" s="500"/>
      <c r="AE706" s="500"/>
      <c r="AF706" s="503"/>
      <c r="AG706" s="503"/>
      <c r="AH706" s="504"/>
      <c r="AI706" s="500"/>
      <c r="AJ706" s="500"/>
      <c r="AK706" s="500"/>
      <c r="AL706" s="500"/>
      <c r="AM706" s="500"/>
      <c r="AN706" s="500"/>
      <c r="AO706" s="500"/>
      <c r="AP706" s="500"/>
      <c r="AQ706" s="500"/>
      <c r="AR706" s="500"/>
      <c r="AS706" s="500"/>
      <c r="AT706" s="500"/>
      <c r="AU706" s="500"/>
      <c r="AV706" s="500"/>
      <c r="AW706" s="500"/>
      <c r="AX706" s="500"/>
      <c r="AY706" s="500"/>
      <c r="AZ706" s="500"/>
      <c r="BA706" s="500"/>
      <c r="BB706" s="500"/>
      <c r="BC706" s="500"/>
      <c r="BD706" s="500"/>
      <c r="BE706" s="500"/>
      <c r="BF706" s="500"/>
      <c r="BG706" s="500"/>
      <c r="BH706" s="500"/>
      <c r="BI706" s="500"/>
      <c r="BJ706" s="500"/>
      <c r="BK706" s="500"/>
      <c r="BL706" s="500"/>
      <c r="BM706" s="500"/>
      <c r="BN706" s="500"/>
      <c r="BO706" s="500"/>
      <c r="BP706" s="500"/>
      <c r="BQ706" s="500"/>
      <c r="BR706" s="500"/>
      <c r="BS706" s="500"/>
      <c r="BT706" s="500"/>
      <c r="BU706" s="500"/>
      <c r="BV706" s="500"/>
    </row>
    <row r="707" ht="14.25" customHeight="1">
      <c r="A707" s="500"/>
      <c r="B707" s="500"/>
      <c r="C707" s="500"/>
      <c r="D707" s="500"/>
      <c r="E707" s="500"/>
      <c r="F707" s="500"/>
      <c r="G707" s="500"/>
      <c r="H707" s="500"/>
      <c r="I707" s="500"/>
      <c r="J707" s="500"/>
      <c r="K707" s="500"/>
      <c r="L707" s="500"/>
      <c r="M707" s="500"/>
      <c r="N707" s="500"/>
      <c r="O707" s="500"/>
      <c r="P707" s="500"/>
      <c r="Q707" s="500"/>
      <c r="R707" s="500"/>
      <c r="S707" s="500"/>
      <c r="T707" s="500"/>
      <c r="U707" s="500"/>
      <c r="V707" s="500"/>
      <c r="W707" s="500"/>
      <c r="X707" s="500"/>
      <c r="Y707" s="500"/>
      <c r="Z707" s="501"/>
      <c r="AA707" s="501"/>
      <c r="AB707" s="501"/>
      <c r="AC707" s="501"/>
      <c r="AD707" s="500"/>
      <c r="AE707" s="500"/>
      <c r="AF707" s="503"/>
      <c r="AG707" s="503"/>
      <c r="AH707" s="504"/>
      <c r="AI707" s="500"/>
      <c r="AJ707" s="500"/>
      <c r="AK707" s="500"/>
      <c r="AL707" s="500"/>
      <c r="AM707" s="500"/>
      <c r="AN707" s="500"/>
      <c r="AO707" s="500"/>
      <c r="AP707" s="500"/>
      <c r="AQ707" s="500"/>
      <c r="AR707" s="500"/>
      <c r="AS707" s="500"/>
      <c r="AT707" s="500"/>
      <c r="AU707" s="500"/>
      <c r="AV707" s="500"/>
      <c r="AW707" s="500"/>
      <c r="AX707" s="500"/>
      <c r="AY707" s="500"/>
      <c r="AZ707" s="500"/>
      <c r="BA707" s="500"/>
      <c r="BB707" s="500"/>
      <c r="BC707" s="500"/>
      <c r="BD707" s="500"/>
      <c r="BE707" s="500"/>
      <c r="BF707" s="500"/>
      <c r="BG707" s="500"/>
      <c r="BH707" s="500"/>
      <c r="BI707" s="500"/>
      <c r="BJ707" s="500"/>
      <c r="BK707" s="500"/>
      <c r="BL707" s="500"/>
      <c r="BM707" s="500"/>
      <c r="BN707" s="500"/>
      <c r="BO707" s="500"/>
      <c r="BP707" s="500"/>
      <c r="BQ707" s="500"/>
      <c r="BR707" s="500"/>
      <c r="BS707" s="500"/>
      <c r="BT707" s="500"/>
      <c r="BU707" s="500"/>
      <c r="BV707" s="500"/>
    </row>
    <row r="708" ht="14.25" customHeight="1">
      <c r="A708" s="500"/>
      <c r="B708" s="500"/>
      <c r="C708" s="500"/>
      <c r="D708" s="500"/>
      <c r="E708" s="500"/>
      <c r="F708" s="500"/>
      <c r="G708" s="500"/>
      <c r="H708" s="500"/>
      <c r="I708" s="500"/>
      <c r="J708" s="500"/>
      <c r="K708" s="500"/>
      <c r="L708" s="500"/>
      <c r="M708" s="500"/>
      <c r="N708" s="500"/>
      <c r="O708" s="500"/>
      <c r="P708" s="500"/>
      <c r="Q708" s="500"/>
      <c r="R708" s="500"/>
      <c r="S708" s="500"/>
      <c r="T708" s="500"/>
      <c r="U708" s="500"/>
      <c r="V708" s="500"/>
      <c r="W708" s="500"/>
      <c r="X708" s="500"/>
      <c r="Y708" s="500"/>
      <c r="Z708" s="501"/>
      <c r="AA708" s="501"/>
      <c r="AB708" s="501"/>
      <c r="AC708" s="501"/>
      <c r="AD708" s="500"/>
      <c r="AE708" s="500"/>
      <c r="AF708" s="503"/>
      <c r="AG708" s="503"/>
      <c r="AH708" s="504"/>
      <c r="AI708" s="500"/>
      <c r="AJ708" s="500"/>
      <c r="AK708" s="500"/>
      <c r="AL708" s="500"/>
      <c r="AM708" s="500"/>
      <c r="AN708" s="500"/>
      <c r="AO708" s="500"/>
      <c r="AP708" s="500"/>
      <c r="AQ708" s="500"/>
      <c r="AR708" s="500"/>
      <c r="AS708" s="500"/>
      <c r="AT708" s="500"/>
      <c r="AU708" s="500"/>
      <c r="AV708" s="500"/>
      <c r="AW708" s="500"/>
      <c r="AX708" s="500"/>
      <c r="AY708" s="500"/>
      <c r="AZ708" s="500"/>
      <c r="BA708" s="500"/>
      <c r="BB708" s="500"/>
      <c r="BC708" s="500"/>
      <c r="BD708" s="500"/>
      <c r="BE708" s="500"/>
      <c r="BF708" s="500"/>
      <c r="BG708" s="500"/>
      <c r="BH708" s="500"/>
      <c r="BI708" s="500"/>
      <c r="BJ708" s="500"/>
      <c r="BK708" s="500"/>
      <c r="BL708" s="500"/>
      <c r="BM708" s="500"/>
      <c r="BN708" s="500"/>
      <c r="BO708" s="500"/>
      <c r="BP708" s="500"/>
      <c r="BQ708" s="500"/>
      <c r="BR708" s="500"/>
      <c r="BS708" s="500"/>
      <c r="BT708" s="500"/>
      <c r="BU708" s="500"/>
      <c r="BV708" s="500"/>
    </row>
    <row r="709" ht="14.25" customHeight="1">
      <c r="A709" s="500"/>
      <c r="B709" s="500"/>
      <c r="C709" s="500"/>
      <c r="D709" s="500"/>
      <c r="E709" s="500"/>
      <c r="F709" s="500"/>
      <c r="G709" s="500"/>
      <c r="H709" s="500"/>
      <c r="I709" s="500"/>
      <c r="J709" s="500"/>
      <c r="K709" s="500"/>
      <c r="L709" s="500"/>
      <c r="M709" s="500"/>
      <c r="N709" s="500"/>
      <c r="O709" s="500"/>
      <c r="P709" s="500"/>
      <c r="Q709" s="500"/>
      <c r="R709" s="500"/>
      <c r="S709" s="500"/>
      <c r="T709" s="500"/>
      <c r="U709" s="500"/>
      <c r="V709" s="500"/>
      <c r="W709" s="500"/>
      <c r="X709" s="500"/>
      <c r="Y709" s="500"/>
      <c r="Z709" s="501"/>
      <c r="AA709" s="501"/>
      <c r="AB709" s="501"/>
      <c r="AC709" s="501"/>
      <c r="AD709" s="500"/>
      <c r="AE709" s="500"/>
      <c r="AF709" s="503"/>
      <c r="AG709" s="503"/>
      <c r="AH709" s="504"/>
      <c r="AI709" s="500"/>
      <c r="AJ709" s="500"/>
      <c r="AK709" s="500"/>
      <c r="AL709" s="500"/>
      <c r="AM709" s="500"/>
      <c r="AN709" s="500"/>
      <c r="AO709" s="500"/>
      <c r="AP709" s="500"/>
      <c r="AQ709" s="500"/>
      <c r="AR709" s="500"/>
      <c r="AS709" s="500"/>
      <c r="AT709" s="500"/>
      <c r="AU709" s="500"/>
      <c r="AV709" s="500"/>
      <c r="AW709" s="500"/>
      <c r="AX709" s="500"/>
      <c r="AY709" s="500"/>
      <c r="AZ709" s="500"/>
      <c r="BA709" s="500"/>
      <c r="BB709" s="500"/>
      <c r="BC709" s="500"/>
      <c r="BD709" s="500"/>
      <c r="BE709" s="500"/>
      <c r="BF709" s="500"/>
      <c r="BG709" s="500"/>
      <c r="BH709" s="500"/>
      <c r="BI709" s="500"/>
      <c r="BJ709" s="500"/>
      <c r="BK709" s="500"/>
      <c r="BL709" s="500"/>
      <c r="BM709" s="500"/>
      <c r="BN709" s="500"/>
      <c r="BO709" s="500"/>
      <c r="BP709" s="500"/>
      <c r="BQ709" s="500"/>
      <c r="BR709" s="500"/>
      <c r="BS709" s="500"/>
      <c r="BT709" s="500"/>
      <c r="BU709" s="500"/>
      <c r="BV709" s="500"/>
    </row>
    <row r="710" ht="14.25" customHeight="1">
      <c r="A710" s="500"/>
      <c r="B710" s="500"/>
      <c r="C710" s="500"/>
      <c r="D710" s="500"/>
      <c r="E710" s="500"/>
      <c r="F710" s="500"/>
      <c r="G710" s="500"/>
      <c r="H710" s="500"/>
      <c r="I710" s="500"/>
      <c r="J710" s="500"/>
      <c r="K710" s="500"/>
      <c r="L710" s="500"/>
      <c r="M710" s="500"/>
      <c r="N710" s="500"/>
      <c r="O710" s="500"/>
      <c r="P710" s="500"/>
      <c r="Q710" s="500"/>
      <c r="R710" s="500"/>
      <c r="S710" s="500"/>
      <c r="T710" s="500"/>
      <c r="U710" s="500"/>
      <c r="V710" s="500"/>
      <c r="W710" s="500"/>
      <c r="X710" s="500"/>
      <c r="Y710" s="500"/>
      <c r="Z710" s="501"/>
      <c r="AA710" s="501"/>
      <c r="AB710" s="501"/>
      <c r="AC710" s="501"/>
      <c r="AD710" s="500"/>
      <c r="AE710" s="500"/>
      <c r="AF710" s="503"/>
      <c r="AG710" s="503"/>
      <c r="AH710" s="504"/>
      <c r="AI710" s="500"/>
      <c r="AJ710" s="500"/>
      <c r="AK710" s="500"/>
      <c r="AL710" s="500"/>
      <c r="AM710" s="500"/>
      <c r="AN710" s="500"/>
      <c r="AO710" s="500"/>
      <c r="AP710" s="500"/>
      <c r="AQ710" s="500"/>
      <c r="AR710" s="500"/>
      <c r="AS710" s="500"/>
      <c r="AT710" s="500"/>
      <c r="AU710" s="500"/>
      <c r="AV710" s="500"/>
      <c r="AW710" s="500"/>
      <c r="AX710" s="500"/>
      <c r="AY710" s="500"/>
      <c r="AZ710" s="500"/>
      <c r="BA710" s="500"/>
      <c r="BB710" s="500"/>
      <c r="BC710" s="500"/>
      <c r="BD710" s="500"/>
      <c r="BE710" s="500"/>
      <c r="BF710" s="500"/>
      <c r="BG710" s="500"/>
      <c r="BH710" s="500"/>
      <c r="BI710" s="500"/>
      <c r="BJ710" s="500"/>
      <c r="BK710" s="500"/>
      <c r="BL710" s="500"/>
      <c r="BM710" s="500"/>
      <c r="BN710" s="500"/>
      <c r="BO710" s="500"/>
      <c r="BP710" s="500"/>
      <c r="BQ710" s="500"/>
      <c r="BR710" s="500"/>
      <c r="BS710" s="500"/>
      <c r="BT710" s="500"/>
      <c r="BU710" s="500"/>
      <c r="BV710" s="500"/>
    </row>
    <row r="711" ht="14.25" customHeight="1">
      <c r="A711" s="500"/>
      <c r="B711" s="500"/>
      <c r="C711" s="500"/>
      <c r="D711" s="500"/>
      <c r="E711" s="500"/>
      <c r="F711" s="500"/>
      <c r="G711" s="500"/>
      <c r="H711" s="500"/>
      <c r="I711" s="500"/>
      <c r="J711" s="500"/>
      <c r="K711" s="500"/>
      <c r="L711" s="500"/>
      <c r="M711" s="500"/>
      <c r="N711" s="500"/>
      <c r="O711" s="500"/>
      <c r="P711" s="500"/>
      <c r="Q711" s="500"/>
      <c r="R711" s="500"/>
      <c r="S711" s="500"/>
      <c r="T711" s="500"/>
      <c r="U711" s="500"/>
      <c r="V711" s="500"/>
      <c r="W711" s="500"/>
      <c r="X711" s="500"/>
      <c r="Y711" s="500"/>
      <c r="Z711" s="501"/>
      <c r="AA711" s="501"/>
      <c r="AB711" s="501"/>
      <c r="AC711" s="501"/>
      <c r="AD711" s="500"/>
      <c r="AE711" s="500"/>
      <c r="AF711" s="503"/>
      <c r="AG711" s="503"/>
      <c r="AH711" s="504"/>
      <c r="AI711" s="500"/>
      <c r="AJ711" s="500"/>
      <c r="AK711" s="500"/>
      <c r="AL711" s="500"/>
      <c r="AM711" s="500"/>
      <c r="AN711" s="500"/>
      <c r="AO711" s="500"/>
      <c r="AP711" s="500"/>
      <c r="AQ711" s="500"/>
      <c r="AR711" s="500"/>
      <c r="AS711" s="500"/>
      <c r="AT711" s="500"/>
      <c r="AU711" s="500"/>
      <c r="AV711" s="500"/>
      <c r="AW711" s="500"/>
      <c r="AX711" s="500"/>
      <c r="AY711" s="500"/>
      <c r="AZ711" s="500"/>
      <c r="BA711" s="500"/>
      <c r="BB711" s="500"/>
      <c r="BC711" s="500"/>
      <c r="BD711" s="500"/>
      <c r="BE711" s="500"/>
      <c r="BF711" s="500"/>
      <c r="BG711" s="500"/>
      <c r="BH711" s="500"/>
      <c r="BI711" s="500"/>
      <c r="BJ711" s="500"/>
      <c r="BK711" s="500"/>
      <c r="BL711" s="500"/>
      <c r="BM711" s="500"/>
      <c r="BN711" s="500"/>
      <c r="BO711" s="500"/>
      <c r="BP711" s="500"/>
      <c r="BQ711" s="500"/>
      <c r="BR711" s="500"/>
      <c r="BS711" s="500"/>
      <c r="BT711" s="500"/>
      <c r="BU711" s="500"/>
      <c r="BV711" s="500"/>
    </row>
    <row r="712" ht="14.25" customHeight="1">
      <c r="A712" s="500"/>
      <c r="B712" s="500"/>
      <c r="C712" s="500"/>
      <c r="D712" s="500"/>
      <c r="E712" s="500"/>
      <c r="F712" s="500"/>
      <c r="G712" s="500"/>
      <c r="H712" s="500"/>
      <c r="I712" s="500"/>
      <c r="J712" s="500"/>
      <c r="K712" s="500"/>
      <c r="L712" s="500"/>
      <c r="M712" s="500"/>
      <c r="N712" s="500"/>
      <c r="O712" s="500"/>
      <c r="P712" s="500"/>
      <c r="Q712" s="500"/>
      <c r="R712" s="500"/>
      <c r="S712" s="500"/>
      <c r="T712" s="500"/>
      <c r="U712" s="500"/>
      <c r="V712" s="500"/>
      <c r="W712" s="500"/>
      <c r="X712" s="500"/>
      <c r="Y712" s="500"/>
      <c r="Z712" s="501"/>
      <c r="AA712" s="501"/>
      <c r="AB712" s="501"/>
      <c r="AC712" s="501"/>
      <c r="AD712" s="500"/>
      <c r="AE712" s="500"/>
      <c r="AF712" s="503"/>
      <c r="AG712" s="503"/>
      <c r="AH712" s="504"/>
      <c r="AI712" s="500"/>
      <c r="AJ712" s="500"/>
      <c r="AK712" s="500"/>
      <c r="AL712" s="500"/>
      <c r="AM712" s="500"/>
      <c r="AN712" s="500"/>
      <c r="AO712" s="500"/>
      <c r="AP712" s="500"/>
      <c r="AQ712" s="500"/>
      <c r="AR712" s="500"/>
      <c r="AS712" s="500"/>
      <c r="AT712" s="500"/>
      <c r="AU712" s="500"/>
      <c r="AV712" s="500"/>
      <c r="AW712" s="500"/>
      <c r="AX712" s="500"/>
      <c r="AY712" s="500"/>
      <c r="AZ712" s="500"/>
      <c r="BA712" s="500"/>
      <c r="BB712" s="500"/>
      <c r="BC712" s="500"/>
      <c r="BD712" s="500"/>
      <c r="BE712" s="500"/>
      <c r="BF712" s="500"/>
      <c r="BG712" s="500"/>
      <c r="BH712" s="500"/>
      <c r="BI712" s="500"/>
      <c r="BJ712" s="500"/>
      <c r="BK712" s="500"/>
      <c r="BL712" s="500"/>
      <c r="BM712" s="500"/>
      <c r="BN712" s="500"/>
      <c r="BO712" s="500"/>
      <c r="BP712" s="500"/>
      <c r="BQ712" s="500"/>
      <c r="BR712" s="500"/>
      <c r="BS712" s="500"/>
      <c r="BT712" s="500"/>
      <c r="BU712" s="500"/>
      <c r="BV712" s="500"/>
    </row>
    <row r="713" ht="14.25" customHeight="1">
      <c r="A713" s="500"/>
      <c r="B713" s="500"/>
      <c r="C713" s="500"/>
      <c r="D713" s="500"/>
      <c r="E713" s="500"/>
      <c r="F713" s="500"/>
      <c r="G713" s="500"/>
      <c r="H713" s="500"/>
      <c r="I713" s="500"/>
      <c r="J713" s="500"/>
      <c r="K713" s="500"/>
      <c r="L713" s="500"/>
      <c r="M713" s="500"/>
      <c r="N713" s="500"/>
      <c r="O713" s="500"/>
      <c r="P713" s="500"/>
      <c r="Q713" s="500"/>
      <c r="R713" s="500"/>
      <c r="S713" s="500"/>
      <c r="T713" s="500"/>
      <c r="U713" s="500"/>
      <c r="V713" s="500"/>
      <c r="W713" s="500"/>
      <c r="X713" s="500"/>
      <c r="Y713" s="500"/>
      <c r="Z713" s="501"/>
      <c r="AA713" s="501"/>
      <c r="AB713" s="501"/>
      <c r="AC713" s="501"/>
      <c r="AD713" s="500"/>
      <c r="AE713" s="500"/>
      <c r="AF713" s="503"/>
      <c r="AG713" s="503"/>
      <c r="AH713" s="504"/>
      <c r="AI713" s="500"/>
      <c r="AJ713" s="500"/>
      <c r="AK713" s="500"/>
      <c r="AL713" s="500"/>
      <c r="AM713" s="500"/>
      <c r="AN713" s="500"/>
      <c r="AO713" s="500"/>
      <c r="AP713" s="500"/>
      <c r="AQ713" s="500"/>
      <c r="AR713" s="500"/>
      <c r="AS713" s="500"/>
      <c r="AT713" s="500"/>
      <c r="AU713" s="500"/>
      <c r="AV713" s="500"/>
      <c r="AW713" s="500"/>
      <c r="AX713" s="500"/>
      <c r="AY713" s="500"/>
      <c r="AZ713" s="500"/>
      <c r="BA713" s="500"/>
      <c r="BB713" s="500"/>
      <c r="BC713" s="500"/>
      <c r="BD713" s="500"/>
      <c r="BE713" s="500"/>
      <c r="BF713" s="500"/>
      <c r="BG713" s="500"/>
      <c r="BH713" s="500"/>
      <c r="BI713" s="500"/>
      <c r="BJ713" s="500"/>
      <c r="BK713" s="500"/>
      <c r="BL713" s="500"/>
      <c r="BM713" s="500"/>
      <c r="BN713" s="500"/>
      <c r="BO713" s="500"/>
      <c r="BP713" s="500"/>
      <c r="BQ713" s="500"/>
      <c r="BR713" s="500"/>
      <c r="BS713" s="500"/>
      <c r="BT713" s="500"/>
      <c r="BU713" s="500"/>
      <c r="BV713" s="500"/>
    </row>
    <row r="714" ht="14.25" customHeight="1">
      <c r="A714" s="500"/>
      <c r="B714" s="500"/>
      <c r="C714" s="500"/>
      <c r="D714" s="500"/>
      <c r="E714" s="500"/>
      <c r="F714" s="500"/>
      <c r="G714" s="500"/>
      <c r="H714" s="500"/>
      <c r="I714" s="500"/>
      <c r="J714" s="500"/>
      <c r="K714" s="500"/>
      <c r="L714" s="500"/>
      <c r="M714" s="500"/>
      <c r="N714" s="500"/>
      <c r="O714" s="500"/>
      <c r="P714" s="500"/>
      <c r="Q714" s="500"/>
      <c r="R714" s="500"/>
      <c r="S714" s="500"/>
      <c r="T714" s="500"/>
      <c r="U714" s="500"/>
      <c r="V714" s="500"/>
      <c r="W714" s="500"/>
      <c r="X714" s="500"/>
      <c r="Y714" s="500"/>
      <c r="Z714" s="501"/>
      <c r="AA714" s="501"/>
      <c r="AB714" s="501"/>
      <c r="AC714" s="501"/>
      <c r="AD714" s="500"/>
      <c r="AE714" s="500"/>
      <c r="AF714" s="503"/>
      <c r="AG714" s="503"/>
      <c r="AH714" s="504"/>
      <c r="AI714" s="500"/>
      <c r="AJ714" s="500"/>
      <c r="AK714" s="500"/>
      <c r="AL714" s="500"/>
      <c r="AM714" s="500"/>
      <c r="AN714" s="500"/>
      <c r="AO714" s="500"/>
      <c r="AP714" s="500"/>
      <c r="AQ714" s="500"/>
      <c r="AR714" s="500"/>
      <c r="AS714" s="500"/>
      <c r="AT714" s="500"/>
      <c r="AU714" s="500"/>
      <c r="AV714" s="500"/>
      <c r="AW714" s="500"/>
      <c r="AX714" s="500"/>
      <c r="AY714" s="500"/>
      <c r="AZ714" s="500"/>
      <c r="BA714" s="500"/>
      <c r="BB714" s="500"/>
      <c r="BC714" s="500"/>
      <c r="BD714" s="500"/>
      <c r="BE714" s="500"/>
      <c r="BF714" s="500"/>
      <c r="BG714" s="500"/>
      <c r="BH714" s="500"/>
      <c r="BI714" s="500"/>
      <c r="BJ714" s="500"/>
      <c r="BK714" s="500"/>
      <c r="BL714" s="500"/>
      <c r="BM714" s="500"/>
      <c r="BN714" s="500"/>
      <c r="BO714" s="500"/>
      <c r="BP714" s="500"/>
      <c r="BQ714" s="500"/>
      <c r="BR714" s="500"/>
      <c r="BS714" s="500"/>
      <c r="BT714" s="500"/>
      <c r="BU714" s="500"/>
      <c r="BV714" s="500"/>
    </row>
    <row r="715" ht="14.25" customHeight="1">
      <c r="A715" s="500"/>
      <c r="B715" s="500"/>
      <c r="C715" s="500"/>
      <c r="D715" s="500"/>
      <c r="E715" s="500"/>
      <c r="F715" s="500"/>
      <c r="G715" s="500"/>
      <c r="H715" s="500"/>
      <c r="I715" s="500"/>
      <c r="J715" s="500"/>
      <c r="K715" s="500"/>
      <c r="L715" s="500"/>
      <c r="M715" s="500"/>
      <c r="N715" s="500"/>
      <c r="O715" s="500"/>
      <c r="P715" s="500"/>
      <c r="Q715" s="500"/>
      <c r="R715" s="500"/>
      <c r="S715" s="500"/>
      <c r="T715" s="500"/>
      <c r="U715" s="500"/>
      <c r="V715" s="500"/>
      <c r="W715" s="500"/>
      <c r="X715" s="500"/>
      <c r="Y715" s="500"/>
      <c r="Z715" s="501"/>
      <c r="AA715" s="501"/>
      <c r="AB715" s="501"/>
      <c r="AC715" s="501"/>
      <c r="AD715" s="500"/>
      <c r="AE715" s="500"/>
      <c r="AF715" s="503"/>
      <c r="AG715" s="503"/>
      <c r="AH715" s="504"/>
      <c r="AI715" s="500"/>
      <c r="AJ715" s="500"/>
      <c r="AK715" s="500"/>
      <c r="AL715" s="500"/>
      <c r="AM715" s="500"/>
      <c r="AN715" s="500"/>
      <c r="AO715" s="500"/>
      <c r="AP715" s="500"/>
      <c r="AQ715" s="500"/>
      <c r="AR715" s="500"/>
      <c r="AS715" s="500"/>
      <c r="AT715" s="500"/>
      <c r="AU715" s="500"/>
      <c r="AV715" s="500"/>
      <c r="AW715" s="500"/>
      <c r="AX715" s="500"/>
      <c r="AY715" s="500"/>
      <c r="AZ715" s="500"/>
      <c r="BA715" s="500"/>
      <c r="BB715" s="500"/>
      <c r="BC715" s="500"/>
      <c r="BD715" s="500"/>
      <c r="BE715" s="500"/>
      <c r="BF715" s="500"/>
      <c r="BG715" s="500"/>
      <c r="BH715" s="500"/>
      <c r="BI715" s="500"/>
      <c r="BJ715" s="500"/>
      <c r="BK715" s="500"/>
      <c r="BL715" s="500"/>
      <c r="BM715" s="500"/>
      <c r="BN715" s="500"/>
      <c r="BO715" s="500"/>
      <c r="BP715" s="500"/>
      <c r="BQ715" s="500"/>
      <c r="BR715" s="500"/>
      <c r="BS715" s="500"/>
      <c r="BT715" s="500"/>
      <c r="BU715" s="500"/>
      <c r="BV715" s="500"/>
    </row>
    <row r="716" ht="14.25" customHeight="1">
      <c r="A716" s="500"/>
      <c r="B716" s="500"/>
      <c r="C716" s="500"/>
      <c r="D716" s="500"/>
      <c r="E716" s="500"/>
      <c r="F716" s="500"/>
      <c r="G716" s="500"/>
      <c r="H716" s="500"/>
      <c r="I716" s="500"/>
      <c r="J716" s="500"/>
      <c r="K716" s="500"/>
      <c r="L716" s="500"/>
      <c r="M716" s="500"/>
      <c r="N716" s="500"/>
      <c r="O716" s="500"/>
      <c r="P716" s="500"/>
      <c r="Q716" s="500"/>
      <c r="R716" s="500"/>
      <c r="S716" s="500"/>
      <c r="T716" s="500"/>
      <c r="U716" s="500"/>
      <c r="V716" s="500"/>
      <c r="W716" s="500"/>
      <c r="X716" s="500"/>
      <c r="Y716" s="500"/>
      <c r="Z716" s="501"/>
      <c r="AA716" s="501"/>
      <c r="AB716" s="501"/>
      <c r="AC716" s="501"/>
      <c r="AD716" s="500"/>
      <c r="AE716" s="500"/>
      <c r="AF716" s="503"/>
      <c r="AG716" s="503"/>
      <c r="AH716" s="504"/>
      <c r="AI716" s="500"/>
      <c r="AJ716" s="500"/>
      <c r="AK716" s="500"/>
      <c r="AL716" s="500"/>
      <c r="AM716" s="500"/>
      <c r="AN716" s="500"/>
      <c r="AO716" s="500"/>
      <c r="AP716" s="500"/>
      <c r="AQ716" s="500"/>
      <c r="AR716" s="500"/>
      <c r="AS716" s="500"/>
      <c r="AT716" s="500"/>
      <c r="AU716" s="500"/>
      <c r="AV716" s="500"/>
      <c r="AW716" s="500"/>
      <c r="AX716" s="500"/>
      <c r="AY716" s="500"/>
      <c r="AZ716" s="500"/>
      <c r="BA716" s="500"/>
      <c r="BB716" s="500"/>
      <c r="BC716" s="500"/>
      <c r="BD716" s="500"/>
      <c r="BE716" s="500"/>
      <c r="BF716" s="500"/>
      <c r="BG716" s="500"/>
      <c r="BH716" s="500"/>
      <c r="BI716" s="500"/>
      <c r="BJ716" s="500"/>
      <c r="BK716" s="500"/>
      <c r="BL716" s="500"/>
      <c r="BM716" s="500"/>
      <c r="BN716" s="500"/>
      <c r="BO716" s="500"/>
      <c r="BP716" s="500"/>
      <c r="BQ716" s="500"/>
      <c r="BR716" s="500"/>
      <c r="BS716" s="500"/>
      <c r="BT716" s="500"/>
      <c r="BU716" s="500"/>
      <c r="BV716" s="500"/>
    </row>
    <row r="717" ht="14.25" customHeight="1">
      <c r="A717" s="500"/>
      <c r="B717" s="500"/>
      <c r="C717" s="500"/>
      <c r="D717" s="500"/>
      <c r="E717" s="500"/>
      <c r="F717" s="500"/>
      <c r="G717" s="500"/>
      <c r="H717" s="500"/>
      <c r="I717" s="500"/>
      <c r="J717" s="500"/>
      <c r="K717" s="500"/>
      <c r="L717" s="500"/>
      <c r="M717" s="500"/>
      <c r="N717" s="500"/>
      <c r="O717" s="500"/>
      <c r="P717" s="500"/>
      <c r="Q717" s="500"/>
      <c r="R717" s="500"/>
      <c r="S717" s="500"/>
      <c r="T717" s="500"/>
      <c r="U717" s="500"/>
      <c r="V717" s="500"/>
      <c r="W717" s="500"/>
      <c r="X717" s="500"/>
      <c r="Y717" s="500"/>
      <c r="Z717" s="501"/>
      <c r="AA717" s="501"/>
      <c r="AB717" s="501"/>
      <c r="AC717" s="501"/>
      <c r="AD717" s="500"/>
      <c r="AE717" s="500"/>
      <c r="AF717" s="503"/>
      <c r="AG717" s="503"/>
      <c r="AH717" s="504"/>
      <c r="AI717" s="500"/>
      <c r="AJ717" s="500"/>
      <c r="AK717" s="500"/>
      <c r="AL717" s="500"/>
      <c r="AM717" s="500"/>
      <c r="AN717" s="500"/>
      <c r="AO717" s="500"/>
      <c r="AP717" s="500"/>
      <c r="AQ717" s="500"/>
      <c r="AR717" s="500"/>
      <c r="AS717" s="500"/>
      <c r="AT717" s="500"/>
      <c r="AU717" s="500"/>
      <c r="AV717" s="500"/>
      <c r="AW717" s="500"/>
      <c r="AX717" s="500"/>
      <c r="AY717" s="500"/>
      <c r="AZ717" s="500"/>
      <c r="BA717" s="500"/>
      <c r="BB717" s="500"/>
      <c r="BC717" s="500"/>
      <c r="BD717" s="500"/>
      <c r="BE717" s="500"/>
      <c r="BF717" s="500"/>
      <c r="BG717" s="500"/>
      <c r="BH717" s="500"/>
      <c r="BI717" s="500"/>
      <c r="BJ717" s="500"/>
      <c r="BK717" s="500"/>
      <c r="BL717" s="500"/>
      <c r="BM717" s="500"/>
      <c r="BN717" s="500"/>
      <c r="BO717" s="500"/>
      <c r="BP717" s="500"/>
      <c r="BQ717" s="500"/>
      <c r="BR717" s="500"/>
      <c r="BS717" s="500"/>
      <c r="BT717" s="500"/>
      <c r="BU717" s="500"/>
      <c r="BV717" s="500"/>
    </row>
    <row r="718" ht="14.25" customHeight="1">
      <c r="A718" s="500"/>
      <c r="B718" s="500"/>
      <c r="C718" s="500"/>
      <c r="D718" s="500"/>
      <c r="E718" s="500"/>
      <c r="F718" s="500"/>
      <c r="G718" s="500"/>
      <c r="H718" s="500"/>
      <c r="I718" s="500"/>
      <c r="J718" s="500"/>
      <c r="K718" s="500"/>
      <c r="L718" s="500"/>
      <c r="M718" s="500"/>
      <c r="N718" s="500"/>
      <c r="O718" s="500"/>
      <c r="P718" s="500"/>
      <c r="Q718" s="500"/>
      <c r="R718" s="500"/>
      <c r="S718" s="500"/>
      <c r="T718" s="500"/>
      <c r="U718" s="500"/>
      <c r="V718" s="500"/>
      <c r="W718" s="500"/>
      <c r="X718" s="500"/>
      <c r="Y718" s="500"/>
      <c r="Z718" s="501"/>
      <c r="AA718" s="501"/>
      <c r="AB718" s="501"/>
      <c r="AC718" s="501"/>
      <c r="AD718" s="500"/>
      <c r="AE718" s="500"/>
      <c r="AF718" s="503"/>
      <c r="AG718" s="503"/>
      <c r="AH718" s="504"/>
      <c r="AI718" s="500"/>
      <c r="AJ718" s="500"/>
      <c r="AK718" s="500"/>
      <c r="AL718" s="500"/>
      <c r="AM718" s="500"/>
      <c r="AN718" s="500"/>
      <c r="AO718" s="500"/>
      <c r="AP718" s="500"/>
      <c r="AQ718" s="500"/>
      <c r="AR718" s="500"/>
      <c r="AS718" s="500"/>
      <c r="AT718" s="500"/>
      <c r="AU718" s="500"/>
      <c r="AV718" s="500"/>
      <c r="AW718" s="500"/>
      <c r="AX718" s="500"/>
      <c r="AY718" s="500"/>
      <c r="AZ718" s="500"/>
      <c r="BA718" s="500"/>
      <c r="BB718" s="500"/>
      <c r="BC718" s="500"/>
      <c r="BD718" s="500"/>
      <c r="BE718" s="500"/>
      <c r="BF718" s="500"/>
      <c r="BG718" s="500"/>
      <c r="BH718" s="500"/>
      <c r="BI718" s="500"/>
      <c r="BJ718" s="500"/>
      <c r="BK718" s="500"/>
      <c r="BL718" s="500"/>
      <c r="BM718" s="500"/>
      <c r="BN718" s="500"/>
      <c r="BO718" s="500"/>
      <c r="BP718" s="500"/>
      <c r="BQ718" s="500"/>
      <c r="BR718" s="500"/>
      <c r="BS718" s="500"/>
      <c r="BT718" s="500"/>
      <c r="BU718" s="500"/>
      <c r="BV718" s="500"/>
    </row>
    <row r="719" ht="14.25" customHeight="1">
      <c r="A719" s="500"/>
      <c r="B719" s="500"/>
      <c r="C719" s="500"/>
      <c r="D719" s="500"/>
      <c r="E719" s="500"/>
      <c r="F719" s="500"/>
      <c r="G719" s="500"/>
      <c r="H719" s="500"/>
      <c r="I719" s="500"/>
      <c r="J719" s="500"/>
      <c r="K719" s="500"/>
      <c r="L719" s="500"/>
      <c r="M719" s="500"/>
      <c r="N719" s="500"/>
      <c r="O719" s="500"/>
      <c r="P719" s="500"/>
      <c r="Q719" s="500"/>
      <c r="R719" s="500"/>
      <c r="S719" s="500"/>
      <c r="T719" s="500"/>
      <c r="U719" s="500"/>
      <c r="V719" s="500"/>
      <c r="W719" s="500"/>
      <c r="X719" s="500"/>
      <c r="Y719" s="500"/>
      <c r="Z719" s="501"/>
      <c r="AA719" s="501"/>
      <c r="AB719" s="501"/>
      <c r="AC719" s="501"/>
      <c r="AD719" s="500"/>
      <c r="AE719" s="500"/>
      <c r="AF719" s="503"/>
      <c r="AG719" s="503"/>
      <c r="AH719" s="504"/>
      <c r="AI719" s="500"/>
      <c r="AJ719" s="500"/>
      <c r="AK719" s="500"/>
      <c r="AL719" s="500"/>
      <c r="AM719" s="500"/>
      <c r="AN719" s="500"/>
      <c r="AO719" s="500"/>
      <c r="AP719" s="500"/>
      <c r="AQ719" s="500"/>
      <c r="AR719" s="500"/>
      <c r="AS719" s="500"/>
      <c r="AT719" s="500"/>
      <c r="AU719" s="500"/>
      <c r="AV719" s="500"/>
      <c r="AW719" s="500"/>
      <c r="AX719" s="500"/>
      <c r="AY719" s="500"/>
      <c r="AZ719" s="500"/>
      <c r="BA719" s="500"/>
      <c r="BB719" s="500"/>
      <c r="BC719" s="500"/>
      <c r="BD719" s="500"/>
      <c r="BE719" s="500"/>
      <c r="BF719" s="500"/>
      <c r="BG719" s="500"/>
      <c r="BH719" s="500"/>
      <c r="BI719" s="500"/>
      <c r="BJ719" s="500"/>
      <c r="BK719" s="500"/>
      <c r="BL719" s="500"/>
      <c r="BM719" s="500"/>
      <c r="BN719" s="500"/>
      <c r="BO719" s="500"/>
      <c r="BP719" s="500"/>
      <c r="BQ719" s="500"/>
      <c r="BR719" s="500"/>
      <c r="BS719" s="500"/>
      <c r="BT719" s="500"/>
      <c r="BU719" s="500"/>
      <c r="BV719" s="500"/>
    </row>
    <row r="720" ht="14.25" customHeight="1">
      <c r="A720" s="500"/>
      <c r="B720" s="500"/>
      <c r="C720" s="500"/>
      <c r="D720" s="500"/>
      <c r="E720" s="500"/>
      <c r="F720" s="500"/>
      <c r="G720" s="500"/>
      <c r="H720" s="500"/>
      <c r="I720" s="500"/>
      <c r="J720" s="500"/>
      <c r="K720" s="500"/>
      <c r="L720" s="500"/>
      <c r="M720" s="500"/>
      <c r="N720" s="500"/>
      <c r="O720" s="500"/>
      <c r="P720" s="500"/>
      <c r="Q720" s="500"/>
      <c r="R720" s="500"/>
      <c r="S720" s="500"/>
      <c r="T720" s="500"/>
      <c r="U720" s="500"/>
      <c r="V720" s="500"/>
      <c r="W720" s="500"/>
      <c r="X720" s="500"/>
      <c r="Y720" s="500"/>
      <c r="Z720" s="501"/>
      <c r="AA720" s="501"/>
      <c r="AB720" s="501"/>
      <c r="AC720" s="501"/>
      <c r="AD720" s="500"/>
      <c r="AE720" s="500"/>
      <c r="AF720" s="503"/>
      <c r="AG720" s="503"/>
      <c r="AH720" s="504"/>
      <c r="AI720" s="500"/>
      <c r="AJ720" s="500"/>
      <c r="AK720" s="500"/>
      <c r="AL720" s="500"/>
      <c r="AM720" s="500"/>
      <c r="AN720" s="500"/>
      <c r="AO720" s="500"/>
      <c r="AP720" s="500"/>
      <c r="AQ720" s="500"/>
      <c r="AR720" s="500"/>
      <c r="AS720" s="500"/>
      <c r="AT720" s="500"/>
      <c r="AU720" s="500"/>
      <c r="AV720" s="500"/>
      <c r="AW720" s="500"/>
      <c r="AX720" s="500"/>
      <c r="AY720" s="500"/>
      <c r="AZ720" s="500"/>
      <c r="BA720" s="500"/>
      <c r="BB720" s="500"/>
      <c r="BC720" s="500"/>
      <c r="BD720" s="500"/>
      <c r="BE720" s="500"/>
      <c r="BF720" s="500"/>
      <c r="BG720" s="500"/>
      <c r="BH720" s="500"/>
      <c r="BI720" s="500"/>
      <c r="BJ720" s="500"/>
      <c r="BK720" s="500"/>
      <c r="BL720" s="500"/>
      <c r="BM720" s="500"/>
      <c r="BN720" s="500"/>
      <c r="BO720" s="500"/>
      <c r="BP720" s="500"/>
      <c r="BQ720" s="500"/>
      <c r="BR720" s="500"/>
      <c r="BS720" s="500"/>
      <c r="BT720" s="500"/>
      <c r="BU720" s="500"/>
      <c r="BV720" s="500"/>
    </row>
    <row r="721" ht="14.25" customHeight="1">
      <c r="A721" s="500"/>
      <c r="B721" s="500"/>
      <c r="C721" s="500"/>
      <c r="D721" s="500"/>
      <c r="E721" s="500"/>
      <c r="F721" s="500"/>
      <c r="G721" s="500"/>
      <c r="H721" s="500"/>
      <c r="I721" s="500"/>
      <c r="J721" s="500"/>
      <c r="K721" s="500"/>
      <c r="L721" s="500"/>
      <c r="M721" s="500"/>
      <c r="N721" s="500"/>
      <c r="O721" s="500"/>
      <c r="P721" s="500"/>
      <c r="Q721" s="500"/>
      <c r="R721" s="500"/>
      <c r="S721" s="500"/>
      <c r="T721" s="500"/>
      <c r="U721" s="500"/>
      <c r="V721" s="500"/>
      <c r="W721" s="500"/>
      <c r="X721" s="500"/>
      <c r="Y721" s="500"/>
      <c r="Z721" s="501"/>
      <c r="AA721" s="501"/>
      <c r="AB721" s="501"/>
      <c r="AC721" s="501"/>
      <c r="AD721" s="500"/>
      <c r="AE721" s="500"/>
      <c r="AF721" s="503"/>
      <c r="AG721" s="503"/>
      <c r="AH721" s="504"/>
      <c r="AI721" s="500"/>
      <c r="AJ721" s="500"/>
      <c r="AK721" s="500"/>
      <c r="AL721" s="500"/>
      <c r="AM721" s="500"/>
      <c r="AN721" s="500"/>
      <c r="AO721" s="500"/>
      <c r="AP721" s="500"/>
      <c r="AQ721" s="500"/>
      <c r="AR721" s="500"/>
      <c r="AS721" s="500"/>
      <c r="AT721" s="500"/>
      <c r="AU721" s="500"/>
      <c r="AV721" s="500"/>
      <c r="AW721" s="500"/>
      <c r="AX721" s="500"/>
      <c r="AY721" s="500"/>
      <c r="AZ721" s="500"/>
      <c r="BA721" s="500"/>
      <c r="BB721" s="500"/>
      <c r="BC721" s="500"/>
      <c r="BD721" s="500"/>
      <c r="BE721" s="500"/>
      <c r="BF721" s="500"/>
      <c r="BG721" s="500"/>
      <c r="BH721" s="500"/>
      <c r="BI721" s="500"/>
      <c r="BJ721" s="500"/>
      <c r="BK721" s="500"/>
      <c r="BL721" s="500"/>
      <c r="BM721" s="500"/>
      <c r="BN721" s="500"/>
      <c r="BO721" s="500"/>
      <c r="BP721" s="500"/>
      <c r="BQ721" s="500"/>
      <c r="BR721" s="500"/>
      <c r="BS721" s="500"/>
      <c r="BT721" s="500"/>
      <c r="BU721" s="500"/>
      <c r="BV721" s="500"/>
    </row>
    <row r="722" ht="14.25" customHeight="1">
      <c r="A722" s="500"/>
      <c r="B722" s="500"/>
      <c r="C722" s="500"/>
      <c r="D722" s="500"/>
      <c r="E722" s="500"/>
      <c r="F722" s="500"/>
      <c r="G722" s="500"/>
      <c r="H722" s="500"/>
      <c r="I722" s="500"/>
      <c r="J722" s="500"/>
      <c r="K722" s="500"/>
      <c r="L722" s="500"/>
      <c r="M722" s="500"/>
      <c r="N722" s="500"/>
      <c r="O722" s="500"/>
      <c r="P722" s="500"/>
      <c r="Q722" s="500"/>
      <c r="R722" s="500"/>
      <c r="S722" s="500"/>
      <c r="T722" s="500"/>
      <c r="U722" s="500"/>
      <c r="V722" s="500"/>
      <c r="W722" s="500"/>
      <c r="X722" s="500"/>
      <c r="Y722" s="500"/>
      <c r="Z722" s="501"/>
      <c r="AA722" s="501"/>
      <c r="AB722" s="501"/>
      <c r="AC722" s="501"/>
      <c r="AD722" s="500"/>
      <c r="AE722" s="500"/>
      <c r="AF722" s="503"/>
      <c r="AG722" s="503"/>
      <c r="AH722" s="504"/>
      <c r="AI722" s="500"/>
      <c r="AJ722" s="500"/>
      <c r="AK722" s="500"/>
      <c r="AL722" s="500"/>
      <c r="AM722" s="500"/>
      <c r="AN722" s="500"/>
      <c r="AO722" s="500"/>
      <c r="AP722" s="500"/>
      <c r="AQ722" s="500"/>
      <c r="AR722" s="500"/>
      <c r="AS722" s="500"/>
      <c r="AT722" s="500"/>
      <c r="AU722" s="500"/>
      <c r="AV722" s="500"/>
      <c r="AW722" s="500"/>
      <c r="AX722" s="500"/>
      <c r="AY722" s="500"/>
      <c r="AZ722" s="500"/>
      <c r="BA722" s="500"/>
      <c r="BB722" s="500"/>
      <c r="BC722" s="500"/>
      <c r="BD722" s="500"/>
      <c r="BE722" s="500"/>
      <c r="BF722" s="500"/>
      <c r="BG722" s="500"/>
      <c r="BH722" s="500"/>
      <c r="BI722" s="500"/>
      <c r="BJ722" s="500"/>
      <c r="BK722" s="500"/>
      <c r="BL722" s="500"/>
      <c r="BM722" s="500"/>
      <c r="BN722" s="500"/>
      <c r="BO722" s="500"/>
      <c r="BP722" s="500"/>
      <c r="BQ722" s="500"/>
      <c r="BR722" s="500"/>
      <c r="BS722" s="500"/>
      <c r="BT722" s="500"/>
      <c r="BU722" s="500"/>
      <c r="BV722" s="500"/>
    </row>
    <row r="723" ht="14.25" customHeight="1">
      <c r="A723" s="500"/>
      <c r="B723" s="500"/>
      <c r="C723" s="500"/>
      <c r="D723" s="500"/>
      <c r="E723" s="500"/>
      <c r="F723" s="500"/>
      <c r="G723" s="500"/>
      <c r="H723" s="500"/>
      <c r="I723" s="500"/>
      <c r="J723" s="500"/>
      <c r="K723" s="500"/>
      <c r="L723" s="500"/>
      <c r="M723" s="500"/>
      <c r="N723" s="500"/>
      <c r="O723" s="500"/>
      <c r="P723" s="500"/>
      <c r="Q723" s="500"/>
      <c r="R723" s="500"/>
      <c r="S723" s="500"/>
      <c r="T723" s="500"/>
      <c r="U723" s="500"/>
      <c r="V723" s="500"/>
      <c r="W723" s="500"/>
      <c r="X723" s="500"/>
      <c r="Y723" s="500"/>
      <c r="Z723" s="501"/>
      <c r="AA723" s="501"/>
      <c r="AB723" s="501"/>
      <c r="AC723" s="501"/>
      <c r="AD723" s="500"/>
      <c r="AE723" s="500"/>
      <c r="AF723" s="503"/>
      <c r="AG723" s="503"/>
      <c r="AH723" s="504"/>
      <c r="AI723" s="500"/>
      <c r="AJ723" s="500"/>
      <c r="AK723" s="500"/>
      <c r="AL723" s="500"/>
      <c r="AM723" s="500"/>
      <c r="AN723" s="500"/>
      <c r="AO723" s="500"/>
      <c r="AP723" s="500"/>
      <c r="AQ723" s="500"/>
      <c r="AR723" s="500"/>
      <c r="AS723" s="500"/>
      <c r="AT723" s="500"/>
      <c r="AU723" s="500"/>
      <c r="AV723" s="500"/>
      <c r="AW723" s="500"/>
      <c r="AX723" s="500"/>
      <c r="AY723" s="500"/>
      <c r="AZ723" s="500"/>
      <c r="BA723" s="500"/>
      <c r="BB723" s="500"/>
      <c r="BC723" s="500"/>
      <c r="BD723" s="500"/>
      <c r="BE723" s="500"/>
      <c r="BF723" s="500"/>
      <c r="BG723" s="500"/>
      <c r="BH723" s="500"/>
      <c r="BI723" s="500"/>
      <c r="BJ723" s="500"/>
      <c r="BK723" s="500"/>
      <c r="BL723" s="500"/>
      <c r="BM723" s="500"/>
      <c r="BN723" s="500"/>
      <c r="BO723" s="500"/>
      <c r="BP723" s="500"/>
      <c r="BQ723" s="500"/>
      <c r="BR723" s="500"/>
      <c r="BS723" s="500"/>
      <c r="BT723" s="500"/>
      <c r="BU723" s="500"/>
      <c r="BV723" s="500"/>
    </row>
    <row r="724" ht="14.25" customHeight="1">
      <c r="A724" s="500"/>
      <c r="B724" s="500"/>
      <c r="C724" s="500"/>
      <c r="D724" s="500"/>
      <c r="E724" s="500"/>
      <c r="F724" s="500"/>
      <c r="G724" s="500"/>
      <c r="H724" s="500"/>
      <c r="I724" s="500"/>
      <c r="J724" s="500"/>
      <c r="K724" s="500"/>
      <c r="L724" s="500"/>
      <c r="M724" s="500"/>
      <c r="N724" s="500"/>
      <c r="O724" s="500"/>
      <c r="P724" s="500"/>
      <c r="Q724" s="500"/>
      <c r="R724" s="500"/>
      <c r="S724" s="500"/>
      <c r="T724" s="500"/>
      <c r="U724" s="500"/>
      <c r="V724" s="500"/>
      <c r="W724" s="500"/>
      <c r="X724" s="500"/>
      <c r="Y724" s="500"/>
      <c r="Z724" s="501"/>
      <c r="AA724" s="501"/>
      <c r="AB724" s="501"/>
      <c r="AC724" s="501"/>
      <c r="AD724" s="500"/>
      <c r="AE724" s="500"/>
      <c r="AF724" s="503"/>
      <c r="AG724" s="503"/>
      <c r="AH724" s="504"/>
      <c r="AI724" s="500"/>
      <c r="AJ724" s="500"/>
      <c r="AK724" s="500"/>
      <c r="AL724" s="500"/>
      <c r="AM724" s="500"/>
      <c r="AN724" s="500"/>
      <c r="AO724" s="500"/>
      <c r="AP724" s="500"/>
      <c r="AQ724" s="500"/>
      <c r="AR724" s="500"/>
      <c r="AS724" s="500"/>
      <c r="AT724" s="500"/>
      <c r="AU724" s="500"/>
      <c r="AV724" s="500"/>
      <c r="AW724" s="500"/>
      <c r="AX724" s="500"/>
      <c r="AY724" s="500"/>
      <c r="AZ724" s="500"/>
      <c r="BA724" s="500"/>
      <c r="BB724" s="500"/>
      <c r="BC724" s="500"/>
      <c r="BD724" s="500"/>
      <c r="BE724" s="500"/>
      <c r="BF724" s="500"/>
      <c r="BG724" s="500"/>
      <c r="BH724" s="500"/>
      <c r="BI724" s="500"/>
      <c r="BJ724" s="500"/>
      <c r="BK724" s="500"/>
      <c r="BL724" s="500"/>
      <c r="BM724" s="500"/>
      <c r="BN724" s="500"/>
      <c r="BO724" s="500"/>
      <c r="BP724" s="500"/>
      <c r="BQ724" s="500"/>
      <c r="BR724" s="500"/>
      <c r="BS724" s="500"/>
      <c r="BT724" s="500"/>
      <c r="BU724" s="500"/>
      <c r="BV724" s="500"/>
    </row>
    <row r="725" ht="14.25" customHeight="1">
      <c r="A725" s="500"/>
      <c r="B725" s="500"/>
      <c r="C725" s="500"/>
      <c r="D725" s="500"/>
      <c r="E725" s="500"/>
      <c r="F725" s="500"/>
      <c r="G725" s="500"/>
      <c r="H725" s="500"/>
      <c r="I725" s="500"/>
      <c r="J725" s="500"/>
      <c r="K725" s="500"/>
      <c r="L725" s="500"/>
      <c r="M725" s="500"/>
      <c r="N725" s="500"/>
      <c r="O725" s="500"/>
      <c r="P725" s="500"/>
      <c r="Q725" s="500"/>
      <c r="R725" s="500"/>
      <c r="S725" s="500"/>
      <c r="T725" s="500"/>
      <c r="U725" s="500"/>
      <c r="V725" s="500"/>
      <c r="W725" s="500"/>
      <c r="X725" s="500"/>
      <c r="Y725" s="500"/>
      <c r="Z725" s="501"/>
      <c r="AA725" s="501"/>
      <c r="AB725" s="501"/>
      <c r="AC725" s="501"/>
      <c r="AD725" s="500"/>
      <c r="AE725" s="500"/>
      <c r="AF725" s="503"/>
      <c r="AG725" s="503"/>
      <c r="AH725" s="504"/>
      <c r="AI725" s="500"/>
      <c r="AJ725" s="500"/>
      <c r="AK725" s="500"/>
      <c r="AL725" s="500"/>
      <c r="AM725" s="500"/>
      <c r="AN725" s="500"/>
      <c r="AO725" s="500"/>
      <c r="AP725" s="500"/>
      <c r="AQ725" s="500"/>
      <c r="AR725" s="500"/>
      <c r="AS725" s="500"/>
      <c r="AT725" s="500"/>
      <c r="AU725" s="500"/>
      <c r="AV725" s="500"/>
      <c r="AW725" s="500"/>
      <c r="AX725" s="500"/>
      <c r="AY725" s="500"/>
      <c r="AZ725" s="500"/>
      <c r="BA725" s="500"/>
      <c r="BB725" s="500"/>
      <c r="BC725" s="500"/>
      <c r="BD725" s="500"/>
      <c r="BE725" s="500"/>
      <c r="BF725" s="500"/>
      <c r="BG725" s="500"/>
      <c r="BH725" s="500"/>
      <c r="BI725" s="500"/>
      <c r="BJ725" s="500"/>
      <c r="BK725" s="500"/>
      <c r="BL725" s="500"/>
      <c r="BM725" s="500"/>
      <c r="BN725" s="500"/>
      <c r="BO725" s="500"/>
      <c r="BP725" s="500"/>
      <c r="BQ725" s="500"/>
      <c r="BR725" s="500"/>
      <c r="BS725" s="500"/>
      <c r="BT725" s="500"/>
      <c r="BU725" s="500"/>
      <c r="BV725" s="500"/>
    </row>
    <row r="726" ht="14.25" customHeight="1">
      <c r="A726" s="500"/>
      <c r="B726" s="500"/>
      <c r="C726" s="500"/>
      <c r="D726" s="500"/>
      <c r="E726" s="500"/>
      <c r="F726" s="500"/>
      <c r="G726" s="500"/>
      <c r="H726" s="500"/>
      <c r="I726" s="500"/>
      <c r="J726" s="500"/>
      <c r="K726" s="500"/>
      <c r="L726" s="500"/>
      <c r="M726" s="500"/>
      <c r="N726" s="500"/>
      <c r="O726" s="500"/>
      <c r="P726" s="500"/>
      <c r="Q726" s="500"/>
      <c r="R726" s="500"/>
      <c r="S726" s="500"/>
      <c r="T726" s="500"/>
      <c r="U726" s="500"/>
      <c r="V726" s="500"/>
      <c r="W726" s="500"/>
      <c r="X726" s="500"/>
      <c r="Y726" s="500"/>
      <c r="Z726" s="501"/>
      <c r="AA726" s="501"/>
      <c r="AB726" s="501"/>
      <c r="AC726" s="501"/>
      <c r="AD726" s="500"/>
      <c r="AE726" s="500"/>
      <c r="AF726" s="503"/>
      <c r="AG726" s="503"/>
      <c r="AH726" s="504"/>
      <c r="AI726" s="500"/>
      <c r="AJ726" s="500"/>
      <c r="AK726" s="500"/>
      <c r="AL726" s="500"/>
      <c r="AM726" s="500"/>
      <c r="AN726" s="500"/>
      <c r="AO726" s="500"/>
      <c r="AP726" s="500"/>
      <c r="AQ726" s="500"/>
      <c r="AR726" s="500"/>
      <c r="AS726" s="500"/>
      <c r="AT726" s="500"/>
      <c r="AU726" s="500"/>
      <c r="AV726" s="500"/>
      <c r="AW726" s="500"/>
      <c r="AX726" s="500"/>
      <c r="AY726" s="500"/>
      <c r="AZ726" s="500"/>
      <c r="BA726" s="500"/>
      <c r="BB726" s="500"/>
      <c r="BC726" s="500"/>
      <c r="BD726" s="500"/>
      <c r="BE726" s="500"/>
      <c r="BF726" s="500"/>
      <c r="BG726" s="500"/>
      <c r="BH726" s="500"/>
      <c r="BI726" s="500"/>
      <c r="BJ726" s="500"/>
      <c r="BK726" s="500"/>
      <c r="BL726" s="500"/>
      <c r="BM726" s="500"/>
      <c r="BN726" s="500"/>
      <c r="BO726" s="500"/>
      <c r="BP726" s="500"/>
      <c r="BQ726" s="500"/>
      <c r="BR726" s="500"/>
      <c r="BS726" s="500"/>
      <c r="BT726" s="500"/>
      <c r="BU726" s="500"/>
      <c r="BV726" s="500"/>
    </row>
    <row r="727" ht="14.25" customHeight="1">
      <c r="A727" s="500"/>
      <c r="B727" s="500"/>
      <c r="C727" s="500"/>
      <c r="D727" s="500"/>
      <c r="E727" s="500"/>
      <c r="F727" s="500"/>
      <c r="G727" s="500"/>
      <c r="H727" s="500"/>
      <c r="I727" s="500"/>
      <c r="J727" s="500"/>
      <c r="K727" s="500"/>
      <c r="L727" s="500"/>
      <c r="M727" s="500"/>
      <c r="N727" s="500"/>
      <c r="O727" s="500"/>
      <c r="P727" s="500"/>
      <c r="Q727" s="500"/>
      <c r="R727" s="500"/>
      <c r="S727" s="500"/>
      <c r="T727" s="500"/>
      <c r="U727" s="500"/>
      <c r="V727" s="500"/>
      <c r="W727" s="500"/>
      <c r="X727" s="500"/>
      <c r="Y727" s="500"/>
      <c r="Z727" s="501"/>
      <c r="AA727" s="501"/>
      <c r="AB727" s="501"/>
      <c r="AC727" s="501"/>
      <c r="AD727" s="500"/>
      <c r="AE727" s="500"/>
      <c r="AF727" s="503"/>
      <c r="AG727" s="503"/>
      <c r="AH727" s="504"/>
      <c r="AI727" s="500"/>
      <c r="AJ727" s="500"/>
      <c r="AK727" s="500"/>
      <c r="AL727" s="500"/>
      <c r="AM727" s="500"/>
      <c r="AN727" s="500"/>
      <c r="AO727" s="500"/>
      <c r="AP727" s="500"/>
      <c r="AQ727" s="500"/>
      <c r="AR727" s="500"/>
      <c r="AS727" s="500"/>
      <c r="AT727" s="500"/>
      <c r="AU727" s="500"/>
      <c r="AV727" s="500"/>
      <c r="AW727" s="500"/>
      <c r="AX727" s="500"/>
      <c r="AY727" s="500"/>
      <c r="AZ727" s="500"/>
      <c r="BA727" s="500"/>
      <c r="BB727" s="500"/>
      <c r="BC727" s="500"/>
      <c r="BD727" s="500"/>
      <c r="BE727" s="500"/>
      <c r="BF727" s="500"/>
      <c r="BG727" s="500"/>
      <c r="BH727" s="500"/>
      <c r="BI727" s="500"/>
      <c r="BJ727" s="500"/>
      <c r="BK727" s="500"/>
      <c r="BL727" s="500"/>
      <c r="BM727" s="500"/>
      <c r="BN727" s="500"/>
      <c r="BO727" s="500"/>
      <c r="BP727" s="500"/>
      <c r="BQ727" s="500"/>
      <c r="BR727" s="500"/>
      <c r="BS727" s="500"/>
      <c r="BT727" s="500"/>
      <c r="BU727" s="500"/>
      <c r="BV727" s="500"/>
    </row>
    <row r="728" ht="14.25" customHeight="1">
      <c r="A728" s="500"/>
      <c r="B728" s="500"/>
      <c r="C728" s="500"/>
      <c r="D728" s="500"/>
      <c r="E728" s="500"/>
      <c r="F728" s="500"/>
      <c r="G728" s="500"/>
      <c r="H728" s="500"/>
      <c r="I728" s="500"/>
      <c r="J728" s="500"/>
      <c r="K728" s="500"/>
      <c r="L728" s="500"/>
      <c r="M728" s="500"/>
      <c r="N728" s="500"/>
      <c r="O728" s="500"/>
      <c r="P728" s="500"/>
      <c r="Q728" s="500"/>
      <c r="R728" s="500"/>
      <c r="S728" s="500"/>
      <c r="T728" s="500"/>
      <c r="U728" s="500"/>
      <c r="V728" s="500"/>
      <c r="W728" s="500"/>
      <c r="X728" s="500"/>
      <c r="Y728" s="500"/>
      <c r="Z728" s="501"/>
      <c r="AA728" s="501"/>
      <c r="AB728" s="501"/>
      <c r="AC728" s="501"/>
      <c r="AD728" s="500"/>
      <c r="AE728" s="500"/>
      <c r="AF728" s="503"/>
      <c r="AG728" s="503"/>
      <c r="AH728" s="504"/>
      <c r="AI728" s="500"/>
      <c r="AJ728" s="500"/>
      <c r="AK728" s="500"/>
      <c r="AL728" s="500"/>
      <c r="AM728" s="500"/>
      <c r="AN728" s="500"/>
      <c r="AO728" s="500"/>
      <c r="AP728" s="500"/>
      <c r="AQ728" s="500"/>
      <c r="AR728" s="500"/>
      <c r="AS728" s="500"/>
      <c r="AT728" s="500"/>
      <c r="AU728" s="500"/>
      <c r="AV728" s="500"/>
      <c r="AW728" s="500"/>
      <c r="AX728" s="500"/>
      <c r="AY728" s="500"/>
      <c r="AZ728" s="500"/>
      <c r="BA728" s="500"/>
      <c r="BB728" s="500"/>
      <c r="BC728" s="500"/>
      <c r="BD728" s="500"/>
      <c r="BE728" s="500"/>
      <c r="BF728" s="500"/>
      <c r="BG728" s="500"/>
      <c r="BH728" s="500"/>
      <c r="BI728" s="500"/>
      <c r="BJ728" s="500"/>
      <c r="BK728" s="500"/>
      <c r="BL728" s="500"/>
      <c r="BM728" s="500"/>
      <c r="BN728" s="500"/>
      <c r="BO728" s="500"/>
      <c r="BP728" s="500"/>
      <c r="BQ728" s="500"/>
      <c r="BR728" s="500"/>
      <c r="BS728" s="500"/>
      <c r="BT728" s="500"/>
      <c r="BU728" s="500"/>
      <c r="BV728" s="500"/>
    </row>
    <row r="729" ht="14.25" customHeight="1">
      <c r="A729" s="500"/>
      <c r="B729" s="500"/>
      <c r="C729" s="500"/>
      <c r="D729" s="500"/>
      <c r="E729" s="500"/>
      <c r="F729" s="500"/>
      <c r="G729" s="500"/>
      <c r="H729" s="500"/>
      <c r="I729" s="500"/>
      <c r="J729" s="500"/>
      <c r="K729" s="500"/>
      <c r="L729" s="500"/>
      <c r="M729" s="500"/>
      <c r="N729" s="500"/>
      <c r="O729" s="500"/>
      <c r="P729" s="500"/>
      <c r="Q729" s="500"/>
      <c r="R729" s="500"/>
      <c r="S729" s="500"/>
      <c r="T729" s="500"/>
      <c r="U729" s="500"/>
      <c r="V729" s="500"/>
      <c r="W729" s="500"/>
      <c r="X729" s="500"/>
      <c r="Y729" s="500"/>
      <c r="Z729" s="501"/>
      <c r="AA729" s="501"/>
      <c r="AB729" s="501"/>
      <c r="AC729" s="501"/>
      <c r="AD729" s="500"/>
      <c r="AE729" s="500"/>
      <c r="AF729" s="503"/>
      <c r="AG729" s="503"/>
      <c r="AH729" s="504"/>
      <c r="AI729" s="500"/>
      <c r="AJ729" s="500"/>
      <c r="AK729" s="500"/>
      <c r="AL729" s="500"/>
      <c r="AM729" s="500"/>
      <c r="AN729" s="500"/>
      <c r="AO729" s="500"/>
      <c r="AP729" s="500"/>
      <c r="AQ729" s="500"/>
      <c r="AR729" s="500"/>
      <c r="AS729" s="500"/>
      <c r="AT729" s="500"/>
      <c r="AU729" s="500"/>
      <c r="AV729" s="500"/>
      <c r="AW729" s="500"/>
      <c r="AX729" s="500"/>
      <c r="AY729" s="500"/>
      <c r="AZ729" s="500"/>
      <c r="BA729" s="500"/>
      <c r="BB729" s="500"/>
      <c r="BC729" s="500"/>
      <c r="BD729" s="500"/>
      <c r="BE729" s="500"/>
      <c r="BF729" s="500"/>
      <c r="BG729" s="500"/>
      <c r="BH729" s="500"/>
      <c r="BI729" s="500"/>
      <c r="BJ729" s="500"/>
      <c r="BK729" s="500"/>
      <c r="BL729" s="500"/>
      <c r="BM729" s="500"/>
      <c r="BN729" s="500"/>
      <c r="BO729" s="500"/>
      <c r="BP729" s="500"/>
      <c r="BQ729" s="500"/>
      <c r="BR729" s="500"/>
      <c r="BS729" s="500"/>
      <c r="BT729" s="500"/>
      <c r="BU729" s="500"/>
      <c r="BV729" s="500"/>
    </row>
    <row r="730" ht="14.25" customHeight="1">
      <c r="A730" s="500"/>
      <c r="B730" s="500"/>
      <c r="C730" s="500"/>
      <c r="D730" s="500"/>
      <c r="E730" s="500"/>
      <c r="F730" s="500"/>
      <c r="G730" s="500"/>
      <c r="H730" s="500"/>
      <c r="I730" s="500"/>
      <c r="J730" s="500"/>
      <c r="K730" s="500"/>
      <c r="L730" s="500"/>
      <c r="M730" s="500"/>
      <c r="N730" s="500"/>
      <c r="O730" s="500"/>
      <c r="P730" s="500"/>
      <c r="Q730" s="500"/>
      <c r="R730" s="500"/>
      <c r="S730" s="500"/>
      <c r="T730" s="500"/>
      <c r="U730" s="500"/>
      <c r="V730" s="500"/>
      <c r="W730" s="500"/>
      <c r="X730" s="500"/>
      <c r="Y730" s="500"/>
      <c r="Z730" s="501"/>
      <c r="AA730" s="501"/>
      <c r="AB730" s="501"/>
      <c r="AC730" s="501"/>
      <c r="AD730" s="500"/>
      <c r="AE730" s="500"/>
      <c r="AF730" s="503"/>
      <c r="AG730" s="503"/>
      <c r="AH730" s="504"/>
      <c r="AI730" s="500"/>
      <c r="AJ730" s="500"/>
      <c r="AK730" s="500"/>
      <c r="AL730" s="500"/>
      <c r="AM730" s="500"/>
      <c r="AN730" s="500"/>
      <c r="AO730" s="500"/>
      <c r="AP730" s="500"/>
      <c r="AQ730" s="500"/>
      <c r="AR730" s="500"/>
      <c r="AS730" s="500"/>
      <c r="AT730" s="500"/>
      <c r="AU730" s="500"/>
      <c r="AV730" s="500"/>
      <c r="AW730" s="500"/>
      <c r="AX730" s="500"/>
      <c r="AY730" s="500"/>
      <c r="AZ730" s="500"/>
      <c r="BA730" s="500"/>
      <c r="BB730" s="500"/>
      <c r="BC730" s="500"/>
      <c r="BD730" s="500"/>
      <c r="BE730" s="500"/>
      <c r="BF730" s="500"/>
      <c r="BG730" s="500"/>
      <c r="BH730" s="500"/>
      <c r="BI730" s="500"/>
      <c r="BJ730" s="500"/>
      <c r="BK730" s="500"/>
      <c r="BL730" s="500"/>
      <c r="BM730" s="500"/>
      <c r="BN730" s="500"/>
      <c r="BO730" s="500"/>
      <c r="BP730" s="500"/>
      <c r="BQ730" s="500"/>
      <c r="BR730" s="500"/>
      <c r="BS730" s="500"/>
      <c r="BT730" s="500"/>
      <c r="BU730" s="500"/>
      <c r="BV730" s="500"/>
    </row>
    <row r="731" ht="14.25" customHeight="1">
      <c r="A731" s="500"/>
      <c r="B731" s="500"/>
      <c r="C731" s="500"/>
      <c r="D731" s="500"/>
      <c r="E731" s="500"/>
      <c r="F731" s="500"/>
      <c r="G731" s="500"/>
      <c r="H731" s="500"/>
      <c r="I731" s="500"/>
      <c r="J731" s="500"/>
      <c r="K731" s="500"/>
      <c r="L731" s="500"/>
      <c r="M731" s="500"/>
      <c r="N731" s="500"/>
      <c r="O731" s="500"/>
      <c r="P731" s="500"/>
      <c r="Q731" s="500"/>
      <c r="R731" s="500"/>
      <c r="S731" s="500"/>
      <c r="T731" s="500"/>
      <c r="U731" s="500"/>
      <c r="V731" s="500"/>
      <c r="W731" s="500"/>
      <c r="X731" s="500"/>
      <c r="Y731" s="500"/>
      <c r="Z731" s="501"/>
      <c r="AA731" s="501"/>
      <c r="AB731" s="501"/>
      <c r="AC731" s="501"/>
      <c r="AD731" s="500"/>
      <c r="AE731" s="500"/>
      <c r="AF731" s="503"/>
      <c r="AG731" s="503"/>
      <c r="AH731" s="504"/>
      <c r="AI731" s="500"/>
      <c r="AJ731" s="500"/>
      <c r="AK731" s="500"/>
      <c r="AL731" s="500"/>
      <c r="AM731" s="500"/>
      <c r="AN731" s="500"/>
      <c r="AO731" s="500"/>
      <c r="AP731" s="500"/>
      <c r="AQ731" s="500"/>
      <c r="AR731" s="500"/>
      <c r="AS731" s="500"/>
      <c r="AT731" s="500"/>
      <c r="AU731" s="500"/>
      <c r="AV731" s="500"/>
      <c r="AW731" s="500"/>
      <c r="AX731" s="500"/>
      <c r="AY731" s="500"/>
      <c r="AZ731" s="500"/>
      <c r="BA731" s="500"/>
      <c r="BB731" s="500"/>
      <c r="BC731" s="500"/>
      <c r="BD731" s="500"/>
      <c r="BE731" s="500"/>
      <c r="BF731" s="500"/>
      <c r="BG731" s="500"/>
      <c r="BH731" s="500"/>
      <c r="BI731" s="500"/>
      <c r="BJ731" s="500"/>
      <c r="BK731" s="500"/>
      <c r="BL731" s="500"/>
      <c r="BM731" s="500"/>
      <c r="BN731" s="500"/>
      <c r="BO731" s="500"/>
      <c r="BP731" s="500"/>
      <c r="BQ731" s="500"/>
      <c r="BR731" s="500"/>
      <c r="BS731" s="500"/>
      <c r="BT731" s="500"/>
      <c r="BU731" s="500"/>
      <c r="BV731" s="500"/>
    </row>
    <row r="732" ht="14.25" customHeight="1">
      <c r="A732" s="500"/>
      <c r="B732" s="500"/>
      <c r="C732" s="500"/>
      <c r="D732" s="500"/>
      <c r="E732" s="500"/>
      <c r="F732" s="500"/>
      <c r="G732" s="500"/>
      <c r="H732" s="500"/>
      <c r="I732" s="500"/>
      <c r="J732" s="500"/>
      <c r="K732" s="500"/>
      <c r="L732" s="500"/>
      <c r="M732" s="500"/>
      <c r="N732" s="500"/>
      <c r="O732" s="500"/>
      <c r="P732" s="500"/>
      <c r="Q732" s="500"/>
      <c r="R732" s="500"/>
      <c r="S732" s="500"/>
      <c r="T732" s="500"/>
      <c r="U732" s="500"/>
      <c r="V732" s="500"/>
      <c r="W732" s="500"/>
      <c r="X732" s="500"/>
      <c r="Y732" s="500"/>
      <c r="Z732" s="501"/>
      <c r="AA732" s="501"/>
      <c r="AB732" s="501"/>
      <c r="AC732" s="501"/>
      <c r="AD732" s="500"/>
      <c r="AE732" s="500"/>
      <c r="AF732" s="503"/>
      <c r="AG732" s="503"/>
      <c r="AH732" s="504"/>
      <c r="AI732" s="500"/>
      <c r="AJ732" s="500"/>
      <c r="AK732" s="500"/>
      <c r="AL732" s="500"/>
      <c r="AM732" s="500"/>
      <c r="AN732" s="500"/>
      <c r="AO732" s="500"/>
      <c r="AP732" s="500"/>
      <c r="AQ732" s="500"/>
      <c r="AR732" s="500"/>
      <c r="AS732" s="500"/>
      <c r="AT732" s="500"/>
      <c r="AU732" s="500"/>
      <c r="AV732" s="500"/>
      <c r="AW732" s="500"/>
      <c r="AX732" s="500"/>
      <c r="AY732" s="500"/>
      <c r="AZ732" s="500"/>
      <c r="BA732" s="500"/>
      <c r="BB732" s="500"/>
      <c r="BC732" s="500"/>
      <c r="BD732" s="500"/>
      <c r="BE732" s="500"/>
      <c r="BF732" s="500"/>
      <c r="BG732" s="500"/>
      <c r="BH732" s="500"/>
      <c r="BI732" s="500"/>
      <c r="BJ732" s="500"/>
      <c r="BK732" s="500"/>
      <c r="BL732" s="500"/>
      <c r="BM732" s="500"/>
      <c r="BN732" s="500"/>
      <c r="BO732" s="500"/>
      <c r="BP732" s="500"/>
      <c r="BQ732" s="500"/>
      <c r="BR732" s="500"/>
      <c r="BS732" s="500"/>
      <c r="BT732" s="500"/>
      <c r="BU732" s="500"/>
      <c r="BV732" s="500"/>
    </row>
    <row r="733" ht="14.25" customHeight="1">
      <c r="A733" s="500"/>
      <c r="B733" s="500"/>
      <c r="C733" s="500"/>
      <c r="D733" s="500"/>
      <c r="E733" s="500"/>
      <c r="F733" s="500"/>
      <c r="G733" s="500"/>
      <c r="H733" s="500"/>
      <c r="I733" s="500"/>
      <c r="J733" s="500"/>
      <c r="K733" s="500"/>
      <c r="L733" s="500"/>
      <c r="M733" s="500"/>
      <c r="N733" s="500"/>
      <c r="O733" s="500"/>
      <c r="P733" s="500"/>
      <c r="Q733" s="500"/>
      <c r="R733" s="500"/>
      <c r="S733" s="500"/>
      <c r="T733" s="500"/>
      <c r="U733" s="500"/>
      <c r="V733" s="500"/>
      <c r="W733" s="500"/>
      <c r="X733" s="500"/>
      <c r="Y733" s="500"/>
      <c r="Z733" s="501"/>
      <c r="AA733" s="501"/>
      <c r="AB733" s="501"/>
      <c r="AC733" s="501"/>
      <c r="AD733" s="500"/>
      <c r="AE733" s="500"/>
      <c r="AF733" s="503"/>
      <c r="AG733" s="503"/>
      <c r="AH733" s="504"/>
      <c r="AI733" s="500"/>
      <c r="AJ733" s="500"/>
      <c r="AK733" s="500"/>
      <c r="AL733" s="500"/>
      <c r="AM733" s="500"/>
      <c r="AN733" s="500"/>
      <c r="AO733" s="500"/>
      <c r="AP733" s="500"/>
      <c r="AQ733" s="500"/>
      <c r="AR733" s="500"/>
      <c r="AS733" s="500"/>
      <c r="AT733" s="500"/>
      <c r="AU733" s="500"/>
      <c r="AV733" s="500"/>
      <c r="AW733" s="500"/>
      <c r="AX733" s="500"/>
      <c r="AY733" s="500"/>
      <c r="AZ733" s="500"/>
      <c r="BA733" s="500"/>
      <c r="BB733" s="500"/>
      <c r="BC733" s="500"/>
      <c r="BD733" s="500"/>
      <c r="BE733" s="500"/>
      <c r="BF733" s="500"/>
      <c r="BG733" s="500"/>
      <c r="BH733" s="500"/>
      <c r="BI733" s="500"/>
      <c r="BJ733" s="500"/>
      <c r="BK733" s="500"/>
      <c r="BL733" s="500"/>
      <c r="BM733" s="500"/>
      <c r="BN733" s="500"/>
      <c r="BO733" s="500"/>
      <c r="BP733" s="500"/>
      <c r="BQ733" s="500"/>
      <c r="BR733" s="500"/>
      <c r="BS733" s="500"/>
      <c r="BT733" s="500"/>
      <c r="BU733" s="500"/>
      <c r="BV733" s="500"/>
    </row>
    <row r="734" ht="14.25" customHeight="1">
      <c r="A734" s="500"/>
      <c r="B734" s="500"/>
      <c r="C734" s="500"/>
      <c r="D734" s="500"/>
      <c r="E734" s="500"/>
      <c r="F734" s="500"/>
      <c r="G734" s="500"/>
      <c r="H734" s="500"/>
      <c r="I734" s="500"/>
      <c r="J734" s="500"/>
      <c r="K734" s="500"/>
      <c r="L734" s="500"/>
      <c r="M734" s="500"/>
      <c r="N734" s="500"/>
      <c r="O734" s="500"/>
      <c r="P734" s="500"/>
      <c r="Q734" s="500"/>
      <c r="R734" s="500"/>
      <c r="S734" s="500"/>
      <c r="T734" s="500"/>
      <c r="U734" s="500"/>
      <c r="V734" s="500"/>
      <c r="W734" s="500"/>
      <c r="X734" s="500"/>
      <c r="Y734" s="500"/>
      <c r="Z734" s="501"/>
      <c r="AA734" s="501"/>
      <c r="AB734" s="501"/>
      <c r="AC734" s="501"/>
      <c r="AD734" s="500"/>
      <c r="AE734" s="500"/>
      <c r="AF734" s="503"/>
      <c r="AG734" s="503"/>
      <c r="AH734" s="504"/>
      <c r="AI734" s="500"/>
      <c r="AJ734" s="500"/>
      <c r="AK734" s="500"/>
      <c r="AL734" s="500"/>
      <c r="AM734" s="500"/>
      <c r="AN734" s="500"/>
      <c r="AO734" s="500"/>
      <c r="AP734" s="500"/>
      <c r="AQ734" s="500"/>
      <c r="AR734" s="500"/>
      <c r="AS734" s="500"/>
      <c r="AT734" s="500"/>
      <c r="AU734" s="500"/>
      <c r="AV734" s="500"/>
      <c r="AW734" s="500"/>
      <c r="AX734" s="500"/>
      <c r="AY734" s="500"/>
      <c r="AZ734" s="500"/>
      <c r="BA734" s="500"/>
      <c r="BB734" s="500"/>
      <c r="BC734" s="500"/>
      <c r="BD734" s="500"/>
      <c r="BE734" s="500"/>
      <c r="BF734" s="500"/>
      <c r="BG734" s="500"/>
      <c r="BH734" s="500"/>
      <c r="BI734" s="500"/>
      <c r="BJ734" s="500"/>
      <c r="BK734" s="500"/>
      <c r="BL734" s="500"/>
      <c r="BM734" s="500"/>
      <c r="BN734" s="500"/>
      <c r="BO734" s="500"/>
      <c r="BP734" s="500"/>
      <c r="BQ734" s="500"/>
      <c r="BR734" s="500"/>
      <c r="BS734" s="500"/>
      <c r="BT734" s="500"/>
      <c r="BU734" s="500"/>
      <c r="BV734" s="500"/>
    </row>
    <row r="735" ht="14.25" customHeight="1">
      <c r="A735" s="500"/>
      <c r="B735" s="500"/>
      <c r="C735" s="500"/>
      <c r="D735" s="500"/>
      <c r="E735" s="500"/>
      <c r="F735" s="500"/>
      <c r="G735" s="500"/>
      <c r="H735" s="500"/>
      <c r="I735" s="500"/>
      <c r="J735" s="500"/>
      <c r="K735" s="500"/>
      <c r="L735" s="500"/>
      <c r="M735" s="500"/>
      <c r="N735" s="500"/>
      <c r="O735" s="500"/>
      <c r="P735" s="500"/>
      <c r="Q735" s="500"/>
      <c r="R735" s="500"/>
      <c r="S735" s="500"/>
      <c r="T735" s="500"/>
      <c r="U735" s="500"/>
      <c r="V735" s="500"/>
      <c r="W735" s="500"/>
      <c r="X735" s="500"/>
      <c r="Y735" s="500"/>
      <c r="Z735" s="501"/>
      <c r="AA735" s="501"/>
      <c r="AB735" s="501"/>
      <c r="AC735" s="501"/>
      <c r="AD735" s="500"/>
      <c r="AE735" s="500"/>
      <c r="AF735" s="503"/>
      <c r="AG735" s="503"/>
      <c r="AH735" s="504"/>
      <c r="AI735" s="500"/>
      <c r="AJ735" s="500"/>
      <c r="AK735" s="500"/>
      <c r="AL735" s="500"/>
      <c r="AM735" s="500"/>
      <c r="AN735" s="500"/>
      <c r="AO735" s="500"/>
      <c r="AP735" s="500"/>
      <c r="AQ735" s="500"/>
      <c r="AR735" s="500"/>
      <c r="AS735" s="500"/>
      <c r="AT735" s="500"/>
      <c r="AU735" s="500"/>
      <c r="AV735" s="500"/>
      <c r="AW735" s="500"/>
      <c r="AX735" s="500"/>
      <c r="AY735" s="500"/>
      <c r="AZ735" s="500"/>
      <c r="BA735" s="500"/>
      <c r="BB735" s="500"/>
      <c r="BC735" s="500"/>
      <c r="BD735" s="500"/>
      <c r="BE735" s="500"/>
      <c r="BF735" s="500"/>
      <c r="BG735" s="500"/>
      <c r="BH735" s="500"/>
      <c r="BI735" s="500"/>
      <c r="BJ735" s="500"/>
      <c r="BK735" s="500"/>
      <c r="BL735" s="500"/>
      <c r="BM735" s="500"/>
      <c r="BN735" s="500"/>
      <c r="BO735" s="500"/>
      <c r="BP735" s="500"/>
      <c r="BQ735" s="500"/>
      <c r="BR735" s="500"/>
      <c r="BS735" s="500"/>
      <c r="BT735" s="500"/>
      <c r="BU735" s="500"/>
      <c r="BV735" s="500"/>
    </row>
    <row r="736" ht="14.25" customHeight="1">
      <c r="A736" s="500"/>
      <c r="B736" s="500"/>
      <c r="C736" s="500"/>
      <c r="D736" s="500"/>
      <c r="E736" s="500"/>
      <c r="F736" s="500"/>
      <c r="G736" s="500"/>
      <c r="H736" s="500"/>
      <c r="I736" s="500"/>
      <c r="J736" s="500"/>
      <c r="K736" s="500"/>
      <c r="L736" s="500"/>
      <c r="M736" s="500"/>
      <c r="N736" s="500"/>
      <c r="O736" s="500"/>
      <c r="P736" s="500"/>
      <c r="Q736" s="500"/>
      <c r="R736" s="500"/>
      <c r="S736" s="500"/>
      <c r="T736" s="500"/>
      <c r="U736" s="500"/>
      <c r="V736" s="500"/>
      <c r="W736" s="500"/>
      <c r="X736" s="500"/>
      <c r="Y736" s="500"/>
      <c r="Z736" s="501"/>
      <c r="AA736" s="501"/>
      <c r="AB736" s="501"/>
      <c r="AC736" s="501"/>
      <c r="AD736" s="500"/>
      <c r="AE736" s="500"/>
      <c r="AF736" s="503"/>
      <c r="AG736" s="503"/>
      <c r="AH736" s="504"/>
      <c r="AI736" s="500"/>
      <c r="AJ736" s="500"/>
      <c r="AK736" s="500"/>
      <c r="AL736" s="500"/>
      <c r="AM736" s="500"/>
      <c r="AN736" s="500"/>
      <c r="AO736" s="500"/>
      <c r="AP736" s="500"/>
      <c r="AQ736" s="500"/>
      <c r="AR736" s="500"/>
      <c r="AS736" s="500"/>
      <c r="AT736" s="500"/>
      <c r="AU736" s="500"/>
      <c r="AV736" s="500"/>
      <c r="AW736" s="500"/>
      <c r="AX736" s="500"/>
      <c r="AY736" s="500"/>
      <c r="AZ736" s="500"/>
      <c r="BA736" s="500"/>
      <c r="BB736" s="500"/>
      <c r="BC736" s="500"/>
      <c r="BD736" s="500"/>
      <c r="BE736" s="500"/>
      <c r="BF736" s="500"/>
      <c r="BG736" s="500"/>
      <c r="BH736" s="500"/>
      <c r="BI736" s="500"/>
      <c r="BJ736" s="500"/>
      <c r="BK736" s="500"/>
      <c r="BL736" s="500"/>
      <c r="BM736" s="500"/>
      <c r="BN736" s="500"/>
      <c r="BO736" s="500"/>
      <c r="BP736" s="500"/>
      <c r="BQ736" s="500"/>
      <c r="BR736" s="500"/>
      <c r="BS736" s="500"/>
      <c r="BT736" s="500"/>
      <c r="BU736" s="500"/>
      <c r="BV736" s="500"/>
    </row>
    <row r="737" ht="14.25" customHeight="1">
      <c r="A737" s="500"/>
      <c r="B737" s="500"/>
      <c r="C737" s="500"/>
      <c r="D737" s="500"/>
      <c r="E737" s="500"/>
      <c r="F737" s="500"/>
      <c r="G737" s="500"/>
      <c r="H737" s="500"/>
      <c r="I737" s="500"/>
      <c r="J737" s="500"/>
      <c r="K737" s="500"/>
      <c r="L737" s="500"/>
      <c r="M737" s="500"/>
      <c r="N737" s="500"/>
      <c r="O737" s="500"/>
      <c r="P737" s="500"/>
      <c r="Q737" s="500"/>
      <c r="R737" s="500"/>
      <c r="S737" s="500"/>
      <c r="T737" s="500"/>
      <c r="U737" s="500"/>
      <c r="V737" s="500"/>
      <c r="W737" s="500"/>
      <c r="X737" s="500"/>
      <c r="Y737" s="500"/>
      <c r="Z737" s="501"/>
      <c r="AA737" s="501"/>
      <c r="AB737" s="501"/>
      <c r="AC737" s="501"/>
      <c r="AD737" s="500"/>
      <c r="AE737" s="500"/>
      <c r="AF737" s="503"/>
      <c r="AG737" s="503"/>
      <c r="AH737" s="504"/>
      <c r="AI737" s="500"/>
      <c r="AJ737" s="500"/>
      <c r="AK737" s="500"/>
      <c r="AL737" s="500"/>
      <c r="AM737" s="500"/>
      <c r="AN737" s="500"/>
      <c r="AO737" s="500"/>
      <c r="AP737" s="500"/>
      <c r="AQ737" s="500"/>
      <c r="AR737" s="500"/>
      <c r="AS737" s="500"/>
      <c r="AT737" s="500"/>
      <c r="AU737" s="500"/>
      <c r="AV737" s="500"/>
      <c r="AW737" s="500"/>
      <c r="AX737" s="500"/>
      <c r="AY737" s="500"/>
      <c r="AZ737" s="500"/>
      <c r="BA737" s="500"/>
      <c r="BB737" s="500"/>
      <c r="BC737" s="500"/>
      <c r="BD737" s="500"/>
      <c r="BE737" s="500"/>
      <c r="BF737" s="500"/>
      <c r="BG737" s="500"/>
      <c r="BH737" s="500"/>
      <c r="BI737" s="500"/>
      <c r="BJ737" s="500"/>
      <c r="BK737" s="500"/>
      <c r="BL737" s="500"/>
      <c r="BM737" s="500"/>
      <c r="BN737" s="500"/>
      <c r="BO737" s="500"/>
      <c r="BP737" s="500"/>
      <c r="BQ737" s="500"/>
      <c r="BR737" s="500"/>
      <c r="BS737" s="500"/>
      <c r="BT737" s="500"/>
      <c r="BU737" s="500"/>
      <c r="BV737" s="500"/>
    </row>
    <row r="738" ht="14.25" customHeight="1">
      <c r="A738" s="500"/>
      <c r="B738" s="500"/>
      <c r="C738" s="500"/>
      <c r="D738" s="500"/>
      <c r="E738" s="500"/>
      <c r="F738" s="500"/>
      <c r="G738" s="500"/>
      <c r="H738" s="500"/>
      <c r="I738" s="500"/>
      <c r="J738" s="500"/>
      <c r="K738" s="500"/>
      <c r="L738" s="500"/>
      <c r="M738" s="500"/>
      <c r="N738" s="500"/>
      <c r="O738" s="500"/>
      <c r="P738" s="500"/>
      <c r="Q738" s="500"/>
      <c r="R738" s="500"/>
      <c r="S738" s="500"/>
      <c r="T738" s="500"/>
      <c r="U738" s="500"/>
      <c r="V738" s="500"/>
      <c r="W738" s="500"/>
      <c r="X738" s="500"/>
      <c r="Y738" s="500"/>
      <c r="Z738" s="501"/>
      <c r="AA738" s="501"/>
      <c r="AB738" s="501"/>
      <c r="AC738" s="501"/>
      <c r="AD738" s="500"/>
      <c r="AE738" s="500"/>
      <c r="AF738" s="503"/>
      <c r="AG738" s="503"/>
      <c r="AH738" s="504"/>
      <c r="AI738" s="500"/>
      <c r="AJ738" s="500"/>
      <c r="AK738" s="500"/>
      <c r="AL738" s="500"/>
      <c r="AM738" s="500"/>
      <c r="AN738" s="500"/>
      <c r="AO738" s="500"/>
      <c r="AP738" s="500"/>
      <c r="AQ738" s="500"/>
      <c r="AR738" s="500"/>
      <c r="AS738" s="500"/>
      <c r="AT738" s="500"/>
      <c r="AU738" s="500"/>
      <c r="AV738" s="500"/>
      <c r="AW738" s="500"/>
      <c r="AX738" s="500"/>
      <c r="AY738" s="500"/>
      <c r="AZ738" s="500"/>
      <c r="BA738" s="500"/>
      <c r="BB738" s="500"/>
      <c r="BC738" s="500"/>
      <c r="BD738" s="500"/>
      <c r="BE738" s="500"/>
      <c r="BF738" s="500"/>
      <c r="BG738" s="500"/>
      <c r="BH738" s="500"/>
      <c r="BI738" s="500"/>
      <c r="BJ738" s="500"/>
      <c r="BK738" s="500"/>
      <c r="BL738" s="500"/>
      <c r="BM738" s="500"/>
      <c r="BN738" s="500"/>
      <c r="BO738" s="500"/>
      <c r="BP738" s="500"/>
      <c r="BQ738" s="500"/>
      <c r="BR738" s="500"/>
      <c r="BS738" s="500"/>
      <c r="BT738" s="500"/>
      <c r="BU738" s="500"/>
      <c r="BV738" s="500"/>
    </row>
    <row r="739" ht="14.25" customHeight="1">
      <c r="A739" s="500"/>
      <c r="B739" s="500"/>
      <c r="C739" s="500"/>
      <c r="D739" s="500"/>
      <c r="E739" s="500"/>
      <c r="F739" s="500"/>
      <c r="G739" s="500"/>
      <c r="H739" s="500"/>
      <c r="I739" s="500"/>
      <c r="J739" s="500"/>
      <c r="K739" s="500"/>
      <c r="L739" s="500"/>
      <c r="M739" s="500"/>
      <c r="N739" s="500"/>
      <c r="O739" s="500"/>
      <c r="P739" s="500"/>
      <c r="Q739" s="500"/>
      <c r="R739" s="500"/>
      <c r="S739" s="500"/>
      <c r="T739" s="500"/>
      <c r="U739" s="500"/>
      <c r="V739" s="500"/>
      <c r="W739" s="500"/>
      <c r="X739" s="500"/>
      <c r="Y739" s="500"/>
      <c r="Z739" s="501"/>
      <c r="AA739" s="501"/>
      <c r="AB739" s="501"/>
      <c r="AC739" s="501"/>
      <c r="AD739" s="500"/>
      <c r="AE739" s="500"/>
      <c r="AF739" s="503"/>
      <c r="AG739" s="503"/>
      <c r="AH739" s="504"/>
      <c r="AI739" s="500"/>
      <c r="AJ739" s="500"/>
      <c r="AK739" s="500"/>
      <c r="AL739" s="500"/>
      <c r="AM739" s="500"/>
      <c r="AN739" s="500"/>
      <c r="AO739" s="500"/>
      <c r="AP739" s="500"/>
      <c r="AQ739" s="500"/>
      <c r="AR739" s="500"/>
      <c r="AS739" s="500"/>
      <c r="AT739" s="500"/>
      <c r="AU739" s="500"/>
      <c r="AV739" s="500"/>
      <c r="AW739" s="500"/>
      <c r="AX739" s="500"/>
      <c r="AY739" s="500"/>
      <c r="AZ739" s="500"/>
      <c r="BA739" s="500"/>
      <c r="BB739" s="500"/>
      <c r="BC739" s="500"/>
      <c r="BD739" s="500"/>
      <c r="BE739" s="500"/>
      <c r="BF739" s="500"/>
      <c r="BG739" s="500"/>
      <c r="BH739" s="500"/>
      <c r="BI739" s="500"/>
      <c r="BJ739" s="500"/>
      <c r="BK739" s="500"/>
      <c r="BL739" s="500"/>
      <c r="BM739" s="500"/>
      <c r="BN739" s="500"/>
      <c r="BO739" s="500"/>
      <c r="BP739" s="500"/>
      <c r="BQ739" s="500"/>
      <c r="BR739" s="500"/>
      <c r="BS739" s="500"/>
      <c r="BT739" s="500"/>
      <c r="BU739" s="500"/>
      <c r="BV739" s="500"/>
    </row>
    <row r="740" ht="14.25" customHeight="1">
      <c r="A740" s="500"/>
      <c r="B740" s="500"/>
      <c r="C740" s="500"/>
      <c r="D740" s="500"/>
      <c r="E740" s="500"/>
      <c r="F740" s="500"/>
      <c r="G740" s="500"/>
      <c r="H740" s="500"/>
      <c r="I740" s="500"/>
      <c r="J740" s="500"/>
      <c r="K740" s="500"/>
      <c r="L740" s="500"/>
      <c r="M740" s="500"/>
      <c r="N740" s="500"/>
      <c r="O740" s="500"/>
      <c r="P740" s="500"/>
      <c r="Q740" s="500"/>
      <c r="R740" s="500"/>
      <c r="S740" s="500"/>
      <c r="T740" s="500"/>
      <c r="U740" s="500"/>
      <c r="V740" s="500"/>
      <c r="W740" s="500"/>
      <c r="X740" s="500"/>
      <c r="Y740" s="500"/>
      <c r="Z740" s="501"/>
      <c r="AA740" s="501"/>
      <c r="AB740" s="501"/>
      <c r="AC740" s="501"/>
      <c r="AD740" s="500"/>
      <c r="AE740" s="500"/>
      <c r="AF740" s="503"/>
      <c r="AG740" s="503"/>
      <c r="AH740" s="504"/>
      <c r="AI740" s="500"/>
      <c r="AJ740" s="500"/>
      <c r="AK740" s="500"/>
      <c r="AL740" s="500"/>
      <c r="AM740" s="500"/>
      <c r="AN740" s="500"/>
      <c r="AO740" s="500"/>
      <c r="AP740" s="500"/>
      <c r="AQ740" s="500"/>
      <c r="AR740" s="500"/>
      <c r="AS740" s="500"/>
      <c r="AT740" s="500"/>
      <c r="AU740" s="500"/>
      <c r="AV740" s="500"/>
      <c r="AW740" s="500"/>
      <c r="AX740" s="500"/>
      <c r="AY740" s="500"/>
      <c r="AZ740" s="500"/>
      <c r="BA740" s="500"/>
      <c r="BB740" s="500"/>
      <c r="BC740" s="500"/>
      <c r="BD740" s="500"/>
      <c r="BE740" s="500"/>
      <c r="BF740" s="500"/>
      <c r="BG740" s="500"/>
      <c r="BH740" s="500"/>
      <c r="BI740" s="500"/>
      <c r="BJ740" s="500"/>
      <c r="BK740" s="500"/>
      <c r="BL740" s="500"/>
      <c r="BM740" s="500"/>
      <c r="BN740" s="500"/>
      <c r="BO740" s="500"/>
      <c r="BP740" s="500"/>
      <c r="BQ740" s="500"/>
      <c r="BR740" s="500"/>
      <c r="BS740" s="500"/>
      <c r="BT740" s="500"/>
      <c r="BU740" s="500"/>
      <c r="BV740" s="500"/>
    </row>
    <row r="741" ht="14.25" customHeight="1">
      <c r="A741" s="500"/>
      <c r="B741" s="500"/>
      <c r="C741" s="500"/>
      <c r="D741" s="500"/>
      <c r="E741" s="500"/>
      <c r="F741" s="500"/>
      <c r="G741" s="500"/>
      <c r="H741" s="500"/>
      <c r="I741" s="500"/>
      <c r="J741" s="500"/>
      <c r="K741" s="500"/>
      <c r="L741" s="500"/>
      <c r="M741" s="500"/>
      <c r="N741" s="500"/>
      <c r="O741" s="500"/>
      <c r="P741" s="500"/>
      <c r="Q741" s="500"/>
      <c r="R741" s="500"/>
      <c r="S741" s="500"/>
      <c r="T741" s="500"/>
      <c r="U741" s="500"/>
      <c r="V741" s="500"/>
      <c r="W741" s="500"/>
      <c r="X741" s="500"/>
      <c r="Y741" s="500"/>
      <c r="Z741" s="501"/>
      <c r="AA741" s="501"/>
      <c r="AB741" s="501"/>
      <c r="AC741" s="501"/>
      <c r="AD741" s="500"/>
      <c r="AE741" s="500"/>
      <c r="AF741" s="503"/>
      <c r="AG741" s="503"/>
      <c r="AH741" s="504"/>
      <c r="AI741" s="500"/>
      <c r="AJ741" s="500"/>
      <c r="AK741" s="500"/>
      <c r="AL741" s="500"/>
      <c r="AM741" s="500"/>
      <c r="AN741" s="500"/>
      <c r="AO741" s="500"/>
      <c r="AP741" s="500"/>
      <c r="AQ741" s="500"/>
      <c r="AR741" s="500"/>
      <c r="AS741" s="500"/>
      <c r="AT741" s="500"/>
      <c r="AU741" s="500"/>
      <c r="AV741" s="500"/>
      <c r="AW741" s="500"/>
      <c r="AX741" s="500"/>
      <c r="AY741" s="500"/>
      <c r="AZ741" s="500"/>
      <c r="BA741" s="500"/>
      <c r="BB741" s="500"/>
      <c r="BC741" s="500"/>
      <c r="BD741" s="500"/>
      <c r="BE741" s="500"/>
      <c r="BF741" s="500"/>
      <c r="BG741" s="500"/>
      <c r="BH741" s="500"/>
      <c r="BI741" s="500"/>
      <c r="BJ741" s="500"/>
      <c r="BK741" s="500"/>
      <c r="BL741" s="500"/>
      <c r="BM741" s="500"/>
      <c r="BN741" s="500"/>
      <c r="BO741" s="500"/>
      <c r="BP741" s="500"/>
      <c r="BQ741" s="500"/>
      <c r="BR741" s="500"/>
      <c r="BS741" s="500"/>
      <c r="BT741" s="500"/>
      <c r="BU741" s="500"/>
      <c r="BV741" s="500"/>
    </row>
    <row r="742" ht="14.25" customHeight="1">
      <c r="A742" s="500"/>
      <c r="B742" s="500"/>
      <c r="C742" s="500"/>
      <c r="D742" s="500"/>
      <c r="E742" s="500"/>
      <c r="F742" s="500"/>
      <c r="G742" s="500"/>
      <c r="H742" s="500"/>
      <c r="I742" s="500"/>
      <c r="J742" s="500"/>
      <c r="K742" s="500"/>
      <c r="L742" s="500"/>
      <c r="M742" s="500"/>
      <c r="N742" s="500"/>
      <c r="O742" s="500"/>
      <c r="P742" s="500"/>
      <c r="Q742" s="500"/>
      <c r="R742" s="500"/>
      <c r="S742" s="500"/>
      <c r="T742" s="500"/>
      <c r="U742" s="500"/>
      <c r="V742" s="500"/>
      <c r="W742" s="500"/>
      <c r="X742" s="500"/>
      <c r="Y742" s="500"/>
      <c r="Z742" s="501"/>
      <c r="AA742" s="501"/>
      <c r="AB742" s="501"/>
      <c r="AC742" s="501"/>
      <c r="AD742" s="500"/>
      <c r="AE742" s="500"/>
      <c r="AF742" s="503"/>
      <c r="AG742" s="503"/>
      <c r="AH742" s="504"/>
      <c r="AI742" s="500"/>
      <c r="AJ742" s="500"/>
      <c r="AK742" s="500"/>
      <c r="AL742" s="500"/>
      <c r="AM742" s="500"/>
      <c r="AN742" s="500"/>
      <c r="AO742" s="500"/>
      <c r="AP742" s="500"/>
      <c r="AQ742" s="500"/>
      <c r="AR742" s="500"/>
      <c r="AS742" s="500"/>
      <c r="AT742" s="500"/>
      <c r="AU742" s="500"/>
      <c r="AV742" s="500"/>
      <c r="AW742" s="500"/>
      <c r="AX742" s="500"/>
      <c r="AY742" s="500"/>
      <c r="AZ742" s="500"/>
      <c r="BA742" s="500"/>
      <c r="BB742" s="500"/>
      <c r="BC742" s="500"/>
      <c r="BD742" s="500"/>
      <c r="BE742" s="500"/>
      <c r="BF742" s="500"/>
      <c r="BG742" s="500"/>
      <c r="BH742" s="500"/>
      <c r="BI742" s="500"/>
      <c r="BJ742" s="500"/>
      <c r="BK742" s="500"/>
      <c r="BL742" s="500"/>
      <c r="BM742" s="500"/>
      <c r="BN742" s="500"/>
      <c r="BO742" s="500"/>
      <c r="BP742" s="500"/>
      <c r="BQ742" s="500"/>
      <c r="BR742" s="500"/>
      <c r="BS742" s="500"/>
      <c r="BT742" s="500"/>
      <c r="BU742" s="500"/>
      <c r="BV742" s="500"/>
    </row>
    <row r="743" ht="14.25" customHeight="1">
      <c r="A743" s="500"/>
      <c r="B743" s="500"/>
      <c r="C743" s="500"/>
      <c r="D743" s="500"/>
      <c r="E743" s="500"/>
      <c r="F743" s="500"/>
      <c r="G743" s="500"/>
      <c r="H743" s="500"/>
      <c r="I743" s="500"/>
      <c r="J743" s="500"/>
      <c r="K743" s="500"/>
      <c r="L743" s="500"/>
      <c r="M743" s="500"/>
      <c r="N743" s="500"/>
      <c r="O743" s="500"/>
      <c r="P743" s="500"/>
      <c r="Q743" s="500"/>
      <c r="R743" s="500"/>
      <c r="S743" s="500"/>
      <c r="T743" s="500"/>
      <c r="U743" s="500"/>
      <c r="V743" s="500"/>
      <c r="W743" s="500"/>
      <c r="X743" s="500"/>
      <c r="Y743" s="500"/>
      <c r="Z743" s="501"/>
      <c r="AA743" s="501"/>
      <c r="AB743" s="501"/>
      <c r="AC743" s="501"/>
      <c r="AD743" s="500"/>
      <c r="AE743" s="500"/>
      <c r="AF743" s="503"/>
      <c r="AG743" s="503"/>
      <c r="AH743" s="504"/>
      <c r="AI743" s="500"/>
      <c r="AJ743" s="500"/>
      <c r="AK743" s="500"/>
      <c r="AL743" s="500"/>
      <c r="AM743" s="500"/>
      <c r="AN743" s="500"/>
      <c r="AO743" s="500"/>
      <c r="AP743" s="500"/>
      <c r="AQ743" s="500"/>
      <c r="AR743" s="500"/>
      <c r="AS743" s="500"/>
      <c r="AT743" s="500"/>
      <c r="AU743" s="500"/>
      <c r="AV743" s="500"/>
      <c r="AW743" s="500"/>
      <c r="AX743" s="500"/>
      <c r="AY743" s="500"/>
      <c r="AZ743" s="500"/>
      <c r="BA743" s="500"/>
      <c r="BB743" s="500"/>
      <c r="BC743" s="500"/>
      <c r="BD743" s="500"/>
      <c r="BE743" s="500"/>
      <c r="BF743" s="500"/>
      <c r="BG743" s="500"/>
      <c r="BH743" s="500"/>
      <c r="BI743" s="500"/>
      <c r="BJ743" s="500"/>
      <c r="BK743" s="500"/>
      <c r="BL743" s="500"/>
      <c r="BM743" s="500"/>
      <c r="BN743" s="500"/>
      <c r="BO743" s="500"/>
      <c r="BP743" s="500"/>
      <c r="BQ743" s="500"/>
      <c r="BR743" s="500"/>
      <c r="BS743" s="500"/>
      <c r="BT743" s="500"/>
      <c r="BU743" s="500"/>
      <c r="BV743" s="500"/>
    </row>
    <row r="744" ht="14.25" customHeight="1">
      <c r="A744" s="500"/>
      <c r="B744" s="500"/>
      <c r="C744" s="500"/>
      <c r="D744" s="500"/>
      <c r="E744" s="500"/>
      <c r="F744" s="500"/>
      <c r="G744" s="500"/>
      <c r="H744" s="500"/>
      <c r="I744" s="500"/>
      <c r="J744" s="500"/>
      <c r="K744" s="500"/>
      <c r="L744" s="500"/>
      <c r="M744" s="500"/>
      <c r="N744" s="500"/>
      <c r="O744" s="500"/>
      <c r="P744" s="500"/>
      <c r="Q744" s="500"/>
      <c r="R744" s="500"/>
      <c r="S744" s="500"/>
      <c r="T744" s="500"/>
      <c r="U744" s="500"/>
      <c r="V744" s="500"/>
      <c r="W744" s="500"/>
      <c r="X744" s="500"/>
      <c r="Y744" s="500"/>
      <c r="Z744" s="501"/>
      <c r="AA744" s="501"/>
      <c r="AB744" s="501"/>
      <c r="AC744" s="501"/>
      <c r="AD744" s="500"/>
      <c r="AE744" s="500"/>
      <c r="AF744" s="503"/>
      <c r="AG744" s="503"/>
      <c r="AH744" s="504"/>
      <c r="AI744" s="500"/>
      <c r="AJ744" s="500"/>
      <c r="AK744" s="500"/>
      <c r="AL744" s="500"/>
      <c r="AM744" s="500"/>
      <c r="AN744" s="500"/>
      <c r="AO744" s="500"/>
      <c r="AP744" s="500"/>
      <c r="AQ744" s="500"/>
      <c r="AR744" s="500"/>
      <c r="AS744" s="500"/>
      <c r="AT744" s="500"/>
      <c r="AU744" s="500"/>
      <c r="AV744" s="500"/>
      <c r="AW744" s="500"/>
      <c r="AX744" s="500"/>
      <c r="AY744" s="500"/>
      <c r="AZ744" s="500"/>
      <c r="BA744" s="500"/>
      <c r="BB744" s="500"/>
      <c r="BC744" s="500"/>
      <c r="BD744" s="500"/>
      <c r="BE744" s="500"/>
      <c r="BF744" s="500"/>
      <c r="BG744" s="500"/>
      <c r="BH744" s="500"/>
      <c r="BI744" s="500"/>
      <c r="BJ744" s="500"/>
      <c r="BK744" s="500"/>
      <c r="BL744" s="500"/>
      <c r="BM744" s="500"/>
      <c r="BN744" s="500"/>
      <c r="BO744" s="500"/>
      <c r="BP744" s="500"/>
      <c r="BQ744" s="500"/>
      <c r="BR744" s="500"/>
      <c r="BS744" s="500"/>
      <c r="BT744" s="500"/>
      <c r="BU744" s="500"/>
      <c r="BV744" s="500"/>
    </row>
    <row r="745" ht="14.25" customHeight="1">
      <c r="A745" s="500"/>
      <c r="B745" s="500"/>
      <c r="C745" s="500"/>
      <c r="D745" s="500"/>
      <c r="E745" s="500"/>
      <c r="F745" s="500"/>
      <c r="G745" s="500"/>
      <c r="H745" s="500"/>
      <c r="I745" s="500"/>
      <c r="J745" s="500"/>
      <c r="K745" s="500"/>
      <c r="L745" s="500"/>
      <c r="M745" s="500"/>
      <c r="N745" s="500"/>
      <c r="O745" s="500"/>
      <c r="P745" s="500"/>
      <c r="Q745" s="500"/>
      <c r="R745" s="500"/>
      <c r="S745" s="500"/>
      <c r="T745" s="500"/>
      <c r="U745" s="500"/>
      <c r="V745" s="500"/>
      <c r="W745" s="500"/>
      <c r="X745" s="500"/>
      <c r="Y745" s="500"/>
      <c r="Z745" s="501"/>
      <c r="AA745" s="501"/>
      <c r="AB745" s="501"/>
      <c r="AC745" s="501"/>
      <c r="AD745" s="500"/>
      <c r="AE745" s="500"/>
      <c r="AF745" s="503"/>
      <c r="AG745" s="503"/>
      <c r="AH745" s="504"/>
      <c r="AI745" s="500"/>
      <c r="AJ745" s="500"/>
      <c r="AK745" s="500"/>
      <c r="AL745" s="500"/>
      <c r="AM745" s="500"/>
      <c r="AN745" s="500"/>
      <c r="AO745" s="500"/>
      <c r="AP745" s="500"/>
      <c r="AQ745" s="500"/>
      <c r="AR745" s="500"/>
      <c r="AS745" s="500"/>
      <c r="AT745" s="500"/>
      <c r="AU745" s="500"/>
      <c r="AV745" s="500"/>
      <c r="AW745" s="500"/>
      <c r="AX745" s="500"/>
      <c r="AY745" s="500"/>
      <c r="AZ745" s="500"/>
      <c r="BA745" s="500"/>
      <c r="BB745" s="500"/>
      <c r="BC745" s="500"/>
      <c r="BD745" s="500"/>
      <c r="BE745" s="500"/>
      <c r="BF745" s="500"/>
      <c r="BG745" s="500"/>
      <c r="BH745" s="500"/>
      <c r="BI745" s="500"/>
      <c r="BJ745" s="500"/>
      <c r="BK745" s="500"/>
      <c r="BL745" s="500"/>
      <c r="BM745" s="500"/>
      <c r="BN745" s="500"/>
      <c r="BO745" s="500"/>
      <c r="BP745" s="500"/>
      <c r="BQ745" s="500"/>
      <c r="BR745" s="500"/>
      <c r="BS745" s="500"/>
      <c r="BT745" s="500"/>
      <c r="BU745" s="500"/>
      <c r="BV745" s="500"/>
    </row>
    <row r="746" ht="14.25" customHeight="1">
      <c r="A746" s="500"/>
      <c r="B746" s="500"/>
      <c r="C746" s="500"/>
      <c r="D746" s="500"/>
      <c r="E746" s="500"/>
      <c r="F746" s="500"/>
      <c r="G746" s="500"/>
      <c r="H746" s="500"/>
      <c r="I746" s="500"/>
      <c r="J746" s="500"/>
      <c r="K746" s="500"/>
      <c r="L746" s="500"/>
      <c r="M746" s="500"/>
      <c r="N746" s="500"/>
      <c r="O746" s="500"/>
      <c r="P746" s="500"/>
      <c r="Q746" s="500"/>
      <c r="R746" s="500"/>
      <c r="S746" s="500"/>
      <c r="T746" s="500"/>
      <c r="U746" s="500"/>
      <c r="V746" s="500"/>
      <c r="W746" s="500"/>
      <c r="X746" s="500"/>
      <c r="Y746" s="500"/>
      <c r="Z746" s="501"/>
      <c r="AA746" s="501"/>
      <c r="AB746" s="501"/>
      <c r="AC746" s="501"/>
      <c r="AD746" s="500"/>
      <c r="AE746" s="500"/>
      <c r="AF746" s="503"/>
      <c r="AG746" s="503"/>
      <c r="AH746" s="504"/>
      <c r="AI746" s="500"/>
      <c r="AJ746" s="500"/>
      <c r="AK746" s="500"/>
      <c r="AL746" s="500"/>
      <c r="AM746" s="500"/>
      <c r="AN746" s="500"/>
      <c r="AO746" s="500"/>
      <c r="AP746" s="500"/>
      <c r="AQ746" s="500"/>
      <c r="AR746" s="500"/>
      <c r="AS746" s="500"/>
      <c r="AT746" s="500"/>
      <c r="AU746" s="500"/>
      <c r="AV746" s="500"/>
      <c r="AW746" s="500"/>
      <c r="AX746" s="500"/>
      <c r="AY746" s="500"/>
      <c r="AZ746" s="500"/>
      <c r="BA746" s="500"/>
      <c r="BB746" s="500"/>
      <c r="BC746" s="500"/>
      <c r="BD746" s="500"/>
      <c r="BE746" s="500"/>
      <c r="BF746" s="500"/>
      <c r="BG746" s="500"/>
      <c r="BH746" s="500"/>
      <c r="BI746" s="500"/>
      <c r="BJ746" s="500"/>
      <c r="BK746" s="500"/>
      <c r="BL746" s="500"/>
      <c r="BM746" s="500"/>
      <c r="BN746" s="500"/>
      <c r="BO746" s="500"/>
      <c r="BP746" s="500"/>
      <c r="BQ746" s="500"/>
      <c r="BR746" s="500"/>
      <c r="BS746" s="500"/>
      <c r="BT746" s="500"/>
      <c r="BU746" s="500"/>
      <c r="BV746" s="500"/>
    </row>
    <row r="747" ht="14.25" customHeight="1">
      <c r="A747" s="500"/>
      <c r="B747" s="500"/>
      <c r="C747" s="500"/>
      <c r="D747" s="500"/>
      <c r="E747" s="500"/>
      <c r="F747" s="500"/>
      <c r="G747" s="500"/>
      <c r="H747" s="500"/>
      <c r="I747" s="500"/>
      <c r="J747" s="500"/>
      <c r="K747" s="500"/>
      <c r="L747" s="500"/>
      <c r="M747" s="500"/>
      <c r="N747" s="500"/>
      <c r="O747" s="500"/>
      <c r="P747" s="500"/>
      <c r="Q747" s="500"/>
      <c r="R747" s="500"/>
      <c r="S747" s="500"/>
      <c r="T747" s="500"/>
      <c r="U747" s="500"/>
      <c r="V747" s="500"/>
      <c r="W747" s="500"/>
      <c r="X747" s="500"/>
      <c r="Y747" s="500"/>
      <c r="Z747" s="501"/>
      <c r="AA747" s="501"/>
      <c r="AB747" s="501"/>
      <c r="AC747" s="501"/>
      <c r="AD747" s="500"/>
      <c r="AE747" s="500"/>
      <c r="AF747" s="503"/>
      <c r="AG747" s="503"/>
      <c r="AH747" s="504"/>
      <c r="AI747" s="500"/>
      <c r="AJ747" s="500"/>
      <c r="AK747" s="500"/>
      <c r="AL747" s="500"/>
      <c r="AM747" s="500"/>
      <c r="AN747" s="500"/>
      <c r="AO747" s="500"/>
      <c r="AP747" s="500"/>
      <c r="AQ747" s="500"/>
      <c r="AR747" s="500"/>
      <c r="AS747" s="500"/>
      <c r="AT747" s="500"/>
      <c r="AU747" s="500"/>
      <c r="AV747" s="500"/>
      <c r="AW747" s="500"/>
      <c r="AX747" s="500"/>
      <c r="AY747" s="500"/>
      <c r="AZ747" s="500"/>
      <c r="BA747" s="500"/>
      <c r="BB747" s="500"/>
      <c r="BC747" s="500"/>
      <c r="BD747" s="500"/>
      <c r="BE747" s="500"/>
      <c r="BF747" s="500"/>
      <c r="BG747" s="500"/>
      <c r="BH747" s="500"/>
      <c r="BI747" s="500"/>
      <c r="BJ747" s="500"/>
      <c r="BK747" s="500"/>
      <c r="BL747" s="500"/>
      <c r="BM747" s="500"/>
      <c r="BN747" s="500"/>
      <c r="BO747" s="500"/>
      <c r="BP747" s="500"/>
      <c r="BQ747" s="500"/>
      <c r="BR747" s="500"/>
      <c r="BS747" s="500"/>
      <c r="BT747" s="500"/>
      <c r="BU747" s="500"/>
      <c r="BV747" s="500"/>
    </row>
    <row r="748" ht="14.25" customHeight="1">
      <c r="A748" s="500"/>
      <c r="B748" s="500"/>
      <c r="C748" s="500"/>
      <c r="D748" s="500"/>
      <c r="E748" s="500"/>
      <c r="F748" s="500"/>
      <c r="G748" s="500"/>
      <c r="H748" s="500"/>
      <c r="I748" s="500"/>
      <c r="J748" s="500"/>
      <c r="K748" s="500"/>
      <c r="L748" s="500"/>
      <c r="M748" s="500"/>
      <c r="N748" s="500"/>
      <c r="O748" s="500"/>
      <c r="P748" s="500"/>
      <c r="Q748" s="500"/>
      <c r="R748" s="500"/>
      <c r="S748" s="500"/>
      <c r="T748" s="500"/>
      <c r="U748" s="500"/>
      <c r="V748" s="500"/>
      <c r="W748" s="500"/>
      <c r="X748" s="500"/>
      <c r="Y748" s="500"/>
      <c r="Z748" s="501"/>
      <c r="AA748" s="501"/>
      <c r="AB748" s="501"/>
      <c r="AC748" s="501"/>
      <c r="AD748" s="500"/>
      <c r="AE748" s="500"/>
      <c r="AF748" s="503"/>
      <c r="AG748" s="503"/>
      <c r="AH748" s="504"/>
      <c r="AI748" s="500"/>
      <c r="AJ748" s="500"/>
      <c r="AK748" s="500"/>
      <c r="AL748" s="500"/>
      <c r="AM748" s="500"/>
      <c r="AN748" s="500"/>
      <c r="AO748" s="500"/>
      <c r="AP748" s="500"/>
      <c r="AQ748" s="500"/>
      <c r="AR748" s="500"/>
      <c r="AS748" s="500"/>
      <c r="AT748" s="500"/>
      <c r="AU748" s="500"/>
      <c r="AV748" s="500"/>
      <c r="AW748" s="500"/>
      <c r="AX748" s="500"/>
      <c r="AY748" s="500"/>
      <c r="AZ748" s="500"/>
      <c r="BA748" s="500"/>
      <c r="BB748" s="500"/>
      <c r="BC748" s="500"/>
      <c r="BD748" s="500"/>
      <c r="BE748" s="500"/>
      <c r="BF748" s="500"/>
      <c r="BG748" s="500"/>
      <c r="BH748" s="500"/>
      <c r="BI748" s="500"/>
      <c r="BJ748" s="500"/>
      <c r="BK748" s="500"/>
      <c r="BL748" s="500"/>
      <c r="BM748" s="500"/>
      <c r="BN748" s="500"/>
      <c r="BO748" s="500"/>
      <c r="BP748" s="500"/>
      <c r="BQ748" s="500"/>
      <c r="BR748" s="500"/>
      <c r="BS748" s="500"/>
      <c r="BT748" s="500"/>
      <c r="BU748" s="500"/>
      <c r="BV748" s="500"/>
    </row>
    <row r="749" ht="14.25" customHeight="1">
      <c r="A749" s="500"/>
      <c r="B749" s="500"/>
      <c r="C749" s="500"/>
      <c r="D749" s="500"/>
      <c r="E749" s="500"/>
      <c r="F749" s="500"/>
      <c r="G749" s="500"/>
      <c r="H749" s="500"/>
      <c r="I749" s="500"/>
      <c r="J749" s="500"/>
      <c r="K749" s="500"/>
      <c r="L749" s="500"/>
      <c r="M749" s="500"/>
      <c r="N749" s="500"/>
      <c r="O749" s="500"/>
      <c r="P749" s="500"/>
      <c r="Q749" s="500"/>
      <c r="R749" s="500"/>
      <c r="S749" s="500"/>
      <c r="T749" s="500"/>
      <c r="U749" s="500"/>
      <c r="V749" s="500"/>
      <c r="W749" s="500"/>
      <c r="X749" s="500"/>
      <c r="Y749" s="500"/>
      <c r="Z749" s="501"/>
      <c r="AA749" s="501"/>
      <c r="AB749" s="501"/>
      <c r="AC749" s="501"/>
      <c r="AD749" s="500"/>
      <c r="AE749" s="500"/>
      <c r="AF749" s="503"/>
      <c r="AG749" s="503"/>
      <c r="AH749" s="504"/>
      <c r="AI749" s="500"/>
      <c r="AJ749" s="500"/>
      <c r="AK749" s="500"/>
      <c r="AL749" s="500"/>
      <c r="AM749" s="500"/>
      <c r="AN749" s="500"/>
      <c r="AO749" s="500"/>
      <c r="AP749" s="500"/>
      <c r="AQ749" s="500"/>
      <c r="AR749" s="500"/>
      <c r="AS749" s="500"/>
      <c r="AT749" s="500"/>
      <c r="AU749" s="500"/>
      <c r="AV749" s="500"/>
      <c r="AW749" s="500"/>
      <c r="AX749" s="500"/>
      <c r="AY749" s="500"/>
      <c r="AZ749" s="500"/>
      <c r="BA749" s="500"/>
      <c r="BB749" s="500"/>
      <c r="BC749" s="500"/>
      <c r="BD749" s="500"/>
      <c r="BE749" s="500"/>
      <c r="BF749" s="500"/>
      <c r="BG749" s="500"/>
      <c r="BH749" s="500"/>
      <c r="BI749" s="500"/>
      <c r="BJ749" s="500"/>
      <c r="BK749" s="500"/>
      <c r="BL749" s="500"/>
      <c r="BM749" s="500"/>
      <c r="BN749" s="500"/>
      <c r="BO749" s="500"/>
      <c r="BP749" s="500"/>
      <c r="BQ749" s="500"/>
      <c r="BR749" s="500"/>
      <c r="BS749" s="500"/>
      <c r="BT749" s="500"/>
      <c r="BU749" s="500"/>
      <c r="BV749" s="500"/>
    </row>
    <row r="750" ht="14.25" customHeight="1">
      <c r="A750" s="500"/>
      <c r="B750" s="500"/>
      <c r="C750" s="500"/>
      <c r="D750" s="500"/>
      <c r="E750" s="500"/>
      <c r="F750" s="500"/>
      <c r="G750" s="500"/>
      <c r="H750" s="500"/>
      <c r="I750" s="500"/>
      <c r="J750" s="500"/>
      <c r="K750" s="500"/>
      <c r="L750" s="500"/>
      <c r="M750" s="500"/>
      <c r="N750" s="500"/>
      <c r="O750" s="500"/>
      <c r="P750" s="500"/>
      <c r="Q750" s="500"/>
      <c r="R750" s="500"/>
      <c r="S750" s="500"/>
      <c r="T750" s="500"/>
      <c r="U750" s="500"/>
      <c r="V750" s="500"/>
      <c r="W750" s="500"/>
      <c r="X750" s="500"/>
      <c r="Y750" s="500"/>
      <c r="Z750" s="501"/>
      <c r="AA750" s="501"/>
      <c r="AB750" s="501"/>
      <c r="AC750" s="501"/>
      <c r="AD750" s="500"/>
      <c r="AE750" s="500"/>
      <c r="AF750" s="503"/>
      <c r="AG750" s="503"/>
      <c r="AH750" s="504"/>
      <c r="AI750" s="500"/>
      <c r="AJ750" s="500"/>
      <c r="AK750" s="500"/>
      <c r="AL750" s="500"/>
      <c r="AM750" s="500"/>
      <c r="AN750" s="500"/>
      <c r="AO750" s="500"/>
      <c r="AP750" s="500"/>
      <c r="AQ750" s="500"/>
      <c r="AR750" s="500"/>
      <c r="AS750" s="500"/>
      <c r="AT750" s="500"/>
      <c r="AU750" s="500"/>
      <c r="AV750" s="500"/>
      <c r="AW750" s="500"/>
      <c r="AX750" s="500"/>
      <c r="AY750" s="500"/>
      <c r="AZ750" s="500"/>
      <c r="BA750" s="500"/>
      <c r="BB750" s="500"/>
      <c r="BC750" s="500"/>
      <c r="BD750" s="500"/>
      <c r="BE750" s="500"/>
      <c r="BF750" s="500"/>
      <c r="BG750" s="500"/>
      <c r="BH750" s="500"/>
      <c r="BI750" s="500"/>
      <c r="BJ750" s="500"/>
      <c r="BK750" s="500"/>
      <c r="BL750" s="500"/>
      <c r="BM750" s="500"/>
      <c r="BN750" s="500"/>
      <c r="BO750" s="500"/>
      <c r="BP750" s="500"/>
      <c r="BQ750" s="500"/>
      <c r="BR750" s="500"/>
      <c r="BS750" s="500"/>
      <c r="BT750" s="500"/>
      <c r="BU750" s="500"/>
      <c r="BV750" s="500"/>
    </row>
    <row r="751" ht="14.25" customHeight="1">
      <c r="A751" s="500"/>
      <c r="B751" s="500"/>
      <c r="C751" s="500"/>
      <c r="D751" s="500"/>
      <c r="E751" s="500"/>
      <c r="F751" s="500"/>
      <c r="G751" s="500"/>
      <c r="H751" s="500"/>
      <c r="I751" s="500"/>
      <c r="J751" s="500"/>
      <c r="K751" s="500"/>
      <c r="L751" s="500"/>
      <c r="M751" s="500"/>
      <c r="N751" s="500"/>
      <c r="O751" s="500"/>
      <c r="P751" s="500"/>
      <c r="Q751" s="500"/>
      <c r="R751" s="500"/>
      <c r="S751" s="500"/>
      <c r="T751" s="500"/>
      <c r="U751" s="500"/>
      <c r="V751" s="500"/>
      <c r="W751" s="500"/>
      <c r="X751" s="500"/>
      <c r="Y751" s="500"/>
      <c r="Z751" s="501"/>
      <c r="AA751" s="501"/>
      <c r="AB751" s="501"/>
      <c r="AC751" s="501"/>
      <c r="AD751" s="500"/>
      <c r="AE751" s="500"/>
      <c r="AF751" s="503"/>
      <c r="AG751" s="503"/>
      <c r="AH751" s="504"/>
      <c r="AI751" s="500"/>
      <c r="AJ751" s="500"/>
      <c r="AK751" s="500"/>
      <c r="AL751" s="500"/>
      <c r="AM751" s="500"/>
      <c r="AN751" s="500"/>
      <c r="AO751" s="500"/>
      <c r="AP751" s="500"/>
      <c r="AQ751" s="500"/>
      <c r="AR751" s="500"/>
      <c r="AS751" s="500"/>
      <c r="AT751" s="500"/>
      <c r="AU751" s="500"/>
      <c r="AV751" s="500"/>
      <c r="AW751" s="500"/>
      <c r="AX751" s="500"/>
      <c r="AY751" s="500"/>
      <c r="AZ751" s="500"/>
      <c r="BA751" s="500"/>
      <c r="BB751" s="500"/>
      <c r="BC751" s="500"/>
      <c r="BD751" s="500"/>
      <c r="BE751" s="500"/>
      <c r="BF751" s="500"/>
      <c r="BG751" s="500"/>
      <c r="BH751" s="500"/>
      <c r="BI751" s="500"/>
      <c r="BJ751" s="500"/>
      <c r="BK751" s="500"/>
      <c r="BL751" s="500"/>
      <c r="BM751" s="500"/>
      <c r="BN751" s="500"/>
      <c r="BO751" s="500"/>
      <c r="BP751" s="500"/>
      <c r="BQ751" s="500"/>
      <c r="BR751" s="500"/>
      <c r="BS751" s="500"/>
      <c r="BT751" s="500"/>
      <c r="BU751" s="500"/>
      <c r="BV751" s="500"/>
    </row>
    <row r="752" ht="14.25" customHeight="1">
      <c r="A752" s="500"/>
      <c r="B752" s="500"/>
      <c r="C752" s="500"/>
      <c r="D752" s="500"/>
      <c r="E752" s="500"/>
      <c r="F752" s="500"/>
      <c r="G752" s="500"/>
      <c r="H752" s="500"/>
      <c r="I752" s="500"/>
      <c r="J752" s="500"/>
      <c r="K752" s="500"/>
      <c r="L752" s="500"/>
      <c r="M752" s="500"/>
      <c r="N752" s="500"/>
      <c r="O752" s="500"/>
      <c r="P752" s="500"/>
      <c r="Q752" s="500"/>
      <c r="R752" s="500"/>
      <c r="S752" s="500"/>
      <c r="T752" s="500"/>
      <c r="U752" s="500"/>
      <c r="V752" s="500"/>
      <c r="W752" s="500"/>
      <c r="X752" s="500"/>
      <c r="Y752" s="500"/>
      <c r="Z752" s="501"/>
      <c r="AA752" s="501"/>
      <c r="AB752" s="501"/>
      <c r="AC752" s="501"/>
      <c r="AD752" s="500"/>
      <c r="AE752" s="500"/>
      <c r="AF752" s="503"/>
      <c r="AG752" s="503"/>
      <c r="AH752" s="504"/>
      <c r="AI752" s="500"/>
      <c r="AJ752" s="500"/>
      <c r="AK752" s="500"/>
      <c r="AL752" s="500"/>
      <c r="AM752" s="500"/>
      <c r="AN752" s="500"/>
      <c r="AO752" s="500"/>
      <c r="AP752" s="500"/>
      <c r="AQ752" s="500"/>
      <c r="AR752" s="500"/>
      <c r="AS752" s="500"/>
      <c r="AT752" s="500"/>
      <c r="AU752" s="500"/>
      <c r="AV752" s="500"/>
      <c r="AW752" s="500"/>
      <c r="AX752" s="500"/>
      <c r="AY752" s="500"/>
      <c r="AZ752" s="500"/>
      <c r="BA752" s="500"/>
      <c r="BB752" s="500"/>
      <c r="BC752" s="500"/>
      <c r="BD752" s="500"/>
      <c r="BE752" s="500"/>
      <c r="BF752" s="500"/>
      <c r="BG752" s="500"/>
      <c r="BH752" s="500"/>
      <c r="BI752" s="500"/>
      <c r="BJ752" s="500"/>
      <c r="BK752" s="500"/>
      <c r="BL752" s="500"/>
      <c r="BM752" s="500"/>
      <c r="BN752" s="500"/>
      <c r="BO752" s="500"/>
      <c r="BP752" s="500"/>
      <c r="BQ752" s="500"/>
      <c r="BR752" s="500"/>
      <c r="BS752" s="500"/>
      <c r="BT752" s="500"/>
      <c r="BU752" s="500"/>
      <c r="BV752" s="500"/>
    </row>
    <row r="753" ht="14.25" customHeight="1">
      <c r="A753" s="500"/>
      <c r="B753" s="500"/>
      <c r="C753" s="500"/>
      <c r="D753" s="500"/>
      <c r="E753" s="500"/>
      <c r="F753" s="500"/>
      <c r="G753" s="500"/>
      <c r="H753" s="500"/>
      <c r="I753" s="500"/>
      <c r="J753" s="500"/>
      <c r="K753" s="500"/>
      <c r="L753" s="500"/>
      <c r="M753" s="500"/>
      <c r="N753" s="500"/>
      <c r="O753" s="500"/>
      <c r="P753" s="500"/>
      <c r="Q753" s="500"/>
      <c r="R753" s="500"/>
      <c r="S753" s="500"/>
      <c r="T753" s="500"/>
      <c r="U753" s="500"/>
      <c r="V753" s="500"/>
      <c r="W753" s="500"/>
      <c r="X753" s="500"/>
      <c r="Y753" s="500"/>
      <c r="Z753" s="501"/>
      <c r="AA753" s="501"/>
      <c r="AB753" s="501"/>
      <c r="AC753" s="501"/>
      <c r="AD753" s="500"/>
      <c r="AE753" s="500"/>
      <c r="AF753" s="503"/>
      <c r="AG753" s="503"/>
      <c r="AH753" s="504"/>
      <c r="AI753" s="500"/>
      <c r="AJ753" s="500"/>
      <c r="AK753" s="500"/>
      <c r="AL753" s="500"/>
      <c r="AM753" s="500"/>
      <c r="AN753" s="500"/>
      <c r="AO753" s="500"/>
      <c r="AP753" s="500"/>
      <c r="AQ753" s="500"/>
      <c r="AR753" s="500"/>
      <c r="AS753" s="500"/>
      <c r="AT753" s="500"/>
      <c r="AU753" s="500"/>
      <c r="AV753" s="500"/>
      <c r="AW753" s="500"/>
      <c r="AX753" s="500"/>
      <c r="AY753" s="500"/>
      <c r="AZ753" s="500"/>
      <c r="BA753" s="500"/>
      <c r="BB753" s="500"/>
      <c r="BC753" s="500"/>
      <c r="BD753" s="500"/>
      <c r="BE753" s="500"/>
      <c r="BF753" s="500"/>
      <c r="BG753" s="500"/>
      <c r="BH753" s="500"/>
      <c r="BI753" s="500"/>
      <c r="BJ753" s="500"/>
      <c r="BK753" s="500"/>
      <c r="BL753" s="500"/>
      <c r="BM753" s="500"/>
      <c r="BN753" s="500"/>
      <c r="BO753" s="500"/>
      <c r="BP753" s="500"/>
      <c r="BQ753" s="500"/>
      <c r="BR753" s="500"/>
      <c r="BS753" s="500"/>
      <c r="BT753" s="500"/>
      <c r="BU753" s="500"/>
      <c r="BV753" s="500"/>
    </row>
    <row r="754" ht="14.25" customHeight="1">
      <c r="A754" s="500"/>
      <c r="B754" s="500"/>
      <c r="C754" s="500"/>
      <c r="D754" s="500"/>
      <c r="E754" s="500"/>
      <c r="F754" s="500"/>
      <c r="G754" s="500"/>
      <c r="H754" s="500"/>
      <c r="I754" s="500"/>
      <c r="J754" s="500"/>
      <c r="K754" s="500"/>
      <c r="L754" s="500"/>
      <c r="M754" s="500"/>
      <c r="N754" s="500"/>
      <c r="O754" s="500"/>
      <c r="P754" s="500"/>
      <c r="Q754" s="500"/>
      <c r="R754" s="500"/>
      <c r="S754" s="500"/>
      <c r="T754" s="500"/>
      <c r="U754" s="500"/>
      <c r="V754" s="500"/>
      <c r="W754" s="500"/>
      <c r="X754" s="500"/>
      <c r="Y754" s="500"/>
      <c r="Z754" s="501"/>
      <c r="AA754" s="501"/>
      <c r="AB754" s="501"/>
      <c r="AC754" s="501"/>
      <c r="AD754" s="500"/>
      <c r="AE754" s="500"/>
      <c r="AF754" s="503"/>
      <c r="AG754" s="503"/>
      <c r="AH754" s="504"/>
      <c r="AI754" s="500"/>
      <c r="AJ754" s="500"/>
      <c r="AK754" s="500"/>
      <c r="AL754" s="500"/>
      <c r="AM754" s="500"/>
      <c r="AN754" s="500"/>
      <c r="AO754" s="500"/>
      <c r="AP754" s="500"/>
      <c r="AQ754" s="500"/>
      <c r="AR754" s="500"/>
      <c r="AS754" s="500"/>
      <c r="AT754" s="500"/>
      <c r="AU754" s="500"/>
      <c r="AV754" s="500"/>
      <c r="AW754" s="500"/>
      <c r="AX754" s="500"/>
      <c r="AY754" s="500"/>
      <c r="AZ754" s="500"/>
      <c r="BA754" s="500"/>
      <c r="BB754" s="500"/>
      <c r="BC754" s="500"/>
      <c r="BD754" s="500"/>
      <c r="BE754" s="500"/>
      <c r="BF754" s="500"/>
      <c r="BG754" s="500"/>
      <c r="BH754" s="500"/>
      <c r="BI754" s="500"/>
      <c r="BJ754" s="500"/>
      <c r="BK754" s="500"/>
      <c r="BL754" s="500"/>
      <c r="BM754" s="500"/>
      <c r="BN754" s="500"/>
      <c r="BO754" s="500"/>
      <c r="BP754" s="500"/>
      <c r="BQ754" s="500"/>
      <c r="BR754" s="500"/>
      <c r="BS754" s="500"/>
      <c r="BT754" s="500"/>
      <c r="BU754" s="500"/>
      <c r="BV754" s="500"/>
    </row>
    <row r="755" ht="14.25" customHeight="1">
      <c r="A755" s="500"/>
      <c r="B755" s="500"/>
      <c r="C755" s="500"/>
      <c r="D755" s="500"/>
      <c r="E755" s="500"/>
      <c r="F755" s="500"/>
      <c r="G755" s="500"/>
      <c r="H755" s="500"/>
      <c r="I755" s="500"/>
      <c r="J755" s="500"/>
      <c r="K755" s="500"/>
      <c r="L755" s="500"/>
      <c r="M755" s="500"/>
      <c r="N755" s="500"/>
      <c r="O755" s="500"/>
      <c r="P755" s="500"/>
      <c r="Q755" s="500"/>
      <c r="R755" s="500"/>
      <c r="S755" s="500"/>
      <c r="T755" s="500"/>
      <c r="U755" s="500"/>
      <c r="V755" s="500"/>
      <c r="W755" s="500"/>
      <c r="X755" s="500"/>
      <c r="Y755" s="500"/>
      <c r="Z755" s="501"/>
      <c r="AA755" s="501"/>
      <c r="AB755" s="501"/>
      <c r="AC755" s="501"/>
      <c r="AD755" s="500"/>
      <c r="AE755" s="500"/>
      <c r="AF755" s="503"/>
      <c r="AG755" s="503"/>
      <c r="AH755" s="504"/>
      <c r="AI755" s="500"/>
      <c r="AJ755" s="500"/>
      <c r="AK755" s="500"/>
      <c r="AL755" s="500"/>
      <c r="AM755" s="500"/>
      <c r="AN755" s="500"/>
      <c r="AO755" s="500"/>
      <c r="AP755" s="500"/>
      <c r="AQ755" s="500"/>
      <c r="AR755" s="500"/>
      <c r="AS755" s="500"/>
      <c r="AT755" s="500"/>
      <c r="AU755" s="500"/>
      <c r="AV755" s="500"/>
      <c r="AW755" s="500"/>
      <c r="AX755" s="500"/>
      <c r="AY755" s="500"/>
      <c r="AZ755" s="500"/>
      <c r="BA755" s="500"/>
      <c r="BB755" s="500"/>
      <c r="BC755" s="500"/>
      <c r="BD755" s="500"/>
      <c r="BE755" s="500"/>
      <c r="BF755" s="500"/>
      <c r="BG755" s="500"/>
      <c r="BH755" s="500"/>
      <c r="BI755" s="500"/>
      <c r="BJ755" s="500"/>
      <c r="BK755" s="500"/>
      <c r="BL755" s="500"/>
      <c r="BM755" s="500"/>
      <c r="BN755" s="500"/>
      <c r="BO755" s="500"/>
      <c r="BP755" s="500"/>
      <c r="BQ755" s="500"/>
      <c r="BR755" s="500"/>
      <c r="BS755" s="500"/>
      <c r="BT755" s="500"/>
      <c r="BU755" s="500"/>
      <c r="BV755" s="500"/>
    </row>
    <row r="756" ht="14.25" customHeight="1">
      <c r="A756" s="500"/>
      <c r="B756" s="500"/>
      <c r="C756" s="500"/>
      <c r="D756" s="500"/>
      <c r="E756" s="500"/>
      <c r="F756" s="500"/>
      <c r="G756" s="500"/>
      <c r="H756" s="500"/>
      <c r="I756" s="500"/>
      <c r="J756" s="500"/>
      <c r="K756" s="500"/>
      <c r="L756" s="500"/>
      <c r="M756" s="500"/>
      <c r="N756" s="500"/>
      <c r="O756" s="500"/>
      <c r="P756" s="500"/>
      <c r="Q756" s="500"/>
      <c r="R756" s="500"/>
      <c r="S756" s="500"/>
      <c r="T756" s="500"/>
      <c r="U756" s="500"/>
      <c r="V756" s="500"/>
      <c r="W756" s="500"/>
      <c r="X756" s="500"/>
      <c r="Y756" s="500"/>
      <c r="Z756" s="501"/>
      <c r="AA756" s="501"/>
      <c r="AB756" s="501"/>
      <c r="AC756" s="501"/>
      <c r="AD756" s="500"/>
      <c r="AE756" s="500"/>
      <c r="AF756" s="503"/>
      <c r="AG756" s="503"/>
      <c r="AH756" s="504"/>
      <c r="AI756" s="500"/>
      <c r="AJ756" s="500"/>
      <c r="AK756" s="500"/>
      <c r="AL756" s="500"/>
      <c r="AM756" s="500"/>
      <c r="AN756" s="500"/>
      <c r="AO756" s="500"/>
      <c r="AP756" s="500"/>
      <c r="AQ756" s="500"/>
      <c r="AR756" s="500"/>
      <c r="AS756" s="500"/>
      <c r="AT756" s="500"/>
      <c r="AU756" s="500"/>
      <c r="AV756" s="500"/>
      <c r="AW756" s="500"/>
      <c r="AX756" s="500"/>
      <c r="AY756" s="500"/>
      <c r="AZ756" s="500"/>
      <c r="BA756" s="500"/>
      <c r="BB756" s="500"/>
      <c r="BC756" s="500"/>
      <c r="BD756" s="500"/>
      <c r="BE756" s="500"/>
      <c r="BF756" s="500"/>
      <c r="BG756" s="500"/>
      <c r="BH756" s="500"/>
      <c r="BI756" s="500"/>
      <c r="BJ756" s="500"/>
      <c r="BK756" s="500"/>
      <c r="BL756" s="500"/>
      <c r="BM756" s="500"/>
      <c r="BN756" s="500"/>
      <c r="BO756" s="500"/>
      <c r="BP756" s="500"/>
      <c r="BQ756" s="500"/>
      <c r="BR756" s="500"/>
      <c r="BS756" s="500"/>
      <c r="BT756" s="500"/>
      <c r="BU756" s="500"/>
      <c r="BV756" s="500"/>
    </row>
    <row r="757" ht="14.25" customHeight="1">
      <c r="A757" s="500"/>
      <c r="B757" s="500"/>
      <c r="C757" s="500"/>
      <c r="D757" s="500"/>
      <c r="E757" s="500"/>
      <c r="F757" s="500"/>
      <c r="G757" s="500"/>
      <c r="H757" s="500"/>
      <c r="I757" s="500"/>
      <c r="J757" s="500"/>
      <c r="K757" s="500"/>
      <c r="L757" s="500"/>
      <c r="M757" s="500"/>
      <c r="N757" s="500"/>
      <c r="O757" s="500"/>
      <c r="P757" s="500"/>
      <c r="Q757" s="500"/>
      <c r="R757" s="500"/>
      <c r="S757" s="500"/>
      <c r="T757" s="500"/>
      <c r="U757" s="500"/>
      <c r="V757" s="500"/>
      <c r="W757" s="500"/>
      <c r="X757" s="500"/>
      <c r="Y757" s="500"/>
      <c r="Z757" s="501"/>
      <c r="AA757" s="501"/>
      <c r="AB757" s="501"/>
      <c r="AC757" s="501"/>
      <c r="AD757" s="500"/>
      <c r="AE757" s="500"/>
      <c r="AF757" s="503"/>
      <c r="AG757" s="503"/>
      <c r="AH757" s="504"/>
      <c r="AI757" s="500"/>
      <c r="AJ757" s="500"/>
      <c r="AK757" s="500"/>
      <c r="AL757" s="500"/>
      <c r="AM757" s="500"/>
      <c r="AN757" s="500"/>
      <c r="AO757" s="500"/>
      <c r="AP757" s="500"/>
      <c r="AQ757" s="500"/>
      <c r="AR757" s="500"/>
      <c r="AS757" s="500"/>
      <c r="AT757" s="500"/>
      <c r="AU757" s="500"/>
      <c r="AV757" s="500"/>
      <c r="AW757" s="500"/>
      <c r="AX757" s="500"/>
      <c r="AY757" s="500"/>
      <c r="AZ757" s="500"/>
      <c r="BA757" s="500"/>
      <c r="BB757" s="500"/>
      <c r="BC757" s="500"/>
      <c r="BD757" s="500"/>
      <c r="BE757" s="500"/>
      <c r="BF757" s="500"/>
      <c r="BG757" s="500"/>
      <c r="BH757" s="500"/>
      <c r="BI757" s="500"/>
      <c r="BJ757" s="500"/>
      <c r="BK757" s="500"/>
      <c r="BL757" s="500"/>
      <c r="BM757" s="500"/>
      <c r="BN757" s="500"/>
      <c r="BO757" s="500"/>
      <c r="BP757" s="500"/>
      <c r="BQ757" s="500"/>
      <c r="BR757" s="500"/>
      <c r="BS757" s="500"/>
      <c r="BT757" s="500"/>
      <c r="BU757" s="500"/>
      <c r="BV757" s="500"/>
    </row>
    <row r="758" ht="14.25" customHeight="1">
      <c r="A758" s="500"/>
      <c r="B758" s="500"/>
      <c r="C758" s="500"/>
      <c r="D758" s="500"/>
      <c r="E758" s="500"/>
      <c r="F758" s="500"/>
      <c r="G758" s="500"/>
      <c r="H758" s="500"/>
      <c r="I758" s="500"/>
      <c r="J758" s="500"/>
      <c r="K758" s="500"/>
      <c r="L758" s="500"/>
      <c r="M758" s="500"/>
      <c r="N758" s="500"/>
      <c r="O758" s="500"/>
      <c r="P758" s="500"/>
      <c r="Q758" s="500"/>
      <c r="R758" s="500"/>
      <c r="S758" s="500"/>
      <c r="T758" s="500"/>
      <c r="U758" s="500"/>
      <c r="V758" s="500"/>
      <c r="W758" s="500"/>
      <c r="X758" s="500"/>
      <c r="Y758" s="500"/>
      <c r="Z758" s="501"/>
      <c r="AA758" s="501"/>
      <c r="AB758" s="501"/>
      <c r="AC758" s="501"/>
      <c r="AD758" s="500"/>
      <c r="AE758" s="500"/>
      <c r="AF758" s="503"/>
      <c r="AG758" s="503"/>
      <c r="AH758" s="504"/>
      <c r="AI758" s="500"/>
      <c r="AJ758" s="500"/>
      <c r="AK758" s="500"/>
      <c r="AL758" s="500"/>
      <c r="AM758" s="500"/>
      <c r="AN758" s="500"/>
      <c r="AO758" s="500"/>
      <c r="AP758" s="500"/>
      <c r="AQ758" s="500"/>
      <c r="AR758" s="500"/>
      <c r="AS758" s="500"/>
      <c r="AT758" s="500"/>
      <c r="AU758" s="500"/>
      <c r="AV758" s="500"/>
      <c r="AW758" s="500"/>
      <c r="AX758" s="500"/>
      <c r="AY758" s="500"/>
      <c r="AZ758" s="500"/>
      <c r="BA758" s="500"/>
      <c r="BB758" s="500"/>
      <c r="BC758" s="500"/>
      <c r="BD758" s="500"/>
      <c r="BE758" s="500"/>
      <c r="BF758" s="500"/>
      <c r="BG758" s="500"/>
      <c r="BH758" s="500"/>
      <c r="BI758" s="500"/>
      <c r="BJ758" s="500"/>
      <c r="BK758" s="500"/>
      <c r="BL758" s="500"/>
      <c r="BM758" s="500"/>
      <c r="BN758" s="500"/>
      <c r="BO758" s="500"/>
      <c r="BP758" s="500"/>
      <c r="BQ758" s="500"/>
      <c r="BR758" s="500"/>
      <c r="BS758" s="500"/>
      <c r="BT758" s="500"/>
      <c r="BU758" s="500"/>
      <c r="BV758" s="500"/>
    </row>
    <row r="759" ht="14.25" customHeight="1">
      <c r="A759" s="500"/>
      <c r="B759" s="500"/>
      <c r="C759" s="500"/>
      <c r="D759" s="500"/>
      <c r="E759" s="500"/>
      <c r="F759" s="500"/>
      <c r="G759" s="500"/>
      <c r="H759" s="500"/>
      <c r="I759" s="500"/>
      <c r="J759" s="500"/>
      <c r="K759" s="500"/>
      <c r="L759" s="500"/>
      <c r="M759" s="500"/>
      <c r="N759" s="500"/>
      <c r="O759" s="500"/>
      <c r="P759" s="500"/>
      <c r="Q759" s="500"/>
      <c r="R759" s="500"/>
      <c r="S759" s="500"/>
      <c r="T759" s="500"/>
      <c r="U759" s="500"/>
      <c r="V759" s="500"/>
      <c r="W759" s="500"/>
      <c r="X759" s="500"/>
      <c r="Y759" s="500"/>
      <c r="Z759" s="501"/>
      <c r="AA759" s="501"/>
      <c r="AB759" s="501"/>
      <c r="AC759" s="501"/>
      <c r="AD759" s="500"/>
      <c r="AE759" s="500"/>
      <c r="AF759" s="503"/>
      <c r="AG759" s="503"/>
      <c r="AH759" s="504"/>
      <c r="AI759" s="500"/>
      <c r="AJ759" s="500"/>
      <c r="AK759" s="500"/>
      <c r="AL759" s="500"/>
      <c r="AM759" s="500"/>
      <c r="AN759" s="500"/>
      <c r="AO759" s="500"/>
      <c r="AP759" s="500"/>
      <c r="AQ759" s="500"/>
      <c r="AR759" s="500"/>
      <c r="AS759" s="500"/>
      <c r="AT759" s="500"/>
      <c r="AU759" s="500"/>
      <c r="AV759" s="500"/>
      <c r="AW759" s="500"/>
      <c r="AX759" s="500"/>
      <c r="AY759" s="500"/>
      <c r="AZ759" s="500"/>
      <c r="BA759" s="500"/>
      <c r="BB759" s="500"/>
      <c r="BC759" s="500"/>
      <c r="BD759" s="500"/>
      <c r="BE759" s="500"/>
      <c r="BF759" s="500"/>
      <c r="BG759" s="500"/>
      <c r="BH759" s="500"/>
      <c r="BI759" s="500"/>
      <c r="BJ759" s="500"/>
      <c r="BK759" s="500"/>
      <c r="BL759" s="500"/>
      <c r="BM759" s="500"/>
      <c r="BN759" s="500"/>
      <c r="BO759" s="500"/>
      <c r="BP759" s="500"/>
      <c r="BQ759" s="500"/>
      <c r="BR759" s="500"/>
      <c r="BS759" s="500"/>
      <c r="BT759" s="500"/>
      <c r="BU759" s="500"/>
      <c r="BV759" s="500"/>
    </row>
    <row r="760" ht="14.25" customHeight="1">
      <c r="A760" s="500"/>
      <c r="B760" s="500"/>
      <c r="C760" s="500"/>
      <c r="D760" s="500"/>
      <c r="E760" s="500"/>
      <c r="F760" s="500"/>
      <c r="G760" s="500"/>
      <c r="H760" s="500"/>
      <c r="I760" s="500"/>
      <c r="J760" s="500"/>
      <c r="K760" s="500"/>
      <c r="L760" s="500"/>
      <c r="M760" s="500"/>
      <c r="N760" s="500"/>
      <c r="O760" s="500"/>
      <c r="P760" s="500"/>
      <c r="Q760" s="500"/>
      <c r="R760" s="500"/>
      <c r="S760" s="500"/>
      <c r="T760" s="500"/>
      <c r="U760" s="500"/>
      <c r="V760" s="500"/>
      <c r="W760" s="500"/>
      <c r="X760" s="500"/>
      <c r="Y760" s="500"/>
      <c r="Z760" s="501"/>
      <c r="AA760" s="501"/>
      <c r="AB760" s="501"/>
      <c r="AC760" s="501"/>
      <c r="AD760" s="500"/>
      <c r="AE760" s="500"/>
      <c r="AF760" s="503"/>
      <c r="AG760" s="503"/>
      <c r="AH760" s="504"/>
      <c r="AI760" s="500"/>
      <c r="AJ760" s="500"/>
      <c r="AK760" s="500"/>
      <c r="AL760" s="500"/>
      <c r="AM760" s="500"/>
      <c r="AN760" s="500"/>
      <c r="AO760" s="500"/>
      <c r="AP760" s="500"/>
      <c r="AQ760" s="500"/>
      <c r="AR760" s="500"/>
      <c r="AS760" s="500"/>
      <c r="AT760" s="500"/>
      <c r="AU760" s="500"/>
      <c r="AV760" s="500"/>
      <c r="AW760" s="500"/>
      <c r="AX760" s="500"/>
      <c r="AY760" s="500"/>
      <c r="AZ760" s="500"/>
      <c r="BA760" s="500"/>
      <c r="BB760" s="500"/>
      <c r="BC760" s="500"/>
      <c r="BD760" s="500"/>
      <c r="BE760" s="500"/>
      <c r="BF760" s="500"/>
      <c r="BG760" s="500"/>
      <c r="BH760" s="500"/>
      <c r="BI760" s="500"/>
      <c r="BJ760" s="500"/>
      <c r="BK760" s="500"/>
      <c r="BL760" s="500"/>
      <c r="BM760" s="500"/>
      <c r="BN760" s="500"/>
      <c r="BO760" s="500"/>
      <c r="BP760" s="500"/>
      <c r="BQ760" s="500"/>
      <c r="BR760" s="500"/>
      <c r="BS760" s="500"/>
      <c r="BT760" s="500"/>
      <c r="BU760" s="500"/>
      <c r="BV760" s="500"/>
    </row>
    <row r="761" ht="14.25" customHeight="1">
      <c r="A761" s="500"/>
      <c r="B761" s="500"/>
      <c r="C761" s="500"/>
      <c r="D761" s="500"/>
      <c r="E761" s="500"/>
      <c r="F761" s="500"/>
      <c r="G761" s="500"/>
      <c r="H761" s="500"/>
      <c r="I761" s="500"/>
      <c r="J761" s="500"/>
      <c r="K761" s="500"/>
      <c r="L761" s="500"/>
      <c r="M761" s="500"/>
      <c r="N761" s="500"/>
      <c r="O761" s="500"/>
      <c r="P761" s="500"/>
      <c r="Q761" s="500"/>
      <c r="R761" s="500"/>
      <c r="S761" s="500"/>
      <c r="T761" s="500"/>
      <c r="U761" s="500"/>
      <c r="V761" s="500"/>
      <c r="W761" s="500"/>
      <c r="X761" s="500"/>
      <c r="Y761" s="500"/>
      <c r="Z761" s="501"/>
      <c r="AA761" s="501"/>
      <c r="AB761" s="501"/>
      <c r="AC761" s="501"/>
      <c r="AD761" s="500"/>
      <c r="AE761" s="500"/>
      <c r="AF761" s="503"/>
      <c r="AG761" s="503"/>
      <c r="AH761" s="504"/>
      <c r="AI761" s="500"/>
      <c r="AJ761" s="500"/>
      <c r="AK761" s="500"/>
      <c r="AL761" s="500"/>
      <c r="AM761" s="500"/>
      <c r="AN761" s="500"/>
      <c r="AO761" s="500"/>
      <c r="AP761" s="500"/>
      <c r="AQ761" s="500"/>
      <c r="AR761" s="500"/>
      <c r="AS761" s="500"/>
      <c r="AT761" s="500"/>
      <c r="AU761" s="500"/>
      <c r="AV761" s="500"/>
      <c r="AW761" s="500"/>
      <c r="AX761" s="500"/>
      <c r="AY761" s="500"/>
      <c r="AZ761" s="500"/>
      <c r="BA761" s="500"/>
      <c r="BB761" s="500"/>
      <c r="BC761" s="500"/>
      <c r="BD761" s="500"/>
      <c r="BE761" s="500"/>
      <c r="BF761" s="500"/>
      <c r="BG761" s="500"/>
      <c r="BH761" s="500"/>
      <c r="BI761" s="500"/>
      <c r="BJ761" s="500"/>
      <c r="BK761" s="500"/>
      <c r="BL761" s="500"/>
      <c r="BM761" s="500"/>
      <c r="BN761" s="500"/>
      <c r="BO761" s="500"/>
      <c r="BP761" s="500"/>
      <c r="BQ761" s="500"/>
      <c r="BR761" s="500"/>
      <c r="BS761" s="500"/>
      <c r="BT761" s="500"/>
      <c r="BU761" s="500"/>
      <c r="BV761" s="500"/>
    </row>
    <row r="762" ht="14.25" customHeight="1">
      <c r="A762" s="500"/>
      <c r="B762" s="500"/>
      <c r="C762" s="500"/>
      <c r="D762" s="500"/>
      <c r="E762" s="500"/>
      <c r="F762" s="500"/>
      <c r="G762" s="500"/>
      <c r="H762" s="500"/>
      <c r="I762" s="500"/>
      <c r="J762" s="500"/>
      <c r="K762" s="500"/>
      <c r="L762" s="500"/>
      <c r="M762" s="500"/>
      <c r="N762" s="500"/>
      <c r="O762" s="500"/>
      <c r="P762" s="500"/>
      <c r="Q762" s="500"/>
      <c r="R762" s="500"/>
      <c r="S762" s="500"/>
      <c r="T762" s="500"/>
      <c r="U762" s="500"/>
      <c r="V762" s="500"/>
      <c r="W762" s="500"/>
      <c r="X762" s="500"/>
      <c r="Y762" s="500"/>
      <c r="Z762" s="501"/>
      <c r="AA762" s="501"/>
      <c r="AB762" s="501"/>
      <c r="AC762" s="501"/>
      <c r="AD762" s="500"/>
      <c r="AE762" s="500"/>
      <c r="AF762" s="503"/>
      <c r="AG762" s="503"/>
      <c r="AH762" s="504"/>
      <c r="AI762" s="500"/>
      <c r="AJ762" s="500"/>
      <c r="AK762" s="500"/>
      <c r="AL762" s="500"/>
      <c r="AM762" s="500"/>
      <c r="AN762" s="500"/>
      <c r="AO762" s="500"/>
      <c r="AP762" s="500"/>
      <c r="AQ762" s="500"/>
      <c r="AR762" s="500"/>
      <c r="AS762" s="500"/>
      <c r="AT762" s="500"/>
      <c r="AU762" s="500"/>
      <c r="AV762" s="500"/>
      <c r="AW762" s="500"/>
      <c r="AX762" s="500"/>
      <c r="AY762" s="500"/>
      <c r="AZ762" s="500"/>
      <c r="BA762" s="500"/>
      <c r="BB762" s="500"/>
      <c r="BC762" s="500"/>
      <c r="BD762" s="500"/>
      <c r="BE762" s="500"/>
      <c r="BF762" s="500"/>
      <c r="BG762" s="500"/>
      <c r="BH762" s="500"/>
      <c r="BI762" s="500"/>
      <c r="BJ762" s="500"/>
      <c r="BK762" s="500"/>
      <c r="BL762" s="500"/>
      <c r="BM762" s="500"/>
      <c r="BN762" s="500"/>
      <c r="BO762" s="500"/>
      <c r="BP762" s="500"/>
      <c r="BQ762" s="500"/>
      <c r="BR762" s="500"/>
      <c r="BS762" s="500"/>
      <c r="BT762" s="500"/>
      <c r="BU762" s="500"/>
      <c r="BV762" s="500"/>
    </row>
    <row r="763" ht="14.25" customHeight="1">
      <c r="A763" s="500"/>
      <c r="B763" s="500"/>
      <c r="C763" s="500"/>
      <c r="D763" s="500"/>
      <c r="E763" s="500"/>
      <c r="F763" s="500"/>
      <c r="G763" s="500"/>
      <c r="H763" s="500"/>
      <c r="I763" s="500"/>
      <c r="J763" s="500"/>
      <c r="K763" s="500"/>
      <c r="L763" s="500"/>
      <c r="M763" s="500"/>
      <c r="N763" s="500"/>
      <c r="O763" s="500"/>
      <c r="P763" s="500"/>
      <c r="Q763" s="500"/>
      <c r="R763" s="500"/>
      <c r="S763" s="500"/>
      <c r="T763" s="500"/>
      <c r="U763" s="500"/>
      <c r="V763" s="500"/>
      <c r="W763" s="500"/>
      <c r="X763" s="500"/>
      <c r="Y763" s="500"/>
      <c r="Z763" s="501"/>
      <c r="AA763" s="501"/>
      <c r="AB763" s="501"/>
      <c r="AC763" s="501"/>
      <c r="AD763" s="500"/>
      <c r="AE763" s="500"/>
      <c r="AF763" s="503"/>
      <c r="AG763" s="503"/>
      <c r="AH763" s="504"/>
      <c r="AI763" s="500"/>
      <c r="AJ763" s="500"/>
      <c r="AK763" s="500"/>
      <c r="AL763" s="500"/>
      <c r="AM763" s="500"/>
      <c r="AN763" s="500"/>
      <c r="AO763" s="500"/>
      <c r="AP763" s="500"/>
      <c r="AQ763" s="500"/>
      <c r="AR763" s="500"/>
      <c r="AS763" s="500"/>
      <c r="AT763" s="500"/>
      <c r="AU763" s="500"/>
      <c r="AV763" s="500"/>
      <c r="AW763" s="500"/>
      <c r="AX763" s="500"/>
      <c r="AY763" s="500"/>
      <c r="AZ763" s="500"/>
      <c r="BA763" s="500"/>
      <c r="BB763" s="500"/>
      <c r="BC763" s="500"/>
      <c r="BD763" s="500"/>
      <c r="BE763" s="500"/>
      <c r="BF763" s="500"/>
      <c r="BG763" s="500"/>
      <c r="BH763" s="500"/>
      <c r="BI763" s="500"/>
      <c r="BJ763" s="500"/>
      <c r="BK763" s="500"/>
      <c r="BL763" s="500"/>
      <c r="BM763" s="500"/>
      <c r="BN763" s="500"/>
      <c r="BO763" s="500"/>
      <c r="BP763" s="500"/>
      <c r="BQ763" s="500"/>
      <c r="BR763" s="500"/>
      <c r="BS763" s="500"/>
      <c r="BT763" s="500"/>
      <c r="BU763" s="500"/>
      <c r="BV763" s="500"/>
    </row>
    <row r="764" ht="14.25" customHeight="1">
      <c r="A764" s="500"/>
      <c r="B764" s="500"/>
      <c r="C764" s="500"/>
      <c r="D764" s="500"/>
      <c r="E764" s="500"/>
      <c r="F764" s="500"/>
      <c r="G764" s="500"/>
      <c r="H764" s="500"/>
      <c r="I764" s="500"/>
      <c r="J764" s="500"/>
      <c r="K764" s="500"/>
      <c r="L764" s="500"/>
      <c r="M764" s="500"/>
      <c r="N764" s="500"/>
      <c r="O764" s="500"/>
      <c r="P764" s="500"/>
      <c r="Q764" s="500"/>
      <c r="R764" s="500"/>
      <c r="S764" s="500"/>
      <c r="T764" s="500"/>
      <c r="U764" s="500"/>
      <c r="V764" s="500"/>
      <c r="W764" s="500"/>
      <c r="X764" s="500"/>
      <c r="Y764" s="500"/>
      <c r="Z764" s="501"/>
      <c r="AA764" s="501"/>
      <c r="AB764" s="501"/>
      <c r="AC764" s="501"/>
      <c r="AD764" s="500"/>
      <c r="AE764" s="500"/>
      <c r="AF764" s="503"/>
      <c r="AG764" s="503"/>
      <c r="AH764" s="504"/>
      <c r="AI764" s="500"/>
      <c r="AJ764" s="500"/>
      <c r="AK764" s="500"/>
      <c r="AL764" s="500"/>
      <c r="AM764" s="500"/>
      <c r="AN764" s="500"/>
      <c r="AO764" s="500"/>
      <c r="AP764" s="500"/>
      <c r="AQ764" s="500"/>
      <c r="AR764" s="500"/>
      <c r="AS764" s="500"/>
      <c r="AT764" s="500"/>
      <c r="AU764" s="500"/>
      <c r="AV764" s="500"/>
      <c r="AW764" s="500"/>
      <c r="AX764" s="500"/>
      <c r="AY764" s="500"/>
      <c r="AZ764" s="500"/>
      <c r="BA764" s="500"/>
      <c r="BB764" s="500"/>
      <c r="BC764" s="500"/>
      <c r="BD764" s="500"/>
      <c r="BE764" s="500"/>
      <c r="BF764" s="500"/>
      <c r="BG764" s="500"/>
      <c r="BH764" s="500"/>
      <c r="BI764" s="500"/>
      <c r="BJ764" s="500"/>
      <c r="BK764" s="500"/>
      <c r="BL764" s="500"/>
      <c r="BM764" s="500"/>
      <c r="BN764" s="500"/>
      <c r="BO764" s="500"/>
      <c r="BP764" s="500"/>
      <c r="BQ764" s="500"/>
      <c r="BR764" s="500"/>
      <c r="BS764" s="500"/>
      <c r="BT764" s="500"/>
      <c r="BU764" s="500"/>
      <c r="BV764" s="500"/>
    </row>
    <row r="765" ht="14.25" customHeight="1">
      <c r="A765" s="500"/>
      <c r="B765" s="500"/>
      <c r="C765" s="500"/>
      <c r="D765" s="500"/>
      <c r="E765" s="500"/>
      <c r="F765" s="500"/>
      <c r="G765" s="500"/>
      <c r="H765" s="500"/>
      <c r="I765" s="500"/>
      <c r="J765" s="500"/>
      <c r="K765" s="500"/>
      <c r="L765" s="500"/>
      <c r="M765" s="500"/>
      <c r="N765" s="500"/>
      <c r="O765" s="500"/>
      <c r="P765" s="500"/>
      <c r="Q765" s="500"/>
      <c r="R765" s="500"/>
      <c r="S765" s="500"/>
      <c r="T765" s="500"/>
      <c r="U765" s="500"/>
      <c r="V765" s="500"/>
      <c r="W765" s="500"/>
      <c r="X765" s="500"/>
      <c r="Y765" s="500"/>
      <c r="Z765" s="501"/>
      <c r="AA765" s="501"/>
      <c r="AB765" s="501"/>
      <c r="AC765" s="501"/>
      <c r="AD765" s="500"/>
      <c r="AE765" s="500"/>
      <c r="AF765" s="503"/>
      <c r="AG765" s="503"/>
      <c r="AH765" s="504"/>
      <c r="AI765" s="500"/>
      <c r="AJ765" s="500"/>
      <c r="AK765" s="500"/>
      <c r="AL765" s="500"/>
      <c r="AM765" s="500"/>
      <c r="AN765" s="500"/>
      <c r="AO765" s="500"/>
      <c r="AP765" s="500"/>
      <c r="AQ765" s="500"/>
      <c r="AR765" s="500"/>
      <c r="AS765" s="500"/>
      <c r="AT765" s="500"/>
      <c r="AU765" s="500"/>
      <c r="AV765" s="500"/>
      <c r="AW765" s="500"/>
      <c r="AX765" s="500"/>
      <c r="AY765" s="500"/>
      <c r="AZ765" s="500"/>
      <c r="BA765" s="500"/>
      <c r="BB765" s="500"/>
      <c r="BC765" s="500"/>
      <c r="BD765" s="500"/>
      <c r="BE765" s="500"/>
      <c r="BF765" s="500"/>
      <c r="BG765" s="500"/>
      <c r="BH765" s="500"/>
      <c r="BI765" s="500"/>
      <c r="BJ765" s="500"/>
      <c r="BK765" s="500"/>
      <c r="BL765" s="500"/>
      <c r="BM765" s="500"/>
      <c r="BN765" s="500"/>
      <c r="BO765" s="500"/>
      <c r="BP765" s="500"/>
      <c r="BQ765" s="500"/>
      <c r="BR765" s="500"/>
      <c r="BS765" s="500"/>
      <c r="BT765" s="500"/>
      <c r="BU765" s="500"/>
      <c r="BV765" s="500"/>
    </row>
    <row r="766" ht="14.25" customHeight="1">
      <c r="A766" s="500"/>
      <c r="B766" s="500"/>
      <c r="C766" s="500"/>
      <c r="D766" s="500"/>
      <c r="E766" s="500"/>
      <c r="F766" s="500"/>
      <c r="G766" s="500"/>
      <c r="H766" s="500"/>
      <c r="I766" s="500"/>
      <c r="J766" s="500"/>
      <c r="K766" s="500"/>
      <c r="L766" s="500"/>
      <c r="M766" s="500"/>
      <c r="N766" s="500"/>
      <c r="O766" s="500"/>
      <c r="P766" s="500"/>
      <c r="Q766" s="500"/>
      <c r="R766" s="500"/>
      <c r="S766" s="500"/>
      <c r="T766" s="500"/>
      <c r="U766" s="500"/>
      <c r="V766" s="500"/>
      <c r="W766" s="500"/>
      <c r="X766" s="500"/>
      <c r="Y766" s="500"/>
      <c r="Z766" s="501"/>
      <c r="AA766" s="501"/>
      <c r="AB766" s="501"/>
      <c r="AC766" s="501"/>
      <c r="AD766" s="500"/>
      <c r="AE766" s="500"/>
      <c r="AF766" s="503"/>
      <c r="AG766" s="503"/>
      <c r="AH766" s="504"/>
      <c r="AI766" s="500"/>
      <c r="AJ766" s="500"/>
      <c r="AK766" s="500"/>
      <c r="AL766" s="500"/>
      <c r="AM766" s="500"/>
      <c r="AN766" s="500"/>
      <c r="AO766" s="500"/>
      <c r="AP766" s="500"/>
      <c r="AQ766" s="500"/>
      <c r="AR766" s="500"/>
      <c r="AS766" s="500"/>
      <c r="AT766" s="500"/>
      <c r="AU766" s="500"/>
      <c r="AV766" s="500"/>
      <c r="AW766" s="500"/>
      <c r="AX766" s="500"/>
      <c r="AY766" s="500"/>
      <c r="AZ766" s="500"/>
      <c r="BA766" s="500"/>
      <c r="BB766" s="500"/>
      <c r="BC766" s="500"/>
      <c r="BD766" s="500"/>
      <c r="BE766" s="500"/>
      <c r="BF766" s="500"/>
      <c r="BG766" s="500"/>
      <c r="BH766" s="500"/>
      <c r="BI766" s="500"/>
      <c r="BJ766" s="500"/>
      <c r="BK766" s="500"/>
      <c r="BL766" s="500"/>
      <c r="BM766" s="500"/>
      <c r="BN766" s="500"/>
      <c r="BO766" s="500"/>
      <c r="BP766" s="500"/>
      <c r="BQ766" s="500"/>
      <c r="BR766" s="500"/>
      <c r="BS766" s="500"/>
      <c r="BT766" s="500"/>
      <c r="BU766" s="500"/>
      <c r="BV766" s="500"/>
    </row>
    <row r="767" ht="14.25" customHeight="1">
      <c r="A767" s="500"/>
      <c r="B767" s="500"/>
      <c r="C767" s="500"/>
      <c r="D767" s="500"/>
      <c r="E767" s="500"/>
      <c r="F767" s="500"/>
      <c r="G767" s="500"/>
      <c r="H767" s="500"/>
      <c r="I767" s="500"/>
      <c r="J767" s="500"/>
      <c r="K767" s="500"/>
      <c r="L767" s="500"/>
      <c r="M767" s="500"/>
      <c r="N767" s="500"/>
      <c r="O767" s="500"/>
      <c r="P767" s="500"/>
      <c r="Q767" s="500"/>
      <c r="R767" s="500"/>
      <c r="S767" s="500"/>
      <c r="T767" s="500"/>
      <c r="U767" s="500"/>
      <c r="V767" s="500"/>
      <c r="W767" s="500"/>
      <c r="X767" s="500"/>
      <c r="Y767" s="500"/>
      <c r="Z767" s="501"/>
      <c r="AA767" s="501"/>
      <c r="AB767" s="501"/>
      <c r="AC767" s="501"/>
      <c r="AD767" s="500"/>
      <c r="AE767" s="500"/>
      <c r="AF767" s="503"/>
      <c r="AG767" s="503"/>
      <c r="AH767" s="504"/>
      <c r="AI767" s="500"/>
      <c r="AJ767" s="500"/>
      <c r="AK767" s="500"/>
      <c r="AL767" s="500"/>
      <c r="AM767" s="500"/>
      <c r="AN767" s="500"/>
      <c r="AO767" s="500"/>
      <c r="AP767" s="500"/>
      <c r="AQ767" s="500"/>
      <c r="AR767" s="500"/>
      <c r="AS767" s="500"/>
      <c r="AT767" s="500"/>
      <c r="AU767" s="500"/>
      <c r="AV767" s="500"/>
      <c r="AW767" s="500"/>
      <c r="AX767" s="500"/>
      <c r="AY767" s="500"/>
      <c r="AZ767" s="500"/>
      <c r="BA767" s="500"/>
      <c r="BB767" s="500"/>
      <c r="BC767" s="500"/>
      <c r="BD767" s="500"/>
      <c r="BE767" s="500"/>
      <c r="BF767" s="500"/>
      <c r="BG767" s="500"/>
      <c r="BH767" s="500"/>
      <c r="BI767" s="500"/>
      <c r="BJ767" s="500"/>
      <c r="BK767" s="500"/>
      <c r="BL767" s="500"/>
      <c r="BM767" s="500"/>
      <c r="BN767" s="500"/>
      <c r="BO767" s="500"/>
      <c r="BP767" s="500"/>
      <c r="BQ767" s="500"/>
      <c r="BR767" s="500"/>
      <c r="BS767" s="500"/>
      <c r="BT767" s="500"/>
      <c r="BU767" s="500"/>
      <c r="BV767" s="500"/>
    </row>
    <row r="768" ht="14.25" customHeight="1">
      <c r="A768" s="500"/>
      <c r="B768" s="500"/>
      <c r="C768" s="500"/>
      <c r="D768" s="500"/>
      <c r="E768" s="500"/>
      <c r="F768" s="500"/>
      <c r="G768" s="500"/>
      <c r="H768" s="500"/>
      <c r="I768" s="500"/>
      <c r="J768" s="500"/>
      <c r="K768" s="500"/>
      <c r="L768" s="500"/>
      <c r="M768" s="500"/>
      <c r="N768" s="500"/>
      <c r="O768" s="500"/>
      <c r="P768" s="500"/>
      <c r="Q768" s="500"/>
      <c r="R768" s="500"/>
      <c r="S768" s="500"/>
      <c r="T768" s="500"/>
      <c r="U768" s="500"/>
      <c r="V768" s="500"/>
      <c r="W768" s="500"/>
      <c r="X768" s="500"/>
      <c r="Y768" s="500"/>
      <c r="Z768" s="501"/>
      <c r="AA768" s="501"/>
      <c r="AB768" s="501"/>
      <c r="AC768" s="501"/>
      <c r="AD768" s="500"/>
      <c r="AE768" s="500"/>
      <c r="AF768" s="503"/>
      <c r="AG768" s="503"/>
      <c r="AH768" s="504"/>
      <c r="AI768" s="500"/>
      <c r="AJ768" s="500"/>
      <c r="AK768" s="500"/>
      <c r="AL768" s="500"/>
      <c r="AM768" s="500"/>
      <c r="AN768" s="500"/>
      <c r="AO768" s="500"/>
      <c r="AP768" s="500"/>
      <c r="AQ768" s="500"/>
      <c r="AR768" s="500"/>
      <c r="AS768" s="500"/>
      <c r="AT768" s="500"/>
      <c r="AU768" s="500"/>
      <c r="AV768" s="500"/>
      <c r="AW768" s="500"/>
      <c r="AX768" s="500"/>
      <c r="AY768" s="500"/>
      <c r="AZ768" s="500"/>
      <c r="BA768" s="500"/>
      <c r="BB768" s="500"/>
      <c r="BC768" s="500"/>
      <c r="BD768" s="500"/>
      <c r="BE768" s="500"/>
      <c r="BF768" s="500"/>
      <c r="BG768" s="500"/>
      <c r="BH768" s="500"/>
      <c r="BI768" s="500"/>
      <c r="BJ768" s="500"/>
      <c r="BK768" s="500"/>
      <c r="BL768" s="500"/>
      <c r="BM768" s="500"/>
      <c r="BN768" s="500"/>
      <c r="BO768" s="500"/>
      <c r="BP768" s="500"/>
      <c r="BQ768" s="500"/>
      <c r="BR768" s="500"/>
      <c r="BS768" s="500"/>
      <c r="BT768" s="500"/>
      <c r="BU768" s="500"/>
      <c r="BV768" s="500"/>
    </row>
    <row r="769" ht="14.25" customHeight="1">
      <c r="A769" s="500"/>
      <c r="B769" s="500"/>
      <c r="C769" s="500"/>
      <c r="D769" s="500"/>
      <c r="E769" s="500"/>
      <c r="F769" s="500"/>
      <c r="G769" s="500"/>
      <c r="H769" s="500"/>
      <c r="I769" s="500"/>
      <c r="J769" s="500"/>
      <c r="K769" s="500"/>
      <c r="L769" s="500"/>
      <c r="M769" s="500"/>
      <c r="N769" s="500"/>
      <c r="O769" s="500"/>
      <c r="P769" s="500"/>
      <c r="Q769" s="500"/>
      <c r="R769" s="500"/>
      <c r="S769" s="500"/>
      <c r="T769" s="500"/>
      <c r="U769" s="500"/>
      <c r="V769" s="500"/>
      <c r="W769" s="500"/>
      <c r="X769" s="500"/>
      <c r="Y769" s="500"/>
      <c r="Z769" s="501"/>
      <c r="AA769" s="501"/>
      <c r="AB769" s="501"/>
      <c r="AC769" s="501"/>
      <c r="AD769" s="500"/>
      <c r="AE769" s="500"/>
      <c r="AF769" s="503"/>
      <c r="AG769" s="503"/>
      <c r="AH769" s="504"/>
      <c r="AI769" s="500"/>
      <c r="AJ769" s="500"/>
      <c r="AK769" s="500"/>
      <c r="AL769" s="500"/>
      <c r="AM769" s="500"/>
      <c r="AN769" s="500"/>
      <c r="AO769" s="500"/>
      <c r="AP769" s="500"/>
      <c r="AQ769" s="500"/>
      <c r="AR769" s="500"/>
      <c r="AS769" s="500"/>
      <c r="AT769" s="500"/>
      <c r="AU769" s="500"/>
      <c r="AV769" s="500"/>
      <c r="AW769" s="500"/>
      <c r="AX769" s="500"/>
      <c r="AY769" s="500"/>
      <c r="AZ769" s="500"/>
      <c r="BA769" s="500"/>
      <c r="BB769" s="500"/>
      <c r="BC769" s="500"/>
      <c r="BD769" s="500"/>
      <c r="BE769" s="500"/>
      <c r="BF769" s="500"/>
      <c r="BG769" s="500"/>
      <c r="BH769" s="500"/>
      <c r="BI769" s="500"/>
      <c r="BJ769" s="500"/>
      <c r="BK769" s="500"/>
      <c r="BL769" s="500"/>
      <c r="BM769" s="500"/>
      <c r="BN769" s="500"/>
      <c r="BO769" s="500"/>
      <c r="BP769" s="500"/>
      <c r="BQ769" s="500"/>
      <c r="BR769" s="500"/>
      <c r="BS769" s="500"/>
      <c r="BT769" s="500"/>
      <c r="BU769" s="500"/>
      <c r="BV769" s="500"/>
    </row>
    <row r="770" ht="14.25" customHeight="1">
      <c r="A770" s="500"/>
      <c r="B770" s="500"/>
      <c r="C770" s="500"/>
      <c r="D770" s="500"/>
      <c r="E770" s="500"/>
      <c r="F770" s="500"/>
      <c r="G770" s="500"/>
      <c r="H770" s="500"/>
      <c r="I770" s="500"/>
      <c r="J770" s="500"/>
      <c r="K770" s="500"/>
      <c r="L770" s="500"/>
      <c r="M770" s="500"/>
      <c r="N770" s="500"/>
      <c r="O770" s="500"/>
      <c r="P770" s="500"/>
      <c r="Q770" s="500"/>
      <c r="R770" s="500"/>
      <c r="S770" s="500"/>
      <c r="T770" s="500"/>
      <c r="U770" s="500"/>
      <c r="V770" s="500"/>
      <c r="W770" s="500"/>
      <c r="X770" s="500"/>
      <c r="Y770" s="500"/>
      <c r="Z770" s="501"/>
      <c r="AA770" s="501"/>
      <c r="AB770" s="501"/>
      <c r="AC770" s="501"/>
      <c r="AD770" s="500"/>
      <c r="AE770" s="500"/>
      <c r="AF770" s="503"/>
      <c r="AG770" s="503"/>
      <c r="AH770" s="504"/>
      <c r="AI770" s="500"/>
      <c r="AJ770" s="500"/>
      <c r="AK770" s="500"/>
      <c r="AL770" s="500"/>
      <c r="AM770" s="500"/>
      <c r="AN770" s="500"/>
      <c r="AO770" s="500"/>
      <c r="AP770" s="500"/>
      <c r="AQ770" s="500"/>
      <c r="AR770" s="500"/>
      <c r="AS770" s="500"/>
      <c r="AT770" s="500"/>
      <c r="AU770" s="500"/>
      <c r="AV770" s="500"/>
      <c r="AW770" s="500"/>
      <c r="AX770" s="500"/>
      <c r="AY770" s="500"/>
      <c r="AZ770" s="500"/>
      <c r="BA770" s="500"/>
      <c r="BB770" s="500"/>
      <c r="BC770" s="500"/>
      <c r="BD770" s="500"/>
      <c r="BE770" s="500"/>
      <c r="BF770" s="500"/>
      <c r="BG770" s="500"/>
      <c r="BH770" s="500"/>
      <c r="BI770" s="500"/>
      <c r="BJ770" s="500"/>
      <c r="BK770" s="500"/>
      <c r="BL770" s="500"/>
      <c r="BM770" s="500"/>
      <c r="BN770" s="500"/>
      <c r="BO770" s="500"/>
      <c r="BP770" s="500"/>
      <c r="BQ770" s="500"/>
      <c r="BR770" s="500"/>
      <c r="BS770" s="500"/>
      <c r="BT770" s="500"/>
      <c r="BU770" s="500"/>
      <c r="BV770" s="500"/>
    </row>
    <row r="771" ht="14.25" customHeight="1">
      <c r="A771" s="500"/>
      <c r="B771" s="500"/>
      <c r="C771" s="500"/>
      <c r="D771" s="500"/>
      <c r="E771" s="500"/>
      <c r="F771" s="500"/>
      <c r="G771" s="500"/>
      <c r="H771" s="500"/>
      <c r="I771" s="500"/>
      <c r="J771" s="500"/>
      <c r="K771" s="500"/>
      <c r="L771" s="500"/>
      <c r="M771" s="500"/>
      <c r="N771" s="500"/>
      <c r="O771" s="500"/>
      <c r="P771" s="500"/>
      <c r="Q771" s="500"/>
      <c r="R771" s="500"/>
      <c r="S771" s="500"/>
      <c r="T771" s="500"/>
      <c r="U771" s="500"/>
      <c r="V771" s="500"/>
      <c r="W771" s="500"/>
      <c r="X771" s="500"/>
      <c r="Y771" s="500"/>
      <c r="Z771" s="501"/>
      <c r="AA771" s="501"/>
      <c r="AB771" s="501"/>
      <c r="AC771" s="501"/>
      <c r="AD771" s="500"/>
      <c r="AE771" s="500"/>
      <c r="AF771" s="503"/>
      <c r="AG771" s="503"/>
      <c r="AH771" s="504"/>
      <c r="AI771" s="500"/>
      <c r="AJ771" s="500"/>
      <c r="AK771" s="500"/>
      <c r="AL771" s="500"/>
      <c r="AM771" s="500"/>
      <c r="AN771" s="500"/>
      <c r="AO771" s="500"/>
      <c r="AP771" s="500"/>
      <c r="AQ771" s="500"/>
      <c r="AR771" s="500"/>
      <c r="AS771" s="500"/>
      <c r="AT771" s="500"/>
      <c r="AU771" s="500"/>
      <c r="AV771" s="500"/>
      <c r="AW771" s="500"/>
      <c r="AX771" s="500"/>
      <c r="AY771" s="500"/>
      <c r="AZ771" s="500"/>
      <c r="BA771" s="500"/>
      <c r="BB771" s="500"/>
      <c r="BC771" s="500"/>
      <c r="BD771" s="500"/>
      <c r="BE771" s="500"/>
      <c r="BF771" s="500"/>
      <c r="BG771" s="500"/>
      <c r="BH771" s="500"/>
      <c r="BI771" s="500"/>
      <c r="BJ771" s="500"/>
      <c r="BK771" s="500"/>
      <c r="BL771" s="500"/>
      <c r="BM771" s="500"/>
      <c r="BN771" s="500"/>
      <c r="BO771" s="500"/>
      <c r="BP771" s="500"/>
      <c r="BQ771" s="500"/>
      <c r="BR771" s="500"/>
      <c r="BS771" s="500"/>
      <c r="BT771" s="500"/>
      <c r="BU771" s="500"/>
      <c r="BV771" s="500"/>
    </row>
    <row r="772" ht="14.25" customHeight="1">
      <c r="A772" s="500"/>
      <c r="B772" s="500"/>
      <c r="C772" s="500"/>
      <c r="D772" s="500"/>
      <c r="E772" s="500"/>
      <c r="F772" s="500"/>
      <c r="G772" s="500"/>
      <c r="H772" s="500"/>
      <c r="I772" s="500"/>
      <c r="J772" s="500"/>
      <c r="K772" s="500"/>
      <c r="L772" s="500"/>
      <c r="M772" s="500"/>
      <c r="N772" s="500"/>
      <c r="O772" s="500"/>
      <c r="P772" s="500"/>
      <c r="Q772" s="500"/>
      <c r="R772" s="500"/>
      <c r="S772" s="500"/>
      <c r="T772" s="500"/>
      <c r="U772" s="500"/>
      <c r="V772" s="500"/>
      <c r="W772" s="500"/>
      <c r="X772" s="500"/>
      <c r="Y772" s="500"/>
      <c r="Z772" s="501"/>
      <c r="AA772" s="501"/>
      <c r="AB772" s="501"/>
      <c r="AC772" s="501"/>
      <c r="AD772" s="500"/>
      <c r="AE772" s="500"/>
      <c r="AF772" s="503"/>
      <c r="AG772" s="503"/>
      <c r="AH772" s="504"/>
      <c r="AI772" s="500"/>
      <c r="AJ772" s="500"/>
      <c r="AK772" s="500"/>
      <c r="AL772" s="500"/>
      <c r="AM772" s="500"/>
      <c r="AN772" s="500"/>
      <c r="AO772" s="500"/>
      <c r="AP772" s="500"/>
      <c r="AQ772" s="500"/>
      <c r="AR772" s="500"/>
      <c r="AS772" s="500"/>
      <c r="AT772" s="500"/>
      <c r="AU772" s="500"/>
      <c r="AV772" s="500"/>
      <c r="AW772" s="500"/>
      <c r="AX772" s="500"/>
      <c r="AY772" s="500"/>
      <c r="AZ772" s="500"/>
      <c r="BA772" s="500"/>
      <c r="BB772" s="500"/>
      <c r="BC772" s="500"/>
      <c r="BD772" s="500"/>
      <c r="BE772" s="500"/>
      <c r="BF772" s="500"/>
      <c r="BG772" s="500"/>
      <c r="BH772" s="500"/>
      <c r="BI772" s="500"/>
      <c r="BJ772" s="500"/>
      <c r="BK772" s="500"/>
      <c r="BL772" s="500"/>
      <c r="BM772" s="500"/>
      <c r="BN772" s="500"/>
      <c r="BO772" s="500"/>
      <c r="BP772" s="500"/>
      <c r="BQ772" s="500"/>
      <c r="BR772" s="500"/>
      <c r="BS772" s="500"/>
      <c r="BT772" s="500"/>
      <c r="BU772" s="500"/>
      <c r="BV772" s="500"/>
    </row>
    <row r="773" ht="14.25" customHeight="1">
      <c r="A773" s="500"/>
      <c r="B773" s="500"/>
      <c r="C773" s="500"/>
      <c r="D773" s="500"/>
      <c r="E773" s="500"/>
      <c r="F773" s="500"/>
      <c r="G773" s="500"/>
      <c r="H773" s="500"/>
      <c r="I773" s="500"/>
      <c r="J773" s="500"/>
      <c r="K773" s="500"/>
      <c r="L773" s="500"/>
      <c r="M773" s="500"/>
      <c r="N773" s="500"/>
      <c r="O773" s="500"/>
      <c r="P773" s="500"/>
      <c r="Q773" s="500"/>
      <c r="R773" s="500"/>
      <c r="S773" s="500"/>
      <c r="T773" s="500"/>
      <c r="U773" s="500"/>
      <c r="V773" s="500"/>
      <c r="W773" s="500"/>
      <c r="X773" s="500"/>
      <c r="Y773" s="500"/>
      <c r="Z773" s="501"/>
      <c r="AA773" s="501"/>
      <c r="AB773" s="501"/>
      <c r="AC773" s="501"/>
      <c r="AD773" s="500"/>
      <c r="AE773" s="500"/>
      <c r="AF773" s="503"/>
      <c r="AG773" s="503"/>
      <c r="AH773" s="504"/>
      <c r="AI773" s="500"/>
      <c r="AJ773" s="500"/>
      <c r="AK773" s="500"/>
      <c r="AL773" s="500"/>
      <c r="AM773" s="500"/>
      <c r="AN773" s="500"/>
      <c r="AO773" s="500"/>
      <c r="AP773" s="500"/>
      <c r="AQ773" s="500"/>
      <c r="AR773" s="500"/>
      <c r="AS773" s="500"/>
      <c r="AT773" s="500"/>
      <c r="AU773" s="500"/>
      <c r="AV773" s="500"/>
      <c r="AW773" s="500"/>
      <c r="AX773" s="500"/>
      <c r="AY773" s="500"/>
      <c r="AZ773" s="500"/>
      <c r="BA773" s="500"/>
      <c r="BB773" s="500"/>
      <c r="BC773" s="500"/>
      <c r="BD773" s="500"/>
      <c r="BE773" s="500"/>
      <c r="BF773" s="500"/>
      <c r="BG773" s="500"/>
      <c r="BH773" s="500"/>
      <c r="BI773" s="500"/>
      <c r="BJ773" s="500"/>
      <c r="BK773" s="500"/>
      <c r="BL773" s="500"/>
      <c r="BM773" s="500"/>
      <c r="BN773" s="500"/>
      <c r="BO773" s="500"/>
      <c r="BP773" s="500"/>
      <c r="BQ773" s="500"/>
      <c r="BR773" s="500"/>
      <c r="BS773" s="500"/>
      <c r="BT773" s="500"/>
      <c r="BU773" s="500"/>
      <c r="BV773" s="500"/>
    </row>
    <row r="774" ht="14.25" customHeight="1">
      <c r="A774" s="500"/>
      <c r="B774" s="500"/>
      <c r="C774" s="500"/>
      <c r="D774" s="500"/>
      <c r="E774" s="500"/>
      <c r="F774" s="500"/>
      <c r="G774" s="500"/>
      <c r="H774" s="500"/>
      <c r="I774" s="500"/>
      <c r="J774" s="500"/>
      <c r="K774" s="500"/>
      <c r="L774" s="500"/>
      <c r="M774" s="500"/>
      <c r="N774" s="500"/>
      <c r="O774" s="500"/>
      <c r="P774" s="500"/>
      <c r="Q774" s="500"/>
      <c r="R774" s="500"/>
      <c r="S774" s="500"/>
      <c r="T774" s="500"/>
      <c r="U774" s="500"/>
      <c r="V774" s="500"/>
      <c r="W774" s="500"/>
      <c r="X774" s="500"/>
      <c r="Y774" s="500"/>
      <c r="Z774" s="501"/>
      <c r="AA774" s="501"/>
      <c r="AB774" s="501"/>
      <c r="AC774" s="501"/>
      <c r="AD774" s="500"/>
      <c r="AE774" s="500"/>
      <c r="AF774" s="503"/>
      <c r="AG774" s="503"/>
      <c r="AH774" s="504"/>
      <c r="AI774" s="500"/>
      <c r="AJ774" s="500"/>
      <c r="AK774" s="500"/>
      <c r="AL774" s="500"/>
      <c r="AM774" s="500"/>
      <c r="AN774" s="500"/>
      <c r="AO774" s="500"/>
      <c r="AP774" s="500"/>
      <c r="AQ774" s="500"/>
      <c r="AR774" s="500"/>
      <c r="AS774" s="500"/>
      <c r="AT774" s="500"/>
      <c r="AU774" s="500"/>
      <c r="AV774" s="500"/>
      <c r="AW774" s="500"/>
      <c r="AX774" s="500"/>
      <c r="AY774" s="500"/>
      <c r="AZ774" s="500"/>
      <c r="BA774" s="500"/>
      <c r="BB774" s="500"/>
      <c r="BC774" s="500"/>
      <c r="BD774" s="500"/>
      <c r="BE774" s="500"/>
      <c r="BF774" s="500"/>
      <c r="BG774" s="500"/>
      <c r="BH774" s="500"/>
      <c r="BI774" s="500"/>
      <c r="BJ774" s="500"/>
      <c r="BK774" s="500"/>
      <c r="BL774" s="500"/>
      <c r="BM774" s="500"/>
      <c r="BN774" s="500"/>
      <c r="BO774" s="500"/>
      <c r="BP774" s="500"/>
      <c r="BQ774" s="500"/>
      <c r="BR774" s="500"/>
      <c r="BS774" s="500"/>
      <c r="BT774" s="500"/>
      <c r="BU774" s="500"/>
      <c r="BV774" s="500"/>
    </row>
    <row r="775" ht="14.25" customHeight="1">
      <c r="A775" s="500"/>
      <c r="B775" s="500"/>
      <c r="C775" s="500"/>
      <c r="D775" s="500"/>
      <c r="E775" s="500"/>
      <c r="F775" s="500"/>
      <c r="G775" s="500"/>
      <c r="H775" s="500"/>
      <c r="I775" s="500"/>
      <c r="J775" s="500"/>
      <c r="K775" s="500"/>
      <c r="L775" s="500"/>
      <c r="M775" s="500"/>
      <c r="N775" s="500"/>
      <c r="O775" s="500"/>
      <c r="P775" s="500"/>
      <c r="Q775" s="500"/>
      <c r="R775" s="500"/>
      <c r="S775" s="500"/>
      <c r="T775" s="500"/>
      <c r="U775" s="500"/>
      <c r="V775" s="500"/>
      <c r="W775" s="500"/>
      <c r="X775" s="500"/>
      <c r="Y775" s="500"/>
      <c r="Z775" s="501"/>
      <c r="AA775" s="501"/>
      <c r="AB775" s="501"/>
      <c r="AC775" s="501"/>
      <c r="AD775" s="500"/>
      <c r="AE775" s="500"/>
      <c r="AF775" s="503"/>
      <c r="AG775" s="503"/>
      <c r="AH775" s="504"/>
      <c r="AI775" s="500"/>
      <c r="AJ775" s="500"/>
      <c r="AK775" s="500"/>
      <c r="AL775" s="500"/>
      <c r="AM775" s="500"/>
      <c r="AN775" s="500"/>
      <c r="AO775" s="500"/>
      <c r="AP775" s="500"/>
      <c r="AQ775" s="500"/>
      <c r="AR775" s="500"/>
      <c r="AS775" s="500"/>
      <c r="AT775" s="500"/>
      <c r="AU775" s="500"/>
      <c r="AV775" s="500"/>
      <c r="AW775" s="500"/>
      <c r="AX775" s="500"/>
      <c r="AY775" s="500"/>
      <c r="AZ775" s="500"/>
      <c r="BA775" s="500"/>
      <c r="BB775" s="500"/>
      <c r="BC775" s="500"/>
      <c r="BD775" s="500"/>
      <c r="BE775" s="500"/>
      <c r="BF775" s="500"/>
      <c r="BG775" s="500"/>
      <c r="BH775" s="500"/>
      <c r="BI775" s="500"/>
      <c r="BJ775" s="500"/>
      <c r="BK775" s="500"/>
      <c r="BL775" s="500"/>
      <c r="BM775" s="500"/>
      <c r="BN775" s="500"/>
      <c r="BO775" s="500"/>
      <c r="BP775" s="500"/>
      <c r="BQ775" s="500"/>
      <c r="BR775" s="500"/>
      <c r="BS775" s="500"/>
      <c r="BT775" s="500"/>
      <c r="BU775" s="500"/>
      <c r="BV775" s="500"/>
    </row>
    <row r="776" ht="14.25" customHeight="1">
      <c r="A776" s="500"/>
      <c r="B776" s="500"/>
      <c r="C776" s="500"/>
      <c r="D776" s="500"/>
      <c r="E776" s="500"/>
      <c r="F776" s="500"/>
      <c r="G776" s="500"/>
      <c r="H776" s="500"/>
      <c r="I776" s="500"/>
      <c r="J776" s="500"/>
      <c r="K776" s="500"/>
      <c r="L776" s="500"/>
      <c r="M776" s="500"/>
      <c r="N776" s="500"/>
      <c r="O776" s="500"/>
      <c r="P776" s="500"/>
      <c r="Q776" s="500"/>
      <c r="R776" s="500"/>
      <c r="S776" s="500"/>
      <c r="T776" s="500"/>
      <c r="U776" s="500"/>
      <c r="V776" s="500"/>
      <c r="W776" s="500"/>
      <c r="X776" s="500"/>
      <c r="Y776" s="500"/>
      <c r="Z776" s="501"/>
      <c r="AA776" s="501"/>
      <c r="AB776" s="501"/>
      <c r="AC776" s="501"/>
      <c r="AD776" s="500"/>
      <c r="AE776" s="500"/>
      <c r="AF776" s="503"/>
      <c r="AG776" s="503"/>
      <c r="AH776" s="504"/>
      <c r="AI776" s="500"/>
      <c r="AJ776" s="500"/>
      <c r="AK776" s="500"/>
      <c r="AL776" s="500"/>
      <c r="AM776" s="500"/>
      <c r="AN776" s="500"/>
      <c r="AO776" s="500"/>
      <c r="AP776" s="500"/>
      <c r="AQ776" s="500"/>
      <c r="AR776" s="500"/>
      <c r="AS776" s="500"/>
      <c r="AT776" s="500"/>
      <c r="AU776" s="500"/>
      <c r="AV776" s="500"/>
      <c r="AW776" s="500"/>
      <c r="AX776" s="500"/>
      <c r="AY776" s="500"/>
      <c r="AZ776" s="500"/>
      <c r="BA776" s="500"/>
      <c r="BB776" s="500"/>
      <c r="BC776" s="500"/>
      <c r="BD776" s="500"/>
      <c r="BE776" s="500"/>
      <c r="BF776" s="500"/>
      <c r="BG776" s="500"/>
      <c r="BH776" s="500"/>
      <c r="BI776" s="500"/>
      <c r="BJ776" s="500"/>
      <c r="BK776" s="500"/>
      <c r="BL776" s="500"/>
      <c r="BM776" s="500"/>
      <c r="BN776" s="500"/>
      <c r="BO776" s="500"/>
      <c r="BP776" s="500"/>
      <c r="BQ776" s="500"/>
      <c r="BR776" s="500"/>
      <c r="BS776" s="500"/>
      <c r="BT776" s="500"/>
      <c r="BU776" s="500"/>
      <c r="BV776" s="500"/>
    </row>
    <row r="777" ht="14.25" customHeight="1">
      <c r="A777" s="500"/>
      <c r="B777" s="500"/>
      <c r="C777" s="500"/>
      <c r="D777" s="500"/>
      <c r="E777" s="500"/>
      <c r="F777" s="500"/>
      <c r="G777" s="500"/>
      <c r="H777" s="500"/>
      <c r="I777" s="500"/>
      <c r="J777" s="500"/>
      <c r="K777" s="500"/>
      <c r="L777" s="500"/>
      <c r="M777" s="500"/>
      <c r="N777" s="500"/>
      <c r="O777" s="500"/>
      <c r="P777" s="500"/>
      <c r="Q777" s="500"/>
      <c r="R777" s="500"/>
      <c r="S777" s="500"/>
      <c r="T777" s="500"/>
      <c r="U777" s="500"/>
      <c r="V777" s="500"/>
      <c r="W777" s="500"/>
      <c r="X777" s="500"/>
      <c r="Y777" s="500"/>
      <c r="Z777" s="501"/>
      <c r="AA777" s="501"/>
      <c r="AB777" s="501"/>
      <c r="AC777" s="501"/>
      <c r="AD777" s="500"/>
      <c r="AE777" s="500"/>
      <c r="AF777" s="503"/>
      <c r="AG777" s="503"/>
      <c r="AH777" s="504"/>
      <c r="AI777" s="500"/>
      <c r="AJ777" s="500"/>
      <c r="AK777" s="500"/>
      <c r="AL777" s="500"/>
      <c r="AM777" s="500"/>
      <c r="AN777" s="500"/>
      <c r="AO777" s="500"/>
      <c r="AP777" s="500"/>
      <c r="AQ777" s="500"/>
      <c r="AR777" s="500"/>
      <c r="AS777" s="500"/>
      <c r="AT777" s="500"/>
      <c r="AU777" s="500"/>
      <c r="AV777" s="500"/>
      <c r="AW777" s="500"/>
      <c r="AX777" s="500"/>
      <c r="AY777" s="500"/>
      <c r="AZ777" s="500"/>
      <c r="BA777" s="500"/>
      <c r="BB777" s="500"/>
      <c r="BC777" s="500"/>
      <c r="BD777" s="500"/>
      <c r="BE777" s="500"/>
      <c r="BF777" s="500"/>
      <c r="BG777" s="500"/>
      <c r="BH777" s="500"/>
      <c r="BI777" s="500"/>
      <c r="BJ777" s="500"/>
      <c r="BK777" s="500"/>
      <c r="BL777" s="500"/>
      <c r="BM777" s="500"/>
      <c r="BN777" s="500"/>
      <c r="BO777" s="500"/>
      <c r="BP777" s="500"/>
      <c r="BQ777" s="500"/>
      <c r="BR777" s="500"/>
      <c r="BS777" s="500"/>
      <c r="BT777" s="500"/>
      <c r="BU777" s="500"/>
      <c r="BV777" s="500"/>
    </row>
    <row r="778" ht="14.25" customHeight="1">
      <c r="A778" s="500"/>
      <c r="B778" s="500"/>
      <c r="C778" s="500"/>
      <c r="D778" s="500"/>
      <c r="E778" s="500"/>
      <c r="F778" s="500"/>
      <c r="G778" s="500"/>
      <c r="H778" s="500"/>
      <c r="I778" s="500"/>
      <c r="J778" s="500"/>
      <c r="K778" s="500"/>
      <c r="L778" s="500"/>
      <c r="M778" s="500"/>
      <c r="N778" s="500"/>
      <c r="O778" s="500"/>
      <c r="P778" s="500"/>
      <c r="Q778" s="500"/>
      <c r="R778" s="500"/>
      <c r="S778" s="500"/>
      <c r="T778" s="500"/>
      <c r="U778" s="500"/>
      <c r="V778" s="500"/>
      <c r="W778" s="500"/>
      <c r="X778" s="500"/>
      <c r="Y778" s="500"/>
      <c r="Z778" s="501"/>
      <c r="AA778" s="501"/>
      <c r="AB778" s="501"/>
      <c r="AC778" s="501"/>
      <c r="AD778" s="500"/>
      <c r="AE778" s="500"/>
      <c r="AF778" s="503"/>
      <c r="AG778" s="503"/>
      <c r="AH778" s="504"/>
      <c r="AI778" s="500"/>
      <c r="AJ778" s="500"/>
      <c r="AK778" s="500"/>
      <c r="AL778" s="500"/>
      <c r="AM778" s="500"/>
      <c r="AN778" s="500"/>
      <c r="AO778" s="500"/>
      <c r="AP778" s="500"/>
      <c r="AQ778" s="500"/>
      <c r="AR778" s="500"/>
      <c r="AS778" s="500"/>
      <c r="AT778" s="500"/>
      <c r="AU778" s="500"/>
      <c r="AV778" s="500"/>
      <c r="AW778" s="500"/>
      <c r="AX778" s="500"/>
      <c r="AY778" s="500"/>
      <c r="AZ778" s="500"/>
      <c r="BA778" s="500"/>
      <c r="BB778" s="500"/>
      <c r="BC778" s="500"/>
      <c r="BD778" s="500"/>
      <c r="BE778" s="500"/>
      <c r="BF778" s="500"/>
      <c r="BG778" s="500"/>
      <c r="BH778" s="500"/>
      <c r="BI778" s="500"/>
      <c r="BJ778" s="500"/>
      <c r="BK778" s="500"/>
      <c r="BL778" s="500"/>
      <c r="BM778" s="500"/>
      <c r="BN778" s="500"/>
      <c r="BO778" s="500"/>
      <c r="BP778" s="500"/>
      <c r="BQ778" s="500"/>
      <c r="BR778" s="500"/>
      <c r="BS778" s="500"/>
      <c r="BT778" s="500"/>
      <c r="BU778" s="500"/>
      <c r="BV778" s="500"/>
    </row>
    <row r="779" ht="14.25" customHeight="1">
      <c r="A779" s="500"/>
      <c r="B779" s="500"/>
      <c r="C779" s="500"/>
      <c r="D779" s="500"/>
      <c r="E779" s="500"/>
      <c r="F779" s="500"/>
      <c r="G779" s="500"/>
      <c r="H779" s="500"/>
      <c r="I779" s="500"/>
      <c r="J779" s="500"/>
      <c r="K779" s="500"/>
      <c r="L779" s="500"/>
      <c r="M779" s="500"/>
      <c r="N779" s="500"/>
      <c r="O779" s="500"/>
      <c r="P779" s="500"/>
      <c r="Q779" s="500"/>
      <c r="R779" s="500"/>
      <c r="S779" s="500"/>
      <c r="T779" s="500"/>
      <c r="U779" s="500"/>
      <c r="V779" s="500"/>
      <c r="W779" s="500"/>
      <c r="X779" s="500"/>
      <c r="Y779" s="500"/>
      <c r="Z779" s="501"/>
      <c r="AA779" s="501"/>
      <c r="AB779" s="501"/>
      <c r="AC779" s="501"/>
      <c r="AD779" s="500"/>
      <c r="AE779" s="500"/>
      <c r="AF779" s="503"/>
      <c r="AG779" s="503"/>
      <c r="AH779" s="504"/>
      <c r="AI779" s="500"/>
      <c r="AJ779" s="500"/>
      <c r="AK779" s="500"/>
      <c r="AL779" s="500"/>
      <c r="AM779" s="500"/>
      <c r="AN779" s="500"/>
      <c r="AO779" s="500"/>
      <c r="AP779" s="500"/>
      <c r="AQ779" s="500"/>
      <c r="AR779" s="500"/>
      <c r="AS779" s="500"/>
      <c r="AT779" s="500"/>
      <c r="AU779" s="500"/>
      <c r="AV779" s="500"/>
      <c r="AW779" s="500"/>
      <c r="AX779" s="500"/>
      <c r="AY779" s="500"/>
      <c r="AZ779" s="500"/>
      <c r="BA779" s="500"/>
      <c r="BB779" s="500"/>
      <c r="BC779" s="500"/>
      <c r="BD779" s="500"/>
      <c r="BE779" s="500"/>
      <c r="BF779" s="500"/>
      <c r="BG779" s="500"/>
      <c r="BH779" s="500"/>
      <c r="BI779" s="500"/>
      <c r="BJ779" s="500"/>
      <c r="BK779" s="500"/>
      <c r="BL779" s="500"/>
      <c r="BM779" s="500"/>
      <c r="BN779" s="500"/>
      <c r="BO779" s="500"/>
      <c r="BP779" s="500"/>
      <c r="BQ779" s="500"/>
      <c r="BR779" s="500"/>
      <c r="BS779" s="500"/>
      <c r="BT779" s="500"/>
      <c r="BU779" s="500"/>
      <c r="BV779" s="500"/>
    </row>
    <row r="780" ht="14.25" customHeight="1">
      <c r="A780" s="500"/>
      <c r="B780" s="500"/>
      <c r="C780" s="500"/>
      <c r="D780" s="500"/>
      <c r="E780" s="500"/>
      <c r="F780" s="500"/>
      <c r="G780" s="500"/>
      <c r="H780" s="500"/>
      <c r="I780" s="500"/>
      <c r="J780" s="500"/>
      <c r="K780" s="500"/>
      <c r="L780" s="500"/>
      <c r="M780" s="500"/>
      <c r="N780" s="500"/>
      <c r="O780" s="500"/>
      <c r="P780" s="500"/>
      <c r="Q780" s="500"/>
      <c r="R780" s="500"/>
      <c r="S780" s="500"/>
      <c r="T780" s="500"/>
      <c r="U780" s="500"/>
      <c r="V780" s="500"/>
      <c r="W780" s="500"/>
      <c r="X780" s="500"/>
      <c r="Y780" s="500"/>
      <c r="Z780" s="501"/>
      <c r="AA780" s="501"/>
      <c r="AB780" s="501"/>
      <c r="AC780" s="501"/>
      <c r="AD780" s="500"/>
      <c r="AE780" s="500"/>
      <c r="AF780" s="503"/>
      <c r="AG780" s="503"/>
      <c r="AH780" s="504"/>
      <c r="AI780" s="500"/>
      <c r="AJ780" s="500"/>
      <c r="AK780" s="500"/>
      <c r="AL780" s="500"/>
      <c r="AM780" s="500"/>
      <c r="AN780" s="500"/>
      <c r="AO780" s="500"/>
      <c r="AP780" s="500"/>
      <c r="AQ780" s="500"/>
      <c r="AR780" s="500"/>
      <c r="AS780" s="500"/>
      <c r="AT780" s="500"/>
      <c r="AU780" s="500"/>
      <c r="AV780" s="500"/>
      <c r="AW780" s="500"/>
      <c r="AX780" s="500"/>
      <c r="AY780" s="500"/>
      <c r="AZ780" s="500"/>
      <c r="BA780" s="500"/>
      <c r="BB780" s="500"/>
      <c r="BC780" s="500"/>
      <c r="BD780" s="500"/>
      <c r="BE780" s="500"/>
      <c r="BF780" s="500"/>
      <c r="BG780" s="500"/>
      <c r="BH780" s="500"/>
      <c r="BI780" s="500"/>
      <c r="BJ780" s="500"/>
      <c r="BK780" s="500"/>
      <c r="BL780" s="500"/>
      <c r="BM780" s="500"/>
      <c r="BN780" s="500"/>
      <c r="BO780" s="500"/>
      <c r="BP780" s="500"/>
      <c r="BQ780" s="500"/>
      <c r="BR780" s="500"/>
      <c r="BS780" s="500"/>
      <c r="BT780" s="500"/>
      <c r="BU780" s="500"/>
      <c r="BV780" s="500"/>
    </row>
    <row r="781" ht="14.25" customHeight="1">
      <c r="A781" s="500"/>
      <c r="B781" s="500"/>
      <c r="C781" s="500"/>
      <c r="D781" s="500"/>
      <c r="E781" s="500"/>
      <c r="F781" s="500"/>
      <c r="G781" s="500"/>
      <c r="H781" s="500"/>
      <c r="I781" s="500"/>
      <c r="J781" s="500"/>
      <c r="K781" s="500"/>
      <c r="L781" s="500"/>
      <c r="M781" s="500"/>
      <c r="N781" s="500"/>
      <c r="O781" s="500"/>
      <c r="P781" s="500"/>
      <c r="Q781" s="500"/>
      <c r="R781" s="500"/>
      <c r="S781" s="500"/>
      <c r="T781" s="500"/>
      <c r="U781" s="500"/>
      <c r="V781" s="500"/>
      <c r="W781" s="500"/>
      <c r="X781" s="500"/>
      <c r="Y781" s="500"/>
      <c r="Z781" s="501"/>
      <c r="AA781" s="501"/>
      <c r="AB781" s="501"/>
      <c r="AC781" s="501"/>
      <c r="AD781" s="500"/>
      <c r="AE781" s="500"/>
      <c r="AF781" s="503"/>
      <c r="AG781" s="503"/>
      <c r="AH781" s="504"/>
      <c r="AI781" s="500"/>
      <c r="AJ781" s="500"/>
      <c r="AK781" s="500"/>
      <c r="AL781" s="500"/>
      <c r="AM781" s="500"/>
      <c r="AN781" s="500"/>
      <c r="AO781" s="500"/>
      <c r="AP781" s="500"/>
      <c r="AQ781" s="500"/>
      <c r="AR781" s="500"/>
      <c r="AS781" s="500"/>
      <c r="AT781" s="500"/>
      <c r="AU781" s="500"/>
      <c r="AV781" s="500"/>
      <c r="AW781" s="500"/>
      <c r="AX781" s="500"/>
      <c r="AY781" s="500"/>
      <c r="AZ781" s="500"/>
      <c r="BA781" s="500"/>
      <c r="BB781" s="500"/>
      <c r="BC781" s="500"/>
      <c r="BD781" s="500"/>
      <c r="BE781" s="500"/>
      <c r="BF781" s="500"/>
      <c r="BG781" s="500"/>
      <c r="BH781" s="500"/>
      <c r="BI781" s="500"/>
      <c r="BJ781" s="500"/>
      <c r="BK781" s="500"/>
      <c r="BL781" s="500"/>
      <c r="BM781" s="500"/>
      <c r="BN781" s="500"/>
      <c r="BO781" s="500"/>
      <c r="BP781" s="500"/>
      <c r="BQ781" s="500"/>
      <c r="BR781" s="500"/>
      <c r="BS781" s="500"/>
      <c r="BT781" s="500"/>
      <c r="BU781" s="500"/>
      <c r="BV781" s="500"/>
    </row>
    <row r="782" ht="14.25" customHeight="1">
      <c r="A782" s="500"/>
      <c r="B782" s="500"/>
      <c r="C782" s="500"/>
      <c r="D782" s="500"/>
      <c r="E782" s="500"/>
      <c r="F782" s="500"/>
      <c r="G782" s="500"/>
      <c r="H782" s="500"/>
      <c r="I782" s="500"/>
      <c r="J782" s="500"/>
      <c r="K782" s="500"/>
      <c r="L782" s="500"/>
      <c r="M782" s="500"/>
      <c r="N782" s="500"/>
      <c r="O782" s="500"/>
      <c r="P782" s="500"/>
      <c r="Q782" s="500"/>
      <c r="R782" s="500"/>
      <c r="S782" s="500"/>
      <c r="T782" s="500"/>
      <c r="U782" s="500"/>
      <c r="V782" s="500"/>
      <c r="W782" s="500"/>
      <c r="X782" s="500"/>
      <c r="Y782" s="500"/>
      <c r="Z782" s="501"/>
      <c r="AA782" s="501"/>
      <c r="AB782" s="501"/>
      <c r="AC782" s="501"/>
      <c r="AD782" s="500"/>
      <c r="AE782" s="500"/>
      <c r="AF782" s="503"/>
      <c r="AG782" s="503"/>
      <c r="AH782" s="504"/>
      <c r="AI782" s="500"/>
      <c r="AJ782" s="500"/>
      <c r="AK782" s="500"/>
      <c r="AL782" s="500"/>
      <c r="AM782" s="500"/>
      <c r="AN782" s="500"/>
      <c r="AO782" s="500"/>
      <c r="AP782" s="500"/>
      <c r="AQ782" s="500"/>
      <c r="AR782" s="500"/>
      <c r="AS782" s="500"/>
      <c r="AT782" s="500"/>
      <c r="AU782" s="500"/>
      <c r="AV782" s="500"/>
      <c r="AW782" s="500"/>
      <c r="AX782" s="500"/>
      <c r="AY782" s="500"/>
      <c r="AZ782" s="500"/>
      <c r="BA782" s="500"/>
      <c r="BB782" s="500"/>
      <c r="BC782" s="500"/>
      <c r="BD782" s="500"/>
      <c r="BE782" s="500"/>
      <c r="BF782" s="500"/>
      <c r="BG782" s="500"/>
      <c r="BH782" s="500"/>
      <c r="BI782" s="500"/>
      <c r="BJ782" s="500"/>
      <c r="BK782" s="500"/>
      <c r="BL782" s="500"/>
      <c r="BM782" s="500"/>
      <c r="BN782" s="500"/>
      <c r="BO782" s="500"/>
      <c r="BP782" s="500"/>
      <c r="BQ782" s="500"/>
      <c r="BR782" s="500"/>
      <c r="BS782" s="500"/>
      <c r="BT782" s="500"/>
      <c r="BU782" s="500"/>
      <c r="BV782" s="500"/>
    </row>
    <row r="783" ht="14.25" customHeight="1">
      <c r="A783" s="500"/>
      <c r="B783" s="500"/>
      <c r="C783" s="500"/>
      <c r="D783" s="500"/>
      <c r="E783" s="500"/>
      <c r="F783" s="500"/>
      <c r="G783" s="500"/>
      <c r="H783" s="500"/>
      <c r="I783" s="500"/>
      <c r="J783" s="500"/>
      <c r="K783" s="500"/>
      <c r="L783" s="500"/>
      <c r="M783" s="500"/>
      <c r="N783" s="500"/>
      <c r="O783" s="500"/>
      <c r="P783" s="500"/>
      <c r="Q783" s="500"/>
      <c r="R783" s="500"/>
      <c r="S783" s="500"/>
      <c r="T783" s="500"/>
      <c r="U783" s="500"/>
      <c r="V783" s="500"/>
      <c r="W783" s="500"/>
      <c r="X783" s="500"/>
      <c r="Y783" s="500"/>
      <c r="Z783" s="501"/>
      <c r="AA783" s="501"/>
      <c r="AB783" s="501"/>
      <c r="AC783" s="501"/>
      <c r="AD783" s="500"/>
      <c r="AE783" s="500"/>
      <c r="AF783" s="503"/>
      <c r="AG783" s="503"/>
      <c r="AH783" s="504"/>
      <c r="AI783" s="500"/>
      <c r="AJ783" s="500"/>
      <c r="AK783" s="500"/>
      <c r="AL783" s="500"/>
      <c r="AM783" s="500"/>
      <c r="AN783" s="500"/>
      <c r="AO783" s="500"/>
      <c r="AP783" s="500"/>
      <c r="AQ783" s="500"/>
      <c r="AR783" s="500"/>
      <c r="AS783" s="500"/>
      <c r="AT783" s="500"/>
      <c r="AU783" s="500"/>
      <c r="AV783" s="500"/>
      <c r="AW783" s="500"/>
      <c r="AX783" s="500"/>
      <c r="AY783" s="500"/>
      <c r="AZ783" s="500"/>
      <c r="BA783" s="500"/>
      <c r="BB783" s="500"/>
      <c r="BC783" s="500"/>
      <c r="BD783" s="500"/>
      <c r="BE783" s="500"/>
      <c r="BF783" s="500"/>
      <c r="BG783" s="500"/>
      <c r="BH783" s="500"/>
      <c r="BI783" s="500"/>
      <c r="BJ783" s="500"/>
      <c r="BK783" s="500"/>
      <c r="BL783" s="500"/>
      <c r="BM783" s="500"/>
      <c r="BN783" s="500"/>
      <c r="BO783" s="500"/>
      <c r="BP783" s="500"/>
      <c r="BQ783" s="500"/>
      <c r="BR783" s="500"/>
      <c r="BS783" s="500"/>
      <c r="BT783" s="500"/>
      <c r="BU783" s="500"/>
      <c r="BV783" s="500"/>
    </row>
    <row r="784" ht="14.25" customHeight="1">
      <c r="A784" s="500"/>
      <c r="B784" s="500"/>
      <c r="C784" s="500"/>
      <c r="D784" s="500"/>
      <c r="E784" s="500"/>
      <c r="F784" s="500"/>
      <c r="G784" s="500"/>
      <c r="H784" s="500"/>
      <c r="I784" s="500"/>
      <c r="J784" s="500"/>
      <c r="K784" s="500"/>
      <c r="L784" s="500"/>
      <c r="M784" s="500"/>
      <c r="N784" s="500"/>
      <c r="O784" s="500"/>
      <c r="P784" s="500"/>
      <c r="Q784" s="500"/>
      <c r="R784" s="500"/>
      <c r="S784" s="500"/>
      <c r="T784" s="500"/>
      <c r="U784" s="500"/>
      <c r="V784" s="500"/>
      <c r="W784" s="500"/>
      <c r="X784" s="500"/>
      <c r="Y784" s="500"/>
      <c r="Z784" s="501"/>
      <c r="AA784" s="501"/>
      <c r="AB784" s="501"/>
      <c r="AC784" s="501"/>
      <c r="AD784" s="500"/>
      <c r="AE784" s="500"/>
      <c r="AF784" s="503"/>
      <c r="AG784" s="503"/>
      <c r="AH784" s="504"/>
      <c r="AI784" s="500"/>
      <c r="AJ784" s="500"/>
      <c r="AK784" s="500"/>
      <c r="AL784" s="500"/>
      <c r="AM784" s="500"/>
      <c r="AN784" s="500"/>
      <c r="AO784" s="500"/>
      <c r="AP784" s="500"/>
      <c r="AQ784" s="500"/>
      <c r="AR784" s="500"/>
      <c r="AS784" s="500"/>
      <c r="AT784" s="500"/>
      <c r="AU784" s="500"/>
      <c r="AV784" s="500"/>
      <c r="AW784" s="500"/>
      <c r="AX784" s="500"/>
      <c r="AY784" s="500"/>
      <c r="AZ784" s="500"/>
      <c r="BA784" s="500"/>
      <c r="BB784" s="500"/>
      <c r="BC784" s="500"/>
      <c r="BD784" s="500"/>
      <c r="BE784" s="500"/>
      <c r="BF784" s="500"/>
      <c r="BG784" s="500"/>
      <c r="BH784" s="500"/>
      <c r="BI784" s="500"/>
      <c r="BJ784" s="500"/>
      <c r="BK784" s="500"/>
      <c r="BL784" s="500"/>
      <c r="BM784" s="500"/>
      <c r="BN784" s="500"/>
      <c r="BO784" s="500"/>
      <c r="BP784" s="500"/>
      <c r="BQ784" s="500"/>
      <c r="BR784" s="500"/>
      <c r="BS784" s="500"/>
      <c r="BT784" s="500"/>
      <c r="BU784" s="500"/>
      <c r="BV784" s="500"/>
    </row>
    <row r="785" ht="14.25" customHeight="1">
      <c r="A785" s="500"/>
      <c r="B785" s="500"/>
      <c r="C785" s="500"/>
      <c r="D785" s="500"/>
      <c r="E785" s="500"/>
      <c r="F785" s="500"/>
      <c r="G785" s="500"/>
      <c r="H785" s="500"/>
      <c r="I785" s="500"/>
      <c r="J785" s="500"/>
      <c r="K785" s="500"/>
      <c r="L785" s="500"/>
      <c r="M785" s="500"/>
      <c r="N785" s="500"/>
      <c r="O785" s="500"/>
      <c r="P785" s="500"/>
      <c r="Q785" s="500"/>
      <c r="R785" s="500"/>
      <c r="S785" s="500"/>
      <c r="T785" s="500"/>
      <c r="U785" s="500"/>
      <c r="V785" s="500"/>
      <c r="W785" s="500"/>
      <c r="X785" s="500"/>
      <c r="Y785" s="500"/>
      <c r="Z785" s="501"/>
      <c r="AA785" s="501"/>
      <c r="AB785" s="501"/>
      <c r="AC785" s="501"/>
      <c r="AD785" s="500"/>
      <c r="AE785" s="500"/>
      <c r="AF785" s="503"/>
      <c r="AG785" s="503"/>
      <c r="AH785" s="504"/>
      <c r="AI785" s="500"/>
      <c r="AJ785" s="500"/>
      <c r="AK785" s="500"/>
      <c r="AL785" s="500"/>
      <c r="AM785" s="500"/>
      <c r="AN785" s="500"/>
      <c r="AO785" s="500"/>
      <c r="AP785" s="500"/>
      <c r="AQ785" s="500"/>
      <c r="AR785" s="500"/>
      <c r="AS785" s="500"/>
      <c r="AT785" s="500"/>
      <c r="AU785" s="500"/>
      <c r="AV785" s="500"/>
      <c r="AW785" s="500"/>
      <c r="AX785" s="500"/>
      <c r="AY785" s="500"/>
      <c r="AZ785" s="500"/>
      <c r="BA785" s="500"/>
      <c r="BB785" s="500"/>
      <c r="BC785" s="500"/>
      <c r="BD785" s="500"/>
      <c r="BE785" s="500"/>
      <c r="BF785" s="500"/>
      <c r="BG785" s="500"/>
      <c r="BH785" s="500"/>
      <c r="BI785" s="500"/>
      <c r="BJ785" s="500"/>
      <c r="BK785" s="500"/>
      <c r="BL785" s="500"/>
      <c r="BM785" s="500"/>
      <c r="BN785" s="500"/>
      <c r="BO785" s="500"/>
      <c r="BP785" s="500"/>
      <c r="BQ785" s="500"/>
      <c r="BR785" s="500"/>
      <c r="BS785" s="500"/>
      <c r="BT785" s="500"/>
      <c r="BU785" s="500"/>
      <c r="BV785" s="500"/>
    </row>
    <row r="786" ht="14.25" customHeight="1">
      <c r="A786" s="500"/>
      <c r="B786" s="500"/>
      <c r="C786" s="500"/>
      <c r="D786" s="500"/>
      <c r="E786" s="500"/>
      <c r="F786" s="500"/>
      <c r="G786" s="500"/>
      <c r="H786" s="500"/>
      <c r="I786" s="500"/>
      <c r="J786" s="500"/>
      <c r="K786" s="500"/>
      <c r="L786" s="500"/>
      <c r="M786" s="500"/>
      <c r="N786" s="500"/>
      <c r="O786" s="500"/>
      <c r="P786" s="500"/>
      <c r="Q786" s="500"/>
      <c r="R786" s="500"/>
      <c r="S786" s="500"/>
      <c r="T786" s="500"/>
      <c r="U786" s="500"/>
      <c r="V786" s="500"/>
      <c r="W786" s="500"/>
      <c r="X786" s="500"/>
      <c r="Y786" s="500"/>
      <c r="Z786" s="501"/>
      <c r="AA786" s="501"/>
      <c r="AB786" s="501"/>
      <c r="AC786" s="501"/>
      <c r="AD786" s="500"/>
      <c r="AE786" s="500"/>
      <c r="AF786" s="503"/>
      <c r="AG786" s="503"/>
      <c r="AH786" s="504"/>
      <c r="AI786" s="500"/>
      <c r="AJ786" s="500"/>
      <c r="AK786" s="500"/>
      <c r="AL786" s="500"/>
      <c r="AM786" s="500"/>
      <c r="AN786" s="500"/>
      <c r="AO786" s="500"/>
      <c r="AP786" s="500"/>
      <c r="AQ786" s="500"/>
      <c r="AR786" s="500"/>
      <c r="AS786" s="500"/>
      <c r="AT786" s="500"/>
      <c r="AU786" s="500"/>
      <c r="AV786" s="500"/>
      <c r="AW786" s="500"/>
      <c r="AX786" s="500"/>
      <c r="AY786" s="500"/>
      <c r="AZ786" s="500"/>
      <c r="BA786" s="500"/>
      <c r="BB786" s="500"/>
      <c r="BC786" s="500"/>
      <c r="BD786" s="500"/>
      <c r="BE786" s="500"/>
      <c r="BF786" s="500"/>
      <c r="BG786" s="500"/>
      <c r="BH786" s="500"/>
      <c r="BI786" s="500"/>
      <c r="BJ786" s="500"/>
      <c r="BK786" s="500"/>
      <c r="BL786" s="500"/>
      <c r="BM786" s="500"/>
      <c r="BN786" s="500"/>
      <c r="BO786" s="500"/>
      <c r="BP786" s="500"/>
      <c r="BQ786" s="500"/>
      <c r="BR786" s="500"/>
      <c r="BS786" s="500"/>
      <c r="BT786" s="500"/>
      <c r="BU786" s="500"/>
      <c r="BV786" s="500"/>
    </row>
    <row r="787" ht="14.25" customHeight="1">
      <c r="A787" s="500"/>
      <c r="B787" s="500"/>
      <c r="C787" s="500"/>
      <c r="D787" s="500"/>
      <c r="E787" s="500"/>
      <c r="F787" s="500"/>
      <c r="G787" s="500"/>
      <c r="H787" s="500"/>
      <c r="I787" s="500"/>
      <c r="J787" s="500"/>
      <c r="K787" s="500"/>
      <c r="L787" s="500"/>
      <c r="M787" s="500"/>
      <c r="N787" s="500"/>
      <c r="O787" s="500"/>
      <c r="P787" s="500"/>
      <c r="Q787" s="500"/>
      <c r="R787" s="500"/>
      <c r="S787" s="500"/>
      <c r="T787" s="500"/>
      <c r="U787" s="500"/>
      <c r="V787" s="500"/>
      <c r="W787" s="500"/>
      <c r="X787" s="500"/>
      <c r="Y787" s="500"/>
      <c r="Z787" s="501"/>
      <c r="AA787" s="501"/>
      <c r="AB787" s="501"/>
      <c r="AC787" s="501"/>
      <c r="AD787" s="500"/>
      <c r="AE787" s="500"/>
      <c r="AF787" s="503"/>
      <c r="AG787" s="503"/>
      <c r="AH787" s="504"/>
      <c r="AI787" s="500"/>
      <c r="AJ787" s="500"/>
      <c r="AK787" s="500"/>
      <c r="AL787" s="500"/>
      <c r="AM787" s="500"/>
      <c r="AN787" s="500"/>
      <c r="AO787" s="500"/>
      <c r="AP787" s="500"/>
      <c r="AQ787" s="500"/>
      <c r="AR787" s="500"/>
      <c r="AS787" s="500"/>
      <c r="AT787" s="500"/>
      <c r="AU787" s="500"/>
      <c r="AV787" s="500"/>
      <c r="AW787" s="500"/>
      <c r="AX787" s="500"/>
      <c r="AY787" s="500"/>
      <c r="AZ787" s="500"/>
      <c r="BA787" s="500"/>
      <c r="BB787" s="500"/>
      <c r="BC787" s="500"/>
      <c r="BD787" s="500"/>
      <c r="BE787" s="500"/>
      <c r="BF787" s="500"/>
      <c r="BG787" s="500"/>
      <c r="BH787" s="500"/>
      <c r="BI787" s="500"/>
      <c r="BJ787" s="500"/>
      <c r="BK787" s="500"/>
      <c r="BL787" s="500"/>
      <c r="BM787" s="500"/>
      <c r="BN787" s="500"/>
      <c r="BO787" s="500"/>
      <c r="BP787" s="500"/>
      <c r="BQ787" s="500"/>
      <c r="BR787" s="500"/>
      <c r="BS787" s="500"/>
      <c r="BT787" s="500"/>
      <c r="BU787" s="500"/>
      <c r="BV787" s="500"/>
    </row>
    <row r="788" ht="14.25" customHeight="1">
      <c r="A788" s="500"/>
      <c r="B788" s="500"/>
      <c r="C788" s="500"/>
      <c r="D788" s="500"/>
      <c r="E788" s="500"/>
      <c r="F788" s="500"/>
      <c r="G788" s="500"/>
      <c r="H788" s="500"/>
      <c r="I788" s="500"/>
      <c r="J788" s="500"/>
      <c r="K788" s="500"/>
      <c r="L788" s="500"/>
      <c r="M788" s="500"/>
      <c r="N788" s="500"/>
      <c r="O788" s="500"/>
      <c r="P788" s="500"/>
      <c r="Q788" s="500"/>
      <c r="R788" s="500"/>
      <c r="S788" s="500"/>
      <c r="T788" s="500"/>
      <c r="U788" s="500"/>
      <c r="V788" s="500"/>
      <c r="W788" s="500"/>
      <c r="X788" s="500"/>
      <c r="Y788" s="500"/>
      <c r="Z788" s="501"/>
      <c r="AA788" s="501"/>
      <c r="AB788" s="501"/>
      <c r="AC788" s="501"/>
      <c r="AD788" s="500"/>
      <c r="AE788" s="500"/>
      <c r="AF788" s="503"/>
      <c r="AG788" s="503"/>
      <c r="AH788" s="504"/>
      <c r="AI788" s="500"/>
      <c r="AJ788" s="500"/>
      <c r="AK788" s="500"/>
      <c r="AL788" s="500"/>
      <c r="AM788" s="500"/>
      <c r="AN788" s="500"/>
      <c r="AO788" s="500"/>
      <c r="AP788" s="500"/>
      <c r="AQ788" s="500"/>
      <c r="AR788" s="500"/>
      <c r="AS788" s="500"/>
      <c r="AT788" s="500"/>
      <c r="AU788" s="500"/>
      <c r="AV788" s="500"/>
      <c r="AW788" s="500"/>
      <c r="AX788" s="500"/>
      <c r="AY788" s="500"/>
      <c r="AZ788" s="500"/>
      <c r="BA788" s="500"/>
      <c r="BB788" s="500"/>
      <c r="BC788" s="500"/>
      <c r="BD788" s="500"/>
      <c r="BE788" s="500"/>
      <c r="BF788" s="500"/>
      <c r="BG788" s="500"/>
      <c r="BH788" s="500"/>
      <c r="BI788" s="500"/>
      <c r="BJ788" s="500"/>
      <c r="BK788" s="500"/>
      <c r="BL788" s="500"/>
      <c r="BM788" s="500"/>
      <c r="BN788" s="500"/>
      <c r="BO788" s="500"/>
      <c r="BP788" s="500"/>
      <c r="BQ788" s="500"/>
      <c r="BR788" s="500"/>
      <c r="BS788" s="500"/>
      <c r="BT788" s="500"/>
      <c r="BU788" s="500"/>
      <c r="BV788" s="500"/>
    </row>
    <row r="789" ht="14.25" customHeight="1">
      <c r="A789" s="500"/>
      <c r="B789" s="500"/>
      <c r="C789" s="500"/>
      <c r="D789" s="500"/>
      <c r="E789" s="500"/>
      <c r="F789" s="500"/>
      <c r="G789" s="500"/>
      <c r="H789" s="500"/>
      <c r="I789" s="500"/>
      <c r="J789" s="500"/>
      <c r="K789" s="500"/>
      <c r="L789" s="500"/>
      <c r="M789" s="500"/>
      <c r="N789" s="500"/>
      <c r="O789" s="500"/>
      <c r="P789" s="500"/>
      <c r="Q789" s="500"/>
      <c r="R789" s="500"/>
      <c r="S789" s="500"/>
      <c r="T789" s="500"/>
      <c r="U789" s="500"/>
      <c r="V789" s="500"/>
      <c r="W789" s="500"/>
      <c r="X789" s="500"/>
      <c r="Y789" s="500"/>
      <c r="Z789" s="501"/>
      <c r="AA789" s="501"/>
      <c r="AB789" s="501"/>
      <c r="AC789" s="501"/>
      <c r="AD789" s="500"/>
      <c r="AE789" s="500"/>
      <c r="AF789" s="503"/>
      <c r="AG789" s="503"/>
      <c r="AH789" s="504"/>
      <c r="AI789" s="500"/>
      <c r="AJ789" s="500"/>
      <c r="AK789" s="500"/>
      <c r="AL789" s="500"/>
      <c r="AM789" s="500"/>
      <c r="AN789" s="500"/>
      <c r="AO789" s="500"/>
      <c r="AP789" s="500"/>
      <c r="AQ789" s="500"/>
      <c r="AR789" s="500"/>
      <c r="AS789" s="500"/>
      <c r="AT789" s="500"/>
      <c r="AU789" s="500"/>
      <c r="AV789" s="500"/>
      <c r="AW789" s="500"/>
      <c r="AX789" s="500"/>
      <c r="AY789" s="500"/>
      <c r="AZ789" s="500"/>
      <c r="BA789" s="500"/>
      <c r="BB789" s="500"/>
      <c r="BC789" s="500"/>
      <c r="BD789" s="500"/>
      <c r="BE789" s="500"/>
      <c r="BF789" s="500"/>
      <c r="BG789" s="500"/>
      <c r="BH789" s="500"/>
      <c r="BI789" s="500"/>
      <c r="BJ789" s="500"/>
      <c r="BK789" s="500"/>
      <c r="BL789" s="500"/>
      <c r="BM789" s="500"/>
      <c r="BN789" s="500"/>
      <c r="BO789" s="500"/>
      <c r="BP789" s="500"/>
      <c r="BQ789" s="500"/>
      <c r="BR789" s="500"/>
      <c r="BS789" s="500"/>
      <c r="BT789" s="500"/>
      <c r="BU789" s="500"/>
      <c r="BV789" s="500"/>
    </row>
    <row r="790" ht="14.25" customHeight="1">
      <c r="A790" s="500"/>
      <c r="B790" s="500"/>
      <c r="C790" s="500"/>
      <c r="D790" s="500"/>
      <c r="E790" s="500"/>
      <c r="F790" s="500"/>
      <c r="G790" s="500"/>
      <c r="H790" s="500"/>
      <c r="I790" s="500"/>
      <c r="J790" s="500"/>
      <c r="K790" s="500"/>
      <c r="L790" s="500"/>
      <c r="M790" s="500"/>
      <c r="N790" s="500"/>
      <c r="O790" s="500"/>
      <c r="P790" s="500"/>
      <c r="Q790" s="500"/>
      <c r="R790" s="500"/>
      <c r="S790" s="500"/>
      <c r="T790" s="500"/>
      <c r="U790" s="500"/>
      <c r="V790" s="500"/>
      <c r="W790" s="500"/>
      <c r="X790" s="500"/>
      <c r="Y790" s="500"/>
      <c r="Z790" s="501"/>
      <c r="AA790" s="501"/>
      <c r="AB790" s="501"/>
      <c r="AC790" s="501"/>
      <c r="AD790" s="500"/>
      <c r="AE790" s="500"/>
      <c r="AF790" s="503"/>
      <c r="AG790" s="503"/>
      <c r="AH790" s="504"/>
      <c r="AI790" s="500"/>
      <c r="AJ790" s="500"/>
      <c r="AK790" s="500"/>
      <c r="AL790" s="500"/>
      <c r="AM790" s="500"/>
      <c r="AN790" s="500"/>
      <c r="AO790" s="500"/>
      <c r="AP790" s="500"/>
      <c r="AQ790" s="500"/>
      <c r="AR790" s="500"/>
      <c r="AS790" s="500"/>
      <c r="AT790" s="500"/>
      <c r="AU790" s="500"/>
      <c r="AV790" s="500"/>
      <c r="AW790" s="500"/>
      <c r="AX790" s="500"/>
      <c r="AY790" s="500"/>
      <c r="AZ790" s="500"/>
      <c r="BA790" s="500"/>
      <c r="BB790" s="500"/>
      <c r="BC790" s="500"/>
      <c r="BD790" s="500"/>
      <c r="BE790" s="500"/>
      <c r="BF790" s="500"/>
      <c r="BG790" s="500"/>
      <c r="BH790" s="500"/>
      <c r="BI790" s="500"/>
      <c r="BJ790" s="500"/>
      <c r="BK790" s="500"/>
      <c r="BL790" s="500"/>
      <c r="BM790" s="500"/>
      <c r="BN790" s="500"/>
      <c r="BO790" s="500"/>
      <c r="BP790" s="500"/>
      <c r="BQ790" s="500"/>
      <c r="BR790" s="500"/>
      <c r="BS790" s="500"/>
      <c r="BT790" s="500"/>
      <c r="BU790" s="500"/>
      <c r="BV790" s="500"/>
    </row>
    <row r="791" ht="14.25" customHeight="1">
      <c r="A791" s="500"/>
      <c r="B791" s="500"/>
      <c r="C791" s="500"/>
      <c r="D791" s="500"/>
      <c r="E791" s="500"/>
      <c r="F791" s="500"/>
      <c r="G791" s="500"/>
      <c r="H791" s="500"/>
      <c r="I791" s="500"/>
      <c r="J791" s="500"/>
      <c r="K791" s="500"/>
      <c r="L791" s="500"/>
      <c r="M791" s="500"/>
      <c r="N791" s="500"/>
      <c r="O791" s="500"/>
      <c r="P791" s="500"/>
      <c r="Q791" s="500"/>
      <c r="R791" s="500"/>
      <c r="S791" s="500"/>
      <c r="T791" s="500"/>
      <c r="U791" s="500"/>
      <c r="V791" s="500"/>
      <c r="W791" s="500"/>
      <c r="X791" s="500"/>
      <c r="Y791" s="500"/>
      <c r="Z791" s="501"/>
      <c r="AA791" s="501"/>
      <c r="AB791" s="501"/>
      <c r="AC791" s="501"/>
      <c r="AD791" s="500"/>
      <c r="AE791" s="500"/>
      <c r="AF791" s="503"/>
      <c r="AG791" s="503"/>
      <c r="AH791" s="504"/>
      <c r="AI791" s="500"/>
      <c r="AJ791" s="500"/>
      <c r="AK791" s="500"/>
      <c r="AL791" s="500"/>
      <c r="AM791" s="500"/>
      <c r="AN791" s="500"/>
      <c r="AO791" s="500"/>
      <c r="AP791" s="500"/>
      <c r="AQ791" s="500"/>
      <c r="AR791" s="500"/>
      <c r="AS791" s="500"/>
      <c r="AT791" s="500"/>
      <c r="AU791" s="500"/>
      <c r="AV791" s="500"/>
      <c r="AW791" s="500"/>
      <c r="AX791" s="500"/>
      <c r="AY791" s="500"/>
      <c r="AZ791" s="500"/>
      <c r="BA791" s="500"/>
      <c r="BB791" s="500"/>
      <c r="BC791" s="500"/>
      <c r="BD791" s="500"/>
      <c r="BE791" s="500"/>
      <c r="BF791" s="500"/>
      <c r="BG791" s="500"/>
      <c r="BH791" s="500"/>
      <c r="BI791" s="500"/>
      <c r="BJ791" s="500"/>
      <c r="BK791" s="500"/>
      <c r="BL791" s="500"/>
      <c r="BM791" s="500"/>
      <c r="BN791" s="500"/>
      <c r="BO791" s="500"/>
      <c r="BP791" s="500"/>
      <c r="BQ791" s="500"/>
      <c r="BR791" s="500"/>
      <c r="BS791" s="500"/>
      <c r="BT791" s="500"/>
      <c r="BU791" s="500"/>
      <c r="BV791" s="500"/>
    </row>
    <row r="792" ht="14.25" customHeight="1">
      <c r="A792" s="500"/>
      <c r="B792" s="500"/>
      <c r="C792" s="500"/>
      <c r="D792" s="500"/>
      <c r="E792" s="500"/>
      <c r="F792" s="500"/>
      <c r="G792" s="500"/>
      <c r="H792" s="500"/>
      <c r="I792" s="500"/>
      <c r="J792" s="500"/>
      <c r="K792" s="500"/>
      <c r="L792" s="500"/>
      <c r="M792" s="500"/>
      <c r="N792" s="500"/>
      <c r="O792" s="500"/>
      <c r="P792" s="500"/>
      <c r="Q792" s="500"/>
      <c r="R792" s="500"/>
      <c r="S792" s="500"/>
      <c r="T792" s="500"/>
      <c r="U792" s="500"/>
      <c r="V792" s="500"/>
      <c r="W792" s="500"/>
      <c r="X792" s="500"/>
      <c r="Y792" s="500"/>
      <c r="Z792" s="501"/>
      <c r="AA792" s="501"/>
      <c r="AB792" s="501"/>
      <c r="AC792" s="501"/>
      <c r="AD792" s="500"/>
      <c r="AE792" s="500"/>
      <c r="AF792" s="503"/>
      <c r="AG792" s="503"/>
      <c r="AH792" s="504"/>
      <c r="AI792" s="500"/>
      <c r="AJ792" s="500"/>
      <c r="AK792" s="500"/>
      <c r="AL792" s="500"/>
      <c r="AM792" s="500"/>
      <c r="AN792" s="500"/>
      <c r="AO792" s="500"/>
      <c r="AP792" s="500"/>
      <c r="AQ792" s="500"/>
      <c r="AR792" s="500"/>
      <c r="AS792" s="500"/>
      <c r="AT792" s="500"/>
      <c r="AU792" s="500"/>
      <c r="AV792" s="500"/>
      <c r="AW792" s="500"/>
      <c r="AX792" s="500"/>
      <c r="AY792" s="500"/>
      <c r="AZ792" s="500"/>
      <c r="BA792" s="500"/>
      <c r="BB792" s="500"/>
      <c r="BC792" s="500"/>
      <c r="BD792" s="500"/>
      <c r="BE792" s="500"/>
      <c r="BF792" s="500"/>
      <c r="BG792" s="500"/>
      <c r="BH792" s="500"/>
      <c r="BI792" s="500"/>
      <c r="BJ792" s="500"/>
      <c r="BK792" s="500"/>
      <c r="BL792" s="500"/>
      <c r="BM792" s="500"/>
      <c r="BN792" s="500"/>
      <c r="BO792" s="500"/>
      <c r="BP792" s="500"/>
      <c r="BQ792" s="500"/>
      <c r="BR792" s="500"/>
      <c r="BS792" s="500"/>
      <c r="BT792" s="500"/>
      <c r="BU792" s="500"/>
      <c r="BV792" s="500"/>
    </row>
    <row r="793" ht="14.25" customHeight="1">
      <c r="A793" s="500"/>
      <c r="B793" s="500"/>
      <c r="C793" s="500"/>
      <c r="D793" s="500"/>
      <c r="E793" s="500"/>
      <c r="F793" s="500"/>
      <c r="G793" s="500"/>
      <c r="H793" s="500"/>
      <c r="I793" s="500"/>
      <c r="J793" s="500"/>
      <c r="K793" s="500"/>
      <c r="L793" s="500"/>
      <c r="M793" s="500"/>
      <c r="N793" s="500"/>
      <c r="O793" s="500"/>
      <c r="P793" s="500"/>
      <c r="Q793" s="500"/>
      <c r="R793" s="500"/>
      <c r="S793" s="500"/>
      <c r="T793" s="500"/>
      <c r="U793" s="500"/>
      <c r="V793" s="500"/>
      <c r="W793" s="500"/>
      <c r="X793" s="500"/>
      <c r="Y793" s="500"/>
      <c r="Z793" s="501"/>
      <c r="AA793" s="501"/>
      <c r="AB793" s="501"/>
      <c r="AC793" s="501"/>
      <c r="AD793" s="500"/>
      <c r="AE793" s="500"/>
      <c r="AF793" s="503"/>
      <c r="AG793" s="503"/>
      <c r="AH793" s="504"/>
      <c r="AI793" s="500"/>
      <c r="AJ793" s="500"/>
      <c r="AK793" s="500"/>
      <c r="AL793" s="500"/>
      <c r="AM793" s="500"/>
      <c r="AN793" s="500"/>
      <c r="AO793" s="500"/>
      <c r="AP793" s="500"/>
      <c r="AQ793" s="500"/>
      <c r="AR793" s="500"/>
      <c r="AS793" s="500"/>
      <c r="AT793" s="500"/>
      <c r="AU793" s="500"/>
      <c r="AV793" s="500"/>
      <c r="AW793" s="500"/>
      <c r="AX793" s="500"/>
      <c r="AY793" s="500"/>
      <c r="AZ793" s="500"/>
      <c r="BA793" s="500"/>
      <c r="BB793" s="500"/>
      <c r="BC793" s="500"/>
      <c r="BD793" s="500"/>
      <c r="BE793" s="500"/>
      <c r="BF793" s="500"/>
      <c r="BG793" s="500"/>
      <c r="BH793" s="500"/>
      <c r="BI793" s="500"/>
      <c r="BJ793" s="500"/>
      <c r="BK793" s="500"/>
      <c r="BL793" s="500"/>
      <c r="BM793" s="500"/>
      <c r="BN793" s="500"/>
      <c r="BO793" s="500"/>
      <c r="BP793" s="500"/>
      <c r="BQ793" s="500"/>
      <c r="BR793" s="500"/>
      <c r="BS793" s="500"/>
      <c r="BT793" s="500"/>
      <c r="BU793" s="500"/>
      <c r="BV793" s="500"/>
    </row>
    <row r="794" ht="14.25" customHeight="1">
      <c r="A794" s="500"/>
      <c r="B794" s="500"/>
      <c r="C794" s="500"/>
      <c r="D794" s="500"/>
      <c r="E794" s="500"/>
      <c r="F794" s="500"/>
      <c r="G794" s="500"/>
      <c r="H794" s="500"/>
      <c r="I794" s="500"/>
      <c r="J794" s="500"/>
      <c r="K794" s="500"/>
      <c r="L794" s="500"/>
      <c r="M794" s="500"/>
      <c r="N794" s="500"/>
      <c r="O794" s="500"/>
      <c r="P794" s="500"/>
      <c r="Q794" s="500"/>
      <c r="R794" s="500"/>
      <c r="S794" s="500"/>
      <c r="T794" s="500"/>
      <c r="U794" s="500"/>
      <c r="V794" s="500"/>
      <c r="W794" s="500"/>
      <c r="X794" s="500"/>
      <c r="Y794" s="500"/>
      <c r="Z794" s="501"/>
      <c r="AA794" s="501"/>
      <c r="AB794" s="501"/>
      <c r="AC794" s="501"/>
      <c r="AD794" s="500"/>
      <c r="AE794" s="500"/>
      <c r="AF794" s="503"/>
      <c r="AG794" s="503"/>
      <c r="AH794" s="504"/>
      <c r="AI794" s="500"/>
      <c r="AJ794" s="500"/>
      <c r="AK794" s="500"/>
      <c r="AL794" s="500"/>
      <c r="AM794" s="500"/>
      <c r="AN794" s="500"/>
      <c r="AO794" s="500"/>
      <c r="AP794" s="500"/>
      <c r="AQ794" s="500"/>
      <c r="AR794" s="500"/>
      <c r="AS794" s="500"/>
      <c r="AT794" s="500"/>
      <c r="AU794" s="500"/>
      <c r="AV794" s="500"/>
      <c r="AW794" s="500"/>
      <c r="AX794" s="500"/>
      <c r="AY794" s="500"/>
      <c r="AZ794" s="500"/>
      <c r="BA794" s="500"/>
      <c r="BB794" s="500"/>
      <c r="BC794" s="500"/>
      <c r="BD794" s="500"/>
      <c r="BE794" s="500"/>
      <c r="BF794" s="500"/>
      <c r="BG794" s="500"/>
      <c r="BH794" s="500"/>
      <c r="BI794" s="500"/>
      <c r="BJ794" s="500"/>
      <c r="BK794" s="500"/>
      <c r="BL794" s="500"/>
      <c r="BM794" s="500"/>
      <c r="BN794" s="500"/>
      <c r="BO794" s="500"/>
      <c r="BP794" s="500"/>
      <c r="BQ794" s="500"/>
      <c r="BR794" s="500"/>
      <c r="BS794" s="500"/>
      <c r="BT794" s="500"/>
      <c r="BU794" s="500"/>
      <c r="BV794" s="500"/>
    </row>
    <row r="795" ht="14.25" customHeight="1">
      <c r="A795" s="500"/>
      <c r="B795" s="500"/>
      <c r="C795" s="500"/>
      <c r="D795" s="500"/>
      <c r="E795" s="500"/>
      <c r="F795" s="500"/>
      <c r="G795" s="500"/>
      <c r="H795" s="500"/>
      <c r="I795" s="500"/>
      <c r="J795" s="500"/>
      <c r="K795" s="500"/>
      <c r="L795" s="500"/>
      <c r="M795" s="500"/>
      <c r="N795" s="500"/>
      <c r="O795" s="500"/>
      <c r="P795" s="500"/>
      <c r="Q795" s="500"/>
      <c r="R795" s="500"/>
      <c r="S795" s="500"/>
      <c r="T795" s="500"/>
      <c r="U795" s="500"/>
      <c r="V795" s="500"/>
      <c r="W795" s="500"/>
      <c r="X795" s="500"/>
      <c r="Y795" s="500"/>
      <c r="Z795" s="501"/>
      <c r="AA795" s="501"/>
      <c r="AB795" s="501"/>
      <c r="AC795" s="501"/>
      <c r="AD795" s="500"/>
      <c r="AE795" s="500"/>
      <c r="AF795" s="503"/>
      <c r="AG795" s="503"/>
      <c r="AH795" s="504"/>
      <c r="AI795" s="500"/>
      <c r="AJ795" s="500"/>
      <c r="AK795" s="500"/>
      <c r="AL795" s="500"/>
      <c r="AM795" s="500"/>
      <c r="AN795" s="500"/>
      <c r="AO795" s="500"/>
      <c r="AP795" s="500"/>
      <c r="AQ795" s="500"/>
      <c r="AR795" s="500"/>
      <c r="AS795" s="500"/>
      <c r="AT795" s="500"/>
      <c r="AU795" s="500"/>
      <c r="AV795" s="500"/>
      <c r="AW795" s="500"/>
      <c r="AX795" s="500"/>
      <c r="AY795" s="500"/>
      <c r="AZ795" s="500"/>
      <c r="BA795" s="500"/>
      <c r="BB795" s="500"/>
      <c r="BC795" s="500"/>
      <c r="BD795" s="500"/>
      <c r="BE795" s="500"/>
      <c r="BF795" s="500"/>
      <c r="BG795" s="500"/>
      <c r="BH795" s="500"/>
      <c r="BI795" s="500"/>
      <c r="BJ795" s="500"/>
      <c r="BK795" s="500"/>
      <c r="BL795" s="500"/>
      <c r="BM795" s="500"/>
      <c r="BN795" s="500"/>
      <c r="BO795" s="500"/>
      <c r="BP795" s="500"/>
      <c r="BQ795" s="500"/>
      <c r="BR795" s="500"/>
      <c r="BS795" s="500"/>
      <c r="BT795" s="500"/>
      <c r="BU795" s="500"/>
      <c r="BV795" s="500"/>
    </row>
    <row r="796" ht="14.25" customHeight="1">
      <c r="A796" s="500"/>
      <c r="B796" s="500"/>
      <c r="C796" s="500"/>
      <c r="D796" s="500"/>
      <c r="E796" s="500"/>
      <c r="F796" s="500"/>
      <c r="G796" s="500"/>
      <c r="H796" s="500"/>
      <c r="I796" s="500"/>
      <c r="J796" s="500"/>
      <c r="K796" s="500"/>
      <c r="L796" s="500"/>
      <c r="M796" s="500"/>
      <c r="N796" s="500"/>
      <c r="O796" s="500"/>
      <c r="P796" s="500"/>
      <c r="Q796" s="500"/>
      <c r="R796" s="500"/>
      <c r="S796" s="500"/>
      <c r="T796" s="500"/>
      <c r="U796" s="500"/>
      <c r="V796" s="500"/>
      <c r="W796" s="500"/>
      <c r="X796" s="500"/>
      <c r="Y796" s="500"/>
      <c r="Z796" s="501"/>
      <c r="AA796" s="501"/>
      <c r="AB796" s="501"/>
      <c r="AC796" s="501"/>
      <c r="AD796" s="500"/>
      <c r="AE796" s="500"/>
      <c r="AF796" s="503"/>
      <c r="AG796" s="503"/>
      <c r="AH796" s="504"/>
      <c r="AI796" s="500"/>
      <c r="AJ796" s="500"/>
      <c r="AK796" s="500"/>
      <c r="AL796" s="500"/>
      <c r="AM796" s="500"/>
      <c r="AN796" s="500"/>
      <c r="AO796" s="500"/>
      <c r="AP796" s="500"/>
      <c r="AQ796" s="500"/>
      <c r="AR796" s="500"/>
      <c r="AS796" s="500"/>
      <c r="AT796" s="500"/>
      <c r="AU796" s="500"/>
      <c r="AV796" s="500"/>
      <c r="AW796" s="500"/>
      <c r="AX796" s="500"/>
      <c r="AY796" s="500"/>
      <c r="AZ796" s="500"/>
      <c r="BA796" s="500"/>
      <c r="BB796" s="500"/>
      <c r="BC796" s="500"/>
      <c r="BD796" s="500"/>
      <c r="BE796" s="500"/>
      <c r="BF796" s="500"/>
      <c r="BG796" s="500"/>
      <c r="BH796" s="500"/>
      <c r="BI796" s="500"/>
      <c r="BJ796" s="500"/>
      <c r="BK796" s="500"/>
      <c r="BL796" s="500"/>
      <c r="BM796" s="500"/>
      <c r="BN796" s="500"/>
      <c r="BO796" s="500"/>
      <c r="BP796" s="500"/>
      <c r="BQ796" s="500"/>
      <c r="BR796" s="500"/>
      <c r="BS796" s="500"/>
      <c r="BT796" s="500"/>
      <c r="BU796" s="500"/>
      <c r="BV796" s="500"/>
    </row>
    <row r="797" ht="14.25" customHeight="1">
      <c r="A797" s="500"/>
      <c r="B797" s="500"/>
      <c r="C797" s="500"/>
      <c r="D797" s="500"/>
      <c r="E797" s="500"/>
      <c r="F797" s="500"/>
      <c r="G797" s="500"/>
      <c r="H797" s="500"/>
      <c r="I797" s="500"/>
      <c r="J797" s="500"/>
      <c r="K797" s="500"/>
      <c r="L797" s="500"/>
      <c r="M797" s="500"/>
      <c r="N797" s="500"/>
      <c r="O797" s="500"/>
      <c r="P797" s="500"/>
      <c r="Q797" s="500"/>
      <c r="R797" s="500"/>
      <c r="S797" s="500"/>
      <c r="T797" s="500"/>
      <c r="U797" s="500"/>
      <c r="V797" s="500"/>
      <c r="W797" s="500"/>
      <c r="X797" s="500"/>
      <c r="Y797" s="500"/>
      <c r="Z797" s="501"/>
      <c r="AA797" s="501"/>
      <c r="AB797" s="501"/>
      <c r="AC797" s="501"/>
      <c r="AD797" s="500"/>
      <c r="AE797" s="500"/>
      <c r="AF797" s="503"/>
      <c r="AG797" s="503"/>
      <c r="AH797" s="504"/>
      <c r="AI797" s="500"/>
      <c r="AJ797" s="500"/>
      <c r="AK797" s="500"/>
      <c r="AL797" s="500"/>
      <c r="AM797" s="500"/>
      <c r="AN797" s="500"/>
      <c r="AO797" s="500"/>
      <c r="AP797" s="500"/>
      <c r="AQ797" s="500"/>
      <c r="AR797" s="500"/>
      <c r="AS797" s="500"/>
      <c r="AT797" s="500"/>
      <c r="AU797" s="500"/>
      <c r="AV797" s="500"/>
      <c r="AW797" s="500"/>
      <c r="AX797" s="500"/>
      <c r="AY797" s="500"/>
      <c r="AZ797" s="500"/>
      <c r="BA797" s="500"/>
      <c r="BB797" s="500"/>
      <c r="BC797" s="500"/>
      <c r="BD797" s="500"/>
      <c r="BE797" s="500"/>
      <c r="BF797" s="500"/>
      <c r="BG797" s="500"/>
      <c r="BH797" s="500"/>
      <c r="BI797" s="500"/>
      <c r="BJ797" s="500"/>
      <c r="BK797" s="500"/>
      <c r="BL797" s="500"/>
      <c r="BM797" s="500"/>
      <c r="BN797" s="500"/>
      <c r="BO797" s="500"/>
      <c r="BP797" s="500"/>
      <c r="BQ797" s="500"/>
      <c r="BR797" s="500"/>
      <c r="BS797" s="500"/>
      <c r="BT797" s="500"/>
      <c r="BU797" s="500"/>
      <c r="BV797" s="500"/>
    </row>
    <row r="798" ht="14.25" customHeight="1">
      <c r="A798" s="500"/>
      <c r="B798" s="500"/>
      <c r="C798" s="500"/>
      <c r="D798" s="500"/>
      <c r="E798" s="500"/>
      <c r="F798" s="500"/>
      <c r="G798" s="500"/>
      <c r="H798" s="500"/>
      <c r="I798" s="500"/>
      <c r="J798" s="500"/>
      <c r="K798" s="500"/>
      <c r="L798" s="500"/>
      <c r="M798" s="500"/>
      <c r="N798" s="500"/>
      <c r="O798" s="500"/>
      <c r="P798" s="500"/>
      <c r="Q798" s="500"/>
      <c r="R798" s="500"/>
      <c r="S798" s="500"/>
      <c r="T798" s="500"/>
      <c r="U798" s="500"/>
      <c r="V798" s="500"/>
      <c r="W798" s="500"/>
      <c r="X798" s="500"/>
      <c r="Y798" s="500"/>
      <c r="Z798" s="501"/>
      <c r="AA798" s="501"/>
      <c r="AB798" s="501"/>
      <c r="AC798" s="501"/>
      <c r="AD798" s="500"/>
      <c r="AE798" s="500"/>
      <c r="AF798" s="503"/>
      <c r="AG798" s="503"/>
      <c r="AH798" s="504"/>
      <c r="AI798" s="500"/>
      <c r="AJ798" s="500"/>
      <c r="AK798" s="500"/>
      <c r="AL798" s="500"/>
      <c r="AM798" s="500"/>
      <c r="AN798" s="500"/>
      <c r="AO798" s="500"/>
      <c r="AP798" s="500"/>
      <c r="AQ798" s="500"/>
      <c r="AR798" s="500"/>
      <c r="AS798" s="500"/>
      <c r="AT798" s="500"/>
      <c r="AU798" s="500"/>
      <c r="AV798" s="500"/>
      <c r="AW798" s="500"/>
      <c r="AX798" s="500"/>
      <c r="AY798" s="500"/>
      <c r="AZ798" s="500"/>
      <c r="BA798" s="500"/>
      <c r="BB798" s="500"/>
      <c r="BC798" s="500"/>
      <c r="BD798" s="500"/>
      <c r="BE798" s="500"/>
      <c r="BF798" s="500"/>
      <c r="BG798" s="500"/>
      <c r="BH798" s="500"/>
      <c r="BI798" s="500"/>
      <c r="BJ798" s="500"/>
      <c r="BK798" s="500"/>
      <c r="BL798" s="500"/>
      <c r="BM798" s="500"/>
      <c r="BN798" s="500"/>
      <c r="BO798" s="500"/>
      <c r="BP798" s="500"/>
      <c r="BQ798" s="500"/>
      <c r="BR798" s="500"/>
      <c r="BS798" s="500"/>
      <c r="BT798" s="500"/>
      <c r="BU798" s="500"/>
      <c r="BV798" s="500"/>
    </row>
    <row r="799" ht="14.25" customHeight="1">
      <c r="A799" s="500"/>
      <c r="B799" s="500"/>
      <c r="C799" s="500"/>
      <c r="D799" s="500"/>
      <c r="E799" s="500"/>
      <c r="F799" s="500"/>
      <c r="G799" s="500"/>
      <c r="H799" s="500"/>
      <c r="I799" s="500"/>
      <c r="J799" s="500"/>
      <c r="K799" s="500"/>
      <c r="L799" s="500"/>
      <c r="M799" s="500"/>
      <c r="N799" s="500"/>
      <c r="O799" s="500"/>
      <c r="P799" s="500"/>
      <c r="Q799" s="500"/>
      <c r="R799" s="500"/>
      <c r="S799" s="500"/>
      <c r="T799" s="500"/>
      <c r="U799" s="500"/>
      <c r="V799" s="500"/>
      <c r="W799" s="500"/>
      <c r="X799" s="500"/>
      <c r="Y799" s="500"/>
      <c r="Z799" s="501"/>
      <c r="AA799" s="501"/>
      <c r="AB799" s="501"/>
      <c r="AC799" s="501"/>
      <c r="AD799" s="500"/>
      <c r="AE799" s="500"/>
      <c r="AF799" s="503"/>
      <c r="AG799" s="503"/>
      <c r="AH799" s="504"/>
      <c r="AI799" s="500"/>
      <c r="AJ799" s="500"/>
      <c r="AK799" s="500"/>
      <c r="AL799" s="500"/>
      <c r="AM799" s="500"/>
      <c r="AN799" s="500"/>
      <c r="AO799" s="500"/>
      <c r="AP799" s="500"/>
      <c r="AQ799" s="500"/>
      <c r="AR799" s="500"/>
      <c r="AS799" s="500"/>
      <c r="AT799" s="500"/>
      <c r="AU799" s="500"/>
      <c r="AV799" s="500"/>
      <c r="AW799" s="500"/>
      <c r="AX799" s="500"/>
      <c r="AY799" s="500"/>
      <c r="AZ799" s="500"/>
      <c r="BA799" s="500"/>
      <c r="BB799" s="500"/>
      <c r="BC799" s="500"/>
      <c r="BD799" s="500"/>
      <c r="BE799" s="500"/>
      <c r="BF799" s="500"/>
      <c r="BG799" s="500"/>
      <c r="BH799" s="500"/>
      <c r="BI799" s="500"/>
      <c r="BJ799" s="500"/>
      <c r="BK799" s="500"/>
      <c r="BL799" s="500"/>
      <c r="BM799" s="500"/>
      <c r="BN799" s="500"/>
      <c r="BO799" s="500"/>
      <c r="BP799" s="500"/>
      <c r="BQ799" s="500"/>
      <c r="BR799" s="500"/>
      <c r="BS799" s="500"/>
      <c r="BT799" s="500"/>
      <c r="BU799" s="500"/>
      <c r="BV799" s="500"/>
    </row>
    <row r="800" ht="14.25" customHeight="1">
      <c r="A800" s="500"/>
      <c r="B800" s="500"/>
      <c r="C800" s="500"/>
      <c r="D800" s="500"/>
      <c r="E800" s="500"/>
      <c r="F800" s="500"/>
      <c r="G800" s="500"/>
      <c r="H800" s="500"/>
      <c r="I800" s="500"/>
      <c r="J800" s="500"/>
      <c r="K800" s="500"/>
      <c r="L800" s="500"/>
      <c r="M800" s="500"/>
      <c r="N800" s="500"/>
      <c r="O800" s="500"/>
      <c r="P800" s="500"/>
      <c r="Q800" s="500"/>
      <c r="R800" s="500"/>
      <c r="S800" s="500"/>
      <c r="T800" s="500"/>
      <c r="U800" s="500"/>
      <c r="V800" s="500"/>
      <c r="W800" s="500"/>
      <c r="X800" s="500"/>
      <c r="Y800" s="500"/>
      <c r="Z800" s="501"/>
      <c r="AA800" s="501"/>
      <c r="AB800" s="501"/>
      <c r="AC800" s="501"/>
      <c r="AD800" s="500"/>
      <c r="AE800" s="500"/>
      <c r="AF800" s="503"/>
      <c r="AG800" s="503"/>
      <c r="AH800" s="504"/>
      <c r="AI800" s="500"/>
      <c r="AJ800" s="500"/>
      <c r="AK800" s="500"/>
      <c r="AL800" s="500"/>
      <c r="AM800" s="500"/>
      <c r="AN800" s="500"/>
      <c r="AO800" s="500"/>
      <c r="AP800" s="500"/>
      <c r="AQ800" s="500"/>
      <c r="AR800" s="500"/>
      <c r="AS800" s="500"/>
      <c r="AT800" s="500"/>
      <c r="AU800" s="500"/>
      <c r="AV800" s="500"/>
      <c r="AW800" s="500"/>
      <c r="AX800" s="500"/>
      <c r="AY800" s="500"/>
      <c r="AZ800" s="500"/>
      <c r="BA800" s="500"/>
      <c r="BB800" s="500"/>
      <c r="BC800" s="500"/>
      <c r="BD800" s="500"/>
      <c r="BE800" s="500"/>
      <c r="BF800" s="500"/>
      <c r="BG800" s="500"/>
      <c r="BH800" s="500"/>
      <c r="BI800" s="500"/>
      <c r="BJ800" s="500"/>
      <c r="BK800" s="500"/>
      <c r="BL800" s="500"/>
      <c r="BM800" s="500"/>
      <c r="BN800" s="500"/>
      <c r="BO800" s="500"/>
      <c r="BP800" s="500"/>
      <c r="BQ800" s="500"/>
      <c r="BR800" s="500"/>
      <c r="BS800" s="500"/>
      <c r="BT800" s="500"/>
      <c r="BU800" s="500"/>
      <c r="BV800" s="500"/>
    </row>
    <row r="801" ht="14.25" customHeight="1">
      <c r="A801" s="500"/>
      <c r="B801" s="500"/>
      <c r="C801" s="500"/>
      <c r="D801" s="500"/>
      <c r="E801" s="500"/>
      <c r="F801" s="500"/>
      <c r="G801" s="500"/>
      <c r="H801" s="500"/>
      <c r="I801" s="500"/>
      <c r="J801" s="500"/>
      <c r="K801" s="500"/>
      <c r="L801" s="500"/>
      <c r="M801" s="500"/>
      <c r="N801" s="500"/>
      <c r="O801" s="500"/>
      <c r="P801" s="500"/>
      <c r="Q801" s="500"/>
      <c r="R801" s="500"/>
      <c r="S801" s="500"/>
      <c r="T801" s="500"/>
      <c r="U801" s="500"/>
      <c r="V801" s="500"/>
      <c r="W801" s="500"/>
      <c r="X801" s="500"/>
      <c r="Y801" s="500"/>
      <c r="Z801" s="501"/>
      <c r="AA801" s="501"/>
      <c r="AB801" s="501"/>
      <c r="AC801" s="501"/>
      <c r="AD801" s="500"/>
      <c r="AE801" s="500"/>
      <c r="AF801" s="503"/>
      <c r="AG801" s="503"/>
      <c r="AH801" s="504"/>
      <c r="AI801" s="500"/>
      <c r="AJ801" s="500"/>
      <c r="AK801" s="500"/>
      <c r="AL801" s="500"/>
      <c r="AM801" s="500"/>
      <c r="AN801" s="500"/>
      <c r="AO801" s="500"/>
      <c r="AP801" s="500"/>
      <c r="AQ801" s="500"/>
      <c r="AR801" s="500"/>
      <c r="AS801" s="500"/>
      <c r="AT801" s="500"/>
      <c r="AU801" s="500"/>
      <c r="AV801" s="500"/>
      <c r="AW801" s="500"/>
      <c r="AX801" s="500"/>
      <c r="AY801" s="500"/>
      <c r="AZ801" s="500"/>
      <c r="BA801" s="500"/>
      <c r="BB801" s="500"/>
      <c r="BC801" s="500"/>
      <c r="BD801" s="500"/>
      <c r="BE801" s="500"/>
      <c r="BF801" s="500"/>
      <c r="BG801" s="500"/>
      <c r="BH801" s="500"/>
      <c r="BI801" s="500"/>
      <c r="BJ801" s="500"/>
      <c r="BK801" s="500"/>
      <c r="BL801" s="500"/>
      <c r="BM801" s="500"/>
      <c r="BN801" s="500"/>
      <c r="BO801" s="500"/>
      <c r="BP801" s="500"/>
      <c r="BQ801" s="500"/>
      <c r="BR801" s="500"/>
      <c r="BS801" s="500"/>
      <c r="BT801" s="500"/>
      <c r="BU801" s="500"/>
      <c r="BV801" s="500"/>
    </row>
    <row r="802" ht="14.25" customHeight="1">
      <c r="A802" s="500"/>
      <c r="B802" s="500"/>
      <c r="C802" s="500"/>
      <c r="D802" s="500"/>
      <c r="E802" s="500"/>
      <c r="F802" s="500"/>
      <c r="G802" s="500"/>
      <c r="H802" s="500"/>
      <c r="I802" s="500"/>
      <c r="J802" s="500"/>
      <c r="K802" s="500"/>
      <c r="L802" s="500"/>
      <c r="M802" s="500"/>
      <c r="N802" s="500"/>
      <c r="O802" s="500"/>
      <c r="P802" s="500"/>
      <c r="Q802" s="500"/>
      <c r="R802" s="500"/>
      <c r="S802" s="500"/>
      <c r="T802" s="500"/>
      <c r="U802" s="500"/>
      <c r="V802" s="500"/>
      <c r="W802" s="500"/>
      <c r="X802" s="500"/>
      <c r="Y802" s="500"/>
      <c r="Z802" s="501"/>
      <c r="AA802" s="501"/>
      <c r="AB802" s="501"/>
      <c r="AC802" s="501"/>
      <c r="AD802" s="500"/>
      <c r="AE802" s="500"/>
      <c r="AF802" s="503"/>
      <c r="AG802" s="503"/>
      <c r="AH802" s="504"/>
      <c r="AI802" s="500"/>
      <c r="AJ802" s="500"/>
      <c r="AK802" s="500"/>
      <c r="AL802" s="500"/>
      <c r="AM802" s="500"/>
      <c r="AN802" s="500"/>
      <c r="AO802" s="500"/>
      <c r="AP802" s="500"/>
      <c r="AQ802" s="500"/>
      <c r="AR802" s="500"/>
      <c r="AS802" s="500"/>
      <c r="AT802" s="500"/>
      <c r="AU802" s="500"/>
      <c r="AV802" s="500"/>
      <c r="AW802" s="500"/>
      <c r="AX802" s="500"/>
      <c r="AY802" s="500"/>
      <c r="AZ802" s="500"/>
      <c r="BA802" s="500"/>
      <c r="BB802" s="500"/>
      <c r="BC802" s="500"/>
      <c r="BD802" s="500"/>
      <c r="BE802" s="500"/>
      <c r="BF802" s="500"/>
      <c r="BG802" s="500"/>
      <c r="BH802" s="500"/>
      <c r="BI802" s="500"/>
      <c r="BJ802" s="500"/>
      <c r="BK802" s="500"/>
      <c r="BL802" s="500"/>
      <c r="BM802" s="500"/>
      <c r="BN802" s="500"/>
      <c r="BO802" s="500"/>
      <c r="BP802" s="500"/>
      <c r="BQ802" s="500"/>
      <c r="BR802" s="500"/>
      <c r="BS802" s="500"/>
      <c r="BT802" s="500"/>
      <c r="BU802" s="500"/>
      <c r="BV802" s="500"/>
    </row>
    <row r="803" ht="14.25" customHeight="1">
      <c r="A803" s="500"/>
      <c r="B803" s="500"/>
      <c r="C803" s="500"/>
      <c r="D803" s="500"/>
      <c r="E803" s="500"/>
      <c r="F803" s="500"/>
      <c r="G803" s="500"/>
      <c r="H803" s="500"/>
      <c r="I803" s="500"/>
      <c r="J803" s="500"/>
      <c r="K803" s="500"/>
      <c r="L803" s="500"/>
      <c r="M803" s="500"/>
      <c r="N803" s="500"/>
      <c r="O803" s="500"/>
      <c r="P803" s="500"/>
      <c r="Q803" s="500"/>
      <c r="R803" s="500"/>
      <c r="S803" s="500"/>
      <c r="T803" s="500"/>
      <c r="U803" s="500"/>
      <c r="V803" s="500"/>
      <c r="W803" s="500"/>
      <c r="X803" s="500"/>
      <c r="Y803" s="500"/>
      <c r="Z803" s="501"/>
      <c r="AA803" s="501"/>
      <c r="AB803" s="501"/>
      <c r="AC803" s="501"/>
      <c r="AD803" s="500"/>
      <c r="AE803" s="500"/>
      <c r="AF803" s="503"/>
      <c r="AG803" s="503"/>
      <c r="AH803" s="504"/>
      <c r="AI803" s="500"/>
      <c r="AJ803" s="500"/>
      <c r="AK803" s="500"/>
      <c r="AL803" s="500"/>
      <c r="AM803" s="500"/>
      <c r="AN803" s="500"/>
      <c r="AO803" s="500"/>
      <c r="AP803" s="500"/>
      <c r="AQ803" s="500"/>
      <c r="AR803" s="500"/>
      <c r="AS803" s="500"/>
      <c r="AT803" s="500"/>
      <c r="AU803" s="500"/>
      <c r="AV803" s="500"/>
      <c r="AW803" s="500"/>
      <c r="AX803" s="500"/>
      <c r="AY803" s="500"/>
      <c r="AZ803" s="500"/>
      <c r="BA803" s="500"/>
      <c r="BB803" s="500"/>
      <c r="BC803" s="500"/>
      <c r="BD803" s="500"/>
      <c r="BE803" s="500"/>
      <c r="BF803" s="500"/>
      <c r="BG803" s="500"/>
      <c r="BH803" s="500"/>
      <c r="BI803" s="500"/>
      <c r="BJ803" s="500"/>
      <c r="BK803" s="500"/>
      <c r="BL803" s="500"/>
      <c r="BM803" s="500"/>
      <c r="BN803" s="500"/>
      <c r="BO803" s="500"/>
      <c r="BP803" s="500"/>
      <c r="BQ803" s="500"/>
      <c r="BR803" s="500"/>
      <c r="BS803" s="500"/>
      <c r="BT803" s="500"/>
      <c r="BU803" s="500"/>
      <c r="BV803" s="500"/>
    </row>
    <row r="804" ht="14.25" customHeight="1">
      <c r="A804" s="500"/>
      <c r="B804" s="500"/>
      <c r="C804" s="500"/>
      <c r="D804" s="500"/>
      <c r="E804" s="500"/>
      <c r="F804" s="500"/>
      <c r="G804" s="500"/>
      <c r="H804" s="500"/>
      <c r="I804" s="500"/>
      <c r="J804" s="500"/>
      <c r="K804" s="500"/>
      <c r="L804" s="500"/>
      <c r="M804" s="500"/>
      <c r="N804" s="500"/>
      <c r="O804" s="500"/>
      <c r="P804" s="500"/>
      <c r="Q804" s="500"/>
      <c r="R804" s="500"/>
      <c r="S804" s="500"/>
      <c r="T804" s="500"/>
      <c r="U804" s="500"/>
      <c r="V804" s="500"/>
      <c r="W804" s="500"/>
      <c r="X804" s="500"/>
      <c r="Y804" s="500"/>
      <c r="Z804" s="501"/>
      <c r="AA804" s="501"/>
      <c r="AB804" s="501"/>
      <c r="AC804" s="501"/>
      <c r="AD804" s="500"/>
      <c r="AE804" s="500"/>
      <c r="AF804" s="503"/>
      <c r="AG804" s="503"/>
      <c r="AH804" s="504"/>
      <c r="AI804" s="500"/>
      <c r="AJ804" s="500"/>
      <c r="AK804" s="500"/>
      <c r="AL804" s="500"/>
      <c r="AM804" s="500"/>
      <c r="AN804" s="500"/>
      <c r="AO804" s="500"/>
      <c r="AP804" s="500"/>
      <c r="AQ804" s="500"/>
      <c r="AR804" s="500"/>
      <c r="AS804" s="500"/>
      <c r="AT804" s="500"/>
      <c r="AU804" s="500"/>
      <c r="AV804" s="500"/>
      <c r="AW804" s="500"/>
      <c r="AX804" s="500"/>
      <c r="AY804" s="500"/>
      <c r="AZ804" s="500"/>
      <c r="BA804" s="500"/>
      <c r="BB804" s="500"/>
      <c r="BC804" s="500"/>
      <c r="BD804" s="500"/>
      <c r="BE804" s="500"/>
      <c r="BF804" s="500"/>
      <c r="BG804" s="500"/>
      <c r="BH804" s="500"/>
      <c r="BI804" s="500"/>
      <c r="BJ804" s="500"/>
      <c r="BK804" s="500"/>
      <c r="BL804" s="500"/>
      <c r="BM804" s="500"/>
      <c r="BN804" s="500"/>
      <c r="BO804" s="500"/>
      <c r="BP804" s="500"/>
      <c r="BQ804" s="500"/>
      <c r="BR804" s="500"/>
      <c r="BS804" s="500"/>
      <c r="BT804" s="500"/>
      <c r="BU804" s="500"/>
      <c r="BV804" s="500"/>
    </row>
    <row r="805" ht="14.25" customHeight="1">
      <c r="A805" s="500"/>
      <c r="B805" s="500"/>
      <c r="C805" s="500"/>
      <c r="D805" s="500"/>
      <c r="E805" s="500"/>
      <c r="F805" s="500"/>
      <c r="G805" s="500"/>
      <c r="H805" s="500"/>
      <c r="I805" s="500"/>
      <c r="J805" s="500"/>
      <c r="K805" s="500"/>
      <c r="L805" s="500"/>
      <c r="M805" s="500"/>
      <c r="N805" s="500"/>
      <c r="O805" s="500"/>
      <c r="P805" s="500"/>
      <c r="Q805" s="500"/>
      <c r="R805" s="500"/>
      <c r="S805" s="500"/>
      <c r="T805" s="500"/>
      <c r="U805" s="500"/>
      <c r="V805" s="500"/>
      <c r="W805" s="500"/>
      <c r="X805" s="500"/>
      <c r="Y805" s="500"/>
      <c r="Z805" s="501"/>
      <c r="AA805" s="501"/>
      <c r="AB805" s="501"/>
      <c r="AC805" s="501"/>
      <c r="AD805" s="500"/>
      <c r="AE805" s="500"/>
      <c r="AF805" s="503"/>
      <c r="AG805" s="503"/>
      <c r="AH805" s="504"/>
      <c r="AI805" s="500"/>
      <c r="AJ805" s="500"/>
      <c r="AK805" s="500"/>
      <c r="AL805" s="500"/>
      <c r="AM805" s="500"/>
      <c r="AN805" s="500"/>
      <c r="AO805" s="500"/>
      <c r="AP805" s="500"/>
      <c r="AQ805" s="500"/>
      <c r="AR805" s="500"/>
      <c r="AS805" s="500"/>
      <c r="AT805" s="500"/>
      <c r="AU805" s="500"/>
      <c r="AV805" s="500"/>
      <c r="AW805" s="500"/>
      <c r="AX805" s="500"/>
      <c r="AY805" s="500"/>
      <c r="AZ805" s="500"/>
      <c r="BA805" s="500"/>
      <c r="BB805" s="500"/>
      <c r="BC805" s="500"/>
      <c r="BD805" s="500"/>
      <c r="BE805" s="500"/>
      <c r="BF805" s="500"/>
      <c r="BG805" s="500"/>
      <c r="BH805" s="500"/>
      <c r="BI805" s="500"/>
      <c r="BJ805" s="500"/>
      <c r="BK805" s="500"/>
      <c r="BL805" s="500"/>
      <c r="BM805" s="500"/>
      <c r="BN805" s="500"/>
      <c r="BO805" s="500"/>
      <c r="BP805" s="500"/>
      <c r="BQ805" s="500"/>
      <c r="BR805" s="500"/>
      <c r="BS805" s="500"/>
      <c r="BT805" s="500"/>
      <c r="BU805" s="500"/>
      <c r="BV805" s="500"/>
    </row>
    <row r="806" ht="14.25" customHeight="1">
      <c r="A806" s="500"/>
      <c r="B806" s="500"/>
      <c r="C806" s="500"/>
      <c r="D806" s="500"/>
      <c r="E806" s="500"/>
      <c r="F806" s="500"/>
      <c r="G806" s="500"/>
      <c r="H806" s="500"/>
      <c r="I806" s="500"/>
      <c r="J806" s="500"/>
      <c r="K806" s="500"/>
      <c r="L806" s="500"/>
      <c r="M806" s="500"/>
      <c r="N806" s="500"/>
      <c r="O806" s="500"/>
      <c r="P806" s="500"/>
      <c r="Q806" s="500"/>
      <c r="R806" s="500"/>
      <c r="S806" s="500"/>
      <c r="T806" s="500"/>
      <c r="U806" s="500"/>
      <c r="V806" s="500"/>
      <c r="W806" s="500"/>
      <c r="X806" s="500"/>
      <c r="Y806" s="500"/>
      <c r="Z806" s="501"/>
      <c r="AA806" s="501"/>
      <c r="AB806" s="501"/>
      <c r="AC806" s="501"/>
      <c r="AD806" s="500"/>
      <c r="AE806" s="500"/>
      <c r="AF806" s="503"/>
      <c r="AG806" s="503"/>
      <c r="AH806" s="504"/>
      <c r="AI806" s="500"/>
      <c r="AJ806" s="500"/>
      <c r="AK806" s="500"/>
      <c r="AL806" s="500"/>
      <c r="AM806" s="500"/>
      <c r="AN806" s="500"/>
      <c r="AO806" s="500"/>
      <c r="AP806" s="500"/>
      <c r="AQ806" s="500"/>
      <c r="AR806" s="500"/>
      <c r="AS806" s="500"/>
      <c r="AT806" s="500"/>
      <c r="AU806" s="500"/>
      <c r="AV806" s="500"/>
      <c r="AW806" s="500"/>
      <c r="AX806" s="500"/>
      <c r="AY806" s="500"/>
      <c r="AZ806" s="500"/>
      <c r="BA806" s="500"/>
      <c r="BB806" s="500"/>
      <c r="BC806" s="500"/>
      <c r="BD806" s="500"/>
      <c r="BE806" s="500"/>
      <c r="BF806" s="500"/>
      <c r="BG806" s="500"/>
      <c r="BH806" s="500"/>
      <c r="BI806" s="500"/>
      <c r="BJ806" s="500"/>
      <c r="BK806" s="500"/>
      <c r="BL806" s="500"/>
      <c r="BM806" s="500"/>
      <c r="BN806" s="500"/>
      <c r="BO806" s="500"/>
      <c r="BP806" s="500"/>
      <c r="BQ806" s="500"/>
      <c r="BR806" s="500"/>
      <c r="BS806" s="500"/>
      <c r="BT806" s="500"/>
      <c r="BU806" s="500"/>
      <c r="BV806" s="500"/>
    </row>
    <row r="807" ht="14.25" customHeight="1">
      <c r="A807" s="500"/>
      <c r="B807" s="500"/>
      <c r="C807" s="500"/>
      <c r="D807" s="500"/>
      <c r="E807" s="500"/>
      <c r="F807" s="500"/>
      <c r="G807" s="500"/>
      <c r="H807" s="500"/>
      <c r="I807" s="500"/>
      <c r="J807" s="500"/>
      <c r="K807" s="500"/>
      <c r="L807" s="500"/>
      <c r="M807" s="500"/>
      <c r="N807" s="500"/>
      <c r="O807" s="500"/>
      <c r="P807" s="500"/>
      <c r="Q807" s="500"/>
      <c r="R807" s="500"/>
      <c r="S807" s="500"/>
      <c r="T807" s="500"/>
      <c r="U807" s="500"/>
      <c r="V807" s="500"/>
      <c r="W807" s="500"/>
      <c r="X807" s="500"/>
      <c r="Y807" s="500"/>
      <c r="Z807" s="501"/>
      <c r="AA807" s="501"/>
      <c r="AB807" s="501"/>
      <c r="AC807" s="501"/>
      <c r="AD807" s="500"/>
      <c r="AE807" s="500"/>
      <c r="AF807" s="503"/>
      <c r="AG807" s="503"/>
      <c r="AH807" s="504"/>
      <c r="AI807" s="500"/>
      <c r="AJ807" s="500"/>
      <c r="AK807" s="500"/>
      <c r="AL807" s="500"/>
      <c r="AM807" s="500"/>
      <c r="AN807" s="500"/>
      <c r="AO807" s="500"/>
      <c r="AP807" s="500"/>
      <c r="AQ807" s="500"/>
      <c r="AR807" s="500"/>
      <c r="AS807" s="500"/>
      <c r="AT807" s="500"/>
      <c r="AU807" s="500"/>
      <c r="AV807" s="500"/>
      <c r="AW807" s="500"/>
      <c r="AX807" s="500"/>
      <c r="AY807" s="500"/>
      <c r="AZ807" s="500"/>
      <c r="BA807" s="500"/>
      <c r="BB807" s="500"/>
      <c r="BC807" s="500"/>
      <c r="BD807" s="500"/>
      <c r="BE807" s="500"/>
      <c r="BF807" s="500"/>
      <c r="BG807" s="500"/>
      <c r="BH807" s="500"/>
      <c r="BI807" s="500"/>
      <c r="BJ807" s="500"/>
      <c r="BK807" s="500"/>
      <c r="BL807" s="500"/>
      <c r="BM807" s="500"/>
      <c r="BN807" s="500"/>
      <c r="BO807" s="500"/>
      <c r="BP807" s="500"/>
      <c r="BQ807" s="500"/>
      <c r="BR807" s="500"/>
      <c r="BS807" s="500"/>
      <c r="BT807" s="500"/>
      <c r="BU807" s="500"/>
      <c r="BV807" s="500"/>
    </row>
    <row r="808" ht="14.25" customHeight="1">
      <c r="A808" s="500"/>
      <c r="B808" s="500"/>
      <c r="C808" s="500"/>
      <c r="D808" s="500"/>
      <c r="E808" s="500"/>
      <c r="F808" s="500"/>
      <c r="G808" s="500"/>
      <c r="H808" s="500"/>
      <c r="I808" s="500"/>
      <c r="J808" s="500"/>
      <c r="K808" s="500"/>
      <c r="L808" s="500"/>
      <c r="M808" s="500"/>
      <c r="N808" s="500"/>
      <c r="O808" s="500"/>
      <c r="P808" s="500"/>
      <c r="Q808" s="500"/>
      <c r="R808" s="500"/>
      <c r="S808" s="500"/>
      <c r="T808" s="500"/>
      <c r="U808" s="500"/>
      <c r="V808" s="500"/>
      <c r="W808" s="500"/>
      <c r="X808" s="500"/>
      <c r="Y808" s="500"/>
      <c r="Z808" s="501"/>
      <c r="AA808" s="501"/>
      <c r="AB808" s="501"/>
      <c r="AC808" s="501"/>
      <c r="AD808" s="500"/>
      <c r="AE808" s="500"/>
      <c r="AF808" s="503"/>
      <c r="AG808" s="503"/>
      <c r="AH808" s="504"/>
      <c r="AI808" s="500"/>
      <c r="AJ808" s="500"/>
      <c r="AK808" s="500"/>
      <c r="AL808" s="500"/>
      <c r="AM808" s="500"/>
      <c r="AN808" s="500"/>
      <c r="AO808" s="500"/>
      <c r="AP808" s="500"/>
      <c r="AQ808" s="500"/>
      <c r="AR808" s="500"/>
      <c r="AS808" s="500"/>
      <c r="AT808" s="500"/>
      <c r="AU808" s="500"/>
      <c r="AV808" s="500"/>
      <c r="AW808" s="500"/>
      <c r="AX808" s="500"/>
      <c r="AY808" s="500"/>
      <c r="AZ808" s="500"/>
      <c r="BA808" s="500"/>
      <c r="BB808" s="500"/>
      <c r="BC808" s="500"/>
      <c r="BD808" s="500"/>
      <c r="BE808" s="500"/>
      <c r="BF808" s="500"/>
      <c r="BG808" s="500"/>
      <c r="BH808" s="500"/>
      <c r="BI808" s="500"/>
      <c r="BJ808" s="500"/>
      <c r="BK808" s="500"/>
      <c r="BL808" s="500"/>
      <c r="BM808" s="500"/>
      <c r="BN808" s="500"/>
      <c r="BO808" s="500"/>
      <c r="BP808" s="500"/>
      <c r="BQ808" s="500"/>
      <c r="BR808" s="500"/>
      <c r="BS808" s="500"/>
      <c r="BT808" s="500"/>
      <c r="BU808" s="500"/>
      <c r="BV808" s="500"/>
    </row>
    <row r="809" ht="14.25" customHeight="1">
      <c r="A809" s="500"/>
      <c r="B809" s="500"/>
      <c r="C809" s="500"/>
      <c r="D809" s="500"/>
      <c r="E809" s="500"/>
      <c r="F809" s="500"/>
      <c r="G809" s="500"/>
      <c r="H809" s="500"/>
      <c r="I809" s="500"/>
      <c r="J809" s="500"/>
      <c r="K809" s="500"/>
      <c r="L809" s="500"/>
      <c r="M809" s="500"/>
      <c r="N809" s="500"/>
      <c r="O809" s="500"/>
      <c r="P809" s="500"/>
      <c r="Q809" s="500"/>
      <c r="R809" s="500"/>
      <c r="S809" s="500"/>
      <c r="T809" s="500"/>
      <c r="U809" s="500"/>
      <c r="V809" s="500"/>
      <c r="W809" s="500"/>
      <c r="X809" s="500"/>
      <c r="Y809" s="500"/>
      <c r="Z809" s="501"/>
      <c r="AA809" s="501"/>
      <c r="AB809" s="501"/>
      <c r="AC809" s="501"/>
      <c r="AD809" s="500"/>
      <c r="AE809" s="500"/>
      <c r="AF809" s="503"/>
      <c r="AG809" s="503"/>
      <c r="AH809" s="504"/>
      <c r="AI809" s="500"/>
      <c r="AJ809" s="500"/>
      <c r="AK809" s="500"/>
      <c r="AL809" s="500"/>
      <c r="AM809" s="500"/>
      <c r="AN809" s="500"/>
      <c r="AO809" s="500"/>
      <c r="AP809" s="500"/>
      <c r="AQ809" s="500"/>
      <c r="AR809" s="500"/>
      <c r="AS809" s="500"/>
      <c r="AT809" s="500"/>
      <c r="AU809" s="500"/>
      <c r="AV809" s="500"/>
      <c r="AW809" s="500"/>
      <c r="AX809" s="500"/>
      <c r="AY809" s="500"/>
      <c r="AZ809" s="500"/>
      <c r="BA809" s="500"/>
      <c r="BB809" s="500"/>
      <c r="BC809" s="500"/>
      <c r="BD809" s="500"/>
      <c r="BE809" s="500"/>
      <c r="BF809" s="500"/>
      <c r="BG809" s="500"/>
      <c r="BH809" s="500"/>
      <c r="BI809" s="500"/>
      <c r="BJ809" s="500"/>
      <c r="BK809" s="500"/>
      <c r="BL809" s="500"/>
      <c r="BM809" s="500"/>
      <c r="BN809" s="500"/>
      <c r="BO809" s="500"/>
      <c r="BP809" s="500"/>
      <c r="BQ809" s="500"/>
      <c r="BR809" s="500"/>
      <c r="BS809" s="500"/>
      <c r="BT809" s="500"/>
      <c r="BU809" s="500"/>
      <c r="BV809" s="500"/>
    </row>
    <row r="810" ht="14.25" customHeight="1">
      <c r="A810" s="500"/>
      <c r="B810" s="500"/>
      <c r="C810" s="500"/>
      <c r="D810" s="500"/>
      <c r="E810" s="500"/>
      <c r="F810" s="500"/>
      <c r="G810" s="500"/>
      <c r="H810" s="500"/>
      <c r="I810" s="500"/>
      <c r="J810" s="500"/>
      <c r="K810" s="500"/>
      <c r="L810" s="500"/>
      <c r="M810" s="500"/>
      <c r="N810" s="500"/>
      <c r="O810" s="500"/>
      <c r="P810" s="500"/>
      <c r="Q810" s="500"/>
      <c r="R810" s="500"/>
      <c r="S810" s="500"/>
      <c r="T810" s="500"/>
      <c r="U810" s="500"/>
      <c r="V810" s="500"/>
      <c r="W810" s="500"/>
      <c r="X810" s="500"/>
      <c r="Y810" s="500"/>
      <c r="Z810" s="501"/>
      <c r="AA810" s="501"/>
      <c r="AB810" s="501"/>
      <c r="AC810" s="501"/>
      <c r="AD810" s="500"/>
      <c r="AE810" s="500"/>
      <c r="AF810" s="503"/>
      <c r="AG810" s="503"/>
      <c r="AH810" s="504"/>
      <c r="AI810" s="500"/>
      <c r="AJ810" s="500"/>
      <c r="AK810" s="500"/>
      <c r="AL810" s="500"/>
      <c r="AM810" s="500"/>
      <c r="AN810" s="500"/>
      <c r="AO810" s="500"/>
      <c r="AP810" s="500"/>
      <c r="AQ810" s="500"/>
      <c r="AR810" s="500"/>
      <c r="AS810" s="500"/>
      <c r="AT810" s="500"/>
      <c r="AU810" s="500"/>
      <c r="AV810" s="500"/>
      <c r="AW810" s="500"/>
      <c r="AX810" s="500"/>
      <c r="AY810" s="500"/>
      <c r="AZ810" s="500"/>
      <c r="BA810" s="500"/>
      <c r="BB810" s="500"/>
      <c r="BC810" s="500"/>
      <c r="BD810" s="500"/>
      <c r="BE810" s="500"/>
      <c r="BF810" s="500"/>
      <c r="BG810" s="500"/>
      <c r="BH810" s="500"/>
      <c r="BI810" s="500"/>
      <c r="BJ810" s="500"/>
      <c r="BK810" s="500"/>
      <c r="BL810" s="500"/>
      <c r="BM810" s="500"/>
      <c r="BN810" s="500"/>
      <c r="BO810" s="500"/>
      <c r="BP810" s="500"/>
      <c r="BQ810" s="500"/>
      <c r="BR810" s="500"/>
      <c r="BS810" s="500"/>
      <c r="BT810" s="500"/>
      <c r="BU810" s="500"/>
      <c r="BV810" s="500"/>
    </row>
    <row r="811" ht="14.25" customHeight="1">
      <c r="A811" s="500"/>
      <c r="B811" s="500"/>
      <c r="C811" s="500"/>
      <c r="D811" s="500"/>
      <c r="E811" s="500"/>
      <c r="F811" s="500"/>
      <c r="G811" s="500"/>
      <c r="H811" s="500"/>
      <c r="I811" s="500"/>
      <c r="J811" s="500"/>
      <c r="K811" s="500"/>
      <c r="L811" s="500"/>
      <c r="M811" s="500"/>
      <c r="N811" s="500"/>
      <c r="O811" s="500"/>
      <c r="P811" s="500"/>
      <c r="Q811" s="500"/>
      <c r="R811" s="500"/>
      <c r="S811" s="500"/>
      <c r="T811" s="500"/>
      <c r="U811" s="500"/>
      <c r="V811" s="500"/>
      <c r="W811" s="500"/>
      <c r="X811" s="500"/>
      <c r="Y811" s="500"/>
      <c r="Z811" s="501"/>
      <c r="AA811" s="501"/>
      <c r="AB811" s="501"/>
      <c r="AC811" s="501"/>
      <c r="AD811" s="500"/>
      <c r="AE811" s="500"/>
      <c r="AF811" s="503"/>
      <c r="AG811" s="503"/>
      <c r="AH811" s="504"/>
      <c r="AI811" s="500"/>
      <c r="AJ811" s="500"/>
      <c r="AK811" s="500"/>
      <c r="AL811" s="500"/>
      <c r="AM811" s="500"/>
      <c r="AN811" s="500"/>
      <c r="AO811" s="500"/>
      <c r="AP811" s="500"/>
      <c r="AQ811" s="500"/>
      <c r="AR811" s="500"/>
      <c r="AS811" s="500"/>
      <c r="AT811" s="500"/>
      <c r="AU811" s="500"/>
      <c r="AV811" s="500"/>
      <c r="AW811" s="500"/>
      <c r="AX811" s="500"/>
      <c r="AY811" s="500"/>
      <c r="AZ811" s="500"/>
      <c r="BA811" s="500"/>
      <c r="BB811" s="500"/>
      <c r="BC811" s="500"/>
      <c r="BD811" s="500"/>
      <c r="BE811" s="500"/>
      <c r="BF811" s="500"/>
      <c r="BG811" s="500"/>
      <c r="BH811" s="500"/>
      <c r="BI811" s="500"/>
      <c r="BJ811" s="500"/>
      <c r="BK811" s="500"/>
      <c r="BL811" s="500"/>
      <c r="BM811" s="500"/>
      <c r="BN811" s="500"/>
      <c r="BO811" s="500"/>
      <c r="BP811" s="500"/>
      <c r="BQ811" s="500"/>
      <c r="BR811" s="500"/>
      <c r="BS811" s="500"/>
      <c r="BT811" s="500"/>
      <c r="BU811" s="500"/>
      <c r="BV811" s="500"/>
    </row>
    <row r="812" ht="14.25" customHeight="1">
      <c r="A812" s="500"/>
      <c r="B812" s="500"/>
      <c r="C812" s="500"/>
      <c r="D812" s="500"/>
      <c r="E812" s="500"/>
      <c r="F812" s="500"/>
      <c r="G812" s="500"/>
      <c r="H812" s="500"/>
      <c r="I812" s="500"/>
      <c r="J812" s="500"/>
      <c r="K812" s="500"/>
      <c r="L812" s="500"/>
      <c r="M812" s="500"/>
      <c r="N812" s="500"/>
      <c r="O812" s="500"/>
      <c r="P812" s="500"/>
      <c r="Q812" s="500"/>
      <c r="R812" s="500"/>
      <c r="S812" s="500"/>
      <c r="T812" s="500"/>
      <c r="U812" s="500"/>
      <c r="V812" s="500"/>
      <c r="W812" s="500"/>
      <c r="X812" s="500"/>
      <c r="Y812" s="500"/>
      <c r="Z812" s="501"/>
      <c r="AA812" s="501"/>
      <c r="AB812" s="501"/>
      <c r="AC812" s="501"/>
      <c r="AD812" s="500"/>
      <c r="AE812" s="500"/>
      <c r="AF812" s="503"/>
      <c r="AG812" s="503"/>
      <c r="AH812" s="504"/>
      <c r="AI812" s="500"/>
      <c r="AJ812" s="500"/>
      <c r="AK812" s="500"/>
      <c r="AL812" s="500"/>
      <c r="AM812" s="500"/>
      <c r="AN812" s="500"/>
      <c r="AO812" s="500"/>
      <c r="AP812" s="500"/>
      <c r="AQ812" s="500"/>
      <c r="AR812" s="500"/>
      <c r="AS812" s="500"/>
      <c r="AT812" s="500"/>
      <c r="AU812" s="500"/>
      <c r="AV812" s="500"/>
      <c r="AW812" s="500"/>
      <c r="AX812" s="500"/>
      <c r="AY812" s="500"/>
      <c r="AZ812" s="500"/>
      <c r="BA812" s="500"/>
      <c r="BB812" s="500"/>
      <c r="BC812" s="500"/>
      <c r="BD812" s="500"/>
      <c r="BE812" s="500"/>
      <c r="BF812" s="500"/>
      <c r="BG812" s="500"/>
      <c r="BH812" s="500"/>
      <c r="BI812" s="500"/>
      <c r="BJ812" s="500"/>
      <c r="BK812" s="500"/>
      <c r="BL812" s="500"/>
      <c r="BM812" s="500"/>
      <c r="BN812" s="500"/>
      <c r="BO812" s="500"/>
      <c r="BP812" s="500"/>
      <c r="BQ812" s="500"/>
      <c r="BR812" s="500"/>
      <c r="BS812" s="500"/>
      <c r="BT812" s="500"/>
      <c r="BU812" s="500"/>
      <c r="BV812" s="500"/>
    </row>
    <row r="813" ht="14.25" customHeight="1">
      <c r="A813" s="500"/>
      <c r="B813" s="500"/>
      <c r="C813" s="500"/>
      <c r="D813" s="500"/>
      <c r="E813" s="500"/>
      <c r="F813" s="500"/>
      <c r="G813" s="500"/>
      <c r="H813" s="500"/>
      <c r="I813" s="500"/>
      <c r="J813" s="500"/>
      <c r="K813" s="500"/>
      <c r="L813" s="500"/>
      <c r="M813" s="500"/>
      <c r="N813" s="500"/>
      <c r="O813" s="500"/>
      <c r="P813" s="500"/>
      <c r="Q813" s="500"/>
      <c r="R813" s="500"/>
      <c r="S813" s="500"/>
      <c r="T813" s="500"/>
      <c r="U813" s="500"/>
      <c r="V813" s="500"/>
      <c r="W813" s="500"/>
      <c r="X813" s="500"/>
      <c r="Y813" s="500"/>
      <c r="Z813" s="501"/>
      <c r="AA813" s="501"/>
      <c r="AB813" s="501"/>
      <c r="AC813" s="501"/>
      <c r="AD813" s="500"/>
      <c r="AE813" s="500"/>
      <c r="AF813" s="503"/>
      <c r="AG813" s="503"/>
      <c r="AH813" s="504"/>
      <c r="AI813" s="500"/>
      <c r="AJ813" s="500"/>
      <c r="AK813" s="500"/>
      <c r="AL813" s="500"/>
      <c r="AM813" s="500"/>
      <c r="AN813" s="500"/>
      <c r="AO813" s="500"/>
      <c r="AP813" s="500"/>
      <c r="AQ813" s="500"/>
      <c r="AR813" s="500"/>
      <c r="AS813" s="500"/>
      <c r="AT813" s="500"/>
      <c r="AU813" s="500"/>
      <c r="AV813" s="500"/>
      <c r="AW813" s="500"/>
      <c r="AX813" s="500"/>
      <c r="AY813" s="500"/>
      <c r="AZ813" s="500"/>
      <c r="BA813" s="500"/>
      <c r="BB813" s="500"/>
      <c r="BC813" s="500"/>
      <c r="BD813" s="500"/>
      <c r="BE813" s="500"/>
      <c r="BF813" s="500"/>
      <c r="BG813" s="500"/>
      <c r="BH813" s="500"/>
      <c r="BI813" s="500"/>
      <c r="BJ813" s="500"/>
      <c r="BK813" s="500"/>
      <c r="BL813" s="500"/>
      <c r="BM813" s="500"/>
      <c r="BN813" s="500"/>
      <c r="BO813" s="500"/>
      <c r="BP813" s="500"/>
      <c r="BQ813" s="500"/>
      <c r="BR813" s="500"/>
      <c r="BS813" s="500"/>
      <c r="BT813" s="500"/>
      <c r="BU813" s="500"/>
      <c r="BV813" s="500"/>
    </row>
    <row r="814" ht="14.25" customHeight="1">
      <c r="A814" s="500"/>
      <c r="B814" s="500"/>
      <c r="C814" s="500"/>
      <c r="D814" s="500"/>
      <c r="E814" s="500"/>
      <c r="F814" s="500"/>
      <c r="G814" s="500"/>
      <c r="H814" s="500"/>
      <c r="I814" s="500"/>
      <c r="J814" s="500"/>
      <c r="K814" s="500"/>
      <c r="L814" s="500"/>
      <c r="M814" s="500"/>
      <c r="N814" s="500"/>
      <c r="O814" s="500"/>
      <c r="P814" s="500"/>
      <c r="Q814" s="500"/>
      <c r="R814" s="500"/>
      <c r="S814" s="500"/>
      <c r="T814" s="500"/>
      <c r="U814" s="500"/>
      <c r="V814" s="500"/>
      <c r="W814" s="500"/>
      <c r="X814" s="500"/>
      <c r="Y814" s="500"/>
      <c r="Z814" s="501"/>
      <c r="AA814" s="501"/>
      <c r="AB814" s="501"/>
      <c r="AC814" s="501"/>
      <c r="AD814" s="500"/>
      <c r="AE814" s="500"/>
      <c r="AF814" s="503"/>
      <c r="AG814" s="503"/>
      <c r="AH814" s="504"/>
      <c r="AI814" s="500"/>
      <c r="AJ814" s="500"/>
      <c r="AK814" s="500"/>
      <c r="AL814" s="500"/>
      <c r="AM814" s="500"/>
      <c r="AN814" s="500"/>
      <c r="AO814" s="500"/>
      <c r="AP814" s="500"/>
      <c r="AQ814" s="500"/>
      <c r="AR814" s="500"/>
      <c r="AS814" s="500"/>
      <c r="AT814" s="500"/>
      <c r="AU814" s="500"/>
      <c r="AV814" s="500"/>
      <c r="AW814" s="500"/>
      <c r="AX814" s="500"/>
      <c r="AY814" s="500"/>
      <c r="AZ814" s="500"/>
      <c r="BA814" s="500"/>
      <c r="BB814" s="500"/>
      <c r="BC814" s="500"/>
      <c r="BD814" s="500"/>
      <c r="BE814" s="500"/>
      <c r="BF814" s="500"/>
      <c r="BG814" s="500"/>
      <c r="BH814" s="500"/>
      <c r="BI814" s="500"/>
      <c r="BJ814" s="500"/>
      <c r="BK814" s="500"/>
      <c r="BL814" s="500"/>
      <c r="BM814" s="500"/>
      <c r="BN814" s="500"/>
      <c r="BO814" s="500"/>
      <c r="BP814" s="500"/>
      <c r="BQ814" s="500"/>
      <c r="BR814" s="500"/>
      <c r="BS814" s="500"/>
      <c r="BT814" s="500"/>
      <c r="BU814" s="500"/>
      <c r="BV814" s="500"/>
    </row>
    <row r="815" ht="14.25" customHeight="1">
      <c r="A815" s="500"/>
      <c r="B815" s="500"/>
      <c r="C815" s="500"/>
      <c r="D815" s="500"/>
      <c r="E815" s="500"/>
      <c r="F815" s="500"/>
      <c r="G815" s="500"/>
      <c r="H815" s="500"/>
      <c r="I815" s="500"/>
      <c r="J815" s="500"/>
      <c r="K815" s="500"/>
      <c r="L815" s="500"/>
      <c r="M815" s="500"/>
      <c r="N815" s="500"/>
      <c r="O815" s="500"/>
      <c r="P815" s="500"/>
      <c r="Q815" s="500"/>
      <c r="R815" s="500"/>
      <c r="S815" s="500"/>
      <c r="T815" s="500"/>
      <c r="U815" s="500"/>
      <c r="V815" s="500"/>
      <c r="W815" s="500"/>
      <c r="X815" s="500"/>
      <c r="Y815" s="500"/>
      <c r="Z815" s="501"/>
      <c r="AA815" s="501"/>
      <c r="AB815" s="501"/>
      <c r="AC815" s="501"/>
      <c r="AD815" s="500"/>
      <c r="AE815" s="500"/>
      <c r="AF815" s="503"/>
      <c r="AG815" s="503"/>
      <c r="AH815" s="504"/>
      <c r="AI815" s="500"/>
      <c r="AJ815" s="500"/>
      <c r="AK815" s="500"/>
      <c r="AL815" s="500"/>
      <c r="AM815" s="500"/>
      <c r="AN815" s="500"/>
      <c r="AO815" s="500"/>
      <c r="AP815" s="500"/>
      <c r="AQ815" s="500"/>
      <c r="AR815" s="500"/>
      <c r="AS815" s="500"/>
      <c r="AT815" s="500"/>
      <c r="AU815" s="500"/>
      <c r="AV815" s="500"/>
      <c r="AW815" s="500"/>
      <c r="AX815" s="500"/>
      <c r="AY815" s="500"/>
      <c r="AZ815" s="500"/>
      <c r="BA815" s="500"/>
      <c r="BB815" s="500"/>
      <c r="BC815" s="500"/>
      <c r="BD815" s="500"/>
      <c r="BE815" s="500"/>
      <c r="BF815" s="500"/>
      <c r="BG815" s="500"/>
      <c r="BH815" s="500"/>
      <c r="BI815" s="500"/>
      <c r="BJ815" s="500"/>
      <c r="BK815" s="500"/>
      <c r="BL815" s="500"/>
      <c r="BM815" s="500"/>
      <c r="BN815" s="500"/>
      <c r="BO815" s="500"/>
      <c r="BP815" s="500"/>
      <c r="BQ815" s="500"/>
      <c r="BR815" s="500"/>
      <c r="BS815" s="500"/>
      <c r="BT815" s="500"/>
      <c r="BU815" s="500"/>
      <c r="BV815" s="500"/>
    </row>
    <row r="816" ht="14.25" customHeight="1">
      <c r="A816" s="500"/>
      <c r="B816" s="500"/>
      <c r="C816" s="500"/>
      <c r="D816" s="500"/>
      <c r="E816" s="500"/>
      <c r="F816" s="500"/>
      <c r="G816" s="500"/>
      <c r="H816" s="500"/>
      <c r="I816" s="500"/>
      <c r="J816" s="500"/>
      <c r="K816" s="500"/>
      <c r="L816" s="500"/>
      <c r="M816" s="500"/>
      <c r="N816" s="500"/>
      <c r="O816" s="500"/>
      <c r="P816" s="500"/>
      <c r="Q816" s="500"/>
      <c r="R816" s="500"/>
      <c r="S816" s="500"/>
      <c r="T816" s="500"/>
      <c r="U816" s="500"/>
      <c r="V816" s="500"/>
      <c r="W816" s="500"/>
      <c r="X816" s="500"/>
      <c r="Y816" s="500"/>
      <c r="Z816" s="501"/>
      <c r="AA816" s="501"/>
      <c r="AB816" s="501"/>
      <c r="AC816" s="501"/>
      <c r="AD816" s="500"/>
      <c r="AE816" s="500"/>
      <c r="AF816" s="503"/>
      <c r="AG816" s="503"/>
      <c r="AH816" s="504"/>
      <c r="AI816" s="500"/>
      <c r="AJ816" s="500"/>
      <c r="AK816" s="500"/>
      <c r="AL816" s="500"/>
      <c r="AM816" s="500"/>
      <c r="AN816" s="500"/>
      <c r="AO816" s="500"/>
      <c r="AP816" s="500"/>
      <c r="AQ816" s="500"/>
      <c r="AR816" s="500"/>
      <c r="AS816" s="500"/>
      <c r="AT816" s="500"/>
      <c r="AU816" s="500"/>
      <c r="AV816" s="500"/>
      <c r="AW816" s="500"/>
      <c r="AX816" s="500"/>
      <c r="AY816" s="500"/>
      <c r="AZ816" s="500"/>
      <c r="BA816" s="500"/>
      <c r="BB816" s="500"/>
      <c r="BC816" s="500"/>
      <c r="BD816" s="500"/>
      <c r="BE816" s="500"/>
      <c r="BF816" s="500"/>
      <c r="BG816" s="500"/>
      <c r="BH816" s="500"/>
      <c r="BI816" s="500"/>
      <c r="BJ816" s="500"/>
      <c r="BK816" s="500"/>
      <c r="BL816" s="500"/>
      <c r="BM816" s="500"/>
      <c r="BN816" s="500"/>
      <c r="BO816" s="500"/>
      <c r="BP816" s="500"/>
      <c r="BQ816" s="500"/>
      <c r="BR816" s="500"/>
      <c r="BS816" s="500"/>
      <c r="BT816" s="500"/>
      <c r="BU816" s="500"/>
      <c r="BV816" s="500"/>
    </row>
    <row r="817" ht="14.25" customHeight="1">
      <c r="A817" s="500"/>
      <c r="B817" s="500"/>
      <c r="C817" s="500"/>
      <c r="D817" s="500"/>
      <c r="E817" s="500"/>
      <c r="F817" s="500"/>
      <c r="G817" s="500"/>
      <c r="H817" s="500"/>
      <c r="I817" s="500"/>
      <c r="J817" s="500"/>
      <c r="K817" s="500"/>
      <c r="L817" s="500"/>
      <c r="M817" s="500"/>
      <c r="N817" s="500"/>
      <c r="O817" s="500"/>
      <c r="P817" s="500"/>
      <c r="Q817" s="500"/>
      <c r="R817" s="500"/>
      <c r="S817" s="500"/>
      <c r="T817" s="500"/>
      <c r="U817" s="500"/>
      <c r="V817" s="500"/>
      <c r="W817" s="500"/>
      <c r="X817" s="500"/>
      <c r="Y817" s="500"/>
      <c r="Z817" s="501"/>
      <c r="AA817" s="501"/>
      <c r="AB817" s="501"/>
      <c r="AC817" s="501"/>
      <c r="AD817" s="500"/>
      <c r="AE817" s="500"/>
      <c r="AF817" s="503"/>
      <c r="AG817" s="503"/>
      <c r="AH817" s="504"/>
      <c r="AI817" s="500"/>
      <c r="AJ817" s="500"/>
      <c r="AK817" s="500"/>
      <c r="AL817" s="500"/>
      <c r="AM817" s="500"/>
      <c r="AN817" s="500"/>
      <c r="AO817" s="500"/>
      <c r="AP817" s="500"/>
      <c r="AQ817" s="500"/>
      <c r="AR817" s="500"/>
      <c r="AS817" s="500"/>
      <c r="AT817" s="500"/>
      <c r="AU817" s="500"/>
      <c r="AV817" s="500"/>
      <c r="AW817" s="500"/>
      <c r="AX817" s="500"/>
      <c r="AY817" s="500"/>
      <c r="AZ817" s="500"/>
      <c r="BA817" s="500"/>
      <c r="BB817" s="500"/>
      <c r="BC817" s="500"/>
      <c r="BD817" s="500"/>
      <c r="BE817" s="500"/>
      <c r="BF817" s="500"/>
      <c r="BG817" s="500"/>
      <c r="BH817" s="500"/>
      <c r="BI817" s="500"/>
      <c r="BJ817" s="500"/>
      <c r="BK817" s="500"/>
      <c r="BL817" s="500"/>
      <c r="BM817" s="500"/>
      <c r="BN817" s="500"/>
      <c r="BO817" s="500"/>
      <c r="BP817" s="500"/>
      <c r="BQ817" s="500"/>
      <c r="BR817" s="500"/>
      <c r="BS817" s="500"/>
      <c r="BT817" s="500"/>
      <c r="BU817" s="500"/>
      <c r="BV817" s="500"/>
    </row>
    <row r="818" ht="14.25" customHeight="1">
      <c r="A818" s="500"/>
      <c r="B818" s="500"/>
      <c r="C818" s="500"/>
      <c r="D818" s="500"/>
      <c r="E818" s="500"/>
      <c r="F818" s="500"/>
      <c r="G818" s="500"/>
      <c r="H818" s="500"/>
      <c r="I818" s="500"/>
      <c r="J818" s="500"/>
      <c r="K818" s="500"/>
      <c r="L818" s="500"/>
      <c r="M818" s="500"/>
      <c r="N818" s="500"/>
      <c r="O818" s="500"/>
      <c r="P818" s="500"/>
      <c r="Q818" s="500"/>
      <c r="R818" s="500"/>
      <c r="S818" s="500"/>
      <c r="T818" s="500"/>
      <c r="U818" s="500"/>
      <c r="V818" s="500"/>
      <c r="W818" s="500"/>
      <c r="X818" s="500"/>
      <c r="Y818" s="500"/>
      <c r="Z818" s="501"/>
      <c r="AA818" s="501"/>
      <c r="AB818" s="501"/>
      <c r="AC818" s="501"/>
      <c r="AD818" s="500"/>
      <c r="AE818" s="500"/>
      <c r="AF818" s="503"/>
      <c r="AG818" s="503"/>
      <c r="AH818" s="504"/>
      <c r="AI818" s="500"/>
      <c r="AJ818" s="500"/>
      <c r="AK818" s="500"/>
      <c r="AL818" s="500"/>
      <c r="AM818" s="500"/>
      <c r="AN818" s="500"/>
      <c r="AO818" s="500"/>
      <c r="AP818" s="500"/>
      <c r="AQ818" s="500"/>
      <c r="AR818" s="500"/>
      <c r="AS818" s="500"/>
      <c r="AT818" s="500"/>
      <c r="AU818" s="500"/>
      <c r="AV818" s="500"/>
      <c r="AW818" s="500"/>
      <c r="AX818" s="500"/>
      <c r="AY818" s="500"/>
      <c r="AZ818" s="500"/>
      <c r="BA818" s="500"/>
      <c r="BB818" s="500"/>
      <c r="BC818" s="500"/>
      <c r="BD818" s="500"/>
      <c r="BE818" s="500"/>
      <c r="BF818" s="500"/>
      <c r="BG818" s="500"/>
      <c r="BH818" s="500"/>
      <c r="BI818" s="500"/>
      <c r="BJ818" s="500"/>
      <c r="BK818" s="500"/>
      <c r="BL818" s="500"/>
      <c r="BM818" s="500"/>
      <c r="BN818" s="500"/>
      <c r="BO818" s="500"/>
      <c r="BP818" s="500"/>
      <c r="BQ818" s="500"/>
      <c r="BR818" s="500"/>
      <c r="BS818" s="500"/>
      <c r="BT818" s="500"/>
      <c r="BU818" s="500"/>
      <c r="BV818" s="500"/>
    </row>
    <row r="819" ht="14.25" customHeight="1">
      <c r="A819" s="500"/>
      <c r="B819" s="500"/>
      <c r="C819" s="500"/>
      <c r="D819" s="500"/>
      <c r="E819" s="500"/>
      <c r="F819" s="500"/>
      <c r="G819" s="500"/>
      <c r="H819" s="500"/>
      <c r="I819" s="500"/>
      <c r="J819" s="500"/>
      <c r="K819" s="500"/>
      <c r="L819" s="500"/>
      <c r="M819" s="500"/>
      <c r="N819" s="500"/>
      <c r="O819" s="500"/>
      <c r="P819" s="500"/>
      <c r="Q819" s="500"/>
      <c r="R819" s="500"/>
      <c r="S819" s="500"/>
      <c r="T819" s="500"/>
      <c r="U819" s="500"/>
      <c r="V819" s="500"/>
      <c r="W819" s="500"/>
      <c r="X819" s="500"/>
      <c r="Y819" s="500"/>
      <c r="Z819" s="501"/>
      <c r="AA819" s="501"/>
      <c r="AB819" s="501"/>
      <c r="AC819" s="501"/>
      <c r="AD819" s="500"/>
      <c r="AE819" s="500"/>
      <c r="AF819" s="503"/>
      <c r="AG819" s="503"/>
      <c r="AH819" s="504"/>
      <c r="AI819" s="500"/>
      <c r="AJ819" s="500"/>
      <c r="AK819" s="500"/>
      <c r="AL819" s="500"/>
      <c r="AM819" s="500"/>
      <c r="AN819" s="500"/>
      <c r="AO819" s="500"/>
      <c r="AP819" s="500"/>
      <c r="AQ819" s="500"/>
      <c r="AR819" s="500"/>
      <c r="AS819" s="500"/>
      <c r="AT819" s="500"/>
      <c r="AU819" s="500"/>
      <c r="AV819" s="500"/>
      <c r="AW819" s="500"/>
      <c r="AX819" s="500"/>
      <c r="AY819" s="500"/>
      <c r="AZ819" s="500"/>
      <c r="BA819" s="500"/>
      <c r="BB819" s="500"/>
      <c r="BC819" s="500"/>
      <c r="BD819" s="500"/>
      <c r="BE819" s="500"/>
      <c r="BF819" s="500"/>
      <c r="BG819" s="500"/>
      <c r="BH819" s="500"/>
      <c r="BI819" s="500"/>
      <c r="BJ819" s="500"/>
      <c r="BK819" s="500"/>
      <c r="BL819" s="500"/>
      <c r="BM819" s="500"/>
      <c r="BN819" s="500"/>
      <c r="BO819" s="500"/>
      <c r="BP819" s="500"/>
      <c r="BQ819" s="500"/>
      <c r="BR819" s="500"/>
      <c r="BS819" s="500"/>
      <c r="BT819" s="500"/>
      <c r="BU819" s="500"/>
      <c r="BV819" s="500"/>
    </row>
    <row r="820" ht="14.25" customHeight="1">
      <c r="A820" s="500"/>
      <c r="B820" s="500"/>
      <c r="C820" s="500"/>
      <c r="D820" s="500"/>
      <c r="E820" s="500"/>
      <c r="F820" s="500"/>
      <c r="G820" s="500"/>
      <c r="H820" s="500"/>
      <c r="I820" s="500"/>
      <c r="J820" s="500"/>
      <c r="K820" s="500"/>
      <c r="L820" s="500"/>
      <c r="M820" s="500"/>
      <c r="N820" s="500"/>
      <c r="O820" s="500"/>
      <c r="P820" s="500"/>
      <c r="Q820" s="500"/>
      <c r="R820" s="500"/>
      <c r="S820" s="500"/>
      <c r="T820" s="500"/>
      <c r="U820" s="500"/>
      <c r="V820" s="500"/>
      <c r="W820" s="500"/>
      <c r="X820" s="500"/>
      <c r="Y820" s="500"/>
      <c r="Z820" s="501"/>
      <c r="AA820" s="501"/>
      <c r="AB820" s="501"/>
      <c r="AC820" s="501"/>
      <c r="AD820" s="500"/>
      <c r="AE820" s="500"/>
      <c r="AF820" s="503"/>
      <c r="AG820" s="503"/>
      <c r="AH820" s="504"/>
      <c r="AI820" s="500"/>
      <c r="AJ820" s="500"/>
      <c r="AK820" s="500"/>
      <c r="AL820" s="500"/>
      <c r="AM820" s="500"/>
      <c r="AN820" s="500"/>
      <c r="AO820" s="500"/>
      <c r="AP820" s="500"/>
      <c r="AQ820" s="500"/>
      <c r="AR820" s="500"/>
      <c r="AS820" s="500"/>
      <c r="AT820" s="500"/>
      <c r="AU820" s="500"/>
      <c r="AV820" s="500"/>
      <c r="AW820" s="500"/>
      <c r="AX820" s="500"/>
      <c r="AY820" s="500"/>
      <c r="AZ820" s="500"/>
      <c r="BA820" s="500"/>
      <c r="BB820" s="500"/>
      <c r="BC820" s="500"/>
      <c r="BD820" s="500"/>
      <c r="BE820" s="500"/>
      <c r="BF820" s="500"/>
      <c r="BG820" s="500"/>
      <c r="BH820" s="500"/>
      <c r="BI820" s="500"/>
      <c r="BJ820" s="500"/>
      <c r="BK820" s="500"/>
      <c r="BL820" s="500"/>
      <c r="BM820" s="500"/>
      <c r="BN820" s="500"/>
      <c r="BO820" s="500"/>
      <c r="BP820" s="500"/>
      <c r="BQ820" s="500"/>
      <c r="BR820" s="500"/>
      <c r="BS820" s="500"/>
      <c r="BT820" s="500"/>
      <c r="BU820" s="500"/>
      <c r="BV820" s="500"/>
    </row>
    <row r="821" ht="14.25" customHeight="1">
      <c r="A821" s="500"/>
      <c r="B821" s="500"/>
      <c r="C821" s="500"/>
      <c r="D821" s="500"/>
      <c r="E821" s="500"/>
      <c r="F821" s="500"/>
      <c r="G821" s="500"/>
      <c r="H821" s="500"/>
      <c r="I821" s="500"/>
      <c r="J821" s="500"/>
      <c r="K821" s="500"/>
      <c r="L821" s="500"/>
      <c r="M821" s="500"/>
      <c r="N821" s="500"/>
      <c r="O821" s="500"/>
      <c r="P821" s="500"/>
      <c r="Q821" s="500"/>
      <c r="R821" s="500"/>
      <c r="S821" s="500"/>
      <c r="T821" s="500"/>
      <c r="U821" s="500"/>
      <c r="V821" s="500"/>
      <c r="W821" s="500"/>
      <c r="X821" s="500"/>
      <c r="Y821" s="500"/>
      <c r="Z821" s="501"/>
      <c r="AA821" s="501"/>
      <c r="AB821" s="501"/>
      <c r="AC821" s="501"/>
      <c r="AD821" s="500"/>
      <c r="AE821" s="500"/>
      <c r="AF821" s="503"/>
      <c r="AG821" s="503"/>
      <c r="AH821" s="504"/>
      <c r="AI821" s="500"/>
      <c r="AJ821" s="500"/>
      <c r="AK821" s="500"/>
      <c r="AL821" s="500"/>
      <c r="AM821" s="500"/>
      <c r="AN821" s="500"/>
      <c r="AO821" s="500"/>
      <c r="AP821" s="500"/>
      <c r="AQ821" s="500"/>
      <c r="AR821" s="500"/>
      <c r="AS821" s="500"/>
      <c r="AT821" s="500"/>
      <c r="AU821" s="500"/>
      <c r="AV821" s="500"/>
      <c r="AW821" s="500"/>
      <c r="AX821" s="500"/>
      <c r="AY821" s="500"/>
      <c r="AZ821" s="500"/>
      <c r="BA821" s="500"/>
      <c r="BB821" s="500"/>
      <c r="BC821" s="500"/>
      <c r="BD821" s="500"/>
      <c r="BE821" s="500"/>
      <c r="BF821" s="500"/>
      <c r="BG821" s="500"/>
      <c r="BH821" s="500"/>
      <c r="BI821" s="500"/>
      <c r="BJ821" s="500"/>
      <c r="BK821" s="500"/>
      <c r="BL821" s="500"/>
      <c r="BM821" s="500"/>
      <c r="BN821" s="500"/>
      <c r="BO821" s="500"/>
      <c r="BP821" s="500"/>
      <c r="BQ821" s="500"/>
      <c r="BR821" s="500"/>
      <c r="BS821" s="500"/>
      <c r="BT821" s="500"/>
      <c r="BU821" s="500"/>
      <c r="BV821" s="500"/>
    </row>
    <row r="822" ht="14.25" customHeight="1">
      <c r="A822" s="500"/>
      <c r="B822" s="500"/>
      <c r="C822" s="500"/>
      <c r="D822" s="500"/>
      <c r="E822" s="500"/>
      <c r="F822" s="500"/>
      <c r="G822" s="500"/>
      <c r="H822" s="500"/>
      <c r="I822" s="500"/>
      <c r="J822" s="500"/>
      <c r="K822" s="500"/>
      <c r="L822" s="500"/>
      <c r="M822" s="500"/>
      <c r="N822" s="500"/>
      <c r="O822" s="500"/>
      <c r="P822" s="500"/>
      <c r="Q822" s="500"/>
      <c r="R822" s="500"/>
      <c r="S822" s="500"/>
      <c r="T822" s="500"/>
      <c r="U822" s="500"/>
      <c r="V822" s="500"/>
      <c r="W822" s="500"/>
      <c r="X822" s="500"/>
      <c r="Y822" s="500"/>
      <c r="Z822" s="501"/>
      <c r="AA822" s="501"/>
      <c r="AB822" s="501"/>
      <c r="AC822" s="501"/>
      <c r="AD822" s="500"/>
      <c r="AE822" s="500"/>
      <c r="AF822" s="503"/>
      <c r="AG822" s="503"/>
      <c r="AH822" s="504"/>
      <c r="AI822" s="500"/>
      <c r="AJ822" s="500"/>
      <c r="AK822" s="500"/>
      <c r="AL822" s="500"/>
      <c r="AM822" s="500"/>
      <c r="AN822" s="500"/>
      <c r="AO822" s="500"/>
      <c r="AP822" s="500"/>
      <c r="AQ822" s="500"/>
      <c r="AR822" s="500"/>
      <c r="AS822" s="500"/>
      <c r="AT822" s="500"/>
      <c r="AU822" s="500"/>
      <c r="AV822" s="500"/>
      <c r="AW822" s="500"/>
      <c r="AX822" s="500"/>
      <c r="AY822" s="500"/>
      <c r="AZ822" s="500"/>
      <c r="BA822" s="500"/>
      <c r="BB822" s="500"/>
      <c r="BC822" s="500"/>
      <c r="BD822" s="500"/>
      <c r="BE822" s="500"/>
      <c r="BF822" s="500"/>
      <c r="BG822" s="500"/>
      <c r="BH822" s="500"/>
      <c r="BI822" s="500"/>
      <c r="BJ822" s="500"/>
      <c r="BK822" s="500"/>
      <c r="BL822" s="500"/>
      <c r="BM822" s="500"/>
      <c r="BN822" s="500"/>
      <c r="BO822" s="500"/>
      <c r="BP822" s="500"/>
      <c r="BQ822" s="500"/>
      <c r="BR822" s="500"/>
      <c r="BS822" s="500"/>
      <c r="BT822" s="500"/>
      <c r="BU822" s="500"/>
      <c r="BV822" s="500"/>
    </row>
    <row r="823" ht="14.25" customHeight="1">
      <c r="A823" s="500"/>
      <c r="B823" s="500"/>
      <c r="C823" s="500"/>
      <c r="D823" s="500"/>
      <c r="E823" s="500"/>
      <c r="F823" s="500"/>
      <c r="G823" s="500"/>
      <c r="H823" s="500"/>
      <c r="I823" s="500"/>
      <c r="J823" s="500"/>
      <c r="K823" s="500"/>
      <c r="L823" s="500"/>
      <c r="M823" s="500"/>
      <c r="N823" s="500"/>
      <c r="O823" s="500"/>
      <c r="P823" s="500"/>
      <c r="Q823" s="500"/>
      <c r="R823" s="500"/>
      <c r="S823" s="500"/>
      <c r="T823" s="500"/>
      <c r="U823" s="500"/>
      <c r="V823" s="500"/>
      <c r="W823" s="500"/>
      <c r="X823" s="500"/>
      <c r="Y823" s="500"/>
      <c r="Z823" s="501"/>
      <c r="AA823" s="501"/>
      <c r="AB823" s="501"/>
      <c r="AC823" s="501"/>
      <c r="AD823" s="500"/>
      <c r="AE823" s="500"/>
      <c r="AF823" s="503"/>
      <c r="AG823" s="503"/>
      <c r="AH823" s="504"/>
      <c r="AI823" s="500"/>
      <c r="AJ823" s="500"/>
      <c r="AK823" s="500"/>
      <c r="AL823" s="500"/>
      <c r="AM823" s="500"/>
      <c r="AN823" s="500"/>
      <c r="AO823" s="500"/>
      <c r="AP823" s="500"/>
      <c r="AQ823" s="500"/>
      <c r="AR823" s="500"/>
      <c r="AS823" s="500"/>
      <c r="AT823" s="500"/>
      <c r="AU823" s="500"/>
      <c r="AV823" s="500"/>
      <c r="AW823" s="500"/>
      <c r="AX823" s="500"/>
      <c r="AY823" s="500"/>
      <c r="AZ823" s="500"/>
      <c r="BA823" s="500"/>
      <c r="BB823" s="500"/>
      <c r="BC823" s="500"/>
      <c r="BD823" s="500"/>
      <c r="BE823" s="500"/>
      <c r="BF823" s="500"/>
      <c r="BG823" s="500"/>
      <c r="BH823" s="500"/>
      <c r="BI823" s="500"/>
      <c r="BJ823" s="500"/>
      <c r="BK823" s="500"/>
      <c r="BL823" s="500"/>
      <c r="BM823" s="500"/>
      <c r="BN823" s="500"/>
      <c r="BO823" s="500"/>
      <c r="BP823" s="500"/>
      <c r="BQ823" s="500"/>
      <c r="BR823" s="500"/>
      <c r="BS823" s="500"/>
      <c r="BT823" s="500"/>
      <c r="BU823" s="500"/>
      <c r="BV823" s="500"/>
    </row>
    <row r="824" ht="14.25" customHeight="1">
      <c r="A824" s="500"/>
      <c r="B824" s="500"/>
      <c r="C824" s="500"/>
      <c r="D824" s="500"/>
      <c r="E824" s="500"/>
      <c r="F824" s="500"/>
      <c r="G824" s="500"/>
      <c r="H824" s="500"/>
      <c r="I824" s="500"/>
      <c r="J824" s="500"/>
      <c r="K824" s="500"/>
      <c r="L824" s="500"/>
      <c r="M824" s="500"/>
      <c r="N824" s="500"/>
      <c r="O824" s="500"/>
      <c r="P824" s="500"/>
      <c r="Q824" s="500"/>
      <c r="R824" s="500"/>
      <c r="S824" s="500"/>
      <c r="T824" s="500"/>
      <c r="U824" s="500"/>
      <c r="V824" s="500"/>
      <c r="W824" s="500"/>
      <c r="X824" s="500"/>
      <c r="Y824" s="500"/>
      <c r="Z824" s="501"/>
      <c r="AA824" s="501"/>
      <c r="AB824" s="501"/>
      <c r="AC824" s="501"/>
      <c r="AD824" s="500"/>
      <c r="AE824" s="500"/>
      <c r="AF824" s="503"/>
      <c r="AG824" s="503"/>
      <c r="AH824" s="504"/>
      <c r="AI824" s="500"/>
      <c r="AJ824" s="500"/>
      <c r="AK824" s="500"/>
      <c r="AL824" s="500"/>
      <c r="AM824" s="500"/>
      <c r="AN824" s="500"/>
      <c r="AO824" s="500"/>
      <c r="AP824" s="500"/>
      <c r="AQ824" s="500"/>
      <c r="AR824" s="500"/>
      <c r="AS824" s="500"/>
      <c r="AT824" s="500"/>
      <c r="AU824" s="500"/>
      <c r="AV824" s="500"/>
      <c r="AW824" s="500"/>
      <c r="AX824" s="500"/>
      <c r="AY824" s="500"/>
      <c r="AZ824" s="500"/>
      <c r="BA824" s="500"/>
      <c r="BB824" s="500"/>
      <c r="BC824" s="500"/>
      <c r="BD824" s="500"/>
      <c r="BE824" s="500"/>
      <c r="BF824" s="500"/>
      <c r="BG824" s="500"/>
      <c r="BH824" s="500"/>
      <c r="BI824" s="500"/>
      <c r="BJ824" s="500"/>
      <c r="BK824" s="500"/>
      <c r="BL824" s="500"/>
      <c r="BM824" s="500"/>
      <c r="BN824" s="500"/>
      <c r="BO824" s="500"/>
      <c r="BP824" s="500"/>
      <c r="BQ824" s="500"/>
      <c r="BR824" s="500"/>
      <c r="BS824" s="500"/>
      <c r="BT824" s="500"/>
      <c r="BU824" s="500"/>
      <c r="BV824" s="500"/>
    </row>
    <row r="825" ht="14.25" customHeight="1">
      <c r="A825" s="500"/>
      <c r="B825" s="500"/>
      <c r="C825" s="500"/>
      <c r="D825" s="500"/>
      <c r="E825" s="500"/>
      <c r="F825" s="500"/>
      <c r="G825" s="500"/>
      <c r="H825" s="500"/>
      <c r="I825" s="500"/>
      <c r="J825" s="500"/>
      <c r="K825" s="500"/>
      <c r="L825" s="500"/>
      <c r="M825" s="500"/>
      <c r="N825" s="500"/>
      <c r="O825" s="500"/>
      <c r="P825" s="500"/>
      <c r="Q825" s="500"/>
      <c r="R825" s="500"/>
      <c r="S825" s="500"/>
      <c r="T825" s="500"/>
      <c r="U825" s="500"/>
      <c r="V825" s="500"/>
      <c r="W825" s="500"/>
      <c r="X825" s="500"/>
      <c r="Y825" s="500"/>
      <c r="Z825" s="501"/>
      <c r="AA825" s="501"/>
      <c r="AB825" s="501"/>
      <c r="AC825" s="501"/>
      <c r="AD825" s="500"/>
      <c r="AE825" s="500"/>
      <c r="AF825" s="503"/>
      <c r="AG825" s="503"/>
      <c r="AH825" s="504"/>
      <c r="AI825" s="500"/>
      <c r="AJ825" s="500"/>
      <c r="AK825" s="500"/>
      <c r="AL825" s="500"/>
      <c r="AM825" s="500"/>
      <c r="AN825" s="500"/>
      <c r="AO825" s="500"/>
      <c r="AP825" s="500"/>
      <c r="AQ825" s="500"/>
      <c r="AR825" s="500"/>
      <c r="AS825" s="500"/>
      <c r="AT825" s="500"/>
      <c r="AU825" s="500"/>
      <c r="AV825" s="500"/>
      <c r="AW825" s="500"/>
      <c r="AX825" s="500"/>
      <c r="AY825" s="500"/>
      <c r="AZ825" s="500"/>
      <c r="BA825" s="500"/>
      <c r="BB825" s="500"/>
      <c r="BC825" s="500"/>
      <c r="BD825" s="500"/>
      <c r="BE825" s="500"/>
      <c r="BF825" s="500"/>
      <c r="BG825" s="500"/>
      <c r="BH825" s="500"/>
      <c r="BI825" s="500"/>
      <c r="BJ825" s="500"/>
      <c r="BK825" s="500"/>
      <c r="BL825" s="500"/>
      <c r="BM825" s="500"/>
      <c r="BN825" s="500"/>
      <c r="BO825" s="500"/>
      <c r="BP825" s="500"/>
      <c r="BQ825" s="500"/>
      <c r="BR825" s="500"/>
      <c r="BS825" s="500"/>
      <c r="BT825" s="500"/>
      <c r="BU825" s="500"/>
      <c r="BV825" s="500"/>
    </row>
    <row r="826" ht="14.25" customHeight="1">
      <c r="A826" s="500"/>
      <c r="B826" s="500"/>
      <c r="C826" s="500"/>
      <c r="D826" s="500"/>
      <c r="E826" s="500"/>
      <c r="F826" s="500"/>
      <c r="G826" s="500"/>
      <c r="H826" s="500"/>
      <c r="I826" s="500"/>
      <c r="J826" s="500"/>
      <c r="K826" s="500"/>
      <c r="L826" s="500"/>
      <c r="M826" s="500"/>
      <c r="N826" s="500"/>
      <c r="O826" s="500"/>
      <c r="P826" s="500"/>
      <c r="Q826" s="500"/>
      <c r="R826" s="500"/>
      <c r="S826" s="500"/>
      <c r="T826" s="500"/>
      <c r="U826" s="500"/>
      <c r="V826" s="500"/>
      <c r="W826" s="500"/>
      <c r="X826" s="500"/>
      <c r="Y826" s="500"/>
      <c r="Z826" s="501"/>
      <c r="AA826" s="501"/>
      <c r="AB826" s="501"/>
      <c r="AC826" s="501"/>
      <c r="AD826" s="500"/>
      <c r="AE826" s="500"/>
      <c r="AF826" s="503"/>
      <c r="AG826" s="503"/>
      <c r="AH826" s="504"/>
      <c r="AI826" s="500"/>
      <c r="AJ826" s="500"/>
      <c r="AK826" s="500"/>
      <c r="AL826" s="500"/>
      <c r="AM826" s="500"/>
      <c r="AN826" s="500"/>
      <c r="AO826" s="500"/>
      <c r="AP826" s="500"/>
      <c r="AQ826" s="500"/>
      <c r="AR826" s="500"/>
      <c r="AS826" s="500"/>
      <c r="AT826" s="500"/>
      <c r="AU826" s="500"/>
      <c r="AV826" s="500"/>
      <c r="AW826" s="500"/>
      <c r="AX826" s="500"/>
      <c r="AY826" s="500"/>
      <c r="AZ826" s="500"/>
      <c r="BA826" s="500"/>
      <c r="BB826" s="500"/>
      <c r="BC826" s="500"/>
      <c r="BD826" s="500"/>
      <c r="BE826" s="500"/>
      <c r="BF826" s="500"/>
      <c r="BG826" s="500"/>
      <c r="BH826" s="500"/>
      <c r="BI826" s="500"/>
      <c r="BJ826" s="500"/>
      <c r="BK826" s="500"/>
      <c r="BL826" s="500"/>
      <c r="BM826" s="500"/>
      <c r="BN826" s="500"/>
      <c r="BO826" s="500"/>
      <c r="BP826" s="500"/>
      <c r="BQ826" s="500"/>
      <c r="BR826" s="500"/>
      <c r="BS826" s="500"/>
      <c r="BT826" s="500"/>
      <c r="BU826" s="500"/>
      <c r="BV826" s="500"/>
    </row>
    <row r="827" ht="14.25" customHeight="1">
      <c r="A827" s="500"/>
      <c r="B827" s="500"/>
      <c r="C827" s="500"/>
      <c r="D827" s="500"/>
      <c r="E827" s="500"/>
      <c r="F827" s="500"/>
      <c r="G827" s="500"/>
      <c r="H827" s="500"/>
      <c r="I827" s="500"/>
      <c r="J827" s="500"/>
      <c r="K827" s="500"/>
      <c r="L827" s="500"/>
      <c r="M827" s="500"/>
      <c r="N827" s="500"/>
      <c r="O827" s="500"/>
      <c r="P827" s="500"/>
      <c r="Q827" s="500"/>
      <c r="R827" s="500"/>
      <c r="S827" s="500"/>
      <c r="T827" s="500"/>
      <c r="U827" s="500"/>
      <c r="V827" s="500"/>
      <c r="W827" s="500"/>
      <c r="X827" s="500"/>
      <c r="Y827" s="500"/>
      <c r="Z827" s="501"/>
      <c r="AA827" s="501"/>
      <c r="AB827" s="501"/>
      <c r="AC827" s="501"/>
      <c r="AD827" s="500"/>
      <c r="AE827" s="500"/>
      <c r="AF827" s="503"/>
      <c r="AG827" s="503"/>
      <c r="AH827" s="504"/>
      <c r="AI827" s="500"/>
      <c r="AJ827" s="500"/>
      <c r="AK827" s="500"/>
      <c r="AL827" s="500"/>
      <c r="AM827" s="500"/>
      <c r="AN827" s="500"/>
      <c r="AO827" s="500"/>
      <c r="AP827" s="500"/>
      <c r="AQ827" s="500"/>
      <c r="AR827" s="500"/>
      <c r="AS827" s="500"/>
      <c r="AT827" s="500"/>
      <c r="AU827" s="500"/>
      <c r="AV827" s="500"/>
      <c r="AW827" s="500"/>
      <c r="AX827" s="500"/>
      <c r="AY827" s="500"/>
      <c r="AZ827" s="500"/>
      <c r="BA827" s="500"/>
      <c r="BB827" s="500"/>
      <c r="BC827" s="500"/>
      <c r="BD827" s="500"/>
      <c r="BE827" s="500"/>
      <c r="BF827" s="500"/>
      <c r="BG827" s="500"/>
      <c r="BH827" s="500"/>
      <c r="BI827" s="500"/>
      <c r="BJ827" s="500"/>
      <c r="BK827" s="500"/>
      <c r="BL827" s="500"/>
      <c r="BM827" s="500"/>
      <c r="BN827" s="500"/>
      <c r="BO827" s="500"/>
      <c r="BP827" s="500"/>
      <c r="BQ827" s="500"/>
      <c r="BR827" s="500"/>
      <c r="BS827" s="500"/>
      <c r="BT827" s="500"/>
      <c r="BU827" s="500"/>
      <c r="BV827" s="500"/>
    </row>
    <row r="828" ht="14.25" customHeight="1">
      <c r="A828" s="500"/>
      <c r="B828" s="500"/>
      <c r="C828" s="500"/>
      <c r="D828" s="500"/>
      <c r="E828" s="500"/>
      <c r="F828" s="500"/>
      <c r="G828" s="500"/>
      <c r="H828" s="500"/>
      <c r="I828" s="500"/>
      <c r="J828" s="500"/>
      <c r="K828" s="500"/>
      <c r="L828" s="500"/>
      <c r="M828" s="500"/>
      <c r="N828" s="500"/>
      <c r="O828" s="500"/>
      <c r="P828" s="500"/>
      <c r="Q828" s="500"/>
      <c r="R828" s="500"/>
      <c r="S828" s="500"/>
      <c r="T828" s="500"/>
      <c r="U828" s="500"/>
      <c r="V828" s="500"/>
      <c r="W828" s="500"/>
      <c r="X828" s="500"/>
      <c r="Y828" s="500"/>
      <c r="Z828" s="501"/>
      <c r="AA828" s="501"/>
      <c r="AB828" s="501"/>
      <c r="AC828" s="501"/>
      <c r="AD828" s="500"/>
      <c r="AE828" s="500"/>
      <c r="AF828" s="503"/>
      <c r="AG828" s="503"/>
      <c r="AH828" s="504"/>
      <c r="AI828" s="500"/>
      <c r="AJ828" s="500"/>
      <c r="AK828" s="500"/>
      <c r="AL828" s="500"/>
      <c r="AM828" s="500"/>
      <c r="AN828" s="500"/>
      <c r="AO828" s="500"/>
      <c r="AP828" s="500"/>
      <c r="AQ828" s="500"/>
      <c r="AR828" s="500"/>
      <c r="AS828" s="500"/>
      <c r="AT828" s="500"/>
      <c r="AU828" s="500"/>
      <c r="AV828" s="500"/>
      <c r="AW828" s="500"/>
      <c r="AX828" s="500"/>
      <c r="AY828" s="500"/>
      <c r="AZ828" s="500"/>
      <c r="BA828" s="500"/>
      <c r="BB828" s="500"/>
      <c r="BC828" s="500"/>
      <c r="BD828" s="500"/>
      <c r="BE828" s="500"/>
      <c r="BF828" s="500"/>
      <c r="BG828" s="500"/>
      <c r="BH828" s="500"/>
      <c r="BI828" s="500"/>
      <c r="BJ828" s="500"/>
      <c r="BK828" s="500"/>
      <c r="BL828" s="500"/>
      <c r="BM828" s="500"/>
      <c r="BN828" s="500"/>
      <c r="BO828" s="500"/>
      <c r="BP828" s="500"/>
      <c r="BQ828" s="500"/>
      <c r="BR828" s="500"/>
      <c r="BS828" s="500"/>
      <c r="BT828" s="500"/>
      <c r="BU828" s="500"/>
      <c r="BV828" s="500"/>
    </row>
    <row r="829" ht="14.25" customHeight="1">
      <c r="A829" s="500"/>
      <c r="B829" s="500"/>
      <c r="C829" s="500"/>
      <c r="D829" s="500"/>
      <c r="E829" s="500"/>
      <c r="F829" s="500"/>
      <c r="G829" s="500"/>
      <c r="H829" s="500"/>
      <c r="I829" s="500"/>
      <c r="J829" s="500"/>
      <c r="K829" s="500"/>
      <c r="L829" s="500"/>
      <c r="M829" s="500"/>
      <c r="N829" s="500"/>
      <c r="O829" s="500"/>
      <c r="P829" s="500"/>
      <c r="Q829" s="500"/>
      <c r="R829" s="500"/>
      <c r="S829" s="500"/>
      <c r="T829" s="500"/>
      <c r="U829" s="500"/>
      <c r="V829" s="500"/>
      <c r="W829" s="500"/>
      <c r="X829" s="500"/>
      <c r="Y829" s="500"/>
      <c r="Z829" s="501"/>
      <c r="AA829" s="501"/>
      <c r="AB829" s="501"/>
      <c r="AC829" s="501"/>
      <c r="AD829" s="500"/>
      <c r="AE829" s="500"/>
      <c r="AF829" s="503"/>
      <c r="AG829" s="503"/>
      <c r="AH829" s="504"/>
      <c r="AI829" s="500"/>
      <c r="AJ829" s="500"/>
      <c r="AK829" s="500"/>
      <c r="AL829" s="500"/>
      <c r="AM829" s="500"/>
      <c r="AN829" s="500"/>
      <c r="AO829" s="500"/>
      <c r="AP829" s="500"/>
      <c r="AQ829" s="500"/>
      <c r="AR829" s="500"/>
      <c r="AS829" s="500"/>
      <c r="AT829" s="500"/>
      <c r="AU829" s="500"/>
      <c r="AV829" s="500"/>
      <c r="AW829" s="500"/>
      <c r="AX829" s="500"/>
      <c r="AY829" s="500"/>
      <c r="AZ829" s="500"/>
      <c r="BA829" s="500"/>
      <c r="BB829" s="500"/>
      <c r="BC829" s="500"/>
      <c r="BD829" s="500"/>
      <c r="BE829" s="500"/>
      <c r="BF829" s="500"/>
      <c r="BG829" s="500"/>
      <c r="BH829" s="500"/>
      <c r="BI829" s="500"/>
      <c r="BJ829" s="500"/>
      <c r="BK829" s="500"/>
      <c r="BL829" s="500"/>
      <c r="BM829" s="500"/>
      <c r="BN829" s="500"/>
      <c r="BO829" s="500"/>
      <c r="BP829" s="500"/>
      <c r="BQ829" s="500"/>
      <c r="BR829" s="500"/>
      <c r="BS829" s="500"/>
      <c r="BT829" s="500"/>
      <c r="BU829" s="500"/>
      <c r="BV829" s="500"/>
    </row>
    <row r="830" ht="14.25" customHeight="1">
      <c r="A830" s="500"/>
      <c r="B830" s="500"/>
      <c r="C830" s="500"/>
      <c r="D830" s="500"/>
      <c r="E830" s="500"/>
      <c r="F830" s="500"/>
      <c r="G830" s="500"/>
      <c r="H830" s="500"/>
      <c r="I830" s="500"/>
      <c r="J830" s="500"/>
      <c r="K830" s="500"/>
      <c r="L830" s="500"/>
      <c r="M830" s="500"/>
      <c r="N830" s="500"/>
      <c r="O830" s="500"/>
      <c r="P830" s="500"/>
      <c r="Q830" s="500"/>
      <c r="R830" s="500"/>
      <c r="S830" s="500"/>
      <c r="T830" s="500"/>
      <c r="U830" s="500"/>
      <c r="V830" s="500"/>
      <c r="W830" s="500"/>
      <c r="X830" s="500"/>
      <c r="Y830" s="500"/>
      <c r="Z830" s="501"/>
      <c r="AA830" s="501"/>
      <c r="AB830" s="501"/>
      <c r="AC830" s="501"/>
      <c r="AD830" s="500"/>
      <c r="AE830" s="500"/>
      <c r="AF830" s="503"/>
      <c r="AG830" s="503"/>
      <c r="AH830" s="504"/>
      <c r="AI830" s="500"/>
      <c r="AJ830" s="500"/>
      <c r="AK830" s="500"/>
      <c r="AL830" s="500"/>
      <c r="AM830" s="500"/>
      <c r="AN830" s="500"/>
      <c r="AO830" s="500"/>
      <c r="AP830" s="500"/>
      <c r="AQ830" s="500"/>
      <c r="AR830" s="500"/>
      <c r="AS830" s="500"/>
      <c r="AT830" s="500"/>
      <c r="AU830" s="500"/>
      <c r="AV830" s="500"/>
      <c r="AW830" s="500"/>
      <c r="AX830" s="500"/>
      <c r="AY830" s="500"/>
      <c r="AZ830" s="500"/>
      <c r="BA830" s="500"/>
      <c r="BB830" s="500"/>
      <c r="BC830" s="500"/>
      <c r="BD830" s="500"/>
      <c r="BE830" s="500"/>
      <c r="BF830" s="500"/>
      <c r="BG830" s="500"/>
      <c r="BH830" s="500"/>
      <c r="BI830" s="500"/>
      <c r="BJ830" s="500"/>
      <c r="BK830" s="500"/>
      <c r="BL830" s="500"/>
      <c r="BM830" s="500"/>
      <c r="BN830" s="500"/>
      <c r="BO830" s="500"/>
      <c r="BP830" s="500"/>
      <c r="BQ830" s="500"/>
      <c r="BR830" s="500"/>
      <c r="BS830" s="500"/>
      <c r="BT830" s="500"/>
      <c r="BU830" s="500"/>
      <c r="BV830" s="500"/>
    </row>
    <row r="831" ht="14.25" customHeight="1">
      <c r="A831" s="500"/>
      <c r="B831" s="500"/>
      <c r="C831" s="500"/>
      <c r="D831" s="500"/>
      <c r="E831" s="500"/>
      <c r="F831" s="500"/>
      <c r="G831" s="500"/>
      <c r="H831" s="500"/>
      <c r="I831" s="500"/>
      <c r="J831" s="500"/>
      <c r="K831" s="500"/>
      <c r="L831" s="500"/>
      <c r="M831" s="500"/>
      <c r="N831" s="500"/>
      <c r="O831" s="500"/>
      <c r="P831" s="500"/>
      <c r="Q831" s="500"/>
      <c r="R831" s="500"/>
      <c r="S831" s="500"/>
      <c r="T831" s="500"/>
      <c r="U831" s="500"/>
      <c r="V831" s="500"/>
      <c r="W831" s="500"/>
      <c r="X831" s="500"/>
      <c r="Y831" s="500"/>
      <c r="Z831" s="501"/>
      <c r="AA831" s="501"/>
      <c r="AB831" s="501"/>
      <c r="AC831" s="501"/>
      <c r="AD831" s="500"/>
      <c r="AE831" s="500"/>
      <c r="AF831" s="503"/>
      <c r="AG831" s="503"/>
      <c r="AH831" s="504"/>
      <c r="AI831" s="500"/>
      <c r="AJ831" s="500"/>
      <c r="AK831" s="500"/>
      <c r="AL831" s="500"/>
      <c r="AM831" s="500"/>
      <c r="AN831" s="500"/>
      <c r="AO831" s="500"/>
      <c r="AP831" s="500"/>
      <c r="AQ831" s="500"/>
      <c r="AR831" s="500"/>
      <c r="AS831" s="500"/>
      <c r="AT831" s="500"/>
      <c r="AU831" s="500"/>
      <c r="AV831" s="500"/>
      <c r="AW831" s="500"/>
      <c r="AX831" s="500"/>
      <c r="AY831" s="500"/>
      <c r="AZ831" s="500"/>
      <c r="BA831" s="500"/>
      <c r="BB831" s="500"/>
      <c r="BC831" s="500"/>
      <c r="BD831" s="500"/>
      <c r="BE831" s="500"/>
      <c r="BF831" s="500"/>
      <c r="BG831" s="500"/>
      <c r="BH831" s="500"/>
      <c r="BI831" s="500"/>
      <c r="BJ831" s="500"/>
      <c r="BK831" s="500"/>
      <c r="BL831" s="500"/>
      <c r="BM831" s="500"/>
      <c r="BN831" s="500"/>
      <c r="BO831" s="500"/>
      <c r="BP831" s="500"/>
      <c r="BQ831" s="500"/>
      <c r="BR831" s="500"/>
      <c r="BS831" s="500"/>
      <c r="BT831" s="500"/>
      <c r="BU831" s="500"/>
      <c r="BV831" s="500"/>
    </row>
    <row r="832" ht="14.25" customHeight="1">
      <c r="A832" s="500"/>
      <c r="B832" s="500"/>
      <c r="C832" s="500"/>
      <c r="D832" s="500"/>
      <c r="E832" s="500"/>
      <c r="F832" s="500"/>
      <c r="G832" s="500"/>
      <c r="H832" s="500"/>
      <c r="I832" s="500"/>
      <c r="J832" s="500"/>
      <c r="K832" s="500"/>
      <c r="L832" s="500"/>
      <c r="M832" s="500"/>
      <c r="N832" s="500"/>
      <c r="O832" s="500"/>
      <c r="P832" s="500"/>
      <c r="Q832" s="500"/>
      <c r="R832" s="500"/>
      <c r="S832" s="500"/>
      <c r="T832" s="500"/>
      <c r="U832" s="500"/>
      <c r="V832" s="500"/>
      <c r="W832" s="500"/>
      <c r="X832" s="500"/>
      <c r="Y832" s="500"/>
      <c r="Z832" s="501"/>
      <c r="AA832" s="501"/>
      <c r="AB832" s="501"/>
      <c r="AC832" s="501"/>
      <c r="AD832" s="500"/>
      <c r="AE832" s="500"/>
      <c r="AF832" s="503"/>
      <c r="AG832" s="503"/>
      <c r="AH832" s="504"/>
      <c r="AI832" s="500"/>
      <c r="AJ832" s="500"/>
      <c r="AK832" s="500"/>
      <c r="AL832" s="500"/>
      <c r="AM832" s="500"/>
      <c r="AN832" s="500"/>
      <c r="AO832" s="500"/>
      <c r="AP832" s="500"/>
      <c r="AQ832" s="500"/>
      <c r="AR832" s="500"/>
      <c r="AS832" s="500"/>
      <c r="AT832" s="500"/>
      <c r="AU832" s="500"/>
      <c r="AV832" s="500"/>
      <c r="AW832" s="500"/>
      <c r="AX832" s="500"/>
      <c r="AY832" s="500"/>
      <c r="AZ832" s="500"/>
      <c r="BA832" s="500"/>
      <c r="BB832" s="500"/>
      <c r="BC832" s="500"/>
      <c r="BD832" s="500"/>
      <c r="BE832" s="500"/>
      <c r="BF832" s="500"/>
      <c r="BG832" s="500"/>
      <c r="BH832" s="500"/>
      <c r="BI832" s="500"/>
      <c r="BJ832" s="500"/>
      <c r="BK832" s="500"/>
      <c r="BL832" s="500"/>
      <c r="BM832" s="500"/>
      <c r="BN832" s="500"/>
      <c r="BO832" s="500"/>
      <c r="BP832" s="500"/>
      <c r="BQ832" s="500"/>
      <c r="BR832" s="500"/>
      <c r="BS832" s="500"/>
      <c r="BT832" s="500"/>
      <c r="BU832" s="500"/>
      <c r="BV832" s="500"/>
    </row>
    <row r="833" ht="14.25" customHeight="1">
      <c r="A833" s="500"/>
      <c r="B833" s="500"/>
      <c r="C833" s="500"/>
      <c r="D833" s="500"/>
      <c r="E833" s="500"/>
      <c r="F833" s="500"/>
      <c r="G833" s="500"/>
      <c r="H833" s="500"/>
      <c r="I833" s="500"/>
      <c r="J833" s="500"/>
      <c r="K833" s="500"/>
      <c r="L833" s="500"/>
      <c r="M833" s="500"/>
      <c r="N833" s="500"/>
      <c r="O833" s="500"/>
      <c r="P833" s="500"/>
      <c r="Q833" s="500"/>
      <c r="R833" s="500"/>
      <c r="S833" s="500"/>
      <c r="T833" s="500"/>
      <c r="U833" s="500"/>
      <c r="V833" s="500"/>
      <c r="W833" s="500"/>
      <c r="X833" s="500"/>
      <c r="Y833" s="500"/>
      <c r="Z833" s="501"/>
      <c r="AA833" s="501"/>
      <c r="AB833" s="501"/>
      <c r="AC833" s="501"/>
      <c r="AD833" s="500"/>
      <c r="AE833" s="500"/>
      <c r="AF833" s="503"/>
      <c r="AG833" s="503"/>
      <c r="AH833" s="504"/>
      <c r="AI833" s="500"/>
      <c r="AJ833" s="500"/>
      <c r="AK833" s="500"/>
      <c r="AL833" s="500"/>
      <c r="AM833" s="500"/>
      <c r="AN833" s="500"/>
      <c r="AO833" s="500"/>
      <c r="AP833" s="500"/>
      <c r="AQ833" s="500"/>
      <c r="AR833" s="500"/>
      <c r="AS833" s="500"/>
      <c r="AT833" s="500"/>
      <c r="AU833" s="500"/>
      <c r="AV833" s="500"/>
      <c r="AW833" s="500"/>
      <c r="AX833" s="500"/>
      <c r="AY833" s="500"/>
      <c r="AZ833" s="500"/>
      <c r="BA833" s="500"/>
      <c r="BB833" s="500"/>
      <c r="BC833" s="500"/>
      <c r="BD833" s="500"/>
      <c r="BE833" s="500"/>
      <c r="BF833" s="500"/>
      <c r="BG833" s="500"/>
      <c r="BH833" s="500"/>
      <c r="BI833" s="500"/>
      <c r="BJ833" s="500"/>
      <c r="BK833" s="500"/>
      <c r="BL833" s="500"/>
      <c r="BM833" s="500"/>
      <c r="BN833" s="500"/>
      <c r="BO833" s="500"/>
      <c r="BP833" s="500"/>
      <c r="BQ833" s="500"/>
      <c r="BR833" s="500"/>
      <c r="BS833" s="500"/>
      <c r="BT833" s="500"/>
      <c r="BU833" s="500"/>
      <c r="BV833" s="500"/>
    </row>
    <row r="834" ht="14.25" customHeight="1">
      <c r="A834" s="500"/>
      <c r="B834" s="500"/>
      <c r="C834" s="500"/>
      <c r="D834" s="500"/>
      <c r="E834" s="500"/>
      <c r="F834" s="500"/>
      <c r="G834" s="500"/>
      <c r="H834" s="500"/>
      <c r="I834" s="500"/>
      <c r="J834" s="500"/>
      <c r="K834" s="500"/>
      <c r="L834" s="500"/>
      <c r="M834" s="500"/>
      <c r="N834" s="500"/>
      <c r="O834" s="500"/>
      <c r="P834" s="500"/>
      <c r="Q834" s="500"/>
      <c r="R834" s="500"/>
      <c r="S834" s="500"/>
      <c r="T834" s="500"/>
      <c r="U834" s="500"/>
      <c r="V834" s="500"/>
      <c r="W834" s="500"/>
      <c r="X834" s="500"/>
      <c r="Y834" s="500"/>
      <c r="Z834" s="501"/>
      <c r="AA834" s="501"/>
      <c r="AB834" s="501"/>
      <c r="AC834" s="501"/>
      <c r="AD834" s="500"/>
      <c r="AE834" s="500"/>
      <c r="AF834" s="503"/>
      <c r="AG834" s="503"/>
      <c r="AH834" s="504"/>
      <c r="AI834" s="500"/>
      <c r="AJ834" s="500"/>
      <c r="AK834" s="500"/>
      <c r="AL834" s="500"/>
      <c r="AM834" s="500"/>
      <c r="AN834" s="500"/>
      <c r="AO834" s="500"/>
      <c r="AP834" s="500"/>
      <c r="AQ834" s="500"/>
      <c r="AR834" s="500"/>
      <c r="AS834" s="500"/>
      <c r="AT834" s="500"/>
      <c r="AU834" s="500"/>
      <c r="AV834" s="500"/>
      <c r="AW834" s="500"/>
      <c r="AX834" s="500"/>
      <c r="AY834" s="500"/>
      <c r="AZ834" s="500"/>
      <c r="BA834" s="500"/>
      <c r="BB834" s="500"/>
      <c r="BC834" s="500"/>
      <c r="BD834" s="500"/>
      <c r="BE834" s="500"/>
      <c r="BF834" s="500"/>
      <c r="BG834" s="500"/>
      <c r="BH834" s="500"/>
      <c r="BI834" s="500"/>
      <c r="BJ834" s="500"/>
      <c r="BK834" s="500"/>
      <c r="BL834" s="500"/>
      <c r="BM834" s="500"/>
      <c r="BN834" s="500"/>
      <c r="BO834" s="500"/>
      <c r="BP834" s="500"/>
      <c r="BQ834" s="500"/>
      <c r="BR834" s="500"/>
      <c r="BS834" s="500"/>
      <c r="BT834" s="500"/>
      <c r="BU834" s="500"/>
      <c r="BV834" s="500"/>
    </row>
    <row r="835" ht="14.25" customHeight="1">
      <c r="A835" s="500"/>
      <c r="B835" s="500"/>
      <c r="C835" s="500"/>
      <c r="D835" s="500"/>
      <c r="E835" s="500"/>
      <c r="F835" s="500"/>
      <c r="G835" s="500"/>
      <c r="H835" s="500"/>
      <c r="I835" s="500"/>
      <c r="J835" s="500"/>
      <c r="K835" s="500"/>
      <c r="L835" s="500"/>
      <c r="M835" s="500"/>
      <c r="N835" s="500"/>
      <c r="O835" s="500"/>
      <c r="P835" s="500"/>
      <c r="Q835" s="500"/>
      <c r="R835" s="500"/>
      <c r="S835" s="500"/>
      <c r="T835" s="500"/>
      <c r="U835" s="500"/>
      <c r="V835" s="500"/>
      <c r="W835" s="500"/>
      <c r="X835" s="500"/>
      <c r="Y835" s="500"/>
      <c r="Z835" s="501"/>
      <c r="AA835" s="501"/>
      <c r="AB835" s="501"/>
      <c r="AC835" s="501"/>
      <c r="AD835" s="500"/>
      <c r="AE835" s="500"/>
      <c r="AF835" s="503"/>
      <c r="AG835" s="503"/>
      <c r="AH835" s="504"/>
      <c r="AI835" s="500"/>
      <c r="AJ835" s="500"/>
      <c r="AK835" s="500"/>
      <c r="AL835" s="500"/>
      <c r="AM835" s="500"/>
      <c r="AN835" s="500"/>
      <c r="AO835" s="500"/>
      <c r="AP835" s="500"/>
      <c r="AQ835" s="500"/>
      <c r="AR835" s="500"/>
      <c r="AS835" s="500"/>
      <c r="AT835" s="500"/>
      <c r="AU835" s="500"/>
      <c r="AV835" s="500"/>
      <c r="AW835" s="500"/>
      <c r="AX835" s="500"/>
      <c r="AY835" s="500"/>
      <c r="AZ835" s="500"/>
      <c r="BA835" s="500"/>
      <c r="BB835" s="500"/>
      <c r="BC835" s="500"/>
      <c r="BD835" s="500"/>
      <c r="BE835" s="500"/>
      <c r="BF835" s="500"/>
      <c r="BG835" s="500"/>
      <c r="BH835" s="500"/>
      <c r="BI835" s="500"/>
      <c r="BJ835" s="500"/>
      <c r="BK835" s="500"/>
      <c r="BL835" s="500"/>
      <c r="BM835" s="500"/>
      <c r="BN835" s="500"/>
      <c r="BO835" s="500"/>
      <c r="BP835" s="500"/>
      <c r="BQ835" s="500"/>
      <c r="BR835" s="500"/>
      <c r="BS835" s="500"/>
      <c r="BT835" s="500"/>
      <c r="BU835" s="500"/>
      <c r="BV835" s="500"/>
    </row>
    <row r="836" ht="14.25" customHeight="1">
      <c r="A836" s="500"/>
      <c r="B836" s="500"/>
      <c r="C836" s="500"/>
      <c r="D836" s="500"/>
      <c r="E836" s="500"/>
      <c r="F836" s="500"/>
      <c r="G836" s="500"/>
      <c r="H836" s="500"/>
      <c r="I836" s="500"/>
      <c r="J836" s="500"/>
      <c r="K836" s="500"/>
      <c r="L836" s="500"/>
      <c r="M836" s="500"/>
      <c r="N836" s="500"/>
      <c r="O836" s="500"/>
      <c r="P836" s="500"/>
      <c r="Q836" s="500"/>
      <c r="R836" s="500"/>
      <c r="S836" s="500"/>
      <c r="T836" s="500"/>
      <c r="U836" s="500"/>
      <c r="V836" s="500"/>
      <c r="W836" s="500"/>
      <c r="X836" s="500"/>
      <c r="Y836" s="500"/>
      <c r="Z836" s="501"/>
      <c r="AA836" s="501"/>
      <c r="AB836" s="501"/>
      <c r="AC836" s="501"/>
      <c r="AD836" s="500"/>
      <c r="AE836" s="500"/>
      <c r="AF836" s="503"/>
      <c r="AG836" s="503"/>
      <c r="AH836" s="504"/>
      <c r="AI836" s="500"/>
      <c r="AJ836" s="500"/>
      <c r="AK836" s="500"/>
      <c r="AL836" s="500"/>
      <c r="AM836" s="500"/>
      <c r="AN836" s="500"/>
      <c r="AO836" s="500"/>
      <c r="AP836" s="500"/>
      <c r="AQ836" s="500"/>
      <c r="AR836" s="500"/>
      <c r="AS836" s="500"/>
      <c r="AT836" s="500"/>
      <c r="AU836" s="500"/>
      <c r="AV836" s="500"/>
      <c r="AW836" s="500"/>
      <c r="AX836" s="500"/>
      <c r="AY836" s="500"/>
      <c r="AZ836" s="500"/>
      <c r="BA836" s="500"/>
      <c r="BB836" s="500"/>
      <c r="BC836" s="500"/>
      <c r="BD836" s="500"/>
      <c r="BE836" s="500"/>
      <c r="BF836" s="500"/>
      <c r="BG836" s="500"/>
      <c r="BH836" s="500"/>
      <c r="BI836" s="500"/>
      <c r="BJ836" s="500"/>
      <c r="BK836" s="500"/>
      <c r="BL836" s="500"/>
      <c r="BM836" s="500"/>
      <c r="BN836" s="500"/>
      <c r="BO836" s="500"/>
      <c r="BP836" s="500"/>
      <c r="BQ836" s="500"/>
      <c r="BR836" s="500"/>
      <c r="BS836" s="500"/>
      <c r="BT836" s="500"/>
      <c r="BU836" s="500"/>
      <c r="BV836" s="500"/>
    </row>
    <row r="837" ht="14.25" customHeight="1">
      <c r="A837" s="500"/>
      <c r="B837" s="500"/>
      <c r="C837" s="500"/>
      <c r="D837" s="500"/>
      <c r="E837" s="500"/>
      <c r="F837" s="500"/>
      <c r="G837" s="500"/>
      <c r="H837" s="500"/>
      <c r="I837" s="500"/>
      <c r="J837" s="500"/>
      <c r="K837" s="500"/>
      <c r="L837" s="500"/>
      <c r="M837" s="500"/>
      <c r="N837" s="500"/>
      <c r="O837" s="500"/>
      <c r="P837" s="500"/>
      <c r="Q837" s="500"/>
      <c r="R837" s="500"/>
      <c r="S837" s="500"/>
      <c r="T837" s="500"/>
      <c r="U837" s="500"/>
      <c r="V837" s="500"/>
      <c r="W837" s="500"/>
      <c r="X837" s="500"/>
      <c r="Y837" s="500"/>
      <c r="Z837" s="501"/>
      <c r="AA837" s="501"/>
      <c r="AB837" s="501"/>
      <c r="AC837" s="501"/>
      <c r="AD837" s="500"/>
      <c r="AE837" s="500"/>
      <c r="AF837" s="503"/>
      <c r="AG837" s="503"/>
      <c r="AH837" s="504"/>
      <c r="AI837" s="500"/>
      <c r="AJ837" s="500"/>
      <c r="AK837" s="500"/>
      <c r="AL837" s="500"/>
      <c r="AM837" s="500"/>
      <c r="AN837" s="500"/>
      <c r="AO837" s="500"/>
      <c r="AP837" s="500"/>
      <c r="AQ837" s="500"/>
      <c r="AR837" s="500"/>
      <c r="AS837" s="500"/>
      <c r="AT837" s="500"/>
      <c r="AU837" s="500"/>
      <c r="AV837" s="500"/>
      <c r="AW837" s="500"/>
      <c r="AX837" s="500"/>
      <c r="AY837" s="500"/>
      <c r="AZ837" s="500"/>
      <c r="BA837" s="500"/>
      <c r="BB837" s="500"/>
      <c r="BC837" s="500"/>
      <c r="BD837" s="500"/>
      <c r="BE837" s="500"/>
      <c r="BF837" s="500"/>
      <c r="BG837" s="500"/>
      <c r="BH837" s="500"/>
      <c r="BI837" s="500"/>
      <c r="BJ837" s="500"/>
      <c r="BK837" s="500"/>
      <c r="BL837" s="500"/>
      <c r="BM837" s="500"/>
      <c r="BN837" s="500"/>
      <c r="BO837" s="500"/>
      <c r="BP837" s="500"/>
      <c r="BQ837" s="500"/>
      <c r="BR837" s="500"/>
      <c r="BS837" s="500"/>
      <c r="BT837" s="500"/>
      <c r="BU837" s="500"/>
      <c r="BV837" s="500"/>
    </row>
    <row r="838" ht="14.25" customHeight="1">
      <c r="A838" s="500"/>
      <c r="B838" s="500"/>
      <c r="C838" s="500"/>
      <c r="D838" s="500"/>
      <c r="E838" s="500"/>
      <c r="F838" s="500"/>
      <c r="G838" s="500"/>
      <c r="H838" s="500"/>
      <c r="I838" s="500"/>
      <c r="J838" s="500"/>
      <c r="K838" s="500"/>
      <c r="L838" s="500"/>
      <c r="M838" s="500"/>
      <c r="N838" s="500"/>
      <c r="O838" s="500"/>
      <c r="P838" s="500"/>
      <c r="Q838" s="500"/>
      <c r="R838" s="500"/>
      <c r="S838" s="500"/>
      <c r="T838" s="500"/>
      <c r="U838" s="500"/>
      <c r="V838" s="500"/>
      <c r="W838" s="500"/>
      <c r="X838" s="500"/>
      <c r="Y838" s="500"/>
      <c r="Z838" s="501"/>
      <c r="AA838" s="501"/>
      <c r="AB838" s="501"/>
      <c r="AC838" s="501"/>
      <c r="AD838" s="500"/>
      <c r="AE838" s="500"/>
      <c r="AF838" s="503"/>
      <c r="AG838" s="503"/>
      <c r="AH838" s="504"/>
      <c r="AI838" s="500"/>
      <c r="AJ838" s="500"/>
      <c r="AK838" s="500"/>
      <c r="AL838" s="500"/>
      <c r="AM838" s="500"/>
      <c r="AN838" s="500"/>
      <c r="AO838" s="500"/>
      <c r="AP838" s="500"/>
      <c r="AQ838" s="500"/>
      <c r="AR838" s="500"/>
      <c r="AS838" s="500"/>
      <c r="AT838" s="500"/>
      <c r="AU838" s="500"/>
      <c r="AV838" s="500"/>
      <c r="AW838" s="500"/>
      <c r="AX838" s="500"/>
      <c r="AY838" s="500"/>
      <c r="AZ838" s="500"/>
      <c r="BA838" s="500"/>
      <c r="BB838" s="500"/>
      <c r="BC838" s="500"/>
      <c r="BD838" s="500"/>
      <c r="BE838" s="500"/>
      <c r="BF838" s="500"/>
      <c r="BG838" s="500"/>
      <c r="BH838" s="500"/>
      <c r="BI838" s="500"/>
      <c r="BJ838" s="500"/>
      <c r="BK838" s="500"/>
      <c r="BL838" s="500"/>
      <c r="BM838" s="500"/>
      <c r="BN838" s="500"/>
      <c r="BO838" s="500"/>
      <c r="BP838" s="500"/>
      <c r="BQ838" s="500"/>
      <c r="BR838" s="500"/>
      <c r="BS838" s="500"/>
      <c r="BT838" s="500"/>
      <c r="BU838" s="500"/>
      <c r="BV838" s="500"/>
    </row>
    <row r="839" ht="14.25" customHeight="1">
      <c r="A839" s="500"/>
      <c r="B839" s="500"/>
      <c r="C839" s="500"/>
      <c r="D839" s="500"/>
      <c r="E839" s="500"/>
      <c r="F839" s="500"/>
      <c r="G839" s="500"/>
      <c r="H839" s="500"/>
      <c r="I839" s="500"/>
      <c r="J839" s="500"/>
      <c r="K839" s="500"/>
      <c r="L839" s="500"/>
      <c r="M839" s="500"/>
      <c r="N839" s="500"/>
      <c r="O839" s="500"/>
      <c r="P839" s="500"/>
      <c r="Q839" s="500"/>
      <c r="R839" s="500"/>
      <c r="S839" s="500"/>
      <c r="T839" s="500"/>
      <c r="U839" s="500"/>
      <c r="V839" s="500"/>
      <c r="W839" s="500"/>
      <c r="X839" s="500"/>
      <c r="Y839" s="500"/>
      <c r="Z839" s="501"/>
      <c r="AA839" s="501"/>
      <c r="AB839" s="501"/>
      <c r="AC839" s="501"/>
      <c r="AD839" s="500"/>
      <c r="AE839" s="500"/>
      <c r="AF839" s="503"/>
      <c r="AG839" s="503"/>
      <c r="AH839" s="504"/>
      <c r="AI839" s="500"/>
      <c r="AJ839" s="500"/>
      <c r="AK839" s="500"/>
      <c r="AL839" s="500"/>
      <c r="AM839" s="500"/>
      <c r="AN839" s="500"/>
      <c r="AO839" s="500"/>
      <c r="AP839" s="500"/>
      <c r="AQ839" s="500"/>
      <c r="AR839" s="500"/>
      <c r="AS839" s="500"/>
      <c r="AT839" s="500"/>
      <c r="AU839" s="500"/>
      <c r="AV839" s="500"/>
      <c r="AW839" s="500"/>
      <c r="AX839" s="500"/>
      <c r="AY839" s="500"/>
      <c r="AZ839" s="500"/>
      <c r="BA839" s="500"/>
      <c r="BB839" s="500"/>
      <c r="BC839" s="500"/>
      <c r="BD839" s="500"/>
      <c r="BE839" s="500"/>
      <c r="BF839" s="500"/>
      <c r="BG839" s="500"/>
      <c r="BH839" s="500"/>
      <c r="BI839" s="500"/>
      <c r="BJ839" s="500"/>
      <c r="BK839" s="500"/>
      <c r="BL839" s="500"/>
      <c r="BM839" s="500"/>
      <c r="BN839" s="500"/>
      <c r="BO839" s="500"/>
      <c r="BP839" s="500"/>
      <c r="BQ839" s="500"/>
      <c r="BR839" s="500"/>
      <c r="BS839" s="500"/>
      <c r="BT839" s="500"/>
      <c r="BU839" s="500"/>
      <c r="BV839" s="500"/>
    </row>
    <row r="840" ht="14.25" customHeight="1">
      <c r="A840" s="500"/>
      <c r="B840" s="500"/>
      <c r="C840" s="500"/>
      <c r="D840" s="500"/>
      <c r="E840" s="500"/>
      <c r="F840" s="500"/>
      <c r="G840" s="500"/>
      <c r="H840" s="500"/>
      <c r="I840" s="500"/>
      <c r="J840" s="500"/>
      <c r="K840" s="500"/>
      <c r="L840" s="500"/>
      <c r="M840" s="500"/>
      <c r="N840" s="500"/>
      <c r="O840" s="500"/>
      <c r="P840" s="500"/>
      <c r="Q840" s="500"/>
      <c r="R840" s="500"/>
      <c r="S840" s="500"/>
      <c r="T840" s="500"/>
      <c r="U840" s="500"/>
      <c r="V840" s="500"/>
      <c r="W840" s="500"/>
      <c r="X840" s="500"/>
      <c r="Y840" s="500"/>
      <c r="Z840" s="501"/>
      <c r="AA840" s="501"/>
      <c r="AB840" s="501"/>
      <c r="AC840" s="501"/>
      <c r="AD840" s="500"/>
      <c r="AE840" s="500"/>
      <c r="AF840" s="503"/>
      <c r="AG840" s="503"/>
      <c r="AH840" s="504"/>
      <c r="AI840" s="500"/>
      <c r="AJ840" s="500"/>
      <c r="AK840" s="500"/>
      <c r="AL840" s="500"/>
      <c r="AM840" s="500"/>
      <c r="AN840" s="500"/>
      <c r="AO840" s="500"/>
      <c r="AP840" s="500"/>
      <c r="AQ840" s="500"/>
      <c r="AR840" s="500"/>
      <c r="AS840" s="500"/>
      <c r="AT840" s="500"/>
      <c r="AU840" s="500"/>
      <c r="AV840" s="500"/>
      <c r="AW840" s="500"/>
      <c r="AX840" s="500"/>
      <c r="AY840" s="500"/>
      <c r="AZ840" s="500"/>
      <c r="BA840" s="500"/>
      <c r="BB840" s="500"/>
      <c r="BC840" s="500"/>
      <c r="BD840" s="500"/>
      <c r="BE840" s="500"/>
      <c r="BF840" s="500"/>
      <c r="BG840" s="500"/>
      <c r="BH840" s="500"/>
      <c r="BI840" s="500"/>
      <c r="BJ840" s="500"/>
      <c r="BK840" s="500"/>
      <c r="BL840" s="500"/>
      <c r="BM840" s="500"/>
      <c r="BN840" s="500"/>
      <c r="BO840" s="500"/>
      <c r="BP840" s="500"/>
      <c r="BQ840" s="500"/>
      <c r="BR840" s="500"/>
      <c r="BS840" s="500"/>
      <c r="BT840" s="500"/>
      <c r="BU840" s="500"/>
      <c r="BV840" s="500"/>
    </row>
    <row r="841" ht="14.25" customHeight="1">
      <c r="A841" s="500"/>
      <c r="B841" s="500"/>
      <c r="C841" s="500"/>
      <c r="D841" s="500"/>
      <c r="E841" s="500"/>
      <c r="F841" s="500"/>
      <c r="G841" s="500"/>
      <c r="H841" s="500"/>
      <c r="I841" s="500"/>
      <c r="J841" s="500"/>
      <c r="K841" s="500"/>
      <c r="L841" s="500"/>
      <c r="M841" s="500"/>
      <c r="N841" s="500"/>
      <c r="O841" s="500"/>
      <c r="P841" s="500"/>
      <c r="Q841" s="500"/>
      <c r="R841" s="500"/>
      <c r="S841" s="500"/>
      <c r="T841" s="500"/>
      <c r="U841" s="500"/>
      <c r="V841" s="500"/>
      <c r="W841" s="500"/>
      <c r="X841" s="500"/>
      <c r="Y841" s="500"/>
      <c r="Z841" s="501"/>
      <c r="AA841" s="501"/>
      <c r="AB841" s="501"/>
      <c r="AC841" s="501"/>
      <c r="AD841" s="500"/>
      <c r="AE841" s="500"/>
      <c r="AF841" s="503"/>
      <c r="AG841" s="503"/>
      <c r="AH841" s="504"/>
      <c r="AI841" s="500"/>
      <c r="AJ841" s="500"/>
      <c r="AK841" s="500"/>
      <c r="AL841" s="500"/>
      <c r="AM841" s="500"/>
      <c r="AN841" s="500"/>
      <c r="AO841" s="500"/>
      <c r="AP841" s="500"/>
      <c r="AQ841" s="500"/>
      <c r="AR841" s="500"/>
      <c r="AS841" s="500"/>
      <c r="AT841" s="500"/>
      <c r="AU841" s="500"/>
      <c r="AV841" s="500"/>
      <c r="AW841" s="500"/>
      <c r="AX841" s="500"/>
      <c r="AY841" s="500"/>
      <c r="AZ841" s="500"/>
      <c r="BA841" s="500"/>
      <c r="BB841" s="500"/>
      <c r="BC841" s="500"/>
      <c r="BD841" s="500"/>
      <c r="BE841" s="500"/>
      <c r="BF841" s="500"/>
      <c r="BG841" s="500"/>
      <c r="BH841" s="500"/>
      <c r="BI841" s="500"/>
      <c r="BJ841" s="500"/>
      <c r="BK841" s="500"/>
      <c r="BL841" s="500"/>
      <c r="BM841" s="500"/>
      <c r="BN841" s="500"/>
      <c r="BO841" s="500"/>
      <c r="BP841" s="500"/>
      <c r="BQ841" s="500"/>
      <c r="BR841" s="500"/>
      <c r="BS841" s="500"/>
      <c r="BT841" s="500"/>
      <c r="BU841" s="500"/>
      <c r="BV841" s="500"/>
    </row>
    <row r="842" ht="14.25" customHeight="1">
      <c r="A842" s="500"/>
      <c r="B842" s="500"/>
      <c r="C842" s="500"/>
      <c r="D842" s="500"/>
      <c r="E842" s="500"/>
      <c r="F842" s="500"/>
      <c r="G842" s="500"/>
      <c r="H842" s="500"/>
      <c r="I842" s="500"/>
      <c r="J842" s="500"/>
      <c r="K842" s="500"/>
      <c r="L842" s="500"/>
      <c r="M842" s="500"/>
      <c r="N842" s="500"/>
      <c r="O842" s="500"/>
      <c r="P842" s="500"/>
      <c r="Q842" s="500"/>
      <c r="R842" s="500"/>
      <c r="S842" s="500"/>
      <c r="T842" s="500"/>
      <c r="U842" s="500"/>
      <c r="V842" s="500"/>
      <c r="W842" s="500"/>
      <c r="X842" s="500"/>
      <c r="Y842" s="500"/>
      <c r="Z842" s="501"/>
      <c r="AA842" s="501"/>
      <c r="AB842" s="501"/>
      <c r="AC842" s="501"/>
      <c r="AD842" s="500"/>
      <c r="AE842" s="500"/>
      <c r="AF842" s="503"/>
      <c r="AG842" s="503"/>
      <c r="AH842" s="504"/>
      <c r="AI842" s="500"/>
      <c r="AJ842" s="500"/>
      <c r="AK842" s="500"/>
      <c r="AL842" s="500"/>
      <c r="AM842" s="500"/>
      <c r="AN842" s="500"/>
      <c r="AO842" s="500"/>
      <c r="AP842" s="500"/>
      <c r="AQ842" s="500"/>
      <c r="AR842" s="500"/>
      <c r="AS842" s="500"/>
      <c r="AT842" s="500"/>
      <c r="AU842" s="500"/>
      <c r="AV842" s="500"/>
      <c r="AW842" s="500"/>
      <c r="AX842" s="500"/>
      <c r="AY842" s="500"/>
      <c r="AZ842" s="500"/>
      <c r="BA842" s="500"/>
      <c r="BB842" s="500"/>
      <c r="BC842" s="500"/>
      <c r="BD842" s="500"/>
      <c r="BE842" s="500"/>
      <c r="BF842" s="500"/>
      <c r="BG842" s="500"/>
      <c r="BH842" s="500"/>
      <c r="BI842" s="500"/>
      <c r="BJ842" s="500"/>
      <c r="BK842" s="500"/>
      <c r="BL842" s="500"/>
      <c r="BM842" s="500"/>
      <c r="BN842" s="500"/>
      <c r="BO842" s="500"/>
      <c r="BP842" s="500"/>
      <c r="BQ842" s="500"/>
      <c r="BR842" s="500"/>
      <c r="BS842" s="500"/>
      <c r="BT842" s="500"/>
      <c r="BU842" s="500"/>
      <c r="BV842" s="500"/>
    </row>
    <row r="843" ht="14.25" customHeight="1">
      <c r="A843" s="500"/>
      <c r="B843" s="500"/>
      <c r="C843" s="500"/>
      <c r="D843" s="500"/>
      <c r="E843" s="500"/>
      <c r="F843" s="500"/>
      <c r="G843" s="500"/>
      <c r="H843" s="500"/>
      <c r="I843" s="500"/>
      <c r="J843" s="500"/>
      <c r="K843" s="500"/>
      <c r="L843" s="500"/>
      <c r="M843" s="500"/>
      <c r="N843" s="500"/>
      <c r="O843" s="500"/>
      <c r="P843" s="500"/>
      <c r="Q843" s="500"/>
      <c r="R843" s="500"/>
      <c r="S843" s="500"/>
      <c r="T843" s="500"/>
      <c r="U843" s="500"/>
      <c r="V843" s="500"/>
      <c r="W843" s="500"/>
      <c r="X843" s="500"/>
      <c r="Y843" s="500"/>
      <c r="Z843" s="501"/>
      <c r="AA843" s="501"/>
      <c r="AB843" s="501"/>
      <c r="AC843" s="501"/>
      <c r="AD843" s="500"/>
      <c r="AE843" s="500"/>
      <c r="AF843" s="503"/>
      <c r="AG843" s="503"/>
      <c r="AH843" s="504"/>
      <c r="AI843" s="500"/>
      <c r="AJ843" s="500"/>
      <c r="AK843" s="500"/>
      <c r="AL843" s="500"/>
      <c r="AM843" s="500"/>
      <c r="AN843" s="500"/>
      <c r="AO843" s="500"/>
      <c r="AP843" s="500"/>
      <c r="AQ843" s="500"/>
      <c r="AR843" s="500"/>
      <c r="AS843" s="500"/>
      <c r="AT843" s="500"/>
      <c r="AU843" s="500"/>
      <c r="AV843" s="500"/>
      <c r="AW843" s="500"/>
      <c r="AX843" s="500"/>
      <c r="AY843" s="500"/>
      <c r="AZ843" s="500"/>
      <c r="BA843" s="500"/>
      <c r="BB843" s="500"/>
      <c r="BC843" s="500"/>
      <c r="BD843" s="500"/>
      <c r="BE843" s="500"/>
      <c r="BF843" s="500"/>
      <c r="BG843" s="500"/>
      <c r="BH843" s="500"/>
      <c r="BI843" s="500"/>
      <c r="BJ843" s="500"/>
      <c r="BK843" s="500"/>
      <c r="BL843" s="500"/>
      <c r="BM843" s="500"/>
      <c r="BN843" s="500"/>
      <c r="BO843" s="500"/>
      <c r="BP843" s="500"/>
      <c r="BQ843" s="500"/>
      <c r="BR843" s="500"/>
      <c r="BS843" s="500"/>
      <c r="BT843" s="500"/>
      <c r="BU843" s="500"/>
      <c r="BV843" s="500"/>
    </row>
    <row r="844" ht="14.25" customHeight="1">
      <c r="A844" s="500"/>
      <c r="B844" s="500"/>
      <c r="C844" s="500"/>
      <c r="D844" s="500"/>
      <c r="E844" s="500"/>
      <c r="F844" s="500"/>
      <c r="G844" s="500"/>
      <c r="H844" s="500"/>
      <c r="I844" s="500"/>
      <c r="J844" s="500"/>
      <c r="K844" s="500"/>
      <c r="L844" s="500"/>
      <c r="M844" s="500"/>
      <c r="N844" s="500"/>
      <c r="O844" s="500"/>
      <c r="P844" s="500"/>
      <c r="Q844" s="500"/>
      <c r="R844" s="500"/>
      <c r="S844" s="500"/>
      <c r="T844" s="500"/>
      <c r="U844" s="500"/>
      <c r="V844" s="500"/>
      <c r="W844" s="500"/>
      <c r="X844" s="500"/>
      <c r="Y844" s="500"/>
      <c r="Z844" s="501"/>
      <c r="AA844" s="501"/>
      <c r="AB844" s="501"/>
      <c r="AC844" s="501"/>
      <c r="AD844" s="500"/>
      <c r="AE844" s="500"/>
      <c r="AF844" s="503"/>
      <c r="AG844" s="503"/>
      <c r="AH844" s="504"/>
      <c r="AI844" s="500"/>
      <c r="AJ844" s="500"/>
      <c r="AK844" s="500"/>
      <c r="AL844" s="500"/>
      <c r="AM844" s="500"/>
      <c r="AN844" s="500"/>
      <c r="AO844" s="500"/>
      <c r="AP844" s="500"/>
      <c r="AQ844" s="500"/>
      <c r="AR844" s="500"/>
      <c r="AS844" s="500"/>
      <c r="AT844" s="500"/>
      <c r="AU844" s="500"/>
      <c r="AV844" s="500"/>
      <c r="AW844" s="500"/>
      <c r="AX844" s="500"/>
      <c r="AY844" s="500"/>
      <c r="AZ844" s="500"/>
      <c r="BA844" s="500"/>
      <c r="BB844" s="500"/>
      <c r="BC844" s="500"/>
      <c r="BD844" s="500"/>
      <c r="BE844" s="500"/>
      <c r="BF844" s="500"/>
      <c r="BG844" s="500"/>
      <c r="BH844" s="500"/>
      <c r="BI844" s="500"/>
      <c r="BJ844" s="500"/>
      <c r="BK844" s="500"/>
      <c r="BL844" s="500"/>
      <c r="BM844" s="500"/>
      <c r="BN844" s="500"/>
      <c r="BO844" s="500"/>
      <c r="BP844" s="500"/>
      <c r="BQ844" s="500"/>
      <c r="BR844" s="500"/>
      <c r="BS844" s="500"/>
      <c r="BT844" s="500"/>
      <c r="BU844" s="500"/>
      <c r="BV844" s="500"/>
    </row>
    <row r="845" ht="14.25" customHeight="1">
      <c r="A845" s="500"/>
      <c r="B845" s="500"/>
      <c r="C845" s="500"/>
      <c r="D845" s="500"/>
      <c r="E845" s="500"/>
      <c r="F845" s="500"/>
      <c r="G845" s="500"/>
      <c r="H845" s="500"/>
      <c r="I845" s="500"/>
      <c r="J845" s="500"/>
      <c r="K845" s="500"/>
      <c r="L845" s="500"/>
      <c r="M845" s="500"/>
      <c r="N845" s="500"/>
      <c r="O845" s="500"/>
      <c r="P845" s="500"/>
      <c r="Q845" s="500"/>
      <c r="R845" s="500"/>
      <c r="S845" s="500"/>
      <c r="T845" s="500"/>
      <c r="U845" s="500"/>
      <c r="V845" s="500"/>
      <c r="W845" s="500"/>
      <c r="X845" s="500"/>
      <c r="Y845" s="500"/>
      <c r="Z845" s="501"/>
      <c r="AA845" s="501"/>
      <c r="AB845" s="501"/>
      <c r="AC845" s="501"/>
      <c r="AD845" s="500"/>
      <c r="AE845" s="500"/>
      <c r="AF845" s="503"/>
      <c r="AG845" s="503"/>
      <c r="AH845" s="504"/>
      <c r="AI845" s="500"/>
      <c r="AJ845" s="500"/>
      <c r="AK845" s="500"/>
      <c r="AL845" s="500"/>
      <c r="AM845" s="500"/>
      <c r="AN845" s="500"/>
      <c r="AO845" s="500"/>
      <c r="AP845" s="500"/>
      <c r="AQ845" s="500"/>
      <c r="AR845" s="500"/>
      <c r="AS845" s="500"/>
      <c r="AT845" s="500"/>
      <c r="AU845" s="500"/>
      <c r="AV845" s="500"/>
      <c r="AW845" s="500"/>
      <c r="AX845" s="500"/>
      <c r="AY845" s="500"/>
      <c r="AZ845" s="500"/>
      <c r="BA845" s="500"/>
      <c r="BB845" s="500"/>
      <c r="BC845" s="500"/>
      <c r="BD845" s="500"/>
      <c r="BE845" s="500"/>
      <c r="BF845" s="500"/>
      <c r="BG845" s="500"/>
      <c r="BH845" s="500"/>
      <c r="BI845" s="500"/>
      <c r="BJ845" s="500"/>
      <c r="BK845" s="500"/>
      <c r="BL845" s="500"/>
      <c r="BM845" s="500"/>
      <c r="BN845" s="500"/>
      <c r="BO845" s="500"/>
      <c r="BP845" s="500"/>
      <c r="BQ845" s="500"/>
      <c r="BR845" s="500"/>
      <c r="BS845" s="500"/>
      <c r="BT845" s="500"/>
      <c r="BU845" s="500"/>
      <c r="BV845" s="500"/>
    </row>
    <row r="846" ht="14.25" customHeight="1">
      <c r="A846" s="500"/>
      <c r="B846" s="500"/>
      <c r="C846" s="500"/>
      <c r="D846" s="500"/>
      <c r="E846" s="500"/>
      <c r="F846" s="500"/>
      <c r="G846" s="500"/>
      <c r="H846" s="500"/>
      <c r="I846" s="500"/>
      <c r="J846" s="500"/>
      <c r="K846" s="500"/>
      <c r="L846" s="500"/>
      <c r="M846" s="500"/>
      <c r="N846" s="500"/>
      <c r="O846" s="500"/>
      <c r="P846" s="500"/>
      <c r="Q846" s="500"/>
      <c r="R846" s="500"/>
      <c r="S846" s="500"/>
      <c r="T846" s="500"/>
      <c r="U846" s="500"/>
      <c r="V846" s="500"/>
      <c r="W846" s="500"/>
      <c r="X846" s="500"/>
      <c r="Y846" s="500"/>
      <c r="Z846" s="501"/>
      <c r="AA846" s="501"/>
      <c r="AB846" s="501"/>
      <c r="AC846" s="501"/>
      <c r="AD846" s="500"/>
      <c r="AE846" s="500"/>
      <c r="AF846" s="503"/>
      <c r="AG846" s="503"/>
      <c r="AH846" s="504"/>
      <c r="AI846" s="500"/>
      <c r="AJ846" s="500"/>
      <c r="AK846" s="500"/>
      <c r="AL846" s="500"/>
      <c r="AM846" s="500"/>
      <c r="AN846" s="500"/>
      <c r="AO846" s="500"/>
      <c r="AP846" s="500"/>
      <c r="AQ846" s="500"/>
      <c r="AR846" s="500"/>
      <c r="AS846" s="500"/>
      <c r="AT846" s="500"/>
      <c r="AU846" s="500"/>
      <c r="AV846" s="500"/>
      <c r="AW846" s="500"/>
      <c r="AX846" s="500"/>
      <c r="AY846" s="500"/>
      <c r="AZ846" s="500"/>
      <c r="BA846" s="500"/>
      <c r="BB846" s="500"/>
      <c r="BC846" s="500"/>
      <c r="BD846" s="500"/>
      <c r="BE846" s="500"/>
      <c r="BF846" s="500"/>
      <c r="BG846" s="500"/>
      <c r="BH846" s="500"/>
      <c r="BI846" s="500"/>
      <c r="BJ846" s="500"/>
      <c r="BK846" s="500"/>
      <c r="BL846" s="500"/>
      <c r="BM846" s="500"/>
      <c r="BN846" s="500"/>
      <c r="BO846" s="500"/>
      <c r="BP846" s="500"/>
      <c r="BQ846" s="500"/>
      <c r="BR846" s="500"/>
      <c r="BS846" s="500"/>
      <c r="BT846" s="500"/>
      <c r="BU846" s="500"/>
      <c r="BV846" s="500"/>
    </row>
    <row r="847" ht="14.25" customHeight="1">
      <c r="A847" s="500"/>
      <c r="B847" s="500"/>
      <c r="C847" s="500"/>
      <c r="D847" s="500"/>
      <c r="E847" s="500"/>
      <c r="F847" s="500"/>
      <c r="G847" s="500"/>
      <c r="H847" s="500"/>
      <c r="I847" s="500"/>
      <c r="J847" s="500"/>
      <c r="K847" s="500"/>
      <c r="L847" s="500"/>
      <c r="M847" s="500"/>
      <c r="N847" s="500"/>
      <c r="O847" s="500"/>
      <c r="P847" s="500"/>
      <c r="Q847" s="500"/>
      <c r="R847" s="500"/>
      <c r="S847" s="500"/>
      <c r="T847" s="500"/>
      <c r="U847" s="500"/>
      <c r="V847" s="500"/>
      <c r="W847" s="500"/>
      <c r="X847" s="500"/>
      <c r="Y847" s="500"/>
      <c r="Z847" s="501"/>
      <c r="AA847" s="501"/>
      <c r="AB847" s="501"/>
      <c r="AC847" s="501"/>
      <c r="AD847" s="500"/>
      <c r="AE847" s="500"/>
      <c r="AF847" s="503"/>
      <c r="AG847" s="503"/>
      <c r="AH847" s="504"/>
      <c r="AI847" s="500"/>
      <c r="AJ847" s="500"/>
      <c r="AK847" s="500"/>
      <c r="AL847" s="500"/>
      <c r="AM847" s="500"/>
      <c r="AN847" s="500"/>
      <c r="AO847" s="500"/>
      <c r="AP847" s="500"/>
      <c r="AQ847" s="500"/>
      <c r="AR847" s="500"/>
      <c r="AS847" s="500"/>
      <c r="AT847" s="500"/>
      <c r="AU847" s="500"/>
      <c r="AV847" s="500"/>
      <c r="AW847" s="500"/>
      <c r="AX847" s="500"/>
      <c r="AY847" s="500"/>
      <c r="AZ847" s="500"/>
      <c r="BA847" s="500"/>
      <c r="BB847" s="500"/>
      <c r="BC847" s="500"/>
      <c r="BD847" s="500"/>
      <c r="BE847" s="500"/>
      <c r="BF847" s="500"/>
      <c r="BG847" s="500"/>
      <c r="BH847" s="500"/>
      <c r="BI847" s="500"/>
      <c r="BJ847" s="500"/>
      <c r="BK847" s="500"/>
      <c r="BL847" s="500"/>
      <c r="BM847" s="500"/>
      <c r="BN847" s="500"/>
      <c r="BO847" s="500"/>
      <c r="BP847" s="500"/>
      <c r="BQ847" s="500"/>
      <c r="BR847" s="500"/>
      <c r="BS847" s="500"/>
      <c r="BT847" s="500"/>
      <c r="BU847" s="500"/>
      <c r="BV847" s="500"/>
    </row>
    <row r="848" ht="14.25" customHeight="1">
      <c r="A848" s="500"/>
      <c r="B848" s="500"/>
      <c r="C848" s="500"/>
      <c r="D848" s="500"/>
      <c r="E848" s="500"/>
      <c r="F848" s="500"/>
      <c r="G848" s="500"/>
      <c r="H848" s="500"/>
      <c r="I848" s="500"/>
      <c r="J848" s="500"/>
      <c r="K848" s="500"/>
      <c r="L848" s="500"/>
      <c r="M848" s="500"/>
      <c r="N848" s="500"/>
      <c r="O848" s="500"/>
      <c r="P848" s="500"/>
      <c r="Q848" s="500"/>
      <c r="R848" s="500"/>
      <c r="S848" s="500"/>
      <c r="T848" s="500"/>
      <c r="U848" s="500"/>
      <c r="V848" s="500"/>
      <c r="W848" s="500"/>
      <c r="X848" s="500"/>
      <c r="Y848" s="500"/>
      <c r="Z848" s="501"/>
      <c r="AA848" s="501"/>
      <c r="AB848" s="501"/>
      <c r="AC848" s="501"/>
      <c r="AD848" s="500"/>
      <c r="AE848" s="500"/>
      <c r="AF848" s="503"/>
      <c r="AG848" s="503"/>
      <c r="AH848" s="504"/>
      <c r="AI848" s="500"/>
      <c r="AJ848" s="500"/>
      <c r="AK848" s="500"/>
      <c r="AL848" s="500"/>
      <c r="AM848" s="500"/>
      <c r="AN848" s="500"/>
      <c r="AO848" s="500"/>
      <c r="AP848" s="500"/>
      <c r="AQ848" s="500"/>
      <c r="AR848" s="500"/>
      <c r="AS848" s="500"/>
      <c r="AT848" s="500"/>
      <c r="AU848" s="500"/>
      <c r="AV848" s="500"/>
      <c r="AW848" s="500"/>
      <c r="AX848" s="500"/>
      <c r="AY848" s="500"/>
      <c r="AZ848" s="500"/>
      <c r="BA848" s="500"/>
      <c r="BB848" s="500"/>
      <c r="BC848" s="500"/>
      <c r="BD848" s="500"/>
      <c r="BE848" s="500"/>
      <c r="BF848" s="500"/>
      <c r="BG848" s="500"/>
      <c r="BH848" s="500"/>
      <c r="BI848" s="500"/>
      <c r="BJ848" s="500"/>
      <c r="BK848" s="500"/>
      <c r="BL848" s="500"/>
      <c r="BM848" s="500"/>
      <c r="BN848" s="500"/>
      <c r="BO848" s="500"/>
      <c r="BP848" s="500"/>
      <c r="BQ848" s="500"/>
      <c r="BR848" s="500"/>
      <c r="BS848" s="500"/>
      <c r="BT848" s="500"/>
      <c r="BU848" s="500"/>
      <c r="BV848" s="500"/>
    </row>
    <row r="849" ht="14.25" customHeight="1">
      <c r="A849" s="500"/>
      <c r="B849" s="500"/>
      <c r="C849" s="500"/>
      <c r="D849" s="500"/>
      <c r="E849" s="500"/>
      <c r="F849" s="500"/>
      <c r="G849" s="500"/>
      <c r="H849" s="500"/>
      <c r="I849" s="500"/>
      <c r="J849" s="500"/>
      <c r="K849" s="500"/>
      <c r="L849" s="500"/>
      <c r="M849" s="500"/>
      <c r="N849" s="500"/>
      <c r="O849" s="500"/>
      <c r="P849" s="500"/>
      <c r="Q849" s="500"/>
      <c r="R849" s="500"/>
      <c r="S849" s="500"/>
      <c r="T849" s="500"/>
      <c r="U849" s="500"/>
      <c r="V849" s="500"/>
      <c r="W849" s="500"/>
      <c r="X849" s="500"/>
      <c r="Y849" s="500"/>
      <c r="Z849" s="501"/>
      <c r="AA849" s="501"/>
      <c r="AB849" s="501"/>
      <c r="AC849" s="501"/>
      <c r="AD849" s="500"/>
      <c r="AE849" s="500"/>
      <c r="AF849" s="503"/>
      <c r="AG849" s="503"/>
      <c r="AH849" s="504"/>
      <c r="AI849" s="500"/>
      <c r="AJ849" s="500"/>
      <c r="AK849" s="500"/>
      <c r="AL849" s="500"/>
      <c r="AM849" s="500"/>
      <c r="AN849" s="500"/>
      <c r="AO849" s="500"/>
      <c r="AP849" s="500"/>
      <c r="AQ849" s="500"/>
      <c r="AR849" s="500"/>
      <c r="AS849" s="500"/>
      <c r="AT849" s="500"/>
      <c r="AU849" s="500"/>
      <c r="AV849" s="500"/>
      <c r="AW849" s="500"/>
      <c r="AX849" s="500"/>
      <c r="AY849" s="500"/>
      <c r="AZ849" s="500"/>
      <c r="BA849" s="500"/>
      <c r="BB849" s="500"/>
      <c r="BC849" s="500"/>
      <c r="BD849" s="500"/>
      <c r="BE849" s="500"/>
      <c r="BF849" s="500"/>
      <c r="BG849" s="500"/>
      <c r="BH849" s="500"/>
      <c r="BI849" s="500"/>
      <c r="BJ849" s="500"/>
      <c r="BK849" s="500"/>
      <c r="BL849" s="500"/>
      <c r="BM849" s="500"/>
      <c r="BN849" s="500"/>
      <c r="BO849" s="500"/>
      <c r="BP849" s="500"/>
      <c r="BQ849" s="500"/>
      <c r="BR849" s="500"/>
      <c r="BS849" s="500"/>
      <c r="BT849" s="500"/>
      <c r="BU849" s="500"/>
      <c r="BV849" s="500"/>
    </row>
    <row r="850" ht="14.25" customHeight="1">
      <c r="A850" s="500"/>
      <c r="B850" s="500"/>
      <c r="C850" s="500"/>
      <c r="D850" s="500"/>
      <c r="E850" s="500"/>
      <c r="F850" s="500"/>
      <c r="G850" s="500"/>
      <c r="H850" s="500"/>
      <c r="I850" s="500"/>
      <c r="J850" s="500"/>
      <c r="K850" s="500"/>
      <c r="L850" s="500"/>
      <c r="M850" s="500"/>
      <c r="N850" s="500"/>
      <c r="O850" s="500"/>
      <c r="P850" s="500"/>
      <c r="Q850" s="500"/>
      <c r="R850" s="500"/>
      <c r="S850" s="500"/>
      <c r="T850" s="500"/>
      <c r="U850" s="500"/>
      <c r="V850" s="500"/>
      <c r="W850" s="500"/>
      <c r="X850" s="500"/>
      <c r="Y850" s="500"/>
      <c r="Z850" s="501"/>
      <c r="AA850" s="501"/>
      <c r="AB850" s="501"/>
      <c r="AC850" s="501"/>
      <c r="AD850" s="500"/>
      <c r="AE850" s="500"/>
      <c r="AF850" s="503"/>
      <c r="AG850" s="503"/>
      <c r="AH850" s="504"/>
      <c r="AI850" s="500"/>
      <c r="AJ850" s="500"/>
      <c r="AK850" s="500"/>
      <c r="AL850" s="500"/>
      <c r="AM850" s="500"/>
      <c r="AN850" s="500"/>
      <c r="AO850" s="500"/>
      <c r="AP850" s="500"/>
      <c r="AQ850" s="500"/>
      <c r="AR850" s="500"/>
      <c r="AS850" s="500"/>
      <c r="AT850" s="500"/>
      <c r="AU850" s="500"/>
      <c r="AV850" s="500"/>
      <c r="AW850" s="500"/>
      <c r="AX850" s="500"/>
      <c r="AY850" s="500"/>
      <c r="AZ850" s="500"/>
      <c r="BA850" s="500"/>
      <c r="BB850" s="500"/>
      <c r="BC850" s="500"/>
      <c r="BD850" s="500"/>
      <c r="BE850" s="500"/>
      <c r="BF850" s="500"/>
      <c r="BG850" s="500"/>
      <c r="BH850" s="500"/>
      <c r="BI850" s="500"/>
      <c r="BJ850" s="500"/>
      <c r="BK850" s="500"/>
      <c r="BL850" s="500"/>
      <c r="BM850" s="500"/>
      <c r="BN850" s="500"/>
      <c r="BO850" s="500"/>
      <c r="BP850" s="500"/>
      <c r="BQ850" s="500"/>
      <c r="BR850" s="500"/>
      <c r="BS850" s="500"/>
      <c r="BT850" s="500"/>
      <c r="BU850" s="500"/>
      <c r="BV850" s="500"/>
    </row>
    <row r="851" ht="14.25" customHeight="1">
      <c r="A851" s="500"/>
      <c r="B851" s="500"/>
      <c r="C851" s="500"/>
      <c r="D851" s="500"/>
      <c r="E851" s="500"/>
      <c r="F851" s="500"/>
      <c r="G851" s="500"/>
      <c r="H851" s="500"/>
      <c r="I851" s="500"/>
      <c r="J851" s="500"/>
      <c r="K851" s="500"/>
      <c r="L851" s="500"/>
      <c r="M851" s="500"/>
      <c r="N851" s="500"/>
      <c r="O851" s="500"/>
      <c r="P851" s="500"/>
      <c r="Q851" s="500"/>
      <c r="R851" s="500"/>
      <c r="S851" s="500"/>
      <c r="T851" s="500"/>
      <c r="U851" s="500"/>
      <c r="V851" s="500"/>
      <c r="W851" s="500"/>
      <c r="X851" s="500"/>
      <c r="Y851" s="500"/>
      <c r="Z851" s="501"/>
      <c r="AA851" s="501"/>
      <c r="AB851" s="501"/>
      <c r="AC851" s="501"/>
      <c r="AD851" s="500"/>
      <c r="AE851" s="500"/>
      <c r="AF851" s="503"/>
      <c r="AG851" s="503"/>
      <c r="AH851" s="504"/>
      <c r="AI851" s="500"/>
      <c r="AJ851" s="500"/>
      <c r="AK851" s="500"/>
      <c r="AL851" s="500"/>
      <c r="AM851" s="500"/>
      <c r="AN851" s="500"/>
      <c r="AO851" s="500"/>
      <c r="AP851" s="500"/>
      <c r="AQ851" s="500"/>
      <c r="AR851" s="500"/>
      <c r="AS851" s="500"/>
      <c r="AT851" s="500"/>
      <c r="AU851" s="500"/>
      <c r="AV851" s="500"/>
      <c r="AW851" s="500"/>
      <c r="AX851" s="500"/>
      <c r="AY851" s="500"/>
      <c r="AZ851" s="500"/>
      <c r="BA851" s="500"/>
      <c r="BB851" s="500"/>
      <c r="BC851" s="500"/>
      <c r="BD851" s="500"/>
      <c r="BE851" s="500"/>
      <c r="BF851" s="500"/>
      <c r="BG851" s="500"/>
      <c r="BH851" s="500"/>
      <c r="BI851" s="500"/>
      <c r="BJ851" s="500"/>
      <c r="BK851" s="500"/>
      <c r="BL851" s="500"/>
      <c r="BM851" s="500"/>
      <c r="BN851" s="500"/>
      <c r="BO851" s="500"/>
      <c r="BP851" s="500"/>
      <c r="BQ851" s="500"/>
      <c r="BR851" s="500"/>
      <c r="BS851" s="500"/>
      <c r="BT851" s="500"/>
      <c r="BU851" s="500"/>
      <c r="BV851" s="500"/>
    </row>
    <row r="852" ht="14.25" customHeight="1">
      <c r="A852" s="500"/>
      <c r="B852" s="500"/>
      <c r="C852" s="500"/>
      <c r="D852" s="500"/>
      <c r="E852" s="500"/>
      <c r="F852" s="500"/>
      <c r="G852" s="500"/>
      <c r="H852" s="500"/>
      <c r="I852" s="500"/>
      <c r="J852" s="500"/>
      <c r="K852" s="500"/>
      <c r="L852" s="500"/>
      <c r="M852" s="500"/>
      <c r="N852" s="500"/>
      <c r="O852" s="500"/>
      <c r="P852" s="500"/>
      <c r="Q852" s="500"/>
      <c r="R852" s="500"/>
      <c r="S852" s="500"/>
      <c r="T852" s="500"/>
      <c r="U852" s="500"/>
      <c r="V852" s="500"/>
      <c r="W852" s="500"/>
      <c r="X852" s="500"/>
      <c r="Y852" s="500"/>
      <c r="Z852" s="501"/>
      <c r="AA852" s="501"/>
      <c r="AB852" s="501"/>
      <c r="AC852" s="501"/>
      <c r="AD852" s="500"/>
      <c r="AE852" s="500"/>
      <c r="AF852" s="503"/>
      <c r="AG852" s="503"/>
      <c r="AH852" s="504"/>
      <c r="AI852" s="500"/>
      <c r="AJ852" s="500"/>
      <c r="AK852" s="500"/>
      <c r="AL852" s="500"/>
      <c r="AM852" s="500"/>
      <c r="AN852" s="500"/>
      <c r="AO852" s="500"/>
      <c r="AP852" s="500"/>
      <c r="AQ852" s="500"/>
      <c r="AR852" s="500"/>
      <c r="AS852" s="500"/>
      <c r="AT852" s="500"/>
      <c r="AU852" s="500"/>
      <c r="AV852" s="500"/>
      <c r="AW852" s="500"/>
      <c r="AX852" s="500"/>
      <c r="AY852" s="500"/>
      <c r="AZ852" s="500"/>
      <c r="BA852" s="500"/>
      <c r="BB852" s="500"/>
      <c r="BC852" s="500"/>
      <c r="BD852" s="500"/>
      <c r="BE852" s="500"/>
      <c r="BF852" s="500"/>
      <c r="BG852" s="500"/>
      <c r="BH852" s="500"/>
      <c r="BI852" s="500"/>
      <c r="BJ852" s="500"/>
      <c r="BK852" s="500"/>
      <c r="BL852" s="500"/>
      <c r="BM852" s="500"/>
      <c r="BN852" s="500"/>
      <c r="BO852" s="500"/>
      <c r="BP852" s="500"/>
      <c r="BQ852" s="500"/>
      <c r="BR852" s="500"/>
      <c r="BS852" s="500"/>
      <c r="BT852" s="500"/>
      <c r="BU852" s="500"/>
      <c r="BV852" s="500"/>
    </row>
    <row r="853" ht="14.25" customHeight="1">
      <c r="A853" s="500"/>
      <c r="B853" s="500"/>
      <c r="C853" s="500"/>
      <c r="D853" s="500"/>
      <c r="E853" s="500"/>
      <c r="F853" s="500"/>
      <c r="G853" s="500"/>
      <c r="H853" s="500"/>
      <c r="I853" s="500"/>
      <c r="J853" s="500"/>
      <c r="K853" s="500"/>
      <c r="L853" s="500"/>
      <c r="M853" s="500"/>
      <c r="N853" s="500"/>
      <c r="O853" s="500"/>
      <c r="P853" s="500"/>
      <c r="Q853" s="500"/>
      <c r="R853" s="500"/>
      <c r="S853" s="500"/>
      <c r="T853" s="500"/>
      <c r="U853" s="500"/>
      <c r="V853" s="500"/>
      <c r="W853" s="500"/>
      <c r="X853" s="500"/>
      <c r="Y853" s="500"/>
      <c r="Z853" s="501"/>
      <c r="AA853" s="501"/>
      <c r="AB853" s="501"/>
      <c r="AC853" s="501"/>
      <c r="AD853" s="500"/>
      <c r="AE853" s="500"/>
      <c r="AF853" s="503"/>
      <c r="AG853" s="503"/>
      <c r="AH853" s="504"/>
      <c r="AI853" s="500"/>
      <c r="AJ853" s="500"/>
      <c r="AK853" s="500"/>
      <c r="AL853" s="500"/>
      <c r="AM853" s="500"/>
      <c r="AN853" s="500"/>
      <c r="AO853" s="500"/>
      <c r="AP853" s="500"/>
      <c r="AQ853" s="500"/>
      <c r="AR853" s="500"/>
      <c r="AS853" s="500"/>
      <c r="AT853" s="500"/>
      <c r="AU853" s="500"/>
      <c r="AV853" s="500"/>
      <c r="AW853" s="500"/>
      <c r="AX853" s="500"/>
      <c r="AY853" s="500"/>
      <c r="AZ853" s="500"/>
      <c r="BA853" s="500"/>
      <c r="BB853" s="500"/>
      <c r="BC853" s="500"/>
      <c r="BD853" s="500"/>
      <c r="BE853" s="500"/>
      <c r="BF853" s="500"/>
      <c r="BG853" s="500"/>
      <c r="BH853" s="500"/>
      <c r="BI853" s="500"/>
      <c r="BJ853" s="500"/>
      <c r="BK853" s="500"/>
      <c r="BL853" s="500"/>
      <c r="BM853" s="500"/>
      <c r="BN853" s="500"/>
      <c r="BO853" s="500"/>
      <c r="BP853" s="500"/>
      <c r="BQ853" s="500"/>
      <c r="BR853" s="500"/>
      <c r="BS853" s="500"/>
      <c r="BT853" s="500"/>
      <c r="BU853" s="500"/>
      <c r="BV853" s="500"/>
    </row>
    <row r="854" ht="14.25" customHeight="1">
      <c r="A854" s="500"/>
      <c r="B854" s="500"/>
      <c r="C854" s="500"/>
      <c r="D854" s="500"/>
      <c r="E854" s="500"/>
      <c r="F854" s="500"/>
      <c r="G854" s="500"/>
      <c r="H854" s="500"/>
      <c r="I854" s="500"/>
      <c r="J854" s="500"/>
      <c r="K854" s="500"/>
      <c r="L854" s="500"/>
      <c r="M854" s="500"/>
      <c r="N854" s="500"/>
      <c r="O854" s="500"/>
      <c r="P854" s="500"/>
      <c r="Q854" s="500"/>
      <c r="R854" s="500"/>
      <c r="S854" s="500"/>
      <c r="T854" s="500"/>
      <c r="U854" s="500"/>
      <c r="V854" s="500"/>
      <c r="W854" s="500"/>
      <c r="X854" s="500"/>
      <c r="Y854" s="500"/>
      <c r="Z854" s="501"/>
      <c r="AA854" s="501"/>
      <c r="AB854" s="501"/>
      <c r="AC854" s="501"/>
      <c r="AD854" s="500"/>
      <c r="AE854" s="500"/>
      <c r="AF854" s="503"/>
      <c r="AG854" s="503"/>
      <c r="AH854" s="504"/>
      <c r="AI854" s="500"/>
      <c r="AJ854" s="500"/>
      <c r="AK854" s="500"/>
      <c r="AL854" s="500"/>
      <c r="AM854" s="500"/>
      <c r="AN854" s="500"/>
      <c r="AO854" s="500"/>
      <c r="AP854" s="500"/>
      <c r="AQ854" s="500"/>
      <c r="AR854" s="500"/>
      <c r="AS854" s="500"/>
      <c r="AT854" s="500"/>
      <c r="AU854" s="500"/>
      <c r="AV854" s="500"/>
      <c r="AW854" s="500"/>
      <c r="AX854" s="500"/>
      <c r="AY854" s="500"/>
      <c r="AZ854" s="500"/>
      <c r="BA854" s="500"/>
      <c r="BB854" s="500"/>
      <c r="BC854" s="500"/>
      <c r="BD854" s="500"/>
      <c r="BE854" s="500"/>
      <c r="BF854" s="500"/>
      <c r="BG854" s="500"/>
      <c r="BH854" s="500"/>
      <c r="BI854" s="500"/>
      <c r="BJ854" s="500"/>
      <c r="BK854" s="500"/>
      <c r="BL854" s="500"/>
      <c r="BM854" s="500"/>
      <c r="BN854" s="500"/>
      <c r="BO854" s="500"/>
      <c r="BP854" s="500"/>
      <c r="BQ854" s="500"/>
      <c r="BR854" s="500"/>
      <c r="BS854" s="500"/>
      <c r="BT854" s="500"/>
      <c r="BU854" s="500"/>
      <c r="BV854" s="500"/>
    </row>
    <row r="855" ht="14.25" customHeight="1">
      <c r="A855" s="500"/>
      <c r="B855" s="500"/>
      <c r="C855" s="500"/>
      <c r="D855" s="500"/>
      <c r="E855" s="500"/>
      <c r="F855" s="500"/>
      <c r="G855" s="500"/>
      <c r="H855" s="500"/>
      <c r="I855" s="500"/>
      <c r="J855" s="500"/>
      <c r="K855" s="500"/>
      <c r="L855" s="500"/>
      <c r="M855" s="500"/>
      <c r="N855" s="500"/>
      <c r="O855" s="500"/>
      <c r="P855" s="500"/>
      <c r="Q855" s="500"/>
      <c r="R855" s="500"/>
      <c r="S855" s="500"/>
      <c r="T855" s="500"/>
      <c r="U855" s="500"/>
      <c r="V855" s="500"/>
      <c r="W855" s="500"/>
      <c r="X855" s="500"/>
      <c r="Y855" s="500"/>
      <c r="Z855" s="501"/>
      <c r="AA855" s="501"/>
      <c r="AB855" s="501"/>
      <c r="AC855" s="501"/>
      <c r="AD855" s="500"/>
      <c r="AE855" s="500"/>
      <c r="AF855" s="503"/>
      <c r="AG855" s="503"/>
      <c r="AH855" s="504"/>
      <c r="AI855" s="500"/>
      <c r="AJ855" s="500"/>
      <c r="AK855" s="500"/>
      <c r="AL855" s="500"/>
      <c r="AM855" s="500"/>
      <c r="AN855" s="500"/>
      <c r="AO855" s="500"/>
      <c r="AP855" s="500"/>
      <c r="AQ855" s="500"/>
      <c r="AR855" s="500"/>
      <c r="AS855" s="500"/>
      <c r="AT855" s="500"/>
      <c r="AU855" s="500"/>
      <c r="AV855" s="500"/>
      <c r="AW855" s="500"/>
      <c r="AX855" s="500"/>
      <c r="AY855" s="500"/>
      <c r="AZ855" s="500"/>
      <c r="BA855" s="500"/>
      <c r="BB855" s="500"/>
      <c r="BC855" s="500"/>
      <c r="BD855" s="500"/>
      <c r="BE855" s="500"/>
      <c r="BF855" s="500"/>
      <c r="BG855" s="500"/>
      <c r="BH855" s="500"/>
      <c r="BI855" s="500"/>
      <c r="BJ855" s="500"/>
      <c r="BK855" s="500"/>
      <c r="BL855" s="500"/>
      <c r="BM855" s="500"/>
      <c r="BN855" s="500"/>
      <c r="BO855" s="500"/>
      <c r="BP855" s="500"/>
      <c r="BQ855" s="500"/>
      <c r="BR855" s="500"/>
      <c r="BS855" s="500"/>
      <c r="BT855" s="500"/>
      <c r="BU855" s="500"/>
      <c r="BV855" s="500"/>
    </row>
    <row r="856" ht="14.25" customHeight="1">
      <c r="A856" s="500"/>
      <c r="B856" s="500"/>
      <c r="C856" s="500"/>
      <c r="D856" s="500"/>
      <c r="E856" s="500"/>
      <c r="F856" s="500"/>
      <c r="G856" s="500"/>
      <c r="H856" s="500"/>
      <c r="I856" s="500"/>
      <c r="J856" s="500"/>
      <c r="K856" s="500"/>
      <c r="L856" s="500"/>
      <c r="M856" s="500"/>
      <c r="N856" s="500"/>
      <c r="O856" s="500"/>
      <c r="P856" s="500"/>
      <c r="Q856" s="500"/>
      <c r="R856" s="500"/>
      <c r="S856" s="500"/>
      <c r="T856" s="500"/>
      <c r="U856" s="500"/>
      <c r="V856" s="500"/>
      <c r="W856" s="500"/>
      <c r="X856" s="500"/>
      <c r="Y856" s="500"/>
      <c r="Z856" s="501"/>
      <c r="AA856" s="501"/>
      <c r="AB856" s="501"/>
      <c r="AC856" s="501"/>
      <c r="AD856" s="500"/>
      <c r="AE856" s="500"/>
      <c r="AF856" s="503"/>
      <c r="AG856" s="503"/>
      <c r="AH856" s="504"/>
      <c r="AI856" s="500"/>
      <c r="AJ856" s="500"/>
      <c r="AK856" s="500"/>
      <c r="AL856" s="500"/>
      <c r="AM856" s="500"/>
      <c r="AN856" s="500"/>
      <c r="AO856" s="500"/>
      <c r="AP856" s="500"/>
      <c r="AQ856" s="500"/>
      <c r="AR856" s="500"/>
      <c r="AS856" s="500"/>
      <c r="AT856" s="500"/>
      <c r="AU856" s="500"/>
      <c r="AV856" s="500"/>
      <c r="AW856" s="500"/>
      <c r="AX856" s="500"/>
      <c r="AY856" s="500"/>
      <c r="AZ856" s="500"/>
      <c r="BA856" s="500"/>
      <c r="BB856" s="500"/>
      <c r="BC856" s="500"/>
      <c r="BD856" s="500"/>
      <c r="BE856" s="500"/>
      <c r="BF856" s="500"/>
      <c r="BG856" s="500"/>
      <c r="BH856" s="500"/>
      <c r="BI856" s="500"/>
      <c r="BJ856" s="500"/>
      <c r="BK856" s="500"/>
      <c r="BL856" s="500"/>
      <c r="BM856" s="500"/>
      <c r="BN856" s="500"/>
      <c r="BO856" s="500"/>
      <c r="BP856" s="500"/>
      <c r="BQ856" s="500"/>
      <c r="BR856" s="500"/>
      <c r="BS856" s="500"/>
      <c r="BT856" s="500"/>
      <c r="BU856" s="500"/>
      <c r="BV856" s="500"/>
    </row>
    <row r="857" ht="14.25" customHeight="1">
      <c r="A857" s="500"/>
      <c r="B857" s="500"/>
      <c r="C857" s="500"/>
      <c r="D857" s="500"/>
      <c r="E857" s="500"/>
      <c r="F857" s="500"/>
      <c r="G857" s="500"/>
      <c r="H857" s="500"/>
      <c r="I857" s="500"/>
      <c r="J857" s="500"/>
      <c r="K857" s="500"/>
      <c r="L857" s="500"/>
      <c r="M857" s="500"/>
      <c r="N857" s="500"/>
      <c r="O857" s="500"/>
      <c r="P857" s="500"/>
      <c r="Q857" s="500"/>
      <c r="R857" s="500"/>
      <c r="S857" s="500"/>
      <c r="T857" s="500"/>
      <c r="U857" s="500"/>
      <c r="V857" s="500"/>
      <c r="W857" s="500"/>
      <c r="X857" s="500"/>
      <c r="Y857" s="500"/>
      <c r="Z857" s="501"/>
      <c r="AA857" s="501"/>
      <c r="AB857" s="501"/>
      <c r="AC857" s="501"/>
      <c r="AD857" s="500"/>
      <c r="AE857" s="500"/>
      <c r="AF857" s="503"/>
      <c r="AG857" s="503"/>
      <c r="AH857" s="504"/>
      <c r="AI857" s="500"/>
      <c r="AJ857" s="500"/>
      <c r="AK857" s="500"/>
      <c r="AL857" s="500"/>
      <c r="AM857" s="500"/>
      <c r="AN857" s="500"/>
      <c r="AO857" s="500"/>
      <c r="AP857" s="500"/>
      <c r="AQ857" s="500"/>
      <c r="AR857" s="500"/>
      <c r="AS857" s="500"/>
      <c r="AT857" s="500"/>
      <c r="AU857" s="500"/>
      <c r="AV857" s="500"/>
      <c r="AW857" s="500"/>
      <c r="AX857" s="500"/>
      <c r="AY857" s="500"/>
      <c r="AZ857" s="500"/>
      <c r="BA857" s="500"/>
      <c r="BB857" s="500"/>
      <c r="BC857" s="500"/>
      <c r="BD857" s="500"/>
      <c r="BE857" s="500"/>
      <c r="BF857" s="500"/>
      <c r="BG857" s="500"/>
      <c r="BH857" s="500"/>
      <c r="BI857" s="500"/>
      <c r="BJ857" s="500"/>
      <c r="BK857" s="500"/>
      <c r="BL857" s="500"/>
      <c r="BM857" s="500"/>
      <c r="BN857" s="500"/>
      <c r="BO857" s="500"/>
      <c r="BP857" s="500"/>
      <c r="BQ857" s="500"/>
      <c r="BR857" s="500"/>
      <c r="BS857" s="500"/>
      <c r="BT857" s="500"/>
      <c r="BU857" s="500"/>
      <c r="BV857" s="500"/>
    </row>
    <row r="858" ht="14.25" customHeight="1">
      <c r="A858" s="500"/>
      <c r="B858" s="500"/>
      <c r="C858" s="500"/>
      <c r="D858" s="500"/>
      <c r="E858" s="500"/>
      <c r="F858" s="500"/>
      <c r="G858" s="500"/>
      <c r="H858" s="500"/>
      <c r="I858" s="500"/>
      <c r="J858" s="500"/>
      <c r="K858" s="500"/>
      <c r="L858" s="500"/>
      <c r="M858" s="500"/>
      <c r="N858" s="500"/>
      <c r="O858" s="500"/>
      <c r="P858" s="500"/>
      <c r="Q858" s="500"/>
      <c r="R858" s="500"/>
      <c r="S858" s="500"/>
      <c r="T858" s="500"/>
      <c r="U858" s="500"/>
      <c r="V858" s="500"/>
      <c r="W858" s="500"/>
      <c r="X858" s="500"/>
      <c r="Y858" s="500"/>
      <c r="Z858" s="501"/>
      <c r="AA858" s="501"/>
      <c r="AB858" s="501"/>
      <c r="AC858" s="501"/>
      <c r="AD858" s="500"/>
      <c r="AE858" s="500"/>
      <c r="AF858" s="503"/>
      <c r="AG858" s="503"/>
      <c r="AH858" s="504"/>
      <c r="AI858" s="500"/>
      <c r="AJ858" s="500"/>
      <c r="AK858" s="500"/>
      <c r="AL858" s="500"/>
      <c r="AM858" s="500"/>
      <c r="AN858" s="500"/>
      <c r="AO858" s="500"/>
      <c r="AP858" s="500"/>
      <c r="AQ858" s="500"/>
      <c r="AR858" s="500"/>
      <c r="AS858" s="500"/>
      <c r="AT858" s="500"/>
      <c r="AU858" s="500"/>
      <c r="AV858" s="500"/>
      <c r="AW858" s="500"/>
      <c r="AX858" s="500"/>
      <c r="AY858" s="500"/>
      <c r="AZ858" s="500"/>
      <c r="BA858" s="500"/>
      <c r="BB858" s="500"/>
      <c r="BC858" s="500"/>
      <c r="BD858" s="500"/>
      <c r="BE858" s="500"/>
      <c r="BF858" s="500"/>
      <c r="BG858" s="500"/>
      <c r="BH858" s="500"/>
      <c r="BI858" s="500"/>
      <c r="BJ858" s="500"/>
      <c r="BK858" s="500"/>
      <c r="BL858" s="500"/>
      <c r="BM858" s="500"/>
      <c r="BN858" s="500"/>
      <c r="BO858" s="500"/>
      <c r="BP858" s="500"/>
      <c r="BQ858" s="500"/>
      <c r="BR858" s="500"/>
      <c r="BS858" s="500"/>
      <c r="BT858" s="500"/>
      <c r="BU858" s="500"/>
      <c r="BV858" s="500"/>
    </row>
    <row r="859" ht="14.25" customHeight="1">
      <c r="A859" s="500"/>
      <c r="B859" s="500"/>
      <c r="C859" s="500"/>
      <c r="D859" s="500"/>
      <c r="E859" s="500"/>
      <c r="F859" s="500"/>
      <c r="G859" s="500"/>
      <c r="H859" s="500"/>
      <c r="I859" s="500"/>
      <c r="J859" s="500"/>
      <c r="K859" s="500"/>
      <c r="L859" s="500"/>
      <c r="M859" s="500"/>
      <c r="N859" s="500"/>
      <c r="O859" s="500"/>
      <c r="P859" s="500"/>
      <c r="Q859" s="500"/>
      <c r="R859" s="500"/>
      <c r="S859" s="500"/>
      <c r="T859" s="500"/>
      <c r="U859" s="500"/>
      <c r="V859" s="500"/>
      <c r="W859" s="500"/>
      <c r="X859" s="500"/>
      <c r="Y859" s="500"/>
      <c r="Z859" s="501"/>
      <c r="AA859" s="501"/>
      <c r="AB859" s="501"/>
      <c r="AC859" s="501"/>
      <c r="AD859" s="500"/>
      <c r="AE859" s="500"/>
      <c r="AF859" s="503"/>
      <c r="AG859" s="503"/>
      <c r="AH859" s="504"/>
      <c r="AI859" s="500"/>
      <c r="AJ859" s="500"/>
      <c r="AK859" s="500"/>
      <c r="AL859" s="500"/>
      <c r="AM859" s="500"/>
      <c r="AN859" s="500"/>
      <c r="AO859" s="500"/>
      <c r="AP859" s="500"/>
      <c r="AQ859" s="500"/>
      <c r="AR859" s="500"/>
      <c r="AS859" s="500"/>
      <c r="AT859" s="500"/>
      <c r="AU859" s="500"/>
      <c r="AV859" s="500"/>
      <c r="AW859" s="500"/>
      <c r="AX859" s="500"/>
      <c r="AY859" s="500"/>
      <c r="AZ859" s="500"/>
      <c r="BA859" s="500"/>
      <c r="BB859" s="500"/>
      <c r="BC859" s="500"/>
      <c r="BD859" s="500"/>
      <c r="BE859" s="500"/>
      <c r="BF859" s="500"/>
      <c r="BG859" s="500"/>
      <c r="BH859" s="500"/>
      <c r="BI859" s="500"/>
      <c r="BJ859" s="500"/>
      <c r="BK859" s="500"/>
      <c r="BL859" s="500"/>
      <c r="BM859" s="500"/>
      <c r="BN859" s="500"/>
      <c r="BO859" s="500"/>
      <c r="BP859" s="500"/>
      <c r="BQ859" s="500"/>
      <c r="BR859" s="500"/>
      <c r="BS859" s="500"/>
      <c r="BT859" s="500"/>
      <c r="BU859" s="500"/>
      <c r="BV859" s="500"/>
    </row>
    <row r="860" ht="14.25" customHeight="1">
      <c r="A860" s="500"/>
      <c r="B860" s="500"/>
      <c r="C860" s="500"/>
      <c r="D860" s="500"/>
      <c r="E860" s="500"/>
      <c r="F860" s="500"/>
      <c r="G860" s="500"/>
      <c r="H860" s="500"/>
      <c r="I860" s="500"/>
      <c r="J860" s="500"/>
      <c r="K860" s="500"/>
      <c r="L860" s="500"/>
      <c r="M860" s="500"/>
      <c r="N860" s="500"/>
      <c r="O860" s="500"/>
      <c r="P860" s="500"/>
      <c r="Q860" s="500"/>
      <c r="R860" s="500"/>
      <c r="S860" s="500"/>
      <c r="T860" s="500"/>
      <c r="U860" s="500"/>
      <c r="V860" s="500"/>
      <c r="W860" s="500"/>
      <c r="X860" s="500"/>
      <c r="Y860" s="500"/>
      <c r="Z860" s="501"/>
      <c r="AA860" s="501"/>
      <c r="AB860" s="501"/>
      <c r="AC860" s="501"/>
      <c r="AD860" s="500"/>
      <c r="AE860" s="500"/>
      <c r="AF860" s="503"/>
      <c r="AG860" s="503"/>
      <c r="AH860" s="504"/>
      <c r="AI860" s="500"/>
      <c r="AJ860" s="500"/>
      <c r="AK860" s="500"/>
      <c r="AL860" s="500"/>
      <c r="AM860" s="500"/>
      <c r="AN860" s="500"/>
      <c r="AO860" s="500"/>
      <c r="AP860" s="500"/>
      <c r="AQ860" s="500"/>
      <c r="AR860" s="500"/>
      <c r="AS860" s="500"/>
      <c r="AT860" s="500"/>
      <c r="AU860" s="500"/>
      <c r="AV860" s="500"/>
      <c r="AW860" s="500"/>
      <c r="AX860" s="500"/>
      <c r="AY860" s="500"/>
      <c r="AZ860" s="500"/>
      <c r="BA860" s="500"/>
      <c r="BB860" s="500"/>
      <c r="BC860" s="500"/>
      <c r="BD860" s="500"/>
      <c r="BE860" s="500"/>
      <c r="BF860" s="500"/>
      <c r="BG860" s="500"/>
      <c r="BH860" s="500"/>
      <c r="BI860" s="500"/>
      <c r="BJ860" s="500"/>
      <c r="BK860" s="500"/>
      <c r="BL860" s="500"/>
      <c r="BM860" s="500"/>
      <c r="BN860" s="500"/>
      <c r="BO860" s="500"/>
      <c r="BP860" s="500"/>
      <c r="BQ860" s="500"/>
      <c r="BR860" s="500"/>
      <c r="BS860" s="500"/>
      <c r="BT860" s="500"/>
      <c r="BU860" s="500"/>
      <c r="BV860" s="500"/>
    </row>
    <row r="861" ht="14.25" customHeight="1">
      <c r="A861" s="500"/>
      <c r="B861" s="500"/>
      <c r="C861" s="500"/>
      <c r="D861" s="500"/>
      <c r="E861" s="500"/>
      <c r="F861" s="500"/>
      <c r="G861" s="500"/>
      <c r="H861" s="500"/>
      <c r="I861" s="500"/>
      <c r="J861" s="500"/>
      <c r="K861" s="500"/>
      <c r="L861" s="500"/>
      <c r="M861" s="500"/>
      <c r="N861" s="500"/>
      <c r="O861" s="500"/>
      <c r="P861" s="500"/>
      <c r="Q861" s="500"/>
      <c r="R861" s="500"/>
      <c r="S861" s="500"/>
      <c r="T861" s="500"/>
      <c r="U861" s="500"/>
      <c r="V861" s="500"/>
      <c r="W861" s="500"/>
      <c r="X861" s="500"/>
      <c r="Y861" s="500"/>
      <c r="Z861" s="501"/>
      <c r="AA861" s="501"/>
      <c r="AB861" s="501"/>
      <c r="AC861" s="501"/>
      <c r="AD861" s="500"/>
      <c r="AE861" s="500"/>
      <c r="AF861" s="503"/>
      <c r="AG861" s="503"/>
      <c r="AH861" s="504"/>
      <c r="AI861" s="500"/>
      <c r="AJ861" s="500"/>
      <c r="AK861" s="500"/>
      <c r="AL861" s="500"/>
      <c r="AM861" s="500"/>
      <c r="AN861" s="500"/>
      <c r="AO861" s="500"/>
      <c r="AP861" s="500"/>
      <c r="AQ861" s="500"/>
      <c r="AR861" s="500"/>
      <c r="AS861" s="500"/>
      <c r="AT861" s="500"/>
      <c r="AU861" s="500"/>
      <c r="AV861" s="500"/>
      <c r="AW861" s="500"/>
      <c r="AX861" s="500"/>
      <c r="AY861" s="500"/>
      <c r="AZ861" s="500"/>
      <c r="BA861" s="500"/>
      <c r="BB861" s="500"/>
      <c r="BC861" s="500"/>
      <c r="BD861" s="500"/>
      <c r="BE861" s="500"/>
      <c r="BF861" s="500"/>
      <c r="BG861" s="500"/>
      <c r="BH861" s="500"/>
      <c r="BI861" s="500"/>
      <c r="BJ861" s="500"/>
      <c r="BK861" s="500"/>
      <c r="BL861" s="500"/>
      <c r="BM861" s="500"/>
      <c r="BN861" s="500"/>
      <c r="BO861" s="500"/>
      <c r="BP861" s="500"/>
      <c r="BQ861" s="500"/>
      <c r="BR861" s="500"/>
      <c r="BS861" s="500"/>
      <c r="BT861" s="500"/>
      <c r="BU861" s="500"/>
      <c r="BV861" s="500"/>
    </row>
    <row r="862" ht="14.25" customHeight="1">
      <c r="A862" s="500"/>
      <c r="B862" s="500"/>
      <c r="C862" s="500"/>
      <c r="D862" s="500"/>
      <c r="E862" s="500"/>
      <c r="F862" s="500"/>
      <c r="G862" s="500"/>
      <c r="H862" s="500"/>
      <c r="I862" s="500"/>
      <c r="J862" s="500"/>
      <c r="K862" s="500"/>
      <c r="L862" s="500"/>
      <c r="M862" s="500"/>
      <c r="N862" s="500"/>
      <c r="O862" s="500"/>
      <c r="P862" s="500"/>
      <c r="Q862" s="500"/>
      <c r="R862" s="500"/>
      <c r="S862" s="500"/>
      <c r="T862" s="500"/>
      <c r="U862" s="500"/>
      <c r="V862" s="500"/>
      <c r="W862" s="500"/>
      <c r="X862" s="500"/>
      <c r="Y862" s="500"/>
      <c r="Z862" s="501"/>
      <c r="AA862" s="501"/>
      <c r="AB862" s="501"/>
      <c r="AC862" s="501"/>
      <c r="AD862" s="500"/>
      <c r="AE862" s="500"/>
      <c r="AF862" s="503"/>
      <c r="AG862" s="503"/>
      <c r="AH862" s="504"/>
      <c r="AI862" s="500"/>
      <c r="AJ862" s="500"/>
      <c r="AK862" s="500"/>
      <c r="AL862" s="500"/>
      <c r="AM862" s="500"/>
      <c r="AN862" s="500"/>
      <c r="AO862" s="500"/>
      <c r="AP862" s="500"/>
      <c r="AQ862" s="500"/>
      <c r="AR862" s="500"/>
      <c r="AS862" s="500"/>
      <c r="AT862" s="500"/>
      <c r="AU862" s="500"/>
      <c r="AV862" s="500"/>
      <c r="AW862" s="500"/>
      <c r="AX862" s="500"/>
      <c r="AY862" s="500"/>
      <c r="AZ862" s="500"/>
      <c r="BA862" s="500"/>
      <c r="BB862" s="500"/>
      <c r="BC862" s="500"/>
      <c r="BD862" s="500"/>
      <c r="BE862" s="500"/>
      <c r="BF862" s="500"/>
      <c r="BG862" s="500"/>
      <c r="BH862" s="500"/>
      <c r="BI862" s="500"/>
      <c r="BJ862" s="500"/>
      <c r="BK862" s="500"/>
      <c r="BL862" s="500"/>
      <c r="BM862" s="500"/>
      <c r="BN862" s="500"/>
      <c r="BO862" s="500"/>
      <c r="BP862" s="500"/>
      <c r="BQ862" s="500"/>
      <c r="BR862" s="500"/>
      <c r="BS862" s="500"/>
      <c r="BT862" s="500"/>
      <c r="BU862" s="500"/>
      <c r="BV862" s="500"/>
    </row>
    <row r="863" ht="14.25" customHeight="1">
      <c r="A863" s="500"/>
      <c r="B863" s="500"/>
      <c r="C863" s="500"/>
      <c r="D863" s="500"/>
      <c r="E863" s="500"/>
      <c r="F863" s="500"/>
      <c r="G863" s="500"/>
      <c r="H863" s="500"/>
      <c r="I863" s="500"/>
      <c r="J863" s="500"/>
      <c r="K863" s="500"/>
      <c r="L863" s="500"/>
      <c r="M863" s="500"/>
      <c r="N863" s="500"/>
      <c r="O863" s="500"/>
      <c r="P863" s="500"/>
      <c r="Q863" s="500"/>
      <c r="R863" s="500"/>
      <c r="S863" s="500"/>
      <c r="T863" s="500"/>
      <c r="U863" s="500"/>
      <c r="V863" s="500"/>
      <c r="W863" s="500"/>
      <c r="X863" s="500"/>
      <c r="Y863" s="500"/>
      <c r="Z863" s="501"/>
      <c r="AA863" s="501"/>
      <c r="AB863" s="501"/>
      <c r="AC863" s="501"/>
      <c r="AD863" s="500"/>
      <c r="AE863" s="500"/>
      <c r="AF863" s="503"/>
      <c r="AG863" s="503"/>
      <c r="AH863" s="504"/>
      <c r="AI863" s="500"/>
      <c r="AJ863" s="500"/>
      <c r="AK863" s="500"/>
      <c r="AL863" s="500"/>
      <c r="AM863" s="500"/>
      <c r="AN863" s="500"/>
      <c r="AO863" s="500"/>
      <c r="AP863" s="500"/>
      <c r="AQ863" s="500"/>
      <c r="AR863" s="500"/>
      <c r="AS863" s="500"/>
      <c r="AT863" s="500"/>
      <c r="AU863" s="500"/>
      <c r="AV863" s="500"/>
      <c r="AW863" s="500"/>
      <c r="AX863" s="500"/>
      <c r="AY863" s="500"/>
      <c r="AZ863" s="500"/>
      <c r="BA863" s="500"/>
      <c r="BB863" s="500"/>
      <c r="BC863" s="500"/>
      <c r="BD863" s="500"/>
      <c r="BE863" s="500"/>
      <c r="BF863" s="500"/>
      <c r="BG863" s="500"/>
      <c r="BH863" s="500"/>
      <c r="BI863" s="500"/>
      <c r="BJ863" s="500"/>
      <c r="BK863" s="500"/>
      <c r="BL863" s="500"/>
      <c r="BM863" s="500"/>
      <c r="BN863" s="500"/>
      <c r="BO863" s="500"/>
      <c r="BP863" s="500"/>
      <c r="BQ863" s="500"/>
      <c r="BR863" s="500"/>
      <c r="BS863" s="500"/>
      <c r="BT863" s="500"/>
      <c r="BU863" s="500"/>
      <c r="BV863" s="500"/>
    </row>
    <row r="864" ht="14.25" customHeight="1">
      <c r="A864" s="500"/>
      <c r="B864" s="500"/>
      <c r="C864" s="500"/>
      <c r="D864" s="500"/>
      <c r="E864" s="500"/>
      <c r="F864" s="500"/>
      <c r="G864" s="500"/>
      <c r="H864" s="500"/>
      <c r="I864" s="500"/>
      <c r="J864" s="500"/>
      <c r="K864" s="500"/>
      <c r="L864" s="500"/>
      <c r="M864" s="500"/>
      <c r="N864" s="500"/>
      <c r="O864" s="500"/>
      <c r="P864" s="500"/>
      <c r="Q864" s="500"/>
      <c r="R864" s="500"/>
      <c r="S864" s="500"/>
      <c r="T864" s="500"/>
      <c r="U864" s="500"/>
      <c r="V864" s="500"/>
      <c r="W864" s="500"/>
      <c r="X864" s="500"/>
      <c r="Y864" s="500"/>
      <c r="Z864" s="501"/>
      <c r="AA864" s="501"/>
      <c r="AB864" s="501"/>
      <c r="AC864" s="501"/>
      <c r="AD864" s="500"/>
      <c r="AE864" s="500"/>
      <c r="AF864" s="503"/>
      <c r="AG864" s="503"/>
      <c r="AH864" s="504"/>
      <c r="AI864" s="500"/>
      <c r="AJ864" s="500"/>
      <c r="AK864" s="500"/>
      <c r="AL864" s="500"/>
      <c r="AM864" s="500"/>
      <c r="AN864" s="500"/>
      <c r="AO864" s="500"/>
      <c r="AP864" s="500"/>
      <c r="AQ864" s="500"/>
      <c r="AR864" s="500"/>
      <c r="AS864" s="500"/>
      <c r="AT864" s="500"/>
      <c r="AU864" s="500"/>
      <c r="AV864" s="500"/>
      <c r="AW864" s="500"/>
      <c r="AX864" s="500"/>
      <c r="AY864" s="500"/>
      <c r="AZ864" s="500"/>
      <c r="BA864" s="500"/>
      <c r="BB864" s="500"/>
      <c r="BC864" s="500"/>
      <c r="BD864" s="500"/>
      <c r="BE864" s="500"/>
      <c r="BF864" s="500"/>
      <c r="BG864" s="500"/>
      <c r="BH864" s="500"/>
      <c r="BI864" s="500"/>
      <c r="BJ864" s="500"/>
      <c r="BK864" s="500"/>
      <c r="BL864" s="500"/>
      <c r="BM864" s="500"/>
      <c r="BN864" s="500"/>
      <c r="BO864" s="500"/>
      <c r="BP864" s="500"/>
      <c r="BQ864" s="500"/>
      <c r="BR864" s="500"/>
      <c r="BS864" s="500"/>
      <c r="BT864" s="500"/>
      <c r="BU864" s="500"/>
      <c r="BV864" s="500"/>
    </row>
    <row r="865" ht="14.25" customHeight="1">
      <c r="A865" s="500"/>
      <c r="B865" s="500"/>
      <c r="C865" s="500"/>
      <c r="D865" s="500"/>
      <c r="E865" s="500"/>
      <c r="F865" s="500"/>
      <c r="G865" s="500"/>
      <c r="H865" s="500"/>
      <c r="I865" s="500"/>
      <c r="J865" s="500"/>
      <c r="K865" s="500"/>
      <c r="L865" s="500"/>
      <c r="M865" s="500"/>
      <c r="N865" s="500"/>
      <c r="O865" s="500"/>
      <c r="P865" s="500"/>
      <c r="Q865" s="500"/>
      <c r="R865" s="500"/>
      <c r="S865" s="500"/>
      <c r="T865" s="500"/>
      <c r="U865" s="500"/>
      <c r="V865" s="500"/>
      <c r="W865" s="500"/>
      <c r="X865" s="500"/>
      <c r="Y865" s="500"/>
      <c r="Z865" s="501"/>
      <c r="AA865" s="501"/>
      <c r="AB865" s="501"/>
      <c r="AC865" s="501"/>
      <c r="AD865" s="500"/>
      <c r="AE865" s="500"/>
      <c r="AF865" s="503"/>
      <c r="AG865" s="503"/>
      <c r="AH865" s="504"/>
      <c r="AI865" s="500"/>
      <c r="AJ865" s="500"/>
      <c r="AK865" s="500"/>
      <c r="AL865" s="500"/>
      <c r="AM865" s="500"/>
      <c r="AN865" s="500"/>
      <c r="AO865" s="500"/>
      <c r="AP865" s="500"/>
      <c r="AQ865" s="500"/>
      <c r="AR865" s="500"/>
      <c r="AS865" s="500"/>
      <c r="AT865" s="500"/>
      <c r="AU865" s="500"/>
      <c r="AV865" s="500"/>
      <c r="AW865" s="500"/>
      <c r="AX865" s="500"/>
      <c r="AY865" s="500"/>
      <c r="AZ865" s="500"/>
      <c r="BA865" s="500"/>
      <c r="BB865" s="500"/>
      <c r="BC865" s="500"/>
      <c r="BD865" s="500"/>
      <c r="BE865" s="500"/>
      <c r="BF865" s="500"/>
      <c r="BG865" s="500"/>
      <c r="BH865" s="500"/>
      <c r="BI865" s="500"/>
      <c r="BJ865" s="500"/>
      <c r="BK865" s="500"/>
      <c r="BL865" s="500"/>
      <c r="BM865" s="500"/>
      <c r="BN865" s="500"/>
      <c r="BO865" s="500"/>
      <c r="BP865" s="500"/>
      <c r="BQ865" s="500"/>
      <c r="BR865" s="500"/>
      <c r="BS865" s="500"/>
      <c r="BT865" s="500"/>
      <c r="BU865" s="500"/>
      <c r="BV865" s="500"/>
    </row>
    <row r="866" ht="14.25" customHeight="1">
      <c r="A866" s="500"/>
      <c r="B866" s="500"/>
      <c r="C866" s="500"/>
      <c r="D866" s="500"/>
      <c r="E866" s="500"/>
      <c r="F866" s="500"/>
      <c r="G866" s="500"/>
      <c r="H866" s="500"/>
      <c r="I866" s="500"/>
      <c r="J866" s="500"/>
      <c r="K866" s="500"/>
      <c r="L866" s="500"/>
      <c r="M866" s="500"/>
      <c r="N866" s="500"/>
      <c r="O866" s="500"/>
      <c r="P866" s="500"/>
      <c r="Q866" s="500"/>
      <c r="R866" s="500"/>
      <c r="S866" s="500"/>
      <c r="T866" s="500"/>
      <c r="U866" s="500"/>
      <c r="V866" s="500"/>
      <c r="W866" s="500"/>
      <c r="X866" s="500"/>
      <c r="Y866" s="500"/>
      <c r="Z866" s="501"/>
      <c r="AA866" s="501"/>
      <c r="AB866" s="501"/>
      <c r="AC866" s="501"/>
      <c r="AD866" s="500"/>
      <c r="AE866" s="500"/>
      <c r="AF866" s="503"/>
      <c r="AG866" s="503"/>
      <c r="AH866" s="504"/>
      <c r="AI866" s="500"/>
      <c r="AJ866" s="500"/>
      <c r="AK866" s="500"/>
      <c r="AL866" s="500"/>
      <c r="AM866" s="500"/>
      <c r="AN866" s="500"/>
      <c r="AO866" s="500"/>
      <c r="AP866" s="500"/>
      <c r="AQ866" s="500"/>
      <c r="AR866" s="500"/>
      <c r="AS866" s="500"/>
      <c r="AT866" s="500"/>
      <c r="AU866" s="500"/>
      <c r="AV866" s="500"/>
      <c r="AW866" s="500"/>
      <c r="AX866" s="500"/>
      <c r="AY866" s="500"/>
      <c r="AZ866" s="500"/>
      <c r="BA866" s="500"/>
      <c r="BB866" s="500"/>
      <c r="BC866" s="500"/>
      <c r="BD866" s="500"/>
      <c r="BE866" s="500"/>
      <c r="BF866" s="500"/>
      <c r="BG866" s="500"/>
      <c r="BH866" s="500"/>
      <c r="BI866" s="500"/>
      <c r="BJ866" s="500"/>
      <c r="BK866" s="500"/>
      <c r="BL866" s="500"/>
      <c r="BM866" s="500"/>
      <c r="BN866" s="500"/>
      <c r="BO866" s="500"/>
      <c r="BP866" s="500"/>
      <c r="BQ866" s="500"/>
      <c r="BR866" s="500"/>
      <c r="BS866" s="500"/>
      <c r="BT866" s="500"/>
      <c r="BU866" s="500"/>
      <c r="BV866" s="500"/>
    </row>
    <row r="867" ht="14.25" customHeight="1">
      <c r="A867" s="500"/>
      <c r="B867" s="500"/>
      <c r="C867" s="500"/>
      <c r="D867" s="500"/>
      <c r="E867" s="500"/>
      <c r="F867" s="500"/>
      <c r="G867" s="500"/>
      <c r="H867" s="500"/>
      <c r="I867" s="500"/>
      <c r="J867" s="500"/>
      <c r="K867" s="500"/>
      <c r="L867" s="500"/>
      <c r="M867" s="500"/>
      <c r="N867" s="500"/>
      <c r="O867" s="500"/>
      <c r="P867" s="500"/>
      <c r="Q867" s="500"/>
      <c r="R867" s="500"/>
      <c r="S867" s="500"/>
      <c r="T867" s="500"/>
      <c r="U867" s="500"/>
      <c r="V867" s="500"/>
      <c r="W867" s="500"/>
      <c r="X867" s="500"/>
      <c r="Y867" s="500"/>
      <c r="Z867" s="501"/>
      <c r="AA867" s="501"/>
      <c r="AB867" s="501"/>
      <c r="AC867" s="501"/>
      <c r="AD867" s="500"/>
      <c r="AE867" s="500"/>
      <c r="AF867" s="503"/>
      <c r="AG867" s="503"/>
      <c r="AH867" s="504"/>
      <c r="AI867" s="500"/>
      <c r="AJ867" s="500"/>
      <c r="AK867" s="500"/>
      <c r="AL867" s="500"/>
      <c r="AM867" s="500"/>
      <c r="AN867" s="500"/>
      <c r="AO867" s="500"/>
      <c r="AP867" s="500"/>
      <c r="AQ867" s="500"/>
      <c r="AR867" s="500"/>
      <c r="AS867" s="500"/>
      <c r="AT867" s="500"/>
      <c r="AU867" s="500"/>
      <c r="AV867" s="500"/>
      <c r="AW867" s="500"/>
      <c r="AX867" s="500"/>
      <c r="AY867" s="500"/>
      <c r="AZ867" s="500"/>
      <c r="BA867" s="500"/>
      <c r="BB867" s="500"/>
      <c r="BC867" s="500"/>
      <c r="BD867" s="500"/>
      <c r="BE867" s="500"/>
      <c r="BF867" s="500"/>
      <c r="BG867" s="500"/>
      <c r="BH867" s="500"/>
      <c r="BI867" s="500"/>
      <c r="BJ867" s="500"/>
      <c r="BK867" s="500"/>
      <c r="BL867" s="500"/>
      <c r="BM867" s="500"/>
      <c r="BN867" s="500"/>
      <c r="BO867" s="500"/>
      <c r="BP867" s="500"/>
      <c r="BQ867" s="500"/>
      <c r="BR867" s="500"/>
      <c r="BS867" s="500"/>
      <c r="BT867" s="500"/>
      <c r="BU867" s="500"/>
      <c r="BV867" s="500"/>
    </row>
    <row r="868" ht="14.25" customHeight="1">
      <c r="A868" s="500"/>
      <c r="B868" s="500"/>
      <c r="C868" s="500"/>
      <c r="D868" s="500"/>
      <c r="E868" s="500"/>
      <c r="F868" s="500"/>
      <c r="G868" s="500"/>
      <c r="H868" s="500"/>
      <c r="I868" s="500"/>
      <c r="J868" s="500"/>
      <c r="K868" s="500"/>
      <c r="L868" s="500"/>
      <c r="M868" s="500"/>
      <c r="N868" s="500"/>
      <c r="O868" s="500"/>
      <c r="P868" s="500"/>
      <c r="Q868" s="500"/>
      <c r="R868" s="500"/>
      <c r="S868" s="500"/>
      <c r="T868" s="500"/>
      <c r="U868" s="500"/>
      <c r="V868" s="500"/>
      <c r="W868" s="500"/>
      <c r="X868" s="500"/>
      <c r="Y868" s="500"/>
      <c r="Z868" s="501"/>
      <c r="AA868" s="501"/>
      <c r="AB868" s="501"/>
      <c r="AC868" s="501"/>
      <c r="AD868" s="500"/>
      <c r="AE868" s="500"/>
      <c r="AF868" s="503"/>
      <c r="AG868" s="503"/>
      <c r="AH868" s="504"/>
      <c r="AI868" s="500"/>
      <c r="AJ868" s="500"/>
      <c r="AK868" s="500"/>
      <c r="AL868" s="500"/>
      <c r="AM868" s="500"/>
      <c r="AN868" s="500"/>
      <c r="AO868" s="500"/>
      <c r="AP868" s="500"/>
      <c r="AQ868" s="500"/>
      <c r="AR868" s="500"/>
      <c r="AS868" s="500"/>
      <c r="AT868" s="500"/>
      <c r="AU868" s="500"/>
      <c r="AV868" s="500"/>
      <c r="AW868" s="500"/>
      <c r="AX868" s="500"/>
      <c r="AY868" s="500"/>
      <c r="AZ868" s="500"/>
      <c r="BA868" s="500"/>
      <c r="BB868" s="500"/>
      <c r="BC868" s="500"/>
      <c r="BD868" s="500"/>
      <c r="BE868" s="500"/>
      <c r="BF868" s="500"/>
      <c r="BG868" s="500"/>
      <c r="BH868" s="500"/>
      <c r="BI868" s="500"/>
      <c r="BJ868" s="500"/>
      <c r="BK868" s="500"/>
      <c r="BL868" s="500"/>
      <c r="BM868" s="500"/>
      <c r="BN868" s="500"/>
      <c r="BO868" s="500"/>
      <c r="BP868" s="500"/>
      <c r="BQ868" s="500"/>
      <c r="BR868" s="500"/>
      <c r="BS868" s="500"/>
      <c r="BT868" s="500"/>
      <c r="BU868" s="500"/>
      <c r="BV868" s="500"/>
    </row>
    <row r="869" ht="14.25" customHeight="1">
      <c r="A869" s="500"/>
      <c r="B869" s="500"/>
      <c r="C869" s="500"/>
      <c r="D869" s="500"/>
      <c r="E869" s="500"/>
      <c r="F869" s="500"/>
      <c r="G869" s="500"/>
      <c r="H869" s="500"/>
      <c r="I869" s="500"/>
      <c r="J869" s="500"/>
      <c r="K869" s="500"/>
      <c r="L869" s="500"/>
      <c r="M869" s="500"/>
      <c r="N869" s="500"/>
      <c r="O869" s="500"/>
      <c r="P869" s="500"/>
      <c r="Q869" s="500"/>
      <c r="R869" s="500"/>
      <c r="S869" s="500"/>
      <c r="T869" s="500"/>
      <c r="U869" s="500"/>
      <c r="V869" s="500"/>
      <c r="W869" s="500"/>
      <c r="X869" s="500"/>
      <c r="Y869" s="500"/>
      <c r="Z869" s="501"/>
      <c r="AA869" s="501"/>
      <c r="AB869" s="501"/>
      <c r="AC869" s="501"/>
      <c r="AD869" s="500"/>
      <c r="AE869" s="500"/>
      <c r="AF869" s="503"/>
      <c r="AG869" s="503"/>
      <c r="AH869" s="504"/>
      <c r="AI869" s="500"/>
      <c r="AJ869" s="500"/>
      <c r="AK869" s="500"/>
      <c r="AL869" s="500"/>
      <c r="AM869" s="500"/>
      <c r="AN869" s="500"/>
      <c r="AO869" s="500"/>
      <c r="AP869" s="500"/>
      <c r="AQ869" s="500"/>
      <c r="AR869" s="500"/>
      <c r="AS869" s="500"/>
      <c r="AT869" s="500"/>
      <c r="AU869" s="500"/>
      <c r="AV869" s="500"/>
      <c r="AW869" s="500"/>
      <c r="AX869" s="500"/>
      <c r="AY869" s="500"/>
      <c r="AZ869" s="500"/>
      <c r="BA869" s="500"/>
      <c r="BB869" s="500"/>
      <c r="BC869" s="500"/>
      <c r="BD869" s="500"/>
      <c r="BE869" s="500"/>
      <c r="BF869" s="500"/>
      <c r="BG869" s="500"/>
      <c r="BH869" s="500"/>
      <c r="BI869" s="500"/>
      <c r="BJ869" s="500"/>
      <c r="BK869" s="500"/>
      <c r="BL869" s="500"/>
      <c r="BM869" s="500"/>
      <c r="BN869" s="500"/>
      <c r="BO869" s="500"/>
      <c r="BP869" s="500"/>
      <c r="BQ869" s="500"/>
      <c r="BR869" s="500"/>
      <c r="BS869" s="500"/>
      <c r="BT869" s="500"/>
      <c r="BU869" s="500"/>
      <c r="BV869" s="500"/>
    </row>
    <row r="870" ht="14.25" customHeight="1">
      <c r="A870" s="500"/>
      <c r="B870" s="500"/>
      <c r="C870" s="500"/>
      <c r="D870" s="500"/>
      <c r="E870" s="500"/>
      <c r="F870" s="500"/>
      <c r="G870" s="500"/>
      <c r="H870" s="500"/>
      <c r="I870" s="500"/>
      <c r="J870" s="500"/>
      <c r="K870" s="500"/>
      <c r="L870" s="500"/>
      <c r="M870" s="500"/>
      <c r="N870" s="500"/>
      <c r="O870" s="500"/>
      <c r="P870" s="500"/>
      <c r="Q870" s="500"/>
      <c r="R870" s="500"/>
      <c r="S870" s="500"/>
      <c r="T870" s="500"/>
      <c r="U870" s="500"/>
      <c r="V870" s="500"/>
      <c r="W870" s="500"/>
      <c r="X870" s="500"/>
      <c r="Y870" s="500"/>
      <c r="Z870" s="501"/>
      <c r="AA870" s="501"/>
      <c r="AB870" s="501"/>
      <c r="AC870" s="501"/>
      <c r="AD870" s="500"/>
      <c r="AE870" s="500"/>
      <c r="AF870" s="503"/>
      <c r="AG870" s="503"/>
      <c r="AH870" s="504"/>
      <c r="AI870" s="500"/>
      <c r="AJ870" s="500"/>
      <c r="AK870" s="500"/>
      <c r="AL870" s="500"/>
      <c r="AM870" s="500"/>
      <c r="AN870" s="500"/>
      <c r="AO870" s="500"/>
      <c r="AP870" s="500"/>
      <c r="AQ870" s="500"/>
      <c r="AR870" s="500"/>
      <c r="AS870" s="500"/>
      <c r="AT870" s="500"/>
      <c r="AU870" s="500"/>
      <c r="AV870" s="500"/>
      <c r="AW870" s="500"/>
      <c r="AX870" s="500"/>
      <c r="AY870" s="500"/>
      <c r="AZ870" s="500"/>
      <c r="BA870" s="500"/>
      <c r="BB870" s="500"/>
      <c r="BC870" s="500"/>
      <c r="BD870" s="500"/>
      <c r="BE870" s="500"/>
      <c r="BF870" s="500"/>
      <c r="BG870" s="500"/>
      <c r="BH870" s="500"/>
      <c r="BI870" s="500"/>
      <c r="BJ870" s="500"/>
      <c r="BK870" s="500"/>
      <c r="BL870" s="500"/>
      <c r="BM870" s="500"/>
      <c r="BN870" s="500"/>
      <c r="BO870" s="500"/>
      <c r="BP870" s="500"/>
      <c r="BQ870" s="500"/>
      <c r="BR870" s="500"/>
      <c r="BS870" s="500"/>
      <c r="BT870" s="500"/>
      <c r="BU870" s="500"/>
      <c r="BV870" s="500"/>
    </row>
    <row r="871" ht="14.25" customHeight="1">
      <c r="A871" s="500"/>
      <c r="B871" s="500"/>
      <c r="C871" s="500"/>
      <c r="D871" s="500"/>
      <c r="E871" s="500"/>
      <c r="F871" s="500"/>
      <c r="G871" s="500"/>
      <c r="H871" s="500"/>
      <c r="I871" s="500"/>
      <c r="J871" s="500"/>
      <c r="K871" s="500"/>
      <c r="L871" s="500"/>
      <c r="M871" s="500"/>
      <c r="N871" s="500"/>
      <c r="O871" s="500"/>
      <c r="P871" s="500"/>
      <c r="Q871" s="500"/>
      <c r="R871" s="500"/>
      <c r="S871" s="500"/>
      <c r="T871" s="500"/>
      <c r="U871" s="500"/>
      <c r="V871" s="500"/>
      <c r="W871" s="500"/>
      <c r="X871" s="500"/>
      <c r="Y871" s="500"/>
      <c r="Z871" s="501"/>
      <c r="AA871" s="501"/>
      <c r="AB871" s="501"/>
      <c r="AC871" s="501"/>
      <c r="AD871" s="500"/>
      <c r="AE871" s="500"/>
      <c r="AF871" s="503"/>
      <c r="AG871" s="503"/>
      <c r="AH871" s="504"/>
      <c r="AI871" s="500"/>
      <c r="AJ871" s="500"/>
      <c r="AK871" s="500"/>
      <c r="AL871" s="500"/>
      <c r="AM871" s="500"/>
      <c r="AN871" s="500"/>
      <c r="AO871" s="500"/>
      <c r="AP871" s="500"/>
      <c r="AQ871" s="500"/>
      <c r="AR871" s="500"/>
      <c r="AS871" s="500"/>
      <c r="AT871" s="500"/>
      <c r="AU871" s="500"/>
      <c r="AV871" s="500"/>
      <c r="AW871" s="500"/>
      <c r="AX871" s="500"/>
      <c r="AY871" s="500"/>
      <c r="AZ871" s="500"/>
      <c r="BA871" s="500"/>
      <c r="BB871" s="500"/>
      <c r="BC871" s="500"/>
      <c r="BD871" s="500"/>
      <c r="BE871" s="500"/>
      <c r="BF871" s="500"/>
      <c r="BG871" s="500"/>
      <c r="BH871" s="500"/>
      <c r="BI871" s="500"/>
      <c r="BJ871" s="500"/>
      <c r="BK871" s="500"/>
      <c r="BL871" s="500"/>
      <c r="BM871" s="500"/>
      <c r="BN871" s="500"/>
      <c r="BO871" s="500"/>
      <c r="BP871" s="500"/>
      <c r="BQ871" s="500"/>
      <c r="BR871" s="500"/>
      <c r="BS871" s="500"/>
      <c r="BT871" s="500"/>
      <c r="BU871" s="500"/>
      <c r="BV871" s="500"/>
    </row>
    <row r="872" ht="14.25" customHeight="1">
      <c r="A872" s="500"/>
      <c r="B872" s="500"/>
      <c r="C872" s="500"/>
      <c r="D872" s="500"/>
      <c r="E872" s="500"/>
      <c r="F872" s="500"/>
      <c r="G872" s="500"/>
      <c r="H872" s="500"/>
      <c r="I872" s="500"/>
      <c r="J872" s="500"/>
      <c r="K872" s="500"/>
      <c r="L872" s="500"/>
      <c r="M872" s="500"/>
      <c r="N872" s="500"/>
      <c r="O872" s="500"/>
      <c r="P872" s="500"/>
      <c r="Q872" s="500"/>
      <c r="R872" s="500"/>
      <c r="S872" s="500"/>
      <c r="T872" s="500"/>
      <c r="U872" s="500"/>
      <c r="V872" s="500"/>
      <c r="W872" s="500"/>
      <c r="X872" s="500"/>
      <c r="Y872" s="500"/>
      <c r="Z872" s="501"/>
      <c r="AA872" s="501"/>
      <c r="AB872" s="501"/>
      <c r="AC872" s="501"/>
      <c r="AD872" s="500"/>
      <c r="AE872" s="500"/>
      <c r="AF872" s="503"/>
      <c r="AG872" s="503"/>
      <c r="AH872" s="504"/>
      <c r="AI872" s="500"/>
      <c r="AJ872" s="500"/>
      <c r="AK872" s="500"/>
      <c r="AL872" s="500"/>
      <c r="AM872" s="500"/>
      <c r="AN872" s="500"/>
      <c r="AO872" s="500"/>
      <c r="AP872" s="500"/>
      <c r="AQ872" s="500"/>
      <c r="AR872" s="500"/>
      <c r="AS872" s="500"/>
      <c r="AT872" s="500"/>
      <c r="AU872" s="500"/>
      <c r="AV872" s="500"/>
      <c r="AW872" s="500"/>
      <c r="AX872" s="500"/>
      <c r="AY872" s="500"/>
      <c r="AZ872" s="500"/>
      <c r="BA872" s="500"/>
      <c r="BB872" s="500"/>
      <c r="BC872" s="500"/>
      <c r="BD872" s="500"/>
      <c r="BE872" s="500"/>
      <c r="BF872" s="500"/>
      <c r="BG872" s="500"/>
      <c r="BH872" s="500"/>
      <c r="BI872" s="500"/>
      <c r="BJ872" s="500"/>
      <c r="BK872" s="500"/>
      <c r="BL872" s="500"/>
      <c r="BM872" s="500"/>
      <c r="BN872" s="500"/>
      <c r="BO872" s="500"/>
      <c r="BP872" s="500"/>
      <c r="BQ872" s="500"/>
      <c r="BR872" s="500"/>
      <c r="BS872" s="500"/>
      <c r="BT872" s="500"/>
      <c r="BU872" s="500"/>
      <c r="BV872" s="500"/>
    </row>
    <row r="873" ht="14.25" customHeight="1">
      <c r="A873" s="500"/>
      <c r="B873" s="500"/>
      <c r="C873" s="500"/>
      <c r="D873" s="500"/>
      <c r="E873" s="500"/>
      <c r="F873" s="500"/>
      <c r="G873" s="500"/>
      <c r="H873" s="500"/>
      <c r="I873" s="500"/>
      <c r="J873" s="500"/>
      <c r="K873" s="500"/>
      <c r="L873" s="500"/>
      <c r="M873" s="500"/>
      <c r="N873" s="500"/>
      <c r="O873" s="500"/>
      <c r="P873" s="500"/>
      <c r="Q873" s="500"/>
      <c r="R873" s="500"/>
      <c r="S873" s="500"/>
      <c r="T873" s="500"/>
      <c r="U873" s="500"/>
      <c r="V873" s="500"/>
      <c r="W873" s="500"/>
      <c r="X873" s="500"/>
      <c r="Y873" s="500"/>
      <c r="Z873" s="501"/>
      <c r="AA873" s="501"/>
      <c r="AB873" s="501"/>
      <c r="AC873" s="501"/>
      <c r="AD873" s="500"/>
      <c r="AE873" s="500"/>
      <c r="AF873" s="503"/>
      <c r="AG873" s="503"/>
      <c r="AH873" s="504"/>
      <c r="AI873" s="500"/>
      <c r="AJ873" s="500"/>
      <c r="AK873" s="500"/>
      <c r="AL873" s="500"/>
      <c r="AM873" s="500"/>
      <c r="AN873" s="500"/>
      <c r="AO873" s="500"/>
      <c r="AP873" s="500"/>
      <c r="AQ873" s="500"/>
      <c r="AR873" s="500"/>
      <c r="AS873" s="500"/>
      <c r="AT873" s="500"/>
      <c r="AU873" s="500"/>
      <c r="AV873" s="500"/>
      <c r="AW873" s="500"/>
      <c r="AX873" s="500"/>
      <c r="AY873" s="500"/>
      <c r="AZ873" s="500"/>
      <c r="BA873" s="500"/>
      <c r="BB873" s="500"/>
      <c r="BC873" s="500"/>
      <c r="BD873" s="500"/>
      <c r="BE873" s="500"/>
      <c r="BF873" s="500"/>
      <c r="BG873" s="500"/>
      <c r="BH873" s="500"/>
      <c r="BI873" s="500"/>
      <c r="BJ873" s="500"/>
      <c r="BK873" s="500"/>
      <c r="BL873" s="500"/>
      <c r="BM873" s="500"/>
      <c r="BN873" s="500"/>
      <c r="BO873" s="500"/>
      <c r="BP873" s="500"/>
      <c r="BQ873" s="500"/>
      <c r="BR873" s="500"/>
      <c r="BS873" s="500"/>
      <c r="BT873" s="500"/>
      <c r="BU873" s="500"/>
      <c r="BV873" s="500"/>
    </row>
    <row r="874" ht="14.25" customHeight="1">
      <c r="A874" s="500"/>
      <c r="B874" s="500"/>
      <c r="C874" s="500"/>
      <c r="D874" s="500"/>
      <c r="E874" s="500"/>
      <c r="F874" s="500"/>
      <c r="G874" s="500"/>
      <c r="H874" s="500"/>
      <c r="I874" s="500"/>
      <c r="J874" s="500"/>
      <c r="K874" s="500"/>
      <c r="L874" s="500"/>
      <c r="M874" s="500"/>
      <c r="N874" s="500"/>
      <c r="O874" s="500"/>
      <c r="P874" s="500"/>
      <c r="Q874" s="500"/>
      <c r="R874" s="500"/>
      <c r="S874" s="500"/>
      <c r="T874" s="500"/>
      <c r="U874" s="500"/>
      <c r="V874" s="500"/>
      <c r="W874" s="500"/>
      <c r="X874" s="500"/>
      <c r="Y874" s="500"/>
      <c r="Z874" s="501"/>
      <c r="AA874" s="501"/>
      <c r="AB874" s="501"/>
      <c r="AC874" s="501"/>
      <c r="AD874" s="500"/>
      <c r="AE874" s="500"/>
      <c r="AF874" s="503"/>
      <c r="AG874" s="503"/>
      <c r="AH874" s="504"/>
      <c r="AI874" s="500"/>
      <c r="AJ874" s="500"/>
      <c r="AK874" s="500"/>
      <c r="AL874" s="500"/>
      <c r="AM874" s="500"/>
      <c r="AN874" s="500"/>
      <c r="AO874" s="500"/>
      <c r="AP874" s="500"/>
      <c r="AQ874" s="500"/>
      <c r="AR874" s="500"/>
      <c r="AS874" s="500"/>
      <c r="AT874" s="500"/>
      <c r="AU874" s="500"/>
      <c r="AV874" s="500"/>
      <c r="AW874" s="500"/>
      <c r="AX874" s="500"/>
      <c r="AY874" s="500"/>
      <c r="AZ874" s="500"/>
      <c r="BA874" s="500"/>
      <c r="BB874" s="500"/>
      <c r="BC874" s="500"/>
      <c r="BD874" s="500"/>
      <c r="BE874" s="500"/>
      <c r="BF874" s="500"/>
      <c r="BG874" s="500"/>
      <c r="BH874" s="500"/>
      <c r="BI874" s="500"/>
      <c r="BJ874" s="500"/>
      <c r="BK874" s="500"/>
      <c r="BL874" s="500"/>
      <c r="BM874" s="500"/>
      <c r="BN874" s="500"/>
      <c r="BO874" s="500"/>
      <c r="BP874" s="500"/>
      <c r="BQ874" s="500"/>
      <c r="BR874" s="500"/>
      <c r="BS874" s="500"/>
      <c r="BT874" s="500"/>
      <c r="BU874" s="500"/>
      <c r="BV874" s="500"/>
    </row>
    <row r="875" ht="14.25" customHeight="1">
      <c r="A875" s="500"/>
      <c r="B875" s="500"/>
      <c r="C875" s="500"/>
      <c r="D875" s="500"/>
      <c r="E875" s="500"/>
      <c r="F875" s="500"/>
      <c r="G875" s="500"/>
      <c r="H875" s="500"/>
      <c r="I875" s="500"/>
      <c r="J875" s="500"/>
      <c r="K875" s="500"/>
      <c r="L875" s="500"/>
      <c r="M875" s="500"/>
      <c r="N875" s="500"/>
      <c r="O875" s="500"/>
      <c r="P875" s="500"/>
      <c r="Q875" s="500"/>
      <c r="R875" s="500"/>
      <c r="S875" s="500"/>
      <c r="T875" s="500"/>
      <c r="U875" s="500"/>
      <c r="V875" s="500"/>
      <c r="W875" s="500"/>
      <c r="X875" s="500"/>
      <c r="Y875" s="500"/>
      <c r="Z875" s="501"/>
      <c r="AA875" s="501"/>
      <c r="AB875" s="501"/>
      <c r="AC875" s="501"/>
      <c r="AD875" s="500"/>
      <c r="AE875" s="500"/>
      <c r="AF875" s="503"/>
      <c r="AG875" s="503"/>
      <c r="AH875" s="504"/>
      <c r="AI875" s="500"/>
      <c r="AJ875" s="500"/>
      <c r="AK875" s="500"/>
      <c r="AL875" s="500"/>
      <c r="AM875" s="500"/>
      <c r="AN875" s="500"/>
      <c r="AO875" s="500"/>
      <c r="AP875" s="500"/>
      <c r="AQ875" s="500"/>
      <c r="AR875" s="500"/>
      <c r="AS875" s="500"/>
      <c r="AT875" s="500"/>
      <c r="AU875" s="500"/>
      <c r="AV875" s="500"/>
      <c r="AW875" s="500"/>
      <c r="AX875" s="500"/>
      <c r="AY875" s="500"/>
      <c r="AZ875" s="500"/>
      <c r="BA875" s="500"/>
      <c r="BB875" s="500"/>
      <c r="BC875" s="500"/>
      <c r="BD875" s="500"/>
      <c r="BE875" s="500"/>
      <c r="BF875" s="500"/>
      <c r="BG875" s="500"/>
      <c r="BH875" s="500"/>
      <c r="BI875" s="500"/>
      <c r="BJ875" s="500"/>
      <c r="BK875" s="500"/>
      <c r="BL875" s="500"/>
      <c r="BM875" s="500"/>
      <c r="BN875" s="500"/>
      <c r="BO875" s="500"/>
      <c r="BP875" s="500"/>
      <c r="BQ875" s="500"/>
      <c r="BR875" s="500"/>
      <c r="BS875" s="500"/>
      <c r="BT875" s="500"/>
      <c r="BU875" s="500"/>
      <c r="BV875" s="500"/>
    </row>
    <row r="876" ht="14.25" customHeight="1">
      <c r="A876" s="500"/>
      <c r="B876" s="500"/>
      <c r="C876" s="500"/>
      <c r="D876" s="500"/>
      <c r="E876" s="500"/>
      <c r="F876" s="500"/>
      <c r="G876" s="500"/>
      <c r="H876" s="500"/>
      <c r="I876" s="500"/>
      <c r="J876" s="500"/>
      <c r="K876" s="500"/>
      <c r="L876" s="500"/>
      <c r="M876" s="500"/>
      <c r="N876" s="500"/>
      <c r="O876" s="500"/>
      <c r="P876" s="500"/>
      <c r="Q876" s="500"/>
      <c r="R876" s="500"/>
      <c r="S876" s="500"/>
      <c r="T876" s="500"/>
      <c r="U876" s="500"/>
      <c r="V876" s="500"/>
      <c r="W876" s="500"/>
      <c r="X876" s="500"/>
      <c r="Y876" s="500"/>
      <c r="Z876" s="501"/>
      <c r="AA876" s="501"/>
      <c r="AB876" s="501"/>
      <c r="AC876" s="501"/>
      <c r="AD876" s="500"/>
      <c r="AE876" s="500"/>
      <c r="AF876" s="503"/>
      <c r="AG876" s="503"/>
      <c r="AH876" s="504"/>
      <c r="AI876" s="500"/>
      <c r="AJ876" s="500"/>
      <c r="AK876" s="500"/>
      <c r="AL876" s="500"/>
      <c r="AM876" s="500"/>
      <c r="AN876" s="500"/>
      <c r="AO876" s="500"/>
      <c r="AP876" s="500"/>
      <c r="AQ876" s="500"/>
      <c r="AR876" s="500"/>
      <c r="AS876" s="500"/>
      <c r="AT876" s="500"/>
      <c r="AU876" s="500"/>
      <c r="AV876" s="500"/>
      <c r="AW876" s="500"/>
      <c r="AX876" s="500"/>
      <c r="AY876" s="500"/>
      <c r="AZ876" s="500"/>
      <c r="BA876" s="500"/>
      <c r="BB876" s="500"/>
      <c r="BC876" s="500"/>
      <c r="BD876" s="500"/>
      <c r="BE876" s="500"/>
      <c r="BF876" s="500"/>
      <c r="BG876" s="500"/>
      <c r="BH876" s="500"/>
      <c r="BI876" s="500"/>
      <c r="BJ876" s="500"/>
      <c r="BK876" s="500"/>
      <c r="BL876" s="500"/>
      <c r="BM876" s="500"/>
      <c r="BN876" s="500"/>
      <c r="BO876" s="500"/>
      <c r="BP876" s="500"/>
      <c r="BQ876" s="500"/>
      <c r="BR876" s="500"/>
      <c r="BS876" s="500"/>
      <c r="BT876" s="500"/>
      <c r="BU876" s="500"/>
      <c r="BV876" s="500"/>
    </row>
    <row r="877" ht="14.25" customHeight="1">
      <c r="A877" s="500"/>
      <c r="B877" s="500"/>
      <c r="C877" s="500"/>
      <c r="D877" s="500"/>
      <c r="E877" s="500"/>
      <c r="F877" s="500"/>
      <c r="G877" s="500"/>
      <c r="H877" s="500"/>
      <c r="I877" s="500"/>
      <c r="J877" s="500"/>
      <c r="K877" s="500"/>
      <c r="L877" s="500"/>
      <c r="M877" s="500"/>
      <c r="N877" s="500"/>
      <c r="O877" s="500"/>
      <c r="P877" s="500"/>
      <c r="Q877" s="500"/>
      <c r="R877" s="500"/>
      <c r="S877" s="500"/>
      <c r="T877" s="500"/>
      <c r="U877" s="500"/>
      <c r="V877" s="500"/>
      <c r="W877" s="500"/>
      <c r="X877" s="500"/>
      <c r="Y877" s="500"/>
      <c r="Z877" s="501"/>
      <c r="AA877" s="501"/>
      <c r="AB877" s="501"/>
      <c r="AC877" s="501"/>
      <c r="AD877" s="500"/>
      <c r="AE877" s="500"/>
      <c r="AF877" s="503"/>
      <c r="AG877" s="503"/>
      <c r="AH877" s="504"/>
      <c r="AI877" s="500"/>
      <c r="AJ877" s="500"/>
      <c r="AK877" s="500"/>
      <c r="AL877" s="500"/>
      <c r="AM877" s="500"/>
      <c r="AN877" s="500"/>
      <c r="AO877" s="500"/>
      <c r="AP877" s="500"/>
      <c r="AQ877" s="500"/>
      <c r="AR877" s="500"/>
      <c r="AS877" s="500"/>
      <c r="AT877" s="500"/>
      <c r="AU877" s="500"/>
      <c r="AV877" s="500"/>
      <c r="AW877" s="500"/>
      <c r="AX877" s="500"/>
      <c r="AY877" s="500"/>
      <c r="AZ877" s="500"/>
      <c r="BA877" s="500"/>
      <c r="BB877" s="500"/>
      <c r="BC877" s="500"/>
      <c r="BD877" s="500"/>
      <c r="BE877" s="500"/>
      <c r="BF877" s="500"/>
      <c r="BG877" s="500"/>
      <c r="BH877" s="500"/>
      <c r="BI877" s="500"/>
      <c r="BJ877" s="500"/>
      <c r="BK877" s="500"/>
      <c r="BL877" s="500"/>
      <c r="BM877" s="500"/>
      <c r="BN877" s="500"/>
      <c r="BO877" s="500"/>
      <c r="BP877" s="500"/>
      <c r="BQ877" s="500"/>
      <c r="BR877" s="500"/>
      <c r="BS877" s="500"/>
      <c r="BT877" s="500"/>
      <c r="BU877" s="500"/>
      <c r="BV877" s="500"/>
    </row>
    <row r="878" ht="14.25" customHeight="1">
      <c r="A878" s="500"/>
      <c r="B878" s="500"/>
      <c r="C878" s="500"/>
      <c r="D878" s="500"/>
      <c r="E878" s="500"/>
      <c r="F878" s="500"/>
      <c r="G878" s="500"/>
      <c r="H878" s="500"/>
      <c r="I878" s="500"/>
      <c r="J878" s="500"/>
      <c r="K878" s="500"/>
      <c r="L878" s="500"/>
      <c r="M878" s="500"/>
      <c r="N878" s="500"/>
      <c r="O878" s="500"/>
      <c r="P878" s="500"/>
      <c r="Q878" s="500"/>
      <c r="R878" s="500"/>
      <c r="S878" s="500"/>
      <c r="T878" s="500"/>
      <c r="U878" s="500"/>
      <c r="V878" s="500"/>
      <c r="W878" s="500"/>
      <c r="X878" s="500"/>
      <c r="Y878" s="500"/>
      <c r="Z878" s="501"/>
      <c r="AA878" s="501"/>
      <c r="AB878" s="501"/>
      <c r="AC878" s="501"/>
      <c r="AD878" s="500"/>
      <c r="AE878" s="500"/>
      <c r="AF878" s="503"/>
      <c r="AG878" s="503"/>
      <c r="AH878" s="504"/>
      <c r="AI878" s="500"/>
      <c r="AJ878" s="500"/>
      <c r="AK878" s="500"/>
      <c r="AL878" s="500"/>
      <c r="AM878" s="500"/>
      <c r="AN878" s="500"/>
      <c r="AO878" s="500"/>
      <c r="AP878" s="500"/>
      <c r="AQ878" s="500"/>
      <c r="AR878" s="500"/>
      <c r="AS878" s="500"/>
      <c r="AT878" s="500"/>
      <c r="AU878" s="500"/>
      <c r="AV878" s="500"/>
      <c r="AW878" s="500"/>
      <c r="AX878" s="500"/>
      <c r="AY878" s="500"/>
      <c r="AZ878" s="500"/>
      <c r="BA878" s="500"/>
      <c r="BB878" s="500"/>
      <c r="BC878" s="500"/>
      <c r="BD878" s="500"/>
      <c r="BE878" s="500"/>
      <c r="BF878" s="500"/>
      <c r="BG878" s="500"/>
      <c r="BH878" s="500"/>
      <c r="BI878" s="500"/>
      <c r="BJ878" s="500"/>
      <c r="BK878" s="500"/>
      <c r="BL878" s="500"/>
      <c r="BM878" s="500"/>
      <c r="BN878" s="500"/>
      <c r="BO878" s="500"/>
      <c r="BP878" s="500"/>
      <c r="BQ878" s="500"/>
      <c r="BR878" s="500"/>
      <c r="BS878" s="500"/>
      <c r="BT878" s="500"/>
      <c r="BU878" s="500"/>
      <c r="BV878" s="500"/>
    </row>
    <row r="879" ht="14.25" customHeight="1">
      <c r="A879" s="500"/>
      <c r="B879" s="500"/>
      <c r="C879" s="500"/>
      <c r="D879" s="500"/>
      <c r="E879" s="500"/>
      <c r="F879" s="500"/>
      <c r="G879" s="500"/>
      <c r="H879" s="500"/>
      <c r="I879" s="500"/>
      <c r="J879" s="500"/>
      <c r="K879" s="500"/>
      <c r="L879" s="500"/>
      <c r="M879" s="500"/>
      <c r="N879" s="500"/>
      <c r="O879" s="500"/>
      <c r="P879" s="500"/>
      <c r="Q879" s="500"/>
      <c r="R879" s="500"/>
      <c r="S879" s="500"/>
      <c r="T879" s="500"/>
      <c r="U879" s="500"/>
      <c r="V879" s="500"/>
      <c r="W879" s="500"/>
      <c r="X879" s="500"/>
      <c r="Y879" s="500"/>
      <c r="Z879" s="501"/>
      <c r="AA879" s="501"/>
      <c r="AB879" s="501"/>
      <c r="AC879" s="501"/>
      <c r="AD879" s="500"/>
      <c r="AE879" s="500"/>
      <c r="AF879" s="503"/>
      <c r="AG879" s="503"/>
      <c r="AH879" s="504"/>
      <c r="AI879" s="500"/>
      <c r="AJ879" s="500"/>
      <c r="AK879" s="500"/>
      <c r="AL879" s="500"/>
      <c r="AM879" s="500"/>
      <c r="AN879" s="500"/>
      <c r="AO879" s="500"/>
      <c r="AP879" s="500"/>
      <c r="AQ879" s="500"/>
      <c r="AR879" s="500"/>
      <c r="AS879" s="500"/>
      <c r="AT879" s="500"/>
      <c r="AU879" s="500"/>
      <c r="AV879" s="500"/>
      <c r="AW879" s="500"/>
      <c r="AX879" s="500"/>
      <c r="AY879" s="500"/>
      <c r="AZ879" s="500"/>
      <c r="BA879" s="500"/>
      <c r="BB879" s="500"/>
      <c r="BC879" s="500"/>
      <c r="BD879" s="500"/>
      <c r="BE879" s="500"/>
      <c r="BF879" s="500"/>
      <c r="BG879" s="500"/>
      <c r="BH879" s="500"/>
      <c r="BI879" s="500"/>
      <c r="BJ879" s="500"/>
      <c r="BK879" s="500"/>
      <c r="BL879" s="500"/>
      <c r="BM879" s="500"/>
      <c r="BN879" s="500"/>
      <c r="BO879" s="500"/>
      <c r="BP879" s="500"/>
      <c r="BQ879" s="500"/>
      <c r="BR879" s="500"/>
      <c r="BS879" s="500"/>
      <c r="BT879" s="500"/>
      <c r="BU879" s="500"/>
      <c r="BV879" s="500"/>
    </row>
    <row r="880" ht="14.25" customHeight="1">
      <c r="A880" s="500"/>
      <c r="B880" s="500"/>
      <c r="C880" s="500"/>
      <c r="D880" s="500"/>
      <c r="E880" s="500"/>
      <c r="F880" s="500"/>
      <c r="G880" s="500"/>
      <c r="H880" s="500"/>
      <c r="I880" s="500"/>
      <c r="J880" s="500"/>
      <c r="K880" s="500"/>
      <c r="L880" s="500"/>
      <c r="M880" s="500"/>
      <c r="N880" s="500"/>
      <c r="O880" s="500"/>
      <c r="P880" s="500"/>
      <c r="Q880" s="500"/>
      <c r="R880" s="500"/>
      <c r="S880" s="500"/>
      <c r="T880" s="500"/>
      <c r="U880" s="500"/>
      <c r="V880" s="500"/>
      <c r="W880" s="500"/>
      <c r="X880" s="500"/>
      <c r="Y880" s="500"/>
      <c r="Z880" s="501"/>
      <c r="AA880" s="501"/>
      <c r="AB880" s="501"/>
      <c r="AC880" s="501"/>
      <c r="AD880" s="500"/>
      <c r="AE880" s="500"/>
      <c r="AF880" s="503"/>
      <c r="AG880" s="503"/>
      <c r="AH880" s="504"/>
      <c r="AI880" s="500"/>
      <c r="AJ880" s="500"/>
      <c r="AK880" s="500"/>
      <c r="AL880" s="500"/>
      <c r="AM880" s="500"/>
      <c r="AN880" s="500"/>
      <c r="AO880" s="500"/>
      <c r="AP880" s="500"/>
      <c r="AQ880" s="500"/>
      <c r="AR880" s="500"/>
      <c r="AS880" s="500"/>
      <c r="AT880" s="500"/>
      <c r="AU880" s="500"/>
      <c r="AV880" s="500"/>
      <c r="AW880" s="500"/>
      <c r="AX880" s="500"/>
      <c r="AY880" s="500"/>
      <c r="AZ880" s="500"/>
      <c r="BA880" s="500"/>
      <c r="BB880" s="500"/>
      <c r="BC880" s="500"/>
      <c r="BD880" s="500"/>
      <c r="BE880" s="500"/>
      <c r="BF880" s="500"/>
      <c r="BG880" s="500"/>
      <c r="BH880" s="500"/>
      <c r="BI880" s="500"/>
      <c r="BJ880" s="500"/>
      <c r="BK880" s="500"/>
      <c r="BL880" s="500"/>
      <c r="BM880" s="500"/>
      <c r="BN880" s="500"/>
      <c r="BO880" s="500"/>
      <c r="BP880" s="500"/>
      <c r="BQ880" s="500"/>
      <c r="BR880" s="500"/>
      <c r="BS880" s="500"/>
      <c r="BT880" s="500"/>
      <c r="BU880" s="500"/>
      <c r="BV880" s="500"/>
    </row>
    <row r="881" ht="14.25" customHeight="1">
      <c r="A881" s="500"/>
      <c r="B881" s="500"/>
      <c r="C881" s="500"/>
      <c r="D881" s="500"/>
      <c r="E881" s="500"/>
      <c r="F881" s="500"/>
      <c r="G881" s="500"/>
      <c r="H881" s="500"/>
      <c r="I881" s="500"/>
      <c r="J881" s="500"/>
      <c r="K881" s="500"/>
      <c r="L881" s="500"/>
      <c r="M881" s="500"/>
      <c r="N881" s="500"/>
      <c r="O881" s="500"/>
      <c r="P881" s="500"/>
      <c r="Q881" s="500"/>
      <c r="R881" s="500"/>
      <c r="S881" s="500"/>
      <c r="T881" s="500"/>
      <c r="U881" s="500"/>
      <c r="V881" s="500"/>
      <c r="W881" s="500"/>
      <c r="X881" s="500"/>
      <c r="Y881" s="500"/>
      <c r="Z881" s="501"/>
      <c r="AA881" s="501"/>
      <c r="AB881" s="501"/>
      <c r="AC881" s="501"/>
      <c r="AD881" s="500"/>
      <c r="AE881" s="500"/>
      <c r="AF881" s="503"/>
      <c r="AG881" s="503"/>
      <c r="AH881" s="504"/>
      <c r="AI881" s="500"/>
      <c r="AJ881" s="500"/>
      <c r="AK881" s="500"/>
      <c r="AL881" s="500"/>
      <c r="AM881" s="500"/>
      <c r="AN881" s="500"/>
      <c r="AO881" s="500"/>
      <c r="AP881" s="500"/>
      <c r="AQ881" s="500"/>
      <c r="AR881" s="500"/>
      <c r="AS881" s="500"/>
      <c r="AT881" s="500"/>
      <c r="AU881" s="500"/>
      <c r="AV881" s="500"/>
      <c r="AW881" s="500"/>
      <c r="AX881" s="500"/>
      <c r="AY881" s="500"/>
      <c r="AZ881" s="500"/>
      <c r="BA881" s="500"/>
      <c r="BB881" s="500"/>
      <c r="BC881" s="500"/>
      <c r="BD881" s="500"/>
      <c r="BE881" s="500"/>
      <c r="BF881" s="500"/>
      <c r="BG881" s="500"/>
      <c r="BH881" s="500"/>
      <c r="BI881" s="500"/>
      <c r="BJ881" s="500"/>
      <c r="BK881" s="500"/>
      <c r="BL881" s="500"/>
      <c r="BM881" s="500"/>
      <c r="BN881" s="500"/>
      <c r="BO881" s="500"/>
      <c r="BP881" s="500"/>
      <c r="BQ881" s="500"/>
      <c r="BR881" s="500"/>
      <c r="BS881" s="500"/>
      <c r="BT881" s="500"/>
      <c r="BU881" s="500"/>
      <c r="BV881" s="500"/>
    </row>
    <row r="882" ht="14.25" customHeight="1">
      <c r="A882" s="500"/>
      <c r="B882" s="500"/>
      <c r="C882" s="500"/>
      <c r="D882" s="500"/>
      <c r="E882" s="500"/>
      <c r="F882" s="500"/>
      <c r="G882" s="500"/>
      <c r="H882" s="500"/>
      <c r="I882" s="500"/>
      <c r="J882" s="500"/>
      <c r="K882" s="500"/>
      <c r="L882" s="500"/>
      <c r="M882" s="500"/>
      <c r="N882" s="500"/>
      <c r="O882" s="500"/>
      <c r="P882" s="500"/>
      <c r="Q882" s="500"/>
      <c r="R882" s="500"/>
      <c r="S882" s="500"/>
      <c r="T882" s="500"/>
      <c r="U882" s="500"/>
      <c r="V882" s="500"/>
      <c r="W882" s="500"/>
      <c r="X882" s="500"/>
      <c r="Y882" s="500"/>
      <c r="Z882" s="501"/>
      <c r="AA882" s="501"/>
      <c r="AB882" s="501"/>
      <c r="AC882" s="501"/>
      <c r="AD882" s="500"/>
      <c r="AE882" s="500"/>
      <c r="AF882" s="503"/>
      <c r="AG882" s="503"/>
      <c r="AH882" s="504"/>
      <c r="AI882" s="500"/>
      <c r="AJ882" s="500"/>
      <c r="AK882" s="500"/>
      <c r="AL882" s="500"/>
      <c r="AM882" s="500"/>
      <c r="AN882" s="500"/>
      <c r="AO882" s="500"/>
      <c r="AP882" s="500"/>
      <c r="AQ882" s="500"/>
      <c r="AR882" s="500"/>
      <c r="AS882" s="500"/>
      <c r="AT882" s="500"/>
      <c r="AU882" s="500"/>
      <c r="AV882" s="500"/>
      <c r="AW882" s="500"/>
      <c r="AX882" s="500"/>
      <c r="AY882" s="500"/>
      <c r="AZ882" s="500"/>
      <c r="BA882" s="500"/>
      <c r="BB882" s="500"/>
      <c r="BC882" s="500"/>
      <c r="BD882" s="500"/>
      <c r="BE882" s="500"/>
      <c r="BF882" s="500"/>
      <c r="BG882" s="500"/>
      <c r="BH882" s="500"/>
      <c r="BI882" s="500"/>
      <c r="BJ882" s="500"/>
      <c r="BK882" s="500"/>
      <c r="BL882" s="500"/>
      <c r="BM882" s="500"/>
      <c r="BN882" s="500"/>
      <c r="BO882" s="500"/>
      <c r="BP882" s="500"/>
      <c r="BQ882" s="500"/>
      <c r="BR882" s="500"/>
      <c r="BS882" s="500"/>
      <c r="BT882" s="500"/>
      <c r="BU882" s="500"/>
      <c r="BV882" s="500"/>
    </row>
    <row r="883" ht="14.25" customHeight="1">
      <c r="A883" s="500"/>
      <c r="B883" s="500"/>
      <c r="C883" s="500"/>
      <c r="D883" s="500"/>
      <c r="E883" s="500"/>
      <c r="F883" s="500"/>
      <c r="G883" s="500"/>
      <c r="H883" s="500"/>
      <c r="I883" s="500"/>
      <c r="J883" s="500"/>
      <c r="K883" s="500"/>
      <c r="L883" s="500"/>
      <c r="M883" s="500"/>
      <c r="N883" s="500"/>
      <c r="O883" s="500"/>
      <c r="P883" s="500"/>
      <c r="Q883" s="500"/>
      <c r="R883" s="500"/>
      <c r="S883" s="500"/>
      <c r="T883" s="500"/>
      <c r="U883" s="500"/>
      <c r="V883" s="500"/>
      <c r="W883" s="500"/>
      <c r="X883" s="500"/>
      <c r="Y883" s="500"/>
      <c r="Z883" s="501"/>
      <c r="AA883" s="501"/>
      <c r="AB883" s="501"/>
      <c r="AC883" s="501"/>
      <c r="AD883" s="500"/>
      <c r="AE883" s="500"/>
      <c r="AF883" s="503"/>
      <c r="AG883" s="503"/>
      <c r="AH883" s="504"/>
      <c r="AI883" s="500"/>
      <c r="AJ883" s="500"/>
      <c r="AK883" s="500"/>
      <c r="AL883" s="500"/>
      <c r="AM883" s="500"/>
      <c r="AN883" s="500"/>
      <c r="AO883" s="500"/>
      <c r="AP883" s="500"/>
      <c r="AQ883" s="500"/>
      <c r="AR883" s="500"/>
      <c r="AS883" s="500"/>
      <c r="AT883" s="500"/>
      <c r="AU883" s="500"/>
      <c r="AV883" s="500"/>
      <c r="AW883" s="500"/>
      <c r="AX883" s="500"/>
      <c r="AY883" s="500"/>
      <c r="AZ883" s="500"/>
      <c r="BA883" s="500"/>
      <c r="BB883" s="500"/>
      <c r="BC883" s="500"/>
      <c r="BD883" s="500"/>
      <c r="BE883" s="500"/>
      <c r="BF883" s="500"/>
      <c r="BG883" s="500"/>
      <c r="BH883" s="500"/>
      <c r="BI883" s="500"/>
      <c r="BJ883" s="500"/>
      <c r="BK883" s="500"/>
      <c r="BL883" s="500"/>
      <c r="BM883" s="500"/>
      <c r="BN883" s="500"/>
      <c r="BO883" s="500"/>
      <c r="BP883" s="500"/>
      <c r="BQ883" s="500"/>
      <c r="BR883" s="500"/>
      <c r="BS883" s="500"/>
      <c r="BT883" s="500"/>
      <c r="BU883" s="500"/>
      <c r="BV883" s="500"/>
    </row>
    <row r="884" ht="14.25" customHeight="1">
      <c r="A884" s="500"/>
      <c r="B884" s="500"/>
      <c r="C884" s="500"/>
      <c r="D884" s="500"/>
      <c r="E884" s="500"/>
      <c r="F884" s="500"/>
      <c r="G884" s="500"/>
      <c r="H884" s="500"/>
      <c r="I884" s="500"/>
      <c r="J884" s="500"/>
      <c r="K884" s="500"/>
      <c r="L884" s="500"/>
      <c r="M884" s="500"/>
      <c r="N884" s="500"/>
      <c r="O884" s="500"/>
      <c r="P884" s="500"/>
      <c r="Q884" s="500"/>
      <c r="R884" s="500"/>
      <c r="S884" s="500"/>
      <c r="T884" s="500"/>
      <c r="U884" s="500"/>
      <c r="V884" s="500"/>
      <c r="W884" s="500"/>
      <c r="X884" s="500"/>
      <c r="Y884" s="500"/>
      <c r="Z884" s="501"/>
      <c r="AA884" s="501"/>
      <c r="AB884" s="501"/>
      <c r="AC884" s="501"/>
      <c r="AD884" s="500"/>
      <c r="AE884" s="500"/>
      <c r="AF884" s="503"/>
      <c r="AG884" s="503"/>
      <c r="AH884" s="504"/>
      <c r="AI884" s="500"/>
      <c r="AJ884" s="500"/>
      <c r="AK884" s="500"/>
      <c r="AL884" s="500"/>
      <c r="AM884" s="500"/>
      <c r="AN884" s="500"/>
      <c r="AO884" s="500"/>
      <c r="AP884" s="500"/>
      <c r="AQ884" s="500"/>
      <c r="AR884" s="500"/>
      <c r="AS884" s="500"/>
      <c r="AT884" s="500"/>
      <c r="AU884" s="500"/>
      <c r="AV884" s="500"/>
      <c r="AW884" s="500"/>
      <c r="AX884" s="500"/>
      <c r="AY884" s="500"/>
      <c r="AZ884" s="500"/>
      <c r="BA884" s="500"/>
      <c r="BB884" s="500"/>
      <c r="BC884" s="500"/>
      <c r="BD884" s="500"/>
      <c r="BE884" s="500"/>
      <c r="BF884" s="500"/>
      <c r="BG884" s="500"/>
      <c r="BH884" s="500"/>
      <c r="BI884" s="500"/>
      <c r="BJ884" s="500"/>
      <c r="BK884" s="500"/>
      <c r="BL884" s="500"/>
      <c r="BM884" s="500"/>
      <c r="BN884" s="500"/>
      <c r="BO884" s="500"/>
      <c r="BP884" s="500"/>
      <c r="BQ884" s="500"/>
      <c r="BR884" s="500"/>
      <c r="BS884" s="500"/>
      <c r="BT884" s="500"/>
      <c r="BU884" s="500"/>
      <c r="BV884" s="500"/>
    </row>
    <row r="885" ht="14.25" customHeight="1">
      <c r="A885" s="500"/>
      <c r="B885" s="500"/>
      <c r="C885" s="500"/>
      <c r="D885" s="500"/>
      <c r="E885" s="500"/>
      <c r="F885" s="500"/>
      <c r="G885" s="500"/>
      <c r="H885" s="500"/>
      <c r="I885" s="500"/>
      <c r="J885" s="500"/>
      <c r="K885" s="500"/>
      <c r="L885" s="500"/>
      <c r="M885" s="500"/>
      <c r="N885" s="500"/>
      <c r="O885" s="500"/>
      <c r="P885" s="500"/>
      <c r="Q885" s="500"/>
      <c r="R885" s="500"/>
      <c r="S885" s="500"/>
      <c r="T885" s="500"/>
      <c r="U885" s="500"/>
      <c r="V885" s="500"/>
      <c r="W885" s="500"/>
      <c r="X885" s="500"/>
      <c r="Y885" s="500"/>
      <c r="Z885" s="501"/>
      <c r="AA885" s="501"/>
      <c r="AB885" s="501"/>
      <c r="AC885" s="501"/>
      <c r="AD885" s="500"/>
      <c r="AE885" s="500"/>
      <c r="AF885" s="503"/>
      <c r="AG885" s="503"/>
      <c r="AH885" s="504"/>
      <c r="AI885" s="500"/>
      <c r="AJ885" s="500"/>
      <c r="AK885" s="500"/>
      <c r="AL885" s="500"/>
      <c r="AM885" s="500"/>
      <c r="AN885" s="500"/>
      <c r="AO885" s="500"/>
      <c r="AP885" s="500"/>
      <c r="AQ885" s="500"/>
      <c r="AR885" s="500"/>
      <c r="AS885" s="500"/>
      <c r="AT885" s="500"/>
      <c r="AU885" s="500"/>
      <c r="AV885" s="500"/>
      <c r="AW885" s="500"/>
      <c r="AX885" s="500"/>
      <c r="AY885" s="500"/>
      <c r="AZ885" s="500"/>
      <c r="BA885" s="500"/>
      <c r="BB885" s="500"/>
      <c r="BC885" s="500"/>
      <c r="BD885" s="500"/>
      <c r="BE885" s="500"/>
      <c r="BF885" s="500"/>
      <c r="BG885" s="500"/>
      <c r="BH885" s="500"/>
      <c r="BI885" s="500"/>
      <c r="BJ885" s="500"/>
      <c r="BK885" s="500"/>
      <c r="BL885" s="500"/>
      <c r="BM885" s="500"/>
      <c r="BN885" s="500"/>
      <c r="BO885" s="500"/>
      <c r="BP885" s="500"/>
      <c r="BQ885" s="500"/>
      <c r="BR885" s="500"/>
      <c r="BS885" s="500"/>
      <c r="BT885" s="500"/>
      <c r="BU885" s="500"/>
      <c r="BV885" s="500"/>
    </row>
    <row r="886" ht="14.25" customHeight="1">
      <c r="A886" s="500"/>
      <c r="B886" s="500"/>
      <c r="C886" s="500"/>
      <c r="D886" s="500"/>
      <c r="E886" s="500"/>
      <c r="F886" s="500"/>
      <c r="G886" s="500"/>
      <c r="H886" s="500"/>
      <c r="I886" s="500"/>
      <c r="J886" s="500"/>
      <c r="K886" s="500"/>
      <c r="L886" s="500"/>
      <c r="M886" s="500"/>
      <c r="N886" s="500"/>
      <c r="O886" s="500"/>
      <c r="P886" s="500"/>
      <c r="Q886" s="500"/>
      <c r="R886" s="500"/>
      <c r="S886" s="500"/>
      <c r="T886" s="500"/>
      <c r="U886" s="500"/>
      <c r="V886" s="500"/>
      <c r="W886" s="500"/>
      <c r="X886" s="500"/>
      <c r="Y886" s="500"/>
      <c r="Z886" s="501"/>
      <c r="AA886" s="501"/>
      <c r="AB886" s="501"/>
      <c r="AC886" s="501"/>
      <c r="AD886" s="500"/>
      <c r="AE886" s="500"/>
      <c r="AF886" s="503"/>
      <c r="AG886" s="503"/>
      <c r="AH886" s="504"/>
      <c r="AI886" s="500"/>
      <c r="AJ886" s="500"/>
      <c r="AK886" s="500"/>
      <c r="AL886" s="500"/>
      <c r="AM886" s="500"/>
      <c r="AN886" s="500"/>
      <c r="AO886" s="500"/>
      <c r="AP886" s="500"/>
      <c r="AQ886" s="500"/>
      <c r="AR886" s="500"/>
      <c r="AS886" s="500"/>
      <c r="AT886" s="500"/>
      <c r="AU886" s="500"/>
      <c r="AV886" s="500"/>
      <c r="AW886" s="500"/>
      <c r="AX886" s="500"/>
      <c r="AY886" s="500"/>
      <c r="AZ886" s="500"/>
      <c r="BA886" s="500"/>
      <c r="BB886" s="500"/>
      <c r="BC886" s="500"/>
      <c r="BD886" s="500"/>
      <c r="BE886" s="500"/>
      <c r="BF886" s="500"/>
      <c r="BG886" s="500"/>
      <c r="BH886" s="500"/>
      <c r="BI886" s="500"/>
      <c r="BJ886" s="500"/>
      <c r="BK886" s="500"/>
      <c r="BL886" s="500"/>
      <c r="BM886" s="500"/>
      <c r="BN886" s="500"/>
      <c r="BO886" s="500"/>
      <c r="BP886" s="500"/>
      <c r="BQ886" s="500"/>
      <c r="BR886" s="500"/>
      <c r="BS886" s="500"/>
      <c r="BT886" s="500"/>
      <c r="BU886" s="500"/>
      <c r="BV886" s="500"/>
    </row>
    <row r="887" ht="14.25" customHeight="1">
      <c r="A887" s="500"/>
      <c r="B887" s="500"/>
      <c r="C887" s="500"/>
      <c r="D887" s="500"/>
      <c r="E887" s="500"/>
      <c r="F887" s="500"/>
      <c r="G887" s="500"/>
      <c r="H887" s="500"/>
      <c r="I887" s="500"/>
      <c r="J887" s="500"/>
      <c r="K887" s="500"/>
      <c r="L887" s="500"/>
      <c r="M887" s="500"/>
      <c r="N887" s="500"/>
      <c r="O887" s="500"/>
      <c r="P887" s="500"/>
      <c r="Q887" s="500"/>
      <c r="R887" s="500"/>
      <c r="S887" s="500"/>
      <c r="T887" s="500"/>
      <c r="U887" s="500"/>
      <c r="V887" s="500"/>
      <c r="W887" s="500"/>
      <c r="X887" s="500"/>
      <c r="Y887" s="500"/>
      <c r="Z887" s="501"/>
      <c r="AA887" s="501"/>
      <c r="AB887" s="501"/>
      <c r="AC887" s="501"/>
      <c r="AD887" s="500"/>
      <c r="AE887" s="500"/>
      <c r="AF887" s="503"/>
      <c r="AG887" s="503"/>
      <c r="AH887" s="504"/>
      <c r="AI887" s="500"/>
      <c r="AJ887" s="500"/>
      <c r="AK887" s="500"/>
      <c r="AL887" s="500"/>
      <c r="AM887" s="500"/>
      <c r="AN887" s="500"/>
      <c r="AO887" s="500"/>
      <c r="AP887" s="500"/>
      <c r="AQ887" s="500"/>
      <c r="AR887" s="500"/>
      <c r="AS887" s="500"/>
      <c r="AT887" s="500"/>
      <c r="AU887" s="500"/>
      <c r="AV887" s="500"/>
      <c r="AW887" s="500"/>
      <c r="AX887" s="500"/>
      <c r="AY887" s="500"/>
      <c r="AZ887" s="500"/>
      <c r="BA887" s="500"/>
      <c r="BB887" s="500"/>
      <c r="BC887" s="500"/>
      <c r="BD887" s="500"/>
      <c r="BE887" s="500"/>
      <c r="BF887" s="500"/>
      <c r="BG887" s="500"/>
      <c r="BH887" s="500"/>
      <c r="BI887" s="500"/>
      <c r="BJ887" s="500"/>
      <c r="BK887" s="500"/>
      <c r="BL887" s="500"/>
      <c r="BM887" s="500"/>
      <c r="BN887" s="500"/>
      <c r="BO887" s="500"/>
      <c r="BP887" s="500"/>
      <c r="BQ887" s="500"/>
      <c r="BR887" s="500"/>
      <c r="BS887" s="500"/>
      <c r="BT887" s="500"/>
      <c r="BU887" s="500"/>
      <c r="BV887" s="500"/>
    </row>
    <row r="888" ht="14.25" customHeight="1">
      <c r="A888" s="500"/>
      <c r="B888" s="500"/>
      <c r="C888" s="500"/>
      <c r="D888" s="500"/>
      <c r="E888" s="500"/>
      <c r="F888" s="500"/>
      <c r="G888" s="500"/>
      <c r="H888" s="500"/>
      <c r="I888" s="500"/>
      <c r="J888" s="500"/>
      <c r="K888" s="500"/>
      <c r="L888" s="500"/>
      <c r="M888" s="500"/>
      <c r="N888" s="500"/>
      <c r="O888" s="500"/>
      <c r="P888" s="500"/>
      <c r="Q888" s="500"/>
      <c r="R888" s="500"/>
      <c r="S888" s="500"/>
      <c r="T888" s="500"/>
      <c r="U888" s="500"/>
      <c r="V888" s="500"/>
      <c r="W888" s="500"/>
      <c r="X888" s="500"/>
      <c r="Y888" s="500"/>
      <c r="Z888" s="501"/>
      <c r="AA888" s="501"/>
      <c r="AB888" s="501"/>
      <c r="AC888" s="501"/>
      <c r="AD888" s="500"/>
      <c r="AE888" s="500"/>
      <c r="AF888" s="503"/>
      <c r="AG888" s="503"/>
      <c r="AH888" s="504"/>
      <c r="AI888" s="500"/>
      <c r="AJ888" s="500"/>
      <c r="AK888" s="500"/>
      <c r="AL888" s="500"/>
      <c r="AM888" s="500"/>
      <c r="AN888" s="500"/>
      <c r="AO888" s="500"/>
      <c r="AP888" s="500"/>
      <c r="AQ888" s="500"/>
      <c r="AR888" s="500"/>
      <c r="AS888" s="500"/>
      <c r="AT888" s="500"/>
      <c r="AU888" s="500"/>
      <c r="AV888" s="500"/>
      <c r="AW888" s="500"/>
      <c r="AX888" s="500"/>
      <c r="AY888" s="500"/>
      <c r="AZ888" s="500"/>
      <c r="BA888" s="500"/>
      <c r="BB888" s="500"/>
      <c r="BC888" s="500"/>
      <c r="BD888" s="500"/>
      <c r="BE888" s="500"/>
      <c r="BF888" s="500"/>
      <c r="BG888" s="500"/>
      <c r="BH888" s="500"/>
      <c r="BI888" s="500"/>
      <c r="BJ888" s="500"/>
      <c r="BK888" s="500"/>
      <c r="BL888" s="500"/>
      <c r="BM888" s="500"/>
      <c r="BN888" s="500"/>
      <c r="BO888" s="500"/>
      <c r="BP888" s="500"/>
      <c r="BQ888" s="500"/>
      <c r="BR888" s="500"/>
      <c r="BS888" s="500"/>
      <c r="BT888" s="500"/>
      <c r="BU888" s="500"/>
      <c r="BV888" s="500"/>
    </row>
    <row r="889" ht="14.25" customHeight="1">
      <c r="A889" s="500"/>
      <c r="B889" s="500"/>
      <c r="C889" s="500"/>
      <c r="D889" s="500"/>
      <c r="E889" s="500"/>
      <c r="F889" s="500"/>
      <c r="G889" s="500"/>
      <c r="H889" s="500"/>
      <c r="I889" s="500"/>
      <c r="J889" s="500"/>
      <c r="K889" s="500"/>
      <c r="L889" s="500"/>
      <c r="M889" s="500"/>
      <c r="N889" s="500"/>
      <c r="O889" s="500"/>
      <c r="P889" s="500"/>
      <c r="Q889" s="500"/>
      <c r="R889" s="500"/>
      <c r="S889" s="500"/>
      <c r="T889" s="500"/>
      <c r="U889" s="500"/>
      <c r="V889" s="500"/>
      <c r="W889" s="500"/>
      <c r="X889" s="500"/>
      <c r="Y889" s="500"/>
      <c r="Z889" s="501"/>
      <c r="AA889" s="501"/>
      <c r="AB889" s="501"/>
      <c r="AC889" s="501"/>
      <c r="AD889" s="500"/>
      <c r="AE889" s="500"/>
      <c r="AF889" s="503"/>
      <c r="AG889" s="503"/>
      <c r="AH889" s="504"/>
      <c r="AI889" s="500"/>
      <c r="AJ889" s="500"/>
      <c r="AK889" s="500"/>
      <c r="AL889" s="500"/>
      <c r="AM889" s="500"/>
      <c r="AN889" s="500"/>
      <c r="AO889" s="500"/>
      <c r="AP889" s="500"/>
      <c r="AQ889" s="500"/>
      <c r="AR889" s="500"/>
      <c r="AS889" s="500"/>
      <c r="AT889" s="500"/>
      <c r="AU889" s="500"/>
      <c r="AV889" s="500"/>
      <c r="AW889" s="500"/>
      <c r="AX889" s="500"/>
      <c r="AY889" s="500"/>
      <c r="AZ889" s="500"/>
      <c r="BA889" s="500"/>
      <c r="BB889" s="500"/>
      <c r="BC889" s="500"/>
      <c r="BD889" s="500"/>
      <c r="BE889" s="500"/>
      <c r="BF889" s="500"/>
      <c r="BG889" s="500"/>
      <c r="BH889" s="500"/>
      <c r="BI889" s="500"/>
      <c r="BJ889" s="500"/>
      <c r="BK889" s="500"/>
      <c r="BL889" s="500"/>
      <c r="BM889" s="500"/>
      <c r="BN889" s="500"/>
      <c r="BO889" s="500"/>
      <c r="BP889" s="500"/>
      <c r="BQ889" s="500"/>
      <c r="BR889" s="500"/>
      <c r="BS889" s="500"/>
      <c r="BT889" s="500"/>
      <c r="BU889" s="500"/>
      <c r="BV889" s="500"/>
    </row>
    <row r="890" ht="14.25" customHeight="1">
      <c r="A890" s="500"/>
      <c r="B890" s="500"/>
      <c r="C890" s="500"/>
      <c r="D890" s="500"/>
      <c r="E890" s="500"/>
      <c r="F890" s="500"/>
      <c r="G890" s="500"/>
      <c r="H890" s="500"/>
      <c r="I890" s="500"/>
      <c r="J890" s="500"/>
      <c r="K890" s="500"/>
      <c r="L890" s="500"/>
      <c r="M890" s="500"/>
      <c r="N890" s="500"/>
      <c r="O890" s="500"/>
      <c r="P890" s="500"/>
      <c r="Q890" s="500"/>
      <c r="R890" s="500"/>
      <c r="S890" s="500"/>
      <c r="T890" s="500"/>
      <c r="U890" s="500"/>
      <c r="V890" s="500"/>
      <c r="W890" s="500"/>
      <c r="X890" s="500"/>
      <c r="Y890" s="500"/>
      <c r="Z890" s="501"/>
      <c r="AA890" s="501"/>
      <c r="AB890" s="501"/>
      <c r="AC890" s="501"/>
      <c r="AD890" s="500"/>
      <c r="AE890" s="500"/>
      <c r="AF890" s="503"/>
      <c r="AG890" s="503"/>
      <c r="AH890" s="504"/>
      <c r="AI890" s="500"/>
      <c r="AJ890" s="500"/>
      <c r="AK890" s="500"/>
      <c r="AL890" s="500"/>
      <c r="AM890" s="500"/>
      <c r="AN890" s="500"/>
      <c r="AO890" s="500"/>
      <c r="AP890" s="500"/>
      <c r="AQ890" s="500"/>
      <c r="AR890" s="500"/>
      <c r="AS890" s="500"/>
      <c r="AT890" s="500"/>
      <c r="AU890" s="500"/>
      <c r="AV890" s="500"/>
      <c r="AW890" s="500"/>
      <c r="AX890" s="500"/>
      <c r="AY890" s="500"/>
      <c r="AZ890" s="500"/>
      <c r="BA890" s="500"/>
      <c r="BB890" s="500"/>
      <c r="BC890" s="500"/>
      <c r="BD890" s="500"/>
      <c r="BE890" s="500"/>
      <c r="BF890" s="500"/>
      <c r="BG890" s="500"/>
      <c r="BH890" s="500"/>
      <c r="BI890" s="500"/>
      <c r="BJ890" s="500"/>
      <c r="BK890" s="500"/>
      <c r="BL890" s="500"/>
      <c r="BM890" s="500"/>
      <c r="BN890" s="500"/>
      <c r="BO890" s="500"/>
      <c r="BP890" s="500"/>
      <c r="BQ890" s="500"/>
      <c r="BR890" s="500"/>
      <c r="BS890" s="500"/>
      <c r="BT890" s="500"/>
      <c r="BU890" s="500"/>
      <c r="BV890" s="500"/>
    </row>
    <row r="891" ht="14.25" customHeight="1">
      <c r="A891" s="500"/>
      <c r="B891" s="500"/>
      <c r="C891" s="500"/>
      <c r="D891" s="500"/>
      <c r="E891" s="500"/>
      <c r="F891" s="500"/>
      <c r="G891" s="500"/>
      <c r="H891" s="500"/>
      <c r="I891" s="500"/>
      <c r="J891" s="500"/>
      <c r="K891" s="500"/>
      <c r="L891" s="500"/>
      <c r="M891" s="500"/>
      <c r="N891" s="500"/>
      <c r="O891" s="500"/>
      <c r="P891" s="500"/>
      <c r="Q891" s="500"/>
      <c r="R891" s="500"/>
      <c r="S891" s="500"/>
      <c r="T891" s="500"/>
      <c r="U891" s="500"/>
      <c r="V891" s="500"/>
      <c r="W891" s="500"/>
      <c r="X891" s="500"/>
      <c r="Y891" s="500"/>
      <c r="Z891" s="501"/>
      <c r="AA891" s="501"/>
      <c r="AB891" s="501"/>
      <c r="AC891" s="501"/>
      <c r="AD891" s="500"/>
      <c r="AE891" s="500"/>
      <c r="AF891" s="503"/>
      <c r="AG891" s="503"/>
      <c r="AH891" s="504"/>
      <c r="AI891" s="500"/>
      <c r="AJ891" s="500"/>
      <c r="AK891" s="500"/>
      <c r="AL891" s="500"/>
      <c r="AM891" s="500"/>
      <c r="AN891" s="500"/>
      <c r="AO891" s="500"/>
      <c r="AP891" s="500"/>
      <c r="AQ891" s="500"/>
      <c r="AR891" s="500"/>
      <c r="AS891" s="500"/>
      <c r="AT891" s="500"/>
      <c r="AU891" s="500"/>
      <c r="AV891" s="500"/>
      <c r="AW891" s="500"/>
      <c r="AX891" s="500"/>
      <c r="AY891" s="500"/>
      <c r="AZ891" s="500"/>
      <c r="BA891" s="500"/>
      <c r="BB891" s="500"/>
      <c r="BC891" s="500"/>
      <c r="BD891" s="500"/>
      <c r="BE891" s="500"/>
      <c r="BF891" s="500"/>
      <c r="BG891" s="500"/>
      <c r="BH891" s="500"/>
      <c r="BI891" s="500"/>
      <c r="BJ891" s="500"/>
      <c r="BK891" s="500"/>
      <c r="BL891" s="500"/>
      <c r="BM891" s="500"/>
      <c r="BN891" s="500"/>
      <c r="BO891" s="500"/>
      <c r="BP891" s="500"/>
      <c r="BQ891" s="500"/>
      <c r="BR891" s="500"/>
      <c r="BS891" s="500"/>
      <c r="BT891" s="500"/>
      <c r="BU891" s="500"/>
      <c r="BV891" s="500"/>
    </row>
    <row r="892" ht="14.25" customHeight="1">
      <c r="A892" s="500"/>
      <c r="B892" s="500"/>
      <c r="C892" s="500"/>
      <c r="D892" s="500"/>
      <c r="E892" s="500"/>
      <c r="F892" s="500"/>
      <c r="G892" s="500"/>
      <c r="H892" s="500"/>
      <c r="I892" s="500"/>
      <c r="J892" s="500"/>
      <c r="K892" s="500"/>
      <c r="L892" s="500"/>
      <c r="M892" s="500"/>
      <c r="N892" s="500"/>
      <c r="O892" s="500"/>
      <c r="P892" s="500"/>
      <c r="Q892" s="500"/>
      <c r="R892" s="500"/>
      <c r="S892" s="500"/>
      <c r="T892" s="500"/>
      <c r="U892" s="500"/>
      <c r="V892" s="500"/>
      <c r="W892" s="500"/>
      <c r="X892" s="500"/>
      <c r="Y892" s="500"/>
      <c r="Z892" s="501"/>
      <c r="AA892" s="501"/>
      <c r="AB892" s="501"/>
      <c r="AC892" s="501"/>
      <c r="AD892" s="500"/>
      <c r="AE892" s="500"/>
      <c r="AF892" s="503"/>
      <c r="AG892" s="503"/>
      <c r="AH892" s="504"/>
      <c r="AI892" s="500"/>
      <c r="AJ892" s="500"/>
      <c r="AK892" s="500"/>
      <c r="AL892" s="500"/>
      <c r="AM892" s="500"/>
      <c r="AN892" s="500"/>
      <c r="AO892" s="500"/>
      <c r="AP892" s="500"/>
      <c r="AQ892" s="500"/>
      <c r="AR892" s="500"/>
      <c r="AS892" s="500"/>
      <c r="AT892" s="500"/>
      <c r="AU892" s="500"/>
      <c r="AV892" s="500"/>
      <c r="AW892" s="500"/>
      <c r="AX892" s="500"/>
      <c r="AY892" s="500"/>
      <c r="AZ892" s="500"/>
      <c r="BA892" s="500"/>
      <c r="BB892" s="500"/>
      <c r="BC892" s="500"/>
      <c r="BD892" s="500"/>
      <c r="BE892" s="500"/>
      <c r="BF892" s="500"/>
      <c r="BG892" s="500"/>
      <c r="BH892" s="500"/>
      <c r="BI892" s="500"/>
      <c r="BJ892" s="500"/>
      <c r="BK892" s="500"/>
      <c r="BL892" s="500"/>
      <c r="BM892" s="500"/>
      <c r="BN892" s="500"/>
      <c r="BO892" s="500"/>
      <c r="BP892" s="500"/>
      <c r="BQ892" s="500"/>
      <c r="BR892" s="500"/>
      <c r="BS892" s="500"/>
      <c r="BT892" s="500"/>
      <c r="BU892" s="500"/>
      <c r="BV892" s="500"/>
    </row>
    <row r="893" ht="14.25" customHeight="1">
      <c r="A893" s="500"/>
      <c r="B893" s="500"/>
      <c r="C893" s="500"/>
      <c r="D893" s="500"/>
      <c r="E893" s="500"/>
      <c r="F893" s="500"/>
      <c r="G893" s="500"/>
      <c r="H893" s="500"/>
      <c r="I893" s="500"/>
      <c r="J893" s="500"/>
      <c r="K893" s="500"/>
      <c r="L893" s="500"/>
      <c r="M893" s="500"/>
      <c r="N893" s="500"/>
      <c r="O893" s="500"/>
      <c r="P893" s="500"/>
      <c r="Q893" s="500"/>
      <c r="R893" s="500"/>
      <c r="S893" s="500"/>
      <c r="T893" s="500"/>
      <c r="U893" s="500"/>
      <c r="V893" s="500"/>
      <c r="W893" s="500"/>
      <c r="X893" s="500"/>
      <c r="Y893" s="500"/>
      <c r="Z893" s="501"/>
      <c r="AA893" s="501"/>
      <c r="AB893" s="501"/>
      <c r="AC893" s="501"/>
      <c r="AD893" s="500"/>
      <c r="AE893" s="500"/>
      <c r="AF893" s="503"/>
      <c r="AG893" s="503"/>
      <c r="AH893" s="504"/>
      <c r="AI893" s="500"/>
      <c r="AJ893" s="500"/>
      <c r="AK893" s="500"/>
      <c r="AL893" s="500"/>
      <c r="AM893" s="500"/>
      <c r="AN893" s="500"/>
      <c r="AO893" s="500"/>
      <c r="AP893" s="500"/>
      <c r="AQ893" s="500"/>
      <c r="AR893" s="500"/>
      <c r="AS893" s="500"/>
      <c r="AT893" s="500"/>
      <c r="AU893" s="500"/>
      <c r="AV893" s="500"/>
      <c r="AW893" s="500"/>
      <c r="AX893" s="500"/>
      <c r="AY893" s="500"/>
      <c r="AZ893" s="500"/>
      <c r="BA893" s="500"/>
      <c r="BB893" s="500"/>
      <c r="BC893" s="500"/>
      <c r="BD893" s="500"/>
      <c r="BE893" s="500"/>
      <c r="BF893" s="500"/>
      <c r="BG893" s="500"/>
      <c r="BH893" s="500"/>
      <c r="BI893" s="500"/>
      <c r="BJ893" s="500"/>
      <c r="BK893" s="500"/>
      <c r="BL893" s="500"/>
      <c r="BM893" s="500"/>
      <c r="BN893" s="500"/>
      <c r="BO893" s="500"/>
      <c r="BP893" s="500"/>
      <c r="BQ893" s="500"/>
      <c r="BR893" s="500"/>
      <c r="BS893" s="500"/>
      <c r="BT893" s="500"/>
      <c r="BU893" s="500"/>
      <c r="BV893" s="500"/>
    </row>
    <row r="894" ht="14.25" customHeight="1">
      <c r="A894" s="500"/>
      <c r="B894" s="500"/>
      <c r="C894" s="500"/>
      <c r="D894" s="500"/>
      <c r="E894" s="500"/>
      <c r="F894" s="500"/>
      <c r="G894" s="500"/>
      <c r="H894" s="500"/>
      <c r="I894" s="500"/>
      <c r="J894" s="500"/>
      <c r="K894" s="500"/>
      <c r="L894" s="500"/>
      <c r="M894" s="500"/>
      <c r="N894" s="500"/>
      <c r="O894" s="500"/>
      <c r="P894" s="500"/>
      <c r="Q894" s="500"/>
      <c r="R894" s="500"/>
      <c r="S894" s="500"/>
      <c r="T894" s="500"/>
      <c r="U894" s="500"/>
      <c r="V894" s="500"/>
      <c r="W894" s="500"/>
      <c r="X894" s="500"/>
      <c r="Y894" s="500"/>
      <c r="Z894" s="501"/>
      <c r="AA894" s="501"/>
      <c r="AB894" s="501"/>
      <c r="AC894" s="501"/>
      <c r="AD894" s="500"/>
      <c r="AE894" s="500"/>
      <c r="AF894" s="503"/>
      <c r="AG894" s="503"/>
      <c r="AH894" s="504"/>
      <c r="AI894" s="500"/>
      <c r="AJ894" s="500"/>
      <c r="AK894" s="500"/>
      <c r="AL894" s="500"/>
      <c r="AM894" s="500"/>
      <c r="AN894" s="500"/>
      <c r="AO894" s="500"/>
      <c r="AP894" s="500"/>
      <c r="AQ894" s="500"/>
      <c r="AR894" s="500"/>
      <c r="AS894" s="500"/>
      <c r="AT894" s="500"/>
      <c r="AU894" s="500"/>
      <c r="AV894" s="500"/>
      <c r="AW894" s="500"/>
      <c r="AX894" s="500"/>
      <c r="AY894" s="500"/>
      <c r="AZ894" s="500"/>
      <c r="BA894" s="500"/>
      <c r="BB894" s="500"/>
      <c r="BC894" s="500"/>
      <c r="BD894" s="500"/>
      <c r="BE894" s="500"/>
      <c r="BF894" s="500"/>
      <c r="BG894" s="500"/>
      <c r="BH894" s="500"/>
      <c r="BI894" s="500"/>
      <c r="BJ894" s="500"/>
      <c r="BK894" s="500"/>
      <c r="BL894" s="500"/>
      <c r="BM894" s="500"/>
      <c r="BN894" s="500"/>
      <c r="BO894" s="500"/>
      <c r="BP894" s="500"/>
      <c r="BQ894" s="500"/>
      <c r="BR894" s="500"/>
      <c r="BS894" s="500"/>
      <c r="BT894" s="500"/>
      <c r="BU894" s="500"/>
      <c r="BV894" s="500"/>
    </row>
    <row r="895" ht="14.25" customHeight="1">
      <c r="A895" s="500"/>
      <c r="B895" s="500"/>
      <c r="C895" s="500"/>
      <c r="D895" s="500"/>
      <c r="E895" s="500"/>
      <c r="F895" s="500"/>
      <c r="G895" s="500"/>
      <c r="H895" s="500"/>
      <c r="I895" s="500"/>
      <c r="J895" s="500"/>
      <c r="K895" s="500"/>
      <c r="L895" s="500"/>
      <c r="M895" s="500"/>
      <c r="N895" s="500"/>
      <c r="O895" s="500"/>
      <c r="P895" s="500"/>
      <c r="Q895" s="500"/>
      <c r="R895" s="500"/>
      <c r="S895" s="500"/>
      <c r="T895" s="500"/>
      <c r="U895" s="500"/>
      <c r="V895" s="500"/>
      <c r="W895" s="500"/>
      <c r="X895" s="500"/>
      <c r="Y895" s="500"/>
      <c r="Z895" s="501"/>
      <c r="AA895" s="501"/>
      <c r="AB895" s="501"/>
      <c r="AC895" s="501"/>
      <c r="AD895" s="500"/>
      <c r="AE895" s="500"/>
      <c r="AF895" s="503"/>
      <c r="AG895" s="503"/>
      <c r="AH895" s="504"/>
      <c r="AI895" s="500"/>
      <c r="AJ895" s="500"/>
      <c r="AK895" s="500"/>
      <c r="AL895" s="500"/>
      <c r="AM895" s="500"/>
      <c r="AN895" s="500"/>
      <c r="AO895" s="500"/>
      <c r="AP895" s="500"/>
      <c r="AQ895" s="500"/>
      <c r="AR895" s="500"/>
      <c r="AS895" s="500"/>
      <c r="AT895" s="500"/>
      <c r="AU895" s="500"/>
      <c r="AV895" s="500"/>
      <c r="AW895" s="500"/>
      <c r="AX895" s="500"/>
      <c r="AY895" s="500"/>
      <c r="AZ895" s="500"/>
      <c r="BA895" s="500"/>
      <c r="BB895" s="500"/>
      <c r="BC895" s="500"/>
      <c r="BD895" s="500"/>
      <c r="BE895" s="500"/>
      <c r="BF895" s="500"/>
      <c r="BG895" s="500"/>
      <c r="BH895" s="500"/>
      <c r="BI895" s="500"/>
      <c r="BJ895" s="500"/>
      <c r="BK895" s="500"/>
      <c r="BL895" s="500"/>
      <c r="BM895" s="500"/>
      <c r="BN895" s="500"/>
      <c r="BO895" s="500"/>
      <c r="BP895" s="500"/>
      <c r="BQ895" s="500"/>
      <c r="BR895" s="500"/>
      <c r="BS895" s="500"/>
      <c r="BT895" s="500"/>
      <c r="BU895" s="500"/>
      <c r="BV895" s="500"/>
    </row>
    <row r="896" ht="14.25" customHeight="1">
      <c r="A896" s="500"/>
      <c r="B896" s="500"/>
      <c r="C896" s="500"/>
      <c r="D896" s="500"/>
      <c r="E896" s="500"/>
      <c r="F896" s="500"/>
      <c r="G896" s="500"/>
      <c r="H896" s="500"/>
      <c r="I896" s="500"/>
      <c r="J896" s="500"/>
      <c r="K896" s="500"/>
      <c r="L896" s="500"/>
      <c r="M896" s="500"/>
      <c r="N896" s="500"/>
      <c r="O896" s="500"/>
      <c r="P896" s="500"/>
      <c r="Q896" s="500"/>
      <c r="R896" s="500"/>
      <c r="S896" s="500"/>
      <c r="T896" s="500"/>
      <c r="U896" s="500"/>
      <c r="V896" s="500"/>
      <c r="W896" s="500"/>
      <c r="X896" s="500"/>
      <c r="Y896" s="500"/>
      <c r="Z896" s="501"/>
      <c r="AA896" s="501"/>
      <c r="AB896" s="501"/>
      <c r="AC896" s="501"/>
      <c r="AD896" s="500"/>
      <c r="AE896" s="500"/>
      <c r="AF896" s="503"/>
      <c r="AG896" s="503"/>
      <c r="AH896" s="504"/>
      <c r="AI896" s="500"/>
      <c r="AJ896" s="500"/>
      <c r="AK896" s="500"/>
      <c r="AL896" s="500"/>
      <c r="AM896" s="500"/>
      <c r="AN896" s="500"/>
      <c r="AO896" s="500"/>
      <c r="AP896" s="500"/>
      <c r="AQ896" s="500"/>
      <c r="AR896" s="500"/>
      <c r="AS896" s="500"/>
      <c r="AT896" s="500"/>
      <c r="AU896" s="500"/>
      <c r="AV896" s="500"/>
      <c r="AW896" s="500"/>
      <c r="AX896" s="500"/>
      <c r="AY896" s="500"/>
      <c r="AZ896" s="500"/>
      <c r="BA896" s="500"/>
      <c r="BB896" s="500"/>
      <c r="BC896" s="500"/>
      <c r="BD896" s="500"/>
      <c r="BE896" s="500"/>
      <c r="BF896" s="500"/>
      <c r="BG896" s="500"/>
      <c r="BH896" s="500"/>
      <c r="BI896" s="500"/>
      <c r="BJ896" s="500"/>
      <c r="BK896" s="500"/>
      <c r="BL896" s="500"/>
      <c r="BM896" s="500"/>
      <c r="BN896" s="500"/>
      <c r="BO896" s="500"/>
      <c r="BP896" s="500"/>
      <c r="BQ896" s="500"/>
      <c r="BR896" s="500"/>
      <c r="BS896" s="500"/>
      <c r="BT896" s="500"/>
      <c r="BU896" s="500"/>
      <c r="BV896" s="500"/>
    </row>
    <row r="897" ht="14.25" customHeight="1">
      <c r="A897" s="500"/>
      <c r="B897" s="500"/>
      <c r="C897" s="500"/>
      <c r="D897" s="500"/>
      <c r="E897" s="500"/>
      <c r="F897" s="500"/>
      <c r="G897" s="500"/>
      <c r="H897" s="500"/>
      <c r="I897" s="500"/>
      <c r="J897" s="500"/>
      <c r="K897" s="500"/>
      <c r="L897" s="500"/>
      <c r="M897" s="500"/>
      <c r="N897" s="500"/>
      <c r="O897" s="500"/>
      <c r="P897" s="500"/>
      <c r="Q897" s="500"/>
      <c r="R897" s="500"/>
      <c r="S897" s="500"/>
      <c r="T897" s="500"/>
      <c r="U897" s="500"/>
      <c r="V897" s="500"/>
      <c r="W897" s="500"/>
      <c r="X897" s="500"/>
      <c r="Y897" s="500"/>
      <c r="Z897" s="501"/>
      <c r="AA897" s="501"/>
      <c r="AB897" s="501"/>
      <c r="AC897" s="501"/>
      <c r="AD897" s="500"/>
      <c r="AE897" s="500"/>
      <c r="AF897" s="503"/>
      <c r="AG897" s="503"/>
      <c r="AH897" s="504"/>
      <c r="AI897" s="500"/>
      <c r="AJ897" s="500"/>
      <c r="AK897" s="500"/>
      <c r="AL897" s="500"/>
      <c r="AM897" s="500"/>
      <c r="AN897" s="500"/>
      <c r="AO897" s="500"/>
      <c r="AP897" s="500"/>
      <c r="AQ897" s="500"/>
      <c r="AR897" s="500"/>
      <c r="AS897" s="500"/>
      <c r="AT897" s="500"/>
      <c r="AU897" s="500"/>
      <c r="AV897" s="500"/>
      <c r="AW897" s="500"/>
      <c r="AX897" s="500"/>
      <c r="AY897" s="500"/>
      <c r="AZ897" s="500"/>
      <c r="BA897" s="500"/>
      <c r="BB897" s="500"/>
      <c r="BC897" s="500"/>
      <c r="BD897" s="500"/>
      <c r="BE897" s="500"/>
      <c r="BF897" s="500"/>
      <c r="BG897" s="500"/>
      <c r="BH897" s="500"/>
      <c r="BI897" s="500"/>
      <c r="BJ897" s="500"/>
      <c r="BK897" s="500"/>
      <c r="BL897" s="500"/>
      <c r="BM897" s="500"/>
      <c r="BN897" s="500"/>
      <c r="BO897" s="500"/>
      <c r="BP897" s="500"/>
      <c r="BQ897" s="500"/>
      <c r="BR897" s="500"/>
      <c r="BS897" s="500"/>
      <c r="BT897" s="500"/>
      <c r="BU897" s="500"/>
      <c r="BV897" s="500"/>
    </row>
    <row r="898" ht="14.25" customHeight="1">
      <c r="A898" s="500"/>
      <c r="B898" s="500"/>
      <c r="C898" s="500"/>
      <c r="D898" s="500"/>
      <c r="E898" s="500"/>
      <c r="F898" s="500"/>
      <c r="G898" s="500"/>
      <c r="H898" s="500"/>
      <c r="I898" s="500"/>
      <c r="J898" s="500"/>
      <c r="K898" s="500"/>
      <c r="L898" s="500"/>
      <c r="M898" s="500"/>
      <c r="N898" s="500"/>
      <c r="O898" s="500"/>
      <c r="P898" s="500"/>
      <c r="Q898" s="500"/>
      <c r="R898" s="500"/>
      <c r="S898" s="500"/>
      <c r="T898" s="500"/>
      <c r="U898" s="500"/>
      <c r="V898" s="500"/>
      <c r="W898" s="500"/>
      <c r="X898" s="500"/>
      <c r="Y898" s="500"/>
      <c r="Z898" s="501"/>
      <c r="AA898" s="501"/>
      <c r="AB898" s="501"/>
      <c r="AC898" s="501"/>
      <c r="AD898" s="500"/>
      <c r="AE898" s="500"/>
      <c r="AF898" s="503"/>
      <c r="AG898" s="503"/>
      <c r="AH898" s="504"/>
      <c r="AI898" s="500"/>
      <c r="AJ898" s="500"/>
      <c r="AK898" s="500"/>
      <c r="AL898" s="500"/>
      <c r="AM898" s="500"/>
      <c r="AN898" s="500"/>
      <c r="AO898" s="500"/>
      <c r="AP898" s="500"/>
      <c r="AQ898" s="500"/>
      <c r="AR898" s="500"/>
      <c r="AS898" s="500"/>
      <c r="AT898" s="500"/>
      <c r="AU898" s="500"/>
      <c r="AV898" s="500"/>
      <c r="AW898" s="500"/>
      <c r="AX898" s="500"/>
      <c r="AY898" s="500"/>
      <c r="AZ898" s="500"/>
      <c r="BA898" s="500"/>
      <c r="BB898" s="500"/>
      <c r="BC898" s="500"/>
      <c r="BD898" s="500"/>
      <c r="BE898" s="500"/>
      <c r="BF898" s="500"/>
      <c r="BG898" s="500"/>
      <c r="BH898" s="500"/>
      <c r="BI898" s="500"/>
      <c r="BJ898" s="500"/>
      <c r="BK898" s="500"/>
      <c r="BL898" s="500"/>
      <c r="BM898" s="500"/>
      <c r="BN898" s="500"/>
      <c r="BO898" s="500"/>
      <c r="BP898" s="500"/>
      <c r="BQ898" s="500"/>
      <c r="BR898" s="500"/>
      <c r="BS898" s="500"/>
      <c r="BT898" s="500"/>
      <c r="BU898" s="500"/>
      <c r="BV898" s="500"/>
    </row>
    <row r="899" ht="14.25" customHeight="1">
      <c r="A899" s="500"/>
      <c r="B899" s="500"/>
      <c r="C899" s="500"/>
      <c r="D899" s="500"/>
      <c r="E899" s="500"/>
      <c r="F899" s="500"/>
      <c r="G899" s="500"/>
      <c r="H899" s="500"/>
      <c r="I899" s="500"/>
      <c r="J899" s="500"/>
      <c r="K899" s="500"/>
      <c r="L899" s="500"/>
      <c r="M899" s="500"/>
      <c r="N899" s="500"/>
      <c r="O899" s="500"/>
      <c r="P899" s="500"/>
      <c r="Q899" s="500"/>
      <c r="R899" s="500"/>
      <c r="S899" s="500"/>
      <c r="T899" s="500"/>
      <c r="U899" s="500"/>
      <c r="V899" s="500"/>
      <c r="W899" s="500"/>
      <c r="X899" s="500"/>
      <c r="Y899" s="500"/>
      <c r="Z899" s="501"/>
      <c r="AA899" s="501"/>
      <c r="AB899" s="501"/>
      <c r="AC899" s="501"/>
      <c r="AD899" s="500"/>
      <c r="AE899" s="500"/>
      <c r="AF899" s="503"/>
      <c r="AG899" s="503"/>
      <c r="AH899" s="504"/>
      <c r="AI899" s="500"/>
      <c r="AJ899" s="500"/>
      <c r="AK899" s="500"/>
      <c r="AL899" s="500"/>
      <c r="AM899" s="500"/>
      <c r="AN899" s="500"/>
      <c r="AO899" s="500"/>
      <c r="AP899" s="500"/>
      <c r="AQ899" s="500"/>
      <c r="AR899" s="500"/>
      <c r="AS899" s="500"/>
      <c r="AT899" s="500"/>
      <c r="AU899" s="500"/>
      <c r="AV899" s="500"/>
      <c r="AW899" s="500"/>
      <c r="AX899" s="500"/>
      <c r="AY899" s="500"/>
      <c r="AZ899" s="500"/>
      <c r="BA899" s="500"/>
      <c r="BB899" s="500"/>
      <c r="BC899" s="500"/>
      <c r="BD899" s="500"/>
      <c r="BE899" s="500"/>
      <c r="BF899" s="500"/>
      <c r="BG899" s="500"/>
      <c r="BH899" s="500"/>
      <c r="BI899" s="500"/>
      <c r="BJ899" s="500"/>
      <c r="BK899" s="500"/>
      <c r="BL899" s="500"/>
      <c r="BM899" s="500"/>
      <c r="BN899" s="500"/>
      <c r="BO899" s="500"/>
      <c r="BP899" s="500"/>
      <c r="BQ899" s="500"/>
      <c r="BR899" s="500"/>
      <c r="BS899" s="500"/>
      <c r="BT899" s="500"/>
      <c r="BU899" s="500"/>
      <c r="BV899" s="500"/>
    </row>
    <row r="900" ht="14.25" customHeight="1">
      <c r="A900" s="500"/>
      <c r="B900" s="500"/>
      <c r="C900" s="500"/>
      <c r="D900" s="500"/>
      <c r="E900" s="500"/>
      <c r="F900" s="500"/>
      <c r="G900" s="500"/>
      <c r="H900" s="500"/>
      <c r="I900" s="500"/>
      <c r="J900" s="500"/>
      <c r="K900" s="500"/>
      <c r="L900" s="500"/>
      <c r="M900" s="500"/>
      <c r="N900" s="500"/>
      <c r="O900" s="500"/>
      <c r="P900" s="500"/>
      <c r="Q900" s="500"/>
      <c r="R900" s="500"/>
      <c r="S900" s="500"/>
      <c r="T900" s="500"/>
      <c r="U900" s="500"/>
      <c r="V900" s="500"/>
      <c r="W900" s="500"/>
      <c r="X900" s="500"/>
      <c r="Y900" s="500"/>
      <c r="Z900" s="501"/>
      <c r="AA900" s="501"/>
      <c r="AB900" s="501"/>
      <c r="AC900" s="501"/>
      <c r="AD900" s="500"/>
      <c r="AE900" s="500"/>
      <c r="AF900" s="503"/>
      <c r="AG900" s="503"/>
      <c r="AH900" s="504"/>
      <c r="AI900" s="500"/>
      <c r="AJ900" s="500"/>
      <c r="AK900" s="500"/>
      <c r="AL900" s="500"/>
      <c r="AM900" s="500"/>
      <c r="AN900" s="500"/>
      <c r="AO900" s="500"/>
      <c r="AP900" s="500"/>
      <c r="AQ900" s="500"/>
      <c r="AR900" s="500"/>
      <c r="AS900" s="500"/>
      <c r="AT900" s="500"/>
      <c r="AU900" s="500"/>
      <c r="AV900" s="500"/>
      <c r="AW900" s="500"/>
      <c r="AX900" s="500"/>
      <c r="AY900" s="500"/>
      <c r="AZ900" s="500"/>
      <c r="BA900" s="500"/>
      <c r="BB900" s="500"/>
      <c r="BC900" s="500"/>
      <c r="BD900" s="500"/>
      <c r="BE900" s="500"/>
      <c r="BF900" s="500"/>
      <c r="BG900" s="500"/>
      <c r="BH900" s="500"/>
      <c r="BI900" s="500"/>
      <c r="BJ900" s="500"/>
      <c r="BK900" s="500"/>
      <c r="BL900" s="500"/>
      <c r="BM900" s="500"/>
      <c r="BN900" s="500"/>
      <c r="BO900" s="500"/>
      <c r="BP900" s="500"/>
      <c r="BQ900" s="500"/>
      <c r="BR900" s="500"/>
      <c r="BS900" s="500"/>
      <c r="BT900" s="500"/>
      <c r="BU900" s="500"/>
      <c r="BV900" s="500"/>
    </row>
    <row r="901" ht="14.25" customHeight="1">
      <c r="A901" s="500"/>
      <c r="B901" s="500"/>
      <c r="C901" s="500"/>
      <c r="D901" s="500"/>
      <c r="E901" s="500"/>
      <c r="F901" s="500"/>
      <c r="G901" s="500"/>
      <c r="H901" s="500"/>
      <c r="I901" s="500"/>
      <c r="J901" s="500"/>
      <c r="K901" s="500"/>
      <c r="L901" s="500"/>
      <c r="M901" s="500"/>
      <c r="N901" s="500"/>
      <c r="O901" s="500"/>
      <c r="P901" s="500"/>
      <c r="Q901" s="500"/>
      <c r="R901" s="500"/>
      <c r="S901" s="500"/>
      <c r="T901" s="500"/>
      <c r="U901" s="500"/>
      <c r="V901" s="500"/>
      <c r="W901" s="500"/>
      <c r="X901" s="500"/>
      <c r="Y901" s="500"/>
      <c r="Z901" s="501"/>
      <c r="AA901" s="501"/>
      <c r="AB901" s="501"/>
      <c r="AC901" s="501"/>
      <c r="AD901" s="500"/>
      <c r="AE901" s="500"/>
      <c r="AF901" s="503"/>
      <c r="AG901" s="503"/>
      <c r="AH901" s="504"/>
      <c r="AI901" s="500"/>
      <c r="AJ901" s="500"/>
      <c r="AK901" s="500"/>
      <c r="AL901" s="500"/>
      <c r="AM901" s="500"/>
      <c r="AN901" s="500"/>
      <c r="AO901" s="500"/>
      <c r="AP901" s="500"/>
      <c r="AQ901" s="500"/>
      <c r="AR901" s="500"/>
      <c r="AS901" s="500"/>
      <c r="AT901" s="500"/>
      <c r="AU901" s="500"/>
      <c r="AV901" s="500"/>
      <c r="AW901" s="500"/>
      <c r="AX901" s="500"/>
      <c r="AY901" s="500"/>
      <c r="AZ901" s="500"/>
      <c r="BA901" s="500"/>
      <c r="BB901" s="500"/>
      <c r="BC901" s="500"/>
      <c r="BD901" s="500"/>
      <c r="BE901" s="500"/>
      <c r="BF901" s="500"/>
      <c r="BG901" s="500"/>
      <c r="BH901" s="500"/>
      <c r="BI901" s="500"/>
      <c r="BJ901" s="500"/>
      <c r="BK901" s="500"/>
      <c r="BL901" s="500"/>
      <c r="BM901" s="500"/>
      <c r="BN901" s="500"/>
      <c r="BO901" s="500"/>
      <c r="BP901" s="500"/>
      <c r="BQ901" s="500"/>
      <c r="BR901" s="500"/>
      <c r="BS901" s="500"/>
      <c r="BT901" s="500"/>
      <c r="BU901" s="500"/>
      <c r="BV901" s="500"/>
    </row>
    <row r="902" ht="14.25" customHeight="1">
      <c r="A902" s="500"/>
      <c r="B902" s="500"/>
      <c r="C902" s="500"/>
      <c r="D902" s="500"/>
      <c r="E902" s="500"/>
      <c r="F902" s="500"/>
      <c r="G902" s="500"/>
      <c r="H902" s="500"/>
      <c r="I902" s="500"/>
      <c r="J902" s="500"/>
      <c r="K902" s="500"/>
      <c r="L902" s="500"/>
      <c r="M902" s="500"/>
      <c r="N902" s="500"/>
      <c r="O902" s="500"/>
      <c r="P902" s="500"/>
      <c r="Q902" s="500"/>
      <c r="R902" s="500"/>
      <c r="S902" s="500"/>
      <c r="T902" s="500"/>
      <c r="U902" s="500"/>
      <c r="V902" s="500"/>
      <c r="W902" s="500"/>
      <c r="X902" s="500"/>
      <c r="Y902" s="500"/>
      <c r="Z902" s="501"/>
      <c r="AA902" s="501"/>
      <c r="AB902" s="501"/>
      <c r="AC902" s="501"/>
      <c r="AD902" s="500"/>
      <c r="AE902" s="500"/>
      <c r="AF902" s="503"/>
      <c r="AG902" s="503"/>
      <c r="AH902" s="504"/>
      <c r="AI902" s="500"/>
      <c r="AJ902" s="500"/>
      <c r="AK902" s="500"/>
      <c r="AL902" s="500"/>
      <c r="AM902" s="500"/>
      <c r="AN902" s="500"/>
      <c r="AO902" s="500"/>
      <c r="AP902" s="500"/>
      <c r="AQ902" s="500"/>
      <c r="AR902" s="500"/>
      <c r="AS902" s="500"/>
      <c r="AT902" s="500"/>
      <c r="AU902" s="500"/>
      <c r="AV902" s="500"/>
      <c r="AW902" s="500"/>
      <c r="AX902" s="500"/>
      <c r="AY902" s="500"/>
      <c r="AZ902" s="500"/>
      <c r="BA902" s="500"/>
      <c r="BB902" s="500"/>
      <c r="BC902" s="500"/>
      <c r="BD902" s="500"/>
      <c r="BE902" s="500"/>
      <c r="BF902" s="500"/>
      <c r="BG902" s="500"/>
      <c r="BH902" s="500"/>
      <c r="BI902" s="500"/>
      <c r="BJ902" s="500"/>
      <c r="BK902" s="500"/>
      <c r="BL902" s="500"/>
      <c r="BM902" s="500"/>
      <c r="BN902" s="500"/>
      <c r="BO902" s="500"/>
      <c r="BP902" s="500"/>
      <c r="BQ902" s="500"/>
      <c r="BR902" s="500"/>
      <c r="BS902" s="500"/>
      <c r="BT902" s="500"/>
      <c r="BU902" s="500"/>
      <c r="BV902" s="500"/>
    </row>
    <row r="903" ht="14.25" customHeight="1">
      <c r="A903" s="500"/>
      <c r="B903" s="500"/>
      <c r="C903" s="500"/>
      <c r="D903" s="500"/>
      <c r="E903" s="500"/>
      <c r="F903" s="500"/>
      <c r="G903" s="500"/>
      <c r="H903" s="500"/>
      <c r="I903" s="500"/>
      <c r="J903" s="500"/>
      <c r="K903" s="500"/>
      <c r="L903" s="500"/>
      <c r="M903" s="500"/>
      <c r="N903" s="500"/>
      <c r="O903" s="500"/>
      <c r="P903" s="500"/>
      <c r="Q903" s="500"/>
      <c r="R903" s="500"/>
      <c r="S903" s="500"/>
      <c r="T903" s="500"/>
      <c r="U903" s="500"/>
      <c r="V903" s="500"/>
      <c r="W903" s="500"/>
      <c r="X903" s="500"/>
      <c r="Y903" s="500"/>
      <c r="Z903" s="501"/>
      <c r="AA903" s="501"/>
      <c r="AB903" s="501"/>
      <c r="AC903" s="501"/>
      <c r="AD903" s="500"/>
      <c r="AE903" s="500"/>
      <c r="AF903" s="503"/>
      <c r="AG903" s="503"/>
      <c r="AH903" s="504"/>
      <c r="AI903" s="500"/>
      <c r="AJ903" s="500"/>
      <c r="AK903" s="500"/>
      <c r="AL903" s="500"/>
      <c r="AM903" s="500"/>
      <c r="AN903" s="500"/>
      <c r="AO903" s="500"/>
      <c r="AP903" s="500"/>
      <c r="AQ903" s="500"/>
      <c r="AR903" s="500"/>
      <c r="AS903" s="500"/>
      <c r="AT903" s="500"/>
      <c r="AU903" s="500"/>
      <c r="AV903" s="500"/>
      <c r="AW903" s="500"/>
      <c r="AX903" s="500"/>
      <c r="AY903" s="500"/>
      <c r="AZ903" s="500"/>
      <c r="BA903" s="500"/>
      <c r="BB903" s="500"/>
      <c r="BC903" s="500"/>
      <c r="BD903" s="500"/>
      <c r="BE903" s="500"/>
      <c r="BF903" s="500"/>
      <c r="BG903" s="500"/>
      <c r="BH903" s="500"/>
      <c r="BI903" s="500"/>
      <c r="BJ903" s="500"/>
      <c r="BK903" s="500"/>
      <c r="BL903" s="500"/>
      <c r="BM903" s="500"/>
      <c r="BN903" s="500"/>
      <c r="BO903" s="500"/>
      <c r="BP903" s="500"/>
      <c r="BQ903" s="500"/>
      <c r="BR903" s="500"/>
      <c r="BS903" s="500"/>
      <c r="BT903" s="500"/>
      <c r="BU903" s="500"/>
      <c r="BV903" s="500"/>
    </row>
    <row r="904" ht="14.25" customHeight="1">
      <c r="A904" s="500"/>
      <c r="B904" s="500"/>
      <c r="C904" s="500"/>
      <c r="D904" s="500"/>
      <c r="E904" s="500"/>
      <c r="F904" s="500"/>
      <c r="G904" s="500"/>
      <c r="H904" s="500"/>
      <c r="I904" s="500"/>
      <c r="J904" s="500"/>
      <c r="K904" s="500"/>
      <c r="L904" s="500"/>
      <c r="M904" s="500"/>
      <c r="N904" s="500"/>
      <c r="O904" s="500"/>
      <c r="P904" s="500"/>
      <c r="Q904" s="500"/>
      <c r="R904" s="500"/>
      <c r="S904" s="500"/>
      <c r="T904" s="500"/>
      <c r="U904" s="500"/>
      <c r="V904" s="500"/>
      <c r="W904" s="500"/>
      <c r="X904" s="500"/>
      <c r="Y904" s="500"/>
      <c r="Z904" s="501"/>
      <c r="AA904" s="501"/>
      <c r="AB904" s="501"/>
      <c r="AC904" s="501"/>
      <c r="AD904" s="500"/>
      <c r="AE904" s="500"/>
      <c r="AF904" s="503"/>
      <c r="AG904" s="503"/>
      <c r="AH904" s="504"/>
      <c r="AI904" s="500"/>
      <c r="AJ904" s="500"/>
      <c r="AK904" s="500"/>
      <c r="AL904" s="500"/>
      <c r="AM904" s="500"/>
      <c r="AN904" s="500"/>
      <c r="AO904" s="500"/>
      <c r="AP904" s="500"/>
      <c r="AQ904" s="500"/>
      <c r="AR904" s="500"/>
      <c r="AS904" s="500"/>
      <c r="AT904" s="500"/>
      <c r="AU904" s="500"/>
      <c r="AV904" s="500"/>
      <c r="AW904" s="500"/>
      <c r="AX904" s="500"/>
      <c r="AY904" s="500"/>
      <c r="AZ904" s="500"/>
      <c r="BA904" s="500"/>
      <c r="BB904" s="500"/>
      <c r="BC904" s="500"/>
      <c r="BD904" s="500"/>
      <c r="BE904" s="500"/>
      <c r="BF904" s="500"/>
      <c r="BG904" s="500"/>
      <c r="BH904" s="500"/>
      <c r="BI904" s="500"/>
      <c r="BJ904" s="500"/>
      <c r="BK904" s="500"/>
      <c r="BL904" s="500"/>
      <c r="BM904" s="500"/>
      <c r="BN904" s="500"/>
      <c r="BO904" s="500"/>
      <c r="BP904" s="500"/>
      <c r="BQ904" s="500"/>
      <c r="BR904" s="500"/>
      <c r="BS904" s="500"/>
      <c r="BT904" s="500"/>
      <c r="BU904" s="500"/>
      <c r="BV904" s="500"/>
    </row>
    <row r="905" ht="14.25" customHeight="1">
      <c r="A905" s="500"/>
      <c r="B905" s="500"/>
      <c r="C905" s="500"/>
      <c r="D905" s="500"/>
      <c r="E905" s="500"/>
      <c r="F905" s="500"/>
      <c r="G905" s="500"/>
      <c r="H905" s="500"/>
      <c r="I905" s="500"/>
      <c r="J905" s="500"/>
      <c r="K905" s="500"/>
      <c r="L905" s="500"/>
      <c r="M905" s="500"/>
      <c r="N905" s="500"/>
      <c r="O905" s="500"/>
      <c r="P905" s="500"/>
      <c r="Q905" s="500"/>
      <c r="R905" s="500"/>
      <c r="S905" s="500"/>
      <c r="T905" s="500"/>
      <c r="U905" s="500"/>
      <c r="V905" s="500"/>
      <c r="W905" s="500"/>
      <c r="X905" s="500"/>
      <c r="Y905" s="500"/>
      <c r="Z905" s="501"/>
      <c r="AA905" s="501"/>
      <c r="AB905" s="501"/>
      <c r="AC905" s="501"/>
      <c r="AD905" s="500"/>
      <c r="AE905" s="500"/>
      <c r="AF905" s="503"/>
      <c r="AG905" s="503"/>
      <c r="AH905" s="504"/>
      <c r="AI905" s="500"/>
      <c r="AJ905" s="500"/>
      <c r="AK905" s="500"/>
      <c r="AL905" s="500"/>
      <c r="AM905" s="500"/>
      <c r="AN905" s="500"/>
      <c r="AO905" s="500"/>
      <c r="AP905" s="500"/>
      <c r="AQ905" s="500"/>
      <c r="AR905" s="500"/>
      <c r="AS905" s="500"/>
      <c r="AT905" s="500"/>
      <c r="AU905" s="500"/>
      <c r="AV905" s="500"/>
      <c r="AW905" s="500"/>
      <c r="AX905" s="500"/>
      <c r="AY905" s="500"/>
      <c r="AZ905" s="500"/>
      <c r="BA905" s="500"/>
      <c r="BB905" s="500"/>
      <c r="BC905" s="500"/>
      <c r="BD905" s="500"/>
      <c r="BE905" s="500"/>
      <c r="BF905" s="500"/>
      <c r="BG905" s="500"/>
      <c r="BH905" s="500"/>
      <c r="BI905" s="500"/>
      <c r="BJ905" s="500"/>
      <c r="BK905" s="500"/>
      <c r="BL905" s="500"/>
      <c r="BM905" s="500"/>
      <c r="BN905" s="500"/>
      <c r="BO905" s="500"/>
      <c r="BP905" s="500"/>
      <c r="BQ905" s="500"/>
      <c r="BR905" s="500"/>
      <c r="BS905" s="500"/>
      <c r="BT905" s="500"/>
      <c r="BU905" s="500"/>
      <c r="BV905" s="500"/>
    </row>
    <row r="906" ht="14.25" customHeight="1">
      <c r="A906" s="500"/>
      <c r="B906" s="500"/>
      <c r="C906" s="500"/>
      <c r="D906" s="500"/>
      <c r="E906" s="500"/>
      <c r="F906" s="500"/>
      <c r="G906" s="500"/>
      <c r="H906" s="500"/>
      <c r="I906" s="500"/>
      <c r="J906" s="500"/>
      <c r="K906" s="500"/>
      <c r="L906" s="500"/>
      <c r="M906" s="500"/>
      <c r="N906" s="500"/>
      <c r="O906" s="500"/>
      <c r="P906" s="500"/>
      <c r="Q906" s="500"/>
      <c r="R906" s="500"/>
      <c r="S906" s="500"/>
      <c r="T906" s="500"/>
      <c r="U906" s="500"/>
      <c r="V906" s="500"/>
      <c r="W906" s="500"/>
      <c r="X906" s="500"/>
      <c r="Y906" s="500"/>
      <c r="Z906" s="501"/>
      <c r="AA906" s="501"/>
      <c r="AB906" s="501"/>
      <c r="AC906" s="501"/>
      <c r="AD906" s="500"/>
      <c r="AE906" s="500"/>
      <c r="AF906" s="503"/>
      <c r="AG906" s="503"/>
      <c r="AH906" s="504"/>
      <c r="AI906" s="500"/>
      <c r="AJ906" s="500"/>
      <c r="AK906" s="500"/>
      <c r="AL906" s="500"/>
      <c r="AM906" s="500"/>
      <c r="AN906" s="500"/>
      <c r="AO906" s="500"/>
      <c r="AP906" s="500"/>
      <c r="AQ906" s="500"/>
      <c r="AR906" s="500"/>
      <c r="AS906" s="500"/>
      <c r="AT906" s="500"/>
      <c r="AU906" s="500"/>
      <c r="AV906" s="500"/>
      <c r="AW906" s="500"/>
      <c r="AX906" s="500"/>
      <c r="AY906" s="500"/>
      <c r="AZ906" s="500"/>
      <c r="BA906" s="500"/>
      <c r="BB906" s="500"/>
      <c r="BC906" s="500"/>
      <c r="BD906" s="500"/>
      <c r="BE906" s="500"/>
      <c r="BF906" s="500"/>
      <c r="BG906" s="500"/>
      <c r="BH906" s="500"/>
      <c r="BI906" s="500"/>
      <c r="BJ906" s="500"/>
      <c r="BK906" s="500"/>
      <c r="BL906" s="500"/>
      <c r="BM906" s="500"/>
      <c r="BN906" s="500"/>
      <c r="BO906" s="500"/>
      <c r="BP906" s="500"/>
      <c r="BQ906" s="500"/>
      <c r="BR906" s="500"/>
      <c r="BS906" s="500"/>
      <c r="BT906" s="500"/>
      <c r="BU906" s="500"/>
      <c r="BV906" s="500"/>
    </row>
    <row r="907" ht="14.25" customHeight="1">
      <c r="A907" s="500"/>
      <c r="B907" s="500"/>
      <c r="C907" s="500"/>
      <c r="D907" s="500"/>
      <c r="E907" s="500"/>
      <c r="F907" s="500"/>
      <c r="G907" s="500"/>
      <c r="H907" s="500"/>
      <c r="I907" s="500"/>
      <c r="J907" s="500"/>
      <c r="K907" s="500"/>
      <c r="L907" s="500"/>
      <c r="M907" s="500"/>
      <c r="N907" s="500"/>
      <c r="O907" s="500"/>
      <c r="P907" s="500"/>
      <c r="Q907" s="500"/>
      <c r="R907" s="500"/>
      <c r="S907" s="500"/>
      <c r="T907" s="500"/>
      <c r="U907" s="500"/>
      <c r="V907" s="500"/>
      <c r="W907" s="500"/>
      <c r="X907" s="500"/>
      <c r="Y907" s="500"/>
      <c r="Z907" s="501"/>
      <c r="AA907" s="501"/>
      <c r="AB907" s="501"/>
      <c r="AC907" s="501"/>
      <c r="AD907" s="500"/>
      <c r="AE907" s="500"/>
      <c r="AF907" s="503"/>
      <c r="AG907" s="503"/>
      <c r="AH907" s="504"/>
      <c r="AI907" s="500"/>
      <c r="AJ907" s="500"/>
      <c r="AK907" s="500"/>
      <c r="AL907" s="500"/>
      <c r="AM907" s="500"/>
      <c r="AN907" s="500"/>
      <c r="AO907" s="500"/>
      <c r="AP907" s="500"/>
      <c r="AQ907" s="500"/>
      <c r="AR907" s="500"/>
      <c r="AS907" s="500"/>
      <c r="AT907" s="500"/>
      <c r="AU907" s="500"/>
      <c r="AV907" s="500"/>
      <c r="AW907" s="500"/>
      <c r="AX907" s="500"/>
      <c r="AY907" s="500"/>
      <c r="AZ907" s="500"/>
      <c r="BA907" s="500"/>
      <c r="BB907" s="500"/>
      <c r="BC907" s="500"/>
      <c r="BD907" s="500"/>
      <c r="BE907" s="500"/>
      <c r="BF907" s="500"/>
      <c r="BG907" s="500"/>
      <c r="BH907" s="500"/>
      <c r="BI907" s="500"/>
      <c r="BJ907" s="500"/>
      <c r="BK907" s="500"/>
      <c r="BL907" s="500"/>
      <c r="BM907" s="500"/>
      <c r="BN907" s="500"/>
      <c r="BO907" s="500"/>
      <c r="BP907" s="500"/>
      <c r="BQ907" s="500"/>
      <c r="BR907" s="500"/>
      <c r="BS907" s="500"/>
      <c r="BT907" s="500"/>
      <c r="BU907" s="500"/>
      <c r="BV907" s="500"/>
    </row>
    <row r="908" ht="14.25" customHeight="1">
      <c r="A908" s="500"/>
      <c r="B908" s="500"/>
      <c r="C908" s="500"/>
      <c r="D908" s="500"/>
      <c r="E908" s="500"/>
      <c r="F908" s="500"/>
      <c r="G908" s="500"/>
      <c r="H908" s="500"/>
      <c r="I908" s="500"/>
      <c r="J908" s="500"/>
      <c r="K908" s="500"/>
      <c r="L908" s="500"/>
      <c r="M908" s="500"/>
      <c r="N908" s="500"/>
      <c r="O908" s="500"/>
      <c r="P908" s="500"/>
      <c r="Q908" s="500"/>
      <c r="R908" s="500"/>
      <c r="S908" s="500"/>
      <c r="T908" s="500"/>
      <c r="U908" s="500"/>
      <c r="V908" s="500"/>
      <c r="W908" s="500"/>
      <c r="X908" s="500"/>
      <c r="Y908" s="500"/>
      <c r="Z908" s="501"/>
      <c r="AA908" s="501"/>
      <c r="AB908" s="501"/>
      <c r="AC908" s="501"/>
      <c r="AD908" s="500"/>
      <c r="AE908" s="500"/>
      <c r="AF908" s="503"/>
      <c r="AG908" s="503"/>
      <c r="AH908" s="504"/>
      <c r="AI908" s="500"/>
      <c r="AJ908" s="500"/>
      <c r="AK908" s="500"/>
      <c r="AL908" s="500"/>
      <c r="AM908" s="500"/>
      <c r="AN908" s="500"/>
      <c r="AO908" s="500"/>
      <c r="AP908" s="500"/>
      <c r="AQ908" s="500"/>
      <c r="AR908" s="500"/>
      <c r="AS908" s="500"/>
      <c r="AT908" s="500"/>
      <c r="AU908" s="500"/>
      <c r="AV908" s="500"/>
      <c r="AW908" s="500"/>
      <c r="AX908" s="500"/>
      <c r="AY908" s="500"/>
      <c r="AZ908" s="500"/>
      <c r="BA908" s="500"/>
      <c r="BB908" s="500"/>
      <c r="BC908" s="500"/>
      <c r="BD908" s="500"/>
      <c r="BE908" s="500"/>
      <c r="BF908" s="500"/>
      <c r="BG908" s="500"/>
      <c r="BH908" s="500"/>
      <c r="BI908" s="500"/>
      <c r="BJ908" s="500"/>
      <c r="BK908" s="500"/>
      <c r="BL908" s="500"/>
      <c r="BM908" s="500"/>
      <c r="BN908" s="500"/>
      <c r="BO908" s="500"/>
      <c r="BP908" s="500"/>
      <c r="BQ908" s="500"/>
      <c r="BR908" s="500"/>
      <c r="BS908" s="500"/>
      <c r="BT908" s="500"/>
      <c r="BU908" s="500"/>
      <c r="BV908" s="500"/>
    </row>
    <row r="909" ht="14.25" customHeight="1">
      <c r="A909" s="500"/>
      <c r="B909" s="500"/>
      <c r="C909" s="500"/>
      <c r="D909" s="500"/>
      <c r="E909" s="500"/>
      <c r="F909" s="500"/>
      <c r="G909" s="500"/>
      <c r="H909" s="500"/>
      <c r="I909" s="500"/>
      <c r="J909" s="500"/>
      <c r="K909" s="500"/>
      <c r="L909" s="500"/>
      <c r="M909" s="500"/>
      <c r="N909" s="500"/>
      <c r="O909" s="500"/>
      <c r="P909" s="500"/>
      <c r="Q909" s="500"/>
      <c r="R909" s="500"/>
      <c r="S909" s="500"/>
      <c r="T909" s="500"/>
      <c r="U909" s="500"/>
      <c r="V909" s="500"/>
      <c r="W909" s="500"/>
      <c r="X909" s="500"/>
      <c r="Y909" s="500"/>
      <c r="Z909" s="501"/>
      <c r="AA909" s="501"/>
      <c r="AB909" s="501"/>
      <c r="AC909" s="501"/>
      <c r="AD909" s="500"/>
      <c r="AE909" s="500"/>
      <c r="AF909" s="503"/>
      <c r="AG909" s="503"/>
      <c r="AH909" s="504"/>
      <c r="AI909" s="500"/>
      <c r="AJ909" s="500"/>
      <c r="AK909" s="500"/>
      <c r="AL909" s="500"/>
      <c r="AM909" s="500"/>
      <c r="AN909" s="500"/>
      <c r="AO909" s="500"/>
      <c r="AP909" s="500"/>
      <c r="AQ909" s="500"/>
      <c r="AR909" s="500"/>
      <c r="AS909" s="500"/>
      <c r="AT909" s="500"/>
      <c r="AU909" s="500"/>
      <c r="AV909" s="500"/>
      <c r="AW909" s="500"/>
      <c r="AX909" s="500"/>
      <c r="AY909" s="500"/>
      <c r="AZ909" s="500"/>
      <c r="BA909" s="500"/>
      <c r="BB909" s="500"/>
      <c r="BC909" s="500"/>
      <c r="BD909" s="500"/>
      <c r="BE909" s="500"/>
      <c r="BF909" s="500"/>
      <c r="BG909" s="500"/>
      <c r="BH909" s="500"/>
      <c r="BI909" s="500"/>
      <c r="BJ909" s="500"/>
      <c r="BK909" s="500"/>
      <c r="BL909" s="500"/>
      <c r="BM909" s="500"/>
      <c r="BN909" s="500"/>
      <c r="BO909" s="500"/>
      <c r="BP909" s="500"/>
      <c r="BQ909" s="500"/>
      <c r="BR909" s="500"/>
      <c r="BS909" s="500"/>
      <c r="BT909" s="500"/>
      <c r="BU909" s="500"/>
      <c r="BV909" s="500"/>
    </row>
    <row r="910" ht="14.25" customHeight="1">
      <c r="A910" s="500"/>
      <c r="B910" s="500"/>
      <c r="C910" s="500"/>
      <c r="D910" s="500"/>
      <c r="E910" s="500"/>
      <c r="F910" s="500"/>
      <c r="G910" s="500"/>
      <c r="H910" s="500"/>
      <c r="I910" s="500"/>
      <c r="J910" s="500"/>
      <c r="K910" s="500"/>
      <c r="L910" s="500"/>
      <c r="M910" s="500"/>
      <c r="N910" s="500"/>
      <c r="O910" s="500"/>
      <c r="P910" s="500"/>
      <c r="Q910" s="500"/>
      <c r="R910" s="500"/>
      <c r="S910" s="500"/>
      <c r="T910" s="500"/>
      <c r="U910" s="500"/>
      <c r="V910" s="500"/>
      <c r="W910" s="500"/>
      <c r="X910" s="500"/>
      <c r="Y910" s="500"/>
      <c r="Z910" s="501"/>
      <c r="AA910" s="501"/>
      <c r="AB910" s="501"/>
      <c r="AC910" s="501"/>
      <c r="AD910" s="500"/>
      <c r="AE910" s="500"/>
      <c r="AF910" s="503"/>
      <c r="AG910" s="503"/>
      <c r="AH910" s="504"/>
      <c r="AI910" s="500"/>
      <c r="AJ910" s="500"/>
      <c r="AK910" s="500"/>
      <c r="AL910" s="500"/>
      <c r="AM910" s="500"/>
      <c r="AN910" s="500"/>
      <c r="AO910" s="500"/>
      <c r="AP910" s="500"/>
      <c r="AQ910" s="500"/>
      <c r="AR910" s="500"/>
      <c r="AS910" s="500"/>
      <c r="AT910" s="500"/>
      <c r="AU910" s="500"/>
      <c r="AV910" s="500"/>
      <c r="AW910" s="500"/>
      <c r="AX910" s="500"/>
      <c r="AY910" s="500"/>
      <c r="AZ910" s="500"/>
      <c r="BA910" s="500"/>
      <c r="BB910" s="500"/>
      <c r="BC910" s="500"/>
      <c r="BD910" s="500"/>
      <c r="BE910" s="500"/>
      <c r="BF910" s="500"/>
      <c r="BG910" s="500"/>
      <c r="BH910" s="500"/>
      <c r="BI910" s="500"/>
      <c r="BJ910" s="500"/>
      <c r="BK910" s="500"/>
      <c r="BL910" s="500"/>
      <c r="BM910" s="500"/>
      <c r="BN910" s="500"/>
      <c r="BO910" s="500"/>
      <c r="BP910" s="500"/>
      <c r="BQ910" s="500"/>
      <c r="BR910" s="500"/>
      <c r="BS910" s="500"/>
      <c r="BT910" s="500"/>
      <c r="BU910" s="500"/>
      <c r="BV910" s="500"/>
    </row>
    <row r="911" ht="14.25" customHeight="1">
      <c r="A911" s="500"/>
      <c r="B911" s="500"/>
      <c r="C911" s="500"/>
      <c r="D911" s="500"/>
      <c r="E911" s="500"/>
      <c r="F911" s="500"/>
      <c r="G911" s="500"/>
      <c r="H911" s="500"/>
      <c r="I911" s="500"/>
      <c r="J911" s="500"/>
      <c r="K911" s="500"/>
      <c r="L911" s="500"/>
      <c r="M911" s="500"/>
      <c r="N911" s="500"/>
      <c r="O911" s="500"/>
      <c r="P911" s="500"/>
      <c r="Q911" s="500"/>
      <c r="R911" s="500"/>
      <c r="S911" s="500"/>
      <c r="T911" s="500"/>
      <c r="U911" s="500"/>
      <c r="V911" s="500"/>
      <c r="W911" s="500"/>
      <c r="X911" s="500"/>
      <c r="Y911" s="500"/>
      <c r="Z911" s="501"/>
      <c r="AA911" s="501"/>
      <c r="AB911" s="501"/>
      <c r="AC911" s="501"/>
      <c r="AD911" s="500"/>
      <c r="AE911" s="500"/>
      <c r="AF911" s="503"/>
      <c r="AG911" s="503"/>
      <c r="AH911" s="504"/>
      <c r="AI911" s="500"/>
      <c r="AJ911" s="500"/>
      <c r="AK911" s="500"/>
      <c r="AL911" s="500"/>
      <c r="AM911" s="500"/>
      <c r="AN911" s="500"/>
      <c r="AO911" s="500"/>
      <c r="AP911" s="500"/>
      <c r="AQ911" s="500"/>
      <c r="AR911" s="500"/>
      <c r="AS911" s="500"/>
      <c r="AT911" s="500"/>
      <c r="AU911" s="500"/>
      <c r="AV911" s="500"/>
      <c r="AW911" s="500"/>
      <c r="AX911" s="500"/>
      <c r="AY911" s="500"/>
      <c r="AZ911" s="500"/>
      <c r="BA911" s="500"/>
      <c r="BB911" s="500"/>
      <c r="BC911" s="500"/>
      <c r="BD911" s="500"/>
      <c r="BE911" s="500"/>
      <c r="BF911" s="500"/>
      <c r="BG911" s="500"/>
      <c r="BH911" s="500"/>
      <c r="BI911" s="500"/>
      <c r="BJ911" s="500"/>
      <c r="BK911" s="500"/>
      <c r="BL911" s="500"/>
      <c r="BM911" s="500"/>
      <c r="BN911" s="500"/>
      <c r="BO911" s="500"/>
      <c r="BP911" s="500"/>
      <c r="BQ911" s="500"/>
      <c r="BR911" s="500"/>
      <c r="BS911" s="500"/>
      <c r="BT911" s="500"/>
      <c r="BU911" s="500"/>
      <c r="BV911" s="500"/>
    </row>
    <row r="912" ht="14.25" customHeight="1">
      <c r="A912" s="500"/>
      <c r="B912" s="500"/>
      <c r="C912" s="500"/>
      <c r="D912" s="500"/>
      <c r="E912" s="500"/>
      <c r="F912" s="500"/>
      <c r="G912" s="500"/>
      <c r="H912" s="500"/>
      <c r="I912" s="500"/>
      <c r="J912" s="500"/>
      <c r="K912" s="500"/>
      <c r="L912" s="500"/>
      <c r="M912" s="500"/>
      <c r="N912" s="500"/>
      <c r="O912" s="500"/>
      <c r="P912" s="500"/>
      <c r="Q912" s="500"/>
      <c r="R912" s="500"/>
      <c r="S912" s="500"/>
      <c r="T912" s="500"/>
      <c r="U912" s="500"/>
      <c r="V912" s="500"/>
      <c r="W912" s="500"/>
      <c r="X912" s="500"/>
      <c r="Y912" s="500"/>
      <c r="Z912" s="501"/>
      <c r="AA912" s="501"/>
      <c r="AB912" s="501"/>
      <c r="AC912" s="501"/>
      <c r="AD912" s="500"/>
      <c r="AE912" s="500"/>
      <c r="AF912" s="503"/>
      <c r="AG912" s="503"/>
      <c r="AH912" s="504"/>
      <c r="AI912" s="500"/>
      <c r="AJ912" s="500"/>
      <c r="AK912" s="500"/>
      <c r="AL912" s="500"/>
      <c r="AM912" s="500"/>
      <c r="AN912" s="500"/>
      <c r="AO912" s="500"/>
      <c r="AP912" s="500"/>
      <c r="AQ912" s="500"/>
      <c r="AR912" s="500"/>
      <c r="AS912" s="500"/>
      <c r="AT912" s="500"/>
      <c r="AU912" s="500"/>
      <c r="AV912" s="500"/>
      <c r="AW912" s="500"/>
      <c r="AX912" s="500"/>
      <c r="AY912" s="500"/>
      <c r="AZ912" s="500"/>
      <c r="BA912" s="500"/>
      <c r="BB912" s="500"/>
      <c r="BC912" s="500"/>
      <c r="BD912" s="500"/>
      <c r="BE912" s="500"/>
      <c r="BF912" s="500"/>
      <c r="BG912" s="500"/>
      <c r="BH912" s="500"/>
      <c r="BI912" s="500"/>
      <c r="BJ912" s="500"/>
      <c r="BK912" s="500"/>
      <c r="BL912" s="500"/>
      <c r="BM912" s="500"/>
      <c r="BN912" s="500"/>
      <c r="BO912" s="500"/>
      <c r="BP912" s="500"/>
      <c r="BQ912" s="500"/>
      <c r="BR912" s="500"/>
      <c r="BS912" s="500"/>
      <c r="BT912" s="500"/>
      <c r="BU912" s="500"/>
      <c r="BV912" s="500"/>
    </row>
    <row r="913" ht="14.25" customHeight="1">
      <c r="A913" s="500"/>
      <c r="B913" s="500"/>
      <c r="C913" s="500"/>
      <c r="D913" s="500"/>
      <c r="E913" s="500"/>
      <c r="F913" s="500"/>
      <c r="G913" s="500"/>
      <c r="H913" s="500"/>
      <c r="I913" s="500"/>
      <c r="J913" s="500"/>
      <c r="K913" s="500"/>
      <c r="L913" s="500"/>
      <c r="M913" s="500"/>
      <c r="N913" s="500"/>
      <c r="O913" s="500"/>
      <c r="P913" s="500"/>
      <c r="Q913" s="500"/>
      <c r="R913" s="500"/>
      <c r="S913" s="500"/>
      <c r="T913" s="500"/>
      <c r="U913" s="500"/>
      <c r="V913" s="500"/>
      <c r="W913" s="500"/>
      <c r="X913" s="500"/>
      <c r="Y913" s="500"/>
      <c r="Z913" s="501"/>
      <c r="AA913" s="501"/>
      <c r="AB913" s="501"/>
      <c r="AC913" s="501"/>
      <c r="AD913" s="500"/>
      <c r="AE913" s="500"/>
      <c r="AF913" s="503"/>
      <c r="AG913" s="503"/>
      <c r="AH913" s="504"/>
      <c r="AI913" s="500"/>
      <c r="AJ913" s="500"/>
      <c r="AK913" s="500"/>
      <c r="AL913" s="500"/>
      <c r="AM913" s="500"/>
      <c r="AN913" s="500"/>
      <c r="AO913" s="500"/>
      <c r="AP913" s="500"/>
      <c r="AQ913" s="500"/>
      <c r="AR913" s="500"/>
      <c r="AS913" s="500"/>
      <c r="AT913" s="500"/>
      <c r="AU913" s="500"/>
      <c r="AV913" s="500"/>
      <c r="AW913" s="500"/>
      <c r="AX913" s="500"/>
      <c r="AY913" s="500"/>
      <c r="AZ913" s="500"/>
      <c r="BA913" s="500"/>
      <c r="BB913" s="500"/>
      <c r="BC913" s="500"/>
      <c r="BD913" s="500"/>
      <c r="BE913" s="500"/>
      <c r="BF913" s="500"/>
      <c r="BG913" s="500"/>
      <c r="BH913" s="500"/>
      <c r="BI913" s="500"/>
      <c r="BJ913" s="500"/>
      <c r="BK913" s="500"/>
      <c r="BL913" s="500"/>
      <c r="BM913" s="500"/>
      <c r="BN913" s="500"/>
      <c r="BO913" s="500"/>
      <c r="BP913" s="500"/>
      <c r="BQ913" s="500"/>
      <c r="BR913" s="500"/>
      <c r="BS913" s="500"/>
      <c r="BT913" s="500"/>
      <c r="BU913" s="500"/>
      <c r="BV913" s="500"/>
    </row>
    <row r="914" ht="14.25" customHeight="1">
      <c r="A914" s="500"/>
      <c r="B914" s="500"/>
      <c r="C914" s="500"/>
      <c r="D914" s="500"/>
      <c r="E914" s="500"/>
      <c r="F914" s="500"/>
      <c r="G914" s="500"/>
      <c r="H914" s="500"/>
      <c r="I914" s="500"/>
      <c r="J914" s="500"/>
      <c r="K914" s="500"/>
      <c r="L914" s="500"/>
      <c r="M914" s="500"/>
      <c r="N914" s="500"/>
      <c r="O914" s="500"/>
      <c r="P914" s="500"/>
      <c r="Q914" s="500"/>
      <c r="R914" s="500"/>
      <c r="S914" s="500"/>
      <c r="T914" s="500"/>
      <c r="U914" s="500"/>
      <c r="V914" s="500"/>
      <c r="W914" s="500"/>
      <c r="X914" s="500"/>
      <c r="Y914" s="500"/>
      <c r="Z914" s="501"/>
      <c r="AA914" s="501"/>
      <c r="AB914" s="501"/>
      <c r="AC914" s="501"/>
      <c r="AD914" s="500"/>
      <c r="AE914" s="500"/>
      <c r="AF914" s="503"/>
      <c r="AG914" s="503"/>
      <c r="AH914" s="504"/>
      <c r="AI914" s="500"/>
      <c r="AJ914" s="500"/>
      <c r="AK914" s="500"/>
      <c r="AL914" s="500"/>
      <c r="AM914" s="500"/>
      <c r="AN914" s="500"/>
      <c r="AO914" s="500"/>
      <c r="AP914" s="500"/>
      <c r="AQ914" s="500"/>
      <c r="AR914" s="500"/>
      <c r="AS914" s="500"/>
      <c r="AT914" s="500"/>
      <c r="AU914" s="500"/>
      <c r="AV914" s="500"/>
      <c r="AW914" s="500"/>
      <c r="AX914" s="500"/>
      <c r="AY914" s="500"/>
      <c r="AZ914" s="500"/>
      <c r="BA914" s="500"/>
      <c r="BB914" s="500"/>
      <c r="BC914" s="500"/>
      <c r="BD914" s="500"/>
      <c r="BE914" s="500"/>
      <c r="BF914" s="500"/>
      <c r="BG914" s="500"/>
      <c r="BH914" s="500"/>
      <c r="BI914" s="500"/>
      <c r="BJ914" s="500"/>
      <c r="BK914" s="500"/>
      <c r="BL914" s="500"/>
      <c r="BM914" s="500"/>
      <c r="BN914" s="500"/>
      <c r="BO914" s="500"/>
      <c r="BP914" s="500"/>
      <c r="BQ914" s="500"/>
      <c r="BR914" s="500"/>
      <c r="BS914" s="500"/>
      <c r="BT914" s="500"/>
      <c r="BU914" s="500"/>
      <c r="BV914" s="500"/>
    </row>
    <row r="915" ht="14.25" customHeight="1">
      <c r="A915" s="500"/>
      <c r="B915" s="500"/>
      <c r="C915" s="500"/>
      <c r="D915" s="500"/>
      <c r="E915" s="500"/>
      <c r="F915" s="500"/>
      <c r="G915" s="500"/>
      <c r="H915" s="500"/>
      <c r="I915" s="500"/>
      <c r="J915" s="500"/>
      <c r="K915" s="500"/>
      <c r="L915" s="500"/>
      <c r="M915" s="500"/>
      <c r="N915" s="500"/>
      <c r="O915" s="500"/>
      <c r="P915" s="500"/>
      <c r="Q915" s="500"/>
      <c r="R915" s="500"/>
      <c r="S915" s="500"/>
      <c r="T915" s="500"/>
      <c r="U915" s="500"/>
      <c r="V915" s="500"/>
      <c r="W915" s="500"/>
      <c r="X915" s="500"/>
      <c r="Y915" s="500"/>
      <c r="Z915" s="501"/>
      <c r="AA915" s="501"/>
      <c r="AB915" s="501"/>
      <c r="AC915" s="501"/>
      <c r="AD915" s="500"/>
      <c r="AE915" s="500"/>
      <c r="AF915" s="503"/>
      <c r="AG915" s="503"/>
      <c r="AH915" s="504"/>
      <c r="AI915" s="500"/>
      <c r="AJ915" s="500"/>
      <c r="AK915" s="500"/>
      <c r="AL915" s="500"/>
      <c r="AM915" s="500"/>
      <c r="AN915" s="500"/>
      <c r="AO915" s="500"/>
      <c r="AP915" s="500"/>
      <c r="AQ915" s="500"/>
      <c r="AR915" s="500"/>
      <c r="AS915" s="500"/>
      <c r="AT915" s="500"/>
      <c r="AU915" s="500"/>
      <c r="AV915" s="500"/>
      <c r="AW915" s="500"/>
      <c r="AX915" s="500"/>
      <c r="AY915" s="500"/>
      <c r="AZ915" s="500"/>
      <c r="BA915" s="500"/>
      <c r="BB915" s="500"/>
      <c r="BC915" s="500"/>
      <c r="BD915" s="500"/>
      <c r="BE915" s="500"/>
      <c r="BF915" s="500"/>
      <c r="BG915" s="500"/>
      <c r="BH915" s="500"/>
      <c r="BI915" s="500"/>
      <c r="BJ915" s="500"/>
      <c r="BK915" s="500"/>
      <c r="BL915" s="500"/>
      <c r="BM915" s="500"/>
      <c r="BN915" s="500"/>
      <c r="BO915" s="500"/>
      <c r="BP915" s="500"/>
      <c r="BQ915" s="500"/>
      <c r="BR915" s="500"/>
      <c r="BS915" s="500"/>
      <c r="BT915" s="500"/>
      <c r="BU915" s="500"/>
      <c r="BV915" s="500"/>
    </row>
    <row r="916" ht="14.25" customHeight="1">
      <c r="A916" s="500"/>
      <c r="B916" s="500"/>
      <c r="C916" s="500"/>
      <c r="D916" s="500"/>
      <c r="E916" s="500"/>
      <c r="F916" s="500"/>
      <c r="G916" s="500"/>
      <c r="H916" s="500"/>
      <c r="I916" s="500"/>
      <c r="J916" s="500"/>
      <c r="K916" s="500"/>
      <c r="L916" s="500"/>
      <c r="M916" s="500"/>
      <c r="N916" s="500"/>
      <c r="O916" s="500"/>
      <c r="P916" s="500"/>
      <c r="Q916" s="500"/>
      <c r="R916" s="500"/>
      <c r="S916" s="500"/>
      <c r="T916" s="500"/>
      <c r="U916" s="500"/>
      <c r="V916" s="500"/>
      <c r="W916" s="500"/>
      <c r="X916" s="500"/>
      <c r="Y916" s="500"/>
      <c r="Z916" s="501"/>
      <c r="AA916" s="501"/>
      <c r="AB916" s="501"/>
      <c r="AC916" s="501"/>
      <c r="AD916" s="500"/>
      <c r="AE916" s="500"/>
      <c r="AF916" s="503"/>
      <c r="AG916" s="503"/>
      <c r="AH916" s="504"/>
      <c r="AI916" s="500"/>
      <c r="AJ916" s="500"/>
      <c r="AK916" s="500"/>
      <c r="AL916" s="500"/>
      <c r="AM916" s="500"/>
      <c r="AN916" s="500"/>
      <c r="AO916" s="500"/>
      <c r="AP916" s="500"/>
      <c r="AQ916" s="500"/>
      <c r="AR916" s="500"/>
      <c r="AS916" s="500"/>
      <c r="AT916" s="500"/>
      <c r="AU916" s="500"/>
      <c r="AV916" s="500"/>
      <c r="AW916" s="500"/>
      <c r="AX916" s="500"/>
      <c r="AY916" s="500"/>
      <c r="AZ916" s="500"/>
      <c r="BA916" s="500"/>
      <c r="BB916" s="500"/>
      <c r="BC916" s="500"/>
      <c r="BD916" s="500"/>
      <c r="BE916" s="500"/>
      <c r="BF916" s="500"/>
      <c r="BG916" s="500"/>
      <c r="BH916" s="500"/>
      <c r="BI916" s="500"/>
      <c r="BJ916" s="500"/>
      <c r="BK916" s="500"/>
      <c r="BL916" s="500"/>
      <c r="BM916" s="500"/>
      <c r="BN916" s="500"/>
      <c r="BO916" s="500"/>
      <c r="BP916" s="500"/>
      <c r="BQ916" s="500"/>
      <c r="BR916" s="500"/>
      <c r="BS916" s="500"/>
      <c r="BT916" s="500"/>
      <c r="BU916" s="500"/>
      <c r="BV916" s="500"/>
    </row>
    <row r="917" ht="14.25" customHeight="1">
      <c r="A917" s="500"/>
      <c r="B917" s="500"/>
      <c r="C917" s="500"/>
      <c r="D917" s="500"/>
      <c r="E917" s="500"/>
      <c r="F917" s="500"/>
      <c r="G917" s="500"/>
      <c r="H917" s="500"/>
      <c r="I917" s="500"/>
      <c r="J917" s="500"/>
      <c r="K917" s="500"/>
      <c r="L917" s="500"/>
      <c r="M917" s="500"/>
      <c r="N917" s="500"/>
      <c r="O917" s="500"/>
      <c r="P917" s="500"/>
      <c r="Q917" s="500"/>
      <c r="R917" s="500"/>
      <c r="S917" s="500"/>
      <c r="T917" s="500"/>
      <c r="U917" s="500"/>
      <c r="V917" s="500"/>
      <c r="W917" s="500"/>
      <c r="X917" s="500"/>
      <c r="Y917" s="500"/>
      <c r="Z917" s="501"/>
      <c r="AA917" s="501"/>
      <c r="AB917" s="501"/>
      <c r="AC917" s="501"/>
      <c r="AD917" s="500"/>
      <c r="AE917" s="500"/>
      <c r="AF917" s="503"/>
      <c r="AG917" s="503"/>
      <c r="AH917" s="504"/>
      <c r="AI917" s="500"/>
      <c r="AJ917" s="500"/>
      <c r="AK917" s="500"/>
      <c r="AL917" s="500"/>
      <c r="AM917" s="500"/>
      <c r="AN917" s="500"/>
      <c r="AO917" s="500"/>
      <c r="AP917" s="500"/>
      <c r="AQ917" s="500"/>
      <c r="AR917" s="500"/>
      <c r="AS917" s="500"/>
      <c r="AT917" s="500"/>
      <c r="AU917" s="500"/>
      <c r="AV917" s="500"/>
      <c r="AW917" s="500"/>
      <c r="AX917" s="500"/>
      <c r="AY917" s="500"/>
      <c r="AZ917" s="500"/>
      <c r="BA917" s="500"/>
      <c r="BB917" s="500"/>
      <c r="BC917" s="500"/>
      <c r="BD917" s="500"/>
      <c r="BE917" s="500"/>
      <c r="BF917" s="500"/>
      <c r="BG917" s="500"/>
      <c r="BH917" s="500"/>
      <c r="BI917" s="500"/>
      <c r="BJ917" s="500"/>
      <c r="BK917" s="500"/>
      <c r="BL917" s="500"/>
      <c r="BM917" s="500"/>
      <c r="BN917" s="500"/>
      <c r="BO917" s="500"/>
      <c r="BP917" s="500"/>
      <c r="BQ917" s="500"/>
      <c r="BR917" s="500"/>
      <c r="BS917" s="500"/>
      <c r="BT917" s="500"/>
      <c r="BU917" s="500"/>
      <c r="BV917" s="500"/>
    </row>
    <row r="918" ht="14.25" customHeight="1">
      <c r="A918" s="500"/>
      <c r="B918" s="500"/>
      <c r="C918" s="500"/>
      <c r="D918" s="500"/>
      <c r="E918" s="500"/>
      <c r="F918" s="500"/>
      <c r="G918" s="500"/>
      <c r="H918" s="500"/>
      <c r="I918" s="500"/>
      <c r="J918" s="500"/>
      <c r="K918" s="500"/>
      <c r="L918" s="500"/>
      <c r="M918" s="500"/>
      <c r="N918" s="500"/>
      <c r="O918" s="500"/>
      <c r="P918" s="500"/>
      <c r="Q918" s="500"/>
      <c r="R918" s="500"/>
      <c r="S918" s="500"/>
      <c r="T918" s="500"/>
      <c r="U918" s="500"/>
      <c r="V918" s="500"/>
      <c r="W918" s="500"/>
      <c r="X918" s="500"/>
      <c r="Y918" s="500"/>
      <c r="Z918" s="501"/>
      <c r="AA918" s="501"/>
      <c r="AB918" s="501"/>
      <c r="AC918" s="501"/>
      <c r="AD918" s="500"/>
      <c r="AE918" s="500"/>
      <c r="AF918" s="503"/>
      <c r="AG918" s="503"/>
      <c r="AH918" s="504"/>
      <c r="AI918" s="500"/>
      <c r="AJ918" s="500"/>
      <c r="AK918" s="500"/>
      <c r="AL918" s="500"/>
      <c r="AM918" s="500"/>
      <c r="AN918" s="500"/>
      <c r="AO918" s="500"/>
      <c r="AP918" s="500"/>
      <c r="AQ918" s="500"/>
      <c r="AR918" s="500"/>
      <c r="AS918" s="500"/>
      <c r="AT918" s="500"/>
      <c r="AU918" s="500"/>
      <c r="AV918" s="500"/>
      <c r="AW918" s="500"/>
      <c r="AX918" s="500"/>
      <c r="AY918" s="500"/>
      <c r="AZ918" s="500"/>
      <c r="BA918" s="500"/>
      <c r="BB918" s="500"/>
      <c r="BC918" s="500"/>
      <c r="BD918" s="500"/>
      <c r="BE918" s="500"/>
      <c r="BF918" s="500"/>
      <c r="BG918" s="500"/>
      <c r="BH918" s="500"/>
      <c r="BI918" s="500"/>
      <c r="BJ918" s="500"/>
      <c r="BK918" s="500"/>
      <c r="BL918" s="500"/>
      <c r="BM918" s="500"/>
      <c r="BN918" s="500"/>
      <c r="BO918" s="500"/>
      <c r="BP918" s="500"/>
      <c r="BQ918" s="500"/>
      <c r="BR918" s="500"/>
      <c r="BS918" s="500"/>
      <c r="BT918" s="500"/>
      <c r="BU918" s="500"/>
      <c r="BV918" s="500"/>
    </row>
    <row r="919" ht="14.25" customHeight="1">
      <c r="A919" s="500"/>
      <c r="B919" s="500"/>
      <c r="C919" s="500"/>
      <c r="D919" s="500"/>
      <c r="E919" s="500"/>
      <c r="F919" s="500"/>
      <c r="G919" s="500"/>
      <c r="H919" s="500"/>
      <c r="I919" s="500"/>
      <c r="J919" s="500"/>
      <c r="K919" s="500"/>
      <c r="L919" s="500"/>
      <c r="M919" s="500"/>
      <c r="N919" s="500"/>
      <c r="O919" s="500"/>
      <c r="P919" s="500"/>
      <c r="Q919" s="500"/>
      <c r="R919" s="500"/>
      <c r="S919" s="500"/>
      <c r="T919" s="500"/>
      <c r="U919" s="500"/>
      <c r="V919" s="500"/>
      <c r="W919" s="500"/>
      <c r="X919" s="500"/>
      <c r="Y919" s="500"/>
      <c r="Z919" s="501"/>
      <c r="AA919" s="501"/>
      <c r="AB919" s="501"/>
      <c r="AC919" s="501"/>
      <c r="AD919" s="500"/>
      <c r="AE919" s="500"/>
      <c r="AF919" s="503"/>
      <c r="AG919" s="503"/>
      <c r="AH919" s="504"/>
      <c r="AI919" s="500"/>
      <c r="AJ919" s="500"/>
      <c r="AK919" s="500"/>
      <c r="AL919" s="500"/>
      <c r="AM919" s="500"/>
      <c r="AN919" s="500"/>
      <c r="AO919" s="500"/>
      <c r="AP919" s="500"/>
      <c r="AQ919" s="500"/>
      <c r="AR919" s="500"/>
      <c r="AS919" s="500"/>
      <c r="AT919" s="500"/>
      <c r="AU919" s="500"/>
      <c r="AV919" s="500"/>
      <c r="AW919" s="500"/>
      <c r="AX919" s="500"/>
      <c r="AY919" s="500"/>
      <c r="AZ919" s="500"/>
      <c r="BA919" s="500"/>
      <c r="BB919" s="500"/>
      <c r="BC919" s="500"/>
      <c r="BD919" s="500"/>
      <c r="BE919" s="500"/>
      <c r="BF919" s="500"/>
      <c r="BG919" s="500"/>
      <c r="BH919" s="500"/>
      <c r="BI919" s="500"/>
      <c r="BJ919" s="500"/>
      <c r="BK919" s="500"/>
      <c r="BL919" s="500"/>
      <c r="BM919" s="500"/>
      <c r="BN919" s="500"/>
      <c r="BO919" s="500"/>
      <c r="BP919" s="500"/>
      <c r="BQ919" s="500"/>
      <c r="BR919" s="500"/>
      <c r="BS919" s="500"/>
      <c r="BT919" s="500"/>
      <c r="BU919" s="500"/>
      <c r="BV919" s="500"/>
    </row>
    <row r="920" ht="14.25" customHeight="1">
      <c r="A920" s="500"/>
      <c r="B920" s="500"/>
      <c r="C920" s="500"/>
      <c r="D920" s="500"/>
      <c r="E920" s="500"/>
      <c r="F920" s="500"/>
      <c r="G920" s="500"/>
      <c r="H920" s="500"/>
      <c r="I920" s="500"/>
      <c r="J920" s="500"/>
      <c r="K920" s="500"/>
      <c r="L920" s="500"/>
      <c r="M920" s="500"/>
      <c r="N920" s="500"/>
      <c r="O920" s="500"/>
      <c r="P920" s="500"/>
      <c r="Q920" s="500"/>
      <c r="R920" s="500"/>
      <c r="S920" s="500"/>
      <c r="T920" s="500"/>
      <c r="U920" s="500"/>
      <c r="V920" s="500"/>
      <c r="W920" s="500"/>
      <c r="X920" s="500"/>
      <c r="Y920" s="500"/>
      <c r="Z920" s="501"/>
      <c r="AA920" s="501"/>
      <c r="AB920" s="501"/>
      <c r="AC920" s="501"/>
      <c r="AD920" s="500"/>
      <c r="AE920" s="500"/>
      <c r="AF920" s="503"/>
      <c r="AG920" s="503"/>
      <c r="AH920" s="504"/>
      <c r="AI920" s="500"/>
      <c r="AJ920" s="500"/>
      <c r="AK920" s="500"/>
      <c r="AL920" s="500"/>
      <c r="AM920" s="500"/>
      <c r="AN920" s="500"/>
      <c r="AO920" s="500"/>
      <c r="AP920" s="500"/>
      <c r="AQ920" s="500"/>
      <c r="AR920" s="500"/>
      <c r="AS920" s="500"/>
      <c r="AT920" s="500"/>
      <c r="AU920" s="500"/>
      <c r="AV920" s="500"/>
      <c r="AW920" s="500"/>
      <c r="AX920" s="500"/>
      <c r="AY920" s="500"/>
      <c r="AZ920" s="500"/>
      <c r="BA920" s="500"/>
      <c r="BB920" s="500"/>
      <c r="BC920" s="500"/>
      <c r="BD920" s="500"/>
      <c r="BE920" s="500"/>
      <c r="BF920" s="500"/>
      <c r="BG920" s="500"/>
      <c r="BH920" s="500"/>
      <c r="BI920" s="500"/>
      <c r="BJ920" s="500"/>
      <c r="BK920" s="500"/>
      <c r="BL920" s="500"/>
      <c r="BM920" s="500"/>
      <c r="BN920" s="500"/>
      <c r="BO920" s="500"/>
      <c r="BP920" s="500"/>
      <c r="BQ920" s="500"/>
      <c r="BR920" s="500"/>
      <c r="BS920" s="500"/>
      <c r="BT920" s="500"/>
      <c r="BU920" s="500"/>
      <c r="BV920" s="500"/>
    </row>
    <row r="921" ht="14.25" customHeight="1">
      <c r="A921" s="500"/>
      <c r="B921" s="500"/>
      <c r="C921" s="500"/>
      <c r="D921" s="500"/>
      <c r="E921" s="500"/>
      <c r="F921" s="500"/>
      <c r="G921" s="500"/>
      <c r="H921" s="500"/>
      <c r="I921" s="500"/>
      <c r="J921" s="500"/>
      <c r="K921" s="500"/>
      <c r="L921" s="500"/>
      <c r="M921" s="500"/>
      <c r="N921" s="500"/>
      <c r="O921" s="500"/>
      <c r="P921" s="500"/>
      <c r="Q921" s="500"/>
      <c r="R921" s="500"/>
      <c r="S921" s="500"/>
      <c r="T921" s="500"/>
      <c r="U921" s="500"/>
      <c r="V921" s="500"/>
      <c r="W921" s="500"/>
      <c r="X921" s="500"/>
      <c r="Y921" s="500"/>
      <c r="Z921" s="501"/>
      <c r="AA921" s="501"/>
      <c r="AB921" s="501"/>
      <c r="AC921" s="501"/>
      <c r="AD921" s="500"/>
      <c r="AE921" s="500"/>
      <c r="AF921" s="503"/>
      <c r="AG921" s="503"/>
      <c r="AH921" s="504"/>
      <c r="AI921" s="500"/>
      <c r="AJ921" s="500"/>
      <c r="AK921" s="500"/>
      <c r="AL921" s="500"/>
      <c r="AM921" s="500"/>
      <c r="AN921" s="500"/>
      <c r="AO921" s="500"/>
      <c r="AP921" s="500"/>
      <c r="AQ921" s="500"/>
      <c r="AR921" s="500"/>
      <c r="AS921" s="500"/>
      <c r="AT921" s="500"/>
      <c r="AU921" s="500"/>
      <c r="AV921" s="500"/>
      <c r="AW921" s="500"/>
      <c r="AX921" s="500"/>
      <c r="AY921" s="500"/>
      <c r="AZ921" s="500"/>
      <c r="BA921" s="500"/>
      <c r="BB921" s="500"/>
      <c r="BC921" s="500"/>
      <c r="BD921" s="500"/>
      <c r="BE921" s="500"/>
      <c r="BF921" s="500"/>
      <c r="BG921" s="500"/>
      <c r="BH921" s="500"/>
      <c r="BI921" s="500"/>
      <c r="BJ921" s="500"/>
      <c r="BK921" s="500"/>
      <c r="BL921" s="500"/>
      <c r="BM921" s="500"/>
      <c r="BN921" s="500"/>
      <c r="BO921" s="500"/>
      <c r="BP921" s="500"/>
      <c r="BQ921" s="500"/>
      <c r="BR921" s="500"/>
      <c r="BS921" s="500"/>
      <c r="BT921" s="500"/>
      <c r="BU921" s="500"/>
      <c r="BV921" s="500"/>
    </row>
    <row r="922" ht="14.25" customHeight="1">
      <c r="A922" s="500"/>
      <c r="B922" s="500"/>
      <c r="C922" s="500"/>
      <c r="D922" s="500"/>
      <c r="E922" s="500"/>
      <c r="F922" s="500"/>
      <c r="G922" s="500"/>
      <c r="H922" s="500"/>
      <c r="I922" s="500"/>
      <c r="J922" s="500"/>
      <c r="K922" s="500"/>
      <c r="L922" s="500"/>
      <c r="M922" s="500"/>
      <c r="N922" s="500"/>
      <c r="O922" s="500"/>
      <c r="P922" s="500"/>
      <c r="Q922" s="500"/>
      <c r="R922" s="500"/>
      <c r="S922" s="500"/>
      <c r="T922" s="500"/>
      <c r="U922" s="500"/>
      <c r="V922" s="500"/>
      <c r="W922" s="500"/>
      <c r="X922" s="500"/>
      <c r="Y922" s="500"/>
      <c r="Z922" s="501"/>
      <c r="AA922" s="501"/>
      <c r="AB922" s="501"/>
      <c r="AC922" s="501"/>
      <c r="AD922" s="500"/>
      <c r="AE922" s="500"/>
      <c r="AF922" s="503"/>
      <c r="AG922" s="503"/>
      <c r="AH922" s="504"/>
      <c r="AI922" s="500"/>
      <c r="AJ922" s="500"/>
      <c r="AK922" s="500"/>
      <c r="AL922" s="500"/>
      <c r="AM922" s="500"/>
      <c r="AN922" s="500"/>
      <c r="AO922" s="500"/>
      <c r="AP922" s="500"/>
      <c r="AQ922" s="500"/>
      <c r="AR922" s="500"/>
      <c r="AS922" s="500"/>
      <c r="AT922" s="500"/>
      <c r="AU922" s="500"/>
      <c r="AV922" s="500"/>
      <c r="AW922" s="500"/>
      <c r="AX922" s="500"/>
      <c r="AY922" s="500"/>
      <c r="AZ922" s="500"/>
      <c r="BA922" s="500"/>
      <c r="BB922" s="500"/>
      <c r="BC922" s="500"/>
      <c r="BD922" s="500"/>
      <c r="BE922" s="500"/>
      <c r="BF922" s="500"/>
      <c r="BG922" s="500"/>
      <c r="BH922" s="500"/>
      <c r="BI922" s="500"/>
      <c r="BJ922" s="500"/>
      <c r="BK922" s="500"/>
      <c r="BL922" s="500"/>
      <c r="BM922" s="500"/>
      <c r="BN922" s="500"/>
      <c r="BO922" s="500"/>
      <c r="BP922" s="500"/>
      <c r="BQ922" s="500"/>
      <c r="BR922" s="500"/>
      <c r="BS922" s="500"/>
      <c r="BT922" s="500"/>
      <c r="BU922" s="500"/>
      <c r="BV922" s="500"/>
    </row>
    <row r="923" ht="14.25" customHeight="1">
      <c r="A923" s="500"/>
      <c r="B923" s="500"/>
      <c r="C923" s="500"/>
      <c r="D923" s="500"/>
      <c r="E923" s="500"/>
      <c r="F923" s="500"/>
      <c r="G923" s="500"/>
      <c r="H923" s="500"/>
      <c r="I923" s="500"/>
      <c r="J923" s="500"/>
      <c r="K923" s="500"/>
      <c r="L923" s="500"/>
      <c r="M923" s="500"/>
      <c r="N923" s="500"/>
      <c r="O923" s="500"/>
      <c r="P923" s="500"/>
      <c r="Q923" s="500"/>
      <c r="R923" s="500"/>
      <c r="S923" s="500"/>
      <c r="T923" s="500"/>
      <c r="U923" s="500"/>
      <c r="V923" s="500"/>
      <c r="W923" s="500"/>
      <c r="X923" s="500"/>
      <c r="Y923" s="500"/>
      <c r="Z923" s="501"/>
      <c r="AA923" s="501"/>
      <c r="AB923" s="501"/>
      <c r="AC923" s="501"/>
      <c r="AD923" s="500"/>
      <c r="AE923" s="500"/>
      <c r="AF923" s="503"/>
      <c r="AG923" s="503"/>
      <c r="AH923" s="504"/>
      <c r="AI923" s="500"/>
      <c r="AJ923" s="500"/>
      <c r="AK923" s="500"/>
      <c r="AL923" s="500"/>
      <c r="AM923" s="500"/>
      <c r="AN923" s="500"/>
      <c r="AO923" s="500"/>
      <c r="AP923" s="500"/>
      <c r="AQ923" s="500"/>
      <c r="AR923" s="500"/>
      <c r="AS923" s="500"/>
      <c r="AT923" s="500"/>
      <c r="AU923" s="500"/>
      <c r="AV923" s="500"/>
      <c r="AW923" s="500"/>
      <c r="AX923" s="500"/>
      <c r="AY923" s="500"/>
      <c r="AZ923" s="500"/>
      <c r="BA923" s="500"/>
      <c r="BB923" s="500"/>
      <c r="BC923" s="500"/>
      <c r="BD923" s="500"/>
      <c r="BE923" s="500"/>
      <c r="BF923" s="500"/>
      <c r="BG923" s="500"/>
      <c r="BH923" s="500"/>
      <c r="BI923" s="500"/>
      <c r="BJ923" s="500"/>
      <c r="BK923" s="500"/>
      <c r="BL923" s="500"/>
      <c r="BM923" s="500"/>
      <c r="BN923" s="500"/>
      <c r="BO923" s="500"/>
      <c r="BP923" s="500"/>
      <c r="BQ923" s="500"/>
      <c r="BR923" s="500"/>
      <c r="BS923" s="500"/>
      <c r="BT923" s="500"/>
      <c r="BU923" s="500"/>
      <c r="BV923" s="500"/>
    </row>
    <row r="924" ht="14.25" customHeight="1">
      <c r="A924" s="500"/>
      <c r="B924" s="500"/>
      <c r="C924" s="500"/>
      <c r="D924" s="500"/>
      <c r="E924" s="500"/>
      <c r="F924" s="500"/>
      <c r="G924" s="500"/>
      <c r="H924" s="500"/>
      <c r="I924" s="500"/>
      <c r="J924" s="500"/>
      <c r="K924" s="500"/>
      <c r="L924" s="500"/>
      <c r="M924" s="500"/>
      <c r="N924" s="500"/>
      <c r="O924" s="500"/>
      <c r="P924" s="500"/>
      <c r="Q924" s="500"/>
      <c r="R924" s="500"/>
      <c r="S924" s="500"/>
      <c r="T924" s="500"/>
      <c r="U924" s="500"/>
      <c r="V924" s="500"/>
      <c r="W924" s="500"/>
      <c r="X924" s="500"/>
      <c r="Y924" s="500"/>
      <c r="Z924" s="501"/>
      <c r="AA924" s="501"/>
      <c r="AB924" s="501"/>
      <c r="AC924" s="501"/>
      <c r="AD924" s="500"/>
      <c r="AE924" s="500"/>
      <c r="AF924" s="503"/>
      <c r="AG924" s="503"/>
      <c r="AH924" s="504"/>
      <c r="AI924" s="500"/>
      <c r="AJ924" s="500"/>
      <c r="AK924" s="500"/>
      <c r="AL924" s="500"/>
      <c r="AM924" s="500"/>
      <c r="AN924" s="500"/>
      <c r="AO924" s="500"/>
      <c r="AP924" s="500"/>
      <c r="AQ924" s="500"/>
      <c r="AR924" s="500"/>
      <c r="AS924" s="500"/>
      <c r="AT924" s="500"/>
      <c r="AU924" s="500"/>
      <c r="AV924" s="500"/>
      <c r="AW924" s="500"/>
      <c r="AX924" s="500"/>
      <c r="AY924" s="500"/>
      <c r="AZ924" s="500"/>
      <c r="BA924" s="500"/>
      <c r="BB924" s="500"/>
      <c r="BC924" s="500"/>
      <c r="BD924" s="500"/>
      <c r="BE924" s="500"/>
      <c r="BF924" s="500"/>
      <c r="BG924" s="500"/>
      <c r="BH924" s="500"/>
      <c r="BI924" s="500"/>
      <c r="BJ924" s="500"/>
      <c r="BK924" s="500"/>
      <c r="BL924" s="500"/>
      <c r="BM924" s="500"/>
      <c r="BN924" s="500"/>
      <c r="BO924" s="500"/>
      <c r="BP924" s="500"/>
      <c r="BQ924" s="500"/>
      <c r="BR924" s="500"/>
      <c r="BS924" s="500"/>
      <c r="BT924" s="500"/>
      <c r="BU924" s="500"/>
      <c r="BV924" s="500"/>
    </row>
    <row r="925" ht="14.25" customHeight="1">
      <c r="A925" s="500"/>
      <c r="B925" s="500"/>
      <c r="C925" s="500"/>
      <c r="D925" s="500"/>
      <c r="E925" s="500"/>
      <c r="F925" s="500"/>
      <c r="G925" s="500"/>
      <c r="H925" s="500"/>
      <c r="I925" s="500"/>
      <c r="J925" s="500"/>
      <c r="K925" s="500"/>
      <c r="L925" s="500"/>
      <c r="M925" s="500"/>
      <c r="N925" s="500"/>
      <c r="O925" s="500"/>
      <c r="P925" s="500"/>
      <c r="Q925" s="500"/>
      <c r="R925" s="500"/>
      <c r="S925" s="500"/>
      <c r="T925" s="500"/>
      <c r="U925" s="500"/>
      <c r="V925" s="500"/>
      <c r="W925" s="500"/>
      <c r="X925" s="500"/>
      <c r="Y925" s="500"/>
      <c r="Z925" s="501"/>
      <c r="AA925" s="501"/>
      <c r="AB925" s="501"/>
      <c r="AC925" s="501"/>
      <c r="AD925" s="500"/>
      <c r="AE925" s="500"/>
      <c r="AF925" s="503"/>
      <c r="AG925" s="503"/>
      <c r="AH925" s="504"/>
      <c r="AI925" s="500"/>
      <c r="AJ925" s="500"/>
      <c r="AK925" s="500"/>
      <c r="AL925" s="500"/>
      <c r="AM925" s="500"/>
      <c r="AN925" s="500"/>
      <c r="AO925" s="500"/>
      <c r="AP925" s="500"/>
      <c r="AQ925" s="500"/>
      <c r="AR925" s="500"/>
      <c r="AS925" s="500"/>
      <c r="AT925" s="500"/>
      <c r="AU925" s="500"/>
      <c r="AV925" s="500"/>
      <c r="AW925" s="500"/>
      <c r="AX925" s="500"/>
      <c r="AY925" s="500"/>
      <c r="AZ925" s="500"/>
      <c r="BA925" s="500"/>
      <c r="BB925" s="500"/>
      <c r="BC925" s="500"/>
      <c r="BD925" s="500"/>
      <c r="BE925" s="500"/>
      <c r="BF925" s="500"/>
      <c r="BG925" s="500"/>
      <c r="BH925" s="500"/>
      <c r="BI925" s="500"/>
      <c r="BJ925" s="500"/>
      <c r="BK925" s="500"/>
      <c r="BL925" s="500"/>
      <c r="BM925" s="500"/>
      <c r="BN925" s="500"/>
      <c r="BO925" s="500"/>
      <c r="BP925" s="500"/>
      <c r="BQ925" s="500"/>
      <c r="BR925" s="500"/>
      <c r="BS925" s="500"/>
      <c r="BT925" s="500"/>
      <c r="BU925" s="500"/>
      <c r="BV925" s="500"/>
    </row>
    <row r="926" ht="14.25" customHeight="1">
      <c r="A926" s="500"/>
      <c r="B926" s="500"/>
      <c r="C926" s="500"/>
      <c r="D926" s="500"/>
      <c r="E926" s="500"/>
      <c r="F926" s="500"/>
      <c r="G926" s="500"/>
      <c r="H926" s="500"/>
      <c r="I926" s="500"/>
      <c r="J926" s="500"/>
      <c r="K926" s="500"/>
      <c r="L926" s="500"/>
      <c r="M926" s="500"/>
      <c r="N926" s="500"/>
      <c r="O926" s="500"/>
      <c r="P926" s="500"/>
      <c r="Q926" s="500"/>
      <c r="R926" s="500"/>
      <c r="S926" s="500"/>
      <c r="T926" s="500"/>
      <c r="U926" s="500"/>
      <c r="V926" s="500"/>
      <c r="W926" s="500"/>
      <c r="X926" s="500"/>
      <c r="Y926" s="500"/>
      <c r="Z926" s="501"/>
      <c r="AA926" s="501"/>
      <c r="AB926" s="501"/>
      <c r="AC926" s="501"/>
      <c r="AD926" s="500"/>
      <c r="AE926" s="500"/>
      <c r="AF926" s="503"/>
      <c r="AG926" s="503"/>
      <c r="AH926" s="504"/>
      <c r="AI926" s="500"/>
      <c r="AJ926" s="500"/>
      <c r="AK926" s="500"/>
      <c r="AL926" s="500"/>
      <c r="AM926" s="500"/>
      <c r="AN926" s="500"/>
      <c r="AO926" s="500"/>
      <c r="AP926" s="500"/>
      <c r="AQ926" s="500"/>
      <c r="AR926" s="500"/>
      <c r="AS926" s="500"/>
      <c r="AT926" s="500"/>
      <c r="AU926" s="500"/>
      <c r="AV926" s="500"/>
      <c r="AW926" s="500"/>
      <c r="AX926" s="500"/>
      <c r="AY926" s="500"/>
      <c r="AZ926" s="500"/>
      <c r="BA926" s="500"/>
      <c r="BB926" s="500"/>
      <c r="BC926" s="500"/>
      <c r="BD926" s="500"/>
      <c r="BE926" s="500"/>
      <c r="BF926" s="500"/>
      <c r="BG926" s="500"/>
      <c r="BH926" s="500"/>
      <c r="BI926" s="500"/>
      <c r="BJ926" s="500"/>
      <c r="BK926" s="500"/>
      <c r="BL926" s="500"/>
      <c r="BM926" s="500"/>
      <c r="BN926" s="500"/>
      <c r="BO926" s="500"/>
      <c r="BP926" s="500"/>
      <c r="BQ926" s="500"/>
      <c r="BR926" s="500"/>
      <c r="BS926" s="500"/>
      <c r="BT926" s="500"/>
      <c r="BU926" s="500"/>
      <c r="BV926" s="500"/>
    </row>
    <row r="927" ht="14.25" customHeight="1">
      <c r="A927" s="500"/>
      <c r="B927" s="500"/>
      <c r="C927" s="500"/>
      <c r="D927" s="500"/>
      <c r="E927" s="500"/>
      <c r="F927" s="500"/>
      <c r="G927" s="500"/>
      <c r="H927" s="500"/>
      <c r="I927" s="500"/>
      <c r="J927" s="500"/>
      <c r="K927" s="500"/>
      <c r="L927" s="500"/>
      <c r="M927" s="500"/>
      <c r="N927" s="500"/>
      <c r="O927" s="500"/>
      <c r="P927" s="500"/>
      <c r="Q927" s="500"/>
      <c r="R927" s="500"/>
      <c r="S927" s="500"/>
      <c r="T927" s="500"/>
      <c r="U927" s="500"/>
      <c r="V927" s="500"/>
      <c r="W927" s="500"/>
      <c r="X927" s="500"/>
      <c r="Y927" s="500"/>
      <c r="Z927" s="501"/>
      <c r="AA927" s="501"/>
      <c r="AB927" s="501"/>
      <c r="AC927" s="501"/>
      <c r="AD927" s="500"/>
      <c r="AE927" s="500"/>
      <c r="AF927" s="503"/>
      <c r="AG927" s="503"/>
      <c r="AH927" s="504"/>
      <c r="AI927" s="500"/>
      <c r="AJ927" s="500"/>
      <c r="AK927" s="500"/>
      <c r="AL927" s="500"/>
      <c r="AM927" s="500"/>
      <c r="AN927" s="500"/>
      <c r="AO927" s="500"/>
      <c r="AP927" s="500"/>
      <c r="AQ927" s="500"/>
      <c r="AR927" s="500"/>
      <c r="AS927" s="500"/>
      <c r="AT927" s="500"/>
      <c r="AU927" s="500"/>
      <c r="AV927" s="500"/>
      <c r="AW927" s="500"/>
      <c r="AX927" s="500"/>
      <c r="AY927" s="500"/>
      <c r="AZ927" s="500"/>
      <c r="BA927" s="500"/>
      <c r="BB927" s="500"/>
      <c r="BC927" s="500"/>
      <c r="BD927" s="500"/>
      <c r="BE927" s="500"/>
      <c r="BF927" s="500"/>
      <c r="BG927" s="500"/>
      <c r="BH927" s="500"/>
      <c r="BI927" s="500"/>
      <c r="BJ927" s="500"/>
      <c r="BK927" s="500"/>
      <c r="BL927" s="500"/>
      <c r="BM927" s="500"/>
      <c r="BN927" s="500"/>
      <c r="BO927" s="500"/>
      <c r="BP927" s="500"/>
      <c r="BQ927" s="500"/>
      <c r="BR927" s="500"/>
      <c r="BS927" s="500"/>
      <c r="BT927" s="500"/>
      <c r="BU927" s="500"/>
      <c r="BV927" s="500"/>
    </row>
    <row r="928" ht="14.25" customHeight="1">
      <c r="A928" s="500"/>
      <c r="B928" s="500"/>
      <c r="C928" s="500"/>
      <c r="D928" s="500"/>
      <c r="E928" s="500"/>
      <c r="F928" s="500"/>
      <c r="G928" s="500"/>
      <c r="H928" s="500"/>
      <c r="I928" s="500"/>
      <c r="J928" s="500"/>
      <c r="K928" s="500"/>
      <c r="L928" s="500"/>
      <c r="M928" s="500"/>
      <c r="N928" s="500"/>
      <c r="O928" s="500"/>
      <c r="P928" s="500"/>
      <c r="Q928" s="500"/>
      <c r="R928" s="500"/>
      <c r="S928" s="500"/>
      <c r="T928" s="500"/>
      <c r="U928" s="500"/>
      <c r="V928" s="500"/>
      <c r="W928" s="500"/>
      <c r="X928" s="500"/>
      <c r="Y928" s="500"/>
      <c r="Z928" s="501"/>
      <c r="AA928" s="501"/>
      <c r="AB928" s="501"/>
      <c r="AC928" s="501"/>
      <c r="AD928" s="500"/>
      <c r="AE928" s="500"/>
      <c r="AF928" s="503"/>
      <c r="AG928" s="503"/>
      <c r="AH928" s="504"/>
      <c r="AI928" s="500"/>
      <c r="AJ928" s="500"/>
      <c r="AK928" s="500"/>
      <c r="AL928" s="500"/>
      <c r="AM928" s="500"/>
      <c r="AN928" s="500"/>
      <c r="AO928" s="500"/>
      <c r="AP928" s="500"/>
      <c r="AQ928" s="500"/>
      <c r="AR928" s="500"/>
      <c r="AS928" s="500"/>
      <c r="AT928" s="500"/>
      <c r="AU928" s="500"/>
      <c r="AV928" s="500"/>
      <c r="AW928" s="500"/>
      <c r="AX928" s="500"/>
      <c r="AY928" s="500"/>
      <c r="AZ928" s="500"/>
      <c r="BA928" s="500"/>
      <c r="BB928" s="500"/>
      <c r="BC928" s="500"/>
      <c r="BD928" s="500"/>
      <c r="BE928" s="500"/>
      <c r="BF928" s="500"/>
      <c r="BG928" s="500"/>
      <c r="BH928" s="500"/>
      <c r="BI928" s="500"/>
      <c r="BJ928" s="500"/>
      <c r="BK928" s="500"/>
      <c r="BL928" s="500"/>
      <c r="BM928" s="500"/>
      <c r="BN928" s="500"/>
      <c r="BO928" s="500"/>
      <c r="BP928" s="500"/>
      <c r="BQ928" s="500"/>
      <c r="BR928" s="500"/>
      <c r="BS928" s="500"/>
      <c r="BT928" s="500"/>
      <c r="BU928" s="500"/>
      <c r="BV928" s="500"/>
    </row>
    <row r="929" ht="14.25" customHeight="1">
      <c r="A929" s="500"/>
      <c r="B929" s="500"/>
      <c r="C929" s="500"/>
      <c r="D929" s="500"/>
      <c r="E929" s="500"/>
      <c r="F929" s="500"/>
      <c r="G929" s="500"/>
      <c r="H929" s="500"/>
      <c r="I929" s="500"/>
      <c r="J929" s="500"/>
      <c r="K929" s="500"/>
      <c r="L929" s="500"/>
      <c r="M929" s="500"/>
      <c r="N929" s="500"/>
      <c r="O929" s="500"/>
      <c r="P929" s="500"/>
      <c r="Q929" s="500"/>
      <c r="R929" s="500"/>
      <c r="S929" s="500"/>
      <c r="T929" s="500"/>
      <c r="U929" s="500"/>
      <c r="V929" s="500"/>
      <c r="W929" s="500"/>
      <c r="X929" s="500"/>
      <c r="Y929" s="500"/>
      <c r="Z929" s="501"/>
      <c r="AA929" s="501"/>
      <c r="AB929" s="501"/>
      <c r="AC929" s="501"/>
      <c r="AD929" s="500"/>
      <c r="AE929" s="500"/>
      <c r="AF929" s="503"/>
      <c r="AG929" s="503"/>
      <c r="AH929" s="504"/>
      <c r="AI929" s="500"/>
      <c r="AJ929" s="500"/>
      <c r="AK929" s="500"/>
      <c r="AL929" s="500"/>
      <c r="AM929" s="500"/>
      <c r="AN929" s="500"/>
      <c r="AO929" s="500"/>
      <c r="AP929" s="500"/>
      <c r="AQ929" s="500"/>
      <c r="AR929" s="500"/>
      <c r="AS929" s="500"/>
      <c r="AT929" s="500"/>
      <c r="AU929" s="500"/>
      <c r="AV929" s="500"/>
      <c r="AW929" s="500"/>
      <c r="AX929" s="500"/>
      <c r="AY929" s="500"/>
      <c r="AZ929" s="500"/>
      <c r="BA929" s="500"/>
      <c r="BB929" s="500"/>
      <c r="BC929" s="500"/>
      <c r="BD929" s="500"/>
      <c r="BE929" s="500"/>
      <c r="BF929" s="500"/>
      <c r="BG929" s="500"/>
      <c r="BH929" s="500"/>
      <c r="BI929" s="500"/>
      <c r="BJ929" s="500"/>
      <c r="BK929" s="500"/>
      <c r="BL929" s="500"/>
      <c r="BM929" s="500"/>
      <c r="BN929" s="500"/>
      <c r="BO929" s="500"/>
      <c r="BP929" s="500"/>
      <c r="BQ929" s="500"/>
      <c r="BR929" s="500"/>
      <c r="BS929" s="500"/>
      <c r="BT929" s="500"/>
      <c r="BU929" s="500"/>
      <c r="BV929" s="500"/>
    </row>
    <row r="930" ht="14.25" customHeight="1">
      <c r="A930" s="500"/>
      <c r="B930" s="500"/>
      <c r="C930" s="500"/>
      <c r="D930" s="500"/>
      <c r="E930" s="500"/>
      <c r="F930" s="500"/>
      <c r="G930" s="500"/>
      <c r="H930" s="500"/>
      <c r="I930" s="500"/>
      <c r="J930" s="500"/>
      <c r="K930" s="500"/>
      <c r="L930" s="500"/>
      <c r="M930" s="500"/>
      <c r="N930" s="500"/>
      <c r="O930" s="500"/>
      <c r="P930" s="500"/>
      <c r="Q930" s="500"/>
      <c r="R930" s="500"/>
      <c r="S930" s="500"/>
      <c r="T930" s="500"/>
      <c r="U930" s="500"/>
      <c r="V930" s="500"/>
      <c r="W930" s="500"/>
      <c r="X930" s="500"/>
      <c r="Y930" s="500"/>
      <c r="Z930" s="501"/>
      <c r="AA930" s="501"/>
      <c r="AB930" s="501"/>
      <c r="AC930" s="501"/>
      <c r="AD930" s="500"/>
      <c r="AE930" s="500"/>
      <c r="AF930" s="503"/>
      <c r="AG930" s="503"/>
      <c r="AH930" s="504"/>
      <c r="AI930" s="500"/>
      <c r="AJ930" s="500"/>
      <c r="AK930" s="500"/>
      <c r="AL930" s="500"/>
      <c r="AM930" s="500"/>
      <c r="AN930" s="500"/>
      <c r="AO930" s="500"/>
      <c r="AP930" s="500"/>
      <c r="AQ930" s="500"/>
      <c r="AR930" s="500"/>
      <c r="AS930" s="500"/>
      <c r="AT930" s="500"/>
      <c r="AU930" s="500"/>
      <c r="AV930" s="500"/>
      <c r="AW930" s="500"/>
      <c r="AX930" s="500"/>
      <c r="AY930" s="500"/>
      <c r="AZ930" s="500"/>
      <c r="BA930" s="500"/>
      <c r="BB930" s="500"/>
      <c r="BC930" s="500"/>
      <c r="BD930" s="500"/>
      <c r="BE930" s="500"/>
      <c r="BF930" s="500"/>
      <c r="BG930" s="500"/>
      <c r="BH930" s="500"/>
      <c r="BI930" s="500"/>
      <c r="BJ930" s="500"/>
      <c r="BK930" s="500"/>
      <c r="BL930" s="500"/>
      <c r="BM930" s="500"/>
      <c r="BN930" s="500"/>
      <c r="BO930" s="500"/>
      <c r="BP930" s="500"/>
      <c r="BQ930" s="500"/>
      <c r="BR930" s="500"/>
      <c r="BS930" s="500"/>
      <c r="BT930" s="500"/>
      <c r="BU930" s="500"/>
      <c r="BV930" s="500"/>
    </row>
    <row r="931" ht="14.25" customHeight="1">
      <c r="A931" s="500"/>
      <c r="B931" s="500"/>
      <c r="C931" s="500"/>
      <c r="D931" s="500"/>
      <c r="E931" s="500"/>
      <c r="F931" s="500"/>
      <c r="G931" s="500"/>
      <c r="H931" s="500"/>
      <c r="I931" s="500"/>
      <c r="J931" s="500"/>
      <c r="K931" s="500"/>
      <c r="L931" s="500"/>
      <c r="M931" s="500"/>
      <c r="N931" s="500"/>
      <c r="O931" s="500"/>
      <c r="P931" s="500"/>
      <c r="Q931" s="500"/>
      <c r="R931" s="500"/>
      <c r="S931" s="500"/>
      <c r="T931" s="500"/>
      <c r="U931" s="500"/>
      <c r="V931" s="500"/>
      <c r="W931" s="500"/>
      <c r="X931" s="500"/>
      <c r="Y931" s="500"/>
      <c r="Z931" s="501"/>
      <c r="AA931" s="501"/>
      <c r="AB931" s="501"/>
      <c r="AC931" s="501"/>
      <c r="AD931" s="500"/>
      <c r="AE931" s="500"/>
      <c r="AF931" s="503"/>
      <c r="AG931" s="503"/>
      <c r="AH931" s="504"/>
      <c r="AI931" s="500"/>
      <c r="AJ931" s="500"/>
      <c r="AK931" s="500"/>
      <c r="AL931" s="500"/>
      <c r="AM931" s="500"/>
      <c r="AN931" s="500"/>
      <c r="AO931" s="500"/>
      <c r="AP931" s="500"/>
      <c r="AQ931" s="500"/>
      <c r="AR931" s="500"/>
      <c r="AS931" s="500"/>
      <c r="AT931" s="500"/>
      <c r="AU931" s="500"/>
      <c r="AV931" s="500"/>
      <c r="AW931" s="500"/>
      <c r="AX931" s="500"/>
      <c r="AY931" s="500"/>
      <c r="AZ931" s="500"/>
      <c r="BA931" s="500"/>
      <c r="BB931" s="500"/>
      <c r="BC931" s="500"/>
      <c r="BD931" s="500"/>
      <c r="BE931" s="500"/>
      <c r="BF931" s="500"/>
      <c r="BG931" s="500"/>
      <c r="BH931" s="500"/>
      <c r="BI931" s="500"/>
      <c r="BJ931" s="500"/>
      <c r="BK931" s="500"/>
      <c r="BL931" s="500"/>
      <c r="BM931" s="500"/>
      <c r="BN931" s="500"/>
      <c r="BO931" s="500"/>
      <c r="BP931" s="500"/>
      <c r="BQ931" s="500"/>
      <c r="BR931" s="500"/>
      <c r="BS931" s="500"/>
      <c r="BT931" s="500"/>
      <c r="BU931" s="500"/>
      <c r="BV931" s="500"/>
    </row>
    <row r="932" ht="14.25" customHeight="1">
      <c r="A932" s="500"/>
      <c r="B932" s="500"/>
      <c r="C932" s="500"/>
      <c r="D932" s="500"/>
      <c r="E932" s="500"/>
      <c r="F932" s="500"/>
      <c r="G932" s="500"/>
      <c r="H932" s="500"/>
      <c r="I932" s="500"/>
      <c r="J932" s="500"/>
      <c r="K932" s="500"/>
      <c r="L932" s="500"/>
      <c r="M932" s="500"/>
      <c r="N932" s="500"/>
      <c r="O932" s="500"/>
      <c r="P932" s="500"/>
      <c r="Q932" s="500"/>
      <c r="R932" s="500"/>
      <c r="S932" s="500"/>
      <c r="T932" s="500"/>
      <c r="U932" s="500"/>
      <c r="V932" s="500"/>
      <c r="W932" s="500"/>
      <c r="X932" s="500"/>
      <c r="Y932" s="500"/>
      <c r="Z932" s="501"/>
      <c r="AA932" s="501"/>
      <c r="AB932" s="501"/>
      <c r="AC932" s="501"/>
      <c r="AD932" s="500"/>
      <c r="AE932" s="500"/>
      <c r="AF932" s="503"/>
      <c r="AG932" s="503"/>
      <c r="AH932" s="504"/>
      <c r="AI932" s="500"/>
      <c r="AJ932" s="500"/>
      <c r="AK932" s="500"/>
      <c r="AL932" s="500"/>
      <c r="AM932" s="500"/>
      <c r="AN932" s="500"/>
      <c r="AO932" s="500"/>
      <c r="AP932" s="500"/>
      <c r="AQ932" s="500"/>
      <c r="AR932" s="500"/>
      <c r="AS932" s="500"/>
      <c r="AT932" s="500"/>
      <c r="AU932" s="500"/>
      <c r="AV932" s="500"/>
      <c r="AW932" s="500"/>
      <c r="AX932" s="500"/>
      <c r="AY932" s="500"/>
      <c r="AZ932" s="500"/>
      <c r="BA932" s="500"/>
      <c r="BB932" s="500"/>
      <c r="BC932" s="500"/>
      <c r="BD932" s="500"/>
      <c r="BE932" s="500"/>
      <c r="BF932" s="500"/>
      <c r="BG932" s="500"/>
      <c r="BH932" s="500"/>
      <c r="BI932" s="500"/>
      <c r="BJ932" s="500"/>
      <c r="BK932" s="500"/>
      <c r="BL932" s="500"/>
      <c r="BM932" s="500"/>
      <c r="BN932" s="500"/>
      <c r="BO932" s="500"/>
      <c r="BP932" s="500"/>
      <c r="BQ932" s="500"/>
      <c r="BR932" s="500"/>
      <c r="BS932" s="500"/>
      <c r="BT932" s="500"/>
      <c r="BU932" s="500"/>
      <c r="BV932" s="500"/>
    </row>
    <row r="933" ht="14.25" customHeight="1">
      <c r="A933" s="500"/>
      <c r="B933" s="500"/>
      <c r="C933" s="500"/>
      <c r="D933" s="500"/>
      <c r="E933" s="500"/>
      <c r="F933" s="500"/>
      <c r="G933" s="500"/>
      <c r="H933" s="500"/>
      <c r="I933" s="500"/>
      <c r="J933" s="500"/>
      <c r="K933" s="500"/>
      <c r="L933" s="500"/>
      <c r="M933" s="500"/>
      <c r="N933" s="500"/>
      <c r="O933" s="500"/>
      <c r="P933" s="500"/>
      <c r="Q933" s="500"/>
      <c r="R933" s="500"/>
      <c r="S933" s="500"/>
      <c r="T933" s="500"/>
      <c r="U933" s="500"/>
      <c r="V933" s="500"/>
      <c r="W933" s="500"/>
      <c r="X933" s="500"/>
      <c r="Y933" s="500"/>
      <c r="Z933" s="501"/>
      <c r="AA933" s="501"/>
      <c r="AB933" s="501"/>
      <c r="AC933" s="501"/>
      <c r="AD933" s="500"/>
      <c r="AE933" s="500"/>
      <c r="AF933" s="503"/>
      <c r="AG933" s="503"/>
      <c r="AH933" s="504"/>
      <c r="AI933" s="500"/>
      <c r="AJ933" s="500"/>
      <c r="AK933" s="500"/>
      <c r="AL933" s="500"/>
      <c r="AM933" s="500"/>
      <c r="AN933" s="500"/>
      <c r="AO933" s="500"/>
      <c r="AP933" s="500"/>
      <c r="AQ933" s="500"/>
      <c r="AR933" s="500"/>
      <c r="AS933" s="500"/>
      <c r="AT933" s="500"/>
      <c r="AU933" s="500"/>
      <c r="AV933" s="500"/>
      <c r="AW933" s="500"/>
      <c r="AX933" s="500"/>
      <c r="AY933" s="500"/>
      <c r="AZ933" s="500"/>
      <c r="BA933" s="500"/>
      <c r="BB933" s="500"/>
      <c r="BC933" s="500"/>
      <c r="BD933" s="500"/>
      <c r="BE933" s="500"/>
      <c r="BF933" s="500"/>
      <c r="BG933" s="500"/>
      <c r="BH933" s="500"/>
      <c r="BI933" s="500"/>
      <c r="BJ933" s="500"/>
      <c r="BK933" s="500"/>
      <c r="BL933" s="500"/>
      <c r="BM933" s="500"/>
      <c r="BN933" s="500"/>
      <c r="BO933" s="500"/>
      <c r="BP933" s="500"/>
      <c r="BQ933" s="500"/>
      <c r="BR933" s="500"/>
      <c r="BS933" s="500"/>
      <c r="BT933" s="500"/>
      <c r="BU933" s="500"/>
      <c r="BV933" s="500"/>
    </row>
    <row r="934" ht="14.25" customHeight="1">
      <c r="A934" s="500"/>
      <c r="B934" s="500"/>
      <c r="C934" s="500"/>
      <c r="D934" s="500"/>
      <c r="E934" s="500"/>
      <c r="F934" s="500"/>
      <c r="G934" s="500"/>
      <c r="H934" s="500"/>
      <c r="I934" s="500"/>
      <c r="J934" s="500"/>
      <c r="K934" s="500"/>
      <c r="L934" s="500"/>
      <c r="M934" s="500"/>
      <c r="N934" s="500"/>
      <c r="O934" s="500"/>
      <c r="P934" s="500"/>
      <c r="Q934" s="500"/>
      <c r="R934" s="500"/>
      <c r="S934" s="500"/>
      <c r="T934" s="500"/>
      <c r="U934" s="500"/>
      <c r="V934" s="500"/>
      <c r="W934" s="500"/>
      <c r="X934" s="500"/>
      <c r="Y934" s="500"/>
      <c r="Z934" s="501"/>
      <c r="AA934" s="501"/>
      <c r="AB934" s="501"/>
      <c r="AC934" s="501"/>
      <c r="AD934" s="500"/>
      <c r="AE934" s="500"/>
      <c r="AF934" s="503"/>
      <c r="AG934" s="503"/>
      <c r="AH934" s="504"/>
      <c r="AI934" s="500"/>
      <c r="AJ934" s="500"/>
      <c r="AK934" s="500"/>
      <c r="AL934" s="500"/>
      <c r="AM934" s="500"/>
      <c r="AN934" s="500"/>
      <c r="AO934" s="500"/>
      <c r="AP934" s="500"/>
      <c r="AQ934" s="500"/>
      <c r="AR934" s="500"/>
      <c r="AS934" s="500"/>
      <c r="AT934" s="500"/>
      <c r="AU934" s="500"/>
      <c r="AV934" s="500"/>
      <c r="AW934" s="500"/>
      <c r="AX934" s="500"/>
      <c r="AY934" s="500"/>
      <c r="AZ934" s="500"/>
      <c r="BA934" s="500"/>
      <c r="BB934" s="500"/>
      <c r="BC934" s="500"/>
      <c r="BD934" s="500"/>
      <c r="BE934" s="500"/>
      <c r="BF934" s="500"/>
      <c r="BG934" s="500"/>
      <c r="BH934" s="500"/>
      <c r="BI934" s="500"/>
      <c r="BJ934" s="500"/>
      <c r="BK934" s="500"/>
      <c r="BL934" s="500"/>
      <c r="BM934" s="500"/>
      <c r="BN934" s="500"/>
      <c r="BO934" s="500"/>
      <c r="BP934" s="500"/>
      <c r="BQ934" s="500"/>
      <c r="BR934" s="500"/>
      <c r="BS934" s="500"/>
      <c r="BT934" s="500"/>
      <c r="BU934" s="500"/>
      <c r="BV934" s="500"/>
    </row>
    <row r="935" ht="14.25" customHeight="1">
      <c r="A935" s="500"/>
      <c r="B935" s="500"/>
      <c r="C935" s="500"/>
      <c r="D935" s="500"/>
      <c r="E935" s="500"/>
      <c r="F935" s="500"/>
      <c r="G935" s="500"/>
      <c r="H935" s="500"/>
      <c r="I935" s="500"/>
      <c r="J935" s="500"/>
      <c r="K935" s="500"/>
      <c r="L935" s="500"/>
      <c r="M935" s="500"/>
      <c r="N935" s="500"/>
      <c r="O935" s="500"/>
      <c r="P935" s="500"/>
      <c r="Q935" s="500"/>
      <c r="R935" s="500"/>
      <c r="S935" s="500"/>
      <c r="T935" s="500"/>
      <c r="U935" s="500"/>
      <c r="V935" s="500"/>
      <c r="W935" s="500"/>
      <c r="X935" s="500"/>
      <c r="Y935" s="500"/>
      <c r="Z935" s="501"/>
      <c r="AA935" s="501"/>
      <c r="AB935" s="501"/>
      <c r="AC935" s="501"/>
      <c r="AD935" s="500"/>
      <c r="AE935" s="500"/>
      <c r="AF935" s="503"/>
      <c r="AG935" s="503"/>
      <c r="AH935" s="504"/>
      <c r="AI935" s="500"/>
      <c r="AJ935" s="500"/>
      <c r="AK935" s="500"/>
      <c r="AL935" s="500"/>
      <c r="AM935" s="500"/>
      <c r="AN935" s="500"/>
      <c r="AO935" s="500"/>
      <c r="AP935" s="500"/>
      <c r="AQ935" s="500"/>
      <c r="AR935" s="500"/>
      <c r="AS935" s="500"/>
      <c r="AT935" s="500"/>
      <c r="AU935" s="500"/>
      <c r="AV935" s="500"/>
      <c r="AW935" s="500"/>
      <c r="AX935" s="500"/>
      <c r="AY935" s="500"/>
      <c r="AZ935" s="500"/>
      <c r="BA935" s="500"/>
      <c r="BB935" s="500"/>
      <c r="BC935" s="500"/>
      <c r="BD935" s="500"/>
      <c r="BE935" s="500"/>
      <c r="BF935" s="500"/>
      <c r="BG935" s="500"/>
      <c r="BH935" s="500"/>
      <c r="BI935" s="500"/>
      <c r="BJ935" s="500"/>
      <c r="BK935" s="500"/>
      <c r="BL935" s="500"/>
      <c r="BM935" s="500"/>
      <c r="BN935" s="500"/>
      <c r="BO935" s="500"/>
      <c r="BP935" s="500"/>
      <c r="BQ935" s="500"/>
      <c r="BR935" s="500"/>
      <c r="BS935" s="500"/>
      <c r="BT935" s="500"/>
      <c r="BU935" s="500"/>
      <c r="BV935" s="500"/>
    </row>
    <row r="936" ht="14.25" customHeight="1">
      <c r="A936" s="500"/>
      <c r="B936" s="500"/>
      <c r="C936" s="500"/>
      <c r="D936" s="500"/>
      <c r="E936" s="500"/>
      <c r="F936" s="500"/>
      <c r="G936" s="500"/>
      <c r="H936" s="500"/>
      <c r="I936" s="500"/>
      <c r="J936" s="500"/>
      <c r="K936" s="500"/>
      <c r="L936" s="500"/>
      <c r="M936" s="500"/>
      <c r="N936" s="500"/>
      <c r="O936" s="500"/>
      <c r="P936" s="500"/>
      <c r="Q936" s="500"/>
      <c r="R936" s="500"/>
      <c r="S936" s="500"/>
      <c r="T936" s="500"/>
      <c r="U936" s="500"/>
      <c r="V936" s="500"/>
      <c r="W936" s="500"/>
      <c r="X936" s="500"/>
      <c r="Y936" s="500"/>
      <c r="Z936" s="501"/>
      <c r="AA936" s="501"/>
      <c r="AB936" s="501"/>
      <c r="AC936" s="501"/>
      <c r="AD936" s="500"/>
      <c r="AE936" s="500"/>
      <c r="AF936" s="503"/>
      <c r="AG936" s="503"/>
      <c r="AH936" s="504"/>
      <c r="AI936" s="500"/>
      <c r="AJ936" s="500"/>
      <c r="AK936" s="500"/>
      <c r="AL936" s="500"/>
      <c r="AM936" s="500"/>
      <c r="AN936" s="500"/>
      <c r="AO936" s="500"/>
      <c r="AP936" s="500"/>
      <c r="AQ936" s="500"/>
      <c r="AR936" s="500"/>
      <c r="AS936" s="500"/>
      <c r="AT936" s="500"/>
      <c r="AU936" s="500"/>
      <c r="AV936" s="500"/>
      <c r="AW936" s="500"/>
      <c r="AX936" s="500"/>
      <c r="AY936" s="500"/>
      <c r="AZ936" s="500"/>
      <c r="BA936" s="500"/>
      <c r="BB936" s="500"/>
      <c r="BC936" s="500"/>
      <c r="BD936" s="500"/>
      <c r="BE936" s="500"/>
      <c r="BF936" s="500"/>
      <c r="BG936" s="500"/>
      <c r="BH936" s="500"/>
      <c r="BI936" s="500"/>
      <c r="BJ936" s="500"/>
      <c r="BK936" s="500"/>
      <c r="BL936" s="500"/>
      <c r="BM936" s="500"/>
      <c r="BN936" s="500"/>
      <c r="BO936" s="500"/>
      <c r="BP936" s="500"/>
      <c r="BQ936" s="500"/>
      <c r="BR936" s="500"/>
      <c r="BS936" s="500"/>
      <c r="BT936" s="500"/>
      <c r="BU936" s="500"/>
      <c r="BV936" s="500"/>
    </row>
    <row r="937" ht="14.25" customHeight="1">
      <c r="A937" s="500"/>
      <c r="B937" s="500"/>
      <c r="C937" s="500"/>
      <c r="D937" s="500"/>
      <c r="E937" s="500"/>
      <c r="F937" s="500"/>
      <c r="G937" s="500"/>
      <c r="H937" s="500"/>
      <c r="I937" s="500"/>
      <c r="J937" s="500"/>
      <c r="K937" s="500"/>
      <c r="L937" s="500"/>
      <c r="M937" s="500"/>
      <c r="N937" s="500"/>
      <c r="O937" s="500"/>
      <c r="P937" s="500"/>
      <c r="Q937" s="500"/>
      <c r="R937" s="500"/>
      <c r="S937" s="500"/>
      <c r="T937" s="500"/>
      <c r="U937" s="500"/>
      <c r="V937" s="500"/>
      <c r="W937" s="500"/>
      <c r="X937" s="500"/>
      <c r="Y937" s="500"/>
      <c r="Z937" s="501"/>
      <c r="AA937" s="501"/>
      <c r="AB937" s="501"/>
      <c r="AC937" s="501"/>
      <c r="AD937" s="500"/>
      <c r="AE937" s="500"/>
      <c r="AF937" s="503"/>
      <c r="AG937" s="503"/>
      <c r="AH937" s="504"/>
      <c r="AI937" s="500"/>
      <c r="AJ937" s="500"/>
      <c r="AK937" s="500"/>
      <c r="AL937" s="500"/>
      <c r="AM937" s="500"/>
      <c r="AN937" s="500"/>
      <c r="AO937" s="500"/>
      <c r="AP937" s="500"/>
      <c r="AQ937" s="500"/>
      <c r="AR937" s="500"/>
      <c r="AS937" s="500"/>
      <c r="AT937" s="500"/>
      <c r="AU937" s="500"/>
      <c r="AV937" s="500"/>
      <c r="AW937" s="500"/>
      <c r="AX937" s="500"/>
      <c r="AY937" s="500"/>
      <c r="AZ937" s="500"/>
      <c r="BA937" s="500"/>
      <c r="BB937" s="500"/>
      <c r="BC937" s="500"/>
      <c r="BD937" s="500"/>
      <c r="BE937" s="500"/>
      <c r="BF937" s="500"/>
      <c r="BG937" s="500"/>
      <c r="BH937" s="500"/>
      <c r="BI937" s="500"/>
      <c r="BJ937" s="500"/>
      <c r="BK937" s="500"/>
      <c r="BL937" s="500"/>
      <c r="BM937" s="500"/>
      <c r="BN937" s="500"/>
      <c r="BO937" s="500"/>
      <c r="BP937" s="500"/>
      <c r="BQ937" s="500"/>
      <c r="BR937" s="500"/>
      <c r="BS937" s="500"/>
      <c r="BT937" s="500"/>
      <c r="BU937" s="500"/>
      <c r="BV937" s="500"/>
    </row>
    <row r="938" ht="14.25" customHeight="1">
      <c r="A938" s="500"/>
      <c r="B938" s="500"/>
      <c r="C938" s="500"/>
      <c r="D938" s="500"/>
      <c r="E938" s="500"/>
      <c r="F938" s="500"/>
      <c r="G938" s="500"/>
      <c r="H938" s="500"/>
      <c r="I938" s="500"/>
      <c r="J938" s="500"/>
      <c r="K938" s="500"/>
      <c r="L938" s="500"/>
      <c r="M938" s="500"/>
      <c r="N938" s="500"/>
      <c r="O938" s="500"/>
      <c r="P938" s="500"/>
      <c r="Q938" s="500"/>
      <c r="R938" s="500"/>
      <c r="S938" s="500"/>
      <c r="T938" s="500"/>
      <c r="U938" s="500"/>
      <c r="V938" s="500"/>
      <c r="W938" s="500"/>
      <c r="X938" s="500"/>
      <c r="Y938" s="500"/>
      <c r="Z938" s="501"/>
      <c r="AA938" s="501"/>
      <c r="AB938" s="501"/>
      <c r="AC938" s="501"/>
      <c r="AD938" s="500"/>
      <c r="AE938" s="500"/>
      <c r="AF938" s="503"/>
      <c r="AG938" s="503"/>
      <c r="AH938" s="504"/>
      <c r="AI938" s="500"/>
      <c r="AJ938" s="500"/>
      <c r="AK938" s="500"/>
      <c r="AL938" s="500"/>
      <c r="AM938" s="500"/>
      <c r="AN938" s="500"/>
      <c r="AO938" s="500"/>
      <c r="AP938" s="500"/>
      <c r="AQ938" s="500"/>
      <c r="AR938" s="500"/>
      <c r="AS938" s="500"/>
      <c r="AT938" s="500"/>
      <c r="AU938" s="500"/>
      <c r="AV938" s="500"/>
      <c r="AW938" s="500"/>
      <c r="AX938" s="500"/>
      <c r="AY938" s="500"/>
      <c r="AZ938" s="500"/>
      <c r="BA938" s="500"/>
      <c r="BB938" s="500"/>
      <c r="BC938" s="500"/>
      <c r="BD938" s="500"/>
      <c r="BE938" s="500"/>
      <c r="BF938" s="500"/>
      <c r="BG938" s="500"/>
      <c r="BH938" s="500"/>
      <c r="BI938" s="500"/>
      <c r="BJ938" s="500"/>
      <c r="BK938" s="500"/>
      <c r="BL938" s="500"/>
      <c r="BM938" s="500"/>
      <c r="BN938" s="500"/>
      <c r="BO938" s="500"/>
      <c r="BP938" s="500"/>
      <c r="BQ938" s="500"/>
      <c r="BR938" s="500"/>
      <c r="BS938" s="500"/>
      <c r="BT938" s="500"/>
      <c r="BU938" s="500"/>
      <c r="BV938" s="500"/>
    </row>
    <row r="939" ht="14.25" customHeight="1">
      <c r="A939" s="500"/>
      <c r="B939" s="500"/>
      <c r="C939" s="500"/>
      <c r="D939" s="500"/>
      <c r="E939" s="500"/>
      <c r="F939" s="500"/>
      <c r="G939" s="500"/>
      <c r="H939" s="500"/>
      <c r="I939" s="500"/>
      <c r="J939" s="500"/>
      <c r="K939" s="500"/>
      <c r="L939" s="500"/>
      <c r="M939" s="500"/>
      <c r="N939" s="500"/>
      <c r="O939" s="500"/>
      <c r="P939" s="500"/>
      <c r="Q939" s="500"/>
      <c r="R939" s="500"/>
      <c r="S939" s="500"/>
      <c r="T939" s="500"/>
      <c r="U939" s="500"/>
      <c r="V939" s="500"/>
      <c r="W939" s="500"/>
      <c r="X939" s="500"/>
      <c r="Y939" s="500"/>
      <c r="Z939" s="501"/>
      <c r="AA939" s="501"/>
      <c r="AB939" s="501"/>
      <c r="AC939" s="501"/>
      <c r="AD939" s="500"/>
      <c r="AE939" s="500"/>
      <c r="AF939" s="503"/>
      <c r="AG939" s="503"/>
      <c r="AH939" s="504"/>
      <c r="AI939" s="500"/>
      <c r="AJ939" s="500"/>
      <c r="AK939" s="500"/>
      <c r="AL939" s="500"/>
      <c r="AM939" s="500"/>
      <c r="AN939" s="500"/>
      <c r="AO939" s="500"/>
      <c r="AP939" s="500"/>
      <c r="AQ939" s="500"/>
      <c r="AR939" s="500"/>
      <c r="AS939" s="500"/>
      <c r="AT939" s="500"/>
      <c r="AU939" s="500"/>
      <c r="AV939" s="500"/>
      <c r="AW939" s="500"/>
      <c r="AX939" s="500"/>
      <c r="AY939" s="500"/>
      <c r="AZ939" s="500"/>
      <c r="BA939" s="500"/>
      <c r="BB939" s="500"/>
      <c r="BC939" s="500"/>
      <c r="BD939" s="500"/>
      <c r="BE939" s="500"/>
      <c r="BF939" s="500"/>
      <c r="BG939" s="500"/>
      <c r="BH939" s="500"/>
      <c r="BI939" s="500"/>
      <c r="BJ939" s="500"/>
      <c r="BK939" s="500"/>
      <c r="BL939" s="500"/>
      <c r="BM939" s="500"/>
      <c r="BN939" s="500"/>
      <c r="BO939" s="500"/>
      <c r="BP939" s="500"/>
      <c r="BQ939" s="500"/>
      <c r="BR939" s="500"/>
      <c r="BS939" s="500"/>
      <c r="BT939" s="500"/>
      <c r="BU939" s="500"/>
      <c r="BV939" s="500"/>
    </row>
    <row r="940" ht="14.25" customHeight="1">
      <c r="A940" s="500"/>
      <c r="B940" s="500"/>
      <c r="C940" s="500"/>
      <c r="D940" s="500"/>
      <c r="E940" s="500"/>
      <c r="F940" s="500"/>
      <c r="G940" s="500"/>
      <c r="H940" s="500"/>
      <c r="I940" s="500"/>
      <c r="J940" s="500"/>
      <c r="K940" s="500"/>
      <c r="L940" s="500"/>
      <c r="M940" s="500"/>
      <c r="N940" s="500"/>
      <c r="O940" s="500"/>
      <c r="P940" s="500"/>
      <c r="Q940" s="500"/>
      <c r="R940" s="500"/>
      <c r="S940" s="500"/>
      <c r="T940" s="500"/>
      <c r="U940" s="500"/>
      <c r="V940" s="500"/>
      <c r="W940" s="500"/>
      <c r="X940" s="500"/>
      <c r="Y940" s="500"/>
      <c r="Z940" s="501"/>
      <c r="AA940" s="501"/>
      <c r="AB940" s="501"/>
      <c r="AC940" s="501"/>
      <c r="AD940" s="500"/>
      <c r="AE940" s="500"/>
      <c r="AF940" s="503"/>
      <c r="AG940" s="503"/>
      <c r="AH940" s="504"/>
      <c r="AI940" s="500"/>
      <c r="AJ940" s="500"/>
      <c r="AK940" s="500"/>
      <c r="AL940" s="500"/>
      <c r="AM940" s="500"/>
      <c r="AN940" s="500"/>
      <c r="AO940" s="500"/>
      <c r="AP940" s="500"/>
      <c r="AQ940" s="500"/>
      <c r="AR940" s="500"/>
      <c r="AS940" s="500"/>
      <c r="AT940" s="500"/>
      <c r="AU940" s="500"/>
      <c r="AV940" s="500"/>
      <c r="AW940" s="500"/>
      <c r="AX940" s="500"/>
      <c r="AY940" s="500"/>
      <c r="AZ940" s="500"/>
      <c r="BA940" s="500"/>
      <c r="BB940" s="500"/>
      <c r="BC940" s="500"/>
      <c r="BD940" s="500"/>
      <c r="BE940" s="500"/>
      <c r="BF940" s="500"/>
      <c r="BG940" s="500"/>
      <c r="BH940" s="500"/>
      <c r="BI940" s="500"/>
      <c r="BJ940" s="500"/>
      <c r="BK940" s="500"/>
      <c r="BL940" s="500"/>
      <c r="BM940" s="500"/>
      <c r="BN940" s="500"/>
      <c r="BO940" s="500"/>
      <c r="BP940" s="500"/>
      <c r="BQ940" s="500"/>
      <c r="BR940" s="500"/>
      <c r="BS940" s="500"/>
      <c r="BT940" s="500"/>
      <c r="BU940" s="500"/>
      <c r="BV940" s="500"/>
    </row>
    <row r="941" ht="14.25" customHeight="1">
      <c r="A941" s="500"/>
      <c r="B941" s="500"/>
      <c r="C941" s="500"/>
      <c r="D941" s="500"/>
      <c r="E941" s="500"/>
      <c r="F941" s="500"/>
      <c r="G941" s="500"/>
      <c r="H941" s="500"/>
      <c r="I941" s="500"/>
      <c r="J941" s="500"/>
      <c r="K941" s="500"/>
      <c r="L941" s="500"/>
      <c r="M941" s="500"/>
      <c r="N941" s="500"/>
      <c r="O941" s="500"/>
      <c r="P941" s="500"/>
      <c r="Q941" s="500"/>
      <c r="R941" s="500"/>
      <c r="S941" s="500"/>
      <c r="T941" s="500"/>
      <c r="U941" s="500"/>
      <c r="V941" s="500"/>
      <c r="W941" s="500"/>
      <c r="X941" s="500"/>
      <c r="Y941" s="500"/>
      <c r="Z941" s="501"/>
      <c r="AA941" s="501"/>
      <c r="AB941" s="501"/>
      <c r="AC941" s="501"/>
      <c r="AD941" s="500"/>
      <c r="AE941" s="500"/>
      <c r="AF941" s="503"/>
      <c r="AG941" s="503"/>
      <c r="AH941" s="504"/>
      <c r="AI941" s="500"/>
      <c r="AJ941" s="500"/>
      <c r="AK941" s="500"/>
      <c r="AL941" s="500"/>
      <c r="AM941" s="500"/>
      <c r="AN941" s="500"/>
      <c r="AO941" s="500"/>
      <c r="AP941" s="500"/>
      <c r="AQ941" s="500"/>
      <c r="AR941" s="500"/>
      <c r="AS941" s="500"/>
      <c r="AT941" s="500"/>
      <c r="AU941" s="500"/>
      <c r="AV941" s="500"/>
      <c r="AW941" s="500"/>
      <c r="AX941" s="500"/>
      <c r="AY941" s="500"/>
      <c r="AZ941" s="500"/>
      <c r="BA941" s="500"/>
      <c r="BB941" s="500"/>
      <c r="BC941" s="500"/>
      <c r="BD941" s="500"/>
      <c r="BE941" s="500"/>
      <c r="BF941" s="500"/>
      <c r="BG941" s="500"/>
      <c r="BH941" s="500"/>
      <c r="BI941" s="500"/>
      <c r="BJ941" s="500"/>
      <c r="BK941" s="500"/>
      <c r="BL941" s="500"/>
      <c r="BM941" s="500"/>
      <c r="BN941" s="500"/>
      <c r="BO941" s="500"/>
      <c r="BP941" s="500"/>
      <c r="BQ941" s="500"/>
      <c r="BR941" s="500"/>
      <c r="BS941" s="500"/>
      <c r="BT941" s="500"/>
      <c r="BU941" s="500"/>
      <c r="BV941" s="500"/>
    </row>
    <row r="942" ht="14.25" customHeight="1">
      <c r="A942" s="500"/>
      <c r="B942" s="500"/>
      <c r="C942" s="500"/>
      <c r="D942" s="500"/>
      <c r="E942" s="500"/>
      <c r="F942" s="500"/>
      <c r="G942" s="500"/>
      <c r="H942" s="500"/>
      <c r="I942" s="500"/>
      <c r="J942" s="500"/>
      <c r="K942" s="500"/>
      <c r="L942" s="500"/>
      <c r="M942" s="500"/>
      <c r="N942" s="500"/>
      <c r="O942" s="500"/>
      <c r="P942" s="500"/>
      <c r="Q942" s="500"/>
      <c r="R942" s="500"/>
      <c r="S942" s="500"/>
      <c r="T942" s="500"/>
      <c r="U942" s="500"/>
      <c r="V942" s="500"/>
      <c r="W942" s="500"/>
      <c r="X942" s="500"/>
      <c r="Y942" s="500"/>
      <c r="Z942" s="501"/>
      <c r="AA942" s="501"/>
      <c r="AB942" s="501"/>
      <c r="AC942" s="501"/>
      <c r="AD942" s="500"/>
      <c r="AE942" s="500"/>
      <c r="AF942" s="503"/>
      <c r="AG942" s="503"/>
      <c r="AH942" s="504"/>
      <c r="AI942" s="500"/>
      <c r="AJ942" s="500"/>
      <c r="AK942" s="500"/>
      <c r="AL942" s="500"/>
      <c r="AM942" s="500"/>
      <c r="AN942" s="500"/>
      <c r="AO942" s="500"/>
      <c r="AP942" s="500"/>
      <c r="AQ942" s="500"/>
      <c r="AR942" s="500"/>
      <c r="AS942" s="500"/>
      <c r="AT942" s="500"/>
      <c r="AU942" s="500"/>
      <c r="AV942" s="500"/>
      <c r="AW942" s="500"/>
      <c r="AX942" s="500"/>
      <c r="AY942" s="500"/>
      <c r="AZ942" s="500"/>
      <c r="BA942" s="500"/>
      <c r="BB942" s="500"/>
      <c r="BC942" s="500"/>
      <c r="BD942" s="500"/>
      <c r="BE942" s="500"/>
      <c r="BF942" s="500"/>
      <c r="BG942" s="500"/>
      <c r="BH942" s="500"/>
      <c r="BI942" s="500"/>
      <c r="BJ942" s="500"/>
      <c r="BK942" s="500"/>
      <c r="BL942" s="500"/>
      <c r="BM942" s="500"/>
      <c r="BN942" s="500"/>
      <c r="BO942" s="500"/>
      <c r="BP942" s="500"/>
      <c r="BQ942" s="500"/>
      <c r="BR942" s="500"/>
      <c r="BS942" s="500"/>
      <c r="BT942" s="500"/>
      <c r="BU942" s="500"/>
      <c r="BV942" s="500"/>
    </row>
    <row r="943" ht="14.25" customHeight="1">
      <c r="A943" s="500"/>
      <c r="B943" s="500"/>
      <c r="C943" s="500"/>
      <c r="D943" s="500"/>
      <c r="E943" s="500"/>
      <c r="F943" s="500"/>
      <c r="G943" s="500"/>
      <c r="H943" s="500"/>
      <c r="I943" s="500"/>
      <c r="J943" s="500"/>
      <c r="K943" s="500"/>
      <c r="L943" s="500"/>
      <c r="M943" s="500"/>
      <c r="N943" s="500"/>
      <c r="O943" s="500"/>
      <c r="P943" s="500"/>
      <c r="Q943" s="500"/>
      <c r="R943" s="500"/>
      <c r="S943" s="500"/>
      <c r="T943" s="500"/>
      <c r="U943" s="500"/>
      <c r="V943" s="500"/>
      <c r="W943" s="500"/>
      <c r="X943" s="500"/>
      <c r="Y943" s="500"/>
      <c r="Z943" s="501"/>
      <c r="AA943" s="501"/>
      <c r="AB943" s="501"/>
      <c r="AC943" s="501"/>
      <c r="AD943" s="500"/>
      <c r="AE943" s="500"/>
      <c r="AF943" s="503"/>
      <c r="AG943" s="503"/>
      <c r="AH943" s="504"/>
      <c r="AI943" s="500"/>
      <c r="AJ943" s="500"/>
      <c r="AK943" s="500"/>
      <c r="AL943" s="500"/>
      <c r="AM943" s="500"/>
      <c r="AN943" s="500"/>
      <c r="AO943" s="500"/>
      <c r="AP943" s="500"/>
      <c r="AQ943" s="500"/>
      <c r="AR943" s="500"/>
      <c r="AS943" s="500"/>
      <c r="AT943" s="500"/>
      <c r="AU943" s="500"/>
      <c r="AV943" s="500"/>
      <c r="AW943" s="500"/>
      <c r="AX943" s="500"/>
      <c r="AY943" s="500"/>
      <c r="AZ943" s="500"/>
      <c r="BA943" s="500"/>
      <c r="BB943" s="500"/>
      <c r="BC943" s="500"/>
      <c r="BD943" s="500"/>
      <c r="BE943" s="500"/>
      <c r="BF943" s="500"/>
      <c r="BG943" s="500"/>
      <c r="BH943" s="500"/>
      <c r="BI943" s="500"/>
      <c r="BJ943" s="500"/>
      <c r="BK943" s="500"/>
      <c r="BL943" s="500"/>
      <c r="BM943" s="500"/>
      <c r="BN943" s="500"/>
      <c r="BO943" s="500"/>
      <c r="BP943" s="500"/>
      <c r="BQ943" s="500"/>
      <c r="BR943" s="500"/>
      <c r="BS943" s="500"/>
      <c r="BT943" s="500"/>
      <c r="BU943" s="500"/>
      <c r="BV943" s="500"/>
    </row>
    <row r="944" ht="14.25" customHeight="1">
      <c r="A944" s="500"/>
      <c r="B944" s="500"/>
      <c r="C944" s="500"/>
      <c r="D944" s="500"/>
      <c r="E944" s="500"/>
      <c r="F944" s="500"/>
      <c r="G944" s="500"/>
      <c r="H944" s="500"/>
      <c r="I944" s="500"/>
      <c r="J944" s="500"/>
      <c r="K944" s="500"/>
      <c r="L944" s="500"/>
      <c r="M944" s="500"/>
      <c r="N944" s="500"/>
      <c r="O944" s="500"/>
      <c r="P944" s="500"/>
      <c r="Q944" s="500"/>
      <c r="R944" s="500"/>
      <c r="S944" s="500"/>
      <c r="T944" s="500"/>
      <c r="U944" s="500"/>
      <c r="V944" s="500"/>
      <c r="W944" s="500"/>
      <c r="X944" s="500"/>
      <c r="Y944" s="500"/>
      <c r="Z944" s="501"/>
      <c r="AA944" s="501"/>
      <c r="AB944" s="501"/>
      <c r="AC944" s="501"/>
      <c r="AD944" s="500"/>
      <c r="AE944" s="500"/>
      <c r="AF944" s="503"/>
      <c r="AG944" s="503"/>
      <c r="AH944" s="504"/>
      <c r="AI944" s="500"/>
      <c r="AJ944" s="500"/>
      <c r="AK944" s="500"/>
      <c r="AL944" s="500"/>
      <c r="AM944" s="500"/>
      <c r="AN944" s="500"/>
      <c r="AO944" s="500"/>
      <c r="AP944" s="500"/>
      <c r="AQ944" s="500"/>
      <c r="AR944" s="500"/>
      <c r="AS944" s="500"/>
      <c r="AT944" s="500"/>
      <c r="AU944" s="500"/>
      <c r="AV944" s="500"/>
      <c r="AW944" s="500"/>
      <c r="AX944" s="500"/>
      <c r="AY944" s="500"/>
      <c r="AZ944" s="500"/>
      <c r="BA944" s="500"/>
      <c r="BB944" s="500"/>
      <c r="BC944" s="500"/>
      <c r="BD944" s="500"/>
      <c r="BE944" s="500"/>
      <c r="BF944" s="500"/>
      <c r="BG944" s="500"/>
      <c r="BH944" s="500"/>
      <c r="BI944" s="500"/>
      <c r="BJ944" s="500"/>
      <c r="BK944" s="500"/>
      <c r="BL944" s="500"/>
      <c r="BM944" s="500"/>
      <c r="BN944" s="500"/>
      <c r="BO944" s="500"/>
      <c r="BP944" s="500"/>
      <c r="BQ944" s="500"/>
      <c r="BR944" s="500"/>
      <c r="BS944" s="500"/>
      <c r="BT944" s="500"/>
      <c r="BU944" s="500"/>
      <c r="BV944" s="500"/>
    </row>
    <row r="945" ht="14.25" customHeight="1">
      <c r="A945" s="500"/>
      <c r="B945" s="500"/>
      <c r="C945" s="500"/>
      <c r="D945" s="500"/>
      <c r="E945" s="500"/>
      <c r="F945" s="500"/>
      <c r="G945" s="500"/>
      <c r="H945" s="500"/>
      <c r="I945" s="500"/>
      <c r="J945" s="500"/>
      <c r="K945" s="500"/>
      <c r="L945" s="500"/>
      <c r="M945" s="500"/>
      <c r="N945" s="500"/>
      <c r="O945" s="500"/>
      <c r="P945" s="500"/>
      <c r="Q945" s="500"/>
      <c r="R945" s="500"/>
      <c r="S945" s="500"/>
      <c r="T945" s="500"/>
      <c r="U945" s="500"/>
      <c r="V945" s="500"/>
      <c r="W945" s="500"/>
      <c r="X945" s="500"/>
      <c r="Y945" s="500"/>
      <c r="Z945" s="501"/>
      <c r="AA945" s="501"/>
      <c r="AB945" s="501"/>
      <c r="AC945" s="501"/>
      <c r="AD945" s="500"/>
      <c r="AE945" s="500"/>
      <c r="AF945" s="503"/>
      <c r="AG945" s="503"/>
      <c r="AH945" s="504"/>
      <c r="AI945" s="500"/>
      <c r="AJ945" s="500"/>
      <c r="AK945" s="500"/>
      <c r="AL945" s="500"/>
      <c r="AM945" s="500"/>
      <c r="AN945" s="500"/>
      <c r="AO945" s="500"/>
      <c r="AP945" s="500"/>
      <c r="AQ945" s="500"/>
      <c r="AR945" s="500"/>
      <c r="AS945" s="500"/>
      <c r="AT945" s="500"/>
      <c r="AU945" s="500"/>
      <c r="AV945" s="500"/>
      <c r="AW945" s="500"/>
      <c r="AX945" s="500"/>
      <c r="AY945" s="500"/>
      <c r="AZ945" s="500"/>
      <c r="BA945" s="500"/>
      <c r="BB945" s="500"/>
      <c r="BC945" s="500"/>
      <c r="BD945" s="500"/>
      <c r="BE945" s="500"/>
      <c r="BF945" s="500"/>
      <c r="BG945" s="500"/>
      <c r="BH945" s="500"/>
      <c r="BI945" s="500"/>
      <c r="BJ945" s="500"/>
      <c r="BK945" s="500"/>
      <c r="BL945" s="500"/>
      <c r="BM945" s="500"/>
      <c r="BN945" s="500"/>
      <c r="BO945" s="500"/>
      <c r="BP945" s="500"/>
      <c r="BQ945" s="500"/>
      <c r="BR945" s="500"/>
      <c r="BS945" s="500"/>
      <c r="BT945" s="500"/>
      <c r="BU945" s="500"/>
      <c r="BV945" s="500"/>
    </row>
    <row r="946" ht="14.25" customHeight="1">
      <c r="A946" s="500"/>
      <c r="B946" s="500"/>
      <c r="C946" s="500"/>
      <c r="D946" s="500"/>
      <c r="E946" s="500"/>
      <c r="F946" s="500"/>
      <c r="G946" s="500"/>
      <c r="H946" s="500"/>
      <c r="I946" s="500"/>
      <c r="J946" s="500"/>
      <c r="K946" s="500"/>
      <c r="L946" s="500"/>
      <c r="M946" s="500"/>
      <c r="N946" s="500"/>
      <c r="O946" s="500"/>
      <c r="P946" s="500"/>
      <c r="Q946" s="500"/>
      <c r="R946" s="500"/>
      <c r="S946" s="500"/>
      <c r="T946" s="500"/>
      <c r="U946" s="500"/>
      <c r="V946" s="500"/>
      <c r="W946" s="500"/>
      <c r="X946" s="500"/>
      <c r="Y946" s="500"/>
      <c r="Z946" s="501"/>
      <c r="AA946" s="501"/>
      <c r="AB946" s="501"/>
      <c r="AC946" s="501"/>
      <c r="AD946" s="500"/>
      <c r="AE946" s="500"/>
      <c r="AF946" s="503"/>
      <c r="AG946" s="503"/>
      <c r="AH946" s="504"/>
      <c r="AI946" s="500"/>
      <c r="AJ946" s="500"/>
      <c r="AK946" s="500"/>
      <c r="AL946" s="500"/>
      <c r="AM946" s="500"/>
      <c r="AN946" s="500"/>
      <c r="AO946" s="500"/>
      <c r="AP946" s="500"/>
      <c r="AQ946" s="500"/>
      <c r="AR946" s="500"/>
      <c r="AS946" s="500"/>
      <c r="AT946" s="500"/>
      <c r="AU946" s="500"/>
      <c r="AV946" s="500"/>
      <c r="AW946" s="500"/>
      <c r="AX946" s="500"/>
      <c r="AY946" s="500"/>
      <c r="AZ946" s="500"/>
      <c r="BA946" s="500"/>
      <c r="BB946" s="500"/>
      <c r="BC946" s="500"/>
      <c r="BD946" s="500"/>
      <c r="BE946" s="500"/>
      <c r="BF946" s="500"/>
      <c r="BG946" s="500"/>
      <c r="BH946" s="500"/>
      <c r="BI946" s="500"/>
      <c r="BJ946" s="500"/>
      <c r="BK946" s="500"/>
      <c r="BL946" s="500"/>
      <c r="BM946" s="500"/>
      <c r="BN946" s="500"/>
      <c r="BO946" s="500"/>
      <c r="BP946" s="500"/>
      <c r="BQ946" s="500"/>
      <c r="BR946" s="500"/>
      <c r="BS946" s="500"/>
      <c r="BT946" s="500"/>
      <c r="BU946" s="500"/>
      <c r="BV946" s="500"/>
    </row>
    <row r="947" ht="14.25" customHeight="1">
      <c r="A947" s="500"/>
      <c r="B947" s="500"/>
      <c r="C947" s="500"/>
      <c r="D947" s="500"/>
      <c r="E947" s="500"/>
      <c r="F947" s="500"/>
      <c r="G947" s="500"/>
      <c r="H947" s="500"/>
      <c r="I947" s="500"/>
      <c r="J947" s="500"/>
      <c r="K947" s="500"/>
      <c r="L947" s="500"/>
      <c r="M947" s="500"/>
      <c r="N947" s="500"/>
      <c r="O947" s="500"/>
      <c r="P947" s="500"/>
      <c r="Q947" s="500"/>
      <c r="R947" s="500"/>
      <c r="S947" s="500"/>
      <c r="T947" s="500"/>
      <c r="U947" s="500"/>
      <c r="V947" s="500"/>
      <c r="W947" s="500"/>
      <c r="X947" s="500"/>
      <c r="Y947" s="500"/>
      <c r="Z947" s="501"/>
      <c r="AA947" s="501"/>
      <c r="AB947" s="501"/>
      <c r="AC947" s="501"/>
      <c r="AD947" s="500"/>
      <c r="AE947" s="500"/>
      <c r="AF947" s="503"/>
      <c r="AG947" s="503"/>
      <c r="AH947" s="504"/>
      <c r="AI947" s="500"/>
      <c r="AJ947" s="500"/>
      <c r="AK947" s="500"/>
      <c r="AL947" s="500"/>
      <c r="AM947" s="500"/>
      <c r="AN947" s="500"/>
      <c r="AO947" s="500"/>
      <c r="AP947" s="500"/>
      <c r="AQ947" s="500"/>
      <c r="AR947" s="500"/>
      <c r="AS947" s="500"/>
      <c r="AT947" s="500"/>
      <c r="AU947" s="500"/>
      <c r="AV947" s="500"/>
      <c r="AW947" s="500"/>
      <c r="AX947" s="500"/>
      <c r="AY947" s="500"/>
      <c r="AZ947" s="500"/>
      <c r="BA947" s="500"/>
      <c r="BB947" s="500"/>
      <c r="BC947" s="500"/>
      <c r="BD947" s="500"/>
      <c r="BE947" s="500"/>
      <c r="BF947" s="500"/>
      <c r="BG947" s="500"/>
      <c r="BH947" s="500"/>
      <c r="BI947" s="500"/>
      <c r="BJ947" s="500"/>
      <c r="BK947" s="500"/>
      <c r="BL947" s="500"/>
      <c r="BM947" s="500"/>
      <c r="BN947" s="500"/>
      <c r="BO947" s="500"/>
      <c r="BP947" s="500"/>
      <c r="BQ947" s="500"/>
      <c r="BR947" s="500"/>
      <c r="BS947" s="500"/>
      <c r="BT947" s="500"/>
      <c r="BU947" s="500"/>
      <c r="BV947" s="500"/>
    </row>
    <row r="948" ht="14.25" customHeight="1">
      <c r="A948" s="500"/>
      <c r="B948" s="500"/>
      <c r="C948" s="500"/>
      <c r="D948" s="500"/>
      <c r="E948" s="500"/>
      <c r="F948" s="500"/>
      <c r="G948" s="500"/>
      <c r="H948" s="500"/>
      <c r="I948" s="500"/>
      <c r="J948" s="500"/>
      <c r="K948" s="500"/>
      <c r="L948" s="500"/>
      <c r="M948" s="500"/>
      <c r="N948" s="500"/>
      <c r="O948" s="500"/>
      <c r="P948" s="500"/>
      <c r="Q948" s="500"/>
      <c r="R948" s="500"/>
      <c r="S948" s="500"/>
      <c r="T948" s="500"/>
      <c r="U948" s="500"/>
      <c r="V948" s="500"/>
      <c r="W948" s="500"/>
      <c r="X948" s="500"/>
      <c r="Y948" s="500"/>
      <c r="Z948" s="501"/>
      <c r="AA948" s="501"/>
      <c r="AB948" s="501"/>
      <c r="AC948" s="501"/>
      <c r="AD948" s="500"/>
      <c r="AE948" s="500"/>
      <c r="AF948" s="503"/>
      <c r="AG948" s="503"/>
      <c r="AH948" s="504"/>
      <c r="AI948" s="500"/>
      <c r="AJ948" s="500"/>
      <c r="AK948" s="500"/>
      <c r="AL948" s="500"/>
      <c r="AM948" s="500"/>
      <c r="AN948" s="500"/>
      <c r="AO948" s="500"/>
      <c r="AP948" s="500"/>
      <c r="AQ948" s="500"/>
      <c r="AR948" s="500"/>
      <c r="AS948" s="500"/>
      <c r="AT948" s="500"/>
      <c r="AU948" s="500"/>
      <c r="AV948" s="500"/>
      <c r="AW948" s="500"/>
      <c r="AX948" s="500"/>
      <c r="AY948" s="500"/>
      <c r="AZ948" s="500"/>
      <c r="BA948" s="500"/>
      <c r="BB948" s="500"/>
      <c r="BC948" s="500"/>
      <c r="BD948" s="500"/>
      <c r="BE948" s="500"/>
      <c r="BF948" s="500"/>
      <c r="BG948" s="500"/>
      <c r="BH948" s="500"/>
      <c r="BI948" s="500"/>
      <c r="BJ948" s="500"/>
      <c r="BK948" s="500"/>
      <c r="BL948" s="500"/>
      <c r="BM948" s="500"/>
      <c r="BN948" s="500"/>
      <c r="BO948" s="500"/>
      <c r="BP948" s="500"/>
      <c r="BQ948" s="500"/>
      <c r="BR948" s="500"/>
      <c r="BS948" s="500"/>
      <c r="BT948" s="500"/>
      <c r="BU948" s="500"/>
      <c r="BV948" s="500"/>
    </row>
    <row r="949" ht="14.25" customHeight="1">
      <c r="A949" s="500"/>
      <c r="B949" s="500"/>
      <c r="C949" s="500"/>
      <c r="D949" s="500"/>
      <c r="E949" s="500"/>
      <c r="F949" s="500"/>
      <c r="G949" s="500"/>
      <c r="H949" s="500"/>
      <c r="I949" s="500"/>
      <c r="J949" s="500"/>
      <c r="K949" s="500"/>
      <c r="L949" s="500"/>
      <c r="M949" s="500"/>
      <c r="N949" s="500"/>
      <c r="O949" s="500"/>
      <c r="P949" s="500"/>
      <c r="Q949" s="500"/>
      <c r="R949" s="500"/>
      <c r="S949" s="500"/>
      <c r="T949" s="500"/>
      <c r="U949" s="500"/>
      <c r="V949" s="500"/>
      <c r="W949" s="500"/>
      <c r="X949" s="500"/>
      <c r="Y949" s="500"/>
      <c r="Z949" s="501"/>
      <c r="AA949" s="501"/>
      <c r="AB949" s="501"/>
      <c r="AC949" s="501"/>
      <c r="AD949" s="500"/>
      <c r="AE949" s="500"/>
      <c r="AF949" s="503"/>
      <c r="AG949" s="503"/>
      <c r="AH949" s="504"/>
      <c r="AI949" s="500"/>
      <c r="AJ949" s="500"/>
      <c r="AK949" s="500"/>
      <c r="AL949" s="500"/>
      <c r="AM949" s="500"/>
      <c r="AN949" s="500"/>
      <c r="AO949" s="500"/>
      <c r="AP949" s="500"/>
      <c r="AQ949" s="500"/>
      <c r="AR949" s="500"/>
      <c r="AS949" s="500"/>
      <c r="AT949" s="500"/>
      <c r="AU949" s="500"/>
      <c r="AV949" s="500"/>
      <c r="AW949" s="500"/>
      <c r="AX949" s="500"/>
      <c r="AY949" s="500"/>
      <c r="AZ949" s="500"/>
      <c r="BA949" s="500"/>
      <c r="BB949" s="500"/>
      <c r="BC949" s="500"/>
      <c r="BD949" s="500"/>
      <c r="BE949" s="500"/>
      <c r="BF949" s="500"/>
      <c r="BG949" s="500"/>
      <c r="BH949" s="500"/>
      <c r="BI949" s="500"/>
      <c r="BJ949" s="500"/>
      <c r="BK949" s="500"/>
      <c r="BL949" s="500"/>
      <c r="BM949" s="500"/>
      <c r="BN949" s="500"/>
      <c r="BO949" s="500"/>
      <c r="BP949" s="500"/>
      <c r="BQ949" s="500"/>
      <c r="BR949" s="500"/>
      <c r="BS949" s="500"/>
      <c r="BT949" s="500"/>
      <c r="BU949" s="500"/>
      <c r="BV949" s="500"/>
    </row>
    <row r="950" ht="14.25" customHeight="1">
      <c r="A950" s="500"/>
      <c r="B950" s="500"/>
      <c r="C950" s="500"/>
      <c r="D950" s="500"/>
      <c r="E950" s="500"/>
      <c r="F950" s="500"/>
      <c r="G950" s="500"/>
      <c r="H950" s="500"/>
      <c r="I950" s="500"/>
      <c r="J950" s="500"/>
      <c r="K950" s="500"/>
      <c r="L950" s="500"/>
      <c r="M950" s="500"/>
      <c r="N950" s="500"/>
      <c r="O950" s="500"/>
      <c r="P950" s="500"/>
      <c r="Q950" s="500"/>
      <c r="R950" s="500"/>
      <c r="S950" s="500"/>
      <c r="T950" s="500"/>
      <c r="U950" s="500"/>
      <c r="V950" s="500"/>
      <c r="W950" s="500"/>
      <c r="X950" s="500"/>
      <c r="Y950" s="500"/>
      <c r="Z950" s="501"/>
      <c r="AA950" s="501"/>
      <c r="AB950" s="501"/>
      <c r="AC950" s="501"/>
      <c r="AD950" s="500"/>
      <c r="AE950" s="500"/>
      <c r="AF950" s="503"/>
      <c r="AG950" s="503"/>
      <c r="AH950" s="504"/>
      <c r="AI950" s="500"/>
      <c r="AJ950" s="500"/>
      <c r="AK950" s="500"/>
      <c r="AL950" s="500"/>
      <c r="AM950" s="500"/>
      <c r="AN950" s="500"/>
      <c r="AO950" s="500"/>
      <c r="AP950" s="500"/>
      <c r="AQ950" s="500"/>
      <c r="AR950" s="500"/>
      <c r="AS950" s="500"/>
      <c r="AT950" s="500"/>
      <c r="AU950" s="500"/>
      <c r="AV950" s="500"/>
      <c r="AW950" s="500"/>
      <c r="AX950" s="500"/>
      <c r="AY950" s="500"/>
      <c r="AZ950" s="500"/>
      <c r="BA950" s="500"/>
      <c r="BB950" s="500"/>
      <c r="BC950" s="500"/>
      <c r="BD950" s="500"/>
      <c r="BE950" s="500"/>
      <c r="BF950" s="500"/>
      <c r="BG950" s="500"/>
      <c r="BH950" s="500"/>
      <c r="BI950" s="500"/>
      <c r="BJ950" s="500"/>
      <c r="BK950" s="500"/>
      <c r="BL950" s="500"/>
      <c r="BM950" s="500"/>
      <c r="BN950" s="500"/>
      <c r="BO950" s="500"/>
      <c r="BP950" s="500"/>
      <c r="BQ950" s="500"/>
      <c r="BR950" s="500"/>
      <c r="BS950" s="500"/>
      <c r="BT950" s="500"/>
      <c r="BU950" s="500"/>
      <c r="BV950" s="500"/>
    </row>
    <row r="951" ht="14.25" customHeight="1">
      <c r="A951" s="500"/>
      <c r="B951" s="500"/>
      <c r="C951" s="500"/>
      <c r="D951" s="500"/>
      <c r="E951" s="500"/>
      <c r="F951" s="500"/>
      <c r="G951" s="500"/>
      <c r="H951" s="500"/>
      <c r="I951" s="500"/>
      <c r="J951" s="500"/>
      <c r="K951" s="500"/>
      <c r="L951" s="500"/>
      <c r="M951" s="500"/>
      <c r="N951" s="500"/>
      <c r="O951" s="500"/>
      <c r="P951" s="500"/>
      <c r="Q951" s="500"/>
      <c r="R951" s="500"/>
      <c r="S951" s="500"/>
      <c r="T951" s="500"/>
      <c r="U951" s="500"/>
      <c r="V951" s="500"/>
      <c r="W951" s="500"/>
      <c r="X951" s="500"/>
      <c r="Y951" s="500"/>
      <c r="Z951" s="501"/>
      <c r="AA951" s="501"/>
      <c r="AB951" s="501"/>
      <c r="AC951" s="501"/>
      <c r="AD951" s="500"/>
      <c r="AE951" s="500"/>
      <c r="AF951" s="503"/>
      <c r="AG951" s="503"/>
      <c r="AH951" s="504"/>
      <c r="AI951" s="500"/>
      <c r="AJ951" s="500"/>
      <c r="AK951" s="500"/>
      <c r="AL951" s="500"/>
      <c r="AM951" s="500"/>
      <c r="AN951" s="500"/>
      <c r="AO951" s="500"/>
      <c r="AP951" s="500"/>
      <c r="AQ951" s="500"/>
      <c r="AR951" s="500"/>
      <c r="AS951" s="500"/>
      <c r="AT951" s="500"/>
      <c r="AU951" s="500"/>
      <c r="AV951" s="500"/>
      <c r="AW951" s="500"/>
      <c r="AX951" s="500"/>
      <c r="AY951" s="500"/>
      <c r="AZ951" s="500"/>
      <c r="BA951" s="500"/>
      <c r="BB951" s="500"/>
      <c r="BC951" s="500"/>
      <c r="BD951" s="500"/>
      <c r="BE951" s="500"/>
      <c r="BF951" s="500"/>
      <c r="BG951" s="500"/>
      <c r="BH951" s="500"/>
      <c r="BI951" s="500"/>
      <c r="BJ951" s="500"/>
      <c r="BK951" s="500"/>
      <c r="BL951" s="500"/>
      <c r="BM951" s="500"/>
      <c r="BN951" s="500"/>
      <c r="BO951" s="500"/>
      <c r="BP951" s="500"/>
      <c r="BQ951" s="500"/>
      <c r="BR951" s="500"/>
      <c r="BS951" s="500"/>
      <c r="BT951" s="500"/>
      <c r="BU951" s="500"/>
      <c r="BV951" s="500"/>
    </row>
    <row r="952" ht="14.25" customHeight="1">
      <c r="A952" s="500"/>
      <c r="B952" s="500"/>
      <c r="C952" s="500"/>
      <c r="D952" s="500"/>
      <c r="E952" s="500"/>
      <c r="F952" s="500"/>
      <c r="G952" s="500"/>
      <c r="H952" s="500"/>
      <c r="I952" s="500"/>
      <c r="J952" s="500"/>
      <c r="K952" s="500"/>
      <c r="L952" s="500"/>
      <c r="M952" s="500"/>
      <c r="N952" s="500"/>
      <c r="O952" s="500"/>
      <c r="P952" s="500"/>
      <c r="Q952" s="500"/>
      <c r="R952" s="500"/>
      <c r="S952" s="500"/>
      <c r="T952" s="500"/>
      <c r="U952" s="500"/>
      <c r="V952" s="500"/>
      <c r="W952" s="500"/>
      <c r="X952" s="500"/>
      <c r="Y952" s="500"/>
      <c r="Z952" s="501"/>
      <c r="AA952" s="501"/>
      <c r="AB952" s="501"/>
      <c r="AC952" s="501"/>
      <c r="AD952" s="500"/>
      <c r="AE952" s="500"/>
      <c r="AF952" s="503"/>
      <c r="AG952" s="503"/>
      <c r="AH952" s="504"/>
      <c r="AI952" s="500"/>
      <c r="AJ952" s="500"/>
      <c r="AK952" s="500"/>
      <c r="AL952" s="500"/>
      <c r="AM952" s="500"/>
      <c r="AN952" s="500"/>
      <c r="AO952" s="500"/>
      <c r="AP952" s="500"/>
      <c r="AQ952" s="500"/>
      <c r="AR952" s="500"/>
      <c r="AS952" s="500"/>
      <c r="AT952" s="500"/>
      <c r="AU952" s="500"/>
      <c r="AV952" s="500"/>
      <c r="AW952" s="500"/>
      <c r="AX952" s="500"/>
      <c r="AY952" s="500"/>
      <c r="AZ952" s="500"/>
      <c r="BA952" s="500"/>
      <c r="BB952" s="500"/>
      <c r="BC952" s="500"/>
      <c r="BD952" s="500"/>
      <c r="BE952" s="500"/>
      <c r="BF952" s="500"/>
      <c r="BG952" s="500"/>
      <c r="BH952" s="500"/>
      <c r="BI952" s="500"/>
      <c r="BJ952" s="500"/>
      <c r="BK952" s="500"/>
      <c r="BL952" s="500"/>
      <c r="BM952" s="500"/>
      <c r="BN952" s="500"/>
      <c r="BO952" s="500"/>
      <c r="BP952" s="500"/>
      <c r="BQ952" s="500"/>
      <c r="BR952" s="500"/>
      <c r="BS952" s="500"/>
      <c r="BT952" s="500"/>
      <c r="BU952" s="500"/>
      <c r="BV952" s="500"/>
    </row>
    <row r="953" ht="14.25" customHeight="1">
      <c r="A953" s="500"/>
      <c r="B953" s="500"/>
      <c r="C953" s="500"/>
      <c r="D953" s="500"/>
      <c r="E953" s="500"/>
      <c r="F953" s="500"/>
      <c r="G953" s="500"/>
      <c r="H953" s="500"/>
      <c r="I953" s="500"/>
      <c r="J953" s="500"/>
      <c r="K953" s="500"/>
      <c r="L953" s="500"/>
      <c r="M953" s="500"/>
      <c r="N953" s="500"/>
      <c r="O953" s="500"/>
      <c r="P953" s="500"/>
      <c r="Q953" s="500"/>
      <c r="R953" s="500"/>
      <c r="S953" s="500"/>
      <c r="T953" s="500"/>
      <c r="U953" s="500"/>
      <c r="V953" s="500"/>
      <c r="W953" s="500"/>
      <c r="X953" s="500"/>
      <c r="Y953" s="500"/>
      <c r="Z953" s="501"/>
      <c r="AA953" s="501"/>
      <c r="AB953" s="501"/>
      <c r="AC953" s="501"/>
      <c r="AD953" s="500"/>
      <c r="AE953" s="500"/>
      <c r="AF953" s="503"/>
      <c r="AG953" s="503"/>
      <c r="AH953" s="504"/>
      <c r="AI953" s="500"/>
      <c r="AJ953" s="500"/>
      <c r="AK953" s="500"/>
      <c r="AL953" s="500"/>
      <c r="AM953" s="500"/>
      <c r="AN953" s="500"/>
      <c r="AO953" s="500"/>
      <c r="AP953" s="500"/>
      <c r="AQ953" s="500"/>
      <c r="AR953" s="500"/>
      <c r="AS953" s="500"/>
      <c r="AT953" s="500"/>
      <c r="AU953" s="500"/>
      <c r="AV953" s="500"/>
      <c r="AW953" s="500"/>
      <c r="AX953" s="500"/>
      <c r="AY953" s="500"/>
      <c r="AZ953" s="500"/>
      <c r="BA953" s="500"/>
      <c r="BB953" s="500"/>
      <c r="BC953" s="500"/>
      <c r="BD953" s="500"/>
      <c r="BE953" s="500"/>
      <c r="BF953" s="500"/>
      <c r="BG953" s="500"/>
      <c r="BH953" s="500"/>
      <c r="BI953" s="500"/>
      <c r="BJ953" s="500"/>
      <c r="BK953" s="500"/>
      <c r="BL953" s="500"/>
      <c r="BM953" s="500"/>
      <c r="BN953" s="500"/>
      <c r="BO953" s="500"/>
      <c r="BP953" s="500"/>
      <c r="BQ953" s="500"/>
      <c r="BR953" s="500"/>
      <c r="BS953" s="500"/>
      <c r="BT953" s="500"/>
      <c r="BU953" s="500"/>
      <c r="BV953" s="500"/>
    </row>
    <row r="954" ht="14.25" customHeight="1">
      <c r="A954" s="500"/>
      <c r="B954" s="500"/>
      <c r="C954" s="500"/>
      <c r="D954" s="500"/>
      <c r="E954" s="500"/>
      <c r="F954" s="500"/>
      <c r="G954" s="500"/>
      <c r="H954" s="500"/>
      <c r="I954" s="500"/>
      <c r="J954" s="500"/>
      <c r="K954" s="500"/>
      <c r="L954" s="500"/>
      <c r="M954" s="500"/>
      <c r="N954" s="500"/>
      <c r="O954" s="500"/>
      <c r="P954" s="500"/>
      <c r="Q954" s="500"/>
      <c r="R954" s="500"/>
      <c r="S954" s="500"/>
      <c r="T954" s="500"/>
      <c r="U954" s="500"/>
      <c r="V954" s="500"/>
      <c r="W954" s="500"/>
      <c r="X954" s="500"/>
      <c r="Y954" s="500"/>
      <c r="Z954" s="501"/>
      <c r="AA954" s="501"/>
      <c r="AB954" s="501"/>
      <c r="AC954" s="501"/>
      <c r="AD954" s="500"/>
      <c r="AE954" s="500"/>
      <c r="AF954" s="503"/>
      <c r="AG954" s="503"/>
      <c r="AH954" s="504"/>
      <c r="AI954" s="500"/>
      <c r="AJ954" s="500"/>
      <c r="AK954" s="500"/>
      <c r="AL954" s="500"/>
      <c r="AM954" s="500"/>
      <c r="AN954" s="500"/>
      <c r="AO954" s="500"/>
      <c r="AP954" s="500"/>
      <c r="AQ954" s="500"/>
      <c r="AR954" s="500"/>
      <c r="AS954" s="500"/>
      <c r="AT954" s="500"/>
      <c r="AU954" s="500"/>
      <c r="AV954" s="500"/>
      <c r="AW954" s="500"/>
      <c r="AX954" s="500"/>
      <c r="AY954" s="500"/>
      <c r="AZ954" s="500"/>
      <c r="BA954" s="500"/>
      <c r="BB954" s="500"/>
      <c r="BC954" s="500"/>
      <c r="BD954" s="500"/>
      <c r="BE954" s="500"/>
      <c r="BF954" s="500"/>
      <c r="BG954" s="500"/>
      <c r="BH954" s="500"/>
      <c r="BI954" s="500"/>
      <c r="BJ954" s="500"/>
      <c r="BK954" s="500"/>
      <c r="BL954" s="500"/>
      <c r="BM954" s="500"/>
      <c r="BN954" s="500"/>
      <c r="BO954" s="500"/>
      <c r="BP954" s="500"/>
      <c r="BQ954" s="500"/>
      <c r="BR954" s="500"/>
      <c r="BS954" s="500"/>
      <c r="BT954" s="500"/>
      <c r="BU954" s="500"/>
      <c r="BV954" s="500"/>
    </row>
    <row r="955" ht="14.25" customHeight="1">
      <c r="A955" s="500"/>
      <c r="B955" s="500"/>
      <c r="C955" s="500"/>
      <c r="D955" s="500"/>
      <c r="E955" s="500"/>
      <c r="F955" s="500"/>
      <c r="G955" s="500"/>
      <c r="H955" s="500"/>
      <c r="I955" s="500"/>
      <c r="J955" s="500"/>
      <c r="K955" s="500"/>
      <c r="L955" s="500"/>
      <c r="M955" s="500"/>
      <c r="N955" s="500"/>
      <c r="O955" s="500"/>
      <c r="P955" s="500"/>
      <c r="Q955" s="500"/>
      <c r="R955" s="500"/>
      <c r="S955" s="500"/>
      <c r="T955" s="500"/>
      <c r="U955" s="500"/>
      <c r="V955" s="500"/>
      <c r="W955" s="500"/>
      <c r="X955" s="500"/>
      <c r="Y955" s="500"/>
      <c r="Z955" s="501"/>
      <c r="AA955" s="501"/>
      <c r="AB955" s="501"/>
      <c r="AC955" s="501"/>
      <c r="AD955" s="500"/>
      <c r="AE955" s="500"/>
      <c r="AF955" s="503"/>
      <c r="AG955" s="503"/>
      <c r="AH955" s="504"/>
      <c r="AI955" s="500"/>
      <c r="AJ955" s="500"/>
      <c r="AK955" s="500"/>
      <c r="AL955" s="500"/>
      <c r="AM955" s="500"/>
      <c r="AN955" s="500"/>
      <c r="AO955" s="500"/>
      <c r="AP955" s="500"/>
      <c r="AQ955" s="500"/>
      <c r="AR955" s="500"/>
      <c r="AS955" s="500"/>
      <c r="AT955" s="500"/>
      <c r="AU955" s="500"/>
      <c r="AV955" s="500"/>
      <c r="AW955" s="500"/>
      <c r="AX955" s="500"/>
      <c r="AY955" s="500"/>
      <c r="AZ955" s="500"/>
      <c r="BA955" s="500"/>
      <c r="BB955" s="500"/>
      <c r="BC955" s="500"/>
      <c r="BD955" s="500"/>
      <c r="BE955" s="500"/>
      <c r="BF955" s="500"/>
      <c r="BG955" s="500"/>
      <c r="BH955" s="500"/>
      <c r="BI955" s="500"/>
      <c r="BJ955" s="500"/>
      <c r="BK955" s="500"/>
      <c r="BL955" s="500"/>
      <c r="BM955" s="500"/>
      <c r="BN955" s="500"/>
      <c r="BO955" s="500"/>
      <c r="BP955" s="500"/>
      <c r="BQ955" s="500"/>
      <c r="BR955" s="500"/>
      <c r="BS955" s="500"/>
      <c r="BT955" s="500"/>
      <c r="BU955" s="500"/>
      <c r="BV955" s="500"/>
    </row>
    <row r="956" ht="14.25" customHeight="1">
      <c r="A956" s="500"/>
      <c r="B956" s="500"/>
      <c r="C956" s="500"/>
      <c r="D956" s="500"/>
      <c r="E956" s="500"/>
      <c r="F956" s="500"/>
      <c r="G956" s="500"/>
      <c r="H956" s="500"/>
      <c r="I956" s="500"/>
      <c r="J956" s="500"/>
      <c r="K956" s="500"/>
      <c r="L956" s="500"/>
      <c r="M956" s="500"/>
      <c r="N956" s="500"/>
      <c r="O956" s="500"/>
      <c r="P956" s="500"/>
      <c r="Q956" s="500"/>
      <c r="R956" s="500"/>
      <c r="S956" s="500"/>
      <c r="T956" s="500"/>
      <c r="U956" s="500"/>
      <c r="V956" s="500"/>
      <c r="W956" s="500"/>
      <c r="X956" s="500"/>
      <c r="Y956" s="500"/>
      <c r="Z956" s="501"/>
      <c r="AA956" s="501"/>
      <c r="AB956" s="501"/>
      <c r="AC956" s="501"/>
      <c r="AD956" s="500"/>
      <c r="AE956" s="500"/>
      <c r="AF956" s="503"/>
      <c r="AG956" s="503"/>
      <c r="AH956" s="504"/>
      <c r="AI956" s="500"/>
      <c r="AJ956" s="500"/>
      <c r="AK956" s="500"/>
      <c r="AL956" s="500"/>
      <c r="AM956" s="500"/>
      <c r="AN956" s="500"/>
      <c r="AO956" s="500"/>
      <c r="AP956" s="500"/>
      <c r="AQ956" s="500"/>
      <c r="AR956" s="500"/>
      <c r="AS956" s="500"/>
      <c r="AT956" s="500"/>
      <c r="AU956" s="500"/>
      <c r="AV956" s="500"/>
      <c r="AW956" s="500"/>
      <c r="AX956" s="500"/>
      <c r="AY956" s="500"/>
      <c r="AZ956" s="500"/>
      <c r="BA956" s="500"/>
      <c r="BB956" s="500"/>
      <c r="BC956" s="500"/>
      <c r="BD956" s="500"/>
      <c r="BE956" s="500"/>
      <c r="BF956" s="500"/>
      <c r="BG956" s="500"/>
      <c r="BH956" s="500"/>
      <c r="BI956" s="500"/>
      <c r="BJ956" s="500"/>
      <c r="BK956" s="500"/>
      <c r="BL956" s="500"/>
      <c r="BM956" s="500"/>
      <c r="BN956" s="500"/>
      <c r="BO956" s="500"/>
      <c r="BP956" s="500"/>
      <c r="BQ956" s="500"/>
      <c r="BR956" s="500"/>
      <c r="BS956" s="500"/>
      <c r="BT956" s="500"/>
      <c r="BU956" s="500"/>
      <c r="BV956" s="500"/>
    </row>
    <row r="957" ht="14.25" customHeight="1">
      <c r="A957" s="500"/>
      <c r="B957" s="500"/>
      <c r="C957" s="500"/>
      <c r="D957" s="500"/>
      <c r="E957" s="500"/>
      <c r="F957" s="500"/>
      <c r="G957" s="500"/>
      <c r="H957" s="500"/>
      <c r="I957" s="500"/>
      <c r="J957" s="500"/>
      <c r="K957" s="500"/>
      <c r="L957" s="500"/>
      <c r="M957" s="500"/>
      <c r="N957" s="500"/>
      <c r="O957" s="500"/>
      <c r="P957" s="500"/>
      <c r="Q957" s="500"/>
      <c r="R957" s="500"/>
      <c r="S957" s="500"/>
      <c r="T957" s="500"/>
      <c r="U957" s="500"/>
      <c r="V957" s="500"/>
      <c r="W957" s="500"/>
      <c r="X957" s="500"/>
      <c r="Y957" s="500"/>
      <c r="Z957" s="501"/>
      <c r="AA957" s="501"/>
      <c r="AB957" s="501"/>
      <c r="AC957" s="501"/>
      <c r="AD957" s="500"/>
      <c r="AE957" s="500"/>
      <c r="AF957" s="503"/>
      <c r="AG957" s="503"/>
      <c r="AH957" s="504"/>
      <c r="AI957" s="500"/>
      <c r="AJ957" s="500"/>
      <c r="AK957" s="500"/>
      <c r="AL957" s="500"/>
      <c r="AM957" s="500"/>
      <c r="AN957" s="500"/>
      <c r="AO957" s="500"/>
      <c r="AP957" s="500"/>
      <c r="AQ957" s="500"/>
      <c r="AR957" s="500"/>
      <c r="AS957" s="500"/>
      <c r="AT957" s="500"/>
      <c r="AU957" s="500"/>
      <c r="AV957" s="500"/>
      <c r="AW957" s="500"/>
      <c r="AX957" s="500"/>
      <c r="AY957" s="500"/>
      <c r="AZ957" s="500"/>
      <c r="BA957" s="500"/>
      <c r="BB957" s="500"/>
      <c r="BC957" s="500"/>
      <c r="BD957" s="500"/>
      <c r="BE957" s="500"/>
      <c r="BF957" s="500"/>
      <c r="BG957" s="500"/>
      <c r="BH957" s="500"/>
      <c r="BI957" s="500"/>
      <c r="BJ957" s="500"/>
      <c r="BK957" s="500"/>
      <c r="BL957" s="500"/>
      <c r="BM957" s="500"/>
      <c r="BN957" s="500"/>
      <c r="BO957" s="500"/>
      <c r="BP957" s="500"/>
      <c r="BQ957" s="500"/>
      <c r="BR957" s="500"/>
      <c r="BS957" s="500"/>
      <c r="BT957" s="500"/>
      <c r="BU957" s="500"/>
      <c r="BV957" s="500"/>
    </row>
    <row r="958" ht="14.25" customHeight="1">
      <c r="A958" s="500"/>
      <c r="B958" s="500"/>
      <c r="C958" s="500"/>
      <c r="D958" s="500"/>
      <c r="E958" s="500"/>
      <c r="F958" s="500"/>
      <c r="G958" s="500"/>
      <c r="H958" s="500"/>
      <c r="I958" s="500"/>
      <c r="J958" s="500"/>
      <c r="K958" s="500"/>
      <c r="L958" s="500"/>
      <c r="M958" s="500"/>
      <c r="N958" s="500"/>
      <c r="O958" s="500"/>
      <c r="P958" s="500"/>
      <c r="Q958" s="500"/>
      <c r="R958" s="500"/>
      <c r="S958" s="500"/>
      <c r="T958" s="500"/>
      <c r="U958" s="500"/>
      <c r="V958" s="500"/>
      <c r="W958" s="500"/>
      <c r="X958" s="500"/>
      <c r="Y958" s="500"/>
      <c r="Z958" s="501"/>
      <c r="AA958" s="501"/>
      <c r="AB958" s="501"/>
      <c r="AC958" s="501"/>
      <c r="AD958" s="500"/>
      <c r="AE958" s="500"/>
      <c r="AF958" s="503"/>
      <c r="AG958" s="503"/>
      <c r="AH958" s="504"/>
      <c r="AI958" s="500"/>
      <c r="AJ958" s="500"/>
      <c r="AK958" s="500"/>
      <c r="AL958" s="500"/>
      <c r="AM958" s="500"/>
      <c r="AN958" s="500"/>
      <c r="AO958" s="500"/>
      <c r="AP958" s="500"/>
      <c r="AQ958" s="500"/>
      <c r="AR958" s="500"/>
      <c r="AS958" s="500"/>
      <c r="AT958" s="500"/>
      <c r="AU958" s="500"/>
      <c r="AV958" s="500"/>
      <c r="AW958" s="500"/>
      <c r="AX958" s="500"/>
      <c r="AY958" s="500"/>
      <c r="AZ958" s="500"/>
      <c r="BA958" s="500"/>
      <c r="BB958" s="500"/>
      <c r="BC958" s="500"/>
      <c r="BD958" s="500"/>
      <c r="BE958" s="500"/>
      <c r="BF958" s="500"/>
      <c r="BG958" s="500"/>
      <c r="BH958" s="500"/>
      <c r="BI958" s="500"/>
      <c r="BJ958" s="500"/>
      <c r="BK958" s="500"/>
      <c r="BL958" s="500"/>
      <c r="BM958" s="500"/>
      <c r="BN958" s="500"/>
      <c r="BO958" s="500"/>
      <c r="BP958" s="500"/>
      <c r="BQ958" s="500"/>
      <c r="BR958" s="500"/>
      <c r="BS958" s="500"/>
      <c r="BT958" s="500"/>
      <c r="BU958" s="500"/>
      <c r="BV958" s="500"/>
    </row>
    <row r="959" ht="14.25" customHeight="1">
      <c r="A959" s="500"/>
      <c r="B959" s="500"/>
      <c r="C959" s="500"/>
      <c r="D959" s="500"/>
      <c r="E959" s="500"/>
      <c r="F959" s="500"/>
      <c r="G959" s="500"/>
      <c r="H959" s="500"/>
      <c r="I959" s="500"/>
      <c r="J959" s="500"/>
      <c r="K959" s="500"/>
      <c r="L959" s="500"/>
      <c r="M959" s="500"/>
      <c r="N959" s="500"/>
      <c r="O959" s="500"/>
      <c r="P959" s="500"/>
      <c r="Q959" s="500"/>
      <c r="R959" s="500"/>
      <c r="S959" s="500"/>
      <c r="T959" s="500"/>
      <c r="U959" s="500"/>
      <c r="V959" s="500"/>
      <c r="W959" s="500"/>
      <c r="X959" s="500"/>
      <c r="Y959" s="500"/>
      <c r="Z959" s="501"/>
      <c r="AA959" s="501"/>
      <c r="AB959" s="501"/>
      <c r="AC959" s="501"/>
      <c r="AD959" s="500"/>
      <c r="AE959" s="500"/>
      <c r="AF959" s="503"/>
      <c r="AG959" s="503"/>
      <c r="AH959" s="504"/>
      <c r="AI959" s="500"/>
      <c r="AJ959" s="500"/>
      <c r="AK959" s="500"/>
      <c r="AL959" s="500"/>
      <c r="AM959" s="500"/>
      <c r="AN959" s="500"/>
      <c r="AO959" s="500"/>
      <c r="AP959" s="500"/>
      <c r="AQ959" s="500"/>
      <c r="AR959" s="500"/>
      <c r="AS959" s="500"/>
      <c r="AT959" s="500"/>
      <c r="AU959" s="500"/>
      <c r="AV959" s="500"/>
      <c r="AW959" s="500"/>
      <c r="AX959" s="500"/>
      <c r="AY959" s="500"/>
      <c r="AZ959" s="500"/>
      <c r="BA959" s="500"/>
      <c r="BB959" s="500"/>
      <c r="BC959" s="500"/>
      <c r="BD959" s="500"/>
      <c r="BE959" s="500"/>
      <c r="BF959" s="500"/>
      <c r="BG959" s="500"/>
      <c r="BH959" s="500"/>
      <c r="BI959" s="500"/>
      <c r="BJ959" s="500"/>
      <c r="BK959" s="500"/>
      <c r="BL959" s="500"/>
      <c r="BM959" s="500"/>
      <c r="BN959" s="500"/>
      <c r="BO959" s="500"/>
      <c r="BP959" s="500"/>
      <c r="BQ959" s="500"/>
      <c r="BR959" s="500"/>
      <c r="BS959" s="500"/>
      <c r="BT959" s="500"/>
      <c r="BU959" s="500"/>
      <c r="BV959" s="500"/>
    </row>
    <row r="960" ht="14.25" customHeight="1">
      <c r="A960" s="500"/>
      <c r="B960" s="500"/>
      <c r="C960" s="500"/>
      <c r="D960" s="500"/>
      <c r="E960" s="500"/>
      <c r="F960" s="500"/>
      <c r="G960" s="500"/>
      <c r="H960" s="500"/>
      <c r="I960" s="500"/>
      <c r="J960" s="500"/>
      <c r="K960" s="500"/>
      <c r="L960" s="500"/>
      <c r="M960" s="500"/>
      <c r="N960" s="500"/>
      <c r="O960" s="500"/>
      <c r="P960" s="500"/>
      <c r="Q960" s="500"/>
      <c r="R960" s="500"/>
      <c r="S960" s="500"/>
      <c r="T960" s="500"/>
      <c r="U960" s="500"/>
      <c r="V960" s="500"/>
      <c r="W960" s="500"/>
      <c r="X960" s="500"/>
      <c r="Y960" s="500"/>
      <c r="Z960" s="501"/>
      <c r="AA960" s="501"/>
      <c r="AB960" s="501"/>
      <c r="AC960" s="501"/>
      <c r="AD960" s="500"/>
      <c r="AE960" s="500"/>
      <c r="AF960" s="503"/>
      <c r="AG960" s="503"/>
      <c r="AH960" s="504"/>
      <c r="AI960" s="500"/>
      <c r="AJ960" s="500"/>
      <c r="AK960" s="500"/>
      <c r="AL960" s="500"/>
      <c r="AM960" s="500"/>
      <c r="AN960" s="500"/>
      <c r="AO960" s="500"/>
      <c r="AP960" s="500"/>
      <c r="AQ960" s="500"/>
      <c r="AR960" s="500"/>
      <c r="AS960" s="500"/>
      <c r="AT960" s="500"/>
      <c r="AU960" s="500"/>
      <c r="AV960" s="500"/>
      <c r="AW960" s="500"/>
      <c r="AX960" s="500"/>
      <c r="AY960" s="500"/>
      <c r="AZ960" s="500"/>
      <c r="BA960" s="500"/>
      <c r="BB960" s="500"/>
      <c r="BC960" s="500"/>
      <c r="BD960" s="500"/>
      <c r="BE960" s="500"/>
      <c r="BF960" s="500"/>
      <c r="BG960" s="500"/>
      <c r="BH960" s="500"/>
      <c r="BI960" s="500"/>
      <c r="BJ960" s="500"/>
      <c r="BK960" s="500"/>
      <c r="BL960" s="500"/>
      <c r="BM960" s="500"/>
      <c r="BN960" s="500"/>
      <c r="BO960" s="500"/>
      <c r="BP960" s="500"/>
      <c r="BQ960" s="500"/>
      <c r="BR960" s="500"/>
      <c r="BS960" s="500"/>
      <c r="BT960" s="500"/>
      <c r="BU960" s="500"/>
      <c r="BV960" s="500"/>
    </row>
    <row r="961" ht="14.25" customHeight="1">
      <c r="A961" s="500"/>
      <c r="B961" s="500"/>
      <c r="C961" s="500"/>
      <c r="D961" s="500"/>
      <c r="E961" s="500"/>
      <c r="F961" s="500"/>
      <c r="G961" s="500"/>
      <c r="H961" s="500"/>
      <c r="I961" s="500"/>
      <c r="J961" s="500"/>
      <c r="K961" s="500"/>
      <c r="L961" s="500"/>
      <c r="M961" s="500"/>
      <c r="N961" s="500"/>
      <c r="O961" s="500"/>
      <c r="P961" s="500"/>
      <c r="Q961" s="500"/>
      <c r="R961" s="500"/>
      <c r="S961" s="500"/>
      <c r="T961" s="500"/>
      <c r="U961" s="500"/>
      <c r="V961" s="500"/>
      <c r="W961" s="500"/>
      <c r="X961" s="500"/>
      <c r="Y961" s="500"/>
      <c r="Z961" s="501"/>
      <c r="AA961" s="501"/>
      <c r="AB961" s="501"/>
      <c r="AC961" s="501"/>
      <c r="AD961" s="500"/>
      <c r="AE961" s="500"/>
      <c r="AF961" s="503"/>
      <c r="AG961" s="503"/>
      <c r="AH961" s="504"/>
      <c r="AI961" s="500"/>
      <c r="AJ961" s="500"/>
      <c r="AK961" s="500"/>
      <c r="AL961" s="500"/>
      <c r="AM961" s="500"/>
      <c r="AN961" s="500"/>
      <c r="AO961" s="500"/>
      <c r="AP961" s="500"/>
      <c r="AQ961" s="500"/>
      <c r="AR961" s="500"/>
      <c r="AS961" s="500"/>
      <c r="AT961" s="500"/>
      <c r="AU961" s="500"/>
      <c r="AV961" s="500"/>
      <c r="AW961" s="500"/>
      <c r="AX961" s="500"/>
      <c r="AY961" s="500"/>
      <c r="AZ961" s="500"/>
      <c r="BA961" s="500"/>
      <c r="BB961" s="500"/>
      <c r="BC961" s="500"/>
      <c r="BD961" s="500"/>
      <c r="BE961" s="500"/>
      <c r="BF961" s="500"/>
      <c r="BG961" s="500"/>
      <c r="BH961" s="500"/>
      <c r="BI961" s="500"/>
      <c r="BJ961" s="500"/>
      <c r="BK961" s="500"/>
      <c r="BL961" s="500"/>
      <c r="BM961" s="500"/>
      <c r="BN961" s="500"/>
      <c r="BO961" s="500"/>
      <c r="BP961" s="500"/>
      <c r="BQ961" s="500"/>
      <c r="BR961" s="500"/>
      <c r="BS961" s="500"/>
      <c r="BT961" s="500"/>
      <c r="BU961" s="500"/>
      <c r="BV961" s="500"/>
    </row>
    <row r="962" ht="14.25" customHeight="1">
      <c r="A962" s="500"/>
      <c r="B962" s="500"/>
      <c r="C962" s="500"/>
      <c r="D962" s="500"/>
      <c r="E962" s="500"/>
      <c r="F962" s="500"/>
      <c r="G962" s="500"/>
      <c r="H962" s="500"/>
      <c r="I962" s="500"/>
      <c r="J962" s="500"/>
      <c r="K962" s="500"/>
      <c r="L962" s="500"/>
      <c r="M962" s="500"/>
      <c r="N962" s="500"/>
      <c r="O962" s="500"/>
      <c r="P962" s="500"/>
      <c r="Q962" s="500"/>
      <c r="R962" s="500"/>
      <c r="S962" s="500"/>
      <c r="T962" s="500"/>
      <c r="U962" s="500"/>
      <c r="V962" s="500"/>
      <c r="W962" s="500"/>
      <c r="X962" s="500"/>
      <c r="Y962" s="500"/>
      <c r="Z962" s="501"/>
      <c r="AA962" s="501"/>
      <c r="AB962" s="501"/>
      <c r="AC962" s="501"/>
      <c r="AD962" s="500"/>
      <c r="AE962" s="500"/>
      <c r="AF962" s="503"/>
      <c r="AG962" s="503"/>
      <c r="AH962" s="504"/>
      <c r="AI962" s="500"/>
      <c r="AJ962" s="500"/>
      <c r="AK962" s="500"/>
      <c r="AL962" s="500"/>
      <c r="AM962" s="500"/>
      <c r="AN962" s="500"/>
      <c r="AO962" s="500"/>
      <c r="AP962" s="500"/>
      <c r="AQ962" s="500"/>
      <c r="AR962" s="500"/>
      <c r="AS962" s="500"/>
      <c r="AT962" s="500"/>
      <c r="AU962" s="500"/>
      <c r="AV962" s="500"/>
      <c r="AW962" s="500"/>
      <c r="AX962" s="500"/>
      <c r="AY962" s="500"/>
      <c r="AZ962" s="500"/>
      <c r="BA962" s="500"/>
      <c r="BB962" s="500"/>
      <c r="BC962" s="500"/>
      <c r="BD962" s="500"/>
      <c r="BE962" s="500"/>
      <c r="BF962" s="500"/>
      <c r="BG962" s="500"/>
      <c r="BH962" s="500"/>
      <c r="BI962" s="500"/>
      <c r="BJ962" s="500"/>
      <c r="BK962" s="500"/>
      <c r="BL962" s="500"/>
      <c r="BM962" s="500"/>
      <c r="BN962" s="500"/>
      <c r="BO962" s="500"/>
      <c r="BP962" s="500"/>
      <c r="BQ962" s="500"/>
      <c r="BR962" s="500"/>
      <c r="BS962" s="500"/>
      <c r="BT962" s="500"/>
      <c r="BU962" s="500"/>
      <c r="BV962" s="500"/>
    </row>
    <row r="963" ht="14.25" customHeight="1">
      <c r="A963" s="500"/>
      <c r="B963" s="500"/>
      <c r="C963" s="500"/>
      <c r="D963" s="500"/>
      <c r="E963" s="500"/>
      <c r="F963" s="500"/>
      <c r="G963" s="500"/>
      <c r="H963" s="500"/>
      <c r="I963" s="500"/>
      <c r="J963" s="500"/>
      <c r="K963" s="500"/>
      <c r="L963" s="500"/>
      <c r="M963" s="500"/>
      <c r="N963" s="500"/>
      <c r="O963" s="500"/>
      <c r="P963" s="500"/>
      <c r="Q963" s="500"/>
      <c r="R963" s="500"/>
      <c r="S963" s="500"/>
      <c r="T963" s="500"/>
      <c r="U963" s="500"/>
      <c r="V963" s="500"/>
      <c r="W963" s="500"/>
      <c r="X963" s="500"/>
      <c r="Y963" s="500"/>
      <c r="Z963" s="501"/>
      <c r="AA963" s="501"/>
      <c r="AB963" s="501"/>
      <c r="AC963" s="501"/>
      <c r="AD963" s="500"/>
      <c r="AE963" s="500"/>
      <c r="AF963" s="503"/>
      <c r="AG963" s="503"/>
      <c r="AH963" s="504"/>
      <c r="AI963" s="500"/>
      <c r="AJ963" s="500"/>
      <c r="AK963" s="500"/>
      <c r="AL963" s="500"/>
      <c r="AM963" s="500"/>
      <c r="AN963" s="500"/>
      <c r="AO963" s="500"/>
      <c r="AP963" s="500"/>
      <c r="AQ963" s="500"/>
      <c r="AR963" s="500"/>
      <c r="AS963" s="500"/>
      <c r="AT963" s="500"/>
      <c r="AU963" s="500"/>
      <c r="AV963" s="500"/>
      <c r="AW963" s="500"/>
      <c r="AX963" s="500"/>
      <c r="AY963" s="500"/>
      <c r="AZ963" s="500"/>
      <c r="BA963" s="500"/>
      <c r="BB963" s="500"/>
      <c r="BC963" s="500"/>
      <c r="BD963" s="500"/>
      <c r="BE963" s="500"/>
      <c r="BF963" s="500"/>
      <c r="BG963" s="500"/>
      <c r="BH963" s="500"/>
      <c r="BI963" s="500"/>
      <c r="BJ963" s="500"/>
      <c r="BK963" s="500"/>
      <c r="BL963" s="500"/>
      <c r="BM963" s="500"/>
      <c r="BN963" s="500"/>
      <c r="BO963" s="500"/>
      <c r="BP963" s="500"/>
      <c r="BQ963" s="500"/>
      <c r="BR963" s="500"/>
      <c r="BS963" s="500"/>
      <c r="BT963" s="500"/>
      <c r="BU963" s="500"/>
      <c r="BV963" s="500"/>
    </row>
    <row r="964" ht="14.25" customHeight="1">
      <c r="A964" s="500"/>
      <c r="B964" s="500"/>
      <c r="C964" s="500"/>
      <c r="D964" s="500"/>
      <c r="E964" s="500"/>
      <c r="F964" s="500"/>
      <c r="G964" s="500"/>
      <c r="H964" s="500"/>
      <c r="I964" s="500"/>
      <c r="J964" s="500"/>
      <c r="K964" s="500"/>
      <c r="L964" s="500"/>
      <c r="M964" s="500"/>
      <c r="N964" s="500"/>
      <c r="O964" s="500"/>
      <c r="P964" s="500"/>
      <c r="Q964" s="500"/>
      <c r="R964" s="500"/>
      <c r="S964" s="500"/>
      <c r="T964" s="500"/>
      <c r="U964" s="500"/>
      <c r="V964" s="500"/>
      <c r="W964" s="500"/>
      <c r="X964" s="500"/>
      <c r="Y964" s="500"/>
      <c r="Z964" s="501"/>
      <c r="AA964" s="501"/>
      <c r="AB964" s="501"/>
      <c r="AC964" s="501"/>
      <c r="AD964" s="500"/>
      <c r="AE964" s="500"/>
      <c r="AF964" s="503"/>
      <c r="AG964" s="503"/>
      <c r="AH964" s="504"/>
      <c r="AI964" s="500"/>
      <c r="AJ964" s="500"/>
      <c r="AK964" s="500"/>
      <c r="AL964" s="500"/>
      <c r="AM964" s="500"/>
      <c r="AN964" s="500"/>
      <c r="AO964" s="500"/>
      <c r="AP964" s="500"/>
      <c r="AQ964" s="500"/>
      <c r="AR964" s="500"/>
      <c r="AS964" s="500"/>
      <c r="AT964" s="500"/>
      <c r="AU964" s="500"/>
      <c r="AV964" s="500"/>
      <c r="AW964" s="500"/>
      <c r="AX964" s="500"/>
      <c r="AY964" s="500"/>
      <c r="AZ964" s="500"/>
      <c r="BA964" s="500"/>
      <c r="BB964" s="500"/>
      <c r="BC964" s="500"/>
      <c r="BD964" s="500"/>
      <c r="BE964" s="500"/>
      <c r="BF964" s="500"/>
      <c r="BG964" s="500"/>
      <c r="BH964" s="500"/>
      <c r="BI964" s="500"/>
      <c r="BJ964" s="500"/>
      <c r="BK964" s="500"/>
      <c r="BL964" s="500"/>
      <c r="BM964" s="500"/>
      <c r="BN964" s="500"/>
      <c r="BO964" s="500"/>
      <c r="BP964" s="500"/>
      <c r="BQ964" s="500"/>
      <c r="BR964" s="500"/>
      <c r="BS964" s="500"/>
      <c r="BT964" s="500"/>
      <c r="BU964" s="500"/>
      <c r="BV964" s="500"/>
    </row>
    <row r="965" ht="14.25" customHeight="1">
      <c r="A965" s="500"/>
      <c r="B965" s="500"/>
      <c r="C965" s="500"/>
      <c r="D965" s="500"/>
      <c r="E965" s="500"/>
      <c r="F965" s="500"/>
      <c r="G965" s="500"/>
      <c r="H965" s="500"/>
      <c r="I965" s="500"/>
      <c r="J965" s="500"/>
      <c r="K965" s="500"/>
      <c r="L965" s="500"/>
      <c r="M965" s="500"/>
      <c r="N965" s="500"/>
      <c r="O965" s="500"/>
      <c r="P965" s="500"/>
      <c r="Q965" s="500"/>
      <c r="R965" s="500"/>
      <c r="S965" s="500"/>
      <c r="T965" s="500"/>
      <c r="U965" s="500"/>
      <c r="V965" s="500"/>
      <c r="W965" s="500"/>
      <c r="X965" s="500"/>
      <c r="Y965" s="500"/>
      <c r="Z965" s="501"/>
      <c r="AA965" s="501"/>
      <c r="AB965" s="501"/>
      <c r="AC965" s="501"/>
      <c r="AD965" s="500"/>
      <c r="AE965" s="500"/>
      <c r="AF965" s="503"/>
      <c r="AG965" s="503"/>
      <c r="AH965" s="504"/>
      <c r="AI965" s="500"/>
      <c r="AJ965" s="500"/>
      <c r="AK965" s="500"/>
      <c r="AL965" s="500"/>
      <c r="AM965" s="500"/>
      <c r="AN965" s="500"/>
      <c r="AO965" s="500"/>
      <c r="AP965" s="500"/>
      <c r="AQ965" s="500"/>
      <c r="AR965" s="500"/>
      <c r="AS965" s="500"/>
      <c r="AT965" s="500"/>
      <c r="AU965" s="500"/>
      <c r="AV965" s="500"/>
      <c r="AW965" s="500"/>
      <c r="AX965" s="500"/>
      <c r="AY965" s="500"/>
      <c r="AZ965" s="500"/>
      <c r="BA965" s="500"/>
      <c r="BB965" s="500"/>
      <c r="BC965" s="500"/>
      <c r="BD965" s="500"/>
      <c r="BE965" s="500"/>
      <c r="BF965" s="500"/>
      <c r="BG965" s="500"/>
      <c r="BH965" s="500"/>
      <c r="BI965" s="500"/>
      <c r="BJ965" s="500"/>
      <c r="BK965" s="500"/>
      <c r="BL965" s="500"/>
      <c r="BM965" s="500"/>
      <c r="BN965" s="500"/>
      <c r="BO965" s="500"/>
      <c r="BP965" s="500"/>
      <c r="BQ965" s="500"/>
      <c r="BR965" s="500"/>
      <c r="BS965" s="500"/>
      <c r="BT965" s="500"/>
      <c r="BU965" s="500"/>
      <c r="BV965" s="500"/>
    </row>
    <row r="966" ht="14.25" customHeight="1">
      <c r="A966" s="500"/>
      <c r="B966" s="500"/>
      <c r="C966" s="500"/>
      <c r="D966" s="500"/>
      <c r="E966" s="500"/>
      <c r="F966" s="500"/>
      <c r="G966" s="500"/>
      <c r="H966" s="500"/>
      <c r="I966" s="500"/>
      <c r="J966" s="500"/>
      <c r="K966" s="500"/>
      <c r="L966" s="500"/>
      <c r="M966" s="500"/>
      <c r="N966" s="500"/>
      <c r="O966" s="500"/>
      <c r="P966" s="500"/>
      <c r="Q966" s="500"/>
      <c r="R966" s="500"/>
      <c r="S966" s="500"/>
      <c r="T966" s="500"/>
      <c r="U966" s="500"/>
      <c r="V966" s="500"/>
      <c r="W966" s="500"/>
      <c r="X966" s="500"/>
      <c r="Y966" s="500"/>
      <c r="Z966" s="501"/>
      <c r="AA966" s="501"/>
      <c r="AB966" s="501"/>
      <c r="AC966" s="501"/>
      <c r="AD966" s="500"/>
      <c r="AE966" s="500"/>
      <c r="AF966" s="503"/>
      <c r="AG966" s="503"/>
      <c r="AH966" s="504"/>
      <c r="AI966" s="500"/>
      <c r="AJ966" s="500"/>
      <c r="AK966" s="500"/>
      <c r="AL966" s="500"/>
      <c r="AM966" s="500"/>
      <c r="AN966" s="500"/>
      <c r="AO966" s="500"/>
      <c r="AP966" s="500"/>
      <c r="AQ966" s="500"/>
      <c r="AR966" s="500"/>
      <c r="AS966" s="500"/>
      <c r="AT966" s="500"/>
      <c r="AU966" s="500"/>
      <c r="AV966" s="500"/>
      <c r="AW966" s="500"/>
      <c r="AX966" s="500"/>
      <c r="AY966" s="500"/>
      <c r="AZ966" s="500"/>
      <c r="BA966" s="500"/>
      <c r="BB966" s="500"/>
      <c r="BC966" s="500"/>
      <c r="BD966" s="500"/>
      <c r="BE966" s="500"/>
      <c r="BF966" s="500"/>
      <c r="BG966" s="500"/>
      <c r="BH966" s="500"/>
      <c r="BI966" s="500"/>
      <c r="BJ966" s="500"/>
      <c r="BK966" s="500"/>
      <c r="BL966" s="500"/>
      <c r="BM966" s="500"/>
      <c r="BN966" s="500"/>
      <c r="BO966" s="500"/>
      <c r="BP966" s="500"/>
      <c r="BQ966" s="500"/>
      <c r="BR966" s="500"/>
      <c r="BS966" s="500"/>
      <c r="BT966" s="500"/>
      <c r="BU966" s="500"/>
      <c r="BV966" s="500"/>
    </row>
    <row r="967" ht="14.25" customHeight="1">
      <c r="A967" s="500"/>
      <c r="B967" s="500"/>
      <c r="C967" s="500"/>
      <c r="D967" s="500"/>
      <c r="E967" s="500"/>
      <c r="F967" s="500"/>
      <c r="G967" s="500"/>
      <c r="H967" s="500"/>
      <c r="I967" s="500"/>
      <c r="J967" s="500"/>
      <c r="K967" s="500"/>
      <c r="L967" s="500"/>
      <c r="M967" s="500"/>
      <c r="N967" s="500"/>
      <c r="O967" s="500"/>
      <c r="P967" s="500"/>
      <c r="Q967" s="500"/>
      <c r="R967" s="500"/>
      <c r="S967" s="500"/>
      <c r="T967" s="500"/>
      <c r="U967" s="500"/>
      <c r="V967" s="500"/>
      <c r="W967" s="500"/>
      <c r="X967" s="500"/>
      <c r="Y967" s="500"/>
      <c r="Z967" s="501"/>
      <c r="AA967" s="501"/>
      <c r="AB967" s="501"/>
      <c r="AC967" s="501"/>
      <c r="AD967" s="500"/>
      <c r="AE967" s="500"/>
      <c r="AF967" s="503"/>
      <c r="AG967" s="503"/>
      <c r="AH967" s="504"/>
      <c r="AI967" s="500"/>
      <c r="AJ967" s="500"/>
      <c r="AK967" s="500"/>
      <c r="AL967" s="500"/>
      <c r="AM967" s="500"/>
      <c r="AN967" s="500"/>
      <c r="AO967" s="500"/>
      <c r="AP967" s="500"/>
      <c r="AQ967" s="500"/>
      <c r="AR967" s="500"/>
      <c r="AS967" s="500"/>
      <c r="AT967" s="500"/>
      <c r="AU967" s="500"/>
      <c r="AV967" s="500"/>
      <c r="AW967" s="500"/>
      <c r="AX967" s="500"/>
      <c r="AY967" s="500"/>
      <c r="AZ967" s="500"/>
      <c r="BA967" s="500"/>
      <c r="BB967" s="500"/>
      <c r="BC967" s="500"/>
      <c r="BD967" s="500"/>
      <c r="BE967" s="500"/>
      <c r="BF967" s="500"/>
      <c r="BG967" s="500"/>
      <c r="BH967" s="500"/>
      <c r="BI967" s="500"/>
      <c r="BJ967" s="500"/>
      <c r="BK967" s="500"/>
      <c r="BL967" s="500"/>
      <c r="BM967" s="500"/>
      <c r="BN967" s="500"/>
      <c r="BO967" s="500"/>
      <c r="BP967" s="500"/>
      <c r="BQ967" s="500"/>
      <c r="BR967" s="500"/>
      <c r="BS967" s="500"/>
      <c r="BT967" s="500"/>
      <c r="BU967" s="500"/>
      <c r="BV967" s="500"/>
    </row>
    <row r="968" ht="14.25" customHeight="1">
      <c r="A968" s="500"/>
      <c r="B968" s="500"/>
      <c r="C968" s="500"/>
      <c r="D968" s="500"/>
      <c r="E968" s="500"/>
      <c r="F968" s="500"/>
      <c r="G968" s="500"/>
      <c r="H968" s="500"/>
      <c r="I968" s="500"/>
      <c r="J968" s="500"/>
      <c r="K968" s="500"/>
      <c r="L968" s="500"/>
      <c r="M968" s="500"/>
      <c r="N968" s="500"/>
      <c r="O968" s="500"/>
      <c r="P968" s="500"/>
      <c r="Q968" s="500"/>
      <c r="R968" s="500"/>
      <c r="S968" s="500"/>
      <c r="T968" s="500"/>
      <c r="U968" s="500"/>
      <c r="V968" s="500"/>
      <c r="W968" s="500"/>
      <c r="X968" s="500"/>
      <c r="Y968" s="500"/>
      <c r="Z968" s="501"/>
      <c r="AA968" s="501"/>
      <c r="AB968" s="501"/>
      <c r="AC968" s="501"/>
      <c r="AD968" s="500"/>
      <c r="AE968" s="500"/>
      <c r="AF968" s="503"/>
      <c r="AG968" s="503"/>
      <c r="AH968" s="504"/>
      <c r="AI968" s="500"/>
      <c r="AJ968" s="500"/>
      <c r="AK968" s="500"/>
      <c r="AL968" s="500"/>
      <c r="AM968" s="500"/>
      <c r="AN968" s="500"/>
      <c r="AO968" s="500"/>
      <c r="AP968" s="500"/>
      <c r="AQ968" s="500"/>
      <c r="AR968" s="500"/>
      <c r="AS968" s="500"/>
      <c r="AT968" s="500"/>
      <c r="AU968" s="500"/>
      <c r="AV968" s="500"/>
      <c r="AW968" s="500"/>
      <c r="AX968" s="500"/>
      <c r="AY968" s="500"/>
      <c r="AZ968" s="500"/>
      <c r="BA968" s="500"/>
      <c r="BB968" s="500"/>
      <c r="BC968" s="500"/>
      <c r="BD968" s="500"/>
      <c r="BE968" s="500"/>
      <c r="BF968" s="500"/>
      <c r="BG968" s="500"/>
      <c r="BH968" s="500"/>
      <c r="BI968" s="500"/>
      <c r="BJ968" s="500"/>
      <c r="BK968" s="500"/>
      <c r="BL968" s="500"/>
      <c r="BM968" s="500"/>
      <c r="BN968" s="500"/>
      <c r="BO968" s="500"/>
      <c r="BP968" s="500"/>
      <c r="BQ968" s="500"/>
      <c r="BR968" s="500"/>
      <c r="BS968" s="500"/>
      <c r="BT968" s="500"/>
      <c r="BU968" s="500"/>
      <c r="BV968" s="500"/>
    </row>
    <row r="969" ht="14.25" customHeight="1">
      <c r="A969" s="500"/>
      <c r="B969" s="500"/>
      <c r="C969" s="500"/>
      <c r="D969" s="500"/>
      <c r="E969" s="500"/>
      <c r="F969" s="500"/>
      <c r="G969" s="500"/>
      <c r="H969" s="500"/>
      <c r="I969" s="500"/>
      <c r="J969" s="500"/>
      <c r="K969" s="500"/>
      <c r="L969" s="500"/>
      <c r="M969" s="500"/>
      <c r="N969" s="500"/>
      <c r="O969" s="500"/>
      <c r="P969" s="500"/>
      <c r="Q969" s="500"/>
      <c r="R969" s="500"/>
      <c r="S969" s="500"/>
      <c r="T969" s="500"/>
      <c r="U969" s="500"/>
      <c r="V969" s="500"/>
      <c r="W969" s="500"/>
      <c r="X969" s="500"/>
      <c r="Y969" s="500"/>
      <c r="Z969" s="501"/>
      <c r="AA969" s="501"/>
      <c r="AB969" s="501"/>
      <c r="AC969" s="501"/>
      <c r="AD969" s="500"/>
      <c r="AE969" s="500"/>
      <c r="AF969" s="503"/>
      <c r="AG969" s="503"/>
      <c r="AH969" s="504"/>
      <c r="AI969" s="500"/>
      <c r="AJ969" s="500"/>
      <c r="AK969" s="500"/>
      <c r="AL969" s="500"/>
      <c r="AM969" s="500"/>
      <c r="AN969" s="500"/>
      <c r="AO969" s="500"/>
      <c r="AP969" s="500"/>
      <c r="AQ969" s="500"/>
      <c r="AR969" s="500"/>
      <c r="AS969" s="500"/>
      <c r="AT969" s="500"/>
      <c r="AU969" s="500"/>
      <c r="AV969" s="500"/>
      <c r="AW969" s="500"/>
      <c r="AX969" s="500"/>
      <c r="AY969" s="500"/>
      <c r="AZ969" s="500"/>
      <c r="BA969" s="500"/>
      <c r="BB969" s="500"/>
      <c r="BC969" s="500"/>
      <c r="BD969" s="500"/>
      <c r="BE969" s="500"/>
      <c r="BF969" s="500"/>
      <c r="BG969" s="500"/>
      <c r="BH969" s="500"/>
      <c r="BI969" s="500"/>
      <c r="BJ969" s="500"/>
      <c r="BK969" s="500"/>
      <c r="BL969" s="500"/>
      <c r="BM969" s="500"/>
      <c r="BN969" s="500"/>
      <c r="BO969" s="500"/>
      <c r="BP969" s="500"/>
      <c r="BQ969" s="500"/>
      <c r="BR969" s="500"/>
      <c r="BS969" s="500"/>
      <c r="BT969" s="500"/>
      <c r="BU969" s="500"/>
      <c r="BV969" s="500"/>
    </row>
    <row r="970" ht="14.25" customHeight="1">
      <c r="A970" s="500"/>
      <c r="B970" s="500"/>
      <c r="C970" s="500"/>
      <c r="D970" s="500"/>
      <c r="E970" s="500"/>
      <c r="F970" s="500"/>
      <c r="G970" s="500"/>
      <c r="H970" s="500"/>
      <c r="I970" s="500"/>
      <c r="J970" s="500"/>
      <c r="K970" s="500"/>
      <c r="L970" s="500"/>
      <c r="M970" s="500"/>
      <c r="N970" s="500"/>
      <c r="O970" s="500"/>
      <c r="P970" s="500"/>
      <c r="Q970" s="500"/>
      <c r="R970" s="500"/>
      <c r="S970" s="500"/>
      <c r="T970" s="500"/>
      <c r="U970" s="500"/>
      <c r="V970" s="500"/>
      <c r="W970" s="500"/>
      <c r="X970" s="500"/>
      <c r="Y970" s="500"/>
      <c r="Z970" s="501"/>
      <c r="AA970" s="501"/>
      <c r="AB970" s="501"/>
      <c r="AC970" s="501"/>
      <c r="AD970" s="500"/>
      <c r="AE970" s="500"/>
      <c r="AF970" s="503"/>
      <c r="AG970" s="503"/>
      <c r="AH970" s="504"/>
      <c r="AI970" s="500"/>
      <c r="AJ970" s="500"/>
      <c r="AK970" s="500"/>
      <c r="AL970" s="500"/>
      <c r="AM970" s="500"/>
      <c r="AN970" s="500"/>
      <c r="AO970" s="500"/>
      <c r="AP970" s="500"/>
      <c r="AQ970" s="500"/>
      <c r="AR970" s="500"/>
      <c r="AS970" s="500"/>
      <c r="AT970" s="500"/>
      <c r="AU970" s="500"/>
      <c r="AV970" s="500"/>
      <c r="AW970" s="500"/>
      <c r="AX970" s="500"/>
      <c r="AY970" s="500"/>
      <c r="AZ970" s="500"/>
      <c r="BA970" s="500"/>
      <c r="BB970" s="500"/>
      <c r="BC970" s="500"/>
      <c r="BD970" s="500"/>
      <c r="BE970" s="500"/>
      <c r="BF970" s="500"/>
      <c r="BG970" s="500"/>
      <c r="BH970" s="500"/>
      <c r="BI970" s="500"/>
      <c r="BJ970" s="500"/>
      <c r="BK970" s="500"/>
      <c r="BL970" s="500"/>
      <c r="BM970" s="500"/>
      <c r="BN970" s="500"/>
      <c r="BO970" s="500"/>
      <c r="BP970" s="500"/>
      <c r="BQ970" s="500"/>
      <c r="BR970" s="500"/>
      <c r="BS970" s="500"/>
      <c r="BT970" s="500"/>
      <c r="BU970" s="500"/>
      <c r="BV970" s="500"/>
    </row>
    <row r="971" ht="14.25" customHeight="1">
      <c r="A971" s="500"/>
      <c r="B971" s="500"/>
      <c r="C971" s="500"/>
      <c r="D971" s="500"/>
      <c r="E971" s="500"/>
      <c r="F971" s="500"/>
      <c r="G971" s="500"/>
      <c r="H971" s="500"/>
      <c r="I971" s="500"/>
      <c r="J971" s="500"/>
      <c r="K971" s="500"/>
      <c r="L971" s="500"/>
      <c r="M971" s="500"/>
      <c r="N971" s="500"/>
      <c r="O971" s="500"/>
      <c r="P971" s="500"/>
      <c r="Q971" s="500"/>
      <c r="R971" s="500"/>
      <c r="S971" s="500"/>
      <c r="T971" s="500"/>
      <c r="U971" s="500"/>
      <c r="V971" s="500"/>
      <c r="W971" s="500"/>
      <c r="X971" s="500"/>
      <c r="Y971" s="500"/>
      <c r="Z971" s="501"/>
      <c r="AA971" s="501"/>
      <c r="AB971" s="501"/>
      <c r="AC971" s="501"/>
      <c r="AD971" s="500"/>
      <c r="AE971" s="500"/>
      <c r="AF971" s="503"/>
      <c r="AG971" s="503"/>
      <c r="AH971" s="504"/>
      <c r="AI971" s="500"/>
      <c r="AJ971" s="500"/>
      <c r="AK971" s="500"/>
      <c r="AL971" s="500"/>
      <c r="AM971" s="500"/>
      <c r="AN971" s="500"/>
      <c r="AO971" s="500"/>
      <c r="AP971" s="500"/>
      <c r="AQ971" s="500"/>
      <c r="AR971" s="500"/>
      <c r="AS971" s="500"/>
      <c r="AT971" s="500"/>
      <c r="AU971" s="500"/>
      <c r="AV971" s="500"/>
      <c r="AW971" s="500"/>
      <c r="AX971" s="500"/>
      <c r="AY971" s="500"/>
      <c r="AZ971" s="500"/>
      <c r="BA971" s="500"/>
      <c r="BB971" s="500"/>
      <c r="BC971" s="500"/>
      <c r="BD971" s="500"/>
      <c r="BE971" s="500"/>
      <c r="BF971" s="500"/>
      <c r="BG971" s="500"/>
      <c r="BH971" s="500"/>
      <c r="BI971" s="500"/>
      <c r="BJ971" s="500"/>
      <c r="BK971" s="500"/>
      <c r="BL971" s="500"/>
      <c r="BM971" s="500"/>
      <c r="BN971" s="500"/>
      <c r="BO971" s="500"/>
      <c r="BP971" s="500"/>
      <c r="BQ971" s="500"/>
      <c r="BR971" s="500"/>
      <c r="BS971" s="500"/>
      <c r="BT971" s="500"/>
      <c r="BU971" s="500"/>
      <c r="BV971" s="500"/>
    </row>
    <row r="972" ht="14.25" customHeight="1">
      <c r="A972" s="500"/>
      <c r="B972" s="500"/>
      <c r="C972" s="500"/>
      <c r="D972" s="500"/>
      <c r="E972" s="500"/>
      <c r="F972" s="500"/>
      <c r="G972" s="500"/>
      <c r="H972" s="500"/>
      <c r="I972" s="500"/>
      <c r="J972" s="500"/>
      <c r="K972" s="500"/>
      <c r="L972" s="500"/>
      <c r="M972" s="500"/>
      <c r="N972" s="500"/>
      <c r="O972" s="500"/>
      <c r="P972" s="500"/>
      <c r="Q972" s="500"/>
      <c r="R972" s="500"/>
      <c r="S972" s="500"/>
      <c r="T972" s="500"/>
      <c r="U972" s="500"/>
      <c r="V972" s="500"/>
      <c r="W972" s="500"/>
      <c r="X972" s="500"/>
      <c r="Y972" s="500"/>
      <c r="Z972" s="501"/>
      <c r="AA972" s="501"/>
      <c r="AB972" s="501"/>
      <c r="AC972" s="501"/>
      <c r="AD972" s="500"/>
      <c r="AE972" s="500"/>
      <c r="AF972" s="503"/>
      <c r="AG972" s="503"/>
      <c r="AH972" s="504"/>
      <c r="AI972" s="500"/>
      <c r="AJ972" s="500"/>
      <c r="AK972" s="500"/>
      <c r="AL972" s="500"/>
      <c r="AM972" s="500"/>
      <c r="AN972" s="500"/>
      <c r="AO972" s="500"/>
      <c r="AP972" s="500"/>
      <c r="AQ972" s="500"/>
      <c r="AR972" s="500"/>
      <c r="AS972" s="500"/>
      <c r="AT972" s="500"/>
      <c r="AU972" s="500"/>
      <c r="AV972" s="500"/>
      <c r="AW972" s="500"/>
      <c r="AX972" s="500"/>
      <c r="AY972" s="500"/>
      <c r="AZ972" s="500"/>
      <c r="BA972" s="500"/>
      <c r="BB972" s="500"/>
      <c r="BC972" s="500"/>
      <c r="BD972" s="500"/>
      <c r="BE972" s="500"/>
      <c r="BF972" s="500"/>
      <c r="BG972" s="500"/>
      <c r="BH972" s="500"/>
      <c r="BI972" s="500"/>
      <c r="BJ972" s="500"/>
      <c r="BK972" s="500"/>
      <c r="BL972" s="500"/>
      <c r="BM972" s="500"/>
      <c r="BN972" s="500"/>
      <c r="BO972" s="500"/>
      <c r="BP972" s="500"/>
      <c r="BQ972" s="500"/>
      <c r="BR972" s="500"/>
      <c r="BS972" s="500"/>
      <c r="BT972" s="500"/>
      <c r="BU972" s="500"/>
      <c r="BV972" s="500"/>
    </row>
    <row r="973" ht="14.25" customHeight="1">
      <c r="A973" s="500"/>
      <c r="B973" s="500"/>
      <c r="C973" s="500"/>
      <c r="D973" s="500"/>
      <c r="E973" s="500"/>
      <c r="F973" s="500"/>
      <c r="G973" s="500"/>
      <c r="H973" s="500"/>
      <c r="I973" s="500"/>
      <c r="J973" s="500"/>
      <c r="K973" s="500"/>
      <c r="L973" s="500"/>
      <c r="M973" s="500"/>
      <c r="N973" s="500"/>
      <c r="O973" s="500"/>
      <c r="P973" s="500"/>
      <c r="Q973" s="500"/>
      <c r="R973" s="500"/>
      <c r="S973" s="500"/>
      <c r="T973" s="500"/>
      <c r="U973" s="500"/>
      <c r="V973" s="500"/>
      <c r="W973" s="500"/>
      <c r="X973" s="500"/>
      <c r="Y973" s="500"/>
      <c r="Z973" s="501"/>
      <c r="AA973" s="501"/>
      <c r="AB973" s="501"/>
      <c r="AC973" s="501"/>
      <c r="AD973" s="500"/>
      <c r="AE973" s="500"/>
      <c r="AF973" s="503"/>
      <c r="AG973" s="503"/>
      <c r="AH973" s="504"/>
      <c r="AI973" s="500"/>
      <c r="AJ973" s="500"/>
      <c r="AK973" s="500"/>
      <c r="AL973" s="500"/>
      <c r="AM973" s="500"/>
      <c r="AN973" s="500"/>
      <c r="AO973" s="500"/>
      <c r="AP973" s="500"/>
      <c r="AQ973" s="500"/>
      <c r="AR973" s="500"/>
      <c r="AS973" s="500"/>
      <c r="AT973" s="500"/>
      <c r="AU973" s="500"/>
      <c r="AV973" s="500"/>
      <c r="AW973" s="500"/>
      <c r="AX973" s="500"/>
      <c r="AY973" s="500"/>
      <c r="AZ973" s="500"/>
      <c r="BA973" s="500"/>
      <c r="BB973" s="500"/>
      <c r="BC973" s="500"/>
      <c r="BD973" s="500"/>
      <c r="BE973" s="500"/>
      <c r="BF973" s="500"/>
      <c r="BG973" s="500"/>
      <c r="BH973" s="500"/>
      <c r="BI973" s="500"/>
      <c r="BJ973" s="500"/>
      <c r="BK973" s="500"/>
      <c r="BL973" s="500"/>
      <c r="BM973" s="500"/>
      <c r="BN973" s="500"/>
      <c r="BO973" s="500"/>
      <c r="BP973" s="500"/>
      <c r="BQ973" s="500"/>
      <c r="BR973" s="500"/>
      <c r="BS973" s="500"/>
      <c r="BT973" s="500"/>
      <c r="BU973" s="500"/>
      <c r="BV973" s="500"/>
    </row>
    <row r="974" ht="14.25" customHeight="1">
      <c r="A974" s="500"/>
      <c r="B974" s="500"/>
      <c r="C974" s="500"/>
      <c r="D974" s="500"/>
      <c r="E974" s="500"/>
      <c r="F974" s="500"/>
      <c r="G974" s="500"/>
      <c r="H974" s="500"/>
      <c r="I974" s="500"/>
      <c r="J974" s="500"/>
      <c r="K974" s="500"/>
      <c r="L974" s="500"/>
      <c r="M974" s="500"/>
      <c r="N974" s="500"/>
      <c r="O974" s="500"/>
      <c r="P974" s="500"/>
      <c r="Q974" s="500"/>
      <c r="R974" s="500"/>
      <c r="S974" s="500"/>
      <c r="T974" s="500"/>
      <c r="U974" s="500"/>
      <c r="V974" s="500"/>
      <c r="W974" s="500"/>
      <c r="X974" s="500"/>
      <c r="Y974" s="500"/>
      <c r="Z974" s="501"/>
      <c r="AA974" s="501"/>
      <c r="AB974" s="501"/>
      <c r="AC974" s="501"/>
      <c r="AD974" s="500"/>
      <c r="AE974" s="500"/>
      <c r="AF974" s="503"/>
      <c r="AG974" s="503"/>
      <c r="AH974" s="504"/>
      <c r="AI974" s="500"/>
      <c r="AJ974" s="500"/>
      <c r="AK974" s="500"/>
      <c r="AL974" s="500"/>
      <c r="AM974" s="500"/>
      <c r="AN974" s="500"/>
      <c r="AO974" s="500"/>
      <c r="AP974" s="500"/>
      <c r="AQ974" s="500"/>
      <c r="AR974" s="500"/>
      <c r="AS974" s="500"/>
      <c r="AT974" s="500"/>
      <c r="AU974" s="500"/>
      <c r="AV974" s="500"/>
      <c r="AW974" s="500"/>
      <c r="AX974" s="500"/>
      <c r="AY974" s="500"/>
      <c r="AZ974" s="500"/>
      <c r="BA974" s="500"/>
      <c r="BB974" s="500"/>
      <c r="BC974" s="500"/>
      <c r="BD974" s="500"/>
      <c r="BE974" s="500"/>
      <c r="BF974" s="500"/>
      <c r="BG974" s="500"/>
      <c r="BH974" s="500"/>
      <c r="BI974" s="500"/>
      <c r="BJ974" s="500"/>
      <c r="BK974" s="500"/>
      <c r="BL974" s="500"/>
      <c r="BM974" s="500"/>
      <c r="BN974" s="500"/>
      <c r="BO974" s="500"/>
      <c r="BP974" s="500"/>
      <c r="BQ974" s="500"/>
      <c r="BR974" s="500"/>
      <c r="BS974" s="500"/>
      <c r="BT974" s="500"/>
      <c r="BU974" s="500"/>
      <c r="BV974" s="500"/>
    </row>
    <row r="975" ht="14.25" customHeight="1">
      <c r="A975" s="500"/>
      <c r="B975" s="500"/>
      <c r="C975" s="500"/>
      <c r="D975" s="500"/>
      <c r="E975" s="500"/>
      <c r="F975" s="500"/>
      <c r="G975" s="500"/>
      <c r="H975" s="500"/>
      <c r="I975" s="500"/>
      <c r="J975" s="500"/>
      <c r="K975" s="500"/>
      <c r="L975" s="500"/>
      <c r="M975" s="500"/>
      <c r="N975" s="500"/>
      <c r="O975" s="500"/>
      <c r="P975" s="500"/>
      <c r="Q975" s="500"/>
      <c r="R975" s="500"/>
      <c r="S975" s="500"/>
      <c r="T975" s="500"/>
      <c r="U975" s="500"/>
      <c r="V975" s="500"/>
      <c r="W975" s="500"/>
      <c r="X975" s="500"/>
      <c r="Y975" s="500"/>
      <c r="Z975" s="501"/>
      <c r="AA975" s="501"/>
      <c r="AB975" s="501"/>
      <c r="AC975" s="501"/>
      <c r="AD975" s="500"/>
      <c r="AE975" s="500"/>
      <c r="AF975" s="503"/>
      <c r="AG975" s="503"/>
      <c r="AH975" s="504"/>
      <c r="AI975" s="500"/>
      <c r="AJ975" s="500"/>
      <c r="AK975" s="500"/>
      <c r="AL975" s="500"/>
      <c r="AM975" s="500"/>
      <c r="AN975" s="500"/>
      <c r="AO975" s="500"/>
      <c r="AP975" s="500"/>
      <c r="AQ975" s="500"/>
      <c r="AR975" s="500"/>
      <c r="AS975" s="500"/>
      <c r="AT975" s="500"/>
      <c r="AU975" s="500"/>
      <c r="AV975" s="500"/>
      <c r="AW975" s="500"/>
      <c r="AX975" s="500"/>
      <c r="AY975" s="500"/>
      <c r="AZ975" s="500"/>
      <c r="BA975" s="500"/>
      <c r="BB975" s="500"/>
      <c r="BC975" s="500"/>
      <c r="BD975" s="500"/>
      <c r="BE975" s="500"/>
      <c r="BF975" s="500"/>
      <c r="BG975" s="500"/>
      <c r="BH975" s="500"/>
      <c r="BI975" s="500"/>
      <c r="BJ975" s="500"/>
      <c r="BK975" s="500"/>
      <c r="BL975" s="500"/>
      <c r="BM975" s="500"/>
      <c r="BN975" s="500"/>
      <c r="BO975" s="500"/>
      <c r="BP975" s="500"/>
      <c r="BQ975" s="500"/>
      <c r="BR975" s="500"/>
      <c r="BS975" s="500"/>
      <c r="BT975" s="500"/>
      <c r="BU975" s="500"/>
      <c r="BV975" s="500"/>
    </row>
    <row r="976" ht="14.25" customHeight="1">
      <c r="A976" s="500"/>
      <c r="B976" s="500"/>
      <c r="C976" s="500"/>
      <c r="D976" s="500"/>
      <c r="E976" s="500"/>
      <c r="F976" s="500"/>
      <c r="G976" s="500"/>
      <c r="H976" s="500"/>
      <c r="I976" s="500"/>
      <c r="J976" s="500"/>
      <c r="K976" s="500"/>
      <c r="L976" s="500"/>
      <c r="M976" s="500"/>
      <c r="N976" s="500"/>
      <c r="O976" s="500"/>
      <c r="P976" s="500"/>
      <c r="Q976" s="500"/>
      <c r="R976" s="500"/>
      <c r="S976" s="500"/>
      <c r="T976" s="500"/>
      <c r="U976" s="500"/>
      <c r="V976" s="500"/>
      <c r="W976" s="500"/>
      <c r="X976" s="500"/>
      <c r="Y976" s="500"/>
      <c r="Z976" s="501"/>
      <c r="AA976" s="501"/>
      <c r="AB976" s="501"/>
      <c r="AC976" s="501"/>
      <c r="AD976" s="500"/>
      <c r="AE976" s="500"/>
      <c r="AF976" s="503"/>
      <c r="AG976" s="503"/>
      <c r="AH976" s="504"/>
      <c r="AI976" s="500"/>
      <c r="AJ976" s="500"/>
      <c r="AK976" s="500"/>
      <c r="AL976" s="500"/>
      <c r="AM976" s="500"/>
      <c r="AN976" s="500"/>
      <c r="AO976" s="500"/>
      <c r="AP976" s="500"/>
      <c r="AQ976" s="500"/>
      <c r="AR976" s="500"/>
      <c r="AS976" s="500"/>
      <c r="AT976" s="500"/>
      <c r="AU976" s="500"/>
      <c r="AV976" s="500"/>
      <c r="AW976" s="500"/>
      <c r="AX976" s="500"/>
      <c r="AY976" s="500"/>
      <c r="AZ976" s="500"/>
      <c r="BA976" s="500"/>
      <c r="BB976" s="500"/>
      <c r="BC976" s="500"/>
      <c r="BD976" s="500"/>
      <c r="BE976" s="500"/>
      <c r="BF976" s="500"/>
      <c r="BG976" s="500"/>
      <c r="BH976" s="500"/>
      <c r="BI976" s="500"/>
      <c r="BJ976" s="500"/>
      <c r="BK976" s="500"/>
      <c r="BL976" s="500"/>
      <c r="BM976" s="500"/>
      <c r="BN976" s="500"/>
      <c r="BO976" s="500"/>
      <c r="BP976" s="500"/>
      <c r="BQ976" s="500"/>
      <c r="BR976" s="500"/>
      <c r="BS976" s="500"/>
      <c r="BT976" s="500"/>
      <c r="BU976" s="500"/>
      <c r="BV976" s="500"/>
    </row>
    <row r="977" ht="14.25" customHeight="1">
      <c r="A977" s="500"/>
      <c r="B977" s="500"/>
      <c r="C977" s="500"/>
      <c r="D977" s="500"/>
      <c r="E977" s="500"/>
      <c r="F977" s="500"/>
      <c r="G977" s="500"/>
      <c r="H977" s="500"/>
      <c r="I977" s="500"/>
      <c r="J977" s="500"/>
      <c r="K977" s="500"/>
      <c r="L977" s="500"/>
      <c r="M977" s="500"/>
      <c r="N977" s="500"/>
      <c r="O977" s="500"/>
      <c r="P977" s="500"/>
      <c r="Q977" s="500"/>
      <c r="R977" s="500"/>
      <c r="S977" s="500"/>
      <c r="T977" s="500"/>
      <c r="U977" s="500"/>
      <c r="V977" s="500"/>
      <c r="W977" s="500"/>
      <c r="X977" s="500"/>
      <c r="Y977" s="500"/>
      <c r="Z977" s="501"/>
      <c r="AA977" s="501"/>
      <c r="AB977" s="501"/>
      <c r="AC977" s="501"/>
      <c r="AD977" s="500"/>
      <c r="AE977" s="500"/>
      <c r="AF977" s="503"/>
      <c r="AG977" s="503"/>
      <c r="AH977" s="504"/>
      <c r="AI977" s="500"/>
      <c r="AJ977" s="500"/>
      <c r="AK977" s="500"/>
      <c r="AL977" s="500"/>
      <c r="AM977" s="500"/>
      <c r="AN977" s="500"/>
      <c r="AO977" s="500"/>
      <c r="AP977" s="500"/>
      <c r="AQ977" s="500"/>
      <c r="AR977" s="500"/>
      <c r="AS977" s="500"/>
      <c r="AT977" s="500"/>
      <c r="AU977" s="500"/>
      <c r="AV977" s="500"/>
      <c r="AW977" s="500"/>
      <c r="AX977" s="500"/>
      <c r="AY977" s="500"/>
      <c r="AZ977" s="500"/>
      <c r="BA977" s="500"/>
      <c r="BB977" s="500"/>
      <c r="BC977" s="500"/>
      <c r="BD977" s="500"/>
      <c r="BE977" s="500"/>
      <c r="BF977" s="500"/>
      <c r="BG977" s="500"/>
      <c r="BH977" s="500"/>
      <c r="BI977" s="500"/>
      <c r="BJ977" s="500"/>
      <c r="BK977" s="500"/>
      <c r="BL977" s="500"/>
      <c r="BM977" s="500"/>
      <c r="BN977" s="500"/>
      <c r="BO977" s="500"/>
      <c r="BP977" s="500"/>
      <c r="BQ977" s="500"/>
      <c r="BR977" s="500"/>
      <c r="BS977" s="500"/>
      <c r="BT977" s="500"/>
      <c r="BU977" s="500"/>
      <c r="BV977" s="500"/>
    </row>
    <row r="978" ht="14.25" customHeight="1">
      <c r="A978" s="500"/>
      <c r="B978" s="500"/>
      <c r="C978" s="500"/>
      <c r="D978" s="500"/>
      <c r="E978" s="500"/>
      <c r="F978" s="500"/>
      <c r="G978" s="500"/>
      <c r="H978" s="500"/>
      <c r="I978" s="500"/>
      <c r="J978" s="500"/>
      <c r="K978" s="500"/>
      <c r="L978" s="500"/>
      <c r="M978" s="500"/>
      <c r="N978" s="500"/>
      <c r="O978" s="500"/>
      <c r="P978" s="500"/>
      <c r="Q978" s="500"/>
      <c r="R978" s="500"/>
      <c r="S978" s="500"/>
      <c r="T978" s="500"/>
      <c r="U978" s="500"/>
      <c r="V978" s="500"/>
      <c r="W978" s="500"/>
      <c r="X978" s="500"/>
      <c r="Y978" s="500"/>
      <c r="Z978" s="501"/>
      <c r="AA978" s="501"/>
      <c r="AB978" s="501"/>
      <c r="AC978" s="501"/>
      <c r="AD978" s="500"/>
      <c r="AE978" s="500"/>
      <c r="AF978" s="503"/>
      <c r="AG978" s="503"/>
      <c r="AH978" s="504"/>
      <c r="AI978" s="500"/>
      <c r="AJ978" s="500"/>
      <c r="AK978" s="500"/>
      <c r="AL978" s="500"/>
      <c r="AM978" s="500"/>
      <c r="AN978" s="500"/>
      <c r="AO978" s="500"/>
      <c r="AP978" s="500"/>
      <c r="AQ978" s="500"/>
      <c r="AR978" s="500"/>
      <c r="AS978" s="500"/>
      <c r="AT978" s="500"/>
      <c r="AU978" s="500"/>
      <c r="AV978" s="500"/>
      <c r="AW978" s="500"/>
      <c r="AX978" s="500"/>
      <c r="AY978" s="500"/>
      <c r="AZ978" s="500"/>
      <c r="BA978" s="500"/>
      <c r="BB978" s="500"/>
      <c r="BC978" s="500"/>
      <c r="BD978" s="500"/>
      <c r="BE978" s="500"/>
      <c r="BF978" s="500"/>
      <c r="BG978" s="500"/>
      <c r="BH978" s="500"/>
      <c r="BI978" s="500"/>
      <c r="BJ978" s="500"/>
      <c r="BK978" s="500"/>
      <c r="BL978" s="500"/>
      <c r="BM978" s="500"/>
      <c r="BN978" s="500"/>
      <c r="BO978" s="500"/>
      <c r="BP978" s="500"/>
      <c r="BQ978" s="500"/>
      <c r="BR978" s="500"/>
      <c r="BS978" s="500"/>
      <c r="BT978" s="500"/>
      <c r="BU978" s="500"/>
      <c r="BV978" s="500"/>
    </row>
    <row r="979" ht="14.25" customHeight="1">
      <c r="A979" s="500"/>
      <c r="B979" s="500"/>
      <c r="C979" s="500"/>
      <c r="D979" s="500"/>
      <c r="E979" s="500"/>
      <c r="F979" s="500"/>
      <c r="G979" s="500"/>
      <c r="H979" s="500"/>
      <c r="I979" s="500"/>
      <c r="J979" s="500"/>
      <c r="K979" s="500"/>
      <c r="L979" s="500"/>
      <c r="M979" s="500"/>
      <c r="N979" s="500"/>
      <c r="O979" s="500"/>
      <c r="P979" s="500"/>
      <c r="Q979" s="500"/>
      <c r="R979" s="500"/>
      <c r="S979" s="500"/>
      <c r="T979" s="500"/>
      <c r="U979" s="500"/>
      <c r="V979" s="500"/>
      <c r="W979" s="500"/>
      <c r="X979" s="500"/>
      <c r="Y979" s="500"/>
      <c r="Z979" s="501"/>
      <c r="AA979" s="501"/>
      <c r="AB979" s="501"/>
      <c r="AC979" s="501"/>
      <c r="AD979" s="500"/>
      <c r="AE979" s="500"/>
      <c r="AF979" s="503"/>
      <c r="AG979" s="503"/>
      <c r="AH979" s="504"/>
      <c r="AI979" s="500"/>
      <c r="AJ979" s="500"/>
      <c r="AK979" s="500"/>
      <c r="AL979" s="500"/>
      <c r="AM979" s="500"/>
      <c r="AN979" s="500"/>
      <c r="AO979" s="500"/>
      <c r="AP979" s="500"/>
      <c r="AQ979" s="500"/>
      <c r="AR979" s="500"/>
      <c r="AS979" s="500"/>
      <c r="AT979" s="500"/>
      <c r="AU979" s="500"/>
      <c r="AV979" s="500"/>
      <c r="AW979" s="500"/>
      <c r="AX979" s="500"/>
      <c r="AY979" s="500"/>
      <c r="AZ979" s="500"/>
      <c r="BA979" s="500"/>
      <c r="BB979" s="500"/>
      <c r="BC979" s="500"/>
      <c r="BD979" s="500"/>
      <c r="BE979" s="500"/>
      <c r="BF979" s="500"/>
      <c r="BG979" s="500"/>
      <c r="BH979" s="500"/>
      <c r="BI979" s="500"/>
      <c r="BJ979" s="500"/>
      <c r="BK979" s="500"/>
      <c r="BL979" s="500"/>
      <c r="BM979" s="500"/>
      <c r="BN979" s="500"/>
      <c r="BO979" s="500"/>
      <c r="BP979" s="500"/>
      <c r="BQ979" s="500"/>
      <c r="BR979" s="500"/>
      <c r="BS979" s="500"/>
      <c r="BT979" s="500"/>
      <c r="BU979" s="500"/>
      <c r="BV979" s="500"/>
    </row>
    <row r="980" ht="14.25" customHeight="1">
      <c r="A980" s="500"/>
      <c r="B980" s="500"/>
      <c r="C980" s="500"/>
      <c r="D980" s="500"/>
      <c r="E980" s="500"/>
      <c r="F980" s="500"/>
      <c r="G980" s="500"/>
      <c r="H980" s="500"/>
      <c r="I980" s="500"/>
      <c r="J980" s="500"/>
      <c r="K980" s="500"/>
      <c r="L980" s="500"/>
      <c r="M980" s="500"/>
      <c r="N980" s="500"/>
      <c r="O980" s="500"/>
      <c r="P980" s="500"/>
      <c r="Q980" s="500"/>
      <c r="R980" s="500"/>
      <c r="S980" s="500"/>
      <c r="T980" s="500"/>
      <c r="U980" s="500"/>
      <c r="V980" s="500"/>
      <c r="W980" s="500"/>
      <c r="X980" s="500"/>
      <c r="Y980" s="500"/>
      <c r="Z980" s="501"/>
      <c r="AA980" s="501"/>
      <c r="AB980" s="501"/>
      <c r="AC980" s="501"/>
      <c r="AD980" s="500"/>
      <c r="AE980" s="500"/>
      <c r="AF980" s="503"/>
      <c r="AG980" s="503"/>
      <c r="AH980" s="504"/>
      <c r="AI980" s="500"/>
      <c r="AJ980" s="500"/>
      <c r="AK980" s="500"/>
      <c r="AL980" s="500"/>
      <c r="AM980" s="500"/>
      <c r="AN980" s="500"/>
      <c r="AO980" s="500"/>
      <c r="AP980" s="500"/>
      <c r="AQ980" s="500"/>
      <c r="AR980" s="500"/>
      <c r="AS980" s="500"/>
      <c r="AT980" s="500"/>
      <c r="AU980" s="500"/>
      <c r="AV980" s="500"/>
      <c r="AW980" s="500"/>
      <c r="AX980" s="500"/>
      <c r="AY980" s="500"/>
      <c r="AZ980" s="500"/>
      <c r="BA980" s="500"/>
      <c r="BB980" s="500"/>
      <c r="BC980" s="500"/>
      <c r="BD980" s="500"/>
      <c r="BE980" s="500"/>
      <c r="BF980" s="500"/>
      <c r="BG980" s="500"/>
      <c r="BH980" s="500"/>
      <c r="BI980" s="500"/>
      <c r="BJ980" s="500"/>
      <c r="BK980" s="500"/>
      <c r="BL980" s="500"/>
      <c r="BM980" s="500"/>
      <c r="BN980" s="500"/>
      <c r="BO980" s="500"/>
      <c r="BP980" s="500"/>
      <c r="BQ980" s="500"/>
      <c r="BR980" s="500"/>
      <c r="BS980" s="500"/>
      <c r="BT980" s="500"/>
      <c r="BU980" s="500"/>
      <c r="BV980" s="500"/>
    </row>
    <row r="981" ht="14.25" customHeight="1">
      <c r="A981" s="500"/>
      <c r="B981" s="500"/>
      <c r="C981" s="500"/>
      <c r="D981" s="500"/>
      <c r="E981" s="500"/>
      <c r="F981" s="500"/>
      <c r="G981" s="500"/>
      <c r="H981" s="500"/>
      <c r="I981" s="500"/>
      <c r="J981" s="500"/>
      <c r="K981" s="500"/>
      <c r="L981" s="500"/>
      <c r="M981" s="500"/>
      <c r="N981" s="500"/>
      <c r="O981" s="500"/>
      <c r="P981" s="500"/>
      <c r="Q981" s="500"/>
      <c r="R981" s="500"/>
      <c r="S981" s="500"/>
      <c r="T981" s="500"/>
      <c r="U981" s="500"/>
      <c r="V981" s="500"/>
      <c r="W981" s="500"/>
      <c r="X981" s="500"/>
      <c r="Y981" s="500"/>
      <c r="Z981" s="501"/>
      <c r="AA981" s="501"/>
      <c r="AB981" s="501"/>
      <c r="AC981" s="501"/>
      <c r="AD981" s="500"/>
      <c r="AE981" s="500"/>
      <c r="AF981" s="503"/>
      <c r="AG981" s="503"/>
      <c r="AH981" s="504"/>
      <c r="AI981" s="500"/>
      <c r="AJ981" s="500"/>
      <c r="AK981" s="500"/>
      <c r="AL981" s="500"/>
      <c r="AM981" s="500"/>
      <c r="AN981" s="500"/>
      <c r="AO981" s="500"/>
      <c r="AP981" s="500"/>
      <c r="AQ981" s="500"/>
      <c r="AR981" s="500"/>
      <c r="AS981" s="500"/>
      <c r="AT981" s="500"/>
      <c r="AU981" s="500"/>
      <c r="AV981" s="500"/>
      <c r="AW981" s="500"/>
      <c r="AX981" s="500"/>
      <c r="AY981" s="500"/>
      <c r="AZ981" s="500"/>
      <c r="BA981" s="500"/>
      <c r="BB981" s="500"/>
      <c r="BC981" s="500"/>
      <c r="BD981" s="500"/>
      <c r="BE981" s="500"/>
      <c r="BF981" s="500"/>
      <c r="BG981" s="500"/>
      <c r="BH981" s="500"/>
      <c r="BI981" s="500"/>
      <c r="BJ981" s="500"/>
      <c r="BK981" s="500"/>
      <c r="BL981" s="500"/>
      <c r="BM981" s="500"/>
      <c r="BN981" s="500"/>
      <c r="BO981" s="500"/>
      <c r="BP981" s="500"/>
      <c r="BQ981" s="500"/>
      <c r="BR981" s="500"/>
      <c r="BS981" s="500"/>
      <c r="BT981" s="500"/>
      <c r="BU981" s="500"/>
      <c r="BV981" s="500"/>
    </row>
    <row r="982" ht="14.25" customHeight="1">
      <c r="A982" s="500"/>
      <c r="B982" s="500"/>
      <c r="C982" s="500"/>
      <c r="D982" s="500"/>
      <c r="E982" s="500"/>
      <c r="F982" s="500"/>
      <c r="G982" s="500"/>
      <c r="H982" s="500"/>
      <c r="I982" s="500"/>
      <c r="J982" s="500"/>
      <c r="K982" s="500"/>
      <c r="L982" s="500"/>
      <c r="M982" s="500"/>
      <c r="N982" s="500"/>
      <c r="O982" s="500"/>
      <c r="P982" s="500"/>
      <c r="Q982" s="500"/>
      <c r="R982" s="500"/>
      <c r="S982" s="500"/>
      <c r="T982" s="500"/>
      <c r="U982" s="500"/>
      <c r="V982" s="500"/>
      <c r="W982" s="500"/>
      <c r="X982" s="500"/>
      <c r="Y982" s="500"/>
      <c r="Z982" s="501"/>
      <c r="AA982" s="501"/>
      <c r="AB982" s="501"/>
      <c r="AC982" s="501"/>
      <c r="AD982" s="500"/>
      <c r="AE982" s="500"/>
      <c r="AF982" s="503"/>
      <c r="AG982" s="503"/>
      <c r="AH982" s="504"/>
      <c r="AI982" s="500"/>
      <c r="AJ982" s="500"/>
      <c r="AK982" s="500"/>
      <c r="AL982" s="500"/>
      <c r="AM982" s="500"/>
      <c r="AN982" s="500"/>
      <c r="AO982" s="500"/>
      <c r="AP982" s="500"/>
      <c r="AQ982" s="500"/>
      <c r="AR982" s="500"/>
      <c r="AS982" s="500"/>
      <c r="AT982" s="500"/>
      <c r="AU982" s="500"/>
      <c r="AV982" s="500"/>
      <c r="AW982" s="500"/>
      <c r="AX982" s="500"/>
      <c r="AY982" s="500"/>
      <c r="AZ982" s="500"/>
      <c r="BA982" s="500"/>
      <c r="BB982" s="500"/>
      <c r="BC982" s="500"/>
      <c r="BD982" s="500"/>
      <c r="BE982" s="500"/>
      <c r="BF982" s="500"/>
      <c r="BG982" s="500"/>
      <c r="BH982" s="500"/>
      <c r="BI982" s="500"/>
      <c r="BJ982" s="500"/>
      <c r="BK982" s="500"/>
      <c r="BL982" s="500"/>
      <c r="BM982" s="500"/>
      <c r="BN982" s="500"/>
      <c r="BO982" s="500"/>
      <c r="BP982" s="500"/>
      <c r="BQ982" s="500"/>
      <c r="BR982" s="500"/>
      <c r="BS982" s="500"/>
      <c r="BT982" s="500"/>
      <c r="BU982" s="500"/>
      <c r="BV982" s="500"/>
    </row>
    <row r="983" ht="14.25" customHeight="1">
      <c r="A983" s="500"/>
      <c r="B983" s="500"/>
      <c r="C983" s="500"/>
      <c r="D983" s="500"/>
      <c r="E983" s="500"/>
      <c r="F983" s="500"/>
      <c r="G983" s="500"/>
      <c r="H983" s="500"/>
      <c r="I983" s="500"/>
      <c r="J983" s="500"/>
      <c r="K983" s="500"/>
      <c r="L983" s="500"/>
      <c r="M983" s="500"/>
      <c r="N983" s="500"/>
      <c r="O983" s="500"/>
      <c r="P983" s="500"/>
      <c r="Q983" s="500"/>
      <c r="R983" s="500"/>
      <c r="S983" s="500"/>
      <c r="T983" s="500"/>
      <c r="U983" s="500"/>
      <c r="V983" s="500"/>
      <c r="W983" s="500"/>
      <c r="X983" s="500"/>
      <c r="Y983" s="500"/>
      <c r="Z983" s="501"/>
      <c r="AA983" s="501"/>
      <c r="AB983" s="501"/>
      <c r="AC983" s="501"/>
      <c r="AD983" s="500"/>
      <c r="AE983" s="500"/>
      <c r="AF983" s="503"/>
      <c r="AG983" s="503"/>
      <c r="AH983" s="504"/>
      <c r="AI983" s="500"/>
      <c r="AJ983" s="500"/>
      <c r="AK983" s="500"/>
      <c r="AL983" s="500"/>
      <c r="AM983" s="500"/>
      <c r="AN983" s="500"/>
      <c r="AO983" s="500"/>
      <c r="AP983" s="500"/>
      <c r="AQ983" s="500"/>
      <c r="AR983" s="500"/>
      <c r="AS983" s="500"/>
      <c r="AT983" s="500"/>
      <c r="AU983" s="500"/>
      <c r="AV983" s="500"/>
      <c r="AW983" s="500"/>
      <c r="AX983" s="500"/>
      <c r="AY983" s="500"/>
      <c r="AZ983" s="500"/>
      <c r="BA983" s="500"/>
      <c r="BB983" s="500"/>
      <c r="BC983" s="500"/>
      <c r="BD983" s="500"/>
      <c r="BE983" s="500"/>
      <c r="BF983" s="500"/>
      <c r="BG983" s="500"/>
      <c r="BH983" s="500"/>
      <c r="BI983" s="500"/>
      <c r="BJ983" s="500"/>
      <c r="BK983" s="500"/>
      <c r="BL983" s="500"/>
      <c r="BM983" s="500"/>
      <c r="BN983" s="500"/>
      <c r="BO983" s="500"/>
      <c r="BP983" s="500"/>
      <c r="BQ983" s="500"/>
      <c r="BR983" s="500"/>
      <c r="BS983" s="500"/>
      <c r="BT983" s="500"/>
      <c r="BU983" s="500"/>
      <c r="BV983" s="500"/>
    </row>
    <row r="984" ht="14.25" customHeight="1">
      <c r="A984" s="500"/>
      <c r="B984" s="500"/>
      <c r="C984" s="500"/>
      <c r="D984" s="500"/>
      <c r="E984" s="500"/>
      <c r="F984" s="500"/>
      <c r="G984" s="500"/>
      <c r="H984" s="500"/>
      <c r="I984" s="500"/>
      <c r="J984" s="500"/>
      <c r="K984" s="500"/>
      <c r="L984" s="500"/>
      <c r="M984" s="500"/>
      <c r="N984" s="500"/>
      <c r="O984" s="500"/>
      <c r="P984" s="500"/>
      <c r="Q984" s="500"/>
      <c r="R984" s="500"/>
      <c r="S984" s="500"/>
      <c r="T984" s="500"/>
      <c r="U984" s="500"/>
      <c r="V984" s="500"/>
      <c r="W984" s="500"/>
      <c r="X984" s="500"/>
      <c r="Y984" s="500"/>
      <c r="Z984" s="501"/>
      <c r="AA984" s="501"/>
      <c r="AB984" s="501"/>
      <c r="AC984" s="501"/>
      <c r="AD984" s="500"/>
      <c r="AE984" s="500"/>
      <c r="AF984" s="503"/>
      <c r="AG984" s="503"/>
      <c r="AH984" s="504"/>
      <c r="AI984" s="500"/>
      <c r="AJ984" s="500"/>
      <c r="AK984" s="500"/>
      <c r="AL984" s="500"/>
      <c r="AM984" s="500"/>
      <c r="AN984" s="500"/>
      <c r="AO984" s="500"/>
      <c r="AP984" s="500"/>
      <c r="AQ984" s="500"/>
      <c r="AR984" s="500"/>
      <c r="AS984" s="500"/>
      <c r="AT984" s="500"/>
      <c r="AU984" s="500"/>
      <c r="AV984" s="500"/>
      <c r="AW984" s="500"/>
      <c r="AX984" s="500"/>
      <c r="AY984" s="500"/>
      <c r="AZ984" s="500"/>
      <c r="BA984" s="500"/>
      <c r="BB984" s="500"/>
      <c r="BC984" s="500"/>
      <c r="BD984" s="500"/>
      <c r="BE984" s="500"/>
      <c r="BF984" s="500"/>
      <c r="BG984" s="500"/>
      <c r="BH984" s="500"/>
      <c r="BI984" s="500"/>
      <c r="BJ984" s="500"/>
      <c r="BK984" s="500"/>
      <c r="BL984" s="500"/>
      <c r="BM984" s="500"/>
      <c r="BN984" s="500"/>
      <c r="BO984" s="500"/>
      <c r="BP984" s="500"/>
      <c r="BQ984" s="500"/>
      <c r="BR984" s="500"/>
      <c r="BS984" s="500"/>
      <c r="BT984" s="500"/>
      <c r="BU984" s="500"/>
      <c r="BV984" s="500"/>
    </row>
    <row r="985" ht="14.25" customHeight="1">
      <c r="A985" s="500"/>
      <c r="B985" s="500"/>
      <c r="C985" s="500"/>
      <c r="D985" s="500"/>
      <c r="E985" s="500"/>
      <c r="F985" s="500"/>
      <c r="G985" s="500"/>
      <c r="H985" s="500"/>
      <c r="I985" s="500"/>
      <c r="J985" s="500"/>
      <c r="K985" s="500"/>
      <c r="L985" s="500"/>
      <c r="M985" s="500"/>
      <c r="N985" s="500"/>
      <c r="O985" s="500"/>
      <c r="P985" s="500"/>
      <c r="Q985" s="500"/>
      <c r="R985" s="500"/>
      <c r="S985" s="500"/>
      <c r="T985" s="500"/>
      <c r="U985" s="500"/>
      <c r="V985" s="500"/>
      <c r="W985" s="500"/>
      <c r="X985" s="500"/>
      <c r="Y985" s="500"/>
      <c r="Z985" s="501"/>
      <c r="AA985" s="501"/>
      <c r="AB985" s="501"/>
      <c r="AC985" s="501"/>
      <c r="AD985" s="500"/>
      <c r="AE985" s="500"/>
      <c r="AF985" s="503"/>
      <c r="AG985" s="503"/>
      <c r="AH985" s="504"/>
      <c r="AI985" s="500"/>
      <c r="AJ985" s="500"/>
      <c r="AK985" s="500"/>
      <c r="AL985" s="500"/>
      <c r="AM985" s="500"/>
      <c r="AN985" s="500"/>
      <c r="AO985" s="500"/>
      <c r="AP985" s="500"/>
      <c r="AQ985" s="500"/>
      <c r="AR985" s="500"/>
      <c r="AS985" s="500"/>
      <c r="AT985" s="500"/>
      <c r="AU985" s="500"/>
      <c r="AV985" s="500"/>
      <c r="AW985" s="500"/>
      <c r="AX985" s="500"/>
      <c r="AY985" s="500"/>
      <c r="AZ985" s="500"/>
      <c r="BA985" s="500"/>
      <c r="BB985" s="500"/>
      <c r="BC985" s="500"/>
      <c r="BD985" s="500"/>
      <c r="BE985" s="500"/>
      <c r="BF985" s="500"/>
      <c r="BG985" s="500"/>
      <c r="BH985" s="500"/>
      <c r="BI985" s="500"/>
      <c r="BJ985" s="500"/>
      <c r="BK985" s="500"/>
      <c r="BL985" s="500"/>
      <c r="BM985" s="500"/>
      <c r="BN985" s="500"/>
      <c r="BO985" s="500"/>
      <c r="BP985" s="500"/>
      <c r="BQ985" s="500"/>
      <c r="BR985" s="500"/>
      <c r="BS985" s="500"/>
      <c r="BT985" s="500"/>
      <c r="BU985" s="500"/>
      <c r="BV985" s="500"/>
    </row>
    <row r="986" ht="14.25" customHeight="1">
      <c r="A986" s="500"/>
      <c r="B986" s="500"/>
      <c r="C986" s="500"/>
      <c r="D986" s="500"/>
      <c r="E986" s="500"/>
      <c r="F986" s="500"/>
      <c r="G986" s="500"/>
      <c r="H986" s="500"/>
      <c r="I986" s="500"/>
      <c r="J986" s="500"/>
      <c r="K986" s="500"/>
      <c r="L986" s="500"/>
      <c r="M986" s="500"/>
      <c r="N986" s="500"/>
      <c r="O986" s="500"/>
      <c r="P986" s="500"/>
      <c r="Q986" s="500"/>
      <c r="R986" s="500"/>
      <c r="S986" s="500"/>
      <c r="T986" s="500"/>
      <c r="U986" s="500"/>
      <c r="V986" s="500"/>
      <c r="W986" s="500"/>
      <c r="X986" s="500"/>
      <c r="Y986" s="500"/>
      <c r="Z986" s="501"/>
      <c r="AA986" s="501"/>
      <c r="AB986" s="501"/>
      <c r="AC986" s="501"/>
      <c r="AD986" s="500"/>
      <c r="AE986" s="500"/>
      <c r="AF986" s="503"/>
      <c r="AG986" s="503"/>
      <c r="AH986" s="504"/>
      <c r="AI986" s="500"/>
      <c r="AJ986" s="500"/>
      <c r="AK986" s="500"/>
      <c r="AL986" s="500"/>
      <c r="AM986" s="500"/>
      <c r="AN986" s="500"/>
      <c r="AO986" s="500"/>
      <c r="AP986" s="500"/>
      <c r="AQ986" s="500"/>
      <c r="AR986" s="500"/>
      <c r="AS986" s="500"/>
      <c r="AT986" s="500"/>
      <c r="AU986" s="500"/>
      <c r="AV986" s="500"/>
      <c r="AW986" s="500"/>
      <c r="AX986" s="500"/>
      <c r="AY986" s="500"/>
      <c r="AZ986" s="500"/>
      <c r="BA986" s="500"/>
      <c r="BB986" s="500"/>
      <c r="BC986" s="500"/>
      <c r="BD986" s="500"/>
      <c r="BE986" s="500"/>
      <c r="BF986" s="500"/>
      <c r="BG986" s="500"/>
      <c r="BH986" s="500"/>
      <c r="BI986" s="500"/>
      <c r="BJ986" s="500"/>
      <c r="BK986" s="500"/>
      <c r="BL986" s="500"/>
      <c r="BM986" s="500"/>
      <c r="BN986" s="500"/>
      <c r="BO986" s="500"/>
      <c r="BP986" s="500"/>
      <c r="BQ986" s="500"/>
      <c r="BR986" s="500"/>
      <c r="BS986" s="500"/>
      <c r="BT986" s="500"/>
      <c r="BU986" s="500"/>
      <c r="BV986" s="500"/>
    </row>
    <row r="987" ht="14.25" customHeight="1">
      <c r="A987" s="500"/>
      <c r="B987" s="500"/>
      <c r="C987" s="500"/>
      <c r="D987" s="500"/>
      <c r="E987" s="500"/>
      <c r="F987" s="500"/>
      <c r="G987" s="500"/>
      <c r="H987" s="500"/>
      <c r="I987" s="500"/>
      <c r="J987" s="500"/>
      <c r="K987" s="500"/>
      <c r="L987" s="500"/>
      <c r="M987" s="500"/>
      <c r="N987" s="500"/>
      <c r="O987" s="500"/>
      <c r="P987" s="500"/>
      <c r="Q987" s="500"/>
      <c r="R987" s="500"/>
      <c r="S987" s="500"/>
      <c r="T987" s="500"/>
      <c r="U987" s="500"/>
      <c r="V987" s="500"/>
      <c r="W987" s="500"/>
      <c r="X987" s="500"/>
      <c r="Y987" s="500"/>
      <c r="Z987" s="501"/>
      <c r="AA987" s="501"/>
      <c r="AB987" s="501"/>
      <c r="AC987" s="501"/>
      <c r="AD987" s="500"/>
      <c r="AE987" s="500"/>
      <c r="AF987" s="503"/>
      <c r="AG987" s="503"/>
      <c r="AH987" s="504"/>
      <c r="AI987" s="500"/>
      <c r="AJ987" s="500"/>
      <c r="AK987" s="500"/>
      <c r="AL987" s="500"/>
      <c r="AM987" s="500"/>
      <c r="AN987" s="500"/>
      <c r="AO987" s="500"/>
      <c r="AP987" s="500"/>
      <c r="AQ987" s="500"/>
      <c r="AR987" s="500"/>
      <c r="AS987" s="500"/>
      <c r="AT987" s="500"/>
      <c r="AU987" s="500"/>
      <c r="AV987" s="500"/>
      <c r="AW987" s="500"/>
      <c r="AX987" s="500"/>
      <c r="AY987" s="500"/>
      <c r="AZ987" s="500"/>
      <c r="BA987" s="500"/>
      <c r="BB987" s="500"/>
      <c r="BC987" s="500"/>
      <c r="BD987" s="500"/>
      <c r="BE987" s="500"/>
      <c r="BF987" s="500"/>
      <c r="BG987" s="500"/>
      <c r="BH987" s="500"/>
      <c r="BI987" s="500"/>
      <c r="BJ987" s="500"/>
      <c r="BK987" s="500"/>
      <c r="BL987" s="500"/>
      <c r="BM987" s="500"/>
      <c r="BN987" s="500"/>
      <c r="BO987" s="500"/>
      <c r="BP987" s="500"/>
      <c r="BQ987" s="500"/>
      <c r="BR987" s="500"/>
      <c r="BS987" s="500"/>
      <c r="BT987" s="500"/>
      <c r="BU987" s="500"/>
      <c r="BV987" s="500"/>
    </row>
    <row r="988" ht="14.25" customHeight="1">
      <c r="A988" s="500"/>
      <c r="B988" s="500"/>
      <c r="C988" s="500"/>
      <c r="D988" s="500"/>
      <c r="E988" s="500"/>
      <c r="F988" s="500"/>
      <c r="G988" s="500"/>
      <c r="H988" s="500"/>
      <c r="I988" s="500"/>
      <c r="J988" s="500"/>
      <c r="K988" s="500"/>
      <c r="L988" s="500"/>
      <c r="M988" s="500"/>
      <c r="N988" s="500"/>
      <c r="O988" s="500"/>
      <c r="P988" s="500"/>
      <c r="Q988" s="500"/>
      <c r="R988" s="500"/>
      <c r="S988" s="500"/>
      <c r="T988" s="500"/>
      <c r="U988" s="500"/>
      <c r="V988" s="500"/>
      <c r="W988" s="500"/>
      <c r="X988" s="500"/>
      <c r="Y988" s="500"/>
      <c r="Z988" s="501"/>
      <c r="AA988" s="501"/>
      <c r="AB988" s="501"/>
      <c r="AC988" s="501"/>
      <c r="AD988" s="500"/>
      <c r="AE988" s="500"/>
      <c r="AF988" s="503"/>
      <c r="AG988" s="503"/>
      <c r="AH988" s="504"/>
      <c r="AI988" s="500"/>
      <c r="AJ988" s="500"/>
      <c r="AK988" s="500"/>
      <c r="AL988" s="500"/>
      <c r="AM988" s="500"/>
      <c r="AN988" s="500"/>
      <c r="AO988" s="500"/>
      <c r="AP988" s="500"/>
      <c r="AQ988" s="500"/>
      <c r="AR988" s="500"/>
      <c r="AS988" s="500"/>
      <c r="AT988" s="500"/>
      <c r="AU988" s="500"/>
      <c r="AV988" s="500"/>
      <c r="AW988" s="500"/>
      <c r="AX988" s="500"/>
      <c r="AY988" s="500"/>
      <c r="AZ988" s="500"/>
      <c r="BA988" s="500"/>
      <c r="BB988" s="500"/>
      <c r="BC988" s="500"/>
      <c r="BD988" s="500"/>
      <c r="BE988" s="500"/>
      <c r="BF988" s="500"/>
      <c r="BG988" s="500"/>
      <c r="BH988" s="500"/>
      <c r="BI988" s="500"/>
      <c r="BJ988" s="500"/>
      <c r="BK988" s="500"/>
      <c r="BL988" s="500"/>
      <c r="BM988" s="500"/>
      <c r="BN988" s="500"/>
      <c r="BO988" s="500"/>
      <c r="BP988" s="500"/>
      <c r="BQ988" s="500"/>
      <c r="BR988" s="500"/>
      <c r="BS988" s="500"/>
      <c r="BT988" s="500"/>
      <c r="BU988" s="500"/>
      <c r="BV988" s="500"/>
    </row>
    <row r="989" ht="14.25" customHeight="1">
      <c r="A989" s="500"/>
      <c r="B989" s="500"/>
      <c r="C989" s="500"/>
      <c r="D989" s="500"/>
      <c r="E989" s="500"/>
      <c r="F989" s="500"/>
      <c r="G989" s="500"/>
      <c r="H989" s="500"/>
      <c r="I989" s="500"/>
      <c r="J989" s="500"/>
      <c r="K989" s="500"/>
      <c r="L989" s="500"/>
      <c r="M989" s="500"/>
      <c r="N989" s="500"/>
      <c r="O989" s="500"/>
      <c r="P989" s="500"/>
      <c r="Q989" s="500"/>
      <c r="R989" s="500"/>
      <c r="S989" s="500"/>
      <c r="T989" s="500"/>
      <c r="U989" s="500"/>
      <c r="V989" s="500"/>
      <c r="W989" s="500"/>
      <c r="X989" s="500"/>
      <c r="Y989" s="500"/>
      <c r="Z989" s="501"/>
      <c r="AA989" s="501"/>
      <c r="AB989" s="501"/>
      <c r="AC989" s="501"/>
      <c r="AD989" s="500"/>
      <c r="AE989" s="500"/>
      <c r="AF989" s="503"/>
      <c r="AG989" s="503"/>
      <c r="AH989" s="504"/>
      <c r="AI989" s="500"/>
      <c r="AJ989" s="500"/>
      <c r="AK989" s="500"/>
      <c r="AL989" s="500"/>
      <c r="AM989" s="500"/>
      <c r="AN989" s="500"/>
      <c r="AO989" s="500"/>
      <c r="AP989" s="500"/>
      <c r="AQ989" s="500"/>
      <c r="AR989" s="500"/>
      <c r="AS989" s="500"/>
      <c r="AT989" s="500"/>
      <c r="AU989" s="500"/>
      <c r="AV989" s="500"/>
      <c r="AW989" s="500"/>
      <c r="AX989" s="500"/>
      <c r="AY989" s="500"/>
      <c r="AZ989" s="500"/>
      <c r="BA989" s="500"/>
      <c r="BB989" s="500"/>
      <c r="BC989" s="500"/>
      <c r="BD989" s="500"/>
      <c r="BE989" s="500"/>
      <c r="BF989" s="500"/>
      <c r="BG989" s="500"/>
      <c r="BH989" s="500"/>
      <c r="BI989" s="500"/>
      <c r="BJ989" s="500"/>
      <c r="BK989" s="500"/>
      <c r="BL989" s="500"/>
      <c r="BM989" s="500"/>
      <c r="BN989" s="500"/>
      <c r="BO989" s="500"/>
      <c r="BP989" s="500"/>
      <c r="BQ989" s="500"/>
      <c r="BR989" s="500"/>
      <c r="BS989" s="500"/>
      <c r="BT989" s="500"/>
      <c r="BU989" s="500"/>
      <c r="BV989" s="500"/>
    </row>
    <row r="990" ht="14.25" customHeight="1">
      <c r="A990" s="500"/>
      <c r="B990" s="500"/>
      <c r="C990" s="500"/>
      <c r="D990" s="500"/>
      <c r="E990" s="500"/>
      <c r="F990" s="500"/>
      <c r="G990" s="500"/>
      <c r="H990" s="500"/>
      <c r="I990" s="500"/>
      <c r="J990" s="500"/>
      <c r="K990" s="500"/>
      <c r="L990" s="500"/>
      <c r="M990" s="500"/>
      <c r="N990" s="500"/>
      <c r="O990" s="500"/>
      <c r="P990" s="500"/>
      <c r="Q990" s="500"/>
      <c r="R990" s="500"/>
      <c r="S990" s="500"/>
      <c r="T990" s="500"/>
      <c r="U990" s="500"/>
      <c r="V990" s="500"/>
      <c r="W990" s="500"/>
      <c r="X990" s="500"/>
      <c r="Y990" s="500"/>
      <c r="Z990" s="501"/>
      <c r="AA990" s="501"/>
      <c r="AB990" s="501"/>
      <c r="AC990" s="501"/>
      <c r="AD990" s="500"/>
      <c r="AE990" s="500"/>
      <c r="AF990" s="503"/>
      <c r="AG990" s="503"/>
      <c r="AH990" s="504"/>
      <c r="AI990" s="500"/>
      <c r="AJ990" s="500"/>
      <c r="AK990" s="500"/>
      <c r="AL990" s="500"/>
      <c r="AM990" s="500"/>
      <c r="AN990" s="500"/>
      <c r="AO990" s="500"/>
      <c r="AP990" s="500"/>
      <c r="AQ990" s="500"/>
      <c r="AR990" s="500"/>
      <c r="AS990" s="500"/>
      <c r="AT990" s="500"/>
      <c r="AU990" s="500"/>
      <c r="AV990" s="500"/>
      <c r="AW990" s="500"/>
      <c r="AX990" s="500"/>
      <c r="AY990" s="500"/>
      <c r="AZ990" s="500"/>
      <c r="BA990" s="500"/>
      <c r="BB990" s="500"/>
      <c r="BC990" s="500"/>
      <c r="BD990" s="500"/>
      <c r="BE990" s="500"/>
      <c r="BF990" s="500"/>
      <c r="BG990" s="500"/>
      <c r="BH990" s="500"/>
      <c r="BI990" s="500"/>
      <c r="BJ990" s="500"/>
      <c r="BK990" s="500"/>
      <c r="BL990" s="500"/>
      <c r="BM990" s="500"/>
      <c r="BN990" s="500"/>
      <c r="BO990" s="500"/>
      <c r="BP990" s="500"/>
      <c r="BQ990" s="500"/>
      <c r="BR990" s="500"/>
      <c r="BS990" s="500"/>
      <c r="BT990" s="500"/>
      <c r="BU990" s="500"/>
      <c r="BV990" s="500"/>
    </row>
    <row r="991" ht="14.25" customHeight="1">
      <c r="A991" s="500"/>
      <c r="B991" s="500"/>
      <c r="C991" s="500"/>
      <c r="D991" s="500"/>
      <c r="E991" s="500"/>
      <c r="F991" s="500"/>
      <c r="G991" s="500"/>
      <c r="H991" s="500"/>
      <c r="I991" s="500"/>
      <c r="J991" s="500"/>
      <c r="K991" s="500"/>
      <c r="L991" s="500"/>
      <c r="M991" s="500"/>
      <c r="N991" s="500"/>
      <c r="O991" s="500"/>
      <c r="P991" s="500"/>
      <c r="Q991" s="500"/>
      <c r="R991" s="500"/>
      <c r="S991" s="500"/>
      <c r="T991" s="500"/>
      <c r="U991" s="500"/>
      <c r="V991" s="500"/>
      <c r="W991" s="500"/>
      <c r="X991" s="500"/>
      <c r="Y991" s="500"/>
      <c r="Z991" s="501"/>
      <c r="AA991" s="501"/>
      <c r="AB991" s="501"/>
      <c r="AC991" s="501"/>
      <c r="AD991" s="500"/>
      <c r="AE991" s="500"/>
      <c r="AF991" s="503"/>
      <c r="AG991" s="503"/>
      <c r="AH991" s="504"/>
      <c r="AI991" s="500"/>
      <c r="AJ991" s="500"/>
      <c r="AK991" s="500"/>
      <c r="AL991" s="500"/>
      <c r="AM991" s="500"/>
      <c r="AN991" s="500"/>
      <c r="AO991" s="500"/>
      <c r="AP991" s="500"/>
      <c r="AQ991" s="500"/>
      <c r="AR991" s="500"/>
      <c r="AS991" s="500"/>
      <c r="AT991" s="500"/>
      <c r="AU991" s="500"/>
      <c r="AV991" s="500"/>
      <c r="AW991" s="500"/>
      <c r="AX991" s="500"/>
      <c r="AY991" s="500"/>
      <c r="AZ991" s="500"/>
      <c r="BA991" s="500"/>
      <c r="BB991" s="500"/>
      <c r="BC991" s="500"/>
      <c r="BD991" s="500"/>
      <c r="BE991" s="500"/>
      <c r="BF991" s="500"/>
      <c r="BG991" s="500"/>
      <c r="BH991" s="500"/>
      <c r="BI991" s="500"/>
      <c r="BJ991" s="500"/>
      <c r="BK991" s="500"/>
      <c r="BL991" s="500"/>
      <c r="BM991" s="500"/>
      <c r="BN991" s="500"/>
      <c r="BO991" s="500"/>
      <c r="BP991" s="500"/>
      <c r="BQ991" s="500"/>
      <c r="BR991" s="500"/>
      <c r="BS991" s="500"/>
      <c r="BT991" s="500"/>
      <c r="BU991" s="500"/>
      <c r="BV991" s="500"/>
    </row>
    <row r="992" ht="14.25" customHeight="1">
      <c r="A992" s="500"/>
      <c r="B992" s="500"/>
      <c r="C992" s="500"/>
      <c r="D992" s="500"/>
      <c r="E992" s="500"/>
      <c r="F992" s="500"/>
      <c r="G992" s="500"/>
      <c r="H992" s="500"/>
      <c r="I992" s="500"/>
      <c r="J992" s="500"/>
      <c r="K992" s="500"/>
      <c r="L992" s="500"/>
      <c r="M992" s="500"/>
      <c r="N992" s="500"/>
      <c r="O992" s="500"/>
      <c r="P992" s="500"/>
      <c r="Q992" s="500"/>
      <c r="R992" s="500"/>
      <c r="S992" s="500"/>
      <c r="T992" s="500"/>
      <c r="U992" s="500"/>
      <c r="V992" s="500"/>
      <c r="W992" s="500"/>
      <c r="X992" s="500"/>
      <c r="Y992" s="500"/>
      <c r="Z992" s="501"/>
      <c r="AA992" s="501"/>
      <c r="AB992" s="501"/>
      <c r="AC992" s="501"/>
      <c r="AD992" s="500"/>
      <c r="AE992" s="500"/>
      <c r="AF992" s="503"/>
      <c r="AG992" s="503"/>
      <c r="AH992" s="504"/>
      <c r="AI992" s="500"/>
      <c r="AJ992" s="500"/>
      <c r="AK992" s="500"/>
      <c r="AL992" s="500"/>
      <c r="AM992" s="500"/>
      <c r="AN992" s="500"/>
      <c r="AO992" s="500"/>
      <c r="AP992" s="500"/>
      <c r="AQ992" s="500"/>
      <c r="AR992" s="500"/>
      <c r="AS992" s="500"/>
      <c r="AT992" s="500"/>
      <c r="AU992" s="500"/>
      <c r="AV992" s="500"/>
      <c r="AW992" s="500"/>
      <c r="AX992" s="500"/>
      <c r="AY992" s="500"/>
      <c r="AZ992" s="500"/>
      <c r="BA992" s="500"/>
      <c r="BB992" s="500"/>
      <c r="BC992" s="500"/>
      <c r="BD992" s="500"/>
      <c r="BE992" s="500"/>
      <c r="BF992" s="500"/>
      <c r="BG992" s="500"/>
      <c r="BH992" s="500"/>
      <c r="BI992" s="500"/>
      <c r="BJ992" s="500"/>
      <c r="BK992" s="500"/>
      <c r="BL992" s="500"/>
      <c r="BM992" s="500"/>
      <c r="BN992" s="500"/>
      <c r="BO992" s="500"/>
      <c r="BP992" s="500"/>
      <c r="BQ992" s="500"/>
      <c r="BR992" s="500"/>
      <c r="BS992" s="500"/>
      <c r="BT992" s="500"/>
      <c r="BU992" s="500"/>
      <c r="BV992" s="500"/>
    </row>
    <row r="993" ht="14.25" customHeight="1">
      <c r="A993" s="500"/>
      <c r="B993" s="500"/>
      <c r="C993" s="500"/>
      <c r="D993" s="500"/>
      <c r="E993" s="500"/>
      <c r="F993" s="500"/>
      <c r="G993" s="500"/>
      <c r="H993" s="500"/>
      <c r="I993" s="500"/>
      <c r="J993" s="500"/>
      <c r="K993" s="500"/>
      <c r="L993" s="500"/>
      <c r="M993" s="500"/>
      <c r="N993" s="500"/>
      <c r="O993" s="500"/>
      <c r="P993" s="500"/>
      <c r="Q993" s="500"/>
      <c r="R993" s="500"/>
      <c r="S993" s="500"/>
      <c r="T993" s="500"/>
      <c r="U993" s="500"/>
      <c r="V993" s="500"/>
      <c r="W993" s="500"/>
      <c r="X993" s="500"/>
      <c r="Y993" s="500"/>
      <c r="Z993" s="501"/>
      <c r="AA993" s="501"/>
      <c r="AB993" s="501"/>
      <c r="AC993" s="501"/>
      <c r="AD993" s="500"/>
      <c r="AE993" s="500"/>
      <c r="AF993" s="503"/>
      <c r="AG993" s="503"/>
      <c r="AH993" s="504"/>
      <c r="AI993" s="500"/>
      <c r="AJ993" s="500"/>
      <c r="AK993" s="500"/>
      <c r="AL993" s="500"/>
      <c r="AM993" s="500"/>
      <c r="AN993" s="500"/>
      <c r="AO993" s="500"/>
      <c r="AP993" s="500"/>
      <c r="AQ993" s="500"/>
      <c r="AR993" s="500"/>
      <c r="AS993" s="500"/>
      <c r="AT993" s="500"/>
      <c r="AU993" s="500"/>
      <c r="AV993" s="500"/>
      <c r="AW993" s="500"/>
      <c r="AX993" s="500"/>
      <c r="AY993" s="500"/>
      <c r="AZ993" s="500"/>
      <c r="BA993" s="500"/>
      <c r="BB993" s="500"/>
      <c r="BC993" s="500"/>
      <c r="BD993" s="500"/>
      <c r="BE993" s="500"/>
      <c r="BF993" s="500"/>
      <c r="BG993" s="500"/>
      <c r="BH993" s="500"/>
      <c r="BI993" s="500"/>
      <c r="BJ993" s="500"/>
      <c r="BK993" s="500"/>
      <c r="BL993" s="500"/>
      <c r="BM993" s="500"/>
      <c r="BN993" s="500"/>
      <c r="BO993" s="500"/>
      <c r="BP993" s="500"/>
      <c r="BQ993" s="500"/>
      <c r="BR993" s="500"/>
      <c r="BS993" s="500"/>
      <c r="BT993" s="500"/>
      <c r="BU993" s="500"/>
      <c r="BV993" s="500"/>
    </row>
    <row r="994" ht="14.25" customHeight="1">
      <c r="A994" s="500"/>
      <c r="B994" s="500"/>
      <c r="C994" s="500"/>
      <c r="D994" s="500"/>
      <c r="E994" s="500"/>
      <c r="F994" s="500"/>
      <c r="G994" s="500"/>
      <c r="H994" s="500"/>
      <c r="I994" s="500"/>
      <c r="J994" s="500"/>
      <c r="K994" s="500"/>
      <c r="L994" s="500"/>
      <c r="M994" s="500"/>
      <c r="N994" s="500"/>
      <c r="O994" s="500"/>
      <c r="P994" s="500"/>
      <c r="Q994" s="500"/>
      <c r="R994" s="500"/>
      <c r="S994" s="500"/>
      <c r="T994" s="500"/>
      <c r="U994" s="500"/>
      <c r="V994" s="500"/>
      <c r="W994" s="500"/>
      <c r="X994" s="500"/>
      <c r="Y994" s="500"/>
      <c r="Z994" s="501"/>
      <c r="AA994" s="501"/>
      <c r="AB994" s="501"/>
      <c r="AC994" s="501"/>
      <c r="AD994" s="500"/>
      <c r="AE994" s="500"/>
      <c r="AF994" s="503"/>
      <c r="AG994" s="503"/>
      <c r="AH994" s="504"/>
      <c r="AI994" s="500"/>
      <c r="AJ994" s="500"/>
      <c r="AK994" s="500"/>
      <c r="AL994" s="500"/>
      <c r="AM994" s="500"/>
      <c r="AN994" s="500"/>
      <c r="AO994" s="500"/>
      <c r="AP994" s="500"/>
      <c r="AQ994" s="500"/>
      <c r="AR994" s="500"/>
      <c r="AS994" s="500"/>
      <c r="AT994" s="500"/>
      <c r="AU994" s="500"/>
      <c r="AV994" s="500"/>
      <c r="AW994" s="500"/>
      <c r="AX994" s="500"/>
      <c r="AY994" s="500"/>
      <c r="AZ994" s="500"/>
      <c r="BA994" s="500"/>
      <c r="BB994" s="500"/>
      <c r="BC994" s="500"/>
      <c r="BD994" s="500"/>
      <c r="BE994" s="500"/>
      <c r="BF994" s="500"/>
      <c r="BG994" s="500"/>
      <c r="BH994" s="500"/>
      <c r="BI994" s="500"/>
      <c r="BJ994" s="500"/>
      <c r="BK994" s="500"/>
      <c r="BL994" s="500"/>
      <c r="BM994" s="500"/>
      <c r="BN994" s="500"/>
      <c r="BO994" s="500"/>
      <c r="BP994" s="500"/>
      <c r="BQ994" s="500"/>
      <c r="BR994" s="500"/>
      <c r="BS994" s="500"/>
      <c r="BT994" s="500"/>
      <c r="BU994" s="500"/>
      <c r="BV994" s="500"/>
    </row>
    <row r="995" ht="14.25" customHeight="1">
      <c r="A995" s="500"/>
      <c r="B995" s="500"/>
      <c r="C995" s="500"/>
      <c r="D995" s="500"/>
      <c r="E995" s="500"/>
      <c r="F995" s="500"/>
      <c r="G995" s="500"/>
      <c r="H995" s="500"/>
      <c r="I995" s="500"/>
      <c r="J995" s="500"/>
      <c r="K995" s="500"/>
      <c r="L995" s="500"/>
      <c r="M995" s="500"/>
      <c r="N995" s="500"/>
      <c r="O995" s="500"/>
      <c r="P995" s="500"/>
      <c r="Q995" s="500"/>
      <c r="R995" s="500"/>
      <c r="S995" s="500"/>
      <c r="T995" s="500"/>
      <c r="U995" s="500"/>
      <c r="V995" s="500"/>
      <c r="W995" s="500"/>
      <c r="X995" s="500"/>
      <c r="Y995" s="500"/>
      <c r="Z995" s="501"/>
      <c r="AA995" s="501"/>
      <c r="AB995" s="501"/>
      <c r="AC995" s="501"/>
      <c r="AD995" s="500"/>
      <c r="AE995" s="500"/>
      <c r="AF995" s="503"/>
      <c r="AG995" s="503"/>
      <c r="AH995" s="504"/>
      <c r="AI995" s="500"/>
      <c r="AJ995" s="500"/>
      <c r="AK995" s="500"/>
      <c r="AL995" s="500"/>
      <c r="AM995" s="500"/>
      <c r="AN995" s="500"/>
      <c r="AO995" s="500"/>
      <c r="AP995" s="500"/>
      <c r="AQ995" s="500"/>
      <c r="AR995" s="500"/>
      <c r="AS995" s="500"/>
      <c r="AT995" s="500"/>
      <c r="AU995" s="500"/>
      <c r="AV995" s="500"/>
      <c r="AW995" s="500"/>
      <c r="AX995" s="500"/>
      <c r="AY995" s="500"/>
      <c r="AZ995" s="500"/>
      <c r="BA995" s="500"/>
      <c r="BB995" s="500"/>
      <c r="BC995" s="500"/>
      <c r="BD995" s="500"/>
      <c r="BE995" s="500"/>
      <c r="BF995" s="500"/>
      <c r="BG995" s="500"/>
      <c r="BH995" s="500"/>
      <c r="BI995" s="500"/>
      <c r="BJ995" s="500"/>
      <c r="BK995" s="500"/>
      <c r="BL995" s="500"/>
      <c r="BM995" s="500"/>
      <c r="BN995" s="500"/>
      <c r="BO995" s="500"/>
      <c r="BP995" s="500"/>
      <c r="BQ995" s="500"/>
      <c r="BR995" s="500"/>
      <c r="BS995" s="500"/>
      <c r="BT995" s="500"/>
      <c r="BU995" s="500"/>
      <c r="BV995" s="500"/>
    </row>
    <row r="996" ht="14.25" customHeight="1">
      <c r="A996" s="500"/>
      <c r="B996" s="500"/>
      <c r="C996" s="500"/>
      <c r="D996" s="500"/>
      <c r="E996" s="500"/>
      <c r="F996" s="500"/>
      <c r="G996" s="500"/>
      <c r="H996" s="500"/>
      <c r="I996" s="500"/>
      <c r="J996" s="500"/>
      <c r="K996" s="500"/>
      <c r="L996" s="500"/>
      <c r="M996" s="500"/>
      <c r="N996" s="500"/>
      <c r="O996" s="500"/>
      <c r="P996" s="500"/>
      <c r="Q996" s="500"/>
      <c r="R996" s="500"/>
      <c r="S996" s="500"/>
      <c r="T996" s="500"/>
      <c r="U996" s="500"/>
      <c r="V996" s="500"/>
      <c r="W996" s="500"/>
      <c r="X996" s="500"/>
      <c r="Y996" s="500"/>
      <c r="Z996" s="501"/>
      <c r="AA996" s="501"/>
      <c r="AB996" s="501"/>
      <c r="AC996" s="501"/>
      <c r="AD996" s="500"/>
      <c r="AE996" s="500"/>
      <c r="AF996" s="503"/>
      <c r="AG996" s="503"/>
      <c r="AH996" s="504"/>
      <c r="AI996" s="500"/>
      <c r="AJ996" s="500"/>
      <c r="AK996" s="500"/>
      <c r="AL996" s="500"/>
      <c r="AM996" s="500"/>
      <c r="AN996" s="500"/>
      <c r="AO996" s="500"/>
      <c r="AP996" s="500"/>
      <c r="AQ996" s="500"/>
      <c r="AR996" s="500"/>
      <c r="AS996" s="500"/>
      <c r="AT996" s="500"/>
      <c r="AU996" s="500"/>
      <c r="AV996" s="500"/>
      <c r="AW996" s="500"/>
      <c r="AX996" s="500"/>
      <c r="AY996" s="500"/>
      <c r="AZ996" s="500"/>
      <c r="BA996" s="500"/>
      <c r="BB996" s="500"/>
      <c r="BC996" s="500"/>
      <c r="BD996" s="500"/>
      <c r="BE996" s="500"/>
      <c r="BF996" s="500"/>
      <c r="BG996" s="500"/>
      <c r="BH996" s="500"/>
      <c r="BI996" s="500"/>
      <c r="BJ996" s="500"/>
      <c r="BK996" s="500"/>
      <c r="BL996" s="500"/>
      <c r="BM996" s="500"/>
      <c r="BN996" s="500"/>
      <c r="BO996" s="500"/>
      <c r="BP996" s="500"/>
      <c r="BQ996" s="500"/>
      <c r="BR996" s="500"/>
      <c r="BS996" s="500"/>
      <c r="BT996" s="500"/>
      <c r="BU996" s="500"/>
      <c r="BV996" s="500"/>
    </row>
    <row r="997" ht="14.25" customHeight="1">
      <c r="A997" s="500"/>
      <c r="B997" s="500"/>
      <c r="C997" s="500"/>
      <c r="D997" s="500"/>
      <c r="E997" s="500"/>
      <c r="F997" s="500"/>
      <c r="G997" s="500"/>
      <c r="H997" s="500"/>
      <c r="I997" s="500"/>
      <c r="J997" s="500"/>
      <c r="K997" s="500"/>
      <c r="L997" s="500"/>
      <c r="M997" s="500"/>
      <c r="N997" s="500"/>
      <c r="O997" s="500"/>
      <c r="P997" s="500"/>
      <c r="Q997" s="500"/>
      <c r="R997" s="500"/>
      <c r="S997" s="500"/>
      <c r="T997" s="500"/>
      <c r="U997" s="500"/>
      <c r="V997" s="500"/>
      <c r="W997" s="500"/>
      <c r="X997" s="500"/>
      <c r="Y997" s="500"/>
      <c r="Z997" s="501"/>
      <c r="AA997" s="501"/>
      <c r="AB997" s="501"/>
      <c r="AC997" s="501"/>
      <c r="AD997" s="500"/>
      <c r="AE997" s="500"/>
      <c r="AF997" s="503"/>
      <c r="AG997" s="503"/>
      <c r="AH997" s="504"/>
      <c r="AI997" s="500"/>
      <c r="AJ997" s="500"/>
      <c r="AK997" s="500"/>
      <c r="AL997" s="500"/>
      <c r="AM997" s="500"/>
      <c r="AN997" s="500"/>
      <c r="AO997" s="500"/>
      <c r="AP997" s="500"/>
      <c r="AQ997" s="500"/>
      <c r="AR997" s="500"/>
      <c r="AS997" s="500"/>
      <c r="AT997" s="500"/>
      <c r="AU997" s="500"/>
      <c r="AV997" s="500"/>
      <c r="AW997" s="500"/>
      <c r="AX997" s="500"/>
      <c r="AY997" s="500"/>
      <c r="AZ997" s="500"/>
      <c r="BA997" s="500"/>
      <c r="BB997" s="500"/>
      <c r="BC997" s="500"/>
      <c r="BD997" s="500"/>
      <c r="BE997" s="500"/>
      <c r="BF997" s="500"/>
      <c r="BG997" s="500"/>
      <c r="BH997" s="500"/>
      <c r="BI997" s="500"/>
      <c r="BJ997" s="500"/>
      <c r="BK997" s="500"/>
      <c r="BL997" s="500"/>
      <c r="BM997" s="500"/>
      <c r="BN997" s="500"/>
      <c r="BO997" s="500"/>
      <c r="BP997" s="500"/>
      <c r="BQ997" s="500"/>
      <c r="BR997" s="500"/>
      <c r="BS997" s="500"/>
      <c r="BT997" s="500"/>
      <c r="BU997" s="500"/>
      <c r="BV997" s="500"/>
    </row>
    <row r="998" ht="14.25" customHeight="1">
      <c r="A998" s="500"/>
      <c r="B998" s="500"/>
      <c r="C998" s="500"/>
      <c r="D998" s="500"/>
      <c r="E998" s="500"/>
      <c r="F998" s="500"/>
      <c r="G998" s="500"/>
      <c r="H998" s="500"/>
      <c r="I998" s="500"/>
      <c r="J998" s="500"/>
      <c r="K998" s="500"/>
      <c r="L998" s="500"/>
      <c r="M998" s="500"/>
      <c r="N998" s="500"/>
      <c r="O998" s="500"/>
      <c r="P998" s="500"/>
      <c r="Q998" s="500"/>
      <c r="R998" s="500"/>
      <c r="S998" s="500"/>
      <c r="T998" s="500"/>
      <c r="U998" s="500"/>
      <c r="V998" s="500"/>
      <c r="W998" s="500"/>
      <c r="X998" s="500"/>
      <c r="Y998" s="500"/>
      <c r="Z998" s="501"/>
      <c r="AA998" s="501"/>
      <c r="AB998" s="501"/>
      <c r="AC998" s="501"/>
      <c r="AD998" s="500"/>
      <c r="AE998" s="500"/>
      <c r="AF998" s="503"/>
      <c r="AG998" s="503"/>
      <c r="AH998" s="504"/>
      <c r="AI998" s="500"/>
      <c r="AJ998" s="500"/>
      <c r="AK998" s="500"/>
      <c r="AL998" s="500"/>
      <c r="AM998" s="500"/>
      <c r="AN998" s="500"/>
      <c r="AO998" s="500"/>
      <c r="AP998" s="500"/>
      <c r="AQ998" s="500"/>
      <c r="AR998" s="500"/>
      <c r="AS998" s="500"/>
      <c r="AT998" s="500"/>
      <c r="AU998" s="500"/>
      <c r="AV998" s="500"/>
      <c r="AW998" s="500"/>
      <c r="AX998" s="500"/>
      <c r="AY998" s="500"/>
      <c r="AZ998" s="500"/>
      <c r="BA998" s="500"/>
      <c r="BB998" s="500"/>
      <c r="BC998" s="500"/>
      <c r="BD998" s="500"/>
      <c r="BE998" s="500"/>
      <c r="BF998" s="500"/>
      <c r="BG998" s="500"/>
      <c r="BH998" s="500"/>
      <c r="BI998" s="500"/>
      <c r="BJ998" s="500"/>
      <c r="BK998" s="500"/>
      <c r="BL998" s="500"/>
      <c r="BM998" s="500"/>
      <c r="BN998" s="500"/>
      <c r="BO998" s="500"/>
      <c r="BP998" s="500"/>
      <c r="BQ998" s="500"/>
      <c r="BR998" s="500"/>
      <c r="BS998" s="500"/>
      <c r="BT998" s="500"/>
      <c r="BU998" s="500"/>
      <c r="BV998" s="500"/>
    </row>
    <row r="999" ht="14.25" customHeight="1">
      <c r="A999" s="500"/>
      <c r="B999" s="500"/>
      <c r="C999" s="500"/>
      <c r="D999" s="500"/>
      <c r="E999" s="500"/>
      <c r="F999" s="500"/>
      <c r="G999" s="500"/>
      <c r="H999" s="500"/>
      <c r="I999" s="500"/>
      <c r="J999" s="500"/>
      <c r="K999" s="500"/>
      <c r="L999" s="500"/>
      <c r="M999" s="500"/>
      <c r="N999" s="500"/>
      <c r="O999" s="500"/>
      <c r="P999" s="500"/>
      <c r="Q999" s="500"/>
      <c r="R999" s="500"/>
      <c r="S999" s="500"/>
      <c r="T999" s="500"/>
      <c r="U999" s="500"/>
      <c r="V999" s="500"/>
      <c r="W999" s="500"/>
      <c r="X999" s="500"/>
      <c r="Y999" s="500"/>
      <c r="Z999" s="501"/>
      <c r="AA999" s="501"/>
      <c r="AB999" s="501"/>
      <c r="AC999" s="501"/>
      <c r="AD999" s="500"/>
      <c r="AE999" s="500"/>
      <c r="AF999" s="503"/>
      <c r="AG999" s="503"/>
      <c r="AH999" s="504"/>
      <c r="AI999" s="500"/>
      <c r="AJ999" s="500"/>
      <c r="AK999" s="500"/>
      <c r="AL999" s="500"/>
      <c r="AM999" s="500"/>
      <c r="AN999" s="500"/>
      <c r="AO999" s="500"/>
      <c r="AP999" s="500"/>
      <c r="AQ999" s="500"/>
      <c r="AR999" s="500"/>
      <c r="AS999" s="500"/>
      <c r="AT999" s="500"/>
      <c r="AU999" s="500"/>
      <c r="AV999" s="500"/>
      <c r="AW999" s="500"/>
      <c r="AX999" s="500"/>
      <c r="AY999" s="500"/>
      <c r="AZ999" s="500"/>
      <c r="BA999" s="500"/>
      <c r="BB999" s="500"/>
      <c r="BC999" s="500"/>
      <c r="BD999" s="500"/>
      <c r="BE999" s="500"/>
      <c r="BF999" s="500"/>
      <c r="BG999" s="500"/>
      <c r="BH999" s="500"/>
      <c r="BI999" s="500"/>
      <c r="BJ999" s="500"/>
      <c r="BK999" s="500"/>
      <c r="BL999" s="500"/>
      <c r="BM999" s="500"/>
      <c r="BN999" s="500"/>
      <c r="BO999" s="500"/>
      <c r="BP999" s="500"/>
      <c r="BQ999" s="500"/>
      <c r="BR999" s="500"/>
      <c r="BS999" s="500"/>
      <c r="BT999" s="500"/>
      <c r="BU999" s="500"/>
      <c r="BV999" s="500"/>
    </row>
    <row r="1000" ht="14.25" customHeight="1">
      <c r="A1000" s="500"/>
      <c r="B1000" s="500"/>
      <c r="C1000" s="500"/>
      <c r="D1000" s="500"/>
      <c r="E1000" s="500"/>
      <c r="F1000" s="500"/>
      <c r="G1000" s="500"/>
      <c r="H1000" s="500"/>
      <c r="I1000" s="500"/>
      <c r="J1000" s="500"/>
      <c r="K1000" s="500"/>
      <c r="L1000" s="500"/>
      <c r="M1000" s="500"/>
      <c r="N1000" s="500"/>
      <c r="O1000" s="500"/>
      <c r="P1000" s="500"/>
      <c r="Q1000" s="500"/>
      <c r="R1000" s="500"/>
      <c r="S1000" s="500"/>
      <c r="T1000" s="500"/>
      <c r="U1000" s="500"/>
      <c r="V1000" s="500"/>
      <c r="W1000" s="500"/>
      <c r="X1000" s="500"/>
      <c r="Y1000" s="500"/>
      <c r="Z1000" s="501"/>
      <c r="AA1000" s="501"/>
      <c r="AB1000" s="501"/>
      <c r="AC1000" s="501"/>
      <c r="AD1000" s="500"/>
      <c r="AE1000" s="500"/>
      <c r="AF1000" s="503"/>
      <c r="AG1000" s="503"/>
      <c r="AH1000" s="504"/>
      <c r="AI1000" s="500"/>
      <c r="AJ1000" s="500"/>
      <c r="AK1000" s="500"/>
      <c r="AL1000" s="500"/>
      <c r="AM1000" s="500"/>
      <c r="AN1000" s="500"/>
      <c r="AO1000" s="500"/>
      <c r="AP1000" s="500"/>
      <c r="AQ1000" s="500"/>
      <c r="AR1000" s="500"/>
      <c r="AS1000" s="500"/>
      <c r="AT1000" s="500"/>
      <c r="AU1000" s="500"/>
      <c r="AV1000" s="500"/>
      <c r="AW1000" s="500"/>
      <c r="AX1000" s="500"/>
      <c r="AY1000" s="500"/>
      <c r="AZ1000" s="500"/>
      <c r="BA1000" s="500"/>
      <c r="BB1000" s="500"/>
      <c r="BC1000" s="500"/>
      <c r="BD1000" s="500"/>
      <c r="BE1000" s="500"/>
      <c r="BF1000" s="500"/>
      <c r="BG1000" s="500"/>
      <c r="BH1000" s="500"/>
      <c r="BI1000" s="500"/>
      <c r="BJ1000" s="500"/>
      <c r="BK1000" s="500"/>
      <c r="BL1000" s="500"/>
      <c r="BM1000" s="500"/>
      <c r="BN1000" s="500"/>
      <c r="BO1000" s="500"/>
      <c r="BP1000" s="500"/>
      <c r="BQ1000" s="500"/>
      <c r="BR1000" s="500"/>
      <c r="BS1000" s="500"/>
      <c r="BT1000" s="500"/>
      <c r="BU1000" s="500"/>
      <c r="BV1000" s="500"/>
    </row>
  </sheetData>
  <mergeCells count="24">
    <mergeCell ref="AL3:AM3"/>
    <mergeCell ref="AN3:AS3"/>
    <mergeCell ref="AY3:AZ3"/>
    <mergeCell ref="BA3:BF3"/>
    <mergeCell ref="AO4:AR4"/>
    <mergeCell ref="AY4:AZ4"/>
    <mergeCell ref="BB4:BE4"/>
    <mergeCell ref="AL4:AM4"/>
    <mergeCell ref="D29:E29"/>
    <mergeCell ref="F49:G49"/>
    <mergeCell ref="H49:I49"/>
    <mergeCell ref="L63:O68"/>
    <mergeCell ref="F75:G75"/>
    <mergeCell ref="H75:I75"/>
    <mergeCell ref="AR109:AT109"/>
    <mergeCell ref="AV109:AW109"/>
    <mergeCell ref="F91:G91"/>
    <mergeCell ref="H91:I91"/>
    <mergeCell ref="F99:G99"/>
    <mergeCell ref="H99:I99"/>
    <mergeCell ref="AL108:AV108"/>
    <mergeCell ref="AW108:BB108"/>
    <mergeCell ref="AL109:AP109"/>
    <mergeCell ref="AX109:BA109"/>
  </mergeCells>
  <dataValidations>
    <dataValidation type="list" allowBlank="1" showErrorMessage="1" sqref="D29">
      <formula1>$AJ$54:$AJ$55</formula1>
    </dataValidation>
    <dataValidation type="list" allowBlank="1" showInputMessage="1" showErrorMessage="1" prompt="Choose your country" sqref="D27">
      <formula1>$AF$10:$AF$42</formula1>
    </dataValidation>
  </dataValidations>
  <printOptions/>
  <pageMargins bottom="0.75" footer="0.0" header="0.0" left="0.7" right="0.7" top="0.75"/>
  <pageSetup paperSize="9" orientation="portrait"/>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B5B7"/>
    <pageSetUpPr/>
  </sheetPr>
  <sheetViews>
    <sheetView workbookViewId="0"/>
  </sheetViews>
  <sheetFormatPr customHeight="1" defaultColWidth="14.43" defaultRowHeight="15.0"/>
  <cols>
    <col customWidth="1" min="1" max="19" width="10.57"/>
  </cols>
  <sheetData>
    <row r="1" ht="14.25" customHeight="1">
      <c r="A1" s="100" t="s">
        <v>2300</v>
      </c>
      <c r="B1" s="100" t="s">
        <v>2299</v>
      </c>
      <c r="C1" s="100" t="s">
        <v>2301</v>
      </c>
      <c r="D1" s="100" t="s">
        <v>50</v>
      </c>
      <c r="E1" s="100">
        <v>2010.0</v>
      </c>
      <c r="F1" s="100">
        <v>2011.0</v>
      </c>
      <c r="G1" s="100">
        <v>2012.0</v>
      </c>
      <c r="H1" s="100">
        <v>2013.0</v>
      </c>
      <c r="I1" s="100">
        <v>2014.0</v>
      </c>
      <c r="J1" s="100">
        <v>2015.0</v>
      </c>
      <c r="K1" s="100">
        <v>2016.0</v>
      </c>
      <c r="L1" s="100">
        <v>2017.0</v>
      </c>
      <c r="M1" s="100">
        <v>2018.0</v>
      </c>
      <c r="N1" s="100">
        <v>2019.0</v>
      </c>
      <c r="O1" s="8">
        <v>2020.0</v>
      </c>
      <c r="P1" s="8" t="s">
        <v>52</v>
      </c>
      <c r="Q1" s="8" t="s">
        <v>2502</v>
      </c>
      <c r="R1" s="808" t="s">
        <v>2503</v>
      </c>
      <c r="S1" s="809" t="s">
        <v>2504</v>
      </c>
    </row>
    <row r="2" ht="14.25" customHeight="1">
      <c r="A2" s="100" t="s">
        <v>2084</v>
      </c>
      <c r="B2" s="100" t="s">
        <v>2082</v>
      </c>
      <c r="C2" s="100" t="s">
        <v>2317</v>
      </c>
      <c r="D2" s="100" t="s">
        <v>2083</v>
      </c>
      <c r="E2" s="810" t="str">
        <f t="shared" ref="E2:O2" si="1">#REF!</f>
        <v>#REF!</v>
      </c>
      <c r="F2" s="810" t="str">
        <f t="shared" si="1"/>
        <v>#REF!</v>
      </c>
      <c r="G2" s="810" t="str">
        <f t="shared" si="1"/>
        <v>#REF!</v>
      </c>
      <c r="H2" s="810" t="str">
        <f t="shared" si="1"/>
        <v>#REF!</v>
      </c>
      <c r="I2" s="810" t="str">
        <f t="shared" si="1"/>
        <v>#REF!</v>
      </c>
      <c r="J2" s="810" t="str">
        <f t="shared" si="1"/>
        <v>#REF!</v>
      </c>
      <c r="K2" s="810" t="str">
        <f t="shared" si="1"/>
        <v>#REF!</v>
      </c>
      <c r="L2" s="810" t="str">
        <f t="shared" si="1"/>
        <v>#REF!</v>
      </c>
      <c r="M2" s="810" t="str">
        <f t="shared" si="1"/>
        <v>#REF!</v>
      </c>
      <c r="N2" s="810" t="str">
        <f t="shared" si="1"/>
        <v>#REF!</v>
      </c>
      <c r="O2" s="810" t="str">
        <f t="shared" si="1"/>
        <v>#REF!</v>
      </c>
      <c r="P2" s="100" t="s">
        <v>2505</v>
      </c>
      <c r="Q2" s="100"/>
      <c r="R2" s="8" t="s">
        <v>2506</v>
      </c>
      <c r="S2" s="8"/>
    </row>
    <row r="3" ht="14.25" customHeight="1">
      <c r="A3" s="100" t="s">
        <v>2084</v>
      </c>
      <c r="B3" s="100" t="s">
        <v>2082</v>
      </c>
      <c r="C3" s="100" t="s">
        <v>2507</v>
      </c>
      <c r="D3" s="100" t="s">
        <v>2083</v>
      </c>
      <c r="E3" s="810" t="str">
        <f t="shared" ref="E3:O3" si="2">#REF!</f>
        <v>#REF!</v>
      </c>
      <c r="F3" s="810" t="str">
        <f t="shared" si="2"/>
        <v>#REF!</v>
      </c>
      <c r="G3" s="810" t="str">
        <f t="shared" si="2"/>
        <v>#REF!</v>
      </c>
      <c r="H3" s="810" t="str">
        <f t="shared" si="2"/>
        <v>#REF!</v>
      </c>
      <c r="I3" s="810" t="str">
        <f t="shared" si="2"/>
        <v>#REF!</v>
      </c>
      <c r="J3" s="810" t="str">
        <f t="shared" si="2"/>
        <v>#REF!</v>
      </c>
      <c r="K3" s="810" t="str">
        <f t="shared" si="2"/>
        <v>#REF!</v>
      </c>
      <c r="L3" s="810" t="str">
        <f t="shared" si="2"/>
        <v>#REF!</v>
      </c>
      <c r="M3" s="810" t="str">
        <f t="shared" si="2"/>
        <v>#REF!</v>
      </c>
      <c r="N3" s="810" t="str">
        <f t="shared" si="2"/>
        <v>#REF!</v>
      </c>
      <c r="O3" s="810" t="str">
        <f t="shared" si="2"/>
        <v>#REF!</v>
      </c>
      <c r="P3" s="100"/>
      <c r="Q3" s="100"/>
      <c r="R3" s="8"/>
      <c r="S3" s="8"/>
    </row>
    <row r="4" ht="14.25" customHeight="1">
      <c r="A4" s="100" t="s">
        <v>2084</v>
      </c>
      <c r="B4" s="100" t="s">
        <v>2082</v>
      </c>
      <c r="C4" s="100" t="s">
        <v>2325</v>
      </c>
      <c r="D4" s="100" t="s">
        <v>2083</v>
      </c>
      <c r="E4" s="810">
        <v>7206.0</v>
      </c>
      <c r="F4" s="810">
        <v>7474.0</v>
      </c>
      <c r="G4" s="810">
        <v>7421.0</v>
      </c>
      <c r="H4" s="810">
        <v>7953.0</v>
      </c>
      <c r="I4" s="810">
        <v>7876.0</v>
      </c>
      <c r="J4" s="810">
        <v>7687.0</v>
      </c>
      <c r="K4" s="810">
        <v>7438.0</v>
      </c>
      <c r="L4" s="810">
        <v>8135.0</v>
      </c>
      <c r="M4" s="810">
        <v>6885.0</v>
      </c>
      <c r="N4" s="810">
        <v>7424.0</v>
      </c>
      <c r="O4" s="810" t="s">
        <v>2434</v>
      </c>
      <c r="P4" s="100" t="s">
        <v>2505</v>
      </c>
      <c r="Q4" s="100"/>
      <c r="R4" s="8" t="s">
        <v>2506</v>
      </c>
      <c r="S4" s="8"/>
    </row>
    <row r="5" ht="14.25" customHeight="1">
      <c r="A5" s="100" t="s">
        <v>2084</v>
      </c>
      <c r="B5" s="100" t="s">
        <v>2082</v>
      </c>
      <c r="C5" s="100" t="s">
        <v>2329</v>
      </c>
      <c r="D5" s="100" t="s">
        <v>2083</v>
      </c>
      <c r="E5" s="810">
        <v>7973.0</v>
      </c>
      <c r="F5" s="810">
        <v>8026.0</v>
      </c>
      <c r="G5" s="810">
        <v>7301.0</v>
      </c>
      <c r="H5" s="810">
        <v>7127.0</v>
      </c>
      <c r="I5" s="810">
        <v>7331.0</v>
      </c>
      <c r="J5" s="810">
        <v>7257.0</v>
      </c>
      <c r="K5" s="810">
        <v>7690.0</v>
      </c>
      <c r="L5" s="810">
        <v>7840.0</v>
      </c>
      <c r="M5" s="810">
        <v>7980.0</v>
      </c>
      <c r="N5" s="810">
        <v>7760.0</v>
      </c>
      <c r="O5" s="810" t="s">
        <v>2434</v>
      </c>
      <c r="P5" s="100" t="s">
        <v>2508</v>
      </c>
      <c r="Q5" s="100" t="s">
        <v>2509</v>
      </c>
      <c r="R5" s="8" t="s">
        <v>2506</v>
      </c>
      <c r="S5" s="8"/>
    </row>
    <row r="6" ht="14.25" customHeight="1">
      <c r="A6" s="100" t="s">
        <v>2084</v>
      </c>
      <c r="B6" s="100" t="s">
        <v>2082</v>
      </c>
      <c r="C6" s="100" t="s">
        <v>2333</v>
      </c>
      <c r="D6" s="100" t="s">
        <v>2083</v>
      </c>
      <c r="E6" s="810">
        <v>899.0</v>
      </c>
      <c r="F6" s="810">
        <v>762.419</v>
      </c>
      <c r="G6" s="810">
        <v>640.5</v>
      </c>
      <c r="H6" s="810">
        <v>522.8</v>
      </c>
      <c r="I6" s="810">
        <v>612.4</v>
      </c>
      <c r="J6" s="810">
        <v>543.0</v>
      </c>
      <c r="K6" s="810">
        <v>527.0</v>
      </c>
      <c r="L6" s="810">
        <v>652.4</v>
      </c>
      <c r="M6" s="810">
        <v>666.1</v>
      </c>
      <c r="N6" s="810">
        <v>565.9</v>
      </c>
      <c r="O6" s="810" t="s">
        <v>2434</v>
      </c>
      <c r="P6" s="100" t="s">
        <v>2510</v>
      </c>
      <c r="Q6" s="100"/>
      <c r="R6" s="8" t="s">
        <v>2506</v>
      </c>
      <c r="S6" s="8"/>
    </row>
    <row r="7" ht="14.25" customHeight="1">
      <c r="A7" s="100" t="s">
        <v>2084</v>
      </c>
      <c r="B7" s="100" t="s">
        <v>2082</v>
      </c>
      <c r="C7" s="100" t="s">
        <v>2364</v>
      </c>
      <c r="D7" s="100" t="s">
        <v>2083</v>
      </c>
      <c r="E7" s="810">
        <v>103.4</v>
      </c>
      <c r="F7" s="810">
        <v>95.4</v>
      </c>
      <c r="G7" s="810">
        <v>1.0</v>
      </c>
      <c r="H7" s="810">
        <v>110.1</v>
      </c>
      <c r="I7" s="810">
        <v>148.9</v>
      </c>
      <c r="J7" s="810">
        <v>121.5</v>
      </c>
      <c r="K7" s="810">
        <v>0.0</v>
      </c>
      <c r="L7" s="810">
        <v>0.0</v>
      </c>
      <c r="M7" s="810">
        <v>135.8</v>
      </c>
      <c r="N7" s="810">
        <v>69.1</v>
      </c>
      <c r="O7" s="810" t="s">
        <v>2434</v>
      </c>
      <c r="P7" s="100" t="s">
        <v>2511</v>
      </c>
      <c r="Q7" s="100"/>
      <c r="R7" s="8" t="s">
        <v>2506</v>
      </c>
      <c r="S7" s="8"/>
    </row>
    <row r="8" ht="14.25" customHeight="1">
      <c r="A8" s="100" t="s">
        <v>2084</v>
      </c>
      <c r="B8" s="100" t="s">
        <v>2082</v>
      </c>
      <c r="C8" s="100" t="s">
        <v>2337</v>
      </c>
      <c r="D8" s="100" t="s">
        <v>2083</v>
      </c>
      <c r="E8" s="810">
        <v>0.0</v>
      </c>
      <c r="F8" s="810">
        <v>0.0</v>
      </c>
      <c r="G8" s="810">
        <v>0.0</v>
      </c>
      <c r="H8" s="810">
        <v>0.0</v>
      </c>
      <c r="I8" s="810">
        <v>0.0</v>
      </c>
      <c r="J8" s="810">
        <v>0.0</v>
      </c>
      <c r="K8" s="810">
        <v>0.0</v>
      </c>
      <c r="L8" s="810">
        <v>0.0</v>
      </c>
      <c r="M8" s="810">
        <v>0.0</v>
      </c>
      <c r="N8" s="810">
        <v>0.0</v>
      </c>
      <c r="O8" s="810">
        <v>0.0</v>
      </c>
      <c r="P8" s="100" t="s">
        <v>2512</v>
      </c>
      <c r="Q8" s="100"/>
      <c r="R8" s="8" t="s">
        <v>2506</v>
      </c>
      <c r="S8" s="8"/>
    </row>
    <row r="9" ht="14.25" customHeight="1">
      <c r="A9" s="100" t="s">
        <v>2084</v>
      </c>
      <c r="B9" s="100" t="s">
        <v>2082</v>
      </c>
      <c r="C9" s="100" t="s">
        <v>2341</v>
      </c>
      <c r="D9" s="100" t="s">
        <v>2083</v>
      </c>
      <c r="E9" s="810">
        <v>5274.287</v>
      </c>
      <c r="F9" s="810">
        <v>5677.819</v>
      </c>
      <c r="G9" s="810">
        <v>5164.346</v>
      </c>
      <c r="H9" s="810">
        <v>5221.504</v>
      </c>
      <c r="I9" s="810">
        <v>5403.514</v>
      </c>
      <c r="J9" s="810">
        <v>5256.387</v>
      </c>
      <c r="K9" s="810">
        <v>5335.582</v>
      </c>
      <c r="L9" s="810">
        <v>4622.796</v>
      </c>
      <c r="M9" s="810">
        <v>5034.335</v>
      </c>
      <c r="N9" s="810">
        <v>4603.249</v>
      </c>
      <c r="O9" s="810" t="s">
        <v>2434</v>
      </c>
      <c r="P9" s="100" t="s">
        <v>2513</v>
      </c>
      <c r="Q9" s="100"/>
      <c r="R9" s="8" t="s">
        <v>2506</v>
      </c>
      <c r="S9" s="8"/>
    </row>
    <row r="10" ht="14.25" customHeight="1">
      <c r="A10" s="100" t="s">
        <v>2084</v>
      </c>
      <c r="B10" s="100" t="s">
        <v>2082</v>
      </c>
      <c r="C10" s="100" t="s">
        <v>2348</v>
      </c>
      <c r="D10" s="100" t="s">
        <v>2083</v>
      </c>
      <c r="E10" s="810">
        <v>0.0</v>
      </c>
      <c r="F10" s="810">
        <v>0.0</v>
      </c>
      <c r="G10" s="810">
        <v>0.0</v>
      </c>
      <c r="H10" s="810">
        <v>0.0</v>
      </c>
      <c r="I10" s="810">
        <v>0.0</v>
      </c>
      <c r="J10" s="810">
        <v>0.0</v>
      </c>
      <c r="K10" s="810">
        <v>0.0</v>
      </c>
      <c r="L10" s="810">
        <v>0.0</v>
      </c>
      <c r="M10" s="810">
        <v>0.0</v>
      </c>
      <c r="N10" s="810">
        <v>0.0</v>
      </c>
      <c r="O10" s="810" t="s">
        <v>2434</v>
      </c>
      <c r="P10" s="100" t="s">
        <v>2514</v>
      </c>
      <c r="Q10" s="100"/>
      <c r="R10" s="8" t="s">
        <v>2506</v>
      </c>
      <c r="S10" s="8"/>
    </row>
    <row r="11" ht="14.25" customHeight="1">
      <c r="A11" s="100" t="s">
        <v>2084</v>
      </c>
      <c r="B11" s="100" t="s">
        <v>2082</v>
      </c>
      <c r="C11" s="100" t="s">
        <v>2350</v>
      </c>
      <c r="D11" s="100" t="s">
        <v>2083</v>
      </c>
      <c r="E11" s="810">
        <v>0.3</v>
      </c>
      <c r="F11" s="810">
        <v>0.3</v>
      </c>
      <c r="G11" s="810">
        <v>0.2</v>
      </c>
      <c r="H11" s="810">
        <v>0.2</v>
      </c>
      <c r="I11" s="810">
        <v>0.149</v>
      </c>
      <c r="J11" s="810">
        <v>0.24</v>
      </c>
      <c r="K11" s="810">
        <v>1.65</v>
      </c>
      <c r="L11" s="810">
        <v>1.512</v>
      </c>
      <c r="M11" s="810">
        <v>0.9354</v>
      </c>
      <c r="N11" s="810">
        <v>1.434</v>
      </c>
      <c r="O11" s="810" t="s">
        <v>2434</v>
      </c>
      <c r="P11" s="100" t="s">
        <v>2400</v>
      </c>
      <c r="Q11" s="100"/>
      <c r="R11" s="8" t="s">
        <v>2506</v>
      </c>
      <c r="S11" s="8"/>
    </row>
    <row r="12" ht="14.25" customHeight="1">
      <c r="A12" s="100" t="s">
        <v>2084</v>
      </c>
      <c r="B12" s="100" t="s">
        <v>2082</v>
      </c>
      <c r="C12" s="100" t="s">
        <v>2354</v>
      </c>
      <c r="D12" s="100" t="s">
        <v>2083</v>
      </c>
      <c r="E12" s="810">
        <v>4030.0</v>
      </c>
      <c r="F12" s="810">
        <v>3989.0</v>
      </c>
      <c r="G12" s="810">
        <v>3759.0</v>
      </c>
      <c r="H12" s="810">
        <v>3517.0</v>
      </c>
      <c r="I12" s="810">
        <v>3810.0</v>
      </c>
      <c r="J12" s="810">
        <v>3990.0</v>
      </c>
      <c r="K12" s="810">
        <v>4101.0</v>
      </c>
      <c r="L12" s="810">
        <v>4003.0</v>
      </c>
      <c r="M12" s="810">
        <v>4146.0</v>
      </c>
      <c r="N12" s="810">
        <v>3473.0</v>
      </c>
      <c r="O12" s="810" t="s">
        <v>2434</v>
      </c>
      <c r="P12" s="100" t="s">
        <v>2515</v>
      </c>
      <c r="Q12" s="100"/>
      <c r="R12" s="8" t="s">
        <v>2506</v>
      </c>
      <c r="S12" s="8"/>
    </row>
    <row r="13" ht="14.25" customHeight="1">
      <c r="A13" s="100" t="s">
        <v>2084</v>
      </c>
      <c r="B13" s="100" t="s">
        <v>2082</v>
      </c>
      <c r="C13" s="100" t="s">
        <v>2356</v>
      </c>
      <c r="D13" s="100" t="s">
        <v>2083</v>
      </c>
      <c r="E13" s="810">
        <v>15414.0</v>
      </c>
      <c r="F13" s="810">
        <v>15780.0</v>
      </c>
      <c r="G13" s="810">
        <v>15609.0</v>
      </c>
      <c r="H13" s="810">
        <v>15685.0</v>
      </c>
      <c r="I13" s="810">
        <v>16143.0</v>
      </c>
      <c r="J13" s="810">
        <v>14984.0</v>
      </c>
      <c r="K13" s="810">
        <v>14413.0</v>
      </c>
      <c r="L13" s="810">
        <v>15505.0</v>
      </c>
      <c r="M13" s="810">
        <v>15387.355</v>
      </c>
      <c r="N13" s="810">
        <v>14449.7</v>
      </c>
      <c r="O13" s="810" t="s">
        <v>2434</v>
      </c>
      <c r="P13" s="100" t="s">
        <v>2516</v>
      </c>
      <c r="Q13" s="100"/>
      <c r="R13" s="8" t="s">
        <v>2506</v>
      </c>
      <c r="S13" s="8"/>
    </row>
    <row r="14" ht="14.25" customHeight="1">
      <c r="A14" s="100" t="s">
        <v>2084</v>
      </c>
      <c r="B14" s="100" t="s">
        <v>2082</v>
      </c>
      <c r="C14" s="100" t="s">
        <v>2344</v>
      </c>
      <c r="D14" s="100" t="s">
        <v>2083</v>
      </c>
      <c r="E14" s="810">
        <v>43830.0</v>
      </c>
      <c r="F14" s="810">
        <v>44284.0</v>
      </c>
      <c r="G14" s="810">
        <v>42661.0</v>
      </c>
      <c r="H14" s="810">
        <v>42645.0</v>
      </c>
      <c r="I14" s="810">
        <v>42943.0</v>
      </c>
      <c r="J14" s="810">
        <v>42676.0</v>
      </c>
      <c r="K14" s="810">
        <v>42080.0</v>
      </c>
      <c r="L14" s="810">
        <v>43300.0</v>
      </c>
      <c r="M14" s="810">
        <v>42435.0</v>
      </c>
      <c r="N14" s="810">
        <v>39600.0</v>
      </c>
      <c r="O14" s="810" t="s">
        <v>2434</v>
      </c>
      <c r="P14" s="100" t="s">
        <v>2517</v>
      </c>
      <c r="Q14" s="100"/>
      <c r="R14" s="8" t="s">
        <v>2506</v>
      </c>
      <c r="S14" s="8"/>
    </row>
    <row r="15" ht="14.25" customHeight="1">
      <c r="A15" s="100" t="s">
        <v>2084</v>
      </c>
      <c r="B15" s="100" t="s">
        <v>2082</v>
      </c>
      <c r="C15" s="100" t="s">
        <v>2362</v>
      </c>
      <c r="D15" s="100" t="s">
        <v>2083</v>
      </c>
      <c r="E15" s="810">
        <v>1821.0</v>
      </c>
      <c r="F15" s="810">
        <v>1934.0</v>
      </c>
      <c r="G15" s="810">
        <v>1247.0</v>
      </c>
      <c r="H15" s="810">
        <v>1030.0</v>
      </c>
      <c r="I15" s="810">
        <v>1022.0</v>
      </c>
      <c r="J15" s="810">
        <v>910.0</v>
      </c>
      <c r="K15" s="810">
        <v>1158.0</v>
      </c>
      <c r="L15" s="810">
        <v>1359.0</v>
      </c>
      <c r="M15" s="810">
        <v>1471.0</v>
      </c>
      <c r="N15" s="810">
        <v>1350.0</v>
      </c>
      <c r="O15" s="810" t="s">
        <v>2434</v>
      </c>
      <c r="P15" s="100" t="s">
        <v>2516</v>
      </c>
      <c r="Q15" s="100" t="s">
        <v>2518</v>
      </c>
      <c r="R15" s="8" t="s">
        <v>2506</v>
      </c>
      <c r="S15" s="8"/>
    </row>
    <row r="16" ht="14.25" customHeight="1">
      <c r="A16" s="100" t="s">
        <v>2084</v>
      </c>
      <c r="B16" s="100" t="s">
        <v>2082</v>
      </c>
      <c r="C16" s="100" t="s">
        <v>2367</v>
      </c>
      <c r="D16" s="100" t="s">
        <v>2083</v>
      </c>
      <c r="E16" s="810">
        <v>1678.0</v>
      </c>
      <c r="F16" s="810">
        <v>1746.0</v>
      </c>
      <c r="G16" s="810">
        <v>1542.0</v>
      </c>
      <c r="H16" s="810">
        <v>883.0</v>
      </c>
      <c r="I16" s="810">
        <v>1152.0</v>
      </c>
      <c r="J16" s="810">
        <v>1675.0</v>
      </c>
      <c r="K16" s="810">
        <v>1274.0</v>
      </c>
      <c r="L16" s="810">
        <v>1901.0</v>
      </c>
      <c r="M16" s="810">
        <v>1989.0</v>
      </c>
      <c r="N16" s="810">
        <v>1769.0</v>
      </c>
      <c r="O16" s="810" t="s">
        <v>2434</v>
      </c>
      <c r="P16" s="100" t="s">
        <v>2516</v>
      </c>
      <c r="Q16" s="100"/>
      <c r="R16" s="8" t="s">
        <v>2506</v>
      </c>
      <c r="S16" s="8"/>
    </row>
    <row r="17" ht="14.25" customHeight="1">
      <c r="A17" s="100" t="s">
        <v>2084</v>
      </c>
      <c r="B17" s="100" t="s">
        <v>2082</v>
      </c>
      <c r="C17" s="100" t="s">
        <v>2369</v>
      </c>
      <c r="D17" s="100" t="s">
        <v>2083</v>
      </c>
      <c r="E17" s="810">
        <v>0.0</v>
      </c>
      <c r="F17" s="810">
        <v>0.0</v>
      </c>
      <c r="G17" s="810">
        <v>0.0</v>
      </c>
      <c r="H17" s="810">
        <v>0.0</v>
      </c>
      <c r="I17" s="810">
        <v>0.0</v>
      </c>
      <c r="J17" s="810">
        <v>0.0</v>
      </c>
      <c r="K17" s="810">
        <v>0.0</v>
      </c>
      <c r="L17" s="810">
        <v>0.0</v>
      </c>
      <c r="M17" s="810">
        <v>0.0</v>
      </c>
      <c r="N17" s="810">
        <v>0.0</v>
      </c>
      <c r="O17" s="810" t="s">
        <v>2434</v>
      </c>
      <c r="P17" s="100" t="s">
        <v>2519</v>
      </c>
      <c r="Q17" s="100"/>
      <c r="R17" s="8" t="s">
        <v>2506</v>
      </c>
      <c r="S17" s="8"/>
    </row>
    <row r="18" ht="14.25" customHeight="1">
      <c r="A18" s="100" t="s">
        <v>2084</v>
      </c>
      <c r="B18" s="100" t="s">
        <v>2082</v>
      </c>
      <c r="C18" s="100" t="s">
        <v>2374</v>
      </c>
      <c r="D18" s="100" t="s">
        <v>2083</v>
      </c>
      <c r="E18" s="810">
        <v>25750.0</v>
      </c>
      <c r="F18" s="810">
        <v>28735.0</v>
      </c>
      <c r="G18" s="810">
        <v>27251.0</v>
      </c>
      <c r="H18" s="810">
        <v>24093.0</v>
      </c>
      <c r="I18" s="810">
        <v>23714.0</v>
      </c>
      <c r="J18" s="810">
        <v>22018.0</v>
      </c>
      <c r="K18" s="810">
        <v>23373.0</v>
      </c>
      <c r="L18" s="810">
        <v>24007.0</v>
      </c>
      <c r="M18" s="810">
        <v>24496.0</v>
      </c>
      <c r="N18" s="810">
        <v>23191.0</v>
      </c>
      <c r="O18" s="810" t="s">
        <v>2434</v>
      </c>
      <c r="P18" s="100" t="s">
        <v>2520</v>
      </c>
      <c r="Q18" s="100"/>
      <c r="R18" s="8" t="s">
        <v>2506</v>
      </c>
      <c r="S18" s="8"/>
    </row>
    <row r="19" ht="14.25" customHeight="1">
      <c r="A19" s="100" t="s">
        <v>2084</v>
      </c>
      <c r="B19" s="100" t="s">
        <v>2082</v>
      </c>
      <c r="C19" s="100" t="s">
        <v>2386</v>
      </c>
      <c r="D19" s="100" t="s">
        <v>2083</v>
      </c>
      <c r="E19" s="810">
        <v>655.0</v>
      </c>
      <c r="F19" s="810">
        <v>568.0</v>
      </c>
      <c r="G19" s="810">
        <v>805.0</v>
      </c>
      <c r="H19" s="810">
        <v>198.0</v>
      </c>
      <c r="I19" s="811">
        <v>0.0</v>
      </c>
      <c r="J19" s="811">
        <v>0.0</v>
      </c>
      <c r="K19" s="811">
        <v>0.0</v>
      </c>
      <c r="L19" s="811">
        <v>0.0</v>
      </c>
      <c r="M19" s="811">
        <v>0.0</v>
      </c>
      <c r="N19" s="811">
        <v>0.0</v>
      </c>
      <c r="O19" s="810" t="s">
        <v>2434</v>
      </c>
      <c r="P19" s="100" t="s">
        <v>2521</v>
      </c>
      <c r="Q19" s="100"/>
      <c r="R19" s="811" t="s">
        <v>2522</v>
      </c>
      <c r="S19" s="8"/>
    </row>
    <row r="20" ht="14.25" customHeight="1">
      <c r="A20" s="100" t="s">
        <v>2084</v>
      </c>
      <c r="B20" s="100" t="s">
        <v>2082</v>
      </c>
      <c r="C20" s="100" t="s">
        <v>2378</v>
      </c>
      <c r="D20" s="100" t="s">
        <v>2083</v>
      </c>
      <c r="E20" s="810">
        <v>0.0</v>
      </c>
      <c r="F20" s="810">
        <v>0.0</v>
      </c>
      <c r="G20" s="810">
        <v>0.0</v>
      </c>
      <c r="H20" s="810">
        <v>0.0</v>
      </c>
      <c r="I20" s="810">
        <v>0.0</v>
      </c>
      <c r="J20" s="810">
        <v>0.0</v>
      </c>
      <c r="K20" s="810">
        <v>0.0</v>
      </c>
      <c r="L20" s="810">
        <v>0.0</v>
      </c>
      <c r="M20" s="810">
        <v>0.0</v>
      </c>
      <c r="N20" s="810">
        <v>0.0</v>
      </c>
      <c r="O20" s="810" t="s">
        <v>2434</v>
      </c>
      <c r="P20" s="100" t="s">
        <v>2505</v>
      </c>
      <c r="Q20" s="100"/>
      <c r="R20" s="8" t="s">
        <v>2506</v>
      </c>
      <c r="S20" s="8"/>
    </row>
    <row r="21" ht="14.25" customHeight="1">
      <c r="A21" s="100" t="s">
        <v>2084</v>
      </c>
      <c r="B21" s="100" t="s">
        <v>2082</v>
      </c>
      <c r="C21" s="100" t="s">
        <v>2383</v>
      </c>
      <c r="D21" s="100" t="s">
        <v>2083</v>
      </c>
      <c r="E21" s="810">
        <v>2548.0</v>
      </c>
      <c r="F21" s="810">
        <v>2521.0</v>
      </c>
      <c r="G21" s="810">
        <v>2214.0</v>
      </c>
      <c r="H21" s="810">
        <v>2090.0</v>
      </c>
      <c r="I21" s="810">
        <v>2193.0</v>
      </c>
      <c r="J21" s="810">
        <v>2127.0</v>
      </c>
      <c r="K21" s="810">
        <v>2175.0</v>
      </c>
      <c r="L21" s="810">
        <v>2172.0</v>
      </c>
      <c r="M21" s="810">
        <v>2227.9809</v>
      </c>
      <c r="N21" s="810">
        <v>2119.2837</v>
      </c>
      <c r="O21" s="810" t="s">
        <v>2434</v>
      </c>
      <c r="P21" s="100" t="s">
        <v>2523</v>
      </c>
      <c r="Q21" s="100" t="s">
        <v>2524</v>
      </c>
      <c r="R21" s="8" t="s">
        <v>2506</v>
      </c>
      <c r="S21" s="8"/>
    </row>
    <row r="22" ht="14.25" customHeight="1">
      <c r="A22" s="100" t="s">
        <v>2084</v>
      </c>
      <c r="B22" s="100" t="s">
        <v>2082</v>
      </c>
      <c r="C22" s="100" t="s">
        <v>2389</v>
      </c>
      <c r="D22" s="100"/>
      <c r="E22" s="812">
        <v>0.0</v>
      </c>
      <c r="F22" s="812">
        <v>0.0</v>
      </c>
      <c r="G22" s="812">
        <v>0.0</v>
      </c>
      <c r="H22" s="812">
        <v>0.0</v>
      </c>
      <c r="I22" s="812">
        <v>0.0</v>
      </c>
      <c r="J22" s="812">
        <v>0.0</v>
      </c>
      <c r="K22" s="812">
        <v>0.0</v>
      </c>
      <c r="L22" s="812">
        <v>0.0</v>
      </c>
      <c r="M22" s="812">
        <v>0.0</v>
      </c>
      <c r="N22" s="812">
        <v>0.0</v>
      </c>
      <c r="O22" s="810" t="s">
        <v>2434</v>
      </c>
      <c r="P22" s="100"/>
      <c r="Q22" s="100"/>
      <c r="R22" s="813" t="s">
        <v>2525</v>
      </c>
      <c r="S22" s="8"/>
    </row>
    <row r="23" ht="14.25" customHeight="1">
      <c r="A23" s="100" t="s">
        <v>2084</v>
      </c>
      <c r="B23" s="100" t="s">
        <v>2082</v>
      </c>
      <c r="C23" s="100" t="s">
        <v>2391</v>
      </c>
      <c r="D23" s="100" t="s">
        <v>2083</v>
      </c>
      <c r="E23" s="810">
        <v>6651.0</v>
      </c>
      <c r="F23" s="810">
        <v>6937.397</v>
      </c>
      <c r="G23" s="810">
        <v>6879.0</v>
      </c>
      <c r="H23" s="810">
        <v>6713.0</v>
      </c>
      <c r="I23" s="810">
        <v>6964.0</v>
      </c>
      <c r="J23" s="810">
        <v>6995.0</v>
      </c>
      <c r="K23" s="810">
        <v>6917.0</v>
      </c>
      <c r="L23" s="810">
        <v>6781.0</v>
      </c>
      <c r="M23" s="810">
        <v>6813.0</v>
      </c>
      <c r="N23" s="810">
        <v>6657.0</v>
      </c>
      <c r="O23" s="810">
        <v>6100.0</v>
      </c>
      <c r="P23" s="100" t="s">
        <v>2516</v>
      </c>
      <c r="Q23" s="100"/>
      <c r="R23" s="8" t="s">
        <v>2506</v>
      </c>
      <c r="S23" s="8"/>
    </row>
    <row r="24" ht="14.25" customHeight="1">
      <c r="A24" s="100" t="s">
        <v>2084</v>
      </c>
      <c r="B24" s="100" t="s">
        <v>2082</v>
      </c>
      <c r="C24" s="100" t="s">
        <v>2393</v>
      </c>
      <c r="D24" s="100" t="s">
        <v>2083</v>
      </c>
      <c r="E24" s="810">
        <v>7993.0</v>
      </c>
      <c r="F24" s="810">
        <v>8776.0</v>
      </c>
      <c r="G24" s="810">
        <v>8543.0</v>
      </c>
      <c r="H24" s="810">
        <v>8199.0</v>
      </c>
      <c r="I24" s="810">
        <v>8780.0</v>
      </c>
      <c r="J24" s="810">
        <v>9143.0</v>
      </c>
      <c r="K24" s="810">
        <v>8513.0</v>
      </c>
      <c r="L24" s="810">
        <v>10293.196</v>
      </c>
      <c r="M24" s="810">
        <v>10195.144</v>
      </c>
      <c r="N24" s="810">
        <v>8844.0</v>
      </c>
      <c r="O24" s="810" t="s">
        <v>2434</v>
      </c>
      <c r="P24" s="100" t="s">
        <v>2526</v>
      </c>
      <c r="Q24" s="100"/>
      <c r="R24" s="8" t="s">
        <v>2506</v>
      </c>
      <c r="S24" s="8"/>
    </row>
    <row r="25" ht="14.25" customHeight="1">
      <c r="A25" s="100" t="s">
        <v>2084</v>
      </c>
      <c r="B25" s="100" t="s">
        <v>2082</v>
      </c>
      <c r="C25" s="100" t="s">
        <v>2395</v>
      </c>
      <c r="D25" s="100" t="s">
        <v>2083</v>
      </c>
      <c r="E25" s="810">
        <v>1543.0</v>
      </c>
      <c r="F25" s="810">
        <v>1942.0</v>
      </c>
      <c r="G25" s="810">
        <v>1960.0</v>
      </c>
      <c r="H25" s="810">
        <v>2050.0</v>
      </c>
      <c r="I25" s="810">
        <v>2070.0</v>
      </c>
      <c r="J25" s="810">
        <v>2030.0</v>
      </c>
      <c r="K25" s="810">
        <v>2010.0</v>
      </c>
      <c r="L25" s="810">
        <v>2076.0</v>
      </c>
      <c r="M25" s="810">
        <v>2215.0</v>
      </c>
      <c r="N25" s="810">
        <v>2033.0</v>
      </c>
      <c r="O25" s="810" t="s">
        <v>2434</v>
      </c>
      <c r="P25" s="100" t="s">
        <v>2527</v>
      </c>
      <c r="Q25" s="100"/>
      <c r="R25" s="8" t="s">
        <v>2506</v>
      </c>
      <c r="S25" s="8"/>
    </row>
    <row r="26" ht="14.25" customHeight="1">
      <c r="A26" s="100" t="s">
        <v>2084</v>
      </c>
      <c r="B26" s="100" t="s">
        <v>2082</v>
      </c>
      <c r="C26" s="100" t="s">
        <v>2397</v>
      </c>
      <c r="D26" s="100" t="s">
        <v>2083</v>
      </c>
      <c r="E26" s="810">
        <v>3724.0</v>
      </c>
      <c r="F26" s="810">
        <v>3811.0</v>
      </c>
      <c r="G26" s="810">
        <v>3417.0</v>
      </c>
      <c r="H26" s="810">
        <v>3073.0</v>
      </c>
      <c r="I26" s="810">
        <v>3193.0</v>
      </c>
      <c r="J26" s="810">
        <v>3423.0</v>
      </c>
      <c r="K26" s="810">
        <v>3370.0</v>
      </c>
      <c r="L26" s="810">
        <v>3443.0</v>
      </c>
      <c r="M26" s="810">
        <v>3529.0</v>
      </c>
      <c r="N26" s="810">
        <v>3421.0</v>
      </c>
      <c r="O26" s="810" t="s">
        <v>2434</v>
      </c>
      <c r="P26" s="100" t="s">
        <v>2528</v>
      </c>
      <c r="Q26" s="100"/>
      <c r="R26" s="8" t="s">
        <v>2506</v>
      </c>
      <c r="S26" s="8"/>
    </row>
    <row r="27" ht="14.25" customHeight="1">
      <c r="A27" s="100" t="s">
        <v>2084</v>
      </c>
      <c r="B27" s="100" t="s">
        <v>2082</v>
      </c>
      <c r="C27" s="100" t="s">
        <v>2411</v>
      </c>
      <c r="D27" s="100" t="s">
        <v>2083</v>
      </c>
      <c r="E27" s="810">
        <v>4583.0</v>
      </c>
      <c r="F27" s="810">
        <v>4236.0</v>
      </c>
      <c r="G27" s="810">
        <v>4403.0</v>
      </c>
      <c r="H27" s="810">
        <v>4511.0</v>
      </c>
      <c r="I27" s="810">
        <v>4705.0</v>
      </c>
      <c r="J27" s="810">
        <v>4562.0</v>
      </c>
      <c r="K27" s="810">
        <v>4808.0</v>
      </c>
      <c r="L27" s="810">
        <v>4974.298</v>
      </c>
      <c r="M27" s="810">
        <v>4800.0</v>
      </c>
      <c r="N27" s="810">
        <v>3600.0</v>
      </c>
      <c r="O27" s="810" t="s">
        <v>2434</v>
      </c>
      <c r="P27" s="100" t="s">
        <v>2516</v>
      </c>
      <c r="Q27" s="100"/>
      <c r="R27" s="8" t="s">
        <v>2506</v>
      </c>
      <c r="S27" s="8"/>
    </row>
    <row r="28" ht="14.25" customHeight="1">
      <c r="A28" s="100" t="s">
        <v>2084</v>
      </c>
      <c r="B28" s="100" t="s">
        <v>2082</v>
      </c>
      <c r="C28" s="100" t="s">
        <v>2406</v>
      </c>
      <c r="D28" s="100" t="s">
        <v>2083</v>
      </c>
      <c r="E28" s="810">
        <v>641.169</v>
      </c>
      <c r="F28" s="810">
        <v>687.0278</v>
      </c>
      <c r="G28" s="810">
        <v>671.4494</v>
      </c>
      <c r="H28" s="810">
        <v>662.5805</v>
      </c>
      <c r="I28" s="810">
        <v>648.575</v>
      </c>
      <c r="J28" s="810">
        <v>631.917</v>
      </c>
      <c r="K28" s="810">
        <v>643.2449</v>
      </c>
      <c r="L28" s="810">
        <v>676.6661</v>
      </c>
      <c r="M28" s="810">
        <v>666.0</v>
      </c>
      <c r="N28" s="810">
        <v>639.3977</v>
      </c>
      <c r="O28" s="810" t="s">
        <v>2434</v>
      </c>
      <c r="P28" s="100" t="s">
        <v>2529</v>
      </c>
      <c r="Q28" s="100"/>
      <c r="R28" s="8" t="s">
        <v>2506</v>
      </c>
      <c r="S28" s="8"/>
    </row>
    <row r="29" ht="14.25" customHeight="1">
      <c r="A29" s="100" t="s">
        <v>2084</v>
      </c>
      <c r="B29" s="100" t="s">
        <v>2082</v>
      </c>
      <c r="C29" s="100" t="s">
        <v>2352</v>
      </c>
      <c r="D29" s="100" t="s">
        <v>2083</v>
      </c>
      <c r="E29" s="810">
        <v>16342.0</v>
      </c>
      <c r="F29" s="810">
        <v>15504.0</v>
      </c>
      <c r="G29" s="810">
        <v>13640.0</v>
      </c>
      <c r="H29" s="810">
        <v>14254.0</v>
      </c>
      <c r="I29" s="810">
        <v>14277.0</v>
      </c>
      <c r="J29" s="810">
        <v>14886.0</v>
      </c>
      <c r="K29" s="810">
        <v>13654.0</v>
      </c>
      <c r="L29" s="810">
        <v>14441.0</v>
      </c>
      <c r="M29" s="810">
        <v>14321.0</v>
      </c>
      <c r="N29" s="810">
        <v>13588.0</v>
      </c>
      <c r="O29" s="810" t="s">
        <v>2434</v>
      </c>
      <c r="P29" s="100" t="s">
        <v>2530</v>
      </c>
      <c r="Q29" s="100"/>
      <c r="R29" s="8" t="s">
        <v>2506</v>
      </c>
      <c r="S29" s="8"/>
    </row>
    <row r="30" ht="14.25" customHeight="1">
      <c r="A30" s="100" t="s">
        <v>2084</v>
      </c>
      <c r="B30" s="100" t="s">
        <v>2082</v>
      </c>
      <c r="C30" s="100" t="s">
        <v>2400</v>
      </c>
      <c r="D30" s="100" t="s">
        <v>2083</v>
      </c>
      <c r="E30" s="810">
        <v>4845.0</v>
      </c>
      <c r="F30" s="810">
        <v>4867.0</v>
      </c>
      <c r="G30" s="810">
        <v>4326.0</v>
      </c>
      <c r="H30" s="810">
        <v>4404.0</v>
      </c>
      <c r="I30" s="810">
        <v>4539.173</v>
      </c>
      <c r="J30" s="810">
        <v>4368.0</v>
      </c>
      <c r="K30" s="810">
        <v>4817.0</v>
      </c>
      <c r="L30" s="810">
        <v>4926.0</v>
      </c>
      <c r="M30" s="810">
        <v>4655.0</v>
      </c>
      <c r="N30" s="810">
        <v>4723.0</v>
      </c>
      <c r="O30" s="810" t="s">
        <v>2434</v>
      </c>
      <c r="P30" s="100" t="s">
        <v>2531</v>
      </c>
      <c r="Q30" s="100"/>
      <c r="R30" s="8" t="s">
        <v>2506</v>
      </c>
      <c r="S30" s="8"/>
    </row>
    <row r="31" ht="14.25" customHeight="1">
      <c r="A31" s="100" t="s">
        <v>2084</v>
      </c>
      <c r="B31" s="100" t="s">
        <v>2082</v>
      </c>
      <c r="C31" s="100" t="s">
        <v>2416</v>
      </c>
      <c r="D31" s="100" t="s">
        <v>2083</v>
      </c>
      <c r="E31" s="810">
        <v>530.0</v>
      </c>
      <c r="F31" s="810">
        <v>610.0</v>
      </c>
      <c r="G31" s="810">
        <v>700.0</v>
      </c>
      <c r="H31" s="810">
        <v>605.0</v>
      </c>
      <c r="I31" s="810">
        <v>600.0</v>
      </c>
      <c r="J31" s="810">
        <v>590.0</v>
      </c>
      <c r="K31" s="810">
        <v>620.0</v>
      </c>
      <c r="L31" s="810">
        <v>603.0</v>
      </c>
      <c r="M31" s="810">
        <v>575.0</v>
      </c>
      <c r="N31" s="810">
        <v>621.0</v>
      </c>
      <c r="O31" s="810">
        <v>624.0</v>
      </c>
      <c r="P31" s="100" t="s">
        <v>2516</v>
      </c>
      <c r="Q31" s="100" t="s">
        <v>2532</v>
      </c>
      <c r="R31" s="8" t="s">
        <v>2506</v>
      </c>
      <c r="S31" s="8"/>
    </row>
    <row r="32" ht="14.25" customHeight="1">
      <c r="A32" s="100" t="s">
        <v>2084</v>
      </c>
      <c r="B32" s="100" t="s">
        <v>2082</v>
      </c>
      <c r="C32" s="100" t="s">
        <v>2423</v>
      </c>
      <c r="D32" s="100" t="s">
        <v>2083</v>
      </c>
      <c r="E32" s="810">
        <v>1218.0</v>
      </c>
      <c r="F32" s="810">
        <v>1322.0</v>
      </c>
      <c r="G32" s="810">
        <v>1252.0</v>
      </c>
      <c r="H32" s="810">
        <v>1231.0</v>
      </c>
      <c r="I32" s="810">
        <v>1315.0</v>
      </c>
      <c r="J32" s="810">
        <v>1296.0</v>
      </c>
      <c r="K32" s="810">
        <v>1238.0</v>
      </c>
      <c r="L32" s="810">
        <v>1270.0</v>
      </c>
      <c r="M32" s="810">
        <v>1291.0</v>
      </c>
      <c r="N32" s="810">
        <v>1130.0</v>
      </c>
      <c r="O32" s="810" t="s">
        <v>2434</v>
      </c>
      <c r="P32" s="100" t="s">
        <v>2533</v>
      </c>
      <c r="Q32" s="100"/>
      <c r="R32" s="8" t="s">
        <v>2506</v>
      </c>
      <c r="S32" s="8"/>
    </row>
    <row r="33" ht="14.25" customHeight="1">
      <c r="A33" s="100" t="s">
        <v>2084</v>
      </c>
      <c r="B33" s="100" t="s">
        <v>2082</v>
      </c>
      <c r="C33" s="100" t="s">
        <v>2360</v>
      </c>
      <c r="D33" s="100" t="s">
        <v>2083</v>
      </c>
      <c r="E33" s="810">
        <v>9708.0</v>
      </c>
      <c r="F33" s="810">
        <v>9478.0</v>
      </c>
      <c r="G33" s="810">
        <v>9579.0</v>
      </c>
      <c r="H33" s="810">
        <v>11858.0</v>
      </c>
      <c r="I33" s="810">
        <v>12033.0</v>
      </c>
      <c r="J33" s="810">
        <v>10907.0</v>
      </c>
      <c r="K33" s="810">
        <v>7635.0</v>
      </c>
      <c r="L33" s="810">
        <v>7491.0</v>
      </c>
      <c r="M33" s="810">
        <v>7268.0</v>
      </c>
      <c r="N33" s="810">
        <v>7218.0</v>
      </c>
      <c r="O33" s="810" t="s">
        <v>2434</v>
      </c>
      <c r="P33" s="100" t="s">
        <v>2534</v>
      </c>
      <c r="Q33" s="100"/>
      <c r="R33" s="8" t="s">
        <v>2506</v>
      </c>
      <c r="S33" s="8"/>
    </row>
    <row r="34" ht="14.25" customHeight="1">
      <c r="A34" s="100" t="s">
        <v>2084</v>
      </c>
      <c r="B34" s="100" t="s">
        <v>2082</v>
      </c>
      <c r="C34" s="100" t="s">
        <v>2535</v>
      </c>
      <c r="D34" s="100" t="s">
        <v>2083</v>
      </c>
      <c r="E34" s="810">
        <v>1254.0</v>
      </c>
      <c r="F34" s="810">
        <v>1324.0</v>
      </c>
      <c r="G34" s="810">
        <v>346.0</v>
      </c>
      <c r="H34" s="810">
        <v>396.0</v>
      </c>
      <c r="I34" s="810">
        <v>583.0</v>
      </c>
      <c r="J34" s="810">
        <v>955.0</v>
      </c>
      <c r="K34" s="810">
        <v>1173.0</v>
      </c>
      <c r="L34" s="810">
        <v>1477.0</v>
      </c>
      <c r="M34" s="810">
        <v>1973.0</v>
      </c>
      <c r="N34" s="810">
        <v>1929.0</v>
      </c>
      <c r="O34" s="810">
        <v>1588.0364</v>
      </c>
      <c r="P34" s="100" t="s">
        <v>2505</v>
      </c>
      <c r="Q34" s="100"/>
      <c r="R34" s="8" t="s">
        <v>2506</v>
      </c>
      <c r="S34" s="8"/>
    </row>
    <row r="35" ht="14.25" customHeight="1">
      <c r="A35" s="8" t="s">
        <v>2088</v>
      </c>
      <c r="B35" s="8" t="s">
        <v>2536</v>
      </c>
      <c r="C35" s="8" t="s">
        <v>2317</v>
      </c>
      <c r="D35" s="8" t="s">
        <v>2083</v>
      </c>
      <c r="E35" s="810" t="str">
        <f t="shared" ref="E35:M35" si="3">#REF!</f>
        <v>#REF!</v>
      </c>
      <c r="F35" s="810" t="str">
        <f t="shared" si="3"/>
        <v>#REF!</v>
      </c>
      <c r="G35" s="810" t="str">
        <f t="shared" si="3"/>
        <v>#REF!</v>
      </c>
      <c r="H35" s="810" t="str">
        <f t="shared" si="3"/>
        <v>#REF!</v>
      </c>
      <c r="I35" s="810" t="str">
        <f t="shared" si="3"/>
        <v>#REF!</v>
      </c>
      <c r="J35" s="810" t="str">
        <f t="shared" si="3"/>
        <v>#REF!</v>
      </c>
      <c r="K35" s="810" t="str">
        <f t="shared" si="3"/>
        <v>#REF!</v>
      </c>
      <c r="L35" s="810" t="str">
        <f t="shared" si="3"/>
        <v>#REF!</v>
      </c>
      <c r="M35" s="810" t="str">
        <f t="shared" si="3"/>
        <v>#REF!</v>
      </c>
      <c r="N35" s="814" t="str">
        <f>M35*(N36+N66)/(M36+M66)</f>
        <v>#REF!</v>
      </c>
      <c r="O35" s="810" t="str">
        <f>#REF!</f>
        <v>#REF!</v>
      </c>
      <c r="P35" s="8" t="s">
        <v>2505</v>
      </c>
      <c r="Q35" s="8"/>
      <c r="R35" s="8" t="s">
        <v>2506</v>
      </c>
      <c r="S35" s="8"/>
    </row>
    <row r="36" ht="14.25" customHeight="1">
      <c r="A36" s="8" t="s">
        <v>2088</v>
      </c>
      <c r="B36" s="8" t="s">
        <v>2536</v>
      </c>
      <c r="C36" s="8" t="s">
        <v>2507</v>
      </c>
      <c r="D36" s="8" t="s">
        <v>2083</v>
      </c>
      <c r="E36" s="810" t="str">
        <f t="shared" ref="E36:O36" si="4">#REF!</f>
        <v>#REF!</v>
      </c>
      <c r="F36" s="810" t="str">
        <f t="shared" si="4"/>
        <v>#REF!</v>
      </c>
      <c r="G36" s="810" t="str">
        <f t="shared" si="4"/>
        <v>#REF!</v>
      </c>
      <c r="H36" s="810" t="str">
        <f t="shared" si="4"/>
        <v>#REF!</v>
      </c>
      <c r="I36" s="810" t="str">
        <f t="shared" si="4"/>
        <v>#REF!</v>
      </c>
      <c r="J36" s="810" t="str">
        <f t="shared" si="4"/>
        <v>#REF!</v>
      </c>
      <c r="K36" s="810" t="str">
        <f t="shared" si="4"/>
        <v>#REF!</v>
      </c>
      <c r="L36" s="810" t="str">
        <f t="shared" si="4"/>
        <v>#REF!</v>
      </c>
      <c r="M36" s="810" t="str">
        <f t="shared" si="4"/>
        <v>#REF!</v>
      </c>
      <c r="N36" s="810" t="str">
        <f t="shared" si="4"/>
        <v>#REF!</v>
      </c>
      <c r="O36" s="810" t="str">
        <f t="shared" si="4"/>
        <v>#REF!</v>
      </c>
      <c r="P36" s="8"/>
      <c r="Q36" s="8"/>
      <c r="R36" s="8"/>
      <c r="S36" s="8"/>
    </row>
    <row r="37" ht="14.25" customHeight="1">
      <c r="A37" s="8" t="s">
        <v>2088</v>
      </c>
      <c r="B37" s="8" t="s">
        <v>2536</v>
      </c>
      <c r="C37" s="8" t="s">
        <v>2325</v>
      </c>
      <c r="D37" s="8" t="s">
        <v>2083</v>
      </c>
      <c r="E37" s="8">
        <v>637.0</v>
      </c>
      <c r="F37" s="8">
        <v>689.0</v>
      </c>
      <c r="G37" s="8">
        <v>674.0</v>
      </c>
      <c r="H37" s="8">
        <v>664.0</v>
      </c>
      <c r="I37" s="8">
        <v>691.0</v>
      </c>
      <c r="J37" s="8">
        <v>667.0</v>
      </c>
      <c r="K37" s="8">
        <v>672.0</v>
      </c>
      <c r="L37" s="8">
        <v>723.0</v>
      </c>
      <c r="M37" s="8">
        <v>708.0</v>
      </c>
      <c r="N37" s="8">
        <v>709.0</v>
      </c>
      <c r="O37" s="8" t="s">
        <v>2434</v>
      </c>
      <c r="P37" s="8" t="s">
        <v>2505</v>
      </c>
      <c r="Q37" s="8"/>
      <c r="R37" s="8" t="s">
        <v>2506</v>
      </c>
      <c r="S37" s="8"/>
    </row>
    <row r="38" ht="14.25" customHeight="1">
      <c r="A38" s="8" t="s">
        <v>2088</v>
      </c>
      <c r="B38" s="8" t="s">
        <v>2536</v>
      </c>
      <c r="C38" s="8" t="s">
        <v>2329</v>
      </c>
      <c r="D38" s="8" t="s">
        <v>2083</v>
      </c>
      <c r="E38" s="8">
        <v>2796.0</v>
      </c>
      <c r="F38" s="8">
        <v>2773.0</v>
      </c>
      <c r="G38" s="8">
        <v>2654.0</v>
      </c>
      <c r="H38" s="8">
        <v>2389.0</v>
      </c>
      <c r="I38" s="8">
        <v>2379.0</v>
      </c>
      <c r="J38" s="8">
        <v>2448.0</v>
      </c>
      <c r="K38" s="8">
        <v>2383.9</v>
      </c>
      <c r="L38" s="8">
        <v>2430.0</v>
      </c>
      <c r="M38" s="8">
        <v>2553.6</v>
      </c>
      <c r="N38" s="8">
        <v>2095.2</v>
      </c>
      <c r="O38" s="8" t="s">
        <v>2434</v>
      </c>
      <c r="P38" s="8" t="s">
        <v>2508</v>
      </c>
      <c r="Q38" s="8" t="s">
        <v>2509</v>
      </c>
      <c r="R38" s="8" t="s">
        <v>2506</v>
      </c>
      <c r="S38" s="8"/>
    </row>
    <row r="39" ht="14.25" customHeight="1">
      <c r="A39" s="8" t="s">
        <v>2088</v>
      </c>
      <c r="B39" s="8" t="s">
        <v>2536</v>
      </c>
      <c r="C39" s="8" t="s">
        <v>2333</v>
      </c>
      <c r="D39" s="8" t="s">
        <v>2083</v>
      </c>
      <c r="E39" s="8">
        <v>899.0</v>
      </c>
      <c r="F39" s="8">
        <v>762.419</v>
      </c>
      <c r="G39" s="8">
        <v>640.5</v>
      </c>
      <c r="H39" s="8">
        <v>522.8</v>
      </c>
      <c r="I39" s="8">
        <v>612.4</v>
      </c>
      <c r="J39" s="8">
        <v>543.0</v>
      </c>
      <c r="K39" s="8">
        <v>527.0</v>
      </c>
      <c r="L39" s="8">
        <v>652.4</v>
      </c>
      <c r="M39" s="8">
        <v>666.1</v>
      </c>
      <c r="N39" s="8">
        <v>565.9</v>
      </c>
      <c r="O39" s="8" t="s">
        <v>2434</v>
      </c>
      <c r="P39" s="8" t="s">
        <v>2537</v>
      </c>
      <c r="Q39" s="8"/>
      <c r="R39" s="8" t="s">
        <v>2506</v>
      </c>
      <c r="S39" s="8"/>
    </row>
    <row r="40" ht="14.25" customHeight="1">
      <c r="A40" s="8" t="s">
        <v>2088</v>
      </c>
      <c r="B40" s="8" t="s">
        <v>2536</v>
      </c>
      <c r="C40" s="8" t="s">
        <v>2364</v>
      </c>
      <c r="D40" s="8" t="s">
        <v>2083</v>
      </c>
      <c r="E40" s="8">
        <v>103.4</v>
      </c>
      <c r="F40" s="8">
        <v>95.4</v>
      </c>
      <c r="G40" s="8">
        <v>1.0</v>
      </c>
      <c r="H40" s="8">
        <v>110.1</v>
      </c>
      <c r="I40" s="8">
        <v>148.9</v>
      </c>
      <c r="J40" s="8">
        <v>121.5</v>
      </c>
      <c r="K40" s="8">
        <v>0.0</v>
      </c>
      <c r="L40" s="8">
        <v>0.0</v>
      </c>
      <c r="M40" s="8">
        <v>135.8</v>
      </c>
      <c r="N40" s="8">
        <v>69.1</v>
      </c>
      <c r="O40" s="8" t="s">
        <v>2434</v>
      </c>
      <c r="P40" s="8" t="s">
        <v>2511</v>
      </c>
      <c r="Q40" s="8"/>
      <c r="R40" s="813" t="s">
        <v>2538</v>
      </c>
      <c r="S40" s="8"/>
    </row>
    <row r="41" ht="14.25" customHeight="1">
      <c r="A41" s="8" t="s">
        <v>2088</v>
      </c>
      <c r="B41" s="8" t="s">
        <v>2536</v>
      </c>
      <c r="C41" s="8" t="s">
        <v>2337</v>
      </c>
      <c r="D41" s="8" t="s">
        <v>2083</v>
      </c>
      <c r="E41" s="8">
        <v>0.0</v>
      </c>
      <c r="F41" s="8">
        <v>0.0</v>
      </c>
      <c r="G41" s="8">
        <v>0.0</v>
      </c>
      <c r="H41" s="8">
        <v>0.0</v>
      </c>
      <c r="I41" s="8">
        <v>0.0</v>
      </c>
      <c r="J41" s="8">
        <v>0.0</v>
      </c>
      <c r="K41" s="8">
        <v>0.0</v>
      </c>
      <c r="L41" s="8">
        <v>0.0</v>
      </c>
      <c r="M41" s="8">
        <v>0.0</v>
      </c>
      <c r="N41" s="8">
        <v>0.0</v>
      </c>
      <c r="O41" s="8">
        <v>0.0</v>
      </c>
      <c r="P41" s="8" t="s">
        <v>2512</v>
      </c>
      <c r="Q41" s="8"/>
      <c r="R41" s="8"/>
      <c r="S41" s="8"/>
    </row>
    <row r="42" ht="14.25" customHeight="1">
      <c r="A42" s="8" t="s">
        <v>2088</v>
      </c>
      <c r="B42" s="8" t="s">
        <v>2536</v>
      </c>
      <c r="C42" s="8" t="s">
        <v>2341</v>
      </c>
      <c r="D42" s="8" t="s">
        <v>2083</v>
      </c>
      <c r="E42" s="8">
        <v>399.558</v>
      </c>
      <c r="F42" s="8">
        <v>444.788</v>
      </c>
      <c r="G42" s="8">
        <v>318.699</v>
      </c>
      <c r="H42" s="8">
        <v>319.773</v>
      </c>
      <c r="I42" s="8">
        <v>363.447</v>
      </c>
      <c r="J42" s="8">
        <v>330.624</v>
      </c>
      <c r="K42" s="8">
        <v>293.196</v>
      </c>
      <c r="L42" s="8">
        <v>289.502</v>
      </c>
      <c r="M42" s="8">
        <v>235.403</v>
      </c>
      <c r="N42" s="8">
        <v>188.015</v>
      </c>
      <c r="O42" s="8" t="s">
        <v>2434</v>
      </c>
      <c r="P42" s="8" t="s">
        <v>2513</v>
      </c>
      <c r="Q42" s="8"/>
      <c r="R42" s="8"/>
      <c r="S42" s="8"/>
    </row>
    <row r="43" ht="14.25" customHeight="1">
      <c r="A43" s="8" t="s">
        <v>2088</v>
      </c>
      <c r="B43" s="8" t="s">
        <v>2536</v>
      </c>
      <c r="C43" s="8" t="s">
        <v>2348</v>
      </c>
      <c r="D43" s="8"/>
      <c r="E43" s="811">
        <v>0.0</v>
      </c>
      <c r="F43" s="811">
        <v>0.0</v>
      </c>
      <c r="G43" s="811">
        <v>0.0</v>
      </c>
      <c r="H43" s="811">
        <v>0.0</v>
      </c>
      <c r="I43" s="811">
        <v>0.0</v>
      </c>
      <c r="J43" s="811">
        <v>0.0</v>
      </c>
      <c r="K43" s="811">
        <v>0.0</v>
      </c>
      <c r="L43" s="811">
        <v>0.0</v>
      </c>
      <c r="M43" s="811">
        <v>0.0</v>
      </c>
      <c r="N43" s="811">
        <v>0.0</v>
      </c>
      <c r="O43" s="8" t="s">
        <v>2434</v>
      </c>
      <c r="P43" s="8"/>
      <c r="Q43" s="8"/>
      <c r="R43" s="811" t="s">
        <v>2525</v>
      </c>
      <c r="S43" s="8"/>
    </row>
    <row r="44" ht="14.25" customHeight="1">
      <c r="A44" s="8" t="s">
        <v>2088</v>
      </c>
      <c r="B44" s="8" t="s">
        <v>2536</v>
      </c>
      <c r="C44" s="8" t="s">
        <v>2350</v>
      </c>
      <c r="D44" s="8" t="s">
        <v>2083</v>
      </c>
      <c r="E44" s="8">
        <v>0.3</v>
      </c>
      <c r="F44" s="8">
        <v>0.3</v>
      </c>
      <c r="G44" s="8">
        <v>0.2</v>
      </c>
      <c r="H44" s="8">
        <v>0.2</v>
      </c>
      <c r="I44" s="8">
        <v>0.149</v>
      </c>
      <c r="J44" s="8">
        <v>0.24</v>
      </c>
      <c r="K44" s="8">
        <v>1.65</v>
      </c>
      <c r="L44" s="8">
        <v>1.512</v>
      </c>
      <c r="M44" s="8">
        <v>0.9354</v>
      </c>
      <c r="N44" s="8">
        <v>1.434</v>
      </c>
      <c r="O44" s="8" t="s">
        <v>2434</v>
      </c>
      <c r="P44" s="8" t="s">
        <v>2400</v>
      </c>
      <c r="Q44" s="8"/>
      <c r="R44" s="8"/>
      <c r="S44" s="8"/>
    </row>
    <row r="45" ht="14.25" customHeight="1">
      <c r="A45" s="8" t="s">
        <v>2088</v>
      </c>
      <c r="B45" s="8" t="s">
        <v>2536</v>
      </c>
      <c r="C45" s="8" t="s">
        <v>2354</v>
      </c>
      <c r="D45" s="8" t="s">
        <v>2083</v>
      </c>
      <c r="E45" s="8">
        <v>1265.0</v>
      </c>
      <c r="F45" s="8">
        <v>1286.0</v>
      </c>
      <c r="G45" s="8">
        <v>1460.0</v>
      </c>
      <c r="H45" s="8">
        <v>1300.0</v>
      </c>
      <c r="I45" s="8">
        <v>1265.0</v>
      </c>
      <c r="J45" s="8">
        <v>1365.0</v>
      </c>
      <c r="K45" s="8">
        <v>1350.0</v>
      </c>
      <c r="L45" s="8">
        <v>1300.0</v>
      </c>
      <c r="M45" s="8">
        <v>1350.0</v>
      </c>
      <c r="N45" s="8">
        <v>1155.0</v>
      </c>
      <c r="O45" s="8" t="s">
        <v>2434</v>
      </c>
      <c r="P45" s="8" t="s">
        <v>2516</v>
      </c>
      <c r="Q45" s="8"/>
      <c r="R45" s="8"/>
      <c r="S45" s="8"/>
    </row>
    <row r="46" ht="14.25" customHeight="1">
      <c r="A46" s="8" t="s">
        <v>2088</v>
      </c>
      <c r="B46" s="8" t="s">
        <v>2536</v>
      </c>
      <c r="C46" s="8" t="s">
        <v>2356</v>
      </c>
      <c r="D46" s="8" t="s">
        <v>2083</v>
      </c>
      <c r="E46" s="8">
        <v>5601.0</v>
      </c>
      <c r="F46" s="8">
        <v>6128.0</v>
      </c>
      <c r="G46" s="8">
        <v>6102.0</v>
      </c>
      <c r="H46" s="8">
        <v>5491.0</v>
      </c>
      <c r="I46" s="8">
        <v>5498.0</v>
      </c>
      <c r="J46" s="8">
        <v>5159.0</v>
      </c>
      <c r="K46" s="8">
        <v>4886.0</v>
      </c>
      <c r="L46" s="8">
        <v>4840.0</v>
      </c>
      <c r="M46" s="8">
        <v>4863.641</v>
      </c>
      <c r="N46" s="8">
        <v>4388.0</v>
      </c>
      <c r="O46" s="8" t="s">
        <v>2434</v>
      </c>
      <c r="P46" s="8" t="s">
        <v>2516</v>
      </c>
      <c r="Q46" s="8"/>
      <c r="R46" s="8"/>
      <c r="S46" s="8"/>
    </row>
    <row r="47" ht="14.25" customHeight="1">
      <c r="A47" s="8" t="s">
        <v>2088</v>
      </c>
      <c r="B47" s="8" t="s">
        <v>2536</v>
      </c>
      <c r="C47" s="8" t="s">
        <v>2344</v>
      </c>
      <c r="D47" s="8" t="s">
        <v>2083</v>
      </c>
      <c r="E47" s="8">
        <v>13215.0</v>
      </c>
      <c r="F47" s="8">
        <v>14204.0</v>
      </c>
      <c r="G47" s="8">
        <v>13879.0</v>
      </c>
      <c r="H47" s="8">
        <v>13459.0</v>
      </c>
      <c r="I47" s="8">
        <v>13062.0</v>
      </c>
      <c r="J47" s="8">
        <v>12622.0</v>
      </c>
      <c r="K47" s="8">
        <v>12594.0</v>
      </c>
      <c r="L47" s="8">
        <v>13000.0</v>
      </c>
      <c r="M47" s="8">
        <v>12703.0</v>
      </c>
      <c r="N47" s="8">
        <v>11900.0</v>
      </c>
      <c r="O47" s="8" t="s">
        <v>2434</v>
      </c>
      <c r="P47" s="8" t="s">
        <v>2517</v>
      </c>
      <c r="Q47" s="8"/>
      <c r="R47" s="8"/>
      <c r="S47" s="8"/>
    </row>
    <row r="48" ht="14.25" customHeight="1">
      <c r="A48" s="8" t="s">
        <v>2088</v>
      </c>
      <c r="B48" s="8" t="s">
        <v>2536</v>
      </c>
      <c r="C48" s="8" t="s">
        <v>2362</v>
      </c>
      <c r="D48" s="8" t="s">
        <v>2083</v>
      </c>
      <c r="E48" s="8">
        <v>1821.0</v>
      </c>
      <c r="F48" s="8">
        <v>1934.0</v>
      </c>
      <c r="G48" s="8">
        <v>1247.0</v>
      </c>
      <c r="H48" s="8">
        <v>1030.0</v>
      </c>
      <c r="I48" s="8">
        <v>1022.0</v>
      </c>
      <c r="J48" s="8">
        <v>910.0</v>
      </c>
      <c r="K48" s="8">
        <v>1158.0</v>
      </c>
      <c r="L48" s="8">
        <v>1359.0</v>
      </c>
      <c r="M48" s="8">
        <v>1471.0</v>
      </c>
      <c r="N48" s="8">
        <v>1350.0</v>
      </c>
      <c r="O48" s="8" t="s">
        <v>2434</v>
      </c>
      <c r="P48" s="8" t="s">
        <v>2516</v>
      </c>
      <c r="Q48" s="8"/>
      <c r="R48" s="8"/>
      <c r="S48" s="8"/>
    </row>
    <row r="49" ht="14.25" customHeight="1">
      <c r="A49" s="8" t="s">
        <v>2088</v>
      </c>
      <c r="B49" s="8" t="s">
        <v>2536</v>
      </c>
      <c r="C49" s="8" t="s">
        <v>2367</v>
      </c>
      <c r="D49" s="8" t="s">
        <v>2083</v>
      </c>
      <c r="E49" s="8">
        <v>92.0</v>
      </c>
      <c r="F49" s="8">
        <v>176.0</v>
      </c>
      <c r="G49" s="8">
        <v>54.0</v>
      </c>
      <c r="H49" s="8">
        <v>139.0</v>
      </c>
      <c r="I49" s="8">
        <v>178.0</v>
      </c>
      <c r="J49" s="8">
        <v>168.0</v>
      </c>
      <c r="K49" s="8">
        <v>233.0</v>
      </c>
      <c r="L49" s="8">
        <v>298.0</v>
      </c>
      <c r="M49" s="8">
        <v>329.0</v>
      </c>
      <c r="N49" s="8">
        <v>352.0</v>
      </c>
      <c r="O49" s="8" t="s">
        <v>2434</v>
      </c>
      <c r="P49" s="8" t="s">
        <v>2516</v>
      </c>
      <c r="Q49" s="8"/>
      <c r="R49" s="8"/>
      <c r="S49" s="8"/>
    </row>
    <row r="50" ht="14.25" customHeight="1">
      <c r="A50" s="8" t="s">
        <v>2088</v>
      </c>
      <c r="B50" s="8" t="s">
        <v>2536</v>
      </c>
      <c r="C50" s="8" t="s">
        <v>2369</v>
      </c>
      <c r="D50" s="8" t="s">
        <v>2083</v>
      </c>
      <c r="E50" s="8">
        <v>0.0</v>
      </c>
      <c r="F50" s="8">
        <v>0.0</v>
      </c>
      <c r="G50" s="8">
        <v>0.0</v>
      </c>
      <c r="H50" s="8">
        <v>0.0</v>
      </c>
      <c r="I50" s="8">
        <v>0.0</v>
      </c>
      <c r="J50" s="8">
        <v>0.0</v>
      </c>
      <c r="K50" s="8">
        <v>0.0</v>
      </c>
      <c r="L50" s="8">
        <v>0.0</v>
      </c>
      <c r="M50" s="8">
        <v>0.0</v>
      </c>
      <c r="N50" s="8">
        <v>0.0</v>
      </c>
      <c r="O50" s="8" t="s">
        <v>2434</v>
      </c>
      <c r="P50" s="8" t="s">
        <v>2519</v>
      </c>
      <c r="Q50" s="8"/>
      <c r="R50" s="8"/>
      <c r="S50" s="8"/>
    </row>
    <row r="51" ht="14.25" customHeight="1">
      <c r="A51" s="8" t="s">
        <v>2088</v>
      </c>
      <c r="B51" s="8" t="s">
        <v>2536</v>
      </c>
      <c r="C51" s="8" t="s">
        <v>2374</v>
      </c>
      <c r="D51" s="8" t="s">
        <v>2083</v>
      </c>
      <c r="E51" s="8">
        <v>17163.0</v>
      </c>
      <c r="F51" s="8">
        <v>18843.0</v>
      </c>
      <c r="G51" s="8">
        <v>17939.0</v>
      </c>
      <c r="H51" s="8">
        <v>17295.0</v>
      </c>
      <c r="I51" s="8">
        <v>17200.0</v>
      </c>
      <c r="J51" s="8">
        <v>17227.0</v>
      </c>
      <c r="K51" s="8">
        <v>17704.0</v>
      </c>
      <c r="L51" s="8">
        <v>19275.0</v>
      </c>
      <c r="M51" s="8">
        <v>19976.0</v>
      </c>
      <c r="N51" s="8">
        <v>18980.0</v>
      </c>
      <c r="O51" s="8" t="s">
        <v>2434</v>
      </c>
      <c r="P51" s="8" t="s">
        <v>2520</v>
      </c>
      <c r="Q51" s="8"/>
      <c r="R51" s="8"/>
      <c r="S51" s="8"/>
    </row>
    <row r="52" ht="14.25" customHeight="1">
      <c r="A52" s="8" t="s">
        <v>2088</v>
      </c>
      <c r="B52" s="8" t="s">
        <v>2536</v>
      </c>
      <c r="C52" s="8" t="s">
        <v>2386</v>
      </c>
      <c r="D52" s="8"/>
      <c r="E52" s="811">
        <v>0.0</v>
      </c>
      <c r="F52" s="811">
        <v>0.0</v>
      </c>
      <c r="G52" s="811">
        <v>0.0</v>
      </c>
      <c r="H52" s="811">
        <v>0.0</v>
      </c>
      <c r="I52" s="811">
        <v>0.0</v>
      </c>
      <c r="J52" s="811">
        <v>0.0</v>
      </c>
      <c r="K52" s="811">
        <v>0.0</v>
      </c>
      <c r="L52" s="811">
        <v>0.0</v>
      </c>
      <c r="M52" s="811">
        <v>0.0</v>
      </c>
      <c r="N52" s="811">
        <v>0.0</v>
      </c>
      <c r="O52" s="8" t="s">
        <v>2434</v>
      </c>
      <c r="P52" s="8"/>
      <c r="Q52" s="8"/>
      <c r="R52" s="811" t="s">
        <v>2525</v>
      </c>
      <c r="S52" s="8"/>
    </row>
    <row r="53" ht="14.25" customHeight="1">
      <c r="A53" s="8" t="s">
        <v>2088</v>
      </c>
      <c r="B53" s="8" t="s">
        <v>2536</v>
      </c>
      <c r="C53" s="8" t="s">
        <v>2378</v>
      </c>
      <c r="D53" s="8"/>
      <c r="E53" s="811">
        <v>0.0</v>
      </c>
      <c r="F53" s="811">
        <v>0.0</v>
      </c>
      <c r="G53" s="811">
        <v>0.0</v>
      </c>
      <c r="H53" s="811">
        <v>0.0</v>
      </c>
      <c r="I53" s="811">
        <v>0.0</v>
      </c>
      <c r="J53" s="811">
        <v>0.0</v>
      </c>
      <c r="K53" s="811">
        <v>0.0</v>
      </c>
      <c r="L53" s="811">
        <v>0.0</v>
      </c>
      <c r="M53" s="811">
        <v>0.0</v>
      </c>
      <c r="N53" s="811">
        <v>0.0</v>
      </c>
      <c r="O53" s="8" t="s">
        <v>2434</v>
      </c>
      <c r="P53" s="8"/>
      <c r="Q53" s="8"/>
      <c r="R53" s="811" t="s">
        <v>2525</v>
      </c>
      <c r="S53" s="8"/>
    </row>
    <row r="54" ht="14.25" customHeight="1">
      <c r="A54" s="8" t="s">
        <v>2088</v>
      </c>
      <c r="B54" s="8" t="s">
        <v>2536</v>
      </c>
      <c r="C54" s="8" t="s">
        <v>2383</v>
      </c>
      <c r="D54" s="8" t="s">
        <v>2083</v>
      </c>
      <c r="E54" s="8">
        <v>2548.0</v>
      </c>
      <c r="F54" s="8">
        <v>2521.0</v>
      </c>
      <c r="G54" s="8">
        <v>2214.0</v>
      </c>
      <c r="H54" s="8">
        <v>2090.0</v>
      </c>
      <c r="I54" s="8">
        <v>2193.0</v>
      </c>
      <c r="J54" s="8">
        <v>2127.0</v>
      </c>
      <c r="K54" s="8">
        <v>2175.0</v>
      </c>
      <c r="L54" s="8">
        <v>2172.0</v>
      </c>
      <c r="M54" s="8">
        <v>2227.9809</v>
      </c>
      <c r="N54" s="8">
        <v>2119.2837</v>
      </c>
      <c r="O54" s="8" t="s">
        <v>2434</v>
      </c>
      <c r="P54" s="8" t="s">
        <v>2523</v>
      </c>
      <c r="Q54" s="8"/>
      <c r="R54" s="8"/>
      <c r="S54" s="8"/>
    </row>
    <row r="55" ht="14.25" customHeight="1">
      <c r="A55" s="8" t="s">
        <v>2088</v>
      </c>
      <c r="B55" s="8" t="s">
        <v>2536</v>
      </c>
      <c r="C55" s="8" t="s">
        <v>2389</v>
      </c>
      <c r="D55" s="8"/>
      <c r="E55" s="811">
        <v>0.0</v>
      </c>
      <c r="F55" s="811">
        <v>0.0</v>
      </c>
      <c r="G55" s="811">
        <v>0.0</v>
      </c>
      <c r="H55" s="811">
        <v>0.0</v>
      </c>
      <c r="I55" s="811">
        <v>0.0</v>
      </c>
      <c r="J55" s="811">
        <v>0.0</v>
      </c>
      <c r="K55" s="811">
        <v>0.0</v>
      </c>
      <c r="L55" s="811">
        <v>0.0</v>
      </c>
      <c r="M55" s="811">
        <v>0.0</v>
      </c>
      <c r="N55" s="811">
        <v>0.0</v>
      </c>
      <c r="O55" s="8" t="s">
        <v>2434</v>
      </c>
      <c r="P55" s="8"/>
      <c r="Q55" s="8"/>
      <c r="R55" s="811" t="s">
        <v>2525</v>
      </c>
      <c r="S55" s="8"/>
    </row>
    <row r="56" ht="14.25" customHeight="1">
      <c r="A56" s="8" t="s">
        <v>2088</v>
      </c>
      <c r="B56" s="8" t="s">
        <v>2536</v>
      </c>
      <c r="C56" s="8" t="s">
        <v>2391</v>
      </c>
      <c r="D56" s="8" t="s">
        <v>2083</v>
      </c>
      <c r="E56" s="8">
        <v>128.0</v>
      </c>
      <c r="F56" s="8">
        <v>172.0</v>
      </c>
      <c r="G56" s="8">
        <v>141.0</v>
      </c>
      <c r="H56" s="8">
        <v>132.0</v>
      </c>
      <c r="I56" s="8">
        <v>125.0</v>
      </c>
      <c r="J56" s="8">
        <v>107.0</v>
      </c>
      <c r="K56" s="8">
        <v>93.0</v>
      </c>
      <c r="L56" s="8">
        <v>0.0</v>
      </c>
      <c r="M56" s="8">
        <v>0.0</v>
      </c>
      <c r="N56" s="8">
        <v>0.0</v>
      </c>
      <c r="O56" s="8">
        <v>0.0</v>
      </c>
      <c r="P56" s="8" t="s">
        <v>2516</v>
      </c>
      <c r="Q56" s="8"/>
      <c r="R56" s="8"/>
      <c r="S56" s="8"/>
    </row>
    <row r="57" ht="14.25" customHeight="1">
      <c r="A57" s="8" t="s">
        <v>2088</v>
      </c>
      <c r="B57" s="8" t="s">
        <v>2536</v>
      </c>
      <c r="C57" s="8" t="s">
        <v>2393</v>
      </c>
      <c r="D57" s="8" t="s">
        <v>2083</v>
      </c>
      <c r="E57" s="8">
        <v>4001.0</v>
      </c>
      <c r="F57" s="8">
        <v>4353.0</v>
      </c>
      <c r="G57" s="8">
        <v>4209.0</v>
      </c>
      <c r="H57" s="8">
        <v>3679.0</v>
      </c>
      <c r="I57" s="8">
        <v>3617.0</v>
      </c>
      <c r="J57" s="8">
        <v>3811.0</v>
      </c>
      <c r="K57" s="8">
        <v>3839.0</v>
      </c>
      <c r="L57" s="8">
        <v>4589.212</v>
      </c>
      <c r="M57" s="8">
        <v>4805.308</v>
      </c>
      <c r="N57" s="8">
        <v>3926.0</v>
      </c>
      <c r="O57" s="8" t="s">
        <v>2434</v>
      </c>
      <c r="P57" s="8" t="s">
        <v>2526</v>
      </c>
      <c r="Q57" s="8"/>
      <c r="R57" s="8"/>
      <c r="S57" s="8"/>
    </row>
    <row r="58" ht="14.25" customHeight="1">
      <c r="A58" s="8" t="s">
        <v>2088</v>
      </c>
      <c r="B58" s="8" t="s">
        <v>2536</v>
      </c>
      <c r="C58" s="8" t="s">
        <v>2395</v>
      </c>
      <c r="D58" s="8" t="s">
        <v>2083</v>
      </c>
      <c r="E58" s="8">
        <v>1543.0</v>
      </c>
      <c r="F58" s="8">
        <v>1942.0</v>
      </c>
      <c r="G58" s="8">
        <v>1960.0</v>
      </c>
      <c r="H58" s="8">
        <v>2050.0</v>
      </c>
      <c r="I58" s="8">
        <v>2070.0</v>
      </c>
      <c r="J58" s="8">
        <v>2030.0</v>
      </c>
      <c r="K58" s="8">
        <v>2010.0</v>
      </c>
      <c r="L58" s="8">
        <v>2076.0</v>
      </c>
      <c r="M58" s="8">
        <v>2215.0</v>
      </c>
      <c r="N58" s="8">
        <v>2033.0</v>
      </c>
      <c r="O58" s="8" t="s">
        <v>2434</v>
      </c>
      <c r="P58" s="8" t="s">
        <v>2539</v>
      </c>
      <c r="Q58" s="8"/>
      <c r="R58" s="8"/>
      <c r="S58" s="8"/>
    </row>
    <row r="59" ht="14.25" customHeight="1">
      <c r="A59" s="8" t="s">
        <v>2088</v>
      </c>
      <c r="B59" s="8" t="s">
        <v>2536</v>
      </c>
      <c r="C59" s="8" t="s">
        <v>2397</v>
      </c>
      <c r="D59" s="8" t="s">
        <v>2083</v>
      </c>
      <c r="E59" s="8">
        <v>1735.0</v>
      </c>
      <c r="F59" s="8">
        <v>1933.0</v>
      </c>
      <c r="G59" s="8">
        <v>1706.0</v>
      </c>
      <c r="H59" s="8">
        <v>1166.0</v>
      </c>
      <c r="I59" s="8">
        <v>1284.0</v>
      </c>
      <c r="J59" s="8">
        <v>1198.0</v>
      </c>
      <c r="K59" s="8">
        <v>1181.0</v>
      </c>
      <c r="L59" s="8">
        <v>1442.0</v>
      </c>
      <c r="M59" s="8">
        <v>1346.0</v>
      </c>
      <c r="N59" s="8">
        <v>1128.0</v>
      </c>
      <c r="O59" s="8" t="s">
        <v>2434</v>
      </c>
      <c r="P59" s="8" t="s">
        <v>2528</v>
      </c>
      <c r="Q59" s="8"/>
      <c r="R59" s="8"/>
      <c r="S59" s="8"/>
    </row>
    <row r="60" ht="14.25" customHeight="1">
      <c r="A60" s="8" t="s">
        <v>2088</v>
      </c>
      <c r="B60" s="8" t="s">
        <v>2536</v>
      </c>
      <c r="C60" s="8" t="s">
        <v>2411</v>
      </c>
      <c r="D60" s="8"/>
      <c r="E60" s="815">
        <f>0.073*E27</f>
        <v>334.559</v>
      </c>
      <c r="F60" s="816">
        <f t="shared" ref="F60:I60" si="5">0.072*F27</f>
        <v>304.992</v>
      </c>
      <c r="G60" s="816">
        <f t="shared" si="5"/>
        <v>317.016</v>
      </c>
      <c r="H60" s="816">
        <f t="shared" si="5"/>
        <v>324.792</v>
      </c>
      <c r="I60" s="816">
        <f t="shared" si="5"/>
        <v>338.76</v>
      </c>
      <c r="J60" s="815">
        <f>0.071*J27</f>
        <v>323.902</v>
      </c>
      <c r="K60" s="815">
        <f>0.063*K27</f>
        <v>302.904</v>
      </c>
      <c r="L60" s="815">
        <f>0.071*L27</f>
        <v>353.175158</v>
      </c>
      <c r="M60" s="815">
        <f>0.07*M27</f>
        <v>336</v>
      </c>
      <c r="N60" s="815">
        <f>0.084*N27</f>
        <v>302.4</v>
      </c>
      <c r="O60" s="8" t="s">
        <v>2434</v>
      </c>
      <c r="P60" s="8"/>
      <c r="Q60" s="8"/>
      <c r="R60" s="811" t="s">
        <v>2540</v>
      </c>
      <c r="S60" s="8"/>
    </row>
    <row r="61" ht="14.25" customHeight="1">
      <c r="A61" s="8" t="s">
        <v>2088</v>
      </c>
      <c r="B61" s="8" t="s">
        <v>2536</v>
      </c>
      <c r="C61" s="8" t="s">
        <v>2406</v>
      </c>
      <c r="D61" s="8" t="s">
        <v>2083</v>
      </c>
      <c r="E61" s="8">
        <v>641.169</v>
      </c>
      <c r="F61" s="8">
        <v>687.0278</v>
      </c>
      <c r="G61" s="8">
        <v>671.4494</v>
      </c>
      <c r="H61" s="8">
        <v>662.5805</v>
      </c>
      <c r="I61" s="8">
        <v>648.575</v>
      </c>
      <c r="J61" s="8">
        <v>631.917</v>
      </c>
      <c r="K61" s="8">
        <v>643.2449</v>
      </c>
      <c r="L61" s="8">
        <v>676.6661</v>
      </c>
      <c r="M61" s="8">
        <v>666.0</v>
      </c>
      <c r="N61" s="8">
        <v>639.3977</v>
      </c>
      <c r="O61" s="8" t="s">
        <v>2434</v>
      </c>
      <c r="P61" s="8" t="s">
        <v>2529</v>
      </c>
      <c r="Q61" s="8"/>
      <c r="R61" s="8"/>
      <c r="S61" s="8"/>
    </row>
    <row r="62" ht="14.25" customHeight="1">
      <c r="A62" s="8" t="s">
        <v>2088</v>
      </c>
      <c r="B62" s="8" t="s">
        <v>2536</v>
      </c>
      <c r="C62" s="8" t="s">
        <v>2352</v>
      </c>
      <c r="D62" s="8" t="s">
        <v>2083</v>
      </c>
      <c r="E62" s="8">
        <v>12501.63</v>
      </c>
      <c r="F62" s="8">
        <v>11659.008</v>
      </c>
      <c r="G62" s="8">
        <v>10216.36</v>
      </c>
      <c r="H62" s="8">
        <v>10049.07</v>
      </c>
      <c r="I62" s="8">
        <v>10065.285</v>
      </c>
      <c r="J62" s="8">
        <v>10167.138</v>
      </c>
      <c r="K62" s="8">
        <v>9025.294</v>
      </c>
      <c r="L62" s="8">
        <v>9603.265</v>
      </c>
      <c r="M62" s="8">
        <v>9408.897</v>
      </c>
      <c r="N62" s="8">
        <v>9348.544</v>
      </c>
      <c r="O62" s="8" t="s">
        <v>2434</v>
      </c>
      <c r="P62" s="8" t="s">
        <v>2530</v>
      </c>
      <c r="Q62" s="8"/>
      <c r="R62" s="8"/>
      <c r="S62" s="8"/>
    </row>
    <row r="63" ht="14.25" customHeight="1">
      <c r="A63" s="8" t="s">
        <v>2088</v>
      </c>
      <c r="B63" s="8" t="s">
        <v>2536</v>
      </c>
      <c r="C63" s="8" t="s">
        <v>2400</v>
      </c>
      <c r="D63" s="8" t="s">
        <v>2083</v>
      </c>
      <c r="E63" s="815">
        <f t="shared" ref="E63:J63" si="6">E30-E96</f>
        <v>1614</v>
      </c>
      <c r="F63" s="816">
        <f t="shared" si="6"/>
        <v>1622</v>
      </c>
      <c r="G63" s="816">
        <f t="shared" si="6"/>
        <v>1442</v>
      </c>
      <c r="H63" s="816">
        <f t="shared" si="6"/>
        <v>1468</v>
      </c>
      <c r="I63" s="816">
        <f t="shared" si="6"/>
        <v>1513.173</v>
      </c>
      <c r="J63" s="815">
        <f t="shared" si="6"/>
        <v>1456</v>
      </c>
      <c r="K63" s="8">
        <v>1606.0</v>
      </c>
      <c r="L63" s="8">
        <v>1642.0</v>
      </c>
      <c r="M63" s="8">
        <v>1552.0</v>
      </c>
      <c r="N63" s="8">
        <v>1574.3333</v>
      </c>
      <c r="O63" s="8" t="s">
        <v>2434</v>
      </c>
      <c r="P63" s="8" t="s">
        <v>2531</v>
      </c>
      <c r="Q63" s="8"/>
      <c r="R63" s="811" t="s">
        <v>2541</v>
      </c>
      <c r="S63" s="8"/>
    </row>
    <row r="64" ht="14.25" customHeight="1">
      <c r="A64" s="8" t="s">
        <v>2088</v>
      </c>
      <c r="B64" s="8" t="s">
        <v>2536</v>
      </c>
      <c r="C64" s="8" t="s">
        <v>2416</v>
      </c>
      <c r="D64" s="8" t="s">
        <v>2083</v>
      </c>
      <c r="E64" s="8">
        <v>530.0</v>
      </c>
      <c r="F64" s="8">
        <v>610.0</v>
      </c>
      <c r="G64" s="8">
        <v>700.0</v>
      </c>
      <c r="H64" s="8">
        <v>605.0</v>
      </c>
      <c r="I64" s="8">
        <v>600.0</v>
      </c>
      <c r="J64" s="8">
        <v>590.0</v>
      </c>
      <c r="K64" s="8">
        <v>620.0</v>
      </c>
      <c r="L64" s="8">
        <v>603.0</v>
      </c>
      <c r="M64" s="8">
        <v>575.0</v>
      </c>
      <c r="N64" s="8">
        <v>621.0</v>
      </c>
      <c r="O64" s="8">
        <v>624.0</v>
      </c>
      <c r="P64" s="8" t="s">
        <v>2516</v>
      </c>
      <c r="Q64" s="8"/>
      <c r="R64" s="8"/>
      <c r="S64" s="8"/>
    </row>
    <row r="65" ht="14.25" customHeight="1">
      <c r="A65" s="8" t="s">
        <v>2088</v>
      </c>
      <c r="B65" s="8" t="s">
        <v>2536</v>
      </c>
      <c r="C65" s="8" t="s">
        <v>2423</v>
      </c>
      <c r="D65" s="8" t="s">
        <v>2083</v>
      </c>
      <c r="E65" s="8">
        <v>1218.0</v>
      </c>
      <c r="F65" s="8">
        <v>1322.0</v>
      </c>
      <c r="G65" s="8">
        <v>1252.0</v>
      </c>
      <c r="H65" s="8">
        <v>1231.0</v>
      </c>
      <c r="I65" s="8">
        <v>1315.0</v>
      </c>
      <c r="J65" s="8">
        <v>1296.0</v>
      </c>
      <c r="K65" s="8">
        <v>1238.0</v>
      </c>
      <c r="L65" s="8">
        <v>1270.0</v>
      </c>
      <c r="M65" s="8">
        <v>1291.0</v>
      </c>
      <c r="N65" s="8">
        <v>1130.0</v>
      </c>
      <c r="O65" s="8" t="s">
        <v>2434</v>
      </c>
      <c r="P65" s="8" t="s">
        <v>2542</v>
      </c>
      <c r="Q65" s="8"/>
      <c r="R65" s="8"/>
      <c r="S65" s="8"/>
    </row>
    <row r="66" ht="14.25" customHeight="1">
      <c r="A66" s="8" t="s">
        <v>2088</v>
      </c>
      <c r="B66" s="8" t="s">
        <v>2536</v>
      </c>
      <c r="C66" s="8" t="s">
        <v>2360</v>
      </c>
      <c r="D66" s="8" t="s">
        <v>2083</v>
      </c>
      <c r="E66" s="8">
        <v>2395.0</v>
      </c>
      <c r="F66" s="8">
        <v>2532.0</v>
      </c>
      <c r="G66" s="8">
        <v>2054.0</v>
      </c>
      <c r="H66" s="8">
        <v>1942.0</v>
      </c>
      <c r="I66" s="8">
        <v>1955.0</v>
      </c>
      <c r="J66" s="8">
        <v>1856.0</v>
      </c>
      <c r="K66" s="8">
        <v>1482.0</v>
      </c>
      <c r="L66" s="8">
        <v>1494.0</v>
      </c>
      <c r="M66" s="8">
        <v>1616.0</v>
      </c>
      <c r="N66" s="8">
        <v>0.0</v>
      </c>
      <c r="O66" s="8" t="s">
        <v>2434</v>
      </c>
      <c r="P66" s="8" t="s">
        <v>2534</v>
      </c>
      <c r="Q66" s="8"/>
      <c r="R66" s="8"/>
      <c r="S66" s="8"/>
    </row>
    <row r="67" ht="14.25" customHeight="1">
      <c r="A67" s="8" t="s">
        <v>2088</v>
      </c>
      <c r="B67" s="8" t="s">
        <v>2536</v>
      </c>
      <c r="C67" s="8" t="s">
        <v>2535</v>
      </c>
      <c r="D67" s="8"/>
      <c r="E67" s="8" t="s">
        <v>2434</v>
      </c>
      <c r="F67" s="8" t="s">
        <v>2434</v>
      </c>
      <c r="G67" s="8" t="s">
        <v>2434</v>
      </c>
      <c r="H67" s="8" t="s">
        <v>2434</v>
      </c>
      <c r="I67" s="8" t="s">
        <v>2434</v>
      </c>
      <c r="J67" s="8" t="s">
        <v>2434</v>
      </c>
      <c r="K67" s="8" t="s">
        <v>2434</v>
      </c>
      <c r="L67" s="8" t="s">
        <v>2434</v>
      </c>
      <c r="M67" s="8" t="s">
        <v>2434</v>
      </c>
      <c r="N67" s="8" t="s">
        <v>2434</v>
      </c>
      <c r="O67" s="8" t="s">
        <v>2434</v>
      </c>
      <c r="P67" s="8"/>
      <c r="Q67" s="8"/>
      <c r="R67" s="8"/>
      <c r="S67" s="8"/>
    </row>
    <row r="68" ht="14.25" customHeight="1">
      <c r="A68" s="8" t="s">
        <v>2086</v>
      </c>
      <c r="B68" s="8" t="s">
        <v>2543</v>
      </c>
      <c r="C68" s="8" t="s">
        <v>2317</v>
      </c>
      <c r="D68" s="8" t="s">
        <v>2083</v>
      </c>
      <c r="E68" s="810" t="str">
        <f t="shared" ref="E68:M68" si="7">#REF!</f>
        <v>#REF!</v>
      </c>
      <c r="F68" s="810" t="str">
        <f t="shared" si="7"/>
        <v>#REF!</v>
      </c>
      <c r="G68" s="810" t="str">
        <f t="shared" si="7"/>
        <v>#REF!</v>
      </c>
      <c r="H68" s="810" t="str">
        <f t="shared" si="7"/>
        <v>#REF!</v>
      </c>
      <c r="I68" s="810" t="str">
        <f t="shared" si="7"/>
        <v>#REF!</v>
      </c>
      <c r="J68" s="810" t="str">
        <f t="shared" si="7"/>
        <v>#REF!</v>
      </c>
      <c r="K68" s="810" t="str">
        <f t="shared" si="7"/>
        <v>#REF!</v>
      </c>
      <c r="L68" s="810" t="str">
        <f t="shared" si="7"/>
        <v>#REF!</v>
      </c>
      <c r="M68" s="810" t="str">
        <f t="shared" si="7"/>
        <v>#REF!</v>
      </c>
      <c r="N68" s="814" t="str">
        <f>M68*(N69+N99)/(M69+M99)</f>
        <v>#REF!</v>
      </c>
      <c r="O68" s="810" t="str">
        <f>#REF!</f>
        <v>#REF!</v>
      </c>
      <c r="P68" s="8" t="s">
        <v>2505</v>
      </c>
      <c r="Q68" s="8"/>
      <c r="R68" s="8"/>
      <c r="S68" s="8"/>
    </row>
    <row r="69" ht="14.25" customHeight="1">
      <c r="A69" s="8" t="s">
        <v>2086</v>
      </c>
      <c r="B69" s="8" t="s">
        <v>2543</v>
      </c>
      <c r="C69" s="8" t="s">
        <v>2507</v>
      </c>
      <c r="D69" s="8"/>
      <c r="E69" s="810" t="str">
        <f t="shared" ref="E69:O69" si="8">#REF!</f>
        <v>#REF!</v>
      </c>
      <c r="F69" s="810" t="str">
        <f t="shared" si="8"/>
        <v>#REF!</v>
      </c>
      <c r="G69" s="810" t="str">
        <f t="shared" si="8"/>
        <v>#REF!</v>
      </c>
      <c r="H69" s="810" t="str">
        <f t="shared" si="8"/>
        <v>#REF!</v>
      </c>
      <c r="I69" s="810" t="str">
        <f t="shared" si="8"/>
        <v>#REF!</v>
      </c>
      <c r="J69" s="810" t="str">
        <f t="shared" si="8"/>
        <v>#REF!</v>
      </c>
      <c r="K69" s="810" t="str">
        <f t="shared" si="8"/>
        <v>#REF!</v>
      </c>
      <c r="L69" s="810" t="str">
        <f t="shared" si="8"/>
        <v>#REF!</v>
      </c>
      <c r="M69" s="810" t="str">
        <f t="shared" si="8"/>
        <v>#REF!</v>
      </c>
      <c r="N69" s="810" t="str">
        <f t="shared" si="8"/>
        <v>#REF!</v>
      </c>
      <c r="O69" s="810" t="str">
        <f t="shared" si="8"/>
        <v>#REF!</v>
      </c>
      <c r="P69" s="8"/>
      <c r="Q69" s="8"/>
      <c r="R69" s="8"/>
      <c r="S69" s="8"/>
    </row>
    <row r="70" ht="14.25" customHeight="1">
      <c r="A70" s="8" t="s">
        <v>2086</v>
      </c>
      <c r="B70" s="8" t="s">
        <v>2543</v>
      </c>
      <c r="C70" s="8" t="s">
        <v>2325</v>
      </c>
      <c r="D70" s="8" t="s">
        <v>2083</v>
      </c>
      <c r="E70" s="8">
        <v>6569.0</v>
      </c>
      <c r="F70" s="8">
        <v>6785.0</v>
      </c>
      <c r="G70" s="8">
        <v>6746.0</v>
      </c>
      <c r="H70" s="8">
        <v>7288.0</v>
      </c>
      <c r="I70" s="8">
        <v>7185.0</v>
      </c>
      <c r="J70" s="8">
        <v>7020.0</v>
      </c>
      <c r="K70" s="8">
        <v>6766.0</v>
      </c>
      <c r="L70" s="8">
        <v>7412.0</v>
      </c>
      <c r="M70" s="8">
        <v>6177.0</v>
      </c>
      <c r="N70" s="8">
        <v>6714.0</v>
      </c>
      <c r="O70" s="8" t="s">
        <v>2434</v>
      </c>
      <c r="P70" s="8" t="s">
        <v>2505</v>
      </c>
      <c r="Q70" s="8"/>
      <c r="R70" s="8"/>
      <c r="S70" s="8"/>
    </row>
    <row r="71" ht="14.25" customHeight="1">
      <c r="A71" s="8" t="s">
        <v>2086</v>
      </c>
      <c r="B71" s="8" t="s">
        <v>2543</v>
      </c>
      <c r="C71" s="8" t="s">
        <v>2329</v>
      </c>
      <c r="D71" s="8" t="s">
        <v>2083</v>
      </c>
      <c r="E71" s="8">
        <v>5177.0</v>
      </c>
      <c r="F71" s="8">
        <v>5253.0</v>
      </c>
      <c r="G71" s="8">
        <v>4647.0</v>
      </c>
      <c r="H71" s="8">
        <v>4738.0</v>
      </c>
      <c r="I71" s="8">
        <v>4952.0</v>
      </c>
      <c r="J71" s="8">
        <v>4809.0</v>
      </c>
      <c r="K71" s="8">
        <v>5306.1</v>
      </c>
      <c r="L71" s="8">
        <v>5410.0</v>
      </c>
      <c r="M71" s="8">
        <v>5426.4</v>
      </c>
      <c r="N71" s="8">
        <v>5664.8</v>
      </c>
      <c r="O71" s="8" t="s">
        <v>2434</v>
      </c>
      <c r="P71" s="8" t="s">
        <v>2508</v>
      </c>
      <c r="Q71" s="8" t="s">
        <v>2509</v>
      </c>
      <c r="R71" s="8"/>
      <c r="S71" s="8"/>
    </row>
    <row r="72" ht="14.25" customHeight="1">
      <c r="A72" s="8" t="s">
        <v>2086</v>
      </c>
      <c r="B72" s="8" t="s">
        <v>2543</v>
      </c>
      <c r="C72" s="8" t="s">
        <v>2333</v>
      </c>
      <c r="D72" s="8"/>
      <c r="E72" s="811">
        <v>0.0</v>
      </c>
      <c r="F72" s="811">
        <v>0.0</v>
      </c>
      <c r="G72" s="811">
        <v>0.0</v>
      </c>
      <c r="H72" s="811">
        <v>0.0</v>
      </c>
      <c r="I72" s="811">
        <v>0.0</v>
      </c>
      <c r="J72" s="811">
        <v>0.0</v>
      </c>
      <c r="K72" s="811">
        <v>0.0</v>
      </c>
      <c r="L72" s="811">
        <v>0.0</v>
      </c>
      <c r="M72" s="811">
        <v>0.0</v>
      </c>
      <c r="N72" s="811">
        <v>0.0</v>
      </c>
      <c r="O72" s="8" t="s">
        <v>2434</v>
      </c>
      <c r="P72" s="8"/>
      <c r="Q72" s="8"/>
      <c r="R72" s="811" t="s">
        <v>2525</v>
      </c>
      <c r="S72" s="8"/>
    </row>
    <row r="73" ht="14.25" customHeight="1">
      <c r="A73" s="8" t="s">
        <v>2086</v>
      </c>
      <c r="B73" s="8" t="s">
        <v>2543</v>
      </c>
      <c r="C73" s="8" t="s">
        <v>2364</v>
      </c>
      <c r="D73" s="8"/>
      <c r="E73" s="811">
        <v>0.0</v>
      </c>
      <c r="F73" s="811">
        <v>0.0</v>
      </c>
      <c r="G73" s="811">
        <v>0.0</v>
      </c>
      <c r="H73" s="811">
        <v>0.0</v>
      </c>
      <c r="I73" s="811">
        <v>0.0</v>
      </c>
      <c r="J73" s="811">
        <v>0.0</v>
      </c>
      <c r="K73" s="811">
        <v>0.0</v>
      </c>
      <c r="L73" s="811">
        <v>0.0</v>
      </c>
      <c r="M73" s="811">
        <v>0.0</v>
      </c>
      <c r="N73" s="811">
        <v>0.0</v>
      </c>
      <c r="O73" s="8" t="s">
        <v>2434</v>
      </c>
      <c r="P73" s="8"/>
      <c r="Q73" s="8"/>
      <c r="R73" s="811" t="s">
        <v>2525</v>
      </c>
      <c r="S73" s="8"/>
    </row>
    <row r="74" ht="14.25" customHeight="1">
      <c r="A74" s="8" t="s">
        <v>2086</v>
      </c>
      <c r="B74" s="8" t="s">
        <v>2543</v>
      </c>
      <c r="C74" s="8" t="s">
        <v>2337</v>
      </c>
      <c r="D74" s="8" t="s">
        <v>2083</v>
      </c>
      <c r="E74" s="8">
        <v>0.0</v>
      </c>
      <c r="F74" s="8">
        <v>0.0</v>
      </c>
      <c r="G74" s="8">
        <v>0.0</v>
      </c>
      <c r="H74" s="8">
        <v>0.0</v>
      </c>
      <c r="I74" s="8">
        <v>0.0</v>
      </c>
      <c r="J74" s="8">
        <v>0.0</v>
      </c>
      <c r="K74" s="8">
        <v>0.0</v>
      </c>
      <c r="L74" s="8">
        <v>0.0</v>
      </c>
      <c r="M74" s="8">
        <v>0.0</v>
      </c>
      <c r="N74" s="8">
        <v>0.0</v>
      </c>
      <c r="O74" s="8">
        <v>0.0</v>
      </c>
      <c r="P74" s="8" t="s">
        <v>2512</v>
      </c>
      <c r="Q74" s="8"/>
      <c r="R74" s="8"/>
      <c r="S74" s="8"/>
    </row>
    <row r="75" ht="14.25" customHeight="1">
      <c r="A75" s="8" t="s">
        <v>2086</v>
      </c>
      <c r="B75" s="8" t="s">
        <v>2543</v>
      </c>
      <c r="C75" s="8" t="s">
        <v>2341</v>
      </c>
      <c r="D75" s="8" t="s">
        <v>2083</v>
      </c>
      <c r="E75" s="8">
        <v>4874.729</v>
      </c>
      <c r="F75" s="8">
        <v>5233.031</v>
      </c>
      <c r="G75" s="8">
        <v>4845.647</v>
      </c>
      <c r="H75" s="8">
        <v>4901.731</v>
      </c>
      <c r="I75" s="8">
        <v>5040.067</v>
      </c>
      <c r="J75" s="8">
        <v>4925.763</v>
      </c>
      <c r="K75" s="8">
        <v>5042.386</v>
      </c>
      <c r="L75" s="8">
        <v>4333.294</v>
      </c>
      <c r="M75" s="8">
        <v>4798.932</v>
      </c>
      <c r="N75" s="8">
        <v>4415.234</v>
      </c>
      <c r="O75" s="8" t="s">
        <v>2434</v>
      </c>
      <c r="P75" s="8" t="s">
        <v>2513</v>
      </c>
      <c r="Q75" s="8"/>
      <c r="R75" s="8"/>
      <c r="S75" s="8"/>
    </row>
    <row r="76" ht="14.25" customHeight="1">
      <c r="A76" s="8" t="s">
        <v>2086</v>
      </c>
      <c r="B76" s="8" t="s">
        <v>2543</v>
      </c>
      <c r="C76" s="8" t="s">
        <v>2348</v>
      </c>
      <c r="D76" s="8"/>
      <c r="E76" s="811">
        <v>0.0</v>
      </c>
      <c r="F76" s="811">
        <v>0.0</v>
      </c>
      <c r="G76" s="811">
        <v>0.0</v>
      </c>
      <c r="H76" s="811">
        <v>0.0</v>
      </c>
      <c r="I76" s="811">
        <v>0.0</v>
      </c>
      <c r="J76" s="811">
        <v>0.0</v>
      </c>
      <c r="K76" s="811">
        <v>0.0</v>
      </c>
      <c r="L76" s="811">
        <v>0.0</v>
      </c>
      <c r="M76" s="811">
        <v>0.0</v>
      </c>
      <c r="N76" s="811">
        <v>0.0</v>
      </c>
      <c r="O76" s="8" t="s">
        <v>2434</v>
      </c>
      <c r="P76" s="8"/>
      <c r="Q76" s="8"/>
      <c r="R76" s="811" t="s">
        <v>2525</v>
      </c>
      <c r="S76" s="8"/>
    </row>
    <row r="77" ht="14.25" customHeight="1">
      <c r="A77" s="8" t="s">
        <v>2086</v>
      </c>
      <c r="B77" s="8" t="s">
        <v>2543</v>
      </c>
      <c r="C77" s="8" t="s">
        <v>2350</v>
      </c>
      <c r="D77" s="8"/>
      <c r="E77" s="811">
        <v>0.0</v>
      </c>
      <c r="F77" s="811">
        <v>0.0</v>
      </c>
      <c r="G77" s="811">
        <v>0.0</v>
      </c>
      <c r="H77" s="811">
        <v>0.0</v>
      </c>
      <c r="I77" s="811">
        <v>0.0</v>
      </c>
      <c r="J77" s="811">
        <v>0.0</v>
      </c>
      <c r="K77" s="811">
        <v>0.0</v>
      </c>
      <c r="L77" s="811">
        <v>0.0</v>
      </c>
      <c r="M77" s="811">
        <v>0.0</v>
      </c>
      <c r="N77" s="811">
        <v>0.0</v>
      </c>
      <c r="O77" s="8" t="s">
        <v>2434</v>
      </c>
      <c r="P77" s="8"/>
      <c r="Q77" s="8"/>
      <c r="R77" s="811" t="s">
        <v>2525</v>
      </c>
      <c r="S77" s="8"/>
    </row>
    <row r="78" ht="14.25" customHeight="1">
      <c r="A78" s="8" t="s">
        <v>2086</v>
      </c>
      <c r="B78" s="8" t="s">
        <v>2543</v>
      </c>
      <c r="C78" s="8" t="s">
        <v>2354</v>
      </c>
      <c r="D78" s="8" t="s">
        <v>2083</v>
      </c>
      <c r="E78" s="8">
        <v>2765.0</v>
      </c>
      <c r="F78" s="8">
        <v>2703.0</v>
      </c>
      <c r="G78" s="8">
        <v>2300.0</v>
      </c>
      <c r="H78" s="8">
        <v>2220.0</v>
      </c>
      <c r="I78" s="8">
        <v>2545.0</v>
      </c>
      <c r="J78" s="8">
        <v>2625.0</v>
      </c>
      <c r="K78" s="8">
        <v>2750.0</v>
      </c>
      <c r="L78" s="8">
        <v>2700.0</v>
      </c>
      <c r="M78" s="8">
        <v>2800.0</v>
      </c>
      <c r="N78" s="8">
        <v>2320.0</v>
      </c>
      <c r="O78" s="8" t="s">
        <v>2434</v>
      </c>
      <c r="P78" s="8" t="s">
        <v>2516</v>
      </c>
      <c r="Q78" s="8"/>
      <c r="R78" s="8"/>
      <c r="S78" s="8"/>
    </row>
    <row r="79" ht="14.25" customHeight="1">
      <c r="A79" s="8" t="s">
        <v>2086</v>
      </c>
      <c r="B79" s="8" t="s">
        <v>2543</v>
      </c>
      <c r="C79" s="8" t="s">
        <v>2356</v>
      </c>
      <c r="D79" s="8" t="s">
        <v>2083</v>
      </c>
      <c r="E79" s="8">
        <v>9813.0</v>
      </c>
      <c r="F79" s="8">
        <v>9652.0</v>
      </c>
      <c r="G79" s="8">
        <v>9507.0</v>
      </c>
      <c r="H79" s="8">
        <v>10194.0</v>
      </c>
      <c r="I79" s="8">
        <v>10645.0</v>
      </c>
      <c r="J79" s="8">
        <v>9825.0</v>
      </c>
      <c r="K79" s="8">
        <v>9527.0</v>
      </c>
      <c r="L79" s="8">
        <v>10664.0</v>
      </c>
      <c r="M79" s="8">
        <v>10523.714</v>
      </c>
      <c r="N79" s="8">
        <v>10061.7</v>
      </c>
      <c r="O79" s="8" t="s">
        <v>2434</v>
      </c>
      <c r="P79" s="8" t="s">
        <v>2516</v>
      </c>
      <c r="Q79" s="8"/>
      <c r="R79" s="8"/>
      <c r="S79" s="8"/>
    </row>
    <row r="80" ht="14.25" customHeight="1">
      <c r="A80" s="8" t="s">
        <v>2086</v>
      </c>
      <c r="B80" s="8" t="s">
        <v>2543</v>
      </c>
      <c r="C80" s="8" t="s">
        <v>2344</v>
      </c>
      <c r="D80" s="8" t="s">
        <v>2083</v>
      </c>
      <c r="E80" s="8">
        <v>30615.0</v>
      </c>
      <c r="F80" s="8">
        <v>30080.0</v>
      </c>
      <c r="G80" s="8">
        <v>28782.0</v>
      </c>
      <c r="H80" s="8">
        <v>29186.0</v>
      </c>
      <c r="I80" s="8">
        <v>29881.0</v>
      </c>
      <c r="J80" s="8">
        <v>30054.0</v>
      </c>
      <c r="K80" s="8">
        <v>29486.0</v>
      </c>
      <c r="L80" s="8">
        <v>30300.0</v>
      </c>
      <c r="M80" s="8">
        <v>29732.0</v>
      </c>
      <c r="N80" s="8">
        <v>27700.0</v>
      </c>
      <c r="O80" s="8" t="s">
        <v>2434</v>
      </c>
      <c r="P80" s="8" t="s">
        <v>2517</v>
      </c>
      <c r="Q80" s="8"/>
      <c r="R80" s="8"/>
      <c r="S80" s="8"/>
    </row>
    <row r="81" ht="14.25" customHeight="1">
      <c r="A81" s="8" t="s">
        <v>2086</v>
      </c>
      <c r="B81" s="8" t="s">
        <v>2543</v>
      </c>
      <c r="C81" s="8" t="s">
        <v>2362</v>
      </c>
      <c r="D81" s="8"/>
      <c r="E81" s="811">
        <v>0.0</v>
      </c>
      <c r="F81" s="811">
        <v>0.0</v>
      </c>
      <c r="G81" s="811">
        <v>0.0</v>
      </c>
      <c r="H81" s="811">
        <v>0.0</v>
      </c>
      <c r="I81" s="811">
        <v>0.0</v>
      </c>
      <c r="J81" s="811">
        <v>0.0</v>
      </c>
      <c r="K81" s="811">
        <v>0.0</v>
      </c>
      <c r="L81" s="811">
        <v>0.0</v>
      </c>
      <c r="M81" s="811">
        <v>0.0</v>
      </c>
      <c r="N81" s="811">
        <v>0.0</v>
      </c>
      <c r="O81" s="8" t="s">
        <v>2434</v>
      </c>
      <c r="P81" s="8"/>
      <c r="Q81" s="8"/>
      <c r="R81" s="813" t="s">
        <v>2544</v>
      </c>
      <c r="S81" s="8"/>
    </row>
    <row r="82" ht="14.25" customHeight="1">
      <c r="A82" s="8" t="s">
        <v>2086</v>
      </c>
      <c r="B82" s="8" t="s">
        <v>2543</v>
      </c>
      <c r="C82" s="8" t="s">
        <v>2367</v>
      </c>
      <c r="D82" s="8" t="s">
        <v>2083</v>
      </c>
      <c r="E82" s="8">
        <v>1586.0</v>
      </c>
      <c r="F82" s="8">
        <v>1570.0</v>
      </c>
      <c r="G82" s="8">
        <v>1488.0</v>
      </c>
      <c r="H82" s="8">
        <v>744.0</v>
      </c>
      <c r="I82" s="8">
        <v>974.0</v>
      </c>
      <c r="J82" s="8">
        <v>1507.0</v>
      </c>
      <c r="K82" s="8">
        <v>1041.0</v>
      </c>
      <c r="L82" s="8">
        <v>1602.0</v>
      </c>
      <c r="M82" s="8">
        <v>1659.0</v>
      </c>
      <c r="N82" s="8">
        <v>1418.0</v>
      </c>
      <c r="O82" s="8" t="s">
        <v>2434</v>
      </c>
      <c r="P82" s="8" t="s">
        <v>2516</v>
      </c>
      <c r="Q82" s="8"/>
      <c r="R82" s="8"/>
      <c r="S82" s="8"/>
    </row>
    <row r="83" ht="14.25" customHeight="1">
      <c r="A83" s="8" t="s">
        <v>2086</v>
      </c>
      <c r="B83" s="8" t="s">
        <v>2543</v>
      </c>
      <c r="C83" s="8" t="s">
        <v>2369</v>
      </c>
      <c r="D83" s="8" t="s">
        <v>2083</v>
      </c>
      <c r="E83" s="8">
        <v>0.0</v>
      </c>
      <c r="F83" s="8">
        <v>0.0</v>
      </c>
      <c r="G83" s="8">
        <v>0.0</v>
      </c>
      <c r="H83" s="8">
        <v>0.0</v>
      </c>
      <c r="I83" s="8">
        <v>0.0</v>
      </c>
      <c r="J83" s="8">
        <v>0.0</v>
      </c>
      <c r="K83" s="8">
        <v>0.0</v>
      </c>
      <c r="L83" s="8">
        <v>0.0</v>
      </c>
      <c r="M83" s="8">
        <v>0.0</v>
      </c>
      <c r="N83" s="8">
        <v>0.0</v>
      </c>
      <c r="O83" s="8" t="s">
        <v>2434</v>
      </c>
      <c r="P83" s="8" t="s">
        <v>2519</v>
      </c>
      <c r="Q83" s="8"/>
      <c r="R83" s="8"/>
      <c r="S83" s="8"/>
    </row>
    <row r="84" ht="14.25" customHeight="1">
      <c r="A84" s="8" t="s">
        <v>2086</v>
      </c>
      <c r="B84" s="8" t="s">
        <v>2543</v>
      </c>
      <c r="C84" s="8" t="s">
        <v>2374</v>
      </c>
      <c r="D84" s="8" t="s">
        <v>2083</v>
      </c>
      <c r="E84" s="8">
        <v>8587.0</v>
      </c>
      <c r="F84" s="8">
        <v>9892.0</v>
      </c>
      <c r="G84" s="8">
        <v>9312.0</v>
      </c>
      <c r="H84" s="8">
        <v>6798.0</v>
      </c>
      <c r="I84" s="8">
        <v>6514.0</v>
      </c>
      <c r="J84" s="8">
        <v>4791.0</v>
      </c>
      <c r="K84" s="8">
        <v>5669.0</v>
      </c>
      <c r="L84" s="8">
        <v>4732.0</v>
      </c>
      <c r="M84" s="8">
        <v>4520.0</v>
      </c>
      <c r="N84" s="8">
        <v>4211.0</v>
      </c>
      <c r="O84" s="8" t="s">
        <v>2434</v>
      </c>
      <c r="P84" s="8" t="s">
        <v>2520</v>
      </c>
      <c r="Q84" s="8"/>
      <c r="R84" s="8"/>
      <c r="S84" s="8"/>
    </row>
    <row r="85" ht="14.25" customHeight="1">
      <c r="A85" s="8" t="s">
        <v>2086</v>
      </c>
      <c r="B85" s="8" t="s">
        <v>2543</v>
      </c>
      <c r="C85" s="8" t="s">
        <v>2386</v>
      </c>
      <c r="D85" s="8"/>
      <c r="E85" s="811">
        <v>0.0</v>
      </c>
      <c r="F85" s="811">
        <v>0.0</v>
      </c>
      <c r="G85" s="811">
        <v>0.0</v>
      </c>
      <c r="H85" s="811">
        <v>0.0</v>
      </c>
      <c r="I85" s="811">
        <v>0.0</v>
      </c>
      <c r="J85" s="811">
        <v>0.0</v>
      </c>
      <c r="K85" s="811">
        <v>0.0</v>
      </c>
      <c r="L85" s="811">
        <v>0.0</v>
      </c>
      <c r="M85" s="811">
        <v>0.0</v>
      </c>
      <c r="N85" s="811">
        <v>0.0</v>
      </c>
      <c r="O85" s="8" t="s">
        <v>2434</v>
      </c>
      <c r="P85" s="8"/>
      <c r="Q85" s="8"/>
      <c r="R85" s="813" t="s">
        <v>2545</v>
      </c>
      <c r="S85" s="8"/>
    </row>
    <row r="86" ht="14.25" customHeight="1">
      <c r="A86" s="8" t="s">
        <v>2086</v>
      </c>
      <c r="B86" s="8" t="s">
        <v>2543</v>
      </c>
      <c r="C86" s="8" t="s">
        <v>2378</v>
      </c>
      <c r="D86" s="8"/>
      <c r="E86" s="811">
        <v>0.0</v>
      </c>
      <c r="F86" s="811">
        <v>0.0</v>
      </c>
      <c r="G86" s="811">
        <v>0.0</v>
      </c>
      <c r="H86" s="811">
        <v>0.0</v>
      </c>
      <c r="I86" s="811">
        <v>0.0</v>
      </c>
      <c r="J86" s="811">
        <v>0.0</v>
      </c>
      <c r="K86" s="811">
        <v>0.0</v>
      </c>
      <c r="L86" s="811">
        <v>0.0</v>
      </c>
      <c r="M86" s="811">
        <v>0.0</v>
      </c>
      <c r="N86" s="811">
        <v>0.0</v>
      </c>
      <c r="O86" s="8" t="s">
        <v>2434</v>
      </c>
      <c r="P86" s="8"/>
      <c r="Q86" s="8"/>
      <c r="R86" s="811" t="s">
        <v>2525</v>
      </c>
      <c r="S86" s="8"/>
    </row>
    <row r="87" ht="14.25" customHeight="1">
      <c r="A87" s="8" t="s">
        <v>2086</v>
      </c>
      <c r="B87" s="8" t="s">
        <v>2543</v>
      </c>
      <c r="C87" s="8" t="s">
        <v>2383</v>
      </c>
      <c r="D87" s="8"/>
      <c r="E87" s="811">
        <v>0.0</v>
      </c>
      <c r="F87" s="811">
        <v>0.0</v>
      </c>
      <c r="G87" s="811">
        <v>0.0</v>
      </c>
      <c r="H87" s="811">
        <v>0.0</v>
      </c>
      <c r="I87" s="811">
        <v>0.0</v>
      </c>
      <c r="J87" s="811">
        <v>0.0</v>
      </c>
      <c r="K87" s="811">
        <v>0.0</v>
      </c>
      <c r="L87" s="811">
        <v>0.0</v>
      </c>
      <c r="M87" s="811">
        <v>0.0</v>
      </c>
      <c r="N87" s="811">
        <v>0.0</v>
      </c>
      <c r="O87" s="8" t="s">
        <v>2434</v>
      </c>
      <c r="P87" s="8"/>
      <c r="Q87" s="8"/>
      <c r="R87" s="811" t="s">
        <v>2525</v>
      </c>
      <c r="S87" s="8"/>
    </row>
    <row r="88" ht="14.25" customHeight="1">
      <c r="A88" s="8" t="s">
        <v>2086</v>
      </c>
      <c r="B88" s="8" t="s">
        <v>2543</v>
      </c>
      <c r="C88" s="8" t="s">
        <v>2389</v>
      </c>
      <c r="D88" s="8"/>
      <c r="E88" s="811">
        <v>0.0</v>
      </c>
      <c r="F88" s="811">
        <v>0.0</v>
      </c>
      <c r="G88" s="811">
        <v>0.0</v>
      </c>
      <c r="H88" s="811">
        <v>0.0</v>
      </c>
      <c r="I88" s="811">
        <v>0.0</v>
      </c>
      <c r="J88" s="811">
        <v>0.0</v>
      </c>
      <c r="K88" s="811">
        <v>0.0</v>
      </c>
      <c r="L88" s="811">
        <v>0.0</v>
      </c>
      <c r="M88" s="811">
        <v>0.0</v>
      </c>
      <c r="N88" s="811">
        <v>0.0</v>
      </c>
      <c r="O88" s="8" t="s">
        <v>2434</v>
      </c>
      <c r="P88" s="8"/>
      <c r="Q88" s="8"/>
      <c r="R88" s="811" t="s">
        <v>2525</v>
      </c>
      <c r="S88" s="8"/>
    </row>
    <row r="89" ht="14.25" customHeight="1">
      <c r="A89" s="8" t="s">
        <v>2086</v>
      </c>
      <c r="B89" s="8" t="s">
        <v>2543</v>
      </c>
      <c r="C89" s="8" t="s">
        <v>2391</v>
      </c>
      <c r="D89" s="8" t="s">
        <v>2083</v>
      </c>
      <c r="E89" s="8">
        <v>6523.0</v>
      </c>
      <c r="F89" s="8">
        <v>6765.0</v>
      </c>
      <c r="G89" s="8">
        <v>6739.0</v>
      </c>
      <c r="H89" s="8">
        <v>6581.0</v>
      </c>
      <c r="I89" s="8">
        <v>6839.0</v>
      </c>
      <c r="J89" s="8">
        <v>6888.0</v>
      </c>
      <c r="K89" s="8">
        <v>6824.0</v>
      </c>
      <c r="L89" s="8">
        <v>6781.0</v>
      </c>
      <c r="M89" s="8">
        <v>6813.0</v>
      </c>
      <c r="N89" s="8">
        <v>6657.0</v>
      </c>
      <c r="O89" s="8">
        <v>6100.0</v>
      </c>
      <c r="P89" s="8" t="s">
        <v>2516</v>
      </c>
      <c r="Q89" s="8"/>
      <c r="R89" s="8"/>
      <c r="S89" s="8"/>
    </row>
    <row r="90" ht="14.25" customHeight="1">
      <c r="A90" s="8" t="s">
        <v>2086</v>
      </c>
      <c r="B90" s="8" t="s">
        <v>2543</v>
      </c>
      <c r="C90" s="8" t="s">
        <v>2393</v>
      </c>
      <c r="D90" s="8" t="s">
        <v>2083</v>
      </c>
      <c r="E90" s="8">
        <v>3995.0</v>
      </c>
      <c r="F90" s="8">
        <v>4424.0</v>
      </c>
      <c r="G90" s="8">
        <v>4333.0</v>
      </c>
      <c r="H90" s="8">
        <v>4520.0</v>
      </c>
      <c r="I90" s="8">
        <v>5182.0</v>
      </c>
      <c r="J90" s="8">
        <v>5332.0</v>
      </c>
      <c r="K90" s="8">
        <v>4674.0</v>
      </c>
      <c r="L90" s="8">
        <v>5703.984</v>
      </c>
      <c r="M90" s="8">
        <v>5389.836</v>
      </c>
      <c r="N90" s="8">
        <v>4918.0</v>
      </c>
      <c r="O90" s="8" t="s">
        <v>2434</v>
      </c>
      <c r="P90" s="8" t="s">
        <v>2526</v>
      </c>
      <c r="Q90" s="8"/>
      <c r="R90" s="8"/>
      <c r="S90" s="8"/>
    </row>
    <row r="91" ht="14.25" customHeight="1">
      <c r="A91" s="8" t="s">
        <v>2086</v>
      </c>
      <c r="B91" s="8" t="s">
        <v>2543</v>
      </c>
      <c r="C91" s="8" t="s">
        <v>2395</v>
      </c>
      <c r="D91" s="8" t="s">
        <v>2083</v>
      </c>
      <c r="E91" s="8">
        <v>0.0</v>
      </c>
      <c r="F91" s="8">
        <v>0.0</v>
      </c>
      <c r="G91" s="8">
        <v>0.0</v>
      </c>
      <c r="H91" s="8">
        <v>0.0</v>
      </c>
      <c r="I91" s="8">
        <v>0.0</v>
      </c>
      <c r="J91" s="8">
        <v>0.0</v>
      </c>
      <c r="K91" s="8">
        <v>0.0</v>
      </c>
      <c r="L91" s="8">
        <v>0.0</v>
      </c>
      <c r="M91" s="8">
        <v>0.0</v>
      </c>
      <c r="N91" s="8">
        <v>0.0</v>
      </c>
      <c r="O91" s="8" t="s">
        <v>2434</v>
      </c>
      <c r="P91" s="8" t="s">
        <v>2546</v>
      </c>
      <c r="Q91" s="8"/>
      <c r="R91" s="8"/>
      <c r="S91" s="8"/>
    </row>
    <row r="92" ht="14.25" customHeight="1">
      <c r="A92" s="8" t="s">
        <v>2086</v>
      </c>
      <c r="B92" s="8" t="s">
        <v>2543</v>
      </c>
      <c r="C92" s="8" t="s">
        <v>2397</v>
      </c>
      <c r="D92" s="8" t="s">
        <v>2083</v>
      </c>
      <c r="E92" s="8">
        <v>1989.0</v>
      </c>
      <c r="F92" s="8">
        <v>1878.0</v>
      </c>
      <c r="G92" s="8">
        <v>1711.0</v>
      </c>
      <c r="H92" s="8">
        <v>1907.0</v>
      </c>
      <c r="I92" s="8">
        <v>1909.0</v>
      </c>
      <c r="J92" s="8">
        <v>2225.0</v>
      </c>
      <c r="K92" s="8">
        <v>2188.0</v>
      </c>
      <c r="L92" s="8">
        <v>2001.0</v>
      </c>
      <c r="M92" s="8">
        <v>2183.0</v>
      </c>
      <c r="N92" s="8">
        <v>2293.0</v>
      </c>
      <c r="O92" s="8" t="s">
        <v>2434</v>
      </c>
      <c r="P92" s="8" t="s">
        <v>2528</v>
      </c>
      <c r="Q92" s="8"/>
      <c r="R92" s="8"/>
      <c r="S92" s="8"/>
    </row>
    <row r="93" ht="14.25" customHeight="1">
      <c r="A93" s="8" t="s">
        <v>2086</v>
      </c>
      <c r="B93" s="8" t="s">
        <v>2543</v>
      </c>
      <c r="C93" s="8" t="s">
        <v>2411</v>
      </c>
      <c r="D93" s="8"/>
      <c r="E93" s="815">
        <f>E27*0.927</f>
        <v>4248.441</v>
      </c>
      <c r="F93" s="816">
        <f t="shared" ref="F93:I93" si="9">F27-F60</f>
        <v>3931.008</v>
      </c>
      <c r="G93" s="816">
        <f t="shared" si="9"/>
        <v>4085.984</v>
      </c>
      <c r="H93" s="816">
        <f t="shared" si="9"/>
        <v>4186.208</v>
      </c>
      <c r="I93" s="816">
        <f t="shared" si="9"/>
        <v>4366.24</v>
      </c>
      <c r="J93" s="815">
        <f>J27*0.929</f>
        <v>4238.098</v>
      </c>
      <c r="K93" s="815">
        <f>K27*0.937</f>
        <v>4505.096</v>
      </c>
      <c r="L93" s="815">
        <f>L27*0.929</f>
        <v>4621.122842</v>
      </c>
      <c r="M93" s="815">
        <f>M27*0.916</f>
        <v>4396.8</v>
      </c>
      <c r="N93" s="815">
        <f>N27*0.93</f>
        <v>3348</v>
      </c>
      <c r="O93" s="8" t="s">
        <v>2434</v>
      </c>
      <c r="P93" s="8"/>
      <c r="Q93" s="8"/>
      <c r="R93" s="811" t="s">
        <v>2547</v>
      </c>
      <c r="S93" s="8"/>
    </row>
    <row r="94" ht="14.25" customHeight="1">
      <c r="A94" s="8" t="s">
        <v>2086</v>
      </c>
      <c r="B94" s="8" t="s">
        <v>2543</v>
      </c>
      <c r="C94" s="8" t="s">
        <v>2406</v>
      </c>
      <c r="D94" s="8" t="s">
        <v>2083</v>
      </c>
      <c r="E94" s="8">
        <v>0.0</v>
      </c>
      <c r="F94" s="8">
        <v>0.0</v>
      </c>
      <c r="G94" s="8">
        <v>0.0</v>
      </c>
      <c r="H94" s="8">
        <v>0.0</v>
      </c>
      <c r="I94" s="8">
        <v>0.0</v>
      </c>
      <c r="J94" s="8">
        <v>0.0</v>
      </c>
      <c r="K94" s="8">
        <v>0.0</v>
      </c>
      <c r="L94" s="8">
        <v>0.0</v>
      </c>
      <c r="M94" s="8">
        <v>0.0</v>
      </c>
      <c r="N94" s="8">
        <v>0.0</v>
      </c>
      <c r="O94" s="8" t="s">
        <v>2434</v>
      </c>
      <c r="P94" s="8" t="s">
        <v>2529</v>
      </c>
      <c r="Q94" s="8"/>
      <c r="R94" s="8"/>
      <c r="S94" s="8"/>
    </row>
    <row r="95" ht="14.25" customHeight="1">
      <c r="A95" s="8" t="s">
        <v>2086</v>
      </c>
      <c r="B95" s="8" t="s">
        <v>2543</v>
      </c>
      <c r="C95" s="8" t="s">
        <v>2352</v>
      </c>
      <c r="D95" s="8" t="s">
        <v>2083</v>
      </c>
      <c r="E95" s="8">
        <v>3840.37</v>
      </c>
      <c r="F95" s="8">
        <v>3844.992</v>
      </c>
      <c r="G95" s="8">
        <v>3423.64</v>
      </c>
      <c r="H95" s="8">
        <v>4204.93</v>
      </c>
      <c r="I95" s="8">
        <v>4211.715</v>
      </c>
      <c r="J95" s="8">
        <v>4718.862</v>
      </c>
      <c r="K95" s="8">
        <v>4628.706</v>
      </c>
      <c r="L95" s="8">
        <v>4837.735</v>
      </c>
      <c r="M95" s="8">
        <v>4912.103</v>
      </c>
      <c r="N95" s="8">
        <v>4239.456</v>
      </c>
      <c r="O95" s="8" t="s">
        <v>2434</v>
      </c>
      <c r="P95" s="8" t="s">
        <v>2530</v>
      </c>
      <c r="Q95" s="8"/>
      <c r="R95" s="8"/>
      <c r="S95" s="8"/>
    </row>
    <row r="96" ht="14.25" customHeight="1">
      <c r="A96" s="8" t="s">
        <v>2086</v>
      </c>
      <c r="B96" s="8" t="s">
        <v>2543</v>
      </c>
      <c r="C96" s="8" t="s">
        <v>2400</v>
      </c>
      <c r="D96" s="8" t="s">
        <v>2083</v>
      </c>
      <c r="E96" s="8">
        <v>3231.0</v>
      </c>
      <c r="F96" s="8">
        <v>3245.0</v>
      </c>
      <c r="G96" s="8">
        <v>2884.0</v>
      </c>
      <c r="H96" s="8">
        <v>2936.0</v>
      </c>
      <c r="I96" s="8">
        <v>3026.0</v>
      </c>
      <c r="J96" s="8">
        <v>2912.0</v>
      </c>
      <c r="K96" s="8">
        <v>3211.0</v>
      </c>
      <c r="L96" s="8">
        <v>3284.0</v>
      </c>
      <c r="M96" s="8">
        <v>3103.0</v>
      </c>
      <c r="N96" s="8">
        <v>3148.6667</v>
      </c>
      <c r="O96" s="8" t="s">
        <v>2434</v>
      </c>
      <c r="P96" s="8" t="s">
        <v>2531</v>
      </c>
      <c r="Q96" s="8"/>
      <c r="R96" s="811" t="s">
        <v>2548</v>
      </c>
      <c r="S96" s="8"/>
    </row>
    <row r="97" ht="14.25" customHeight="1">
      <c r="A97" s="8" t="s">
        <v>2086</v>
      </c>
      <c r="B97" s="8" t="s">
        <v>2543</v>
      </c>
      <c r="C97" s="8" t="s">
        <v>2416</v>
      </c>
      <c r="D97" s="8"/>
      <c r="E97" s="813">
        <f t="shared" ref="E97:N97" si="10">E31-E64</f>
        <v>0</v>
      </c>
      <c r="F97" s="813">
        <f t="shared" si="10"/>
        <v>0</v>
      </c>
      <c r="G97" s="813">
        <f t="shared" si="10"/>
        <v>0</v>
      </c>
      <c r="H97" s="813">
        <f t="shared" si="10"/>
        <v>0</v>
      </c>
      <c r="I97" s="813">
        <f t="shared" si="10"/>
        <v>0</v>
      </c>
      <c r="J97" s="813">
        <f t="shared" si="10"/>
        <v>0</v>
      </c>
      <c r="K97" s="813">
        <f t="shared" si="10"/>
        <v>0</v>
      </c>
      <c r="L97" s="813">
        <f t="shared" si="10"/>
        <v>0</v>
      </c>
      <c r="M97" s="813">
        <f t="shared" si="10"/>
        <v>0</v>
      </c>
      <c r="N97" s="813">
        <f t="shared" si="10"/>
        <v>0</v>
      </c>
      <c r="O97" s="8" t="s">
        <v>2434</v>
      </c>
      <c r="P97" s="8"/>
      <c r="Q97" s="8"/>
      <c r="R97" s="813" t="s">
        <v>2544</v>
      </c>
      <c r="S97" s="8"/>
    </row>
    <row r="98" ht="14.25" customHeight="1">
      <c r="A98" s="8" t="s">
        <v>2086</v>
      </c>
      <c r="B98" s="8" t="s">
        <v>2543</v>
      </c>
      <c r="C98" s="8" t="s">
        <v>2423</v>
      </c>
      <c r="D98" s="8"/>
      <c r="E98" s="813">
        <f t="shared" ref="E98:N98" si="11">E32-E65</f>
        <v>0</v>
      </c>
      <c r="F98" s="813">
        <f t="shared" si="11"/>
        <v>0</v>
      </c>
      <c r="G98" s="813">
        <f t="shared" si="11"/>
        <v>0</v>
      </c>
      <c r="H98" s="813">
        <f t="shared" si="11"/>
        <v>0</v>
      </c>
      <c r="I98" s="813">
        <f t="shared" si="11"/>
        <v>0</v>
      </c>
      <c r="J98" s="813">
        <f t="shared" si="11"/>
        <v>0</v>
      </c>
      <c r="K98" s="813">
        <f t="shared" si="11"/>
        <v>0</v>
      </c>
      <c r="L98" s="813">
        <f t="shared" si="11"/>
        <v>0</v>
      </c>
      <c r="M98" s="813">
        <f t="shared" si="11"/>
        <v>0</v>
      </c>
      <c r="N98" s="813">
        <f t="shared" si="11"/>
        <v>0</v>
      </c>
      <c r="O98" s="8" t="s">
        <v>2434</v>
      </c>
      <c r="P98" s="8"/>
      <c r="Q98" s="8"/>
      <c r="R98" s="813" t="s">
        <v>2544</v>
      </c>
      <c r="S98" s="8"/>
    </row>
    <row r="99" ht="14.25" customHeight="1">
      <c r="A99" s="8" t="s">
        <v>2086</v>
      </c>
      <c r="B99" s="8" t="s">
        <v>2543</v>
      </c>
      <c r="C99" s="8" t="s">
        <v>2360</v>
      </c>
      <c r="D99" s="8" t="s">
        <v>2083</v>
      </c>
      <c r="E99" s="8">
        <v>7313.0</v>
      </c>
      <c r="F99" s="8">
        <v>6946.0</v>
      </c>
      <c r="G99" s="8">
        <v>7525.0</v>
      </c>
      <c r="H99" s="8">
        <v>9916.0</v>
      </c>
      <c r="I99" s="8">
        <v>10078.0</v>
      </c>
      <c r="J99" s="8">
        <v>9051.0</v>
      </c>
      <c r="K99" s="8">
        <v>6153.0</v>
      </c>
      <c r="L99" s="8">
        <v>5997.0</v>
      </c>
      <c r="M99" s="8">
        <v>5652.0</v>
      </c>
      <c r="N99" s="8">
        <v>7218.0</v>
      </c>
      <c r="O99" s="8">
        <v>0.0</v>
      </c>
      <c r="P99" s="8" t="s">
        <v>2534</v>
      </c>
      <c r="Q99" s="8"/>
      <c r="R99" s="8"/>
      <c r="S99" s="8"/>
    </row>
    <row r="100" ht="14.25" customHeight="1">
      <c r="A100" s="8" t="s">
        <v>2086</v>
      </c>
      <c r="B100" s="8" t="s">
        <v>2543</v>
      </c>
      <c r="C100" s="8" t="s">
        <v>2535</v>
      </c>
      <c r="D100" s="8"/>
      <c r="E100" s="8" t="s">
        <v>2434</v>
      </c>
      <c r="F100" s="8" t="s">
        <v>2434</v>
      </c>
      <c r="G100" s="8" t="s">
        <v>2434</v>
      </c>
      <c r="H100" s="8" t="s">
        <v>2434</v>
      </c>
      <c r="I100" s="8" t="s">
        <v>2434</v>
      </c>
      <c r="J100" s="8" t="s">
        <v>2434</v>
      </c>
      <c r="K100" s="8" t="s">
        <v>2434</v>
      </c>
      <c r="L100" s="8" t="s">
        <v>2434</v>
      </c>
      <c r="M100" s="8" t="s">
        <v>2434</v>
      </c>
      <c r="N100" s="8" t="s">
        <v>2434</v>
      </c>
      <c r="O100" s="8" t="s">
        <v>2434</v>
      </c>
      <c r="P100" s="8"/>
      <c r="Q100" s="8"/>
      <c r="R100" s="8"/>
      <c r="S100" s="8"/>
    </row>
    <row r="101" ht="14.25" customHeight="1">
      <c r="A101" s="8" t="s">
        <v>2092</v>
      </c>
      <c r="B101" s="8" t="s">
        <v>2476</v>
      </c>
      <c r="C101" s="8" t="s">
        <v>2317</v>
      </c>
      <c r="D101" s="8" t="s">
        <v>2083</v>
      </c>
      <c r="E101" s="810" t="str">
        <f t="shared" ref="E101:M101" si="12">#REF!</f>
        <v>#REF!</v>
      </c>
      <c r="F101" s="810" t="str">
        <f t="shared" si="12"/>
        <v>#REF!</v>
      </c>
      <c r="G101" s="810" t="str">
        <f t="shared" si="12"/>
        <v>#REF!</v>
      </c>
      <c r="H101" s="810" t="str">
        <f t="shared" si="12"/>
        <v>#REF!</v>
      </c>
      <c r="I101" s="810" t="str">
        <f t="shared" si="12"/>
        <v>#REF!</v>
      </c>
      <c r="J101" s="810" t="str">
        <f t="shared" si="12"/>
        <v>#REF!</v>
      </c>
      <c r="K101" s="810" t="str">
        <f t="shared" si="12"/>
        <v>#REF!</v>
      </c>
      <c r="L101" s="810" t="str">
        <f t="shared" si="12"/>
        <v>#REF!</v>
      </c>
      <c r="M101" s="810" t="str">
        <f t="shared" si="12"/>
        <v>#REF!</v>
      </c>
      <c r="N101" s="817" t="str">
        <f>M101*(N102+N132)/(M102+M132)</f>
        <v>#REF!</v>
      </c>
      <c r="O101" s="810" t="str">
        <f>#REF!</f>
        <v>#REF!</v>
      </c>
      <c r="P101" s="8" t="s">
        <v>2549</v>
      </c>
      <c r="Q101" s="8"/>
      <c r="R101" s="808" t="s">
        <v>2550</v>
      </c>
      <c r="S101" s="8"/>
    </row>
    <row r="102" ht="14.25" customHeight="1">
      <c r="A102" s="8" t="s">
        <v>2092</v>
      </c>
      <c r="B102" s="8" t="s">
        <v>2476</v>
      </c>
      <c r="C102" s="8" t="s">
        <v>2507</v>
      </c>
      <c r="D102" s="8"/>
      <c r="E102" s="810" t="str">
        <f t="shared" ref="E102:O102" si="13">#REF!</f>
        <v>#REF!</v>
      </c>
      <c r="F102" s="810" t="str">
        <f t="shared" si="13"/>
        <v>#REF!</v>
      </c>
      <c r="G102" s="810" t="str">
        <f t="shared" si="13"/>
        <v>#REF!</v>
      </c>
      <c r="H102" s="810" t="str">
        <f t="shared" si="13"/>
        <v>#REF!</v>
      </c>
      <c r="I102" s="810" t="str">
        <f t="shared" si="13"/>
        <v>#REF!</v>
      </c>
      <c r="J102" s="810" t="str">
        <f t="shared" si="13"/>
        <v>#REF!</v>
      </c>
      <c r="K102" s="810" t="str">
        <f t="shared" si="13"/>
        <v>#REF!</v>
      </c>
      <c r="L102" s="810" t="str">
        <f t="shared" si="13"/>
        <v>#REF!</v>
      </c>
      <c r="M102" s="810" t="str">
        <f t="shared" si="13"/>
        <v>#REF!</v>
      </c>
      <c r="N102" s="810" t="str">
        <f t="shared" si="13"/>
        <v>#REF!</v>
      </c>
      <c r="O102" s="810" t="str">
        <f t="shared" si="13"/>
        <v>#REF!</v>
      </c>
      <c r="P102" s="8"/>
      <c r="Q102" s="8"/>
      <c r="R102" s="8"/>
      <c r="S102" s="8"/>
    </row>
    <row r="103" ht="14.25" customHeight="1">
      <c r="A103" s="8" t="s">
        <v>2092</v>
      </c>
      <c r="B103" s="8" t="s">
        <v>2476</v>
      </c>
      <c r="C103" s="8" t="s">
        <v>2325</v>
      </c>
      <c r="D103" s="8" t="s">
        <v>2083</v>
      </c>
      <c r="E103" s="8">
        <v>4254.004</v>
      </c>
      <c r="F103" s="8">
        <v>4426.944</v>
      </c>
      <c r="G103" s="8">
        <v>4455.162</v>
      </c>
      <c r="H103" s="8">
        <v>4384.876</v>
      </c>
      <c r="I103" s="8">
        <v>4434.531</v>
      </c>
      <c r="J103" s="8">
        <v>4611.81</v>
      </c>
      <c r="K103" s="8">
        <v>4776.936</v>
      </c>
      <c r="L103" s="8">
        <v>4879.639</v>
      </c>
      <c r="M103" s="8">
        <v>5241.524</v>
      </c>
      <c r="N103" s="8">
        <v>5232.99</v>
      </c>
      <c r="O103" s="8" t="s">
        <v>2434</v>
      </c>
      <c r="P103" s="8" t="s">
        <v>2551</v>
      </c>
      <c r="Q103" s="8"/>
      <c r="R103" s="8"/>
      <c r="S103" s="8"/>
    </row>
    <row r="104" ht="14.25" customHeight="1">
      <c r="A104" s="8" t="s">
        <v>2092</v>
      </c>
      <c r="B104" s="8" t="s">
        <v>2476</v>
      </c>
      <c r="C104" s="8" t="s">
        <v>2329</v>
      </c>
      <c r="D104" s="8" t="s">
        <v>2083</v>
      </c>
      <c r="E104" s="8">
        <v>5990.0</v>
      </c>
      <c r="F104" s="8">
        <v>6844.0</v>
      </c>
      <c r="G104" s="8">
        <v>6280.0</v>
      </c>
      <c r="H104" s="8">
        <v>6119.0</v>
      </c>
      <c r="I104" s="8">
        <v>6364.0</v>
      </c>
      <c r="J104" s="8">
        <v>6275.0</v>
      </c>
      <c r="K104" s="8">
        <v>6255.0</v>
      </c>
      <c r="L104" s="8">
        <v>6491.0</v>
      </c>
      <c r="M104" s="8">
        <v>6643.0</v>
      </c>
      <c r="N104" s="8">
        <v>6773.0</v>
      </c>
      <c r="O104" s="8" t="s">
        <v>2434</v>
      </c>
      <c r="P104" s="8" t="s">
        <v>2552</v>
      </c>
      <c r="Q104" s="8" t="s">
        <v>2509</v>
      </c>
      <c r="R104" s="8"/>
      <c r="S104" s="8"/>
    </row>
    <row r="105" ht="14.25" customHeight="1">
      <c r="A105" s="8" t="s">
        <v>2092</v>
      </c>
      <c r="B105" s="8" t="s">
        <v>2476</v>
      </c>
      <c r="C105" s="8" t="s">
        <v>2333</v>
      </c>
      <c r="D105" s="8" t="s">
        <v>2083</v>
      </c>
      <c r="E105" s="8">
        <v>1966.179</v>
      </c>
      <c r="F105" s="8">
        <v>1881.815</v>
      </c>
      <c r="G105" s="8">
        <v>1802.7441</v>
      </c>
      <c r="H105" s="8">
        <v>1815.0</v>
      </c>
      <c r="I105" s="8">
        <v>1793.0</v>
      </c>
      <c r="J105" s="8">
        <v>2114.4023</v>
      </c>
      <c r="K105" s="8">
        <v>1994.0</v>
      </c>
      <c r="L105" s="8">
        <v>2117.0</v>
      </c>
      <c r="M105" s="8">
        <v>2324.0</v>
      </c>
      <c r="N105" s="8">
        <v>2456.0</v>
      </c>
      <c r="O105" s="8" t="s">
        <v>2434</v>
      </c>
      <c r="P105" s="8" t="s">
        <v>2537</v>
      </c>
      <c r="Q105" s="8"/>
      <c r="R105" s="8"/>
      <c r="S105" s="8"/>
    </row>
    <row r="106" ht="14.25" customHeight="1">
      <c r="A106" s="8" t="s">
        <v>2092</v>
      </c>
      <c r="B106" s="8" t="s">
        <v>2476</v>
      </c>
      <c r="C106" s="8" t="s">
        <v>2364</v>
      </c>
      <c r="D106" s="8" t="s">
        <v>2083</v>
      </c>
      <c r="E106" s="8">
        <v>2780.7</v>
      </c>
      <c r="F106" s="8">
        <v>2682.4</v>
      </c>
      <c r="G106" s="8">
        <v>2255.5</v>
      </c>
      <c r="H106" s="8">
        <v>2452.3</v>
      </c>
      <c r="I106" s="8">
        <v>2487.5</v>
      </c>
      <c r="J106" s="8">
        <v>2474.3</v>
      </c>
      <c r="K106" s="8">
        <v>2403.2</v>
      </c>
      <c r="L106" s="8">
        <v>2737.7</v>
      </c>
      <c r="M106" s="8">
        <v>2851.9</v>
      </c>
      <c r="N106" s="8">
        <v>2987.0</v>
      </c>
      <c r="O106" s="8" t="s">
        <v>2434</v>
      </c>
      <c r="P106" s="8" t="s">
        <v>2511</v>
      </c>
      <c r="Q106" s="8"/>
      <c r="R106" s="8"/>
      <c r="S106" s="8"/>
    </row>
    <row r="107" ht="14.25" customHeight="1">
      <c r="A107" s="8" t="s">
        <v>2092</v>
      </c>
      <c r="B107" s="8" t="s">
        <v>2476</v>
      </c>
      <c r="C107" s="8" t="s">
        <v>2337</v>
      </c>
      <c r="D107" s="8" t="s">
        <v>2083</v>
      </c>
      <c r="E107" s="8">
        <v>1328.763</v>
      </c>
      <c r="F107" s="8">
        <v>1206.786</v>
      </c>
      <c r="G107" s="8">
        <v>1025.666</v>
      </c>
      <c r="H107" s="8">
        <v>854.778</v>
      </c>
      <c r="I107" s="8">
        <v>734.692</v>
      </c>
      <c r="J107" s="8">
        <v>788.168</v>
      </c>
      <c r="K107" s="8">
        <v>1018.537</v>
      </c>
      <c r="L107" s="8">
        <v>1237.5225</v>
      </c>
      <c r="M107" s="8">
        <v>1357.787</v>
      </c>
      <c r="N107" s="8">
        <v>1533.71</v>
      </c>
      <c r="O107" s="8">
        <v>1499.199</v>
      </c>
      <c r="P107" s="8" t="s">
        <v>2512</v>
      </c>
      <c r="Q107" s="8"/>
      <c r="R107" s="808" t="s">
        <v>2553</v>
      </c>
      <c r="S107" s="8"/>
    </row>
    <row r="108" ht="14.25" customHeight="1">
      <c r="A108" s="8" t="s">
        <v>2092</v>
      </c>
      <c r="B108" s="8" t="s">
        <v>2476</v>
      </c>
      <c r="C108" s="8" t="s">
        <v>2341</v>
      </c>
      <c r="D108" s="8" t="s">
        <v>2083</v>
      </c>
      <c r="E108" s="8">
        <v>3544.344</v>
      </c>
      <c r="F108" s="8">
        <v>4052.558</v>
      </c>
      <c r="G108" s="8">
        <v>3596.442</v>
      </c>
      <c r="H108" s="8">
        <v>3436.8</v>
      </c>
      <c r="I108" s="8">
        <v>3763.867</v>
      </c>
      <c r="J108" s="8">
        <v>3837.793</v>
      </c>
      <c r="K108" s="8">
        <v>3878.62</v>
      </c>
      <c r="L108" s="8">
        <v>3948.1</v>
      </c>
      <c r="M108" s="8">
        <v>4375.943</v>
      </c>
      <c r="N108" s="8">
        <v>4569.452</v>
      </c>
      <c r="O108" s="8" t="s">
        <v>2434</v>
      </c>
      <c r="P108" s="8" t="s">
        <v>2513</v>
      </c>
      <c r="Q108" s="8"/>
      <c r="R108" s="8"/>
      <c r="S108" s="8"/>
    </row>
    <row r="109" ht="14.25" customHeight="1">
      <c r="A109" s="8" t="s">
        <v>2092</v>
      </c>
      <c r="B109" s="8" t="s">
        <v>2476</v>
      </c>
      <c r="C109" s="8" t="s">
        <v>2348</v>
      </c>
      <c r="D109" s="8"/>
      <c r="E109" s="8" t="s">
        <v>2434</v>
      </c>
      <c r="F109" s="8" t="s">
        <v>2434</v>
      </c>
      <c r="G109" s="8" t="s">
        <v>2434</v>
      </c>
      <c r="H109" s="8" t="s">
        <v>2434</v>
      </c>
      <c r="I109" s="8" t="s">
        <v>2434</v>
      </c>
      <c r="J109" s="813">
        <v>3047.0</v>
      </c>
      <c r="K109" s="813">
        <v>3404.0</v>
      </c>
      <c r="L109" s="813">
        <v>3554.0</v>
      </c>
      <c r="M109" s="813">
        <v>3343.0</v>
      </c>
      <c r="N109" s="818">
        <f>M109</f>
        <v>3343</v>
      </c>
      <c r="O109" s="8" t="s">
        <v>2434</v>
      </c>
      <c r="P109" s="8"/>
      <c r="Q109" s="8"/>
      <c r="R109" s="819" t="s">
        <v>2554</v>
      </c>
      <c r="S109" s="8"/>
    </row>
    <row r="110" ht="14.25" customHeight="1">
      <c r="A110" s="8" t="s">
        <v>2092</v>
      </c>
      <c r="B110" s="8" t="s">
        <v>2476</v>
      </c>
      <c r="C110" s="8" t="s">
        <v>2350</v>
      </c>
      <c r="D110" s="8" t="s">
        <v>2083</v>
      </c>
      <c r="E110" s="8">
        <v>375.0</v>
      </c>
      <c r="F110" s="8">
        <v>451.0</v>
      </c>
      <c r="G110" s="8">
        <v>481.0</v>
      </c>
      <c r="H110" s="8">
        <v>456.0</v>
      </c>
      <c r="I110" s="8">
        <v>447.35</v>
      </c>
      <c r="J110" s="8">
        <v>390.0</v>
      </c>
      <c r="K110" s="8">
        <v>318.5</v>
      </c>
      <c r="L110" s="8">
        <v>517.916</v>
      </c>
      <c r="M110" s="8">
        <v>526.349</v>
      </c>
      <c r="N110" s="813">
        <v>411.3</v>
      </c>
      <c r="O110" s="8" t="s">
        <v>2434</v>
      </c>
      <c r="P110" s="8" t="s">
        <v>2400</v>
      </c>
      <c r="Q110" s="8"/>
      <c r="R110" s="819" t="s">
        <v>2555</v>
      </c>
      <c r="S110" s="8"/>
    </row>
    <row r="111" ht="14.25" customHeight="1">
      <c r="A111" s="8" t="s">
        <v>2092</v>
      </c>
      <c r="B111" s="8" t="s">
        <v>2476</v>
      </c>
      <c r="C111" s="8" t="s">
        <v>2354</v>
      </c>
      <c r="D111" s="8" t="s">
        <v>2083</v>
      </c>
      <c r="E111" s="8">
        <v>1215.0</v>
      </c>
      <c r="F111" s="8">
        <v>1387.0</v>
      </c>
      <c r="G111" s="8">
        <v>1293.0</v>
      </c>
      <c r="H111" s="8">
        <v>1271.0</v>
      </c>
      <c r="I111" s="8">
        <v>1255.0</v>
      </c>
      <c r="J111" s="8">
        <v>1188.0</v>
      </c>
      <c r="K111" s="8">
        <v>1335.0</v>
      </c>
      <c r="L111" s="8">
        <v>1511.0</v>
      </c>
      <c r="M111" s="8">
        <v>1462.0</v>
      </c>
      <c r="N111" s="8">
        <v>1430.0</v>
      </c>
      <c r="O111" s="8" t="s">
        <v>2434</v>
      </c>
      <c r="P111" s="8" t="s">
        <v>2556</v>
      </c>
      <c r="Q111" s="8"/>
      <c r="R111" s="8"/>
      <c r="S111" s="8"/>
    </row>
    <row r="112" ht="14.25" customHeight="1">
      <c r="A112" s="8" t="s">
        <v>2092</v>
      </c>
      <c r="B112" s="8" t="s">
        <v>2476</v>
      </c>
      <c r="C112" s="8" t="s">
        <v>2356</v>
      </c>
      <c r="D112" s="8" t="s">
        <v>2083</v>
      </c>
      <c r="E112" s="8">
        <v>17998.0</v>
      </c>
      <c r="F112" s="8">
        <v>19433.0</v>
      </c>
      <c r="G112" s="8">
        <v>18018.0</v>
      </c>
      <c r="H112" s="8">
        <v>17469.0</v>
      </c>
      <c r="I112" s="8">
        <v>16426.0</v>
      </c>
      <c r="J112" s="8">
        <v>15597.0</v>
      </c>
      <c r="K112" s="8">
        <v>15934.0</v>
      </c>
      <c r="L112" s="8">
        <v>16851.0</v>
      </c>
      <c r="M112" s="8">
        <v>16537.0</v>
      </c>
      <c r="N112" s="8">
        <v>16710.0</v>
      </c>
      <c r="O112" s="8" t="s">
        <v>2434</v>
      </c>
      <c r="P112" s="8" t="s">
        <v>2557</v>
      </c>
      <c r="Q112" s="8"/>
      <c r="R112" s="8"/>
      <c r="S112" s="8"/>
    </row>
    <row r="113" ht="14.25" customHeight="1">
      <c r="A113" s="8" t="s">
        <v>2092</v>
      </c>
      <c r="B113" s="8" t="s">
        <v>2476</v>
      </c>
      <c r="C113" s="8" t="s">
        <v>2344</v>
      </c>
      <c r="D113" s="8" t="s">
        <v>2083</v>
      </c>
      <c r="E113" s="8">
        <v>29894.0</v>
      </c>
      <c r="F113" s="8">
        <v>33540.0</v>
      </c>
      <c r="G113" s="8">
        <v>32432.0</v>
      </c>
      <c r="H113" s="8">
        <v>31308.0</v>
      </c>
      <c r="I113" s="8">
        <v>32099.0</v>
      </c>
      <c r="J113" s="8">
        <v>31160.0</v>
      </c>
      <c r="K113" s="8">
        <v>32674.0</v>
      </c>
      <c r="L113" s="8">
        <v>33991.0</v>
      </c>
      <c r="M113" s="8">
        <v>33633.0</v>
      </c>
      <c r="N113" s="8">
        <v>34900.0</v>
      </c>
      <c r="O113" s="8" t="s">
        <v>2434</v>
      </c>
      <c r="P113" s="8" t="s">
        <v>2558</v>
      </c>
      <c r="Q113" s="8"/>
      <c r="R113" s="8"/>
      <c r="S113" s="8"/>
    </row>
    <row r="114" ht="14.25" customHeight="1">
      <c r="A114" s="8" t="s">
        <v>2092</v>
      </c>
      <c r="B114" s="8" t="s">
        <v>2476</v>
      </c>
      <c r="C114" s="8" t="s">
        <v>2362</v>
      </c>
      <c r="D114" s="8" t="s">
        <v>2083</v>
      </c>
      <c r="E114" s="8">
        <v>10010.0</v>
      </c>
      <c r="F114" s="8">
        <v>6110.0</v>
      </c>
      <c r="G114" s="8">
        <v>6918.0</v>
      </c>
      <c r="H114" s="8">
        <v>7819.0</v>
      </c>
      <c r="I114" s="8">
        <v>8384.0</v>
      </c>
      <c r="J114" s="8">
        <v>7569.0</v>
      </c>
      <c r="K114" s="8">
        <v>8263.0</v>
      </c>
      <c r="L114" s="8">
        <v>7786.0</v>
      </c>
      <c r="M114" s="8">
        <v>7526.0</v>
      </c>
      <c r="N114" s="8">
        <v>7216.0</v>
      </c>
      <c r="O114" s="8" t="s">
        <v>2434</v>
      </c>
      <c r="P114" s="8" t="s">
        <v>2559</v>
      </c>
      <c r="Q114" s="8" t="s">
        <v>2560</v>
      </c>
      <c r="R114" s="820" t="s">
        <v>2561</v>
      </c>
      <c r="S114" s="8"/>
    </row>
    <row r="115" ht="14.25" customHeight="1">
      <c r="A115" s="8" t="s">
        <v>2092</v>
      </c>
      <c r="B115" s="8" t="s">
        <v>2476</v>
      </c>
      <c r="C115" s="8" t="s">
        <v>2367</v>
      </c>
      <c r="D115" s="8" t="s">
        <v>2083</v>
      </c>
      <c r="E115" s="8">
        <v>2136.0</v>
      </c>
      <c r="F115" s="8">
        <v>1694.0</v>
      </c>
      <c r="G115" s="8">
        <v>1870.0</v>
      </c>
      <c r="H115" s="8">
        <v>2022.0</v>
      </c>
      <c r="I115" s="8">
        <v>1610.0</v>
      </c>
      <c r="J115" s="8">
        <v>1750.0</v>
      </c>
      <c r="K115" s="8">
        <v>2000.0</v>
      </c>
      <c r="L115" s="8" t="s">
        <v>2434</v>
      </c>
      <c r="M115" s="8" t="s">
        <v>2434</v>
      </c>
      <c r="N115" s="818">
        <f>J115</f>
        <v>1750</v>
      </c>
      <c r="O115" s="8" t="s">
        <v>2434</v>
      </c>
      <c r="P115" s="8" t="s">
        <v>2562</v>
      </c>
      <c r="Q115" s="8"/>
      <c r="R115" s="813" t="s">
        <v>2563</v>
      </c>
      <c r="S115" s="8"/>
    </row>
    <row r="116" ht="14.25" customHeight="1">
      <c r="A116" s="8" t="s">
        <v>2092</v>
      </c>
      <c r="B116" s="8" t="s">
        <v>2476</v>
      </c>
      <c r="C116" s="8" t="s">
        <v>2369</v>
      </c>
      <c r="D116" s="8"/>
      <c r="E116" s="8" t="s">
        <v>2434</v>
      </c>
      <c r="F116" s="8" t="s">
        <v>2434</v>
      </c>
      <c r="G116" s="8" t="s">
        <v>2434</v>
      </c>
      <c r="H116" s="8" t="s">
        <v>2434</v>
      </c>
      <c r="I116" s="8" t="s">
        <v>2434</v>
      </c>
      <c r="J116" s="813">
        <v>2980.0</v>
      </c>
      <c r="K116" s="813">
        <v>3100.0</v>
      </c>
      <c r="L116" s="813">
        <v>3200.0</v>
      </c>
      <c r="M116" s="813">
        <v>3290.0</v>
      </c>
      <c r="N116" s="818">
        <f>M116</f>
        <v>3290</v>
      </c>
      <c r="O116" s="8" t="s">
        <v>2434</v>
      </c>
      <c r="P116" s="8"/>
      <c r="Q116" s="8"/>
      <c r="R116" s="813" t="s">
        <v>2564</v>
      </c>
      <c r="S116" s="8"/>
    </row>
    <row r="117" ht="14.25" customHeight="1">
      <c r="A117" s="8" t="s">
        <v>2092</v>
      </c>
      <c r="B117" s="8" t="s">
        <v>2476</v>
      </c>
      <c r="C117" s="8" t="s">
        <v>2374</v>
      </c>
      <c r="D117" s="8" t="s">
        <v>2083</v>
      </c>
      <c r="E117" s="8">
        <v>34408.077</v>
      </c>
      <c r="F117" s="8">
        <v>33119.839</v>
      </c>
      <c r="G117" s="8">
        <v>26244.102</v>
      </c>
      <c r="H117" s="8">
        <v>23083.078</v>
      </c>
      <c r="I117" s="8">
        <v>21541.826</v>
      </c>
      <c r="J117" s="8">
        <v>20825.402</v>
      </c>
      <c r="K117" s="8">
        <v>19324.514</v>
      </c>
      <c r="L117" s="8">
        <v>19305.1895</v>
      </c>
      <c r="M117" s="8">
        <v>19300.0</v>
      </c>
      <c r="N117" s="8">
        <v>19240.645</v>
      </c>
      <c r="O117" s="8" t="s">
        <v>2434</v>
      </c>
      <c r="P117" s="8" t="s">
        <v>2565</v>
      </c>
      <c r="Q117" s="8"/>
      <c r="R117" s="8"/>
      <c r="S117" s="8"/>
    </row>
    <row r="118" ht="14.25" customHeight="1">
      <c r="A118" s="8" t="s">
        <v>2092</v>
      </c>
      <c r="B118" s="8" t="s">
        <v>2476</v>
      </c>
      <c r="C118" s="8" t="s">
        <v>2386</v>
      </c>
      <c r="D118" s="8" t="s">
        <v>2083</v>
      </c>
      <c r="E118" s="8">
        <v>1100.0</v>
      </c>
      <c r="F118" s="8">
        <v>1100.0</v>
      </c>
      <c r="G118" s="8">
        <v>1200.0</v>
      </c>
      <c r="H118" s="8">
        <v>1200.0</v>
      </c>
      <c r="I118" s="8">
        <v>1200.0</v>
      </c>
      <c r="J118" s="8">
        <v>1100.0</v>
      </c>
      <c r="K118" s="8">
        <v>825.0</v>
      </c>
      <c r="L118" s="8">
        <v>704.75</v>
      </c>
      <c r="M118" s="8">
        <v>833.4</v>
      </c>
      <c r="N118" s="8">
        <v>876.12</v>
      </c>
      <c r="O118" s="8" t="s">
        <v>2434</v>
      </c>
      <c r="P118" s="8" t="s">
        <v>2566</v>
      </c>
      <c r="Q118" s="8"/>
      <c r="R118" s="8"/>
      <c r="S118" s="8"/>
    </row>
    <row r="119" ht="14.25" customHeight="1">
      <c r="A119" s="8" t="s">
        <v>2092</v>
      </c>
      <c r="B119" s="8" t="s">
        <v>2476</v>
      </c>
      <c r="C119" s="8" t="s">
        <v>2378</v>
      </c>
      <c r="D119" s="8" t="s">
        <v>2083</v>
      </c>
      <c r="E119" s="8">
        <v>834.0</v>
      </c>
      <c r="F119" s="8">
        <v>996.284</v>
      </c>
      <c r="G119" s="8">
        <v>1014.977</v>
      </c>
      <c r="H119" s="8">
        <v>1069.5926</v>
      </c>
      <c r="I119" s="8">
        <v>902.7</v>
      </c>
      <c r="J119" s="8">
        <v>979.565</v>
      </c>
      <c r="K119" s="8">
        <v>1009.936</v>
      </c>
      <c r="L119" s="8">
        <v>1023.437</v>
      </c>
      <c r="M119" s="8">
        <v>1150.635</v>
      </c>
      <c r="N119" s="8">
        <v>1222.9</v>
      </c>
      <c r="O119" s="8" t="s">
        <v>2434</v>
      </c>
      <c r="P119" s="8" t="s">
        <v>2567</v>
      </c>
      <c r="Q119" s="8"/>
      <c r="R119" s="8"/>
      <c r="S119" s="8"/>
    </row>
    <row r="120" ht="14.25" customHeight="1">
      <c r="A120" s="8" t="s">
        <v>2092</v>
      </c>
      <c r="B120" s="8" t="s">
        <v>2476</v>
      </c>
      <c r="C120" s="8" t="s">
        <v>2383</v>
      </c>
      <c r="D120" s="8" t="s">
        <v>2083</v>
      </c>
      <c r="E120" s="8">
        <v>1019.419</v>
      </c>
      <c r="F120" s="8">
        <v>1198.737</v>
      </c>
      <c r="G120" s="8">
        <v>1132.619</v>
      </c>
      <c r="H120" s="8">
        <v>1092.512</v>
      </c>
      <c r="I120" s="8">
        <v>1057.571</v>
      </c>
      <c r="J120" s="8">
        <v>992.86</v>
      </c>
      <c r="K120" s="8">
        <v>1014.349</v>
      </c>
      <c r="L120" s="8">
        <v>1074.744</v>
      </c>
      <c r="M120" s="8">
        <v>1156.302</v>
      </c>
      <c r="N120" s="8">
        <v>1196.837</v>
      </c>
      <c r="O120" s="8" t="s">
        <v>2434</v>
      </c>
      <c r="P120" s="8" t="s">
        <v>2523</v>
      </c>
      <c r="Q120" s="8"/>
      <c r="R120" s="8"/>
      <c r="S120" s="8"/>
    </row>
    <row r="121" ht="14.25" customHeight="1">
      <c r="A121" s="8" t="s">
        <v>2092</v>
      </c>
      <c r="B121" s="8" t="s">
        <v>2476</v>
      </c>
      <c r="C121" s="8" t="s">
        <v>2389</v>
      </c>
      <c r="D121" s="8"/>
      <c r="E121" s="8" t="s">
        <v>2434</v>
      </c>
      <c r="F121" s="8" t="s">
        <v>2434</v>
      </c>
      <c r="G121" s="8" t="s">
        <v>2434</v>
      </c>
      <c r="H121" s="8" t="s">
        <v>2434</v>
      </c>
      <c r="I121" s="8" t="s">
        <v>2434</v>
      </c>
      <c r="J121" s="813">
        <v>0.0</v>
      </c>
      <c r="K121" s="8" t="s">
        <v>2434</v>
      </c>
      <c r="L121" s="813">
        <v>0.0</v>
      </c>
      <c r="M121" s="8" t="s">
        <v>2434</v>
      </c>
      <c r="N121" s="818">
        <f>L121</f>
        <v>0</v>
      </c>
      <c r="O121" s="8" t="s">
        <v>2434</v>
      </c>
      <c r="P121" s="8"/>
      <c r="Q121" s="8"/>
      <c r="R121" s="813" t="s">
        <v>2568</v>
      </c>
      <c r="S121" s="8"/>
    </row>
    <row r="122" ht="14.25" customHeight="1">
      <c r="A122" s="8" t="s">
        <v>2092</v>
      </c>
      <c r="B122" s="8" t="s">
        <v>2476</v>
      </c>
      <c r="C122" s="8" t="s">
        <v>2391</v>
      </c>
      <c r="D122" s="8" t="s">
        <v>2083</v>
      </c>
      <c r="E122" s="8">
        <v>2138.0</v>
      </c>
      <c r="F122" s="8">
        <v>2318.0</v>
      </c>
      <c r="G122" s="8">
        <v>1940.0</v>
      </c>
      <c r="H122" s="8">
        <v>2050.0</v>
      </c>
      <c r="I122" s="8">
        <v>2610.0</v>
      </c>
      <c r="J122" s="8">
        <v>2260.0</v>
      </c>
      <c r="K122" s="8">
        <v>2260.0</v>
      </c>
      <c r="L122" s="8">
        <v>2300.0</v>
      </c>
      <c r="M122" s="8">
        <v>2300.0</v>
      </c>
      <c r="N122" s="8">
        <v>2300.0</v>
      </c>
      <c r="O122" s="8" t="s">
        <v>2434</v>
      </c>
      <c r="P122" s="8" t="s">
        <v>2569</v>
      </c>
      <c r="Q122" s="8" t="s">
        <v>2570</v>
      </c>
      <c r="R122" s="8"/>
      <c r="S122" s="8"/>
    </row>
    <row r="123" ht="14.25" customHeight="1">
      <c r="A123" s="8" t="s">
        <v>2092</v>
      </c>
      <c r="B123" s="8" t="s">
        <v>2476</v>
      </c>
      <c r="C123" s="8" t="s">
        <v>2393</v>
      </c>
      <c r="D123" s="8" t="s">
        <v>2083</v>
      </c>
      <c r="E123" s="8">
        <v>14231.0</v>
      </c>
      <c r="F123" s="8">
        <v>17135.677</v>
      </c>
      <c r="G123" s="8">
        <v>15486.094</v>
      </c>
      <c r="H123" s="8">
        <v>13362.0</v>
      </c>
      <c r="I123" s="8">
        <v>14734.941</v>
      </c>
      <c r="J123" s="8">
        <v>14068.0</v>
      </c>
      <c r="K123" s="8">
        <v>15157.0</v>
      </c>
      <c r="L123" s="8">
        <v>15806.767</v>
      </c>
      <c r="M123" s="8">
        <v>17003.526</v>
      </c>
      <c r="N123" s="8">
        <v>17934.392</v>
      </c>
      <c r="O123" s="8" t="s">
        <v>2434</v>
      </c>
      <c r="P123" s="8" t="s">
        <v>2526</v>
      </c>
      <c r="Q123" s="8"/>
      <c r="R123" s="8"/>
      <c r="S123" s="8"/>
    </row>
    <row r="124" ht="14.25" customHeight="1">
      <c r="A124" s="8" t="s">
        <v>2092</v>
      </c>
      <c r="B124" s="8" t="s">
        <v>2476</v>
      </c>
      <c r="C124" s="8" t="s">
        <v>2395</v>
      </c>
      <c r="D124" s="8" t="s">
        <v>2083</v>
      </c>
      <c r="E124" s="8">
        <v>6877.0</v>
      </c>
      <c r="F124" s="8">
        <v>5675.6655</v>
      </c>
      <c r="G124" s="8">
        <v>5405.1235</v>
      </c>
      <c r="H124" s="8">
        <v>5424.3293</v>
      </c>
      <c r="I124" s="8">
        <v>5473.3479</v>
      </c>
      <c r="J124" s="8">
        <v>5602.9334</v>
      </c>
      <c r="K124" s="8">
        <v>4133.8026</v>
      </c>
      <c r="L124" s="8">
        <v>3851.5827</v>
      </c>
      <c r="M124" s="8">
        <v>3990.6963</v>
      </c>
      <c r="N124" s="8">
        <v>4312.4186</v>
      </c>
      <c r="O124" s="8" t="s">
        <v>2434</v>
      </c>
      <c r="P124" s="8" t="s">
        <v>2571</v>
      </c>
      <c r="Q124" s="8"/>
      <c r="R124" s="8"/>
      <c r="S124" s="8"/>
    </row>
    <row r="125" ht="14.25" customHeight="1">
      <c r="A125" s="8" t="s">
        <v>2092</v>
      </c>
      <c r="B125" s="8" t="s">
        <v>2476</v>
      </c>
      <c r="C125" s="8" t="s">
        <v>2397</v>
      </c>
      <c r="D125" s="8" t="s">
        <v>2083</v>
      </c>
      <c r="E125" s="8">
        <v>6992.0</v>
      </c>
      <c r="F125" s="8">
        <v>8087.0</v>
      </c>
      <c r="G125" s="8">
        <v>8223.0</v>
      </c>
      <c r="H125" s="8">
        <v>7451.0</v>
      </c>
      <c r="I125" s="8">
        <v>7621.0</v>
      </c>
      <c r="J125" s="8">
        <v>8356.0</v>
      </c>
      <c r="K125" s="8">
        <v>8038.0</v>
      </c>
      <c r="L125" s="8">
        <v>8442.0</v>
      </c>
      <c r="M125" s="8">
        <v>8951.0</v>
      </c>
      <c r="N125" s="8">
        <v>9937.0</v>
      </c>
      <c r="O125" s="8" t="s">
        <v>2434</v>
      </c>
      <c r="P125" s="8" t="s">
        <v>2528</v>
      </c>
      <c r="Q125" s="8"/>
      <c r="R125" s="8"/>
      <c r="S125" s="8"/>
    </row>
    <row r="126" ht="14.25" customHeight="1">
      <c r="A126" s="8" t="s">
        <v>2092</v>
      </c>
      <c r="B126" s="8" t="s">
        <v>2476</v>
      </c>
      <c r="C126" s="8" t="s">
        <v>2411</v>
      </c>
      <c r="D126" s="8" t="s">
        <v>2083</v>
      </c>
      <c r="E126" s="8">
        <v>2887.749</v>
      </c>
      <c r="F126" s="8">
        <v>3219.557</v>
      </c>
      <c r="G126" s="8">
        <v>2915.166</v>
      </c>
      <c r="H126" s="8">
        <v>3120.58</v>
      </c>
      <c r="I126" s="8">
        <v>3319.32</v>
      </c>
      <c r="J126" s="8">
        <v>3465.6</v>
      </c>
      <c r="K126" s="8">
        <v>3518.46</v>
      </c>
      <c r="L126" s="8">
        <v>3781.89</v>
      </c>
      <c r="M126" s="8">
        <v>3912.67</v>
      </c>
      <c r="N126" s="8">
        <v>4421.6217</v>
      </c>
      <c r="O126" s="8" t="s">
        <v>2434</v>
      </c>
      <c r="P126" s="8" t="s">
        <v>2572</v>
      </c>
      <c r="Q126" s="8"/>
      <c r="R126" s="8"/>
      <c r="S126" s="8"/>
    </row>
    <row r="127" ht="14.25" customHeight="1">
      <c r="A127" s="8" t="s">
        <v>2092</v>
      </c>
      <c r="B127" s="8" t="s">
        <v>2476</v>
      </c>
      <c r="C127" s="8" t="s">
        <v>2406</v>
      </c>
      <c r="D127" s="8" t="s">
        <v>2083</v>
      </c>
      <c r="E127" s="8">
        <v>841.0</v>
      </c>
      <c r="F127" s="8">
        <v>760.0</v>
      </c>
      <c r="G127" s="8">
        <v>745.0</v>
      </c>
      <c r="H127" s="8" t="s">
        <v>2434</v>
      </c>
      <c r="I127" s="8" t="s">
        <v>2434</v>
      </c>
      <c r="J127" s="813">
        <v>600.0</v>
      </c>
      <c r="K127" s="813">
        <v>700.0</v>
      </c>
      <c r="L127" s="813">
        <v>660.0</v>
      </c>
      <c r="M127" s="813">
        <v>680.0</v>
      </c>
      <c r="N127" s="818">
        <f>M127</f>
        <v>680</v>
      </c>
      <c r="O127" s="8" t="s">
        <v>2434</v>
      </c>
      <c r="P127" s="8" t="s">
        <v>2573</v>
      </c>
      <c r="Q127" s="8" t="s">
        <v>2574</v>
      </c>
      <c r="R127" s="813" t="s">
        <v>2569</v>
      </c>
      <c r="S127" s="8"/>
    </row>
    <row r="128" ht="14.25" customHeight="1">
      <c r="A128" s="8" t="s">
        <v>2092</v>
      </c>
      <c r="B128" s="8" t="s">
        <v>2476</v>
      </c>
      <c r="C128" s="8" t="s">
        <v>2352</v>
      </c>
      <c r="D128" s="8" t="s">
        <v>2083</v>
      </c>
      <c r="E128" s="8">
        <v>27526.0741</v>
      </c>
      <c r="F128" s="8">
        <v>23823.8596</v>
      </c>
      <c r="G128" s="8">
        <v>19466.3041</v>
      </c>
      <c r="H128" s="8">
        <v>17694.6177</v>
      </c>
      <c r="I128" s="8">
        <v>20119.5065</v>
      </c>
      <c r="J128" s="8">
        <v>20400.1116</v>
      </c>
      <c r="K128" s="8">
        <v>19889.4734</v>
      </c>
      <c r="L128" s="8">
        <v>20360.3598</v>
      </c>
      <c r="M128" s="8">
        <v>18456.7973</v>
      </c>
      <c r="N128" s="8">
        <v>17463.9855</v>
      </c>
      <c r="O128" s="8" t="s">
        <v>2434</v>
      </c>
      <c r="P128" s="8" t="s">
        <v>2575</v>
      </c>
      <c r="Q128" s="8" t="s">
        <v>2576</v>
      </c>
      <c r="R128" s="8"/>
      <c r="S128" s="8"/>
    </row>
    <row r="129" ht="14.25" customHeight="1">
      <c r="A129" s="8" t="s">
        <v>2092</v>
      </c>
      <c r="B129" s="8" t="s">
        <v>2476</v>
      </c>
      <c r="C129" s="8" t="s">
        <v>2400</v>
      </c>
      <c r="D129" s="8" t="s">
        <v>2083</v>
      </c>
      <c r="E129" s="8">
        <v>2334.0</v>
      </c>
      <c r="F129" s="8">
        <v>2571.0</v>
      </c>
      <c r="G129" s="8">
        <v>2628.0</v>
      </c>
      <c r="H129" s="8">
        <v>2655.0</v>
      </c>
      <c r="I129" s="8">
        <v>2900.0</v>
      </c>
      <c r="J129" s="8">
        <v>2762.0</v>
      </c>
      <c r="K129" s="8">
        <v>2835.0</v>
      </c>
      <c r="L129" s="8">
        <v>3015.0</v>
      </c>
      <c r="M129" s="8">
        <v>3256.0</v>
      </c>
      <c r="N129" s="8">
        <v>2856.0</v>
      </c>
      <c r="O129" s="8" t="s">
        <v>2434</v>
      </c>
      <c r="P129" s="8" t="s">
        <v>2531</v>
      </c>
      <c r="Q129" s="8"/>
      <c r="R129" s="8"/>
      <c r="S129" s="8"/>
    </row>
    <row r="130" ht="14.25" customHeight="1">
      <c r="A130" s="8" t="s">
        <v>2092</v>
      </c>
      <c r="B130" s="8" t="s">
        <v>2476</v>
      </c>
      <c r="C130" s="8" t="s">
        <v>2416</v>
      </c>
      <c r="D130" s="8" t="s">
        <v>2083</v>
      </c>
      <c r="E130" s="8" t="s">
        <v>2434</v>
      </c>
      <c r="F130" s="8">
        <v>1550.0</v>
      </c>
      <c r="G130" s="8">
        <v>1697.573</v>
      </c>
      <c r="H130" s="8">
        <v>1694.15</v>
      </c>
      <c r="I130" s="8" t="s">
        <v>2434</v>
      </c>
      <c r="J130" s="813">
        <v>1800.0</v>
      </c>
      <c r="K130" s="813">
        <v>1850.0</v>
      </c>
      <c r="L130" s="813">
        <v>1900.0</v>
      </c>
      <c r="M130" s="813">
        <v>1950.0</v>
      </c>
      <c r="N130" s="818">
        <f>M130</f>
        <v>1950</v>
      </c>
      <c r="O130" s="8" t="s">
        <v>2434</v>
      </c>
      <c r="P130" s="8" t="s">
        <v>2577</v>
      </c>
      <c r="Q130" s="8"/>
      <c r="R130" s="813" t="s">
        <v>2569</v>
      </c>
      <c r="S130" s="8"/>
    </row>
    <row r="131" ht="14.25" customHeight="1">
      <c r="A131" s="8" t="s">
        <v>2092</v>
      </c>
      <c r="B131" s="8" t="s">
        <v>2476</v>
      </c>
      <c r="C131" s="8" t="s">
        <v>2423</v>
      </c>
      <c r="D131" s="8" t="s">
        <v>2083</v>
      </c>
      <c r="E131" s="8">
        <v>4550.0</v>
      </c>
      <c r="F131" s="8">
        <v>4680.0</v>
      </c>
      <c r="G131" s="8">
        <v>4400.0</v>
      </c>
      <c r="H131" s="8">
        <v>4560.0</v>
      </c>
      <c r="I131" s="8">
        <v>4580.0</v>
      </c>
      <c r="J131" s="8">
        <v>4220.0</v>
      </c>
      <c r="K131" s="8">
        <v>4397.18</v>
      </c>
      <c r="L131" s="8">
        <v>4272.0</v>
      </c>
      <c r="M131" s="8">
        <v>4289.0</v>
      </c>
      <c r="N131" s="8">
        <v>4151.0</v>
      </c>
      <c r="O131" s="8" t="s">
        <v>2434</v>
      </c>
      <c r="P131" s="8" t="s">
        <v>2578</v>
      </c>
      <c r="Q131" s="8"/>
      <c r="R131" s="8"/>
      <c r="S131" s="8"/>
    </row>
    <row r="132" ht="14.25" customHeight="1">
      <c r="A132" s="8" t="s">
        <v>2092</v>
      </c>
      <c r="B132" s="8" t="s">
        <v>2476</v>
      </c>
      <c r="C132" s="8" t="s">
        <v>2360</v>
      </c>
      <c r="D132" s="8" t="s">
        <v>2083</v>
      </c>
      <c r="E132" s="8">
        <v>7883.0</v>
      </c>
      <c r="F132" s="8">
        <v>8529.0</v>
      </c>
      <c r="G132" s="8">
        <v>7952.0</v>
      </c>
      <c r="H132" s="8">
        <v>8203.0</v>
      </c>
      <c r="I132" s="8">
        <v>8958.0</v>
      </c>
      <c r="J132" s="8">
        <v>9235.0</v>
      </c>
      <c r="K132" s="8">
        <v>9370.0</v>
      </c>
      <c r="L132" s="8">
        <v>9359.0</v>
      </c>
      <c r="M132" s="8">
        <v>9197.0</v>
      </c>
      <c r="N132" s="8">
        <v>9079.0</v>
      </c>
      <c r="O132" s="8" t="s">
        <v>2434</v>
      </c>
      <c r="P132" s="8" t="s">
        <v>2579</v>
      </c>
      <c r="Q132" s="8"/>
      <c r="R132" s="8"/>
      <c r="S132" s="8"/>
    </row>
    <row r="133" ht="14.25" customHeight="1">
      <c r="A133" s="8" t="s">
        <v>2092</v>
      </c>
      <c r="B133" s="8" t="s">
        <v>2476</v>
      </c>
      <c r="C133" s="8" t="s">
        <v>2535</v>
      </c>
      <c r="D133" s="8" t="s">
        <v>2083</v>
      </c>
      <c r="E133" s="8">
        <v>2130.0</v>
      </c>
      <c r="F133" s="8">
        <v>2094.583</v>
      </c>
      <c r="G133" s="8">
        <v>1830.708</v>
      </c>
      <c r="H133" s="8">
        <v>1591.703</v>
      </c>
      <c r="I133" s="8">
        <v>1605.0</v>
      </c>
      <c r="J133" s="8">
        <v>1654.39</v>
      </c>
      <c r="K133" s="8">
        <v>1800.805</v>
      </c>
      <c r="L133" s="8">
        <v>1907.689</v>
      </c>
      <c r="M133" s="8">
        <v>1871.51</v>
      </c>
      <c r="N133" s="8">
        <v>1923.2785</v>
      </c>
      <c r="O133" s="8" t="s">
        <v>2434</v>
      </c>
      <c r="P133" s="8" t="s">
        <v>2580</v>
      </c>
      <c r="Q133" s="8" t="s">
        <v>2581</v>
      </c>
      <c r="R133" s="8"/>
      <c r="S133" s="8"/>
    </row>
    <row r="134" ht="14.25" customHeight="1">
      <c r="A134" s="8" t="s">
        <v>2118</v>
      </c>
      <c r="B134" s="8" t="s">
        <v>2117</v>
      </c>
      <c r="C134" s="8" t="s">
        <v>2317</v>
      </c>
      <c r="D134" s="8" t="s">
        <v>2083</v>
      </c>
      <c r="E134" s="810" t="str">
        <f t="shared" ref="E134:M134" si="14">#REF!</f>
        <v>#REF!</v>
      </c>
      <c r="F134" s="810" t="str">
        <f t="shared" si="14"/>
        <v>#REF!</v>
      </c>
      <c r="G134" s="810" t="str">
        <f t="shared" si="14"/>
        <v>#REF!</v>
      </c>
      <c r="H134" s="810" t="str">
        <f t="shared" si="14"/>
        <v>#REF!</v>
      </c>
      <c r="I134" s="810" t="str">
        <f t="shared" si="14"/>
        <v>#REF!</v>
      </c>
      <c r="J134" s="810" t="str">
        <f t="shared" si="14"/>
        <v>#REF!</v>
      </c>
      <c r="K134" s="810" t="str">
        <f t="shared" si="14"/>
        <v>#REF!</v>
      </c>
      <c r="L134" s="810" t="str">
        <f t="shared" si="14"/>
        <v>#REF!</v>
      </c>
      <c r="M134" s="810" t="str">
        <f t="shared" si="14"/>
        <v>#REF!</v>
      </c>
      <c r="N134" s="817" t="str">
        <f>M134*(N135+N165)/(M135+M165)</f>
        <v>#REF!</v>
      </c>
      <c r="O134" s="810" t="str">
        <f>#REF!</f>
        <v>#REF!</v>
      </c>
      <c r="P134" s="8" t="s">
        <v>2549</v>
      </c>
      <c r="Q134" s="8"/>
      <c r="R134" s="808" t="s">
        <v>2550</v>
      </c>
      <c r="S134" s="8"/>
    </row>
    <row r="135" ht="14.25" customHeight="1">
      <c r="A135" s="8" t="s">
        <v>2118</v>
      </c>
      <c r="B135" s="8" t="s">
        <v>2117</v>
      </c>
      <c r="C135" s="8" t="s">
        <v>2507</v>
      </c>
      <c r="D135" s="8"/>
      <c r="E135" s="810" t="str">
        <f t="shared" ref="E135:O135" si="15">#REF!</f>
        <v>#REF!</v>
      </c>
      <c r="F135" s="810" t="str">
        <f t="shared" si="15"/>
        <v>#REF!</v>
      </c>
      <c r="G135" s="810" t="str">
        <f t="shared" si="15"/>
        <v>#REF!</v>
      </c>
      <c r="H135" s="810" t="str">
        <f t="shared" si="15"/>
        <v>#REF!</v>
      </c>
      <c r="I135" s="810" t="str">
        <f t="shared" si="15"/>
        <v>#REF!</v>
      </c>
      <c r="J135" s="810" t="str">
        <f t="shared" si="15"/>
        <v>#REF!</v>
      </c>
      <c r="K135" s="810" t="str">
        <f t="shared" si="15"/>
        <v>#REF!</v>
      </c>
      <c r="L135" s="810" t="str">
        <f t="shared" si="15"/>
        <v>#REF!</v>
      </c>
      <c r="M135" s="810" t="str">
        <f t="shared" si="15"/>
        <v>#REF!</v>
      </c>
      <c r="N135" s="810" t="str">
        <f t="shared" si="15"/>
        <v>#REF!</v>
      </c>
      <c r="O135" s="810" t="str">
        <f t="shared" si="15"/>
        <v>#REF!</v>
      </c>
      <c r="P135" s="8"/>
      <c r="Q135" s="8"/>
      <c r="R135" s="8"/>
      <c r="S135" s="8"/>
    </row>
    <row r="136" ht="14.25" customHeight="1">
      <c r="A136" s="8" t="s">
        <v>2118</v>
      </c>
      <c r="B136" s="8" t="s">
        <v>2117</v>
      </c>
      <c r="C136" s="8" t="s">
        <v>2325</v>
      </c>
      <c r="D136" s="8" t="s">
        <v>2083</v>
      </c>
      <c r="E136" s="8">
        <v>5008.934</v>
      </c>
      <c r="F136" s="8">
        <v>4901.164</v>
      </c>
      <c r="G136" s="8">
        <v>5003.847</v>
      </c>
      <c r="H136" s="8">
        <v>4836.773</v>
      </c>
      <c r="I136" s="8">
        <v>4864.917</v>
      </c>
      <c r="J136" s="8">
        <v>4964.52</v>
      </c>
      <c r="K136" s="8">
        <v>4995.023</v>
      </c>
      <c r="L136" s="8">
        <v>4860.418</v>
      </c>
      <c r="M136" s="8">
        <v>5055.108</v>
      </c>
      <c r="N136" s="8">
        <v>4984.71</v>
      </c>
      <c r="O136" s="8" t="s">
        <v>2434</v>
      </c>
      <c r="P136" s="8" t="s">
        <v>2582</v>
      </c>
      <c r="Q136" s="8"/>
      <c r="R136" s="8"/>
      <c r="S136" s="8"/>
    </row>
    <row r="137" ht="14.25" customHeight="1">
      <c r="A137" s="8" t="s">
        <v>2118</v>
      </c>
      <c r="B137" s="8" t="s">
        <v>2117</v>
      </c>
      <c r="C137" s="8" t="s">
        <v>2329</v>
      </c>
      <c r="D137" s="8" t="s">
        <v>2083</v>
      </c>
      <c r="E137" s="8">
        <v>1974.0</v>
      </c>
      <c r="F137" s="8">
        <v>1961.0</v>
      </c>
      <c r="G137" s="8">
        <v>2008.0</v>
      </c>
      <c r="H137" s="8">
        <v>1982.0</v>
      </c>
      <c r="I137" s="8">
        <v>2044.0</v>
      </c>
      <c r="J137" s="8">
        <v>2123.0</v>
      </c>
      <c r="K137" s="8">
        <v>2077.0</v>
      </c>
      <c r="L137" s="8">
        <v>2022.0</v>
      </c>
      <c r="M137" s="8">
        <v>1946.0</v>
      </c>
      <c r="N137" s="8">
        <v>1765.0</v>
      </c>
      <c r="O137" s="8" t="s">
        <v>2434</v>
      </c>
      <c r="P137" s="8" t="s">
        <v>2583</v>
      </c>
      <c r="Q137" s="8" t="s">
        <v>2584</v>
      </c>
      <c r="R137" s="8"/>
      <c r="S137" s="8"/>
    </row>
    <row r="138" ht="14.25" customHeight="1">
      <c r="A138" s="8" t="s">
        <v>2118</v>
      </c>
      <c r="B138" s="8" t="s">
        <v>2117</v>
      </c>
      <c r="C138" s="8" t="s">
        <v>2333</v>
      </c>
      <c r="D138" s="8" t="s">
        <v>2083</v>
      </c>
      <c r="E138" s="8">
        <v>332.2056</v>
      </c>
      <c r="F138" s="8">
        <v>334.4072</v>
      </c>
      <c r="G138" s="8">
        <v>355.7188</v>
      </c>
      <c r="H138" s="8">
        <v>384.2453</v>
      </c>
      <c r="I138" s="8">
        <v>326.958</v>
      </c>
      <c r="J138" s="8">
        <v>351.442</v>
      </c>
      <c r="K138" s="8">
        <v>366.593</v>
      </c>
      <c r="L138" s="8">
        <v>381.868</v>
      </c>
      <c r="M138" s="8">
        <v>373.934</v>
      </c>
      <c r="N138" s="8">
        <v>361.42</v>
      </c>
      <c r="O138" s="8" t="s">
        <v>2434</v>
      </c>
      <c r="P138" s="8" t="s">
        <v>2537</v>
      </c>
      <c r="Q138" s="8"/>
      <c r="R138" s="8"/>
      <c r="S138" s="8"/>
    </row>
    <row r="139" ht="14.25" customHeight="1">
      <c r="A139" s="8" t="s">
        <v>2118</v>
      </c>
      <c r="B139" s="8" t="s">
        <v>2117</v>
      </c>
      <c r="C139" s="8" t="s">
        <v>2364</v>
      </c>
      <c r="D139" s="8" t="s">
        <v>2083</v>
      </c>
      <c r="E139" s="8">
        <v>348.8</v>
      </c>
      <c r="F139" s="8">
        <v>331.3</v>
      </c>
      <c r="G139" s="8">
        <v>256.1</v>
      </c>
      <c r="H139" s="8">
        <v>187.5</v>
      </c>
      <c r="I139" s="8">
        <v>186.4</v>
      </c>
      <c r="J139" s="8">
        <v>191.3</v>
      </c>
      <c r="K139" s="8">
        <v>143.1</v>
      </c>
      <c r="L139" s="8">
        <v>253.7</v>
      </c>
      <c r="M139" s="8">
        <v>246.3</v>
      </c>
      <c r="N139" s="8">
        <v>260.6</v>
      </c>
      <c r="O139" s="8" t="s">
        <v>2434</v>
      </c>
      <c r="P139" s="8" t="s">
        <v>2511</v>
      </c>
      <c r="Q139" s="8"/>
      <c r="R139" s="8"/>
      <c r="S139" s="8"/>
    </row>
    <row r="140" ht="14.25" customHeight="1">
      <c r="A140" s="8" t="s">
        <v>2118</v>
      </c>
      <c r="B140" s="8" t="s">
        <v>2117</v>
      </c>
      <c r="C140" s="8" t="s">
        <v>2337</v>
      </c>
      <c r="D140" s="8"/>
      <c r="E140" s="8" t="s">
        <v>2434</v>
      </c>
      <c r="F140" s="8" t="s">
        <v>2434</v>
      </c>
      <c r="G140" s="8" t="s">
        <v>2434</v>
      </c>
      <c r="H140" s="8" t="s">
        <v>2434</v>
      </c>
      <c r="I140" s="8" t="s">
        <v>2434</v>
      </c>
      <c r="J140" s="821" t="str">
        <f>J404/($J$398/$J$134)</f>
        <v>#REF!</v>
      </c>
      <c r="K140" s="8" t="s">
        <v>2434</v>
      </c>
      <c r="L140" s="8" t="s">
        <v>2434</v>
      </c>
      <c r="M140" s="8" t="s">
        <v>2434</v>
      </c>
      <c r="N140" s="821" t="str">
        <f>N404/($N$398/$N$134)</f>
        <v>#REF!</v>
      </c>
      <c r="O140" s="8" t="s">
        <v>2434</v>
      </c>
      <c r="P140" s="8"/>
      <c r="Q140" s="8"/>
      <c r="R140" s="813" t="s">
        <v>2585</v>
      </c>
      <c r="S140" s="8"/>
    </row>
    <row r="141" ht="14.25" customHeight="1">
      <c r="A141" s="8" t="s">
        <v>2118</v>
      </c>
      <c r="B141" s="8" t="s">
        <v>2117</v>
      </c>
      <c r="C141" s="8" t="s">
        <v>2341</v>
      </c>
      <c r="D141" s="8" t="s">
        <v>2083</v>
      </c>
      <c r="E141" s="8">
        <v>760.582</v>
      </c>
      <c r="F141" s="8">
        <v>746.279</v>
      </c>
      <c r="G141" s="8">
        <v>661.118</v>
      </c>
      <c r="H141" s="8">
        <v>662.614</v>
      </c>
      <c r="I141" s="8">
        <v>689.03</v>
      </c>
      <c r="J141" s="8">
        <v>674.817</v>
      </c>
      <c r="K141" s="8">
        <v>863.625</v>
      </c>
      <c r="L141" s="8">
        <v>884.276</v>
      </c>
      <c r="M141" s="8">
        <v>832.883</v>
      </c>
      <c r="N141" s="8">
        <v>931.536</v>
      </c>
      <c r="O141" s="8" t="s">
        <v>2434</v>
      </c>
      <c r="P141" s="8" t="s">
        <v>2513</v>
      </c>
      <c r="Q141" s="8"/>
      <c r="R141" s="8"/>
      <c r="S141" s="8"/>
    </row>
    <row r="142" ht="14.25" customHeight="1">
      <c r="A142" s="8" t="s">
        <v>2118</v>
      </c>
      <c r="B142" s="8" t="s">
        <v>2117</v>
      </c>
      <c r="C142" s="8" t="s">
        <v>2348</v>
      </c>
      <c r="D142" s="8" t="s">
        <v>2083</v>
      </c>
      <c r="E142" s="8">
        <v>534.9</v>
      </c>
      <c r="F142" s="8">
        <v>522.7</v>
      </c>
      <c r="G142" s="8">
        <v>522.1</v>
      </c>
      <c r="H142" s="8">
        <v>481.52</v>
      </c>
      <c r="I142" s="8">
        <v>481.52</v>
      </c>
      <c r="J142" s="8">
        <v>167.0</v>
      </c>
      <c r="K142" s="8">
        <v>147.0</v>
      </c>
      <c r="L142" s="8">
        <v>147.0</v>
      </c>
      <c r="M142" s="8">
        <v>152.0</v>
      </c>
      <c r="N142" s="8">
        <v>152.0</v>
      </c>
      <c r="O142" s="8" t="s">
        <v>2434</v>
      </c>
      <c r="P142" s="8" t="s">
        <v>2586</v>
      </c>
      <c r="Q142" s="8"/>
      <c r="R142" s="8"/>
      <c r="S142" s="8"/>
    </row>
    <row r="143" ht="14.25" customHeight="1">
      <c r="A143" s="8" t="s">
        <v>2118</v>
      </c>
      <c r="B143" s="8" t="s">
        <v>2117</v>
      </c>
      <c r="C143" s="8" t="s">
        <v>2350</v>
      </c>
      <c r="D143" s="8" t="s">
        <v>2083</v>
      </c>
      <c r="E143" s="8">
        <v>73.1</v>
      </c>
      <c r="F143" s="8">
        <v>70.5</v>
      </c>
      <c r="G143" s="8">
        <v>77.3</v>
      </c>
      <c r="H143" s="8">
        <v>74.9</v>
      </c>
      <c r="I143" s="8">
        <v>75.0</v>
      </c>
      <c r="J143" s="8">
        <v>65.5</v>
      </c>
      <c r="K143" s="8">
        <v>65.175</v>
      </c>
      <c r="L143" s="8">
        <v>67.0</v>
      </c>
      <c r="M143" s="8">
        <v>75.71</v>
      </c>
      <c r="N143" s="8">
        <v>59.9992</v>
      </c>
      <c r="O143" s="8" t="s">
        <v>2434</v>
      </c>
      <c r="P143" s="8" t="s">
        <v>2400</v>
      </c>
      <c r="Q143" s="8"/>
      <c r="R143" s="8"/>
      <c r="S143" s="8"/>
    </row>
    <row r="144" ht="14.25" customHeight="1">
      <c r="A144" s="8" t="s">
        <v>2118</v>
      </c>
      <c r="B144" s="8" t="s">
        <v>2117</v>
      </c>
      <c r="C144" s="8" t="s">
        <v>2354</v>
      </c>
      <c r="D144" s="8" t="s">
        <v>2083</v>
      </c>
      <c r="E144" s="8">
        <v>12150.0</v>
      </c>
      <c r="F144" s="8">
        <v>11386.0</v>
      </c>
      <c r="G144" s="8">
        <v>10275.0</v>
      </c>
      <c r="H144" s="8">
        <v>10750.0</v>
      </c>
      <c r="I144" s="8">
        <v>10623.0</v>
      </c>
      <c r="J144" s="8">
        <v>10745.0</v>
      </c>
      <c r="K144" s="8">
        <v>10021.0</v>
      </c>
      <c r="L144" s="8">
        <v>10109.0</v>
      </c>
      <c r="M144" s="8">
        <v>10617.0</v>
      </c>
      <c r="N144" s="8">
        <v>9650.0</v>
      </c>
      <c r="O144" s="8" t="s">
        <v>2434</v>
      </c>
      <c r="P144" s="8" t="s">
        <v>2556</v>
      </c>
      <c r="Q144" s="8"/>
      <c r="R144" s="8"/>
      <c r="S144" s="8"/>
    </row>
    <row r="145" ht="14.25" customHeight="1">
      <c r="A145" s="8" t="s">
        <v>2118</v>
      </c>
      <c r="B145" s="8" t="s">
        <v>2117</v>
      </c>
      <c r="C145" s="8" t="s">
        <v>2356</v>
      </c>
      <c r="D145" s="8" t="s">
        <v>2083</v>
      </c>
      <c r="E145" s="8">
        <v>8829.8</v>
      </c>
      <c r="F145" s="8">
        <v>8527.2</v>
      </c>
      <c r="G145" s="8">
        <v>8099.0</v>
      </c>
      <c r="H145" s="8">
        <v>8043.0</v>
      </c>
      <c r="I145" s="8">
        <v>8095.8</v>
      </c>
      <c r="J145" s="8">
        <v>7985.5</v>
      </c>
      <c r="K145" s="8">
        <v>7983.5</v>
      </c>
      <c r="L145" s="8">
        <v>8021.3</v>
      </c>
      <c r="M145" s="8">
        <v>7869.8</v>
      </c>
      <c r="N145" s="8">
        <v>7322.7</v>
      </c>
      <c r="O145" s="8" t="s">
        <v>2434</v>
      </c>
      <c r="P145" s="8" t="s">
        <v>2587</v>
      </c>
      <c r="Q145" s="8"/>
      <c r="R145" s="8"/>
      <c r="S145" s="8"/>
    </row>
    <row r="146" ht="14.25" customHeight="1">
      <c r="A146" s="8" t="s">
        <v>2118</v>
      </c>
      <c r="B146" s="8" t="s">
        <v>2117</v>
      </c>
      <c r="C146" s="8" t="s">
        <v>2344</v>
      </c>
      <c r="D146" s="8" t="s">
        <v>2083</v>
      </c>
      <c r="E146" s="8">
        <v>23200.0</v>
      </c>
      <c r="F146" s="8">
        <v>22487.5622</v>
      </c>
      <c r="G146" s="8">
        <v>22603.0</v>
      </c>
      <c r="H146" s="8">
        <v>22401.0</v>
      </c>
      <c r="I146" s="8">
        <v>22540.0</v>
      </c>
      <c r="J146" s="8">
        <v>22602.0</v>
      </c>
      <c r="K146" s="8">
        <v>22630.0</v>
      </c>
      <c r="L146" s="8">
        <v>22925.0</v>
      </c>
      <c r="M146" s="8">
        <v>22664.0</v>
      </c>
      <c r="N146" s="8">
        <v>22080.0</v>
      </c>
      <c r="O146" s="8" t="s">
        <v>2434</v>
      </c>
      <c r="P146" s="8" t="s">
        <v>2588</v>
      </c>
      <c r="Q146" s="8"/>
      <c r="R146" s="8"/>
      <c r="S146" s="8"/>
    </row>
    <row r="147" ht="14.25" customHeight="1">
      <c r="A147" s="8" t="s">
        <v>2118</v>
      </c>
      <c r="B147" s="8" t="s">
        <v>2117</v>
      </c>
      <c r="C147" s="8" t="s">
        <v>2362</v>
      </c>
      <c r="D147" s="8" t="s">
        <v>2083</v>
      </c>
      <c r="E147" s="8">
        <v>659.4269</v>
      </c>
      <c r="F147" s="8">
        <v>662.7241</v>
      </c>
      <c r="G147" s="8">
        <v>666.0213</v>
      </c>
      <c r="H147" s="8">
        <v>669.3184</v>
      </c>
      <c r="I147" s="8">
        <v>724.8431</v>
      </c>
      <c r="J147" s="8">
        <v>742.7982</v>
      </c>
      <c r="K147" s="8">
        <v>656.7808</v>
      </c>
      <c r="L147" s="8">
        <v>669.2565</v>
      </c>
      <c r="M147" s="8">
        <v>626.0</v>
      </c>
      <c r="N147" s="8">
        <v>491.0</v>
      </c>
      <c r="O147" s="8" t="s">
        <v>2434</v>
      </c>
      <c r="P147" s="8" t="s">
        <v>2589</v>
      </c>
      <c r="Q147" s="8" t="s">
        <v>2590</v>
      </c>
      <c r="R147" s="8"/>
      <c r="S147" s="8"/>
    </row>
    <row r="148" ht="14.25" customHeight="1">
      <c r="A148" s="8" t="s">
        <v>2118</v>
      </c>
      <c r="B148" s="8" t="s">
        <v>2117</v>
      </c>
      <c r="C148" s="8" t="s">
        <v>2367</v>
      </c>
      <c r="D148" s="8" t="s">
        <v>2083</v>
      </c>
      <c r="E148" s="8">
        <v>640.0</v>
      </c>
      <c r="F148" s="8">
        <v>744.0</v>
      </c>
      <c r="G148" s="8">
        <v>641.0</v>
      </c>
      <c r="H148" s="8">
        <v>711.0</v>
      </c>
      <c r="I148" s="8">
        <v>765.0</v>
      </c>
      <c r="J148" s="8">
        <v>768.0</v>
      </c>
      <c r="K148" s="8">
        <v>823.0</v>
      </c>
      <c r="L148" s="8">
        <v>806.0</v>
      </c>
      <c r="M148" s="8">
        <v>815.0</v>
      </c>
      <c r="N148" s="8">
        <v>846.8</v>
      </c>
      <c r="O148" s="8" t="s">
        <v>2434</v>
      </c>
      <c r="P148" s="8" t="s">
        <v>2562</v>
      </c>
      <c r="Q148" s="8"/>
      <c r="R148" s="8"/>
      <c r="S148" s="8"/>
    </row>
    <row r="149" ht="14.25" customHeight="1">
      <c r="A149" s="8" t="s">
        <v>2118</v>
      </c>
      <c r="B149" s="8" t="s">
        <v>2117</v>
      </c>
      <c r="C149" s="8" t="s">
        <v>2369</v>
      </c>
      <c r="D149" s="8" t="s">
        <v>2083</v>
      </c>
      <c r="E149" s="8">
        <v>43.0</v>
      </c>
      <c r="F149" s="8">
        <v>47.0</v>
      </c>
      <c r="G149" s="8">
        <v>53.0</v>
      </c>
      <c r="H149" s="8">
        <v>60.0</v>
      </c>
      <c r="I149" s="8">
        <v>60.0</v>
      </c>
      <c r="J149" s="821" t="str">
        <f>J413/($J$398/$J$134)</f>
        <v>#REF!</v>
      </c>
      <c r="K149" s="8" t="s">
        <v>2434</v>
      </c>
      <c r="L149" s="8" t="s">
        <v>2434</v>
      </c>
      <c r="M149" s="8" t="s">
        <v>2434</v>
      </c>
      <c r="N149" s="821" t="str">
        <f>N413/($N$398/$N$134)</f>
        <v>#REF!</v>
      </c>
      <c r="O149" s="8" t="s">
        <v>2434</v>
      </c>
      <c r="P149" s="8" t="s">
        <v>2519</v>
      </c>
      <c r="Q149" s="8"/>
      <c r="R149" s="813" t="s">
        <v>2585</v>
      </c>
      <c r="S149" s="8"/>
    </row>
    <row r="150" ht="14.25" customHeight="1">
      <c r="A150" s="8" t="s">
        <v>2118</v>
      </c>
      <c r="B150" s="8" t="s">
        <v>2117</v>
      </c>
      <c r="C150" s="8" t="s">
        <v>2374</v>
      </c>
      <c r="D150" s="8" t="s">
        <v>2083</v>
      </c>
      <c r="E150" s="8">
        <v>8988.0</v>
      </c>
      <c r="F150" s="8">
        <v>9130.0</v>
      </c>
      <c r="G150" s="8">
        <v>8587.6</v>
      </c>
      <c r="H150" s="8">
        <v>8536.074</v>
      </c>
      <c r="I150" s="8">
        <v>8649.102</v>
      </c>
      <c r="J150" s="8">
        <v>8955.0</v>
      </c>
      <c r="K150" s="8">
        <v>8888.3</v>
      </c>
      <c r="L150" s="8">
        <v>9077.1</v>
      </c>
      <c r="M150" s="8">
        <v>9086.1771</v>
      </c>
      <c r="N150" s="8">
        <v>8901.0</v>
      </c>
      <c r="O150" s="8" t="s">
        <v>2434</v>
      </c>
      <c r="P150" s="8" t="s">
        <v>2591</v>
      </c>
      <c r="Q150" s="8"/>
      <c r="R150" s="8"/>
      <c r="S150" s="8"/>
    </row>
    <row r="151" ht="14.25" customHeight="1">
      <c r="A151" s="8" t="s">
        <v>2118</v>
      </c>
      <c r="B151" s="8" t="s">
        <v>2117</v>
      </c>
      <c r="C151" s="8" t="s">
        <v>2386</v>
      </c>
      <c r="D151" s="8" t="s">
        <v>2083</v>
      </c>
      <c r="E151" s="8">
        <v>53.0</v>
      </c>
      <c r="F151" s="8">
        <v>54.0</v>
      </c>
      <c r="G151" s="8">
        <v>43.934</v>
      </c>
      <c r="H151" s="8">
        <v>44.213</v>
      </c>
      <c r="I151" s="8">
        <v>40.0</v>
      </c>
      <c r="J151" s="8">
        <v>45.0</v>
      </c>
      <c r="K151" s="8">
        <v>20.19</v>
      </c>
      <c r="L151" s="8">
        <v>16.0</v>
      </c>
      <c r="M151" s="8">
        <v>16.0</v>
      </c>
      <c r="N151" s="8">
        <v>16.13</v>
      </c>
      <c r="O151" s="8" t="s">
        <v>2434</v>
      </c>
      <c r="P151" s="8" t="s">
        <v>2592</v>
      </c>
      <c r="Q151" s="8"/>
      <c r="R151" s="8"/>
      <c r="S151" s="8"/>
    </row>
    <row r="152" ht="14.25" customHeight="1">
      <c r="A152" s="8" t="s">
        <v>2118</v>
      </c>
      <c r="B152" s="8" t="s">
        <v>2117</v>
      </c>
      <c r="C152" s="8" t="s">
        <v>2378</v>
      </c>
      <c r="D152" s="8" t="s">
        <v>2083</v>
      </c>
      <c r="E152" s="8">
        <v>113.087</v>
      </c>
      <c r="F152" s="8">
        <v>144.151</v>
      </c>
      <c r="G152" s="8">
        <v>123.522</v>
      </c>
      <c r="H152" s="8">
        <v>119.762</v>
      </c>
      <c r="I152" s="8">
        <v>125.209</v>
      </c>
      <c r="J152" s="8">
        <v>128.162</v>
      </c>
      <c r="K152" s="8">
        <v>109.376</v>
      </c>
      <c r="L152" s="8">
        <v>159.544</v>
      </c>
      <c r="M152" s="8">
        <v>148.895</v>
      </c>
      <c r="N152" s="8">
        <v>159.1</v>
      </c>
      <c r="O152" s="8" t="s">
        <v>2434</v>
      </c>
      <c r="P152" s="8" t="s">
        <v>2567</v>
      </c>
      <c r="Q152" s="8"/>
      <c r="R152" s="8"/>
      <c r="S152" s="8"/>
    </row>
    <row r="153" ht="14.25" customHeight="1">
      <c r="A153" s="8" t="s">
        <v>2118</v>
      </c>
      <c r="B153" s="8" t="s">
        <v>2117</v>
      </c>
      <c r="C153" s="8" t="s">
        <v>2383</v>
      </c>
      <c r="D153" s="8"/>
      <c r="E153" s="8" t="s">
        <v>2434</v>
      </c>
      <c r="F153" s="8" t="s">
        <v>2434</v>
      </c>
      <c r="G153" s="8" t="s">
        <v>2434</v>
      </c>
      <c r="H153" s="8" t="s">
        <v>2434</v>
      </c>
      <c r="I153" s="8" t="s">
        <v>2434</v>
      </c>
      <c r="J153" s="821" t="str">
        <f t="shared" ref="J153:J154" si="16">J417/($J$398/$J$134)</f>
        <v>#REF!</v>
      </c>
      <c r="K153" s="8" t="s">
        <v>2434</v>
      </c>
      <c r="L153" s="8" t="s">
        <v>2434</v>
      </c>
      <c r="M153" s="8" t="s">
        <v>2434</v>
      </c>
      <c r="N153" s="821" t="str">
        <f t="shared" ref="N153:N154" si="17">N417/($N$398/$N$134)</f>
        <v>#REF!</v>
      </c>
      <c r="O153" s="8" t="s">
        <v>2434</v>
      </c>
      <c r="P153" s="8"/>
      <c r="Q153" s="8"/>
      <c r="R153" s="813" t="s">
        <v>2585</v>
      </c>
      <c r="S153" s="8"/>
    </row>
    <row r="154" ht="14.25" customHeight="1">
      <c r="A154" s="8" t="s">
        <v>2118</v>
      </c>
      <c r="B154" s="8" t="s">
        <v>2117</v>
      </c>
      <c r="C154" s="8" t="s">
        <v>2389</v>
      </c>
      <c r="D154" s="8"/>
      <c r="E154" s="8" t="s">
        <v>2434</v>
      </c>
      <c r="F154" s="8" t="s">
        <v>2434</v>
      </c>
      <c r="G154" s="8" t="s">
        <v>2434</v>
      </c>
      <c r="H154" s="8" t="s">
        <v>2434</v>
      </c>
      <c r="I154" s="8" t="s">
        <v>2434</v>
      </c>
      <c r="J154" s="821" t="str">
        <f t="shared" si="16"/>
        <v>#REF!</v>
      </c>
      <c r="K154" s="8" t="s">
        <v>2434</v>
      </c>
      <c r="L154" s="8" t="s">
        <v>2434</v>
      </c>
      <c r="M154" s="8" t="s">
        <v>2434</v>
      </c>
      <c r="N154" s="821" t="str">
        <f t="shared" si="17"/>
        <v>#REF!</v>
      </c>
      <c r="O154" s="8" t="s">
        <v>2434</v>
      </c>
      <c r="P154" s="8"/>
      <c r="Q154" s="8"/>
      <c r="R154" s="813" t="s">
        <v>2585</v>
      </c>
      <c r="S154" s="8"/>
    </row>
    <row r="155" ht="14.25" customHeight="1">
      <c r="A155" s="8" t="s">
        <v>2118</v>
      </c>
      <c r="B155" s="8" t="s">
        <v>2117</v>
      </c>
      <c r="C155" s="8" t="s">
        <v>2391</v>
      </c>
      <c r="D155" s="8" t="s">
        <v>2083</v>
      </c>
      <c r="E155" s="8">
        <v>2859.0</v>
      </c>
      <c r="F155" s="8">
        <v>2748.0</v>
      </c>
      <c r="G155" s="8">
        <v>2761.0</v>
      </c>
      <c r="H155" s="8">
        <v>2784.0</v>
      </c>
      <c r="I155" s="8">
        <v>2767.0</v>
      </c>
      <c r="J155" s="8">
        <v>2643.0</v>
      </c>
      <c r="K155" s="8">
        <v>2671.0</v>
      </c>
      <c r="L155" s="8">
        <v>2983.0</v>
      </c>
      <c r="M155" s="8">
        <v>2980.0</v>
      </c>
      <c r="N155" s="8">
        <v>2895.0</v>
      </c>
      <c r="O155" s="8" t="s">
        <v>2434</v>
      </c>
      <c r="P155" s="8" t="s">
        <v>2593</v>
      </c>
      <c r="Q155" s="8"/>
      <c r="R155" s="8"/>
      <c r="S155" s="8"/>
    </row>
    <row r="156" ht="14.25" customHeight="1">
      <c r="A156" s="8" t="s">
        <v>2118</v>
      </c>
      <c r="B156" s="8" t="s">
        <v>2117</v>
      </c>
      <c r="C156" s="8" t="s">
        <v>2393</v>
      </c>
      <c r="D156" s="8" t="s">
        <v>2083</v>
      </c>
      <c r="E156" s="8">
        <v>2902.0</v>
      </c>
      <c r="F156" s="8">
        <v>2748.803</v>
      </c>
      <c r="G156" s="8">
        <v>2822.622</v>
      </c>
      <c r="H156" s="8">
        <v>3056.0</v>
      </c>
      <c r="I156" s="8">
        <v>3238.427</v>
      </c>
      <c r="J156" s="8">
        <v>3110.0</v>
      </c>
      <c r="K156" s="8">
        <v>3646.0</v>
      </c>
      <c r="L156" s="8">
        <v>3756.915</v>
      </c>
      <c r="M156" s="8">
        <v>3902.164</v>
      </c>
      <c r="N156" s="8">
        <v>3798.836</v>
      </c>
      <c r="O156" s="8" t="s">
        <v>2434</v>
      </c>
      <c r="P156" s="8" t="s">
        <v>2526</v>
      </c>
      <c r="Q156" s="8"/>
      <c r="R156" s="8"/>
      <c r="S156" s="8"/>
    </row>
    <row r="157" ht="14.25" customHeight="1">
      <c r="A157" s="8" t="s">
        <v>2118</v>
      </c>
      <c r="B157" s="8" t="s">
        <v>2117</v>
      </c>
      <c r="C157" s="8" t="s">
        <v>2395</v>
      </c>
      <c r="D157" s="8" t="s">
        <v>2083</v>
      </c>
      <c r="E157" s="8">
        <v>2035.9</v>
      </c>
      <c r="F157" s="8">
        <v>2065.8</v>
      </c>
      <c r="G157" s="8">
        <v>2040.0</v>
      </c>
      <c r="H157" s="8">
        <v>2054.2</v>
      </c>
      <c r="I157" s="8">
        <v>2065.2</v>
      </c>
      <c r="J157" s="8">
        <v>2099.7</v>
      </c>
      <c r="K157" s="8">
        <v>2139.8</v>
      </c>
      <c r="L157" s="8">
        <v>2095.2</v>
      </c>
      <c r="M157" s="8">
        <v>2060.1</v>
      </c>
      <c r="N157" s="8">
        <v>2024.5</v>
      </c>
      <c r="O157" s="8" t="s">
        <v>2434</v>
      </c>
      <c r="P157" s="8" t="s">
        <v>2594</v>
      </c>
      <c r="Q157" s="8" t="s">
        <v>2595</v>
      </c>
      <c r="R157" s="8"/>
      <c r="S157" s="8"/>
    </row>
    <row r="158" ht="14.25" customHeight="1">
      <c r="A158" s="8" t="s">
        <v>2118</v>
      </c>
      <c r="B158" s="8" t="s">
        <v>2117</v>
      </c>
      <c r="C158" s="8" t="s">
        <v>2397</v>
      </c>
      <c r="D158" s="8" t="s">
        <v>2083</v>
      </c>
      <c r="E158" s="8">
        <v>350.0</v>
      </c>
      <c r="F158" s="8">
        <v>362.0</v>
      </c>
      <c r="G158" s="8">
        <v>364.0</v>
      </c>
      <c r="H158" s="8">
        <v>399.0</v>
      </c>
      <c r="I158" s="8">
        <v>414.0</v>
      </c>
      <c r="J158" s="8">
        <v>473.0</v>
      </c>
      <c r="K158" s="8">
        <v>521.0</v>
      </c>
      <c r="L158" s="8">
        <v>575.0</v>
      </c>
      <c r="M158" s="8">
        <v>671.0</v>
      </c>
      <c r="N158" s="8">
        <v>660.0</v>
      </c>
      <c r="O158" s="8" t="s">
        <v>2434</v>
      </c>
      <c r="P158" s="8" t="s">
        <v>2528</v>
      </c>
      <c r="Q158" s="8"/>
      <c r="R158" s="8"/>
      <c r="S158" s="8"/>
    </row>
    <row r="159" ht="14.25" customHeight="1">
      <c r="A159" s="8" t="s">
        <v>2118</v>
      </c>
      <c r="B159" s="8" t="s">
        <v>2117</v>
      </c>
      <c r="C159" s="8" t="s">
        <v>2411</v>
      </c>
      <c r="D159" s="8" t="s">
        <v>2083</v>
      </c>
      <c r="E159" s="8">
        <v>780.356</v>
      </c>
      <c r="F159" s="8">
        <v>748.361</v>
      </c>
      <c r="G159" s="8">
        <v>736.0</v>
      </c>
      <c r="H159" s="8">
        <v>723.0</v>
      </c>
      <c r="I159" s="8">
        <v>793.0</v>
      </c>
      <c r="J159" s="8">
        <v>812.214</v>
      </c>
      <c r="K159" s="8">
        <v>858.9</v>
      </c>
      <c r="L159" s="8">
        <v>832.4</v>
      </c>
      <c r="M159" s="8">
        <v>839.3</v>
      </c>
      <c r="N159" s="8">
        <v>805.85</v>
      </c>
      <c r="O159" s="8" t="s">
        <v>2434</v>
      </c>
      <c r="P159" s="8" t="s">
        <v>2586</v>
      </c>
      <c r="Q159" s="8"/>
      <c r="R159" s="8"/>
      <c r="S159" s="8"/>
    </row>
    <row r="160" ht="14.25" customHeight="1">
      <c r="A160" s="8" t="s">
        <v>2118</v>
      </c>
      <c r="B160" s="8" t="s">
        <v>2117</v>
      </c>
      <c r="C160" s="8" t="s">
        <v>2406</v>
      </c>
      <c r="D160" s="8" t="s">
        <v>2083</v>
      </c>
      <c r="E160" s="8">
        <v>703.041</v>
      </c>
      <c r="F160" s="8">
        <v>672.522</v>
      </c>
      <c r="G160" s="8">
        <v>679.771</v>
      </c>
      <c r="H160" s="8">
        <v>665.07</v>
      </c>
      <c r="I160" s="8">
        <v>713.0</v>
      </c>
      <c r="J160" s="8">
        <v>721.35</v>
      </c>
      <c r="K160" s="8">
        <v>756.201</v>
      </c>
      <c r="L160" s="8">
        <v>747.469</v>
      </c>
      <c r="M160" s="8">
        <v>731.05</v>
      </c>
      <c r="N160" s="8">
        <v>719.3532</v>
      </c>
      <c r="O160" s="8" t="s">
        <v>2434</v>
      </c>
      <c r="P160" s="8" t="s">
        <v>2596</v>
      </c>
      <c r="Q160" s="8"/>
      <c r="R160" s="8"/>
      <c r="S160" s="8"/>
    </row>
    <row r="161" ht="14.25" customHeight="1">
      <c r="A161" s="8" t="s">
        <v>2118</v>
      </c>
      <c r="B161" s="8" t="s">
        <v>2117</v>
      </c>
      <c r="C161" s="8" t="s">
        <v>2352</v>
      </c>
      <c r="D161" s="8" t="s">
        <v>2083</v>
      </c>
      <c r="E161" s="8">
        <v>6193.4</v>
      </c>
      <c r="F161" s="8">
        <v>6202.6</v>
      </c>
      <c r="G161" s="8">
        <v>6176.8</v>
      </c>
      <c r="H161" s="8">
        <v>6181.3</v>
      </c>
      <c r="I161" s="8">
        <v>6035.7</v>
      </c>
      <c r="J161" s="8">
        <v>6195.2</v>
      </c>
      <c r="K161" s="8">
        <v>6218.6</v>
      </c>
      <c r="L161" s="8">
        <v>6217.8</v>
      </c>
      <c r="M161" s="8">
        <v>6156.6</v>
      </c>
      <c r="N161" s="8">
        <v>6436.6</v>
      </c>
      <c r="O161" s="8" t="s">
        <v>2434</v>
      </c>
      <c r="P161" s="8" t="s">
        <v>2597</v>
      </c>
      <c r="Q161" s="8"/>
      <c r="R161" s="8"/>
      <c r="S161" s="8"/>
    </row>
    <row r="162" ht="14.25" customHeight="1">
      <c r="A162" s="8" t="s">
        <v>2118</v>
      </c>
      <c r="B162" s="8" t="s">
        <v>2117</v>
      </c>
      <c r="C162" s="8" t="s">
        <v>2400</v>
      </c>
      <c r="D162" s="8" t="s">
        <v>2083</v>
      </c>
      <c r="E162" s="8">
        <v>11410.0</v>
      </c>
      <c r="F162" s="8">
        <v>11299.0</v>
      </c>
      <c r="G162" s="8">
        <v>11417.0</v>
      </c>
      <c r="H162" s="8">
        <v>10782.0</v>
      </c>
      <c r="I162" s="8">
        <v>10419.0</v>
      </c>
      <c r="J162" s="8">
        <v>9870.0</v>
      </c>
      <c r="K162" s="8">
        <v>10045.0</v>
      </c>
      <c r="L162" s="8">
        <v>9740.0</v>
      </c>
      <c r="M162" s="8">
        <v>10627.0</v>
      </c>
      <c r="N162" s="8">
        <v>10235.0</v>
      </c>
      <c r="O162" s="8" t="s">
        <v>2434</v>
      </c>
      <c r="P162" s="8" t="s">
        <v>2598</v>
      </c>
      <c r="Q162" s="8" t="s">
        <v>2599</v>
      </c>
      <c r="R162" s="8"/>
      <c r="S162" s="8"/>
    </row>
    <row r="163" ht="14.25" customHeight="1">
      <c r="A163" s="8" t="s">
        <v>2118</v>
      </c>
      <c r="B163" s="8" t="s">
        <v>2117</v>
      </c>
      <c r="C163" s="8" t="s">
        <v>2416</v>
      </c>
      <c r="D163" s="8" t="s">
        <v>2083</v>
      </c>
      <c r="E163" s="8">
        <v>1695.0</v>
      </c>
      <c r="F163" s="8">
        <v>1496.0</v>
      </c>
      <c r="G163" s="8">
        <v>1209.0</v>
      </c>
      <c r="H163" s="8">
        <v>1079.0</v>
      </c>
      <c r="I163" s="8">
        <v>1023.0</v>
      </c>
      <c r="J163" s="8">
        <v>979.0</v>
      </c>
      <c r="K163" s="8">
        <v>1099.0</v>
      </c>
      <c r="L163" s="8">
        <v>1097.0</v>
      </c>
      <c r="M163" s="8">
        <v>1134.0</v>
      </c>
      <c r="N163" s="8">
        <v>1155.0</v>
      </c>
      <c r="O163" s="8" t="s">
        <v>2434</v>
      </c>
      <c r="P163" s="8" t="s">
        <v>2586</v>
      </c>
      <c r="Q163" s="8" t="s">
        <v>2600</v>
      </c>
      <c r="R163" s="8"/>
      <c r="S163" s="8"/>
    </row>
    <row r="164" ht="14.25" customHeight="1">
      <c r="A164" s="8" t="s">
        <v>2118</v>
      </c>
      <c r="B164" s="8" t="s">
        <v>2117</v>
      </c>
      <c r="C164" s="8" t="s">
        <v>2423</v>
      </c>
      <c r="D164" s="8" t="s">
        <v>2083</v>
      </c>
      <c r="E164" s="8">
        <v>1540.0</v>
      </c>
      <c r="F164" s="8">
        <v>1380.0</v>
      </c>
      <c r="G164" s="8">
        <v>1390.0</v>
      </c>
      <c r="H164" s="8">
        <v>1400.0</v>
      </c>
      <c r="I164" s="8">
        <v>1410.0</v>
      </c>
      <c r="J164" s="8">
        <v>1420.0</v>
      </c>
      <c r="K164" s="8">
        <v>1338.0</v>
      </c>
      <c r="L164" s="8">
        <v>1329.0</v>
      </c>
      <c r="M164" s="8">
        <v>1321.0</v>
      </c>
      <c r="N164" s="8">
        <v>1278.0</v>
      </c>
      <c r="O164" s="8" t="s">
        <v>2434</v>
      </c>
      <c r="P164" s="8" t="s">
        <v>2533</v>
      </c>
      <c r="Q164" s="8" t="s">
        <v>2601</v>
      </c>
      <c r="R164" s="8"/>
      <c r="S164" s="8"/>
    </row>
    <row r="165" ht="14.25" customHeight="1">
      <c r="A165" s="8" t="s">
        <v>2118</v>
      </c>
      <c r="B165" s="8" t="s">
        <v>2117</v>
      </c>
      <c r="C165" s="8" t="s">
        <v>2360</v>
      </c>
      <c r="D165" s="8" t="s">
        <v>2083</v>
      </c>
      <c r="E165" s="8">
        <v>4300.0</v>
      </c>
      <c r="F165" s="8">
        <v>4341.0</v>
      </c>
      <c r="G165" s="8">
        <v>4400.0</v>
      </c>
      <c r="H165" s="8">
        <v>4560.0</v>
      </c>
      <c r="I165" s="8">
        <v>4393.0</v>
      </c>
      <c r="J165" s="8">
        <v>3969.9</v>
      </c>
      <c r="K165" s="8">
        <v>3680.0</v>
      </c>
      <c r="L165" s="8">
        <v>3850.0</v>
      </c>
      <c r="M165" s="8">
        <v>3890.0</v>
      </c>
      <c r="N165" s="8">
        <v>3850.0</v>
      </c>
      <c r="O165" s="8">
        <v>3630.0</v>
      </c>
      <c r="P165" s="8" t="s">
        <v>2602</v>
      </c>
      <c r="Q165" s="8"/>
      <c r="R165" s="8"/>
      <c r="S165" s="8"/>
    </row>
    <row r="166" ht="14.25" customHeight="1">
      <c r="A166" s="8" t="s">
        <v>2118</v>
      </c>
      <c r="B166" s="8" t="s">
        <v>2117</v>
      </c>
      <c r="C166" s="8" t="s">
        <v>2535</v>
      </c>
      <c r="D166" s="8" t="s">
        <v>2083</v>
      </c>
      <c r="E166" s="8">
        <v>127.996</v>
      </c>
      <c r="F166" s="8">
        <v>139.4</v>
      </c>
      <c r="G166" s="8">
        <v>141.965</v>
      </c>
      <c r="H166" s="8">
        <v>168.328</v>
      </c>
      <c r="I166" s="8">
        <v>167.587</v>
      </c>
      <c r="J166" s="8">
        <v>172.617</v>
      </c>
      <c r="K166" s="8">
        <v>193.262</v>
      </c>
      <c r="L166" s="8">
        <v>34000.0</v>
      </c>
      <c r="M166" s="8">
        <v>209.0936</v>
      </c>
      <c r="N166" s="8">
        <v>204.2135</v>
      </c>
      <c r="O166" s="8" t="s">
        <v>2434</v>
      </c>
      <c r="P166" s="8" t="s">
        <v>2580</v>
      </c>
      <c r="Q166" s="8" t="s">
        <v>2603</v>
      </c>
      <c r="R166" s="8"/>
      <c r="S166" s="8"/>
    </row>
    <row r="167" ht="14.25" customHeight="1">
      <c r="A167" s="8" t="s">
        <v>2094</v>
      </c>
      <c r="B167" s="8" t="s">
        <v>2478</v>
      </c>
      <c r="C167" s="8" t="s">
        <v>2317</v>
      </c>
      <c r="D167" s="8"/>
      <c r="E167" s="810" t="str">
        <f t="shared" ref="E167:H167" si="18">#REF!</f>
        <v>#REF!</v>
      </c>
      <c r="F167" s="810" t="str">
        <f t="shared" si="18"/>
        <v>#REF!</v>
      </c>
      <c r="G167" s="810" t="str">
        <f t="shared" si="18"/>
        <v>#REF!</v>
      </c>
      <c r="H167" s="810" t="str">
        <f t="shared" si="18"/>
        <v>#REF!</v>
      </c>
      <c r="I167" s="817">
        <v>32110.0</v>
      </c>
      <c r="J167" s="817">
        <v>32940.0</v>
      </c>
      <c r="K167" s="817">
        <v>34000.0</v>
      </c>
      <c r="L167" s="817">
        <v>35210.0</v>
      </c>
      <c r="M167" s="817">
        <v>35400.0</v>
      </c>
      <c r="N167" s="817">
        <v>36800.0</v>
      </c>
      <c r="O167" s="810" t="str">
        <f>#REF!</f>
        <v>#REF!</v>
      </c>
      <c r="P167" s="8"/>
      <c r="Q167" s="8"/>
      <c r="R167" s="822" t="s">
        <v>2604</v>
      </c>
      <c r="S167" s="8"/>
    </row>
    <row r="168" ht="14.25" customHeight="1">
      <c r="A168" s="8" t="s">
        <v>2094</v>
      </c>
      <c r="B168" s="8" t="s">
        <v>2478</v>
      </c>
      <c r="C168" s="8" t="s">
        <v>2507</v>
      </c>
      <c r="D168" s="8"/>
      <c r="E168" s="810" t="str">
        <f t="shared" ref="E168:O168" si="19">#REF!</f>
        <v>#REF!</v>
      </c>
      <c r="F168" s="810" t="str">
        <f t="shared" si="19"/>
        <v>#REF!</v>
      </c>
      <c r="G168" s="810" t="str">
        <f t="shared" si="19"/>
        <v>#REF!</v>
      </c>
      <c r="H168" s="810" t="str">
        <f t="shared" si="19"/>
        <v>#REF!</v>
      </c>
      <c r="I168" s="810" t="str">
        <f t="shared" si="19"/>
        <v>#REF!</v>
      </c>
      <c r="J168" s="810" t="str">
        <f t="shared" si="19"/>
        <v>#REF!</v>
      </c>
      <c r="K168" s="810" t="str">
        <f t="shared" si="19"/>
        <v>#REF!</v>
      </c>
      <c r="L168" s="810" t="str">
        <f t="shared" si="19"/>
        <v>#REF!</v>
      </c>
      <c r="M168" s="810" t="str">
        <f t="shared" si="19"/>
        <v>#REF!</v>
      </c>
      <c r="N168" s="810" t="str">
        <f t="shared" si="19"/>
        <v>#REF!</v>
      </c>
      <c r="O168" s="810" t="str">
        <f t="shared" si="19"/>
        <v>#REF!</v>
      </c>
      <c r="P168" s="8"/>
      <c r="Q168" s="8"/>
      <c r="R168" s="822"/>
      <c r="S168" s="8"/>
    </row>
    <row r="169" ht="14.25" customHeight="1">
      <c r="A169" s="8" t="s">
        <v>2094</v>
      </c>
      <c r="B169" s="8" t="s">
        <v>2478</v>
      </c>
      <c r="C169" s="8" t="s">
        <v>2325</v>
      </c>
      <c r="D169" s="8" t="s">
        <v>2083</v>
      </c>
      <c r="E169" s="8">
        <v>520.52</v>
      </c>
      <c r="F169" s="8">
        <v>513.129</v>
      </c>
      <c r="G169" s="8">
        <v>500.249</v>
      </c>
      <c r="H169" s="8">
        <v>516.849</v>
      </c>
      <c r="I169" s="8">
        <v>527.858</v>
      </c>
      <c r="J169" s="8">
        <v>530.026</v>
      </c>
      <c r="K169" s="8">
        <v>520.352</v>
      </c>
      <c r="L169" s="8">
        <v>514.987</v>
      </c>
      <c r="M169" s="8">
        <v>511.501</v>
      </c>
      <c r="N169" s="8">
        <v>550.575</v>
      </c>
      <c r="O169" s="8">
        <v>524.033</v>
      </c>
      <c r="P169" s="8" t="s">
        <v>2605</v>
      </c>
      <c r="Q169" s="8"/>
      <c r="R169" s="100"/>
      <c r="S169" s="8"/>
    </row>
    <row r="170" ht="14.25" customHeight="1">
      <c r="A170" s="8" t="s">
        <v>2094</v>
      </c>
      <c r="B170" s="8" t="s">
        <v>2478</v>
      </c>
      <c r="C170" s="8" t="s">
        <v>2329</v>
      </c>
      <c r="D170" s="8" t="s">
        <v>2083</v>
      </c>
      <c r="E170" s="8">
        <v>1105.0</v>
      </c>
      <c r="F170" s="8">
        <v>1016.0</v>
      </c>
      <c r="G170" s="8">
        <v>970.0</v>
      </c>
      <c r="H170" s="8">
        <v>750.0</v>
      </c>
      <c r="I170" s="8" t="s">
        <v>2434</v>
      </c>
      <c r="J170" s="813">
        <v>1000.0</v>
      </c>
      <c r="K170" s="8" t="s">
        <v>2434</v>
      </c>
      <c r="L170" s="8" t="s">
        <v>2434</v>
      </c>
      <c r="M170" s="8" t="s">
        <v>2434</v>
      </c>
      <c r="N170" s="818">
        <f>J170</f>
        <v>1000</v>
      </c>
      <c r="O170" s="8" t="s">
        <v>2434</v>
      </c>
      <c r="P170" s="8" t="s">
        <v>2606</v>
      </c>
      <c r="Q170" s="8" t="s">
        <v>2509</v>
      </c>
      <c r="R170" s="822" t="s">
        <v>2607</v>
      </c>
      <c r="S170" s="8"/>
    </row>
    <row r="171" ht="14.25" customHeight="1">
      <c r="A171" s="8" t="s">
        <v>2094</v>
      </c>
      <c r="B171" s="8" t="s">
        <v>2478</v>
      </c>
      <c r="C171" s="8" t="s">
        <v>2333</v>
      </c>
      <c r="D171" s="8" t="s">
        <v>2083</v>
      </c>
      <c r="E171" s="8" t="s">
        <v>2434</v>
      </c>
      <c r="F171" s="8" t="s">
        <v>2434</v>
      </c>
      <c r="G171" s="8" t="s">
        <v>2434</v>
      </c>
      <c r="H171" s="8" t="s">
        <v>2434</v>
      </c>
      <c r="I171" s="8" t="s">
        <v>2434</v>
      </c>
      <c r="J171" s="8">
        <v>550.91</v>
      </c>
      <c r="K171" s="8">
        <v>631.6</v>
      </c>
      <c r="L171" s="8">
        <v>575.64</v>
      </c>
      <c r="M171" s="8">
        <v>607.47</v>
      </c>
      <c r="N171" s="8">
        <v>612.27</v>
      </c>
      <c r="O171" s="8" t="s">
        <v>2434</v>
      </c>
      <c r="P171" s="8" t="s">
        <v>2608</v>
      </c>
      <c r="Q171" s="8"/>
      <c r="R171" s="100"/>
      <c r="S171" s="8"/>
    </row>
    <row r="172" ht="14.25" customHeight="1">
      <c r="A172" s="8" t="s">
        <v>2094</v>
      </c>
      <c r="B172" s="8" t="s">
        <v>2478</v>
      </c>
      <c r="C172" s="8" t="s">
        <v>2364</v>
      </c>
      <c r="D172" s="8" t="s">
        <v>2083</v>
      </c>
      <c r="E172" s="8">
        <v>295.0</v>
      </c>
      <c r="F172" s="8">
        <v>290.9</v>
      </c>
      <c r="G172" s="8">
        <v>259.2</v>
      </c>
      <c r="H172" s="8">
        <v>295.9</v>
      </c>
      <c r="I172" s="8">
        <v>307.5</v>
      </c>
      <c r="J172" s="8">
        <v>299.8</v>
      </c>
      <c r="K172" s="8">
        <v>324.9</v>
      </c>
      <c r="L172" s="8">
        <v>334.8</v>
      </c>
      <c r="M172" s="8">
        <v>331.4</v>
      </c>
      <c r="N172" s="8">
        <v>334.3</v>
      </c>
      <c r="O172" s="8" t="s">
        <v>2434</v>
      </c>
      <c r="P172" s="8" t="s">
        <v>2511</v>
      </c>
      <c r="Q172" s="8"/>
      <c r="R172" s="100"/>
      <c r="S172" s="8"/>
    </row>
    <row r="173" ht="14.25" customHeight="1">
      <c r="A173" s="8" t="s">
        <v>2094</v>
      </c>
      <c r="B173" s="8" t="s">
        <v>2478</v>
      </c>
      <c r="C173" s="8" t="s">
        <v>2337</v>
      </c>
      <c r="D173" s="8" t="s">
        <v>2083</v>
      </c>
      <c r="E173" s="8">
        <v>0.0</v>
      </c>
      <c r="F173" s="8">
        <v>0.0</v>
      </c>
      <c r="G173" s="8">
        <v>0.0</v>
      </c>
      <c r="H173" s="8">
        <v>0.0</v>
      </c>
      <c r="I173" s="8">
        <v>0.0</v>
      </c>
      <c r="J173" s="8">
        <v>0.0</v>
      </c>
      <c r="K173" s="8">
        <v>0.0</v>
      </c>
      <c r="L173" s="8">
        <v>0.0</v>
      </c>
      <c r="M173" s="8">
        <v>0.0</v>
      </c>
      <c r="N173" s="8">
        <v>0.0</v>
      </c>
      <c r="O173" s="8">
        <v>0.0</v>
      </c>
      <c r="P173" s="8" t="s">
        <v>2512</v>
      </c>
      <c r="Q173" s="8"/>
      <c r="R173" s="100"/>
      <c r="S173" s="8"/>
    </row>
    <row r="174" ht="14.25" customHeight="1">
      <c r="A174" s="8" t="s">
        <v>2094</v>
      </c>
      <c r="B174" s="8" t="s">
        <v>2478</v>
      </c>
      <c r="C174" s="8" t="s">
        <v>2341</v>
      </c>
      <c r="D174" s="8"/>
      <c r="E174" s="8" t="s">
        <v>2434</v>
      </c>
      <c r="F174" s="8" t="s">
        <v>2434</v>
      </c>
      <c r="G174" s="8" t="s">
        <v>2434</v>
      </c>
      <c r="H174" s="8" t="s">
        <v>2434</v>
      </c>
      <c r="I174" s="8" t="s">
        <v>2434</v>
      </c>
      <c r="J174" s="8" t="s">
        <v>2434</v>
      </c>
      <c r="K174" s="8" t="s">
        <v>2434</v>
      </c>
      <c r="L174" s="8" t="s">
        <v>2434</v>
      </c>
      <c r="M174" s="8" t="s">
        <v>2434</v>
      </c>
      <c r="N174" s="8" t="s">
        <v>2434</v>
      </c>
      <c r="O174" s="8" t="s">
        <v>2434</v>
      </c>
      <c r="P174" s="8"/>
      <c r="Q174" s="8"/>
      <c r="R174" s="100"/>
      <c r="S174" s="8"/>
    </row>
    <row r="175" ht="14.25" customHeight="1">
      <c r="A175" s="8" t="s">
        <v>2094</v>
      </c>
      <c r="B175" s="8" t="s">
        <v>2478</v>
      </c>
      <c r="C175" s="8" t="s">
        <v>2348</v>
      </c>
      <c r="D175" s="8"/>
      <c r="E175" s="8" t="s">
        <v>2434</v>
      </c>
      <c r="F175" s="8" t="s">
        <v>2434</v>
      </c>
      <c r="G175" s="8" t="s">
        <v>2434</v>
      </c>
      <c r="H175" s="8" t="s">
        <v>2434</v>
      </c>
      <c r="I175" s="8" t="s">
        <v>2434</v>
      </c>
      <c r="J175" s="8" t="s">
        <v>2434</v>
      </c>
      <c r="K175" s="8" t="s">
        <v>2434</v>
      </c>
      <c r="L175" s="8" t="s">
        <v>2434</v>
      </c>
      <c r="M175" s="8" t="s">
        <v>2434</v>
      </c>
      <c r="N175" s="8" t="s">
        <v>2434</v>
      </c>
      <c r="O175" s="8" t="s">
        <v>2434</v>
      </c>
      <c r="P175" s="8"/>
      <c r="Q175" s="8"/>
      <c r="R175" s="100"/>
      <c r="S175" s="8"/>
    </row>
    <row r="176" ht="14.25" customHeight="1">
      <c r="A176" s="8" t="s">
        <v>2094</v>
      </c>
      <c r="B176" s="8" t="s">
        <v>2478</v>
      </c>
      <c r="C176" s="8" t="s">
        <v>2350</v>
      </c>
      <c r="D176" s="8" t="s">
        <v>2083</v>
      </c>
      <c r="E176" s="8">
        <v>81.6</v>
      </c>
      <c r="F176" s="8">
        <v>81.4</v>
      </c>
      <c r="G176" s="8">
        <v>73.9</v>
      </c>
      <c r="H176" s="8">
        <v>84.0</v>
      </c>
      <c r="I176" s="8">
        <v>64.0</v>
      </c>
      <c r="J176" s="8">
        <v>65.0</v>
      </c>
      <c r="K176" s="8">
        <v>67.0</v>
      </c>
      <c r="L176" s="8">
        <v>66.0</v>
      </c>
      <c r="M176" s="8">
        <v>68.0</v>
      </c>
      <c r="N176" s="8">
        <v>69.0</v>
      </c>
      <c r="O176" s="8" t="s">
        <v>2434</v>
      </c>
      <c r="P176" s="8" t="s">
        <v>2400</v>
      </c>
      <c r="Q176" s="8"/>
      <c r="R176" s="100"/>
      <c r="S176" s="8"/>
    </row>
    <row r="177" ht="14.25" customHeight="1">
      <c r="A177" s="8" t="s">
        <v>2094</v>
      </c>
      <c r="B177" s="8" t="s">
        <v>2478</v>
      </c>
      <c r="C177" s="8" t="s">
        <v>2354</v>
      </c>
      <c r="D177" s="8"/>
      <c r="E177" s="8" t="s">
        <v>2434</v>
      </c>
      <c r="F177" s="8" t="s">
        <v>2434</v>
      </c>
      <c r="G177" s="8" t="s">
        <v>2434</v>
      </c>
      <c r="H177" s="8" t="s">
        <v>2434</v>
      </c>
      <c r="I177" s="8" t="s">
        <v>2434</v>
      </c>
      <c r="J177" s="8" t="s">
        <v>2434</v>
      </c>
      <c r="K177" s="8" t="s">
        <v>2434</v>
      </c>
      <c r="L177" s="8" t="s">
        <v>2434</v>
      </c>
      <c r="M177" s="8" t="s">
        <v>2434</v>
      </c>
      <c r="N177" s="8" t="s">
        <v>2434</v>
      </c>
      <c r="O177" s="8" t="s">
        <v>2434</v>
      </c>
      <c r="P177" s="8"/>
      <c r="Q177" s="8"/>
      <c r="R177" s="100"/>
      <c r="S177" s="8"/>
    </row>
    <row r="178" ht="14.25" customHeight="1">
      <c r="A178" s="8" t="s">
        <v>2094</v>
      </c>
      <c r="B178" s="8" t="s">
        <v>2478</v>
      </c>
      <c r="C178" s="8" t="s">
        <v>2356</v>
      </c>
      <c r="D178" s="8" t="s">
        <v>2083</v>
      </c>
      <c r="E178" s="8">
        <v>4626.0</v>
      </c>
      <c r="F178" s="8">
        <v>5025.0</v>
      </c>
      <c r="G178" s="8">
        <v>4600.0</v>
      </c>
      <c r="H178" s="8">
        <v>4495.0</v>
      </c>
      <c r="I178" s="8">
        <v>4453.9519</v>
      </c>
      <c r="J178" s="8">
        <v>4531.3479</v>
      </c>
      <c r="K178" s="8" t="s">
        <v>2434</v>
      </c>
      <c r="L178" s="8" t="s">
        <v>2434</v>
      </c>
      <c r="M178" s="8" t="s">
        <v>2434</v>
      </c>
      <c r="N178" s="8" t="s">
        <v>2434</v>
      </c>
      <c r="O178" s="8" t="s">
        <v>2434</v>
      </c>
      <c r="P178" s="8" t="s">
        <v>2609</v>
      </c>
      <c r="Q178" s="8"/>
      <c r="R178" s="100"/>
      <c r="S178" s="8"/>
    </row>
    <row r="179" ht="14.25" customHeight="1">
      <c r="A179" s="8" t="s">
        <v>2094</v>
      </c>
      <c r="B179" s="8" t="s">
        <v>2478</v>
      </c>
      <c r="C179" s="8" t="s">
        <v>2344</v>
      </c>
      <c r="D179" s="8" t="s">
        <v>2083</v>
      </c>
      <c r="E179" s="8">
        <v>5910.999</v>
      </c>
      <c r="F179" s="8">
        <v>6410.6</v>
      </c>
      <c r="G179" s="8">
        <v>6148.5</v>
      </c>
      <c r="H179" s="8">
        <v>6306.0</v>
      </c>
      <c r="I179" s="8">
        <v>6500.7</v>
      </c>
      <c r="J179" s="8">
        <v>6434.9</v>
      </c>
      <c r="K179" s="8">
        <v>6468.2</v>
      </c>
      <c r="L179" s="8">
        <v>6530.0</v>
      </c>
      <c r="M179" s="8">
        <v>6602.7</v>
      </c>
      <c r="N179" s="8">
        <v>6602.7</v>
      </c>
      <c r="O179" s="8">
        <v>6602.7</v>
      </c>
      <c r="P179" s="8" t="s">
        <v>2610</v>
      </c>
      <c r="Q179" s="8"/>
      <c r="R179" s="100"/>
      <c r="S179" s="8"/>
    </row>
    <row r="180" ht="14.25" customHeight="1">
      <c r="A180" s="8" t="s">
        <v>2094</v>
      </c>
      <c r="B180" s="8" t="s">
        <v>2478</v>
      </c>
      <c r="C180" s="8" t="s">
        <v>2362</v>
      </c>
      <c r="D180" s="8" t="s">
        <v>2083</v>
      </c>
      <c r="E180" s="8">
        <v>161.1562</v>
      </c>
      <c r="F180" s="8">
        <v>163.3631</v>
      </c>
      <c r="G180" s="8">
        <v>162.8433</v>
      </c>
      <c r="H180" s="8">
        <v>163.0051</v>
      </c>
      <c r="I180" s="8" t="s">
        <v>2434</v>
      </c>
      <c r="J180" s="813">
        <v>156.0</v>
      </c>
      <c r="K180" s="8" t="s">
        <v>2434</v>
      </c>
      <c r="L180" s="8" t="s">
        <v>2434</v>
      </c>
      <c r="M180" s="8" t="s">
        <v>2434</v>
      </c>
      <c r="N180" s="8" t="s">
        <v>2434</v>
      </c>
      <c r="O180" s="8" t="s">
        <v>2434</v>
      </c>
      <c r="P180" s="8" t="s">
        <v>2589</v>
      </c>
      <c r="Q180" s="8"/>
      <c r="R180" s="822" t="s">
        <v>2611</v>
      </c>
      <c r="S180" s="8"/>
    </row>
    <row r="181" ht="14.25" customHeight="1">
      <c r="A181" s="8" t="s">
        <v>2094</v>
      </c>
      <c r="B181" s="8" t="s">
        <v>2478</v>
      </c>
      <c r="C181" s="8" t="s">
        <v>2367</v>
      </c>
      <c r="D181" s="8" t="s">
        <v>2083</v>
      </c>
      <c r="E181" s="8">
        <v>359.0</v>
      </c>
      <c r="F181" s="8" t="s">
        <v>2434</v>
      </c>
      <c r="G181" s="8" t="s">
        <v>2434</v>
      </c>
      <c r="H181" s="8" t="s">
        <v>2434</v>
      </c>
      <c r="I181" s="8" t="s">
        <v>2434</v>
      </c>
      <c r="J181" s="8" t="s">
        <v>2434</v>
      </c>
      <c r="K181" s="8" t="s">
        <v>2434</v>
      </c>
      <c r="L181" s="8" t="s">
        <v>2434</v>
      </c>
      <c r="M181" s="8" t="s">
        <v>2434</v>
      </c>
      <c r="N181" s="8" t="s">
        <v>2434</v>
      </c>
      <c r="O181" s="8" t="s">
        <v>2434</v>
      </c>
      <c r="P181" s="8" t="s">
        <v>2612</v>
      </c>
      <c r="Q181" s="8"/>
      <c r="R181" s="100"/>
      <c r="S181" s="8"/>
    </row>
    <row r="182" ht="14.25" customHeight="1">
      <c r="A182" s="8" t="s">
        <v>2094</v>
      </c>
      <c r="B182" s="8" t="s">
        <v>2478</v>
      </c>
      <c r="C182" s="8" t="s">
        <v>2369</v>
      </c>
      <c r="D182" s="8"/>
      <c r="E182" s="8" t="s">
        <v>2434</v>
      </c>
      <c r="F182" s="8" t="s">
        <v>2434</v>
      </c>
      <c r="G182" s="8" t="s">
        <v>2434</v>
      </c>
      <c r="H182" s="8" t="s">
        <v>2434</v>
      </c>
      <c r="I182" s="8" t="s">
        <v>2434</v>
      </c>
      <c r="J182" s="8" t="s">
        <v>2434</v>
      </c>
      <c r="K182" s="8" t="s">
        <v>2434</v>
      </c>
      <c r="L182" s="8" t="s">
        <v>2434</v>
      </c>
      <c r="M182" s="8" t="s">
        <v>2434</v>
      </c>
      <c r="N182" s="8" t="s">
        <v>2434</v>
      </c>
      <c r="O182" s="8" t="s">
        <v>2434</v>
      </c>
      <c r="P182" s="8"/>
      <c r="Q182" s="8"/>
      <c r="R182" s="100"/>
      <c r="S182" s="8"/>
    </row>
    <row r="183" ht="14.25" customHeight="1">
      <c r="A183" s="8" t="s">
        <v>2094</v>
      </c>
      <c r="B183" s="8" t="s">
        <v>2478</v>
      </c>
      <c r="C183" s="8" t="s">
        <v>2374</v>
      </c>
      <c r="D183" s="8" t="s">
        <v>2083</v>
      </c>
      <c r="E183" s="8">
        <v>7480.821</v>
      </c>
      <c r="F183" s="8">
        <v>7835.71</v>
      </c>
      <c r="G183" s="8">
        <v>7551.116</v>
      </c>
      <c r="H183" s="8">
        <v>7434.819</v>
      </c>
      <c r="I183" s="8">
        <v>7594.618</v>
      </c>
      <c r="J183" s="8">
        <v>7586.578</v>
      </c>
      <c r="K183" s="8">
        <v>7730.824</v>
      </c>
      <c r="L183" s="8">
        <v>7565.399</v>
      </c>
      <c r="M183" s="8">
        <v>8061.876</v>
      </c>
      <c r="N183" s="8">
        <v>8296.806</v>
      </c>
      <c r="O183" s="8" t="s">
        <v>2434</v>
      </c>
      <c r="P183" s="8" t="s">
        <v>2591</v>
      </c>
      <c r="Q183" s="8"/>
      <c r="R183" s="100"/>
      <c r="S183" s="8"/>
    </row>
    <row r="184" ht="14.25" customHeight="1">
      <c r="A184" s="8" t="s">
        <v>2094</v>
      </c>
      <c r="B184" s="8" t="s">
        <v>2478</v>
      </c>
      <c r="C184" s="8" t="s">
        <v>2386</v>
      </c>
      <c r="D184" s="8"/>
      <c r="E184" s="8" t="s">
        <v>2434</v>
      </c>
      <c r="F184" s="8" t="s">
        <v>2434</v>
      </c>
      <c r="G184" s="8" t="s">
        <v>2434</v>
      </c>
      <c r="H184" s="8" t="s">
        <v>2434</v>
      </c>
      <c r="I184" s="8" t="s">
        <v>2434</v>
      </c>
      <c r="J184" s="8" t="s">
        <v>2434</v>
      </c>
      <c r="K184" s="8" t="s">
        <v>2434</v>
      </c>
      <c r="L184" s="8" t="s">
        <v>2434</v>
      </c>
      <c r="M184" s="8" t="s">
        <v>2434</v>
      </c>
      <c r="N184" s="8" t="s">
        <v>2434</v>
      </c>
      <c r="O184" s="8" t="s">
        <v>2434</v>
      </c>
      <c r="P184" s="8"/>
      <c r="Q184" s="8"/>
      <c r="R184" s="100"/>
      <c r="S184" s="8"/>
    </row>
    <row r="185" ht="14.25" customHeight="1">
      <c r="A185" s="8" t="s">
        <v>2094</v>
      </c>
      <c r="B185" s="8" t="s">
        <v>2478</v>
      </c>
      <c r="C185" s="8" t="s">
        <v>2378</v>
      </c>
      <c r="D185" s="8"/>
      <c r="E185" s="8" t="s">
        <v>2434</v>
      </c>
      <c r="F185" s="8" t="s">
        <v>2434</v>
      </c>
      <c r="G185" s="8" t="s">
        <v>2434</v>
      </c>
      <c r="H185" s="8" t="s">
        <v>2434</v>
      </c>
      <c r="I185" s="8" t="s">
        <v>2434</v>
      </c>
      <c r="J185" s="8" t="s">
        <v>2434</v>
      </c>
      <c r="K185" s="8" t="s">
        <v>2434</v>
      </c>
      <c r="L185" s="8" t="s">
        <v>2434</v>
      </c>
      <c r="M185" s="8" t="s">
        <v>2434</v>
      </c>
      <c r="N185" s="8" t="s">
        <v>2434</v>
      </c>
      <c r="O185" s="8" t="s">
        <v>2434</v>
      </c>
      <c r="P185" s="8"/>
      <c r="Q185" s="8"/>
      <c r="R185" s="100"/>
      <c r="S185" s="8"/>
    </row>
    <row r="186" ht="14.25" customHeight="1">
      <c r="A186" s="8" t="s">
        <v>2094</v>
      </c>
      <c r="B186" s="8" t="s">
        <v>2478</v>
      </c>
      <c r="C186" s="8" t="s">
        <v>2383</v>
      </c>
      <c r="D186" s="8"/>
      <c r="E186" s="8" t="s">
        <v>2434</v>
      </c>
      <c r="F186" s="8" t="s">
        <v>2434</v>
      </c>
      <c r="G186" s="8" t="s">
        <v>2434</v>
      </c>
      <c r="H186" s="8" t="s">
        <v>2434</v>
      </c>
      <c r="I186" s="8" t="s">
        <v>2434</v>
      </c>
      <c r="J186" s="8" t="s">
        <v>2434</v>
      </c>
      <c r="K186" s="8" t="s">
        <v>2434</v>
      </c>
      <c r="L186" s="8" t="s">
        <v>2434</v>
      </c>
      <c r="M186" s="8" t="s">
        <v>2434</v>
      </c>
      <c r="N186" s="8" t="s">
        <v>2434</v>
      </c>
      <c r="O186" s="8" t="s">
        <v>2434</v>
      </c>
      <c r="P186" s="8"/>
      <c r="Q186" s="8"/>
      <c r="R186" s="100"/>
      <c r="S186" s="8"/>
    </row>
    <row r="187" ht="14.25" customHeight="1">
      <c r="A187" s="8" t="s">
        <v>2094</v>
      </c>
      <c r="B187" s="8" t="s">
        <v>2478</v>
      </c>
      <c r="C187" s="8" t="s">
        <v>2389</v>
      </c>
      <c r="D187" s="8"/>
      <c r="E187" s="8" t="s">
        <v>2434</v>
      </c>
      <c r="F187" s="8" t="s">
        <v>2434</v>
      </c>
      <c r="G187" s="8" t="s">
        <v>2434</v>
      </c>
      <c r="H187" s="8" t="s">
        <v>2434</v>
      </c>
      <c r="I187" s="8" t="s">
        <v>2434</v>
      </c>
      <c r="J187" s="8" t="s">
        <v>2434</v>
      </c>
      <c r="K187" s="8" t="s">
        <v>2434</v>
      </c>
      <c r="L187" s="8" t="s">
        <v>2434</v>
      </c>
      <c r="M187" s="8" t="s">
        <v>2434</v>
      </c>
      <c r="N187" s="8" t="s">
        <v>2434</v>
      </c>
      <c r="O187" s="8" t="s">
        <v>2434</v>
      </c>
      <c r="P187" s="8"/>
      <c r="Q187" s="8"/>
      <c r="R187" s="100"/>
      <c r="S187" s="8"/>
    </row>
    <row r="188" ht="14.25" customHeight="1">
      <c r="A188" s="8" t="s">
        <v>2094</v>
      </c>
      <c r="B188" s="8" t="s">
        <v>2478</v>
      </c>
      <c r="C188" s="8" t="s">
        <v>2391</v>
      </c>
      <c r="D188" s="8"/>
      <c r="E188" s="8" t="s">
        <v>2434</v>
      </c>
      <c r="F188" s="8" t="s">
        <v>2434</v>
      </c>
      <c r="G188" s="8" t="s">
        <v>2434</v>
      </c>
      <c r="H188" s="8" t="s">
        <v>2434</v>
      </c>
      <c r="I188" s="8" t="s">
        <v>2434</v>
      </c>
      <c r="J188" s="8" t="s">
        <v>2434</v>
      </c>
      <c r="K188" s="8" t="s">
        <v>2434</v>
      </c>
      <c r="L188" s="8" t="s">
        <v>2434</v>
      </c>
      <c r="M188" s="8" t="s">
        <v>2434</v>
      </c>
      <c r="N188" s="8" t="s">
        <v>2434</v>
      </c>
      <c r="O188" s="8" t="s">
        <v>2434</v>
      </c>
      <c r="P188" s="8"/>
      <c r="Q188" s="8"/>
      <c r="R188" s="100"/>
      <c r="S188" s="8"/>
    </row>
    <row r="189" ht="14.25" customHeight="1">
      <c r="A189" s="8" t="s">
        <v>2094</v>
      </c>
      <c r="B189" s="8" t="s">
        <v>2478</v>
      </c>
      <c r="C189" s="8" t="s">
        <v>2393</v>
      </c>
      <c r="D189" s="8" t="s">
        <v>2083</v>
      </c>
      <c r="E189" s="8">
        <v>69.0</v>
      </c>
      <c r="F189" s="8">
        <v>68.201</v>
      </c>
      <c r="G189" s="8">
        <v>54.803</v>
      </c>
      <c r="H189" s="8">
        <v>31.0</v>
      </c>
      <c r="I189" s="8">
        <v>24.004</v>
      </c>
      <c r="J189" s="8">
        <v>5.0</v>
      </c>
      <c r="K189" s="8">
        <v>32.0</v>
      </c>
      <c r="L189" s="8">
        <v>32.599</v>
      </c>
      <c r="M189" s="8">
        <v>35.074</v>
      </c>
      <c r="N189" s="8">
        <v>27.275</v>
      </c>
      <c r="O189" s="8" t="s">
        <v>2434</v>
      </c>
      <c r="P189" s="8" t="s">
        <v>2526</v>
      </c>
      <c r="Q189" s="8"/>
      <c r="R189" s="823" t="s">
        <v>2613</v>
      </c>
      <c r="S189" s="8"/>
    </row>
    <row r="190" ht="14.25" customHeight="1">
      <c r="A190" s="8" t="s">
        <v>2094</v>
      </c>
      <c r="B190" s="8" t="s">
        <v>2478</v>
      </c>
      <c r="C190" s="8" t="s">
        <v>2395</v>
      </c>
      <c r="D190" s="8"/>
      <c r="E190" s="8" t="s">
        <v>2434</v>
      </c>
      <c r="F190" s="8" t="s">
        <v>2434</v>
      </c>
      <c r="G190" s="8" t="s">
        <v>2434</v>
      </c>
      <c r="H190" s="8" t="s">
        <v>2434</v>
      </c>
      <c r="I190" s="8" t="s">
        <v>2434</v>
      </c>
      <c r="J190" s="8" t="s">
        <v>2434</v>
      </c>
      <c r="K190" s="8" t="s">
        <v>2434</v>
      </c>
      <c r="L190" s="8" t="s">
        <v>2434</v>
      </c>
      <c r="M190" s="8" t="s">
        <v>2434</v>
      </c>
      <c r="N190" s="8" t="s">
        <v>2434</v>
      </c>
      <c r="O190" s="8" t="s">
        <v>2434</v>
      </c>
      <c r="P190" s="8"/>
      <c r="Q190" s="8"/>
      <c r="R190" s="100"/>
      <c r="S190" s="8"/>
    </row>
    <row r="191" ht="14.25" customHeight="1">
      <c r="A191" s="8" t="s">
        <v>2094</v>
      </c>
      <c r="B191" s="8" t="s">
        <v>2478</v>
      </c>
      <c r="C191" s="8" t="s">
        <v>2397</v>
      </c>
      <c r="D191" s="8"/>
      <c r="E191" s="8" t="s">
        <v>2434</v>
      </c>
      <c r="F191" s="8" t="s">
        <v>2434</v>
      </c>
      <c r="G191" s="8" t="s">
        <v>2434</v>
      </c>
      <c r="H191" s="8" t="s">
        <v>2434</v>
      </c>
      <c r="I191" s="8" t="s">
        <v>2434</v>
      </c>
      <c r="J191" s="8" t="s">
        <v>2434</v>
      </c>
      <c r="K191" s="8" t="s">
        <v>2434</v>
      </c>
      <c r="L191" s="8" t="s">
        <v>2434</v>
      </c>
      <c r="M191" s="8" t="s">
        <v>2434</v>
      </c>
      <c r="N191" s="8" t="s">
        <v>2434</v>
      </c>
      <c r="O191" s="8" t="s">
        <v>2434</v>
      </c>
      <c r="P191" s="8"/>
      <c r="Q191" s="8"/>
      <c r="R191" s="100"/>
      <c r="S191" s="8"/>
    </row>
    <row r="192" ht="14.25" customHeight="1">
      <c r="A192" s="8" t="s">
        <v>2094</v>
      </c>
      <c r="B192" s="8" t="s">
        <v>2478</v>
      </c>
      <c r="C192" s="8" t="s">
        <v>2411</v>
      </c>
      <c r="D192" s="8"/>
      <c r="E192" s="8" t="s">
        <v>2434</v>
      </c>
      <c r="F192" s="8" t="s">
        <v>2434</v>
      </c>
      <c r="G192" s="8" t="s">
        <v>2434</v>
      </c>
      <c r="H192" s="8" t="s">
        <v>2434</v>
      </c>
      <c r="I192" s="8" t="s">
        <v>2434</v>
      </c>
      <c r="J192" s="8" t="s">
        <v>2434</v>
      </c>
      <c r="K192" s="8" t="s">
        <v>2434</v>
      </c>
      <c r="L192" s="8" t="s">
        <v>2434</v>
      </c>
      <c r="M192" s="8" t="s">
        <v>2434</v>
      </c>
      <c r="N192" s="8" t="s">
        <v>2434</v>
      </c>
      <c r="O192" s="8" t="s">
        <v>2434</v>
      </c>
      <c r="P192" s="8"/>
      <c r="Q192" s="8"/>
      <c r="R192" s="100"/>
      <c r="S192" s="8"/>
    </row>
    <row r="193" ht="14.25" customHeight="1">
      <c r="A193" s="8" t="s">
        <v>2094</v>
      </c>
      <c r="B193" s="8" t="s">
        <v>2478</v>
      </c>
      <c r="C193" s="8" t="s">
        <v>2406</v>
      </c>
      <c r="D193" s="8" t="s">
        <v>2083</v>
      </c>
      <c r="E193" s="8">
        <v>72.1835</v>
      </c>
      <c r="F193" s="8">
        <v>77.748</v>
      </c>
      <c r="G193" s="8">
        <v>75.97</v>
      </c>
      <c r="H193" s="8">
        <v>69.7132</v>
      </c>
      <c r="I193" s="8">
        <v>66.8887</v>
      </c>
      <c r="J193" s="8">
        <v>79.4774</v>
      </c>
      <c r="K193" s="8">
        <v>83.4332</v>
      </c>
      <c r="L193" s="8">
        <v>78.873</v>
      </c>
      <c r="M193" s="8">
        <v>88.5661</v>
      </c>
      <c r="N193" s="8">
        <v>99.182</v>
      </c>
      <c r="O193" s="8" t="s">
        <v>2434</v>
      </c>
      <c r="P193" s="8" t="s">
        <v>2614</v>
      </c>
      <c r="Q193" s="8"/>
      <c r="R193" s="100"/>
      <c r="S193" s="8"/>
    </row>
    <row r="194" ht="14.25" customHeight="1">
      <c r="A194" s="8" t="s">
        <v>2094</v>
      </c>
      <c r="B194" s="8" t="s">
        <v>2478</v>
      </c>
      <c r="C194" s="8" t="s">
        <v>2352</v>
      </c>
      <c r="D194" s="8"/>
      <c r="E194" s="8" t="s">
        <v>2434</v>
      </c>
      <c r="F194" s="8" t="s">
        <v>2434</v>
      </c>
      <c r="G194" s="8" t="s">
        <v>2434</v>
      </c>
      <c r="H194" s="8" t="s">
        <v>2434</v>
      </c>
      <c r="I194" s="8" t="s">
        <v>2434</v>
      </c>
      <c r="J194" s="813">
        <v>3831.0</v>
      </c>
      <c r="K194" s="8" t="s">
        <v>2434</v>
      </c>
      <c r="L194" s="8" t="s">
        <v>2434</v>
      </c>
      <c r="M194" s="8" t="s">
        <v>2434</v>
      </c>
      <c r="N194" s="813">
        <v>4001.0</v>
      </c>
      <c r="O194" s="8" t="s">
        <v>2434</v>
      </c>
      <c r="P194" s="8"/>
      <c r="Q194" s="8"/>
      <c r="R194" s="822" t="s">
        <v>2615</v>
      </c>
      <c r="S194" s="8"/>
    </row>
    <row r="195" ht="14.25" customHeight="1">
      <c r="A195" s="8" t="s">
        <v>2094</v>
      </c>
      <c r="B195" s="8" t="s">
        <v>2478</v>
      </c>
      <c r="C195" s="8" t="s">
        <v>2400</v>
      </c>
      <c r="D195" s="8"/>
      <c r="E195" s="8" t="s">
        <v>2434</v>
      </c>
      <c r="F195" s="8" t="s">
        <v>2434</v>
      </c>
      <c r="G195" s="8" t="s">
        <v>2434</v>
      </c>
      <c r="H195" s="8" t="s">
        <v>2434</v>
      </c>
      <c r="I195" s="8" t="s">
        <v>2434</v>
      </c>
      <c r="J195" s="8" t="s">
        <v>2434</v>
      </c>
      <c r="K195" s="8" t="s">
        <v>2434</v>
      </c>
      <c r="L195" s="8" t="s">
        <v>2434</v>
      </c>
      <c r="M195" s="8" t="s">
        <v>2434</v>
      </c>
      <c r="N195" s="8" t="s">
        <v>2434</v>
      </c>
      <c r="O195" s="8" t="s">
        <v>2434</v>
      </c>
      <c r="P195" s="8"/>
      <c r="Q195" s="8"/>
      <c r="R195" s="100"/>
      <c r="S195" s="8"/>
    </row>
    <row r="196" ht="14.25" customHeight="1">
      <c r="A196" s="8" t="s">
        <v>2094</v>
      </c>
      <c r="B196" s="8" t="s">
        <v>2478</v>
      </c>
      <c r="C196" s="8" t="s">
        <v>2416</v>
      </c>
      <c r="D196" s="8"/>
      <c r="E196" s="8" t="s">
        <v>2434</v>
      </c>
      <c r="F196" s="8" t="s">
        <v>2434</v>
      </c>
      <c r="G196" s="8" t="s">
        <v>2434</v>
      </c>
      <c r="H196" s="8" t="s">
        <v>2434</v>
      </c>
      <c r="I196" s="8" t="s">
        <v>2434</v>
      </c>
      <c r="J196" s="8" t="s">
        <v>2434</v>
      </c>
      <c r="K196" s="8" t="s">
        <v>2434</v>
      </c>
      <c r="L196" s="8" t="s">
        <v>2434</v>
      </c>
      <c r="M196" s="8" t="s">
        <v>2434</v>
      </c>
      <c r="N196" s="8" t="s">
        <v>2434</v>
      </c>
      <c r="O196" s="8" t="s">
        <v>2434</v>
      </c>
      <c r="P196" s="8"/>
      <c r="Q196" s="8"/>
      <c r="R196" s="100"/>
      <c r="S196" s="8"/>
    </row>
    <row r="197" ht="14.25" customHeight="1">
      <c r="A197" s="8" t="s">
        <v>2094</v>
      </c>
      <c r="B197" s="8" t="s">
        <v>2478</v>
      </c>
      <c r="C197" s="8" t="s">
        <v>2423</v>
      </c>
      <c r="D197" s="8" t="s">
        <v>2083</v>
      </c>
      <c r="E197" s="8">
        <v>155.45</v>
      </c>
      <c r="F197" s="8">
        <v>160.74</v>
      </c>
      <c r="G197" s="8">
        <v>162.16</v>
      </c>
      <c r="H197" s="8">
        <v>152.95</v>
      </c>
      <c r="I197" s="8">
        <v>130.4</v>
      </c>
      <c r="J197" s="8">
        <v>139.57</v>
      </c>
      <c r="K197" s="8" t="s">
        <v>2434</v>
      </c>
      <c r="L197" s="8" t="s">
        <v>2434</v>
      </c>
      <c r="M197" s="8" t="s">
        <v>2434</v>
      </c>
      <c r="N197" s="8" t="s">
        <v>2434</v>
      </c>
      <c r="O197" s="8" t="s">
        <v>2434</v>
      </c>
      <c r="P197" s="8" t="s">
        <v>2533</v>
      </c>
      <c r="Q197" s="8"/>
      <c r="R197" s="100"/>
      <c r="S197" s="8"/>
    </row>
    <row r="198" ht="14.25" customHeight="1">
      <c r="A198" s="8" t="s">
        <v>2094</v>
      </c>
      <c r="B198" s="8" t="s">
        <v>2478</v>
      </c>
      <c r="C198" s="8" t="s">
        <v>2360</v>
      </c>
      <c r="D198" s="8" t="s">
        <v>2083</v>
      </c>
      <c r="E198" s="8">
        <v>3352.5292</v>
      </c>
      <c r="F198" s="8">
        <v>3436.0048</v>
      </c>
      <c r="G198" s="8">
        <v>2900.373</v>
      </c>
      <c r="H198" s="8">
        <v>2867.621</v>
      </c>
      <c r="I198" s="8">
        <v>2953.635</v>
      </c>
      <c r="J198" s="8">
        <v>0.0</v>
      </c>
      <c r="K198" s="8">
        <v>0.0</v>
      </c>
      <c r="L198" s="8">
        <v>0.0</v>
      </c>
      <c r="M198" s="8">
        <v>0.0</v>
      </c>
      <c r="N198" s="8">
        <v>0.0</v>
      </c>
      <c r="O198" s="8">
        <v>0.0</v>
      </c>
      <c r="P198" s="8" t="s">
        <v>2612</v>
      </c>
      <c r="Q198" s="8"/>
      <c r="R198" s="100"/>
      <c r="S198" s="8"/>
    </row>
    <row r="199" ht="14.25" customHeight="1">
      <c r="A199" s="8" t="s">
        <v>2094</v>
      </c>
      <c r="B199" s="8" t="s">
        <v>2478</v>
      </c>
      <c r="C199" s="8" t="s">
        <v>2535</v>
      </c>
      <c r="D199" s="8"/>
      <c r="E199" s="8" t="s">
        <v>2434</v>
      </c>
      <c r="F199" s="8" t="s">
        <v>2434</v>
      </c>
      <c r="G199" s="8" t="s">
        <v>2434</v>
      </c>
      <c r="H199" s="8" t="s">
        <v>2434</v>
      </c>
      <c r="I199" s="8" t="s">
        <v>2434</v>
      </c>
      <c r="J199" s="8" t="s">
        <v>2434</v>
      </c>
      <c r="K199" s="8" t="s">
        <v>2434</v>
      </c>
      <c r="L199" s="8" t="s">
        <v>2434</v>
      </c>
      <c r="M199" s="8" t="s">
        <v>2434</v>
      </c>
      <c r="N199" s="8" t="s">
        <v>2434</v>
      </c>
      <c r="O199" s="8" t="s">
        <v>2434</v>
      </c>
      <c r="P199" s="8"/>
      <c r="Q199" s="8"/>
      <c r="R199" s="100"/>
      <c r="S199" s="8"/>
    </row>
    <row r="200" ht="14.25" customHeight="1">
      <c r="A200" s="100" t="s">
        <v>2159</v>
      </c>
      <c r="B200" s="100" t="s">
        <v>2402</v>
      </c>
      <c r="C200" s="100" t="s">
        <v>2317</v>
      </c>
      <c r="D200" s="100" t="s">
        <v>135</v>
      </c>
      <c r="E200" s="810" t="str">
        <f t="shared" ref="E200:O200" si="20">#REF!</f>
        <v>#REF!</v>
      </c>
      <c r="F200" s="810" t="str">
        <f t="shared" si="20"/>
        <v>#REF!</v>
      </c>
      <c r="G200" s="810" t="str">
        <f t="shared" si="20"/>
        <v>#REF!</v>
      </c>
      <c r="H200" s="810" t="str">
        <f t="shared" si="20"/>
        <v>#REF!</v>
      </c>
      <c r="I200" s="810" t="str">
        <f t="shared" si="20"/>
        <v>#REF!</v>
      </c>
      <c r="J200" s="810" t="str">
        <f t="shared" si="20"/>
        <v>#REF!</v>
      </c>
      <c r="K200" s="810" t="str">
        <f t="shared" si="20"/>
        <v>#REF!</v>
      </c>
      <c r="L200" s="810" t="str">
        <f t="shared" si="20"/>
        <v>#REF!</v>
      </c>
      <c r="M200" s="810" t="str">
        <f t="shared" si="20"/>
        <v>#REF!</v>
      </c>
      <c r="N200" s="810" t="str">
        <f t="shared" si="20"/>
        <v>#REF!</v>
      </c>
      <c r="O200" s="810" t="str">
        <f t="shared" si="20"/>
        <v>#REF!</v>
      </c>
      <c r="P200" s="100" t="s">
        <v>2546</v>
      </c>
      <c r="Q200" s="100"/>
      <c r="R200" s="100"/>
      <c r="S200" s="8"/>
    </row>
    <row r="201" ht="14.25" customHeight="1">
      <c r="A201" s="100" t="s">
        <v>2159</v>
      </c>
      <c r="B201" s="100"/>
      <c r="C201" s="100" t="s">
        <v>2507</v>
      </c>
      <c r="D201" s="100"/>
      <c r="E201" s="810" t="str">
        <f t="shared" ref="E201:O201" si="21">#REF!</f>
        <v>#REF!</v>
      </c>
      <c r="F201" s="810" t="str">
        <f t="shared" si="21"/>
        <v>#REF!</v>
      </c>
      <c r="G201" s="810" t="str">
        <f t="shared" si="21"/>
        <v>#REF!</v>
      </c>
      <c r="H201" s="810" t="str">
        <f t="shared" si="21"/>
        <v>#REF!</v>
      </c>
      <c r="I201" s="810" t="str">
        <f t="shared" si="21"/>
        <v>#REF!</v>
      </c>
      <c r="J201" s="810" t="str">
        <f t="shared" si="21"/>
        <v>#REF!</v>
      </c>
      <c r="K201" s="810" t="str">
        <f t="shared" si="21"/>
        <v>#REF!</v>
      </c>
      <c r="L201" s="810" t="str">
        <f t="shared" si="21"/>
        <v>#REF!</v>
      </c>
      <c r="M201" s="810" t="str">
        <f t="shared" si="21"/>
        <v>#REF!</v>
      </c>
      <c r="N201" s="810" t="str">
        <f t="shared" si="21"/>
        <v>#REF!</v>
      </c>
      <c r="O201" s="810" t="str">
        <f t="shared" si="21"/>
        <v>#REF!</v>
      </c>
      <c r="P201" s="100"/>
      <c r="Q201" s="100"/>
      <c r="R201" s="100"/>
      <c r="S201" s="8"/>
    </row>
    <row r="202" ht="14.25" customHeight="1">
      <c r="A202" s="100" t="s">
        <v>2159</v>
      </c>
      <c r="B202" s="100" t="s">
        <v>2402</v>
      </c>
      <c r="C202" s="100" t="s">
        <v>2325</v>
      </c>
      <c r="D202" s="100" t="s">
        <v>135</v>
      </c>
      <c r="E202" s="810">
        <v>116.7462</v>
      </c>
      <c r="F202" s="810">
        <v>117.2277</v>
      </c>
      <c r="G202" s="810">
        <v>117.4597</v>
      </c>
      <c r="H202" s="810">
        <v>116.8435</v>
      </c>
      <c r="I202" s="810">
        <v>114.5196</v>
      </c>
      <c r="J202" s="810">
        <v>112.9607</v>
      </c>
      <c r="K202" s="810">
        <v>114.3821</v>
      </c>
      <c r="L202" s="810">
        <v>117.3717</v>
      </c>
      <c r="M202" s="810">
        <v>111.1177</v>
      </c>
      <c r="N202" s="810">
        <v>113.0857</v>
      </c>
      <c r="O202" s="810" t="s">
        <v>2434</v>
      </c>
      <c r="P202" s="100" t="s">
        <v>2616</v>
      </c>
      <c r="Q202" s="100"/>
      <c r="R202" s="100"/>
      <c r="S202" s="8"/>
    </row>
    <row r="203" ht="14.25" customHeight="1">
      <c r="A203" s="100" t="s">
        <v>2159</v>
      </c>
      <c r="B203" s="100" t="s">
        <v>2402</v>
      </c>
      <c r="C203" s="100" t="s">
        <v>2329</v>
      </c>
      <c r="D203" s="100" t="s">
        <v>135</v>
      </c>
      <c r="E203" s="810">
        <v>142.7726</v>
      </c>
      <c r="F203" s="810">
        <v>137.7632</v>
      </c>
      <c r="G203" s="810">
        <v>135.7638</v>
      </c>
      <c r="H203" s="810">
        <v>141.0645</v>
      </c>
      <c r="I203" s="810">
        <v>139.4801</v>
      </c>
      <c r="J203" s="810">
        <v>139.5678</v>
      </c>
      <c r="K203" s="810">
        <v>142.687</v>
      </c>
      <c r="L203" s="810">
        <v>140.7188</v>
      </c>
      <c r="M203" s="810">
        <v>143.12</v>
      </c>
      <c r="N203" s="810">
        <v>138.6691</v>
      </c>
      <c r="O203" s="810" t="s">
        <v>2434</v>
      </c>
      <c r="P203" s="100" t="s">
        <v>2549</v>
      </c>
      <c r="Q203" s="100"/>
      <c r="R203" s="100"/>
      <c r="S203" s="8"/>
    </row>
    <row r="204" ht="14.25" customHeight="1">
      <c r="A204" s="100" t="s">
        <v>2159</v>
      </c>
      <c r="B204" s="100" t="s">
        <v>2402</v>
      </c>
      <c r="C204" s="100" t="s">
        <v>2333</v>
      </c>
      <c r="D204" s="100" t="s">
        <v>135</v>
      </c>
      <c r="E204" s="810">
        <v>29.7325</v>
      </c>
      <c r="F204" s="810">
        <v>31.407</v>
      </c>
      <c r="G204" s="810">
        <v>29.9651</v>
      </c>
      <c r="H204" s="810">
        <v>29.9884</v>
      </c>
      <c r="I204" s="810">
        <v>30.3023</v>
      </c>
      <c r="J204" s="810">
        <v>31.407</v>
      </c>
      <c r="K204" s="810">
        <v>30.6279</v>
      </c>
      <c r="L204" s="810">
        <v>31.6431</v>
      </c>
      <c r="M204" s="810">
        <v>31.2434</v>
      </c>
      <c r="N204" s="810">
        <v>31.0798</v>
      </c>
      <c r="O204" s="810" t="s">
        <v>2434</v>
      </c>
      <c r="P204" s="100" t="s">
        <v>2537</v>
      </c>
      <c r="Q204" s="100"/>
      <c r="R204" s="100"/>
      <c r="S204" s="8"/>
    </row>
    <row r="205" ht="14.25" customHeight="1">
      <c r="A205" s="100" t="s">
        <v>2159</v>
      </c>
      <c r="B205" s="100" t="s">
        <v>2402</v>
      </c>
      <c r="C205" s="100" t="s">
        <v>2364</v>
      </c>
      <c r="D205" s="100" t="s">
        <v>135</v>
      </c>
      <c r="E205" s="810">
        <v>15.5276</v>
      </c>
      <c r="F205" s="810">
        <v>14.503</v>
      </c>
      <c r="G205" s="810">
        <v>12.8206</v>
      </c>
      <c r="H205" s="810">
        <v>12.5319</v>
      </c>
      <c r="I205" s="810">
        <v>12.4259</v>
      </c>
      <c r="J205" s="810">
        <v>12.2712</v>
      </c>
      <c r="K205" s="810">
        <v>12.296</v>
      </c>
      <c r="L205" s="810">
        <v>13.3789</v>
      </c>
      <c r="M205" s="810">
        <v>13.5269</v>
      </c>
      <c r="N205" s="810">
        <v>13.6896</v>
      </c>
      <c r="O205" s="810" t="s">
        <v>2434</v>
      </c>
      <c r="P205" s="100" t="s">
        <v>2617</v>
      </c>
      <c r="Q205" s="100"/>
      <c r="R205" s="100"/>
      <c r="S205" s="8"/>
    </row>
    <row r="206" ht="14.25" customHeight="1">
      <c r="A206" s="100" t="s">
        <v>2159</v>
      </c>
      <c r="B206" s="100" t="s">
        <v>2402</v>
      </c>
      <c r="C206" s="100" t="s">
        <v>2337</v>
      </c>
      <c r="D206" s="100" t="s">
        <v>135</v>
      </c>
      <c r="E206" s="810">
        <v>2.8934</v>
      </c>
      <c r="F206" s="810">
        <v>2.4286</v>
      </c>
      <c r="G206" s="810">
        <v>1.945</v>
      </c>
      <c r="H206" s="810">
        <v>2.0934</v>
      </c>
      <c r="I206" s="810">
        <v>2.554</v>
      </c>
      <c r="J206" s="810">
        <v>2.3198</v>
      </c>
      <c r="K206" s="810">
        <v>2.2883</v>
      </c>
      <c r="L206" s="810">
        <v>2.3876</v>
      </c>
      <c r="M206" s="810">
        <v>2.244</v>
      </c>
      <c r="N206" s="810">
        <v>2.1867</v>
      </c>
      <c r="O206" s="810">
        <v>2.1387</v>
      </c>
      <c r="P206" s="100" t="s">
        <v>2512</v>
      </c>
      <c r="Q206" s="100"/>
      <c r="R206" s="100"/>
      <c r="S206" s="8"/>
    </row>
    <row r="207" ht="14.25" customHeight="1">
      <c r="A207" s="100" t="s">
        <v>2159</v>
      </c>
      <c r="B207" s="100" t="s">
        <v>2402</v>
      </c>
      <c r="C207" s="100" t="s">
        <v>2341</v>
      </c>
      <c r="D207" s="100" t="s">
        <v>135</v>
      </c>
      <c r="E207" s="810">
        <v>90.5192</v>
      </c>
      <c r="F207" s="810">
        <v>89.0751</v>
      </c>
      <c r="G207" s="810">
        <v>88.4601</v>
      </c>
      <c r="H207" s="810">
        <v>84.9838</v>
      </c>
      <c r="I207" s="810">
        <v>86.6081</v>
      </c>
      <c r="J207" s="810">
        <v>88.1477</v>
      </c>
      <c r="K207" s="810">
        <v>87.8523</v>
      </c>
      <c r="L207" s="810">
        <v>90.3248</v>
      </c>
      <c r="M207" s="810">
        <v>90.8196</v>
      </c>
      <c r="N207" s="810">
        <v>87.9601</v>
      </c>
      <c r="O207" s="810" t="s">
        <v>2434</v>
      </c>
      <c r="P207" s="100" t="s">
        <v>2546</v>
      </c>
      <c r="Q207" s="100"/>
      <c r="R207" s="100"/>
      <c r="S207" s="8"/>
    </row>
    <row r="208" ht="14.25" customHeight="1">
      <c r="A208" s="100" t="s">
        <v>2159</v>
      </c>
      <c r="B208" s="100" t="s">
        <v>2402</v>
      </c>
      <c r="C208" s="100" t="s">
        <v>2348</v>
      </c>
      <c r="D208" s="100" t="s">
        <v>135</v>
      </c>
      <c r="E208" s="810">
        <v>28.6559</v>
      </c>
      <c r="F208" s="810">
        <v>28.5921</v>
      </c>
      <c r="G208" s="810">
        <v>26.9757</v>
      </c>
      <c r="H208" s="810">
        <v>25.4986</v>
      </c>
      <c r="I208" s="810">
        <v>24.7707</v>
      </c>
      <c r="J208" s="810">
        <v>25.5022</v>
      </c>
      <c r="K208" s="810">
        <v>26.0601</v>
      </c>
      <c r="L208" s="810">
        <v>26.9587</v>
      </c>
      <c r="M208" s="810">
        <v>27.2326</v>
      </c>
      <c r="N208" s="810">
        <v>26.613</v>
      </c>
      <c r="O208" s="810" t="s">
        <v>2434</v>
      </c>
      <c r="P208" s="100" t="s">
        <v>2618</v>
      </c>
      <c r="Q208" s="100"/>
      <c r="R208" s="100"/>
      <c r="S208" s="8"/>
    </row>
    <row r="209" ht="14.25" customHeight="1">
      <c r="A209" s="100" t="s">
        <v>2159</v>
      </c>
      <c r="B209" s="100" t="s">
        <v>2402</v>
      </c>
      <c r="C209" s="100" t="s">
        <v>2350</v>
      </c>
      <c r="D209" s="100" t="s">
        <v>135</v>
      </c>
      <c r="E209" s="810">
        <v>6.6865</v>
      </c>
      <c r="F209" s="810">
        <v>7.0614</v>
      </c>
      <c r="G209" s="810">
        <v>6.6556</v>
      </c>
      <c r="H209" s="810">
        <v>7.4929</v>
      </c>
      <c r="I209" s="810">
        <v>6.4713</v>
      </c>
      <c r="J209" s="810">
        <v>6.0863</v>
      </c>
      <c r="K209" s="810">
        <v>5.2683</v>
      </c>
      <c r="L209" s="810">
        <v>5.3113</v>
      </c>
      <c r="M209" s="810">
        <v>5.7005</v>
      </c>
      <c r="N209" s="810">
        <v>5.3542</v>
      </c>
      <c r="O209" s="810" t="s">
        <v>2434</v>
      </c>
      <c r="P209" s="100" t="s">
        <v>2400</v>
      </c>
      <c r="Q209" s="100"/>
      <c r="R209" s="100"/>
      <c r="S209" s="8"/>
    </row>
    <row r="210" ht="14.25" customHeight="1">
      <c r="A210" s="100" t="s">
        <v>2159</v>
      </c>
      <c r="B210" s="100" t="s">
        <v>2402</v>
      </c>
      <c r="C210" s="100" t="s">
        <v>2354</v>
      </c>
      <c r="D210" s="100" t="s">
        <v>135</v>
      </c>
      <c r="E210" s="810">
        <v>132.0483</v>
      </c>
      <c r="F210" s="810">
        <v>129.7008</v>
      </c>
      <c r="G210" s="810">
        <v>125.8971</v>
      </c>
      <c r="H210" s="810">
        <v>125.0643</v>
      </c>
      <c r="I210" s="810">
        <v>124.4616</v>
      </c>
      <c r="J210" s="810">
        <v>124.8102</v>
      </c>
      <c r="K210" s="810">
        <v>128.6505</v>
      </c>
      <c r="L210" s="810">
        <v>130.3355</v>
      </c>
      <c r="M210" s="810">
        <v>135.9514</v>
      </c>
      <c r="N210" s="810">
        <v>131.5433</v>
      </c>
      <c r="O210" s="810" t="s">
        <v>2434</v>
      </c>
      <c r="P210" s="100" t="s">
        <v>2619</v>
      </c>
      <c r="Q210" s="100"/>
      <c r="R210" s="100"/>
      <c r="S210" s="8"/>
    </row>
    <row r="211" ht="14.25" customHeight="1">
      <c r="A211" s="100" t="s">
        <v>2159</v>
      </c>
      <c r="B211" s="100" t="s">
        <v>2402</v>
      </c>
      <c r="C211" s="100" t="s">
        <v>2356</v>
      </c>
      <c r="D211" s="100" t="s">
        <v>135</v>
      </c>
      <c r="E211" s="810">
        <v>360.8102</v>
      </c>
      <c r="F211" s="810">
        <v>360.1385</v>
      </c>
      <c r="G211" s="810">
        <v>354.5168</v>
      </c>
      <c r="H211" s="810">
        <v>353.5047</v>
      </c>
      <c r="I211" s="810">
        <v>341.1176</v>
      </c>
      <c r="J211" s="810">
        <v>338.0141</v>
      </c>
      <c r="K211" s="810">
        <v>355.6676</v>
      </c>
      <c r="L211" s="810">
        <v>352.4854</v>
      </c>
      <c r="M211" s="810">
        <v>357.4998</v>
      </c>
      <c r="N211" s="810">
        <v>336.2207</v>
      </c>
      <c r="O211" s="810" t="s">
        <v>2434</v>
      </c>
      <c r="P211" s="100" t="s">
        <v>2620</v>
      </c>
      <c r="Q211" s="100"/>
      <c r="R211" s="100"/>
      <c r="S211" s="8"/>
    </row>
    <row r="212" ht="14.25" customHeight="1">
      <c r="A212" s="100" t="s">
        <v>2159</v>
      </c>
      <c r="B212" s="100" t="s">
        <v>2402</v>
      </c>
      <c r="C212" s="100" t="s">
        <v>2344</v>
      </c>
      <c r="D212" s="100" t="s">
        <v>135</v>
      </c>
      <c r="E212" s="810">
        <v>735.8389</v>
      </c>
      <c r="F212" s="810">
        <v>746.8234</v>
      </c>
      <c r="G212" s="810">
        <v>734.2618</v>
      </c>
      <c r="H212" s="810">
        <v>750.4763</v>
      </c>
      <c r="I212" s="810">
        <v>720.023</v>
      </c>
      <c r="J212" s="810">
        <v>721.7212</v>
      </c>
      <c r="K212" s="810">
        <v>731.1449</v>
      </c>
      <c r="L212" s="810">
        <v>740.4132</v>
      </c>
      <c r="M212" s="810">
        <v>722.3098</v>
      </c>
      <c r="N212" s="810">
        <v>711.8624</v>
      </c>
      <c r="O212" s="810" t="s">
        <v>2434</v>
      </c>
      <c r="P212" s="100" t="s">
        <v>2621</v>
      </c>
      <c r="Q212" s="100"/>
      <c r="R212" s="100"/>
      <c r="S212" s="8"/>
    </row>
    <row r="213" ht="14.25" customHeight="1">
      <c r="A213" s="100" t="s">
        <v>2159</v>
      </c>
      <c r="B213" s="100" t="s">
        <v>2402</v>
      </c>
      <c r="C213" s="100" t="s">
        <v>2362</v>
      </c>
      <c r="D213" s="100" t="s">
        <v>135</v>
      </c>
      <c r="E213" s="810">
        <v>40.3815</v>
      </c>
      <c r="F213" s="810">
        <v>38.6375</v>
      </c>
      <c r="G213" s="810">
        <v>34.8313</v>
      </c>
      <c r="H213" s="810">
        <v>32.9713</v>
      </c>
      <c r="I213" s="810">
        <v>35.9104</v>
      </c>
      <c r="J213" s="810">
        <v>36.3773</v>
      </c>
      <c r="K213" s="810">
        <v>35.734</v>
      </c>
      <c r="L213" s="810">
        <v>32.1258</v>
      </c>
      <c r="M213" s="810">
        <v>31.8471</v>
      </c>
      <c r="N213" s="810">
        <v>30.0884</v>
      </c>
      <c r="O213" s="810" t="s">
        <v>2434</v>
      </c>
      <c r="P213" s="100" t="s">
        <v>2622</v>
      </c>
      <c r="Q213" s="100"/>
      <c r="R213" s="100"/>
      <c r="S213" s="8"/>
    </row>
    <row r="214" ht="14.25" customHeight="1">
      <c r="A214" s="100" t="s">
        <v>2159</v>
      </c>
      <c r="B214" s="100" t="s">
        <v>2402</v>
      </c>
      <c r="C214" s="100" t="s">
        <v>2367</v>
      </c>
      <c r="D214" s="100" t="s">
        <v>135</v>
      </c>
      <c r="E214" s="810">
        <v>33.8798</v>
      </c>
      <c r="F214" s="810">
        <v>38.4039</v>
      </c>
      <c r="G214" s="810">
        <v>40.1524</v>
      </c>
      <c r="H214" s="810">
        <v>44.9054</v>
      </c>
      <c r="I214" s="810">
        <v>45.7362</v>
      </c>
      <c r="J214" s="810">
        <v>48.9237</v>
      </c>
      <c r="K214" s="810">
        <v>48.9758</v>
      </c>
      <c r="L214" s="810">
        <v>53.4378</v>
      </c>
      <c r="M214" s="810">
        <v>55.2886</v>
      </c>
      <c r="N214" s="810">
        <v>54.7767</v>
      </c>
      <c r="O214" s="810" t="s">
        <v>2434</v>
      </c>
      <c r="P214" s="100" t="s">
        <v>2546</v>
      </c>
      <c r="Q214" s="100"/>
      <c r="R214" s="100"/>
      <c r="S214" s="8"/>
    </row>
    <row r="215" ht="14.25" customHeight="1">
      <c r="A215" s="100" t="s">
        <v>2159</v>
      </c>
      <c r="B215" s="100" t="s">
        <v>2402</v>
      </c>
      <c r="C215" s="100" t="s">
        <v>2369</v>
      </c>
      <c r="D215" s="100" t="s">
        <v>135</v>
      </c>
      <c r="E215" s="810">
        <v>22.3545</v>
      </c>
      <c r="F215" s="810">
        <v>20.5322</v>
      </c>
      <c r="G215" s="810">
        <v>20.2171</v>
      </c>
      <c r="H215" s="810">
        <v>20.9615</v>
      </c>
      <c r="I215" s="810">
        <v>23.6222</v>
      </c>
      <c r="J215" s="810">
        <v>23.503</v>
      </c>
      <c r="K215" s="810">
        <v>24.9102</v>
      </c>
      <c r="L215" s="810">
        <v>25.4225</v>
      </c>
      <c r="M215" s="810">
        <v>26.9474</v>
      </c>
      <c r="N215" s="810">
        <v>26.9875</v>
      </c>
      <c r="O215" s="810" t="s">
        <v>2434</v>
      </c>
      <c r="P215" s="100" t="s">
        <v>2623</v>
      </c>
      <c r="Q215" s="100"/>
      <c r="R215" s="100"/>
      <c r="S215" s="8"/>
    </row>
    <row r="216" ht="14.25" customHeight="1">
      <c r="A216" s="100" t="s">
        <v>2159</v>
      </c>
      <c r="B216" s="100" t="s">
        <v>2402</v>
      </c>
      <c r="C216" s="100" t="s">
        <v>2374</v>
      </c>
      <c r="D216" s="100" t="s">
        <v>135</v>
      </c>
      <c r="E216" s="810">
        <v>360.2449</v>
      </c>
      <c r="F216" s="810">
        <v>345.7742</v>
      </c>
      <c r="G216" s="810">
        <v>337.2459</v>
      </c>
      <c r="H216" s="810">
        <v>312.2183</v>
      </c>
      <c r="I216" s="810">
        <v>302.8249</v>
      </c>
      <c r="J216" s="810">
        <v>300.1876</v>
      </c>
      <c r="K216" s="810">
        <v>304.9456</v>
      </c>
      <c r="L216" s="810">
        <v>300.6956</v>
      </c>
      <c r="M216" s="810">
        <v>292.1998</v>
      </c>
      <c r="N216" s="810">
        <v>299.4915</v>
      </c>
      <c r="O216" s="810" t="s">
        <v>2434</v>
      </c>
      <c r="P216" s="100" t="s">
        <v>2624</v>
      </c>
      <c r="Q216" s="100"/>
      <c r="R216" s="100"/>
      <c r="S216" s="8"/>
    </row>
    <row r="217" ht="14.25" customHeight="1">
      <c r="A217" s="100" t="s">
        <v>2159</v>
      </c>
      <c r="B217" s="100" t="s">
        <v>2402</v>
      </c>
      <c r="C217" s="100" t="s">
        <v>2386</v>
      </c>
      <c r="D217" s="100" t="s">
        <v>135</v>
      </c>
      <c r="E217" s="810">
        <v>9.0214</v>
      </c>
      <c r="F217" s="810">
        <v>8.7039</v>
      </c>
      <c r="G217" s="810">
        <v>9.6453</v>
      </c>
      <c r="H217" s="810">
        <v>8.9541</v>
      </c>
      <c r="I217" s="810">
        <v>9.1924</v>
      </c>
      <c r="J217" s="810">
        <v>9.1839</v>
      </c>
      <c r="K217" s="810">
        <v>8.7353</v>
      </c>
      <c r="L217" s="810">
        <v>9.1744</v>
      </c>
      <c r="M217" s="810">
        <v>10.4118</v>
      </c>
      <c r="N217" s="810">
        <v>9.9098</v>
      </c>
      <c r="O217" s="810" t="s">
        <v>2434</v>
      </c>
      <c r="P217" s="100" t="s">
        <v>2625</v>
      </c>
      <c r="Q217" s="100"/>
      <c r="R217" s="100"/>
      <c r="S217" s="8"/>
    </row>
    <row r="218" ht="14.25" customHeight="1">
      <c r="A218" s="100" t="s">
        <v>2159</v>
      </c>
      <c r="B218" s="100" t="s">
        <v>2402</v>
      </c>
      <c r="C218" s="100" t="s">
        <v>2378</v>
      </c>
      <c r="D218" s="100" t="s">
        <v>135</v>
      </c>
      <c r="E218" s="810">
        <v>11.0835</v>
      </c>
      <c r="F218" s="810">
        <v>11.8232</v>
      </c>
      <c r="G218" s="810">
        <v>12.4937</v>
      </c>
      <c r="H218" s="810">
        <v>12.0826</v>
      </c>
      <c r="I218" s="810">
        <v>12.05</v>
      </c>
      <c r="J218" s="810">
        <v>11.4483</v>
      </c>
      <c r="K218" s="810">
        <v>11.5341</v>
      </c>
      <c r="L218" s="810">
        <v>12.4755</v>
      </c>
      <c r="M218" s="810">
        <v>12.8657</v>
      </c>
      <c r="N218" s="810">
        <v>12.9302</v>
      </c>
      <c r="O218" s="810" t="s">
        <v>2434</v>
      </c>
      <c r="P218" s="100" t="s">
        <v>2567</v>
      </c>
      <c r="Q218" s="100"/>
      <c r="R218" s="100"/>
      <c r="S218" s="8"/>
    </row>
    <row r="219" ht="14.25" customHeight="1">
      <c r="A219" s="100" t="s">
        <v>2159</v>
      </c>
      <c r="B219" s="100" t="s">
        <v>2402</v>
      </c>
      <c r="C219" s="100" t="s">
        <v>2383</v>
      </c>
      <c r="D219" s="100" t="s">
        <v>135</v>
      </c>
      <c r="E219" s="810">
        <v>8.7791</v>
      </c>
      <c r="F219" s="810">
        <v>8.4302</v>
      </c>
      <c r="G219" s="810">
        <v>7.8953</v>
      </c>
      <c r="H219" s="810">
        <v>7.5349</v>
      </c>
      <c r="I219" s="810">
        <v>7.6395</v>
      </c>
      <c r="J219" s="810">
        <v>7.5</v>
      </c>
      <c r="K219" s="810">
        <v>7.8488</v>
      </c>
      <c r="L219" s="810">
        <v>7.2558</v>
      </c>
      <c r="M219" s="810">
        <v>7.3488</v>
      </c>
      <c r="N219" s="810">
        <v>7.1937</v>
      </c>
      <c r="O219" s="810" t="s">
        <v>2434</v>
      </c>
      <c r="P219" s="100" t="s">
        <v>2523</v>
      </c>
      <c r="Q219" s="100"/>
      <c r="R219" s="100"/>
      <c r="S219" s="8"/>
    </row>
    <row r="220" ht="14.25" customHeight="1">
      <c r="A220" s="100" t="s">
        <v>2159</v>
      </c>
      <c r="B220" s="100" t="s">
        <v>2402</v>
      </c>
      <c r="C220" s="100" t="s">
        <v>2389</v>
      </c>
      <c r="D220" s="100" t="s">
        <v>135</v>
      </c>
      <c r="E220" s="810">
        <v>0.6316</v>
      </c>
      <c r="F220" s="810">
        <v>0.5966</v>
      </c>
      <c r="G220" s="810">
        <v>0.6489</v>
      </c>
      <c r="H220" s="810">
        <v>0.7609</v>
      </c>
      <c r="I220" s="810">
        <v>0.8022</v>
      </c>
      <c r="J220" s="810">
        <v>0.8157</v>
      </c>
      <c r="K220" s="810">
        <v>0.825</v>
      </c>
      <c r="L220" s="810">
        <v>0.8674</v>
      </c>
      <c r="M220" s="810">
        <v>0.841</v>
      </c>
      <c r="N220" s="810">
        <v>0.8549</v>
      </c>
      <c r="O220" s="810" t="s">
        <v>2434</v>
      </c>
      <c r="P220" s="100" t="s">
        <v>2549</v>
      </c>
      <c r="Q220" s="100"/>
      <c r="R220" s="100"/>
      <c r="S220" s="8"/>
    </row>
    <row r="221" ht="14.25" customHeight="1">
      <c r="A221" s="100" t="s">
        <v>2159</v>
      </c>
      <c r="B221" s="100" t="s">
        <v>2402</v>
      </c>
      <c r="C221" s="100" t="s">
        <v>2391</v>
      </c>
      <c r="D221" s="100" t="s">
        <v>135</v>
      </c>
      <c r="E221" s="810">
        <v>182.0918</v>
      </c>
      <c r="F221" s="810">
        <v>177.5838</v>
      </c>
      <c r="G221" s="810">
        <v>175.9728</v>
      </c>
      <c r="H221" s="810">
        <v>172.7795</v>
      </c>
      <c r="I221" s="810">
        <v>170.4535</v>
      </c>
      <c r="J221" s="810">
        <v>169.5258</v>
      </c>
      <c r="K221" s="810">
        <v>176.461</v>
      </c>
      <c r="L221" s="810">
        <v>178.3064</v>
      </c>
      <c r="M221" s="810">
        <v>175.8861</v>
      </c>
      <c r="N221" s="810">
        <v>172.8039</v>
      </c>
      <c r="O221" s="810" t="s">
        <v>2434</v>
      </c>
      <c r="P221" s="100" t="s">
        <v>2546</v>
      </c>
      <c r="Q221" s="100"/>
      <c r="R221" s="100"/>
      <c r="S221" s="8"/>
    </row>
    <row r="222" ht="14.25" customHeight="1">
      <c r="A222" s="100" t="s">
        <v>2159</v>
      </c>
      <c r="B222" s="100" t="s">
        <v>2402</v>
      </c>
      <c r="C222" s="100" t="s">
        <v>2393</v>
      </c>
      <c r="D222" s="100" t="s">
        <v>135</v>
      </c>
      <c r="E222" s="810">
        <v>170.6683</v>
      </c>
      <c r="F222" s="810">
        <v>178.1798</v>
      </c>
      <c r="G222" s="810">
        <v>175.899</v>
      </c>
      <c r="H222" s="810">
        <v>181.0431</v>
      </c>
      <c r="I222" s="810">
        <v>182.3083</v>
      </c>
      <c r="J222" s="810">
        <v>182.7987</v>
      </c>
      <c r="K222" s="810">
        <v>189.0286</v>
      </c>
      <c r="L222" s="810">
        <v>202.2394</v>
      </c>
      <c r="M222" s="810">
        <v>208.0892</v>
      </c>
      <c r="N222" s="810">
        <v>211.4849</v>
      </c>
      <c r="O222" s="810" t="s">
        <v>2434</v>
      </c>
      <c r="P222" s="100" t="s">
        <v>2526</v>
      </c>
      <c r="Q222" s="100"/>
      <c r="R222" s="100"/>
      <c r="S222" s="8"/>
    </row>
    <row r="223" ht="14.25" customHeight="1">
      <c r="A223" s="100" t="s">
        <v>2159</v>
      </c>
      <c r="B223" s="100" t="s">
        <v>2402</v>
      </c>
      <c r="C223" s="100" t="s">
        <v>2395</v>
      </c>
      <c r="D223" s="100" t="s">
        <v>135</v>
      </c>
      <c r="E223" s="810">
        <v>63.2336</v>
      </c>
      <c r="F223" s="810">
        <v>56.8155</v>
      </c>
      <c r="G223" s="810">
        <v>55.3112</v>
      </c>
      <c r="H223" s="810">
        <v>53.2294</v>
      </c>
      <c r="I223" s="810">
        <v>52.9912</v>
      </c>
      <c r="J223" s="810">
        <v>53.0009</v>
      </c>
      <c r="K223" s="810">
        <v>51.1202</v>
      </c>
      <c r="L223" s="810">
        <v>52.4618</v>
      </c>
      <c r="M223" s="810">
        <v>52.8869</v>
      </c>
      <c r="N223" s="810">
        <v>53.6652</v>
      </c>
      <c r="O223" s="810" t="s">
        <v>2434</v>
      </c>
      <c r="P223" s="100" t="s">
        <v>2626</v>
      </c>
      <c r="Q223" s="100"/>
      <c r="R223" s="100"/>
      <c r="S223" s="8"/>
    </row>
    <row r="224" ht="14.25" customHeight="1">
      <c r="A224" s="100" t="s">
        <v>2159</v>
      </c>
      <c r="B224" s="100" t="s">
        <v>2402</v>
      </c>
      <c r="C224" s="100" t="s">
        <v>2397</v>
      </c>
      <c r="D224" s="100" t="s">
        <v>135</v>
      </c>
      <c r="E224" s="810">
        <v>86.5348</v>
      </c>
      <c r="F224" s="810">
        <v>89.6976</v>
      </c>
      <c r="G224" s="810">
        <v>76.9883</v>
      </c>
      <c r="H224" s="810">
        <v>70.7325</v>
      </c>
      <c r="I224" s="810">
        <v>72.3837</v>
      </c>
      <c r="J224" s="810">
        <v>71.8953</v>
      </c>
      <c r="K224" s="810">
        <v>70.4534</v>
      </c>
      <c r="L224" s="810">
        <v>74.5</v>
      </c>
      <c r="M224" s="810">
        <v>79.9883</v>
      </c>
      <c r="N224" s="810">
        <v>80.593</v>
      </c>
      <c r="O224" s="810" t="s">
        <v>2434</v>
      </c>
      <c r="P224" s="100" t="s">
        <v>2528</v>
      </c>
      <c r="Q224" s="100"/>
      <c r="R224" s="100"/>
      <c r="S224" s="8"/>
    </row>
    <row r="225" ht="14.25" customHeight="1">
      <c r="A225" s="100" t="s">
        <v>2159</v>
      </c>
      <c r="B225" s="100" t="s">
        <v>2402</v>
      </c>
      <c r="C225" s="100" t="s">
        <v>2411</v>
      </c>
      <c r="D225" s="100" t="s">
        <v>135</v>
      </c>
      <c r="E225" s="810">
        <v>50.5772</v>
      </c>
      <c r="F225" s="810">
        <v>49.357</v>
      </c>
      <c r="G225" s="810">
        <v>50.7157</v>
      </c>
      <c r="H225" s="810">
        <v>49.7148</v>
      </c>
      <c r="I225" s="810">
        <v>51.7206</v>
      </c>
      <c r="J225" s="810">
        <v>51.6501</v>
      </c>
      <c r="K225" s="810">
        <v>51.9095</v>
      </c>
      <c r="L225" s="810">
        <v>54.2364</v>
      </c>
      <c r="M225" s="810">
        <v>57.2499</v>
      </c>
      <c r="N225" s="812">
        <f>N258+N291+N324+N423+N456+N489+N522+N555+N588+N621+N654+N720+N753+(M225-M258-M291-M324-M423-M456-M489-M522-M555-M588-M621-M654-M720-M753)</f>
        <v>52.2198</v>
      </c>
      <c r="O225" s="810" t="s">
        <v>2434</v>
      </c>
      <c r="P225" s="100" t="s">
        <v>2546</v>
      </c>
      <c r="Q225" s="100"/>
      <c r="R225" s="822" t="s">
        <v>2627</v>
      </c>
      <c r="S225" s="8"/>
    </row>
    <row r="226" ht="14.25" customHeight="1">
      <c r="A226" s="100" t="s">
        <v>2159</v>
      </c>
      <c r="B226" s="100" t="s">
        <v>2402</v>
      </c>
      <c r="C226" s="100" t="s">
        <v>2406</v>
      </c>
      <c r="D226" s="100" t="s">
        <v>135</v>
      </c>
      <c r="E226" s="810">
        <v>14.8071</v>
      </c>
      <c r="F226" s="810">
        <v>14.375</v>
      </c>
      <c r="G226" s="810">
        <v>14.0317</v>
      </c>
      <c r="H226" s="810">
        <v>13.9186</v>
      </c>
      <c r="I226" s="810">
        <v>14.309</v>
      </c>
      <c r="J226" s="810">
        <v>14.2632</v>
      </c>
      <c r="K226" s="810">
        <v>14.4399</v>
      </c>
      <c r="L226" s="810">
        <v>15.0563</v>
      </c>
      <c r="M226" s="810">
        <v>15.3294</v>
      </c>
      <c r="N226" s="810">
        <v>15.4484</v>
      </c>
      <c r="O226" s="810" t="s">
        <v>2434</v>
      </c>
      <c r="P226" s="100" t="s">
        <v>2628</v>
      </c>
      <c r="Q226" s="100"/>
      <c r="R226" s="100"/>
      <c r="S226" s="8"/>
    </row>
    <row r="227" ht="14.25" customHeight="1">
      <c r="A227" s="100" t="s">
        <v>2159</v>
      </c>
      <c r="B227" s="100" t="s">
        <v>2402</v>
      </c>
      <c r="C227" s="100" t="s">
        <v>2352</v>
      </c>
      <c r="D227" s="100" t="s">
        <v>135</v>
      </c>
      <c r="E227" s="810">
        <v>249.3536</v>
      </c>
      <c r="F227" s="810">
        <v>246.3934</v>
      </c>
      <c r="G227" s="810">
        <v>239.4715</v>
      </c>
      <c r="H227" s="810">
        <v>237.9672</v>
      </c>
      <c r="I227" s="810">
        <v>230.3192</v>
      </c>
      <c r="J227" s="810">
        <v>217.7498</v>
      </c>
      <c r="K227" s="810">
        <v>216.4254</v>
      </c>
      <c r="L227" s="810">
        <v>234.6453</v>
      </c>
      <c r="M227" s="810">
        <v>240.7867</v>
      </c>
      <c r="N227" s="810">
        <v>236.8076</v>
      </c>
      <c r="O227" s="810" t="s">
        <v>2434</v>
      </c>
      <c r="P227" s="100" t="s">
        <v>2629</v>
      </c>
      <c r="Q227" s="100"/>
      <c r="R227" s="100"/>
      <c r="S227" s="8"/>
    </row>
    <row r="228" ht="14.25" customHeight="1">
      <c r="A228" s="100" t="s">
        <v>2159</v>
      </c>
      <c r="B228" s="100" t="s">
        <v>2402</v>
      </c>
      <c r="C228" s="100" t="s">
        <v>2400</v>
      </c>
      <c r="D228" s="100" t="s">
        <v>135</v>
      </c>
      <c r="E228" s="810">
        <v>151.3753</v>
      </c>
      <c r="F228" s="810">
        <v>149.7599</v>
      </c>
      <c r="G228" s="810">
        <v>147.7222</v>
      </c>
      <c r="H228" s="810">
        <v>145.82</v>
      </c>
      <c r="I228" s="810">
        <v>144.6171</v>
      </c>
      <c r="J228" s="810">
        <v>143.3476</v>
      </c>
      <c r="K228" s="810">
        <v>144.3514</v>
      </c>
      <c r="L228" s="810">
        <v>145.43</v>
      </c>
      <c r="M228" s="810">
        <v>143.8896</v>
      </c>
      <c r="N228" s="810">
        <v>144.403</v>
      </c>
      <c r="O228" s="810" t="s">
        <v>2434</v>
      </c>
      <c r="P228" s="100" t="s">
        <v>2630</v>
      </c>
      <c r="Q228" s="100"/>
      <c r="R228" s="100"/>
      <c r="S228" s="8"/>
    </row>
    <row r="229" ht="14.25" customHeight="1">
      <c r="A229" s="100" t="s">
        <v>2159</v>
      </c>
      <c r="B229" s="100" t="s">
        <v>2402</v>
      </c>
      <c r="C229" s="100" t="s">
        <v>2416</v>
      </c>
      <c r="D229" s="100" t="s">
        <v>135</v>
      </c>
      <c r="E229" s="810">
        <v>72.7224</v>
      </c>
      <c r="F229" s="810">
        <v>72.3285</v>
      </c>
      <c r="G229" s="810">
        <v>70.2612</v>
      </c>
      <c r="H229" s="810">
        <v>70.564</v>
      </c>
      <c r="I229" s="810">
        <v>69.3894</v>
      </c>
      <c r="J229" s="810">
        <v>70.2513</v>
      </c>
      <c r="K229" s="810">
        <v>70.5631</v>
      </c>
      <c r="L229" s="810">
        <v>71.6754</v>
      </c>
      <c r="M229" s="810">
        <v>73.044</v>
      </c>
      <c r="N229" s="810">
        <v>73.5883</v>
      </c>
      <c r="O229" s="810">
        <v>73.3399</v>
      </c>
      <c r="P229" s="100" t="s">
        <v>2631</v>
      </c>
      <c r="Q229" s="100"/>
      <c r="R229" s="100"/>
      <c r="S229" s="8"/>
    </row>
    <row r="230" ht="14.25" customHeight="1">
      <c r="A230" s="100" t="s">
        <v>2159</v>
      </c>
      <c r="B230" s="100" t="s">
        <v>2402</v>
      </c>
      <c r="C230" s="100" t="s">
        <v>2423</v>
      </c>
      <c r="D230" s="100" t="s">
        <v>135</v>
      </c>
      <c r="E230" s="810">
        <v>39.044</v>
      </c>
      <c r="F230" s="810">
        <v>38.3006</v>
      </c>
      <c r="G230" s="810">
        <v>37.6798</v>
      </c>
      <c r="H230" s="810">
        <v>38.2474</v>
      </c>
      <c r="I230" s="810">
        <v>36.5844</v>
      </c>
      <c r="J230" s="810">
        <v>35.8676</v>
      </c>
      <c r="K230" s="810">
        <v>34.3139</v>
      </c>
      <c r="L230" s="810">
        <v>34.0697</v>
      </c>
      <c r="M230" s="810">
        <v>33.4186</v>
      </c>
      <c r="N230" s="810">
        <v>32.1046</v>
      </c>
      <c r="O230" s="810" t="s">
        <v>2434</v>
      </c>
      <c r="P230" s="100" t="s">
        <v>2632</v>
      </c>
      <c r="Q230" s="100"/>
      <c r="R230" s="100"/>
      <c r="S230" s="8"/>
    </row>
    <row r="231" ht="14.25" customHeight="1">
      <c r="A231" s="100" t="s">
        <v>2159</v>
      </c>
      <c r="B231" s="100" t="s">
        <v>2402</v>
      </c>
      <c r="C231" s="100" t="s">
        <v>2360</v>
      </c>
      <c r="D231" s="100" t="s">
        <v>135</v>
      </c>
      <c r="E231" s="810">
        <v>296.16</v>
      </c>
      <c r="F231" s="810">
        <v>277.4314</v>
      </c>
      <c r="G231" s="810">
        <v>273.8358</v>
      </c>
      <c r="H231" s="810">
        <v>273.7406</v>
      </c>
      <c r="I231" s="810">
        <v>267.2465</v>
      </c>
      <c r="J231" s="810">
        <v>266.5608</v>
      </c>
      <c r="K231" s="810">
        <v>245.6417</v>
      </c>
      <c r="L231" s="810">
        <v>249.8518</v>
      </c>
      <c r="M231" s="810">
        <v>251.2497</v>
      </c>
      <c r="N231" s="810">
        <v>243.7294</v>
      </c>
      <c r="O231" s="810" t="s">
        <v>2434</v>
      </c>
      <c r="P231" s="100" t="s">
        <v>2549</v>
      </c>
      <c r="Q231" s="100"/>
      <c r="R231" s="100"/>
      <c r="S231" s="8"/>
    </row>
    <row r="232" ht="14.25" customHeight="1">
      <c r="A232" s="100" t="s">
        <v>2159</v>
      </c>
      <c r="B232" s="100" t="s">
        <v>2402</v>
      </c>
      <c r="C232" s="100" t="s">
        <v>2535</v>
      </c>
      <c r="D232" s="100" t="s">
        <v>135</v>
      </c>
      <c r="E232" s="810">
        <v>30.4728</v>
      </c>
      <c r="F232" s="810">
        <v>33.1943</v>
      </c>
      <c r="G232" s="810">
        <v>29.082</v>
      </c>
      <c r="H232" s="810">
        <v>28.6845</v>
      </c>
      <c r="I232" s="810">
        <v>23.8068</v>
      </c>
      <c r="J232" s="810">
        <v>26.4707</v>
      </c>
      <c r="K232" s="810">
        <v>28.6967</v>
      </c>
      <c r="L232" s="810">
        <v>30.2566</v>
      </c>
      <c r="M232" s="810">
        <v>32.8115</v>
      </c>
      <c r="N232" s="810">
        <v>31.2835</v>
      </c>
      <c r="O232" s="810" t="s">
        <v>2434</v>
      </c>
      <c r="P232" s="100" t="s">
        <v>2546</v>
      </c>
      <c r="Q232" s="100"/>
      <c r="R232" s="100"/>
      <c r="S232" s="8"/>
    </row>
    <row r="233" ht="14.25" customHeight="1">
      <c r="A233" s="100" t="s">
        <v>2174</v>
      </c>
      <c r="B233" s="100" t="s">
        <v>2335</v>
      </c>
      <c r="C233" s="100" t="s">
        <v>2317</v>
      </c>
      <c r="D233" s="100" t="s">
        <v>135</v>
      </c>
      <c r="E233" s="810" t="str">
        <f t="shared" ref="E233:M233" si="22">#REF!</f>
        <v>#REF!</v>
      </c>
      <c r="F233" s="810" t="str">
        <f t="shared" si="22"/>
        <v>#REF!</v>
      </c>
      <c r="G233" s="810" t="str">
        <f t="shared" si="22"/>
        <v>#REF!</v>
      </c>
      <c r="H233" s="810" t="str">
        <f t="shared" si="22"/>
        <v>#REF!</v>
      </c>
      <c r="I233" s="810" t="str">
        <f t="shared" si="22"/>
        <v>#REF!</v>
      </c>
      <c r="J233" s="810" t="str">
        <f t="shared" si="22"/>
        <v>#REF!</v>
      </c>
      <c r="K233" s="810" t="str">
        <f t="shared" si="22"/>
        <v>#REF!</v>
      </c>
      <c r="L233" s="810" t="str">
        <f t="shared" si="22"/>
        <v>#REF!</v>
      </c>
      <c r="M233" s="810" t="str">
        <f t="shared" si="22"/>
        <v>#REF!</v>
      </c>
      <c r="N233" s="817" t="str">
        <f>M233*(N234+N264)/(M234+M264)</f>
        <v>#REF!</v>
      </c>
      <c r="O233" s="810" t="str">
        <f>#REF!</f>
        <v>#REF!</v>
      </c>
      <c r="P233" s="100" t="s">
        <v>2546</v>
      </c>
      <c r="Q233" s="100"/>
      <c r="R233" s="100"/>
      <c r="S233" s="8"/>
    </row>
    <row r="234" ht="14.25" customHeight="1">
      <c r="A234" s="100" t="s">
        <v>2174</v>
      </c>
      <c r="B234" s="100"/>
      <c r="C234" s="100" t="s">
        <v>2507</v>
      </c>
      <c r="D234" s="100"/>
      <c r="E234" s="810" t="str">
        <f t="shared" ref="E234:O234" si="23">#REF!</f>
        <v>#REF!</v>
      </c>
      <c r="F234" s="810" t="str">
        <f t="shared" si="23"/>
        <v>#REF!</v>
      </c>
      <c r="G234" s="810" t="str">
        <f t="shared" si="23"/>
        <v>#REF!</v>
      </c>
      <c r="H234" s="810" t="str">
        <f t="shared" si="23"/>
        <v>#REF!</v>
      </c>
      <c r="I234" s="810" t="str">
        <f t="shared" si="23"/>
        <v>#REF!</v>
      </c>
      <c r="J234" s="810" t="str">
        <f t="shared" si="23"/>
        <v>#REF!</v>
      </c>
      <c r="K234" s="810" t="str">
        <f t="shared" si="23"/>
        <v>#REF!</v>
      </c>
      <c r="L234" s="810" t="str">
        <f t="shared" si="23"/>
        <v>#REF!</v>
      </c>
      <c r="M234" s="810" t="str">
        <f t="shared" si="23"/>
        <v>#REF!</v>
      </c>
      <c r="N234" s="810" t="str">
        <f t="shared" si="23"/>
        <v>#REF!</v>
      </c>
      <c r="O234" s="810" t="str">
        <f t="shared" si="23"/>
        <v>#REF!</v>
      </c>
      <c r="P234" s="100"/>
      <c r="Q234" s="100"/>
      <c r="R234" s="100"/>
      <c r="S234" s="8"/>
    </row>
    <row r="235" ht="14.25" customHeight="1">
      <c r="A235" s="100" t="s">
        <v>2174</v>
      </c>
      <c r="B235" s="100" t="s">
        <v>2335</v>
      </c>
      <c r="C235" s="100" t="s">
        <v>2325</v>
      </c>
      <c r="D235" s="100" t="s">
        <v>135</v>
      </c>
      <c r="E235" s="810">
        <v>11.7858</v>
      </c>
      <c r="F235" s="810">
        <v>11.6637</v>
      </c>
      <c r="G235" s="810">
        <v>11.9354</v>
      </c>
      <c r="H235" s="810">
        <v>11.5437</v>
      </c>
      <c r="I235" s="810">
        <v>11.5765</v>
      </c>
      <c r="J235" s="810">
        <v>11.5703</v>
      </c>
      <c r="K235" s="810">
        <v>12.5241</v>
      </c>
      <c r="L235" s="810">
        <v>12.7304</v>
      </c>
      <c r="M235" s="810">
        <v>12.2441</v>
      </c>
      <c r="N235" s="810">
        <v>12.8753</v>
      </c>
      <c r="O235" s="810" t="s">
        <v>2434</v>
      </c>
      <c r="P235" s="100" t="s">
        <v>2616</v>
      </c>
      <c r="Q235" s="100"/>
      <c r="R235" s="100"/>
      <c r="S235" s="8"/>
    </row>
    <row r="236" ht="14.25" customHeight="1">
      <c r="A236" s="100" t="s">
        <v>2174</v>
      </c>
      <c r="B236" s="100" t="s">
        <v>2335</v>
      </c>
      <c r="C236" s="100" t="s">
        <v>2329</v>
      </c>
      <c r="D236" s="100" t="s">
        <v>135</v>
      </c>
      <c r="E236" s="810">
        <v>48.6315</v>
      </c>
      <c r="F236" s="810">
        <v>45.6598</v>
      </c>
      <c r="G236" s="810">
        <v>46.8846</v>
      </c>
      <c r="H236" s="810">
        <v>48.6282</v>
      </c>
      <c r="I236" s="810">
        <v>49.9682</v>
      </c>
      <c r="J236" s="810">
        <v>49.9504</v>
      </c>
      <c r="K236" s="810">
        <v>50.0862</v>
      </c>
      <c r="L236" s="810">
        <v>48.3166</v>
      </c>
      <c r="M236" s="810">
        <v>48.7276</v>
      </c>
      <c r="N236" s="810">
        <v>46.4105</v>
      </c>
      <c r="O236" s="810" t="s">
        <v>2434</v>
      </c>
      <c r="P236" s="100" t="s">
        <v>2549</v>
      </c>
      <c r="Q236" s="100"/>
      <c r="R236" s="100"/>
      <c r="S236" s="8"/>
    </row>
    <row r="237" ht="14.25" customHeight="1">
      <c r="A237" s="100" t="s">
        <v>2174</v>
      </c>
      <c r="B237" s="100" t="s">
        <v>2335</v>
      </c>
      <c r="C237" s="100" t="s">
        <v>2333</v>
      </c>
      <c r="D237" s="100" t="s">
        <v>135</v>
      </c>
      <c r="E237" s="810">
        <v>8.3953</v>
      </c>
      <c r="F237" s="810">
        <v>10.2674</v>
      </c>
      <c r="G237" s="810">
        <v>9.4767</v>
      </c>
      <c r="H237" s="810">
        <v>9.0698</v>
      </c>
      <c r="I237" s="810">
        <v>9.4884</v>
      </c>
      <c r="J237" s="810">
        <v>10.1395</v>
      </c>
      <c r="K237" s="810">
        <v>9.7326</v>
      </c>
      <c r="L237" s="810">
        <v>10.5784</v>
      </c>
      <c r="M237" s="810">
        <v>9.6967</v>
      </c>
      <c r="N237" s="810">
        <v>9.1651</v>
      </c>
      <c r="O237" s="810" t="s">
        <v>2434</v>
      </c>
      <c r="P237" s="100" t="s">
        <v>2546</v>
      </c>
      <c r="Q237" s="100"/>
      <c r="R237" s="100"/>
      <c r="S237" s="8"/>
    </row>
    <row r="238" ht="14.25" customHeight="1">
      <c r="A238" s="100" t="s">
        <v>2174</v>
      </c>
      <c r="B238" s="100" t="s">
        <v>2335</v>
      </c>
      <c r="C238" s="100" t="s">
        <v>2364</v>
      </c>
      <c r="D238" s="100" t="s">
        <v>135</v>
      </c>
      <c r="E238" s="810">
        <v>2.4482</v>
      </c>
      <c r="F238" s="810">
        <v>2.2233</v>
      </c>
      <c r="G238" s="810">
        <v>1.5204</v>
      </c>
      <c r="H238" s="810">
        <v>1.5229</v>
      </c>
      <c r="I238" s="810">
        <v>1.5442</v>
      </c>
      <c r="J238" s="810">
        <v>1.625</v>
      </c>
      <c r="K238" s="810">
        <v>1.6334</v>
      </c>
      <c r="L238" s="810">
        <v>1.8183</v>
      </c>
      <c r="M238" s="810">
        <v>1.6769</v>
      </c>
      <c r="N238" s="810">
        <v>1.7564</v>
      </c>
      <c r="O238" s="810" t="s">
        <v>2434</v>
      </c>
      <c r="P238" s="100" t="s">
        <v>2617</v>
      </c>
      <c r="Q238" s="100"/>
      <c r="R238" s="100"/>
      <c r="S238" s="8"/>
    </row>
    <row r="239" ht="14.25" customHeight="1">
      <c r="A239" s="100" t="s">
        <v>2174</v>
      </c>
      <c r="B239" s="100" t="s">
        <v>2335</v>
      </c>
      <c r="C239" s="100" t="s">
        <v>2337</v>
      </c>
      <c r="D239" s="100" t="s">
        <v>135</v>
      </c>
      <c r="E239" s="810">
        <v>0.0511</v>
      </c>
      <c r="F239" s="810">
        <v>0.0327</v>
      </c>
      <c r="G239" s="810">
        <v>0.0253</v>
      </c>
      <c r="H239" s="810">
        <v>0.053</v>
      </c>
      <c r="I239" s="810">
        <v>0.0651</v>
      </c>
      <c r="J239" s="810">
        <v>0.0625</v>
      </c>
      <c r="K239" s="810">
        <v>0.0725</v>
      </c>
      <c r="L239" s="810">
        <v>0.0722</v>
      </c>
      <c r="M239" s="810">
        <v>0.0702</v>
      </c>
      <c r="N239" s="810">
        <v>0.0683</v>
      </c>
      <c r="O239" s="810">
        <v>0.0673</v>
      </c>
      <c r="P239" s="100" t="s">
        <v>2512</v>
      </c>
      <c r="Q239" s="100"/>
      <c r="R239" s="100"/>
      <c r="S239" s="8"/>
    </row>
    <row r="240" ht="14.25" customHeight="1">
      <c r="A240" s="100" t="s">
        <v>2174</v>
      </c>
      <c r="B240" s="100" t="s">
        <v>2335</v>
      </c>
      <c r="C240" s="100" t="s">
        <v>2341</v>
      </c>
      <c r="D240" s="100" t="s">
        <v>135</v>
      </c>
      <c r="E240" s="810">
        <v>12.9767</v>
      </c>
      <c r="F240" s="810">
        <v>12.5306</v>
      </c>
      <c r="G240" s="810">
        <v>12.588</v>
      </c>
      <c r="H240" s="810">
        <v>12.0757</v>
      </c>
      <c r="I240" s="810">
        <v>11.34</v>
      </c>
      <c r="J240" s="810">
        <v>10.8341</v>
      </c>
      <c r="K240" s="810">
        <v>10.0602</v>
      </c>
      <c r="L240" s="810">
        <v>12.1674</v>
      </c>
      <c r="M240" s="810">
        <v>12.1186</v>
      </c>
      <c r="N240" s="810">
        <v>12.145</v>
      </c>
      <c r="O240" s="810" t="s">
        <v>2434</v>
      </c>
      <c r="P240" s="100" t="s">
        <v>2546</v>
      </c>
      <c r="Q240" s="100"/>
      <c r="R240" s="100"/>
      <c r="S240" s="8"/>
    </row>
    <row r="241" ht="14.25" customHeight="1">
      <c r="A241" s="100" t="s">
        <v>2174</v>
      </c>
      <c r="B241" s="100" t="s">
        <v>2335</v>
      </c>
      <c r="C241" s="100" t="s">
        <v>2348</v>
      </c>
      <c r="D241" s="100" t="s">
        <v>135</v>
      </c>
      <c r="E241" s="810">
        <v>3.0637</v>
      </c>
      <c r="F241" s="810">
        <v>3.1468</v>
      </c>
      <c r="G241" s="810">
        <v>3.2183</v>
      </c>
      <c r="H241" s="810">
        <v>3.1873</v>
      </c>
      <c r="I241" s="810">
        <v>3.1003</v>
      </c>
      <c r="J241" s="810">
        <v>3.0519</v>
      </c>
      <c r="K241" s="810">
        <v>3.4786</v>
      </c>
      <c r="L241" s="810">
        <v>3.1581</v>
      </c>
      <c r="M241" s="810">
        <v>2.9118</v>
      </c>
      <c r="N241" s="810">
        <v>2.8555</v>
      </c>
      <c r="O241" s="810" t="s">
        <v>2434</v>
      </c>
      <c r="P241" s="100" t="s">
        <v>2633</v>
      </c>
      <c r="Q241" s="100"/>
      <c r="R241" s="100"/>
      <c r="S241" s="8"/>
    </row>
    <row r="242" ht="14.25" customHeight="1">
      <c r="A242" s="100" t="s">
        <v>2174</v>
      </c>
      <c r="B242" s="100" t="s">
        <v>2335</v>
      </c>
      <c r="C242" s="100" t="s">
        <v>2350</v>
      </c>
      <c r="D242" s="100" t="s">
        <v>135</v>
      </c>
      <c r="E242" s="810">
        <v>0.5797</v>
      </c>
      <c r="F242" s="810">
        <v>0.4742</v>
      </c>
      <c r="G242" s="810">
        <v>0.5412</v>
      </c>
      <c r="H242" s="810">
        <v>0.8671</v>
      </c>
      <c r="I242" s="810">
        <v>0.3558</v>
      </c>
      <c r="J242" s="810">
        <v>0.4897</v>
      </c>
      <c r="K242" s="810">
        <v>0.4402</v>
      </c>
      <c r="L242" s="810">
        <v>0.4224</v>
      </c>
      <c r="M242" s="810">
        <v>0.3868</v>
      </c>
      <c r="N242" s="810">
        <v>0.4032</v>
      </c>
      <c r="O242" s="810" t="s">
        <v>2434</v>
      </c>
      <c r="P242" s="100" t="s">
        <v>2400</v>
      </c>
      <c r="Q242" s="100"/>
      <c r="R242" s="100"/>
      <c r="S242" s="8"/>
    </row>
    <row r="243" ht="14.25" customHeight="1">
      <c r="A243" s="100" t="s">
        <v>2174</v>
      </c>
      <c r="B243" s="100" t="s">
        <v>2335</v>
      </c>
      <c r="C243" s="100" t="s">
        <v>2354</v>
      </c>
      <c r="D243" s="100" t="s">
        <v>135</v>
      </c>
      <c r="E243" s="810">
        <v>11.6195</v>
      </c>
      <c r="F243" s="810">
        <v>12.116</v>
      </c>
      <c r="G243" s="810">
        <v>11.8498</v>
      </c>
      <c r="H243" s="810">
        <v>12.2713</v>
      </c>
      <c r="I243" s="810">
        <v>11.388</v>
      </c>
      <c r="J243" s="810">
        <v>11.4434</v>
      </c>
      <c r="K243" s="810">
        <v>11.8209</v>
      </c>
      <c r="L243" s="810">
        <v>10.9603</v>
      </c>
      <c r="M243" s="810">
        <v>12.7912</v>
      </c>
      <c r="N243" s="810">
        <v>11.4133</v>
      </c>
      <c r="O243" s="810" t="s">
        <v>2434</v>
      </c>
      <c r="P243" s="100" t="s">
        <v>2556</v>
      </c>
      <c r="Q243" s="100"/>
      <c r="R243" s="100"/>
      <c r="S243" s="8"/>
    </row>
    <row r="244" ht="14.25" customHeight="1">
      <c r="A244" s="100" t="s">
        <v>2174</v>
      </c>
      <c r="B244" s="100" t="s">
        <v>2335</v>
      </c>
      <c r="C244" s="100" t="s">
        <v>2356</v>
      </c>
      <c r="D244" s="100" t="s">
        <v>135</v>
      </c>
      <c r="E244" s="810">
        <v>76.2818</v>
      </c>
      <c r="F244" s="810">
        <v>77.2822</v>
      </c>
      <c r="G244" s="810">
        <v>74.7486</v>
      </c>
      <c r="H244" s="810">
        <v>80.3277</v>
      </c>
      <c r="I244" s="810">
        <v>80.5858</v>
      </c>
      <c r="J244" s="810">
        <v>75.382</v>
      </c>
      <c r="K244" s="810">
        <v>76.0527</v>
      </c>
      <c r="L244" s="810">
        <v>70.0835</v>
      </c>
      <c r="M244" s="810">
        <v>72.7471</v>
      </c>
      <c r="N244" s="810">
        <v>75.8526</v>
      </c>
      <c r="O244" s="810" t="s">
        <v>2434</v>
      </c>
      <c r="P244" s="100" t="s">
        <v>2546</v>
      </c>
      <c r="Q244" s="100"/>
      <c r="R244" s="100"/>
      <c r="S244" s="8"/>
    </row>
    <row r="245" ht="14.25" customHeight="1">
      <c r="A245" s="100" t="s">
        <v>2174</v>
      </c>
      <c r="B245" s="100" t="s">
        <v>2335</v>
      </c>
      <c r="C245" s="100" t="s">
        <v>2344</v>
      </c>
      <c r="D245" s="100" t="s">
        <v>135</v>
      </c>
      <c r="E245" s="810">
        <v>158.821</v>
      </c>
      <c r="F245" s="810">
        <v>167.347</v>
      </c>
      <c r="G245" s="810">
        <v>164.8363</v>
      </c>
      <c r="H245" s="810">
        <v>160.4074</v>
      </c>
      <c r="I245" s="810">
        <v>161.595</v>
      </c>
      <c r="J245" s="810">
        <v>162.8461</v>
      </c>
      <c r="K245" s="810">
        <v>165.4385</v>
      </c>
      <c r="L245" s="810">
        <v>184.8397</v>
      </c>
      <c r="M245" s="810">
        <v>171.1955</v>
      </c>
      <c r="N245" s="810">
        <v>165.732</v>
      </c>
      <c r="O245" s="810" t="s">
        <v>2434</v>
      </c>
      <c r="P245" s="100" t="s">
        <v>2634</v>
      </c>
      <c r="Q245" s="100"/>
      <c r="R245" s="100"/>
      <c r="S245" s="8"/>
    </row>
    <row r="246" ht="14.25" customHeight="1">
      <c r="A246" s="100" t="s">
        <v>2174</v>
      </c>
      <c r="B246" s="100" t="s">
        <v>2335</v>
      </c>
      <c r="C246" s="100" t="s">
        <v>2362</v>
      </c>
      <c r="D246" s="100" t="s">
        <v>135</v>
      </c>
      <c r="E246" s="810">
        <v>2.259</v>
      </c>
      <c r="F246" s="810">
        <v>2.0213</v>
      </c>
      <c r="G246" s="810">
        <v>1.1699</v>
      </c>
      <c r="H246" s="810">
        <v>1.2938</v>
      </c>
      <c r="I246" s="810">
        <v>1.8804</v>
      </c>
      <c r="J246" s="810">
        <v>2.584</v>
      </c>
      <c r="K246" s="810">
        <v>1.7901</v>
      </c>
      <c r="L246" s="810">
        <v>1.4086</v>
      </c>
      <c r="M246" s="810">
        <v>1.5113</v>
      </c>
      <c r="N246" s="810">
        <v>1.034</v>
      </c>
      <c r="O246" s="810" t="s">
        <v>2434</v>
      </c>
      <c r="P246" s="100" t="s">
        <v>2622</v>
      </c>
      <c r="Q246" s="100"/>
      <c r="R246" s="100"/>
      <c r="S246" s="8"/>
    </row>
    <row r="247" ht="14.25" customHeight="1">
      <c r="A247" s="100" t="s">
        <v>2174</v>
      </c>
      <c r="B247" s="100" t="s">
        <v>2335</v>
      </c>
      <c r="C247" s="100" t="s">
        <v>2367</v>
      </c>
      <c r="D247" s="100" t="s">
        <v>135</v>
      </c>
      <c r="E247" s="810">
        <v>5.9303</v>
      </c>
      <c r="F247" s="810">
        <v>9.6127</v>
      </c>
      <c r="G247" s="810">
        <v>9.5584</v>
      </c>
      <c r="H247" s="810">
        <v>12.1779</v>
      </c>
      <c r="I247" s="810">
        <v>12.1459</v>
      </c>
      <c r="J247" s="810">
        <v>12.7411</v>
      </c>
      <c r="K247" s="810">
        <v>12.6189</v>
      </c>
      <c r="L247" s="810">
        <v>13.4232</v>
      </c>
      <c r="M247" s="810">
        <v>13.2865</v>
      </c>
      <c r="N247" s="810">
        <v>13.1586</v>
      </c>
      <c r="O247" s="810" t="s">
        <v>2434</v>
      </c>
      <c r="P247" s="100" t="s">
        <v>2546</v>
      </c>
      <c r="Q247" s="100"/>
      <c r="R247" s="100"/>
      <c r="S247" s="8"/>
    </row>
    <row r="248" ht="14.25" customHeight="1">
      <c r="A248" s="100" t="s">
        <v>2174</v>
      </c>
      <c r="B248" s="100" t="s">
        <v>2335</v>
      </c>
      <c r="C248" s="100" t="s">
        <v>2369</v>
      </c>
      <c r="D248" s="100" t="s">
        <v>135</v>
      </c>
      <c r="E248" s="810">
        <v>2.6591</v>
      </c>
      <c r="F248" s="810">
        <v>2.5022</v>
      </c>
      <c r="G248" s="810">
        <v>2.5222</v>
      </c>
      <c r="H248" s="810">
        <v>2.4076</v>
      </c>
      <c r="I248" s="810">
        <v>2.4251</v>
      </c>
      <c r="J248" s="810">
        <v>2.6267</v>
      </c>
      <c r="K248" s="810">
        <v>2.7002</v>
      </c>
      <c r="L248" s="810">
        <v>2.7846</v>
      </c>
      <c r="M248" s="810">
        <v>2.9433</v>
      </c>
      <c r="N248" s="810">
        <v>3.008</v>
      </c>
      <c r="O248" s="810" t="s">
        <v>2434</v>
      </c>
      <c r="P248" s="100" t="s">
        <v>2623</v>
      </c>
      <c r="Q248" s="100"/>
      <c r="R248" s="100"/>
      <c r="S248" s="8"/>
    </row>
    <row r="249" ht="14.25" customHeight="1">
      <c r="A249" s="100" t="s">
        <v>2174</v>
      </c>
      <c r="B249" s="100" t="s">
        <v>2335</v>
      </c>
      <c r="C249" s="100" t="s">
        <v>2374</v>
      </c>
      <c r="D249" s="100" t="s">
        <v>135</v>
      </c>
      <c r="E249" s="810">
        <v>49.3214</v>
      </c>
      <c r="F249" s="810">
        <v>47.6556</v>
      </c>
      <c r="G249" s="810">
        <v>47.8176</v>
      </c>
      <c r="H249" s="810">
        <v>48.1002</v>
      </c>
      <c r="I249" s="810">
        <v>43.2872</v>
      </c>
      <c r="J249" s="810">
        <v>38.2791</v>
      </c>
      <c r="K249" s="810">
        <v>40.7725</v>
      </c>
      <c r="L249" s="810">
        <v>42.4901</v>
      </c>
      <c r="M249" s="810">
        <v>38.1162</v>
      </c>
      <c r="N249" s="810">
        <v>40.6506</v>
      </c>
      <c r="O249" s="810" t="s">
        <v>2434</v>
      </c>
      <c r="P249" s="100" t="s">
        <v>2624</v>
      </c>
      <c r="Q249" s="100"/>
      <c r="R249" s="100"/>
      <c r="S249" s="8"/>
    </row>
    <row r="250" ht="14.25" customHeight="1">
      <c r="A250" s="100" t="s">
        <v>2174</v>
      </c>
      <c r="B250" s="100" t="s">
        <v>2335</v>
      </c>
      <c r="C250" s="100" t="s">
        <v>2386</v>
      </c>
      <c r="D250" s="100" t="s">
        <v>135</v>
      </c>
      <c r="E250" s="810">
        <v>0.3236</v>
      </c>
      <c r="F250" s="810">
        <v>0.2711</v>
      </c>
      <c r="G250" s="810">
        <v>0.2844</v>
      </c>
      <c r="H250" s="810">
        <v>0.2927</v>
      </c>
      <c r="I250" s="810">
        <v>0.2894</v>
      </c>
      <c r="J250" s="810">
        <v>0.2755</v>
      </c>
      <c r="K250" s="810">
        <v>0.2758</v>
      </c>
      <c r="L250" s="810">
        <v>0.3004</v>
      </c>
      <c r="M250" s="810">
        <v>0.3096</v>
      </c>
      <c r="N250" s="810">
        <v>0.2464</v>
      </c>
      <c r="O250" s="810" t="s">
        <v>2434</v>
      </c>
      <c r="P250" s="100" t="s">
        <v>2625</v>
      </c>
      <c r="Q250" s="100"/>
      <c r="R250" s="100"/>
      <c r="S250" s="8"/>
    </row>
    <row r="251" ht="14.25" customHeight="1">
      <c r="A251" s="100" t="s">
        <v>2174</v>
      </c>
      <c r="B251" s="100" t="s">
        <v>2335</v>
      </c>
      <c r="C251" s="100" t="s">
        <v>2378</v>
      </c>
      <c r="D251" s="100" t="s">
        <v>135</v>
      </c>
      <c r="E251" s="810">
        <v>4.0667</v>
      </c>
      <c r="F251" s="810">
        <v>4.554</v>
      </c>
      <c r="G251" s="810">
        <v>4.8125</v>
      </c>
      <c r="H251" s="810">
        <v>4.214</v>
      </c>
      <c r="I251" s="810">
        <v>4.6291</v>
      </c>
      <c r="J251" s="810">
        <v>4.1707</v>
      </c>
      <c r="K251" s="810">
        <v>3.9502</v>
      </c>
      <c r="L251" s="810">
        <v>4.8715</v>
      </c>
      <c r="M251" s="810">
        <v>4.7932</v>
      </c>
      <c r="N251" s="810">
        <v>4.8537</v>
      </c>
      <c r="O251" s="810" t="s">
        <v>2434</v>
      </c>
      <c r="P251" s="100" t="s">
        <v>2567</v>
      </c>
      <c r="Q251" s="100"/>
      <c r="R251" s="100"/>
      <c r="S251" s="8"/>
    </row>
    <row r="252" ht="14.25" customHeight="1">
      <c r="A252" s="100" t="s">
        <v>2174</v>
      </c>
      <c r="B252" s="100" t="s">
        <v>2335</v>
      </c>
      <c r="C252" s="100" t="s">
        <v>2383</v>
      </c>
      <c r="D252" s="100" t="s">
        <v>135</v>
      </c>
      <c r="E252" s="810">
        <v>0.5349</v>
      </c>
      <c r="F252" s="810">
        <v>0.6628</v>
      </c>
      <c r="G252" s="810">
        <v>0.6977</v>
      </c>
      <c r="H252" s="810">
        <v>0.814</v>
      </c>
      <c r="I252" s="810">
        <v>0.686</v>
      </c>
      <c r="J252" s="810">
        <v>0.5814</v>
      </c>
      <c r="K252" s="810">
        <v>0.593</v>
      </c>
      <c r="L252" s="810">
        <v>0.5</v>
      </c>
      <c r="M252" s="810">
        <v>0.3488</v>
      </c>
      <c r="N252" s="810">
        <v>0.3372</v>
      </c>
      <c r="O252" s="810" t="s">
        <v>2434</v>
      </c>
      <c r="P252" s="100" t="s">
        <v>2523</v>
      </c>
      <c r="Q252" s="100"/>
      <c r="R252" s="100"/>
      <c r="S252" s="8"/>
    </row>
    <row r="253" ht="14.25" customHeight="1">
      <c r="A253" s="100" t="s">
        <v>2174</v>
      </c>
      <c r="B253" s="100" t="s">
        <v>2335</v>
      </c>
      <c r="C253" s="100" t="s">
        <v>2389</v>
      </c>
      <c r="D253" s="100" t="s">
        <v>135</v>
      </c>
      <c r="E253" s="810">
        <v>0.038</v>
      </c>
      <c r="F253" s="810">
        <v>0.038</v>
      </c>
      <c r="G253" s="810">
        <v>0.04</v>
      </c>
      <c r="H253" s="810">
        <v>0.04</v>
      </c>
      <c r="I253" s="810">
        <v>0.041</v>
      </c>
      <c r="J253" s="810">
        <v>0.041</v>
      </c>
      <c r="K253" s="810">
        <v>0.045</v>
      </c>
      <c r="L253" s="810">
        <v>0.0506</v>
      </c>
      <c r="M253" s="810">
        <v>0.0472</v>
      </c>
      <c r="N253" s="810">
        <v>0.0474</v>
      </c>
      <c r="O253" s="810" t="s">
        <v>2434</v>
      </c>
      <c r="P253" s="100" t="s">
        <v>2635</v>
      </c>
      <c r="Q253" s="100"/>
      <c r="R253" s="100"/>
      <c r="S253" s="8"/>
    </row>
    <row r="254" ht="14.25" customHeight="1">
      <c r="A254" s="100" t="s">
        <v>2174</v>
      </c>
      <c r="B254" s="100" t="s">
        <v>2335</v>
      </c>
      <c r="C254" s="100" t="s">
        <v>2391</v>
      </c>
      <c r="D254" s="100" t="s">
        <v>135</v>
      </c>
      <c r="E254" s="810">
        <v>86.6596</v>
      </c>
      <c r="F254" s="810">
        <v>82.6996</v>
      </c>
      <c r="G254" s="810">
        <v>85.3283</v>
      </c>
      <c r="H254" s="810">
        <v>84.0909</v>
      </c>
      <c r="I254" s="810">
        <v>82.782</v>
      </c>
      <c r="J254" s="810">
        <v>80.766</v>
      </c>
      <c r="K254" s="810">
        <v>86.0141</v>
      </c>
      <c r="L254" s="810">
        <v>85.484</v>
      </c>
      <c r="M254" s="810">
        <v>83.6114</v>
      </c>
      <c r="N254" s="810">
        <v>82.3281</v>
      </c>
      <c r="O254" s="810" t="s">
        <v>2434</v>
      </c>
      <c r="P254" s="100" t="s">
        <v>2546</v>
      </c>
      <c r="Q254" s="100"/>
      <c r="R254" s="100"/>
      <c r="S254" s="8"/>
    </row>
    <row r="255" ht="14.25" customHeight="1">
      <c r="A255" s="100" t="s">
        <v>2174</v>
      </c>
      <c r="B255" s="100" t="s">
        <v>2335</v>
      </c>
      <c r="C255" s="100" t="s">
        <v>2393</v>
      </c>
      <c r="D255" s="100" t="s">
        <v>135</v>
      </c>
      <c r="E255" s="810">
        <v>31.9806</v>
      </c>
      <c r="F255" s="810">
        <v>32.9521</v>
      </c>
      <c r="G255" s="810">
        <v>32.4696</v>
      </c>
      <c r="H255" s="810">
        <v>32.8895</v>
      </c>
      <c r="I255" s="810">
        <v>31.5468</v>
      </c>
      <c r="J255" s="810">
        <v>30.2098</v>
      </c>
      <c r="K255" s="810">
        <v>29.8217</v>
      </c>
      <c r="L255" s="810">
        <v>31.2406</v>
      </c>
      <c r="M255" s="810">
        <v>33.1152</v>
      </c>
      <c r="N255" s="810">
        <v>35.9227</v>
      </c>
      <c r="O255" s="810" t="s">
        <v>2434</v>
      </c>
      <c r="P255" s="100" t="s">
        <v>2526</v>
      </c>
      <c r="Q255" s="100"/>
      <c r="R255" s="100"/>
      <c r="S255" s="8"/>
    </row>
    <row r="256" ht="14.25" customHeight="1">
      <c r="A256" s="100" t="s">
        <v>2174</v>
      </c>
      <c r="B256" s="100" t="s">
        <v>2335</v>
      </c>
      <c r="C256" s="100" t="s">
        <v>2395</v>
      </c>
      <c r="D256" s="100" t="s">
        <v>135</v>
      </c>
      <c r="E256" s="810">
        <v>6.7941</v>
      </c>
      <c r="F256" s="810">
        <v>6.3912</v>
      </c>
      <c r="G256" s="810">
        <v>5.773</v>
      </c>
      <c r="H256" s="810">
        <v>5.4433</v>
      </c>
      <c r="I256" s="810">
        <v>4.7971</v>
      </c>
      <c r="J256" s="810">
        <v>4.731</v>
      </c>
      <c r="K256" s="810">
        <v>4.8968</v>
      </c>
      <c r="L256" s="810">
        <v>5.0857</v>
      </c>
      <c r="M256" s="810">
        <v>5.4599</v>
      </c>
      <c r="N256" s="810">
        <v>5.7045</v>
      </c>
      <c r="O256" s="810" t="s">
        <v>2434</v>
      </c>
      <c r="P256" s="100" t="s">
        <v>2626</v>
      </c>
      <c r="Q256" s="100"/>
      <c r="R256" s="100"/>
      <c r="S256" s="8"/>
    </row>
    <row r="257" ht="14.25" customHeight="1">
      <c r="A257" s="100" t="s">
        <v>2174</v>
      </c>
      <c r="B257" s="100" t="s">
        <v>2335</v>
      </c>
      <c r="C257" s="100" t="s">
        <v>2397</v>
      </c>
      <c r="D257" s="100" t="s">
        <v>135</v>
      </c>
      <c r="E257" s="810">
        <v>22.2474</v>
      </c>
      <c r="F257" s="810">
        <v>24.4767</v>
      </c>
      <c r="G257" s="810">
        <v>20.8023</v>
      </c>
      <c r="H257" s="810">
        <v>19.1628</v>
      </c>
      <c r="I257" s="810">
        <v>19.2442</v>
      </c>
      <c r="J257" s="810">
        <v>14.4886</v>
      </c>
      <c r="K257" s="810">
        <v>12.9535</v>
      </c>
      <c r="L257" s="810">
        <v>13.4651</v>
      </c>
      <c r="M257" s="810">
        <v>13.0814</v>
      </c>
      <c r="N257" s="810">
        <v>12.7791</v>
      </c>
      <c r="O257" s="810" t="s">
        <v>2434</v>
      </c>
      <c r="P257" s="100" t="s">
        <v>2528</v>
      </c>
      <c r="Q257" s="100"/>
      <c r="R257" s="100"/>
      <c r="S257" s="8"/>
    </row>
    <row r="258" ht="14.25" customHeight="1">
      <c r="A258" s="100" t="s">
        <v>2174</v>
      </c>
      <c r="B258" s="100" t="s">
        <v>2335</v>
      </c>
      <c r="C258" s="100" t="s">
        <v>2411</v>
      </c>
      <c r="D258" s="100" t="s">
        <v>135</v>
      </c>
      <c r="E258" s="810">
        <v>3.7545</v>
      </c>
      <c r="F258" s="810">
        <v>3.5948</v>
      </c>
      <c r="G258" s="810">
        <v>4.6729</v>
      </c>
      <c r="H258" s="810">
        <v>3.3606</v>
      </c>
      <c r="I258" s="810">
        <v>3.0046</v>
      </c>
      <c r="J258" s="810">
        <v>3.8916</v>
      </c>
      <c r="K258" s="810">
        <v>3.9081</v>
      </c>
      <c r="L258" s="810">
        <v>3.9873</v>
      </c>
      <c r="M258" s="810">
        <v>5.3007</v>
      </c>
      <c r="N258" s="810">
        <v>5.0359</v>
      </c>
      <c r="O258" s="810" t="s">
        <v>2434</v>
      </c>
      <c r="P258" s="100" t="s">
        <v>2546</v>
      </c>
      <c r="Q258" s="100"/>
      <c r="R258" s="100"/>
      <c r="S258" s="8"/>
    </row>
    <row r="259" ht="14.25" customHeight="1">
      <c r="A259" s="100" t="s">
        <v>2174</v>
      </c>
      <c r="B259" s="100" t="s">
        <v>2335</v>
      </c>
      <c r="C259" s="100" t="s">
        <v>2406</v>
      </c>
      <c r="D259" s="100" t="s">
        <v>135</v>
      </c>
      <c r="E259" s="810">
        <v>1.9622</v>
      </c>
      <c r="F259" s="810">
        <v>1.8192</v>
      </c>
      <c r="G259" s="810">
        <v>1.7301</v>
      </c>
      <c r="H259" s="810">
        <v>1.738</v>
      </c>
      <c r="I259" s="810">
        <v>1.7624</v>
      </c>
      <c r="J259" s="810">
        <v>1.8583</v>
      </c>
      <c r="K259" s="810">
        <v>1.8966</v>
      </c>
      <c r="L259" s="810">
        <v>1.9061</v>
      </c>
      <c r="M259" s="810">
        <v>1.7681</v>
      </c>
      <c r="N259" s="810">
        <v>1.7908</v>
      </c>
      <c r="O259" s="810" t="s">
        <v>2434</v>
      </c>
      <c r="P259" s="100" t="s">
        <v>2628</v>
      </c>
      <c r="Q259" s="100"/>
      <c r="R259" s="100"/>
      <c r="S259" s="8"/>
    </row>
    <row r="260" ht="14.25" customHeight="1">
      <c r="A260" s="100" t="s">
        <v>2174</v>
      </c>
      <c r="B260" s="100" t="s">
        <v>2335</v>
      </c>
      <c r="C260" s="100" t="s">
        <v>2352</v>
      </c>
      <c r="D260" s="100" t="s">
        <v>135</v>
      </c>
      <c r="E260" s="810">
        <v>37.0839</v>
      </c>
      <c r="F260" s="810">
        <v>44.6536</v>
      </c>
      <c r="G260" s="810">
        <v>47.5561</v>
      </c>
      <c r="H260" s="810">
        <v>46.959</v>
      </c>
      <c r="I260" s="810">
        <v>45.7565</v>
      </c>
      <c r="J260" s="810">
        <v>33.0615</v>
      </c>
      <c r="K260" s="810">
        <v>31.3435</v>
      </c>
      <c r="L260" s="810">
        <v>36.3715</v>
      </c>
      <c r="M260" s="810">
        <v>40.7958</v>
      </c>
      <c r="N260" s="810">
        <v>41.7765</v>
      </c>
      <c r="O260" s="810" t="s">
        <v>2434</v>
      </c>
      <c r="P260" s="100" t="s">
        <v>2629</v>
      </c>
      <c r="Q260" s="100"/>
      <c r="R260" s="100"/>
      <c r="S260" s="8"/>
    </row>
    <row r="261" ht="14.25" customHeight="1">
      <c r="A261" s="100" t="s">
        <v>2174</v>
      </c>
      <c r="B261" s="100" t="s">
        <v>2335</v>
      </c>
      <c r="C261" s="100" t="s">
        <v>2400</v>
      </c>
      <c r="D261" s="100" t="s">
        <v>135</v>
      </c>
      <c r="E261" s="810">
        <v>10.8902</v>
      </c>
      <c r="F261" s="810">
        <v>10.5993</v>
      </c>
      <c r="G261" s="810">
        <v>10.2032</v>
      </c>
      <c r="H261" s="810">
        <v>11.503</v>
      </c>
      <c r="I261" s="810">
        <v>11.0197</v>
      </c>
      <c r="J261" s="810">
        <v>10.5761</v>
      </c>
      <c r="K261" s="810">
        <v>11.7423</v>
      </c>
      <c r="L261" s="810">
        <v>11.6757</v>
      </c>
      <c r="M261" s="810">
        <v>11.221</v>
      </c>
      <c r="N261" s="810">
        <v>10.8828</v>
      </c>
      <c r="O261" s="810" t="s">
        <v>2434</v>
      </c>
      <c r="P261" s="100" t="s">
        <v>2630</v>
      </c>
      <c r="Q261" s="100"/>
      <c r="R261" s="100"/>
      <c r="S261" s="8"/>
    </row>
    <row r="262" ht="14.25" customHeight="1">
      <c r="A262" s="100" t="s">
        <v>2174</v>
      </c>
      <c r="B262" s="100" t="s">
        <v>2335</v>
      </c>
      <c r="C262" s="100" t="s">
        <v>2416</v>
      </c>
      <c r="D262" s="100" t="s">
        <v>135</v>
      </c>
      <c r="E262" s="810">
        <v>16.1217</v>
      </c>
      <c r="F262" s="810">
        <v>16.0188</v>
      </c>
      <c r="G262" s="810">
        <v>15.5913</v>
      </c>
      <c r="H262" s="810">
        <v>15.8436</v>
      </c>
      <c r="I262" s="810">
        <v>16.571</v>
      </c>
      <c r="J262" s="810">
        <v>17.0153</v>
      </c>
      <c r="K262" s="810">
        <v>16.2316</v>
      </c>
      <c r="L262" s="810">
        <v>15.995</v>
      </c>
      <c r="M262" s="810">
        <v>16.6017</v>
      </c>
      <c r="N262" s="810">
        <v>17.0985</v>
      </c>
      <c r="O262" s="810">
        <v>17.3251</v>
      </c>
      <c r="P262" s="100" t="s">
        <v>2631</v>
      </c>
      <c r="Q262" s="100"/>
      <c r="R262" s="100"/>
      <c r="S262" s="8"/>
    </row>
    <row r="263" ht="14.25" customHeight="1">
      <c r="A263" s="100" t="s">
        <v>2174</v>
      </c>
      <c r="B263" s="100" t="s">
        <v>2335</v>
      </c>
      <c r="C263" s="100" t="s">
        <v>2423</v>
      </c>
      <c r="D263" s="100" t="s">
        <v>135</v>
      </c>
      <c r="E263" s="810">
        <v>7.9263</v>
      </c>
      <c r="F263" s="810">
        <v>8.218</v>
      </c>
      <c r="G263" s="810">
        <v>9.0208</v>
      </c>
      <c r="H263" s="810">
        <v>8.8296</v>
      </c>
      <c r="I263" s="810">
        <v>7.5614</v>
      </c>
      <c r="J263" s="810">
        <v>7.4929</v>
      </c>
      <c r="K263" s="810">
        <v>7.6327</v>
      </c>
      <c r="L263" s="810">
        <v>7.4621</v>
      </c>
      <c r="M263" s="810">
        <v>7.3426</v>
      </c>
      <c r="N263" s="810">
        <v>7.2583</v>
      </c>
      <c r="O263" s="810" t="s">
        <v>2434</v>
      </c>
      <c r="P263" s="100" t="s">
        <v>2632</v>
      </c>
      <c r="Q263" s="100"/>
      <c r="R263" s="100"/>
      <c r="S263" s="8"/>
    </row>
    <row r="264" ht="14.25" customHeight="1">
      <c r="A264" s="100" t="s">
        <v>2174</v>
      </c>
      <c r="B264" s="100" t="s">
        <v>2335</v>
      </c>
      <c r="C264" s="100" t="s">
        <v>2360</v>
      </c>
      <c r="D264" s="100" t="s">
        <v>135</v>
      </c>
      <c r="E264" s="810">
        <v>48.6457</v>
      </c>
      <c r="F264" s="810">
        <v>43.5545</v>
      </c>
      <c r="G264" s="810">
        <v>42.051</v>
      </c>
      <c r="H264" s="810">
        <v>41.5719</v>
      </c>
      <c r="I264" s="810">
        <v>37.599</v>
      </c>
      <c r="J264" s="810">
        <v>36.8235</v>
      </c>
      <c r="K264" s="810">
        <v>37.9761</v>
      </c>
      <c r="L264" s="810">
        <v>39.7105</v>
      </c>
      <c r="M264" s="810">
        <v>40.2623</v>
      </c>
      <c r="N264" s="810">
        <v>38.4696</v>
      </c>
      <c r="O264" s="810" t="s">
        <v>2434</v>
      </c>
      <c r="P264" s="100" t="s">
        <v>2636</v>
      </c>
      <c r="Q264" s="100"/>
      <c r="R264" s="100"/>
      <c r="S264" s="8"/>
    </row>
    <row r="265" ht="14.25" customHeight="1">
      <c r="A265" s="100" t="s">
        <v>2174</v>
      </c>
      <c r="B265" s="100" t="s">
        <v>2335</v>
      </c>
      <c r="C265" s="100" t="s">
        <v>2535</v>
      </c>
      <c r="D265" s="100" t="s">
        <v>135</v>
      </c>
      <c r="E265" s="810">
        <v>3.9141</v>
      </c>
      <c r="F265" s="810">
        <v>5.4196</v>
      </c>
      <c r="G265" s="810">
        <v>5.1121</v>
      </c>
      <c r="H265" s="810">
        <v>4.0081</v>
      </c>
      <c r="I265" s="810">
        <v>3.5957</v>
      </c>
      <c r="J265" s="810">
        <v>3.9485</v>
      </c>
      <c r="K265" s="810">
        <v>5.0724</v>
      </c>
      <c r="L265" s="810">
        <v>5.3671</v>
      </c>
      <c r="M265" s="810">
        <v>4.5078</v>
      </c>
      <c r="N265" s="810">
        <v>4.2045</v>
      </c>
      <c r="O265" s="810" t="s">
        <v>2434</v>
      </c>
      <c r="P265" s="100" t="s">
        <v>2546</v>
      </c>
      <c r="Q265" s="100"/>
      <c r="R265" s="100"/>
      <c r="S265" s="8"/>
    </row>
    <row r="266" ht="14.25" customHeight="1">
      <c r="A266" s="100" t="s">
        <v>2162</v>
      </c>
      <c r="B266" s="100" t="s">
        <v>2303</v>
      </c>
      <c r="C266" s="100" t="s">
        <v>2317</v>
      </c>
      <c r="D266" s="100" t="s">
        <v>135</v>
      </c>
      <c r="E266" s="810" t="str">
        <f t="shared" ref="E266:M266" si="24">#REF!</f>
        <v>#REF!</v>
      </c>
      <c r="F266" s="810" t="str">
        <f t="shared" si="24"/>
        <v>#REF!</v>
      </c>
      <c r="G266" s="810" t="str">
        <f t="shared" si="24"/>
        <v>#REF!</v>
      </c>
      <c r="H266" s="810" t="str">
        <f t="shared" si="24"/>
        <v>#REF!</v>
      </c>
      <c r="I266" s="810" t="str">
        <f t="shared" si="24"/>
        <v>#REF!</v>
      </c>
      <c r="J266" s="810" t="str">
        <f t="shared" si="24"/>
        <v>#REF!</v>
      </c>
      <c r="K266" s="810" t="str">
        <f t="shared" si="24"/>
        <v>#REF!</v>
      </c>
      <c r="L266" s="810" t="str">
        <f t="shared" si="24"/>
        <v>#REF!</v>
      </c>
      <c r="M266" s="810" t="str">
        <f t="shared" si="24"/>
        <v>#REF!</v>
      </c>
      <c r="N266" s="817" t="str">
        <f>M266*(N267+N297)/(M267+M297)</f>
        <v>#REF!</v>
      </c>
      <c r="O266" s="810" t="str">
        <f>#REF!</f>
        <v>#REF!</v>
      </c>
      <c r="P266" s="100" t="s">
        <v>2546</v>
      </c>
      <c r="Q266" s="100"/>
      <c r="R266" s="100"/>
      <c r="S266" s="8"/>
    </row>
    <row r="267" ht="14.25" customHeight="1">
      <c r="A267" s="100" t="s">
        <v>2162</v>
      </c>
      <c r="B267" s="100"/>
      <c r="C267" s="100" t="s">
        <v>2507</v>
      </c>
      <c r="D267" s="100"/>
      <c r="E267" s="810" t="str">
        <f t="shared" ref="E267:O267" si="25">#REF!</f>
        <v>#REF!</v>
      </c>
      <c r="F267" s="810" t="str">
        <f t="shared" si="25"/>
        <v>#REF!</v>
      </c>
      <c r="G267" s="810" t="str">
        <f t="shared" si="25"/>
        <v>#REF!</v>
      </c>
      <c r="H267" s="810" t="str">
        <f t="shared" si="25"/>
        <v>#REF!</v>
      </c>
      <c r="I267" s="810" t="str">
        <f t="shared" si="25"/>
        <v>#REF!</v>
      </c>
      <c r="J267" s="810" t="str">
        <f t="shared" si="25"/>
        <v>#REF!</v>
      </c>
      <c r="K267" s="810" t="str">
        <f t="shared" si="25"/>
        <v>#REF!</v>
      </c>
      <c r="L267" s="810" t="str">
        <f t="shared" si="25"/>
        <v>#REF!</v>
      </c>
      <c r="M267" s="810" t="str">
        <f t="shared" si="25"/>
        <v>#REF!</v>
      </c>
      <c r="N267" s="810" t="str">
        <f t="shared" si="25"/>
        <v>#REF!</v>
      </c>
      <c r="O267" s="810" t="str">
        <f t="shared" si="25"/>
        <v>#REF!</v>
      </c>
      <c r="P267" s="100"/>
      <c r="Q267" s="100"/>
      <c r="R267" s="100"/>
      <c r="S267" s="8"/>
    </row>
    <row r="268" ht="14.25" customHeight="1">
      <c r="A268" s="100" t="s">
        <v>2162</v>
      </c>
      <c r="B268" s="100" t="s">
        <v>2303</v>
      </c>
      <c r="C268" s="100" t="s">
        <v>2325</v>
      </c>
      <c r="D268" s="100" t="s">
        <v>135</v>
      </c>
      <c r="E268" s="810">
        <v>38.0529</v>
      </c>
      <c r="F268" s="810">
        <v>38.4185</v>
      </c>
      <c r="G268" s="810">
        <v>38.1714</v>
      </c>
      <c r="H268" s="810">
        <v>39.6384</v>
      </c>
      <c r="I268" s="810">
        <v>39.03</v>
      </c>
      <c r="J268" s="810">
        <v>37.6189</v>
      </c>
      <c r="K268" s="810">
        <v>36.2128</v>
      </c>
      <c r="L268" s="810">
        <v>38.9994</v>
      </c>
      <c r="M268" s="810">
        <v>33.2336</v>
      </c>
      <c r="N268" s="810">
        <v>36.982</v>
      </c>
      <c r="O268" s="810" t="s">
        <v>2434</v>
      </c>
      <c r="P268" s="100" t="s">
        <v>2549</v>
      </c>
      <c r="Q268" s="100"/>
      <c r="R268" s="100"/>
      <c r="S268" s="8"/>
    </row>
    <row r="269" ht="14.25" customHeight="1">
      <c r="A269" s="100" t="s">
        <v>2162</v>
      </c>
      <c r="B269" s="100" t="s">
        <v>2303</v>
      </c>
      <c r="C269" s="100" t="s">
        <v>2329</v>
      </c>
      <c r="D269" s="100" t="s">
        <v>135</v>
      </c>
      <c r="E269" s="810">
        <v>29.9024</v>
      </c>
      <c r="F269" s="810">
        <v>28.9434</v>
      </c>
      <c r="G269" s="810">
        <v>25.8617</v>
      </c>
      <c r="H269" s="810">
        <v>27.845</v>
      </c>
      <c r="I269" s="810">
        <v>27.5206</v>
      </c>
      <c r="J269" s="810">
        <v>28.3474</v>
      </c>
      <c r="K269" s="810">
        <v>30.9933</v>
      </c>
      <c r="L269" s="810">
        <v>31.4432</v>
      </c>
      <c r="M269" s="810">
        <v>31.3777</v>
      </c>
      <c r="N269" s="810">
        <v>30.657</v>
      </c>
      <c r="O269" s="810" t="s">
        <v>2434</v>
      </c>
      <c r="P269" s="100" t="s">
        <v>2549</v>
      </c>
      <c r="Q269" s="100"/>
      <c r="R269" s="100"/>
      <c r="S269" s="8"/>
    </row>
    <row r="270" ht="14.25" customHeight="1">
      <c r="A270" s="100" t="s">
        <v>2162</v>
      </c>
      <c r="B270" s="100" t="s">
        <v>2303</v>
      </c>
      <c r="C270" s="100" t="s">
        <v>2333</v>
      </c>
      <c r="D270" s="100" t="s">
        <v>135</v>
      </c>
      <c r="E270" s="810">
        <v>1.5814</v>
      </c>
      <c r="F270" s="810">
        <v>1.7209</v>
      </c>
      <c r="G270" s="810">
        <v>1.2907</v>
      </c>
      <c r="H270" s="810">
        <v>1.1395</v>
      </c>
      <c r="I270" s="810">
        <v>1.2907</v>
      </c>
      <c r="J270" s="810">
        <v>1.2791</v>
      </c>
      <c r="K270" s="810">
        <v>1.2907</v>
      </c>
      <c r="L270" s="810">
        <v>1.3796</v>
      </c>
      <c r="M270" s="810">
        <v>1.4656</v>
      </c>
      <c r="N270" s="810">
        <v>1.3491</v>
      </c>
      <c r="O270" s="810" t="s">
        <v>2434</v>
      </c>
      <c r="P270" s="100" t="s">
        <v>2546</v>
      </c>
      <c r="Q270" s="100"/>
      <c r="R270" s="100"/>
      <c r="S270" s="8"/>
    </row>
    <row r="271" ht="14.25" customHeight="1">
      <c r="A271" s="100" t="s">
        <v>2162</v>
      </c>
      <c r="B271" s="100" t="s">
        <v>2303</v>
      </c>
      <c r="C271" s="100" t="s">
        <v>2364</v>
      </c>
      <c r="D271" s="100" t="s">
        <v>135</v>
      </c>
      <c r="E271" s="810">
        <v>0.4437</v>
      </c>
      <c r="F271" s="810">
        <v>0.3951</v>
      </c>
      <c r="G271" s="810">
        <v>0.1566</v>
      </c>
      <c r="H271" s="810">
        <v>0.2878</v>
      </c>
      <c r="I271" s="810">
        <v>0.2849</v>
      </c>
      <c r="J271" s="810">
        <v>0.2653</v>
      </c>
      <c r="K271" s="810">
        <v>0.0761</v>
      </c>
      <c r="L271" s="810">
        <v>0.079</v>
      </c>
      <c r="M271" s="810">
        <v>0.2876</v>
      </c>
      <c r="N271" s="810">
        <v>0.2071</v>
      </c>
      <c r="O271" s="810" t="s">
        <v>2434</v>
      </c>
      <c r="P271" s="100" t="s">
        <v>2617</v>
      </c>
      <c r="Q271" s="100"/>
      <c r="R271" s="100"/>
      <c r="S271" s="8"/>
    </row>
    <row r="272" ht="14.25" customHeight="1">
      <c r="A272" s="100" t="s">
        <v>2162</v>
      </c>
      <c r="B272" s="100" t="s">
        <v>2303</v>
      </c>
      <c r="C272" s="100" t="s">
        <v>2337</v>
      </c>
      <c r="D272" s="100" t="s">
        <v>135</v>
      </c>
      <c r="E272" s="810">
        <v>0.0</v>
      </c>
      <c r="F272" s="810">
        <v>0.0</v>
      </c>
      <c r="G272" s="810">
        <v>0.0</v>
      </c>
      <c r="H272" s="810">
        <v>0.0</v>
      </c>
      <c r="I272" s="810">
        <v>0.0</v>
      </c>
      <c r="J272" s="810">
        <v>0.0</v>
      </c>
      <c r="K272" s="810">
        <v>0.0</v>
      </c>
      <c r="L272" s="810">
        <v>0.0</v>
      </c>
      <c r="M272" s="810">
        <v>0.0</v>
      </c>
      <c r="N272" s="810">
        <v>0.0</v>
      </c>
      <c r="O272" s="810">
        <v>0.0</v>
      </c>
      <c r="P272" s="100" t="s">
        <v>2512</v>
      </c>
      <c r="Q272" s="100"/>
      <c r="R272" s="100"/>
      <c r="S272" s="8"/>
    </row>
    <row r="273" ht="14.25" customHeight="1">
      <c r="A273" s="100" t="s">
        <v>2162</v>
      </c>
      <c r="B273" s="100" t="s">
        <v>2303</v>
      </c>
      <c r="C273" s="100" t="s">
        <v>2341</v>
      </c>
      <c r="D273" s="100" t="s">
        <v>135</v>
      </c>
      <c r="E273" s="810">
        <v>24.3193</v>
      </c>
      <c r="F273" s="810">
        <v>24.8363</v>
      </c>
      <c r="G273" s="810">
        <v>23.963</v>
      </c>
      <c r="H273" s="810">
        <v>23.5393</v>
      </c>
      <c r="I273" s="810">
        <v>25.2608</v>
      </c>
      <c r="J273" s="810">
        <v>24.7181</v>
      </c>
      <c r="K273" s="810">
        <v>24.9238</v>
      </c>
      <c r="L273" s="810">
        <v>24.0995</v>
      </c>
      <c r="M273" s="810">
        <v>25.2004</v>
      </c>
      <c r="N273" s="810">
        <v>21.8651</v>
      </c>
      <c r="O273" s="810" t="s">
        <v>2434</v>
      </c>
      <c r="P273" s="100" t="s">
        <v>2546</v>
      </c>
      <c r="Q273" s="100"/>
      <c r="R273" s="100"/>
      <c r="S273" s="8"/>
    </row>
    <row r="274" ht="14.25" customHeight="1">
      <c r="A274" s="100" t="s">
        <v>2162</v>
      </c>
      <c r="B274" s="100" t="s">
        <v>2303</v>
      </c>
      <c r="C274" s="100" t="s">
        <v>2348</v>
      </c>
      <c r="D274" s="100" t="s">
        <v>135</v>
      </c>
      <c r="E274" s="810">
        <v>0.618</v>
      </c>
      <c r="F274" s="810">
        <v>0.6873</v>
      </c>
      <c r="G274" s="810">
        <v>0.7897</v>
      </c>
      <c r="H274" s="810">
        <v>0.8787</v>
      </c>
      <c r="I274" s="810">
        <v>0.9555</v>
      </c>
      <c r="J274" s="810">
        <v>0.9368</v>
      </c>
      <c r="K274" s="810">
        <v>0.9857</v>
      </c>
      <c r="L274" s="810">
        <v>1.0521</v>
      </c>
      <c r="M274" s="810">
        <v>1.0532</v>
      </c>
      <c r="N274" s="810">
        <v>1.027</v>
      </c>
      <c r="O274" s="810" t="s">
        <v>2434</v>
      </c>
      <c r="P274" s="100" t="s">
        <v>2633</v>
      </c>
      <c r="Q274" s="100"/>
      <c r="R274" s="100"/>
      <c r="S274" s="8"/>
    </row>
    <row r="275" ht="14.25" customHeight="1">
      <c r="A275" s="100" t="s">
        <v>2162</v>
      </c>
      <c r="B275" s="100" t="s">
        <v>2303</v>
      </c>
      <c r="C275" s="100" t="s">
        <v>2350</v>
      </c>
      <c r="D275" s="100" t="s">
        <v>135</v>
      </c>
      <c r="E275" s="810">
        <v>0.0048</v>
      </c>
      <c r="F275" s="810">
        <v>0.0046</v>
      </c>
      <c r="G275" s="810">
        <v>0.002</v>
      </c>
      <c r="H275" s="810">
        <v>0.002</v>
      </c>
      <c r="I275" s="810">
        <v>0.0015</v>
      </c>
      <c r="J275" s="810">
        <v>0.0013</v>
      </c>
      <c r="K275" s="810">
        <v>0.0046</v>
      </c>
      <c r="L275" s="810">
        <v>0.0051</v>
      </c>
      <c r="M275" s="810">
        <v>0.0069</v>
      </c>
      <c r="N275" s="810">
        <v>0.013</v>
      </c>
      <c r="O275" s="810" t="s">
        <v>2434</v>
      </c>
      <c r="P275" s="100" t="s">
        <v>2400</v>
      </c>
      <c r="Q275" s="100"/>
      <c r="R275" s="100"/>
      <c r="S275" s="8"/>
    </row>
    <row r="276" ht="14.25" customHeight="1">
      <c r="A276" s="100" t="s">
        <v>2162</v>
      </c>
      <c r="B276" s="100" t="s">
        <v>2303</v>
      </c>
      <c r="C276" s="100" t="s">
        <v>2354</v>
      </c>
      <c r="D276" s="100" t="s">
        <v>135</v>
      </c>
      <c r="E276" s="810">
        <v>16.0748</v>
      </c>
      <c r="F276" s="810">
        <v>15.7588</v>
      </c>
      <c r="G276" s="810">
        <v>14.0213</v>
      </c>
      <c r="H276" s="810">
        <v>13.2604</v>
      </c>
      <c r="I276" s="810">
        <v>13.9839</v>
      </c>
      <c r="J276" s="810">
        <v>14.9223</v>
      </c>
      <c r="K276" s="810">
        <v>15.1647</v>
      </c>
      <c r="L276" s="810">
        <v>14.5576</v>
      </c>
      <c r="M276" s="810">
        <v>15.3519</v>
      </c>
      <c r="N276" s="810">
        <v>13.4816</v>
      </c>
      <c r="O276" s="810" t="s">
        <v>2434</v>
      </c>
      <c r="P276" s="100" t="s">
        <v>2549</v>
      </c>
      <c r="Q276" s="100"/>
      <c r="R276" s="100"/>
      <c r="S276" s="8"/>
    </row>
    <row r="277" ht="14.25" customHeight="1">
      <c r="A277" s="100" t="s">
        <v>2162</v>
      </c>
      <c r="B277" s="100" t="s">
        <v>2303</v>
      </c>
      <c r="C277" s="100" t="s">
        <v>2356</v>
      </c>
      <c r="D277" s="100" t="s">
        <v>135</v>
      </c>
      <c r="E277" s="810">
        <v>63.401</v>
      </c>
      <c r="F277" s="810">
        <v>64.8555</v>
      </c>
      <c r="G277" s="810">
        <v>61.8553</v>
      </c>
      <c r="H277" s="810">
        <v>64.7431</v>
      </c>
      <c r="I277" s="810">
        <v>65.6669</v>
      </c>
      <c r="J277" s="810">
        <v>63.453</v>
      </c>
      <c r="K277" s="810">
        <v>61.6004</v>
      </c>
      <c r="L277" s="810">
        <v>63.1796</v>
      </c>
      <c r="M277" s="810">
        <v>56.13</v>
      </c>
      <c r="N277" s="810">
        <v>52.1004</v>
      </c>
      <c r="O277" s="810" t="s">
        <v>2434</v>
      </c>
      <c r="P277" s="100" t="s">
        <v>2546</v>
      </c>
      <c r="Q277" s="100"/>
      <c r="R277" s="100"/>
      <c r="S277" s="8"/>
    </row>
    <row r="278" ht="14.25" customHeight="1">
      <c r="A278" s="100" t="s">
        <v>2162</v>
      </c>
      <c r="B278" s="100" t="s">
        <v>2303</v>
      </c>
      <c r="C278" s="100" t="s">
        <v>2344</v>
      </c>
      <c r="D278" s="100" t="s">
        <v>135</v>
      </c>
      <c r="E278" s="810">
        <v>166.4429</v>
      </c>
      <c r="F278" s="810">
        <v>165.9753</v>
      </c>
      <c r="G278" s="810">
        <v>170.261</v>
      </c>
      <c r="H278" s="810">
        <v>162.0619</v>
      </c>
      <c r="I278" s="810">
        <v>160.3483</v>
      </c>
      <c r="J278" s="810">
        <v>164.4594</v>
      </c>
      <c r="K278" s="810">
        <v>164.1818</v>
      </c>
      <c r="L278" s="810">
        <v>161.5178</v>
      </c>
      <c r="M278" s="810">
        <v>168.2427</v>
      </c>
      <c r="N278" s="810">
        <v>158.0454</v>
      </c>
      <c r="O278" s="810" t="s">
        <v>2434</v>
      </c>
      <c r="P278" s="100" t="s">
        <v>2634</v>
      </c>
      <c r="Q278" s="100"/>
      <c r="R278" s="100"/>
      <c r="S278" s="8"/>
    </row>
    <row r="279" ht="14.25" customHeight="1">
      <c r="A279" s="100" t="s">
        <v>2162</v>
      </c>
      <c r="B279" s="100" t="s">
        <v>2303</v>
      </c>
      <c r="C279" s="100" t="s">
        <v>2362</v>
      </c>
      <c r="D279" s="100" t="s">
        <v>135</v>
      </c>
      <c r="E279" s="810">
        <v>2.0593</v>
      </c>
      <c r="F279" s="810">
        <v>2.1245</v>
      </c>
      <c r="G279" s="810">
        <v>1.8163</v>
      </c>
      <c r="H279" s="810">
        <v>1.6368</v>
      </c>
      <c r="I279" s="810">
        <v>1.5665</v>
      </c>
      <c r="J279" s="810">
        <v>1.0551</v>
      </c>
      <c r="K279" s="810">
        <v>1.5195</v>
      </c>
      <c r="L279" s="810">
        <v>1.4944</v>
      </c>
      <c r="M279" s="810">
        <v>1.5046</v>
      </c>
      <c r="N279" s="810">
        <v>1.6682</v>
      </c>
      <c r="O279" s="810" t="s">
        <v>2434</v>
      </c>
      <c r="P279" s="100" t="s">
        <v>2622</v>
      </c>
      <c r="Q279" s="100"/>
      <c r="R279" s="100"/>
      <c r="S279" s="8"/>
    </row>
    <row r="280" ht="14.25" customHeight="1">
      <c r="A280" s="100" t="s">
        <v>2162</v>
      </c>
      <c r="B280" s="100" t="s">
        <v>2303</v>
      </c>
      <c r="C280" s="100" t="s">
        <v>2367</v>
      </c>
      <c r="D280" s="100" t="s">
        <v>135</v>
      </c>
      <c r="E280" s="810">
        <v>7.293</v>
      </c>
      <c r="F280" s="810">
        <v>7.2729</v>
      </c>
      <c r="G280" s="810">
        <v>6.7471</v>
      </c>
      <c r="H280" s="810">
        <v>4.6486</v>
      </c>
      <c r="I280" s="810">
        <v>5.3885</v>
      </c>
      <c r="J280" s="810">
        <v>7.009</v>
      </c>
      <c r="K280" s="810">
        <v>5.4157</v>
      </c>
      <c r="L280" s="810">
        <v>7.2357</v>
      </c>
      <c r="M280" s="810">
        <v>7.3461</v>
      </c>
      <c r="N280" s="810">
        <v>6.691</v>
      </c>
      <c r="O280" s="810" t="s">
        <v>2434</v>
      </c>
      <c r="P280" s="100" t="s">
        <v>2546</v>
      </c>
      <c r="Q280" s="100"/>
      <c r="R280" s="100"/>
      <c r="S280" s="8"/>
    </row>
    <row r="281" ht="14.25" customHeight="1">
      <c r="A281" s="100" t="s">
        <v>2162</v>
      </c>
      <c r="B281" s="100" t="s">
        <v>2303</v>
      </c>
      <c r="C281" s="100" t="s">
        <v>2369</v>
      </c>
      <c r="D281" s="100" t="s">
        <v>135</v>
      </c>
      <c r="E281" s="810">
        <v>0.0465</v>
      </c>
      <c r="F281" s="810">
        <v>0.0465</v>
      </c>
      <c r="G281" s="810">
        <v>0.0465</v>
      </c>
      <c r="H281" s="810">
        <v>0.0465</v>
      </c>
      <c r="I281" s="810">
        <v>0.0465</v>
      </c>
      <c r="J281" s="810">
        <v>0.0465</v>
      </c>
      <c r="K281" s="810">
        <v>0.0465</v>
      </c>
      <c r="L281" s="810">
        <v>0.0465</v>
      </c>
      <c r="M281" s="810">
        <v>0.0581</v>
      </c>
      <c r="N281" s="810">
        <v>0.0581</v>
      </c>
      <c r="O281" s="810" t="s">
        <v>2434</v>
      </c>
      <c r="P281" s="100" t="s">
        <v>2623</v>
      </c>
      <c r="Q281" s="100"/>
      <c r="R281" s="100"/>
      <c r="S281" s="8"/>
    </row>
    <row r="282" ht="14.25" customHeight="1">
      <c r="A282" s="100" t="s">
        <v>2162</v>
      </c>
      <c r="B282" s="100" t="s">
        <v>2303</v>
      </c>
      <c r="C282" s="100" t="s">
        <v>2374</v>
      </c>
      <c r="D282" s="100" t="s">
        <v>135</v>
      </c>
      <c r="E282" s="810">
        <v>65.3148</v>
      </c>
      <c r="F282" s="810">
        <v>67.8405</v>
      </c>
      <c r="G282" s="810">
        <v>70.525</v>
      </c>
      <c r="H282" s="810">
        <v>58.8081</v>
      </c>
      <c r="I282" s="810">
        <v>57.4326</v>
      </c>
      <c r="J282" s="810">
        <v>52.4337</v>
      </c>
      <c r="K282" s="810">
        <v>56.018</v>
      </c>
      <c r="L282" s="810">
        <v>52.6879</v>
      </c>
      <c r="M282" s="810">
        <v>51.7788</v>
      </c>
      <c r="N282" s="810">
        <v>51.7194</v>
      </c>
      <c r="O282" s="810" t="s">
        <v>2434</v>
      </c>
      <c r="P282" s="100" t="s">
        <v>2624</v>
      </c>
      <c r="Q282" s="100"/>
      <c r="R282" s="100"/>
      <c r="S282" s="8"/>
    </row>
    <row r="283" ht="14.25" customHeight="1">
      <c r="A283" s="100" t="s">
        <v>2162</v>
      </c>
      <c r="B283" s="100" t="s">
        <v>2303</v>
      </c>
      <c r="C283" s="100" t="s">
        <v>2386</v>
      </c>
      <c r="D283" s="100" t="s">
        <v>135</v>
      </c>
      <c r="E283" s="810">
        <v>1.5228</v>
      </c>
      <c r="F283" s="810">
        <v>0.5463</v>
      </c>
      <c r="G283" s="810">
        <v>0.9843</v>
      </c>
      <c r="H283" s="810">
        <v>0.3186</v>
      </c>
      <c r="I283" s="810">
        <v>0.0189</v>
      </c>
      <c r="J283" s="810">
        <v>0.1622</v>
      </c>
      <c r="K283" s="810">
        <v>0.0272</v>
      </c>
      <c r="L283" s="810">
        <v>0.0175</v>
      </c>
      <c r="M283" s="810">
        <v>0.0177</v>
      </c>
      <c r="N283" s="810">
        <v>0.0126</v>
      </c>
      <c r="O283" s="810" t="s">
        <v>2434</v>
      </c>
      <c r="P283" s="100" t="s">
        <v>2625</v>
      </c>
      <c r="Q283" s="100"/>
      <c r="R283" s="100"/>
      <c r="S283" s="8"/>
    </row>
    <row r="284" ht="14.25" customHeight="1">
      <c r="A284" s="100" t="s">
        <v>2162</v>
      </c>
      <c r="B284" s="100" t="s">
        <v>2303</v>
      </c>
      <c r="C284" s="100" t="s">
        <v>2378</v>
      </c>
      <c r="D284" s="100" t="s">
        <v>135</v>
      </c>
      <c r="E284" s="810">
        <v>0.0326</v>
      </c>
      <c r="F284" s="810">
        <v>0.0331</v>
      </c>
      <c r="G284" s="810">
        <v>0.0442</v>
      </c>
      <c r="H284" s="810">
        <v>0.0349</v>
      </c>
      <c r="I284" s="810">
        <v>0.0267</v>
      </c>
      <c r="J284" s="810">
        <v>0.0256</v>
      </c>
      <c r="K284" s="810">
        <v>0.0256</v>
      </c>
      <c r="L284" s="810">
        <v>0.0233</v>
      </c>
      <c r="M284" s="810">
        <v>0.0221</v>
      </c>
      <c r="N284" s="810">
        <v>0.0151</v>
      </c>
      <c r="O284" s="810" t="s">
        <v>2434</v>
      </c>
      <c r="P284" s="100" t="s">
        <v>2567</v>
      </c>
      <c r="Q284" s="100"/>
      <c r="R284" s="100"/>
      <c r="S284" s="8"/>
    </row>
    <row r="285" ht="14.25" customHeight="1">
      <c r="A285" s="100" t="s">
        <v>2162</v>
      </c>
      <c r="B285" s="100" t="s">
        <v>2303</v>
      </c>
      <c r="C285" s="100" t="s">
        <v>2383</v>
      </c>
      <c r="D285" s="100" t="s">
        <v>135</v>
      </c>
      <c r="E285" s="810">
        <v>4.6395</v>
      </c>
      <c r="F285" s="810">
        <v>4.0349</v>
      </c>
      <c r="G285" s="810">
        <v>3.5581</v>
      </c>
      <c r="H285" s="810">
        <v>3.314</v>
      </c>
      <c r="I285" s="810">
        <v>3.2093</v>
      </c>
      <c r="J285" s="810">
        <v>3.3256</v>
      </c>
      <c r="K285" s="810">
        <v>3.5</v>
      </c>
      <c r="L285" s="810">
        <v>3.2442</v>
      </c>
      <c r="M285" s="810">
        <v>3.9186</v>
      </c>
      <c r="N285" s="810">
        <v>3.8372</v>
      </c>
      <c r="O285" s="810" t="s">
        <v>2434</v>
      </c>
      <c r="P285" s="100" t="s">
        <v>2523</v>
      </c>
      <c r="Q285" s="100"/>
      <c r="R285" s="100"/>
      <c r="S285" s="8"/>
    </row>
    <row r="286" ht="14.25" customHeight="1">
      <c r="A286" s="100" t="s">
        <v>2162</v>
      </c>
      <c r="B286" s="100" t="s">
        <v>2303</v>
      </c>
      <c r="C286" s="100" t="s">
        <v>2389</v>
      </c>
      <c r="D286" s="100" t="s">
        <v>135</v>
      </c>
      <c r="E286" s="810">
        <v>0.0</v>
      </c>
      <c r="F286" s="810">
        <v>0.0</v>
      </c>
      <c r="G286" s="810">
        <v>0.0</v>
      </c>
      <c r="H286" s="810">
        <v>0.0</v>
      </c>
      <c r="I286" s="810">
        <v>0.0</v>
      </c>
      <c r="J286" s="810">
        <v>0.0</v>
      </c>
      <c r="K286" s="810">
        <v>0.0</v>
      </c>
      <c r="L286" s="810">
        <v>0.0</v>
      </c>
      <c r="M286" s="810">
        <v>0.0</v>
      </c>
      <c r="N286" s="810">
        <v>0.0</v>
      </c>
      <c r="O286" s="810" t="s">
        <v>2434</v>
      </c>
      <c r="P286" s="100" t="s">
        <v>2549</v>
      </c>
      <c r="Q286" s="100"/>
      <c r="R286" s="100"/>
      <c r="S286" s="8"/>
    </row>
    <row r="287" ht="14.25" customHeight="1">
      <c r="A287" s="100" t="s">
        <v>2162</v>
      </c>
      <c r="B287" s="100" t="s">
        <v>2303</v>
      </c>
      <c r="C287" s="100" t="s">
        <v>2391</v>
      </c>
      <c r="D287" s="100" t="s">
        <v>135</v>
      </c>
      <c r="E287" s="810">
        <v>25.8452</v>
      </c>
      <c r="F287" s="810">
        <v>27.6717</v>
      </c>
      <c r="G287" s="810">
        <v>28.1134</v>
      </c>
      <c r="H287" s="810">
        <v>26.8137</v>
      </c>
      <c r="I287" s="810">
        <v>27.5412</v>
      </c>
      <c r="J287" s="810">
        <v>28.0893</v>
      </c>
      <c r="K287" s="810">
        <v>28.0277</v>
      </c>
      <c r="L287" s="810">
        <v>29.4272</v>
      </c>
      <c r="M287" s="810">
        <v>28.7666</v>
      </c>
      <c r="N287" s="810">
        <v>28.4029</v>
      </c>
      <c r="O287" s="810" t="s">
        <v>2434</v>
      </c>
      <c r="P287" s="100" t="s">
        <v>2546</v>
      </c>
      <c r="Q287" s="100"/>
      <c r="R287" s="100"/>
      <c r="S287" s="8"/>
    </row>
    <row r="288" ht="14.25" customHeight="1">
      <c r="A288" s="100" t="s">
        <v>2162</v>
      </c>
      <c r="B288" s="100" t="s">
        <v>2303</v>
      </c>
      <c r="C288" s="100" t="s">
        <v>2393</v>
      </c>
      <c r="D288" s="100" t="s">
        <v>135</v>
      </c>
      <c r="E288" s="810">
        <v>26.3723</v>
      </c>
      <c r="F288" s="810">
        <v>28.7398</v>
      </c>
      <c r="G288" s="810">
        <v>29.9909</v>
      </c>
      <c r="H288" s="810">
        <v>29.5896</v>
      </c>
      <c r="I288" s="810">
        <v>31.7664</v>
      </c>
      <c r="J288" s="810">
        <v>32.2529</v>
      </c>
      <c r="K288" s="810">
        <v>31.5294</v>
      </c>
      <c r="L288" s="810">
        <v>35.1553</v>
      </c>
      <c r="M288" s="810">
        <v>34.7818</v>
      </c>
      <c r="N288" s="810">
        <v>31.0252</v>
      </c>
      <c r="O288" s="810" t="s">
        <v>2434</v>
      </c>
      <c r="P288" s="100" t="s">
        <v>2526</v>
      </c>
      <c r="Q288" s="100"/>
      <c r="R288" s="100"/>
      <c r="S288" s="8"/>
    </row>
    <row r="289" ht="14.25" customHeight="1">
      <c r="A289" s="100" t="s">
        <v>2162</v>
      </c>
      <c r="B289" s="100" t="s">
        <v>2303</v>
      </c>
      <c r="C289" s="100" t="s">
        <v>2395</v>
      </c>
      <c r="D289" s="100" t="s">
        <v>135</v>
      </c>
      <c r="E289" s="810">
        <v>1.4845</v>
      </c>
      <c r="F289" s="810">
        <v>1.7642</v>
      </c>
      <c r="G289" s="810">
        <v>1.896</v>
      </c>
      <c r="H289" s="810">
        <v>1.9233</v>
      </c>
      <c r="I289" s="810">
        <v>1.9253</v>
      </c>
      <c r="J289" s="810">
        <v>1.9827</v>
      </c>
      <c r="K289" s="810">
        <v>1.9143</v>
      </c>
      <c r="L289" s="810">
        <v>1.9468</v>
      </c>
      <c r="M289" s="810">
        <v>2.1449</v>
      </c>
      <c r="N289" s="810">
        <v>2.0887</v>
      </c>
      <c r="O289" s="810" t="s">
        <v>2434</v>
      </c>
      <c r="P289" s="100" t="s">
        <v>2626</v>
      </c>
      <c r="Q289" s="100"/>
      <c r="R289" s="100"/>
      <c r="S289" s="8"/>
    </row>
    <row r="290" ht="14.25" customHeight="1">
      <c r="A290" s="100" t="s">
        <v>2162</v>
      </c>
      <c r="B290" s="100" t="s">
        <v>2303</v>
      </c>
      <c r="C290" s="100" t="s">
        <v>2397</v>
      </c>
      <c r="D290" s="100" t="s">
        <v>135</v>
      </c>
      <c r="E290" s="810">
        <v>22.9143</v>
      </c>
      <c r="F290" s="810">
        <v>21.9186</v>
      </c>
      <c r="G290" s="810">
        <v>19.4651</v>
      </c>
      <c r="H290" s="810">
        <v>19.093</v>
      </c>
      <c r="I290" s="810">
        <v>19.2442</v>
      </c>
      <c r="J290" s="810">
        <v>21.2209</v>
      </c>
      <c r="K290" s="810">
        <v>19.7093</v>
      </c>
      <c r="L290" s="810">
        <v>19.1512</v>
      </c>
      <c r="M290" s="810">
        <v>18.6977</v>
      </c>
      <c r="N290" s="810">
        <v>18.7325</v>
      </c>
      <c r="O290" s="810" t="s">
        <v>2434</v>
      </c>
      <c r="P290" s="100" t="s">
        <v>2528</v>
      </c>
      <c r="Q290" s="100"/>
      <c r="R290" s="100"/>
      <c r="S290" s="8"/>
    </row>
    <row r="291" ht="14.25" customHeight="1">
      <c r="A291" s="100" t="s">
        <v>2162</v>
      </c>
      <c r="B291" s="100" t="s">
        <v>2303</v>
      </c>
      <c r="C291" s="100" t="s">
        <v>2411</v>
      </c>
      <c r="D291" s="100" t="s">
        <v>135</v>
      </c>
      <c r="E291" s="810">
        <v>24.8761</v>
      </c>
      <c r="F291" s="810">
        <v>23.336</v>
      </c>
      <c r="G291" s="810">
        <v>25.1567</v>
      </c>
      <c r="H291" s="810">
        <v>25.7253</v>
      </c>
      <c r="I291" s="810">
        <v>26.3274</v>
      </c>
      <c r="J291" s="810">
        <v>24.5006</v>
      </c>
      <c r="K291" s="810">
        <v>24.9575</v>
      </c>
      <c r="L291" s="810">
        <v>26.3565</v>
      </c>
      <c r="M291" s="810">
        <v>26.2116</v>
      </c>
      <c r="N291" s="810">
        <v>21.345</v>
      </c>
      <c r="O291" s="810" t="s">
        <v>2434</v>
      </c>
      <c r="P291" s="100" t="s">
        <v>2546</v>
      </c>
      <c r="Q291" s="100"/>
      <c r="R291" s="100"/>
      <c r="S291" s="8"/>
    </row>
    <row r="292" ht="14.25" customHeight="1">
      <c r="A292" s="100" t="s">
        <v>2162</v>
      </c>
      <c r="B292" s="100" t="s">
        <v>2303</v>
      </c>
      <c r="C292" s="100" t="s">
        <v>2406</v>
      </c>
      <c r="D292" s="100" t="s">
        <v>135</v>
      </c>
      <c r="E292" s="810">
        <v>1.7188</v>
      </c>
      <c r="F292" s="810">
        <v>1.6637</v>
      </c>
      <c r="G292" s="810">
        <v>1.7377</v>
      </c>
      <c r="H292" s="810">
        <v>1.7182</v>
      </c>
      <c r="I292" s="810">
        <v>1.6772</v>
      </c>
      <c r="J292" s="810">
        <v>1.6669</v>
      </c>
      <c r="K292" s="810">
        <v>1.7467</v>
      </c>
      <c r="L292" s="810">
        <v>1.8404</v>
      </c>
      <c r="M292" s="810">
        <v>1.7632</v>
      </c>
      <c r="N292" s="810">
        <v>1.8129</v>
      </c>
      <c r="O292" s="810" t="s">
        <v>2434</v>
      </c>
      <c r="P292" s="100" t="s">
        <v>2628</v>
      </c>
      <c r="Q292" s="100"/>
      <c r="R292" s="100"/>
      <c r="S292" s="8"/>
    </row>
    <row r="293" ht="14.25" customHeight="1">
      <c r="A293" s="100" t="s">
        <v>2162</v>
      </c>
      <c r="B293" s="100" t="s">
        <v>2303</v>
      </c>
      <c r="C293" s="100" t="s">
        <v>2352</v>
      </c>
      <c r="D293" s="100" t="s">
        <v>135</v>
      </c>
      <c r="E293" s="810">
        <v>34.1483</v>
      </c>
      <c r="F293" s="810">
        <v>35.101</v>
      </c>
      <c r="G293" s="810">
        <v>32.0343</v>
      </c>
      <c r="H293" s="810">
        <v>33.4962</v>
      </c>
      <c r="I293" s="810">
        <v>30.2446</v>
      </c>
      <c r="J293" s="810">
        <v>33.7644</v>
      </c>
      <c r="K293" s="810">
        <v>32.9435</v>
      </c>
      <c r="L293" s="810">
        <v>36.9119</v>
      </c>
      <c r="M293" s="810">
        <v>33.946</v>
      </c>
      <c r="N293" s="810">
        <v>29.7969</v>
      </c>
      <c r="O293" s="810" t="s">
        <v>2434</v>
      </c>
      <c r="P293" s="100" t="s">
        <v>2629</v>
      </c>
      <c r="Q293" s="100"/>
      <c r="R293" s="100"/>
      <c r="S293" s="8"/>
    </row>
    <row r="294" ht="14.25" customHeight="1">
      <c r="A294" s="100" t="s">
        <v>2162</v>
      </c>
      <c r="B294" s="100" t="s">
        <v>2303</v>
      </c>
      <c r="C294" s="100" t="s">
        <v>2400</v>
      </c>
      <c r="D294" s="100" t="s">
        <v>135</v>
      </c>
      <c r="E294" s="810">
        <v>20.9869</v>
      </c>
      <c r="F294" s="810">
        <v>20.9554</v>
      </c>
      <c r="G294" s="810">
        <v>18.52</v>
      </c>
      <c r="H294" s="810">
        <v>18.6082</v>
      </c>
      <c r="I294" s="810">
        <v>18.8123</v>
      </c>
      <c r="J294" s="810">
        <v>18.2566</v>
      </c>
      <c r="K294" s="810">
        <v>17.9284</v>
      </c>
      <c r="L294" s="810">
        <v>18.5066</v>
      </c>
      <c r="M294" s="810">
        <v>17.9045</v>
      </c>
      <c r="N294" s="810">
        <v>18.1837</v>
      </c>
      <c r="O294" s="810" t="s">
        <v>2434</v>
      </c>
      <c r="P294" s="100" t="s">
        <v>2630</v>
      </c>
      <c r="Q294" s="100"/>
      <c r="R294" s="100"/>
      <c r="S294" s="8"/>
    </row>
    <row r="295" ht="14.25" customHeight="1">
      <c r="A295" s="100" t="s">
        <v>2162</v>
      </c>
      <c r="B295" s="100" t="s">
        <v>2303</v>
      </c>
      <c r="C295" s="100" t="s">
        <v>2416</v>
      </c>
      <c r="D295" s="100" t="s">
        <v>135</v>
      </c>
      <c r="E295" s="810">
        <v>8.1771</v>
      </c>
      <c r="F295" s="810">
        <v>8.8243</v>
      </c>
      <c r="G295" s="810">
        <v>8.7768</v>
      </c>
      <c r="H295" s="810">
        <v>8.9144</v>
      </c>
      <c r="I295" s="810">
        <v>9.2479</v>
      </c>
      <c r="J295" s="810">
        <v>8.9263</v>
      </c>
      <c r="K295" s="810">
        <v>9.3073</v>
      </c>
      <c r="L295" s="810">
        <v>9.7427</v>
      </c>
      <c r="M295" s="810">
        <v>9.4112</v>
      </c>
      <c r="N295" s="810">
        <v>9.3617</v>
      </c>
      <c r="O295" s="810">
        <v>9.3211</v>
      </c>
      <c r="P295" s="100" t="s">
        <v>2631</v>
      </c>
      <c r="Q295" s="100"/>
      <c r="R295" s="100"/>
      <c r="S295" s="8"/>
    </row>
    <row r="296" ht="14.25" customHeight="1">
      <c r="A296" s="100" t="s">
        <v>2162</v>
      </c>
      <c r="B296" s="100" t="s">
        <v>2303</v>
      </c>
      <c r="C296" s="100" t="s">
        <v>2423</v>
      </c>
      <c r="D296" s="100" t="s">
        <v>135</v>
      </c>
      <c r="E296" s="810">
        <v>2.2408</v>
      </c>
      <c r="F296" s="810">
        <v>2.4552</v>
      </c>
      <c r="G296" s="810">
        <v>2.0713</v>
      </c>
      <c r="H296" s="810">
        <v>2.1228</v>
      </c>
      <c r="I296" s="810">
        <v>2.1865</v>
      </c>
      <c r="J296" s="810">
        <v>2.2292</v>
      </c>
      <c r="K296" s="810">
        <v>2.1288</v>
      </c>
      <c r="L296" s="810">
        <v>2.2358</v>
      </c>
      <c r="M296" s="810">
        <v>2.2264</v>
      </c>
      <c r="N296" s="810">
        <v>1.9967</v>
      </c>
      <c r="O296" s="810" t="s">
        <v>2434</v>
      </c>
      <c r="P296" s="100" t="s">
        <v>2632</v>
      </c>
      <c r="Q296" s="100"/>
      <c r="R296" s="100"/>
      <c r="S296" s="8"/>
    </row>
    <row r="297" ht="14.25" customHeight="1">
      <c r="A297" s="100" t="s">
        <v>2162</v>
      </c>
      <c r="B297" s="100" t="s">
        <v>2303</v>
      </c>
      <c r="C297" s="100" t="s">
        <v>2360</v>
      </c>
      <c r="D297" s="100" t="s">
        <v>135</v>
      </c>
      <c r="E297" s="810">
        <v>42.4007</v>
      </c>
      <c r="F297" s="810">
        <v>38.726</v>
      </c>
      <c r="G297" s="810">
        <v>41.6423</v>
      </c>
      <c r="H297" s="810">
        <v>50.7828</v>
      </c>
      <c r="I297" s="810">
        <v>49.8926</v>
      </c>
      <c r="J297" s="810">
        <v>45.5527</v>
      </c>
      <c r="K297" s="810">
        <v>31.73</v>
      </c>
      <c r="L297" s="810">
        <v>30.1817</v>
      </c>
      <c r="M297" s="810">
        <v>28.4583</v>
      </c>
      <c r="N297" s="810">
        <v>29.1134</v>
      </c>
      <c r="O297" s="810" t="s">
        <v>2434</v>
      </c>
      <c r="P297" s="100" t="s">
        <v>2636</v>
      </c>
      <c r="Q297" s="100"/>
      <c r="R297" s="100"/>
      <c r="S297" s="8"/>
    </row>
    <row r="298" ht="14.25" customHeight="1">
      <c r="A298" s="100" t="s">
        <v>2162</v>
      </c>
      <c r="B298" s="100" t="s">
        <v>2303</v>
      </c>
      <c r="C298" s="100" t="s">
        <v>2535</v>
      </c>
      <c r="D298" s="100" t="s">
        <v>135</v>
      </c>
      <c r="E298" s="810">
        <v>5.9487</v>
      </c>
      <c r="F298" s="810">
        <v>5.5279</v>
      </c>
      <c r="G298" s="810">
        <v>2.3057</v>
      </c>
      <c r="H298" s="810">
        <v>2.2221</v>
      </c>
      <c r="I298" s="810">
        <v>2.9763</v>
      </c>
      <c r="J298" s="810">
        <v>4.8126</v>
      </c>
      <c r="K298" s="810">
        <v>6.087</v>
      </c>
      <c r="L298" s="810">
        <v>6.7665</v>
      </c>
      <c r="M298" s="810">
        <v>9.8966</v>
      </c>
      <c r="N298" s="810">
        <v>10.1644</v>
      </c>
      <c r="O298" s="810" t="s">
        <v>2434</v>
      </c>
      <c r="P298" s="100" t="s">
        <v>2546</v>
      </c>
      <c r="Q298" s="100"/>
      <c r="R298" s="100"/>
      <c r="S298" s="8"/>
    </row>
    <row r="299" ht="14.25" customHeight="1">
      <c r="A299" s="100" t="s">
        <v>2182</v>
      </c>
      <c r="B299" s="100" t="s">
        <v>2343</v>
      </c>
      <c r="C299" s="100" t="s">
        <v>2317</v>
      </c>
      <c r="D299" s="100" t="s">
        <v>135</v>
      </c>
      <c r="E299" s="810" t="str">
        <f t="shared" ref="E299:M299" si="26">#REF!</f>
        <v>#REF!</v>
      </c>
      <c r="F299" s="810" t="str">
        <f t="shared" si="26"/>
        <v>#REF!</v>
      </c>
      <c r="G299" s="810" t="str">
        <f t="shared" si="26"/>
        <v>#REF!</v>
      </c>
      <c r="H299" s="810" t="str">
        <f t="shared" si="26"/>
        <v>#REF!</v>
      </c>
      <c r="I299" s="810" t="str">
        <f t="shared" si="26"/>
        <v>#REF!</v>
      </c>
      <c r="J299" s="810" t="str">
        <f t="shared" si="26"/>
        <v>#REF!</v>
      </c>
      <c r="K299" s="810" t="str">
        <f t="shared" si="26"/>
        <v>#REF!</v>
      </c>
      <c r="L299" s="810" t="str">
        <f t="shared" si="26"/>
        <v>#REF!</v>
      </c>
      <c r="M299" s="810" t="str">
        <f t="shared" si="26"/>
        <v>#REF!</v>
      </c>
      <c r="N299" s="817" t="str">
        <f>M299*(N300+N330)/(M300+M330)</f>
        <v>#REF!</v>
      </c>
      <c r="O299" s="810" t="str">
        <f>#REF!</f>
        <v>#REF!</v>
      </c>
      <c r="P299" s="100" t="s">
        <v>2546</v>
      </c>
      <c r="Q299" s="100"/>
      <c r="R299" s="100"/>
      <c r="S299" s="8"/>
    </row>
    <row r="300" ht="14.25" customHeight="1">
      <c r="A300" s="100" t="s">
        <v>2182</v>
      </c>
      <c r="B300" s="100"/>
      <c r="C300" s="100" t="s">
        <v>2507</v>
      </c>
      <c r="D300" s="100"/>
      <c r="E300" s="810" t="str">
        <f t="shared" ref="E300:O300" si="27">#REF!</f>
        <v>#REF!</v>
      </c>
      <c r="F300" s="810" t="str">
        <f t="shared" si="27"/>
        <v>#REF!</v>
      </c>
      <c r="G300" s="810" t="str">
        <f t="shared" si="27"/>
        <v>#REF!</v>
      </c>
      <c r="H300" s="810" t="str">
        <f t="shared" si="27"/>
        <v>#REF!</v>
      </c>
      <c r="I300" s="810" t="str">
        <f t="shared" si="27"/>
        <v>#REF!</v>
      </c>
      <c r="J300" s="810" t="str">
        <f t="shared" si="27"/>
        <v>#REF!</v>
      </c>
      <c r="K300" s="810" t="str">
        <f t="shared" si="27"/>
        <v>#REF!</v>
      </c>
      <c r="L300" s="810" t="str">
        <f t="shared" si="27"/>
        <v>#REF!</v>
      </c>
      <c r="M300" s="810" t="str">
        <f t="shared" si="27"/>
        <v>#REF!</v>
      </c>
      <c r="N300" s="810" t="str">
        <f t="shared" si="27"/>
        <v>#REF!</v>
      </c>
      <c r="O300" s="810" t="str">
        <f t="shared" si="27"/>
        <v>#REF!</v>
      </c>
      <c r="P300" s="100"/>
      <c r="Q300" s="100"/>
      <c r="R300" s="100"/>
      <c r="S300" s="8"/>
    </row>
    <row r="301" ht="14.25" customHeight="1">
      <c r="A301" s="100" t="s">
        <v>2182</v>
      </c>
      <c r="B301" s="100" t="s">
        <v>2343</v>
      </c>
      <c r="C301" s="100" t="s">
        <v>2325</v>
      </c>
      <c r="D301" s="100" t="s">
        <v>135</v>
      </c>
      <c r="E301" s="810">
        <v>2.0683</v>
      </c>
      <c r="F301" s="810">
        <v>2.2417</v>
      </c>
      <c r="G301" s="810">
        <v>2.2294</v>
      </c>
      <c r="H301" s="810">
        <v>2.3985</v>
      </c>
      <c r="I301" s="810">
        <v>2.3852</v>
      </c>
      <c r="J301" s="810">
        <v>2.3923</v>
      </c>
      <c r="K301" s="810">
        <v>2.5243</v>
      </c>
      <c r="L301" s="810">
        <v>2.5019</v>
      </c>
      <c r="M301" s="810">
        <v>2.7138</v>
      </c>
      <c r="N301" s="810">
        <v>2.5347</v>
      </c>
      <c r="O301" s="810" t="s">
        <v>2434</v>
      </c>
      <c r="P301" s="100" t="s">
        <v>2616</v>
      </c>
      <c r="Q301" s="100"/>
      <c r="R301" s="100"/>
      <c r="S301" s="8"/>
    </row>
    <row r="302" ht="14.25" customHeight="1">
      <c r="A302" s="100" t="s">
        <v>2182</v>
      </c>
      <c r="B302" s="100" t="s">
        <v>2343</v>
      </c>
      <c r="C302" s="100" t="s">
        <v>2329</v>
      </c>
      <c r="D302" s="100" t="s">
        <v>135</v>
      </c>
      <c r="E302" s="810">
        <v>3.428</v>
      </c>
      <c r="F302" s="810">
        <v>3.3483</v>
      </c>
      <c r="G302" s="810">
        <v>3.3622</v>
      </c>
      <c r="H302" s="810">
        <v>3.4521</v>
      </c>
      <c r="I302" s="810">
        <v>3.4135</v>
      </c>
      <c r="J302" s="810">
        <v>3.4216</v>
      </c>
      <c r="K302" s="810">
        <v>3.4069</v>
      </c>
      <c r="L302" s="810">
        <v>3.4824</v>
      </c>
      <c r="M302" s="810">
        <v>3.6202</v>
      </c>
      <c r="N302" s="810">
        <v>3.4813</v>
      </c>
      <c r="O302" s="810" t="s">
        <v>2434</v>
      </c>
      <c r="P302" s="100" t="s">
        <v>2549</v>
      </c>
      <c r="Q302" s="100"/>
      <c r="R302" s="100"/>
      <c r="S302" s="8"/>
    </row>
    <row r="303" ht="14.25" customHeight="1">
      <c r="A303" s="100" t="s">
        <v>2182</v>
      </c>
      <c r="B303" s="100" t="s">
        <v>2343</v>
      </c>
      <c r="C303" s="100" t="s">
        <v>2333</v>
      </c>
      <c r="D303" s="100" t="s">
        <v>135</v>
      </c>
      <c r="E303" s="810">
        <v>1.6163</v>
      </c>
      <c r="F303" s="810">
        <v>1.6744</v>
      </c>
      <c r="G303" s="810">
        <v>1.5465</v>
      </c>
      <c r="H303" s="810">
        <v>1.6977</v>
      </c>
      <c r="I303" s="810">
        <v>1.6977</v>
      </c>
      <c r="J303" s="810">
        <v>1.5465</v>
      </c>
      <c r="K303" s="810">
        <v>1.5116</v>
      </c>
      <c r="L303" s="810">
        <v>1.8886</v>
      </c>
      <c r="M303" s="810">
        <v>2.0639</v>
      </c>
      <c r="N303" s="810">
        <v>2.4629</v>
      </c>
      <c r="O303" s="810" t="s">
        <v>2434</v>
      </c>
      <c r="P303" s="100" t="s">
        <v>2546</v>
      </c>
      <c r="Q303" s="100"/>
      <c r="R303" s="100"/>
      <c r="S303" s="8"/>
    </row>
    <row r="304" ht="14.25" customHeight="1">
      <c r="A304" s="100" t="s">
        <v>2182</v>
      </c>
      <c r="B304" s="100" t="s">
        <v>2343</v>
      </c>
      <c r="C304" s="100" t="s">
        <v>2364</v>
      </c>
      <c r="D304" s="100" t="s">
        <v>135</v>
      </c>
      <c r="E304" s="810">
        <v>0.1323</v>
      </c>
      <c r="F304" s="810">
        <v>0.1625</v>
      </c>
      <c r="G304" s="810">
        <v>0.1748</v>
      </c>
      <c r="H304" s="810">
        <v>0.1754</v>
      </c>
      <c r="I304" s="810">
        <v>0.162</v>
      </c>
      <c r="J304" s="810">
        <v>0.0846</v>
      </c>
      <c r="K304" s="810">
        <v>0.0805</v>
      </c>
      <c r="L304" s="810">
        <v>0.1892</v>
      </c>
      <c r="M304" s="810">
        <v>0.229</v>
      </c>
      <c r="N304" s="810">
        <v>0.2367</v>
      </c>
      <c r="O304" s="810" t="s">
        <v>2434</v>
      </c>
      <c r="P304" s="100" t="s">
        <v>2617</v>
      </c>
      <c r="Q304" s="100"/>
      <c r="R304" s="100"/>
      <c r="S304" s="8"/>
    </row>
    <row r="305" ht="14.25" customHeight="1">
      <c r="A305" s="100" t="s">
        <v>2182</v>
      </c>
      <c r="B305" s="100" t="s">
        <v>2343</v>
      </c>
      <c r="C305" s="100" t="s">
        <v>2337</v>
      </c>
      <c r="D305" s="100" t="s">
        <v>135</v>
      </c>
      <c r="E305" s="810">
        <v>0.0</v>
      </c>
      <c r="F305" s="810">
        <v>0.0</v>
      </c>
      <c r="G305" s="810">
        <v>0.0</v>
      </c>
      <c r="H305" s="810">
        <v>0.0</v>
      </c>
      <c r="I305" s="810">
        <v>0.0</v>
      </c>
      <c r="J305" s="810">
        <v>0.0</v>
      </c>
      <c r="K305" s="810">
        <v>0.0</v>
      </c>
      <c r="L305" s="810">
        <v>0.0</v>
      </c>
      <c r="M305" s="810">
        <v>0.0</v>
      </c>
      <c r="N305" s="810">
        <v>0.0</v>
      </c>
      <c r="O305" s="810">
        <v>0.0</v>
      </c>
      <c r="P305" s="100" t="s">
        <v>2512</v>
      </c>
      <c r="Q305" s="100"/>
      <c r="R305" s="100"/>
      <c r="S305" s="8"/>
    </row>
    <row r="306" ht="14.25" customHeight="1">
      <c r="A306" s="100" t="s">
        <v>2182</v>
      </c>
      <c r="B306" s="100" t="s">
        <v>2343</v>
      </c>
      <c r="C306" s="100" t="s">
        <v>2341</v>
      </c>
      <c r="D306" s="100" t="s">
        <v>135</v>
      </c>
      <c r="E306" s="810">
        <v>0.7457</v>
      </c>
      <c r="F306" s="810">
        <v>0.7463</v>
      </c>
      <c r="G306" s="810">
        <v>0.7274</v>
      </c>
      <c r="H306" s="810">
        <v>0.8633</v>
      </c>
      <c r="I306" s="810">
        <v>0.7899</v>
      </c>
      <c r="J306" s="810">
        <v>0.8331</v>
      </c>
      <c r="K306" s="810">
        <v>0.9999</v>
      </c>
      <c r="L306" s="810">
        <v>1.1523</v>
      </c>
      <c r="M306" s="810">
        <v>1.0771</v>
      </c>
      <c r="N306" s="810">
        <v>1.049</v>
      </c>
      <c r="O306" s="810" t="s">
        <v>2434</v>
      </c>
      <c r="P306" s="100" t="s">
        <v>2546</v>
      </c>
      <c r="Q306" s="100"/>
      <c r="R306" s="100"/>
      <c r="S306" s="8"/>
    </row>
    <row r="307" ht="14.25" customHeight="1">
      <c r="A307" s="100" t="s">
        <v>2182</v>
      </c>
      <c r="B307" s="100" t="s">
        <v>2343</v>
      </c>
      <c r="C307" s="100" t="s">
        <v>2348</v>
      </c>
      <c r="D307" s="100" t="s">
        <v>135</v>
      </c>
      <c r="E307" s="810">
        <v>0.0768</v>
      </c>
      <c r="F307" s="810">
        <v>0.0</v>
      </c>
      <c r="G307" s="810">
        <v>0.0</v>
      </c>
      <c r="H307" s="810">
        <v>0.0</v>
      </c>
      <c r="I307" s="810">
        <v>0.0</v>
      </c>
      <c r="J307" s="810">
        <v>0.0</v>
      </c>
      <c r="K307" s="810">
        <v>0.0</v>
      </c>
      <c r="L307" s="810">
        <v>0.0</v>
      </c>
      <c r="M307" s="810">
        <v>0.0</v>
      </c>
      <c r="N307" s="810">
        <v>0.0</v>
      </c>
      <c r="O307" s="810" t="s">
        <v>2434</v>
      </c>
      <c r="P307" s="100" t="s">
        <v>2633</v>
      </c>
      <c r="Q307" s="100"/>
      <c r="R307" s="100"/>
      <c r="S307" s="8"/>
    </row>
    <row r="308" ht="14.25" customHeight="1">
      <c r="A308" s="100" t="s">
        <v>2182</v>
      </c>
      <c r="B308" s="100" t="s">
        <v>2343</v>
      </c>
      <c r="C308" s="100" t="s">
        <v>2350</v>
      </c>
      <c r="D308" s="100" t="s">
        <v>135</v>
      </c>
      <c r="E308" s="810">
        <v>0.034</v>
      </c>
      <c r="F308" s="810">
        <v>0.0154</v>
      </c>
      <c r="G308" s="810">
        <v>0.0389</v>
      </c>
      <c r="H308" s="810">
        <v>0.0284</v>
      </c>
      <c r="I308" s="810">
        <v>0.0283</v>
      </c>
      <c r="J308" s="810">
        <v>0.0152</v>
      </c>
      <c r="K308" s="810">
        <v>0.0182</v>
      </c>
      <c r="L308" s="810">
        <v>0.0127</v>
      </c>
      <c r="M308" s="810">
        <v>0.0155</v>
      </c>
      <c r="N308" s="810">
        <v>0.0077</v>
      </c>
      <c r="O308" s="810" t="s">
        <v>2434</v>
      </c>
      <c r="P308" s="100" t="s">
        <v>2400</v>
      </c>
      <c r="Q308" s="100"/>
      <c r="R308" s="100"/>
      <c r="S308" s="8"/>
    </row>
    <row r="309" ht="14.25" customHeight="1">
      <c r="A309" s="100" t="s">
        <v>2182</v>
      </c>
      <c r="B309" s="100" t="s">
        <v>2343</v>
      </c>
      <c r="C309" s="100" t="s">
        <v>2354</v>
      </c>
      <c r="D309" s="100" t="s">
        <v>135</v>
      </c>
      <c r="E309" s="810">
        <v>3.051</v>
      </c>
      <c r="F309" s="810">
        <v>2.8498</v>
      </c>
      <c r="G309" s="810">
        <v>2.924</v>
      </c>
      <c r="H309" s="810">
        <v>2.9034</v>
      </c>
      <c r="I309" s="810">
        <v>2.8873</v>
      </c>
      <c r="J309" s="810">
        <v>2.9361</v>
      </c>
      <c r="K309" s="810">
        <v>2.9603</v>
      </c>
      <c r="L309" s="810">
        <v>2.9109</v>
      </c>
      <c r="M309" s="810">
        <v>3.0288</v>
      </c>
      <c r="N309" s="810">
        <v>2.8975</v>
      </c>
      <c r="O309" s="810" t="s">
        <v>2434</v>
      </c>
      <c r="P309" s="100" t="s">
        <v>2556</v>
      </c>
      <c r="Q309" s="100"/>
      <c r="R309" s="100"/>
      <c r="S309" s="8"/>
    </row>
    <row r="310" ht="14.25" customHeight="1">
      <c r="A310" s="100" t="s">
        <v>2182</v>
      </c>
      <c r="B310" s="100" t="s">
        <v>2343</v>
      </c>
      <c r="C310" s="100" t="s">
        <v>2356</v>
      </c>
      <c r="D310" s="100" t="s">
        <v>135</v>
      </c>
      <c r="E310" s="810">
        <v>10.2519</v>
      </c>
      <c r="F310" s="810">
        <v>11.8365</v>
      </c>
      <c r="G310" s="810">
        <v>11.9047</v>
      </c>
      <c r="H310" s="810">
        <v>11.5966</v>
      </c>
      <c r="I310" s="810">
        <v>12.9218</v>
      </c>
      <c r="J310" s="810">
        <v>13.6786</v>
      </c>
      <c r="K310" s="810">
        <v>14.6056</v>
      </c>
      <c r="L310" s="810">
        <v>14.4989</v>
      </c>
      <c r="M310" s="810">
        <v>12.9911</v>
      </c>
      <c r="N310" s="810">
        <v>11.9581</v>
      </c>
      <c r="O310" s="810" t="s">
        <v>2434</v>
      </c>
      <c r="P310" s="100" t="s">
        <v>2546</v>
      </c>
      <c r="Q310" s="100"/>
      <c r="R310" s="100"/>
      <c r="S310" s="8"/>
    </row>
    <row r="311" ht="14.25" customHeight="1">
      <c r="A311" s="100" t="s">
        <v>2182</v>
      </c>
      <c r="B311" s="100" t="s">
        <v>2343</v>
      </c>
      <c r="C311" s="100" t="s">
        <v>2344</v>
      </c>
      <c r="D311" s="100" t="s">
        <v>135</v>
      </c>
      <c r="E311" s="810">
        <v>25.4239</v>
      </c>
      <c r="F311" s="810">
        <v>23.8564</v>
      </c>
      <c r="G311" s="810">
        <v>23.5474</v>
      </c>
      <c r="H311" s="810">
        <v>23.3761</v>
      </c>
      <c r="I311" s="810">
        <v>23.9955</v>
      </c>
      <c r="J311" s="810">
        <v>27.9784</v>
      </c>
      <c r="K311" s="810">
        <v>28.2653</v>
      </c>
      <c r="L311" s="810">
        <v>28.2919</v>
      </c>
      <c r="M311" s="810">
        <v>28.1644</v>
      </c>
      <c r="N311" s="810">
        <v>27.406</v>
      </c>
      <c r="O311" s="810" t="s">
        <v>2434</v>
      </c>
      <c r="P311" s="100" t="s">
        <v>2634</v>
      </c>
      <c r="Q311" s="100"/>
      <c r="R311" s="100"/>
      <c r="S311" s="8"/>
    </row>
    <row r="312" ht="14.25" customHeight="1">
      <c r="A312" s="100" t="s">
        <v>2182</v>
      </c>
      <c r="B312" s="100" t="s">
        <v>2343</v>
      </c>
      <c r="C312" s="100" t="s">
        <v>2362</v>
      </c>
      <c r="D312" s="100" t="s">
        <v>135</v>
      </c>
      <c r="E312" s="810">
        <v>8.8899</v>
      </c>
      <c r="F312" s="810">
        <v>9.3198</v>
      </c>
      <c r="G312" s="810">
        <v>9.1845</v>
      </c>
      <c r="H312" s="810">
        <v>10.259</v>
      </c>
      <c r="I312" s="810">
        <v>9.6301</v>
      </c>
      <c r="J312" s="810">
        <v>9.6418</v>
      </c>
      <c r="K312" s="810">
        <v>9.0243</v>
      </c>
      <c r="L312" s="810">
        <v>7.9354</v>
      </c>
      <c r="M312" s="810">
        <v>8.2348</v>
      </c>
      <c r="N312" s="810">
        <v>7.3377</v>
      </c>
      <c r="O312" s="810" t="s">
        <v>2434</v>
      </c>
      <c r="P312" s="100" t="s">
        <v>2622</v>
      </c>
      <c r="Q312" s="100"/>
      <c r="R312" s="100"/>
      <c r="S312" s="8"/>
    </row>
    <row r="313" ht="14.25" customHeight="1">
      <c r="A313" s="100" t="s">
        <v>2182</v>
      </c>
      <c r="B313" s="100" t="s">
        <v>2343</v>
      </c>
      <c r="C313" s="100" t="s">
        <v>2367</v>
      </c>
      <c r="D313" s="100" t="s">
        <v>135</v>
      </c>
      <c r="E313" s="810">
        <v>1.9448</v>
      </c>
      <c r="F313" s="810">
        <v>1.9248</v>
      </c>
      <c r="G313" s="810">
        <v>1.8687</v>
      </c>
      <c r="H313" s="810">
        <v>1.7522</v>
      </c>
      <c r="I313" s="810">
        <v>1.4042</v>
      </c>
      <c r="J313" s="810">
        <v>1.309</v>
      </c>
      <c r="K313" s="810">
        <v>1.3639</v>
      </c>
      <c r="L313" s="810">
        <v>1.5057</v>
      </c>
      <c r="M313" s="810">
        <v>1.4802</v>
      </c>
      <c r="N313" s="810">
        <v>1.3557</v>
      </c>
      <c r="O313" s="810" t="s">
        <v>2434</v>
      </c>
      <c r="P313" s="100" t="s">
        <v>2546</v>
      </c>
      <c r="Q313" s="100"/>
      <c r="R313" s="100"/>
      <c r="S313" s="8"/>
    </row>
    <row r="314" ht="14.25" customHeight="1">
      <c r="A314" s="100" t="s">
        <v>2182</v>
      </c>
      <c r="B314" s="100" t="s">
        <v>2343</v>
      </c>
      <c r="C314" s="100" t="s">
        <v>2369</v>
      </c>
      <c r="D314" s="100" t="s">
        <v>135</v>
      </c>
      <c r="E314" s="810">
        <v>3.0796</v>
      </c>
      <c r="F314" s="810">
        <v>3.2563</v>
      </c>
      <c r="G314" s="810">
        <v>3.4414</v>
      </c>
      <c r="H314" s="810">
        <v>4.1427</v>
      </c>
      <c r="I314" s="810">
        <v>4.7177</v>
      </c>
      <c r="J314" s="810">
        <v>5.2687</v>
      </c>
      <c r="K314" s="810">
        <v>5.3004</v>
      </c>
      <c r="L314" s="810">
        <v>5.5358</v>
      </c>
      <c r="M314" s="810">
        <v>5.9182</v>
      </c>
      <c r="N314" s="810">
        <v>6.0443</v>
      </c>
      <c r="O314" s="810" t="s">
        <v>2434</v>
      </c>
      <c r="P314" s="100" t="s">
        <v>2623</v>
      </c>
      <c r="Q314" s="100"/>
      <c r="R314" s="100"/>
      <c r="S314" s="8"/>
    </row>
    <row r="315" ht="14.25" customHeight="1">
      <c r="A315" s="100" t="s">
        <v>2182</v>
      </c>
      <c r="B315" s="100" t="s">
        <v>2343</v>
      </c>
      <c r="C315" s="100" t="s">
        <v>2374</v>
      </c>
      <c r="D315" s="100" t="s">
        <v>135</v>
      </c>
      <c r="E315" s="810">
        <v>9.8066</v>
      </c>
      <c r="F315" s="810">
        <v>10.9737</v>
      </c>
      <c r="G315" s="810">
        <v>8.8803</v>
      </c>
      <c r="H315" s="810">
        <v>7.4305</v>
      </c>
      <c r="I315" s="810">
        <v>7.4828</v>
      </c>
      <c r="J315" s="810">
        <v>7.2621</v>
      </c>
      <c r="K315" s="810">
        <v>7.6197</v>
      </c>
      <c r="L315" s="810">
        <v>8.075</v>
      </c>
      <c r="M315" s="810">
        <v>8.3013</v>
      </c>
      <c r="N315" s="810">
        <v>7.7146</v>
      </c>
      <c r="O315" s="810" t="s">
        <v>2434</v>
      </c>
      <c r="P315" s="100" t="s">
        <v>2624</v>
      </c>
      <c r="Q315" s="100"/>
      <c r="R315" s="100"/>
      <c r="S315" s="8"/>
    </row>
    <row r="316" ht="14.25" customHeight="1">
      <c r="A316" s="100" t="s">
        <v>2182</v>
      </c>
      <c r="B316" s="100" t="s">
        <v>2343</v>
      </c>
      <c r="C316" s="100" t="s">
        <v>2386</v>
      </c>
      <c r="D316" s="100" t="s">
        <v>135</v>
      </c>
      <c r="E316" s="810">
        <v>0.0386</v>
      </c>
      <c r="F316" s="810">
        <v>0.0497</v>
      </c>
      <c r="G316" s="810">
        <v>0.05</v>
      </c>
      <c r="H316" s="810">
        <v>0.0394</v>
      </c>
      <c r="I316" s="810">
        <v>0.0211</v>
      </c>
      <c r="J316" s="810">
        <v>0.0172</v>
      </c>
      <c r="K316" s="810">
        <v>0.0108</v>
      </c>
      <c r="L316" s="810">
        <v>0.0122</v>
      </c>
      <c r="M316" s="810">
        <v>0.0116</v>
      </c>
      <c r="N316" s="810">
        <v>0.0112</v>
      </c>
      <c r="O316" s="810" t="s">
        <v>2434</v>
      </c>
      <c r="P316" s="100" t="s">
        <v>2625</v>
      </c>
      <c r="Q316" s="100"/>
      <c r="R316" s="100"/>
      <c r="S316" s="8"/>
    </row>
    <row r="317" ht="14.25" customHeight="1">
      <c r="A317" s="100" t="s">
        <v>2182</v>
      </c>
      <c r="B317" s="100" t="s">
        <v>2343</v>
      </c>
      <c r="C317" s="100" t="s">
        <v>2378</v>
      </c>
      <c r="D317" s="100" t="s">
        <v>135</v>
      </c>
      <c r="E317" s="810">
        <v>0.0081</v>
      </c>
      <c r="F317" s="810">
        <v>0.0145</v>
      </c>
      <c r="G317" s="810">
        <v>0.0</v>
      </c>
      <c r="H317" s="810">
        <v>0.0</v>
      </c>
      <c r="I317" s="810">
        <v>0.0</v>
      </c>
      <c r="J317" s="810">
        <v>0.0</v>
      </c>
      <c r="K317" s="810">
        <v>0.0</v>
      </c>
      <c r="L317" s="810">
        <v>0.0</v>
      </c>
      <c r="M317" s="810">
        <v>0.0</v>
      </c>
      <c r="N317" s="810">
        <v>0.0</v>
      </c>
      <c r="O317" s="810" t="s">
        <v>2434</v>
      </c>
      <c r="P317" s="100" t="s">
        <v>2567</v>
      </c>
      <c r="Q317" s="100"/>
      <c r="R317" s="100"/>
      <c r="S317" s="8"/>
    </row>
    <row r="318" ht="14.25" customHeight="1">
      <c r="A318" s="100" t="s">
        <v>2182</v>
      </c>
      <c r="B318" s="100" t="s">
        <v>2343</v>
      </c>
      <c r="C318" s="100" t="s">
        <v>2383</v>
      </c>
      <c r="D318" s="100"/>
      <c r="E318" s="810" t="s">
        <v>2434</v>
      </c>
      <c r="F318" s="810" t="s">
        <v>2434</v>
      </c>
      <c r="G318" s="810" t="s">
        <v>2434</v>
      </c>
      <c r="H318" s="810" t="s">
        <v>2434</v>
      </c>
      <c r="I318" s="810" t="s">
        <v>2434</v>
      </c>
      <c r="J318" s="812">
        <v>0.0</v>
      </c>
      <c r="K318" s="810" t="s">
        <v>2434</v>
      </c>
      <c r="L318" s="810" t="s">
        <v>2434</v>
      </c>
      <c r="M318" s="810" t="s">
        <v>2434</v>
      </c>
      <c r="N318" s="812">
        <v>0.0</v>
      </c>
      <c r="O318" s="810" t="s">
        <v>2434</v>
      </c>
      <c r="P318" s="100"/>
      <c r="Q318" s="100"/>
      <c r="R318" s="822" t="s">
        <v>2637</v>
      </c>
      <c r="S318" s="8"/>
    </row>
    <row r="319" ht="14.25" customHeight="1">
      <c r="A319" s="100" t="s">
        <v>2182</v>
      </c>
      <c r="B319" s="100" t="s">
        <v>2343</v>
      </c>
      <c r="C319" s="100" t="s">
        <v>2389</v>
      </c>
      <c r="D319" s="100" t="s">
        <v>135</v>
      </c>
      <c r="E319" s="810">
        <v>0.0</v>
      </c>
      <c r="F319" s="810">
        <v>0.0</v>
      </c>
      <c r="G319" s="810">
        <v>0.0</v>
      </c>
      <c r="H319" s="810">
        <v>0.0</v>
      </c>
      <c r="I319" s="810">
        <v>0.0</v>
      </c>
      <c r="J319" s="810">
        <v>0.0</v>
      </c>
      <c r="K319" s="810">
        <v>0.0</v>
      </c>
      <c r="L319" s="810">
        <v>0.0</v>
      </c>
      <c r="M319" s="810">
        <v>0.0</v>
      </c>
      <c r="N319" s="810">
        <v>0.0</v>
      </c>
      <c r="O319" s="810" t="s">
        <v>2434</v>
      </c>
      <c r="P319" s="100" t="s">
        <v>2549</v>
      </c>
      <c r="Q319" s="100"/>
      <c r="R319" s="100"/>
      <c r="S319" s="8"/>
    </row>
    <row r="320" ht="14.25" customHeight="1">
      <c r="A320" s="100" t="s">
        <v>2182</v>
      </c>
      <c r="B320" s="100" t="s">
        <v>2343</v>
      </c>
      <c r="C320" s="100" t="s">
        <v>2391</v>
      </c>
      <c r="D320" s="100" t="s">
        <v>135</v>
      </c>
      <c r="E320" s="810">
        <v>5.7772</v>
      </c>
      <c r="F320" s="810">
        <v>7.0266</v>
      </c>
      <c r="G320" s="810">
        <v>3.6271</v>
      </c>
      <c r="H320" s="810">
        <v>3.6137</v>
      </c>
      <c r="I320" s="810">
        <v>2.2394</v>
      </c>
      <c r="J320" s="810">
        <v>3.1394</v>
      </c>
      <c r="K320" s="810">
        <v>3.3364</v>
      </c>
      <c r="L320" s="810">
        <v>2.841</v>
      </c>
      <c r="M320" s="810">
        <v>3.0553</v>
      </c>
      <c r="N320" s="810">
        <v>3.5203</v>
      </c>
      <c r="O320" s="810" t="s">
        <v>2434</v>
      </c>
      <c r="P320" s="100" t="s">
        <v>2546</v>
      </c>
      <c r="Q320" s="100"/>
      <c r="R320" s="100"/>
      <c r="S320" s="8"/>
    </row>
    <row r="321" ht="14.25" customHeight="1">
      <c r="A321" s="100" t="s">
        <v>2182</v>
      </c>
      <c r="B321" s="100" t="s">
        <v>2343</v>
      </c>
      <c r="C321" s="100" t="s">
        <v>2393</v>
      </c>
      <c r="D321" s="100" t="s">
        <v>135</v>
      </c>
      <c r="E321" s="810">
        <v>4.2178</v>
      </c>
      <c r="F321" s="810">
        <v>4.6888</v>
      </c>
      <c r="G321" s="810">
        <v>4.7762</v>
      </c>
      <c r="H321" s="810">
        <v>4.7264</v>
      </c>
      <c r="I321" s="810">
        <v>4.9105</v>
      </c>
      <c r="J321" s="810">
        <v>5.0032</v>
      </c>
      <c r="K321" s="810">
        <v>5.0806</v>
      </c>
      <c r="L321" s="810">
        <v>5.7162</v>
      </c>
      <c r="M321" s="810">
        <v>6.0298</v>
      </c>
      <c r="N321" s="810">
        <v>6.3747</v>
      </c>
      <c r="O321" s="810" t="s">
        <v>2434</v>
      </c>
      <c r="P321" s="100" t="s">
        <v>2526</v>
      </c>
      <c r="Q321" s="100"/>
      <c r="R321" s="100"/>
      <c r="S321" s="8"/>
    </row>
    <row r="322" ht="14.25" customHeight="1">
      <c r="A322" s="100" t="s">
        <v>2182</v>
      </c>
      <c r="B322" s="100" t="s">
        <v>2343</v>
      </c>
      <c r="C322" s="100" t="s">
        <v>2395</v>
      </c>
      <c r="D322" s="100" t="s">
        <v>135</v>
      </c>
      <c r="E322" s="810">
        <v>0.5186</v>
      </c>
      <c r="F322" s="810">
        <v>0.3972</v>
      </c>
      <c r="G322" s="810">
        <v>0.3969</v>
      </c>
      <c r="H322" s="810">
        <v>0.5197</v>
      </c>
      <c r="I322" s="810">
        <v>0.5354</v>
      </c>
      <c r="J322" s="810">
        <v>0.5645</v>
      </c>
      <c r="K322" s="810">
        <v>0.5864</v>
      </c>
      <c r="L322" s="810">
        <v>0.6181</v>
      </c>
      <c r="M322" s="810">
        <v>0.6121</v>
      </c>
      <c r="N322" s="810">
        <v>0.5765</v>
      </c>
      <c r="O322" s="810" t="s">
        <v>2434</v>
      </c>
      <c r="P322" s="100" t="s">
        <v>2626</v>
      </c>
      <c r="Q322" s="100"/>
      <c r="R322" s="100"/>
      <c r="S322" s="8"/>
    </row>
    <row r="323" ht="14.25" customHeight="1">
      <c r="A323" s="100" t="s">
        <v>2182</v>
      </c>
      <c r="B323" s="100" t="s">
        <v>2343</v>
      </c>
      <c r="C323" s="100" t="s">
        <v>2397</v>
      </c>
      <c r="D323" s="100"/>
      <c r="E323" s="810" t="s">
        <v>2434</v>
      </c>
      <c r="F323" s="810" t="s">
        <v>2434</v>
      </c>
      <c r="G323" s="810" t="s">
        <v>2434</v>
      </c>
      <c r="H323" s="810" t="s">
        <v>2434</v>
      </c>
      <c r="I323" s="810" t="s">
        <v>2434</v>
      </c>
      <c r="J323" s="812">
        <v>3.455</v>
      </c>
      <c r="K323" s="810" t="s">
        <v>2434</v>
      </c>
      <c r="L323" s="810" t="s">
        <v>2434</v>
      </c>
      <c r="M323" s="810" t="s">
        <v>2434</v>
      </c>
      <c r="N323" s="812">
        <f>J323</f>
        <v>3.455</v>
      </c>
      <c r="O323" s="810" t="s">
        <v>2434</v>
      </c>
      <c r="P323" s="100"/>
      <c r="Q323" s="100"/>
      <c r="R323" s="822" t="s">
        <v>2638</v>
      </c>
      <c r="S323" s="8"/>
    </row>
    <row r="324" ht="14.25" customHeight="1">
      <c r="A324" s="100" t="s">
        <v>2182</v>
      </c>
      <c r="B324" s="100" t="s">
        <v>2343</v>
      </c>
      <c r="C324" s="100" t="s">
        <v>2411</v>
      </c>
      <c r="D324" s="100" t="s">
        <v>135</v>
      </c>
      <c r="E324" s="810">
        <v>2.8581</v>
      </c>
      <c r="F324" s="810">
        <v>2.8672</v>
      </c>
      <c r="G324" s="810">
        <v>2.8815</v>
      </c>
      <c r="H324" s="810">
        <v>2.8425</v>
      </c>
      <c r="I324" s="810">
        <v>2.9007</v>
      </c>
      <c r="J324" s="810">
        <v>2.9776</v>
      </c>
      <c r="K324" s="810">
        <v>2.9958</v>
      </c>
      <c r="L324" s="810">
        <v>3.0991</v>
      </c>
      <c r="M324" s="810">
        <v>2.9438</v>
      </c>
      <c r="N324" s="810">
        <v>3.0615</v>
      </c>
      <c r="O324" s="810" t="s">
        <v>2434</v>
      </c>
      <c r="P324" s="100" t="s">
        <v>2546</v>
      </c>
      <c r="Q324" s="100"/>
      <c r="R324" s="100"/>
      <c r="S324" s="8"/>
    </row>
    <row r="325" ht="14.25" customHeight="1">
      <c r="A325" s="100" t="s">
        <v>2182</v>
      </c>
      <c r="B325" s="100" t="s">
        <v>2343</v>
      </c>
      <c r="C325" s="100" t="s">
        <v>2406</v>
      </c>
      <c r="D325" s="100" t="s">
        <v>135</v>
      </c>
      <c r="E325" s="810">
        <v>1.0953</v>
      </c>
      <c r="F325" s="810">
        <v>1.6137</v>
      </c>
      <c r="G325" s="810">
        <v>1.7431</v>
      </c>
      <c r="H325" s="810">
        <v>1.7477</v>
      </c>
      <c r="I325" s="810">
        <v>1.764</v>
      </c>
      <c r="J325" s="810">
        <v>1.837</v>
      </c>
      <c r="K325" s="810">
        <v>1.855</v>
      </c>
      <c r="L325" s="810">
        <v>1.9723</v>
      </c>
      <c r="M325" s="810">
        <v>1.9188</v>
      </c>
      <c r="N325" s="810">
        <v>1.6542</v>
      </c>
      <c r="O325" s="810" t="s">
        <v>2434</v>
      </c>
      <c r="P325" s="100" t="s">
        <v>2628</v>
      </c>
      <c r="Q325" s="100"/>
      <c r="R325" s="100"/>
      <c r="S325" s="8"/>
    </row>
    <row r="326" ht="14.25" customHeight="1">
      <c r="A326" s="100" t="s">
        <v>2182</v>
      </c>
      <c r="B326" s="100" t="s">
        <v>2343</v>
      </c>
      <c r="C326" s="100" t="s">
        <v>2352</v>
      </c>
      <c r="D326" s="100" t="s">
        <v>135</v>
      </c>
      <c r="E326" s="810">
        <v>14.4804</v>
      </c>
      <c r="F326" s="810">
        <v>15.1357</v>
      </c>
      <c r="G326" s="810">
        <v>13.2102</v>
      </c>
      <c r="H326" s="810">
        <v>11.5444</v>
      </c>
      <c r="I326" s="810">
        <v>11.6233</v>
      </c>
      <c r="J326" s="810">
        <v>12.6526</v>
      </c>
      <c r="K326" s="810">
        <v>13.2591</v>
      </c>
      <c r="L326" s="810">
        <v>13.5909</v>
      </c>
      <c r="M326" s="810">
        <v>15.1129</v>
      </c>
      <c r="N326" s="810">
        <v>14.5024</v>
      </c>
      <c r="O326" s="810" t="s">
        <v>2434</v>
      </c>
      <c r="P326" s="100" t="s">
        <v>2629</v>
      </c>
      <c r="Q326" s="100"/>
      <c r="R326" s="100"/>
      <c r="S326" s="8"/>
    </row>
    <row r="327" ht="14.25" customHeight="1">
      <c r="A327" s="100" t="s">
        <v>2182</v>
      </c>
      <c r="B327" s="100" t="s">
        <v>2343</v>
      </c>
      <c r="C327" s="100" t="s">
        <v>2400</v>
      </c>
      <c r="D327" s="100" t="s">
        <v>135</v>
      </c>
      <c r="E327" s="810">
        <v>3.5885</v>
      </c>
      <c r="F327" s="810">
        <v>3.8071</v>
      </c>
      <c r="G327" s="810">
        <v>4.0552</v>
      </c>
      <c r="H327" s="810">
        <v>3.9268</v>
      </c>
      <c r="I327" s="810">
        <v>3.5913</v>
      </c>
      <c r="J327" s="810">
        <v>3.7235</v>
      </c>
      <c r="K327" s="810">
        <v>3.8243</v>
      </c>
      <c r="L327" s="810">
        <v>3.9351</v>
      </c>
      <c r="M327" s="810">
        <v>4.0056</v>
      </c>
      <c r="N327" s="810">
        <v>3.8013</v>
      </c>
      <c r="O327" s="810" t="s">
        <v>2434</v>
      </c>
      <c r="P327" s="100" t="s">
        <v>2630</v>
      </c>
      <c r="Q327" s="100"/>
      <c r="R327" s="100"/>
      <c r="S327" s="8"/>
    </row>
    <row r="328" ht="14.25" customHeight="1">
      <c r="A328" s="100" t="s">
        <v>2182</v>
      </c>
      <c r="B328" s="100" t="s">
        <v>2343</v>
      </c>
      <c r="C328" s="100" t="s">
        <v>2416</v>
      </c>
      <c r="D328" s="100" t="s">
        <v>135</v>
      </c>
      <c r="E328" s="810">
        <v>19.8169</v>
      </c>
      <c r="F328" s="810">
        <v>19.4508</v>
      </c>
      <c r="G328" s="810">
        <v>19.5438</v>
      </c>
      <c r="H328" s="810">
        <v>19.6873</v>
      </c>
      <c r="I328" s="810">
        <v>20.1494</v>
      </c>
      <c r="J328" s="810">
        <v>20.7838</v>
      </c>
      <c r="K328" s="810">
        <v>21.2113</v>
      </c>
      <c r="L328" s="810">
        <v>21.3043</v>
      </c>
      <c r="M328" s="810">
        <v>22.1593</v>
      </c>
      <c r="N328" s="810">
        <v>22.4077</v>
      </c>
      <c r="O328" s="810">
        <v>22.4958</v>
      </c>
      <c r="P328" s="100" t="s">
        <v>2631</v>
      </c>
      <c r="Q328" s="100"/>
      <c r="R328" s="100"/>
      <c r="S328" s="8"/>
    </row>
    <row r="329" ht="14.25" customHeight="1">
      <c r="A329" s="100" t="s">
        <v>2182</v>
      </c>
      <c r="B329" s="100" t="s">
        <v>2343</v>
      </c>
      <c r="C329" s="100" t="s">
        <v>2423</v>
      </c>
      <c r="D329" s="100" t="s">
        <v>135</v>
      </c>
      <c r="E329" s="810">
        <v>0.6181</v>
      </c>
      <c r="F329" s="810">
        <v>0.6288</v>
      </c>
      <c r="G329" s="810">
        <v>0.9234</v>
      </c>
      <c r="H329" s="810">
        <v>0.8822</v>
      </c>
      <c r="I329" s="810">
        <v>0.956</v>
      </c>
      <c r="J329" s="810">
        <v>0.8774</v>
      </c>
      <c r="K329" s="810">
        <v>0.7868</v>
      </c>
      <c r="L329" s="810">
        <v>0.7873</v>
      </c>
      <c r="M329" s="810">
        <v>0.7726</v>
      </c>
      <c r="N329" s="810">
        <v>0.8196</v>
      </c>
      <c r="O329" s="810" t="s">
        <v>2434</v>
      </c>
      <c r="P329" s="100" t="s">
        <v>2632</v>
      </c>
      <c r="Q329" s="100"/>
      <c r="R329" s="100"/>
      <c r="S329" s="8"/>
    </row>
    <row r="330" ht="14.25" customHeight="1">
      <c r="A330" s="100" t="s">
        <v>2182</v>
      </c>
      <c r="B330" s="100" t="s">
        <v>2343</v>
      </c>
      <c r="C330" s="100" t="s">
        <v>2360</v>
      </c>
      <c r="D330" s="100" t="s">
        <v>135</v>
      </c>
      <c r="E330" s="810">
        <v>8.8017</v>
      </c>
      <c r="F330" s="810">
        <v>9.0467</v>
      </c>
      <c r="G330" s="810">
        <v>7.1838</v>
      </c>
      <c r="H330" s="810">
        <v>6.5311</v>
      </c>
      <c r="I330" s="810">
        <v>6.5061</v>
      </c>
      <c r="J330" s="810">
        <v>7.4935</v>
      </c>
      <c r="K330" s="810">
        <v>7.536</v>
      </c>
      <c r="L330" s="810">
        <v>7.3823</v>
      </c>
      <c r="M330" s="810">
        <v>7.2189</v>
      </c>
      <c r="N330" s="810">
        <v>6.8839</v>
      </c>
      <c r="O330" s="810" t="s">
        <v>2434</v>
      </c>
      <c r="P330" s="100" t="s">
        <v>2636</v>
      </c>
      <c r="Q330" s="100"/>
      <c r="R330" s="100"/>
      <c r="S330" s="8"/>
    </row>
    <row r="331" ht="14.25" customHeight="1">
      <c r="A331" s="100" t="s">
        <v>2182</v>
      </c>
      <c r="B331" s="100" t="s">
        <v>2343</v>
      </c>
      <c r="C331" s="100" t="s">
        <v>2535</v>
      </c>
      <c r="D331" s="100" t="s">
        <v>135</v>
      </c>
      <c r="E331" s="810">
        <v>1.0147</v>
      </c>
      <c r="F331" s="810">
        <v>0.6011</v>
      </c>
      <c r="G331" s="810">
        <v>0.6619</v>
      </c>
      <c r="H331" s="810">
        <v>0.538</v>
      </c>
      <c r="I331" s="810">
        <v>0.5035</v>
      </c>
      <c r="J331" s="810">
        <v>0.8299</v>
      </c>
      <c r="K331" s="810">
        <v>0.8348</v>
      </c>
      <c r="L331" s="810">
        <v>0.9127</v>
      </c>
      <c r="M331" s="810">
        <v>0.9214</v>
      </c>
      <c r="N331" s="810">
        <v>0.9268</v>
      </c>
      <c r="O331" s="810" t="s">
        <v>2434</v>
      </c>
      <c r="P331" s="100" t="s">
        <v>2546</v>
      </c>
      <c r="Q331" s="100"/>
      <c r="R331" s="100"/>
      <c r="S331" s="8"/>
    </row>
    <row r="332" ht="14.25" customHeight="1">
      <c r="A332" s="100" t="s">
        <v>2170</v>
      </c>
      <c r="B332" s="100" t="s">
        <v>2308</v>
      </c>
      <c r="C332" s="100" t="s">
        <v>2317</v>
      </c>
      <c r="D332" s="100" t="s">
        <v>135</v>
      </c>
      <c r="E332" s="810" t="str">
        <f t="shared" ref="E332:M332" si="28">#REF!</f>
        <v>#REF!</v>
      </c>
      <c r="F332" s="810" t="str">
        <f t="shared" si="28"/>
        <v>#REF!</v>
      </c>
      <c r="G332" s="810" t="str">
        <f t="shared" si="28"/>
        <v>#REF!</v>
      </c>
      <c r="H332" s="810" t="str">
        <f t="shared" si="28"/>
        <v>#REF!</v>
      </c>
      <c r="I332" s="810" t="str">
        <f t="shared" si="28"/>
        <v>#REF!</v>
      </c>
      <c r="J332" s="810" t="str">
        <f t="shared" si="28"/>
        <v>#REF!</v>
      </c>
      <c r="K332" s="810" t="str">
        <f t="shared" si="28"/>
        <v>#REF!</v>
      </c>
      <c r="L332" s="810" t="str">
        <f t="shared" si="28"/>
        <v>#REF!</v>
      </c>
      <c r="M332" s="810" t="str">
        <f t="shared" si="28"/>
        <v>#REF!</v>
      </c>
      <c r="N332" s="817" t="str">
        <f>M332*(N333+N363)/(M333+M363)</f>
        <v>#REF!</v>
      </c>
      <c r="O332" s="810" t="str">
        <f>#REF!</f>
        <v>#REF!</v>
      </c>
      <c r="P332" s="100" t="s">
        <v>2549</v>
      </c>
      <c r="Q332" s="100"/>
      <c r="R332" s="100" t="s">
        <v>2639</v>
      </c>
      <c r="S332" s="8"/>
    </row>
    <row r="333" ht="14.25" customHeight="1">
      <c r="A333" s="100" t="s">
        <v>2170</v>
      </c>
      <c r="B333" s="100"/>
      <c r="C333" s="100" t="s">
        <v>2507</v>
      </c>
      <c r="D333" s="100"/>
      <c r="E333" s="810" t="str">
        <f t="shared" ref="E333:O333" si="29">#REF!</f>
        <v>#REF!</v>
      </c>
      <c r="F333" s="810" t="str">
        <f t="shared" si="29"/>
        <v>#REF!</v>
      </c>
      <c r="G333" s="810" t="str">
        <f t="shared" si="29"/>
        <v>#REF!</v>
      </c>
      <c r="H333" s="810" t="str">
        <f t="shared" si="29"/>
        <v>#REF!</v>
      </c>
      <c r="I333" s="810" t="str">
        <f t="shared" si="29"/>
        <v>#REF!</v>
      </c>
      <c r="J333" s="810" t="str">
        <f t="shared" si="29"/>
        <v>#REF!</v>
      </c>
      <c r="K333" s="810" t="str">
        <f t="shared" si="29"/>
        <v>#REF!</v>
      </c>
      <c r="L333" s="810" t="str">
        <f t="shared" si="29"/>
        <v>#REF!</v>
      </c>
      <c r="M333" s="810" t="str">
        <f t="shared" si="29"/>
        <v>#REF!</v>
      </c>
      <c r="N333" s="810" t="str">
        <f t="shared" si="29"/>
        <v>#REF!</v>
      </c>
      <c r="O333" s="810" t="str">
        <f t="shared" si="29"/>
        <v>#REF!</v>
      </c>
      <c r="P333" s="100"/>
      <c r="Q333" s="100"/>
      <c r="R333" s="100"/>
      <c r="S333" s="8"/>
    </row>
    <row r="334" ht="14.25" customHeight="1">
      <c r="A334" s="100" t="s">
        <v>2170</v>
      </c>
      <c r="B334" s="100" t="s">
        <v>2308</v>
      </c>
      <c r="C334" s="100" t="s">
        <v>2325</v>
      </c>
      <c r="D334" s="100" t="s">
        <v>135</v>
      </c>
      <c r="E334" s="810">
        <v>3.7601</v>
      </c>
      <c r="F334" s="810">
        <v>3.7298</v>
      </c>
      <c r="G334" s="810">
        <v>3.8032</v>
      </c>
      <c r="H334" s="810">
        <v>3.7997</v>
      </c>
      <c r="I334" s="810">
        <v>3.8693</v>
      </c>
      <c r="J334" s="810">
        <v>3.9521</v>
      </c>
      <c r="K334" s="810">
        <v>4.1298</v>
      </c>
      <c r="L334" s="810">
        <v>4.0851</v>
      </c>
      <c r="M334" s="810">
        <v>4.4345</v>
      </c>
      <c r="N334" s="810">
        <v>4.3802</v>
      </c>
      <c r="O334" s="810" t="s">
        <v>2434</v>
      </c>
      <c r="P334" s="100" t="s">
        <v>2551</v>
      </c>
      <c r="Q334" s="100"/>
      <c r="R334" s="100"/>
      <c r="S334" s="8"/>
    </row>
    <row r="335" ht="14.25" customHeight="1">
      <c r="A335" s="100" t="s">
        <v>2170</v>
      </c>
      <c r="B335" s="100" t="s">
        <v>2308</v>
      </c>
      <c r="C335" s="100" t="s">
        <v>2329</v>
      </c>
      <c r="D335" s="100" t="s">
        <v>135</v>
      </c>
      <c r="E335" s="810">
        <v>6.2439</v>
      </c>
      <c r="F335" s="810">
        <v>6.7114</v>
      </c>
      <c r="G335" s="810">
        <v>6.2706</v>
      </c>
      <c r="H335" s="810">
        <v>6.1923</v>
      </c>
      <c r="I335" s="810">
        <v>6.2515</v>
      </c>
      <c r="J335" s="810">
        <v>5.5203</v>
      </c>
      <c r="K335" s="810">
        <v>5.5927</v>
      </c>
      <c r="L335" s="810">
        <v>5.1422</v>
      </c>
      <c r="M335" s="810">
        <v>5.5984</v>
      </c>
      <c r="N335" s="810">
        <v>6.1239</v>
      </c>
      <c r="O335" s="810" t="s">
        <v>2434</v>
      </c>
      <c r="P335" s="100" t="s">
        <v>2640</v>
      </c>
      <c r="Q335" s="100"/>
      <c r="R335" s="100"/>
      <c r="S335" s="8"/>
    </row>
    <row r="336" ht="14.25" customHeight="1">
      <c r="A336" s="100" t="s">
        <v>2170</v>
      </c>
      <c r="B336" s="100" t="s">
        <v>2308</v>
      </c>
      <c r="C336" s="100" t="s">
        <v>2333</v>
      </c>
      <c r="D336" s="100"/>
      <c r="E336" s="810" t="s">
        <v>2434</v>
      </c>
      <c r="F336" s="810" t="s">
        <v>2434</v>
      </c>
      <c r="G336" s="810" t="s">
        <v>2434</v>
      </c>
      <c r="H336" s="810" t="s">
        <v>2434</v>
      </c>
      <c r="I336" s="810" t="s">
        <v>2434</v>
      </c>
      <c r="J336" s="824" t="str">
        <f>J105*($J$332/$J$101)</f>
        <v>#REF!</v>
      </c>
      <c r="K336" s="810" t="s">
        <v>2434</v>
      </c>
      <c r="L336" s="810" t="s">
        <v>2434</v>
      </c>
      <c r="M336" s="810" t="s">
        <v>2434</v>
      </c>
      <c r="N336" s="824" t="str">
        <f>N105*($N$332/$N$101)</f>
        <v>#REF!</v>
      </c>
      <c r="O336" s="810" t="s">
        <v>2434</v>
      </c>
      <c r="P336" s="100"/>
      <c r="Q336" s="100"/>
      <c r="R336" s="822" t="s">
        <v>2641</v>
      </c>
      <c r="S336" s="8"/>
    </row>
    <row r="337" ht="14.25" customHeight="1">
      <c r="A337" s="100" t="s">
        <v>2170</v>
      </c>
      <c r="B337" s="100" t="s">
        <v>2308</v>
      </c>
      <c r="C337" s="100" t="s">
        <v>2364</v>
      </c>
      <c r="D337" s="100" t="s">
        <v>135</v>
      </c>
      <c r="E337" s="810">
        <v>2.7972</v>
      </c>
      <c r="F337" s="810">
        <v>2.3393</v>
      </c>
      <c r="G337" s="810">
        <v>2.2821</v>
      </c>
      <c r="H337" s="810">
        <v>2.5976</v>
      </c>
      <c r="I337" s="810">
        <v>2.547</v>
      </c>
      <c r="J337" s="810">
        <v>2.511</v>
      </c>
      <c r="K337" s="810">
        <v>2.2869</v>
      </c>
      <c r="L337" s="810">
        <v>2.6836</v>
      </c>
      <c r="M337" s="810">
        <v>2.6719</v>
      </c>
      <c r="N337" s="810">
        <v>2.5535</v>
      </c>
      <c r="O337" s="810" t="s">
        <v>2434</v>
      </c>
      <c r="P337" s="100" t="s">
        <v>2617</v>
      </c>
      <c r="Q337" s="100"/>
      <c r="R337" s="100"/>
      <c r="S337" s="8"/>
    </row>
    <row r="338" ht="14.25" customHeight="1">
      <c r="A338" s="100" t="s">
        <v>2170</v>
      </c>
      <c r="B338" s="100" t="s">
        <v>2308</v>
      </c>
      <c r="C338" s="100" t="s">
        <v>2337</v>
      </c>
      <c r="D338" s="100" t="s">
        <v>135</v>
      </c>
      <c r="E338" s="810">
        <v>1.533</v>
      </c>
      <c r="F338" s="810">
        <v>1.1494</v>
      </c>
      <c r="G338" s="810">
        <v>0.8986</v>
      </c>
      <c r="H338" s="810">
        <v>1.2015</v>
      </c>
      <c r="I338" s="810">
        <v>1.5247</v>
      </c>
      <c r="J338" s="810">
        <v>1.2971</v>
      </c>
      <c r="K338" s="810">
        <v>1.1496</v>
      </c>
      <c r="L338" s="810">
        <v>1.1693</v>
      </c>
      <c r="M338" s="810">
        <v>0.983</v>
      </c>
      <c r="N338" s="810">
        <v>0.8825</v>
      </c>
      <c r="O338" s="810">
        <v>0.9291</v>
      </c>
      <c r="P338" s="100" t="s">
        <v>2512</v>
      </c>
      <c r="Q338" s="100"/>
      <c r="R338" s="100"/>
      <c r="S338" s="8"/>
    </row>
    <row r="339" ht="14.25" customHeight="1">
      <c r="A339" s="100" t="s">
        <v>2170</v>
      </c>
      <c r="B339" s="100" t="s">
        <v>2308</v>
      </c>
      <c r="C339" s="100" t="s">
        <v>2341</v>
      </c>
      <c r="D339" s="100"/>
      <c r="E339" s="810" t="s">
        <v>2434</v>
      </c>
      <c r="F339" s="810" t="s">
        <v>2434</v>
      </c>
      <c r="G339" s="810" t="s">
        <v>2434</v>
      </c>
      <c r="H339" s="810" t="s">
        <v>2434</v>
      </c>
      <c r="I339" s="810" t="s">
        <v>2434</v>
      </c>
      <c r="J339" s="824" t="str">
        <f t="shared" ref="J339:J340" si="30">J108*($J$332/$J$101)</f>
        <v>#REF!</v>
      </c>
      <c r="K339" s="810" t="s">
        <v>2434</v>
      </c>
      <c r="L339" s="810" t="s">
        <v>2434</v>
      </c>
      <c r="M339" s="810" t="s">
        <v>2434</v>
      </c>
      <c r="N339" s="824" t="str">
        <f t="shared" ref="N339:N340" si="31">N108*($N$332/$N$101)</f>
        <v>#REF!</v>
      </c>
      <c r="O339" s="810" t="s">
        <v>2434</v>
      </c>
      <c r="P339" s="100"/>
      <c r="Q339" s="100"/>
      <c r="R339" s="822" t="s">
        <v>2641</v>
      </c>
      <c r="S339" s="8"/>
    </row>
    <row r="340" ht="14.25" customHeight="1">
      <c r="A340" s="100" t="s">
        <v>2170</v>
      </c>
      <c r="B340" s="100" t="s">
        <v>2308</v>
      </c>
      <c r="C340" s="100" t="s">
        <v>2348</v>
      </c>
      <c r="D340" s="100"/>
      <c r="E340" s="810" t="s">
        <v>2434</v>
      </c>
      <c r="F340" s="810" t="s">
        <v>2434</v>
      </c>
      <c r="G340" s="810" t="s">
        <v>2434</v>
      </c>
      <c r="H340" s="810" t="s">
        <v>2434</v>
      </c>
      <c r="I340" s="810" t="s">
        <v>2434</v>
      </c>
      <c r="J340" s="824" t="str">
        <f t="shared" si="30"/>
        <v>#REF!</v>
      </c>
      <c r="K340" s="810" t="s">
        <v>2434</v>
      </c>
      <c r="L340" s="810" t="s">
        <v>2434</v>
      </c>
      <c r="M340" s="810" t="s">
        <v>2434</v>
      </c>
      <c r="N340" s="824" t="str">
        <f t="shared" si="31"/>
        <v>#REF!</v>
      </c>
      <c r="O340" s="810" t="s">
        <v>2434</v>
      </c>
      <c r="P340" s="100"/>
      <c r="Q340" s="100"/>
      <c r="R340" s="822" t="s">
        <v>2641</v>
      </c>
      <c r="S340" s="8"/>
    </row>
    <row r="341" ht="14.25" customHeight="1">
      <c r="A341" s="100" t="s">
        <v>2170</v>
      </c>
      <c r="B341" s="100" t="s">
        <v>2308</v>
      </c>
      <c r="C341" s="100" t="s">
        <v>2350</v>
      </c>
      <c r="D341" s="100" t="s">
        <v>135</v>
      </c>
      <c r="E341" s="810">
        <v>0.9597</v>
      </c>
      <c r="F341" s="810">
        <v>1.2388</v>
      </c>
      <c r="G341" s="810">
        <v>1.215</v>
      </c>
      <c r="H341" s="810">
        <v>1.1679</v>
      </c>
      <c r="I341" s="810">
        <v>1.2202</v>
      </c>
      <c r="J341" s="810">
        <v>0.5969</v>
      </c>
      <c r="K341" s="810">
        <v>0.5134</v>
      </c>
      <c r="L341" s="810">
        <v>0.9169</v>
      </c>
      <c r="M341" s="810">
        <v>1.0029</v>
      </c>
      <c r="N341" s="810">
        <v>0.9432</v>
      </c>
      <c r="O341" s="810" t="s">
        <v>2434</v>
      </c>
      <c r="P341" s="100" t="s">
        <v>2642</v>
      </c>
      <c r="Q341" s="100"/>
      <c r="R341" s="822" t="s">
        <v>2643</v>
      </c>
      <c r="S341" s="8"/>
    </row>
    <row r="342" ht="14.25" customHeight="1">
      <c r="A342" s="100" t="s">
        <v>2170</v>
      </c>
      <c r="B342" s="100" t="s">
        <v>2308</v>
      </c>
      <c r="C342" s="100" t="s">
        <v>2354</v>
      </c>
      <c r="D342" s="100"/>
      <c r="E342" s="810" t="s">
        <v>2434</v>
      </c>
      <c r="F342" s="810" t="s">
        <v>2434</v>
      </c>
      <c r="G342" s="810" t="s">
        <v>2434</v>
      </c>
      <c r="H342" s="810" t="s">
        <v>2434</v>
      </c>
      <c r="I342" s="810" t="s">
        <v>2434</v>
      </c>
      <c r="J342" s="824" t="str">
        <f>J111*($J$332/$J$101)</f>
        <v>#REF!</v>
      </c>
      <c r="K342" s="810" t="s">
        <v>2434</v>
      </c>
      <c r="L342" s="810" t="s">
        <v>2434</v>
      </c>
      <c r="M342" s="810" t="s">
        <v>2434</v>
      </c>
      <c r="N342" s="824" t="str">
        <f>N111*($N$332/$N$101)</f>
        <v>#REF!</v>
      </c>
      <c r="O342" s="810" t="s">
        <v>2434</v>
      </c>
      <c r="P342" s="100"/>
      <c r="Q342" s="100"/>
      <c r="R342" s="822" t="s">
        <v>2641</v>
      </c>
      <c r="S342" s="8"/>
    </row>
    <row r="343" ht="14.25" customHeight="1">
      <c r="A343" s="100" t="s">
        <v>2170</v>
      </c>
      <c r="B343" s="100" t="s">
        <v>2308</v>
      </c>
      <c r="C343" s="100" t="s">
        <v>2356</v>
      </c>
      <c r="D343" s="100" t="s">
        <v>135</v>
      </c>
      <c r="E343" s="810">
        <v>18.9736</v>
      </c>
      <c r="F343" s="810">
        <v>19.0673</v>
      </c>
      <c r="G343" s="810">
        <v>17.2111</v>
      </c>
      <c r="H343" s="810">
        <v>17.0049</v>
      </c>
      <c r="I343" s="810">
        <v>15.7639</v>
      </c>
      <c r="J343" s="810">
        <v>14.8166</v>
      </c>
      <c r="K343" s="810">
        <v>14.8263</v>
      </c>
      <c r="L343" s="810">
        <v>13.5604</v>
      </c>
      <c r="M343" s="810">
        <v>13.2602</v>
      </c>
      <c r="N343" s="810">
        <v>13.399</v>
      </c>
      <c r="O343" s="810" t="s">
        <v>2434</v>
      </c>
      <c r="P343" s="100" t="s">
        <v>2644</v>
      </c>
      <c r="Q343" s="100"/>
      <c r="R343" s="100"/>
      <c r="S343" s="8"/>
    </row>
    <row r="344" ht="14.25" customHeight="1">
      <c r="A344" s="100" t="s">
        <v>2170</v>
      </c>
      <c r="B344" s="100" t="s">
        <v>2308</v>
      </c>
      <c r="C344" s="100" t="s">
        <v>2344</v>
      </c>
      <c r="D344" s="100" t="s">
        <v>135</v>
      </c>
      <c r="E344" s="810">
        <v>24.6149</v>
      </c>
      <c r="F344" s="810">
        <v>27.1654</v>
      </c>
      <c r="G344" s="810">
        <v>26.7726</v>
      </c>
      <c r="H344" s="810">
        <v>24.9402</v>
      </c>
      <c r="I344" s="810">
        <v>25.4966</v>
      </c>
      <c r="J344" s="810">
        <v>25.0801</v>
      </c>
      <c r="K344" s="810">
        <v>26.9811</v>
      </c>
      <c r="L344" s="810">
        <v>26.9791</v>
      </c>
      <c r="M344" s="810">
        <v>30.7176</v>
      </c>
      <c r="N344" s="810">
        <v>27.1705</v>
      </c>
      <c r="O344" s="810" t="s">
        <v>2434</v>
      </c>
      <c r="P344" s="100" t="s">
        <v>2549</v>
      </c>
      <c r="Q344" s="100"/>
      <c r="R344" s="100"/>
      <c r="S344" s="8"/>
    </row>
    <row r="345" ht="14.25" customHeight="1">
      <c r="A345" s="100" t="s">
        <v>2170</v>
      </c>
      <c r="B345" s="100" t="s">
        <v>2308</v>
      </c>
      <c r="C345" s="100" t="s">
        <v>2362</v>
      </c>
      <c r="D345" s="100" t="s">
        <v>135</v>
      </c>
      <c r="E345" s="810">
        <v>5.8708</v>
      </c>
      <c r="F345" s="810" t="s">
        <v>2434</v>
      </c>
      <c r="G345" s="810" t="s">
        <v>2434</v>
      </c>
      <c r="H345" s="810" t="s">
        <v>2434</v>
      </c>
      <c r="I345" s="810" t="s">
        <v>2434</v>
      </c>
      <c r="J345" s="824" t="str">
        <f t="shared" ref="J345:J347" si="32">J114*($J$332/$J$101)</f>
        <v>#REF!</v>
      </c>
      <c r="K345" s="810" t="s">
        <v>2434</v>
      </c>
      <c r="L345" s="810" t="s">
        <v>2434</v>
      </c>
      <c r="M345" s="810" t="s">
        <v>2434</v>
      </c>
      <c r="N345" s="824" t="str">
        <f t="shared" ref="N345:N347" si="33">N114*($N$332/$N$101)</f>
        <v>#REF!</v>
      </c>
      <c r="O345" s="810" t="s">
        <v>2434</v>
      </c>
      <c r="P345" s="100" t="s">
        <v>2622</v>
      </c>
      <c r="Q345" s="100"/>
      <c r="R345" s="822" t="s">
        <v>2641</v>
      </c>
      <c r="S345" s="8"/>
    </row>
    <row r="346" ht="14.25" customHeight="1">
      <c r="A346" s="100" t="s">
        <v>2170</v>
      </c>
      <c r="B346" s="100" t="s">
        <v>2308</v>
      </c>
      <c r="C346" s="100" t="s">
        <v>2367</v>
      </c>
      <c r="D346" s="100"/>
      <c r="E346" s="810" t="s">
        <v>2434</v>
      </c>
      <c r="F346" s="810" t="s">
        <v>2434</v>
      </c>
      <c r="G346" s="810" t="s">
        <v>2434</v>
      </c>
      <c r="H346" s="810" t="s">
        <v>2434</v>
      </c>
      <c r="I346" s="810" t="s">
        <v>2434</v>
      </c>
      <c r="J346" s="824" t="str">
        <f t="shared" si="32"/>
        <v>#REF!</v>
      </c>
      <c r="K346" s="810" t="s">
        <v>2434</v>
      </c>
      <c r="L346" s="810" t="s">
        <v>2434</v>
      </c>
      <c r="M346" s="810" t="s">
        <v>2434</v>
      </c>
      <c r="N346" s="824" t="str">
        <f t="shared" si="33"/>
        <v>#REF!</v>
      </c>
      <c r="O346" s="810" t="s">
        <v>2434</v>
      </c>
      <c r="P346" s="100"/>
      <c r="Q346" s="100"/>
      <c r="R346" s="822" t="s">
        <v>2641</v>
      </c>
      <c r="S346" s="8"/>
    </row>
    <row r="347" ht="14.25" customHeight="1">
      <c r="A347" s="100" t="s">
        <v>2170</v>
      </c>
      <c r="B347" s="100" t="s">
        <v>2308</v>
      </c>
      <c r="C347" s="100" t="s">
        <v>2369</v>
      </c>
      <c r="D347" s="100"/>
      <c r="E347" s="810" t="s">
        <v>2434</v>
      </c>
      <c r="F347" s="810" t="s">
        <v>2434</v>
      </c>
      <c r="G347" s="810" t="s">
        <v>2434</v>
      </c>
      <c r="H347" s="810" t="s">
        <v>2434</v>
      </c>
      <c r="I347" s="810" t="s">
        <v>2434</v>
      </c>
      <c r="J347" s="824" t="str">
        <f t="shared" si="32"/>
        <v>#REF!</v>
      </c>
      <c r="K347" s="810" t="s">
        <v>2434</v>
      </c>
      <c r="L347" s="810" t="s">
        <v>2434</v>
      </c>
      <c r="M347" s="810" t="s">
        <v>2434</v>
      </c>
      <c r="N347" s="824" t="str">
        <f t="shared" si="33"/>
        <v>#REF!</v>
      </c>
      <c r="O347" s="810" t="s">
        <v>2434</v>
      </c>
      <c r="P347" s="100"/>
      <c r="Q347" s="100"/>
      <c r="R347" s="822" t="s">
        <v>2641</v>
      </c>
      <c r="S347" s="8"/>
    </row>
    <row r="348" ht="14.25" customHeight="1">
      <c r="A348" s="100" t="s">
        <v>2170</v>
      </c>
      <c r="B348" s="100" t="s">
        <v>2308</v>
      </c>
      <c r="C348" s="100" t="s">
        <v>2374</v>
      </c>
      <c r="D348" s="100" t="s">
        <v>135</v>
      </c>
      <c r="E348" s="810">
        <v>27.8536</v>
      </c>
      <c r="F348" s="810">
        <v>26.6089</v>
      </c>
      <c r="G348" s="810">
        <v>21.1286</v>
      </c>
      <c r="H348" s="810">
        <v>18.8998</v>
      </c>
      <c r="I348" s="810">
        <v>17.0883</v>
      </c>
      <c r="J348" s="810">
        <v>16.0113</v>
      </c>
      <c r="K348" s="810">
        <v>14.6002</v>
      </c>
      <c r="L348" s="810">
        <v>13.3969</v>
      </c>
      <c r="M348" s="810">
        <v>13.4507</v>
      </c>
      <c r="N348" s="810">
        <v>11.6948</v>
      </c>
      <c r="O348" s="810" t="s">
        <v>2434</v>
      </c>
      <c r="P348" s="100" t="s">
        <v>2645</v>
      </c>
      <c r="Q348" s="100"/>
      <c r="R348" s="100"/>
      <c r="S348" s="8"/>
    </row>
    <row r="349" ht="14.25" customHeight="1">
      <c r="A349" s="100" t="s">
        <v>2170</v>
      </c>
      <c r="B349" s="100" t="s">
        <v>2308</v>
      </c>
      <c r="C349" s="100" t="s">
        <v>2386</v>
      </c>
      <c r="D349" s="100"/>
      <c r="E349" s="810" t="s">
        <v>2434</v>
      </c>
      <c r="F349" s="810" t="s">
        <v>2434</v>
      </c>
      <c r="G349" s="810" t="s">
        <v>2434</v>
      </c>
      <c r="H349" s="810" t="s">
        <v>2434</v>
      </c>
      <c r="I349" s="810" t="s">
        <v>2434</v>
      </c>
      <c r="J349" s="824" t="str">
        <f t="shared" ref="J349:J353" si="34">J118*($J$332/$J$101)</f>
        <v>#REF!</v>
      </c>
      <c r="K349" s="810" t="s">
        <v>2434</v>
      </c>
      <c r="L349" s="810" t="s">
        <v>2434</v>
      </c>
      <c r="M349" s="810" t="s">
        <v>2434</v>
      </c>
      <c r="N349" s="824" t="str">
        <f t="shared" ref="N349:N353" si="35">N118*($N$332/$N$101)</f>
        <v>#REF!</v>
      </c>
      <c r="O349" s="810" t="s">
        <v>2434</v>
      </c>
      <c r="P349" s="100"/>
      <c r="Q349" s="100"/>
      <c r="R349" s="822" t="s">
        <v>2641</v>
      </c>
      <c r="S349" s="8"/>
    </row>
    <row r="350" ht="14.25" customHeight="1">
      <c r="A350" s="100" t="s">
        <v>2170</v>
      </c>
      <c r="B350" s="100" t="s">
        <v>2308</v>
      </c>
      <c r="C350" s="100" t="s">
        <v>2378</v>
      </c>
      <c r="D350" s="100"/>
      <c r="E350" s="810" t="s">
        <v>2434</v>
      </c>
      <c r="F350" s="810" t="s">
        <v>2434</v>
      </c>
      <c r="G350" s="810" t="s">
        <v>2434</v>
      </c>
      <c r="H350" s="810" t="s">
        <v>2434</v>
      </c>
      <c r="I350" s="810" t="s">
        <v>2434</v>
      </c>
      <c r="J350" s="824" t="str">
        <f t="shared" si="34"/>
        <v>#REF!</v>
      </c>
      <c r="K350" s="810" t="s">
        <v>2434</v>
      </c>
      <c r="L350" s="810" t="s">
        <v>2434</v>
      </c>
      <c r="M350" s="810" t="s">
        <v>2434</v>
      </c>
      <c r="N350" s="824" t="str">
        <f t="shared" si="35"/>
        <v>#REF!</v>
      </c>
      <c r="O350" s="810" t="s">
        <v>2434</v>
      </c>
      <c r="P350" s="100"/>
      <c r="Q350" s="100"/>
      <c r="R350" s="822" t="s">
        <v>2641</v>
      </c>
      <c r="S350" s="8"/>
    </row>
    <row r="351" ht="14.25" customHeight="1">
      <c r="A351" s="100" t="s">
        <v>2170</v>
      </c>
      <c r="B351" s="100" t="s">
        <v>2308</v>
      </c>
      <c r="C351" s="100" t="s">
        <v>2383</v>
      </c>
      <c r="D351" s="100"/>
      <c r="E351" s="810" t="s">
        <v>2434</v>
      </c>
      <c r="F351" s="810" t="s">
        <v>2434</v>
      </c>
      <c r="G351" s="810" t="s">
        <v>2434</v>
      </c>
      <c r="H351" s="810" t="s">
        <v>2434</v>
      </c>
      <c r="I351" s="810" t="s">
        <v>2434</v>
      </c>
      <c r="J351" s="824" t="str">
        <f t="shared" si="34"/>
        <v>#REF!</v>
      </c>
      <c r="K351" s="810" t="s">
        <v>2434</v>
      </c>
      <c r="L351" s="810" t="s">
        <v>2434</v>
      </c>
      <c r="M351" s="810" t="s">
        <v>2434</v>
      </c>
      <c r="N351" s="824" t="str">
        <f t="shared" si="35"/>
        <v>#REF!</v>
      </c>
      <c r="O351" s="810" t="s">
        <v>2434</v>
      </c>
      <c r="P351" s="100"/>
      <c r="Q351" s="100"/>
      <c r="R351" s="822" t="s">
        <v>2641</v>
      </c>
      <c r="S351" s="8"/>
    </row>
    <row r="352" ht="14.25" customHeight="1">
      <c r="A352" s="100" t="s">
        <v>2170</v>
      </c>
      <c r="B352" s="100" t="s">
        <v>2308</v>
      </c>
      <c r="C352" s="100" t="s">
        <v>2389</v>
      </c>
      <c r="D352" s="100"/>
      <c r="E352" s="810" t="s">
        <v>2434</v>
      </c>
      <c r="F352" s="810" t="s">
        <v>2434</v>
      </c>
      <c r="G352" s="810" t="s">
        <v>2434</v>
      </c>
      <c r="H352" s="810" t="s">
        <v>2434</v>
      </c>
      <c r="I352" s="810" t="s">
        <v>2434</v>
      </c>
      <c r="J352" s="824" t="str">
        <f t="shared" si="34"/>
        <v>#REF!</v>
      </c>
      <c r="K352" s="810" t="s">
        <v>2434</v>
      </c>
      <c r="L352" s="810" t="s">
        <v>2434</v>
      </c>
      <c r="M352" s="810" t="s">
        <v>2434</v>
      </c>
      <c r="N352" s="824" t="str">
        <f t="shared" si="35"/>
        <v>#REF!</v>
      </c>
      <c r="O352" s="810" t="s">
        <v>2434</v>
      </c>
      <c r="P352" s="100"/>
      <c r="Q352" s="100"/>
      <c r="R352" s="822" t="s">
        <v>2641</v>
      </c>
      <c r="S352" s="8"/>
    </row>
    <row r="353" ht="14.25" customHeight="1">
      <c r="A353" s="100" t="s">
        <v>2170</v>
      </c>
      <c r="B353" s="100" t="s">
        <v>2308</v>
      </c>
      <c r="C353" s="100" t="s">
        <v>2391</v>
      </c>
      <c r="D353" s="100" t="s">
        <v>135</v>
      </c>
      <c r="E353" s="810">
        <v>1.8119</v>
      </c>
      <c r="F353" s="810" t="s">
        <v>2434</v>
      </c>
      <c r="G353" s="810" t="s">
        <v>2434</v>
      </c>
      <c r="H353" s="810" t="s">
        <v>2434</v>
      </c>
      <c r="I353" s="810" t="s">
        <v>2434</v>
      </c>
      <c r="J353" s="824" t="str">
        <f t="shared" si="34"/>
        <v>#REF!</v>
      </c>
      <c r="K353" s="810" t="s">
        <v>2434</v>
      </c>
      <c r="L353" s="810" t="s">
        <v>2434</v>
      </c>
      <c r="M353" s="810" t="s">
        <v>2434</v>
      </c>
      <c r="N353" s="824" t="str">
        <f t="shared" si="35"/>
        <v>#REF!</v>
      </c>
      <c r="O353" s="810" t="s">
        <v>2434</v>
      </c>
      <c r="P353" s="100" t="s">
        <v>2511</v>
      </c>
      <c r="Q353" s="100"/>
      <c r="R353" s="822" t="s">
        <v>2641</v>
      </c>
      <c r="S353" s="8"/>
    </row>
    <row r="354" ht="14.25" customHeight="1">
      <c r="A354" s="100" t="s">
        <v>2170</v>
      </c>
      <c r="B354" s="100" t="s">
        <v>2308</v>
      </c>
      <c r="C354" s="100" t="s">
        <v>2393</v>
      </c>
      <c r="D354" s="100" t="s">
        <v>135</v>
      </c>
      <c r="E354" s="810">
        <v>15.6657</v>
      </c>
      <c r="F354" s="810">
        <v>18.5022</v>
      </c>
      <c r="G354" s="810">
        <v>15.6942</v>
      </c>
      <c r="H354" s="810">
        <v>14.5473</v>
      </c>
      <c r="I354" s="810">
        <v>16.3291</v>
      </c>
      <c r="J354" s="810">
        <v>14.9285</v>
      </c>
      <c r="K354" s="810">
        <v>16.2385</v>
      </c>
      <c r="L354" s="810">
        <v>17.126</v>
      </c>
      <c r="M354" s="810">
        <v>18.7062</v>
      </c>
      <c r="N354" s="810">
        <v>18.213</v>
      </c>
      <c r="O354" s="810" t="s">
        <v>2434</v>
      </c>
      <c r="P354" s="100" t="s">
        <v>2526</v>
      </c>
      <c r="Q354" s="100"/>
      <c r="R354" s="100"/>
      <c r="S354" s="8"/>
    </row>
    <row r="355" ht="14.25" customHeight="1">
      <c r="A355" s="100" t="s">
        <v>2170</v>
      </c>
      <c r="B355" s="100" t="s">
        <v>2308</v>
      </c>
      <c r="C355" s="100" t="s">
        <v>2395</v>
      </c>
      <c r="D355" s="100" t="s">
        <v>135</v>
      </c>
      <c r="E355" s="810">
        <v>8.2137</v>
      </c>
      <c r="F355" s="810">
        <v>7.1677</v>
      </c>
      <c r="G355" s="810">
        <v>7.9815</v>
      </c>
      <c r="H355" s="810">
        <v>6.5807</v>
      </c>
      <c r="I355" s="810">
        <v>7.4983</v>
      </c>
      <c r="J355" s="810">
        <v>6.5905</v>
      </c>
      <c r="K355" s="810">
        <v>5.7893</v>
      </c>
      <c r="L355" s="810">
        <v>6.4749</v>
      </c>
      <c r="M355" s="810">
        <v>5.9586</v>
      </c>
      <c r="N355" s="810">
        <v>6.1017</v>
      </c>
      <c r="O355" s="810" t="s">
        <v>2434</v>
      </c>
      <c r="P355" s="100" t="s">
        <v>2626</v>
      </c>
      <c r="Q355" s="100"/>
      <c r="R355" s="100"/>
      <c r="S355" s="8"/>
    </row>
    <row r="356" ht="14.25" customHeight="1">
      <c r="A356" s="100" t="s">
        <v>2170</v>
      </c>
      <c r="B356" s="100" t="s">
        <v>2308</v>
      </c>
      <c r="C356" s="100" t="s">
        <v>2397</v>
      </c>
      <c r="D356" s="100"/>
      <c r="E356" s="810" t="s">
        <v>2434</v>
      </c>
      <c r="F356" s="810" t="s">
        <v>2434</v>
      </c>
      <c r="G356" s="810" t="s">
        <v>2434</v>
      </c>
      <c r="H356" s="810" t="s">
        <v>2434</v>
      </c>
      <c r="I356" s="810" t="s">
        <v>2434</v>
      </c>
      <c r="J356" s="824" t="str">
        <f t="shared" ref="J356:J358" si="36">J125*($J$332/$J$101)</f>
        <v>#REF!</v>
      </c>
      <c r="K356" s="810" t="s">
        <v>2434</v>
      </c>
      <c r="L356" s="810" t="s">
        <v>2434</v>
      </c>
      <c r="M356" s="810" t="s">
        <v>2434</v>
      </c>
      <c r="N356" s="824" t="str">
        <f t="shared" ref="N356:N358" si="37">N125*($N$332/$N$101)</f>
        <v>#REF!</v>
      </c>
      <c r="O356" s="810" t="s">
        <v>2434</v>
      </c>
      <c r="P356" s="100"/>
      <c r="Q356" s="100"/>
      <c r="R356" s="822" t="s">
        <v>2641</v>
      </c>
      <c r="S356" s="8"/>
    </row>
    <row r="357" ht="14.25" customHeight="1">
      <c r="A357" s="100" t="s">
        <v>2170</v>
      </c>
      <c r="B357" s="100" t="s">
        <v>2308</v>
      </c>
      <c r="C357" s="100" t="s">
        <v>2411</v>
      </c>
      <c r="D357" s="100"/>
      <c r="E357" s="810" t="s">
        <v>2434</v>
      </c>
      <c r="F357" s="810" t="s">
        <v>2434</v>
      </c>
      <c r="G357" s="810" t="s">
        <v>2434</v>
      </c>
      <c r="H357" s="810" t="s">
        <v>2434</v>
      </c>
      <c r="I357" s="810" t="s">
        <v>2434</v>
      </c>
      <c r="J357" s="824" t="str">
        <f t="shared" si="36"/>
        <v>#REF!</v>
      </c>
      <c r="K357" s="810" t="s">
        <v>2434</v>
      </c>
      <c r="L357" s="810" t="s">
        <v>2434</v>
      </c>
      <c r="M357" s="810" t="s">
        <v>2434</v>
      </c>
      <c r="N357" s="824" t="str">
        <f t="shared" si="37"/>
        <v>#REF!</v>
      </c>
      <c r="O357" s="810" t="s">
        <v>2434</v>
      </c>
      <c r="P357" s="100"/>
      <c r="Q357" s="100"/>
      <c r="R357" s="822" t="s">
        <v>2641</v>
      </c>
      <c r="S357" s="8"/>
    </row>
    <row r="358" ht="14.25" customHeight="1">
      <c r="A358" s="100" t="s">
        <v>2170</v>
      </c>
      <c r="B358" s="100" t="s">
        <v>2308</v>
      </c>
      <c r="C358" s="100" t="s">
        <v>2406</v>
      </c>
      <c r="D358" s="100"/>
      <c r="E358" s="810" t="s">
        <v>2434</v>
      </c>
      <c r="F358" s="810" t="s">
        <v>2434</v>
      </c>
      <c r="G358" s="810" t="s">
        <v>2434</v>
      </c>
      <c r="H358" s="810" t="s">
        <v>2434</v>
      </c>
      <c r="I358" s="810" t="s">
        <v>2434</v>
      </c>
      <c r="J358" s="824" t="str">
        <f t="shared" si="36"/>
        <v>#REF!</v>
      </c>
      <c r="K358" s="810" t="s">
        <v>2434</v>
      </c>
      <c r="L358" s="810" t="s">
        <v>2434</v>
      </c>
      <c r="M358" s="810" t="s">
        <v>2434</v>
      </c>
      <c r="N358" s="824" t="str">
        <f t="shared" si="37"/>
        <v>#REF!</v>
      </c>
      <c r="O358" s="810" t="s">
        <v>2434</v>
      </c>
      <c r="P358" s="100"/>
      <c r="Q358" s="100"/>
      <c r="R358" s="822" t="s">
        <v>2641</v>
      </c>
      <c r="S358" s="8"/>
    </row>
    <row r="359" ht="14.25" customHeight="1">
      <c r="A359" s="100" t="s">
        <v>2170</v>
      </c>
      <c r="B359" s="100" t="s">
        <v>2308</v>
      </c>
      <c r="C359" s="100" t="s">
        <v>2352</v>
      </c>
      <c r="D359" s="100" t="s">
        <v>135</v>
      </c>
      <c r="E359" s="810">
        <v>23.8489</v>
      </c>
      <c r="F359" s="810">
        <v>21.3278</v>
      </c>
      <c r="G359" s="810">
        <v>19.7802</v>
      </c>
      <c r="H359" s="810">
        <v>16.937</v>
      </c>
      <c r="I359" s="810">
        <v>19.61</v>
      </c>
      <c r="J359" s="810">
        <v>20.3228</v>
      </c>
      <c r="K359" s="810">
        <v>20.9336</v>
      </c>
      <c r="L359" s="810">
        <v>20.8607</v>
      </c>
      <c r="M359" s="810">
        <v>21.5853</v>
      </c>
      <c r="N359" s="810">
        <v>20.3494</v>
      </c>
      <c r="O359" s="810" t="s">
        <v>2434</v>
      </c>
      <c r="P359" s="100" t="s">
        <v>2646</v>
      </c>
      <c r="Q359" s="100"/>
      <c r="R359" s="100"/>
      <c r="S359" s="8"/>
    </row>
    <row r="360" ht="14.25" customHeight="1">
      <c r="A360" s="100" t="s">
        <v>2170</v>
      </c>
      <c r="B360" s="100" t="s">
        <v>2308</v>
      </c>
      <c r="C360" s="100" t="s">
        <v>2400</v>
      </c>
      <c r="D360" s="100" t="s">
        <v>135</v>
      </c>
      <c r="E360" s="810">
        <v>2.6453</v>
      </c>
      <c r="F360" s="810">
        <v>2.7879</v>
      </c>
      <c r="G360" s="810">
        <v>2.8359</v>
      </c>
      <c r="H360" s="810">
        <v>2.471</v>
      </c>
      <c r="I360" s="810">
        <v>2.5204</v>
      </c>
      <c r="J360" s="810">
        <v>2.6911</v>
      </c>
      <c r="K360" s="810">
        <v>2.749</v>
      </c>
      <c r="L360" s="810">
        <v>2.8316</v>
      </c>
      <c r="M360" s="810">
        <v>3.0649</v>
      </c>
      <c r="N360" s="810">
        <v>2.8223</v>
      </c>
      <c r="O360" s="810" t="s">
        <v>2434</v>
      </c>
      <c r="P360" s="100" t="s">
        <v>2630</v>
      </c>
      <c r="Q360" s="100"/>
      <c r="R360" s="100"/>
      <c r="S360" s="8"/>
    </row>
    <row r="361" ht="14.25" customHeight="1">
      <c r="A361" s="100" t="s">
        <v>2170</v>
      </c>
      <c r="B361" s="100" t="s">
        <v>2308</v>
      </c>
      <c r="C361" s="100" t="s">
        <v>2416</v>
      </c>
      <c r="D361" s="100"/>
      <c r="E361" s="810" t="s">
        <v>2434</v>
      </c>
      <c r="F361" s="810" t="s">
        <v>2434</v>
      </c>
      <c r="G361" s="810" t="s">
        <v>2434</v>
      </c>
      <c r="H361" s="810" t="s">
        <v>2434</v>
      </c>
      <c r="I361" s="810" t="s">
        <v>2434</v>
      </c>
      <c r="J361" s="824" t="str">
        <f>J130*($J$332/$J$101)</f>
        <v>#REF!</v>
      </c>
      <c r="K361" s="810" t="s">
        <v>2434</v>
      </c>
      <c r="L361" s="810" t="s">
        <v>2434</v>
      </c>
      <c r="M361" s="810" t="s">
        <v>2434</v>
      </c>
      <c r="N361" s="824" t="str">
        <f>N130*($N$332/$N$101)</f>
        <v>#REF!</v>
      </c>
      <c r="O361" s="810" t="s">
        <v>2434</v>
      </c>
      <c r="P361" s="100"/>
      <c r="Q361" s="100"/>
      <c r="R361" s="822" t="s">
        <v>2641</v>
      </c>
      <c r="S361" s="8"/>
    </row>
    <row r="362" ht="14.25" customHeight="1">
      <c r="A362" s="100" t="s">
        <v>2170</v>
      </c>
      <c r="B362" s="100" t="s">
        <v>2308</v>
      </c>
      <c r="C362" s="100" t="s">
        <v>2423</v>
      </c>
      <c r="D362" s="100" t="s">
        <v>135</v>
      </c>
      <c r="E362" s="810">
        <v>4.2723</v>
      </c>
      <c r="F362" s="810">
        <v>4.1757</v>
      </c>
      <c r="G362" s="810">
        <v>4.0181</v>
      </c>
      <c r="H362" s="810">
        <v>4.2478</v>
      </c>
      <c r="I362" s="810">
        <v>4.6118</v>
      </c>
      <c r="J362" s="810">
        <v>3.9958</v>
      </c>
      <c r="K362" s="810">
        <v>4.0512</v>
      </c>
      <c r="L362" s="810">
        <v>3.9679</v>
      </c>
      <c r="M362" s="810">
        <v>3.9154</v>
      </c>
      <c r="N362" s="810">
        <v>3.9186</v>
      </c>
      <c r="O362" s="810" t="s">
        <v>2434</v>
      </c>
      <c r="P362" s="100" t="s">
        <v>2632</v>
      </c>
      <c r="Q362" s="100"/>
      <c r="R362" s="100"/>
      <c r="S362" s="8"/>
    </row>
    <row r="363" ht="14.25" customHeight="1">
      <c r="A363" s="100" t="s">
        <v>2170</v>
      </c>
      <c r="B363" s="100" t="s">
        <v>2308</v>
      </c>
      <c r="C363" s="100" t="s">
        <v>2360</v>
      </c>
      <c r="D363" s="100" t="s">
        <v>135</v>
      </c>
      <c r="E363" s="810">
        <v>12.6489</v>
      </c>
      <c r="F363" s="810">
        <v>12.5012</v>
      </c>
      <c r="G363" s="810">
        <v>12.8002</v>
      </c>
      <c r="H363" s="810">
        <v>14.214</v>
      </c>
      <c r="I363" s="810">
        <v>13.5116</v>
      </c>
      <c r="J363" s="810">
        <v>12.2297</v>
      </c>
      <c r="K363" s="810">
        <v>10.8646</v>
      </c>
      <c r="L363" s="810">
        <v>9.7488</v>
      </c>
      <c r="M363" s="810">
        <v>9.3407</v>
      </c>
      <c r="N363" s="810">
        <v>9.24</v>
      </c>
      <c r="O363" s="810" t="s">
        <v>2434</v>
      </c>
      <c r="P363" s="100" t="s">
        <v>2636</v>
      </c>
      <c r="Q363" s="100"/>
      <c r="R363" s="100"/>
      <c r="S363" s="8"/>
    </row>
    <row r="364" ht="14.25" customHeight="1">
      <c r="A364" s="100" t="s">
        <v>2170</v>
      </c>
      <c r="B364" s="100" t="s">
        <v>2308</v>
      </c>
      <c r="C364" s="100" t="s">
        <v>2535</v>
      </c>
      <c r="D364" s="100"/>
      <c r="E364" s="810" t="s">
        <v>2434</v>
      </c>
      <c r="F364" s="810" t="s">
        <v>2434</v>
      </c>
      <c r="G364" s="810" t="s">
        <v>2434</v>
      </c>
      <c r="H364" s="810" t="s">
        <v>2434</v>
      </c>
      <c r="I364" s="810" t="s">
        <v>2434</v>
      </c>
      <c r="J364" s="810" t="s">
        <v>2434</v>
      </c>
      <c r="K364" s="810" t="s">
        <v>2434</v>
      </c>
      <c r="L364" s="810" t="s">
        <v>2434</v>
      </c>
      <c r="M364" s="810" t="s">
        <v>2434</v>
      </c>
      <c r="N364" s="810" t="s">
        <v>2434</v>
      </c>
      <c r="O364" s="810" t="s">
        <v>2434</v>
      </c>
      <c r="P364" s="100"/>
      <c r="Q364" s="100"/>
      <c r="R364" s="100"/>
      <c r="S364" s="8"/>
    </row>
    <row r="365" ht="14.25" customHeight="1">
      <c r="A365" s="100" t="s">
        <v>2172</v>
      </c>
      <c r="B365" s="100" t="s">
        <v>2313</v>
      </c>
      <c r="C365" s="100" t="s">
        <v>2317</v>
      </c>
      <c r="D365" s="100"/>
      <c r="E365" s="810" t="str">
        <f t="shared" ref="E365:O365" si="38">#REF!</f>
        <v>#REF!</v>
      </c>
      <c r="F365" s="810" t="str">
        <f t="shared" si="38"/>
        <v>#REF!</v>
      </c>
      <c r="G365" s="810" t="str">
        <f t="shared" si="38"/>
        <v>#REF!</v>
      </c>
      <c r="H365" s="810" t="str">
        <f t="shared" si="38"/>
        <v>#REF!</v>
      </c>
      <c r="I365" s="810" t="str">
        <f t="shared" si="38"/>
        <v>#REF!</v>
      </c>
      <c r="J365" s="810" t="str">
        <f t="shared" si="38"/>
        <v>#REF!</v>
      </c>
      <c r="K365" s="810" t="str">
        <f t="shared" si="38"/>
        <v>#REF!</v>
      </c>
      <c r="L365" s="810" t="str">
        <f t="shared" si="38"/>
        <v>#REF!</v>
      </c>
      <c r="M365" s="810" t="str">
        <f t="shared" si="38"/>
        <v>#REF!</v>
      </c>
      <c r="N365" s="810" t="str">
        <f t="shared" si="38"/>
        <v>#REF!</v>
      </c>
      <c r="O365" s="810" t="str">
        <f t="shared" si="38"/>
        <v>#REF!</v>
      </c>
      <c r="P365" s="100"/>
      <c r="Q365" s="100"/>
      <c r="R365" s="100"/>
      <c r="S365" s="8"/>
    </row>
    <row r="366" ht="14.25" customHeight="1">
      <c r="A366" s="100" t="s">
        <v>2172</v>
      </c>
      <c r="B366" s="100"/>
      <c r="C366" s="100" t="s">
        <v>2507</v>
      </c>
      <c r="D366" s="100"/>
      <c r="E366" s="810" t="str">
        <f t="shared" ref="E366:O366" si="39">#REF!</f>
        <v>#REF!</v>
      </c>
      <c r="F366" s="810" t="str">
        <f t="shared" si="39"/>
        <v>#REF!</v>
      </c>
      <c r="G366" s="810" t="str">
        <f t="shared" si="39"/>
        <v>#REF!</v>
      </c>
      <c r="H366" s="810" t="str">
        <f t="shared" si="39"/>
        <v>#REF!</v>
      </c>
      <c r="I366" s="810" t="str">
        <f t="shared" si="39"/>
        <v>#REF!</v>
      </c>
      <c r="J366" s="810" t="str">
        <f t="shared" si="39"/>
        <v>#REF!</v>
      </c>
      <c r="K366" s="810" t="str">
        <f t="shared" si="39"/>
        <v>#REF!</v>
      </c>
      <c r="L366" s="810" t="str">
        <f t="shared" si="39"/>
        <v>#REF!</v>
      </c>
      <c r="M366" s="810" t="str">
        <f t="shared" si="39"/>
        <v>#REF!</v>
      </c>
      <c r="N366" s="810" t="str">
        <f t="shared" si="39"/>
        <v>#REF!</v>
      </c>
      <c r="O366" s="810" t="str">
        <f t="shared" si="39"/>
        <v>#REF!</v>
      </c>
      <c r="P366" s="100"/>
      <c r="Q366" s="100"/>
      <c r="R366" s="100"/>
      <c r="S366" s="8"/>
    </row>
    <row r="367" ht="14.25" customHeight="1">
      <c r="A367" s="100" t="s">
        <v>2172</v>
      </c>
      <c r="B367" s="100" t="s">
        <v>2313</v>
      </c>
      <c r="C367" s="100" t="s">
        <v>2325</v>
      </c>
      <c r="D367" s="100"/>
      <c r="E367" s="810" t="s">
        <v>2434</v>
      </c>
      <c r="F367" s="810" t="s">
        <v>2434</v>
      </c>
      <c r="G367" s="810" t="s">
        <v>2434</v>
      </c>
      <c r="H367" s="810" t="s">
        <v>2434</v>
      </c>
      <c r="I367" s="810" t="s">
        <v>2434</v>
      </c>
      <c r="J367" s="810" t="s">
        <v>2434</v>
      </c>
      <c r="K367" s="810" t="s">
        <v>2434</v>
      </c>
      <c r="L367" s="810" t="s">
        <v>2434</v>
      </c>
      <c r="M367" s="810" t="s">
        <v>2434</v>
      </c>
      <c r="N367" s="810" t="s">
        <v>2434</v>
      </c>
      <c r="O367" s="810" t="s">
        <v>2434</v>
      </c>
      <c r="P367" s="100"/>
      <c r="Q367" s="100"/>
      <c r="R367" s="100"/>
      <c r="S367" s="8"/>
    </row>
    <row r="368" ht="14.25" customHeight="1">
      <c r="A368" s="100" t="s">
        <v>2172</v>
      </c>
      <c r="B368" s="100" t="s">
        <v>2313</v>
      </c>
      <c r="C368" s="100" t="s">
        <v>2329</v>
      </c>
      <c r="D368" s="100"/>
      <c r="E368" s="810" t="s">
        <v>2434</v>
      </c>
      <c r="F368" s="810" t="s">
        <v>2434</v>
      </c>
      <c r="G368" s="810" t="s">
        <v>2434</v>
      </c>
      <c r="H368" s="810" t="s">
        <v>2434</v>
      </c>
      <c r="I368" s="810" t="s">
        <v>2434</v>
      </c>
      <c r="J368" s="810" t="s">
        <v>2434</v>
      </c>
      <c r="K368" s="810" t="s">
        <v>2434</v>
      </c>
      <c r="L368" s="810" t="s">
        <v>2434</v>
      </c>
      <c r="M368" s="810" t="s">
        <v>2434</v>
      </c>
      <c r="N368" s="810" t="s">
        <v>2434</v>
      </c>
      <c r="O368" s="810" t="s">
        <v>2434</v>
      </c>
      <c r="P368" s="100"/>
      <c r="Q368" s="100"/>
      <c r="R368" s="100"/>
      <c r="S368" s="8"/>
    </row>
    <row r="369" ht="14.25" customHeight="1">
      <c r="A369" s="100" t="s">
        <v>2172</v>
      </c>
      <c r="B369" s="100" t="s">
        <v>2313</v>
      </c>
      <c r="C369" s="100" t="s">
        <v>2333</v>
      </c>
      <c r="D369" s="100"/>
      <c r="E369" s="810" t="s">
        <v>2434</v>
      </c>
      <c r="F369" s="810" t="s">
        <v>2434</v>
      </c>
      <c r="G369" s="810" t="s">
        <v>2434</v>
      </c>
      <c r="H369" s="810" t="s">
        <v>2434</v>
      </c>
      <c r="I369" s="810" t="s">
        <v>2434</v>
      </c>
      <c r="J369" s="810" t="s">
        <v>2434</v>
      </c>
      <c r="K369" s="810" t="s">
        <v>2434</v>
      </c>
      <c r="L369" s="810" t="s">
        <v>2434</v>
      </c>
      <c r="M369" s="810" t="s">
        <v>2434</v>
      </c>
      <c r="N369" s="810" t="s">
        <v>2434</v>
      </c>
      <c r="O369" s="810" t="s">
        <v>2434</v>
      </c>
      <c r="P369" s="100"/>
      <c r="Q369" s="100"/>
      <c r="R369" s="100"/>
      <c r="S369" s="8"/>
    </row>
    <row r="370" ht="14.25" customHeight="1">
      <c r="A370" s="100" t="s">
        <v>2172</v>
      </c>
      <c r="B370" s="100" t="s">
        <v>2313</v>
      </c>
      <c r="C370" s="100" t="s">
        <v>2364</v>
      </c>
      <c r="D370" s="100" t="s">
        <v>135</v>
      </c>
      <c r="E370" s="810">
        <v>0.5084</v>
      </c>
      <c r="F370" s="810">
        <v>0.583</v>
      </c>
      <c r="G370" s="810">
        <v>0.535</v>
      </c>
      <c r="H370" s="810">
        <v>0.5513</v>
      </c>
      <c r="I370" s="810">
        <v>0.532</v>
      </c>
      <c r="J370" s="810">
        <v>0.5254</v>
      </c>
      <c r="K370" s="810">
        <v>0.5295</v>
      </c>
      <c r="L370" s="810">
        <v>0.64</v>
      </c>
      <c r="M370" s="810">
        <v>0.6522</v>
      </c>
      <c r="N370" s="810">
        <v>0.654</v>
      </c>
      <c r="O370" s="810" t="s">
        <v>2434</v>
      </c>
      <c r="P370" s="100" t="s">
        <v>2617</v>
      </c>
      <c r="Q370" s="100"/>
      <c r="R370" s="100"/>
      <c r="S370" s="8"/>
    </row>
    <row r="371" ht="14.25" customHeight="1">
      <c r="A371" s="100" t="s">
        <v>2172</v>
      </c>
      <c r="B371" s="100" t="s">
        <v>2313</v>
      </c>
      <c r="C371" s="100" t="s">
        <v>2337</v>
      </c>
      <c r="D371" s="100"/>
      <c r="E371" s="810" t="s">
        <v>2434</v>
      </c>
      <c r="F371" s="810" t="s">
        <v>2434</v>
      </c>
      <c r="G371" s="810" t="s">
        <v>2434</v>
      </c>
      <c r="H371" s="810" t="s">
        <v>2434</v>
      </c>
      <c r="I371" s="810" t="s">
        <v>2434</v>
      </c>
      <c r="J371" s="810" t="s">
        <v>2434</v>
      </c>
      <c r="K371" s="810" t="s">
        <v>2434</v>
      </c>
      <c r="L371" s="810" t="s">
        <v>2434</v>
      </c>
      <c r="M371" s="810" t="s">
        <v>2434</v>
      </c>
      <c r="N371" s="810" t="s">
        <v>2434</v>
      </c>
      <c r="O371" s="810" t="s">
        <v>2434</v>
      </c>
      <c r="P371" s="100"/>
      <c r="Q371" s="100"/>
      <c r="R371" s="100"/>
      <c r="S371" s="8"/>
    </row>
    <row r="372" ht="14.25" customHeight="1">
      <c r="A372" s="100" t="s">
        <v>2172</v>
      </c>
      <c r="B372" s="100" t="s">
        <v>2313</v>
      </c>
      <c r="C372" s="100" t="s">
        <v>2341</v>
      </c>
      <c r="D372" s="100"/>
      <c r="E372" s="810" t="s">
        <v>2434</v>
      </c>
      <c r="F372" s="810" t="s">
        <v>2434</v>
      </c>
      <c r="G372" s="810" t="s">
        <v>2434</v>
      </c>
      <c r="H372" s="810" t="s">
        <v>2434</v>
      </c>
      <c r="I372" s="810" t="s">
        <v>2434</v>
      </c>
      <c r="J372" s="810" t="s">
        <v>2434</v>
      </c>
      <c r="K372" s="810" t="s">
        <v>2434</v>
      </c>
      <c r="L372" s="810" t="s">
        <v>2434</v>
      </c>
      <c r="M372" s="810" t="s">
        <v>2434</v>
      </c>
      <c r="N372" s="810" t="s">
        <v>2434</v>
      </c>
      <c r="O372" s="810" t="s">
        <v>2434</v>
      </c>
      <c r="P372" s="100"/>
      <c r="Q372" s="100"/>
      <c r="R372" s="100"/>
      <c r="S372" s="8"/>
    </row>
    <row r="373" ht="14.25" customHeight="1">
      <c r="A373" s="100" t="s">
        <v>2172</v>
      </c>
      <c r="B373" s="100" t="s">
        <v>2313</v>
      </c>
      <c r="C373" s="100" t="s">
        <v>2348</v>
      </c>
      <c r="D373" s="100"/>
      <c r="E373" s="810" t="s">
        <v>2434</v>
      </c>
      <c r="F373" s="810" t="s">
        <v>2434</v>
      </c>
      <c r="G373" s="810" t="s">
        <v>2434</v>
      </c>
      <c r="H373" s="810" t="s">
        <v>2434</v>
      </c>
      <c r="I373" s="810" t="s">
        <v>2434</v>
      </c>
      <c r="J373" s="810" t="s">
        <v>2434</v>
      </c>
      <c r="K373" s="810" t="s">
        <v>2434</v>
      </c>
      <c r="L373" s="810" t="s">
        <v>2434</v>
      </c>
      <c r="M373" s="810" t="s">
        <v>2434</v>
      </c>
      <c r="N373" s="810" t="s">
        <v>2434</v>
      </c>
      <c r="O373" s="810" t="s">
        <v>2434</v>
      </c>
      <c r="P373" s="100"/>
      <c r="Q373" s="100"/>
      <c r="R373" s="100"/>
      <c r="S373" s="8"/>
    </row>
    <row r="374" ht="14.25" customHeight="1">
      <c r="A374" s="100" t="s">
        <v>2172</v>
      </c>
      <c r="B374" s="100" t="s">
        <v>2313</v>
      </c>
      <c r="C374" s="100" t="s">
        <v>2350</v>
      </c>
      <c r="D374" s="100"/>
      <c r="E374" s="810" t="s">
        <v>2434</v>
      </c>
      <c r="F374" s="810" t="s">
        <v>2434</v>
      </c>
      <c r="G374" s="810" t="s">
        <v>2434</v>
      </c>
      <c r="H374" s="810" t="s">
        <v>2434</v>
      </c>
      <c r="I374" s="810" t="s">
        <v>2434</v>
      </c>
      <c r="J374" s="810" t="s">
        <v>2434</v>
      </c>
      <c r="K374" s="810" t="s">
        <v>2434</v>
      </c>
      <c r="L374" s="810" t="s">
        <v>2434</v>
      </c>
      <c r="M374" s="810" t="s">
        <v>2434</v>
      </c>
      <c r="N374" s="810" t="s">
        <v>2434</v>
      </c>
      <c r="O374" s="810" t="s">
        <v>2434</v>
      </c>
      <c r="P374" s="100"/>
      <c r="Q374" s="100"/>
      <c r="R374" s="100"/>
      <c r="S374" s="8"/>
    </row>
    <row r="375" ht="14.25" customHeight="1">
      <c r="A375" s="100" t="s">
        <v>2172</v>
      </c>
      <c r="B375" s="100" t="s">
        <v>2313</v>
      </c>
      <c r="C375" s="100" t="s">
        <v>2354</v>
      </c>
      <c r="D375" s="100"/>
      <c r="E375" s="810" t="s">
        <v>2434</v>
      </c>
      <c r="F375" s="810" t="s">
        <v>2434</v>
      </c>
      <c r="G375" s="810" t="s">
        <v>2434</v>
      </c>
      <c r="H375" s="810" t="s">
        <v>2434</v>
      </c>
      <c r="I375" s="810" t="s">
        <v>2434</v>
      </c>
      <c r="J375" s="810" t="s">
        <v>2434</v>
      </c>
      <c r="K375" s="810" t="s">
        <v>2434</v>
      </c>
      <c r="L375" s="810" t="s">
        <v>2434</v>
      </c>
      <c r="M375" s="810" t="s">
        <v>2434</v>
      </c>
      <c r="N375" s="810" t="s">
        <v>2434</v>
      </c>
      <c r="O375" s="810" t="s">
        <v>2434</v>
      </c>
      <c r="P375" s="100"/>
      <c r="Q375" s="100"/>
      <c r="R375" s="100"/>
      <c r="S375" s="8"/>
    </row>
    <row r="376" ht="14.25" customHeight="1">
      <c r="A376" s="100" t="s">
        <v>2172</v>
      </c>
      <c r="B376" s="100" t="s">
        <v>2313</v>
      </c>
      <c r="C376" s="100" t="s">
        <v>2356</v>
      </c>
      <c r="D376" s="100" t="s">
        <v>135</v>
      </c>
      <c r="E376" s="810">
        <v>14.1554</v>
      </c>
      <c r="F376" s="810">
        <v>14.7482</v>
      </c>
      <c r="G376" s="810">
        <v>14.244</v>
      </c>
      <c r="H376" s="810">
        <v>14.388</v>
      </c>
      <c r="I376" s="810">
        <v>14.2725</v>
      </c>
      <c r="J376" s="810" t="s">
        <v>2434</v>
      </c>
      <c r="K376" s="810" t="s">
        <v>2434</v>
      </c>
      <c r="L376" s="810" t="s">
        <v>2434</v>
      </c>
      <c r="M376" s="810" t="s">
        <v>2434</v>
      </c>
      <c r="N376" s="810" t="s">
        <v>2434</v>
      </c>
      <c r="O376" s="810" t="s">
        <v>2434</v>
      </c>
      <c r="P376" s="100" t="s">
        <v>2647</v>
      </c>
      <c r="Q376" s="100"/>
      <c r="R376" s="100"/>
      <c r="S376" s="8"/>
    </row>
    <row r="377" ht="14.25" customHeight="1">
      <c r="A377" s="100" t="s">
        <v>2172</v>
      </c>
      <c r="B377" s="100" t="s">
        <v>2313</v>
      </c>
      <c r="C377" s="100" t="s">
        <v>2344</v>
      </c>
      <c r="D377" s="100" t="s">
        <v>135</v>
      </c>
      <c r="E377" s="810">
        <v>15.9062</v>
      </c>
      <c r="F377" s="810">
        <v>18.3858</v>
      </c>
      <c r="G377" s="810">
        <v>17.225</v>
      </c>
      <c r="H377" s="810">
        <v>17.8406</v>
      </c>
      <c r="I377" s="810">
        <v>17.9921</v>
      </c>
      <c r="J377" s="810">
        <v>17.8917</v>
      </c>
      <c r="K377" s="810">
        <v>18.3106</v>
      </c>
      <c r="L377" s="810">
        <v>18.1538</v>
      </c>
      <c r="M377" s="810">
        <v>18.4525</v>
      </c>
      <c r="N377" s="810">
        <v>17.8048</v>
      </c>
      <c r="O377" s="810" t="s">
        <v>2434</v>
      </c>
      <c r="P377" s="100" t="s">
        <v>2648</v>
      </c>
      <c r="Q377" s="100"/>
      <c r="R377" s="100"/>
      <c r="S377" s="8"/>
    </row>
    <row r="378" ht="14.25" customHeight="1">
      <c r="A378" s="100" t="s">
        <v>2172</v>
      </c>
      <c r="B378" s="100" t="s">
        <v>2313</v>
      </c>
      <c r="C378" s="100" t="s">
        <v>2362</v>
      </c>
      <c r="D378" s="100"/>
      <c r="E378" s="810" t="s">
        <v>2434</v>
      </c>
      <c r="F378" s="810" t="s">
        <v>2434</v>
      </c>
      <c r="G378" s="810" t="s">
        <v>2434</v>
      </c>
      <c r="H378" s="810" t="s">
        <v>2434</v>
      </c>
      <c r="I378" s="810" t="s">
        <v>2434</v>
      </c>
      <c r="J378" s="810" t="s">
        <v>2434</v>
      </c>
      <c r="K378" s="810" t="s">
        <v>2434</v>
      </c>
      <c r="L378" s="810" t="s">
        <v>2434</v>
      </c>
      <c r="M378" s="810" t="s">
        <v>2434</v>
      </c>
      <c r="N378" s="810" t="s">
        <v>2434</v>
      </c>
      <c r="O378" s="810" t="s">
        <v>2434</v>
      </c>
      <c r="P378" s="100"/>
      <c r="Q378" s="100"/>
      <c r="R378" s="100"/>
      <c r="S378" s="8"/>
    </row>
    <row r="379" ht="14.25" customHeight="1">
      <c r="A379" s="100" t="s">
        <v>2172</v>
      </c>
      <c r="B379" s="100" t="s">
        <v>2313</v>
      </c>
      <c r="C379" s="100" t="s">
        <v>2367</v>
      </c>
      <c r="D379" s="100"/>
      <c r="E379" s="810" t="s">
        <v>2434</v>
      </c>
      <c r="F379" s="810" t="s">
        <v>2434</v>
      </c>
      <c r="G379" s="810" t="s">
        <v>2434</v>
      </c>
      <c r="H379" s="810" t="s">
        <v>2434</v>
      </c>
      <c r="I379" s="810" t="s">
        <v>2434</v>
      </c>
      <c r="J379" s="810" t="s">
        <v>2434</v>
      </c>
      <c r="K379" s="810" t="s">
        <v>2434</v>
      </c>
      <c r="L379" s="810" t="s">
        <v>2434</v>
      </c>
      <c r="M379" s="810" t="s">
        <v>2434</v>
      </c>
      <c r="N379" s="810" t="s">
        <v>2434</v>
      </c>
      <c r="O379" s="810" t="s">
        <v>2434</v>
      </c>
      <c r="P379" s="100"/>
      <c r="Q379" s="100"/>
      <c r="R379" s="100"/>
      <c r="S379" s="8"/>
    </row>
    <row r="380" ht="14.25" customHeight="1">
      <c r="A380" s="100" t="s">
        <v>2172</v>
      </c>
      <c r="B380" s="100" t="s">
        <v>2313</v>
      </c>
      <c r="C380" s="100" t="s">
        <v>2369</v>
      </c>
      <c r="D380" s="100"/>
      <c r="E380" s="810" t="s">
        <v>2434</v>
      </c>
      <c r="F380" s="810" t="s">
        <v>2434</v>
      </c>
      <c r="G380" s="810" t="s">
        <v>2434</v>
      </c>
      <c r="H380" s="810" t="s">
        <v>2434</v>
      </c>
      <c r="I380" s="810" t="s">
        <v>2434</v>
      </c>
      <c r="J380" s="810" t="s">
        <v>2434</v>
      </c>
      <c r="K380" s="810" t="s">
        <v>2434</v>
      </c>
      <c r="L380" s="810" t="s">
        <v>2434</v>
      </c>
      <c r="M380" s="810" t="s">
        <v>2434</v>
      </c>
      <c r="N380" s="810" t="s">
        <v>2434</v>
      </c>
      <c r="O380" s="810" t="s">
        <v>2434</v>
      </c>
      <c r="P380" s="100"/>
      <c r="Q380" s="100"/>
      <c r="R380" s="100"/>
      <c r="S380" s="8"/>
    </row>
    <row r="381" ht="14.25" customHeight="1">
      <c r="A381" s="100" t="s">
        <v>2172</v>
      </c>
      <c r="B381" s="100" t="s">
        <v>2313</v>
      </c>
      <c r="C381" s="100" t="s">
        <v>2374</v>
      </c>
      <c r="D381" s="100"/>
      <c r="E381" s="810" t="s">
        <v>2434</v>
      </c>
      <c r="F381" s="810" t="s">
        <v>2434</v>
      </c>
      <c r="G381" s="810" t="s">
        <v>2434</v>
      </c>
      <c r="H381" s="810" t="s">
        <v>2434</v>
      </c>
      <c r="I381" s="810" t="s">
        <v>2434</v>
      </c>
      <c r="J381" s="810" t="s">
        <v>2434</v>
      </c>
      <c r="K381" s="810" t="s">
        <v>2434</v>
      </c>
      <c r="L381" s="810" t="s">
        <v>2434</v>
      </c>
      <c r="M381" s="810" t="s">
        <v>2434</v>
      </c>
      <c r="N381" s="810" t="s">
        <v>2434</v>
      </c>
      <c r="O381" s="810" t="s">
        <v>2434</v>
      </c>
      <c r="P381" s="100"/>
      <c r="Q381" s="100"/>
      <c r="R381" s="100"/>
      <c r="S381" s="8"/>
    </row>
    <row r="382" ht="14.25" customHeight="1">
      <c r="A382" s="100" t="s">
        <v>2172</v>
      </c>
      <c r="B382" s="100" t="s">
        <v>2313</v>
      </c>
      <c r="C382" s="100" t="s">
        <v>2386</v>
      </c>
      <c r="D382" s="100"/>
      <c r="E382" s="810" t="s">
        <v>2434</v>
      </c>
      <c r="F382" s="810" t="s">
        <v>2434</v>
      </c>
      <c r="G382" s="810" t="s">
        <v>2434</v>
      </c>
      <c r="H382" s="810" t="s">
        <v>2434</v>
      </c>
      <c r="I382" s="810" t="s">
        <v>2434</v>
      </c>
      <c r="J382" s="810" t="s">
        <v>2434</v>
      </c>
      <c r="K382" s="810" t="s">
        <v>2434</v>
      </c>
      <c r="L382" s="810" t="s">
        <v>2434</v>
      </c>
      <c r="M382" s="810" t="s">
        <v>2434</v>
      </c>
      <c r="N382" s="810" t="s">
        <v>2434</v>
      </c>
      <c r="O382" s="810" t="s">
        <v>2434</v>
      </c>
      <c r="P382" s="100"/>
      <c r="Q382" s="100"/>
      <c r="R382" s="100"/>
      <c r="S382" s="8"/>
    </row>
    <row r="383" ht="14.25" customHeight="1">
      <c r="A383" s="100" t="s">
        <v>2172</v>
      </c>
      <c r="B383" s="100" t="s">
        <v>2313</v>
      </c>
      <c r="C383" s="100" t="s">
        <v>2378</v>
      </c>
      <c r="D383" s="100"/>
      <c r="E383" s="810" t="s">
        <v>2434</v>
      </c>
      <c r="F383" s="810" t="s">
        <v>2434</v>
      </c>
      <c r="G383" s="810" t="s">
        <v>2434</v>
      </c>
      <c r="H383" s="810" t="s">
        <v>2434</v>
      </c>
      <c r="I383" s="810" t="s">
        <v>2434</v>
      </c>
      <c r="J383" s="810" t="s">
        <v>2434</v>
      </c>
      <c r="K383" s="810" t="s">
        <v>2434</v>
      </c>
      <c r="L383" s="810" t="s">
        <v>2434</v>
      </c>
      <c r="M383" s="810" t="s">
        <v>2434</v>
      </c>
      <c r="N383" s="810" t="s">
        <v>2434</v>
      </c>
      <c r="O383" s="810" t="s">
        <v>2434</v>
      </c>
      <c r="P383" s="100"/>
      <c r="Q383" s="100"/>
      <c r="R383" s="100"/>
      <c r="S383" s="8"/>
    </row>
    <row r="384" ht="14.25" customHeight="1">
      <c r="A384" s="100" t="s">
        <v>2172</v>
      </c>
      <c r="B384" s="100" t="s">
        <v>2313</v>
      </c>
      <c r="C384" s="100" t="s">
        <v>2383</v>
      </c>
      <c r="D384" s="100"/>
      <c r="E384" s="810" t="s">
        <v>2434</v>
      </c>
      <c r="F384" s="810" t="s">
        <v>2434</v>
      </c>
      <c r="G384" s="810" t="s">
        <v>2434</v>
      </c>
      <c r="H384" s="810" t="s">
        <v>2434</v>
      </c>
      <c r="I384" s="810" t="s">
        <v>2434</v>
      </c>
      <c r="J384" s="810" t="s">
        <v>2434</v>
      </c>
      <c r="K384" s="810" t="s">
        <v>2434</v>
      </c>
      <c r="L384" s="810" t="s">
        <v>2434</v>
      </c>
      <c r="M384" s="810" t="s">
        <v>2434</v>
      </c>
      <c r="N384" s="810" t="s">
        <v>2434</v>
      </c>
      <c r="O384" s="810" t="s">
        <v>2434</v>
      </c>
      <c r="P384" s="100"/>
      <c r="Q384" s="100"/>
      <c r="R384" s="100"/>
      <c r="S384" s="8"/>
    </row>
    <row r="385" ht="14.25" customHeight="1">
      <c r="A385" s="100" t="s">
        <v>2172</v>
      </c>
      <c r="B385" s="100" t="s">
        <v>2313</v>
      </c>
      <c r="C385" s="100" t="s">
        <v>2389</v>
      </c>
      <c r="D385" s="100"/>
      <c r="E385" s="810" t="s">
        <v>2434</v>
      </c>
      <c r="F385" s="810" t="s">
        <v>2434</v>
      </c>
      <c r="G385" s="810" t="s">
        <v>2434</v>
      </c>
      <c r="H385" s="810" t="s">
        <v>2434</v>
      </c>
      <c r="I385" s="810" t="s">
        <v>2434</v>
      </c>
      <c r="J385" s="810" t="s">
        <v>2434</v>
      </c>
      <c r="K385" s="810" t="s">
        <v>2434</v>
      </c>
      <c r="L385" s="810" t="s">
        <v>2434</v>
      </c>
      <c r="M385" s="810" t="s">
        <v>2434</v>
      </c>
      <c r="N385" s="810" t="s">
        <v>2434</v>
      </c>
      <c r="O385" s="810" t="s">
        <v>2434</v>
      </c>
      <c r="P385" s="100"/>
      <c r="Q385" s="100"/>
      <c r="R385" s="100"/>
      <c r="S385" s="8"/>
    </row>
    <row r="386" ht="14.25" customHeight="1">
      <c r="A386" s="100" t="s">
        <v>2172</v>
      </c>
      <c r="B386" s="100" t="s">
        <v>2313</v>
      </c>
      <c r="C386" s="100" t="s">
        <v>2391</v>
      </c>
      <c r="D386" s="100"/>
      <c r="E386" s="810" t="s">
        <v>2434</v>
      </c>
      <c r="F386" s="810" t="s">
        <v>2434</v>
      </c>
      <c r="G386" s="810" t="s">
        <v>2434</v>
      </c>
      <c r="H386" s="810" t="s">
        <v>2434</v>
      </c>
      <c r="I386" s="810" t="s">
        <v>2434</v>
      </c>
      <c r="J386" s="810" t="s">
        <v>2434</v>
      </c>
      <c r="K386" s="810" t="s">
        <v>2434</v>
      </c>
      <c r="L386" s="810" t="s">
        <v>2434</v>
      </c>
      <c r="M386" s="810" t="s">
        <v>2434</v>
      </c>
      <c r="N386" s="810" t="s">
        <v>2434</v>
      </c>
      <c r="O386" s="810" t="s">
        <v>2434</v>
      </c>
      <c r="P386" s="100"/>
      <c r="Q386" s="100"/>
      <c r="R386" s="100"/>
      <c r="S386" s="8"/>
    </row>
    <row r="387" ht="14.25" customHeight="1">
      <c r="A387" s="100" t="s">
        <v>2172</v>
      </c>
      <c r="B387" s="100" t="s">
        <v>2313</v>
      </c>
      <c r="C387" s="100" t="s">
        <v>2393</v>
      </c>
      <c r="D387" s="100" t="s">
        <v>135</v>
      </c>
      <c r="E387" s="810">
        <v>7.2351</v>
      </c>
      <c r="F387" s="810">
        <v>7.5637</v>
      </c>
      <c r="G387" s="810">
        <v>7.8097</v>
      </c>
      <c r="H387" s="810">
        <v>7.4867</v>
      </c>
      <c r="I387" s="810">
        <v>7.7083</v>
      </c>
      <c r="J387" s="810">
        <v>7.3879</v>
      </c>
      <c r="K387" s="810">
        <v>8.0569</v>
      </c>
      <c r="L387" s="810">
        <v>8.0403</v>
      </c>
      <c r="M387" s="810">
        <v>7.3344</v>
      </c>
      <c r="N387" s="810">
        <v>8.5435</v>
      </c>
      <c r="O387" s="810" t="s">
        <v>2434</v>
      </c>
      <c r="P387" s="100" t="s">
        <v>2526</v>
      </c>
      <c r="Q387" s="100"/>
      <c r="R387" s="100"/>
      <c r="S387" s="8"/>
    </row>
    <row r="388" ht="14.25" customHeight="1">
      <c r="A388" s="100" t="s">
        <v>2172</v>
      </c>
      <c r="B388" s="100" t="s">
        <v>2313</v>
      </c>
      <c r="C388" s="100" t="s">
        <v>2395</v>
      </c>
      <c r="D388" s="100" t="s">
        <v>135</v>
      </c>
      <c r="E388" s="810">
        <v>2.7013</v>
      </c>
      <c r="F388" s="810">
        <v>2.5985</v>
      </c>
      <c r="G388" s="810">
        <v>2.8951</v>
      </c>
      <c r="H388" s="810">
        <v>2.9009</v>
      </c>
      <c r="I388" s="810">
        <v>2.8207</v>
      </c>
      <c r="J388" s="810">
        <v>2.9547</v>
      </c>
      <c r="K388" s="810">
        <v>2.8573</v>
      </c>
      <c r="L388" s="810">
        <v>2.824</v>
      </c>
      <c r="M388" s="810">
        <v>2.8588</v>
      </c>
      <c r="N388" s="810">
        <v>2.884</v>
      </c>
      <c r="O388" s="810" t="s">
        <v>2434</v>
      </c>
      <c r="P388" s="100" t="s">
        <v>2626</v>
      </c>
      <c r="Q388" s="100"/>
      <c r="R388" s="100"/>
      <c r="S388" s="8"/>
    </row>
    <row r="389" ht="14.25" customHeight="1">
      <c r="A389" s="100" t="s">
        <v>2172</v>
      </c>
      <c r="B389" s="100" t="s">
        <v>2313</v>
      </c>
      <c r="C389" s="100" t="s">
        <v>2397</v>
      </c>
      <c r="D389" s="100"/>
      <c r="E389" s="810" t="s">
        <v>2434</v>
      </c>
      <c r="F389" s="810" t="s">
        <v>2434</v>
      </c>
      <c r="G389" s="810" t="s">
        <v>2434</v>
      </c>
      <c r="H389" s="810" t="s">
        <v>2434</v>
      </c>
      <c r="I389" s="810" t="s">
        <v>2434</v>
      </c>
      <c r="J389" s="810" t="s">
        <v>2434</v>
      </c>
      <c r="K389" s="810" t="s">
        <v>2434</v>
      </c>
      <c r="L389" s="810" t="s">
        <v>2434</v>
      </c>
      <c r="M389" s="810" t="s">
        <v>2434</v>
      </c>
      <c r="N389" s="810" t="s">
        <v>2434</v>
      </c>
      <c r="O389" s="810" t="s">
        <v>2434</v>
      </c>
      <c r="P389" s="100"/>
      <c r="Q389" s="100"/>
      <c r="R389" s="100"/>
      <c r="S389" s="8"/>
    </row>
    <row r="390" ht="14.25" customHeight="1">
      <c r="A390" s="100" t="s">
        <v>2172</v>
      </c>
      <c r="B390" s="100" t="s">
        <v>2313</v>
      </c>
      <c r="C390" s="100" t="s">
        <v>2411</v>
      </c>
      <c r="D390" s="100"/>
      <c r="E390" s="810" t="s">
        <v>2434</v>
      </c>
      <c r="F390" s="810" t="s">
        <v>2434</v>
      </c>
      <c r="G390" s="810" t="s">
        <v>2434</v>
      </c>
      <c r="H390" s="810" t="s">
        <v>2434</v>
      </c>
      <c r="I390" s="810" t="s">
        <v>2434</v>
      </c>
      <c r="J390" s="810" t="s">
        <v>2434</v>
      </c>
      <c r="K390" s="810" t="s">
        <v>2434</v>
      </c>
      <c r="L390" s="810" t="s">
        <v>2434</v>
      </c>
      <c r="M390" s="810" t="s">
        <v>2434</v>
      </c>
      <c r="N390" s="810" t="s">
        <v>2434</v>
      </c>
      <c r="O390" s="810" t="s">
        <v>2434</v>
      </c>
      <c r="P390" s="100"/>
      <c r="Q390" s="100"/>
      <c r="R390" s="100"/>
      <c r="S390" s="8"/>
    </row>
    <row r="391" ht="14.25" customHeight="1">
      <c r="A391" s="100" t="s">
        <v>2172</v>
      </c>
      <c r="B391" s="100" t="s">
        <v>2313</v>
      </c>
      <c r="C391" s="100" t="s">
        <v>2406</v>
      </c>
      <c r="D391" s="100"/>
      <c r="E391" s="810" t="s">
        <v>2434</v>
      </c>
      <c r="F391" s="810" t="s">
        <v>2434</v>
      </c>
      <c r="G391" s="810" t="s">
        <v>2434</v>
      </c>
      <c r="H391" s="810" t="s">
        <v>2434</v>
      </c>
      <c r="I391" s="810" t="s">
        <v>2434</v>
      </c>
      <c r="J391" s="810" t="s">
        <v>2434</v>
      </c>
      <c r="K391" s="810" t="s">
        <v>2434</v>
      </c>
      <c r="L391" s="810" t="s">
        <v>2434</v>
      </c>
      <c r="M391" s="810" t="s">
        <v>2434</v>
      </c>
      <c r="N391" s="810" t="s">
        <v>2434</v>
      </c>
      <c r="O391" s="810" t="s">
        <v>2434</v>
      </c>
      <c r="P391" s="100"/>
      <c r="Q391" s="100"/>
      <c r="R391" s="100"/>
      <c r="S391" s="8"/>
    </row>
    <row r="392" ht="14.25" customHeight="1">
      <c r="A392" s="100" t="s">
        <v>2172</v>
      </c>
      <c r="B392" s="100" t="s">
        <v>2313</v>
      </c>
      <c r="C392" s="100" t="s">
        <v>2352</v>
      </c>
      <c r="D392" s="100"/>
      <c r="E392" s="810" t="s">
        <v>2434</v>
      </c>
      <c r="F392" s="810" t="s">
        <v>2434</v>
      </c>
      <c r="G392" s="810" t="s">
        <v>2434</v>
      </c>
      <c r="H392" s="810" t="s">
        <v>2434</v>
      </c>
      <c r="I392" s="810" t="s">
        <v>2434</v>
      </c>
      <c r="J392" s="810" t="s">
        <v>2434</v>
      </c>
      <c r="K392" s="810" t="s">
        <v>2434</v>
      </c>
      <c r="L392" s="810" t="s">
        <v>2434</v>
      </c>
      <c r="M392" s="810" t="s">
        <v>2434</v>
      </c>
      <c r="N392" s="810" t="s">
        <v>2434</v>
      </c>
      <c r="O392" s="810" t="s">
        <v>2434</v>
      </c>
      <c r="P392" s="100"/>
      <c r="Q392" s="100"/>
      <c r="R392" s="100"/>
      <c r="S392" s="8"/>
    </row>
    <row r="393" ht="14.25" customHeight="1">
      <c r="A393" s="100" t="s">
        <v>2172</v>
      </c>
      <c r="B393" s="100" t="s">
        <v>2313</v>
      </c>
      <c r="C393" s="100" t="s">
        <v>2400</v>
      </c>
      <c r="D393" s="100" t="s">
        <v>135</v>
      </c>
      <c r="E393" s="810">
        <v>1.2478</v>
      </c>
      <c r="F393" s="810">
        <v>1.2941</v>
      </c>
      <c r="G393" s="810">
        <v>1.1657</v>
      </c>
      <c r="H393" s="810">
        <v>0.6338</v>
      </c>
      <c r="I393" s="810">
        <v>0.6113</v>
      </c>
      <c r="J393" s="810">
        <v>0.6008</v>
      </c>
      <c r="K393" s="810">
        <v>0.6218</v>
      </c>
      <c r="L393" s="810">
        <v>0.6751</v>
      </c>
      <c r="M393" s="810">
        <v>0.6576</v>
      </c>
      <c r="N393" s="810">
        <v>0.6635</v>
      </c>
      <c r="O393" s="810" t="s">
        <v>2434</v>
      </c>
      <c r="P393" s="100" t="s">
        <v>2630</v>
      </c>
      <c r="Q393" s="100"/>
      <c r="R393" s="100"/>
      <c r="S393" s="8"/>
    </row>
    <row r="394" ht="14.25" customHeight="1">
      <c r="A394" s="100" t="s">
        <v>2172</v>
      </c>
      <c r="B394" s="100" t="s">
        <v>2313</v>
      </c>
      <c r="C394" s="100" t="s">
        <v>2416</v>
      </c>
      <c r="D394" s="100"/>
      <c r="E394" s="810" t="s">
        <v>2434</v>
      </c>
      <c r="F394" s="810" t="s">
        <v>2434</v>
      </c>
      <c r="G394" s="810" t="s">
        <v>2434</v>
      </c>
      <c r="H394" s="810" t="s">
        <v>2434</v>
      </c>
      <c r="I394" s="810" t="s">
        <v>2434</v>
      </c>
      <c r="J394" s="810" t="s">
        <v>2434</v>
      </c>
      <c r="K394" s="810" t="s">
        <v>2434</v>
      </c>
      <c r="L394" s="810" t="s">
        <v>2434</v>
      </c>
      <c r="M394" s="810" t="s">
        <v>2434</v>
      </c>
      <c r="N394" s="810" t="s">
        <v>2434</v>
      </c>
      <c r="O394" s="810" t="s">
        <v>2434</v>
      </c>
      <c r="P394" s="100"/>
      <c r="Q394" s="100"/>
      <c r="R394" s="100"/>
      <c r="S394" s="8"/>
    </row>
    <row r="395" ht="14.25" customHeight="1">
      <c r="A395" s="100" t="s">
        <v>2172</v>
      </c>
      <c r="B395" s="100" t="s">
        <v>2313</v>
      </c>
      <c r="C395" s="100" t="s">
        <v>2423</v>
      </c>
      <c r="D395" s="100"/>
      <c r="E395" s="810" t="s">
        <v>2434</v>
      </c>
      <c r="F395" s="810" t="s">
        <v>2434</v>
      </c>
      <c r="G395" s="810" t="s">
        <v>2434</v>
      </c>
      <c r="H395" s="810" t="s">
        <v>2434</v>
      </c>
      <c r="I395" s="810" t="s">
        <v>2434</v>
      </c>
      <c r="J395" s="810" t="s">
        <v>2434</v>
      </c>
      <c r="K395" s="810" t="s">
        <v>2434</v>
      </c>
      <c r="L395" s="810" t="s">
        <v>2434</v>
      </c>
      <c r="M395" s="810" t="s">
        <v>2434</v>
      </c>
      <c r="N395" s="810" t="s">
        <v>2434</v>
      </c>
      <c r="O395" s="810" t="s">
        <v>2434</v>
      </c>
      <c r="P395" s="100"/>
      <c r="Q395" s="100"/>
      <c r="R395" s="100"/>
      <c r="S395" s="8"/>
    </row>
    <row r="396" ht="14.25" customHeight="1">
      <c r="A396" s="100" t="s">
        <v>2172</v>
      </c>
      <c r="B396" s="100" t="s">
        <v>2313</v>
      </c>
      <c r="C396" s="100" t="s">
        <v>2360</v>
      </c>
      <c r="D396" s="100" t="s">
        <v>135</v>
      </c>
      <c r="E396" s="810">
        <v>5.9436</v>
      </c>
      <c r="F396" s="810">
        <v>5.3825</v>
      </c>
      <c r="G396" s="810">
        <v>5.0196</v>
      </c>
      <c r="H396" s="810">
        <v>5.0894</v>
      </c>
      <c r="I396" s="810">
        <v>4.9816</v>
      </c>
      <c r="J396" s="810">
        <v>4.9622</v>
      </c>
      <c r="K396" s="810">
        <v>6.148</v>
      </c>
      <c r="L396" s="810">
        <v>6.1402</v>
      </c>
      <c r="M396" s="810">
        <v>6.192</v>
      </c>
      <c r="N396" s="810">
        <v>5.8773</v>
      </c>
      <c r="O396" s="810" t="s">
        <v>2434</v>
      </c>
      <c r="P396" s="100" t="s">
        <v>2636</v>
      </c>
      <c r="Q396" s="100"/>
      <c r="R396" s="100"/>
      <c r="S396" s="8"/>
    </row>
    <row r="397" ht="14.25" customHeight="1">
      <c r="A397" s="100" t="s">
        <v>2172</v>
      </c>
      <c r="B397" s="100" t="s">
        <v>2313</v>
      </c>
      <c r="C397" s="100" t="s">
        <v>2535</v>
      </c>
      <c r="D397" s="100"/>
      <c r="E397" s="810" t="s">
        <v>2434</v>
      </c>
      <c r="F397" s="810" t="s">
        <v>2434</v>
      </c>
      <c r="G397" s="810" t="s">
        <v>2434</v>
      </c>
      <c r="H397" s="810" t="s">
        <v>2434</v>
      </c>
      <c r="I397" s="810" t="s">
        <v>2434</v>
      </c>
      <c r="J397" s="810" t="s">
        <v>2434</v>
      </c>
      <c r="K397" s="810" t="s">
        <v>2434</v>
      </c>
      <c r="L397" s="810" t="s">
        <v>2434</v>
      </c>
      <c r="M397" s="810" t="s">
        <v>2434</v>
      </c>
      <c r="N397" s="810" t="s">
        <v>2434</v>
      </c>
      <c r="O397" s="810" t="s">
        <v>2434</v>
      </c>
      <c r="P397" s="100"/>
      <c r="Q397" s="100"/>
      <c r="R397" s="100"/>
      <c r="S397" s="8"/>
    </row>
    <row r="398" ht="14.25" customHeight="1">
      <c r="A398" s="100" t="s">
        <v>2184</v>
      </c>
      <c r="B398" s="100" t="s">
        <v>2311</v>
      </c>
      <c r="C398" s="100" t="s">
        <v>2317</v>
      </c>
      <c r="D398" s="100" t="s">
        <v>135</v>
      </c>
      <c r="E398" s="810" t="str">
        <f t="shared" ref="E398:M398" si="40">#REF!</f>
        <v>#REF!</v>
      </c>
      <c r="F398" s="810" t="str">
        <f t="shared" si="40"/>
        <v>#REF!</v>
      </c>
      <c r="G398" s="810" t="str">
        <f t="shared" si="40"/>
        <v>#REF!</v>
      </c>
      <c r="H398" s="810" t="str">
        <f t="shared" si="40"/>
        <v>#REF!</v>
      </c>
      <c r="I398" s="810" t="str">
        <f t="shared" si="40"/>
        <v>#REF!</v>
      </c>
      <c r="J398" s="810" t="str">
        <f t="shared" si="40"/>
        <v>#REF!</v>
      </c>
      <c r="K398" s="810" t="str">
        <f t="shared" si="40"/>
        <v>#REF!</v>
      </c>
      <c r="L398" s="810" t="str">
        <f t="shared" si="40"/>
        <v>#REF!</v>
      </c>
      <c r="M398" s="810" t="str">
        <f t="shared" si="40"/>
        <v>#REF!</v>
      </c>
      <c r="N398" s="817" t="str">
        <f>M398*(N399+N429)/(M399+M429)</f>
        <v>#REF!</v>
      </c>
      <c r="O398" s="810" t="str">
        <f>#REF!</f>
        <v>#REF!</v>
      </c>
      <c r="P398" s="100" t="s">
        <v>2546</v>
      </c>
      <c r="Q398" s="100"/>
      <c r="R398" s="823" t="s">
        <v>2550</v>
      </c>
      <c r="S398" s="8"/>
    </row>
    <row r="399" ht="14.25" customHeight="1">
      <c r="A399" s="100" t="s">
        <v>2184</v>
      </c>
      <c r="B399" s="100"/>
      <c r="C399" s="100" t="s">
        <v>2507</v>
      </c>
      <c r="D399" s="100"/>
      <c r="E399" s="810" t="str">
        <f t="shared" ref="E399:O399" si="41">#REF!</f>
        <v>#REF!</v>
      </c>
      <c r="F399" s="810" t="str">
        <f t="shared" si="41"/>
        <v>#REF!</v>
      </c>
      <c r="G399" s="810" t="str">
        <f t="shared" si="41"/>
        <v>#REF!</v>
      </c>
      <c r="H399" s="810" t="str">
        <f t="shared" si="41"/>
        <v>#REF!</v>
      </c>
      <c r="I399" s="810" t="str">
        <f t="shared" si="41"/>
        <v>#REF!</v>
      </c>
      <c r="J399" s="810" t="str">
        <f t="shared" si="41"/>
        <v>#REF!</v>
      </c>
      <c r="K399" s="810" t="str">
        <f t="shared" si="41"/>
        <v>#REF!</v>
      </c>
      <c r="L399" s="810" t="str">
        <f t="shared" si="41"/>
        <v>#REF!</v>
      </c>
      <c r="M399" s="810" t="str">
        <f t="shared" si="41"/>
        <v>#REF!</v>
      </c>
      <c r="N399" s="810" t="str">
        <f t="shared" si="41"/>
        <v>#REF!</v>
      </c>
      <c r="O399" s="810" t="str">
        <f t="shared" si="41"/>
        <v>#REF!</v>
      </c>
      <c r="P399" s="100"/>
      <c r="Q399" s="100"/>
      <c r="R399" s="100"/>
      <c r="S399" s="8"/>
    </row>
    <row r="400" ht="14.25" customHeight="1">
      <c r="A400" s="100" t="s">
        <v>2184</v>
      </c>
      <c r="B400" s="100" t="s">
        <v>2311</v>
      </c>
      <c r="C400" s="100" t="s">
        <v>2325</v>
      </c>
      <c r="D400" s="100" t="s">
        <v>135</v>
      </c>
      <c r="E400" s="810">
        <v>19.9248</v>
      </c>
      <c r="F400" s="810">
        <v>19.4143</v>
      </c>
      <c r="G400" s="810">
        <v>19.0686</v>
      </c>
      <c r="H400" s="810">
        <v>19.513</v>
      </c>
      <c r="I400" s="810">
        <v>19.0644</v>
      </c>
      <c r="J400" s="810">
        <v>18.712</v>
      </c>
      <c r="K400" s="810">
        <v>20.8385</v>
      </c>
      <c r="L400" s="810">
        <v>20.192</v>
      </c>
      <c r="M400" s="810">
        <v>20.9788</v>
      </c>
      <c r="N400" s="810">
        <v>21.3752</v>
      </c>
      <c r="O400" s="810" t="s">
        <v>2434</v>
      </c>
      <c r="P400" s="100" t="s">
        <v>2616</v>
      </c>
      <c r="Q400" s="100"/>
      <c r="R400" s="100"/>
      <c r="S400" s="8"/>
    </row>
    <row r="401" ht="14.25" customHeight="1">
      <c r="A401" s="100" t="s">
        <v>2184</v>
      </c>
      <c r="B401" s="100" t="s">
        <v>2311</v>
      </c>
      <c r="C401" s="100" t="s">
        <v>2329</v>
      </c>
      <c r="D401" s="100" t="s">
        <v>135</v>
      </c>
      <c r="E401" s="810">
        <v>9.005</v>
      </c>
      <c r="F401" s="810">
        <v>8.0796</v>
      </c>
      <c r="G401" s="810">
        <v>7.8172</v>
      </c>
      <c r="H401" s="810">
        <v>8.546</v>
      </c>
      <c r="I401" s="810">
        <v>8.4526</v>
      </c>
      <c r="J401" s="810">
        <v>8.2541</v>
      </c>
      <c r="K401" s="810">
        <v>8.5654</v>
      </c>
      <c r="L401" s="810">
        <v>8.1416</v>
      </c>
      <c r="M401" s="810">
        <v>8.0669</v>
      </c>
      <c r="N401" s="810">
        <v>7.5453</v>
      </c>
      <c r="O401" s="810" t="s">
        <v>2434</v>
      </c>
      <c r="P401" s="100" t="s">
        <v>2549</v>
      </c>
      <c r="Q401" s="100"/>
      <c r="R401" s="100"/>
      <c r="S401" s="8"/>
    </row>
    <row r="402" ht="14.25" customHeight="1">
      <c r="A402" s="100" t="s">
        <v>2184</v>
      </c>
      <c r="B402" s="100" t="s">
        <v>2311</v>
      </c>
      <c r="C402" s="100" t="s">
        <v>2333</v>
      </c>
      <c r="D402" s="100" t="s">
        <v>135</v>
      </c>
      <c r="E402" s="810">
        <v>2.1977</v>
      </c>
      <c r="F402" s="810">
        <v>2.5581</v>
      </c>
      <c r="G402" s="810">
        <v>2.5233</v>
      </c>
      <c r="H402" s="810">
        <v>2.907</v>
      </c>
      <c r="I402" s="810">
        <v>2.4535</v>
      </c>
      <c r="J402" s="810">
        <v>2.8256</v>
      </c>
      <c r="K402" s="810">
        <v>2.814</v>
      </c>
      <c r="L402" s="810">
        <v>2.5646</v>
      </c>
      <c r="M402" s="810">
        <v>2.3376</v>
      </c>
      <c r="N402" s="810">
        <v>2.4281</v>
      </c>
      <c r="O402" s="810" t="s">
        <v>2434</v>
      </c>
      <c r="P402" s="100" t="s">
        <v>2546</v>
      </c>
      <c r="Q402" s="100"/>
      <c r="R402" s="100"/>
      <c r="S402" s="8"/>
    </row>
    <row r="403" ht="14.25" customHeight="1">
      <c r="A403" s="100" t="s">
        <v>2184</v>
      </c>
      <c r="B403" s="100" t="s">
        <v>2311</v>
      </c>
      <c r="C403" s="100" t="s">
        <v>2364</v>
      </c>
      <c r="D403" s="100" t="s">
        <v>135</v>
      </c>
      <c r="E403" s="810">
        <v>1.0713</v>
      </c>
      <c r="F403" s="810">
        <v>1.0086</v>
      </c>
      <c r="G403" s="810">
        <v>0.9454</v>
      </c>
      <c r="H403" s="810">
        <v>0.662</v>
      </c>
      <c r="I403" s="810">
        <v>0.6269</v>
      </c>
      <c r="J403" s="810">
        <v>0.6752</v>
      </c>
      <c r="K403" s="810">
        <v>0.8739</v>
      </c>
      <c r="L403" s="810">
        <v>0.7995</v>
      </c>
      <c r="M403" s="810">
        <v>0.7978</v>
      </c>
      <c r="N403" s="810">
        <v>0.8388</v>
      </c>
      <c r="O403" s="810" t="s">
        <v>2434</v>
      </c>
      <c r="P403" s="100" t="s">
        <v>2617</v>
      </c>
      <c r="Q403" s="100"/>
      <c r="R403" s="100"/>
      <c r="S403" s="8"/>
    </row>
    <row r="404" ht="14.25" customHeight="1">
      <c r="A404" s="100" t="s">
        <v>2184</v>
      </c>
      <c r="B404" s="100" t="s">
        <v>2311</v>
      </c>
      <c r="C404" s="100" t="s">
        <v>2337</v>
      </c>
      <c r="D404" s="100" t="s">
        <v>135</v>
      </c>
      <c r="E404" s="810">
        <v>0.0349</v>
      </c>
      <c r="F404" s="810">
        <v>0.0312</v>
      </c>
      <c r="G404" s="810">
        <v>0.03</v>
      </c>
      <c r="H404" s="810">
        <v>0.028</v>
      </c>
      <c r="I404" s="810">
        <v>0.028</v>
      </c>
      <c r="J404" s="810">
        <v>0.0295</v>
      </c>
      <c r="K404" s="810">
        <v>0.0268</v>
      </c>
      <c r="L404" s="810">
        <v>0.0252</v>
      </c>
      <c r="M404" s="810">
        <v>0.0264</v>
      </c>
      <c r="N404" s="810">
        <v>0.0257</v>
      </c>
      <c r="O404" s="810">
        <v>0.023</v>
      </c>
      <c r="P404" s="100" t="s">
        <v>2512</v>
      </c>
      <c r="Q404" s="100"/>
      <c r="R404" s="100"/>
      <c r="S404" s="8"/>
    </row>
    <row r="405" ht="14.25" customHeight="1">
      <c r="A405" s="100" t="s">
        <v>2184</v>
      </c>
      <c r="B405" s="100" t="s">
        <v>2311</v>
      </c>
      <c r="C405" s="100" t="s">
        <v>2341</v>
      </c>
      <c r="D405" s="100" t="s">
        <v>135</v>
      </c>
      <c r="E405" s="810">
        <v>6.8537</v>
      </c>
      <c r="F405" s="810">
        <v>6.7601</v>
      </c>
      <c r="G405" s="810">
        <v>6.8244</v>
      </c>
      <c r="H405" s="810">
        <v>6.6716</v>
      </c>
      <c r="I405" s="810">
        <v>7.0042</v>
      </c>
      <c r="J405" s="810">
        <v>7.0772</v>
      </c>
      <c r="K405" s="810">
        <v>6.8984</v>
      </c>
      <c r="L405" s="810">
        <v>6.9719</v>
      </c>
      <c r="M405" s="810">
        <v>6.8314</v>
      </c>
      <c r="N405" s="810">
        <v>7.8498</v>
      </c>
      <c r="O405" s="810" t="s">
        <v>2434</v>
      </c>
      <c r="P405" s="100" t="s">
        <v>2546</v>
      </c>
      <c r="Q405" s="100"/>
      <c r="R405" s="100"/>
      <c r="S405" s="8"/>
    </row>
    <row r="406" ht="14.25" customHeight="1">
      <c r="A406" s="100" t="s">
        <v>2184</v>
      </c>
      <c r="B406" s="100" t="s">
        <v>2311</v>
      </c>
      <c r="C406" s="100" t="s">
        <v>2348</v>
      </c>
      <c r="D406" s="100" t="s">
        <v>135</v>
      </c>
      <c r="E406" s="810">
        <v>1.5968</v>
      </c>
      <c r="F406" s="810">
        <v>1.5363</v>
      </c>
      <c r="G406" s="810">
        <v>1.1626</v>
      </c>
      <c r="H406" s="810">
        <v>1.0106</v>
      </c>
      <c r="I406" s="810">
        <v>0.8531</v>
      </c>
      <c r="J406" s="810">
        <v>0.8469</v>
      </c>
      <c r="K406" s="810">
        <v>0.6912</v>
      </c>
      <c r="L406" s="810">
        <v>0.7097</v>
      </c>
      <c r="M406" s="810">
        <v>0.7461</v>
      </c>
      <c r="N406" s="810">
        <v>0.7299</v>
      </c>
      <c r="O406" s="810" t="s">
        <v>2434</v>
      </c>
      <c r="P406" s="100" t="s">
        <v>2549</v>
      </c>
      <c r="Q406" s="100"/>
      <c r="R406" s="100"/>
      <c r="S406" s="8"/>
    </row>
    <row r="407" ht="14.25" customHeight="1">
      <c r="A407" s="100" t="s">
        <v>2184</v>
      </c>
      <c r="B407" s="100" t="s">
        <v>2311</v>
      </c>
      <c r="C407" s="100" t="s">
        <v>2350</v>
      </c>
      <c r="D407" s="100" t="s">
        <v>135</v>
      </c>
      <c r="E407" s="810">
        <v>0.7831</v>
      </c>
      <c r="F407" s="810">
        <v>0.7445</v>
      </c>
      <c r="G407" s="810">
        <v>0.7378</v>
      </c>
      <c r="H407" s="810">
        <v>0.7094</v>
      </c>
      <c r="I407" s="810">
        <v>0.6899</v>
      </c>
      <c r="J407" s="810">
        <v>0.6937</v>
      </c>
      <c r="K407" s="810">
        <v>0.7172</v>
      </c>
      <c r="L407" s="810">
        <v>0.8416</v>
      </c>
      <c r="M407" s="810">
        <v>0.8953</v>
      </c>
      <c r="N407" s="810">
        <v>0.7492</v>
      </c>
      <c r="O407" s="810" t="s">
        <v>2434</v>
      </c>
      <c r="P407" s="100" t="s">
        <v>2400</v>
      </c>
      <c r="Q407" s="100"/>
      <c r="R407" s="100"/>
      <c r="S407" s="8"/>
    </row>
    <row r="408" ht="14.25" customHeight="1">
      <c r="A408" s="100" t="s">
        <v>2184</v>
      </c>
      <c r="B408" s="100" t="s">
        <v>2311</v>
      </c>
      <c r="C408" s="100" t="s">
        <v>2354</v>
      </c>
      <c r="D408" s="100" t="s">
        <v>135</v>
      </c>
      <c r="E408" s="810">
        <v>70.9289</v>
      </c>
      <c r="F408" s="810">
        <v>70.3126</v>
      </c>
      <c r="G408" s="810">
        <v>68.7155</v>
      </c>
      <c r="H408" s="810">
        <v>68.7904</v>
      </c>
      <c r="I408" s="810">
        <v>68.2836</v>
      </c>
      <c r="J408" s="810">
        <v>68.446</v>
      </c>
      <c r="K408" s="810">
        <v>70.5111</v>
      </c>
      <c r="L408" s="810">
        <v>72.7765</v>
      </c>
      <c r="M408" s="810">
        <v>75.6532</v>
      </c>
      <c r="N408" s="810">
        <v>76.0973</v>
      </c>
      <c r="O408" s="810" t="s">
        <v>2434</v>
      </c>
      <c r="P408" s="100" t="s">
        <v>2556</v>
      </c>
      <c r="Q408" s="100"/>
      <c r="R408" s="100"/>
      <c r="S408" s="8"/>
    </row>
    <row r="409" ht="14.25" customHeight="1">
      <c r="A409" s="100" t="s">
        <v>2184</v>
      </c>
      <c r="B409" s="100" t="s">
        <v>2311</v>
      </c>
      <c r="C409" s="100" t="s">
        <v>2356</v>
      </c>
      <c r="D409" s="100" t="s">
        <v>135</v>
      </c>
      <c r="E409" s="810">
        <v>29.0548</v>
      </c>
      <c r="F409" s="810">
        <v>29.1596</v>
      </c>
      <c r="G409" s="810">
        <v>30.7016</v>
      </c>
      <c r="H409" s="810">
        <v>31.1063</v>
      </c>
      <c r="I409" s="810">
        <v>28.8808</v>
      </c>
      <c r="J409" s="810">
        <v>27.6683</v>
      </c>
      <c r="K409" s="810">
        <v>28.0129</v>
      </c>
      <c r="L409" s="810">
        <v>27.8889</v>
      </c>
      <c r="M409" s="810">
        <v>25.1608</v>
      </c>
      <c r="N409" s="810">
        <v>23.8163</v>
      </c>
      <c r="O409" s="810" t="s">
        <v>2434</v>
      </c>
      <c r="P409" s="100" t="s">
        <v>2546</v>
      </c>
      <c r="Q409" s="100"/>
      <c r="R409" s="100"/>
      <c r="S409" s="8"/>
    </row>
    <row r="410" ht="14.25" customHeight="1">
      <c r="A410" s="100" t="s">
        <v>2184</v>
      </c>
      <c r="B410" s="100" t="s">
        <v>2311</v>
      </c>
      <c r="C410" s="100" t="s">
        <v>2344</v>
      </c>
      <c r="D410" s="100" t="s">
        <v>135</v>
      </c>
      <c r="E410" s="810">
        <v>71.7592</v>
      </c>
      <c r="F410" s="810">
        <v>68.5615</v>
      </c>
      <c r="G410" s="810">
        <v>66.4359</v>
      </c>
      <c r="H410" s="810">
        <v>66.4759</v>
      </c>
      <c r="I410" s="810">
        <v>67.1461</v>
      </c>
      <c r="J410" s="810">
        <v>69.3824</v>
      </c>
      <c r="K410" s="810">
        <v>66.9265</v>
      </c>
      <c r="L410" s="810">
        <v>67.1521</v>
      </c>
      <c r="M410" s="810">
        <v>63.8105</v>
      </c>
      <c r="N410" s="810">
        <v>61.9521</v>
      </c>
      <c r="O410" s="810" t="s">
        <v>2434</v>
      </c>
      <c r="P410" s="100" t="s">
        <v>2634</v>
      </c>
      <c r="Q410" s="100"/>
      <c r="R410" s="100"/>
      <c r="S410" s="8"/>
    </row>
    <row r="411" ht="14.25" customHeight="1">
      <c r="A411" s="100" t="s">
        <v>2184</v>
      </c>
      <c r="B411" s="100" t="s">
        <v>2311</v>
      </c>
      <c r="C411" s="100" t="s">
        <v>2362</v>
      </c>
      <c r="D411" s="100" t="s">
        <v>135</v>
      </c>
      <c r="E411" s="810">
        <v>1.4124</v>
      </c>
      <c r="F411" s="810">
        <v>1.0682</v>
      </c>
      <c r="G411" s="810">
        <v>1.1136</v>
      </c>
      <c r="H411" s="810">
        <v>1.1385</v>
      </c>
      <c r="I411" s="810">
        <v>1.1469</v>
      </c>
      <c r="J411" s="810">
        <v>0.9683</v>
      </c>
      <c r="K411" s="810">
        <v>0.5571</v>
      </c>
      <c r="L411" s="810">
        <v>0.5631</v>
      </c>
      <c r="M411" s="810">
        <v>0.6292</v>
      </c>
      <c r="N411" s="810">
        <v>0.9031</v>
      </c>
      <c r="O411" s="810" t="s">
        <v>2434</v>
      </c>
      <c r="P411" s="100" t="s">
        <v>2622</v>
      </c>
      <c r="Q411" s="100"/>
      <c r="R411" s="100"/>
      <c r="S411" s="8"/>
    </row>
    <row r="412" ht="14.25" customHeight="1">
      <c r="A412" s="100" t="s">
        <v>2184</v>
      </c>
      <c r="B412" s="100" t="s">
        <v>2311</v>
      </c>
      <c r="C412" s="100" t="s">
        <v>2367</v>
      </c>
      <c r="D412" s="100" t="s">
        <v>135</v>
      </c>
      <c r="E412" s="810">
        <v>1.8432</v>
      </c>
      <c r="F412" s="810">
        <v>1.8205</v>
      </c>
      <c r="G412" s="810">
        <v>1.9839</v>
      </c>
      <c r="H412" s="810">
        <v>2.2677</v>
      </c>
      <c r="I412" s="810">
        <v>2.3235</v>
      </c>
      <c r="J412" s="810">
        <v>2.2179</v>
      </c>
      <c r="K412" s="810">
        <v>2.3814</v>
      </c>
      <c r="L412" s="810">
        <v>2.7761</v>
      </c>
      <c r="M412" s="810">
        <v>2.6653</v>
      </c>
      <c r="N412" s="810">
        <v>2.8428</v>
      </c>
      <c r="O412" s="810" t="s">
        <v>2434</v>
      </c>
      <c r="P412" s="100" t="s">
        <v>2546</v>
      </c>
      <c r="Q412" s="100"/>
      <c r="R412" s="100"/>
      <c r="S412" s="8"/>
    </row>
    <row r="413" ht="14.25" customHeight="1">
      <c r="A413" s="100" t="s">
        <v>2184</v>
      </c>
      <c r="B413" s="100" t="s">
        <v>2311</v>
      </c>
      <c r="C413" s="100" t="s">
        <v>2369</v>
      </c>
      <c r="D413" s="100" t="s">
        <v>135</v>
      </c>
      <c r="E413" s="810">
        <v>0.1517</v>
      </c>
      <c r="F413" s="810">
        <v>0.1755</v>
      </c>
      <c r="G413" s="810">
        <v>0.1702</v>
      </c>
      <c r="H413" s="810">
        <v>0.1678</v>
      </c>
      <c r="I413" s="810">
        <v>0.1657</v>
      </c>
      <c r="J413" s="810">
        <v>0.1405</v>
      </c>
      <c r="K413" s="810">
        <v>0.167</v>
      </c>
      <c r="L413" s="810">
        <v>0.1766</v>
      </c>
      <c r="M413" s="810">
        <v>0.1869</v>
      </c>
      <c r="N413" s="810">
        <v>0.1914</v>
      </c>
      <c r="O413" s="810" t="s">
        <v>2434</v>
      </c>
      <c r="P413" s="100" t="s">
        <v>2623</v>
      </c>
      <c r="Q413" s="100"/>
      <c r="R413" s="100"/>
      <c r="S413" s="8"/>
    </row>
    <row r="414" ht="14.25" customHeight="1">
      <c r="A414" s="100" t="s">
        <v>2184</v>
      </c>
      <c r="B414" s="100" t="s">
        <v>2311</v>
      </c>
      <c r="C414" s="100" t="s">
        <v>2374</v>
      </c>
      <c r="D414" s="100" t="s">
        <v>135</v>
      </c>
      <c r="E414" s="810">
        <v>28.0444</v>
      </c>
      <c r="F414" s="810">
        <v>26.1181</v>
      </c>
      <c r="G414" s="810">
        <v>27.3934</v>
      </c>
      <c r="H414" s="810">
        <v>23.4896</v>
      </c>
      <c r="I414" s="810">
        <v>26.0908</v>
      </c>
      <c r="J414" s="810">
        <v>27.5858</v>
      </c>
      <c r="K414" s="810">
        <v>26.9075</v>
      </c>
      <c r="L414" s="810">
        <v>26.5858</v>
      </c>
      <c r="M414" s="810">
        <v>23.9636</v>
      </c>
      <c r="N414" s="810">
        <v>23.9274</v>
      </c>
      <c r="O414" s="810" t="s">
        <v>2434</v>
      </c>
      <c r="P414" s="100" t="s">
        <v>2624</v>
      </c>
      <c r="Q414" s="100"/>
      <c r="R414" s="100"/>
      <c r="S414" s="8"/>
    </row>
    <row r="415" ht="14.25" customHeight="1">
      <c r="A415" s="100" t="s">
        <v>2184</v>
      </c>
      <c r="B415" s="100" t="s">
        <v>2311</v>
      </c>
      <c r="C415" s="100" t="s">
        <v>2386</v>
      </c>
      <c r="D415" s="100" t="s">
        <v>135</v>
      </c>
      <c r="E415" s="810">
        <v>0.1092</v>
      </c>
      <c r="F415" s="810">
        <v>0.0942</v>
      </c>
      <c r="G415" s="810">
        <v>0.0828</v>
      </c>
      <c r="H415" s="810">
        <v>0.0864</v>
      </c>
      <c r="I415" s="810">
        <v>0.0614</v>
      </c>
      <c r="J415" s="810">
        <v>0.0594</v>
      </c>
      <c r="K415" s="810">
        <v>0.0569</v>
      </c>
      <c r="L415" s="810">
        <v>0.064</v>
      </c>
      <c r="M415" s="810">
        <v>0.0614</v>
      </c>
      <c r="N415" s="810">
        <v>0.0611</v>
      </c>
      <c r="O415" s="810" t="s">
        <v>2434</v>
      </c>
      <c r="P415" s="100" t="s">
        <v>2625</v>
      </c>
      <c r="Q415" s="100"/>
      <c r="R415" s="100"/>
      <c r="S415" s="8"/>
    </row>
    <row r="416" ht="14.25" customHeight="1">
      <c r="A416" s="100" t="s">
        <v>2184</v>
      </c>
      <c r="B416" s="100" t="s">
        <v>2311</v>
      </c>
      <c r="C416" s="100" t="s">
        <v>2378</v>
      </c>
      <c r="D416" s="100" t="s">
        <v>135</v>
      </c>
      <c r="E416" s="810">
        <v>0.6281</v>
      </c>
      <c r="F416" s="810">
        <v>0.5003</v>
      </c>
      <c r="G416" s="810">
        <v>0.3786</v>
      </c>
      <c r="H416" s="810">
        <v>0.4335</v>
      </c>
      <c r="I416" s="810">
        <v>0.354</v>
      </c>
      <c r="J416" s="810">
        <v>0.3195</v>
      </c>
      <c r="K416" s="810">
        <v>0.3617</v>
      </c>
      <c r="L416" s="810">
        <v>0.4372</v>
      </c>
      <c r="M416" s="810">
        <v>0.6112</v>
      </c>
      <c r="N416" s="810">
        <v>0.614</v>
      </c>
      <c r="O416" s="810" t="s">
        <v>2434</v>
      </c>
      <c r="P416" s="100" t="s">
        <v>2567</v>
      </c>
      <c r="Q416" s="100"/>
      <c r="R416" s="100"/>
      <c r="S416" s="8"/>
    </row>
    <row r="417" ht="14.25" customHeight="1">
      <c r="A417" s="100" t="s">
        <v>2184</v>
      </c>
      <c r="B417" s="100" t="s">
        <v>2311</v>
      </c>
      <c r="C417" s="100" t="s">
        <v>2383</v>
      </c>
      <c r="D417" s="100" t="s">
        <v>135</v>
      </c>
      <c r="E417" s="810">
        <v>0.093</v>
      </c>
      <c r="F417" s="810">
        <v>0.0814</v>
      </c>
      <c r="G417" s="810">
        <v>0.0814</v>
      </c>
      <c r="H417" s="810">
        <v>0.1047</v>
      </c>
      <c r="I417" s="810">
        <v>0.0698</v>
      </c>
      <c r="J417" s="810">
        <v>0.0581</v>
      </c>
      <c r="K417" s="810">
        <v>0.0698</v>
      </c>
      <c r="L417" s="810">
        <v>0.0581</v>
      </c>
      <c r="M417" s="810">
        <v>0.0349</v>
      </c>
      <c r="N417" s="810">
        <v>0.0349</v>
      </c>
      <c r="O417" s="810" t="s">
        <v>2434</v>
      </c>
      <c r="P417" s="100" t="s">
        <v>2523</v>
      </c>
      <c r="Q417" s="100"/>
      <c r="R417" s="100"/>
      <c r="S417" s="8"/>
    </row>
    <row r="418" ht="14.25" customHeight="1">
      <c r="A418" s="100" t="s">
        <v>2184</v>
      </c>
      <c r="B418" s="100" t="s">
        <v>2311</v>
      </c>
      <c r="C418" s="100" t="s">
        <v>2389</v>
      </c>
      <c r="D418" s="100" t="s">
        <v>135</v>
      </c>
      <c r="E418" s="810">
        <v>0.02</v>
      </c>
      <c r="F418" s="810">
        <v>0.022</v>
      </c>
      <c r="G418" s="810">
        <v>0.022</v>
      </c>
      <c r="H418" s="810">
        <v>0.022</v>
      </c>
      <c r="I418" s="810">
        <v>0.023</v>
      </c>
      <c r="J418" s="810">
        <v>0.023</v>
      </c>
      <c r="K418" s="810">
        <v>0.024</v>
      </c>
      <c r="L418" s="810">
        <v>0.0252</v>
      </c>
      <c r="M418" s="810">
        <v>0.027</v>
      </c>
      <c r="N418" s="810">
        <v>0.0276</v>
      </c>
      <c r="O418" s="810" t="s">
        <v>2434</v>
      </c>
      <c r="P418" s="100" t="s">
        <v>2549</v>
      </c>
      <c r="Q418" s="100"/>
      <c r="R418" s="100"/>
      <c r="S418" s="8"/>
    </row>
    <row r="419" ht="14.25" customHeight="1">
      <c r="A419" s="100" t="s">
        <v>2184</v>
      </c>
      <c r="B419" s="100" t="s">
        <v>2311</v>
      </c>
      <c r="C419" s="100" t="s">
        <v>2391</v>
      </c>
      <c r="D419" s="100" t="s">
        <v>135</v>
      </c>
      <c r="E419" s="810">
        <v>8.4293</v>
      </c>
      <c r="F419" s="810">
        <v>7.8714</v>
      </c>
      <c r="G419" s="810">
        <v>7.8866</v>
      </c>
      <c r="H419" s="810">
        <v>7.9371</v>
      </c>
      <c r="I419" s="810">
        <v>6.9819</v>
      </c>
      <c r="J419" s="810">
        <v>7.0516</v>
      </c>
      <c r="K419" s="810">
        <v>7.2324</v>
      </c>
      <c r="L419" s="810">
        <v>7.5896</v>
      </c>
      <c r="M419" s="810">
        <v>6.6536</v>
      </c>
      <c r="N419" s="810">
        <v>6.1455</v>
      </c>
      <c r="O419" s="810" t="s">
        <v>2434</v>
      </c>
      <c r="P419" s="100" t="s">
        <v>2546</v>
      </c>
      <c r="Q419" s="100"/>
      <c r="R419" s="100"/>
      <c r="S419" s="8"/>
    </row>
    <row r="420" ht="14.25" customHeight="1">
      <c r="A420" s="100" t="s">
        <v>2184</v>
      </c>
      <c r="B420" s="100" t="s">
        <v>2311</v>
      </c>
      <c r="C420" s="100" t="s">
        <v>2393</v>
      </c>
      <c r="D420" s="100" t="s">
        <v>135</v>
      </c>
      <c r="E420" s="810">
        <v>14.7809</v>
      </c>
      <c r="F420" s="810">
        <v>14.323</v>
      </c>
      <c r="G420" s="810">
        <v>14.9333</v>
      </c>
      <c r="H420" s="810">
        <v>18.2684</v>
      </c>
      <c r="I420" s="810">
        <v>18.0389</v>
      </c>
      <c r="J420" s="810">
        <v>18.2938</v>
      </c>
      <c r="K420" s="810">
        <v>19.0888</v>
      </c>
      <c r="L420" s="810">
        <v>20.4415</v>
      </c>
      <c r="M420" s="810">
        <v>20.5083</v>
      </c>
      <c r="N420" s="810">
        <v>21.874</v>
      </c>
      <c r="O420" s="810" t="s">
        <v>2434</v>
      </c>
      <c r="P420" s="100" t="s">
        <v>2526</v>
      </c>
      <c r="Q420" s="100"/>
      <c r="R420" s="100"/>
      <c r="S420" s="8"/>
    </row>
    <row r="421" ht="14.25" customHeight="1">
      <c r="A421" s="100" t="s">
        <v>2184</v>
      </c>
      <c r="B421" s="100" t="s">
        <v>2311</v>
      </c>
      <c r="C421" s="100" t="s">
        <v>2395</v>
      </c>
      <c r="D421" s="100" t="s">
        <v>135</v>
      </c>
      <c r="E421" s="810">
        <v>14.9538</v>
      </c>
      <c r="F421" s="810">
        <v>15.4624</v>
      </c>
      <c r="G421" s="810">
        <v>15.6742</v>
      </c>
      <c r="H421" s="810">
        <v>16.3498</v>
      </c>
      <c r="I421" s="810">
        <v>15.8033</v>
      </c>
      <c r="J421" s="810">
        <v>15.8333</v>
      </c>
      <c r="K421" s="810">
        <v>16.0939</v>
      </c>
      <c r="L421" s="810">
        <v>16.1582</v>
      </c>
      <c r="M421" s="810">
        <v>16.2771</v>
      </c>
      <c r="N421" s="810">
        <v>16.5915</v>
      </c>
      <c r="O421" s="810" t="s">
        <v>2434</v>
      </c>
      <c r="P421" s="100" t="s">
        <v>2626</v>
      </c>
      <c r="Q421" s="100"/>
      <c r="R421" s="100"/>
      <c r="S421" s="8"/>
    </row>
    <row r="422" ht="14.25" customHeight="1">
      <c r="A422" s="100" t="s">
        <v>2184</v>
      </c>
      <c r="B422" s="100" t="s">
        <v>2311</v>
      </c>
      <c r="C422" s="100" t="s">
        <v>2397</v>
      </c>
      <c r="D422" s="100" t="s">
        <v>135</v>
      </c>
      <c r="E422" s="810">
        <v>1.9261</v>
      </c>
      <c r="F422" s="810">
        <v>0.8256</v>
      </c>
      <c r="G422" s="810">
        <v>0.9302</v>
      </c>
      <c r="H422" s="810">
        <v>0.9884</v>
      </c>
      <c r="I422" s="810">
        <v>1.2209</v>
      </c>
      <c r="J422" s="810">
        <v>1.5275</v>
      </c>
      <c r="K422" s="810">
        <v>1.593</v>
      </c>
      <c r="L422" s="810">
        <v>1.6628</v>
      </c>
      <c r="M422" s="810">
        <v>1.6279</v>
      </c>
      <c r="N422" s="810">
        <v>1.7326</v>
      </c>
      <c r="O422" s="810" t="s">
        <v>2434</v>
      </c>
      <c r="P422" s="100" t="s">
        <v>2528</v>
      </c>
      <c r="Q422" s="100"/>
      <c r="R422" s="100"/>
      <c r="S422" s="8"/>
    </row>
    <row r="423" ht="14.25" customHeight="1">
      <c r="A423" s="100" t="s">
        <v>2184</v>
      </c>
      <c r="B423" s="100" t="s">
        <v>2311</v>
      </c>
      <c r="C423" s="100" t="s">
        <v>2411</v>
      </c>
      <c r="D423" s="100" t="s">
        <v>135</v>
      </c>
      <c r="E423" s="810">
        <v>6.1677</v>
      </c>
      <c r="F423" s="810">
        <v>5.8211</v>
      </c>
      <c r="G423" s="810">
        <v>4.9711</v>
      </c>
      <c r="H423" s="810">
        <v>5.013</v>
      </c>
      <c r="I423" s="810">
        <v>5.1535</v>
      </c>
      <c r="J423" s="810">
        <v>6.1338</v>
      </c>
      <c r="K423" s="810">
        <v>5.3402</v>
      </c>
      <c r="L423" s="810">
        <v>5.5611</v>
      </c>
      <c r="M423" s="810">
        <v>5.5142</v>
      </c>
      <c r="N423" s="810">
        <v>5.9094</v>
      </c>
      <c r="O423" s="810" t="s">
        <v>2434</v>
      </c>
      <c r="P423" s="100" t="s">
        <v>2546</v>
      </c>
      <c r="Q423" s="100"/>
      <c r="R423" s="100"/>
      <c r="S423" s="8"/>
    </row>
    <row r="424" ht="14.25" customHeight="1">
      <c r="A424" s="100" t="s">
        <v>2184</v>
      </c>
      <c r="B424" s="100" t="s">
        <v>2311</v>
      </c>
      <c r="C424" s="100" t="s">
        <v>2406</v>
      </c>
      <c r="D424" s="100" t="s">
        <v>135</v>
      </c>
      <c r="E424" s="810">
        <v>2.0781</v>
      </c>
      <c r="F424" s="810">
        <v>1.9815</v>
      </c>
      <c r="G424" s="810">
        <v>1.9681</v>
      </c>
      <c r="H424" s="810">
        <v>1.9144</v>
      </c>
      <c r="I424" s="810">
        <v>1.9414</v>
      </c>
      <c r="J424" s="810">
        <v>1.9264</v>
      </c>
      <c r="K424" s="810">
        <v>1.9439</v>
      </c>
      <c r="L424" s="810">
        <v>1.9791</v>
      </c>
      <c r="M424" s="810">
        <v>1.9734</v>
      </c>
      <c r="N424" s="810">
        <v>2.0077</v>
      </c>
      <c r="O424" s="810" t="s">
        <v>2434</v>
      </c>
      <c r="P424" s="100" t="s">
        <v>2628</v>
      </c>
      <c r="Q424" s="100"/>
      <c r="R424" s="100"/>
      <c r="S424" s="8"/>
    </row>
    <row r="425" ht="14.25" customHeight="1">
      <c r="A425" s="100" t="s">
        <v>2184</v>
      </c>
      <c r="B425" s="100" t="s">
        <v>2311</v>
      </c>
      <c r="C425" s="100" t="s">
        <v>2352</v>
      </c>
      <c r="D425" s="100" t="s">
        <v>135</v>
      </c>
      <c r="E425" s="810">
        <v>16.641</v>
      </c>
      <c r="F425" s="810">
        <v>19.3799</v>
      </c>
      <c r="G425" s="810">
        <v>21.599</v>
      </c>
      <c r="H425" s="810">
        <v>21.4769</v>
      </c>
      <c r="I425" s="810">
        <v>20.9431</v>
      </c>
      <c r="J425" s="810">
        <v>19.5888</v>
      </c>
      <c r="K425" s="810">
        <v>19.1322</v>
      </c>
      <c r="L425" s="810">
        <v>21.3384</v>
      </c>
      <c r="M425" s="810">
        <v>20.1166</v>
      </c>
      <c r="N425" s="810">
        <v>19.779</v>
      </c>
      <c r="O425" s="810" t="s">
        <v>2434</v>
      </c>
      <c r="P425" s="100" t="s">
        <v>2629</v>
      </c>
      <c r="Q425" s="100"/>
      <c r="R425" s="100"/>
      <c r="S425" s="8"/>
    </row>
    <row r="426" ht="14.25" customHeight="1">
      <c r="A426" s="100" t="s">
        <v>2184</v>
      </c>
      <c r="B426" s="100" t="s">
        <v>2311</v>
      </c>
      <c r="C426" s="100" t="s">
        <v>2400</v>
      </c>
      <c r="D426" s="100" t="s">
        <v>135</v>
      </c>
      <c r="E426" s="810">
        <v>75.9069</v>
      </c>
      <c r="F426" s="810">
        <v>75.3367</v>
      </c>
      <c r="G426" s="810">
        <v>76.1235</v>
      </c>
      <c r="H426" s="810">
        <v>74.4053</v>
      </c>
      <c r="I426" s="810">
        <v>73.5981</v>
      </c>
      <c r="J426" s="810">
        <v>73.7467</v>
      </c>
      <c r="K426" s="810">
        <v>73.0149</v>
      </c>
      <c r="L426" s="810">
        <v>72.687</v>
      </c>
      <c r="M426" s="810">
        <v>72.3458</v>
      </c>
      <c r="N426" s="810">
        <v>73.6725</v>
      </c>
      <c r="O426" s="810" t="s">
        <v>2434</v>
      </c>
      <c r="P426" s="100" t="s">
        <v>2630</v>
      </c>
      <c r="Q426" s="100"/>
      <c r="R426" s="100"/>
      <c r="S426" s="8"/>
    </row>
    <row r="427" ht="14.25" customHeight="1">
      <c r="A427" s="100" t="s">
        <v>2184</v>
      </c>
      <c r="B427" s="100" t="s">
        <v>2311</v>
      </c>
      <c r="C427" s="100" t="s">
        <v>2416</v>
      </c>
      <c r="D427" s="100" t="s">
        <v>135</v>
      </c>
      <c r="E427" s="810">
        <v>9.8367</v>
      </c>
      <c r="F427" s="810">
        <v>9.1667</v>
      </c>
      <c r="G427" s="810">
        <v>7.2677</v>
      </c>
      <c r="H427" s="810">
        <v>6.3147</v>
      </c>
      <c r="I427" s="810">
        <v>4.671</v>
      </c>
      <c r="J427" s="810">
        <v>4.57</v>
      </c>
      <c r="K427" s="810">
        <v>4.9599</v>
      </c>
      <c r="L427" s="810">
        <v>5.2984</v>
      </c>
      <c r="M427" s="810">
        <v>5.2806</v>
      </c>
      <c r="N427" s="810">
        <v>5.2677</v>
      </c>
      <c r="O427" s="810">
        <v>4.9154</v>
      </c>
      <c r="P427" s="100" t="s">
        <v>2631</v>
      </c>
      <c r="Q427" s="100"/>
      <c r="R427" s="100"/>
      <c r="S427" s="8"/>
    </row>
    <row r="428" ht="14.25" customHeight="1">
      <c r="A428" s="100" t="s">
        <v>2184</v>
      </c>
      <c r="B428" s="100" t="s">
        <v>2311</v>
      </c>
      <c r="C428" s="100" t="s">
        <v>2423</v>
      </c>
      <c r="D428" s="100" t="s">
        <v>135</v>
      </c>
      <c r="E428" s="810">
        <v>5.2568</v>
      </c>
      <c r="F428" s="810">
        <v>4.6587</v>
      </c>
      <c r="G428" s="810">
        <v>4.1716</v>
      </c>
      <c r="H428" s="810">
        <v>4.0356</v>
      </c>
      <c r="I428" s="810">
        <v>4.2129</v>
      </c>
      <c r="J428" s="810">
        <v>3.7026</v>
      </c>
      <c r="K428" s="810">
        <v>3.2623</v>
      </c>
      <c r="L428" s="810">
        <v>3.2523</v>
      </c>
      <c r="M428" s="810">
        <v>2.8261</v>
      </c>
      <c r="N428" s="810">
        <v>2.8141</v>
      </c>
      <c r="O428" s="810" t="s">
        <v>2434</v>
      </c>
      <c r="P428" s="100" t="s">
        <v>2632</v>
      </c>
      <c r="Q428" s="100"/>
      <c r="R428" s="100"/>
      <c r="S428" s="8"/>
    </row>
    <row r="429" ht="14.25" customHeight="1">
      <c r="A429" s="100" t="s">
        <v>2184</v>
      </c>
      <c r="B429" s="100" t="s">
        <v>2311</v>
      </c>
      <c r="C429" s="100" t="s">
        <v>2360</v>
      </c>
      <c r="D429" s="100" t="s">
        <v>135</v>
      </c>
      <c r="E429" s="810">
        <v>22.0975</v>
      </c>
      <c r="F429" s="810">
        <v>21.5779</v>
      </c>
      <c r="G429" s="810">
        <v>21.2876</v>
      </c>
      <c r="H429" s="810">
        <v>22.0735</v>
      </c>
      <c r="I429" s="810">
        <v>21.526</v>
      </c>
      <c r="J429" s="810">
        <v>20.0765</v>
      </c>
      <c r="K429" s="810">
        <v>20.657</v>
      </c>
      <c r="L429" s="810">
        <v>20.4916</v>
      </c>
      <c r="M429" s="810">
        <v>20.6984</v>
      </c>
      <c r="N429" s="810">
        <v>20.0668</v>
      </c>
      <c r="O429" s="810" t="s">
        <v>2434</v>
      </c>
      <c r="P429" s="100" t="s">
        <v>2636</v>
      </c>
      <c r="Q429" s="100"/>
      <c r="R429" s="100"/>
      <c r="S429" s="8"/>
    </row>
    <row r="430" ht="14.25" customHeight="1">
      <c r="A430" s="100" t="s">
        <v>2184</v>
      </c>
      <c r="B430" s="100" t="s">
        <v>2311</v>
      </c>
      <c r="C430" s="100" t="s">
        <v>2535</v>
      </c>
      <c r="D430" s="100" t="s">
        <v>135</v>
      </c>
      <c r="E430" s="810">
        <v>0.6707</v>
      </c>
      <c r="F430" s="810">
        <v>0.9284</v>
      </c>
      <c r="G430" s="810">
        <v>1.4058</v>
      </c>
      <c r="H430" s="810">
        <v>1.3669</v>
      </c>
      <c r="I430" s="810">
        <v>1.0421</v>
      </c>
      <c r="J430" s="810">
        <v>1.1817</v>
      </c>
      <c r="K430" s="810">
        <v>1.2108</v>
      </c>
      <c r="L430" s="810">
        <v>1.3278</v>
      </c>
      <c r="M430" s="810">
        <v>1.185</v>
      </c>
      <c r="N430" s="810">
        <v>1.2788</v>
      </c>
      <c r="O430" s="810" t="s">
        <v>2434</v>
      </c>
      <c r="P430" s="100" t="s">
        <v>2546</v>
      </c>
      <c r="Q430" s="100"/>
      <c r="R430" s="100"/>
      <c r="S430" s="8"/>
    </row>
    <row r="431" ht="14.25" customHeight="1">
      <c r="A431" s="100" t="s">
        <v>2186</v>
      </c>
      <c r="B431" s="100" t="s">
        <v>2339</v>
      </c>
      <c r="C431" s="100" t="s">
        <v>2317</v>
      </c>
      <c r="D431" s="100" t="s">
        <v>135</v>
      </c>
      <c r="E431" s="810" t="str">
        <f t="shared" ref="E431:M431" si="42">#REF!</f>
        <v>#REF!</v>
      </c>
      <c r="F431" s="810" t="str">
        <f t="shared" si="42"/>
        <v>#REF!</v>
      </c>
      <c r="G431" s="810" t="str">
        <f t="shared" si="42"/>
        <v>#REF!</v>
      </c>
      <c r="H431" s="810" t="str">
        <f t="shared" si="42"/>
        <v>#REF!</v>
      </c>
      <c r="I431" s="810" t="str">
        <f t="shared" si="42"/>
        <v>#REF!</v>
      </c>
      <c r="J431" s="810" t="str">
        <f t="shared" si="42"/>
        <v>#REF!</v>
      </c>
      <c r="K431" s="810" t="str">
        <f t="shared" si="42"/>
        <v>#REF!</v>
      </c>
      <c r="L431" s="810" t="str">
        <f t="shared" si="42"/>
        <v>#REF!</v>
      </c>
      <c r="M431" s="810" t="str">
        <f t="shared" si="42"/>
        <v>#REF!</v>
      </c>
      <c r="N431" s="817" t="str">
        <f>M431*(N432+N462)/(M432+M462)</f>
        <v>#REF!</v>
      </c>
      <c r="O431" s="810" t="str">
        <f>#REF!</f>
        <v>#REF!</v>
      </c>
      <c r="P431" s="100" t="s">
        <v>2546</v>
      </c>
      <c r="Q431" s="100"/>
      <c r="R431" s="100"/>
      <c r="S431" s="8"/>
    </row>
    <row r="432" ht="14.25" customHeight="1">
      <c r="A432" s="100" t="s">
        <v>2186</v>
      </c>
      <c r="B432" s="100"/>
      <c r="C432" s="100" t="s">
        <v>2507</v>
      </c>
      <c r="D432" s="100"/>
      <c r="E432" s="810" t="str">
        <f t="shared" ref="E432:O432" si="43">#REF!</f>
        <v>#REF!</v>
      </c>
      <c r="F432" s="810" t="str">
        <f t="shared" si="43"/>
        <v>#REF!</v>
      </c>
      <c r="G432" s="810" t="str">
        <f t="shared" si="43"/>
        <v>#REF!</v>
      </c>
      <c r="H432" s="810" t="str">
        <f t="shared" si="43"/>
        <v>#REF!</v>
      </c>
      <c r="I432" s="810" t="str">
        <f t="shared" si="43"/>
        <v>#REF!</v>
      </c>
      <c r="J432" s="810" t="str">
        <f t="shared" si="43"/>
        <v>#REF!</v>
      </c>
      <c r="K432" s="810" t="str">
        <f t="shared" si="43"/>
        <v>#REF!</v>
      </c>
      <c r="L432" s="810" t="str">
        <f t="shared" si="43"/>
        <v>#REF!</v>
      </c>
      <c r="M432" s="810" t="str">
        <f t="shared" si="43"/>
        <v>#REF!</v>
      </c>
      <c r="N432" s="810" t="str">
        <f t="shared" si="43"/>
        <v>#REF!</v>
      </c>
      <c r="O432" s="810" t="str">
        <f t="shared" si="43"/>
        <v>#REF!</v>
      </c>
      <c r="P432" s="100"/>
      <c r="Q432" s="100"/>
      <c r="R432" s="100"/>
      <c r="S432" s="8"/>
    </row>
    <row r="433" ht="14.25" customHeight="1">
      <c r="A433" s="100" t="s">
        <v>2186</v>
      </c>
      <c r="B433" s="100" t="s">
        <v>2339</v>
      </c>
      <c r="C433" s="100" t="s">
        <v>2325</v>
      </c>
      <c r="D433" s="100" t="s">
        <v>135</v>
      </c>
      <c r="E433" s="810">
        <v>6.8263</v>
      </c>
      <c r="F433" s="810">
        <v>6.8299</v>
      </c>
      <c r="G433" s="810">
        <v>6.916</v>
      </c>
      <c r="H433" s="810">
        <v>6.1698</v>
      </c>
      <c r="I433" s="810">
        <v>6.2009</v>
      </c>
      <c r="J433" s="810">
        <v>6.401</v>
      </c>
      <c r="K433" s="810">
        <v>6.1399</v>
      </c>
      <c r="L433" s="810">
        <v>6.0548</v>
      </c>
      <c r="M433" s="810">
        <v>5.9727</v>
      </c>
      <c r="N433" s="810">
        <v>6.0099</v>
      </c>
      <c r="O433" s="810" t="s">
        <v>2434</v>
      </c>
      <c r="P433" s="100" t="s">
        <v>2616</v>
      </c>
      <c r="Q433" s="100"/>
      <c r="R433" s="100"/>
      <c r="S433" s="8"/>
    </row>
    <row r="434" ht="14.25" customHeight="1">
      <c r="A434" s="100" t="s">
        <v>2186</v>
      </c>
      <c r="B434" s="100" t="s">
        <v>2339</v>
      </c>
      <c r="C434" s="100" t="s">
        <v>2329</v>
      </c>
      <c r="D434" s="100" t="s">
        <v>135</v>
      </c>
      <c r="E434" s="810">
        <v>16.1924</v>
      </c>
      <c r="F434" s="810">
        <v>15.4086</v>
      </c>
      <c r="G434" s="810">
        <v>15.5922</v>
      </c>
      <c r="H434" s="810">
        <v>15.8963</v>
      </c>
      <c r="I434" s="810">
        <v>16.5381</v>
      </c>
      <c r="J434" s="810">
        <v>17.0583</v>
      </c>
      <c r="K434" s="810">
        <v>17.1377</v>
      </c>
      <c r="L434" s="810">
        <v>17.704</v>
      </c>
      <c r="M434" s="810">
        <v>18.7558</v>
      </c>
      <c r="N434" s="810">
        <v>19.056</v>
      </c>
      <c r="O434" s="810" t="s">
        <v>2434</v>
      </c>
      <c r="P434" s="100" t="s">
        <v>2549</v>
      </c>
      <c r="Q434" s="100"/>
      <c r="R434" s="100"/>
      <c r="S434" s="8"/>
    </row>
    <row r="435" ht="14.25" customHeight="1">
      <c r="A435" s="100" t="s">
        <v>2186</v>
      </c>
      <c r="B435" s="100" t="s">
        <v>2339</v>
      </c>
      <c r="C435" s="100" t="s">
        <v>2333</v>
      </c>
      <c r="D435" s="100" t="s">
        <v>135</v>
      </c>
      <c r="E435" s="810">
        <v>2.9302</v>
      </c>
      <c r="F435" s="810">
        <v>2.7093</v>
      </c>
      <c r="G435" s="810">
        <v>2.686</v>
      </c>
      <c r="H435" s="810">
        <v>2.7791</v>
      </c>
      <c r="I435" s="810">
        <v>2.7209</v>
      </c>
      <c r="J435" s="810">
        <v>2.8605</v>
      </c>
      <c r="K435" s="810">
        <v>2.7442</v>
      </c>
      <c r="L435" s="810">
        <v>2.6477</v>
      </c>
      <c r="M435" s="810">
        <v>2.9155</v>
      </c>
      <c r="N435" s="810">
        <v>2.8102</v>
      </c>
      <c r="O435" s="810" t="s">
        <v>2434</v>
      </c>
      <c r="P435" s="100" t="s">
        <v>2546</v>
      </c>
      <c r="Q435" s="100"/>
      <c r="R435" s="100"/>
      <c r="S435" s="8"/>
    </row>
    <row r="436" ht="14.25" customHeight="1">
      <c r="A436" s="100" t="s">
        <v>2186</v>
      </c>
      <c r="B436" s="100" t="s">
        <v>2339</v>
      </c>
      <c r="C436" s="100" t="s">
        <v>2364</v>
      </c>
      <c r="D436" s="100" t="s">
        <v>135</v>
      </c>
      <c r="E436" s="810">
        <v>2.8376</v>
      </c>
      <c r="F436" s="810">
        <v>2.7576</v>
      </c>
      <c r="G436" s="810">
        <v>2.524</v>
      </c>
      <c r="H436" s="810">
        <v>2.3491</v>
      </c>
      <c r="I436" s="810">
        <v>2.4514</v>
      </c>
      <c r="J436" s="810">
        <v>2.2806</v>
      </c>
      <c r="K436" s="810">
        <v>2.3539</v>
      </c>
      <c r="L436" s="810">
        <v>2.2673</v>
      </c>
      <c r="M436" s="810">
        <v>2.2509</v>
      </c>
      <c r="N436" s="810">
        <v>2.2876</v>
      </c>
      <c r="O436" s="810" t="s">
        <v>2434</v>
      </c>
      <c r="P436" s="100" t="s">
        <v>2617</v>
      </c>
      <c r="Q436" s="100"/>
      <c r="R436" s="100"/>
      <c r="S436" s="8"/>
    </row>
    <row r="437" ht="14.25" customHeight="1">
      <c r="A437" s="100" t="s">
        <v>2186</v>
      </c>
      <c r="B437" s="100" t="s">
        <v>2339</v>
      </c>
      <c r="C437" s="100" t="s">
        <v>2337</v>
      </c>
      <c r="D437" s="100" t="s">
        <v>135</v>
      </c>
      <c r="E437" s="810">
        <v>0.4098</v>
      </c>
      <c r="F437" s="810">
        <v>0.3948</v>
      </c>
      <c r="G437" s="810">
        <v>0.3926</v>
      </c>
      <c r="H437" s="810">
        <v>0.3642</v>
      </c>
      <c r="I437" s="810">
        <v>0.4277</v>
      </c>
      <c r="J437" s="810">
        <v>0.4318</v>
      </c>
      <c r="K437" s="810">
        <v>0.4087</v>
      </c>
      <c r="L437" s="810">
        <v>0.4237</v>
      </c>
      <c r="M437" s="810">
        <v>0.3729</v>
      </c>
      <c r="N437" s="810">
        <v>0.3657</v>
      </c>
      <c r="O437" s="810">
        <v>0.3733</v>
      </c>
      <c r="P437" s="100" t="s">
        <v>2512</v>
      </c>
      <c r="Q437" s="100"/>
      <c r="R437" s="100"/>
      <c r="S437" s="8"/>
    </row>
    <row r="438" ht="14.25" customHeight="1">
      <c r="A438" s="100" t="s">
        <v>2186</v>
      </c>
      <c r="B438" s="100" t="s">
        <v>2339</v>
      </c>
      <c r="C438" s="100" t="s">
        <v>2341</v>
      </c>
      <c r="D438" s="100" t="s">
        <v>135</v>
      </c>
      <c r="E438" s="810">
        <v>6.4528</v>
      </c>
      <c r="F438" s="810">
        <v>6.488</v>
      </c>
      <c r="G438" s="810">
        <v>6.4337</v>
      </c>
      <c r="H438" s="810">
        <v>6.256</v>
      </c>
      <c r="I438" s="810">
        <v>6.4112</v>
      </c>
      <c r="J438" s="810">
        <v>6.7884</v>
      </c>
      <c r="K438" s="810">
        <v>6.746</v>
      </c>
      <c r="L438" s="810">
        <v>6.9339</v>
      </c>
      <c r="M438" s="810">
        <v>6.7701</v>
      </c>
      <c r="N438" s="810">
        <v>6.4878</v>
      </c>
      <c r="O438" s="810" t="s">
        <v>2434</v>
      </c>
      <c r="P438" s="100" t="s">
        <v>2546</v>
      </c>
      <c r="Q438" s="100"/>
      <c r="R438" s="100"/>
      <c r="S438" s="8"/>
    </row>
    <row r="439" ht="14.25" customHeight="1">
      <c r="A439" s="100" t="s">
        <v>2186</v>
      </c>
      <c r="B439" s="100" t="s">
        <v>2339</v>
      </c>
      <c r="C439" s="100" t="s">
        <v>2348</v>
      </c>
      <c r="D439" s="100" t="s">
        <v>135</v>
      </c>
      <c r="E439" s="810">
        <v>7.9924</v>
      </c>
      <c r="F439" s="810">
        <v>7.519</v>
      </c>
      <c r="G439" s="810">
        <v>6.8422</v>
      </c>
      <c r="H439" s="810">
        <v>6.7081</v>
      </c>
      <c r="I439" s="810">
        <v>6.7741</v>
      </c>
      <c r="J439" s="810">
        <v>6.651</v>
      </c>
      <c r="K439" s="810">
        <v>6.861</v>
      </c>
      <c r="L439" s="810">
        <v>7.0126</v>
      </c>
      <c r="M439" s="810">
        <v>6.8242</v>
      </c>
      <c r="N439" s="810">
        <v>6.4836</v>
      </c>
      <c r="O439" s="810" t="s">
        <v>2434</v>
      </c>
      <c r="P439" s="100" t="s">
        <v>2549</v>
      </c>
      <c r="Q439" s="100"/>
      <c r="R439" s="100"/>
      <c r="S439" s="8"/>
    </row>
    <row r="440" ht="14.25" customHeight="1">
      <c r="A440" s="100" t="s">
        <v>2186</v>
      </c>
      <c r="B440" s="100" t="s">
        <v>2339</v>
      </c>
      <c r="C440" s="100" t="s">
        <v>2350</v>
      </c>
      <c r="D440" s="100" t="s">
        <v>135</v>
      </c>
      <c r="E440" s="810">
        <v>0.8146</v>
      </c>
      <c r="F440" s="810">
        <v>0.7242</v>
      </c>
      <c r="G440" s="810">
        <v>0.7025</v>
      </c>
      <c r="H440" s="810">
        <v>0.7454</v>
      </c>
      <c r="I440" s="810">
        <v>0.7382</v>
      </c>
      <c r="J440" s="810">
        <v>0.7493</v>
      </c>
      <c r="K440" s="810">
        <v>0.7642</v>
      </c>
      <c r="L440" s="810">
        <v>0.6701</v>
      </c>
      <c r="M440" s="810">
        <v>0.6587</v>
      </c>
      <c r="N440" s="810">
        <v>0.7662</v>
      </c>
      <c r="O440" s="810" t="s">
        <v>2434</v>
      </c>
      <c r="P440" s="100" t="s">
        <v>2400</v>
      </c>
      <c r="Q440" s="100"/>
      <c r="R440" s="100"/>
      <c r="S440" s="8"/>
    </row>
    <row r="441" ht="14.25" customHeight="1">
      <c r="A441" s="100" t="s">
        <v>2186</v>
      </c>
      <c r="B441" s="100" t="s">
        <v>2339</v>
      </c>
      <c r="C441" s="100" t="s">
        <v>2354</v>
      </c>
      <c r="D441" s="100" t="s">
        <v>135</v>
      </c>
      <c r="E441" s="810">
        <v>4.9102</v>
      </c>
      <c r="F441" s="810">
        <v>4.6446</v>
      </c>
      <c r="G441" s="810">
        <v>4.4295</v>
      </c>
      <c r="H441" s="810">
        <v>4.4812</v>
      </c>
      <c r="I441" s="810">
        <v>4.6442</v>
      </c>
      <c r="J441" s="810">
        <v>4.5497</v>
      </c>
      <c r="K441" s="810">
        <v>4.7499</v>
      </c>
      <c r="L441" s="810">
        <v>4.8174</v>
      </c>
      <c r="M441" s="810">
        <v>4.948</v>
      </c>
      <c r="N441" s="810">
        <v>4.737</v>
      </c>
      <c r="O441" s="810" t="s">
        <v>2434</v>
      </c>
      <c r="P441" s="100" t="s">
        <v>2556</v>
      </c>
      <c r="Q441" s="100"/>
      <c r="R441" s="100"/>
      <c r="S441" s="8"/>
    </row>
    <row r="442" ht="14.25" customHeight="1">
      <c r="A442" s="100" t="s">
        <v>2186</v>
      </c>
      <c r="B442" s="100" t="s">
        <v>2339</v>
      </c>
      <c r="C442" s="100" t="s">
        <v>2356</v>
      </c>
      <c r="D442" s="100" t="s">
        <v>135</v>
      </c>
      <c r="E442" s="810">
        <v>57.1822</v>
      </c>
      <c r="F442" s="810">
        <v>57.467</v>
      </c>
      <c r="G442" s="810">
        <v>57.5116</v>
      </c>
      <c r="H442" s="810">
        <v>56.1163</v>
      </c>
      <c r="I442" s="810">
        <v>53.8432</v>
      </c>
      <c r="J442" s="810">
        <v>56.9358</v>
      </c>
      <c r="K442" s="810">
        <v>57.9643</v>
      </c>
      <c r="L442" s="810">
        <v>56.8661</v>
      </c>
      <c r="M442" s="810">
        <v>59.0891</v>
      </c>
      <c r="N442" s="810">
        <v>56.8244</v>
      </c>
      <c r="O442" s="810" t="s">
        <v>2434</v>
      </c>
      <c r="P442" s="100" t="s">
        <v>2546</v>
      </c>
      <c r="Q442" s="100"/>
      <c r="R442" s="100"/>
      <c r="S442" s="8"/>
    </row>
    <row r="443" ht="14.25" customHeight="1">
      <c r="A443" s="100" t="s">
        <v>2186</v>
      </c>
      <c r="B443" s="100" t="s">
        <v>2339</v>
      </c>
      <c r="C443" s="100" t="s">
        <v>2344</v>
      </c>
      <c r="D443" s="100" t="s">
        <v>135</v>
      </c>
      <c r="E443" s="810">
        <v>58.067</v>
      </c>
      <c r="F443" s="810">
        <v>57.163</v>
      </c>
      <c r="G443" s="810">
        <v>57.8798</v>
      </c>
      <c r="H443" s="810">
        <v>57.4552</v>
      </c>
      <c r="I443" s="810">
        <v>58.1762</v>
      </c>
      <c r="J443" s="810">
        <v>57.8612</v>
      </c>
      <c r="K443" s="810">
        <v>56.7478</v>
      </c>
      <c r="L443" s="810">
        <v>59.2479</v>
      </c>
      <c r="M443" s="810">
        <v>59.1449</v>
      </c>
      <c r="N443" s="810">
        <v>58.4111</v>
      </c>
      <c r="O443" s="810" t="s">
        <v>2434</v>
      </c>
      <c r="P443" s="100" t="s">
        <v>2634</v>
      </c>
      <c r="Q443" s="100"/>
      <c r="R443" s="100"/>
      <c r="S443" s="8"/>
    </row>
    <row r="444" ht="14.25" customHeight="1">
      <c r="A444" s="100" t="s">
        <v>2186</v>
      </c>
      <c r="B444" s="100" t="s">
        <v>2339</v>
      </c>
      <c r="C444" s="100" t="s">
        <v>2362</v>
      </c>
      <c r="D444" s="100" t="s">
        <v>135</v>
      </c>
      <c r="E444" s="810">
        <v>6.7498</v>
      </c>
      <c r="F444" s="810">
        <v>6.9235</v>
      </c>
      <c r="G444" s="810">
        <v>6.2881</v>
      </c>
      <c r="H444" s="810">
        <v>5.4686</v>
      </c>
      <c r="I444" s="810">
        <v>6.0786</v>
      </c>
      <c r="J444" s="810">
        <v>6.0811</v>
      </c>
      <c r="K444" s="810">
        <v>5.1764</v>
      </c>
      <c r="L444" s="810">
        <v>4.9252</v>
      </c>
      <c r="M444" s="810">
        <v>5.3197</v>
      </c>
      <c r="N444" s="810">
        <v>5.2972</v>
      </c>
      <c r="O444" s="810" t="s">
        <v>2434</v>
      </c>
      <c r="P444" s="100" t="s">
        <v>2622</v>
      </c>
      <c r="Q444" s="100"/>
      <c r="R444" s="100"/>
      <c r="S444" s="8"/>
    </row>
    <row r="445" ht="14.25" customHeight="1">
      <c r="A445" s="100" t="s">
        <v>2186</v>
      </c>
      <c r="B445" s="100" t="s">
        <v>2339</v>
      </c>
      <c r="C445" s="100" t="s">
        <v>2367</v>
      </c>
      <c r="D445" s="100" t="s">
        <v>135</v>
      </c>
      <c r="E445" s="810">
        <v>4.7879</v>
      </c>
      <c r="F445" s="810">
        <v>4.8426</v>
      </c>
      <c r="G445" s="810">
        <v>5.4668</v>
      </c>
      <c r="H445" s="810">
        <v>6.4018</v>
      </c>
      <c r="I445" s="810">
        <v>6.5831</v>
      </c>
      <c r="J445" s="810">
        <v>6.8111</v>
      </c>
      <c r="K445" s="810">
        <v>6.833</v>
      </c>
      <c r="L445" s="810">
        <v>7.1914</v>
      </c>
      <c r="M445" s="810">
        <v>7.6654</v>
      </c>
      <c r="N445" s="810">
        <v>7.7233</v>
      </c>
      <c r="O445" s="810" t="s">
        <v>2434</v>
      </c>
      <c r="P445" s="100" t="s">
        <v>2546</v>
      </c>
      <c r="Q445" s="100"/>
      <c r="R445" s="100"/>
      <c r="S445" s="8"/>
    </row>
    <row r="446" ht="14.25" customHeight="1">
      <c r="A446" s="100" t="s">
        <v>2186</v>
      </c>
      <c r="B446" s="100" t="s">
        <v>2339</v>
      </c>
      <c r="C446" s="100" t="s">
        <v>2369</v>
      </c>
      <c r="D446" s="100" t="s">
        <v>135</v>
      </c>
      <c r="E446" s="810">
        <v>5.0657</v>
      </c>
      <c r="F446" s="810">
        <v>4.8115</v>
      </c>
      <c r="G446" s="810">
        <v>5.0319</v>
      </c>
      <c r="H446" s="810">
        <v>5.0235</v>
      </c>
      <c r="I446" s="810">
        <v>5.3747</v>
      </c>
      <c r="J446" s="810">
        <v>5.2737</v>
      </c>
      <c r="K446" s="810">
        <v>5.6075</v>
      </c>
      <c r="L446" s="810">
        <v>5.8664</v>
      </c>
      <c r="M446" s="810">
        <v>6.1792</v>
      </c>
      <c r="N446" s="810">
        <v>6.0173</v>
      </c>
      <c r="O446" s="810" t="s">
        <v>2434</v>
      </c>
      <c r="P446" s="100" t="s">
        <v>2623</v>
      </c>
      <c r="Q446" s="100"/>
      <c r="R446" s="100"/>
      <c r="S446" s="8"/>
    </row>
    <row r="447" ht="14.25" customHeight="1">
      <c r="A447" s="100" t="s">
        <v>2186</v>
      </c>
      <c r="B447" s="100" t="s">
        <v>2339</v>
      </c>
      <c r="C447" s="100" t="s">
        <v>2374</v>
      </c>
      <c r="D447" s="100" t="s">
        <v>135</v>
      </c>
      <c r="E447" s="810">
        <v>32.2962</v>
      </c>
      <c r="F447" s="810">
        <v>31.6927</v>
      </c>
      <c r="G447" s="810">
        <v>31.1237</v>
      </c>
      <c r="H447" s="810">
        <v>30.8969</v>
      </c>
      <c r="I447" s="810">
        <v>31.8273</v>
      </c>
      <c r="J447" s="810">
        <v>31.4855</v>
      </c>
      <c r="K447" s="810">
        <v>32.8376</v>
      </c>
      <c r="L447" s="810">
        <v>33.1756</v>
      </c>
      <c r="M447" s="810">
        <v>32.5617</v>
      </c>
      <c r="N447" s="810">
        <v>32.4139</v>
      </c>
      <c r="O447" s="810" t="s">
        <v>2434</v>
      </c>
      <c r="P447" s="100" t="s">
        <v>2624</v>
      </c>
      <c r="Q447" s="100"/>
      <c r="R447" s="100"/>
      <c r="S447" s="8"/>
    </row>
    <row r="448" ht="14.25" customHeight="1">
      <c r="A448" s="100" t="s">
        <v>2186</v>
      </c>
      <c r="B448" s="100" t="s">
        <v>2339</v>
      </c>
      <c r="C448" s="100" t="s">
        <v>2386</v>
      </c>
      <c r="D448" s="100" t="s">
        <v>135</v>
      </c>
      <c r="E448" s="810">
        <v>1.0806</v>
      </c>
      <c r="F448" s="810">
        <v>1.0223</v>
      </c>
      <c r="G448" s="810">
        <v>1.0618</v>
      </c>
      <c r="H448" s="810">
        <v>1.0862</v>
      </c>
      <c r="I448" s="810">
        <v>1.0187</v>
      </c>
      <c r="J448" s="810">
        <v>0.8921</v>
      </c>
      <c r="K448" s="810">
        <v>0.9165</v>
      </c>
      <c r="L448" s="810">
        <v>0.8947</v>
      </c>
      <c r="M448" s="810">
        <v>0.9767</v>
      </c>
      <c r="N448" s="810">
        <v>0.9056</v>
      </c>
      <c r="O448" s="810" t="s">
        <v>2434</v>
      </c>
      <c r="P448" s="100" t="s">
        <v>2625</v>
      </c>
      <c r="Q448" s="100"/>
      <c r="R448" s="100"/>
      <c r="S448" s="8"/>
    </row>
    <row r="449" ht="14.25" customHeight="1">
      <c r="A449" s="100" t="s">
        <v>2186</v>
      </c>
      <c r="B449" s="100" t="s">
        <v>2339</v>
      </c>
      <c r="C449" s="100" t="s">
        <v>2378</v>
      </c>
      <c r="D449" s="100" t="s">
        <v>135</v>
      </c>
      <c r="E449" s="810">
        <v>1.9997</v>
      </c>
      <c r="F449" s="810">
        <v>2.1386</v>
      </c>
      <c r="G449" s="810">
        <v>2.1793</v>
      </c>
      <c r="H449" s="810">
        <v>2.2164</v>
      </c>
      <c r="I449" s="810">
        <v>2.1552</v>
      </c>
      <c r="J449" s="810">
        <v>2.1507</v>
      </c>
      <c r="K449" s="810">
        <v>2.2162</v>
      </c>
      <c r="L449" s="810">
        <v>2.262</v>
      </c>
      <c r="M449" s="810">
        <v>2.2486</v>
      </c>
      <c r="N449" s="810">
        <v>2.0942</v>
      </c>
      <c r="O449" s="810" t="s">
        <v>2434</v>
      </c>
      <c r="P449" s="100" t="s">
        <v>2567</v>
      </c>
      <c r="Q449" s="100"/>
      <c r="R449" s="100"/>
      <c r="S449" s="8"/>
    </row>
    <row r="450" ht="14.25" customHeight="1">
      <c r="A450" s="100" t="s">
        <v>2186</v>
      </c>
      <c r="B450" s="100" t="s">
        <v>2339</v>
      </c>
      <c r="C450" s="100" t="s">
        <v>2383</v>
      </c>
      <c r="D450" s="100" t="s">
        <v>135</v>
      </c>
      <c r="E450" s="810">
        <v>0.2558</v>
      </c>
      <c r="F450" s="810">
        <v>0.2558</v>
      </c>
      <c r="G450" s="810">
        <v>0.2326</v>
      </c>
      <c r="H450" s="810">
        <v>0.2093</v>
      </c>
      <c r="I450" s="810">
        <v>0.2907</v>
      </c>
      <c r="J450" s="810">
        <v>0.2442</v>
      </c>
      <c r="K450" s="810">
        <v>0.2674</v>
      </c>
      <c r="L450" s="810">
        <v>0.2558</v>
      </c>
      <c r="M450" s="810">
        <v>0.186</v>
      </c>
      <c r="N450" s="810">
        <v>0.186</v>
      </c>
      <c r="O450" s="810" t="s">
        <v>2434</v>
      </c>
      <c r="P450" s="100" t="s">
        <v>2523</v>
      </c>
      <c r="Q450" s="100"/>
      <c r="R450" s="100"/>
      <c r="S450" s="8"/>
    </row>
    <row r="451" ht="14.25" customHeight="1">
      <c r="A451" s="100" t="s">
        <v>2186</v>
      </c>
      <c r="B451" s="100" t="s">
        <v>2339</v>
      </c>
      <c r="C451" s="100" t="s">
        <v>2389</v>
      </c>
      <c r="D451" s="100" t="s">
        <v>135</v>
      </c>
      <c r="E451" s="810">
        <v>0.059</v>
      </c>
      <c r="F451" s="810">
        <v>0.059</v>
      </c>
      <c r="G451" s="810">
        <v>0.058</v>
      </c>
      <c r="H451" s="810">
        <v>0.057</v>
      </c>
      <c r="I451" s="810">
        <v>0.06</v>
      </c>
      <c r="J451" s="810">
        <v>0.062</v>
      </c>
      <c r="K451" s="810">
        <v>0.06</v>
      </c>
      <c r="L451" s="810">
        <v>0.0686</v>
      </c>
      <c r="M451" s="810">
        <v>0.0725</v>
      </c>
      <c r="N451" s="810">
        <v>0.075</v>
      </c>
      <c r="O451" s="810" t="s">
        <v>2434</v>
      </c>
      <c r="P451" s="100" t="s">
        <v>2549</v>
      </c>
      <c r="Q451" s="100"/>
      <c r="R451" s="100"/>
      <c r="S451" s="8"/>
    </row>
    <row r="452" ht="14.25" customHeight="1">
      <c r="A452" s="100" t="s">
        <v>2186</v>
      </c>
      <c r="B452" s="100" t="s">
        <v>2339</v>
      </c>
      <c r="C452" s="100" t="s">
        <v>2391</v>
      </c>
      <c r="D452" s="100" t="s">
        <v>135</v>
      </c>
      <c r="E452" s="810">
        <v>22.0421</v>
      </c>
      <c r="F452" s="810">
        <v>23.1057</v>
      </c>
      <c r="G452" s="810">
        <v>22.1103</v>
      </c>
      <c r="H452" s="810">
        <v>21.7992</v>
      </c>
      <c r="I452" s="810">
        <v>23.1546</v>
      </c>
      <c r="J452" s="810">
        <v>22.1412</v>
      </c>
      <c r="K452" s="810">
        <v>22.6519</v>
      </c>
      <c r="L452" s="810">
        <v>23.2341</v>
      </c>
      <c r="M452" s="810">
        <v>23.5836</v>
      </c>
      <c r="N452" s="810">
        <v>23.2693</v>
      </c>
      <c r="O452" s="810" t="s">
        <v>2434</v>
      </c>
      <c r="P452" s="100" t="s">
        <v>2546</v>
      </c>
      <c r="Q452" s="100"/>
      <c r="R452" s="100"/>
      <c r="S452" s="8"/>
    </row>
    <row r="453" ht="14.25" customHeight="1">
      <c r="A453" s="100" t="s">
        <v>2186</v>
      </c>
      <c r="B453" s="100" t="s">
        <v>2339</v>
      </c>
      <c r="C453" s="100" t="s">
        <v>2393</v>
      </c>
      <c r="D453" s="100" t="s">
        <v>135</v>
      </c>
      <c r="E453" s="810">
        <v>20.9232</v>
      </c>
      <c r="F453" s="810">
        <v>20.8116</v>
      </c>
      <c r="G453" s="810">
        <v>21.8509</v>
      </c>
      <c r="H453" s="810">
        <v>21.6807</v>
      </c>
      <c r="I453" s="810">
        <v>21.77</v>
      </c>
      <c r="J453" s="810">
        <v>21.7757</v>
      </c>
      <c r="K453" s="810">
        <v>22.9498</v>
      </c>
      <c r="L453" s="810">
        <v>24.1046</v>
      </c>
      <c r="M453" s="810">
        <v>26.3654</v>
      </c>
      <c r="N453" s="810">
        <v>26.0214</v>
      </c>
      <c r="O453" s="810" t="s">
        <v>2434</v>
      </c>
      <c r="P453" s="100" t="s">
        <v>2526</v>
      </c>
      <c r="Q453" s="100"/>
      <c r="R453" s="100"/>
      <c r="S453" s="8"/>
    </row>
    <row r="454" ht="14.25" customHeight="1">
      <c r="A454" s="100" t="s">
        <v>2186</v>
      </c>
      <c r="B454" s="100" t="s">
        <v>2339</v>
      </c>
      <c r="C454" s="100" t="s">
        <v>2395</v>
      </c>
      <c r="D454" s="100" t="s">
        <v>135</v>
      </c>
      <c r="E454" s="810">
        <v>6.386</v>
      </c>
      <c r="F454" s="810">
        <v>5.3785</v>
      </c>
      <c r="G454" s="810">
        <v>5.0683</v>
      </c>
      <c r="H454" s="810">
        <v>5.1903</v>
      </c>
      <c r="I454" s="810">
        <v>5.0888</v>
      </c>
      <c r="J454" s="810">
        <v>5.334</v>
      </c>
      <c r="K454" s="810">
        <v>5.3509</v>
      </c>
      <c r="L454" s="810">
        <v>5.4337</v>
      </c>
      <c r="M454" s="810">
        <v>5.3596</v>
      </c>
      <c r="N454" s="810">
        <v>5.4023</v>
      </c>
      <c r="O454" s="810" t="s">
        <v>2434</v>
      </c>
      <c r="P454" s="100" t="s">
        <v>2626</v>
      </c>
      <c r="Q454" s="100"/>
      <c r="R454" s="100"/>
      <c r="S454" s="8"/>
    </row>
    <row r="455" ht="14.25" customHeight="1">
      <c r="A455" s="100" t="s">
        <v>2186</v>
      </c>
      <c r="B455" s="100" t="s">
        <v>2339</v>
      </c>
      <c r="C455" s="100" t="s">
        <v>2397</v>
      </c>
      <c r="D455" s="100" t="s">
        <v>135</v>
      </c>
      <c r="E455" s="810">
        <v>6.5219</v>
      </c>
      <c r="F455" s="810">
        <v>6.593</v>
      </c>
      <c r="G455" s="810">
        <v>6.593</v>
      </c>
      <c r="H455" s="810">
        <v>6.2558</v>
      </c>
      <c r="I455" s="810">
        <v>6.5581</v>
      </c>
      <c r="J455" s="810">
        <v>6.5684</v>
      </c>
      <c r="K455" s="810">
        <v>6.6744</v>
      </c>
      <c r="L455" s="810">
        <v>6.7558</v>
      </c>
      <c r="M455" s="810">
        <v>6.5581</v>
      </c>
      <c r="N455" s="810">
        <v>6.6279</v>
      </c>
      <c r="O455" s="810" t="s">
        <v>2434</v>
      </c>
      <c r="P455" s="100" t="s">
        <v>2528</v>
      </c>
      <c r="Q455" s="100"/>
      <c r="R455" s="100"/>
      <c r="S455" s="8"/>
    </row>
    <row r="456" ht="14.25" customHeight="1">
      <c r="A456" s="100" t="s">
        <v>2186</v>
      </c>
      <c r="B456" s="100" t="s">
        <v>2339</v>
      </c>
      <c r="C456" s="100" t="s">
        <v>2411</v>
      </c>
      <c r="D456" s="100" t="s">
        <v>135</v>
      </c>
      <c r="E456" s="810">
        <v>1.4002</v>
      </c>
      <c r="F456" s="810">
        <v>1.4055</v>
      </c>
      <c r="G456" s="810">
        <v>1.6408</v>
      </c>
      <c r="H456" s="810">
        <v>1.5873</v>
      </c>
      <c r="I456" s="810">
        <v>1.57</v>
      </c>
      <c r="J456" s="810">
        <v>1.5426</v>
      </c>
      <c r="K456" s="810">
        <v>1.5953</v>
      </c>
      <c r="L456" s="810">
        <v>1.6428</v>
      </c>
      <c r="M456" s="810">
        <v>1.7111</v>
      </c>
      <c r="N456" s="810">
        <v>1.8272</v>
      </c>
      <c r="O456" s="810" t="s">
        <v>2434</v>
      </c>
      <c r="P456" s="100" t="s">
        <v>2546</v>
      </c>
      <c r="Q456" s="100"/>
      <c r="R456" s="100"/>
      <c r="S456" s="8"/>
    </row>
    <row r="457" ht="14.25" customHeight="1">
      <c r="A457" s="100" t="s">
        <v>2186</v>
      </c>
      <c r="B457" s="100" t="s">
        <v>2339</v>
      </c>
      <c r="C457" s="100" t="s">
        <v>2406</v>
      </c>
      <c r="D457" s="100" t="s">
        <v>135</v>
      </c>
      <c r="E457" s="810">
        <v>0.8388</v>
      </c>
      <c r="F457" s="810">
        <v>0.7893</v>
      </c>
      <c r="G457" s="810">
        <v>0.7162</v>
      </c>
      <c r="H457" s="810">
        <v>0.7275</v>
      </c>
      <c r="I457" s="810">
        <v>0.8462</v>
      </c>
      <c r="J457" s="810">
        <v>0.7792</v>
      </c>
      <c r="K457" s="810">
        <v>0.7522</v>
      </c>
      <c r="L457" s="810">
        <v>0.7728</v>
      </c>
      <c r="M457" s="810">
        <v>0.8543</v>
      </c>
      <c r="N457" s="810">
        <v>0.7918</v>
      </c>
      <c r="O457" s="810" t="s">
        <v>2434</v>
      </c>
      <c r="P457" s="100" t="s">
        <v>2628</v>
      </c>
      <c r="Q457" s="100"/>
      <c r="R457" s="100"/>
      <c r="S457" s="8"/>
    </row>
    <row r="458" ht="14.25" customHeight="1">
      <c r="A458" s="100" t="s">
        <v>2186</v>
      </c>
      <c r="B458" s="100" t="s">
        <v>2339</v>
      </c>
      <c r="C458" s="100" t="s">
        <v>2352</v>
      </c>
      <c r="D458" s="100" t="s">
        <v>135</v>
      </c>
      <c r="E458" s="810">
        <v>25.7082</v>
      </c>
      <c r="F458" s="810">
        <v>21.2347</v>
      </c>
      <c r="G458" s="810">
        <v>24.0765</v>
      </c>
      <c r="H458" s="810">
        <v>25.4026</v>
      </c>
      <c r="I458" s="810">
        <v>26.5157</v>
      </c>
      <c r="J458" s="810">
        <v>26.3738</v>
      </c>
      <c r="K458" s="810">
        <v>27.7393</v>
      </c>
      <c r="L458" s="810">
        <v>30.8532</v>
      </c>
      <c r="M458" s="810">
        <v>27.4662</v>
      </c>
      <c r="N458" s="810">
        <v>27.5308</v>
      </c>
      <c r="O458" s="810" t="s">
        <v>2434</v>
      </c>
      <c r="P458" s="100" t="s">
        <v>2629</v>
      </c>
      <c r="Q458" s="100"/>
      <c r="R458" s="100"/>
      <c r="S458" s="8"/>
    </row>
    <row r="459" ht="14.25" customHeight="1">
      <c r="A459" s="100" t="s">
        <v>2186</v>
      </c>
      <c r="B459" s="100" t="s">
        <v>2339</v>
      </c>
      <c r="C459" s="100" t="s">
        <v>2400</v>
      </c>
      <c r="D459" s="100" t="s">
        <v>135</v>
      </c>
      <c r="E459" s="810">
        <v>5.2331</v>
      </c>
      <c r="F459" s="810">
        <v>5.2768</v>
      </c>
      <c r="G459" s="810">
        <v>5.205</v>
      </c>
      <c r="H459" s="810">
        <v>5.0861</v>
      </c>
      <c r="I459" s="810">
        <v>5.1899</v>
      </c>
      <c r="J459" s="810">
        <v>4.7839</v>
      </c>
      <c r="K459" s="810">
        <v>4.9052</v>
      </c>
      <c r="L459" s="810">
        <v>4.8196</v>
      </c>
      <c r="M459" s="810">
        <v>4.6072</v>
      </c>
      <c r="N459" s="810">
        <v>4.6169</v>
      </c>
      <c r="O459" s="810" t="s">
        <v>2434</v>
      </c>
      <c r="P459" s="100" t="s">
        <v>2630</v>
      </c>
      <c r="Q459" s="100"/>
      <c r="R459" s="100"/>
      <c r="S459" s="8"/>
    </row>
    <row r="460" ht="14.25" customHeight="1">
      <c r="A460" s="100" t="s">
        <v>2186</v>
      </c>
      <c r="B460" s="100" t="s">
        <v>2339</v>
      </c>
      <c r="C460" s="100" t="s">
        <v>2416</v>
      </c>
      <c r="D460" s="100" t="s">
        <v>135</v>
      </c>
      <c r="E460" s="810">
        <v>4.6185</v>
      </c>
      <c r="F460" s="810">
        <v>4.3948</v>
      </c>
      <c r="G460" s="810">
        <v>4.2058</v>
      </c>
      <c r="H460" s="810">
        <v>4.2434</v>
      </c>
      <c r="I460" s="810">
        <v>4.187</v>
      </c>
      <c r="J460" s="810">
        <v>4.3533</v>
      </c>
      <c r="K460" s="810">
        <v>4.5225</v>
      </c>
      <c r="L460" s="810">
        <v>4.8243</v>
      </c>
      <c r="M460" s="810">
        <v>4.383</v>
      </c>
      <c r="N460" s="810">
        <v>4.4869</v>
      </c>
      <c r="O460" s="810">
        <v>4.9035</v>
      </c>
      <c r="P460" s="100" t="s">
        <v>2631</v>
      </c>
      <c r="Q460" s="100"/>
      <c r="R460" s="100"/>
      <c r="S460" s="8"/>
    </row>
    <row r="461" ht="14.25" customHeight="1">
      <c r="A461" s="100" t="s">
        <v>2186</v>
      </c>
      <c r="B461" s="100" t="s">
        <v>2339</v>
      </c>
      <c r="C461" s="100" t="s">
        <v>2423</v>
      </c>
      <c r="D461" s="100" t="s">
        <v>135</v>
      </c>
      <c r="E461" s="810">
        <v>5.2287</v>
      </c>
      <c r="F461" s="810">
        <v>4.9279</v>
      </c>
      <c r="G461" s="810">
        <v>4.7549</v>
      </c>
      <c r="H461" s="810">
        <v>5.5954</v>
      </c>
      <c r="I461" s="810">
        <v>5.4047</v>
      </c>
      <c r="J461" s="810">
        <v>5.0431</v>
      </c>
      <c r="K461" s="810">
        <v>4.6997</v>
      </c>
      <c r="L461" s="810">
        <v>4.959</v>
      </c>
      <c r="M461" s="810">
        <v>4.8423</v>
      </c>
      <c r="N461" s="810">
        <v>4.9254</v>
      </c>
      <c r="O461" s="810" t="s">
        <v>2434</v>
      </c>
      <c r="P461" s="100" t="s">
        <v>2632</v>
      </c>
      <c r="Q461" s="100"/>
      <c r="R461" s="100"/>
      <c r="S461" s="8"/>
    </row>
    <row r="462" ht="14.25" customHeight="1">
      <c r="A462" s="100" t="s">
        <v>2186</v>
      </c>
      <c r="B462" s="100" t="s">
        <v>2339</v>
      </c>
      <c r="C462" s="100" t="s">
        <v>2360</v>
      </c>
      <c r="D462" s="100" t="s">
        <v>135</v>
      </c>
      <c r="E462" s="810">
        <v>32.3488</v>
      </c>
      <c r="F462" s="810">
        <v>32.0689</v>
      </c>
      <c r="G462" s="810">
        <v>31.6747</v>
      </c>
      <c r="H462" s="810">
        <v>31.9155</v>
      </c>
      <c r="I462" s="810">
        <v>30.9614</v>
      </c>
      <c r="J462" s="810">
        <v>29.0052</v>
      </c>
      <c r="K462" s="810">
        <v>30.1098</v>
      </c>
      <c r="L462" s="810">
        <v>31.273</v>
      </c>
      <c r="M462" s="810">
        <v>33.7794</v>
      </c>
      <c r="N462" s="810">
        <v>32.2783</v>
      </c>
      <c r="O462" s="810" t="s">
        <v>2434</v>
      </c>
      <c r="P462" s="100" t="s">
        <v>2636</v>
      </c>
      <c r="Q462" s="100"/>
      <c r="R462" s="100"/>
      <c r="S462" s="8"/>
    </row>
    <row r="463" ht="14.25" customHeight="1">
      <c r="A463" s="100" t="s">
        <v>2186</v>
      </c>
      <c r="B463" s="100" t="s">
        <v>2339</v>
      </c>
      <c r="C463" s="100" t="s">
        <v>2535</v>
      </c>
      <c r="D463" s="100" t="s">
        <v>135</v>
      </c>
      <c r="E463" s="810">
        <v>6.3609</v>
      </c>
      <c r="F463" s="810">
        <v>7.7344</v>
      </c>
      <c r="G463" s="810">
        <v>7.8963</v>
      </c>
      <c r="H463" s="810">
        <v>7.3215</v>
      </c>
      <c r="I463" s="810">
        <v>5.9322</v>
      </c>
      <c r="J463" s="810">
        <v>5.6114</v>
      </c>
      <c r="K463" s="810">
        <v>4.5885</v>
      </c>
      <c r="L463" s="810">
        <v>4.9272</v>
      </c>
      <c r="M463" s="810">
        <v>4.597</v>
      </c>
      <c r="N463" s="810">
        <v>4.5744</v>
      </c>
      <c r="O463" s="810" t="s">
        <v>2434</v>
      </c>
      <c r="P463" s="100" t="s">
        <v>2546</v>
      </c>
      <c r="Q463" s="100"/>
      <c r="R463" s="100"/>
      <c r="S463" s="8"/>
    </row>
    <row r="464" ht="14.25" customHeight="1">
      <c r="A464" s="100" t="s">
        <v>2649</v>
      </c>
      <c r="B464" s="100" t="s">
        <v>2650</v>
      </c>
      <c r="C464" s="100" t="s">
        <v>2317</v>
      </c>
      <c r="D464" s="100" t="s">
        <v>135</v>
      </c>
      <c r="E464" s="810" t="str">
        <f t="shared" ref="E464:O464" si="44">#REF!</f>
        <v>#REF!</v>
      </c>
      <c r="F464" s="810" t="str">
        <f t="shared" si="44"/>
        <v>#REF!</v>
      </c>
      <c r="G464" s="810" t="str">
        <f t="shared" si="44"/>
        <v>#REF!</v>
      </c>
      <c r="H464" s="810" t="str">
        <f t="shared" si="44"/>
        <v>#REF!</v>
      </c>
      <c r="I464" s="810" t="str">
        <f t="shared" si="44"/>
        <v>#REF!</v>
      </c>
      <c r="J464" s="810" t="str">
        <f t="shared" si="44"/>
        <v>#REF!</v>
      </c>
      <c r="K464" s="810" t="str">
        <f t="shared" si="44"/>
        <v>#REF!</v>
      </c>
      <c r="L464" s="810" t="str">
        <f t="shared" si="44"/>
        <v>#REF!</v>
      </c>
      <c r="M464" s="810" t="str">
        <f t="shared" si="44"/>
        <v>#REF!</v>
      </c>
      <c r="N464" s="810" t="str">
        <f t="shared" si="44"/>
        <v>#REF!</v>
      </c>
      <c r="O464" s="810" t="str">
        <f t="shared" si="44"/>
        <v>#REF!</v>
      </c>
      <c r="P464" s="100" t="s">
        <v>2546</v>
      </c>
      <c r="Q464" s="100"/>
      <c r="R464" s="100"/>
      <c r="S464" s="8"/>
    </row>
    <row r="465" ht="14.25" customHeight="1">
      <c r="A465" s="100" t="s">
        <v>2649</v>
      </c>
      <c r="B465" s="100"/>
      <c r="C465" s="100" t="s">
        <v>2507</v>
      </c>
      <c r="D465" s="100"/>
      <c r="E465" s="810" t="str">
        <f t="shared" ref="E465:O465" si="45">#REF!</f>
        <v>#REF!</v>
      </c>
      <c r="F465" s="810" t="str">
        <f t="shared" si="45"/>
        <v>#REF!</v>
      </c>
      <c r="G465" s="810" t="str">
        <f t="shared" si="45"/>
        <v>#REF!</v>
      </c>
      <c r="H465" s="810" t="str">
        <f t="shared" si="45"/>
        <v>#REF!</v>
      </c>
      <c r="I465" s="810" t="str">
        <f t="shared" si="45"/>
        <v>#REF!</v>
      </c>
      <c r="J465" s="810" t="str">
        <f t="shared" si="45"/>
        <v>#REF!</v>
      </c>
      <c r="K465" s="810" t="str">
        <f t="shared" si="45"/>
        <v>#REF!</v>
      </c>
      <c r="L465" s="810" t="str">
        <f t="shared" si="45"/>
        <v>#REF!</v>
      </c>
      <c r="M465" s="810" t="str">
        <f t="shared" si="45"/>
        <v>#REF!</v>
      </c>
      <c r="N465" s="810" t="str">
        <f t="shared" si="45"/>
        <v>#REF!</v>
      </c>
      <c r="O465" s="810" t="str">
        <f t="shared" si="45"/>
        <v>#REF!</v>
      </c>
      <c r="P465" s="100"/>
      <c r="Q465" s="100"/>
      <c r="R465" s="100"/>
      <c r="S465" s="8"/>
    </row>
    <row r="466" ht="14.25" customHeight="1">
      <c r="A466" s="100" t="s">
        <v>2649</v>
      </c>
      <c r="B466" s="100" t="s">
        <v>2650</v>
      </c>
      <c r="C466" s="100" t="s">
        <v>2325</v>
      </c>
      <c r="D466" s="100" t="s">
        <v>135</v>
      </c>
      <c r="E466" s="810">
        <v>7.1324</v>
      </c>
      <c r="F466" s="810">
        <v>7.1299</v>
      </c>
      <c r="G466" s="810">
        <v>7.6629</v>
      </c>
      <c r="H466" s="810">
        <v>8.3122</v>
      </c>
      <c r="I466" s="810">
        <v>8.1503</v>
      </c>
      <c r="J466" s="810">
        <v>8.259</v>
      </c>
      <c r="K466" s="810">
        <v>7.6184</v>
      </c>
      <c r="L466" s="810">
        <v>7.691</v>
      </c>
      <c r="M466" s="810">
        <v>7.0423</v>
      </c>
      <c r="N466" s="810">
        <v>6.3212</v>
      </c>
      <c r="O466" s="810" t="s">
        <v>2434</v>
      </c>
      <c r="P466" s="100" t="s">
        <v>2616</v>
      </c>
      <c r="Q466" s="100"/>
      <c r="R466" s="100"/>
      <c r="S466" s="8"/>
    </row>
    <row r="467" ht="14.25" customHeight="1">
      <c r="A467" s="100" t="s">
        <v>2649</v>
      </c>
      <c r="B467" s="100" t="s">
        <v>2650</v>
      </c>
      <c r="C467" s="100" t="s">
        <v>2329</v>
      </c>
      <c r="D467" s="100" t="s">
        <v>135</v>
      </c>
      <c r="E467" s="810">
        <v>2.5079</v>
      </c>
      <c r="F467" s="810">
        <v>2.5148</v>
      </c>
      <c r="G467" s="810">
        <v>2.6023</v>
      </c>
      <c r="H467" s="810">
        <v>2.6287</v>
      </c>
      <c r="I467" s="810">
        <v>2.6462</v>
      </c>
      <c r="J467" s="810">
        <v>2.8</v>
      </c>
      <c r="K467" s="810">
        <v>2.8128</v>
      </c>
      <c r="L467" s="810">
        <v>2.7017</v>
      </c>
      <c r="M467" s="810">
        <v>2.8556</v>
      </c>
      <c r="N467" s="810">
        <v>2.6429</v>
      </c>
      <c r="O467" s="810" t="s">
        <v>2434</v>
      </c>
      <c r="P467" s="100" t="s">
        <v>2651</v>
      </c>
      <c r="Q467" s="100"/>
      <c r="R467" s="100"/>
      <c r="S467" s="8"/>
    </row>
    <row r="468" ht="14.25" customHeight="1">
      <c r="A468" s="100" t="s">
        <v>2649</v>
      </c>
      <c r="B468" s="100" t="s">
        <v>2650</v>
      </c>
      <c r="C468" s="100" t="s">
        <v>2333</v>
      </c>
      <c r="D468" s="100" t="s">
        <v>135</v>
      </c>
      <c r="E468" s="810">
        <v>0.6744</v>
      </c>
      <c r="F468" s="810">
        <v>0.6512</v>
      </c>
      <c r="G468" s="810">
        <v>0.6279</v>
      </c>
      <c r="H468" s="810">
        <v>0.6744</v>
      </c>
      <c r="I468" s="810">
        <v>0.7442</v>
      </c>
      <c r="J468" s="810">
        <v>0.7209</v>
      </c>
      <c r="K468" s="810">
        <v>0.6744</v>
      </c>
      <c r="L468" s="810">
        <v>0.724</v>
      </c>
      <c r="M468" s="810">
        <v>0.8236</v>
      </c>
      <c r="N468" s="810">
        <v>0.8103</v>
      </c>
      <c r="O468" s="810" t="s">
        <v>2434</v>
      </c>
      <c r="P468" s="100" t="s">
        <v>2537</v>
      </c>
      <c r="Q468" s="100"/>
      <c r="R468" s="100"/>
      <c r="S468" s="8"/>
    </row>
    <row r="469" ht="14.25" customHeight="1">
      <c r="A469" s="100" t="s">
        <v>2649</v>
      </c>
      <c r="B469" s="100" t="s">
        <v>2650</v>
      </c>
      <c r="C469" s="100" t="s">
        <v>2364</v>
      </c>
      <c r="D469" s="100" t="s">
        <v>135</v>
      </c>
      <c r="E469" s="810">
        <v>0.4114</v>
      </c>
      <c r="F469" s="810">
        <v>0.4625</v>
      </c>
      <c r="G469" s="810">
        <v>0.4162</v>
      </c>
      <c r="H469" s="810">
        <v>0.4239</v>
      </c>
      <c r="I469" s="810">
        <v>0.4044</v>
      </c>
      <c r="J469" s="810">
        <v>0.5501</v>
      </c>
      <c r="K469" s="810">
        <v>0.6514</v>
      </c>
      <c r="L469" s="810">
        <v>0.8748</v>
      </c>
      <c r="M469" s="810">
        <v>0.9065</v>
      </c>
      <c r="N469" s="810">
        <v>1.0425</v>
      </c>
      <c r="O469" s="810" t="s">
        <v>2434</v>
      </c>
      <c r="P469" s="100" t="s">
        <v>2617</v>
      </c>
      <c r="Q469" s="100"/>
      <c r="R469" s="100"/>
      <c r="S469" s="8"/>
    </row>
    <row r="470" ht="14.25" customHeight="1">
      <c r="A470" s="100" t="s">
        <v>2649</v>
      </c>
      <c r="B470" s="100" t="s">
        <v>2650</v>
      </c>
      <c r="C470" s="100" t="s">
        <v>2337</v>
      </c>
      <c r="D470" s="100" t="s">
        <v>135</v>
      </c>
      <c r="E470" s="810">
        <v>0.0167</v>
      </c>
      <c r="F470" s="810">
        <v>0.0112</v>
      </c>
      <c r="G470" s="810">
        <v>0.0078</v>
      </c>
      <c r="H470" s="810">
        <v>0.0079</v>
      </c>
      <c r="I470" s="810">
        <v>0.0053</v>
      </c>
      <c r="J470" s="810">
        <v>0.0056</v>
      </c>
      <c r="K470" s="810">
        <v>0.0059</v>
      </c>
      <c r="L470" s="810">
        <v>0.0079</v>
      </c>
      <c r="M470" s="810">
        <v>0.0086</v>
      </c>
      <c r="N470" s="810">
        <v>0.0083</v>
      </c>
      <c r="O470" s="810">
        <v>0.0072</v>
      </c>
      <c r="P470" s="100" t="s">
        <v>2512</v>
      </c>
      <c r="Q470" s="100"/>
      <c r="R470" s="100"/>
      <c r="S470" s="8"/>
    </row>
    <row r="471" ht="14.25" customHeight="1">
      <c r="A471" s="100" t="s">
        <v>2649</v>
      </c>
      <c r="B471" s="100" t="s">
        <v>2650</v>
      </c>
      <c r="C471" s="100" t="s">
        <v>2341</v>
      </c>
      <c r="D471" s="100" t="s">
        <v>135</v>
      </c>
      <c r="E471" s="810">
        <v>2.5106</v>
      </c>
      <c r="F471" s="810">
        <v>2.2057</v>
      </c>
      <c r="G471" s="810">
        <v>2.4524</v>
      </c>
      <c r="H471" s="810">
        <v>2.5112</v>
      </c>
      <c r="I471" s="810">
        <v>2.4399</v>
      </c>
      <c r="J471" s="810">
        <v>2.6699</v>
      </c>
      <c r="K471" s="810">
        <v>2.7512</v>
      </c>
      <c r="L471" s="810">
        <v>2.5324</v>
      </c>
      <c r="M471" s="810">
        <v>2.5322</v>
      </c>
      <c r="N471" s="810">
        <v>2.4342</v>
      </c>
      <c r="O471" s="810" t="s">
        <v>2434</v>
      </c>
      <c r="P471" s="100" t="s">
        <v>2546</v>
      </c>
      <c r="Q471" s="100"/>
      <c r="R471" s="100"/>
      <c r="S471" s="8"/>
    </row>
    <row r="472" ht="14.25" customHeight="1">
      <c r="A472" s="100" t="s">
        <v>2649</v>
      </c>
      <c r="B472" s="100" t="s">
        <v>2650</v>
      </c>
      <c r="C472" s="100" t="s">
        <v>2348</v>
      </c>
      <c r="D472" s="100" t="s">
        <v>135</v>
      </c>
      <c r="E472" s="810">
        <v>0.9515</v>
      </c>
      <c r="F472" s="810">
        <v>0.9104</v>
      </c>
      <c r="G472" s="810">
        <v>0.6949</v>
      </c>
      <c r="H472" s="810">
        <v>0.6389</v>
      </c>
      <c r="I472" s="810">
        <v>0.5005</v>
      </c>
      <c r="J472" s="810">
        <v>0.8453</v>
      </c>
      <c r="K472" s="810">
        <v>0.9784</v>
      </c>
      <c r="L472" s="810">
        <v>1.2013</v>
      </c>
      <c r="M472" s="810">
        <v>1.4908</v>
      </c>
      <c r="N472" s="810">
        <v>1.4812</v>
      </c>
      <c r="O472" s="810" t="s">
        <v>2434</v>
      </c>
      <c r="P472" s="100" t="s">
        <v>2549</v>
      </c>
      <c r="Q472" s="100"/>
      <c r="R472" s="100"/>
      <c r="S472" s="8"/>
    </row>
    <row r="473" ht="14.25" customHeight="1">
      <c r="A473" s="100" t="s">
        <v>2649</v>
      </c>
      <c r="B473" s="100" t="s">
        <v>2650</v>
      </c>
      <c r="C473" s="100" t="s">
        <v>2350</v>
      </c>
      <c r="D473" s="100" t="s">
        <v>135</v>
      </c>
      <c r="E473" s="810">
        <v>1.3352</v>
      </c>
      <c r="F473" s="810">
        <v>1.4284</v>
      </c>
      <c r="G473" s="810">
        <v>1.1512</v>
      </c>
      <c r="H473" s="810">
        <v>1.346</v>
      </c>
      <c r="I473" s="810">
        <v>1.4152</v>
      </c>
      <c r="J473" s="810">
        <v>1.5227</v>
      </c>
      <c r="K473" s="810">
        <v>0.6733</v>
      </c>
      <c r="L473" s="810">
        <v>0.7703</v>
      </c>
      <c r="M473" s="810">
        <v>0.774</v>
      </c>
      <c r="N473" s="810">
        <v>0.9043</v>
      </c>
      <c r="O473" s="810" t="s">
        <v>2434</v>
      </c>
      <c r="P473" s="100" t="s">
        <v>2400</v>
      </c>
      <c r="Q473" s="100"/>
      <c r="R473" s="100"/>
      <c r="S473" s="8"/>
    </row>
    <row r="474" ht="14.25" customHeight="1">
      <c r="A474" s="100" t="s">
        <v>2649</v>
      </c>
      <c r="B474" s="100" t="s">
        <v>2650</v>
      </c>
      <c r="C474" s="100" t="s">
        <v>2354</v>
      </c>
      <c r="D474" s="100" t="s">
        <v>135</v>
      </c>
      <c r="E474" s="810">
        <v>6.4789</v>
      </c>
      <c r="F474" s="810">
        <v>6.722</v>
      </c>
      <c r="G474" s="810">
        <v>6.4851</v>
      </c>
      <c r="H474" s="810">
        <v>6.3176</v>
      </c>
      <c r="I474" s="810">
        <v>5.9434</v>
      </c>
      <c r="J474" s="810">
        <v>5.685</v>
      </c>
      <c r="K474" s="810">
        <v>6.0156</v>
      </c>
      <c r="L474" s="810">
        <v>6.7776</v>
      </c>
      <c r="M474" s="810">
        <v>6.6668</v>
      </c>
      <c r="N474" s="810">
        <v>6.1656</v>
      </c>
      <c r="O474" s="810" t="s">
        <v>2434</v>
      </c>
      <c r="P474" s="100" t="s">
        <v>2556</v>
      </c>
      <c r="Q474" s="100"/>
      <c r="R474" s="100"/>
      <c r="S474" s="8"/>
    </row>
    <row r="475" ht="14.25" customHeight="1">
      <c r="A475" s="100" t="s">
        <v>2649</v>
      </c>
      <c r="B475" s="100" t="s">
        <v>2650</v>
      </c>
      <c r="C475" s="100" t="s">
        <v>2356</v>
      </c>
      <c r="D475" s="100" t="s">
        <v>135</v>
      </c>
      <c r="E475" s="810">
        <v>7.0023</v>
      </c>
      <c r="F475" s="810">
        <v>5.8523</v>
      </c>
      <c r="G475" s="810">
        <v>6.1023</v>
      </c>
      <c r="H475" s="810">
        <v>6.8407</v>
      </c>
      <c r="I475" s="810">
        <v>6.1058</v>
      </c>
      <c r="J475" s="810">
        <v>6.7198</v>
      </c>
      <c r="K475" s="810">
        <v>6.9326</v>
      </c>
      <c r="L475" s="810">
        <v>6.8826</v>
      </c>
      <c r="M475" s="810">
        <v>7.8323</v>
      </c>
      <c r="N475" s="810">
        <v>7.0698</v>
      </c>
      <c r="O475" s="810" t="s">
        <v>2434</v>
      </c>
      <c r="P475" s="100" t="s">
        <v>2546</v>
      </c>
      <c r="Q475" s="100"/>
      <c r="R475" s="100"/>
      <c r="S475" s="8"/>
    </row>
    <row r="476" ht="14.25" customHeight="1">
      <c r="A476" s="100" t="s">
        <v>2649</v>
      </c>
      <c r="B476" s="100" t="s">
        <v>2650</v>
      </c>
      <c r="C476" s="100" t="s">
        <v>2344</v>
      </c>
      <c r="D476" s="100" t="s">
        <v>135</v>
      </c>
      <c r="E476" s="810">
        <v>20.8049</v>
      </c>
      <c r="F476" s="810">
        <v>23.6149</v>
      </c>
      <c r="G476" s="810">
        <v>23.8275</v>
      </c>
      <c r="H476" s="810">
        <v>23.5211</v>
      </c>
      <c r="I476" s="810">
        <v>25.9165</v>
      </c>
      <c r="J476" s="810">
        <v>25.7964</v>
      </c>
      <c r="K476" s="810">
        <v>25.6125</v>
      </c>
      <c r="L476" s="810">
        <v>25.9408</v>
      </c>
      <c r="M476" s="810">
        <v>25.7303</v>
      </c>
      <c r="N476" s="810">
        <v>24.7386</v>
      </c>
      <c r="O476" s="810" t="s">
        <v>2434</v>
      </c>
      <c r="P476" s="100" t="s">
        <v>2648</v>
      </c>
      <c r="Q476" s="100"/>
      <c r="R476" s="100"/>
      <c r="S476" s="8"/>
    </row>
    <row r="477" ht="14.25" customHeight="1">
      <c r="A477" s="100" t="s">
        <v>2649</v>
      </c>
      <c r="B477" s="100" t="s">
        <v>2650</v>
      </c>
      <c r="C477" s="100" t="s">
        <v>2362</v>
      </c>
      <c r="D477" s="100" t="s">
        <v>135</v>
      </c>
      <c r="E477" s="810">
        <v>0.5607</v>
      </c>
      <c r="F477" s="810">
        <v>0.6351</v>
      </c>
      <c r="G477" s="810">
        <v>0.4362</v>
      </c>
      <c r="H477" s="810">
        <v>0.338</v>
      </c>
      <c r="I477" s="810">
        <v>0.2863</v>
      </c>
      <c r="J477" s="810">
        <v>0.3571</v>
      </c>
      <c r="K477" s="810">
        <v>0.2701</v>
      </c>
      <c r="L477" s="810">
        <v>0.3154</v>
      </c>
      <c r="M477" s="810">
        <v>0.4816</v>
      </c>
      <c r="N477" s="810">
        <v>0.3475</v>
      </c>
      <c r="O477" s="810" t="s">
        <v>2434</v>
      </c>
      <c r="P477" s="100" t="s">
        <v>2622</v>
      </c>
      <c r="Q477" s="100"/>
      <c r="R477" s="100"/>
      <c r="S477" s="8"/>
    </row>
    <row r="478" ht="14.25" customHeight="1">
      <c r="A478" s="100" t="s">
        <v>2649</v>
      </c>
      <c r="B478" s="100" t="s">
        <v>2650</v>
      </c>
      <c r="C478" s="100" t="s">
        <v>2367</v>
      </c>
      <c r="D478" s="100" t="s">
        <v>135</v>
      </c>
      <c r="E478" s="810">
        <v>0.4029</v>
      </c>
      <c r="F478" s="810">
        <v>0.4609</v>
      </c>
      <c r="G478" s="810">
        <v>0.5692</v>
      </c>
      <c r="H478" s="810">
        <v>0.7282</v>
      </c>
      <c r="I478" s="810">
        <v>0.6442</v>
      </c>
      <c r="J478" s="810">
        <v>0.7132</v>
      </c>
      <c r="K478" s="810">
        <v>0.8603</v>
      </c>
      <c r="L478" s="810">
        <v>1.1221</v>
      </c>
      <c r="M478" s="810">
        <v>1.4521</v>
      </c>
      <c r="N478" s="810">
        <v>1.4206</v>
      </c>
      <c r="O478" s="810" t="s">
        <v>2434</v>
      </c>
      <c r="P478" s="100" t="s">
        <v>2546</v>
      </c>
      <c r="Q478" s="100"/>
      <c r="R478" s="100"/>
      <c r="S478" s="8"/>
    </row>
    <row r="479" ht="14.25" customHeight="1">
      <c r="A479" s="100" t="s">
        <v>2649</v>
      </c>
      <c r="B479" s="100" t="s">
        <v>2650</v>
      </c>
      <c r="C479" s="100" t="s">
        <v>2369</v>
      </c>
      <c r="D479" s="100" t="s">
        <v>135</v>
      </c>
      <c r="E479" s="810">
        <v>1.452</v>
      </c>
      <c r="F479" s="810">
        <v>1.3601</v>
      </c>
      <c r="G479" s="810">
        <v>1.4056</v>
      </c>
      <c r="H479" s="810">
        <v>1.4492</v>
      </c>
      <c r="I479" s="810">
        <v>1.6157</v>
      </c>
      <c r="J479" s="810">
        <v>1.6285</v>
      </c>
      <c r="K479" s="810">
        <v>1.6022</v>
      </c>
      <c r="L479" s="810">
        <v>1.8185</v>
      </c>
      <c r="M479" s="810">
        <v>1.8577</v>
      </c>
      <c r="N479" s="810">
        <v>1.7916</v>
      </c>
      <c r="O479" s="810" t="s">
        <v>2434</v>
      </c>
      <c r="P479" s="100" t="s">
        <v>2623</v>
      </c>
      <c r="Q479" s="100"/>
      <c r="R479" s="100"/>
      <c r="S479" s="8"/>
    </row>
    <row r="480" ht="14.25" customHeight="1">
      <c r="A480" s="100" t="s">
        <v>2649</v>
      </c>
      <c r="B480" s="100" t="s">
        <v>2650</v>
      </c>
      <c r="C480" s="100" t="s">
        <v>2374</v>
      </c>
      <c r="D480" s="100"/>
      <c r="E480" s="810" t="s">
        <v>2434</v>
      </c>
      <c r="F480" s="810" t="s">
        <v>2434</v>
      </c>
      <c r="G480" s="810" t="s">
        <v>2434</v>
      </c>
      <c r="H480" s="810" t="s">
        <v>2434</v>
      </c>
      <c r="I480" s="810" t="s">
        <v>2434</v>
      </c>
      <c r="J480" s="810" t="s">
        <v>2434</v>
      </c>
      <c r="K480" s="810" t="s">
        <v>2434</v>
      </c>
      <c r="L480" s="810" t="s">
        <v>2434</v>
      </c>
      <c r="M480" s="810" t="s">
        <v>2434</v>
      </c>
      <c r="N480" s="810" t="s">
        <v>2434</v>
      </c>
      <c r="O480" s="810" t="s">
        <v>2434</v>
      </c>
      <c r="P480" s="100"/>
      <c r="Q480" s="100"/>
      <c r="R480" s="100"/>
      <c r="S480" s="8"/>
    </row>
    <row r="481" ht="14.25" customHeight="1">
      <c r="A481" s="100" t="s">
        <v>2649</v>
      </c>
      <c r="B481" s="100" t="s">
        <v>2650</v>
      </c>
      <c r="C481" s="100" t="s">
        <v>2386</v>
      </c>
      <c r="D481" s="100" t="s">
        <v>135</v>
      </c>
      <c r="E481" s="810">
        <v>3.3238</v>
      </c>
      <c r="F481" s="810">
        <v>3.7304</v>
      </c>
      <c r="G481" s="810">
        <v>4.0112</v>
      </c>
      <c r="H481" s="810">
        <v>4.1729</v>
      </c>
      <c r="I481" s="810">
        <v>4.8869</v>
      </c>
      <c r="J481" s="810">
        <v>5.2216</v>
      </c>
      <c r="K481" s="810">
        <v>5.1657</v>
      </c>
      <c r="L481" s="810">
        <v>5.4092</v>
      </c>
      <c r="M481" s="810">
        <v>5.6395</v>
      </c>
      <c r="N481" s="810">
        <v>5.671</v>
      </c>
      <c r="O481" s="810" t="s">
        <v>2434</v>
      </c>
      <c r="P481" s="100" t="s">
        <v>2625</v>
      </c>
      <c r="Q481" s="100"/>
      <c r="R481" s="100"/>
      <c r="S481" s="8"/>
    </row>
    <row r="482" ht="14.25" customHeight="1">
      <c r="A482" s="100" t="s">
        <v>2649</v>
      </c>
      <c r="B482" s="100" t="s">
        <v>2650</v>
      </c>
      <c r="C482" s="100" t="s">
        <v>2378</v>
      </c>
      <c r="D482" s="100" t="s">
        <v>135</v>
      </c>
      <c r="E482" s="810">
        <v>1.0834</v>
      </c>
      <c r="F482" s="810">
        <v>0.9267</v>
      </c>
      <c r="G482" s="810">
        <v>1.1204</v>
      </c>
      <c r="H482" s="810">
        <v>1.0809</v>
      </c>
      <c r="I482" s="810">
        <v>0.9705</v>
      </c>
      <c r="J482" s="810">
        <v>0.9861</v>
      </c>
      <c r="K482" s="810">
        <v>1.1961</v>
      </c>
      <c r="L482" s="810">
        <v>1.1098</v>
      </c>
      <c r="M482" s="810">
        <v>1.0513</v>
      </c>
      <c r="N482" s="810">
        <v>1.0337</v>
      </c>
      <c r="O482" s="810" t="s">
        <v>2434</v>
      </c>
      <c r="P482" s="100" t="s">
        <v>2567</v>
      </c>
      <c r="Q482" s="100"/>
      <c r="R482" s="100"/>
      <c r="S482" s="8"/>
    </row>
    <row r="483" ht="14.25" customHeight="1">
      <c r="A483" s="100" t="s">
        <v>2649</v>
      </c>
      <c r="B483" s="100" t="s">
        <v>2650</v>
      </c>
      <c r="C483" s="100" t="s">
        <v>2383</v>
      </c>
      <c r="D483" s="100" t="s">
        <v>135</v>
      </c>
      <c r="E483" s="810">
        <v>0.2558</v>
      </c>
      <c r="F483" s="810">
        <v>0.2442</v>
      </c>
      <c r="G483" s="810">
        <v>0.1977</v>
      </c>
      <c r="H483" s="810">
        <v>0.2093</v>
      </c>
      <c r="I483" s="810">
        <v>0.2674</v>
      </c>
      <c r="J483" s="810">
        <v>0.2442</v>
      </c>
      <c r="K483" s="810">
        <v>0.2442</v>
      </c>
      <c r="L483" s="810">
        <v>0.2093</v>
      </c>
      <c r="M483" s="810">
        <v>0.1279</v>
      </c>
      <c r="N483" s="810">
        <v>0.0349</v>
      </c>
      <c r="O483" s="810" t="s">
        <v>2434</v>
      </c>
      <c r="P483" s="100" t="s">
        <v>2523</v>
      </c>
      <c r="Q483" s="100"/>
      <c r="R483" s="100"/>
      <c r="S483" s="8"/>
    </row>
    <row r="484" ht="14.25" customHeight="1">
      <c r="A484" s="100" t="s">
        <v>2649</v>
      </c>
      <c r="B484" s="100" t="s">
        <v>2650</v>
      </c>
      <c r="C484" s="100" t="s">
        <v>2389</v>
      </c>
      <c r="D484" s="100" t="s">
        <v>135</v>
      </c>
      <c r="E484" s="810">
        <v>0.001</v>
      </c>
      <c r="F484" s="810">
        <v>0.001</v>
      </c>
      <c r="G484" s="810">
        <v>0.001</v>
      </c>
      <c r="H484" s="810">
        <v>0.001</v>
      </c>
      <c r="I484" s="810">
        <v>0.002</v>
      </c>
      <c r="J484" s="810">
        <v>0.002</v>
      </c>
      <c r="K484" s="810">
        <v>0.002</v>
      </c>
      <c r="L484" s="810">
        <v>0.0021</v>
      </c>
      <c r="M484" s="810">
        <v>0.0023</v>
      </c>
      <c r="N484" s="810">
        <v>0.0025</v>
      </c>
      <c r="O484" s="810" t="s">
        <v>2434</v>
      </c>
      <c r="P484" s="100" t="s">
        <v>2549</v>
      </c>
      <c r="Q484" s="100"/>
      <c r="R484" s="100"/>
      <c r="S484" s="8"/>
    </row>
    <row r="485" ht="14.25" customHeight="1">
      <c r="A485" s="100" t="s">
        <v>2649</v>
      </c>
      <c r="B485" s="100" t="s">
        <v>2650</v>
      </c>
      <c r="C485" s="100" t="s">
        <v>2391</v>
      </c>
      <c r="D485" s="100" t="s">
        <v>135</v>
      </c>
      <c r="E485" s="810">
        <v>0.7436</v>
      </c>
      <c r="F485" s="810">
        <v>0.7646</v>
      </c>
      <c r="G485" s="810">
        <v>0.7347</v>
      </c>
      <c r="H485" s="810">
        <v>0.6271</v>
      </c>
      <c r="I485" s="810">
        <v>0.7786</v>
      </c>
      <c r="J485" s="810">
        <v>0.8272</v>
      </c>
      <c r="K485" s="810">
        <v>0.8648</v>
      </c>
      <c r="L485" s="810">
        <v>0.5522</v>
      </c>
      <c r="M485" s="810">
        <v>0.6993</v>
      </c>
      <c r="N485" s="810">
        <v>0.6653</v>
      </c>
      <c r="O485" s="810" t="s">
        <v>2434</v>
      </c>
      <c r="P485" s="100" t="s">
        <v>2546</v>
      </c>
      <c r="Q485" s="100"/>
      <c r="R485" s="100"/>
      <c r="S485" s="8"/>
    </row>
    <row r="486" ht="14.25" customHeight="1">
      <c r="A486" s="100" t="s">
        <v>2649</v>
      </c>
      <c r="B486" s="100" t="s">
        <v>2650</v>
      </c>
      <c r="C486" s="100" t="s">
        <v>2393</v>
      </c>
      <c r="D486" s="100" t="s">
        <v>135</v>
      </c>
      <c r="E486" s="810">
        <v>8.8994</v>
      </c>
      <c r="F486" s="810">
        <v>9.0054</v>
      </c>
      <c r="G486" s="810">
        <v>8.9915</v>
      </c>
      <c r="H486" s="810">
        <v>9.987</v>
      </c>
      <c r="I486" s="810">
        <v>9.4821</v>
      </c>
      <c r="J486" s="810">
        <v>10.2808</v>
      </c>
      <c r="K486" s="810">
        <v>11.2619</v>
      </c>
      <c r="L486" s="810">
        <v>12.1804</v>
      </c>
      <c r="M486" s="810">
        <v>11.3465</v>
      </c>
      <c r="N486" s="810">
        <v>13.2268</v>
      </c>
      <c r="O486" s="810" t="s">
        <v>2434</v>
      </c>
      <c r="P486" s="100" t="s">
        <v>2526</v>
      </c>
      <c r="Q486" s="100"/>
      <c r="R486" s="100"/>
      <c r="S486" s="8"/>
    </row>
    <row r="487" ht="14.25" customHeight="1">
      <c r="A487" s="100" t="s">
        <v>2649</v>
      </c>
      <c r="B487" s="100" t="s">
        <v>2650</v>
      </c>
      <c r="C487" s="100" t="s">
        <v>2395</v>
      </c>
      <c r="D487" s="100" t="s">
        <v>135</v>
      </c>
      <c r="E487" s="810">
        <v>1.2833</v>
      </c>
      <c r="F487" s="810">
        <v>1.5451</v>
      </c>
      <c r="G487" s="810">
        <v>1.5053</v>
      </c>
      <c r="H487" s="810">
        <v>1.1387</v>
      </c>
      <c r="I487" s="810">
        <v>1.1411</v>
      </c>
      <c r="J487" s="810">
        <v>1.139</v>
      </c>
      <c r="K487" s="810">
        <v>1.3911</v>
      </c>
      <c r="L487" s="810">
        <v>1.3353</v>
      </c>
      <c r="M487" s="810">
        <v>1.4621</v>
      </c>
      <c r="N487" s="810">
        <v>1.578</v>
      </c>
      <c r="O487" s="810" t="s">
        <v>2434</v>
      </c>
      <c r="P487" s="100" t="s">
        <v>2626</v>
      </c>
      <c r="Q487" s="100"/>
      <c r="R487" s="100"/>
      <c r="S487" s="8"/>
    </row>
    <row r="488" ht="14.25" customHeight="1">
      <c r="A488" s="100" t="s">
        <v>2649</v>
      </c>
      <c r="B488" s="100" t="s">
        <v>2650</v>
      </c>
      <c r="C488" s="100" t="s">
        <v>2397</v>
      </c>
      <c r="D488" s="100" t="s">
        <v>135</v>
      </c>
      <c r="E488" s="810">
        <v>2.9463</v>
      </c>
      <c r="F488" s="810">
        <v>2.6395</v>
      </c>
      <c r="G488" s="810">
        <v>2.9535</v>
      </c>
      <c r="H488" s="810">
        <v>3.0349</v>
      </c>
      <c r="I488" s="810">
        <v>3.2093</v>
      </c>
      <c r="J488" s="810">
        <v>3.3094</v>
      </c>
      <c r="K488" s="810">
        <v>3.8721</v>
      </c>
      <c r="L488" s="810">
        <v>3.814</v>
      </c>
      <c r="M488" s="810">
        <v>3.8488</v>
      </c>
      <c r="N488" s="810">
        <v>3.4884</v>
      </c>
      <c r="O488" s="810" t="s">
        <v>2434</v>
      </c>
      <c r="P488" s="100" t="s">
        <v>2528</v>
      </c>
      <c r="Q488" s="100"/>
      <c r="R488" s="100"/>
      <c r="S488" s="8"/>
    </row>
    <row r="489" ht="14.25" customHeight="1">
      <c r="A489" s="100" t="s">
        <v>2649</v>
      </c>
      <c r="B489" s="100" t="s">
        <v>2650</v>
      </c>
      <c r="C489" s="100" t="s">
        <v>2411</v>
      </c>
      <c r="D489" s="100" t="s">
        <v>135</v>
      </c>
      <c r="E489" s="810">
        <v>0.7162</v>
      </c>
      <c r="F489" s="810">
        <v>0.7392</v>
      </c>
      <c r="G489" s="810">
        <v>0.7115</v>
      </c>
      <c r="H489" s="810">
        <v>0.4702</v>
      </c>
      <c r="I489" s="810">
        <v>0.4979</v>
      </c>
      <c r="J489" s="810">
        <v>0.6553</v>
      </c>
      <c r="K489" s="810">
        <v>0.4705</v>
      </c>
      <c r="L489" s="810">
        <v>0.552</v>
      </c>
      <c r="M489" s="810">
        <v>0.6487</v>
      </c>
      <c r="N489" s="810">
        <v>0.5859</v>
      </c>
      <c r="O489" s="810" t="s">
        <v>2434</v>
      </c>
      <c r="P489" s="100" t="s">
        <v>2546</v>
      </c>
      <c r="Q489" s="100"/>
      <c r="R489" s="100"/>
      <c r="S489" s="8"/>
    </row>
    <row r="490" ht="14.25" customHeight="1">
      <c r="A490" s="100" t="s">
        <v>2649</v>
      </c>
      <c r="B490" s="100" t="s">
        <v>2650</v>
      </c>
      <c r="C490" s="100" t="s">
        <v>2406</v>
      </c>
      <c r="D490" s="100" t="s">
        <v>135</v>
      </c>
      <c r="E490" s="810">
        <v>0.6507</v>
      </c>
      <c r="F490" s="810">
        <v>0.5289</v>
      </c>
      <c r="G490" s="810">
        <v>0.4417</v>
      </c>
      <c r="H490" s="810">
        <v>0.4499</v>
      </c>
      <c r="I490" s="810">
        <v>0.706</v>
      </c>
      <c r="J490" s="810">
        <v>0.6031</v>
      </c>
      <c r="K490" s="810">
        <v>0.5683</v>
      </c>
      <c r="L490" s="810">
        <v>0.546</v>
      </c>
      <c r="M490" s="810">
        <v>0.5508</v>
      </c>
      <c r="N490" s="810">
        <v>0.59</v>
      </c>
      <c r="O490" s="810" t="s">
        <v>2434</v>
      </c>
      <c r="P490" s="100" t="s">
        <v>2628</v>
      </c>
      <c r="Q490" s="100"/>
      <c r="R490" s="100"/>
      <c r="S490" s="8"/>
    </row>
    <row r="491" ht="14.25" customHeight="1">
      <c r="A491" s="100" t="s">
        <v>2649</v>
      </c>
      <c r="B491" s="100" t="s">
        <v>2650</v>
      </c>
      <c r="C491" s="100" t="s">
        <v>2352</v>
      </c>
      <c r="D491" s="100" t="s">
        <v>135</v>
      </c>
      <c r="E491" s="810">
        <v>5.8973</v>
      </c>
      <c r="F491" s="810">
        <v>6.3833</v>
      </c>
      <c r="G491" s="810">
        <v>5.7366</v>
      </c>
      <c r="H491" s="810">
        <v>5.8644</v>
      </c>
      <c r="I491" s="810">
        <v>5.4244</v>
      </c>
      <c r="J491" s="810">
        <v>5.258</v>
      </c>
      <c r="K491" s="810">
        <v>6.3475</v>
      </c>
      <c r="L491" s="810">
        <v>7.5071</v>
      </c>
      <c r="M491" s="810">
        <v>6.272</v>
      </c>
      <c r="N491" s="810">
        <v>6.9389</v>
      </c>
      <c r="O491" s="810" t="s">
        <v>2434</v>
      </c>
      <c r="P491" s="100" t="s">
        <v>2629</v>
      </c>
      <c r="Q491" s="100"/>
      <c r="R491" s="100"/>
      <c r="S491" s="8"/>
    </row>
    <row r="492" ht="14.25" customHeight="1">
      <c r="A492" s="100" t="s">
        <v>2649</v>
      </c>
      <c r="B492" s="100" t="s">
        <v>2650</v>
      </c>
      <c r="C492" s="100" t="s">
        <v>2400</v>
      </c>
      <c r="D492" s="100" t="s">
        <v>135</v>
      </c>
      <c r="E492" s="810">
        <v>8.1797</v>
      </c>
      <c r="F492" s="810">
        <v>7.7137</v>
      </c>
      <c r="G492" s="810">
        <v>7.8376</v>
      </c>
      <c r="H492" s="810">
        <v>7.4339</v>
      </c>
      <c r="I492" s="810">
        <v>7.7383</v>
      </c>
      <c r="J492" s="810">
        <v>7.6559</v>
      </c>
      <c r="K492" s="810">
        <v>7.5836</v>
      </c>
      <c r="L492" s="810">
        <v>7.8586</v>
      </c>
      <c r="M492" s="810">
        <v>7.2882</v>
      </c>
      <c r="N492" s="810">
        <v>7.7036</v>
      </c>
      <c r="O492" s="810" t="s">
        <v>2434</v>
      </c>
      <c r="P492" s="100" t="s">
        <v>2630</v>
      </c>
      <c r="Q492" s="100"/>
      <c r="R492" s="100"/>
      <c r="S492" s="8"/>
    </row>
    <row r="493" ht="14.25" customHeight="1">
      <c r="A493" s="100" t="s">
        <v>2649</v>
      </c>
      <c r="B493" s="100" t="s">
        <v>2650</v>
      </c>
      <c r="C493" s="100" t="s">
        <v>2416</v>
      </c>
      <c r="D493" s="100" t="s">
        <v>135</v>
      </c>
      <c r="E493" s="810">
        <v>1.7754</v>
      </c>
      <c r="F493" s="810">
        <v>1.908</v>
      </c>
      <c r="G493" s="810">
        <v>1.8545</v>
      </c>
      <c r="H493" s="810">
        <v>1.7387</v>
      </c>
      <c r="I493" s="810">
        <v>1.6764</v>
      </c>
      <c r="J493" s="810">
        <v>1.8229</v>
      </c>
      <c r="K493" s="810">
        <v>1.7635</v>
      </c>
      <c r="L493" s="810">
        <v>1.7002</v>
      </c>
      <c r="M493" s="810">
        <v>1.8436</v>
      </c>
      <c r="N493" s="810">
        <v>1.9851</v>
      </c>
      <c r="O493" s="810">
        <v>2.0366</v>
      </c>
      <c r="P493" s="100" t="s">
        <v>2631</v>
      </c>
      <c r="Q493" s="100"/>
      <c r="R493" s="100"/>
      <c r="S493" s="8"/>
    </row>
    <row r="494" ht="14.25" customHeight="1">
      <c r="A494" s="100" t="s">
        <v>2649</v>
      </c>
      <c r="B494" s="100" t="s">
        <v>2650</v>
      </c>
      <c r="C494" s="100" t="s">
        <v>2423</v>
      </c>
      <c r="D494" s="100"/>
      <c r="E494" s="810" t="s">
        <v>2434</v>
      </c>
      <c r="F494" s="810" t="s">
        <v>2434</v>
      </c>
      <c r="G494" s="810" t="s">
        <v>2434</v>
      </c>
      <c r="H494" s="810" t="s">
        <v>2434</v>
      </c>
      <c r="I494" s="810" t="s">
        <v>2434</v>
      </c>
      <c r="J494" s="810" t="s">
        <v>2434</v>
      </c>
      <c r="K494" s="810" t="s">
        <v>2434</v>
      </c>
      <c r="L494" s="810" t="s">
        <v>2434</v>
      </c>
      <c r="M494" s="810" t="s">
        <v>2434</v>
      </c>
      <c r="N494" s="810" t="s">
        <v>2434</v>
      </c>
      <c r="O494" s="810" t="s">
        <v>2434</v>
      </c>
      <c r="P494" s="100"/>
      <c r="Q494" s="100"/>
      <c r="R494" s="100"/>
      <c r="S494" s="8"/>
    </row>
    <row r="495" ht="14.25" customHeight="1">
      <c r="A495" s="100" t="s">
        <v>2649</v>
      </c>
      <c r="B495" s="100" t="s">
        <v>2650</v>
      </c>
      <c r="C495" s="100" t="s">
        <v>2360</v>
      </c>
      <c r="D495" s="100" t="s">
        <v>135</v>
      </c>
      <c r="E495" s="810">
        <v>4.4654</v>
      </c>
      <c r="F495" s="810">
        <v>4.1507</v>
      </c>
      <c r="G495" s="810">
        <v>4.1622</v>
      </c>
      <c r="H495" s="810">
        <v>4.0713</v>
      </c>
      <c r="I495" s="810">
        <v>3.9388</v>
      </c>
      <c r="J495" s="810">
        <v>3.9807</v>
      </c>
      <c r="K495" s="810">
        <v>4.2526</v>
      </c>
      <c r="L495" s="810">
        <v>4.2104</v>
      </c>
      <c r="M495" s="810">
        <v>4.335</v>
      </c>
      <c r="N495" s="810">
        <v>4.3047</v>
      </c>
      <c r="O495" s="810" t="s">
        <v>2434</v>
      </c>
      <c r="P495" s="100" t="s">
        <v>2636</v>
      </c>
      <c r="Q495" s="100"/>
      <c r="R495" s="100"/>
      <c r="S495" s="8"/>
    </row>
    <row r="496" ht="14.25" customHeight="1">
      <c r="A496" s="100" t="s">
        <v>2649</v>
      </c>
      <c r="B496" s="100" t="s">
        <v>2650</v>
      </c>
      <c r="C496" s="100" t="s">
        <v>2535</v>
      </c>
      <c r="D496" s="100" t="s">
        <v>135</v>
      </c>
      <c r="E496" s="810">
        <v>0.1906</v>
      </c>
      <c r="F496" s="810">
        <v>0.1852</v>
      </c>
      <c r="G496" s="810">
        <v>0.1388</v>
      </c>
      <c r="H496" s="810">
        <v>0.162</v>
      </c>
      <c r="I496" s="810">
        <v>0.194</v>
      </c>
      <c r="J496" s="810">
        <v>0.4926</v>
      </c>
      <c r="K496" s="810">
        <v>0.3264</v>
      </c>
      <c r="L496" s="810">
        <v>0.3733</v>
      </c>
      <c r="M496" s="810">
        <v>0.2191</v>
      </c>
      <c r="N496" s="810">
        <v>0.2506</v>
      </c>
      <c r="O496" s="810" t="s">
        <v>2434</v>
      </c>
      <c r="P496" s="100" t="s">
        <v>2546</v>
      </c>
      <c r="Q496" s="100"/>
      <c r="R496" s="100"/>
      <c r="S496" s="8"/>
    </row>
    <row r="497" ht="14.25" customHeight="1">
      <c r="A497" s="100" t="s">
        <v>2168</v>
      </c>
      <c r="B497" s="100" t="s">
        <v>2652</v>
      </c>
      <c r="C497" s="100" t="s">
        <v>2317</v>
      </c>
      <c r="D497" s="100" t="s">
        <v>135</v>
      </c>
      <c r="E497" s="810" t="str">
        <f t="shared" ref="E497:O497" si="46">#REF!</f>
        <v>#REF!</v>
      </c>
      <c r="F497" s="810" t="str">
        <f t="shared" si="46"/>
        <v>#REF!</v>
      </c>
      <c r="G497" s="810" t="str">
        <f t="shared" si="46"/>
        <v>#REF!</v>
      </c>
      <c r="H497" s="810" t="str">
        <f t="shared" si="46"/>
        <v>#REF!</v>
      </c>
      <c r="I497" s="810" t="str">
        <f t="shared" si="46"/>
        <v>#REF!</v>
      </c>
      <c r="J497" s="810" t="str">
        <f t="shared" si="46"/>
        <v>#REF!</v>
      </c>
      <c r="K497" s="810" t="str">
        <f t="shared" si="46"/>
        <v>#REF!</v>
      </c>
      <c r="L497" s="810" t="str">
        <f t="shared" si="46"/>
        <v>#REF!</v>
      </c>
      <c r="M497" s="810" t="str">
        <f t="shared" si="46"/>
        <v>#REF!</v>
      </c>
      <c r="N497" s="810" t="str">
        <f t="shared" si="46"/>
        <v>#REF!</v>
      </c>
      <c r="O497" s="810" t="str">
        <f t="shared" si="46"/>
        <v>#REF!</v>
      </c>
      <c r="P497" s="100" t="s">
        <v>2546</v>
      </c>
      <c r="Q497" s="100"/>
      <c r="R497" s="100"/>
      <c r="S497" s="8"/>
    </row>
    <row r="498" ht="14.25" customHeight="1">
      <c r="A498" s="100"/>
      <c r="B498" s="100"/>
      <c r="C498" s="100"/>
      <c r="D498" s="100"/>
      <c r="E498" s="810" t="str">
        <f t="shared" ref="E498:O498" si="47">#REF!</f>
        <v>#REF!</v>
      </c>
      <c r="F498" s="810" t="str">
        <f t="shared" si="47"/>
        <v>#REF!</v>
      </c>
      <c r="G498" s="810" t="str">
        <f t="shared" si="47"/>
        <v>#REF!</v>
      </c>
      <c r="H498" s="810" t="str">
        <f t="shared" si="47"/>
        <v>#REF!</v>
      </c>
      <c r="I498" s="810" t="str">
        <f t="shared" si="47"/>
        <v>#REF!</v>
      </c>
      <c r="J498" s="810" t="str">
        <f t="shared" si="47"/>
        <v>#REF!</v>
      </c>
      <c r="K498" s="810" t="str">
        <f t="shared" si="47"/>
        <v>#REF!</v>
      </c>
      <c r="L498" s="810" t="str">
        <f t="shared" si="47"/>
        <v>#REF!</v>
      </c>
      <c r="M498" s="810" t="str">
        <f t="shared" si="47"/>
        <v>#REF!</v>
      </c>
      <c r="N498" s="810" t="str">
        <f t="shared" si="47"/>
        <v>#REF!</v>
      </c>
      <c r="O498" s="810" t="str">
        <f t="shared" si="47"/>
        <v>#REF!</v>
      </c>
      <c r="P498" s="100"/>
      <c r="Q498" s="100"/>
      <c r="R498" s="100"/>
      <c r="S498" s="8"/>
    </row>
    <row r="499" ht="14.25" customHeight="1">
      <c r="A499" s="100" t="s">
        <v>2168</v>
      </c>
      <c r="B499" s="100" t="s">
        <v>2652</v>
      </c>
      <c r="C499" s="100" t="s">
        <v>2325</v>
      </c>
      <c r="D499" s="100" t="s">
        <v>135</v>
      </c>
      <c r="E499" s="810">
        <v>10.0064</v>
      </c>
      <c r="F499" s="810">
        <v>10.3332</v>
      </c>
      <c r="G499" s="810">
        <v>9.8537</v>
      </c>
      <c r="H499" s="810">
        <v>10.8149</v>
      </c>
      <c r="I499" s="810">
        <v>10.8307</v>
      </c>
      <c r="J499" s="810">
        <v>11.0819</v>
      </c>
      <c r="K499" s="810">
        <v>11.1204</v>
      </c>
      <c r="L499" s="810">
        <v>11.0323</v>
      </c>
      <c r="M499" s="810">
        <v>10.6411</v>
      </c>
      <c r="N499" s="810">
        <v>10.1004</v>
      </c>
      <c r="O499" s="810" t="s">
        <v>2434</v>
      </c>
      <c r="P499" s="100" t="s">
        <v>2616</v>
      </c>
      <c r="Q499" s="100"/>
      <c r="R499" s="100"/>
      <c r="S499" s="8"/>
    </row>
    <row r="500" ht="14.25" customHeight="1">
      <c r="A500" s="100" t="s">
        <v>2168</v>
      </c>
      <c r="B500" s="100" t="s">
        <v>2652</v>
      </c>
      <c r="C500" s="100" t="s">
        <v>2329</v>
      </c>
      <c r="D500" s="100" t="s">
        <v>135</v>
      </c>
      <c r="E500" s="810">
        <v>14.6235</v>
      </c>
      <c r="F500" s="810">
        <v>16.8322</v>
      </c>
      <c r="G500" s="810">
        <v>15.7966</v>
      </c>
      <c r="H500" s="810">
        <v>15.8424</v>
      </c>
      <c r="I500" s="810">
        <v>16.1662</v>
      </c>
      <c r="J500" s="810">
        <v>15.5914</v>
      </c>
      <c r="K500" s="810">
        <v>15.8496</v>
      </c>
      <c r="L500" s="810">
        <v>14.6154</v>
      </c>
      <c r="M500" s="810">
        <v>15.3414</v>
      </c>
      <c r="N500" s="810">
        <v>15.1475</v>
      </c>
      <c r="O500" s="810" t="s">
        <v>2434</v>
      </c>
      <c r="P500" s="100" t="s">
        <v>2549</v>
      </c>
      <c r="Q500" s="100"/>
      <c r="R500" s="100"/>
      <c r="S500" s="8"/>
    </row>
    <row r="501" ht="14.25" customHeight="1">
      <c r="A501" s="100" t="s">
        <v>2168</v>
      </c>
      <c r="B501" s="100" t="s">
        <v>2652</v>
      </c>
      <c r="C501" s="100" t="s">
        <v>2333</v>
      </c>
      <c r="D501" s="100" t="s">
        <v>135</v>
      </c>
      <c r="E501" s="810">
        <v>7.0465</v>
      </c>
      <c r="F501" s="810">
        <v>5.9302</v>
      </c>
      <c r="G501" s="810">
        <v>5.8488</v>
      </c>
      <c r="H501" s="810">
        <v>5.7442</v>
      </c>
      <c r="I501" s="810">
        <v>6.0581</v>
      </c>
      <c r="J501" s="810">
        <v>6.1977</v>
      </c>
      <c r="K501" s="810">
        <v>6.5</v>
      </c>
      <c r="L501" s="810">
        <v>6.6005</v>
      </c>
      <c r="M501" s="810">
        <v>6.6487</v>
      </c>
      <c r="N501" s="810">
        <v>6.5191</v>
      </c>
      <c r="O501" s="810" t="s">
        <v>2434</v>
      </c>
      <c r="P501" s="100" t="s">
        <v>2546</v>
      </c>
      <c r="Q501" s="100"/>
      <c r="R501" s="100"/>
      <c r="S501" s="8"/>
    </row>
    <row r="502" ht="14.25" customHeight="1">
      <c r="A502" s="100" t="s">
        <v>2168</v>
      </c>
      <c r="B502" s="100" t="s">
        <v>2652</v>
      </c>
      <c r="C502" s="100" t="s">
        <v>2364</v>
      </c>
      <c r="D502" s="100" t="s">
        <v>135</v>
      </c>
      <c r="E502" s="810">
        <v>4.5995</v>
      </c>
      <c r="F502" s="810">
        <v>4.0508</v>
      </c>
      <c r="G502" s="810">
        <v>3.761</v>
      </c>
      <c r="H502" s="810">
        <v>3.957</v>
      </c>
      <c r="I502" s="810">
        <v>3.8999</v>
      </c>
      <c r="J502" s="810">
        <v>3.8439</v>
      </c>
      <c r="K502" s="810">
        <v>3.7036</v>
      </c>
      <c r="L502" s="810">
        <v>4.3583</v>
      </c>
      <c r="M502" s="810">
        <v>4.3778</v>
      </c>
      <c r="N502" s="810">
        <v>4.2562</v>
      </c>
      <c r="O502" s="810" t="s">
        <v>2434</v>
      </c>
      <c r="P502" s="100" t="s">
        <v>2617</v>
      </c>
      <c r="Q502" s="100"/>
      <c r="R502" s="100"/>
      <c r="S502" s="8"/>
    </row>
    <row r="503" ht="14.25" customHeight="1">
      <c r="A503" s="100" t="s">
        <v>2168</v>
      </c>
      <c r="B503" s="100" t="s">
        <v>2652</v>
      </c>
      <c r="C503" s="100" t="s">
        <v>2337</v>
      </c>
      <c r="D503" s="100" t="s">
        <v>135</v>
      </c>
      <c r="E503" s="810">
        <v>1.8347</v>
      </c>
      <c r="F503" s="810">
        <v>1.3823</v>
      </c>
      <c r="G503" s="810">
        <v>1.0777</v>
      </c>
      <c r="H503" s="810">
        <v>1.3388</v>
      </c>
      <c r="I503" s="810">
        <v>1.6429</v>
      </c>
      <c r="J503" s="810">
        <v>1.4059</v>
      </c>
      <c r="K503" s="810">
        <v>1.2767</v>
      </c>
      <c r="L503" s="810">
        <v>1.3235</v>
      </c>
      <c r="M503" s="810">
        <v>1.1468</v>
      </c>
      <c r="N503" s="810">
        <v>1.0401</v>
      </c>
      <c r="O503" s="810">
        <v>1.0854</v>
      </c>
      <c r="P503" s="100" t="s">
        <v>2512</v>
      </c>
      <c r="Q503" s="100"/>
      <c r="R503" s="100"/>
      <c r="S503" s="8"/>
    </row>
    <row r="504" ht="14.25" customHeight="1">
      <c r="A504" s="100" t="s">
        <v>2168</v>
      </c>
      <c r="B504" s="100" t="s">
        <v>2652</v>
      </c>
      <c r="C504" s="100" t="s">
        <v>2341</v>
      </c>
      <c r="D504" s="100" t="s">
        <v>135</v>
      </c>
      <c r="E504" s="810">
        <v>12.3181</v>
      </c>
      <c r="F504" s="810">
        <v>12.1379</v>
      </c>
      <c r="G504" s="810">
        <v>12.0663</v>
      </c>
      <c r="H504" s="810">
        <v>11.0496</v>
      </c>
      <c r="I504" s="810">
        <v>11.6686</v>
      </c>
      <c r="J504" s="810">
        <v>12.2978</v>
      </c>
      <c r="K504" s="810">
        <v>13.0064</v>
      </c>
      <c r="L504" s="810">
        <v>13.3482</v>
      </c>
      <c r="M504" s="810">
        <v>13.6174</v>
      </c>
      <c r="N504" s="810">
        <v>13.5321</v>
      </c>
      <c r="O504" s="810" t="s">
        <v>2434</v>
      </c>
      <c r="P504" s="100" t="s">
        <v>2546</v>
      </c>
      <c r="Q504" s="100"/>
      <c r="R504" s="100"/>
      <c r="S504" s="8"/>
    </row>
    <row r="505" ht="14.25" customHeight="1">
      <c r="A505" s="100" t="s">
        <v>2168</v>
      </c>
      <c r="B505" s="100" t="s">
        <v>2652</v>
      </c>
      <c r="C505" s="100" t="s">
        <v>2348</v>
      </c>
      <c r="D505" s="100" t="s">
        <v>135</v>
      </c>
      <c r="E505" s="810">
        <v>4.529</v>
      </c>
      <c r="F505" s="810">
        <v>5.1578</v>
      </c>
      <c r="G505" s="810">
        <v>5.2863</v>
      </c>
      <c r="H505" s="810">
        <v>4.9981</v>
      </c>
      <c r="I505" s="810">
        <v>5.0623</v>
      </c>
      <c r="J505" s="810">
        <v>5.0349</v>
      </c>
      <c r="K505" s="810">
        <v>5.3328</v>
      </c>
      <c r="L505" s="810">
        <v>6.0036</v>
      </c>
      <c r="M505" s="810">
        <v>5.9202</v>
      </c>
      <c r="N505" s="810">
        <v>5.4926</v>
      </c>
      <c r="O505" s="810" t="s">
        <v>2434</v>
      </c>
      <c r="P505" s="100" t="s">
        <v>2549</v>
      </c>
      <c r="Q505" s="100"/>
      <c r="R505" s="100"/>
      <c r="S505" s="8"/>
    </row>
    <row r="506" ht="14.25" customHeight="1">
      <c r="A506" s="100" t="s">
        <v>2168</v>
      </c>
      <c r="B506" s="100" t="s">
        <v>2652</v>
      </c>
      <c r="C506" s="100" t="s">
        <v>2350</v>
      </c>
      <c r="D506" s="100" t="s">
        <v>135</v>
      </c>
      <c r="E506" s="810">
        <v>1.2905</v>
      </c>
      <c r="F506" s="810">
        <v>1.7376</v>
      </c>
      <c r="G506" s="810">
        <v>1.4562</v>
      </c>
      <c r="H506" s="810">
        <v>1.9794</v>
      </c>
      <c r="I506" s="810">
        <v>1.4934</v>
      </c>
      <c r="J506" s="810">
        <v>0.8535</v>
      </c>
      <c r="K506" s="810">
        <v>0.816</v>
      </c>
      <c r="L506" s="810">
        <v>0.9872</v>
      </c>
      <c r="M506" s="810">
        <v>1.2733</v>
      </c>
      <c r="N506" s="810">
        <v>1.1258</v>
      </c>
      <c r="O506" s="810" t="s">
        <v>2434</v>
      </c>
      <c r="P506" s="100" t="s">
        <v>2400</v>
      </c>
      <c r="Q506" s="100"/>
      <c r="R506" s="100"/>
      <c r="S506" s="8"/>
    </row>
    <row r="507" ht="14.25" customHeight="1">
      <c r="A507" s="100" t="s">
        <v>2168</v>
      </c>
      <c r="B507" s="100" t="s">
        <v>2652</v>
      </c>
      <c r="C507" s="100" t="s">
        <v>2354</v>
      </c>
      <c r="D507" s="100" t="s">
        <v>135</v>
      </c>
      <c r="E507" s="810">
        <v>3.7972</v>
      </c>
      <c r="F507" s="810">
        <v>4.0353</v>
      </c>
      <c r="G507" s="810">
        <v>3.7019</v>
      </c>
      <c r="H507" s="810">
        <v>3.6012</v>
      </c>
      <c r="I507" s="810">
        <v>3.4115</v>
      </c>
      <c r="J507" s="810">
        <v>3.3463</v>
      </c>
      <c r="K507" s="810">
        <v>3.5718</v>
      </c>
      <c r="L507" s="810">
        <v>3.7761</v>
      </c>
      <c r="M507" s="810">
        <v>3.639</v>
      </c>
      <c r="N507" s="810">
        <v>3.5005</v>
      </c>
      <c r="O507" s="810" t="s">
        <v>2434</v>
      </c>
      <c r="P507" s="100" t="s">
        <v>2556</v>
      </c>
      <c r="Q507" s="100"/>
      <c r="R507" s="100"/>
      <c r="S507" s="8"/>
    </row>
    <row r="508" ht="14.25" customHeight="1">
      <c r="A508" s="100" t="s">
        <v>2168</v>
      </c>
      <c r="B508" s="100" t="s">
        <v>2652</v>
      </c>
      <c r="C508" s="100" t="s">
        <v>2356</v>
      </c>
      <c r="D508" s="100" t="s">
        <v>135</v>
      </c>
      <c r="E508" s="810">
        <v>43.7568</v>
      </c>
      <c r="F508" s="810">
        <v>45.0617</v>
      </c>
      <c r="G508" s="810">
        <v>43.9891</v>
      </c>
      <c r="H508" s="810">
        <v>42.8016</v>
      </c>
      <c r="I508" s="810">
        <v>41.0313</v>
      </c>
      <c r="J508" s="810">
        <v>39.0465</v>
      </c>
      <c r="K508" s="810">
        <v>44.9016</v>
      </c>
      <c r="L508" s="810">
        <v>41.7851</v>
      </c>
      <c r="M508" s="810">
        <v>44.8416</v>
      </c>
      <c r="N508" s="810">
        <v>43.386</v>
      </c>
      <c r="O508" s="810" t="s">
        <v>2434</v>
      </c>
      <c r="P508" s="100" t="s">
        <v>2546</v>
      </c>
      <c r="Q508" s="100"/>
      <c r="R508" s="100"/>
      <c r="S508" s="8"/>
    </row>
    <row r="509" ht="14.25" customHeight="1">
      <c r="A509" s="100" t="s">
        <v>2168</v>
      </c>
      <c r="B509" s="100" t="s">
        <v>2652</v>
      </c>
      <c r="C509" s="100" t="s">
        <v>2344</v>
      </c>
      <c r="D509" s="100" t="s">
        <v>135</v>
      </c>
      <c r="E509" s="810">
        <v>76.4442</v>
      </c>
      <c r="F509" s="810">
        <v>80.0044</v>
      </c>
      <c r="G509" s="810">
        <v>76.5709</v>
      </c>
      <c r="H509" s="810">
        <v>75.9574</v>
      </c>
      <c r="I509" s="810">
        <v>76.4326</v>
      </c>
      <c r="J509" s="810">
        <v>76.084</v>
      </c>
      <c r="K509" s="810">
        <v>79.4726</v>
      </c>
      <c r="L509" s="810">
        <v>78.868</v>
      </c>
      <c r="M509" s="810">
        <v>79.7631</v>
      </c>
      <c r="N509" s="810">
        <v>77.9098</v>
      </c>
      <c r="O509" s="810" t="s">
        <v>2434</v>
      </c>
      <c r="P509" s="100" t="s">
        <v>2634</v>
      </c>
      <c r="Q509" s="100"/>
      <c r="R509" s="100"/>
      <c r="S509" s="8"/>
    </row>
    <row r="510" ht="14.25" customHeight="1">
      <c r="A510" s="100" t="s">
        <v>2168</v>
      </c>
      <c r="B510" s="100" t="s">
        <v>2652</v>
      </c>
      <c r="C510" s="100" t="s">
        <v>2362</v>
      </c>
      <c r="D510" s="100" t="s">
        <v>135</v>
      </c>
      <c r="E510" s="810">
        <v>11.2662</v>
      </c>
      <c r="F510" s="810">
        <v>8.452</v>
      </c>
      <c r="G510" s="810">
        <v>7.9704</v>
      </c>
      <c r="H510" s="810">
        <v>8.4541</v>
      </c>
      <c r="I510" s="810">
        <v>8.8402</v>
      </c>
      <c r="J510" s="810">
        <v>8.5622</v>
      </c>
      <c r="K510" s="810">
        <v>9.0266</v>
      </c>
      <c r="L510" s="810">
        <v>7.9123</v>
      </c>
      <c r="M510" s="810">
        <v>7.553</v>
      </c>
      <c r="N510" s="810">
        <v>7.4617</v>
      </c>
      <c r="O510" s="810" t="s">
        <v>2434</v>
      </c>
      <c r="P510" s="100" t="s">
        <v>2622</v>
      </c>
      <c r="Q510" s="100"/>
      <c r="R510" s="100"/>
      <c r="S510" s="8"/>
    </row>
    <row r="511" ht="14.25" customHeight="1">
      <c r="A511" s="100" t="s">
        <v>2168</v>
      </c>
      <c r="B511" s="100" t="s">
        <v>2652</v>
      </c>
      <c r="C511" s="100" t="s">
        <v>2367</v>
      </c>
      <c r="D511" s="100" t="s">
        <v>135</v>
      </c>
      <c r="E511" s="810">
        <v>5.1628</v>
      </c>
      <c r="F511" s="810">
        <v>5.0806</v>
      </c>
      <c r="G511" s="810">
        <v>4.4248</v>
      </c>
      <c r="H511" s="810">
        <v>4.6496</v>
      </c>
      <c r="I511" s="810">
        <v>5.2432</v>
      </c>
      <c r="J511" s="810">
        <v>5.6788</v>
      </c>
      <c r="K511" s="810">
        <v>6.2737</v>
      </c>
      <c r="L511" s="810">
        <v>6.276</v>
      </c>
      <c r="M511" s="810">
        <v>6.6757</v>
      </c>
      <c r="N511" s="810">
        <v>7.0953</v>
      </c>
      <c r="O511" s="810" t="s">
        <v>2434</v>
      </c>
      <c r="P511" s="100" t="s">
        <v>2546</v>
      </c>
      <c r="Q511" s="100"/>
      <c r="R511" s="100"/>
      <c r="S511" s="8"/>
    </row>
    <row r="512" ht="14.25" customHeight="1">
      <c r="A512" s="100" t="s">
        <v>2168</v>
      </c>
      <c r="B512" s="100" t="s">
        <v>2652</v>
      </c>
      <c r="C512" s="100" t="s">
        <v>2369</v>
      </c>
      <c r="D512" s="100" t="s">
        <v>135</v>
      </c>
      <c r="E512" s="810">
        <v>2.9963</v>
      </c>
      <c r="F512" s="810">
        <v>2.8063</v>
      </c>
      <c r="G512" s="810">
        <v>3.1738</v>
      </c>
      <c r="H512" s="810">
        <v>3.1322</v>
      </c>
      <c r="I512" s="810">
        <v>4.0914</v>
      </c>
      <c r="J512" s="810">
        <v>4.3445</v>
      </c>
      <c r="K512" s="810">
        <v>4.61</v>
      </c>
      <c r="L512" s="810">
        <v>4.7054</v>
      </c>
      <c r="M512" s="810">
        <v>4.9353</v>
      </c>
      <c r="N512" s="810">
        <v>4.8193</v>
      </c>
      <c r="O512" s="810" t="s">
        <v>2434</v>
      </c>
      <c r="P512" s="100" t="s">
        <v>2623</v>
      </c>
      <c r="Q512" s="100"/>
      <c r="R512" s="100"/>
      <c r="S512" s="8"/>
    </row>
    <row r="513" ht="14.25" customHeight="1">
      <c r="A513" s="100" t="s">
        <v>2168</v>
      </c>
      <c r="B513" s="100" t="s">
        <v>2652</v>
      </c>
      <c r="C513" s="100" t="s">
        <v>2374</v>
      </c>
      <c r="D513" s="100" t="s">
        <v>135</v>
      </c>
      <c r="E513" s="810">
        <v>69.161</v>
      </c>
      <c r="F513" s="810">
        <v>67.926</v>
      </c>
      <c r="G513" s="810">
        <v>62.743</v>
      </c>
      <c r="H513" s="810">
        <v>57.955</v>
      </c>
      <c r="I513" s="810">
        <v>52.1715</v>
      </c>
      <c r="J513" s="810">
        <v>57.7981</v>
      </c>
      <c r="K513" s="810">
        <v>53.7435</v>
      </c>
      <c r="L513" s="810">
        <v>48.7568</v>
      </c>
      <c r="M513" s="810">
        <v>49.9877</v>
      </c>
      <c r="N513" s="810">
        <v>49.2673</v>
      </c>
      <c r="O513" s="810" t="s">
        <v>2434</v>
      </c>
      <c r="P513" s="100" t="s">
        <v>2624</v>
      </c>
      <c r="Q513" s="100"/>
      <c r="R513" s="100"/>
      <c r="S513" s="8"/>
    </row>
    <row r="514" ht="14.25" customHeight="1">
      <c r="A514" s="100" t="s">
        <v>2168</v>
      </c>
      <c r="B514" s="100" t="s">
        <v>2652</v>
      </c>
      <c r="C514" s="100" t="s">
        <v>2386</v>
      </c>
      <c r="D514" s="100" t="s">
        <v>135</v>
      </c>
      <c r="E514" s="810">
        <v>1.5611</v>
      </c>
      <c r="F514" s="810">
        <v>1.8169</v>
      </c>
      <c r="G514" s="810">
        <v>1.8644</v>
      </c>
      <c r="H514" s="810">
        <v>1.6872</v>
      </c>
      <c r="I514" s="810">
        <v>1.8283</v>
      </c>
      <c r="J514" s="810">
        <v>1.5614</v>
      </c>
      <c r="K514" s="810">
        <v>1.2764</v>
      </c>
      <c r="L514" s="810">
        <v>1.5185</v>
      </c>
      <c r="M514" s="810">
        <v>1.9767</v>
      </c>
      <c r="N514" s="810">
        <v>1.8874</v>
      </c>
      <c r="O514" s="810" t="s">
        <v>2434</v>
      </c>
      <c r="P514" s="100" t="s">
        <v>2625</v>
      </c>
      <c r="Q514" s="100"/>
      <c r="R514" s="100"/>
      <c r="S514" s="8"/>
    </row>
    <row r="515" ht="14.25" customHeight="1">
      <c r="A515" s="100" t="s">
        <v>2168</v>
      </c>
      <c r="B515" s="100" t="s">
        <v>2652</v>
      </c>
      <c r="C515" s="100" t="s">
        <v>2378</v>
      </c>
      <c r="D515" s="100" t="s">
        <v>135</v>
      </c>
      <c r="E515" s="810">
        <v>1.5416</v>
      </c>
      <c r="F515" s="810">
        <v>1.8387</v>
      </c>
      <c r="G515" s="810">
        <v>2.0495</v>
      </c>
      <c r="H515" s="810">
        <v>2.2493</v>
      </c>
      <c r="I515" s="810">
        <v>2.0384</v>
      </c>
      <c r="J515" s="810">
        <v>1.7184</v>
      </c>
      <c r="K515" s="810">
        <v>1.6533</v>
      </c>
      <c r="L515" s="810">
        <v>1.5661</v>
      </c>
      <c r="M515" s="810">
        <v>1.8128</v>
      </c>
      <c r="N515" s="810">
        <v>1.9093</v>
      </c>
      <c r="O515" s="810" t="s">
        <v>2434</v>
      </c>
      <c r="P515" s="100" t="s">
        <v>2567</v>
      </c>
      <c r="Q515" s="100"/>
      <c r="R515" s="100"/>
      <c r="S515" s="8"/>
    </row>
    <row r="516" ht="14.25" customHeight="1">
      <c r="A516" s="100" t="s">
        <v>2168</v>
      </c>
      <c r="B516" s="100" t="s">
        <v>2652</v>
      </c>
      <c r="C516" s="100" t="s">
        <v>2383</v>
      </c>
      <c r="D516" s="100" t="s">
        <v>135</v>
      </c>
      <c r="E516" s="810">
        <v>1.7907</v>
      </c>
      <c r="F516" s="810">
        <v>1.9302</v>
      </c>
      <c r="G516" s="810">
        <v>1.8721</v>
      </c>
      <c r="H516" s="810">
        <v>1.5814</v>
      </c>
      <c r="I516" s="810">
        <v>1.8372</v>
      </c>
      <c r="J516" s="810">
        <v>1.7093</v>
      </c>
      <c r="K516" s="810">
        <v>1.7674</v>
      </c>
      <c r="L516" s="810">
        <v>1.6628</v>
      </c>
      <c r="M516" s="810">
        <v>1.6395</v>
      </c>
      <c r="N516" s="810">
        <v>1.6628</v>
      </c>
      <c r="O516" s="810" t="s">
        <v>2434</v>
      </c>
      <c r="P516" s="100" t="s">
        <v>2523</v>
      </c>
      <c r="Q516" s="100"/>
      <c r="R516" s="100"/>
      <c r="S516" s="8"/>
    </row>
    <row r="517" ht="14.25" customHeight="1">
      <c r="A517" s="100" t="s">
        <v>2168</v>
      </c>
      <c r="B517" s="100" t="s">
        <v>2652</v>
      </c>
      <c r="C517" s="100" t="s">
        <v>2389</v>
      </c>
      <c r="D517" s="100" t="s">
        <v>135</v>
      </c>
      <c r="E517" s="810">
        <v>0.006</v>
      </c>
      <c r="F517" s="810">
        <v>0.006</v>
      </c>
      <c r="G517" s="810">
        <v>0.006</v>
      </c>
      <c r="H517" s="810">
        <v>0.006</v>
      </c>
      <c r="I517" s="810">
        <v>0.006</v>
      </c>
      <c r="J517" s="810">
        <v>0.007</v>
      </c>
      <c r="K517" s="810">
        <v>0.006</v>
      </c>
      <c r="L517" s="810">
        <v>0.0056</v>
      </c>
      <c r="M517" s="810">
        <v>0.0058</v>
      </c>
      <c r="N517" s="810">
        <v>0.0058</v>
      </c>
      <c r="O517" s="810" t="s">
        <v>2434</v>
      </c>
      <c r="P517" s="100" t="s">
        <v>2549</v>
      </c>
      <c r="Q517" s="100"/>
      <c r="R517" s="100"/>
      <c r="S517" s="8"/>
    </row>
    <row r="518" ht="14.25" customHeight="1">
      <c r="A518" s="100" t="s">
        <v>2168</v>
      </c>
      <c r="B518" s="100" t="s">
        <v>2652</v>
      </c>
      <c r="C518" s="100" t="s">
        <v>2391</v>
      </c>
      <c r="D518" s="100" t="s">
        <v>135</v>
      </c>
      <c r="E518" s="810">
        <v>8.3857</v>
      </c>
      <c r="F518" s="810">
        <v>7.3806</v>
      </c>
      <c r="G518" s="810">
        <v>6.8457</v>
      </c>
      <c r="H518" s="810">
        <v>6.3663</v>
      </c>
      <c r="I518" s="810">
        <v>6.4192</v>
      </c>
      <c r="J518" s="810">
        <v>6.6177</v>
      </c>
      <c r="K518" s="810">
        <v>6.9732</v>
      </c>
      <c r="L518" s="810">
        <v>6.9668</v>
      </c>
      <c r="M518" s="810">
        <v>7.414</v>
      </c>
      <c r="N518" s="810">
        <v>6.2901</v>
      </c>
      <c r="O518" s="810" t="s">
        <v>2434</v>
      </c>
      <c r="P518" s="100" t="s">
        <v>2546</v>
      </c>
      <c r="Q518" s="100"/>
      <c r="R518" s="100"/>
      <c r="S518" s="8"/>
    </row>
    <row r="519" ht="14.25" customHeight="1">
      <c r="A519" s="100" t="s">
        <v>2168</v>
      </c>
      <c r="B519" s="100" t="s">
        <v>2652</v>
      </c>
      <c r="C519" s="100" t="s">
        <v>2393</v>
      </c>
      <c r="D519" s="100" t="s">
        <v>135</v>
      </c>
      <c r="E519" s="810">
        <v>32.4054</v>
      </c>
      <c r="F519" s="810">
        <v>35.9322</v>
      </c>
      <c r="G519" s="810">
        <v>32.1896</v>
      </c>
      <c r="H519" s="810">
        <v>30.4662</v>
      </c>
      <c r="I519" s="810">
        <v>31.4866</v>
      </c>
      <c r="J519" s="810">
        <v>30.6741</v>
      </c>
      <c r="K519" s="810">
        <v>33.8363</v>
      </c>
      <c r="L519" s="810">
        <v>35.3636</v>
      </c>
      <c r="M519" s="810">
        <v>36.6687</v>
      </c>
      <c r="N519" s="810">
        <v>37.1713</v>
      </c>
      <c r="O519" s="810" t="s">
        <v>2434</v>
      </c>
      <c r="P519" s="100" t="s">
        <v>2526</v>
      </c>
      <c r="Q519" s="100"/>
      <c r="R519" s="100"/>
      <c r="S519" s="8"/>
    </row>
    <row r="520" ht="14.25" customHeight="1">
      <c r="A520" s="100" t="s">
        <v>2168</v>
      </c>
      <c r="B520" s="100" t="s">
        <v>2652</v>
      </c>
      <c r="C520" s="100" t="s">
        <v>2395</v>
      </c>
      <c r="D520" s="100" t="s">
        <v>135</v>
      </c>
      <c r="E520" s="810">
        <v>17.3698</v>
      </c>
      <c r="F520" s="810">
        <v>12.1891</v>
      </c>
      <c r="G520" s="810">
        <v>14.4552</v>
      </c>
      <c r="H520" s="810">
        <v>12.5666</v>
      </c>
      <c r="I520" s="810">
        <v>13.4388</v>
      </c>
      <c r="J520" s="810">
        <v>12.8012</v>
      </c>
      <c r="K520" s="810">
        <v>11.9648</v>
      </c>
      <c r="L520" s="810">
        <v>12.7618</v>
      </c>
      <c r="M520" s="810">
        <v>12.2691</v>
      </c>
      <c r="N520" s="810">
        <v>12.4044</v>
      </c>
      <c r="O520" s="810" t="s">
        <v>2434</v>
      </c>
      <c r="P520" s="100" t="s">
        <v>2626</v>
      </c>
      <c r="Q520" s="100"/>
      <c r="R520" s="100"/>
      <c r="S520" s="8"/>
    </row>
    <row r="521" ht="14.25" customHeight="1">
      <c r="A521" s="100" t="s">
        <v>2168</v>
      </c>
      <c r="B521" s="100" t="s">
        <v>2652</v>
      </c>
      <c r="C521" s="100" t="s">
        <v>2397</v>
      </c>
      <c r="D521" s="100" t="s">
        <v>135</v>
      </c>
      <c r="E521" s="810">
        <v>8.9053</v>
      </c>
      <c r="F521" s="810">
        <v>8.0814</v>
      </c>
      <c r="G521" s="810">
        <v>10.5</v>
      </c>
      <c r="H521" s="810">
        <v>9.2326</v>
      </c>
      <c r="I521" s="810">
        <v>9.9767</v>
      </c>
      <c r="J521" s="810">
        <v>11.0923</v>
      </c>
      <c r="K521" s="810">
        <v>11.6628</v>
      </c>
      <c r="L521" s="810">
        <v>11.8372</v>
      </c>
      <c r="M521" s="810">
        <v>12.7209</v>
      </c>
      <c r="N521" s="810">
        <v>13.2442</v>
      </c>
      <c r="O521" s="810" t="s">
        <v>2434</v>
      </c>
      <c r="P521" s="100" t="s">
        <v>2528</v>
      </c>
      <c r="Q521" s="100"/>
      <c r="R521" s="100"/>
      <c r="S521" s="8"/>
    </row>
    <row r="522" ht="14.25" customHeight="1">
      <c r="A522" s="100" t="s">
        <v>2168</v>
      </c>
      <c r="B522" s="100" t="s">
        <v>2652</v>
      </c>
      <c r="C522" s="100" t="s">
        <v>2411</v>
      </c>
      <c r="D522" s="100" t="s">
        <v>135</v>
      </c>
      <c r="E522" s="810">
        <v>4.3829</v>
      </c>
      <c r="F522" s="810">
        <v>4.6516</v>
      </c>
      <c r="G522" s="810">
        <v>3.9995</v>
      </c>
      <c r="H522" s="810">
        <v>4.5303</v>
      </c>
      <c r="I522" s="810">
        <v>4.9607</v>
      </c>
      <c r="J522" s="810">
        <v>5.0907</v>
      </c>
      <c r="K522" s="810">
        <v>5.3888</v>
      </c>
      <c r="L522" s="810">
        <v>5.4454</v>
      </c>
      <c r="M522" s="810">
        <v>4.8026</v>
      </c>
      <c r="N522" s="810">
        <v>5.177</v>
      </c>
      <c r="O522" s="810" t="s">
        <v>2434</v>
      </c>
      <c r="P522" s="100" t="s">
        <v>2546</v>
      </c>
      <c r="Q522" s="100"/>
      <c r="R522" s="100"/>
      <c r="S522" s="8"/>
    </row>
    <row r="523" ht="14.25" customHeight="1">
      <c r="A523" s="100" t="s">
        <v>2168</v>
      </c>
      <c r="B523" s="100" t="s">
        <v>2652</v>
      </c>
      <c r="C523" s="100" t="s">
        <v>2406</v>
      </c>
      <c r="D523" s="100" t="s">
        <v>135</v>
      </c>
      <c r="E523" s="810">
        <v>2.3078</v>
      </c>
      <c r="F523" s="810">
        <v>2.1797</v>
      </c>
      <c r="G523" s="810">
        <v>2.002</v>
      </c>
      <c r="H523" s="810">
        <v>2.0899</v>
      </c>
      <c r="I523" s="810">
        <v>2.1264</v>
      </c>
      <c r="J523" s="810">
        <v>2.0897</v>
      </c>
      <c r="K523" s="810">
        <v>2.0637</v>
      </c>
      <c r="L523" s="810">
        <v>2.2413</v>
      </c>
      <c r="M523" s="810">
        <v>2.3704</v>
      </c>
      <c r="N523" s="810">
        <v>2.1116</v>
      </c>
      <c r="O523" s="810" t="s">
        <v>2434</v>
      </c>
      <c r="P523" s="100" t="s">
        <v>2628</v>
      </c>
      <c r="Q523" s="100"/>
      <c r="R523" s="100"/>
      <c r="S523" s="8"/>
    </row>
    <row r="524" ht="14.25" customHeight="1">
      <c r="A524" s="100" t="s">
        <v>2168</v>
      </c>
      <c r="B524" s="100" t="s">
        <v>2652</v>
      </c>
      <c r="C524" s="100" t="s">
        <v>2352</v>
      </c>
      <c r="D524" s="100" t="s">
        <v>135</v>
      </c>
      <c r="E524" s="810">
        <v>53.2026</v>
      </c>
      <c r="F524" s="810">
        <v>54.3203</v>
      </c>
      <c r="G524" s="810">
        <v>44.0467</v>
      </c>
      <c r="H524" s="810">
        <v>38.8406</v>
      </c>
      <c r="I524" s="810">
        <v>38.1228</v>
      </c>
      <c r="J524" s="810">
        <v>38.7236</v>
      </c>
      <c r="K524" s="810">
        <v>38.2049</v>
      </c>
      <c r="L524" s="810">
        <v>40.8252</v>
      </c>
      <c r="M524" s="810">
        <v>47.6412</v>
      </c>
      <c r="N524" s="810">
        <v>46.7873</v>
      </c>
      <c r="O524" s="810" t="s">
        <v>2434</v>
      </c>
      <c r="P524" s="100" t="s">
        <v>2629</v>
      </c>
      <c r="Q524" s="100"/>
      <c r="R524" s="100"/>
      <c r="S524" s="8"/>
    </row>
    <row r="525" ht="14.25" customHeight="1">
      <c r="A525" s="100" t="s">
        <v>2168</v>
      </c>
      <c r="B525" s="100" t="s">
        <v>2652</v>
      </c>
      <c r="C525" s="100" t="s">
        <v>2400</v>
      </c>
      <c r="D525" s="100" t="s">
        <v>135</v>
      </c>
      <c r="E525" s="810">
        <v>5.7671</v>
      </c>
      <c r="F525" s="810">
        <v>5.9829</v>
      </c>
      <c r="G525" s="810">
        <v>5.8691</v>
      </c>
      <c r="H525" s="810">
        <v>4.9391</v>
      </c>
      <c r="I525" s="810">
        <v>4.8544</v>
      </c>
      <c r="J525" s="810">
        <v>5.0291</v>
      </c>
      <c r="K525" s="810">
        <v>5.2704</v>
      </c>
      <c r="L525" s="810">
        <v>5.6181</v>
      </c>
      <c r="M525" s="810">
        <v>5.7464</v>
      </c>
      <c r="N525" s="810">
        <v>5.2477</v>
      </c>
      <c r="O525" s="810" t="s">
        <v>2434</v>
      </c>
      <c r="P525" s="100" t="s">
        <v>2630</v>
      </c>
      <c r="Q525" s="100"/>
      <c r="R525" s="100"/>
      <c r="S525" s="8"/>
    </row>
    <row r="526" ht="14.25" customHeight="1">
      <c r="A526" s="100" t="s">
        <v>2168</v>
      </c>
      <c r="B526" s="100" t="s">
        <v>2652</v>
      </c>
      <c r="C526" s="100" t="s">
        <v>2416</v>
      </c>
      <c r="D526" s="100" t="s">
        <v>135</v>
      </c>
      <c r="E526" s="810">
        <v>3.8387</v>
      </c>
      <c r="F526" s="810">
        <v>4.1702</v>
      </c>
      <c r="G526" s="810">
        <v>4.0703</v>
      </c>
      <c r="H526" s="810">
        <v>4.1791</v>
      </c>
      <c r="I526" s="810">
        <v>3.7754</v>
      </c>
      <c r="J526" s="810">
        <v>3.8763</v>
      </c>
      <c r="K526" s="810">
        <v>3.9545</v>
      </c>
      <c r="L526" s="810">
        <v>4.1257</v>
      </c>
      <c r="M526" s="810">
        <v>4.2702</v>
      </c>
      <c r="N526" s="810">
        <v>4.1405</v>
      </c>
      <c r="O526" s="810">
        <v>3.8337</v>
      </c>
      <c r="P526" s="100" t="s">
        <v>2631</v>
      </c>
      <c r="Q526" s="100"/>
      <c r="R526" s="100"/>
      <c r="S526" s="8"/>
    </row>
    <row r="527" ht="14.25" customHeight="1">
      <c r="A527" s="100" t="s">
        <v>2168</v>
      </c>
      <c r="B527" s="100" t="s">
        <v>2652</v>
      </c>
      <c r="C527" s="100" t="s">
        <v>2423</v>
      </c>
      <c r="D527" s="100" t="s">
        <v>135</v>
      </c>
      <c r="E527" s="810">
        <v>5.6143</v>
      </c>
      <c r="F527" s="810">
        <v>5.661</v>
      </c>
      <c r="G527" s="810">
        <v>5.2668</v>
      </c>
      <c r="H527" s="810">
        <v>5.3207</v>
      </c>
      <c r="I527" s="810">
        <v>5.7121</v>
      </c>
      <c r="J527" s="810">
        <v>5.2411</v>
      </c>
      <c r="K527" s="810">
        <v>4.8757</v>
      </c>
      <c r="L527" s="810">
        <v>5.0388</v>
      </c>
      <c r="M527" s="810">
        <v>4.9161</v>
      </c>
      <c r="N527" s="810">
        <v>2.9389</v>
      </c>
      <c r="O527" s="810" t="s">
        <v>2434</v>
      </c>
      <c r="P527" s="100" t="s">
        <v>2632</v>
      </c>
      <c r="Q527" s="100"/>
      <c r="R527" s="100"/>
      <c r="S527" s="8"/>
    </row>
    <row r="528" ht="14.25" customHeight="1">
      <c r="A528" s="100" t="s">
        <v>2168</v>
      </c>
      <c r="B528" s="100" t="s">
        <v>2652</v>
      </c>
      <c r="C528" s="100" t="s">
        <v>2360</v>
      </c>
      <c r="D528" s="100" t="s">
        <v>135</v>
      </c>
      <c r="E528" s="810">
        <v>29.3116</v>
      </c>
      <c r="F528" s="810">
        <v>27.359</v>
      </c>
      <c r="G528" s="810">
        <v>26.6473</v>
      </c>
      <c r="H528" s="810">
        <v>28.4232</v>
      </c>
      <c r="I528" s="810">
        <v>27.3264</v>
      </c>
      <c r="J528" s="810">
        <v>31.2105</v>
      </c>
      <c r="K528" s="810">
        <v>30.4891</v>
      </c>
      <c r="L528" s="810">
        <v>29.3604</v>
      </c>
      <c r="M528" s="810">
        <v>29.0474</v>
      </c>
      <c r="N528" s="810">
        <v>28.3187</v>
      </c>
      <c r="O528" s="810" t="s">
        <v>2434</v>
      </c>
      <c r="P528" s="100" t="s">
        <v>2636</v>
      </c>
      <c r="Q528" s="100"/>
      <c r="R528" s="100"/>
      <c r="S528" s="8"/>
    </row>
    <row r="529" ht="14.25" customHeight="1">
      <c r="A529" s="100" t="s">
        <v>2168</v>
      </c>
      <c r="B529" s="100" t="s">
        <v>2652</v>
      </c>
      <c r="C529" s="100" t="s">
        <v>2535</v>
      </c>
      <c r="D529" s="100" t="s">
        <v>135</v>
      </c>
      <c r="E529" s="810">
        <v>6.3712</v>
      </c>
      <c r="F529" s="810">
        <v>4.8036</v>
      </c>
      <c r="G529" s="810">
        <v>4.1492</v>
      </c>
      <c r="H529" s="810">
        <v>2.9502</v>
      </c>
      <c r="I529" s="810">
        <v>3.2193</v>
      </c>
      <c r="J529" s="810">
        <v>4.1218</v>
      </c>
      <c r="K529" s="810">
        <v>4.6958</v>
      </c>
      <c r="L529" s="810">
        <v>4.3519</v>
      </c>
      <c r="M529" s="810">
        <v>5.6009</v>
      </c>
      <c r="N529" s="810">
        <v>4.6746</v>
      </c>
      <c r="O529" s="810" t="s">
        <v>2434</v>
      </c>
      <c r="P529" s="100" t="s">
        <v>2546</v>
      </c>
      <c r="Q529" s="100"/>
      <c r="R529" s="100"/>
      <c r="S529" s="8"/>
    </row>
    <row r="530" ht="14.25" customHeight="1">
      <c r="A530" s="195" t="s">
        <v>2182</v>
      </c>
      <c r="B530" s="195" t="s">
        <v>2343</v>
      </c>
      <c r="C530" s="195" t="s">
        <v>2317</v>
      </c>
      <c r="D530" s="195" t="s">
        <v>135</v>
      </c>
      <c r="E530" s="810" t="str">
        <f t="shared" ref="E530:M530" si="48">#REF!</f>
        <v>#REF!</v>
      </c>
      <c r="F530" s="810" t="str">
        <f t="shared" si="48"/>
        <v>#REF!</v>
      </c>
      <c r="G530" s="810" t="str">
        <f t="shared" si="48"/>
        <v>#REF!</v>
      </c>
      <c r="H530" s="810" t="str">
        <f t="shared" si="48"/>
        <v>#REF!</v>
      </c>
      <c r="I530" s="810" t="str">
        <f t="shared" si="48"/>
        <v>#REF!</v>
      </c>
      <c r="J530" s="810" t="str">
        <f t="shared" si="48"/>
        <v>#REF!</v>
      </c>
      <c r="K530" s="810" t="str">
        <f t="shared" si="48"/>
        <v>#REF!</v>
      </c>
      <c r="L530" s="810" t="str">
        <f t="shared" si="48"/>
        <v>#REF!</v>
      </c>
      <c r="M530" s="810" t="str">
        <f t="shared" si="48"/>
        <v>#REF!</v>
      </c>
      <c r="N530" s="817" t="str">
        <f>M530*(N531+N561)/(M531+M561)</f>
        <v>#REF!</v>
      </c>
      <c r="O530" s="810" t="str">
        <f>#REF!</f>
        <v>#REF!</v>
      </c>
      <c r="P530" s="810" t="s">
        <v>2653</v>
      </c>
      <c r="Q530" s="810"/>
      <c r="R530" s="100"/>
      <c r="S530" s="8"/>
    </row>
    <row r="531" ht="14.25" customHeight="1">
      <c r="A531" s="195" t="s">
        <v>2182</v>
      </c>
      <c r="B531" s="195"/>
      <c r="C531" s="195" t="s">
        <v>2507</v>
      </c>
      <c r="D531" s="195"/>
      <c r="E531" s="810" t="str">
        <f t="shared" ref="E531:O531" si="49">#REF!</f>
        <v>#REF!</v>
      </c>
      <c r="F531" s="810" t="str">
        <f t="shared" si="49"/>
        <v>#REF!</v>
      </c>
      <c r="G531" s="810" t="str">
        <f t="shared" si="49"/>
        <v>#REF!</v>
      </c>
      <c r="H531" s="810" t="str">
        <f t="shared" si="49"/>
        <v>#REF!</v>
      </c>
      <c r="I531" s="810" t="str">
        <f t="shared" si="49"/>
        <v>#REF!</v>
      </c>
      <c r="J531" s="810" t="str">
        <f t="shared" si="49"/>
        <v>#REF!</v>
      </c>
      <c r="K531" s="810" t="str">
        <f t="shared" si="49"/>
        <v>#REF!</v>
      </c>
      <c r="L531" s="810" t="str">
        <f t="shared" si="49"/>
        <v>#REF!</v>
      </c>
      <c r="M531" s="810" t="str">
        <f t="shared" si="49"/>
        <v>#REF!</v>
      </c>
      <c r="N531" s="810" t="str">
        <f t="shared" si="49"/>
        <v>#REF!</v>
      </c>
      <c r="O531" s="810" t="str">
        <f t="shared" si="49"/>
        <v>#REF!</v>
      </c>
      <c r="P531" s="810"/>
      <c r="Q531" s="810"/>
      <c r="R531" s="100"/>
      <c r="S531" s="8"/>
    </row>
    <row r="532" ht="14.25" customHeight="1">
      <c r="A532" s="195" t="s">
        <v>2182</v>
      </c>
      <c r="B532" s="195" t="s">
        <v>2343</v>
      </c>
      <c r="C532" s="195" t="s">
        <v>2325</v>
      </c>
      <c r="D532" s="195" t="s">
        <v>135</v>
      </c>
      <c r="E532" s="810">
        <v>2.0683</v>
      </c>
      <c r="F532" s="810">
        <v>2.2417</v>
      </c>
      <c r="G532" s="810">
        <v>2.2294</v>
      </c>
      <c r="H532" s="810">
        <v>2.3985</v>
      </c>
      <c r="I532" s="810">
        <v>2.3852</v>
      </c>
      <c r="J532" s="810">
        <v>2.3923</v>
      </c>
      <c r="K532" s="810">
        <v>2.5243</v>
      </c>
      <c r="L532" s="810">
        <v>2.5019</v>
      </c>
      <c r="M532" s="810">
        <v>2.7138</v>
      </c>
      <c r="N532" s="810">
        <v>2.5347</v>
      </c>
      <c r="O532" s="810" t="s">
        <v>2434</v>
      </c>
      <c r="P532" s="810" t="s">
        <v>2616</v>
      </c>
      <c r="Q532" s="810"/>
      <c r="R532" s="100"/>
      <c r="S532" s="8"/>
    </row>
    <row r="533" ht="14.25" customHeight="1">
      <c r="A533" s="195" t="s">
        <v>2182</v>
      </c>
      <c r="B533" s="195" t="s">
        <v>2343</v>
      </c>
      <c r="C533" s="195" t="s">
        <v>2329</v>
      </c>
      <c r="D533" s="195" t="s">
        <v>135</v>
      </c>
      <c r="E533" s="810">
        <v>3.428</v>
      </c>
      <c r="F533" s="810">
        <v>3.3483</v>
      </c>
      <c r="G533" s="810">
        <v>3.3622</v>
      </c>
      <c r="H533" s="810">
        <v>3.4521</v>
      </c>
      <c r="I533" s="810">
        <v>3.4135</v>
      </c>
      <c r="J533" s="810">
        <v>3.4216</v>
      </c>
      <c r="K533" s="810">
        <v>3.4069</v>
      </c>
      <c r="L533" s="810">
        <v>3.4824</v>
      </c>
      <c r="M533" s="810">
        <v>3.6202</v>
      </c>
      <c r="N533" s="810">
        <v>3.4813</v>
      </c>
      <c r="O533" s="810" t="s">
        <v>2434</v>
      </c>
      <c r="P533" s="810" t="s">
        <v>2549</v>
      </c>
      <c r="Q533" s="810"/>
      <c r="R533" s="100"/>
      <c r="S533" s="8"/>
    </row>
    <row r="534" ht="14.25" customHeight="1">
      <c r="A534" s="195" t="s">
        <v>2182</v>
      </c>
      <c r="B534" s="195" t="s">
        <v>2343</v>
      </c>
      <c r="C534" s="195" t="s">
        <v>2333</v>
      </c>
      <c r="D534" s="195" t="s">
        <v>135</v>
      </c>
      <c r="E534" s="810">
        <v>1.6163</v>
      </c>
      <c r="F534" s="810">
        <v>1.6744</v>
      </c>
      <c r="G534" s="810">
        <v>1.5465</v>
      </c>
      <c r="H534" s="810">
        <v>1.6977</v>
      </c>
      <c r="I534" s="810">
        <v>1.6977</v>
      </c>
      <c r="J534" s="810">
        <v>1.5465</v>
      </c>
      <c r="K534" s="810">
        <v>1.5116</v>
      </c>
      <c r="L534" s="810">
        <v>1.8886</v>
      </c>
      <c r="M534" s="810">
        <v>2.0639</v>
      </c>
      <c r="N534" s="810">
        <v>2.4629</v>
      </c>
      <c r="O534" s="810" t="s">
        <v>2434</v>
      </c>
      <c r="P534" s="810" t="s">
        <v>2653</v>
      </c>
      <c r="Q534" s="810"/>
      <c r="R534" s="100"/>
      <c r="S534" s="8"/>
    </row>
    <row r="535" ht="14.25" customHeight="1">
      <c r="A535" s="195" t="s">
        <v>2182</v>
      </c>
      <c r="B535" s="195" t="s">
        <v>2343</v>
      </c>
      <c r="C535" s="195" t="s">
        <v>2364</v>
      </c>
      <c r="D535" s="195" t="s">
        <v>135</v>
      </c>
      <c r="E535" s="810">
        <v>0.1323</v>
      </c>
      <c r="F535" s="810">
        <v>0.1625</v>
      </c>
      <c r="G535" s="810">
        <v>0.1748</v>
      </c>
      <c r="H535" s="810">
        <v>0.1754</v>
      </c>
      <c r="I535" s="810">
        <v>0.162</v>
      </c>
      <c r="J535" s="810">
        <v>0.0846</v>
      </c>
      <c r="K535" s="810">
        <v>0.0805</v>
      </c>
      <c r="L535" s="810">
        <v>0.1892</v>
      </c>
      <c r="M535" s="810">
        <v>0.229</v>
      </c>
      <c r="N535" s="810">
        <v>0.2367</v>
      </c>
      <c r="O535" s="810" t="s">
        <v>2434</v>
      </c>
      <c r="P535" s="810" t="s">
        <v>2617</v>
      </c>
      <c r="Q535" s="810"/>
      <c r="R535" s="100"/>
      <c r="S535" s="8"/>
    </row>
    <row r="536" ht="14.25" customHeight="1">
      <c r="A536" s="195" t="s">
        <v>2182</v>
      </c>
      <c r="B536" s="195" t="s">
        <v>2343</v>
      </c>
      <c r="C536" s="195" t="s">
        <v>2337</v>
      </c>
      <c r="D536" s="195" t="s">
        <v>135</v>
      </c>
      <c r="E536" s="810">
        <v>0.0</v>
      </c>
      <c r="F536" s="810">
        <v>0.0</v>
      </c>
      <c r="G536" s="810">
        <v>0.0</v>
      </c>
      <c r="H536" s="810">
        <v>0.0</v>
      </c>
      <c r="I536" s="810">
        <v>0.0</v>
      </c>
      <c r="J536" s="810">
        <v>0.0</v>
      </c>
      <c r="K536" s="810">
        <v>0.0</v>
      </c>
      <c r="L536" s="810">
        <v>0.0</v>
      </c>
      <c r="M536" s="810">
        <v>0.0</v>
      </c>
      <c r="N536" s="810">
        <v>0.0</v>
      </c>
      <c r="O536" s="810">
        <v>0.0</v>
      </c>
      <c r="P536" s="810" t="s">
        <v>2512</v>
      </c>
      <c r="Q536" s="810"/>
      <c r="R536" s="100"/>
      <c r="S536" s="8"/>
    </row>
    <row r="537" ht="14.25" customHeight="1">
      <c r="A537" s="195" t="s">
        <v>2182</v>
      </c>
      <c r="B537" s="195" t="s">
        <v>2343</v>
      </c>
      <c r="C537" s="195" t="s">
        <v>2341</v>
      </c>
      <c r="D537" s="195" t="s">
        <v>135</v>
      </c>
      <c r="E537" s="810">
        <v>0.7457</v>
      </c>
      <c r="F537" s="810">
        <v>0.7463</v>
      </c>
      <c r="G537" s="810">
        <v>0.7274</v>
      </c>
      <c r="H537" s="810">
        <v>0.8633</v>
      </c>
      <c r="I537" s="810">
        <v>0.7899</v>
      </c>
      <c r="J537" s="810">
        <v>0.8331</v>
      </c>
      <c r="K537" s="810">
        <v>0.9999</v>
      </c>
      <c r="L537" s="810">
        <v>1.1523</v>
      </c>
      <c r="M537" s="810">
        <v>1.0771</v>
      </c>
      <c r="N537" s="810">
        <v>1.049</v>
      </c>
      <c r="O537" s="810" t="s">
        <v>2434</v>
      </c>
      <c r="P537" s="810" t="s">
        <v>2653</v>
      </c>
      <c r="Q537" s="810"/>
      <c r="R537" s="100"/>
      <c r="S537" s="8"/>
    </row>
    <row r="538" ht="14.25" customHeight="1">
      <c r="A538" s="195" t="s">
        <v>2182</v>
      </c>
      <c r="B538" s="195" t="s">
        <v>2343</v>
      </c>
      <c r="C538" s="195" t="s">
        <v>2348</v>
      </c>
      <c r="D538" s="195" t="s">
        <v>135</v>
      </c>
      <c r="E538" s="810">
        <v>0.0768</v>
      </c>
      <c r="F538" s="810">
        <v>0.0</v>
      </c>
      <c r="G538" s="810">
        <v>0.0</v>
      </c>
      <c r="H538" s="810">
        <v>0.0</v>
      </c>
      <c r="I538" s="810">
        <v>0.0</v>
      </c>
      <c r="J538" s="810">
        <v>0.0</v>
      </c>
      <c r="K538" s="810">
        <v>0.0</v>
      </c>
      <c r="L538" s="810">
        <v>0.0</v>
      </c>
      <c r="M538" s="810">
        <v>0.0</v>
      </c>
      <c r="N538" s="810">
        <v>0.0</v>
      </c>
      <c r="O538" s="810" t="s">
        <v>2434</v>
      </c>
      <c r="P538" s="810" t="s">
        <v>2633</v>
      </c>
      <c r="Q538" s="810"/>
      <c r="R538" s="100"/>
      <c r="S538" s="8"/>
    </row>
    <row r="539" ht="14.25" customHeight="1">
      <c r="A539" s="195" t="s">
        <v>2182</v>
      </c>
      <c r="B539" s="195" t="s">
        <v>2343</v>
      </c>
      <c r="C539" s="195" t="s">
        <v>2350</v>
      </c>
      <c r="D539" s="195" t="s">
        <v>135</v>
      </c>
      <c r="E539" s="810">
        <v>0.034</v>
      </c>
      <c r="F539" s="810">
        <v>0.0154</v>
      </c>
      <c r="G539" s="810">
        <v>0.0389</v>
      </c>
      <c r="H539" s="810">
        <v>0.0284</v>
      </c>
      <c r="I539" s="810">
        <v>0.0283</v>
      </c>
      <c r="J539" s="810">
        <v>0.0152</v>
      </c>
      <c r="K539" s="810">
        <v>0.0182</v>
      </c>
      <c r="L539" s="810">
        <v>0.0127</v>
      </c>
      <c r="M539" s="810">
        <v>0.0155</v>
      </c>
      <c r="N539" s="810">
        <v>0.0077</v>
      </c>
      <c r="O539" s="810" t="s">
        <v>2434</v>
      </c>
      <c r="P539" s="810" t="s">
        <v>2400</v>
      </c>
      <c r="Q539" s="810"/>
      <c r="R539" s="100"/>
      <c r="S539" s="8"/>
    </row>
    <row r="540" ht="14.25" customHeight="1">
      <c r="A540" s="195" t="s">
        <v>2182</v>
      </c>
      <c r="B540" s="195" t="s">
        <v>2343</v>
      </c>
      <c r="C540" s="195" t="s">
        <v>2354</v>
      </c>
      <c r="D540" s="195" t="s">
        <v>135</v>
      </c>
      <c r="E540" s="810">
        <v>3.051</v>
      </c>
      <c r="F540" s="810">
        <v>2.8498</v>
      </c>
      <c r="G540" s="810">
        <v>2.924</v>
      </c>
      <c r="H540" s="810">
        <v>2.9034</v>
      </c>
      <c r="I540" s="810">
        <v>2.8873</v>
      </c>
      <c r="J540" s="810">
        <v>2.9361</v>
      </c>
      <c r="K540" s="810">
        <v>2.9603</v>
      </c>
      <c r="L540" s="810">
        <v>2.9109</v>
      </c>
      <c r="M540" s="810">
        <v>3.0288</v>
      </c>
      <c r="N540" s="810">
        <v>2.8975</v>
      </c>
      <c r="O540" s="810" t="s">
        <v>2434</v>
      </c>
      <c r="P540" s="810" t="s">
        <v>2556</v>
      </c>
      <c r="Q540" s="810"/>
      <c r="R540" s="100"/>
      <c r="S540" s="8"/>
    </row>
    <row r="541" ht="14.25" customHeight="1">
      <c r="A541" s="195" t="s">
        <v>2182</v>
      </c>
      <c r="B541" s="195" t="s">
        <v>2343</v>
      </c>
      <c r="C541" s="195" t="s">
        <v>2356</v>
      </c>
      <c r="D541" s="195" t="s">
        <v>135</v>
      </c>
      <c r="E541" s="810">
        <v>10.2519</v>
      </c>
      <c r="F541" s="810">
        <v>11.8365</v>
      </c>
      <c r="G541" s="810">
        <v>11.9047</v>
      </c>
      <c r="H541" s="810">
        <v>11.5966</v>
      </c>
      <c r="I541" s="810">
        <v>12.9218</v>
      </c>
      <c r="J541" s="810">
        <v>13.6786</v>
      </c>
      <c r="K541" s="810">
        <v>14.6056</v>
      </c>
      <c r="L541" s="810">
        <v>14.4989</v>
      </c>
      <c r="M541" s="810">
        <v>12.9911</v>
      </c>
      <c r="N541" s="810">
        <v>11.9581</v>
      </c>
      <c r="O541" s="810" t="s">
        <v>2434</v>
      </c>
      <c r="P541" s="810" t="s">
        <v>2653</v>
      </c>
      <c r="Q541" s="810"/>
      <c r="R541" s="100"/>
      <c r="S541" s="8"/>
    </row>
    <row r="542" ht="14.25" customHeight="1">
      <c r="A542" s="195" t="s">
        <v>2182</v>
      </c>
      <c r="B542" s="195" t="s">
        <v>2343</v>
      </c>
      <c r="C542" s="195" t="s">
        <v>2344</v>
      </c>
      <c r="D542" s="195" t="s">
        <v>135</v>
      </c>
      <c r="E542" s="810">
        <v>25.4239</v>
      </c>
      <c r="F542" s="810">
        <v>23.8564</v>
      </c>
      <c r="G542" s="810">
        <v>23.5474</v>
      </c>
      <c r="H542" s="810">
        <v>23.3761</v>
      </c>
      <c r="I542" s="810">
        <v>23.9955</v>
      </c>
      <c r="J542" s="810">
        <v>27.9784</v>
      </c>
      <c r="K542" s="810">
        <v>28.2653</v>
      </c>
      <c r="L542" s="810">
        <v>28.2919</v>
      </c>
      <c r="M542" s="810">
        <v>28.1644</v>
      </c>
      <c r="N542" s="810">
        <v>27.406</v>
      </c>
      <c r="O542" s="810" t="s">
        <v>2434</v>
      </c>
      <c r="P542" s="810" t="s">
        <v>2634</v>
      </c>
      <c r="Q542" s="810"/>
      <c r="R542" s="100"/>
      <c r="S542" s="8"/>
    </row>
    <row r="543" ht="14.25" customHeight="1">
      <c r="A543" s="195" t="s">
        <v>2182</v>
      </c>
      <c r="B543" s="195" t="s">
        <v>2343</v>
      </c>
      <c r="C543" s="195" t="s">
        <v>2362</v>
      </c>
      <c r="D543" s="195" t="s">
        <v>135</v>
      </c>
      <c r="E543" s="810">
        <v>8.8899</v>
      </c>
      <c r="F543" s="810">
        <v>9.3198</v>
      </c>
      <c r="G543" s="810">
        <v>9.1845</v>
      </c>
      <c r="H543" s="810">
        <v>10.259</v>
      </c>
      <c r="I543" s="810">
        <v>9.6301</v>
      </c>
      <c r="J543" s="810">
        <v>9.6418</v>
      </c>
      <c r="K543" s="810">
        <v>9.0243</v>
      </c>
      <c r="L543" s="810">
        <v>7.9354</v>
      </c>
      <c r="M543" s="810">
        <v>8.2348</v>
      </c>
      <c r="N543" s="810">
        <v>7.3377</v>
      </c>
      <c r="O543" s="810" t="s">
        <v>2434</v>
      </c>
      <c r="P543" s="810" t="s">
        <v>2622</v>
      </c>
      <c r="Q543" s="810"/>
      <c r="R543" s="100"/>
      <c r="S543" s="8"/>
    </row>
    <row r="544" ht="14.25" customHeight="1">
      <c r="A544" s="195" t="s">
        <v>2182</v>
      </c>
      <c r="B544" s="195" t="s">
        <v>2343</v>
      </c>
      <c r="C544" s="195" t="s">
        <v>2367</v>
      </c>
      <c r="D544" s="195" t="s">
        <v>135</v>
      </c>
      <c r="E544" s="810">
        <v>1.9448</v>
      </c>
      <c r="F544" s="810">
        <v>1.9248</v>
      </c>
      <c r="G544" s="810">
        <v>1.8687</v>
      </c>
      <c r="H544" s="810">
        <v>1.7522</v>
      </c>
      <c r="I544" s="810">
        <v>1.4042</v>
      </c>
      <c r="J544" s="810">
        <v>1.309</v>
      </c>
      <c r="K544" s="810">
        <v>1.3639</v>
      </c>
      <c r="L544" s="810">
        <v>1.5057</v>
      </c>
      <c r="M544" s="810">
        <v>1.4802</v>
      </c>
      <c r="N544" s="810">
        <v>1.3557</v>
      </c>
      <c r="O544" s="810" t="s">
        <v>2434</v>
      </c>
      <c r="P544" s="810" t="s">
        <v>2653</v>
      </c>
      <c r="Q544" s="810"/>
      <c r="R544" s="100"/>
      <c r="S544" s="8"/>
    </row>
    <row r="545" ht="14.25" customHeight="1">
      <c r="A545" s="195" t="s">
        <v>2182</v>
      </c>
      <c r="B545" s="195" t="s">
        <v>2343</v>
      </c>
      <c r="C545" s="195" t="s">
        <v>2369</v>
      </c>
      <c r="D545" s="195" t="s">
        <v>135</v>
      </c>
      <c r="E545" s="810">
        <v>3.0796</v>
      </c>
      <c r="F545" s="810">
        <v>3.2563</v>
      </c>
      <c r="G545" s="810">
        <v>3.4414</v>
      </c>
      <c r="H545" s="810">
        <v>4.1427</v>
      </c>
      <c r="I545" s="810">
        <v>4.7177</v>
      </c>
      <c r="J545" s="810">
        <v>5.2687</v>
      </c>
      <c r="K545" s="810">
        <v>5.3004</v>
      </c>
      <c r="L545" s="810">
        <v>5.5358</v>
      </c>
      <c r="M545" s="810">
        <v>5.9182</v>
      </c>
      <c r="N545" s="810">
        <v>6.0443</v>
      </c>
      <c r="O545" s="810" t="s">
        <v>2434</v>
      </c>
      <c r="P545" s="810" t="s">
        <v>2623</v>
      </c>
      <c r="Q545" s="810"/>
      <c r="R545" s="100"/>
      <c r="S545" s="8"/>
    </row>
    <row r="546" ht="14.25" customHeight="1">
      <c r="A546" s="195" t="s">
        <v>2182</v>
      </c>
      <c r="B546" s="195" t="s">
        <v>2343</v>
      </c>
      <c r="C546" s="195" t="s">
        <v>2374</v>
      </c>
      <c r="D546" s="195" t="s">
        <v>135</v>
      </c>
      <c r="E546" s="810">
        <v>9.8066</v>
      </c>
      <c r="F546" s="810">
        <v>10.9737</v>
      </c>
      <c r="G546" s="810">
        <v>8.8803</v>
      </c>
      <c r="H546" s="810">
        <v>7.4305</v>
      </c>
      <c r="I546" s="810">
        <v>7.4828</v>
      </c>
      <c r="J546" s="810">
        <v>7.2621</v>
      </c>
      <c r="K546" s="810">
        <v>7.6197</v>
      </c>
      <c r="L546" s="810">
        <v>8.075</v>
      </c>
      <c r="M546" s="810">
        <v>8.3013</v>
      </c>
      <c r="N546" s="810">
        <v>7.7146</v>
      </c>
      <c r="O546" s="810" t="s">
        <v>2434</v>
      </c>
      <c r="P546" s="810" t="s">
        <v>2624</v>
      </c>
      <c r="Q546" s="810"/>
      <c r="R546" s="100"/>
      <c r="S546" s="8"/>
    </row>
    <row r="547" ht="14.25" customHeight="1">
      <c r="A547" s="195" t="s">
        <v>2182</v>
      </c>
      <c r="B547" s="195" t="s">
        <v>2343</v>
      </c>
      <c r="C547" s="195" t="s">
        <v>2386</v>
      </c>
      <c r="D547" s="195" t="s">
        <v>135</v>
      </c>
      <c r="E547" s="810">
        <v>0.0386</v>
      </c>
      <c r="F547" s="810">
        <v>0.0497</v>
      </c>
      <c r="G547" s="810">
        <v>0.05</v>
      </c>
      <c r="H547" s="810">
        <v>0.0394</v>
      </c>
      <c r="I547" s="810">
        <v>0.0211</v>
      </c>
      <c r="J547" s="810">
        <v>0.0172</v>
      </c>
      <c r="K547" s="810">
        <v>0.0108</v>
      </c>
      <c r="L547" s="810">
        <v>0.0122</v>
      </c>
      <c r="M547" s="810">
        <v>0.0116</v>
      </c>
      <c r="N547" s="810">
        <v>0.0112</v>
      </c>
      <c r="O547" s="810" t="s">
        <v>2434</v>
      </c>
      <c r="P547" s="810" t="s">
        <v>2625</v>
      </c>
      <c r="Q547" s="810"/>
      <c r="R547" s="100"/>
      <c r="S547" s="8"/>
    </row>
    <row r="548" ht="14.25" customHeight="1">
      <c r="A548" s="195" t="s">
        <v>2182</v>
      </c>
      <c r="B548" s="195" t="s">
        <v>2343</v>
      </c>
      <c r="C548" s="195" t="s">
        <v>2378</v>
      </c>
      <c r="D548" s="195" t="s">
        <v>135</v>
      </c>
      <c r="E548" s="810">
        <v>0.0081</v>
      </c>
      <c r="F548" s="810">
        <v>0.0145</v>
      </c>
      <c r="G548" s="810">
        <v>0.0</v>
      </c>
      <c r="H548" s="810">
        <v>0.0</v>
      </c>
      <c r="I548" s="810">
        <v>0.0</v>
      </c>
      <c r="J548" s="810">
        <v>0.0</v>
      </c>
      <c r="K548" s="810">
        <v>0.0</v>
      </c>
      <c r="L548" s="810">
        <v>0.0</v>
      </c>
      <c r="M548" s="810">
        <v>0.0</v>
      </c>
      <c r="N548" s="810">
        <v>0.0</v>
      </c>
      <c r="O548" s="810" t="s">
        <v>2434</v>
      </c>
      <c r="P548" s="810" t="s">
        <v>2567</v>
      </c>
      <c r="Q548" s="810"/>
      <c r="R548" s="100"/>
      <c r="S548" s="8"/>
    </row>
    <row r="549" ht="14.25" customHeight="1">
      <c r="A549" s="195" t="s">
        <v>2182</v>
      </c>
      <c r="B549" s="195" t="s">
        <v>2343</v>
      </c>
      <c r="C549" s="195" t="s">
        <v>2383</v>
      </c>
      <c r="D549" s="195"/>
      <c r="E549" s="810" t="s">
        <v>2434</v>
      </c>
      <c r="F549" s="810" t="s">
        <v>2434</v>
      </c>
      <c r="G549" s="810" t="s">
        <v>2434</v>
      </c>
      <c r="H549" s="810" t="s">
        <v>2434</v>
      </c>
      <c r="I549" s="810" t="s">
        <v>2434</v>
      </c>
      <c r="J549" s="812">
        <v>0.0</v>
      </c>
      <c r="K549" s="810" t="s">
        <v>2434</v>
      </c>
      <c r="L549" s="810" t="s">
        <v>2434</v>
      </c>
      <c r="M549" s="810" t="s">
        <v>2434</v>
      </c>
      <c r="N549" s="812">
        <v>0.0</v>
      </c>
      <c r="O549" s="810" t="s">
        <v>2434</v>
      </c>
      <c r="P549" s="810"/>
      <c r="Q549" s="810"/>
      <c r="R549" s="822" t="s">
        <v>2654</v>
      </c>
      <c r="S549" s="8"/>
    </row>
    <row r="550" ht="14.25" customHeight="1">
      <c r="A550" s="195" t="s">
        <v>2182</v>
      </c>
      <c r="B550" s="195" t="s">
        <v>2343</v>
      </c>
      <c r="C550" s="195" t="s">
        <v>2389</v>
      </c>
      <c r="D550" s="195" t="s">
        <v>135</v>
      </c>
      <c r="E550" s="810">
        <v>0.0</v>
      </c>
      <c r="F550" s="810">
        <v>0.0</v>
      </c>
      <c r="G550" s="810">
        <v>0.0</v>
      </c>
      <c r="H550" s="810">
        <v>0.0</v>
      </c>
      <c r="I550" s="810">
        <v>0.0</v>
      </c>
      <c r="J550" s="810">
        <v>0.0</v>
      </c>
      <c r="K550" s="810">
        <v>0.0</v>
      </c>
      <c r="L550" s="810">
        <v>0.0</v>
      </c>
      <c r="M550" s="810">
        <v>0.0</v>
      </c>
      <c r="N550" s="810">
        <v>0.0</v>
      </c>
      <c r="O550" s="810" t="s">
        <v>2434</v>
      </c>
      <c r="P550" s="810" t="s">
        <v>2549</v>
      </c>
      <c r="Q550" s="810"/>
      <c r="R550" s="100"/>
      <c r="S550" s="8"/>
    </row>
    <row r="551" ht="14.25" customHeight="1">
      <c r="A551" s="195" t="s">
        <v>2182</v>
      </c>
      <c r="B551" s="195" t="s">
        <v>2343</v>
      </c>
      <c r="C551" s="195" t="s">
        <v>2391</v>
      </c>
      <c r="D551" s="195" t="s">
        <v>135</v>
      </c>
      <c r="E551" s="810">
        <v>5.7772</v>
      </c>
      <c r="F551" s="810">
        <v>7.0266</v>
      </c>
      <c r="G551" s="810">
        <v>3.6271</v>
      </c>
      <c r="H551" s="810">
        <v>3.6137</v>
      </c>
      <c r="I551" s="810">
        <v>2.2394</v>
      </c>
      <c r="J551" s="810">
        <v>3.1394</v>
      </c>
      <c r="K551" s="810">
        <v>3.3364</v>
      </c>
      <c r="L551" s="810">
        <v>2.841</v>
      </c>
      <c r="M551" s="810">
        <v>3.0553</v>
      </c>
      <c r="N551" s="810">
        <v>3.5203</v>
      </c>
      <c r="O551" s="810" t="s">
        <v>2434</v>
      </c>
      <c r="P551" s="810" t="s">
        <v>2653</v>
      </c>
      <c r="Q551" s="810"/>
      <c r="R551" s="100"/>
      <c r="S551" s="8"/>
    </row>
    <row r="552" ht="14.25" customHeight="1">
      <c r="A552" s="195" t="s">
        <v>2182</v>
      </c>
      <c r="B552" s="195" t="s">
        <v>2343</v>
      </c>
      <c r="C552" s="195" t="s">
        <v>2393</v>
      </c>
      <c r="D552" s="195" t="s">
        <v>135</v>
      </c>
      <c r="E552" s="810">
        <v>4.2178</v>
      </c>
      <c r="F552" s="810">
        <v>4.6888</v>
      </c>
      <c r="G552" s="810">
        <v>4.7762</v>
      </c>
      <c r="H552" s="810">
        <v>4.7264</v>
      </c>
      <c r="I552" s="810">
        <v>4.9105</v>
      </c>
      <c r="J552" s="810">
        <v>5.0032</v>
      </c>
      <c r="K552" s="810">
        <v>5.0806</v>
      </c>
      <c r="L552" s="810">
        <v>5.7162</v>
      </c>
      <c r="M552" s="810">
        <v>6.0298</v>
      </c>
      <c r="N552" s="810">
        <v>6.3747</v>
      </c>
      <c r="O552" s="810" t="s">
        <v>2434</v>
      </c>
      <c r="P552" s="810" t="s">
        <v>2526</v>
      </c>
      <c r="Q552" s="810"/>
      <c r="R552" s="100"/>
      <c r="S552" s="8"/>
    </row>
    <row r="553" ht="14.25" customHeight="1">
      <c r="A553" s="195" t="s">
        <v>2182</v>
      </c>
      <c r="B553" s="195" t="s">
        <v>2343</v>
      </c>
      <c r="C553" s="195" t="s">
        <v>2395</v>
      </c>
      <c r="D553" s="195" t="s">
        <v>135</v>
      </c>
      <c r="E553" s="810">
        <v>0.5186</v>
      </c>
      <c r="F553" s="810">
        <v>0.3972</v>
      </c>
      <c r="G553" s="810">
        <v>0.3969</v>
      </c>
      <c r="H553" s="810">
        <v>0.5197</v>
      </c>
      <c r="I553" s="810">
        <v>0.5354</v>
      </c>
      <c r="J553" s="810">
        <v>0.5645</v>
      </c>
      <c r="K553" s="810">
        <v>0.5864</v>
      </c>
      <c r="L553" s="810">
        <v>0.6181</v>
      </c>
      <c r="M553" s="810">
        <v>0.6121</v>
      </c>
      <c r="N553" s="810">
        <v>0.5765</v>
      </c>
      <c r="O553" s="810" t="s">
        <v>2434</v>
      </c>
      <c r="P553" s="810" t="s">
        <v>2626</v>
      </c>
      <c r="Q553" s="810"/>
      <c r="R553" s="100"/>
      <c r="S553" s="8"/>
    </row>
    <row r="554" ht="14.25" customHeight="1">
      <c r="A554" s="195" t="s">
        <v>2182</v>
      </c>
      <c r="B554" s="195" t="s">
        <v>2343</v>
      </c>
      <c r="C554" s="195" t="s">
        <v>2397</v>
      </c>
      <c r="D554" s="195" t="s">
        <v>135</v>
      </c>
      <c r="E554" s="810" t="s">
        <v>2434</v>
      </c>
      <c r="F554" s="810" t="s">
        <v>2434</v>
      </c>
      <c r="G554" s="810" t="s">
        <v>2434</v>
      </c>
      <c r="H554" s="810" t="s">
        <v>2434</v>
      </c>
      <c r="I554" s="810" t="s">
        <v>2434</v>
      </c>
      <c r="J554" s="812">
        <v>3.454</v>
      </c>
      <c r="K554" s="810" t="s">
        <v>2434</v>
      </c>
      <c r="L554" s="810" t="s">
        <v>2434</v>
      </c>
      <c r="M554" s="810" t="s">
        <v>2434</v>
      </c>
      <c r="N554" s="812">
        <f>J554</f>
        <v>3.454</v>
      </c>
      <c r="O554" s="810" t="s">
        <v>2434</v>
      </c>
      <c r="P554" s="810"/>
      <c r="Q554" s="810"/>
      <c r="R554" s="822" t="s">
        <v>2655</v>
      </c>
      <c r="S554" s="8"/>
    </row>
    <row r="555" ht="14.25" customHeight="1">
      <c r="A555" s="195" t="s">
        <v>2182</v>
      </c>
      <c r="B555" s="195" t="s">
        <v>2343</v>
      </c>
      <c r="C555" s="195" t="s">
        <v>2411</v>
      </c>
      <c r="D555" s="195" t="s">
        <v>135</v>
      </c>
      <c r="E555" s="810">
        <v>2.8581</v>
      </c>
      <c r="F555" s="810">
        <v>2.8672</v>
      </c>
      <c r="G555" s="810">
        <v>2.8815</v>
      </c>
      <c r="H555" s="810">
        <v>2.8425</v>
      </c>
      <c r="I555" s="810">
        <v>2.9007</v>
      </c>
      <c r="J555" s="810">
        <v>2.9776</v>
      </c>
      <c r="K555" s="810">
        <v>2.9958</v>
      </c>
      <c r="L555" s="810">
        <v>3.0991</v>
      </c>
      <c r="M555" s="810">
        <v>2.9438</v>
      </c>
      <c r="N555" s="810">
        <v>3.0615</v>
      </c>
      <c r="O555" s="810" t="s">
        <v>2434</v>
      </c>
      <c r="P555" s="810" t="s">
        <v>2653</v>
      </c>
      <c r="Q555" s="810"/>
      <c r="R555" s="100"/>
      <c r="S555" s="8"/>
    </row>
    <row r="556" ht="14.25" customHeight="1">
      <c r="A556" s="195" t="s">
        <v>2182</v>
      </c>
      <c r="B556" s="195" t="s">
        <v>2343</v>
      </c>
      <c r="C556" s="195" t="s">
        <v>2406</v>
      </c>
      <c r="D556" s="195" t="s">
        <v>135</v>
      </c>
      <c r="E556" s="810">
        <v>1.0953</v>
      </c>
      <c r="F556" s="810">
        <v>1.6137</v>
      </c>
      <c r="G556" s="810">
        <v>1.7431</v>
      </c>
      <c r="H556" s="810">
        <v>1.7477</v>
      </c>
      <c r="I556" s="810">
        <v>1.764</v>
      </c>
      <c r="J556" s="810">
        <v>1.837</v>
      </c>
      <c r="K556" s="810">
        <v>1.855</v>
      </c>
      <c r="L556" s="810">
        <v>1.9723</v>
      </c>
      <c r="M556" s="810">
        <v>1.9188</v>
      </c>
      <c r="N556" s="810">
        <v>1.6542</v>
      </c>
      <c r="O556" s="810" t="s">
        <v>2434</v>
      </c>
      <c r="P556" s="810" t="s">
        <v>2628</v>
      </c>
      <c r="Q556" s="810"/>
      <c r="R556" s="100"/>
      <c r="S556" s="8"/>
    </row>
    <row r="557" ht="14.25" customHeight="1">
      <c r="A557" s="195" t="s">
        <v>2182</v>
      </c>
      <c r="B557" s="195" t="s">
        <v>2343</v>
      </c>
      <c r="C557" s="195" t="s">
        <v>2352</v>
      </c>
      <c r="D557" s="195" t="s">
        <v>135</v>
      </c>
      <c r="E557" s="810">
        <v>14.4804</v>
      </c>
      <c r="F557" s="810">
        <v>15.1357</v>
      </c>
      <c r="G557" s="810">
        <v>13.2102</v>
      </c>
      <c r="H557" s="810">
        <v>11.5444</v>
      </c>
      <c r="I557" s="810">
        <v>11.6233</v>
      </c>
      <c r="J557" s="810">
        <v>12.6526</v>
      </c>
      <c r="K557" s="810">
        <v>13.2591</v>
      </c>
      <c r="L557" s="810">
        <v>13.5909</v>
      </c>
      <c r="M557" s="810">
        <v>15.1129</v>
      </c>
      <c r="N557" s="810">
        <v>14.5024</v>
      </c>
      <c r="O557" s="810" t="s">
        <v>2434</v>
      </c>
      <c r="P557" s="810" t="s">
        <v>2629</v>
      </c>
      <c r="Q557" s="810"/>
      <c r="R557" s="100"/>
      <c r="S557" s="8"/>
    </row>
    <row r="558" ht="14.25" customHeight="1">
      <c r="A558" s="195" t="s">
        <v>2182</v>
      </c>
      <c r="B558" s="195" t="s">
        <v>2343</v>
      </c>
      <c r="C558" s="195" t="s">
        <v>2400</v>
      </c>
      <c r="D558" s="195" t="s">
        <v>135</v>
      </c>
      <c r="E558" s="810">
        <v>3.5885</v>
      </c>
      <c r="F558" s="810">
        <v>3.8071</v>
      </c>
      <c r="G558" s="810">
        <v>4.0552</v>
      </c>
      <c r="H558" s="810">
        <v>3.9268</v>
      </c>
      <c r="I558" s="810">
        <v>3.5913</v>
      </c>
      <c r="J558" s="810">
        <v>3.7235</v>
      </c>
      <c r="K558" s="810">
        <v>3.8243</v>
      </c>
      <c r="L558" s="810">
        <v>3.9351</v>
      </c>
      <c r="M558" s="810">
        <v>4.0056</v>
      </c>
      <c r="N558" s="810">
        <v>3.8013</v>
      </c>
      <c r="O558" s="810" t="s">
        <v>2434</v>
      </c>
      <c r="P558" s="810" t="s">
        <v>2630</v>
      </c>
      <c r="Q558" s="810"/>
      <c r="R558" s="100"/>
      <c r="S558" s="8"/>
    </row>
    <row r="559" ht="14.25" customHeight="1">
      <c r="A559" s="195" t="s">
        <v>2182</v>
      </c>
      <c r="B559" s="195" t="s">
        <v>2343</v>
      </c>
      <c r="C559" s="195" t="s">
        <v>2416</v>
      </c>
      <c r="D559" s="195" t="s">
        <v>135</v>
      </c>
      <c r="E559" s="810">
        <v>19.8169</v>
      </c>
      <c r="F559" s="810">
        <v>19.4508</v>
      </c>
      <c r="G559" s="810">
        <v>19.5438</v>
      </c>
      <c r="H559" s="810">
        <v>19.6873</v>
      </c>
      <c r="I559" s="810">
        <v>20.1494</v>
      </c>
      <c r="J559" s="810">
        <v>20.7838</v>
      </c>
      <c r="K559" s="810">
        <v>21.2113</v>
      </c>
      <c r="L559" s="810">
        <v>21.3043</v>
      </c>
      <c r="M559" s="810">
        <v>22.1593</v>
      </c>
      <c r="N559" s="810">
        <v>22.4077</v>
      </c>
      <c r="O559" s="810">
        <v>22.4958</v>
      </c>
      <c r="P559" s="810" t="s">
        <v>2631</v>
      </c>
      <c r="Q559" s="810"/>
      <c r="R559" s="100"/>
      <c r="S559" s="8"/>
    </row>
    <row r="560" ht="14.25" customHeight="1">
      <c r="A560" s="195" t="s">
        <v>2182</v>
      </c>
      <c r="B560" s="195" t="s">
        <v>2343</v>
      </c>
      <c r="C560" s="195" t="s">
        <v>2535</v>
      </c>
      <c r="D560" s="195" t="s">
        <v>135</v>
      </c>
      <c r="E560" s="810">
        <v>1.0147</v>
      </c>
      <c r="F560" s="810">
        <v>0.6011</v>
      </c>
      <c r="G560" s="810">
        <v>0.6619</v>
      </c>
      <c r="H560" s="810">
        <v>0.538</v>
      </c>
      <c r="I560" s="810">
        <v>0.5035</v>
      </c>
      <c r="J560" s="810">
        <v>0.8299</v>
      </c>
      <c r="K560" s="810">
        <v>0.8348</v>
      </c>
      <c r="L560" s="810">
        <v>0.9127</v>
      </c>
      <c r="M560" s="810">
        <v>0.9214</v>
      </c>
      <c r="N560" s="810">
        <v>0.9268</v>
      </c>
      <c r="O560" s="810" t="s">
        <v>2434</v>
      </c>
      <c r="P560" s="810" t="s">
        <v>2653</v>
      </c>
      <c r="Q560" s="810"/>
      <c r="R560" s="100"/>
      <c r="S560" s="8"/>
    </row>
    <row r="561" ht="14.25" customHeight="1">
      <c r="A561" s="195" t="s">
        <v>2182</v>
      </c>
      <c r="B561" s="195" t="s">
        <v>2343</v>
      </c>
      <c r="C561" s="195" t="s">
        <v>2423</v>
      </c>
      <c r="D561" s="195" t="s">
        <v>135</v>
      </c>
      <c r="E561" s="810">
        <v>0.6181</v>
      </c>
      <c r="F561" s="810">
        <v>0.6288</v>
      </c>
      <c r="G561" s="810">
        <v>0.9234</v>
      </c>
      <c r="H561" s="810">
        <v>0.8822</v>
      </c>
      <c r="I561" s="810">
        <v>0.956</v>
      </c>
      <c r="J561" s="810">
        <v>0.8774</v>
      </c>
      <c r="K561" s="810">
        <v>0.7868</v>
      </c>
      <c r="L561" s="810">
        <v>0.7873</v>
      </c>
      <c r="M561" s="810">
        <v>0.7726</v>
      </c>
      <c r="N561" s="810">
        <v>0.8196</v>
      </c>
      <c r="O561" s="810" t="s">
        <v>2434</v>
      </c>
      <c r="P561" s="810" t="s">
        <v>2632</v>
      </c>
      <c r="Q561" s="810"/>
      <c r="R561" s="100"/>
      <c r="S561" s="8"/>
    </row>
    <row r="562" ht="14.25" customHeight="1">
      <c r="A562" s="195" t="s">
        <v>2182</v>
      </c>
      <c r="B562" s="195" t="s">
        <v>2343</v>
      </c>
      <c r="C562" s="195" t="s">
        <v>2360</v>
      </c>
      <c r="D562" s="195" t="s">
        <v>135</v>
      </c>
      <c r="E562" s="810">
        <v>8.8017</v>
      </c>
      <c r="F562" s="810">
        <v>9.0467</v>
      </c>
      <c r="G562" s="810">
        <v>7.1838</v>
      </c>
      <c r="H562" s="810">
        <v>6.5311</v>
      </c>
      <c r="I562" s="810">
        <v>6.5061</v>
      </c>
      <c r="J562" s="810">
        <v>7.4935</v>
      </c>
      <c r="K562" s="810">
        <v>7.536</v>
      </c>
      <c r="L562" s="810">
        <v>7.3823</v>
      </c>
      <c r="M562" s="810">
        <v>7.2189</v>
      </c>
      <c r="N562" s="810">
        <v>6.8839</v>
      </c>
      <c r="O562" s="810" t="s">
        <v>2434</v>
      </c>
      <c r="P562" s="810" t="s">
        <v>2636</v>
      </c>
      <c r="Q562" s="810"/>
      <c r="R562" s="100"/>
      <c r="S562" s="8"/>
    </row>
    <row r="563" ht="14.25" customHeight="1">
      <c r="A563" s="100" t="s">
        <v>2656</v>
      </c>
      <c r="B563" s="100" t="s">
        <v>2657</v>
      </c>
      <c r="C563" s="100" t="s">
        <v>2317</v>
      </c>
      <c r="D563" s="100" t="s">
        <v>135</v>
      </c>
      <c r="E563" s="810" t="str">
        <f t="shared" ref="E563:O563" si="50">#REF!</f>
        <v>#REF!</v>
      </c>
      <c r="F563" s="810" t="str">
        <f t="shared" si="50"/>
        <v>#REF!</v>
      </c>
      <c r="G563" s="810" t="str">
        <f t="shared" si="50"/>
        <v>#REF!</v>
      </c>
      <c r="H563" s="810" t="str">
        <f t="shared" si="50"/>
        <v>#REF!</v>
      </c>
      <c r="I563" s="810" t="str">
        <f t="shared" si="50"/>
        <v>#REF!</v>
      </c>
      <c r="J563" s="810" t="str">
        <f t="shared" si="50"/>
        <v>#REF!</v>
      </c>
      <c r="K563" s="810" t="str">
        <f t="shared" si="50"/>
        <v>#REF!</v>
      </c>
      <c r="L563" s="810" t="str">
        <f t="shared" si="50"/>
        <v>#REF!</v>
      </c>
      <c r="M563" s="810" t="str">
        <f t="shared" si="50"/>
        <v>#REF!</v>
      </c>
      <c r="N563" s="810" t="str">
        <f t="shared" si="50"/>
        <v>#REF!</v>
      </c>
      <c r="O563" s="810" t="str">
        <f t="shared" si="50"/>
        <v>#REF!</v>
      </c>
      <c r="P563" s="100" t="s">
        <v>2546</v>
      </c>
      <c r="Q563" s="100"/>
      <c r="R563" s="100"/>
      <c r="S563" s="8"/>
    </row>
    <row r="564" ht="14.25" customHeight="1">
      <c r="A564" s="100" t="s">
        <v>2656</v>
      </c>
      <c r="B564" s="100"/>
      <c r="C564" s="100" t="s">
        <v>2507</v>
      </c>
      <c r="D564" s="100"/>
      <c r="E564" s="810" t="str">
        <f t="shared" ref="E564:O564" si="51">#REF!</f>
        <v>#REF!</v>
      </c>
      <c r="F564" s="810" t="str">
        <f t="shared" si="51"/>
        <v>#REF!</v>
      </c>
      <c r="G564" s="810" t="str">
        <f t="shared" si="51"/>
        <v>#REF!</v>
      </c>
      <c r="H564" s="810" t="str">
        <f t="shared" si="51"/>
        <v>#REF!</v>
      </c>
      <c r="I564" s="810" t="str">
        <f t="shared" si="51"/>
        <v>#REF!</v>
      </c>
      <c r="J564" s="810" t="str">
        <f t="shared" si="51"/>
        <v>#REF!</v>
      </c>
      <c r="K564" s="810" t="str">
        <f t="shared" si="51"/>
        <v>#REF!</v>
      </c>
      <c r="L564" s="810" t="str">
        <f t="shared" si="51"/>
        <v>#REF!</v>
      </c>
      <c r="M564" s="810" t="str">
        <f t="shared" si="51"/>
        <v>#REF!</v>
      </c>
      <c r="N564" s="810" t="str">
        <f t="shared" si="51"/>
        <v>#REF!</v>
      </c>
      <c r="O564" s="810" t="str">
        <f t="shared" si="51"/>
        <v>#REF!</v>
      </c>
      <c r="P564" s="100"/>
      <c r="Q564" s="100"/>
      <c r="R564" s="100"/>
      <c r="S564" s="8"/>
    </row>
    <row r="565" ht="14.25" customHeight="1">
      <c r="A565" s="100" t="s">
        <v>2656</v>
      </c>
      <c r="B565" s="100" t="s">
        <v>2657</v>
      </c>
      <c r="C565" s="100" t="s">
        <v>2325</v>
      </c>
      <c r="D565" s="100" t="s">
        <v>135</v>
      </c>
      <c r="E565" s="810">
        <v>1.0792</v>
      </c>
      <c r="F565" s="810">
        <v>1.0376</v>
      </c>
      <c r="G565" s="810">
        <v>1.056</v>
      </c>
      <c r="H565" s="810">
        <v>0.9946</v>
      </c>
      <c r="I565" s="810">
        <v>0.8966</v>
      </c>
      <c r="J565" s="810">
        <v>0.8328</v>
      </c>
      <c r="K565" s="810">
        <v>0.8895</v>
      </c>
      <c r="L565" s="810">
        <v>0.7622</v>
      </c>
      <c r="M565" s="810">
        <v>0.7301</v>
      </c>
      <c r="N565" s="810">
        <v>0.7411</v>
      </c>
      <c r="O565" s="810" t="s">
        <v>2434</v>
      </c>
      <c r="P565" s="100" t="s">
        <v>2616</v>
      </c>
      <c r="Q565" s="100"/>
      <c r="R565" s="100"/>
      <c r="S565" s="8"/>
    </row>
    <row r="566" ht="14.25" customHeight="1">
      <c r="A566" s="100" t="s">
        <v>2656</v>
      </c>
      <c r="B566" s="100" t="s">
        <v>2657</v>
      </c>
      <c r="C566" s="100" t="s">
        <v>2329</v>
      </c>
      <c r="D566" s="100" t="s">
        <v>135</v>
      </c>
      <c r="E566" s="810">
        <v>2.454</v>
      </c>
      <c r="F566" s="810">
        <v>2.4746</v>
      </c>
      <c r="G566" s="810">
        <v>2.414</v>
      </c>
      <c r="H566" s="810">
        <v>2.5187</v>
      </c>
      <c r="I566" s="810">
        <v>2.0857</v>
      </c>
      <c r="J566" s="810">
        <v>2.1952</v>
      </c>
      <c r="K566" s="810">
        <v>2.038</v>
      </c>
      <c r="L566" s="810">
        <v>2.1318</v>
      </c>
      <c r="M566" s="810">
        <v>2.1774</v>
      </c>
      <c r="N566" s="810">
        <v>1.9752</v>
      </c>
      <c r="O566" s="810" t="s">
        <v>2434</v>
      </c>
      <c r="P566" s="100" t="s">
        <v>2549</v>
      </c>
      <c r="Q566" s="100"/>
      <c r="R566" s="100"/>
      <c r="S566" s="8"/>
    </row>
    <row r="567" ht="14.25" customHeight="1">
      <c r="A567" s="100" t="s">
        <v>2656</v>
      </c>
      <c r="B567" s="100" t="s">
        <v>2657</v>
      </c>
      <c r="C567" s="100" t="s">
        <v>2333</v>
      </c>
      <c r="D567" s="100" t="s">
        <v>135</v>
      </c>
      <c r="E567" s="810">
        <v>0.7907</v>
      </c>
      <c r="F567" s="810">
        <v>0.7907</v>
      </c>
      <c r="G567" s="810">
        <v>0.7558</v>
      </c>
      <c r="H567" s="810">
        <v>0.7558</v>
      </c>
      <c r="I567" s="810">
        <v>0.7093</v>
      </c>
      <c r="J567" s="810">
        <v>0.7558</v>
      </c>
      <c r="K567" s="810">
        <v>0.7791</v>
      </c>
      <c r="L567" s="810">
        <v>0.7744</v>
      </c>
      <c r="M567" s="810">
        <v>0.7704</v>
      </c>
      <c r="N567" s="810">
        <v>0.7155</v>
      </c>
      <c r="O567" s="810" t="s">
        <v>2434</v>
      </c>
      <c r="P567" s="100" t="s">
        <v>2546</v>
      </c>
      <c r="Q567" s="100"/>
      <c r="R567" s="100"/>
      <c r="S567" s="8"/>
    </row>
    <row r="568" ht="14.25" customHeight="1">
      <c r="A568" s="100" t="s">
        <v>2656</v>
      </c>
      <c r="B568" s="100" t="s">
        <v>2657</v>
      </c>
      <c r="C568" s="100" t="s">
        <v>2364</v>
      </c>
      <c r="D568" s="100" t="s">
        <v>135</v>
      </c>
      <c r="E568" s="810">
        <v>0.3648</v>
      </c>
      <c r="F568" s="810">
        <v>0.3465</v>
      </c>
      <c r="G568" s="810">
        <v>0.346</v>
      </c>
      <c r="H568" s="810">
        <v>0.3196</v>
      </c>
      <c r="I568" s="810">
        <v>0.314</v>
      </c>
      <c r="J568" s="810">
        <v>0.3222</v>
      </c>
      <c r="K568" s="810">
        <v>0.29</v>
      </c>
      <c r="L568" s="810">
        <v>0.2922</v>
      </c>
      <c r="M568" s="810">
        <v>0.2776</v>
      </c>
      <c r="N568" s="810">
        <v>0.2799</v>
      </c>
      <c r="O568" s="810" t="s">
        <v>2434</v>
      </c>
      <c r="P568" s="100" t="s">
        <v>2617</v>
      </c>
      <c r="Q568" s="100"/>
      <c r="R568" s="100"/>
      <c r="S568" s="8"/>
    </row>
    <row r="569" ht="14.25" customHeight="1">
      <c r="A569" s="100" t="s">
        <v>2656</v>
      </c>
      <c r="B569" s="100" t="s">
        <v>2657</v>
      </c>
      <c r="C569" s="100" t="s">
        <v>2337</v>
      </c>
      <c r="D569" s="100" t="s">
        <v>135</v>
      </c>
      <c r="E569" s="810">
        <v>0.009</v>
      </c>
      <c r="F569" s="810">
        <v>0.0071</v>
      </c>
      <c r="G569" s="810">
        <v>0.0063</v>
      </c>
      <c r="H569" s="810">
        <v>0.005</v>
      </c>
      <c r="I569" s="810">
        <v>0.0049</v>
      </c>
      <c r="J569" s="810">
        <v>0.0048</v>
      </c>
      <c r="K569" s="810">
        <v>0.0051</v>
      </c>
      <c r="L569" s="810">
        <v>0.0052</v>
      </c>
      <c r="M569" s="810">
        <v>0.0052</v>
      </c>
      <c r="N569" s="810">
        <v>0.005</v>
      </c>
      <c r="O569" s="810">
        <v>0.0045</v>
      </c>
      <c r="P569" s="100" t="s">
        <v>2512</v>
      </c>
      <c r="Q569" s="100"/>
      <c r="R569" s="100"/>
      <c r="S569" s="8"/>
    </row>
    <row r="570" ht="14.25" customHeight="1">
      <c r="A570" s="100" t="s">
        <v>2656</v>
      </c>
      <c r="B570" s="100" t="s">
        <v>2657</v>
      </c>
      <c r="C570" s="100" t="s">
        <v>2341</v>
      </c>
      <c r="D570" s="100" t="s">
        <v>135</v>
      </c>
      <c r="E570" s="810">
        <v>1.6205</v>
      </c>
      <c r="F570" s="810">
        <v>1.5926</v>
      </c>
      <c r="G570" s="810">
        <v>1.528</v>
      </c>
      <c r="H570" s="810">
        <v>1.4953</v>
      </c>
      <c r="I570" s="810">
        <v>1.4907</v>
      </c>
      <c r="J570" s="810">
        <v>1.4514</v>
      </c>
      <c r="K570" s="810">
        <v>1.4434</v>
      </c>
      <c r="L570" s="810">
        <v>1.5053</v>
      </c>
      <c r="M570" s="810">
        <v>1.4779</v>
      </c>
      <c r="N570" s="810">
        <v>1.4262</v>
      </c>
      <c r="O570" s="810" t="s">
        <v>2434</v>
      </c>
      <c r="P570" s="100" t="s">
        <v>2546</v>
      </c>
      <c r="Q570" s="100"/>
      <c r="R570" s="100"/>
      <c r="S570" s="8"/>
    </row>
    <row r="571" ht="14.25" customHeight="1">
      <c r="A571" s="100" t="s">
        <v>2656</v>
      </c>
      <c r="B571" s="100" t="s">
        <v>2657</v>
      </c>
      <c r="C571" s="100" t="s">
        <v>2348</v>
      </c>
      <c r="D571" s="100" t="s">
        <v>135</v>
      </c>
      <c r="E571" s="810">
        <v>0.3442</v>
      </c>
      <c r="F571" s="810">
        <v>0.2985</v>
      </c>
      <c r="G571" s="810">
        <v>0.2452</v>
      </c>
      <c r="H571" s="810">
        <v>0.2303</v>
      </c>
      <c r="I571" s="810">
        <v>0.209</v>
      </c>
      <c r="J571" s="810">
        <v>0.2042</v>
      </c>
      <c r="K571" s="810">
        <v>0.2013</v>
      </c>
      <c r="L571" s="810">
        <v>0.198</v>
      </c>
      <c r="M571" s="810">
        <v>0.1922</v>
      </c>
      <c r="N571" s="810">
        <v>0.1895</v>
      </c>
      <c r="O571" s="810" t="s">
        <v>2434</v>
      </c>
      <c r="P571" s="100" t="s">
        <v>2549</v>
      </c>
      <c r="Q571" s="100"/>
      <c r="R571" s="100"/>
      <c r="S571" s="8"/>
    </row>
    <row r="572" ht="14.25" customHeight="1">
      <c r="A572" s="100" t="s">
        <v>2656</v>
      </c>
      <c r="B572" s="100" t="s">
        <v>2657</v>
      </c>
      <c r="C572" s="100" t="s">
        <v>2350</v>
      </c>
      <c r="D572" s="100" t="s">
        <v>135</v>
      </c>
      <c r="E572" s="810">
        <v>0.231</v>
      </c>
      <c r="F572" s="810">
        <v>0.1895</v>
      </c>
      <c r="G572" s="810">
        <v>0.1837</v>
      </c>
      <c r="H572" s="810">
        <v>0.1621</v>
      </c>
      <c r="I572" s="810">
        <v>0.1721</v>
      </c>
      <c r="J572" s="810">
        <v>0.1541</v>
      </c>
      <c r="K572" s="810">
        <v>0.1326</v>
      </c>
      <c r="L572" s="810">
        <v>0.1022</v>
      </c>
      <c r="M572" s="810">
        <v>0.1022</v>
      </c>
      <c r="N572" s="810">
        <v>0.1045</v>
      </c>
      <c r="O572" s="810" t="s">
        <v>2434</v>
      </c>
      <c r="P572" s="100" t="s">
        <v>2400</v>
      </c>
      <c r="Q572" s="100"/>
      <c r="R572" s="100"/>
      <c r="S572" s="8"/>
    </row>
    <row r="573" ht="14.25" customHeight="1">
      <c r="A573" s="100" t="s">
        <v>2656</v>
      </c>
      <c r="B573" s="100" t="s">
        <v>2657</v>
      </c>
      <c r="C573" s="100" t="s">
        <v>2354</v>
      </c>
      <c r="D573" s="100" t="s">
        <v>135</v>
      </c>
      <c r="E573" s="810">
        <v>0.3364</v>
      </c>
      <c r="F573" s="810">
        <v>0.361</v>
      </c>
      <c r="G573" s="810">
        <v>0.4363</v>
      </c>
      <c r="H573" s="810">
        <v>0.3801</v>
      </c>
      <c r="I573" s="810">
        <v>0.3405</v>
      </c>
      <c r="J573" s="810">
        <v>0.3066</v>
      </c>
      <c r="K573" s="810">
        <v>0.2775</v>
      </c>
      <c r="L573" s="810">
        <v>0.2567</v>
      </c>
      <c r="M573" s="810">
        <v>0.2452</v>
      </c>
      <c r="N573" s="810">
        <v>0.2117</v>
      </c>
      <c r="O573" s="810" t="s">
        <v>2434</v>
      </c>
      <c r="P573" s="100" t="s">
        <v>2556</v>
      </c>
      <c r="Q573" s="100"/>
      <c r="R573" s="100"/>
      <c r="S573" s="8"/>
    </row>
    <row r="574" ht="14.25" customHeight="1">
      <c r="A574" s="100" t="s">
        <v>2656</v>
      </c>
      <c r="B574" s="100" t="s">
        <v>2657</v>
      </c>
      <c r="C574" s="100" t="s">
        <v>2356</v>
      </c>
      <c r="D574" s="100" t="s">
        <v>135</v>
      </c>
      <c r="E574" s="810">
        <v>3.8032</v>
      </c>
      <c r="F574" s="810">
        <v>3.9992</v>
      </c>
      <c r="G574" s="810">
        <v>3.6565</v>
      </c>
      <c r="H574" s="810">
        <v>3.7093</v>
      </c>
      <c r="I574" s="810">
        <v>3.4196</v>
      </c>
      <c r="J574" s="810">
        <v>3.4445</v>
      </c>
      <c r="K574" s="810">
        <v>3.5506</v>
      </c>
      <c r="L574" s="810">
        <v>3.7659</v>
      </c>
      <c r="M574" s="810">
        <v>3.6665</v>
      </c>
      <c r="N574" s="810">
        <v>3.3709</v>
      </c>
      <c r="O574" s="810" t="s">
        <v>2434</v>
      </c>
      <c r="P574" s="100" t="s">
        <v>2546</v>
      </c>
      <c r="Q574" s="100"/>
      <c r="R574" s="100"/>
      <c r="S574" s="8"/>
    </row>
    <row r="575" ht="14.25" customHeight="1">
      <c r="A575" s="100" t="s">
        <v>2656</v>
      </c>
      <c r="B575" s="100" t="s">
        <v>2657</v>
      </c>
      <c r="C575" s="100" t="s">
        <v>2344</v>
      </c>
      <c r="D575" s="100" t="s">
        <v>135</v>
      </c>
      <c r="E575" s="810">
        <v>6.6098</v>
      </c>
      <c r="F575" s="810">
        <v>6.4102</v>
      </c>
      <c r="G575" s="810">
        <v>6.1813</v>
      </c>
      <c r="H575" s="810">
        <v>5.4517</v>
      </c>
      <c r="I575" s="810">
        <v>5.5219</v>
      </c>
      <c r="J575" s="810">
        <v>6.1493</v>
      </c>
      <c r="K575" s="810">
        <v>5.608</v>
      </c>
      <c r="L575" s="810">
        <v>5.623</v>
      </c>
      <c r="M575" s="810">
        <v>5.4241</v>
      </c>
      <c r="N575" s="810">
        <v>4.9241</v>
      </c>
      <c r="O575" s="810" t="s">
        <v>2434</v>
      </c>
      <c r="P575" s="100" t="s">
        <v>2648</v>
      </c>
      <c r="Q575" s="100"/>
      <c r="R575" s="100"/>
      <c r="S575" s="8"/>
    </row>
    <row r="576" ht="14.25" customHeight="1">
      <c r="A576" s="100" t="s">
        <v>2656</v>
      </c>
      <c r="B576" s="100" t="s">
        <v>2657</v>
      </c>
      <c r="C576" s="100" t="s">
        <v>2362</v>
      </c>
      <c r="D576" s="100" t="s">
        <v>135</v>
      </c>
      <c r="E576" s="810">
        <v>1.0362</v>
      </c>
      <c r="F576" s="810">
        <v>0.8893</v>
      </c>
      <c r="G576" s="810">
        <v>0.5378</v>
      </c>
      <c r="H576" s="810">
        <v>0.5069</v>
      </c>
      <c r="I576" s="810">
        <v>0.3833</v>
      </c>
      <c r="J576" s="810">
        <v>0.3649</v>
      </c>
      <c r="K576" s="810">
        <v>0.4809</v>
      </c>
      <c r="L576" s="810">
        <v>0.4434</v>
      </c>
      <c r="M576" s="810">
        <v>1.1466</v>
      </c>
      <c r="N576" s="810">
        <v>1.0041</v>
      </c>
      <c r="O576" s="810" t="s">
        <v>2434</v>
      </c>
      <c r="P576" s="100" t="s">
        <v>2622</v>
      </c>
      <c r="Q576" s="100"/>
      <c r="R576" s="100"/>
      <c r="S576" s="8"/>
    </row>
    <row r="577" ht="14.25" customHeight="1">
      <c r="A577" s="100" t="s">
        <v>2656</v>
      </c>
      <c r="B577" s="100" t="s">
        <v>2657</v>
      </c>
      <c r="C577" s="100" t="s">
        <v>2367</v>
      </c>
      <c r="D577" s="100" t="s">
        <v>135</v>
      </c>
      <c r="E577" s="810">
        <v>0.264</v>
      </c>
      <c r="F577" s="810">
        <v>0.2647</v>
      </c>
      <c r="G577" s="810">
        <v>0.3197</v>
      </c>
      <c r="H577" s="810">
        <v>0.4002</v>
      </c>
      <c r="I577" s="810">
        <v>0.4291</v>
      </c>
      <c r="J577" s="810">
        <v>0.4732</v>
      </c>
      <c r="K577" s="810">
        <v>0.4892</v>
      </c>
      <c r="L577" s="810">
        <v>0.4806</v>
      </c>
      <c r="M577" s="810">
        <v>0.4974</v>
      </c>
      <c r="N577" s="810">
        <v>0.4693</v>
      </c>
      <c r="O577" s="810" t="s">
        <v>2434</v>
      </c>
      <c r="P577" s="100" t="s">
        <v>2546</v>
      </c>
      <c r="Q577" s="100"/>
      <c r="R577" s="100"/>
      <c r="S577" s="8"/>
    </row>
    <row r="578" ht="14.25" customHeight="1">
      <c r="A578" s="100" t="s">
        <v>2656</v>
      </c>
      <c r="B578" s="100" t="s">
        <v>2657</v>
      </c>
      <c r="C578" s="100" t="s">
        <v>2369</v>
      </c>
      <c r="D578" s="100" t="s">
        <v>135</v>
      </c>
      <c r="E578" s="810">
        <v>0.134</v>
      </c>
      <c r="F578" s="810">
        <v>0.0851</v>
      </c>
      <c r="G578" s="810">
        <v>0.0736</v>
      </c>
      <c r="H578" s="810">
        <v>0.0811</v>
      </c>
      <c r="I578" s="810">
        <v>0.259</v>
      </c>
      <c r="J578" s="810">
        <v>0.23</v>
      </c>
      <c r="K578" s="810">
        <v>0.2927</v>
      </c>
      <c r="L578" s="810">
        <v>0.3127</v>
      </c>
      <c r="M578" s="810">
        <v>0.3337</v>
      </c>
      <c r="N578" s="810">
        <v>0.3407</v>
      </c>
      <c r="O578" s="810" t="s">
        <v>2434</v>
      </c>
      <c r="P578" s="100" t="s">
        <v>2623</v>
      </c>
      <c r="Q578" s="100"/>
      <c r="R578" s="100"/>
      <c r="S578" s="8"/>
    </row>
    <row r="579" ht="14.25" customHeight="1">
      <c r="A579" s="100" t="s">
        <v>2656</v>
      </c>
      <c r="B579" s="100" t="s">
        <v>2657</v>
      </c>
      <c r="C579" s="100" t="s">
        <v>2374</v>
      </c>
      <c r="D579" s="100" t="s">
        <v>135</v>
      </c>
      <c r="E579" s="810">
        <v>15.5839</v>
      </c>
      <c r="F579" s="810">
        <v>13.8521</v>
      </c>
      <c r="G579" s="810">
        <v>13.964</v>
      </c>
      <c r="H579" s="810">
        <v>13.5658</v>
      </c>
      <c r="I579" s="810">
        <v>13.2279</v>
      </c>
      <c r="J579" s="810">
        <v>12.8659</v>
      </c>
      <c r="K579" s="810">
        <v>12.7741</v>
      </c>
      <c r="L579" s="810">
        <v>13.526</v>
      </c>
      <c r="M579" s="810">
        <v>13.1011</v>
      </c>
      <c r="N579" s="810">
        <v>12.9962</v>
      </c>
      <c r="O579" s="810" t="s">
        <v>2434</v>
      </c>
      <c r="P579" s="100" t="s">
        <v>2624</v>
      </c>
      <c r="Q579" s="100"/>
      <c r="R579" s="100"/>
      <c r="S579" s="8"/>
    </row>
    <row r="580" ht="14.25" customHeight="1">
      <c r="A580" s="100" t="s">
        <v>2656</v>
      </c>
      <c r="B580" s="100" t="s">
        <v>2657</v>
      </c>
      <c r="C580" s="100" t="s">
        <v>2386</v>
      </c>
      <c r="D580" s="100" t="s">
        <v>135</v>
      </c>
      <c r="E580" s="810">
        <v>0.1419</v>
      </c>
      <c r="F580" s="810">
        <v>0.1397</v>
      </c>
      <c r="G580" s="810">
        <v>0.1708</v>
      </c>
      <c r="H580" s="810">
        <v>0.1303</v>
      </c>
      <c r="I580" s="810">
        <v>0.1044</v>
      </c>
      <c r="J580" s="810">
        <v>0.0925</v>
      </c>
      <c r="K580" s="810">
        <v>0.0911</v>
      </c>
      <c r="L580" s="810">
        <v>0.0953</v>
      </c>
      <c r="M580" s="810">
        <v>0.093</v>
      </c>
      <c r="N580" s="810">
        <v>0.0842</v>
      </c>
      <c r="O580" s="810" t="s">
        <v>2434</v>
      </c>
      <c r="P580" s="100" t="s">
        <v>2625</v>
      </c>
      <c r="Q580" s="100"/>
      <c r="R580" s="100"/>
      <c r="S580" s="8"/>
    </row>
    <row r="581" ht="14.25" customHeight="1">
      <c r="A581" s="100" t="s">
        <v>2656</v>
      </c>
      <c r="B581" s="100" t="s">
        <v>2657</v>
      </c>
      <c r="C581" s="100" t="s">
        <v>2378</v>
      </c>
      <c r="D581" s="100" t="s">
        <v>135</v>
      </c>
      <c r="E581" s="810">
        <v>0.3939</v>
      </c>
      <c r="F581" s="810">
        <v>0.3655</v>
      </c>
      <c r="G581" s="810">
        <v>0.3632</v>
      </c>
      <c r="H581" s="810">
        <v>0.3553</v>
      </c>
      <c r="I581" s="810">
        <v>0.3456</v>
      </c>
      <c r="J581" s="810">
        <v>0.3744</v>
      </c>
      <c r="K581" s="810">
        <v>0.4095</v>
      </c>
      <c r="L581" s="810">
        <v>0.3713</v>
      </c>
      <c r="M581" s="810">
        <v>0.3984</v>
      </c>
      <c r="N581" s="810">
        <v>0.3651</v>
      </c>
      <c r="O581" s="810" t="s">
        <v>2434</v>
      </c>
      <c r="P581" s="100" t="s">
        <v>2567</v>
      </c>
      <c r="Q581" s="100"/>
      <c r="R581" s="100"/>
      <c r="S581" s="8"/>
    </row>
    <row r="582" ht="14.25" customHeight="1">
      <c r="A582" s="100" t="s">
        <v>2656</v>
      </c>
      <c r="B582" s="100" t="s">
        <v>2657</v>
      </c>
      <c r="C582" s="100" t="s">
        <v>2383</v>
      </c>
      <c r="D582" s="100" t="s">
        <v>135</v>
      </c>
      <c r="E582" s="810">
        <v>0.4651</v>
      </c>
      <c r="F582" s="810">
        <v>0.3721</v>
      </c>
      <c r="G582" s="810">
        <v>0.3721</v>
      </c>
      <c r="H582" s="810">
        <v>0.3953</v>
      </c>
      <c r="I582" s="810">
        <v>0.3953</v>
      </c>
      <c r="J582" s="810">
        <v>0.4186</v>
      </c>
      <c r="K582" s="810">
        <v>0.4186</v>
      </c>
      <c r="L582" s="810">
        <v>0.407</v>
      </c>
      <c r="M582" s="810">
        <v>0.3721</v>
      </c>
      <c r="N582" s="810">
        <v>0.3605</v>
      </c>
      <c r="O582" s="810" t="s">
        <v>2434</v>
      </c>
      <c r="P582" s="100" t="s">
        <v>2523</v>
      </c>
      <c r="Q582" s="100"/>
      <c r="R582" s="100"/>
      <c r="S582" s="8"/>
    </row>
    <row r="583" ht="14.25" customHeight="1">
      <c r="A583" s="100" t="s">
        <v>2656</v>
      </c>
      <c r="B583" s="100" t="s">
        <v>2657</v>
      </c>
      <c r="C583" s="100" t="s">
        <v>2389</v>
      </c>
      <c r="D583" s="100" t="s">
        <v>135</v>
      </c>
      <c r="E583" s="810">
        <v>0.047</v>
      </c>
      <c r="F583" s="810">
        <v>0.047</v>
      </c>
      <c r="G583" s="810">
        <v>0.046</v>
      </c>
      <c r="H583" s="810">
        <v>0.039</v>
      </c>
      <c r="I583" s="810">
        <v>0.03</v>
      </c>
      <c r="J583" s="810">
        <v>0.033</v>
      </c>
      <c r="K583" s="810">
        <v>0.028</v>
      </c>
      <c r="L583" s="810">
        <v>0.0312</v>
      </c>
      <c r="M583" s="810">
        <v>0.0321</v>
      </c>
      <c r="N583" s="810">
        <v>0.0306</v>
      </c>
      <c r="O583" s="810" t="s">
        <v>2434</v>
      </c>
      <c r="P583" s="100" t="s">
        <v>2549</v>
      </c>
      <c r="Q583" s="100"/>
      <c r="R583" s="100"/>
      <c r="S583" s="8"/>
    </row>
    <row r="584" ht="14.25" customHeight="1">
      <c r="A584" s="100" t="s">
        <v>2656</v>
      </c>
      <c r="B584" s="100" t="s">
        <v>2657</v>
      </c>
      <c r="C584" s="100" t="s">
        <v>2391</v>
      </c>
      <c r="D584" s="100" t="s">
        <v>135</v>
      </c>
      <c r="E584" s="810">
        <v>1.3556</v>
      </c>
      <c r="F584" s="810">
        <v>1.1994</v>
      </c>
      <c r="G584" s="810">
        <v>1.206</v>
      </c>
      <c r="H584" s="810">
        <v>1.2133</v>
      </c>
      <c r="I584" s="810">
        <v>1.0173</v>
      </c>
      <c r="J584" s="810">
        <v>1.0655</v>
      </c>
      <c r="K584" s="810">
        <v>1.0833</v>
      </c>
      <c r="L584" s="810">
        <v>1.0593</v>
      </c>
      <c r="M584" s="810">
        <v>0.9477</v>
      </c>
      <c r="N584" s="810">
        <v>1.1193</v>
      </c>
      <c r="O584" s="810" t="s">
        <v>2434</v>
      </c>
      <c r="P584" s="100" t="s">
        <v>2546</v>
      </c>
      <c r="Q584" s="100"/>
      <c r="R584" s="100"/>
      <c r="S584" s="8"/>
    </row>
    <row r="585" ht="14.25" customHeight="1">
      <c r="A585" s="100" t="s">
        <v>2656</v>
      </c>
      <c r="B585" s="100" t="s">
        <v>2657</v>
      </c>
      <c r="C585" s="100" t="s">
        <v>2393</v>
      </c>
      <c r="D585" s="100" t="s">
        <v>135</v>
      </c>
      <c r="E585" s="810">
        <v>1.5217</v>
      </c>
      <c r="F585" s="810">
        <v>1.2503</v>
      </c>
      <c r="G585" s="810">
        <v>1.2216</v>
      </c>
      <c r="H585" s="810">
        <v>1.3556</v>
      </c>
      <c r="I585" s="810">
        <v>1.4318</v>
      </c>
      <c r="J585" s="810">
        <v>1.3586</v>
      </c>
      <c r="K585" s="810">
        <v>1.4466</v>
      </c>
      <c r="L585" s="810">
        <v>1.4116</v>
      </c>
      <c r="M585" s="810">
        <v>1.6373</v>
      </c>
      <c r="N585" s="810">
        <v>1.4479</v>
      </c>
      <c r="O585" s="810" t="s">
        <v>2434</v>
      </c>
      <c r="P585" s="100" t="s">
        <v>2526</v>
      </c>
      <c r="Q585" s="100"/>
      <c r="R585" s="100"/>
      <c r="S585" s="8"/>
    </row>
    <row r="586" ht="14.25" customHeight="1">
      <c r="A586" s="100" t="s">
        <v>2656</v>
      </c>
      <c r="B586" s="100" t="s">
        <v>2657</v>
      </c>
      <c r="C586" s="100" t="s">
        <v>2395</v>
      </c>
      <c r="D586" s="100" t="s">
        <v>135</v>
      </c>
      <c r="E586" s="810">
        <v>4.2344</v>
      </c>
      <c r="F586" s="810">
        <v>3.3247</v>
      </c>
      <c r="G586" s="810">
        <v>3.2412</v>
      </c>
      <c r="H586" s="810">
        <v>3.418</v>
      </c>
      <c r="I586" s="810">
        <v>3.4858</v>
      </c>
      <c r="J586" s="810">
        <v>3.548</v>
      </c>
      <c r="K586" s="810">
        <v>3.4391</v>
      </c>
      <c r="L586" s="810">
        <v>3.502</v>
      </c>
      <c r="M586" s="810">
        <v>3.6</v>
      </c>
      <c r="N586" s="810">
        <v>3.5253</v>
      </c>
      <c r="O586" s="810" t="s">
        <v>2434</v>
      </c>
      <c r="P586" s="100" t="s">
        <v>2626</v>
      </c>
      <c r="Q586" s="100"/>
      <c r="R586" s="100"/>
      <c r="S586" s="8"/>
    </row>
    <row r="587" ht="14.25" customHeight="1">
      <c r="A587" s="100" t="s">
        <v>2656</v>
      </c>
      <c r="B587" s="100" t="s">
        <v>2657</v>
      </c>
      <c r="C587" s="100" t="s">
        <v>2397</v>
      </c>
      <c r="D587" s="100" t="s">
        <v>135</v>
      </c>
      <c r="E587" s="810">
        <v>2.1428</v>
      </c>
      <c r="F587" s="810">
        <v>2.0698</v>
      </c>
      <c r="G587" s="810">
        <v>1.907</v>
      </c>
      <c r="H587" s="810">
        <v>2.0233</v>
      </c>
      <c r="I587" s="810">
        <v>2.093</v>
      </c>
      <c r="J587" s="810">
        <v>2.0015</v>
      </c>
      <c r="K587" s="810">
        <v>1.7558</v>
      </c>
      <c r="L587" s="810">
        <v>1.8953</v>
      </c>
      <c r="M587" s="810">
        <v>1.6977</v>
      </c>
      <c r="N587" s="810">
        <v>1.4767</v>
      </c>
      <c r="O587" s="810" t="s">
        <v>2434</v>
      </c>
      <c r="P587" s="100" t="s">
        <v>2528</v>
      </c>
      <c r="Q587" s="100"/>
      <c r="R587" s="100"/>
      <c r="S587" s="8"/>
    </row>
    <row r="588" ht="14.25" customHeight="1">
      <c r="A588" s="100" t="s">
        <v>2656</v>
      </c>
      <c r="B588" s="100" t="s">
        <v>2657</v>
      </c>
      <c r="C588" s="100" t="s">
        <v>2411</v>
      </c>
      <c r="D588" s="100" t="s">
        <v>135</v>
      </c>
      <c r="E588" s="810">
        <v>0.4856</v>
      </c>
      <c r="F588" s="810">
        <v>0.5735</v>
      </c>
      <c r="G588" s="810">
        <v>0.4067</v>
      </c>
      <c r="H588" s="810">
        <v>0.3298</v>
      </c>
      <c r="I588" s="810">
        <v>0.4357</v>
      </c>
      <c r="J588" s="810">
        <v>0.3254</v>
      </c>
      <c r="K588" s="810">
        <v>0.3097</v>
      </c>
      <c r="L588" s="810">
        <v>0.3052</v>
      </c>
      <c r="M588" s="810">
        <v>0.2761</v>
      </c>
      <c r="N588" s="810">
        <v>0.2623</v>
      </c>
      <c r="O588" s="810" t="s">
        <v>2434</v>
      </c>
      <c r="P588" s="100" t="s">
        <v>2546</v>
      </c>
      <c r="Q588" s="100"/>
      <c r="R588" s="100"/>
      <c r="S588" s="8"/>
    </row>
    <row r="589" ht="14.25" customHeight="1">
      <c r="A589" s="100" t="s">
        <v>2656</v>
      </c>
      <c r="B589" s="100" t="s">
        <v>2657</v>
      </c>
      <c r="C589" s="100" t="s">
        <v>2406</v>
      </c>
      <c r="D589" s="100" t="s">
        <v>135</v>
      </c>
      <c r="E589" s="810">
        <v>0.4001</v>
      </c>
      <c r="F589" s="810">
        <v>0.3262</v>
      </c>
      <c r="G589" s="810">
        <v>0.2865</v>
      </c>
      <c r="H589" s="810">
        <v>0.3096</v>
      </c>
      <c r="I589" s="810">
        <v>0.2628</v>
      </c>
      <c r="J589" s="810">
        <v>0.2398</v>
      </c>
      <c r="K589" s="810">
        <v>0.2451</v>
      </c>
      <c r="L589" s="810">
        <v>0.2367</v>
      </c>
      <c r="M589" s="810">
        <v>0.1732</v>
      </c>
      <c r="N589" s="810">
        <v>0.1746</v>
      </c>
      <c r="O589" s="810" t="s">
        <v>2434</v>
      </c>
      <c r="P589" s="100" t="s">
        <v>2628</v>
      </c>
      <c r="Q589" s="100"/>
      <c r="R589" s="100"/>
      <c r="S589" s="8"/>
    </row>
    <row r="590" ht="14.25" customHeight="1">
      <c r="A590" s="100" t="s">
        <v>2656</v>
      </c>
      <c r="B590" s="100" t="s">
        <v>2657</v>
      </c>
      <c r="C590" s="100" t="s">
        <v>2352</v>
      </c>
      <c r="D590" s="100" t="s">
        <v>135</v>
      </c>
      <c r="E590" s="810">
        <v>5.066</v>
      </c>
      <c r="F590" s="810">
        <v>4.8911</v>
      </c>
      <c r="G590" s="810">
        <v>4.561</v>
      </c>
      <c r="H590" s="810">
        <v>3.9302</v>
      </c>
      <c r="I590" s="810">
        <v>3.7202</v>
      </c>
      <c r="J590" s="810">
        <v>3.6646</v>
      </c>
      <c r="K590" s="810">
        <v>4.2532</v>
      </c>
      <c r="L590" s="810">
        <v>3.6352</v>
      </c>
      <c r="M590" s="810">
        <v>3.409</v>
      </c>
      <c r="N590" s="810">
        <v>4.388</v>
      </c>
      <c r="O590" s="810" t="s">
        <v>2434</v>
      </c>
      <c r="P590" s="100" t="s">
        <v>2629</v>
      </c>
      <c r="Q590" s="100"/>
      <c r="R590" s="100"/>
      <c r="S590" s="8"/>
    </row>
    <row r="591" ht="14.25" customHeight="1">
      <c r="A591" s="100" t="s">
        <v>2656</v>
      </c>
      <c r="B591" s="100" t="s">
        <v>2657</v>
      </c>
      <c r="C591" s="100" t="s">
        <v>2400</v>
      </c>
      <c r="D591" s="100" t="s">
        <v>135</v>
      </c>
      <c r="E591" s="810">
        <v>0.3272</v>
      </c>
      <c r="F591" s="810">
        <v>0.2952</v>
      </c>
      <c r="G591" s="810">
        <v>0.278</v>
      </c>
      <c r="H591" s="810">
        <v>0.2638</v>
      </c>
      <c r="I591" s="810">
        <v>0.3022</v>
      </c>
      <c r="J591" s="810">
        <v>0.3043</v>
      </c>
      <c r="K591" s="810">
        <v>0.2997</v>
      </c>
      <c r="L591" s="810">
        <v>0.2996</v>
      </c>
      <c r="M591" s="810">
        <v>0.2607</v>
      </c>
      <c r="N591" s="810">
        <v>0.2797</v>
      </c>
      <c r="O591" s="810" t="s">
        <v>2434</v>
      </c>
      <c r="P591" s="100" t="s">
        <v>2630</v>
      </c>
      <c r="Q591" s="100"/>
      <c r="R591" s="100"/>
      <c r="S591" s="8"/>
    </row>
    <row r="592" ht="14.25" customHeight="1">
      <c r="A592" s="100" t="s">
        <v>2656</v>
      </c>
      <c r="B592" s="100" t="s">
        <v>2657</v>
      </c>
      <c r="C592" s="100" t="s">
        <v>2416</v>
      </c>
      <c r="D592" s="100" t="s">
        <v>135</v>
      </c>
      <c r="E592" s="810">
        <v>0.1</v>
      </c>
      <c r="F592" s="810">
        <v>0.1089</v>
      </c>
      <c r="G592" s="810">
        <v>0.1029</v>
      </c>
      <c r="H592" s="810">
        <v>0.1029</v>
      </c>
      <c r="I592" s="810">
        <v>0.1009</v>
      </c>
      <c r="J592" s="810">
        <v>0.1178</v>
      </c>
      <c r="K592" s="810">
        <v>0.1217</v>
      </c>
      <c r="L592" s="810">
        <v>0.0881</v>
      </c>
      <c r="M592" s="810">
        <v>0.098</v>
      </c>
      <c r="N592" s="810">
        <v>0.1227</v>
      </c>
      <c r="O592" s="810">
        <v>0.0891</v>
      </c>
      <c r="P592" s="100" t="s">
        <v>2631</v>
      </c>
      <c r="Q592" s="100"/>
      <c r="R592" s="100"/>
      <c r="S592" s="8"/>
    </row>
    <row r="593" ht="14.25" customHeight="1">
      <c r="A593" s="100" t="s">
        <v>2656</v>
      </c>
      <c r="B593" s="100" t="s">
        <v>2657</v>
      </c>
      <c r="C593" s="100" t="s">
        <v>2423</v>
      </c>
      <c r="D593" s="100" t="s">
        <v>135</v>
      </c>
      <c r="E593" s="810">
        <v>0.5648</v>
      </c>
      <c r="F593" s="810">
        <v>0.5307</v>
      </c>
      <c r="G593" s="810">
        <v>0.522</v>
      </c>
      <c r="H593" s="810">
        <v>0.5368</v>
      </c>
      <c r="I593" s="810">
        <v>0.5179</v>
      </c>
      <c r="J593" s="810">
        <v>0.4924</v>
      </c>
      <c r="K593" s="810">
        <v>0.4131</v>
      </c>
      <c r="L593" s="810">
        <v>0.416</v>
      </c>
      <c r="M593" s="810">
        <v>0.4022</v>
      </c>
      <c r="N593" s="810">
        <v>0.329</v>
      </c>
      <c r="O593" s="810" t="s">
        <v>2434</v>
      </c>
      <c r="P593" s="100" t="s">
        <v>2632</v>
      </c>
      <c r="Q593" s="100"/>
      <c r="R593" s="100"/>
      <c r="S593" s="8"/>
    </row>
    <row r="594" ht="14.25" customHeight="1">
      <c r="A594" s="100" t="s">
        <v>2656</v>
      </c>
      <c r="B594" s="100" t="s">
        <v>2657</v>
      </c>
      <c r="C594" s="100" t="s">
        <v>2360</v>
      </c>
      <c r="D594" s="100" t="s">
        <v>135</v>
      </c>
      <c r="E594" s="810">
        <v>8.4781</v>
      </c>
      <c r="F594" s="810">
        <v>8.5454</v>
      </c>
      <c r="G594" s="810">
        <v>8.1647</v>
      </c>
      <c r="H594" s="810">
        <v>8.1906</v>
      </c>
      <c r="I594" s="810">
        <v>7.9055</v>
      </c>
      <c r="J594" s="810">
        <v>6.357</v>
      </c>
      <c r="K594" s="810">
        <v>6.3806</v>
      </c>
      <c r="L594" s="810">
        <v>6.4068</v>
      </c>
      <c r="M594" s="810">
        <v>6.3111</v>
      </c>
      <c r="N594" s="810">
        <v>6.1235</v>
      </c>
      <c r="O594" s="810" t="s">
        <v>2434</v>
      </c>
      <c r="P594" s="100" t="s">
        <v>2636</v>
      </c>
      <c r="Q594" s="100"/>
      <c r="R594" s="100"/>
      <c r="S594" s="8"/>
    </row>
    <row r="595" ht="14.25" customHeight="1">
      <c r="A595" s="100" t="s">
        <v>2656</v>
      </c>
      <c r="B595" s="100" t="s">
        <v>2657</v>
      </c>
      <c r="C595" s="100" t="s">
        <v>2535</v>
      </c>
      <c r="D595" s="100" t="s">
        <v>135</v>
      </c>
      <c r="E595" s="810">
        <v>0.4363</v>
      </c>
      <c r="F595" s="810">
        <v>0.5466</v>
      </c>
      <c r="G595" s="810">
        <v>0.6248</v>
      </c>
      <c r="H595" s="810">
        <v>0.5722</v>
      </c>
      <c r="I595" s="810">
        <v>0.6216</v>
      </c>
      <c r="J595" s="810">
        <v>0.6968</v>
      </c>
      <c r="K595" s="810">
        <v>0.8813</v>
      </c>
      <c r="L595" s="810">
        <v>0.9309</v>
      </c>
      <c r="M595" s="810">
        <v>0.9527</v>
      </c>
      <c r="N595" s="810">
        <v>0.8352</v>
      </c>
      <c r="O595" s="810" t="s">
        <v>2434</v>
      </c>
      <c r="P595" s="100" t="s">
        <v>2546</v>
      </c>
      <c r="Q595" s="100"/>
      <c r="R595" s="100"/>
      <c r="S595" s="8"/>
    </row>
    <row r="596" ht="14.25" customHeight="1">
      <c r="A596" s="100" t="s">
        <v>2658</v>
      </c>
      <c r="B596" s="100" t="s">
        <v>2659</v>
      </c>
      <c r="C596" s="100" t="s">
        <v>2317</v>
      </c>
      <c r="D596" s="100" t="s">
        <v>135</v>
      </c>
      <c r="E596" s="810" t="str">
        <f t="shared" ref="E596:O596" si="52">#REF!</f>
        <v>#REF!</v>
      </c>
      <c r="F596" s="810" t="str">
        <f t="shared" si="52"/>
        <v>#REF!</v>
      </c>
      <c r="G596" s="810" t="str">
        <f t="shared" si="52"/>
        <v>#REF!</v>
      </c>
      <c r="H596" s="810" t="str">
        <f t="shared" si="52"/>
        <v>#REF!</v>
      </c>
      <c r="I596" s="810" t="str">
        <f t="shared" si="52"/>
        <v>#REF!</v>
      </c>
      <c r="J596" s="810" t="str">
        <f t="shared" si="52"/>
        <v>#REF!</v>
      </c>
      <c r="K596" s="810" t="str">
        <f t="shared" si="52"/>
        <v>#REF!</v>
      </c>
      <c r="L596" s="810" t="str">
        <f t="shared" si="52"/>
        <v>#REF!</v>
      </c>
      <c r="M596" s="810" t="str">
        <f t="shared" si="52"/>
        <v>#REF!</v>
      </c>
      <c r="N596" s="810" t="str">
        <f t="shared" si="52"/>
        <v>#REF!</v>
      </c>
      <c r="O596" s="810" t="str">
        <f t="shared" si="52"/>
        <v>#REF!</v>
      </c>
      <c r="P596" s="100" t="s">
        <v>2546</v>
      </c>
      <c r="Q596" s="100"/>
      <c r="R596" s="100"/>
      <c r="S596" s="8"/>
    </row>
    <row r="597" ht="14.25" customHeight="1">
      <c r="A597" s="100" t="s">
        <v>2658</v>
      </c>
      <c r="B597" s="100"/>
      <c r="C597" s="100" t="s">
        <v>2507</v>
      </c>
      <c r="D597" s="100"/>
      <c r="E597" s="810" t="str">
        <f t="shared" ref="E597:O597" si="53">#REF!</f>
        <v>#REF!</v>
      </c>
      <c r="F597" s="810" t="str">
        <f t="shared" si="53"/>
        <v>#REF!</v>
      </c>
      <c r="G597" s="810" t="str">
        <f t="shared" si="53"/>
        <v>#REF!</v>
      </c>
      <c r="H597" s="810" t="str">
        <f t="shared" si="53"/>
        <v>#REF!</v>
      </c>
      <c r="I597" s="810" t="str">
        <f t="shared" si="53"/>
        <v>#REF!</v>
      </c>
      <c r="J597" s="810" t="str">
        <f t="shared" si="53"/>
        <v>#REF!</v>
      </c>
      <c r="K597" s="810" t="str">
        <f t="shared" si="53"/>
        <v>#REF!</v>
      </c>
      <c r="L597" s="810" t="str">
        <f t="shared" si="53"/>
        <v>#REF!</v>
      </c>
      <c r="M597" s="810" t="str">
        <f t="shared" si="53"/>
        <v>#REF!</v>
      </c>
      <c r="N597" s="810" t="str">
        <f t="shared" si="53"/>
        <v>#REF!</v>
      </c>
      <c r="O597" s="810" t="str">
        <f t="shared" si="53"/>
        <v>#REF!</v>
      </c>
      <c r="P597" s="100"/>
      <c r="Q597" s="100"/>
      <c r="R597" s="100"/>
      <c r="S597" s="8"/>
    </row>
    <row r="598" ht="14.25" customHeight="1">
      <c r="A598" s="100" t="s">
        <v>2658</v>
      </c>
      <c r="B598" s="100" t="s">
        <v>2659</v>
      </c>
      <c r="C598" s="100" t="s">
        <v>2325</v>
      </c>
      <c r="D598" s="100" t="s">
        <v>135</v>
      </c>
      <c r="E598" s="810">
        <v>7.3493</v>
      </c>
      <c r="F598" s="810">
        <v>7.5008</v>
      </c>
      <c r="G598" s="810">
        <v>7.8676</v>
      </c>
      <c r="H598" s="810">
        <v>5.9078</v>
      </c>
      <c r="I598" s="810">
        <v>5.5356</v>
      </c>
      <c r="J598" s="810">
        <v>5.8867</v>
      </c>
      <c r="K598" s="810">
        <v>6.1554</v>
      </c>
      <c r="L598" s="810">
        <v>6.0251</v>
      </c>
      <c r="M598" s="810">
        <v>6.337</v>
      </c>
      <c r="N598" s="810">
        <v>5.9821</v>
      </c>
      <c r="O598" s="810" t="s">
        <v>2434</v>
      </c>
      <c r="P598" s="100" t="s">
        <v>2616</v>
      </c>
      <c r="Q598" s="100"/>
      <c r="R598" s="100"/>
      <c r="S598" s="8"/>
    </row>
    <row r="599" ht="14.25" customHeight="1">
      <c r="A599" s="100" t="s">
        <v>2658</v>
      </c>
      <c r="B599" s="100" t="s">
        <v>2659</v>
      </c>
      <c r="C599" s="100" t="s">
        <v>2329</v>
      </c>
      <c r="D599" s="100" t="s">
        <v>135</v>
      </c>
      <c r="E599" s="810">
        <v>4.047</v>
      </c>
      <c r="F599" s="810">
        <v>4.1106</v>
      </c>
      <c r="G599" s="810">
        <v>3.9671</v>
      </c>
      <c r="H599" s="810">
        <v>3.7038</v>
      </c>
      <c r="I599" s="810">
        <v>3.3727</v>
      </c>
      <c r="J599" s="810">
        <v>3.4663</v>
      </c>
      <c r="K599" s="810">
        <v>3.2669</v>
      </c>
      <c r="L599" s="810">
        <v>3.3661</v>
      </c>
      <c r="M599" s="810">
        <v>3.3422</v>
      </c>
      <c r="N599" s="810">
        <v>3.1789</v>
      </c>
      <c r="O599" s="810" t="s">
        <v>2434</v>
      </c>
      <c r="P599" s="100" t="s">
        <v>2549</v>
      </c>
      <c r="Q599" s="100"/>
      <c r="R599" s="100"/>
      <c r="S599" s="8"/>
    </row>
    <row r="600" ht="14.25" customHeight="1">
      <c r="A600" s="100" t="s">
        <v>2658</v>
      </c>
      <c r="B600" s="100" t="s">
        <v>2659</v>
      </c>
      <c r="C600" s="100" t="s">
        <v>2333</v>
      </c>
      <c r="D600" s="100" t="s">
        <v>135</v>
      </c>
      <c r="E600" s="810">
        <v>1.093</v>
      </c>
      <c r="F600" s="810">
        <v>1.4535</v>
      </c>
      <c r="G600" s="810">
        <v>1.3721</v>
      </c>
      <c r="H600" s="810">
        <v>1.3488</v>
      </c>
      <c r="I600" s="810">
        <v>1.3256</v>
      </c>
      <c r="J600" s="810">
        <v>1.4535</v>
      </c>
      <c r="K600" s="810">
        <v>1.5349</v>
      </c>
      <c r="L600" s="810">
        <v>1.6216</v>
      </c>
      <c r="M600" s="810">
        <v>1.6323</v>
      </c>
      <c r="N600" s="810">
        <v>1.5749</v>
      </c>
      <c r="O600" s="810" t="s">
        <v>2434</v>
      </c>
      <c r="P600" s="100" t="s">
        <v>2537</v>
      </c>
      <c r="Q600" s="100"/>
      <c r="R600" s="100"/>
      <c r="S600" s="8"/>
    </row>
    <row r="601" ht="14.25" customHeight="1">
      <c r="A601" s="100" t="s">
        <v>2658</v>
      </c>
      <c r="B601" s="100" t="s">
        <v>2659</v>
      </c>
      <c r="C601" s="100" t="s">
        <v>2364</v>
      </c>
      <c r="D601" s="100" t="s">
        <v>135</v>
      </c>
      <c r="E601" s="810">
        <v>0.6371</v>
      </c>
      <c r="F601" s="810">
        <v>0.6597</v>
      </c>
      <c r="G601" s="810">
        <v>0.6298</v>
      </c>
      <c r="H601" s="810">
        <v>0.5947</v>
      </c>
      <c r="I601" s="810">
        <v>0.7226</v>
      </c>
      <c r="J601" s="810">
        <v>0.7405</v>
      </c>
      <c r="K601" s="810">
        <v>0.7916</v>
      </c>
      <c r="L601" s="810">
        <v>0.8283</v>
      </c>
      <c r="M601" s="810">
        <v>0.7456</v>
      </c>
      <c r="N601" s="810">
        <v>0.7363</v>
      </c>
      <c r="O601" s="810" t="s">
        <v>2434</v>
      </c>
      <c r="P601" s="100" t="s">
        <v>2617</v>
      </c>
      <c r="Q601" s="100"/>
      <c r="R601" s="100"/>
      <c r="S601" s="8"/>
    </row>
    <row r="602" ht="14.25" customHeight="1">
      <c r="A602" s="100" t="s">
        <v>2658</v>
      </c>
      <c r="B602" s="100" t="s">
        <v>2659</v>
      </c>
      <c r="C602" s="100" t="s">
        <v>2337</v>
      </c>
      <c r="D602" s="100" t="s">
        <v>135</v>
      </c>
      <c r="E602" s="810">
        <v>0.0727</v>
      </c>
      <c r="F602" s="810">
        <v>0.0736</v>
      </c>
      <c r="G602" s="810">
        <v>0.0502</v>
      </c>
      <c r="H602" s="810">
        <v>0.0418</v>
      </c>
      <c r="I602" s="810">
        <v>0.0717</v>
      </c>
      <c r="J602" s="810">
        <v>0.0432</v>
      </c>
      <c r="K602" s="810">
        <v>0.0363</v>
      </c>
      <c r="L602" s="810">
        <v>0.0461</v>
      </c>
      <c r="M602" s="810">
        <v>0.0416</v>
      </c>
      <c r="N602" s="810">
        <v>0.0407</v>
      </c>
      <c r="O602" s="810">
        <v>0.0413</v>
      </c>
      <c r="P602" s="100" t="s">
        <v>2512</v>
      </c>
      <c r="Q602" s="100"/>
      <c r="R602" s="100"/>
      <c r="S602" s="8"/>
    </row>
    <row r="603" ht="14.25" customHeight="1">
      <c r="A603" s="100" t="s">
        <v>2658</v>
      </c>
      <c r="B603" s="100" t="s">
        <v>2659</v>
      </c>
      <c r="C603" s="100" t="s">
        <v>2341</v>
      </c>
      <c r="D603" s="100" t="s">
        <v>135</v>
      </c>
      <c r="E603" s="810">
        <v>8.4148</v>
      </c>
      <c r="F603" s="810">
        <v>8.02</v>
      </c>
      <c r="G603" s="810">
        <v>8.1628</v>
      </c>
      <c r="H603" s="810">
        <v>7.8685</v>
      </c>
      <c r="I603" s="810">
        <v>7.4114</v>
      </c>
      <c r="J603" s="810">
        <v>8.076</v>
      </c>
      <c r="K603" s="810">
        <v>7.9719</v>
      </c>
      <c r="L603" s="810">
        <v>8.4687</v>
      </c>
      <c r="M603" s="810">
        <v>7.9585</v>
      </c>
      <c r="N603" s="810">
        <v>7.9793</v>
      </c>
      <c r="O603" s="810" t="s">
        <v>2434</v>
      </c>
      <c r="P603" s="100" t="s">
        <v>2546</v>
      </c>
      <c r="Q603" s="100"/>
      <c r="R603" s="100"/>
      <c r="S603" s="8"/>
    </row>
    <row r="604" ht="14.25" customHeight="1">
      <c r="A604" s="100" t="s">
        <v>2658</v>
      </c>
      <c r="B604" s="100" t="s">
        <v>2659</v>
      </c>
      <c r="C604" s="100" t="s">
        <v>2348</v>
      </c>
      <c r="D604" s="100" t="s">
        <v>135</v>
      </c>
      <c r="E604" s="810">
        <v>4.1622</v>
      </c>
      <c r="F604" s="810">
        <v>3.6466</v>
      </c>
      <c r="G604" s="810">
        <v>3.2888</v>
      </c>
      <c r="H604" s="810">
        <v>3.161</v>
      </c>
      <c r="I604" s="810">
        <v>3.0735</v>
      </c>
      <c r="J604" s="810">
        <v>3.1254</v>
      </c>
      <c r="K604" s="810">
        <v>3.1391</v>
      </c>
      <c r="L604" s="810">
        <v>3.2147</v>
      </c>
      <c r="M604" s="810">
        <v>3.4645</v>
      </c>
      <c r="N604" s="810">
        <v>3.4475</v>
      </c>
      <c r="O604" s="810" t="s">
        <v>2434</v>
      </c>
      <c r="P604" s="100" t="s">
        <v>2633</v>
      </c>
      <c r="Q604" s="100"/>
      <c r="R604" s="100"/>
      <c r="S604" s="8"/>
    </row>
    <row r="605" ht="14.25" customHeight="1">
      <c r="A605" s="100" t="s">
        <v>2658</v>
      </c>
      <c r="B605" s="100" t="s">
        <v>2659</v>
      </c>
      <c r="C605" s="100" t="s">
        <v>2350</v>
      </c>
      <c r="D605" s="100" t="s">
        <v>135</v>
      </c>
      <c r="E605" s="810">
        <v>0.4701</v>
      </c>
      <c r="F605" s="810">
        <v>0.4892</v>
      </c>
      <c r="G605" s="810">
        <v>0.5022</v>
      </c>
      <c r="H605" s="810">
        <v>0.467</v>
      </c>
      <c r="I605" s="810">
        <v>0.4333</v>
      </c>
      <c r="J605" s="810">
        <v>0.405</v>
      </c>
      <c r="K605" s="810">
        <v>0.4387</v>
      </c>
      <c r="L605" s="810">
        <v>0.4325</v>
      </c>
      <c r="M605" s="810">
        <v>0.4471</v>
      </c>
      <c r="N605" s="810">
        <v>0.3708</v>
      </c>
      <c r="O605" s="810" t="s">
        <v>2434</v>
      </c>
      <c r="P605" s="100" t="s">
        <v>2400</v>
      </c>
      <c r="Q605" s="100"/>
      <c r="R605" s="100"/>
      <c r="S605" s="8"/>
    </row>
    <row r="606" ht="14.25" customHeight="1">
      <c r="A606" s="100" t="s">
        <v>2658</v>
      </c>
      <c r="B606" s="100" t="s">
        <v>2659</v>
      </c>
      <c r="C606" s="100" t="s">
        <v>2354</v>
      </c>
      <c r="D606" s="100" t="s">
        <v>135</v>
      </c>
      <c r="E606" s="810">
        <v>4.2538</v>
      </c>
      <c r="F606" s="810">
        <v>3.96</v>
      </c>
      <c r="G606" s="810">
        <v>3.758</v>
      </c>
      <c r="H606" s="810">
        <v>3.6614</v>
      </c>
      <c r="I606" s="810">
        <v>3.8493</v>
      </c>
      <c r="J606" s="810">
        <v>3.4878</v>
      </c>
      <c r="K606" s="810">
        <v>3.5804</v>
      </c>
      <c r="L606" s="810">
        <v>3.5648</v>
      </c>
      <c r="M606" s="810">
        <v>3.7457</v>
      </c>
      <c r="N606" s="810">
        <v>3.7753</v>
      </c>
      <c r="O606" s="810" t="s">
        <v>2434</v>
      </c>
      <c r="P606" s="100" t="s">
        <v>2556</v>
      </c>
      <c r="Q606" s="100"/>
      <c r="R606" s="100"/>
      <c r="S606" s="8"/>
    </row>
    <row r="607" ht="14.25" customHeight="1">
      <c r="A607" s="100" t="s">
        <v>2658</v>
      </c>
      <c r="B607" s="100" t="s">
        <v>2659</v>
      </c>
      <c r="C607" s="100" t="s">
        <v>2356</v>
      </c>
      <c r="D607" s="100" t="s">
        <v>135</v>
      </c>
      <c r="E607" s="810">
        <v>26.0254</v>
      </c>
      <c r="F607" s="810">
        <v>23.14</v>
      </c>
      <c r="G607" s="810">
        <v>23.4846</v>
      </c>
      <c r="H607" s="810">
        <v>24.6123</v>
      </c>
      <c r="I607" s="810">
        <v>22.2705</v>
      </c>
      <c r="J607" s="810">
        <v>22.1473</v>
      </c>
      <c r="K607" s="810">
        <v>22.5412</v>
      </c>
      <c r="L607" s="810">
        <v>21.8236</v>
      </c>
      <c r="M607" s="810">
        <v>21.5125</v>
      </c>
      <c r="N607" s="810">
        <v>21.3558</v>
      </c>
      <c r="O607" s="810" t="s">
        <v>2434</v>
      </c>
      <c r="P607" s="100" t="s">
        <v>2546</v>
      </c>
      <c r="Q607" s="100"/>
      <c r="R607" s="100"/>
      <c r="S607" s="8"/>
    </row>
    <row r="608" ht="14.25" customHeight="1">
      <c r="A608" s="100" t="s">
        <v>2658</v>
      </c>
      <c r="B608" s="100" t="s">
        <v>2659</v>
      </c>
      <c r="C608" s="100" t="s">
        <v>2344</v>
      </c>
      <c r="D608" s="100" t="s">
        <v>135</v>
      </c>
      <c r="E608" s="810">
        <v>61.6502</v>
      </c>
      <c r="F608" s="810">
        <v>61.6966</v>
      </c>
      <c r="G608" s="810">
        <v>63.3462</v>
      </c>
      <c r="H608" s="810">
        <v>60.567</v>
      </c>
      <c r="I608" s="810">
        <v>59.635</v>
      </c>
      <c r="J608" s="810">
        <v>56.4589</v>
      </c>
      <c r="K608" s="810">
        <v>53.0886</v>
      </c>
      <c r="L608" s="810">
        <v>58.655</v>
      </c>
      <c r="M608" s="810">
        <v>57.4974</v>
      </c>
      <c r="N608" s="810">
        <v>57.1587</v>
      </c>
      <c r="O608" s="810" t="s">
        <v>2434</v>
      </c>
      <c r="P608" s="100" t="s">
        <v>2660</v>
      </c>
      <c r="Q608" s="100"/>
      <c r="R608" s="100"/>
      <c r="S608" s="8"/>
    </row>
    <row r="609" ht="14.25" customHeight="1">
      <c r="A609" s="100" t="s">
        <v>2658</v>
      </c>
      <c r="B609" s="100" t="s">
        <v>2659</v>
      </c>
      <c r="C609" s="100" t="s">
        <v>2362</v>
      </c>
      <c r="D609" s="100" t="s">
        <v>135</v>
      </c>
      <c r="E609" s="810">
        <v>0.2202</v>
      </c>
      <c r="F609" s="810">
        <v>0.5324</v>
      </c>
      <c r="G609" s="810">
        <v>0.2835</v>
      </c>
      <c r="H609" s="810">
        <v>0.3084</v>
      </c>
      <c r="I609" s="810">
        <v>0.4231</v>
      </c>
      <c r="J609" s="810">
        <v>0.4257</v>
      </c>
      <c r="K609" s="810">
        <v>0.3439</v>
      </c>
      <c r="L609" s="810">
        <v>0.5799</v>
      </c>
      <c r="M609" s="810">
        <v>0.753</v>
      </c>
      <c r="N609" s="810">
        <v>1.0033</v>
      </c>
      <c r="O609" s="810" t="s">
        <v>2434</v>
      </c>
      <c r="P609" s="100" t="s">
        <v>2622</v>
      </c>
      <c r="Q609" s="100"/>
      <c r="R609" s="100"/>
      <c r="S609" s="8"/>
    </row>
    <row r="610" ht="14.25" customHeight="1">
      <c r="A610" s="100" t="s">
        <v>2658</v>
      </c>
      <c r="B610" s="100" t="s">
        <v>2659</v>
      </c>
      <c r="C610" s="100" t="s">
        <v>2367</v>
      </c>
      <c r="D610" s="100" t="s">
        <v>135</v>
      </c>
      <c r="E610" s="810">
        <v>2.984</v>
      </c>
      <c r="F610" s="810">
        <v>3.0875</v>
      </c>
      <c r="G610" s="810">
        <v>3.597</v>
      </c>
      <c r="H610" s="810">
        <v>4.4728</v>
      </c>
      <c r="I610" s="810">
        <v>4.458</v>
      </c>
      <c r="J610" s="810">
        <v>4.5029</v>
      </c>
      <c r="K610" s="810">
        <v>4.729</v>
      </c>
      <c r="L610" s="810">
        <v>5.0884</v>
      </c>
      <c r="M610" s="810">
        <v>5.1618</v>
      </c>
      <c r="N610" s="810">
        <v>5.2236</v>
      </c>
      <c r="O610" s="810" t="s">
        <v>2434</v>
      </c>
      <c r="P610" s="100" t="s">
        <v>2546</v>
      </c>
      <c r="Q610" s="100"/>
      <c r="R610" s="100"/>
      <c r="S610" s="8"/>
    </row>
    <row r="611" ht="14.25" customHeight="1">
      <c r="A611" s="100" t="s">
        <v>2658</v>
      </c>
      <c r="B611" s="100" t="s">
        <v>2659</v>
      </c>
      <c r="C611" s="100" t="s">
        <v>2369</v>
      </c>
      <c r="D611" s="100" t="s">
        <v>135</v>
      </c>
      <c r="E611" s="810">
        <v>1.0665</v>
      </c>
      <c r="F611" s="810">
        <v>1.1029</v>
      </c>
      <c r="G611" s="810">
        <v>1.0008</v>
      </c>
      <c r="H611" s="810">
        <v>1.0565</v>
      </c>
      <c r="I611" s="810">
        <v>1.2536</v>
      </c>
      <c r="J611" s="810">
        <v>1.372</v>
      </c>
      <c r="K611" s="810">
        <v>1.4189</v>
      </c>
      <c r="L611" s="810">
        <v>1.4595</v>
      </c>
      <c r="M611" s="810">
        <v>1.5438</v>
      </c>
      <c r="N611" s="810">
        <v>1.5837</v>
      </c>
      <c r="O611" s="810" t="s">
        <v>2434</v>
      </c>
      <c r="P611" s="100" t="s">
        <v>2623</v>
      </c>
      <c r="Q611" s="100"/>
      <c r="R611" s="100"/>
      <c r="S611" s="8"/>
    </row>
    <row r="612" ht="14.25" customHeight="1">
      <c r="A612" s="100" t="s">
        <v>2658</v>
      </c>
      <c r="B612" s="100" t="s">
        <v>2659</v>
      </c>
      <c r="C612" s="100" t="s">
        <v>2374</v>
      </c>
      <c r="D612" s="100" t="s">
        <v>135</v>
      </c>
      <c r="E612" s="810">
        <v>51.0878</v>
      </c>
      <c r="F612" s="810">
        <v>47.599</v>
      </c>
      <c r="G612" s="810">
        <v>44.9372</v>
      </c>
      <c r="H612" s="810">
        <v>43.2672</v>
      </c>
      <c r="I612" s="810">
        <v>42.894</v>
      </c>
      <c r="J612" s="810">
        <v>43.6657</v>
      </c>
      <c r="K612" s="810">
        <v>44.5117</v>
      </c>
      <c r="L612" s="810">
        <v>45.5994</v>
      </c>
      <c r="M612" s="810">
        <v>45.1922</v>
      </c>
      <c r="N612" s="810">
        <v>45.4142</v>
      </c>
      <c r="O612" s="810" t="s">
        <v>2434</v>
      </c>
      <c r="P612" s="100" t="s">
        <v>2624</v>
      </c>
      <c r="Q612" s="100"/>
      <c r="R612" s="100"/>
      <c r="S612" s="8"/>
    </row>
    <row r="613" ht="14.25" customHeight="1">
      <c r="A613" s="100" t="s">
        <v>2658</v>
      </c>
      <c r="B613" s="100" t="s">
        <v>2659</v>
      </c>
      <c r="C613" s="100" t="s">
        <v>2386</v>
      </c>
      <c r="D613" s="100" t="s">
        <v>135</v>
      </c>
      <c r="E613" s="810">
        <v>0.2033</v>
      </c>
      <c r="F613" s="810">
        <v>0.2155</v>
      </c>
      <c r="G613" s="810">
        <v>0.2158</v>
      </c>
      <c r="H613" s="810">
        <v>0.2225</v>
      </c>
      <c r="I613" s="810">
        <v>0.2358</v>
      </c>
      <c r="J613" s="810">
        <v>0.1816</v>
      </c>
      <c r="K613" s="810">
        <v>0.1997</v>
      </c>
      <c r="L613" s="810">
        <v>0.2023</v>
      </c>
      <c r="M613" s="810">
        <v>0.2093</v>
      </c>
      <c r="N613" s="810">
        <v>0.1835</v>
      </c>
      <c r="O613" s="810" t="s">
        <v>2434</v>
      </c>
      <c r="P613" s="100" t="s">
        <v>2625</v>
      </c>
      <c r="Q613" s="100"/>
      <c r="R613" s="100"/>
      <c r="S613" s="8"/>
    </row>
    <row r="614" ht="14.25" customHeight="1">
      <c r="A614" s="100" t="s">
        <v>2658</v>
      </c>
      <c r="B614" s="100" t="s">
        <v>2659</v>
      </c>
      <c r="C614" s="100" t="s">
        <v>2378</v>
      </c>
      <c r="D614" s="100" t="s">
        <v>135</v>
      </c>
      <c r="E614" s="810">
        <v>0.2233</v>
      </c>
      <c r="F614" s="810">
        <v>0.2411</v>
      </c>
      <c r="G614" s="810">
        <v>0.302</v>
      </c>
      <c r="H614" s="810">
        <v>0.2695</v>
      </c>
      <c r="I614" s="810">
        <v>0.259</v>
      </c>
      <c r="J614" s="810">
        <v>0.2642</v>
      </c>
      <c r="K614" s="810">
        <v>0.3175</v>
      </c>
      <c r="L614" s="810">
        <v>0.3842</v>
      </c>
      <c r="M614" s="810">
        <v>0.379</v>
      </c>
      <c r="N614" s="810">
        <v>0.4593</v>
      </c>
      <c r="O614" s="810" t="s">
        <v>2434</v>
      </c>
      <c r="P614" s="100" t="s">
        <v>2567</v>
      </c>
      <c r="Q614" s="100"/>
      <c r="R614" s="100"/>
      <c r="S614" s="8"/>
    </row>
    <row r="615" ht="14.25" customHeight="1">
      <c r="A615" s="100" t="s">
        <v>2658</v>
      </c>
      <c r="B615" s="100" t="s">
        <v>2659</v>
      </c>
      <c r="C615" s="100" t="s">
        <v>2383</v>
      </c>
      <c r="D615" s="100" t="s">
        <v>135</v>
      </c>
      <c r="E615" s="810">
        <v>0.1744</v>
      </c>
      <c r="F615" s="810">
        <v>0.1279</v>
      </c>
      <c r="G615" s="810">
        <v>0.1047</v>
      </c>
      <c r="H615" s="810">
        <v>0.1047</v>
      </c>
      <c r="I615" s="810">
        <v>0.093</v>
      </c>
      <c r="J615" s="810">
        <v>0.1279</v>
      </c>
      <c r="K615" s="810">
        <v>0.1395</v>
      </c>
      <c r="L615" s="810">
        <v>0.1163</v>
      </c>
      <c r="M615" s="810">
        <v>0.0814</v>
      </c>
      <c r="N615" s="810">
        <v>0.0814</v>
      </c>
      <c r="O615" s="810" t="s">
        <v>2434</v>
      </c>
      <c r="P615" s="100" t="s">
        <v>2523</v>
      </c>
      <c r="Q615" s="100"/>
      <c r="R615" s="100"/>
      <c r="S615" s="8"/>
    </row>
    <row r="616" ht="14.25" customHeight="1">
      <c r="A616" s="100" t="s">
        <v>2658</v>
      </c>
      <c r="B616" s="100" t="s">
        <v>2659</v>
      </c>
      <c r="C616" s="100" t="s">
        <v>2389</v>
      </c>
      <c r="D616" s="100" t="s">
        <v>135</v>
      </c>
      <c r="E616" s="810">
        <v>0.11</v>
      </c>
      <c r="F616" s="810">
        <v>0.109</v>
      </c>
      <c r="G616" s="810">
        <v>0.108</v>
      </c>
      <c r="H616" s="810">
        <v>0.114</v>
      </c>
      <c r="I616" s="810">
        <v>0.116</v>
      </c>
      <c r="J616" s="810">
        <v>0.115</v>
      </c>
      <c r="K616" s="810">
        <v>0.109</v>
      </c>
      <c r="L616" s="810">
        <v>0.1165</v>
      </c>
      <c r="M616" s="810">
        <v>0.1197</v>
      </c>
      <c r="N616" s="810">
        <v>0.1221</v>
      </c>
      <c r="O616" s="810" t="s">
        <v>2434</v>
      </c>
      <c r="P616" s="100" t="s">
        <v>2549</v>
      </c>
      <c r="Q616" s="100"/>
      <c r="R616" s="100"/>
      <c r="S616" s="8"/>
    </row>
    <row r="617" ht="14.25" customHeight="1">
      <c r="A617" s="100" t="s">
        <v>2658</v>
      </c>
      <c r="B617" s="100" t="s">
        <v>2659</v>
      </c>
      <c r="C617" s="100" t="s">
        <v>2391</v>
      </c>
      <c r="D617" s="100" t="s">
        <v>135</v>
      </c>
      <c r="E617" s="810">
        <v>7.63</v>
      </c>
      <c r="F617" s="810">
        <v>5.9903</v>
      </c>
      <c r="G617" s="810">
        <v>6.2533</v>
      </c>
      <c r="H617" s="810">
        <v>5.9796</v>
      </c>
      <c r="I617" s="810">
        <v>5.7475</v>
      </c>
      <c r="J617" s="810">
        <v>5.8331</v>
      </c>
      <c r="K617" s="810">
        <v>6.1295</v>
      </c>
      <c r="L617" s="810">
        <v>6.4298</v>
      </c>
      <c r="M617" s="810">
        <v>6.2143</v>
      </c>
      <c r="N617" s="810">
        <v>6.1579</v>
      </c>
      <c r="O617" s="810" t="s">
        <v>2434</v>
      </c>
      <c r="P617" s="100" t="s">
        <v>2546</v>
      </c>
      <c r="Q617" s="100"/>
      <c r="R617" s="100"/>
      <c r="S617" s="8"/>
    </row>
    <row r="618" ht="14.25" customHeight="1">
      <c r="A618" s="100" t="s">
        <v>2658</v>
      </c>
      <c r="B618" s="100" t="s">
        <v>2659</v>
      </c>
      <c r="C618" s="100" t="s">
        <v>2393</v>
      </c>
      <c r="D618" s="100" t="s">
        <v>135</v>
      </c>
      <c r="E618" s="810">
        <v>8.1491</v>
      </c>
      <c r="F618" s="810">
        <v>8.1875</v>
      </c>
      <c r="G618" s="810">
        <v>7.9244</v>
      </c>
      <c r="H618" s="810">
        <v>8.5146</v>
      </c>
      <c r="I618" s="810">
        <v>8.3366</v>
      </c>
      <c r="J618" s="810">
        <v>8.7848</v>
      </c>
      <c r="K618" s="810">
        <v>8.5834</v>
      </c>
      <c r="L618" s="810">
        <v>9.0261</v>
      </c>
      <c r="M618" s="810">
        <v>9.4944</v>
      </c>
      <c r="N618" s="810">
        <v>8.8348</v>
      </c>
      <c r="O618" s="810" t="s">
        <v>2434</v>
      </c>
      <c r="P618" s="100" t="s">
        <v>2526</v>
      </c>
      <c r="Q618" s="100"/>
      <c r="R618" s="100"/>
      <c r="S618" s="8"/>
    </row>
    <row r="619" ht="14.25" customHeight="1">
      <c r="A619" s="100" t="s">
        <v>2658</v>
      </c>
      <c r="B619" s="100" t="s">
        <v>2659</v>
      </c>
      <c r="C619" s="100" t="s">
        <v>2395</v>
      </c>
      <c r="D619" s="100" t="s">
        <v>135</v>
      </c>
      <c r="E619" s="810">
        <v>2.708</v>
      </c>
      <c r="F619" s="810">
        <v>2.6122</v>
      </c>
      <c r="G619" s="810">
        <v>2.9125</v>
      </c>
      <c r="H619" s="810">
        <v>2.4766</v>
      </c>
      <c r="I619" s="810">
        <v>2.804</v>
      </c>
      <c r="J619" s="810">
        <v>2.9148</v>
      </c>
      <c r="K619" s="810">
        <v>2.442</v>
      </c>
      <c r="L619" s="810">
        <v>2.5461</v>
      </c>
      <c r="M619" s="810">
        <v>2.7163</v>
      </c>
      <c r="N619" s="810">
        <v>2.7378</v>
      </c>
      <c r="O619" s="810" t="s">
        <v>2434</v>
      </c>
      <c r="P619" s="100" t="s">
        <v>2626</v>
      </c>
      <c r="Q619" s="100"/>
      <c r="R619" s="100"/>
      <c r="S619" s="8"/>
    </row>
    <row r="620" ht="14.25" customHeight="1">
      <c r="A620" s="100" t="s">
        <v>2658</v>
      </c>
      <c r="B620" s="100" t="s">
        <v>2659</v>
      </c>
      <c r="C620" s="100" t="s">
        <v>2397</v>
      </c>
      <c r="D620" s="100" t="s">
        <v>135</v>
      </c>
      <c r="E620" s="810">
        <v>5.5698</v>
      </c>
      <c r="F620" s="810">
        <v>6.1628</v>
      </c>
      <c r="G620" s="810">
        <v>4.0233</v>
      </c>
      <c r="H620" s="810">
        <v>4.0116</v>
      </c>
      <c r="I620" s="810">
        <v>4.2209</v>
      </c>
      <c r="J620" s="810">
        <v>4.0831</v>
      </c>
      <c r="K620" s="810">
        <v>4.0581</v>
      </c>
      <c r="L620" s="810">
        <v>4.686</v>
      </c>
      <c r="M620" s="810">
        <v>4.969</v>
      </c>
      <c r="N620" s="810">
        <v>4.7907</v>
      </c>
      <c r="O620" s="810" t="s">
        <v>2434</v>
      </c>
      <c r="P620" s="100" t="s">
        <v>2546</v>
      </c>
      <c r="Q620" s="100"/>
      <c r="R620" s="100"/>
      <c r="S620" s="8"/>
    </row>
    <row r="621" ht="14.25" customHeight="1">
      <c r="A621" s="100" t="s">
        <v>2658</v>
      </c>
      <c r="B621" s="100" t="s">
        <v>2659</v>
      </c>
      <c r="C621" s="100" t="s">
        <v>2411</v>
      </c>
      <c r="D621" s="100" t="s">
        <v>135</v>
      </c>
      <c r="E621" s="810">
        <v>2.0511</v>
      </c>
      <c r="F621" s="810">
        <v>2.0701</v>
      </c>
      <c r="G621" s="810">
        <v>2.0708</v>
      </c>
      <c r="H621" s="810">
        <v>2.1725</v>
      </c>
      <c r="I621" s="810">
        <v>2.3377</v>
      </c>
      <c r="J621" s="810">
        <v>2.4417</v>
      </c>
      <c r="K621" s="810">
        <v>2.544</v>
      </c>
      <c r="L621" s="810">
        <v>2.9545</v>
      </c>
      <c r="M621" s="810">
        <v>3.2402</v>
      </c>
      <c r="N621" s="810">
        <v>2.8222</v>
      </c>
      <c r="O621" s="810" t="s">
        <v>2434</v>
      </c>
      <c r="P621" s="100" t="s">
        <v>2546</v>
      </c>
      <c r="Q621" s="100"/>
      <c r="R621" s="100"/>
      <c r="S621" s="8"/>
    </row>
    <row r="622" ht="14.25" customHeight="1">
      <c r="A622" s="100" t="s">
        <v>2658</v>
      </c>
      <c r="B622" s="100" t="s">
        <v>2659</v>
      </c>
      <c r="C622" s="100" t="s">
        <v>2406</v>
      </c>
      <c r="D622" s="100" t="s">
        <v>135</v>
      </c>
      <c r="E622" s="810">
        <v>1.7111</v>
      </c>
      <c r="F622" s="810">
        <v>1.6448</v>
      </c>
      <c r="G622" s="810">
        <v>1.6302</v>
      </c>
      <c r="H622" s="810">
        <v>1.5479</v>
      </c>
      <c r="I622" s="810">
        <v>1.5381</v>
      </c>
      <c r="J622" s="810">
        <v>1.5681</v>
      </c>
      <c r="K622" s="810">
        <v>1.6269</v>
      </c>
      <c r="L622" s="810">
        <v>1.6581</v>
      </c>
      <c r="M622" s="810">
        <v>2.1697</v>
      </c>
      <c r="N622" s="810">
        <v>2.1531</v>
      </c>
      <c r="O622" s="810" t="s">
        <v>2434</v>
      </c>
      <c r="P622" s="100" t="s">
        <v>2628</v>
      </c>
      <c r="Q622" s="100"/>
      <c r="R622" s="100"/>
      <c r="S622" s="8"/>
    </row>
    <row r="623" ht="14.25" customHeight="1">
      <c r="A623" s="100" t="s">
        <v>2658</v>
      </c>
      <c r="B623" s="100" t="s">
        <v>2659</v>
      </c>
      <c r="C623" s="100" t="s">
        <v>2352</v>
      </c>
      <c r="D623" s="100" t="s">
        <v>135</v>
      </c>
      <c r="E623" s="810">
        <v>12.7653</v>
      </c>
      <c r="F623" s="810">
        <v>12.6146</v>
      </c>
      <c r="G623" s="810">
        <v>8.3386</v>
      </c>
      <c r="H623" s="810">
        <v>11.6958</v>
      </c>
      <c r="I623" s="810">
        <v>9.657</v>
      </c>
      <c r="J623" s="810">
        <v>10.9985</v>
      </c>
      <c r="K623" s="810">
        <v>11.0261</v>
      </c>
      <c r="L623" s="810">
        <v>8.9695</v>
      </c>
      <c r="M623" s="810">
        <v>10.5638</v>
      </c>
      <c r="N623" s="810">
        <v>9.5984</v>
      </c>
      <c r="O623" s="810" t="s">
        <v>2434</v>
      </c>
      <c r="P623" s="100" t="s">
        <v>2629</v>
      </c>
      <c r="Q623" s="100"/>
      <c r="R623" s="100"/>
      <c r="S623" s="8"/>
    </row>
    <row r="624" ht="14.25" customHeight="1">
      <c r="A624" s="100" t="s">
        <v>2658</v>
      </c>
      <c r="B624" s="100" t="s">
        <v>2659</v>
      </c>
      <c r="C624" s="100" t="s">
        <v>2400</v>
      </c>
      <c r="D624" s="100" t="s">
        <v>135</v>
      </c>
      <c r="E624" s="810">
        <v>5.9236</v>
      </c>
      <c r="F624" s="810">
        <v>5.4579</v>
      </c>
      <c r="G624" s="810">
        <v>5.446</v>
      </c>
      <c r="H624" s="810">
        <v>5.2577</v>
      </c>
      <c r="I624" s="810">
        <v>5.3818</v>
      </c>
      <c r="J624" s="810">
        <v>5.0293</v>
      </c>
      <c r="K624" s="810">
        <v>4.9802</v>
      </c>
      <c r="L624" s="810">
        <v>4.9239</v>
      </c>
      <c r="M624" s="810">
        <v>4.9833</v>
      </c>
      <c r="N624" s="810">
        <v>4.7627</v>
      </c>
      <c r="O624" s="810" t="s">
        <v>2434</v>
      </c>
      <c r="P624" s="100" t="s">
        <v>2630</v>
      </c>
      <c r="Q624" s="100"/>
      <c r="R624" s="100"/>
      <c r="S624" s="8"/>
    </row>
    <row r="625" ht="14.25" customHeight="1">
      <c r="A625" s="100" t="s">
        <v>2658</v>
      </c>
      <c r="B625" s="100" t="s">
        <v>2659</v>
      </c>
      <c r="C625" s="100" t="s">
        <v>2416</v>
      </c>
      <c r="D625" s="100" t="s">
        <v>135</v>
      </c>
      <c r="E625" s="810">
        <v>1.4686</v>
      </c>
      <c r="F625" s="810">
        <v>1.3845</v>
      </c>
      <c r="G625" s="810">
        <v>1.3775</v>
      </c>
      <c r="H625" s="810">
        <v>1.4349</v>
      </c>
      <c r="I625" s="810">
        <v>1.4191</v>
      </c>
      <c r="J625" s="810">
        <v>1.4785</v>
      </c>
      <c r="K625" s="810">
        <v>1.3815</v>
      </c>
      <c r="L625" s="810">
        <v>1.2281</v>
      </c>
      <c r="M625" s="810">
        <v>1.1252</v>
      </c>
      <c r="N625" s="810">
        <v>1.3756</v>
      </c>
      <c r="O625" s="810">
        <v>1.3013</v>
      </c>
      <c r="P625" s="100" t="s">
        <v>2631</v>
      </c>
      <c r="Q625" s="100"/>
      <c r="R625" s="100"/>
      <c r="S625" s="8"/>
    </row>
    <row r="626" ht="14.25" customHeight="1">
      <c r="A626" s="100" t="s">
        <v>2658</v>
      </c>
      <c r="B626" s="100" t="s">
        <v>2659</v>
      </c>
      <c r="C626" s="100" t="s">
        <v>2423</v>
      </c>
      <c r="D626" s="100" t="s">
        <v>135</v>
      </c>
      <c r="E626" s="810">
        <v>6.015</v>
      </c>
      <c r="F626" s="810">
        <v>5.5402</v>
      </c>
      <c r="G626" s="810">
        <v>5.9759</v>
      </c>
      <c r="H626" s="810">
        <v>5.9671</v>
      </c>
      <c r="I626" s="810">
        <v>5.9002</v>
      </c>
      <c r="J626" s="810">
        <v>5.4584</v>
      </c>
      <c r="K626" s="810">
        <v>5.4211</v>
      </c>
      <c r="L626" s="810">
        <v>5.5402</v>
      </c>
      <c r="M626" s="810">
        <v>5.3166</v>
      </c>
      <c r="N626" s="810">
        <v>5.5433</v>
      </c>
      <c r="O626" s="810" t="s">
        <v>2434</v>
      </c>
      <c r="P626" s="100" t="s">
        <v>2632</v>
      </c>
      <c r="Q626" s="100"/>
      <c r="R626" s="100"/>
      <c r="S626" s="8"/>
    </row>
    <row r="627" ht="14.25" customHeight="1">
      <c r="A627" s="100" t="s">
        <v>2658</v>
      </c>
      <c r="B627" s="100" t="s">
        <v>2659</v>
      </c>
      <c r="C627" s="100" t="s">
        <v>2360</v>
      </c>
      <c r="D627" s="100" t="s">
        <v>135</v>
      </c>
      <c r="E627" s="810">
        <v>22.3289</v>
      </c>
      <c r="F627" s="810">
        <v>21.8101</v>
      </c>
      <c r="G627" s="810">
        <v>21.7841</v>
      </c>
      <c r="H627" s="810">
        <v>21.4653</v>
      </c>
      <c r="I627" s="810">
        <v>20.6091</v>
      </c>
      <c r="J627" s="810">
        <v>20.5913</v>
      </c>
      <c r="K627" s="810">
        <v>16.1864</v>
      </c>
      <c r="L627" s="810">
        <v>16.8693</v>
      </c>
      <c r="M627" s="810">
        <v>17.0442</v>
      </c>
      <c r="N627" s="810">
        <v>16.4554</v>
      </c>
      <c r="O627" s="810" t="s">
        <v>2434</v>
      </c>
      <c r="P627" s="100" t="s">
        <v>2636</v>
      </c>
      <c r="Q627" s="100"/>
      <c r="R627" s="100"/>
      <c r="S627" s="8"/>
    </row>
    <row r="628" ht="14.25" customHeight="1">
      <c r="A628" s="100" t="s">
        <v>2658</v>
      </c>
      <c r="B628" s="100" t="s">
        <v>2659</v>
      </c>
      <c r="C628" s="100" t="s">
        <v>2535</v>
      </c>
      <c r="D628" s="100" t="s">
        <v>135</v>
      </c>
      <c r="E628" s="810">
        <v>0.8798</v>
      </c>
      <c r="F628" s="810">
        <v>2.5581</v>
      </c>
      <c r="G628" s="810">
        <v>2.2485</v>
      </c>
      <c r="H628" s="810">
        <v>1.5318</v>
      </c>
      <c r="I628" s="810">
        <v>2.2136</v>
      </c>
      <c r="J628" s="810">
        <v>1.3593</v>
      </c>
      <c r="K628" s="810">
        <v>1.5575</v>
      </c>
      <c r="L628" s="810">
        <v>1.5933</v>
      </c>
      <c r="M628" s="810">
        <v>1.4033</v>
      </c>
      <c r="N628" s="810">
        <v>1.3008</v>
      </c>
      <c r="O628" s="810" t="s">
        <v>2434</v>
      </c>
      <c r="P628" s="100" t="s">
        <v>2546</v>
      </c>
      <c r="Q628" s="100"/>
      <c r="R628" s="100"/>
      <c r="S628" s="8"/>
    </row>
    <row r="629" ht="14.25" customHeight="1">
      <c r="A629" s="100" t="s">
        <v>2661</v>
      </c>
      <c r="B629" s="100" t="s">
        <v>2662</v>
      </c>
      <c r="C629" s="100" t="s">
        <v>2317</v>
      </c>
      <c r="D629" s="100" t="s">
        <v>135</v>
      </c>
      <c r="E629" s="810" t="str">
        <f t="shared" ref="E629:O629" si="54">#REF!</f>
        <v>#REF!</v>
      </c>
      <c r="F629" s="810" t="str">
        <f t="shared" si="54"/>
        <v>#REF!</v>
      </c>
      <c r="G629" s="810" t="str">
        <f t="shared" si="54"/>
        <v>#REF!</v>
      </c>
      <c r="H629" s="810" t="str">
        <f t="shared" si="54"/>
        <v>#REF!</v>
      </c>
      <c r="I629" s="810" t="str">
        <f t="shared" si="54"/>
        <v>#REF!</v>
      </c>
      <c r="J629" s="810" t="str">
        <f t="shared" si="54"/>
        <v>#REF!</v>
      </c>
      <c r="K629" s="810" t="str">
        <f t="shared" si="54"/>
        <v>#REF!</v>
      </c>
      <c r="L629" s="810" t="str">
        <f t="shared" si="54"/>
        <v>#REF!</v>
      </c>
      <c r="M629" s="810" t="str">
        <f t="shared" si="54"/>
        <v>#REF!</v>
      </c>
      <c r="N629" s="810" t="str">
        <f t="shared" si="54"/>
        <v>#REF!</v>
      </c>
      <c r="O629" s="810" t="str">
        <f t="shared" si="54"/>
        <v>#REF!</v>
      </c>
      <c r="P629" s="100" t="s">
        <v>2546</v>
      </c>
      <c r="Q629" s="100"/>
      <c r="R629" s="100"/>
      <c r="S629" s="8"/>
    </row>
    <row r="630" ht="14.25" customHeight="1">
      <c r="A630" s="100" t="s">
        <v>2661</v>
      </c>
      <c r="B630" s="100"/>
      <c r="C630" s="100" t="s">
        <v>2507</v>
      </c>
      <c r="D630" s="100"/>
      <c r="E630" s="810" t="str">
        <f t="shared" ref="E630:O630" si="55">#REF!</f>
        <v>#REF!</v>
      </c>
      <c r="F630" s="810" t="str">
        <f t="shared" si="55"/>
        <v>#REF!</v>
      </c>
      <c r="G630" s="810" t="str">
        <f t="shared" si="55"/>
        <v>#REF!</v>
      </c>
      <c r="H630" s="810" t="str">
        <f t="shared" si="55"/>
        <v>#REF!</v>
      </c>
      <c r="I630" s="810" t="str">
        <f t="shared" si="55"/>
        <v>#REF!</v>
      </c>
      <c r="J630" s="810" t="str">
        <f t="shared" si="55"/>
        <v>#REF!</v>
      </c>
      <c r="K630" s="810" t="str">
        <f t="shared" si="55"/>
        <v>#REF!</v>
      </c>
      <c r="L630" s="810" t="str">
        <f t="shared" si="55"/>
        <v>#REF!</v>
      </c>
      <c r="M630" s="810" t="str">
        <f t="shared" si="55"/>
        <v>#REF!</v>
      </c>
      <c r="N630" s="810" t="str">
        <f t="shared" si="55"/>
        <v>#REF!</v>
      </c>
      <c r="O630" s="810" t="str">
        <f t="shared" si="55"/>
        <v>#REF!</v>
      </c>
      <c r="P630" s="100"/>
      <c r="Q630" s="100"/>
      <c r="R630" s="100"/>
      <c r="S630" s="8"/>
    </row>
    <row r="631" ht="14.25" customHeight="1">
      <c r="A631" s="100" t="s">
        <v>2661</v>
      </c>
      <c r="B631" s="100" t="s">
        <v>2662</v>
      </c>
      <c r="C631" s="100" t="s">
        <v>2325</v>
      </c>
      <c r="D631" s="100" t="s">
        <v>135</v>
      </c>
      <c r="E631" s="810">
        <v>1.6771</v>
      </c>
      <c r="F631" s="810">
        <v>1.8008</v>
      </c>
      <c r="G631" s="810">
        <v>1.7862</v>
      </c>
      <c r="H631" s="810">
        <v>1.5263</v>
      </c>
      <c r="I631" s="810">
        <v>1.503</v>
      </c>
      <c r="J631" s="810">
        <v>1.4317</v>
      </c>
      <c r="K631" s="810">
        <v>1.5614</v>
      </c>
      <c r="L631" s="810">
        <v>1.6932</v>
      </c>
      <c r="M631" s="810">
        <v>1.7816</v>
      </c>
      <c r="N631" s="810">
        <v>1.3592</v>
      </c>
      <c r="O631" s="810" t="s">
        <v>2434</v>
      </c>
      <c r="P631" s="100" t="s">
        <v>2616</v>
      </c>
      <c r="Q631" s="100"/>
      <c r="R631" s="100"/>
      <c r="S631" s="8"/>
    </row>
    <row r="632" ht="14.25" customHeight="1">
      <c r="A632" s="100" t="s">
        <v>2661</v>
      </c>
      <c r="B632" s="100" t="s">
        <v>2662</v>
      </c>
      <c r="C632" s="100" t="s">
        <v>2329</v>
      </c>
      <c r="D632" s="100" t="s">
        <v>135</v>
      </c>
      <c r="E632" s="810">
        <v>1.9999</v>
      </c>
      <c r="F632" s="810">
        <v>2.0505</v>
      </c>
      <c r="G632" s="810">
        <v>2.1238</v>
      </c>
      <c r="H632" s="810">
        <v>2.5337</v>
      </c>
      <c r="I632" s="810">
        <v>1.7817</v>
      </c>
      <c r="J632" s="810">
        <v>1.4746</v>
      </c>
      <c r="K632" s="810">
        <v>1.3658</v>
      </c>
      <c r="L632" s="810">
        <v>1.3972</v>
      </c>
      <c r="M632" s="810">
        <v>1.505</v>
      </c>
      <c r="N632" s="810">
        <v>1.4361</v>
      </c>
      <c r="O632" s="810" t="s">
        <v>2434</v>
      </c>
      <c r="P632" s="100" t="s">
        <v>2549</v>
      </c>
      <c r="Q632" s="100"/>
      <c r="R632" s="100"/>
      <c r="S632" s="8"/>
    </row>
    <row r="633" ht="14.25" customHeight="1">
      <c r="A633" s="100" t="s">
        <v>2661</v>
      </c>
      <c r="B633" s="100" t="s">
        <v>2662</v>
      </c>
      <c r="C633" s="100" t="s">
        <v>2333</v>
      </c>
      <c r="D633" s="100" t="s">
        <v>135</v>
      </c>
      <c r="E633" s="810">
        <v>0.1338</v>
      </c>
      <c r="F633" s="810">
        <v>0.1813</v>
      </c>
      <c r="G633" s="810">
        <v>0.1928</v>
      </c>
      <c r="H633" s="810">
        <v>0.1814</v>
      </c>
      <c r="I633" s="810">
        <v>0.1793</v>
      </c>
      <c r="J633" s="810">
        <v>0.2048</v>
      </c>
      <c r="K633" s="810">
        <v>0.199</v>
      </c>
      <c r="L633" s="810">
        <v>0.2191</v>
      </c>
      <c r="M633" s="810">
        <v>0.2234</v>
      </c>
      <c r="N633" s="810">
        <v>0.1932</v>
      </c>
      <c r="O633" s="810" t="s">
        <v>2434</v>
      </c>
      <c r="P633" s="100" t="s">
        <v>2546</v>
      </c>
      <c r="Q633" s="100"/>
      <c r="R633" s="100"/>
      <c r="S633" s="8"/>
    </row>
    <row r="634" ht="14.25" customHeight="1">
      <c r="A634" s="100" t="s">
        <v>2661</v>
      </c>
      <c r="B634" s="100" t="s">
        <v>2662</v>
      </c>
      <c r="C634" s="100" t="s">
        <v>2364</v>
      </c>
      <c r="D634" s="100" t="s">
        <v>135</v>
      </c>
      <c r="E634" s="810">
        <v>0.2055</v>
      </c>
      <c r="F634" s="810">
        <v>0.1981</v>
      </c>
      <c r="G634" s="810">
        <v>0.2017</v>
      </c>
      <c r="H634" s="810">
        <v>0.1702</v>
      </c>
      <c r="I634" s="810">
        <v>0.1185</v>
      </c>
      <c r="J634" s="810">
        <v>0.14</v>
      </c>
      <c r="K634" s="810">
        <v>0.1382</v>
      </c>
      <c r="L634" s="810">
        <v>0.1422</v>
      </c>
      <c r="M634" s="810">
        <v>0.1503</v>
      </c>
      <c r="N634" s="810">
        <v>0.1025</v>
      </c>
      <c r="O634" s="810" t="s">
        <v>2434</v>
      </c>
      <c r="P634" s="100" t="s">
        <v>2617</v>
      </c>
      <c r="Q634" s="100"/>
      <c r="R634" s="100"/>
      <c r="S634" s="8"/>
    </row>
    <row r="635" ht="14.25" customHeight="1">
      <c r="A635" s="100" t="s">
        <v>2661</v>
      </c>
      <c r="B635" s="100" t="s">
        <v>2662</v>
      </c>
      <c r="C635" s="100" t="s">
        <v>2337</v>
      </c>
      <c r="D635" s="100" t="s">
        <v>135</v>
      </c>
      <c r="E635" s="810">
        <v>0.0016</v>
      </c>
      <c r="F635" s="810">
        <v>0.0022</v>
      </c>
      <c r="G635" s="810">
        <v>0.0019</v>
      </c>
      <c r="H635" s="810">
        <v>0.0017</v>
      </c>
      <c r="I635" s="810">
        <v>0.002</v>
      </c>
      <c r="J635" s="810">
        <v>0.0018</v>
      </c>
      <c r="K635" s="810">
        <v>0.0018</v>
      </c>
      <c r="L635" s="810">
        <v>0.002</v>
      </c>
      <c r="M635" s="810">
        <v>0.002</v>
      </c>
      <c r="N635" s="810">
        <v>0.0019</v>
      </c>
      <c r="O635" s="810">
        <v>0.0017</v>
      </c>
      <c r="P635" s="100" t="s">
        <v>2512</v>
      </c>
      <c r="Q635" s="100"/>
      <c r="R635" s="100"/>
      <c r="S635" s="8"/>
    </row>
    <row r="636" ht="14.25" customHeight="1">
      <c r="A636" s="100" t="s">
        <v>2661</v>
      </c>
      <c r="B636" s="100" t="s">
        <v>2662</v>
      </c>
      <c r="C636" s="100" t="s">
        <v>2341</v>
      </c>
      <c r="D636" s="100" t="s">
        <v>135</v>
      </c>
      <c r="E636" s="810">
        <v>5.2281</v>
      </c>
      <c r="F636" s="810">
        <v>5.3155</v>
      </c>
      <c r="G636" s="810">
        <v>5.2705</v>
      </c>
      <c r="H636" s="810">
        <v>4.9367</v>
      </c>
      <c r="I636" s="810">
        <v>4.6888</v>
      </c>
      <c r="J636" s="810">
        <v>4.9023</v>
      </c>
      <c r="K636" s="810">
        <v>5.3234</v>
      </c>
      <c r="L636" s="810">
        <v>5.5416</v>
      </c>
      <c r="M636" s="810">
        <v>5.6319</v>
      </c>
      <c r="N636" s="810">
        <v>5.9999</v>
      </c>
      <c r="O636" s="810" t="s">
        <v>2434</v>
      </c>
      <c r="P636" s="100" t="s">
        <v>2546</v>
      </c>
      <c r="Q636" s="100"/>
      <c r="R636" s="100"/>
      <c r="S636" s="8"/>
    </row>
    <row r="637" ht="14.25" customHeight="1">
      <c r="A637" s="100" t="s">
        <v>2661</v>
      </c>
      <c r="B637" s="100" t="s">
        <v>2662</v>
      </c>
      <c r="C637" s="100" t="s">
        <v>2348</v>
      </c>
      <c r="D637" s="100" t="s">
        <v>135</v>
      </c>
      <c r="E637" s="810">
        <v>0.4559</v>
      </c>
      <c r="F637" s="810">
        <v>0.3525</v>
      </c>
      <c r="G637" s="810">
        <v>0.2995</v>
      </c>
      <c r="H637" s="810">
        <v>0.2619</v>
      </c>
      <c r="I637" s="810">
        <v>0.2104</v>
      </c>
      <c r="J637" s="810">
        <v>0.2055</v>
      </c>
      <c r="K637" s="810">
        <v>0.1827</v>
      </c>
      <c r="L637" s="810">
        <v>0.1906</v>
      </c>
      <c r="M637" s="810">
        <v>0.2015</v>
      </c>
      <c r="N637" s="810">
        <v>0.2001</v>
      </c>
      <c r="O637" s="810" t="s">
        <v>2434</v>
      </c>
      <c r="P637" s="100" t="s">
        <v>2633</v>
      </c>
      <c r="Q637" s="100"/>
      <c r="R637" s="100"/>
      <c r="S637" s="8"/>
    </row>
    <row r="638" ht="14.25" customHeight="1">
      <c r="A638" s="100" t="s">
        <v>2661</v>
      </c>
      <c r="B638" s="100" t="s">
        <v>2662</v>
      </c>
      <c r="C638" s="100" t="s">
        <v>2350</v>
      </c>
      <c r="D638" s="100" t="s">
        <v>135</v>
      </c>
      <c r="E638" s="810">
        <v>0.0857</v>
      </c>
      <c r="F638" s="810">
        <v>0.0813</v>
      </c>
      <c r="G638" s="810">
        <v>0.1213</v>
      </c>
      <c r="H638" s="810">
        <v>0.1395</v>
      </c>
      <c r="I638" s="810">
        <v>0.1198</v>
      </c>
      <c r="J638" s="810">
        <v>0.1224</v>
      </c>
      <c r="K638" s="810">
        <v>0.124</v>
      </c>
      <c r="L638" s="810">
        <v>0.1272</v>
      </c>
      <c r="M638" s="810">
        <v>0.1377</v>
      </c>
      <c r="N638" s="810">
        <v>0.0975</v>
      </c>
      <c r="O638" s="810" t="s">
        <v>2434</v>
      </c>
      <c r="P638" s="100" t="s">
        <v>2400</v>
      </c>
      <c r="Q638" s="100"/>
      <c r="R638" s="100"/>
      <c r="S638" s="8"/>
    </row>
    <row r="639" ht="14.25" customHeight="1">
      <c r="A639" s="100" t="s">
        <v>2661</v>
      </c>
      <c r="B639" s="100" t="s">
        <v>2662</v>
      </c>
      <c r="C639" s="100" t="s">
        <v>2354</v>
      </c>
      <c r="D639" s="100" t="s">
        <v>135</v>
      </c>
      <c r="E639" s="810">
        <v>0.8591</v>
      </c>
      <c r="F639" s="810">
        <v>0.6816</v>
      </c>
      <c r="G639" s="810">
        <v>0.6754</v>
      </c>
      <c r="H639" s="810">
        <v>0.6523</v>
      </c>
      <c r="I639" s="810">
        <v>0.6942</v>
      </c>
      <c r="J639" s="810">
        <v>0.7124</v>
      </c>
      <c r="K639" s="810">
        <v>0.781</v>
      </c>
      <c r="L639" s="810">
        <v>0.7207</v>
      </c>
      <c r="M639" s="810">
        <v>0.6973</v>
      </c>
      <c r="N639" s="810">
        <v>0.7049</v>
      </c>
      <c r="O639" s="810" t="s">
        <v>2434</v>
      </c>
      <c r="P639" s="100" t="s">
        <v>2556</v>
      </c>
      <c r="Q639" s="100"/>
      <c r="R639" s="100"/>
      <c r="S639" s="8"/>
    </row>
    <row r="640" ht="14.25" customHeight="1">
      <c r="A640" s="100" t="s">
        <v>2661</v>
      </c>
      <c r="B640" s="100" t="s">
        <v>2662</v>
      </c>
      <c r="C640" s="100" t="s">
        <v>2356</v>
      </c>
      <c r="D640" s="100" t="s">
        <v>135</v>
      </c>
      <c r="E640" s="810">
        <v>13.2236</v>
      </c>
      <c r="F640" s="810">
        <v>12.0474</v>
      </c>
      <c r="G640" s="810">
        <v>12.1938</v>
      </c>
      <c r="H640" s="810">
        <v>12.4991</v>
      </c>
      <c r="I640" s="810">
        <v>11.3178</v>
      </c>
      <c r="J640" s="810">
        <v>11.5762</v>
      </c>
      <c r="K640" s="810">
        <v>12.6222</v>
      </c>
      <c r="L640" s="810">
        <v>12.6282</v>
      </c>
      <c r="M640" s="810">
        <v>12.8017</v>
      </c>
      <c r="N640" s="810">
        <v>11.3488</v>
      </c>
      <c r="O640" s="810" t="s">
        <v>2434</v>
      </c>
      <c r="P640" s="100" t="s">
        <v>2546</v>
      </c>
      <c r="Q640" s="100"/>
      <c r="R640" s="100"/>
      <c r="S640" s="8"/>
    </row>
    <row r="641" ht="14.25" customHeight="1">
      <c r="A641" s="100" t="s">
        <v>2661</v>
      </c>
      <c r="B641" s="100" t="s">
        <v>2662</v>
      </c>
      <c r="C641" s="100" t="s">
        <v>2344</v>
      </c>
      <c r="D641" s="100" t="s">
        <v>135</v>
      </c>
      <c r="E641" s="810">
        <v>34.2424</v>
      </c>
      <c r="F641" s="810">
        <v>33.5625</v>
      </c>
      <c r="G641" s="810">
        <v>34.8029</v>
      </c>
      <c r="H641" s="810">
        <v>36.0507</v>
      </c>
      <c r="I641" s="810">
        <v>33.4051</v>
      </c>
      <c r="J641" s="810">
        <v>33.4601</v>
      </c>
      <c r="K641" s="810">
        <v>34.2824</v>
      </c>
      <c r="L641" s="810">
        <v>34.8776</v>
      </c>
      <c r="M641" s="810">
        <v>34.4074</v>
      </c>
      <c r="N641" s="810">
        <v>33.5317</v>
      </c>
      <c r="O641" s="810" t="s">
        <v>2434</v>
      </c>
      <c r="P641" s="100" t="s">
        <v>2634</v>
      </c>
      <c r="Q641" s="100"/>
      <c r="R641" s="100"/>
      <c r="S641" s="8"/>
    </row>
    <row r="642" ht="14.25" customHeight="1">
      <c r="A642" s="100" t="s">
        <v>2661</v>
      </c>
      <c r="B642" s="100" t="s">
        <v>2662</v>
      </c>
      <c r="C642" s="100" t="s">
        <v>2362</v>
      </c>
      <c r="D642" s="100" t="s">
        <v>135</v>
      </c>
      <c r="E642" s="810">
        <v>0.2975</v>
      </c>
      <c r="F642" s="810">
        <v>0.4357</v>
      </c>
      <c r="G642" s="810">
        <v>0.1971</v>
      </c>
      <c r="H642" s="810">
        <v>0.1406</v>
      </c>
      <c r="I642" s="810">
        <v>0.2345</v>
      </c>
      <c r="J642" s="810">
        <v>0.2463</v>
      </c>
      <c r="K642" s="810">
        <v>0.1803</v>
      </c>
      <c r="L642" s="810">
        <v>0.2133</v>
      </c>
      <c r="M642" s="810">
        <v>0.2576</v>
      </c>
      <c r="N642" s="810">
        <v>0.0945</v>
      </c>
      <c r="O642" s="810" t="s">
        <v>2434</v>
      </c>
      <c r="P642" s="100" t="s">
        <v>2622</v>
      </c>
      <c r="Q642" s="100"/>
      <c r="R642" s="100"/>
      <c r="S642" s="8"/>
    </row>
    <row r="643" ht="14.25" customHeight="1">
      <c r="A643" s="100" t="s">
        <v>2661</v>
      </c>
      <c r="B643" s="100" t="s">
        <v>2662</v>
      </c>
      <c r="C643" s="100" t="s">
        <v>2367</v>
      </c>
      <c r="D643" s="100" t="s">
        <v>135</v>
      </c>
      <c r="E643" s="810">
        <v>1.6013</v>
      </c>
      <c r="F643" s="810">
        <v>1.6052</v>
      </c>
      <c r="G643" s="810">
        <v>2.0455</v>
      </c>
      <c r="H643" s="810">
        <v>2.4292</v>
      </c>
      <c r="I643" s="810">
        <v>2.2726</v>
      </c>
      <c r="J643" s="810">
        <v>2.4447</v>
      </c>
      <c r="K643" s="810">
        <v>2.6408</v>
      </c>
      <c r="L643" s="810">
        <v>2.7491</v>
      </c>
      <c r="M643" s="810">
        <v>2.7968</v>
      </c>
      <c r="N643" s="810">
        <v>2.73</v>
      </c>
      <c r="O643" s="810" t="s">
        <v>2434</v>
      </c>
      <c r="P643" s="100" t="s">
        <v>2546</v>
      </c>
      <c r="Q643" s="100"/>
      <c r="R643" s="100"/>
      <c r="S643" s="8"/>
    </row>
    <row r="644" ht="14.25" customHeight="1">
      <c r="A644" s="100" t="s">
        <v>2661</v>
      </c>
      <c r="B644" s="100" t="s">
        <v>2662</v>
      </c>
      <c r="C644" s="100" t="s">
        <v>2369</v>
      </c>
      <c r="D644" s="100" t="s">
        <v>135</v>
      </c>
      <c r="E644" s="810">
        <v>0.0573</v>
      </c>
      <c r="F644" s="810">
        <v>0.0545</v>
      </c>
      <c r="G644" s="810">
        <v>0.0656</v>
      </c>
      <c r="H644" s="810">
        <v>0.0718</v>
      </c>
      <c r="I644" s="810">
        <v>0.06</v>
      </c>
      <c r="J644" s="810">
        <v>0.0418</v>
      </c>
      <c r="K644" s="810">
        <v>0.0475</v>
      </c>
      <c r="L644" s="810">
        <v>0.0435</v>
      </c>
      <c r="M644" s="810">
        <v>0.0459</v>
      </c>
      <c r="N644" s="810">
        <v>0.0467</v>
      </c>
      <c r="O644" s="810" t="s">
        <v>2434</v>
      </c>
      <c r="P644" s="100" t="s">
        <v>2623</v>
      </c>
      <c r="Q644" s="100"/>
      <c r="R644" s="100"/>
      <c r="S644" s="8"/>
    </row>
    <row r="645" ht="14.25" customHeight="1">
      <c r="A645" s="100" t="s">
        <v>2661</v>
      </c>
      <c r="B645" s="100" t="s">
        <v>2662</v>
      </c>
      <c r="C645" s="100" t="s">
        <v>2374</v>
      </c>
      <c r="D645" s="100"/>
      <c r="E645" s="810" t="s">
        <v>2434</v>
      </c>
      <c r="F645" s="810" t="s">
        <v>2434</v>
      </c>
      <c r="G645" s="810" t="s">
        <v>2434</v>
      </c>
      <c r="H645" s="810" t="s">
        <v>2434</v>
      </c>
      <c r="I645" s="810" t="s">
        <v>2434</v>
      </c>
      <c r="J645" s="810" t="s">
        <v>2434</v>
      </c>
      <c r="K645" s="810" t="s">
        <v>2434</v>
      </c>
      <c r="L645" s="810" t="s">
        <v>2434</v>
      </c>
      <c r="M645" s="810" t="s">
        <v>2434</v>
      </c>
      <c r="N645" s="810" t="s">
        <v>2434</v>
      </c>
      <c r="O645" s="810" t="s">
        <v>2434</v>
      </c>
      <c r="P645" s="100"/>
      <c r="Q645" s="100"/>
      <c r="R645" s="100"/>
      <c r="S645" s="8"/>
    </row>
    <row r="646" ht="14.25" customHeight="1">
      <c r="A646" s="100" t="s">
        <v>2661</v>
      </c>
      <c r="B646" s="100" t="s">
        <v>2662</v>
      </c>
      <c r="C646" s="100" t="s">
        <v>2386</v>
      </c>
      <c r="D646" s="100" t="s">
        <v>135</v>
      </c>
      <c r="E646" s="810">
        <v>0.0736</v>
      </c>
      <c r="F646" s="810">
        <v>0.0703</v>
      </c>
      <c r="G646" s="810">
        <v>0.0783</v>
      </c>
      <c r="H646" s="810">
        <v>0.105</v>
      </c>
      <c r="I646" s="810">
        <v>0.0764</v>
      </c>
      <c r="J646" s="810">
        <v>0.0792</v>
      </c>
      <c r="K646" s="810">
        <v>0.0817</v>
      </c>
      <c r="L646" s="810">
        <v>0.0884</v>
      </c>
      <c r="M646" s="810">
        <v>0.093</v>
      </c>
      <c r="N646" s="810">
        <v>0.0659</v>
      </c>
      <c r="O646" s="810" t="s">
        <v>2434</v>
      </c>
      <c r="P646" s="100" t="s">
        <v>2625</v>
      </c>
      <c r="Q646" s="100"/>
      <c r="R646" s="100"/>
      <c r="S646" s="8"/>
    </row>
    <row r="647" ht="14.25" customHeight="1">
      <c r="A647" s="100" t="s">
        <v>2661</v>
      </c>
      <c r="B647" s="100" t="s">
        <v>2662</v>
      </c>
      <c r="C647" s="100" t="s">
        <v>2378</v>
      </c>
      <c r="D647" s="100" t="s">
        <v>135</v>
      </c>
      <c r="E647" s="810">
        <v>0.0693</v>
      </c>
      <c r="F647" s="810">
        <v>0.0427</v>
      </c>
      <c r="G647" s="810">
        <v>0.0391</v>
      </c>
      <c r="H647" s="810">
        <v>0.0394</v>
      </c>
      <c r="I647" s="810">
        <v>0.0435</v>
      </c>
      <c r="J647" s="810">
        <v>0.05</v>
      </c>
      <c r="K647" s="810">
        <v>0.0476</v>
      </c>
      <c r="L647" s="810">
        <v>0.044</v>
      </c>
      <c r="M647" s="810">
        <v>0.0606</v>
      </c>
      <c r="N647" s="810">
        <v>0.0488</v>
      </c>
      <c r="O647" s="810" t="s">
        <v>2434</v>
      </c>
      <c r="P647" s="100" t="s">
        <v>2567</v>
      </c>
      <c r="Q647" s="100"/>
      <c r="R647" s="100"/>
      <c r="S647" s="8"/>
    </row>
    <row r="648" ht="14.25" customHeight="1">
      <c r="A648" s="100" t="s">
        <v>2661</v>
      </c>
      <c r="B648" s="100" t="s">
        <v>2662</v>
      </c>
      <c r="C648" s="100" t="s">
        <v>2383</v>
      </c>
      <c r="D648" s="100" t="s">
        <v>135</v>
      </c>
      <c r="E648" s="810">
        <v>0.0233</v>
      </c>
      <c r="F648" s="810">
        <v>0.0233</v>
      </c>
      <c r="G648" s="810">
        <v>0.0233</v>
      </c>
      <c r="H648" s="810">
        <v>0.0233</v>
      </c>
      <c r="I648" s="810">
        <v>0.0116</v>
      </c>
      <c r="J648" s="810">
        <v>0.0116</v>
      </c>
      <c r="K648" s="810">
        <v>0.0233</v>
      </c>
      <c r="L648" s="810">
        <v>0.0116</v>
      </c>
      <c r="M648" s="810">
        <v>0.0116</v>
      </c>
      <c r="N648" s="810">
        <v>0.0116</v>
      </c>
      <c r="O648" s="810" t="s">
        <v>2434</v>
      </c>
      <c r="P648" s="100" t="s">
        <v>2523</v>
      </c>
      <c r="Q648" s="100"/>
      <c r="R648" s="100"/>
      <c r="S648" s="8"/>
    </row>
    <row r="649" ht="14.25" customHeight="1">
      <c r="A649" s="100" t="s">
        <v>2661</v>
      </c>
      <c r="B649" s="100" t="s">
        <v>2662</v>
      </c>
      <c r="C649" s="100" t="s">
        <v>2389</v>
      </c>
      <c r="D649" s="100" t="s">
        <v>135</v>
      </c>
      <c r="E649" s="810">
        <v>0.014</v>
      </c>
      <c r="F649" s="810">
        <v>0.015</v>
      </c>
      <c r="G649" s="810">
        <v>0.016</v>
      </c>
      <c r="H649" s="810">
        <v>0.017</v>
      </c>
      <c r="I649" s="810">
        <v>0.019</v>
      </c>
      <c r="J649" s="810">
        <v>0.02</v>
      </c>
      <c r="K649" s="810">
        <v>0.019</v>
      </c>
      <c r="L649" s="810">
        <v>0.0215</v>
      </c>
      <c r="M649" s="810">
        <v>0.0211</v>
      </c>
      <c r="N649" s="810">
        <v>0.0207</v>
      </c>
      <c r="O649" s="810" t="s">
        <v>2434</v>
      </c>
      <c r="P649" s="100" t="s">
        <v>2549</v>
      </c>
      <c r="Q649" s="100"/>
      <c r="R649" s="100"/>
      <c r="S649" s="8"/>
    </row>
    <row r="650" ht="14.25" customHeight="1">
      <c r="A650" s="100" t="s">
        <v>2661</v>
      </c>
      <c r="B650" s="100" t="s">
        <v>2662</v>
      </c>
      <c r="C650" s="100" t="s">
        <v>2391</v>
      </c>
      <c r="D650" s="100" t="s">
        <v>135</v>
      </c>
      <c r="E650" s="810">
        <v>1.5363</v>
      </c>
      <c r="F650" s="810">
        <v>1.0962</v>
      </c>
      <c r="G650" s="810">
        <v>1.0719</v>
      </c>
      <c r="H650" s="810">
        <v>1.1612</v>
      </c>
      <c r="I650" s="810">
        <v>1.1816</v>
      </c>
      <c r="J650" s="810">
        <v>1.2645</v>
      </c>
      <c r="K650" s="810">
        <v>1.2438</v>
      </c>
      <c r="L650" s="810">
        <v>1.2227</v>
      </c>
      <c r="M650" s="810">
        <v>1.3846</v>
      </c>
      <c r="N650" s="810">
        <v>1.3071</v>
      </c>
      <c r="O650" s="810" t="s">
        <v>2434</v>
      </c>
      <c r="P650" s="100" t="s">
        <v>2546</v>
      </c>
      <c r="Q650" s="100"/>
      <c r="R650" s="100"/>
      <c r="S650" s="8"/>
    </row>
    <row r="651" ht="14.25" customHeight="1">
      <c r="A651" s="100" t="s">
        <v>2661</v>
      </c>
      <c r="B651" s="100" t="s">
        <v>2662</v>
      </c>
      <c r="C651" s="100" t="s">
        <v>2393</v>
      </c>
      <c r="D651" s="100" t="s">
        <v>135</v>
      </c>
      <c r="E651" s="810">
        <v>4.1511</v>
      </c>
      <c r="F651" s="810">
        <v>4.1261</v>
      </c>
      <c r="G651" s="810">
        <v>4.1077</v>
      </c>
      <c r="H651" s="810">
        <v>4.749</v>
      </c>
      <c r="I651" s="810">
        <v>4.5276</v>
      </c>
      <c r="J651" s="810">
        <v>4.4555</v>
      </c>
      <c r="K651" s="810">
        <v>4.7184</v>
      </c>
      <c r="L651" s="810">
        <v>5.0127</v>
      </c>
      <c r="M651" s="810">
        <v>5.493</v>
      </c>
      <c r="N651" s="810">
        <v>5.7167</v>
      </c>
      <c r="O651" s="810" t="s">
        <v>2434</v>
      </c>
      <c r="P651" s="100" t="s">
        <v>2526</v>
      </c>
      <c r="Q651" s="100"/>
      <c r="R651" s="100"/>
      <c r="S651" s="8"/>
    </row>
    <row r="652" ht="14.25" customHeight="1">
      <c r="A652" s="100" t="s">
        <v>2661</v>
      </c>
      <c r="B652" s="100" t="s">
        <v>2662</v>
      </c>
      <c r="C652" s="100" t="s">
        <v>2395</v>
      </c>
      <c r="D652" s="100"/>
      <c r="E652" s="810" t="s">
        <v>2434</v>
      </c>
      <c r="F652" s="810" t="s">
        <v>2434</v>
      </c>
      <c r="G652" s="810" t="s">
        <v>2434</v>
      </c>
      <c r="H652" s="810" t="s">
        <v>2434</v>
      </c>
      <c r="I652" s="810" t="s">
        <v>2434</v>
      </c>
      <c r="J652" s="810" t="s">
        <v>2434</v>
      </c>
      <c r="K652" s="810" t="s">
        <v>2434</v>
      </c>
      <c r="L652" s="810" t="s">
        <v>2434</v>
      </c>
      <c r="M652" s="810" t="s">
        <v>2434</v>
      </c>
      <c r="N652" s="810" t="s">
        <v>2434</v>
      </c>
      <c r="O652" s="810" t="s">
        <v>2434</v>
      </c>
      <c r="P652" s="100"/>
      <c r="Q652" s="100"/>
      <c r="R652" s="100"/>
      <c r="S652" s="8"/>
    </row>
    <row r="653" ht="14.25" customHeight="1">
      <c r="A653" s="100" t="s">
        <v>2661</v>
      </c>
      <c r="B653" s="100" t="s">
        <v>2662</v>
      </c>
      <c r="C653" s="100" t="s">
        <v>2397</v>
      </c>
      <c r="D653" s="100" t="s">
        <v>135</v>
      </c>
      <c r="E653" s="810">
        <v>1.3256</v>
      </c>
      <c r="F653" s="810">
        <v>1.093</v>
      </c>
      <c r="G653" s="810">
        <v>2.0</v>
      </c>
      <c r="H653" s="810">
        <v>2.4767</v>
      </c>
      <c r="I653" s="810">
        <v>2.5233</v>
      </c>
      <c r="J653" s="810">
        <v>2.5543</v>
      </c>
      <c r="K653" s="810">
        <v>2.593</v>
      </c>
      <c r="L653" s="810">
        <v>2.7558</v>
      </c>
      <c r="M653" s="810">
        <v>3.4651</v>
      </c>
      <c r="N653" s="810">
        <v>3.5</v>
      </c>
      <c r="O653" s="810" t="s">
        <v>2434</v>
      </c>
      <c r="P653" s="100" t="s">
        <v>2546</v>
      </c>
      <c r="Q653" s="100"/>
      <c r="R653" s="100"/>
      <c r="S653" s="8"/>
    </row>
    <row r="654" ht="14.25" customHeight="1">
      <c r="A654" s="100" t="s">
        <v>2661</v>
      </c>
      <c r="B654" s="100" t="s">
        <v>2662</v>
      </c>
      <c r="C654" s="100" t="s">
        <v>2411</v>
      </c>
      <c r="D654" s="100" t="s">
        <v>135</v>
      </c>
      <c r="E654" s="810">
        <v>1.5494</v>
      </c>
      <c r="F654" s="810">
        <v>1.6852</v>
      </c>
      <c r="G654" s="810">
        <v>1.8876</v>
      </c>
      <c r="H654" s="810">
        <v>1.8559</v>
      </c>
      <c r="I654" s="810">
        <v>2.3183</v>
      </c>
      <c r="J654" s="810">
        <v>1.8743</v>
      </c>
      <c r="K654" s="810">
        <v>1.9492</v>
      </c>
      <c r="L654" s="810">
        <v>1.8379</v>
      </c>
      <c r="M654" s="810">
        <v>2.5189</v>
      </c>
      <c r="N654" s="810">
        <v>2.0971</v>
      </c>
      <c r="O654" s="810" t="s">
        <v>2434</v>
      </c>
      <c r="P654" s="100" t="s">
        <v>2546</v>
      </c>
      <c r="Q654" s="100"/>
      <c r="R654" s="100"/>
      <c r="S654" s="8"/>
    </row>
    <row r="655" ht="14.25" customHeight="1">
      <c r="A655" s="100" t="s">
        <v>2661</v>
      </c>
      <c r="B655" s="100" t="s">
        <v>2662</v>
      </c>
      <c r="C655" s="100" t="s">
        <v>2406</v>
      </c>
      <c r="D655" s="100" t="s">
        <v>135</v>
      </c>
      <c r="E655" s="810">
        <v>0.4271</v>
      </c>
      <c r="F655" s="810">
        <v>0.4002</v>
      </c>
      <c r="G655" s="810">
        <v>0.4055</v>
      </c>
      <c r="H655" s="810">
        <v>0.3679</v>
      </c>
      <c r="I655" s="810">
        <v>0.3771</v>
      </c>
      <c r="J655" s="810">
        <v>0.3811</v>
      </c>
      <c r="K655" s="810">
        <v>0.3699</v>
      </c>
      <c r="L655" s="810">
        <v>0.4194</v>
      </c>
      <c r="M655" s="810">
        <v>0.3973</v>
      </c>
      <c r="N655" s="810">
        <v>0.4301</v>
      </c>
      <c r="O655" s="810" t="s">
        <v>2434</v>
      </c>
      <c r="P655" s="100" t="s">
        <v>2628</v>
      </c>
      <c r="Q655" s="100"/>
      <c r="R655" s="100"/>
      <c r="S655" s="8"/>
    </row>
    <row r="656" ht="14.25" customHeight="1">
      <c r="A656" s="100" t="s">
        <v>2661</v>
      </c>
      <c r="B656" s="100" t="s">
        <v>2662</v>
      </c>
      <c r="C656" s="100" t="s">
        <v>2352</v>
      </c>
      <c r="D656" s="100" t="s">
        <v>135</v>
      </c>
      <c r="E656" s="810">
        <v>5.4365</v>
      </c>
      <c r="F656" s="810">
        <v>6.0488</v>
      </c>
      <c r="G656" s="810">
        <v>5.1933</v>
      </c>
      <c r="H656" s="810">
        <v>4.885</v>
      </c>
      <c r="I656" s="810">
        <v>5.3713</v>
      </c>
      <c r="J656" s="810">
        <v>5.3612</v>
      </c>
      <c r="K656" s="810">
        <v>5.321</v>
      </c>
      <c r="L656" s="810">
        <v>6.9705</v>
      </c>
      <c r="M656" s="810">
        <v>6.9233</v>
      </c>
      <c r="N656" s="810">
        <v>7.4724</v>
      </c>
      <c r="O656" s="810" t="s">
        <v>2434</v>
      </c>
      <c r="P656" s="100" t="s">
        <v>2629</v>
      </c>
      <c r="Q656" s="100"/>
      <c r="R656" s="100"/>
      <c r="S656" s="8"/>
    </row>
    <row r="657" ht="14.25" customHeight="1">
      <c r="A657" s="100" t="s">
        <v>2661</v>
      </c>
      <c r="B657" s="100" t="s">
        <v>2662</v>
      </c>
      <c r="C657" s="100" t="s">
        <v>2400</v>
      </c>
      <c r="D657" s="100" t="s">
        <v>135</v>
      </c>
      <c r="E657" s="810">
        <v>4.0956</v>
      </c>
      <c r="F657" s="810">
        <v>3.1433</v>
      </c>
      <c r="G657" s="810">
        <v>3.135</v>
      </c>
      <c r="H657" s="810">
        <v>2.9789</v>
      </c>
      <c r="I657" s="810">
        <v>2.9689</v>
      </c>
      <c r="J657" s="810">
        <v>2.9481</v>
      </c>
      <c r="K657" s="810">
        <v>2.7839</v>
      </c>
      <c r="L657" s="810">
        <v>2.8923</v>
      </c>
      <c r="M657" s="810">
        <v>3.0515</v>
      </c>
      <c r="N657" s="810">
        <v>2.9361</v>
      </c>
      <c r="O657" s="810" t="s">
        <v>2434</v>
      </c>
      <c r="P657" s="100" t="s">
        <v>2630</v>
      </c>
      <c r="Q657" s="100"/>
      <c r="R657" s="100"/>
      <c r="S657" s="8"/>
    </row>
    <row r="658" ht="14.25" customHeight="1">
      <c r="A658" s="100" t="s">
        <v>2661</v>
      </c>
      <c r="B658" s="100" t="s">
        <v>2662</v>
      </c>
      <c r="C658" s="100" t="s">
        <v>2416</v>
      </c>
      <c r="D658" s="100" t="s">
        <v>135</v>
      </c>
      <c r="E658" s="810">
        <v>0.765</v>
      </c>
      <c r="F658" s="810">
        <v>0.6541</v>
      </c>
      <c r="G658" s="810">
        <v>0.6749</v>
      </c>
      <c r="H658" s="810">
        <v>0.7086</v>
      </c>
      <c r="I658" s="810">
        <v>0.761</v>
      </c>
      <c r="J658" s="810">
        <v>0.5027</v>
      </c>
      <c r="K658" s="810">
        <v>0.5116</v>
      </c>
      <c r="L658" s="810">
        <v>0.477</v>
      </c>
      <c r="M658" s="810">
        <v>0.5136</v>
      </c>
      <c r="N658" s="810">
        <v>0.5552</v>
      </c>
      <c r="O658" s="810">
        <v>0.4968</v>
      </c>
      <c r="P658" s="100" t="s">
        <v>2631</v>
      </c>
      <c r="Q658" s="100"/>
      <c r="R658" s="100"/>
      <c r="S658" s="8"/>
    </row>
    <row r="659" ht="14.25" customHeight="1">
      <c r="A659" s="100" t="s">
        <v>2661</v>
      </c>
      <c r="B659" s="100" t="s">
        <v>2662</v>
      </c>
      <c r="C659" s="100" t="s">
        <v>2423</v>
      </c>
      <c r="D659" s="100"/>
      <c r="E659" s="810" t="s">
        <v>2434</v>
      </c>
      <c r="F659" s="810" t="s">
        <v>2434</v>
      </c>
      <c r="G659" s="810" t="s">
        <v>2434</v>
      </c>
      <c r="H659" s="810" t="s">
        <v>2434</v>
      </c>
      <c r="I659" s="810" t="s">
        <v>2434</v>
      </c>
      <c r="J659" s="810" t="s">
        <v>2434</v>
      </c>
      <c r="K659" s="810" t="s">
        <v>2434</v>
      </c>
      <c r="L659" s="810" t="s">
        <v>2434</v>
      </c>
      <c r="M659" s="810" t="s">
        <v>2434</v>
      </c>
      <c r="N659" s="810" t="s">
        <v>2434</v>
      </c>
      <c r="O659" s="810" t="s">
        <v>2434</v>
      </c>
      <c r="P659" s="100"/>
      <c r="Q659" s="100"/>
      <c r="R659" s="100"/>
      <c r="S659" s="8"/>
    </row>
    <row r="660" ht="14.25" customHeight="1">
      <c r="A660" s="100" t="s">
        <v>2661</v>
      </c>
      <c r="B660" s="100" t="s">
        <v>2662</v>
      </c>
      <c r="C660" s="100" t="s">
        <v>2360</v>
      </c>
      <c r="D660" s="100" t="s">
        <v>135</v>
      </c>
      <c r="E660" s="810">
        <v>13.2187</v>
      </c>
      <c r="F660" s="810">
        <v>13.8996</v>
      </c>
      <c r="G660" s="810">
        <v>14.2361</v>
      </c>
      <c r="H660" s="810">
        <v>15.1801</v>
      </c>
      <c r="I660" s="810">
        <v>14.9479</v>
      </c>
      <c r="J660" s="810">
        <v>13.2117</v>
      </c>
      <c r="K660" s="810">
        <v>13.3835</v>
      </c>
      <c r="L660" s="810">
        <v>12.4103</v>
      </c>
      <c r="M660" s="810">
        <v>11.7681</v>
      </c>
      <c r="N660" s="810">
        <v>12.7426</v>
      </c>
      <c r="O660" s="810" t="s">
        <v>2434</v>
      </c>
      <c r="P660" s="100" t="s">
        <v>2636</v>
      </c>
      <c r="Q660" s="100"/>
      <c r="R660" s="100"/>
      <c r="S660" s="8"/>
    </row>
    <row r="661" ht="14.25" customHeight="1">
      <c r="A661" s="100" t="s">
        <v>2661</v>
      </c>
      <c r="B661" s="100" t="s">
        <v>2662</v>
      </c>
      <c r="C661" s="100" t="s">
        <v>2535</v>
      </c>
      <c r="D661" s="100" t="s">
        <v>135</v>
      </c>
      <c r="E661" s="810">
        <v>0.1825</v>
      </c>
      <c r="F661" s="810">
        <v>0.3958</v>
      </c>
      <c r="G661" s="810">
        <v>0.6435</v>
      </c>
      <c r="H661" s="810">
        <v>0.495</v>
      </c>
      <c r="I661" s="810">
        <v>0.3554</v>
      </c>
      <c r="J661" s="810">
        <v>0.3286</v>
      </c>
      <c r="K661" s="810">
        <v>0.5964</v>
      </c>
      <c r="L661" s="810">
        <v>0.6519</v>
      </c>
      <c r="M661" s="810">
        <v>0.3992</v>
      </c>
      <c r="N661" s="810">
        <v>0.2848</v>
      </c>
      <c r="O661" s="810" t="s">
        <v>2434</v>
      </c>
      <c r="P661" s="100" t="s">
        <v>2546</v>
      </c>
      <c r="Q661" s="100"/>
      <c r="R661" s="100"/>
      <c r="S661" s="8"/>
    </row>
    <row r="662" ht="14.25" customHeight="1">
      <c r="A662" s="100" t="s">
        <v>2663</v>
      </c>
      <c r="B662" s="100" t="s">
        <v>2664</v>
      </c>
      <c r="C662" s="100" t="s">
        <v>2317</v>
      </c>
      <c r="D662" s="100"/>
      <c r="E662" s="810" t="str">
        <f t="shared" ref="E662:O662" si="56">#REF!</f>
        <v>#REF!</v>
      </c>
      <c r="F662" s="810" t="str">
        <f t="shared" si="56"/>
        <v>#REF!</v>
      </c>
      <c r="G662" s="810" t="str">
        <f t="shared" si="56"/>
        <v>#REF!</v>
      </c>
      <c r="H662" s="810" t="str">
        <f t="shared" si="56"/>
        <v>#REF!</v>
      </c>
      <c r="I662" s="810" t="str">
        <f t="shared" si="56"/>
        <v>#REF!</v>
      </c>
      <c r="J662" s="810" t="str">
        <f t="shared" si="56"/>
        <v>#REF!</v>
      </c>
      <c r="K662" s="810" t="str">
        <f t="shared" si="56"/>
        <v>#REF!</v>
      </c>
      <c r="L662" s="810" t="str">
        <f t="shared" si="56"/>
        <v>#REF!</v>
      </c>
      <c r="M662" s="810" t="str">
        <f t="shared" si="56"/>
        <v>#REF!</v>
      </c>
      <c r="N662" s="810" t="str">
        <f t="shared" si="56"/>
        <v>#REF!</v>
      </c>
      <c r="O662" s="810" t="str">
        <f t="shared" si="56"/>
        <v>#REF!</v>
      </c>
      <c r="P662" s="100"/>
      <c r="Q662" s="100"/>
      <c r="R662" s="100"/>
      <c r="S662" s="8"/>
    </row>
    <row r="663" ht="14.25" customHeight="1">
      <c r="A663" s="100" t="s">
        <v>2663</v>
      </c>
      <c r="B663" s="100"/>
      <c r="C663" s="100" t="s">
        <v>2507</v>
      </c>
      <c r="D663" s="100"/>
      <c r="E663" s="810" t="str">
        <f t="shared" ref="E663:O663" si="57">#REF!</f>
        <v>#REF!</v>
      </c>
      <c r="F663" s="810" t="str">
        <f t="shared" si="57"/>
        <v>#REF!</v>
      </c>
      <c r="G663" s="810" t="str">
        <f t="shared" si="57"/>
        <v>#REF!</v>
      </c>
      <c r="H663" s="810" t="str">
        <f t="shared" si="57"/>
        <v>#REF!</v>
      </c>
      <c r="I663" s="810" t="str">
        <f t="shared" si="57"/>
        <v>#REF!</v>
      </c>
      <c r="J663" s="810" t="str">
        <f t="shared" si="57"/>
        <v>#REF!</v>
      </c>
      <c r="K663" s="810" t="str">
        <f t="shared" si="57"/>
        <v>#REF!</v>
      </c>
      <c r="L663" s="810" t="str">
        <f t="shared" si="57"/>
        <v>#REF!</v>
      </c>
      <c r="M663" s="810" t="str">
        <f t="shared" si="57"/>
        <v>#REF!</v>
      </c>
      <c r="N663" s="810" t="str">
        <f t="shared" si="57"/>
        <v>#REF!</v>
      </c>
      <c r="O663" s="810" t="str">
        <f t="shared" si="57"/>
        <v>#REF!</v>
      </c>
      <c r="P663" s="100"/>
      <c r="Q663" s="100"/>
      <c r="R663" s="100"/>
      <c r="S663" s="8"/>
    </row>
    <row r="664" ht="14.25" customHeight="1">
      <c r="A664" s="100" t="s">
        <v>2663</v>
      </c>
      <c r="B664" s="100" t="s">
        <v>2664</v>
      </c>
      <c r="C664" s="100" t="s">
        <v>2325</v>
      </c>
      <c r="D664" s="100"/>
      <c r="E664" s="810" t="s">
        <v>2434</v>
      </c>
      <c r="F664" s="810" t="s">
        <v>2434</v>
      </c>
      <c r="G664" s="810" t="s">
        <v>2434</v>
      </c>
      <c r="H664" s="810" t="s">
        <v>2434</v>
      </c>
      <c r="I664" s="810" t="s">
        <v>2434</v>
      </c>
      <c r="J664" s="810" t="s">
        <v>2434</v>
      </c>
      <c r="K664" s="810" t="s">
        <v>2434</v>
      </c>
      <c r="L664" s="810" t="s">
        <v>2434</v>
      </c>
      <c r="M664" s="810" t="s">
        <v>2434</v>
      </c>
      <c r="N664" s="810" t="s">
        <v>2434</v>
      </c>
      <c r="O664" s="810" t="s">
        <v>2434</v>
      </c>
      <c r="P664" s="100"/>
      <c r="Q664" s="100"/>
      <c r="R664" s="100"/>
      <c r="S664" s="8"/>
    </row>
    <row r="665" ht="14.25" customHeight="1">
      <c r="A665" s="100" t="s">
        <v>2663</v>
      </c>
      <c r="B665" s="100" t="s">
        <v>2664</v>
      </c>
      <c r="C665" s="100" t="s">
        <v>2329</v>
      </c>
      <c r="D665" s="100"/>
      <c r="E665" s="810" t="s">
        <v>2434</v>
      </c>
      <c r="F665" s="810" t="s">
        <v>2434</v>
      </c>
      <c r="G665" s="810" t="s">
        <v>2434</v>
      </c>
      <c r="H665" s="810" t="s">
        <v>2434</v>
      </c>
      <c r="I665" s="810" t="s">
        <v>2434</v>
      </c>
      <c r="J665" s="810" t="s">
        <v>2434</v>
      </c>
      <c r="K665" s="810" t="s">
        <v>2434</v>
      </c>
      <c r="L665" s="810" t="s">
        <v>2434</v>
      </c>
      <c r="M665" s="810" t="s">
        <v>2434</v>
      </c>
      <c r="N665" s="810" t="s">
        <v>2434</v>
      </c>
      <c r="O665" s="810" t="s">
        <v>2434</v>
      </c>
      <c r="P665" s="100"/>
      <c r="Q665" s="100"/>
      <c r="R665" s="100"/>
      <c r="S665" s="8"/>
    </row>
    <row r="666" ht="14.25" customHeight="1">
      <c r="A666" s="100" t="s">
        <v>2663</v>
      </c>
      <c r="B666" s="100" t="s">
        <v>2664</v>
      </c>
      <c r="C666" s="100" t="s">
        <v>2333</v>
      </c>
      <c r="D666" s="100"/>
      <c r="E666" s="810" t="s">
        <v>2434</v>
      </c>
      <c r="F666" s="810" t="s">
        <v>2434</v>
      </c>
      <c r="G666" s="810" t="s">
        <v>2434</v>
      </c>
      <c r="H666" s="810" t="s">
        <v>2434</v>
      </c>
      <c r="I666" s="810" t="s">
        <v>2434</v>
      </c>
      <c r="J666" s="810" t="s">
        <v>2434</v>
      </c>
      <c r="K666" s="810" t="s">
        <v>2434</v>
      </c>
      <c r="L666" s="810" t="s">
        <v>2434</v>
      </c>
      <c r="M666" s="810" t="s">
        <v>2434</v>
      </c>
      <c r="N666" s="810" t="s">
        <v>2434</v>
      </c>
      <c r="O666" s="810" t="s">
        <v>2434</v>
      </c>
      <c r="P666" s="100"/>
      <c r="Q666" s="100"/>
      <c r="R666" s="100"/>
      <c r="S666" s="8"/>
    </row>
    <row r="667" ht="14.25" customHeight="1">
      <c r="A667" s="100" t="s">
        <v>2663</v>
      </c>
      <c r="B667" s="100" t="s">
        <v>2664</v>
      </c>
      <c r="C667" s="100" t="s">
        <v>2364</v>
      </c>
      <c r="D667" s="100" t="s">
        <v>135</v>
      </c>
      <c r="E667" s="810">
        <v>0.2006</v>
      </c>
      <c r="F667" s="810">
        <v>0.2122</v>
      </c>
      <c r="G667" s="810">
        <v>0.2217</v>
      </c>
      <c r="H667" s="810">
        <v>0.2367</v>
      </c>
      <c r="I667" s="810">
        <v>0.2419</v>
      </c>
      <c r="J667" s="810">
        <v>0.2765</v>
      </c>
      <c r="K667" s="810">
        <v>0.2894</v>
      </c>
      <c r="L667" s="810">
        <v>0.312</v>
      </c>
      <c r="M667" s="810">
        <v>0.3087</v>
      </c>
      <c r="N667" s="810">
        <v>0.3291</v>
      </c>
      <c r="O667" s="810" t="s">
        <v>2434</v>
      </c>
      <c r="P667" s="100" t="s">
        <v>2617</v>
      </c>
      <c r="Q667" s="100"/>
      <c r="R667" s="100"/>
      <c r="S667" s="8"/>
    </row>
    <row r="668" ht="14.25" customHeight="1">
      <c r="A668" s="100" t="s">
        <v>2663</v>
      </c>
      <c r="B668" s="100" t="s">
        <v>2664</v>
      </c>
      <c r="C668" s="100" t="s">
        <v>2337</v>
      </c>
      <c r="D668" s="100" t="s">
        <v>135</v>
      </c>
      <c r="E668" s="810">
        <v>0.0484</v>
      </c>
      <c r="F668" s="810">
        <v>0.0416</v>
      </c>
      <c r="G668" s="810">
        <v>0.0376</v>
      </c>
      <c r="H668" s="810">
        <v>0.0322</v>
      </c>
      <c r="I668" s="810">
        <v>0.0324</v>
      </c>
      <c r="J668" s="810">
        <v>0.0308</v>
      </c>
      <c r="K668" s="810">
        <v>0.0336</v>
      </c>
      <c r="L668" s="810">
        <v>0.0381</v>
      </c>
      <c r="M668" s="810">
        <v>0.0356</v>
      </c>
      <c r="N668" s="810">
        <v>0.0344</v>
      </c>
      <c r="O668" s="810">
        <v>0.032</v>
      </c>
      <c r="P668" s="100" t="s">
        <v>2512</v>
      </c>
      <c r="Q668" s="100"/>
      <c r="R668" s="100"/>
      <c r="S668" s="8"/>
    </row>
    <row r="669" ht="14.25" customHeight="1">
      <c r="A669" s="100" t="s">
        <v>2663</v>
      </c>
      <c r="B669" s="100" t="s">
        <v>2664</v>
      </c>
      <c r="C669" s="100" t="s">
        <v>2341</v>
      </c>
      <c r="D669" s="100"/>
      <c r="E669" s="810" t="s">
        <v>2434</v>
      </c>
      <c r="F669" s="810" t="s">
        <v>2434</v>
      </c>
      <c r="G669" s="810" t="s">
        <v>2434</v>
      </c>
      <c r="H669" s="810" t="s">
        <v>2434</v>
      </c>
      <c r="I669" s="810" t="s">
        <v>2434</v>
      </c>
      <c r="J669" s="810" t="s">
        <v>2434</v>
      </c>
      <c r="K669" s="810" t="s">
        <v>2434</v>
      </c>
      <c r="L669" s="810" t="s">
        <v>2434</v>
      </c>
      <c r="M669" s="810" t="s">
        <v>2434</v>
      </c>
      <c r="N669" s="810" t="s">
        <v>2434</v>
      </c>
      <c r="O669" s="810" t="s">
        <v>2434</v>
      </c>
      <c r="P669" s="100"/>
      <c r="Q669" s="100"/>
      <c r="R669" s="100"/>
      <c r="S669" s="8"/>
    </row>
    <row r="670" ht="14.25" customHeight="1">
      <c r="A670" s="100" t="s">
        <v>2663</v>
      </c>
      <c r="B670" s="100" t="s">
        <v>2664</v>
      </c>
      <c r="C670" s="100" t="s">
        <v>2348</v>
      </c>
      <c r="D670" s="100" t="s">
        <v>135</v>
      </c>
      <c r="E670" s="810">
        <v>0.903</v>
      </c>
      <c r="F670" s="810">
        <v>0.8487</v>
      </c>
      <c r="G670" s="810">
        <v>0.7204</v>
      </c>
      <c r="H670" s="810">
        <v>0.7405</v>
      </c>
      <c r="I670" s="810">
        <v>0.7356</v>
      </c>
      <c r="J670" s="810">
        <v>0.7277</v>
      </c>
      <c r="K670" s="810">
        <v>0.7579</v>
      </c>
      <c r="L670" s="810">
        <v>0.7766</v>
      </c>
      <c r="M670" s="810">
        <v>0.7776</v>
      </c>
      <c r="N670" s="810">
        <v>0.7745</v>
      </c>
      <c r="O670" s="810" t="s">
        <v>2434</v>
      </c>
      <c r="P670" s="100" t="s">
        <v>2633</v>
      </c>
      <c r="Q670" s="100"/>
      <c r="R670" s="100"/>
      <c r="S670" s="8"/>
    </row>
    <row r="671" ht="14.25" customHeight="1">
      <c r="A671" s="100" t="s">
        <v>2663</v>
      </c>
      <c r="B671" s="100" t="s">
        <v>2664</v>
      </c>
      <c r="C671" s="100" t="s">
        <v>2350</v>
      </c>
      <c r="D671" s="100"/>
      <c r="E671" s="810" t="s">
        <v>2434</v>
      </c>
      <c r="F671" s="810" t="s">
        <v>2434</v>
      </c>
      <c r="G671" s="810" t="s">
        <v>2434</v>
      </c>
      <c r="H671" s="810" t="s">
        <v>2434</v>
      </c>
      <c r="I671" s="810" t="s">
        <v>2434</v>
      </c>
      <c r="J671" s="810" t="s">
        <v>2434</v>
      </c>
      <c r="K671" s="810" t="s">
        <v>2434</v>
      </c>
      <c r="L671" s="810" t="s">
        <v>2434</v>
      </c>
      <c r="M671" s="810" t="s">
        <v>2434</v>
      </c>
      <c r="N671" s="810" t="s">
        <v>2434</v>
      </c>
      <c r="O671" s="810" t="s">
        <v>2434</v>
      </c>
      <c r="P671" s="100"/>
      <c r="Q671" s="100"/>
      <c r="R671" s="100"/>
      <c r="S671" s="8"/>
    </row>
    <row r="672" ht="14.25" customHeight="1">
      <c r="A672" s="100" t="s">
        <v>2663</v>
      </c>
      <c r="B672" s="100" t="s">
        <v>2664</v>
      </c>
      <c r="C672" s="100" t="s">
        <v>2354</v>
      </c>
      <c r="D672" s="100"/>
      <c r="E672" s="810" t="s">
        <v>2434</v>
      </c>
      <c r="F672" s="810" t="s">
        <v>2434</v>
      </c>
      <c r="G672" s="810" t="s">
        <v>2434</v>
      </c>
      <c r="H672" s="810" t="s">
        <v>2434</v>
      </c>
      <c r="I672" s="810" t="s">
        <v>2434</v>
      </c>
      <c r="J672" s="810" t="s">
        <v>2434</v>
      </c>
      <c r="K672" s="810" t="s">
        <v>2434</v>
      </c>
      <c r="L672" s="810" t="s">
        <v>2434</v>
      </c>
      <c r="M672" s="810" t="s">
        <v>2434</v>
      </c>
      <c r="N672" s="810" t="s">
        <v>2434</v>
      </c>
      <c r="O672" s="810" t="s">
        <v>2434</v>
      </c>
      <c r="P672" s="100"/>
      <c r="Q672" s="100"/>
      <c r="R672" s="100"/>
      <c r="S672" s="8"/>
    </row>
    <row r="673" ht="14.25" customHeight="1">
      <c r="A673" s="100" t="s">
        <v>2663</v>
      </c>
      <c r="B673" s="100" t="s">
        <v>2664</v>
      </c>
      <c r="C673" s="100" t="s">
        <v>2356</v>
      </c>
      <c r="D673" s="100"/>
      <c r="E673" s="810" t="s">
        <v>2434</v>
      </c>
      <c r="F673" s="810" t="s">
        <v>2434</v>
      </c>
      <c r="G673" s="810" t="s">
        <v>2434</v>
      </c>
      <c r="H673" s="810" t="s">
        <v>2434</v>
      </c>
      <c r="I673" s="810" t="s">
        <v>2434</v>
      </c>
      <c r="J673" s="810" t="s">
        <v>2434</v>
      </c>
      <c r="K673" s="810" t="s">
        <v>2434</v>
      </c>
      <c r="L673" s="810" t="s">
        <v>2434</v>
      </c>
      <c r="M673" s="810" t="s">
        <v>2434</v>
      </c>
      <c r="N673" s="810" t="s">
        <v>2434</v>
      </c>
      <c r="O673" s="810" t="s">
        <v>2434</v>
      </c>
      <c r="P673" s="100"/>
      <c r="Q673" s="100"/>
      <c r="R673" s="100"/>
      <c r="S673" s="8"/>
    </row>
    <row r="674" ht="14.25" customHeight="1">
      <c r="A674" s="100" t="s">
        <v>2663</v>
      </c>
      <c r="B674" s="100" t="s">
        <v>2664</v>
      </c>
      <c r="C674" s="100" t="s">
        <v>2344</v>
      </c>
      <c r="D674" s="100" t="s">
        <v>135</v>
      </c>
      <c r="E674" s="810">
        <v>23.9971</v>
      </c>
      <c r="F674" s="810">
        <v>22.487</v>
      </c>
      <c r="G674" s="810">
        <v>22.3996</v>
      </c>
      <c r="H674" s="810">
        <v>22.4476</v>
      </c>
      <c r="I674" s="810">
        <v>22.1407</v>
      </c>
      <c r="J674" s="810">
        <v>22.6279</v>
      </c>
      <c r="K674" s="810">
        <v>23.12</v>
      </c>
      <c r="L674" s="810">
        <v>23.1325</v>
      </c>
      <c r="M674" s="810">
        <v>22.4568</v>
      </c>
      <c r="N674" s="810">
        <v>21.8169</v>
      </c>
      <c r="O674" s="810" t="s">
        <v>2434</v>
      </c>
      <c r="P674" s="100" t="s">
        <v>2634</v>
      </c>
      <c r="Q674" s="100"/>
      <c r="R674" s="100"/>
      <c r="S674" s="8"/>
    </row>
    <row r="675" ht="14.25" customHeight="1">
      <c r="A675" s="100" t="s">
        <v>2663</v>
      </c>
      <c r="B675" s="100" t="s">
        <v>2664</v>
      </c>
      <c r="C675" s="100" t="s">
        <v>2362</v>
      </c>
      <c r="D675" s="100"/>
      <c r="E675" s="810" t="s">
        <v>2434</v>
      </c>
      <c r="F675" s="810" t="s">
        <v>2434</v>
      </c>
      <c r="G675" s="810" t="s">
        <v>2434</v>
      </c>
      <c r="H675" s="810" t="s">
        <v>2434</v>
      </c>
      <c r="I675" s="810" t="s">
        <v>2434</v>
      </c>
      <c r="J675" s="810" t="s">
        <v>2434</v>
      </c>
      <c r="K675" s="810" t="s">
        <v>2434</v>
      </c>
      <c r="L675" s="810" t="s">
        <v>2434</v>
      </c>
      <c r="M675" s="810" t="s">
        <v>2434</v>
      </c>
      <c r="N675" s="810" t="s">
        <v>2434</v>
      </c>
      <c r="O675" s="810" t="s">
        <v>2434</v>
      </c>
      <c r="P675" s="100"/>
      <c r="Q675" s="100"/>
      <c r="R675" s="100"/>
      <c r="S675" s="8"/>
    </row>
    <row r="676" ht="14.25" customHeight="1">
      <c r="A676" s="100" t="s">
        <v>2663</v>
      </c>
      <c r="B676" s="100" t="s">
        <v>2664</v>
      </c>
      <c r="C676" s="100" t="s">
        <v>2367</v>
      </c>
      <c r="D676" s="100" t="s">
        <v>135</v>
      </c>
      <c r="E676" s="810">
        <v>1.1395</v>
      </c>
      <c r="F676" s="810" t="s">
        <v>2434</v>
      </c>
      <c r="G676" s="810" t="s">
        <v>2434</v>
      </c>
      <c r="H676" s="810" t="s">
        <v>2434</v>
      </c>
      <c r="I676" s="810" t="s">
        <v>2434</v>
      </c>
      <c r="J676" s="810" t="s">
        <v>2434</v>
      </c>
      <c r="K676" s="810" t="s">
        <v>2434</v>
      </c>
      <c r="L676" s="810" t="s">
        <v>2434</v>
      </c>
      <c r="M676" s="810" t="s">
        <v>2434</v>
      </c>
      <c r="N676" s="810" t="s">
        <v>2434</v>
      </c>
      <c r="O676" s="810" t="s">
        <v>2434</v>
      </c>
      <c r="P676" s="100" t="s">
        <v>2665</v>
      </c>
      <c r="Q676" s="100"/>
      <c r="R676" s="100"/>
      <c r="S676" s="8"/>
    </row>
    <row r="677" ht="14.25" customHeight="1">
      <c r="A677" s="100" t="s">
        <v>2663</v>
      </c>
      <c r="B677" s="100" t="s">
        <v>2664</v>
      </c>
      <c r="C677" s="100" t="s">
        <v>2369</v>
      </c>
      <c r="D677" s="100" t="s">
        <v>135</v>
      </c>
      <c r="E677" s="810">
        <v>0.3135</v>
      </c>
      <c r="F677" s="810">
        <v>0.3159</v>
      </c>
      <c r="G677" s="810">
        <v>0.3159</v>
      </c>
      <c r="H677" s="810">
        <v>0.2972</v>
      </c>
      <c r="I677" s="810">
        <v>0.4047</v>
      </c>
      <c r="J677" s="810">
        <v>0.2972</v>
      </c>
      <c r="K677" s="810">
        <v>0.3383</v>
      </c>
      <c r="L677" s="810">
        <v>0.3004</v>
      </c>
      <c r="M677" s="810">
        <v>0.3168</v>
      </c>
      <c r="N677" s="810">
        <v>0.3238</v>
      </c>
      <c r="O677" s="810" t="s">
        <v>2434</v>
      </c>
      <c r="P677" s="100" t="s">
        <v>2623</v>
      </c>
      <c r="Q677" s="100"/>
      <c r="R677" s="100"/>
      <c r="S677" s="8"/>
    </row>
    <row r="678" ht="14.25" customHeight="1">
      <c r="A678" s="100" t="s">
        <v>2663</v>
      </c>
      <c r="B678" s="100" t="s">
        <v>2664</v>
      </c>
      <c r="C678" s="100" t="s">
        <v>2374</v>
      </c>
      <c r="D678" s="100"/>
      <c r="E678" s="810" t="s">
        <v>2434</v>
      </c>
      <c r="F678" s="810" t="s">
        <v>2434</v>
      </c>
      <c r="G678" s="810" t="s">
        <v>2434</v>
      </c>
      <c r="H678" s="810" t="s">
        <v>2434</v>
      </c>
      <c r="I678" s="810" t="s">
        <v>2434</v>
      </c>
      <c r="J678" s="810" t="s">
        <v>2434</v>
      </c>
      <c r="K678" s="810" t="s">
        <v>2434</v>
      </c>
      <c r="L678" s="810" t="s">
        <v>2434</v>
      </c>
      <c r="M678" s="810" t="s">
        <v>2434</v>
      </c>
      <c r="N678" s="810" t="s">
        <v>2434</v>
      </c>
      <c r="O678" s="810" t="s">
        <v>2434</v>
      </c>
      <c r="P678" s="100"/>
      <c r="Q678" s="100"/>
      <c r="R678" s="100"/>
      <c r="S678" s="8"/>
    </row>
    <row r="679" ht="14.25" customHeight="1">
      <c r="A679" s="100" t="s">
        <v>2663</v>
      </c>
      <c r="B679" s="100" t="s">
        <v>2664</v>
      </c>
      <c r="C679" s="100" t="s">
        <v>2386</v>
      </c>
      <c r="D679" s="100"/>
      <c r="E679" s="810" t="s">
        <v>2434</v>
      </c>
      <c r="F679" s="810" t="s">
        <v>2434</v>
      </c>
      <c r="G679" s="810" t="s">
        <v>2434</v>
      </c>
      <c r="H679" s="810" t="s">
        <v>2434</v>
      </c>
      <c r="I679" s="810" t="s">
        <v>2434</v>
      </c>
      <c r="J679" s="810" t="s">
        <v>2434</v>
      </c>
      <c r="K679" s="810" t="s">
        <v>2434</v>
      </c>
      <c r="L679" s="810" t="s">
        <v>2434</v>
      </c>
      <c r="M679" s="810" t="s">
        <v>2434</v>
      </c>
      <c r="N679" s="810" t="s">
        <v>2434</v>
      </c>
      <c r="O679" s="810" t="s">
        <v>2434</v>
      </c>
      <c r="P679" s="100"/>
      <c r="Q679" s="100"/>
      <c r="R679" s="100"/>
      <c r="S679" s="8"/>
    </row>
    <row r="680" ht="14.25" customHeight="1">
      <c r="A680" s="100" t="s">
        <v>2663</v>
      </c>
      <c r="B680" s="100" t="s">
        <v>2664</v>
      </c>
      <c r="C680" s="100" t="s">
        <v>2378</v>
      </c>
      <c r="D680" s="100"/>
      <c r="E680" s="810" t="s">
        <v>2434</v>
      </c>
      <c r="F680" s="810" t="s">
        <v>2434</v>
      </c>
      <c r="G680" s="810" t="s">
        <v>2434</v>
      </c>
      <c r="H680" s="810" t="s">
        <v>2434</v>
      </c>
      <c r="I680" s="810" t="s">
        <v>2434</v>
      </c>
      <c r="J680" s="810" t="s">
        <v>2434</v>
      </c>
      <c r="K680" s="810" t="s">
        <v>2434</v>
      </c>
      <c r="L680" s="810" t="s">
        <v>2434</v>
      </c>
      <c r="M680" s="810" t="s">
        <v>2434</v>
      </c>
      <c r="N680" s="810" t="s">
        <v>2434</v>
      </c>
      <c r="O680" s="810" t="s">
        <v>2434</v>
      </c>
      <c r="P680" s="100"/>
      <c r="Q680" s="100"/>
      <c r="R680" s="100"/>
      <c r="S680" s="8"/>
    </row>
    <row r="681" ht="14.25" customHeight="1">
      <c r="A681" s="100" t="s">
        <v>2663</v>
      </c>
      <c r="B681" s="100" t="s">
        <v>2664</v>
      </c>
      <c r="C681" s="100" t="s">
        <v>2383</v>
      </c>
      <c r="D681" s="100"/>
      <c r="E681" s="810" t="s">
        <v>2434</v>
      </c>
      <c r="F681" s="810" t="s">
        <v>2434</v>
      </c>
      <c r="G681" s="810" t="s">
        <v>2434</v>
      </c>
      <c r="H681" s="810" t="s">
        <v>2434</v>
      </c>
      <c r="I681" s="810" t="s">
        <v>2434</v>
      </c>
      <c r="J681" s="810" t="s">
        <v>2434</v>
      </c>
      <c r="K681" s="810" t="s">
        <v>2434</v>
      </c>
      <c r="L681" s="810" t="s">
        <v>2434</v>
      </c>
      <c r="M681" s="810" t="s">
        <v>2434</v>
      </c>
      <c r="N681" s="810" t="s">
        <v>2434</v>
      </c>
      <c r="O681" s="810" t="s">
        <v>2434</v>
      </c>
      <c r="P681" s="100"/>
      <c r="Q681" s="100"/>
      <c r="R681" s="100"/>
      <c r="S681" s="8"/>
    </row>
    <row r="682" ht="14.25" customHeight="1">
      <c r="A682" s="100" t="s">
        <v>2663</v>
      </c>
      <c r="B682" s="100" t="s">
        <v>2664</v>
      </c>
      <c r="C682" s="100" t="s">
        <v>2389</v>
      </c>
      <c r="D682" s="100"/>
      <c r="E682" s="810" t="s">
        <v>2434</v>
      </c>
      <c r="F682" s="810" t="s">
        <v>2434</v>
      </c>
      <c r="G682" s="810" t="s">
        <v>2434</v>
      </c>
      <c r="H682" s="810" t="s">
        <v>2434</v>
      </c>
      <c r="I682" s="810" t="s">
        <v>2434</v>
      </c>
      <c r="J682" s="810" t="s">
        <v>2434</v>
      </c>
      <c r="K682" s="810" t="s">
        <v>2434</v>
      </c>
      <c r="L682" s="810" t="s">
        <v>2434</v>
      </c>
      <c r="M682" s="810" t="s">
        <v>2434</v>
      </c>
      <c r="N682" s="810" t="s">
        <v>2434</v>
      </c>
      <c r="O682" s="810" t="s">
        <v>2434</v>
      </c>
      <c r="P682" s="100"/>
      <c r="Q682" s="100"/>
      <c r="R682" s="100"/>
      <c r="S682" s="8"/>
    </row>
    <row r="683" ht="14.25" customHeight="1">
      <c r="A683" s="100" t="s">
        <v>2663</v>
      </c>
      <c r="B683" s="100" t="s">
        <v>2664</v>
      </c>
      <c r="C683" s="100" t="s">
        <v>2391</v>
      </c>
      <c r="D683" s="100" t="s">
        <v>135</v>
      </c>
      <c r="E683" s="810">
        <v>2.9161</v>
      </c>
      <c r="F683" s="810">
        <v>2.6106</v>
      </c>
      <c r="G683" s="810">
        <v>2.6384</v>
      </c>
      <c r="H683" s="810">
        <v>2.6384</v>
      </c>
      <c r="I683" s="810">
        <v>2.5829</v>
      </c>
      <c r="J683" s="810">
        <v>2.6384</v>
      </c>
      <c r="K683" s="810">
        <v>2.7217</v>
      </c>
      <c r="L683" s="810">
        <v>2.7773</v>
      </c>
      <c r="M683" s="810">
        <v>2.9161</v>
      </c>
      <c r="N683" s="810">
        <v>2.694</v>
      </c>
      <c r="O683" s="810" t="s">
        <v>2434</v>
      </c>
      <c r="P683" s="100" t="s">
        <v>2511</v>
      </c>
      <c r="Q683" s="100"/>
      <c r="R683" s="100"/>
      <c r="S683" s="8"/>
    </row>
    <row r="684" ht="14.25" customHeight="1">
      <c r="A684" s="100" t="s">
        <v>2663</v>
      </c>
      <c r="B684" s="100" t="s">
        <v>2664</v>
      </c>
      <c r="C684" s="100" t="s">
        <v>2393</v>
      </c>
      <c r="D684" s="100" t="s">
        <v>135</v>
      </c>
      <c r="E684" s="810">
        <v>4.2223</v>
      </c>
      <c r="F684" s="810">
        <v>4.6843</v>
      </c>
      <c r="G684" s="810">
        <v>4.2124</v>
      </c>
      <c r="H684" s="810">
        <v>5.2638</v>
      </c>
      <c r="I684" s="810">
        <v>5.2273</v>
      </c>
      <c r="J684" s="810">
        <v>5.4282</v>
      </c>
      <c r="K684" s="810">
        <v>5.8382</v>
      </c>
      <c r="L684" s="810">
        <v>6.4142</v>
      </c>
      <c r="M684" s="810">
        <v>6.2994</v>
      </c>
      <c r="N684" s="810">
        <v>6.5395</v>
      </c>
      <c r="O684" s="810" t="s">
        <v>2434</v>
      </c>
      <c r="P684" s="100" t="s">
        <v>2526</v>
      </c>
      <c r="Q684" s="100"/>
      <c r="R684" s="100"/>
      <c r="S684" s="8"/>
    </row>
    <row r="685" ht="14.25" customHeight="1">
      <c r="A685" s="100" t="s">
        <v>2663</v>
      </c>
      <c r="B685" s="100" t="s">
        <v>2664</v>
      </c>
      <c r="C685" s="100" t="s">
        <v>2395</v>
      </c>
      <c r="D685" s="100" t="s">
        <v>135</v>
      </c>
      <c r="E685" s="810">
        <v>0.3938</v>
      </c>
      <c r="F685" s="810">
        <v>0.3847</v>
      </c>
      <c r="G685" s="810">
        <v>0.3825</v>
      </c>
      <c r="H685" s="810">
        <v>0.3925</v>
      </c>
      <c r="I685" s="810">
        <v>0.3747</v>
      </c>
      <c r="J685" s="810">
        <v>0.3916</v>
      </c>
      <c r="K685" s="810">
        <v>0.3877</v>
      </c>
      <c r="L685" s="810">
        <v>0.4103</v>
      </c>
      <c r="M685" s="810">
        <v>0.3686</v>
      </c>
      <c r="N685" s="810">
        <v>0.3922</v>
      </c>
      <c r="O685" s="810" t="s">
        <v>2434</v>
      </c>
      <c r="P685" s="100" t="s">
        <v>2626</v>
      </c>
      <c r="Q685" s="100"/>
      <c r="R685" s="100"/>
      <c r="S685" s="8"/>
    </row>
    <row r="686" ht="14.25" customHeight="1">
      <c r="A686" s="100" t="s">
        <v>2663</v>
      </c>
      <c r="B686" s="100" t="s">
        <v>2664</v>
      </c>
      <c r="C686" s="100" t="s">
        <v>2397</v>
      </c>
      <c r="D686" s="100" t="s">
        <v>135</v>
      </c>
      <c r="E686" s="810">
        <v>1.5232</v>
      </c>
      <c r="F686" s="810">
        <v>1.6395</v>
      </c>
      <c r="G686" s="810">
        <v>1.3837</v>
      </c>
      <c r="H686" s="810">
        <v>1.6279</v>
      </c>
      <c r="I686" s="810">
        <v>1.8599</v>
      </c>
      <c r="J686" s="810">
        <v>1.9151</v>
      </c>
      <c r="K686" s="810">
        <v>1.8372</v>
      </c>
      <c r="L686" s="810">
        <v>1.9767</v>
      </c>
      <c r="M686" s="810">
        <v>2.1279</v>
      </c>
      <c r="N686" s="810">
        <v>2.0349</v>
      </c>
      <c r="O686" s="810" t="s">
        <v>2434</v>
      </c>
      <c r="P686" s="100" t="s">
        <v>2528</v>
      </c>
      <c r="Q686" s="100"/>
      <c r="R686" s="100"/>
      <c r="S686" s="8"/>
    </row>
    <row r="687" ht="14.25" customHeight="1">
      <c r="A687" s="100" t="s">
        <v>2663</v>
      </c>
      <c r="B687" s="100" t="s">
        <v>2664</v>
      </c>
      <c r="C687" s="100" t="s">
        <v>2411</v>
      </c>
      <c r="D687" s="100"/>
      <c r="E687" s="810" t="s">
        <v>2434</v>
      </c>
      <c r="F687" s="810" t="s">
        <v>2434</v>
      </c>
      <c r="G687" s="810" t="s">
        <v>2434</v>
      </c>
      <c r="H687" s="810" t="s">
        <v>2434</v>
      </c>
      <c r="I687" s="810" t="s">
        <v>2434</v>
      </c>
      <c r="J687" s="810" t="s">
        <v>2434</v>
      </c>
      <c r="K687" s="810" t="s">
        <v>2434</v>
      </c>
      <c r="L687" s="810" t="s">
        <v>2434</v>
      </c>
      <c r="M687" s="810" t="s">
        <v>2434</v>
      </c>
      <c r="N687" s="810" t="s">
        <v>2434</v>
      </c>
      <c r="O687" s="810" t="s">
        <v>2434</v>
      </c>
      <c r="P687" s="100"/>
      <c r="Q687" s="100"/>
      <c r="R687" s="100"/>
      <c r="S687" s="8"/>
    </row>
    <row r="688" ht="14.25" customHeight="1">
      <c r="A688" s="100" t="s">
        <v>2663</v>
      </c>
      <c r="B688" s="100" t="s">
        <v>2664</v>
      </c>
      <c r="C688" s="100" t="s">
        <v>2406</v>
      </c>
      <c r="D688" s="100" t="s">
        <v>135</v>
      </c>
      <c r="E688" s="810">
        <v>0.701</v>
      </c>
      <c r="F688" s="810">
        <v>0.654</v>
      </c>
      <c r="G688" s="810">
        <v>0.6246</v>
      </c>
      <c r="H688" s="810">
        <v>0.6429</v>
      </c>
      <c r="I688" s="810">
        <v>0.6477</v>
      </c>
      <c r="J688" s="810">
        <v>0.6471</v>
      </c>
      <c r="K688" s="810">
        <v>0.691</v>
      </c>
      <c r="L688" s="810">
        <v>0.7504</v>
      </c>
      <c r="M688" s="810">
        <v>0.6779</v>
      </c>
      <c r="N688" s="810">
        <v>0.7188</v>
      </c>
      <c r="O688" s="810" t="s">
        <v>2434</v>
      </c>
      <c r="P688" s="100" t="s">
        <v>2628</v>
      </c>
      <c r="Q688" s="100"/>
      <c r="R688" s="100"/>
      <c r="S688" s="8"/>
    </row>
    <row r="689" ht="14.25" customHeight="1">
      <c r="A689" s="100" t="s">
        <v>2663</v>
      </c>
      <c r="B689" s="100" t="s">
        <v>2664</v>
      </c>
      <c r="C689" s="100" t="s">
        <v>2352</v>
      </c>
      <c r="D689" s="100"/>
      <c r="E689" s="810" t="s">
        <v>2434</v>
      </c>
      <c r="F689" s="810" t="s">
        <v>2434</v>
      </c>
      <c r="G689" s="810" t="s">
        <v>2434</v>
      </c>
      <c r="H689" s="810" t="s">
        <v>2434</v>
      </c>
      <c r="I689" s="810" t="s">
        <v>2434</v>
      </c>
      <c r="J689" s="810" t="s">
        <v>2434</v>
      </c>
      <c r="K689" s="810" t="s">
        <v>2434</v>
      </c>
      <c r="L689" s="810" t="s">
        <v>2434</v>
      </c>
      <c r="M689" s="810" t="s">
        <v>2434</v>
      </c>
      <c r="N689" s="810" t="s">
        <v>2434</v>
      </c>
      <c r="O689" s="810" t="s">
        <v>2434</v>
      </c>
      <c r="P689" s="100"/>
      <c r="Q689" s="100"/>
      <c r="R689" s="100"/>
      <c r="S689" s="8"/>
    </row>
    <row r="690" ht="14.25" customHeight="1">
      <c r="A690" s="100" t="s">
        <v>2663</v>
      </c>
      <c r="B690" s="100" t="s">
        <v>2664</v>
      </c>
      <c r="C690" s="100" t="s">
        <v>2400</v>
      </c>
      <c r="D690" s="100" t="s">
        <v>135</v>
      </c>
      <c r="E690" s="810">
        <v>1.6597</v>
      </c>
      <c r="F690" s="810">
        <v>1.5913</v>
      </c>
      <c r="G690" s="810">
        <v>1.4898</v>
      </c>
      <c r="H690" s="810">
        <v>1.3916</v>
      </c>
      <c r="I690" s="810">
        <v>1.3</v>
      </c>
      <c r="J690" s="810">
        <v>1.2984</v>
      </c>
      <c r="K690" s="810">
        <v>1.26</v>
      </c>
      <c r="L690" s="810">
        <v>1.31</v>
      </c>
      <c r="M690" s="810">
        <v>1.3006</v>
      </c>
      <c r="N690" s="810">
        <v>1.2423</v>
      </c>
      <c r="O690" s="810" t="s">
        <v>2434</v>
      </c>
      <c r="P690" s="100" t="s">
        <v>2630</v>
      </c>
      <c r="Q690" s="100"/>
      <c r="R690" s="100"/>
      <c r="S690" s="8"/>
    </row>
    <row r="691" ht="14.25" customHeight="1">
      <c r="A691" s="100" t="s">
        <v>2663</v>
      </c>
      <c r="B691" s="100" t="s">
        <v>2664</v>
      </c>
      <c r="C691" s="100" t="s">
        <v>2416</v>
      </c>
      <c r="D691" s="100" t="s">
        <v>135</v>
      </c>
      <c r="E691" s="810">
        <v>0.4661</v>
      </c>
      <c r="F691" s="810">
        <v>0.4829</v>
      </c>
      <c r="G691" s="810">
        <v>0.5324</v>
      </c>
      <c r="H691" s="810">
        <v>0.4978</v>
      </c>
      <c r="I691" s="810">
        <v>0.4631</v>
      </c>
      <c r="J691" s="810">
        <v>0.4443</v>
      </c>
      <c r="K691" s="810">
        <v>0.4453</v>
      </c>
      <c r="L691" s="810">
        <v>0.4344</v>
      </c>
      <c r="M691" s="810">
        <v>0.5136</v>
      </c>
      <c r="N691" s="810">
        <v>0.4117</v>
      </c>
      <c r="O691" s="810">
        <v>0.4245</v>
      </c>
      <c r="P691" s="100" t="s">
        <v>2631</v>
      </c>
      <c r="Q691" s="100"/>
      <c r="R691" s="100"/>
      <c r="S691" s="8"/>
    </row>
    <row r="692" ht="14.25" customHeight="1">
      <c r="A692" s="100" t="s">
        <v>2663</v>
      </c>
      <c r="B692" s="100" t="s">
        <v>2664</v>
      </c>
      <c r="C692" s="100" t="s">
        <v>2423</v>
      </c>
      <c r="D692" s="100"/>
      <c r="E692" s="810" t="s">
        <v>2434</v>
      </c>
      <c r="F692" s="810" t="s">
        <v>2434</v>
      </c>
      <c r="G692" s="810" t="s">
        <v>2434</v>
      </c>
      <c r="H692" s="810" t="s">
        <v>2434</v>
      </c>
      <c r="I692" s="810" t="s">
        <v>2434</v>
      </c>
      <c r="J692" s="810" t="s">
        <v>2434</v>
      </c>
      <c r="K692" s="810" t="s">
        <v>2434</v>
      </c>
      <c r="L692" s="810" t="s">
        <v>2434</v>
      </c>
      <c r="M692" s="810" t="s">
        <v>2434</v>
      </c>
      <c r="N692" s="810" t="s">
        <v>2434</v>
      </c>
      <c r="O692" s="810" t="s">
        <v>2434</v>
      </c>
      <c r="P692" s="100"/>
      <c r="Q692" s="100"/>
      <c r="R692" s="100"/>
      <c r="S692" s="8"/>
    </row>
    <row r="693" ht="14.25" customHeight="1">
      <c r="A693" s="100" t="s">
        <v>2663</v>
      </c>
      <c r="B693" s="100" t="s">
        <v>2664</v>
      </c>
      <c r="C693" s="100" t="s">
        <v>2360</v>
      </c>
      <c r="D693" s="100" t="s">
        <v>135</v>
      </c>
      <c r="E693" s="810">
        <v>17.9646</v>
      </c>
      <c r="F693" s="810">
        <v>16.2334</v>
      </c>
      <c r="G693" s="810">
        <v>15.7322</v>
      </c>
      <c r="H693" s="810">
        <v>17.4742</v>
      </c>
      <c r="I693" s="810">
        <v>17.8558</v>
      </c>
      <c r="J693" s="810">
        <v>17.238</v>
      </c>
      <c r="K693" s="810">
        <v>18.9302</v>
      </c>
      <c r="L693" s="810">
        <v>18.2343</v>
      </c>
      <c r="M693" s="810">
        <v>18.2171</v>
      </c>
      <c r="N693" s="810">
        <v>17.4909</v>
      </c>
      <c r="O693" s="810" t="s">
        <v>2434</v>
      </c>
      <c r="P693" s="100" t="s">
        <v>2636</v>
      </c>
      <c r="Q693" s="100"/>
      <c r="R693" s="100"/>
      <c r="S693" s="8"/>
    </row>
    <row r="694" ht="14.25" customHeight="1">
      <c r="A694" s="100" t="s">
        <v>2663</v>
      </c>
      <c r="B694" s="100" t="s">
        <v>2664</v>
      </c>
      <c r="C694" s="100" t="s">
        <v>2535</v>
      </c>
      <c r="D694" s="100"/>
      <c r="E694" s="810" t="s">
        <v>2434</v>
      </c>
      <c r="F694" s="810" t="s">
        <v>2434</v>
      </c>
      <c r="G694" s="810" t="s">
        <v>2434</v>
      </c>
      <c r="H694" s="810" t="s">
        <v>2434</v>
      </c>
      <c r="I694" s="810" t="s">
        <v>2434</v>
      </c>
      <c r="J694" s="810" t="s">
        <v>2434</v>
      </c>
      <c r="K694" s="810" t="s">
        <v>2434</v>
      </c>
      <c r="L694" s="810" t="s">
        <v>2434</v>
      </c>
      <c r="M694" s="810" t="s">
        <v>2434</v>
      </c>
      <c r="N694" s="810" t="s">
        <v>2434</v>
      </c>
      <c r="O694" s="810" t="s">
        <v>2434</v>
      </c>
      <c r="P694" s="100"/>
      <c r="Q694" s="100"/>
      <c r="R694" s="100"/>
      <c r="S694" s="8"/>
    </row>
    <row r="695" ht="14.25" customHeight="1">
      <c r="A695" s="100" t="s">
        <v>2666</v>
      </c>
      <c r="B695" s="100" t="s">
        <v>2667</v>
      </c>
      <c r="C695" s="100" t="s">
        <v>2317</v>
      </c>
      <c r="D695" s="100" t="s">
        <v>135</v>
      </c>
      <c r="E695" s="810" t="str">
        <f t="shared" ref="E695:O695" si="58">#REF!</f>
        <v>#REF!</v>
      </c>
      <c r="F695" s="810" t="str">
        <f t="shared" si="58"/>
        <v>#REF!</v>
      </c>
      <c r="G695" s="810" t="str">
        <f t="shared" si="58"/>
        <v>#REF!</v>
      </c>
      <c r="H695" s="810" t="str">
        <f t="shared" si="58"/>
        <v>#REF!</v>
      </c>
      <c r="I695" s="810" t="str">
        <f t="shared" si="58"/>
        <v>#REF!</v>
      </c>
      <c r="J695" s="810" t="str">
        <f t="shared" si="58"/>
        <v>#REF!</v>
      </c>
      <c r="K695" s="810" t="str">
        <f t="shared" si="58"/>
        <v>#REF!</v>
      </c>
      <c r="L695" s="810" t="str">
        <f t="shared" si="58"/>
        <v>#REF!</v>
      </c>
      <c r="M695" s="810" t="str">
        <f t="shared" si="58"/>
        <v>#REF!</v>
      </c>
      <c r="N695" s="810" t="str">
        <f t="shared" si="58"/>
        <v>#REF!</v>
      </c>
      <c r="O695" s="810" t="str">
        <f t="shared" si="58"/>
        <v>#REF!</v>
      </c>
      <c r="P695" s="100" t="s">
        <v>2546</v>
      </c>
      <c r="Q695" s="100"/>
      <c r="R695" s="100"/>
      <c r="S695" s="8"/>
    </row>
    <row r="696" ht="14.25" customHeight="1">
      <c r="A696" s="100" t="s">
        <v>2666</v>
      </c>
      <c r="B696" s="100"/>
      <c r="C696" s="100" t="s">
        <v>2507</v>
      </c>
      <c r="D696" s="100"/>
      <c r="E696" s="810" t="str">
        <f t="shared" ref="E696:O696" si="59">#REF!</f>
        <v>#REF!</v>
      </c>
      <c r="F696" s="810" t="str">
        <f t="shared" si="59"/>
        <v>#REF!</v>
      </c>
      <c r="G696" s="810" t="str">
        <f t="shared" si="59"/>
        <v>#REF!</v>
      </c>
      <c r="H696" s="810" t="str">
        <f t="shared" si="59"/>
        <v>#REF!</v>
      </c>
      <c r="I696" s="810" t="str">
        <f t="shared" si="59"/>
        <v>#REF!</v>
      </c>
      <c r="J696" s="810" t="str">
        <f t="shared" si="59"/>
        <v>#REF!</v>
      </c>
      <c r="K696" s="810" t="str">
        <f t="shared" si="59"/>
        <v>#REF!</v>
      </c>
      <c r="L696" s="810" t="str">
        <f t="shared" si="59"/>
        <v>#REF!</v>
      </c>
      <c r="M696" s="810" t="str">
        <f t="shared" si="59"/>
        <v>#REF!</v>
      </c>
      <c r="N696" s="810" t="str">
        <f t="shared" si="59"/>
        <v>#REF!</v>
      </c>
      <c r="O696" s="810" t="str">
        <f t="shared" si="59"/>
        <v>#REF!</v>
      </c>
      <c r="P696" s="100"/>
      <c r="Q696" s="100"/>
      <c r="R696" s="100"/>
      <c r="S696" s="8"/>
    </row>
    <row r="697" ht="14.25" customHeight="1">
      <c r="A697" s="100" t="s">
        <v>2666</v>
      </c>
      <c r="B697" s="100" t="s">
        <v>2667</v>
      </c>
      <c r="C697" s="100" t="s">
        <v>2325</v>
      </c>
      <c r="D697" s="100" t="s">
        <v>135</v>
      </c>
      <c r="E697" s="810">
        <v>2.0202</v>
      </c>
      <c r="F697" s="810">
        <v>2.0421</v>
      </c>
      <c r="G697" s="810">
        <v>1.9418</v>
      </c>
      <c r="H697" s="810">
        <v>3.8892</v>
      </c>
      <c r="I697" s="810">
        <v>3.9455</v>
      </c>
      <c r="J697" s="810">
        <v>3.4337</v>
      </c>
      <c r="K697" s="810">
        <v>3.6083</v>
      </c>
      <c r="L697" s="810">
        <v>4.1208</v>
      </c>
      <c r="M697" s="810">
        <v>3.703</v>
      </c>
      <c r="N697" s="810">
        <v>3.2419</v>
      </c>
      <c r="O697" s="810" t="s">
        <v>2434</v>
      </c>
      <c r="P697" s="100" t="s">
        <v>2616</v>
      </c>
      <c r="Q697" s="100"/>
      <c r="R697" s="100"/>
      <c r="S697" s="8"/>
    </row>
    <row r="698" ht="14.25" customHeight="1">
      <c r="A698" s="100" t="s">
        <v>2666</v>
      </c>
      <c r="B698" s="100" t="s">
        <v>2667</v>
      </c>
      <c r="C698" s="100" t="s">
        <v>2329</v>
      </c>
      <c r="D698" s="100" t="s">
        <v>135</v>
      </c>
      <c r="E698" s="810">
        <v>1.322</v>
      </c>
      <c r="F698" s="810">
        <v>0.5671</v>
      </c>
      <c r="G698" s="810">
        <v>0.5982</v>
      </c>
      <c r="H698" s="810">
        <v>0.5746</v>
      </c>
      <c r="I698" s="810">
        <v>0.6029</v>
      </c>
      <c r="J698" s="810">
        <v>0.5957</v>
      </c>
      <c r="K698" s="810">
        <v>0.6141</v>
      </c>
      <c r="L698" s="810">
        <v>0.6371</v>
      </c>
      <c r="M698" s="810">
        <v>0.6629</v>
      </c>
      <c r="N698" s="810">
        <v>0.6191</v>
      </c>
      <c r="O698" s="810" t="s">
        <v>2434</v>
      </c>
      <c r="P698" s="100" t="s">
        <v>2651</v>
      </c>
      <c r="Q698" s="100"/>
      <c r="R698" s="100"/>
      <c r="S698" s="8"/>
    </row>
    <row r="699" ht="14.25" customHeight="1">
      <c r="A699" s="100" t="s">
        <v>2666</v>
      </c>
      <c r="B699" s="100" t="s">
        <v>2667</v>
      </c>
      <c r="C699" s="100" t="s">
        <v>2333</v>
      </c>
      <c r="D699" s="100" t="s">
        <v>135</v>
      </c>
      <c r="E699" s="810">
        <v>0.907</v>
      </c>
      <c r="F699" s="810">
        <v>1.0</v>
      </c>
      <c r="G699" s="810">
        <v>1.0581</v>
      </c>
      <c r="H699" s="810">
        <v>1.0698</v>
      </c>
      <c r="I699" s="810">
        <v>1.0116</v>
      </c>
      <c r="J699" s="810">
        <v>1.3488</v>
      </c>
      <c r="K699" s="810">
        <v>1.3372</v>
      </c>
      <c r="L699" s="810">
        <v>1.4184</v>
      </c>
      <c r="M699" s="810">
        <v>1.4705</v>
      </c>
      <c r="N699" s="810">
        <v>1.2306</v>
      </c>
      <c r="O699" s="810" t="s">
        <v>2434</v>
      </c>
      <c r="P699" s="100" t="s">
        <v>2546</v>
      </c>
      <c r="Q699" s="100"/>
      <c r="R699" s="100"/>
      <c r="S699" s="8"/>
    </row>
    <row r="700" ht="14.25" customHeight="1">
      <c r="A700" s="100" t="s">
        <v>2666</v>
      </c>
      <c r="B700" s="100" t="s">
        <v>2667</v>
      </c>
      <c r="C700" s="100" t="s">
        <v>2364</v>
      </c>
      <c r="D700" s="100" t="s">
        <v>135</v>
      </c>
      <c r="E700" s="810">
        <v>0.1269</v>
      </c>
      <c r="F700" s="810">
        <v>0.1231</v>
      </c>
      <c r="G700" s="810">
        <v>0.0995</v>
      </c>
      <c r="H700" s="810">
        <v>0.0758</v>
      </c>
      <c r="I700" s="810">
        <v>0.0622</v>
      </c>
      <c r="J700" s="810">
        <v>0.0643</v>
      </c>
      <c r="K700" s="810">
        <v>0.069</v>
      </c>
      <c r="L700" s="810">
        <v>0.0472</v>
      </c>
      <c r="M700" s="810">
        <v>0.0547</v>
      </c>
      <c r="N700" s="810">
        <v>0.0622</v>
      </c>
      <c r="O700" s="810" t="s">
        <v>2434</v>
      </c>
      <c r="P700" s="100" t="s">
        <v>2617</v>
      </c>
      <c r="Q700" s="100"/>
      <c r="R700" s="100"/>
      <c r="S700" s="8"/>
    </row>
    <row r="701" ht="14.25" customHeight="1">
      <c r="A701" s="100" t="s">
        <v>2666</v>
      </c>
      <c r="B701" s="100" t="s">
        <v>2667</v>
      </c>
      <c r="C701" s="100" t="s">
        <v>2337</v>
      </c>
      <c r="D701" s="100" t="s">
        <v>135</v>
      </c>
      <c r="E701" s="810">
        <v>0.122</v>
      </c>
      <c r="F701" s="810">
        <v>0.1068</v>
      </c>
      <c r="G701" s="810">
        <v>0.0889</v>
      </c>
      <c r="H701" s="810">
        <v>0.0641</v>
      </c>
      <c r="I701" s="810">
        <v>0.0466</v>
      </c>
      <c r="J701" s="810">
        <v>0.0552</v>
      </c>
      <c r="K701" s="810">
        <v>0.0619</v>
      </c>
      <c r="L701" s="810">
        <v>0.0783</v>
      </c>
      <c r="M701" s="810">
        <v>0.1475</v>
      </c>
      <c r="N701" s="810">
        <v>0.1467</v>
      </c>
      <c r="O701" s="810">
        <v>0.1665</v>
      </c>
      <c r="P701" s="100" t="s">
        <v>2512</v>
      </c>
      <c r="Q701" s="100"/>
      <c r="R701" s="100"/>
      <c r="S701" s="8"/>
    </row>
    <row r="702" ht="14.25" customHeight="1">
      <c r="A702" s="100" t="s">
        <v>2666</v>
      </c>
      <c r="B702" s="100" t="s">
        <v>2667</v>
      </c>
      <c r="C702" s="100" t="s">
        <v>2341</v>
      </c>
      <c r="D702" s="100" t="s">
        <v>135</v>
      </c>
      <c r="E702" s="810">
        <v>1.1992</v>
      </c>
      <c r="F702" s="810">
        <v>0.9369</v>
      </c>
      <c r="G702" s="810">
        <v>1.0273</v>
      </c>
      <c r="H702" s="810">
        <v>1.0229</v>
      </c>
      <c r="I702" s="810">
        <v>0.9585</v>
      </c>
      <c r="J702" s="810">
        <v>0.9713</v>
      </c>
      <c r="K702" s="810">
        <v>0.971</v>
      </c>
      <c r="L702" s="810">
        <v>1.0388</v>
      </c>
      <c r="M702" s="810">
        <v>0.9381</v>
      </c>
      <c r="N702" s="810">
        <v>0.9607</v>
      </c>
      <c r="O702" s="810" t="s">
        <v>2434</v>
      </c>
      <c r="P702" s="100" t="s">
        <v>2546</v>
      </c>
      <c r="Q702" s="100"/>
      <c r="R702" s="100"/>
      <c r="S702" s="8"/>
    </row>
    <row r="703" ht="14.25" customHeight="1">
      <c r="A703" s="100" t="s">
        <v>2666</v>
      </c>
      <c r="B703" s="100" t="s">
        <v>2667</v>
      </c>
      <c r="C703" s="100" t="s">
        <v>2348</v>
      </c>
      <c r="D703" s="100" t="s">
        <v>135</v>
      </c>
      <c r="E703" s="810">
        <v>0.9022</v>
      </c>
      <c r="F703" s="810">
        <v>0.8645</v>
      </c>
      <c r="G703" s="810">
        <v>0.7634</v>
      </c>
      <c r="H703" s="810">
        <v>0.7259</v>
      </c>
      <c r="I703" s="810">
        <v>0.6614</v>
      </c>
      <c r="J703" s="810">
        <v>1.1006</v>
      </c>
      <c r="K703" s="810">
        <v>0.7606</v>
      </c>
      <c r="L703" s="810">
        <v>0.8084</v>
      </c>
      <c r="M703" s="810">
        <v>0.5955</v>
      </c>
      <c r="N703" s="810">
        <v>0.5877</v>
      </c>
      <c r="O703" s="810" t="s">
        <v>2434</v>
      </c>
      <c r="P703" s="100" t="s">
        <v>2633</v>
      </c>
      <c r="Q703" s="100"/>
      <c r="R703" s="100"/>
      <c r="S703" s="8"/>
    </row>
    <row r="704" ht="14.25" customHeight="1">
      <c r="A704" s="100" t="s">
        <v>2666</v>
      </c>
      <c r="B704" s="100" t="s">
        <v>2667</v>
      </c>
      <c r="C704" s="100" t="s">
        <v>2350</v>
      </c>
      <c r="D704" s="100" t="s">
        <v>135</v>
      </c>
      <c r="E704" s="810">
        <v>0.1049</v>
      </c>
      <c r="F704" s="810">
        <v>0.118</v>
      </c>
      <c r="G704" s="810">
        <v>0.1563</v>
      </c>
      <c r="H704" s="810">
        <v>0.1653</v>
      </c>
      <c r="I704" s="810">
        <v>0.1348</v>
      </c>
      <c r="J704" s="810">
        <v>0.127</v>
      </c>
      <c r="K704" s="810">
        <v>0.1413</v>
      </c>
      <c r="L704" s="810">
        <v>0.1078</v>
      </c>
      <c r="M704" s="810">
        <v>0.1133</v>
      </c>
      <c r="N704" s="810">
        <v>0.0908</v>
      </c>
      <c r="O704" s="810" t="s">
        <v>2434</v>
      </c>
      <c r="P704" s="100" t="s">
        <v>2400</v>
      </c>
      <c r="Q704" s="100"/>
      <c r="R704" s="100"/>
      <c r="S704" s="8"/>
    </row>
    <row r="705" ht="14.25" customHeight="1">
      <c r="A705" s="100" t="s">
        <v>2666</v>
      </c>
      <c r="B705" s="100" t="s">
        <v>2667</v>
      </c>
      <c r="C705" s="100" t="s">
        <v>2354</v>
      </c>
      <c r="D705" s="100" t="s">
        <v>135</v>
      </c>
      <c r="E705" s="810">
        <v>1.5599</v>
      </c>
      <c r="F705" s="810">
        <v>1.8338</v>
      </c>
      <c r="G705" s="810">
        <v>2.1663</v>
      </c>
      <c r="H705" s="810">
        <v>2.1897</v>
      </c>
      <c r="I705" s="810">
        <v>2.1904</v>
      </c>
      <c r="J705" s="810">
        <v>2.2555</v>
      </c>
      <c r="K705" s="810">
        <v>2.5658</v>
      </c>
      <c r="L705" s="810">
        <v>2.0015</v>
      </c>
      <c r="M705" s="810">
        <v>1.9056</v>
      </c>
      <c r="N705" s="810">
        <v>1.9417</v>
      </c>
      <c r="O705" s="810" t="s">
        <v>2434</v>
      </c>
      <c r="P705" s="100" t="s">
        <v>2556</v>
      </c>
      <c r="Q705" s="100"/>
      <c r="R705" s="100"/>
      <c r="S705" s="8"/>
    </row>
    <row r="706" ht="14.25" customHeight="1">
      <c r="A706" s="100" t="s">
        <v>2666</v>
      </c>
      <c r="B706" s="100" t="s">
        <v>2667</v>
      </c>
      <c r="C706" s="100" t="s">
        <v>2356</v>
      </c>
      <c r="D706" s="100" t="s">
        <v>135</v>
      </c>
      <c r="E706" s="810">
        <v>2.9368</v>
      </c>
      <c r="F706" s="810">
        <v>4.2316</v>
      </c>
      <c r="G706" s="810">
        <v>3.926</v>
      </c>
      <c r="H706" s="810">
        <v>3.6037</v>
      </c>
      <c r="I706" s="810">
        <v>3.4205</v>
      </c>
      <c r="J706" s="810">
        <v>4.4682</v>
      </c>
      <c r="K706" s="810">
        <v>4.48</v>
      </c>
      <c r="L706" s="810">
        <v>4.4047</v>
      </c>
      <c r="M706" s="810">
        <v>4.4136</v>
      </c>
      <c r="N706" s="810">
        <v>4.5616</v>
      </c>
      <c r="O706" s="810" t="s">
        <v>2434</v>
      </c>
      <c r="P706" s="100" t="s">
        <v>2546</v>
      </c>
      <c r="Q706" s="100"/>
      <c r="R706" s="100"/>
      <c r="S706" s="8"/>
    </row>
    <row r="707" ht="14.25" customHeight="1">
      <c r="A707" s="100" t="s">
        <v>2666</v>
      </c>
      <c r="B707" s="100" t="s">
        <v>2667</v>
      </c>
      <c r="C707" s="100" t="s">
        <v>2344</v>
      </c>
      <c r="D707" s="100" t="s">
        <v>135</v>
      </c>
      <c r="E707" s="810">
        <v>5.0924</v>
      </c>
      <c r="F707" s="810">
        <v>4.4106</v>
      </c>
      <c r="G707" s="810">
        <v>3.9493</v>
      </c>
      <c r="H707" s="810">
        <v>4.3767</v>
      </c>
      <c r="I707" s="810">
        <v>4.0904</v>
      </c>
      <c r="J707" s="810">
        <v>4.2892</v>
      </c>
      <c r="K707" s="810">
        <v>4.337</v>
      </c>
      <c r="L707" s="810">
        <v>4.0898</v>
      </c>
      <c r="M707" s="810">
        <v>4.1598</v>
      </c>
      <c r="N707" s="810">
        <v>4.0698</v>
      </c>
      <c r="O707" s="810" t="s">
        <v>2434</v>
      </c>
      <c r="P707" s="100" t="s">
        <v>2634</v>
      </c>
      <c r="Q707" s="100"/>
      <c r="R707" s="100"/>
      <c r="S707" s="8"/>
    </row>
    <row r="708" ht="14.25" customHeight="1">
      <c r="A708" s="100" t="s">
        <v>2666</v>
      </c>
      <c r="B708" s="100" t="s">
        <v>2667</v>
      </c>
      <c r="C708" s="100" t="s">
        <v>2362</v>
      </c>
      <c r="D708" s="100" t="s">
        <v>135</v>
      </c>
      <c r="E708" s="810">
        <v>0.6912</v>
      </c>
      <c r="F708" s="810">
        <v>0.3938</v>
      </c>
      <c r="G708" s="810">
        <v>0.7616</v>
      </c>
      <c r="H708" s="810">
        <v>0.8631</v>
      </c>
      <c r="I708" s="810">
        <v>0.8771</v>
      </c>
      <c r="J708" s="810">
        <v>1.0151</v>
      </c>
      <c r="K708" s="810">
        <v>0.9358</v>
      </c>
      <c r="L708" s="810">
        <v>1.0571</v>
      </c>
      <c r="M708" s="810">
        <v>1.339</v>
      </c>
      <c r="N708" s="810">
        <v>1.044</v>
      </c>
      <c r="O708" s="810" t="s">
        <v>2434</v>
      </c>
      <c r="P708" s="100" t="s">
        <v>2622</v>
      </c>
      <c r="Q708" s="100"/>
      <c r="R708" s="100"/>
      <c r="S708" s="8"/>
    </row>
    <row r="709" ht="14.25" customHeight="1">
      <c r="A709" s="100" t="s">
        <v>2666</v>
      </c>
      <c r="B709" s="100" t="s">
        <v>2667</v>
      </c>
      <c r="C709" s="100" t="s">
        <v>2367</v>
      </c>
      <c r="D709" s="100" t="s">
        <v>135</v>
      </c>
      <c r="E709" s="810">
        <v>0.1901</v>
      </c>
      <c r="F709" s="810">
        <v>0.2847</v>
      </c>
      <c r="G709" s="810">
        <v>0.2695</v>
      </c>
      <c r="H709" s="810">
        <v>0.3089</v>
      </c>
      <c r="I709" s="810">
        <v>0.279</v>
      </c>
      <c r="J709" s="810">
        <v>0.2758</v>
      </c>
      <c r="K709" s="810">
        <v>0.2765</v>
      </c>
      <c r="L709" s="810">
        <v>0.3311</v>
      </c>
      <c r="M709" s="810">
        <v>0.3959</v>
      </c>
      <c r="N709" s="810">
        <v>0.4121</v>
      </c>
      <c r="O709" s="810" t="s">
        <v>2434</v>
      </c>
      <c r="P709" s="100" t="s">
        <v>2546</v>
      </c>
      <c r="Q709" s="100"/>
      <c r="R709" s="100"/>
      <c r="S709" s="8"/>
    </row>
    <row r="710" ht="14.25" customHeight="1">
      <c r="A710" s="100" t="s">
        <v>2666</v>
      </c>
      <c r="B710" s="100" t="s">
        <v>2667</v>
      </c>
      <c r="C710" s="100" t="s">
        <v>2369</v>
      </c>
      <c r="D710" s="100" t="s">
        <v>135</v>
      </c>
      <c r="E710" s="810">
        <v>0.9153</v>
      </c>
      <c r="F710" s="810">
        <v>0.8228</v>
      </c>
      <c r="G710" s="810">
        <v>0.739</v>
      </c>
      <c r="H710" s="810">
        <v>0.7817</v>
      </c>
      <c r="I710" s="810">
        <v>0.8033</v>
      </c>
      <c r="J710" s="810">
        <v>0.5712</v>
      </c>
      <c r="K710" s="810">
        <v>0.6046</v>
      </c>
      <c r="L710" s="810">
        <v>0.553</v>
      </c>
      <c r="M710" s="810">
        <v>0.5753</v>
      </c>
      <c r="N710" s="810">
        <v>0.5727</v>
      </c>
      <c r="O710" s="810" t="s">
        <v>2434</v>
      </c>
      <c r="P710" s="100" t="s">
        <v>2623</v>
      </c>
      <c r="Q710" s="100"/>
      <c r="R710" s="100"/>
      <c r="S710" s="8"/>
    </row>
    <row r="711" ht="14.25" customHeight="1">
      <c r="A711" s="100" t="s">
        <v>2666</v>
      </c>
      <c r="B711" s="100" t="s">
        <v>2667</v>
      </c>
      <c r="C711" s="100" t="s">
        <v>2374</v>
      </c>
      <c r="D711" s="100" t="s">
        <v>135</v>
      </c>
      <c r="E711" s="810">
        <v>1.7573</v>
      </c>
      <c r="F711" s="810">
        <v>2.0183</v>
      </c>
      <c r="G711" s="810">
        <v>1.436</v>
      </c>
      <c r="H711" s="810">
        <v>1.344</v>
      </c>
      <c r="I711" s="810">
        <v>1.4105</v>
      </c>
      <c r="J711" s="810">
        <v>1.2942</v>
      </c>
      <c r="K711" s="810">
        <v>1.4157</v>
      </c>
      <c r="L711" s="810">
        <v>1.3107</v>
      </c>
      <c r="M711" s="810">
        <v>1.3924</v>
      </c>
      <c r="N711" s="810">
        <v>1.4508</v>
      </c>
      <c r="O711" s="810" t="s">
        <v>2434</v>
      </c>
      <c r="P711" s="100" t="s">
        <v>2624</v>
      </c>
      <c r="Q711" s="100"/>
      <c r="R711" s="100"/>
      <c r="S711" s="8"/>
    </row>
    <row r="712" ht="14.25" customHeight="1">
      <c r="A712" s="100" t="s">
        <v>2666</v>
      </c>
      <c r="B712" s="100" t="s">
        <v>2667</v>
      </c>
      <c r="C712" s="100" t="s">
        <v>2386</v>
      </c>
      <c r="D712" s="100" t="s">
        <v>135</v>
      </c>
      <c r="E712" s="810">
        <v>0.0603</v>
      </c>
      <c r="F712" s="810">
        <v>0.0675</v>
      </c>
      <c r="G712" s="810">
        <v>0.0669</v>
      </c>
      <c r="H712" s="810">
        <v>0.1464</v>
      </c>
      <c r="I712" s="810">
        <v>0.0939</v>
      </c>
      <c r="J712" s="810">
        <v>0.0647</v>
      </c>
      <c r="K712" s="810">
        <v>0.0705</v>
      </c>
      <c r="L712" s="810">
        <v>0.0913</v>
      </c>
      <c r="M712" s="810">
        <v>0.0942</v>
      </c>
      <c r="N712" s="810">
        <v>0.1229</v>
      </c>
      <c r="O712" s="810" t="s">
        <v>2434</v>
      </c>
      <c r="P712" s="100" t="s">
        <v>2625</v>
      </c>
      <c r="Q712" s="100"/>
      <c r="R712" s="100"/>
      <c r="S712" s="8"/>
    </row>
    <row r="713" ht="14.25" customHeight="1">
      <c r="A713" s="100" t="s">
        <v>2666</v>
      </c>
      <c r="B713" s="100" t="s">
        <v>2667</v>
      </c>
      <c r="C713" s="100" t="s">
        <v>2378</v>
      </c>
      <c r="D713" s="100" t="s">
        <v>135</v>
      </c>
      <c r="E713" s="810">
        <v>0.0439</v>
      </c>
      <c r="F713" s="810">
        <v>0.05</v>
      </c>
      <c r="G713" s="810">
        <v>0.0448</v>
      </c>
      <c r="H713" s="810">
        <v>0.0552</v>
      </c>
      <c r="I713" s="810">
        <v>0.0566</v>
      </c>
      <c r="J713" s="810">
        <v>0.0552</v>
      </c>
      <c r="K713" s="810">
        <v>0.0603</v>
      </c>
      <c r="L713" s="810">
        <v>0.0674</v>
      </c>
      <c r="M713" s="810">
        <v>0.0673</v>
      </c>
      <c r="N713" s="810">
        <v>0.0779</v>
      </c>
      <c r="O713" s="810" t="s">
        <v>2434</v>
      </c>
      <c r="P713" s="100" t="s">
        <v>2567</v>
      </c>
      <c r="Q713" s="100"/>
      <c r="R713" s="100"/>
      <c r="S713" s="8"/>
    </row>
    <row r="714" ht="14.25" customHeight="1">
      <c r="A714" s="100" t="s">
        <v>2666</v>
      </c>
      <c r="B714" s="100" t="s">
        <v>2667</v>
      </c>
      <c r="C714" s="100" t="s">
        <v>2383</v>
      </c>
      <c r="D714" s="100" t="s">
        <v>135</v>
      </c>
      <c r="E714" s="810">
        <v>0.0116</v>
      </c>
      <c r="F714" s="810">
        <v>0.0116</v>
      </c>
      <c r="G714" s="810">
        <v>0.0233</v>
      </c>
      <c r="H714" s="810">
        <v>0.0233</v>
      </c>
      <c r="I714" s="810">
        <v>0.0233</v>
      </c>
      <c r="J714" s="810">
        <v>0.0233</v>
      </c>
      <c r="K714" s="810">
        <v>0.0233</v>
      </c>
      <c r="L714" s="810">
        <v>0.0116</v>
      </c>
      <c r="M714" s="810">
        <v>0.0116</v>
      </c>
      <c r="N714" s="810">
        <v>0.0116</v>
      </c>
      <c r="O714" s="810" t="s">
        <v>2434</v>
      </c>
      <c r="P714" s="100" t="s">
        <v>2523</v>
      </c>
      <c r="Q714" s="100"/>
      <c r="R714" s="100"/>
      <c r="S714" s="8"/>
    </row>
    <row r="715" ht="14.25" customHeight="1">
      <c r="A715" s="100" t="s">
        <v>2666</v>
      </c>
      <c r="B715" s="100" t="s">
        <v>2667</v>
      </c>
      <c r="C715" s="100" t="s">
        <v>2389</v>
      </c>
      <c r="D715" s="100" t="s">
        <v>135</v>
      </c>
      <c r="E715" s="810">
        <v>0.001</v>
      </c>
      <c r="F715" s="810">
        <v>0.001</v>
      </c>
      <c r="G715" s="810">
        <v>0.001</v>
      </c>
      <c r="H715" s="810">
        <v>0.0129</v>
      </c>
      <c r="I715" s="810">
        <v>0.0139</v>
      </c>
      <c r="J715" s="810">
        <v>0.0129</v>
      </c>
      <c r="K715" s="810">
        <v>0.0129</v>
      </c>
      <c r="L715" s="810">
        <v>0.014</v>
      </c>
      <c r="M715" s="810">
        <v>0.0148</v>
      </c>
      <c r="N715" s="810">
        <v>0.0177</v>
      </c>
      <c r="O715" s="810" t="s">
        <v>2434</v>
      </c>
      <c r="P715" s="100" t="s">
        <v>2549</v>
      </c>
      <c r="Q715" s="100"/>
      <c r="R715" s="100"/>
      <c r="S715" s="8"/>
    </row>
    <row r="716" ht="14.25" customHeight="1">
      <c r="A716" s="100" t="s">
        <v>2666</v>
      </c>
      <c r="B716" s="100" t="s">
        <v>2667</v>
      </c>
      <c r="C716" s="100" t="s">
        <v>2391</v>
      </c>
      <c r="D716" s="100" t="s">
        <v>135</v>
      </c>
      <c r="E716" s="810">
        <v>2.7666</v>
      </c>
      <c r="F716" s="810">
        <v>1.6537</v>
      </c>
      <c r="G716" s="810">
        <v>1.7665</v>
      </c>
      <c r="H716" s="810">
        <v>1.6903</v>
      </c>
      <c r="I716" s="810">
        <v>1.0793</v>
      </c>
      <c r="J716" s="810">
        <v>1.4131</v>
      </c>
      <c r="K716" s="810">
        <v>1.3754</v>
      </c>
      <c r="L716" s="810">
        <v>1.368</v>
      </c>
      <c r="M716" s="810">
        <v>1.3637</v>
      </c>
      <c r="N716" s="810">
        <v>1.3053</v>
      </c>
      <c r="O716" s="810" t="s">
        <v>2434</v>
      </c>
      <c r="P716" s="100" t="s">
        <v>2546</v>
      </c>
      <c r="Q716" s="100"/>
      <c r="R716" s="100"/>
      <c r="S716" s="8"/>
    </row>
    <row r="717" ht="14.25" customHeight="1">
      <c r="A717" s="100" t="s">
        <v>2666</v>
      </c>
      <c r="B717" s="100" t="s">
        <v>2667</v>
      </c>
      <c r="C717" s="100" t="s">
        <v>2393</v>
      </c>
      <c r="D717" s="100" t="s">
        <v>135</v>
      </c>
      <c r="E717" s="810">
        <v>4.1314</v>
      </c>
      <c r="F717" s="810">
        <v>4.332</v>
      </c>
      <c r="G717" s="810">
        <v>4.2001</v>
      </c>
      <c r="H717" s="810">
        <v>4.4141</v>
      </c>
      <c r="I717" s="810">
        <v>4.1845</v>
      </c>
      <c r="J717" s="810">
        <v>4.5946</v>
      </c>
      <c r="K717" s="810">
        <v>4.7895</v>
      </c>
      <c r="L717" s="810">
        <v>5.0272</v>
      </c>
      <c r="M717" s="810">
        <v>5.2201</v>
      </c>
      <c r="N717" s="810">
        <v>5.3303</v>
      </c>
      <c r="O717" s="810" t="s">
        <v>2434</v>
      </c>
      <c r="P717" s="100" t="s">
        <v>2526</v>
      </c>
      <c r="Q717" s="100"/>
      <c r="R717" s="100"/>
      <c r="S717" s="8"/>
    </row>
    <row r="718" ht="14.25" customHeight="1">
      <c r="A718" s="100" t="s">
        <v>2666</v>
      </c>
      <c r="B718" s="100" t="s">
        <v>2667</v>
      </c>
      <c r="C718" s="100" t="s">
        <v>2395</v>
      </c>
      <c r="D718" s="100" t="s">
        <v>135</v>
      </c>
      <c r="E718" s="810">
        <v>1.5681</v>
      </c>
      <c r="F718" s="810">
        <v>1.5948</v>
      </c>
      <c r="G718" s="810">
        <v>1.3992</v>
      </c>
      <c r="H718" s="810">
        <v>1.3887</v>
      </c>
      <c r="I718" s="810">
        <v>1.2819</v>
      </c>
      <c r="J718" s="810">
        <v>1.2253</v>
      </c>
      <c r="K718" s="810">
        <v>0.9103</v>
      </c>
      <c r="L718" s="810">
        <v>0.932</v>
      </c>
      <c r="M718" s="810">
        <v>0.9054</v>
      </c>
      <c r="N718" s="810">
        <v>0.9563</v>
      </c>
      <c r="O718" s="810" t="s">
        <v>2434</v>
      </c>
      <c r="P718" s="100" t="s">
        <v>2626</v>
      </c>
      <c r="Q718" s="100"/>
      <c r="R718" s="100"/>
      <c r="S718" s="8"/>
    </row>
    <row r="719" ht="14.25" customHeight="1">
      <c r="A719" s="100" t="s">
        <v>2666</v>
      </c>
      <c r="B719" s="100" t="s">
        <v>2667</v>
      </c>
      <c r="C719" s="100" t="s">
        <v>2397</v>
      </c>
      <c r="D719" s="100" t="s">
        <v>135</v>
      </c>
      <c r="E719" s="810">
        <v>0.5749</v>
      </c>
      <c r="F719" s="810">
        <v>0.6163</v>
      </c>
      <c r="G719" s="810">
        <v>0.5698</v>
      </c>
      <c r="H719" s="810">
        <v>0.5</v>
      </c>
      <c r="I719" s="810">
        <v>0.4767</v>
      </c>
      <c r="J719" s="810">
        <v>0.4233</v>
      </c>
      <c r="K719" s="810">
        <v>0.3953</v>
      </c>
      <c r="L719" s="810">
        <v>0.4767</v>
      </c>
      <c r="M719" s="810">
        <v>0.4419</v>
      </c>
      <c r="N719" s="810">
        <v>0.4302</v>
      </c>
      <c r="O719" s="810" t="s">
        <v>2434</v>
      </c>
      <c r="P719" s="100" t="s">
        <v>2528</v>
      </c>
      <c r="Q719" s="100"/>
      <c r="R719" s="100"/>
      <c r="S719" s="8"/>
    </row>
    <row r="720" ht="14.25" customHeight="1">
      <c r="A720" s="100" t="s">
        <v>2666</v>
      </c>
      <c r="B720" s="100" t="s">
        <v>2667</v>
      </c>
      <c r="C720" s="100" t="s">
        <v>2411</v>
      </c>
      <c r="D720" s="100" t="s">
        <v>135</v>
      </c>
      <c r="E720" s="810">
        <v>0.1251</v>
      </c>
      <c r="F720" s="810">
        <v>0.1296</v>
      </c>
      <c r="G720" s="810">
        <v>0.1275</v>
      </c>
      <c r="H720" s="810">
        <v>0.076</v>
      </c>
      <c r="I720" s="810">
        <v>0.0751</v>
      </c>
      <c r="J720" s="810">
        <v>0.0941</v>
      </c>
      <c r="K720" s="810">
        <v>0.1176</v>
      </c>
      <c r="L720" s="810">
        <v>0.1236</v>
      </c>
      <c r="M720" s="810">
        <v>0.6871</v>
      </c>
      <c r="N720" s="810">
        <v>0.6882</v>
      </c>
      <c r="O720" s="810" t="s">
        <v>2434</v>
      </c>
      <c r="P720" s="100" t="s">
        <v>2546</v>
      </c>
      <c r="Q720" s="100"/>
      <c r="R720" s="100"/>
      <c r="S720" s="8"/>
    </row>
    <row r="721" ht="14.25" customHeight="1">
      <c r="A721" s="100" t="s">
        <v>2666</v>
      </c>
      <c r="B721" s="100" t="s">
        <v>2667</v>
      </c>
      <c r="C721" s="100" t="s">
        <v>2406</v>
      </c>
      <c r="D721" s="100" t="s">
        <v>135</v>
      </c>
      <c r="E721" s="810">
        <v>0.1841</v>
      </c>
      <c r="F721" s="810">
        <v>0.1547</v>
      </c>
      <c r="G721" s="810">
        <v>0.1582</v>
      </c>
      <c r="H721" s="810">
        <v>0.183</v>
      </c>
      <c r="I721" s="810">
        <v>0.1937</v>
      </c>
      <c r="J721" s="810">
        <v>0.1956</v>
      </c>
      <c r="K721" s="810">
        <v>0.1936</v>
      </c>
      <c r="L721" s="810">
        <v>0.2163</v>
      </c>
      <c r="M721" s="810">
        <v>0.2277</v>
      </c>
      <c r="N721" s="810">
        <v>0.2203</v>
      </c>
      <c r="O721" s="810" t="s">
        <v>2434</v>
      </c>
      <c r="P721" s="100" t="s">
        <v>2628</v>
      </c>
      <c r="Q721" s="100"/>
      <c r="R721" s="100"/>
      <c r="S721" s="8"/>
    </row>
    <row r="722" ht="14.25" customHeight="1">
      <c r="A722" s="100" t="s">
        <v>2666</v>
      </c>
      <c r="B722" s="100" t="s">
        <v>2667</v>
      </c>
      <c r="C722" s="100" t="s">
        <v>2352</v>
      </c>
      <c r="D722" s="100" t="s">
        <v>135</v>
      </c>
      <c r="E722" s="810">
        <v>3.0692</v>
      </c>
      <c r="F722" s="810">
        <v>3.5075</v>
      </c>
      <c r="G722" s="810">
        <v>3.7821</v>
      </c>
      <c r="H722" s="810">
        <v>4.9894</v>
      </c>
      <c r="I722" s="810">
        <v>5.2025</v>
      </c>
      <c r="J722" s="810">
        <v>4.6996</v>
      </c>
      <c r="K722" s="810">
        <v>5.1318</v>
      </c>
      <c r="L722" s="810">
        <v>5.8464</v>
      </c>
      <c r="M722" s="810">
        <v>5.2595</v>
      </c>
      <c r="N722" s="810">
        <v>5.601</v>
      </c>
      <c r="O722" s="810" t="s">
        <v>2434</v>
      </c>
      <c r="P722" s="100" t="s">
        <v>2629</v>
      </c>
      <c r="Q722" s="100"/>
      <c r="R722" s="100"/>
      <c r="S722" s="8"/>
    </row>
    <row r="723" ht="14.25" customHeight="1">
      <c r="A723" s="100" t="s">
        <v>2666</v>
      </c>
      <c r="B723" s="100" t="s">
        <v>2667</v>
      </c>
      <c r="C723" s="100" t="s">
        <v>2400</v>
      </c>
      <c r="D723" s="100" t="s">
        <v>135</v>
      </c>
      <c r="E723" s="810">
        <v>5.27</v>
      </c>
      <c r="F723" s="810">
        <v>5.4083</v>
      </c>
      <c r="G723" s="810">
        <v>5.3891</v>
      </c>
      <c r="H723" s="810">
        <v>5.668</v>
      </c>
      <c r="I723" s="810">
        <v>5.6057</v>
      </c>
      <c r="J723" s="810">
        <v>5.5127</v>
      </c>
      <c r="K723" s="810">
        <v>6.0898</v>
      </c>
      <c r="L723" s="810">
        <v>6.326</v>
      </c>
      <c r="M723" s="810">
        <v>6.3175</v>
      </c>
      <c r="N723" s="810">
        <v>6.2175</v>
      </c>
      <c r="O723" s="810" t="s">
        <v>2434</v>
      </c>
      <c r="P723" s="100" t="s">
        <v>2630</v>
      </c>
      <c r="Q723" s="100"/>
      <c r="R723" s="100"/>
      <c r="S723" s="8"/>
    </row>
    <row r="724" ht="14.25" customHeight="1">
      <c r="A724" s="100" t="s">
        <v>2666</v>
      </c>
      <c r="B724" s="100" t="s">
        <v>2667</v>
      </c>
      <c r="C724" s="100" t="s">
        <v>2416</v>
      </c>
      <c r="D724" s="100" t="s">
        <v>135</v>
      </c>
      <c r="E724" s="810">
        <v>1.2974</v>
      </c>
      <c r="F724" s="810">
        <v>1.4696</v>
      </c>
      <c r="G724" s="810">
        <v>1.3736</v>
      </c>
      <c r="H724" s="810">
        <v>1.4745</v>
      </c>
      <c r="I724" s="810">
        <v>1.3607</v>
      </c>
      <c r="J724" s="810">
        <v>1.3795</v>
      </c>
      <c r="K724" s="810">
        <v>1.2608</v>
      </c>
      <c r="L724" s="810">
        <v>1.0322</v>
      </c>
      <c r="M724" s="810">
        <v>1.2449</v>
      </c>
      <c r="N724" s="810">
        <v>1.2538</v>
      </c>
      <c r="O724" s="810">
        <v>1.1212</v>
      </c>
      <c r="P724" s="100" t="s">
        <v>2631</v>
      </c>
      <c r="Q724" s="100"/>
      <c r="R724" s="100"/>
      <c r="S724" s="8"/>
    </row>
    <row r="725" ht="14.25" customHeight="1">
      <c r="A725" s="100" t="s">
        <v>2666</v>
      </c>
      <c r="B725" s="100" t="s">
        <v>2667</v>
      </c>
      <c r="C725" s="100" t="s">
        <v>2423</v>
      </c>
      <c r="D725" s="100"/>
      <c r="E725" s="810" t="s">
        <v>2434</v>
      </c>
      <c r="F725" s="810" t="s">
        <v>2434</v>
      </c>
      <c r="G725" s="810" t="s">
        <v>2434</v>
      </c>
      <c r="H725" s="810" t="s">
        <v>2434</v>
      </c>
      <c r="I725" s="810" t="s">
        <v>2434</v>
      </c>
      <c r="J725" s="810" t="s">
        <v>2434</v>
      </c>
      <c r="K725" s="810" t="s">
        <v>2434</v>
      </c>
      <c r="L725" s="810" t="s">
        <v>2434</v>
      </c>
      <c r="M725" s="810" t="s">
        <v>2434</v>
      </c>
      <c r="N725" s="810" t="s">
        <v>2434</v>
      </c>
      <c r="O725" s="810" t="s">
        <v>2434</v>
      </c>
      <c r="P725" s="100"/>
      <c r="Q725" s="100"/>
      <c r="R725" s="100"/>
      <c r="S725" s="8"/>
    </row>
    <row r="726" ht="14.25" customHeight="1">
      <c r="A726" s="100" t="s">
        <v>2666</v>
      </c>
      <c r="B726" s="100" t="s">
        <v>2667</v>
      </c>
      <c r="C726" s="100" t="s">
        <v>2360</v>
      </c>
      <c r="D726" s="100" t="s">
        <v>135</v>
      </c>
      <c r="E726" s="810">
        <v>4.2892</v>
      </c>
      <c r="F726" s="810">
        <v>3.895</v>
      </c>
      <c r="G726" s="810">
        <v>3.648</v>
      </c>
      <c r="H726" s="810">
        <v>3.6623</v>
      </c>
      <c r="I726" s="810">
        <v>3.6091</v>
      </c>
      <c r="J726" s="810">
        <v>3.7486</v>
      </c>
      <c r="K726" s="810">
        <v>3.962</v>
      </c>
      <c r="L726" s="810">
        <v>3.9633</v>
      </c>
      <c r="M726" s="810">
        <v>3.9791</v>
      </c>
      <c r="N726" s="810">
        <v>3.9759</v>
      </c>
      <c r="O726" s="810" t="s">
        <v>2434</v>
      </c>
      <c r="P726" s="100" t="s">
        <v>2636</v>
      </c>
      <c r="Q726" s="100"/>
      <c r="R726" s="100"/>
      <c r="S726" s="8"/>
    </row>
    <row r="727" ht="14.25" customHeight="1">
      <c r="A727" s="100" t="s">
        <v>2666</v>
      </c>
      <c r="B727" s="100" t="s">
        <v>2667</v>
      </c>
      <c r="C727" s="100" t="s">
        <v>2535</v>
      </c>
      <c r="D727" s="100" t="s">
        <v>135</v>
      </c>
      <c r="E727" s="810">
        <v>1.4697</v>
      </c>
      <c r="F727" s="810">
        <v>2.0506</v>
      </c>
      <c r="G727" s="810">
        <v>1.2487</v>
      </c>
      <c r="H727" s="810">
        <v>2.2563</v>
      </c>
      <c r="I727" s="810">
        <v>0.9824</v>
      </c>
      <c r="J727" s="810">
        <v>1.1861</v>
      </c>
      <c r="K727" s="810">
        <v>0.6391</v>
      </c>
      <c r="L727" s="810">
        <v>0.6381</v>
      </c>
      <c r="M727" s="810">
        <v>0.7925</v>
      </c>
      <c r="N727" s="810">
        <v>1.0201</v>
      </c>
      <c r="O727" s="810" t="s">
        <v>2434</v>
      </c>
      <c r="P727" s="100" t="s">
        <v>2546</v>
      </c>
      <c r="Q727" s="100"/>
      <c r="R727" s="100"/>
      <c r="S727" s="8"/>
    </row>
    <row r="728" ht="14.25" customHeight="1">
      <c r="A728" s="100" t="s">
        <v>2668</v>
      </c>
      <c r="B728" s="100" t="s">
        <v>2669</v>
      </c>
      <c r="C728" s="100" t="s">
        <v>2317</v>
      </c>
      <c r="D728" s="100" t="s">
        <v>135</v>
      </c>
      <c r="E728" s="810" t="str">
        <f t="shared" ref="E728:O728" si="60">#REF!</f>
        <v>#REF!</v>
      </c>
      <c r="F728" s="810" t="str">
        <f t="shared" si="60"/>
        <v>#REF!</v>
      </c>
      <c r="G728" s="810" t="str">
        <f t="shared" si="60"/>
        <v>#REF!</v>
      </c>
      <c r="H728" s="810" t="str">
        <f t="shared" si="60"/>
        <v>#REF!</v>
      </c>
      <c r="I728" s="810" t="str">
        <f t="shared" si="60"/>
        <v>#REF!</v>
      </c>
      <c r="J728" s="810" t="str">
        <f t="shared" si="60"/>
        <v>#REF!</v>
      </c>
      <c r="K728" s="810" t="str">
        <f t="shared" si="60"/>
        <v>#REF!</v>
      </c>
      <c r="L728" s="810" t="str">
        <f t="shared" si="60"/>
        <v>#REF!</v>
      </c>
      <c r="M728" s="810" t="str">
        <f t="shared" si="60"/>
        <v>#REF!</v>
      </c>
      <c r="N728" s="810" t="str">
        <f t="shared" si="60"/>
        <v>#REF!</v>
      </c>
      <c r="O728" s="810" t="str">
        <f t="shared" si="60"/>
        <v>#REF!</v>
      </c>
      <c r="P728" s="100" t="s">
        <v>2546</v>
      </c>
      <c r="Q728" s="100"/>
      <c r="R728" s="100"/>
      <c r="S728" s="8"/>
    </row>
    <row r="729" ht="14.25" customHeight="1">
      <c r="A729" s="100" t="s">
        <v>2668</v>
      </c>
      <c r="B729" s="100"/>
      <c r="C729" s="100" t="s">
        <v>2507</v>
      </c>
      <c r="D729" s="100"/>
      <c r="E729" s="810" t="str">
        <f t="shared" ref="E729:O729" si="61">#REF!</f>
        <v>#REF!</v>
      </c>
      <c r="F729" s="810" t="str">
        <f t="shared" si="61"/>
        <v>#REF!</v>
      </c>
      <c r="G729" s="810" t="str">
        <f t="shared" si="61"/>
        <v>#REF!</v>
      </c>
      <c r="H729" s="810" t="str">
        <f t="shared" si="61"/>
        <v>#REF!</v>
      </c>
      <c r="I729" s="810" t="str">
        <f t="shared" si="61"/>
        <v>#REF!</v>
      </c>
      <c r="J729" s="810" t="str">
        <f t="shared" si="61"/>
        <v>#REF!</v>
      </c>
      <c r="K729" s="810" t="str">
        <f t="shared" si="61"/>
        <v>#REF!</v>
      </c>
      <c r="L729" s="810" t="str">
        <f t="shared" si="61"/>
        <v>#REF!</v>
      </c>
      <c r="M729" s="810" t="str">
        <f t="shared" si="61"/>
        <v>#REF!</v>
      </c>
      <c r="N729" s="810" t="str">
        <f t="shared" si="61"/>
        <v>#REF!</v>
      </c>
      <c r="O729" s="810" t="str">
        <f t="shared" si="61"/>
        <v>#REF!</v>
      </c>
      <c r="P729" s="100"/>
      <c r="Q729" s="100"/>
      <c r="R729" s="100"/>
      <c r="S729" s="8"/>
    </row>
    <row r="730" ht="14.25" customHeight="1">
      <c r="A730" s="100" t="s">
        <v>2668</v>
      </c>
      <c r="B730" s="100" t="s">
        <v>2669</v>
      </c>
      <c r="C730" s="100" t="s">
        <v>2325</v>
      </c>
      <c r="D730" s="100" t="s">
        <v>135</v>
      </c>
      <c r="E730" s="810">
        <v>5.7426</v>
      </c>
      <c r="F730" s="810">
        <v>5.8628</v>
      </c>
      <c r="G730" s="810">
        <v>6.0664</v>
      </c>
      <c r="H730" s="810">
        <v>4.0262</v>
      </c>
      <c r="I730" s="810">
        <v>3.4519</v>
      </c>
      <c r="J730" s="810">
        <v>3.3363</v>
      </c>
      <c r="K730" s="810">
        <v>3.1705</v>
      </c>
      <c r="L730" s="810">
        <v>3.5032</v>
      </c>
      <c r="M730" s="810">
        <v>3.6369</v>
      </c>
      <c r="N730" s="810">
        <v>3.4952</v>
      </c>
      <c r="O730" s="810" t="s">
        <v>2434</v>
      </c>
      <c r="P730" s="100" t="s">
        <v>2616</v>
      </c>
      <c r="Q730" s="100"/>
      <c r="R730" s="100"/>
      <c r="S730" s="8"/>
    </row>
    <row r="731" ht="14.25" customHeight="1">
      <c r="A731" s="100" t="s">
        <v>2668</v>
      </c>
      <c r="B731" s="100" t="s">
        <v>2669</v>
      </c>
      <c r="C731" s="100" t="s">
        <v>2329</v>
      </c>
      <c r="D731" s="100" t="s">
        <v>135</v>
      </c>
      <c r="E731" s="810">
        <v>2.2779</v>
      </c>
      <c r="F731" s="810">
        <v>2.2438</v>
      </c>
      <c r="G731" s="810">
        <v>2.3265</v>
      </c>
      <c r="H731" s="810">
        <v>2.6601</v>
      </c>
      <c r="I731" s="810">
        <v>2.1618</v>
      </c>
      <c r="J731" s="810">
        <v>2.426</v>
      </c>
      <c r="K731" s="810">
        <v>2.4165</v>
      </c>
      <c r="L731" s="810">
        <v>2.4179</v>
      </c>
      <c r="M731" s="810">
        <v>2.4751</v>
      </c>
      <c r="N731" s="810">
        <v>2.4221</v>
      </c>
      <c r="O731" s="810" t="s">
        <v>2434</v>
      </c>
      <c r="P731" s="100" t="s">
        <v>2651</v>
      </c>
      <c r="Q731" s="100"/>
      <c r="R731" s="100"/>
      <c r="S731" s="8"/>
    </row>
    <row r="732" ht="14.25" customHeight="1">
      <c r="A732" s="100" t="s">
        <v>2668</v>
      </c>
      <c r="B732" s="100" t="s">
        <v>2669</v>
      </c>
      <c r="C732" s="100" t="s">
        <v>2333</v>
      </c>
      <c r="D732" s="100" t="s">
        <v>135</v>
      </c>
      <c r="E732" s="810">
        <v>0.7442</v>
      </c>
      <c r="F732" s="810">
        <v>0.8721</v>
      </c>
      <c r="G732" s="810">
        <v>0.7209</v>
      </c>
      <c r="H732" s="810">
        <v>0.8023</v>
      </c>
      <c r="I732" s="810">
        <v>0.8488</v>
      </c>
      <c r="J732" s="810">
        <v>1.0</v>
      </c>
      <c r="K732" s="810">
        <v>0.7093</v>
      </c>
      <c r="L732" s="810">
        <v>0.6496</v>
      </c>
      <c r="M732" s="810">
        <v>0.7672</v>
      </c>
      <c r="N732" s="810">
        <v>0.8752</v>
      </c>
      <c r="O732" s="810" t="s">
        <v>2434</v>
      </c>
      <c r="P732" s="100" t="s">
        <v>2537</v>
      </c>
      <c r="Q732" s="100"/>
      <c r="R732" s="100"/>
      <c r="S732" s="8"/>
    </row>
    <row r="733" ht="14.25" customHeight="1">
      <c r="A733" s="100" t="s">
        <v>2668</v>
      </c>
      <c r="B733" s="100" t="s">
        <v>2669</v>
      </c>
      <c r="C733" s="100" t="s">
        <v>2364</v>
      </c>
      <c r="D733" s="100" t="s">
        <v>135</v>
      </c>
      <c r="E733" s="810">
        <v>1.4981</v>
      </c>
      <c r="F733" s="810">
        <v>1.4344</v>
      </c>
      <c r="G733" s="810">
        <v>1.3306</v>
      </c>
      <c r="H733" s="810">
        <v>1.2787</v>
      </c>
      <c r="I733" s="810">
        <v>1.1562</v>
      </c>
      <c r="J733" s="810">
        <v>1.1553</v>
      </c>
      <c r="K733" s="810">
        <v>1.1253</v>
      </c>
      <c r="L733" s="810">
        <v>1.1118</v>
      </c>
      <c r="M733" s="810">
        <v>1.1995</v>
      </c>
      <c r="N733" s="810">
        <v>1.267</v>
      </c>
      <c r="O733" s="810" t="s">
        <v>2434</v>
      </c>
      <c r="P733" s="100" t="s">
        <v>2617</v>
      </c>
      <c r="Q733" s="100"/>
      <c r="R733" s="100"/>
      <c r="S733" s="8"/>
    </row>
    <row r="734" ht="14.25" customHeight="1">
      <c r="A734" s="100" t="s">
        <v>2668</v>
      </c>
      <c r="B734" s="100" t="s">
        <v>2669</v>
      </c>
      <c r="C734" s="100" t="s">
        <v>2337</v>
      </c>
      <c r="D734" s="100" t="s">
        <v>135</v>
      </c>
      <c r="E734" s="810">
        <v>0.01</v>
      </c>
      <c r="F734" s="810">
        <v>0.009</v>
      </c>
      <c r="G734" s="810">
        <v>0.0072</v>
      </c>
      <c r="H734" s="810">
        <v>0.0056</v>
      </c>
      <c r="I734" s="810">
        <v>0.0049</v>
      </c>
      <c r="J734" s="810">
        <v>0.0048</v>
      </c>
      <c r="K734" s="810">
        <v>0.0052</v>
      </c>
      <c r="L734" s="810">
        <v>0.0063</v>
      </c>
      <c r="M734" s="810">
        <v>0.0079</v>
      </c>
      <c r="N734" s="810">
        <v>0.0093</v>
      </c>
      <c r="O734" s="810">
        <v>0.0081</v>
      </c>
      <c r="P734" s="100" t="s">
        <v>2512</v>
      </c>
      <c r="Q734" s="100"/>
      <c r="R734" s="100"/>
      <c r="S734" s="8"/>
    </row>
    <row r="735" ht="14.25" customHeight="1">
      <c r="A735" s="100" t="s">
        <v>2668</v>
      </c>
      <c r="B735" s="100" t="s">
        <v>2669</v>
      </c>
      <c r="C735" s="100" t="s">
        <v>2341</v>
      </c>
      <c r="D735" s="100" t="s">
        <v>135</v>
      </c>
      <c r="E735" s="810">
        <v>2.242</v>
      </c>
      <c r="F735" s="810">
        <v>2.0113</v>
      </c>
      <c r="G735" s="810">
        <v>1.9949</v>
      </c>
      <c r="H735" s="810">
        <v>2.0323</v>
      </c>
      <c r="I735" s="810">
        <v>1.9783</v>
      </c>
      <c r="J735" s="810">
        <v>2.2123</v>
      </c>
      <c r="K735" s="810">
        <v>2.3293</v>
      </c>
      <c r="L735" s="810">
        <v>2.224</v>
      </c>
      <c r="M735" s="810">
        <v>2.2343</v>
      </c>
      <c r="N735" s="810">
        <v>2.0446</v>
      </c>
      <c r="O735" s="810" t="s">
        <v>2434</v>
      </c>
      <c r="P735" s="100" t="s">
        <v>2546</v>
      </c>
      <c r="Q735" s="100"/>
      <c r="R735" s="100"/>
      <c r="S735" s="8"/>
    </row>
    <row r="736" ht="14.25" customHeight="1">
      <c r="A736" s="100" t="s">
        <v>2668</v>
      </c>
      <c r="B736" s="100" t="s">
        <v>2669</v>
      </c>
      <c r="C736" s="100" t="s">
        <v>2348</v>
      </c>
      <c r="D736" s="100" t="s">
        <v>135</v>
      </c>
      <c r="E736" s="810">
        <v>2.0051</v>
      </c>
      <c r="F736" s="810">
        <v>2.0522</v>
      </c>
      <c r="G736" s="810">
        <v>1.8657</v>
      </c>
      <c r="H736" s="810">
        <v>1.8416</v>
      </c>
      <c r="I736" s="810">
        <v>1.7931</v>
      </c>
      <c r="J736" s="810">
        <v>1.8126</v>
      </c>
      <c r="K736" s="810">
        <v>1.8766</v>
      </c>
      <c r="L736" s="810">
        <v>2.0178</v>
      </c>
      <c r="M736" s="810">
        <v>2.0414</v>
      </c>
      <c r="N736" s="810">
        <v>1.9195</v>
      </c>
      <c r="O736" s="810" t="s">
        <v>2434</v>
      </c>
      <c r="P736" s="100" t="s">
        <v>2618</v>
      </c>
      <c r="Q736" s="100"/>
      <c r="R736" s="100"/>
      <c r="S736" s="8"/>
    </row>
    <row r="737" ht="14.25" customHeight="1">
      <c r="A737" s="100" t="s">
        <v>2668</v>
      </c>
      <c r="B737" s="100" t="s">
        <v>2669</v>
      </c>
      <c r="C737" s="100" t="s">
        <v>2350</v>
      </c>
      <c r="D737" s="100" t="s">
        <v>135</v>
      </c>
      <c r="E737" s="810">
        <v>0.4215</v>
      </c>
      <c r="F737" s="810">
        <v>0.5398</v>
      </c>
      <c r="G737" s="810">
        <v>0.5817</v>
      </c>
      <c r="H737" s="810">
        <v>0.5641</v>
      </c>
      <c r="I737" s="810">
        <v>0.5617</v>
      </c>
      <c r="J737" s="810">
        <v>0.5528</v>
      </c>
      <c r="K737" s="810">
        <v>0.6977</v>
      </c>
      <c r="L737" s="810">
        <v>0.5835</v>
      </c>
      <c r="M737" s="810">
        <v>0.6123</v>
      </c>
      <c r="N737" s="810">
        <v>0.5735</v>
      </c>
      <c r="O737" s="810" t="s">
        <v>2434</v>
      </c>
      <c r="P737" s="100" t="s">
        <v>2400</v>
      </c>
      <c r="Q737" s="100"/>
      <c r="R737" s="100"/>
      <c r="S737" s="8"/>
    </row>
    <row r="738" ht="14.25" customHeight="1">
      <c r="A738" s="100" t="s">
        <v>2668</v>
      </c>
      <c r="B738" s="100" t="s">
        <v>2669</v>
      </c>
      <c r="C738" s="100" t="s">
        <v>2354</v>
      </c>
      <c r="D738" s="100" t="s">
        <v>135</v>
      </c>
      <c r="E738" s="810">
        <v>4.3273</v>
      </c>
      <c r="F738" s="810">
        <v>4.2806</v>
      </c>
      <c r="G738" s="810">
        <v>4.2684</v>
      </c>
      <c r="H738" s="810">
        <v>4.4336</v>
      </c>
      <c r="I738" s="810">
        <v>4.3819</v>
      </c>
      <c r="J738" s="810">
        <v>3.8362</v>
      </c>
      <c r="K738" s="810">
        <v>3.9003</v>
      </c>
      <c r="L738" s="810">
        <v>4.4872</v>
      </c>
      <c r="M738" s="810">
        <v>4.59</v>
      </c>
      <c r="N738" s="810">
        <v>4.6656</v>
      </c>
      <c r="O738" s="810" t="s">
        <v>2434</v>
      </c>
      <c r="P738" s="100" t="s">
        <v>2556</v>
      </c>
      <c r="Q738" s="100"/>
      <c r="R738" s="100"/>
      <c r="S738" s="8"/>
    </row>
    <row r="739" ht="14.25" customHeight="1">
      <c r="A739" s="100" t="s">
        <v>2668</v>
      </c>
      <c r="B739" s="100" t="s">
        <v>2669</v>
      </c>
      <c r="C739" s="100" t="s">
        <v>2356</v>
      </c>
      <c r="D739" s="100" t="s">
        <v>135</v>
      </c>
      <c r="E739" s="810">
        <v>13.0994</v>
      </c>
      <c r="F739" s="810">
        <v>21.7275</v>
      </c>
      <c r="G739" s="810">
        <v>21.7683</v>
      </c>
      <c r="H739" s="810">
        <v>21.9398</v>
      </c>
      <c r="I739" s="810">
        <v>20.7449</v>
      </c>
      <c r="J739" s="810">
        <v>21.108</v>
      </c>
      <c r="K739" s="810">
        <v>21.6391</v>
      </c>
      <c r="L739" s="810">
        <v>21.1556</v>
      </c>
      <c r="M739" s="810">
        <v>22.1137</v>
      </c>
      <c r="N739" s="810">
        <v>17.8023</v>
      </c>
      <c r="O739" s="810" t="s">
        <v>2434</v>
      </c>
      <c r="P739" s="100" t="s">
        <v>2546</v>
      </c>
      <c r="Q739" s="100"/>
      <c r="R739" s="100"/>
      <c r="S739" s="8"/>
    </row>
    <row r="740" ht="14.25" customHeight="1">
      <c r="A740" s="100" t="s">
        <v>2668</v>
      </c>
      <c r="B740" s="100" t="s">
        <v>2669</v>
      </c>
      <c r="C740" s="100" t="s">
        <v>2344</v>
      </c>
      <c r="D740" s="100" t="s">
        <v>135</v>
      </c>
      <c r="E740" s="810">
        <v>22.9491</v>
      </c>
      <c r="F740" s="810">
        <v>23.364</v>
      </c>
      <c r="G740" s="810">
        <v>22.9474</v>
      </c>
      <c r="H740" s="810">
        <v>21.7061</v>
      </c>
      <c r="I740" s="810">
        <v>23.6815</v>
      </c>
      <c r="J740" s="810">
        <v>23.9543</v>
      </c>
      <c r="K740" s="810">
        <v>24.3953</v>
      </c>
      <c r="L740" s="810">
        <v>25.4324</v>
      </c>
      <c r="M740" s="810">
        <v>27.322</v>
      </c>
      <c r="N740" s="810">
        <v>29.1268</v>
      </c>
      <c r="O740" s="810" t="s">
        <v>2434</v>
      </c>
      <c r="P740" s="100" t="s">
        <v>2621</v>
      </c>
      <c r="Q740" s="100"/>
      <c r="R740" s="100"/>
      <c r="S740" s="8"/>
    </row>
    <row r="741" ht="14.25" customHeight="1">
      <c r="A741" s="100" t="s">
        <v>2668</v>
      </c>
      <c r="B741" s="100" t="s">
        <v>2669</v>
      </c>
      <c r="C741" s="100" t="s">
        <v>2362</v>
      </c>
      <c r="D741" s="100" t="s">
        <v>135</v>
      </c>
      <c r="E741" s="810">
        <v>1.4913</v>
      </c>
      <c r="F741" s="810">
        <v>1.0195</v>
      </c>
      <c r="G741" s="810">
        <v>0.6372</v>
      </c>
      <c r="H741" s="810">
        <v>1.0015</v>
      </c>
      <c r="I741" s="810">
        <v>1.7561</v>
      </c>
      <c r="J741" s="810">
        <v>1.4844</v>
      </c>
      <c r="K741" s="810">
        <v>1.497</v>
      </c>
      <c r="L741" s="810">
        <v>1.9214</v>
      </c>
      <c r="M741" s="810">
        <v>1.7746</v>
      </c>
      <c r="N741" s="810">
        <v>1.5734</v>
      </c>
      <c r="O741" s="810" t="s">
        <v>2434</v>
      </c>
      <c r="P741" s="100" t="s">
        <v>2622</v>
      </c>
      <c r="Q741" s="100"/>
      <c r="R741" s="100"/>
      <c r="S741" s="8"/>
    </row>
    <row r="742" ht="14.25" customHeight="1">
      <c r="A742" s="100" t="s">
        <v>2668</v>
      </c>
      <c r="B742" s="100" t="s">
        <v>2669</v>
      </c>
      <c r="C742" s="100" t="s">
        <v>2367</v>
      </c>
      <c r="D742" s="100" t="s">
        <v>135</v>
      </c>
      <c r="E742" s="810">
        <v>0.5882</v>
      </c>
      <c r="F742" s="810">
        <v>1.2845</v>
      </c>
      <c r="G742" s="810">
        <v>1.4658</v>
      </c>
      <c r="H742" s="810">
        <v>2.1528</v>
      </c>
      <c r="I742" s="810">
        <v>2.3476</v>
      </c>
      <c r="J742" s="810">
        <v>2.4251</v>
      </c>
      <c r="K742" s="810">
        <v>2.7183</v>
      </c>
      <c r="L742" s="810">
        <v>2.7837</v>
      </c>
      <c r="M742" s="810">
        <v>3.5152</v>
      </c>
      <c r="N742" s="810">
        <v>3.3953</v>
      </c>
      <c r="O742" s="810" t="s">
        <v>2434</v>
      </c>
      <c r="P742" s="100" t="s">
        <v>2546</v>
      </c>
      <c r="Q742" s="100"/>
      <c r="R742" s="100"/>
      <c r="S742" s="8"/>
    </row>
    <row r="743" ht="14.25" customHeight="1">
      <c r="A743" s="100" t="s">
        <v>2668</v>
      </c>
      <c r="B743" s="100" t="s">
        <v>2669</v>
      </c>
      <c r="C743" s="100" t="s">
        <v>2369</v>
      </c>
      <c r="D743" s="100" t="s">
        <v>135</v>
      </c>
      <c r="E743" s="810">
        <v>0.6387</v>
      </c>
      <c r="F743" s="810">
        <v>0.6255</v>
      </c>
      <c r="G743" s="810">
        <v>0.6185</v>
      </c>
      <c r="H743" s="810">
        <v>0.6413</v>
      </c>
      <c r="I743" s="810">
        <v>0.7331</v>
      </c>
      <c r="J743" s="810">
        <v>0.741</v>
      </c>
      <c r="K743" s="810">
        <v>0.8715</v>
      </c>
      <c r="L743" s="810">
        <v>0.9862</v>
      </c>
      <c r="M743" s="810">
        <v>1.1176</v>
      </c>
      <c r="N743" s="810">
        <v>1.211</v>
      </c>
      <c r="O743" s="810" t="s">
        <v>2434</v>
      </c>
      <c r="P743" s="100" t="s">
        <v>2623</v>
      </c>
      <c r="Q743" s="100"/>
      <c r="R743" s="100"/>
      <c r="S743" s="8"/>
    </row>
    <row r="744" ht="14.25" customHeight="1">
      <c r="A744" s="100" t="s">
        <v>2668</v>
      </c>
      <c r="B744" s="100" t="s">
        <v>2669</v>
      </c>
      <c r="C744" s="100" t="s">
        <v>2374</v>
      </c>
      <c r="D744" s="100" t="s">
        <v>135</v>
      </c>
      <c r="E744" s="810">
        <v>2.3582</v>
      </c>
      <c r="F744" s="810">
        <v>5.0383</v>
      </c>
      <c r="G744" s="810">
        <v>4.4518</v>
      </c>
      <c r="H744" s="810">
        <v>4.2013</v>
      </c>
      <c r="I744" s="810">
        <v>4.1006</v>
      </c>
      <c r="J744" s="810">
        <v>4.0682</v>
      </c>
      <c r="K744" s="810">
        <v>4.125</v>
      </c>
      <c r="L744" s="810">
        <v>4.4246</v>
      </c>
      <c r="M744" s="810">
        <v>4.1661</v>
      </c>
      <c r="N744" s="810">
        <v>4.5338</v>
      </c>
      <c r="O744" s="810" t="s">
        <v>2434</v>
      </c>
      <c r="P744" s="100" t="s">
        <v>2624</v>
      </c>
      <c r="Q744" s="100"/>
      <c r="R744" s="100"/>
      <c r="S744" s="8"/>
    </row>
    <row r="745" ht="14.25" customHeight="1">
      <c r="A745" s="100" t="s">
        <v>2668</v>
      </c>
      <c r="B745" s="100" t="s">
        <v>2669</v>
      </c>
      <c r="C745" s="100" t="s">
        <v>2386</v>
      </c>
      <c r="D745" s="100" t="s">
        <v>135</v>
      </c>
      <c r="E745" s="810">
        <v>0.4574</v>
      </c>
      <c r="F745" s="810">
        <v>0.553</v>
      </c>
      <c r="G745" s="810">
        <v>0.6449</v>
      </c>
      <c r="H745" s="810">
        <v>0.4971</v>
      </c>
      <c r="I745" s="810">
        <v>0.4216</v>
      </c>
      <c r="J745" s="810">
        <v>0.4274</v>
      </c>
      <c r="K745" s="810">
        <v>0.408</v>
      </c>
      <c r="L745" s="810">
        <v>0.3721</v>
      </c>
      <c r="M745" s="810">
        <v>0.3651</v>
      </c>
      <c r="N745" s="810">
        <v>0.31</v>
      </c>
      <c r="O745" s="810" t="s">
        <v>2434</v>
      </c>
      <c r="P745" s="100" t="s">
        <v>2625</v>
      </c>
      <c r="Q745" s="100"/>
      <c r="R745" s="100"/>
      <c r="S745" s="8"/>
    </row>
    <row r="746" ht="14.25" customHeight="1">
      <c r="A746" s="100" t="s">
        <v>2668</v>
      </c>
      <c r="B746" s="100" t="s">
        <v>2669</v>
      </c>
      <c r="C746" s="100" t="s">
        <v>2378</v>
      </c>
      <c r="D746" s="100" t="s">
        <v>135</v>
      </c>
      <c r="E746" s="810">
        <v>0.4781</v>
      </c>
      <c r="F746" s="810">
        <v>0.4519</v>
      </c>
      <c r="G746" s="810">
        <v>0.4608</v>
      </c>
      <c r="H746" s="810">
        <v>0.4473</v>
      </c>
      <c r="I746" s="810">
        <v>0.4088</v>
      </c>
      <c r="J746" s="810">
        <v>0.4232</v>
      </c>
      <c r="K746" s="810">
        <v>0.4475</v>
      </c>
      <c r="L746" s="810">
        <v>0.4868</v>
      </c>
      <c r="M746" s="810">
        <v>0.4938</v>
      </c>
      <c r="N746" s="810">
        <v>0.4977</v>
      </c>
      <c r="O746" s="810" t="s">
        <v>2434</v>
      </c>
      <c r="P746" s="100" t="s">
        <v>2567</v>
      </c>
      <c r="Q746" s="100"/>
      <c r="R746" s="100"/>
      <c r="S746" s="8"/>
    </row>
    <row r="747" ht="14.25" customHeight="1">
      <c r="A747" s="100" t="s">
        <v>2668</v>
      </c>
      <c r="B747" s="100" t="s">
        <v>2669</v>
      </c>
      <c r="C747" s="100" t="s">
        <v>2383</v>
      </c>
      <c r="D747" s="100" t="s">
        <v>135</v>
      </c>
      <c r="E747" s="810">
        <v>0.2791</v>
      </c>
      <c r="F747" s="810">
        <v>0.2326</v>
      </c>
      <c r="G747" s="810">
        <v>0.2442</v>
      </c>
      <c r="H747" s="810">
        <v>0.2093</v>
      </c>
      <c r="I747" s="810">
        <v>0.2209</v>
      </c>
      <c r="J747" s="810">
        <v>0.2674</v>
      </c>
      <c r="K747" s="810">
        <v>0.3023</v>
      </c>
      <c r="L747" s="810">
        <v>0.3488</v>
      </c>
      <c r="M747" s="810">
        <v>0.2558</v>
      </c>
      <c r="N747" s="810">
        <v>0.2558</v>
      </c>
      <c r="O747" s="810" t="s">
        <v>2434</v>
      </c>
      <c r="P747" s="100" t="s">
        <v>2523</v>
      </c>
      <c r="Q747" s="100"/>
      <c r="R747" s="100"/>
      <c r="S747" s="8"/>
    </row>
    <row r="748" ht="14.25" customHeight="1">
      <c r="A748" s="100" t="s">
        <v>2668</v>
      </c>
      <c r="B748" s="100" t="s">
        <v>2669</v>
      </c>
      <c r="C748" s="100" t="s">
        <v>2389</v>
      </c>
      <c r="D748" s="100" t="s">
        <v>135</v>
      </c>
      <c r="E748" s="810">
        <v>0.016</v>
      </c>
      <c r="F748" s="810">
        <v>0.016</v>
      </c>
      <c r="G748" s="810">
        <v>0.018</v>
      </c>
      <c r="H748" s="810">
        <v>0.0319</v>
      </c>
      <c r="I748" s="810">
        <v>0.0379</v>
      </c>
      <c r="J748" s="810">
        <v>0.0399</v>
      </c>
      <c r="K748" s="810">
        <v>0.0359</v>
      </c>
      <c r="L748" s="810">
        <v>0.0354</v>
      </c>
      <c r="M748" s="810">
        <v>0.0365</v>
      </c>
      <c r="N748" s="810">
        <v>0.0405</v>
      </c>
      <c r="O748" s="810" t="s">
        <v>2434</v>
      </c>
      <c r="P748" s="100" t="s">
        <v>2549</v>
      </c>
      <c r="Q748" s="100"/>
      <c r="R748" s="100"/>
      <c r="S748" s="8"/>
    </row>
    <row r="749" ht="14.25" customHeight="1">
      <c r="A749" s="100" t="s">
        <v>2668</v>
      </c>
      <c r="B749" s="100" t="s">
        <v>2669</v>
      </c>
      <c r="C749" s="100" t="s">
        <v>2391</v>
      </c>
      <c r="D749" s="100" t="s">
        <v>135</v>
      </c>
      <c r="E749" s="810">
        <v>6.8688</v>
      </c>
      <c r="F749" s="810">
        <v>6.8238</v>
      </c>
      <c r="G749" s="810">
        <v>6.7007</v>
      </c>
      <c r="H749" s="810">
        <v>7.3023</v>
      </c>
      <c r="I749" s="810">
        <v>7.1208</v>
      </c>
      <c r="J749" s="810">
        <v>6.875</v>
      </c>
      <c r="K749" s="810">
        <v>6.9347</v>
      </c>
      <c r="L749" s="810">
        <v>7.4917</v>
      </c>
      <c r="M749" s="810">
        <v>7.7004</v>
      </c>
      <c r="N749" s="810">
        <v>8.1767</v>
      </c>
      <c r="O749" s="810" t="s">
        <v>2434</v>
      </c>
      <c r="P749" s="100" t="s">
        <v>2546</v>
      </c>
      <c r="Q749" s="100"/>
      <c r="R749" s="100"/>
      <c r="S749" s="8"/>
    </row>
    <row r="750" ht="14.25" customHeight="1">
      <c r="A750" s="100" t="s">
        <v>2668</v>
      </c>
      <c r="B750" s="100" t="s">
        <v>2669</v>
      </c>
      <c r="C750" s="100" t="s">
        <v>2393</v>
      </c>
      <c r="D750" s="100" t="s">
        <v>135</v>
      </c>
      <c r="E750" s="810">
        <v>2.7851</v>
      </c>
      <c r="F750" s="810">
        <v>2.6663</v>
      </c>
      <c r="G750" s="810">
        <v>2.5077</v>
      </c>
      <c r="H750" s="810">
        <v>2.116</v>
      </c>
      <c r="I750" s="810">
        <v>1.8912</v>
      </c>
      <c r="J750" s="810">
        <v>1.8225</v>
      </c>
      <c r="K750" s="810">
        <v>1.9357</v>
      </c>
      <c r="L750" s="810">
        <v>2.2666</v>
      </c>
      <c r="M750" s="810">
        <v>2.2554</v>
      </c>
      <c r="N750" s="810">
        <v>2.2516</v>
      </c>
      <c r="O750" s="810" t="s">
        <v>2434</v>
      </c>
      <c r="P750" s="100" t="s">
        <v>2526</v>
      </c>
      <c r="Q750" s="100"/>
      <c r="R750" s="100"/>
      <c r="S750" s="8"/>
    </row>
    <row r="751" ht="14.25" customHeight="1">
      <c r="A751" s="100" t="s">
        <v>2668</v>
      </c>
      <c r="B751" s="100" t="s">
        <v>2669</v>
      </c>
      <c r="C751" s="100" t="s">
        <v>2395</v>
      </c>
      <c r="D751" s="100" t="s">
        <v>135</v>
      </c>
      <c r="E751" s="810">
        <v>2.806</v>
      </c>
      <c r="F751" s="810">
        <v>2.6281</v>
      </c>
      <c r="G751" s="810">
        <v>2.0387</v>
      </c>
      <c r="H751" s="810">
        <v>1.6183</v>
      </c>
      <c r="I751" s="810">
        <v>1.4812</v>
      </c>
      <c r="J751" s="810">
        <v>1.7215</v>
      </c>
      <c r="K751" s="810">
        <v>1.7189</v>
      </c>
      <c r="L751" s="810">
        <v>1.8378</v>
      </c>
      <c r="M751" s="810">
        <v>1.6863</v>
      </c>
      <c r="N751" s="810">
        <v>1.6212</v>
      </c>
      <c r="O751" s="810" t="s">
        <v>2434</v>
      </c>
      <c r="P751" s="100" t="s">
        <v>2626</v>
      </c>
      <c r="Q751" s="100"/>
      <c r="R751" s="100"/>
      <c r="S751" s="8"/>
    </row>
    <row r="752" ht="14.25" customHeight="1">
      <c r="A752" s="100" t="s">
        <v>2668</v>
      </c>
      <c r="B752" s="100" t="s">
        <v>2669</v>
      </c>
      <c r="C752" s="100" t="s">
        <v>2397</v>
      </c>
      <c r="D752" s="100" t="s">
        <v>135</v>
      </c>
      <c r="E752" s="810">
        <v>4.7389</v>
      </c>
      <c r="F752" s="810">
        <v>5.5233</v>
      </c>
      <c r="G752" s="810">
        <v>5.2209</v>
      </c>
      <c r="H752" s="810">
        <v>4.593</v>
      </c>
      <c r="I752" s="810">
        <v>4.2674</v>
      </c>
      <c r="J752" s="810">
        <v>4.4058</v>
      </c>
      <c r="K752" s="810">
        <v>4.1046</v>
      </c>
      <c r="L752" s="810">
        <v>4.0581</v>
      </c>
      <c r="M752" s="810">
        <v>4.2209</v>
      </c>
      <c r="N752" s="810">
        <v>5.3953</v>
      </c>
      <c r="O752" s="810" t="s">
        <v>2434</v>
      </c>
      <c r="P752" s="100" t="s">
        <v>2528</v>
      </c>
      <c r="Q752" s="100"/>
      <c r="R752" s="100"/>
      <c r="S752" s="8"/>
    </row>
    <row r="753" ht="14.25" customHeight="1">
      <c r="A753" s="100" t="s">
        <v>2668</v>
      </c>
      <c r="B753" s="100" t="s">
        <v>2669</v>
      </c>
      <c r="C753" s="100" t="s">
        <v>2411</v>
      </c>
      <c r="D753" s="100" t="s">
        <v>135</v>
      </c>
      <c r="E753" s="810">
        <v>0.6369</v>
      </c>
      <c r="F753" s="810">
        <v>0.7289</v>
      </c>
      <c r="G753" s="810">
        <v>0.4092</v>
      </c>
      <c r="H753" s="810">
        <v>0.3416</v>
      </c>
      <c r="I753" s="810">
        <v>0.3203</v>
      </c>
      <c r="J753" s="810">
        <v>0.3306</v>
      </c>
      <c r="K753" s="810">
        <v>0.3465</v>
      </c>
      <c r="L753" s="810">
        <v>0.3406</v>
      </c>
      <c r="M753" s="810">
        <v>0.3834</v>
      </c>
      <c r="N753" s="810">
        <v>0.2789</v>
      </c>
      <c r="O753" s="810" t="s">
        <v>2434</v>
      </c>
      <c r="P753" s="100" t="s">
        <v>2546</v>
      </c>
      <c r="Q753" s="100"/>
      <c r="R753" s="100"/>
      <c r="S753" s="8"/>
    </row>
    <row r="754" ht="14.25" customHeight="1">
      <c r="A754" s="100" t="s">
        <v>2668</v>
      </c>
      <c r="B754" s="100" t="s">
        <v>2669</v>
      </c>
      <c r="C754" s="100" t="s">
        <v>2406</v>
      </c>
      <c r="D754" s="100" t="s">
        <v>135</v>
      </c>
      <c r="E754" s="810">
        <v>0.4302</v>
      </c>
      <c r="F754" s="810">
        <v>0.3641</v>
      </c>
      <c r="G754" s="810">
        <v>0.4013</v>
      </c>
      <c r="H754" s="810">
        <v>0.308</v>
      </c>
      <c r="I754" s="810">
        <v>0.2825</v>
      </c>
      <c r="J754" s="810">
        <v>0.3199</v>
      </c>
      <c r="K754" s="810">
        <v>0.3211</v>
      </c>
      <c r="L754" s="810">
        <v>0.3572</v>
      </c>
      <c r="M754" s="810">
        <v>0.3488</v>
      </c>
      <c r="N754" s="810">
        <v>0.4494</v>
      </c>
      <c r="O754" s="810" t="s">
        <v>2434</v>
      </c>
      <c r="P754" s="100" t="s">
        <v>2628</v>
      </c>
      <c r="Q754" s="100"/>
      <c r="R754" s="100"/>
      <c r="S754" s="8"/>
    </row>
    <row r="755" ht="14.25" customHeight="1">
      <c r="A755" s="100" t="s">
        <v>2668</v>
      </c>
      <c r="B755" s="100" t="s">
        <v>2669</v>
      </c>
      <c r="C755" s="100" t="s">
        <v>2352</v>
      </c>
      <c r="D755" s="100" t="s">
        <v>135</v>
      </c>
      <c r="E755" s="810">
        <v>5.9019</v>
      </c>
      <c r="F755" s="810">
        <v>5.6253</v>
      </c>
      <c r="G755" s="810">
        <v>13.5251</v>
      </c>
      <c r="H755" s="810">
        <v>15.0408</v>
      </c>
      <c r="I755" s="810">
        <v>14.8941</v>
      </c>
      <c r="J755" s="810">
        <v>10.5969</v>
      </c>
      <c r="K755" s="810">
        <v>11.3243</v>
      </c>
      <c r="L755" s="810">
        <v>12.2059</v>
      </c>
      <c r="M755" s="810">
        <v>14.1616</v>
      </c>
      <c r="N755" s="810">
        <v>16.275</v>
      </c>
      <c r="O755" s="810" t="s">
        <v>2434</v>
      </c>
      <c r="P755" s="100" t="s">
        <v>2629</v>
      </c>
      <c r="Q755" s="100"/>
      <c r="R755" s="100"/>
      <c r="S755" s="8"/>
    </row>
    <row r="756" ht="14.25" customHeight="1">
      <c r="A756" s="100" t="s">
        <v>2668</v>
      </c>
      <c r="B756" s="100" t="s">
        <v>2669</v>
      </c>
      <c r="C756" s="100" t="s">
        <v>2400</v>
      </c>
      <c r="D756" s="100" t="s">
        <v>135</v>
      </c>
      <c r="E756" s="810">
        <v>3.6326</v>
      </c>
      <c r="F756" s="810">
        <v>3.5949</v>
      </c>
      <c r="G756" s="810">
        <v>3.5827</v>
      </c>
      <c r="H756" s="810">
        <v>3.6812</v>
      </c>
      <c r="I756" s="810">
        <v>3.651</v>
      </c>
      <c r="J756" s="810">
        <v>3.8833</v>
      </c>
      <c r="K756" s="810">
        <v>4.0872</v>
      </c>
      <c r="L756" s="810">
        <v>4.0483</v>
      </c>
      <c r="M756" s="810">
        <v>4.2951</v>
      </c>
      <c r="N756" s="810">
        <v>4.2299</v>
      </c>
      <c r="O756" s="810" t="s">
        <v>2434</v>
      </c>
      <c r="P756" s="100" t="s">
        <v>2630</v>
      </c>
      <c r="Q756" s="100"/>
      <c r="R756" s="100"/>
      <c r="S756" s="8"/>
    </row>
    <row r="757" ht="14.25" customHeight="1">
      <c r="A757" s="100" t="s">
        <v>2668</v>
      </c>
      <c r="B757" s="100" t="s">
        <v>2669</v>
      </c>
      <c r="C757" s="100" t="s">
        <v>2416</v>
      </c>
      <c r="D757" s="100" t="s">
        <v>135</v>
      </c>
      <c r="E757" s="810">
        <v>3.9772</v>
      </c>
      <c r="F757" s="810">
        <v>3.9149</v>
      </c>
      <c r="G757" s="810">
        <v>4.5314</v>
      </c>
      <c r="H757" s="810">
        <v>5.0609</v>
      </c>
      <c r="I757" s="810">
        <v>4.6868</v>
      </c>
      <c r="J757" s="810">
        <v>4.7046</v>
      </c>
      <c r="K757" s="810">
        <v>4.6333</v>
      </c>
      <c r="L757" s="810">
        <v>5.0104</v>
      </c>
      <c r="M757" s="810">
        <v>5.2934</v>
      </c>
      <c r="N757" s="810">
        <v>4.6749</v>
      </c>
      <c r="O757" s="810">
        <v>4.7877</v>
      </c>
      <c r="P757" s="100" t="s">
        <v>2631</v>
      </c>
      <c r="Q757" s="100"/>
      <c r="R757" s="100"/>
      <c r="S757" s="8"/>
    </row>
    <row r="758" ht="14.25" customHeight="1">
      <c r="A758" s="100" t="s">
        <v>2668</v>
      </c>
      <c r="B758" s="100" t="s">
        <v>2669</v>
      </c>
      <c r="C758" s="100" t="s">
        <v>2423</v>
      </c>
      <c r="D758" s="100" t="s">
        <v>135</v>
      </c>
      <c r="E758" s="810">
        <v>1.3599</v>
      </c>
      <c r="F758" s="810">
        <v>1.1784</v>
      </c>
      <c r="G758" s="810">
        <v>1.2832</v>
      </c>
      <c r="H758" s="810">
        <v>1.2872</v>
      </c>
      <c r="I758" s="810">
        <v>1.2544</v>
      </c>
      <c r="J758" s="810">
        <v>1.274</v>
      </c>
      <c r="K758" s="810">
        <v>1.0798</v>
      </c>
      <c r="L758" s="810">
        <v>1.0981</v>
      </c>
      <c r="M758" s="810">
        <v>1.0751</v>
      </c>
      <c r="N758" s="810">
        <v>1.0267</v>
      </c>
      <c r="O758" s="810" t="s">
        <v>2434</v>
      </c>
      <c r="P758" s="100" t="s">
        <v>2632</v>
      </c>
      <c r="Q758" s="100"/>
      <c r="R758" s="100"/>
      <c r="S758" s="8"/>
    </row>
    <row r="759" ht="14.25" customHeight="1">
      <c r="A759" s="100" t="s">
        <v>2668</v>
      </c>
      <c r="B759" s="100" t="s">
        <v>2669</v>
      </c>
      <c r="C759" s="100" t="s">
        <v>2360</v>
      </c>
      <c r="D759" s="100" t="s">
        <v>135</v>
      </c>
      <c r="E759" s="810">
        <v>6.0784</v>
      </c>
      <c r="F759" s="810">
        <v>6.0736</v>
      </c>
      <c r="G759" s="810">
        <v>5.9366</v>
      </c>
      <c r="H759" s="810">
        <v>6.0569</v>
      </c>
      <c r="I759" s="810">
        <v>6.0602</v>
      </c>
      <c r="J759" s="810">
        <v>7.3764</v>
      </c>
      <c r="K759" s="810">
        <v>7.7492</v>
      </c>
      <c r="L759" s="810">
        <v>8.1186</v>
      </c>
      <c r="M759" s="810">
        <v>8.3904</v>
      </c>
      <c r="N759" s="810">
        <v>8.3336</v>
      </c>
      <c r="O759" s="810" t="s">
        <v>2434</v>
      </c>
      <c r="P759" s="100" t="s">
        <v>2636</v>
      </c>
      <c r="Q759" s="100"/>
      <c r="R759" s="100"/>
      <c r="S759" s="8"/>
    </row>
    <row r="760" ht="14.25" customHeight="1">
      <c r="A760" s="100" t="s">
        <v>2668</v>
      </c>
      <c r="B760" s="100" t="s">
        <v>2669</v>
      </c>
      <c r="C760" s="100" t="s">
        <v>2535</v>
      </c>
      <c r="D760" s="100" t="s">
        <v>135</v>
      </c>
      <c r="E760" s="810">
        <v>0.2276</v>
      </c>
      <c r="F760" s="810">
        <v>0.6638</v>
      </c>
      <c r="G760" s="810">
        <v>0.754</v>
      </c>
      <c r="H760" s="810">
        <v>0.5502</v>
      </c>
      <c r="I760" s="810">
        <v>0.5548</v>
      </c>
      <c r="J760" s="810">
        <v>0.6394</v>
      </c>
      <c r="K760" s="810">
        <v>0.4753</v>
      </c>
      <c r="L760" s="810">
        <v>0.5368</v>
      </c>
      <c r="M760" s="810">
        <v>0.5443</v>
      </c>
      <c r="N760" s="810">
        <v>0.6092</v>
      </c>
      <c r="O760" s="810" t="s">
        <v>2434</v>
      </c>
      <c r="P760" s="100" t="s">
        <v>2546</v>
      </c>
      <c r="Q760" s="100"/>
      <c r="R760" s="100"/>
      <c r="S760" s="8"/>
    </row>
    <row r="761" ht="14.25" customHeight="1">
      <c r="A761" s="100" t="s">
        <v>2670</v>
      </c>
      <c r="B761" s="100" t="s">
        <v>2671</v>
      </c>
      <c r="C761" s="100" t="s">
        <v>2317</v>
      </c>
      <c r="D761" s="100" t="s">
        <v>2083</v>
      </c>
      <c r="E761" s="810" t="str">
        <f t="shared" ref="E761:O761" si="62">#REF!</f>
        <v>#REF!</v>
      </c>
      <c r="F761" s="810" t="str">
        <f t="shared" si="62"/>
        <v>#REF!</v>
      </c>
      <c r="G761" s="810" t="str">
        <f t="shared" si="62"/>
        <v>#REF!</v>
      </c>
      <c r="H761" s="810" t="str">
        <f t="shared" si="62"/>
        <v>#REF!</v>
      </c>
      <c r="I761" s="810" t="str">
        <f t="shared" si="62"/>
        <v>#REF!</v>
      </c>
      <c r="J761" s="810" t="str">
        <f t="shared" si="62"/>
        <v>#REF!</v>
      </c>
      <c r="K761" s="810" t="str">
        <f t="shared" si="62"/>
        <v>#REF!</v>
      </c>
      <c r="L761" s="810" t="str">
        <f t="shared" si="62"/>
        <v>#REF!</v>
      </c>
      <c r="M761" s="810" t="str">
        <f t="shared" si="62"/>
        <v>#REF!</v>
      </c>
      <c r="N761" s="810" t="str">
        <f t="shared" si="62"/>
        <v>#REF!</v>
      </c>
      <c r="O761" s="810" t="str">
        <f t="shared" si="62"/>
        <v>#REF!</v>
      </c>
      <c r="P761" s="100" t="s">
        <v>2549</v>
      </c>
      <c r="Q761" s="100"/>
      <c r="R761" s="100"/>
      <c r="S761" s="8"/>
    </row>
    <row r="762" ht="14.25" customHeight="1">
      <c r="A762" s="100" t="str">
        <f>A761</f>
        <v>prdclk</v>
      </c>
      <c r="B762" s="100"/>
      <c r="C762" s="100" t="s">
        <v>2507</v>
      </c>
      <c r="D762" s="100"/>
      <c r="E762" s="810" t="str">
        <f t="shared" ref="E762:O762" si="63">#REF!</f>
        <v>#REF!</v>
      </c>
      <c r="F762" s="810" t="str">
        <f t="shared" si="63"/>
        <v>#REF!</v>
      </c>
      <c r="G762" s="810" t="str">
        <f t="shared" si="63"/>
        <v>#REF!</v>
      </c>
      <c r="H762" s="810" t="str">
        <f t="shared" si="63"/>
        <v>#REF!</v>
      </c>
      <c r="I762" s="810" t="str">
        <f t="shared" si="63"/>
        <v>#REF!</v>
      </c>
      <c r="J762" s="810" t="str">
        <f t="shared" si="63"/>
        <v>#REF!</v>
      </c>
      <c r="K762" s="810" t="str">
        <f t="shared" si="63"/>
        <v>#REF!</v>
      </c>
      <c r="L762" s="810" t="str">
        <f t="shared" si="63"/>
        <v>#REF!</v>
      </c>
      <c r="M762" s="810" t="str">
        <f t="shared" si="63"/>
        <v>#REF!</v>
      </c>
      <c r="N762" s="810" t="str">
        <f t="shared" si="63"/>
        <v>#REF!</v>
      </c>
      <c r="O762" s="810" t="str">
        <f t="shared" si="63"/>
        <v>#REF!</v>
      </c>
      <c r="P762" s="100"/>
      <c r="Q762" s="100"/>
      <c r="R762" s="100"/>
      <c r="S762" s="8"/>
    </row>
    <row r="763" ht="14.25" customHeight="1">
      <c r="A763" s="100" t="s">
        <v>2670</v>
      </c>
      <c r="B763" s="100" t="s">
        <v>2671</v>
      </c>
      <c r="C763" s="100" t="s">
        <v>2325</v>
      </c>
      <c r="D763" s="100" t="s">
        <v>2083</v>
      </c>
      <c r="E763" s="810">
        <v>3097.043</v>
      </c>
      <c r="F763" s="810">
        <v>3175.642</v>
      </c>
      <c r="G763" s="810">
        <v>3206.055</v>
      </c>
      <c r="H763" s="810">
        <v>3156.286</v>
      </c>
      <c r="I763" s="810">
        <v>3143.495</v>
      </c>
      <c r="J763" s="810">
        <v>3256.561</v>
      </c>
      <c r="K763" s="810">
        <v>3299.974</v>
      </c>
      <c r="L763" s="810">
        <v>3313.459</v>
      </c>
      <c r="M763" s="810">
        <v>3551.969</v>
      </c>
      <c r="N763" s="810">
        <v>3422.866</v>
      </c>
      <c r="O763" s="810" t="s">
        <v>2434</v>
      </c>
      <c r="P763" s="100" t="s">
        <v>2551</v>
      </c>
      <c r="Q763" s="100"/>
      <c r="R763" s="100"/>
      <c r="S763" s="8"/>
    </row>
    <row r="764" ht="14.25" customHeight="1">
      <c r="A764" s="100" t="s">
        <v>2670</v>
      </c>
      <c r="B764" s="100" t="s">
        <v>2671</v>
      </c>
      <c r="C764" s="100" t="s">
        <v>2329</v>
      </c>
      <c r="D764" s="100" t="s">
        <v>2083</v>
      </c>
      <c r="E764" s="810">
        <v>4740.0</v>
      </c>
      <c r="F764" s="810">
        <v>5059.0</v>
      </c>
      <c r="G764" s="810">
        <v>4869.5</v>
      </c>
      <c r="H764" s="810">
        <v>4689.3</v>
      </c>
      <c r="I764" s="810">
        <v>4830.7</v>
      </c>
      <c r="J764" s="810">
        <v>4396.0</v>
      </c>
      <c r="K764" s="810">
        <v>4458.0</v>
      </c>
      <c r="L764" s="810">
        <v>4238.0</v>
      </c>
      <c r="M764" s="810">
        <v>4605.0</v>
      </c>
      <c r="N764" s="810">
        <v>5038.0</v>
      </c>
      <c r="O764" s="810" t="s">
        <v>2434</v>
      </c>
      <c r="P764" s="100" t="s">
        <v>2672</v>
      </c>
      <c r="Q764" s="100" t="s">
        <v>2673</v>
      </c>
      <c r="R764" s="100"/>
      <c r="S764" s="8"/>
    </row>
    <row r="765" ht="14.25" customHeight="1">
      <c r="A765" s="100" t="s">
        <v>2670</v>
      </c>
      <c r="B765" s="100" t="s">
        <v>2671</v>
      </c>
      <c r="C765" s="100" t="s">
        <v>2333</v>
      </c>
      <c r="D765" s="100" t="s">
        <v>2083</v>
      </c>
      <c r="E765" s="810">
        <v>1514.551</v>
      </c>
      <c r="F765" s="810">
        <v>1475.7</v>
      </c>
      <c r="G765" s="810">
        <v>1839.1998</v>
      </c>
      <c r="H765" s="810">
        <v>1676.3269</v>
      </c>
      <c r="I765" s="810">
        <v>1717.0826</v>
      </c>
      <c r="J765" s="810">
        <v>2073.9618</v>
      </c>
      <c r="K765" s="810">
        <v>2259.5519</v>
      </c>
      <c r="L765" s="810">
        <v>2334.7415</v>
      </c>
      <c r="M765" s="810">
        <v>2297.7738</v>
      </c>
      <c r="N765" s="810">
        <v>2127.51</v>
      </c>
      <c r="O765" s="810" t="s">
        <v>2434</v>
      </c>
      <c r="P765" s="100" t="s">
        <v>2537</v>
      </c>
      <c r="Q765" s="100"/>
      <c r="R765" s="100"/>
      <c r="S765" s="8"/>
    </row>
    <row r="766" ht="14.25" customHeight="1">
      <c r="A766" s="100" t="s">
        <v>2670</v>
      </c>
      <c r="B766" s="100" t="s">
        <v>2671</v>
      </c>
      <c r="C766" s="100" t="s">
        <v>2364</v>
      </c>
      <c r="D766" s="100" t="s">
        <v>2083</v>
      </c>
      <c r="E766" s="810">
        <v>2320.6</v>
      </c>
      <c r="F766" s="810">
        <v>2015.6</v>
      </c>
      <c r="G766" s="810">
        <v>1999.5</v>
      </c>
      <c r="H766" s="810">
        <v>2210.2</v>
      </c>
      <c r="I766" s="810">
        <v>2312.2</v>
      </c>
      <c r="J766" s="810">
        <v>2158.7</v>
      </c>
      <c r="K766" s="810">
        <v>2058.2</v>
      </c>
      <c r="L766" s="810">
        <v>2416.4</v>
      </c>
      <c r="M766" s="810">
        <v>2316.5</v>
      </c>
      <c r="N766" s="810">
        <v>2267.7</v>
      </c>
      <c r="O766" s="810" t="s">
        <v>2434</v>
      </c>
      <c r="P766" s="100" t="s">
        <v>2511</v>
      </c>
      <c r="Q766" s="100"/>
      <c r="R766" s="100"/>
      <c r="S766" s="8"/>
    </row>
    <row r="767" ht="14.25" customHeight="1">
      <c r="A767" s="100" t="s">
        <v>2670</v>
      </c>
      <c r="B767" s="100" t="s">
        <v>2671</v>
      </c>
      <c r="C767" s="100" t="s">
        <v>2337</v>
      </c>
      <c r="D767" s="100" t="s">
        <v>2083</v>
      </c>
      <c r="E767" s="810">
        <v>1036.469</v>
      </c>
      <c r="F767" s="810">
        <v>1037.256</v>
      </c>
      <c r="G767" s="810">
        <v>952.556</v>
      </c>
      <c r="H767" s="810">
        <v>1418.452</v>
      </c>
      <c r="I767" s="810">
        <v>1826.115</v>
      </c>
      <c r="J767" s="810">
        <v>1640.717</v>
      </c>
      <c r="K767" s="810">
        <v>1648.256</v>
      </c>
      <c r="L767" s="810">
        <v>1600.0</v>
      </c>
      <c r="M767" s="810">
        <v>1593.425</v>
      </c>
      <c r="N767" s="810">
        <v>1498.857</v>
      </c>
      <c r="O767" s="810">
        <v>1669.084</v>
      </c>
      <c r="P767" s="100" t="s">
        <v>2512</v>
      </c>
      <c r="Q767" s="100"/>
      <c r="R767" s="100"/>
      <c r="S767" s="8"/>
    </row>
    <row r="768" ht="14.25" customHeight="1">
      <c r="A768" s="100" t="s">
        <v>2670</v>
      </c>
      <c r="B768" s="100" t="s">
        <v>2671</v>
      </c>
      <c r="C768" s="100" t="s">
        <v>2341</v>
      </c>
      <c r="D768" s="100" t="s">
        <v>2083</v>
      </c>
      <c r="E768" s="810">
        <v>2748.455</v>
      </c>
      <c r="F768" s="810">
        <v>3132.272</v>
      </c>
      <c r="G768" s="810">
        <v>2837.621</v>
      </c>
      <c r="H768" s="810">
        <v>2523.316</v>
      </c>
      <c r="I768" s="810">
        <v>2791.875</v>
      </c>
      <c r="J768" s="810">
        <v>2920.247</v>
      </c>
      <c r="K768" s="810">
        <v>3188.396</v>
      </c>
      <c r="L768" s="810">
        <v>3236.047</v>
      </c>
      <c r="M768" s="810">
        <v>3513.409</v>
      </c>
      <c r="N768" s="810">
        <v>3722.164</v>
      </c>
      <c r="O768" s="810" t="s">
        <v>2434</v>
      </c>
      <c r="P768" s="100" t="s">
        <v>2513</v>
      </c>
      <c r="Q768" s="100"/>
      <c r="R768" s="100"/>
      <c r="S768" s="8"/>
    </row>
    <row r="769" ht="14.25" customHeight="1">
      <c r="A769" s="100" t="s">
        <v>2670</v>
      </c>
      <c r="B769" s="100" t="s">
        <v>2671</v>
      </c>
      <c r="C769" s="100" t="s">
        <v>2348</v>
      </c>
      <c r="D769" s="100"/>
      <c r="E769" s="810" t="s">
        <v>2434</v>
      </c>
      <c r="F769" s="810" t="s">
        <v>2434</v>
      </c>
      <c r="G769" s="810" t="s">
        <v>2434</v>
      </c>
      <c r="H769" s="810" t="s">
        <v>2434</v>
      </c>
      <c r="I769" s="810" t="s">
        <v>2434</v>
      </c>
      <c r="J769" s="810" t="s">
        <v>2434</v>
      </c>
      <c r="K769" s="810" t="s">
        <v>2434</v>
      </c>
      <c r="L769" s="810" t="s">
        <v>2434</v>
      </c>
      <c r="M769" s="810" t="s">
        <v>2434</v>
      </c>
      <c r="N769" s="810" t="s">
        <v>2434</v>
      </c>
      <c r="O769" s="810" t="s">
        <v>2434</v>
      </c>
      <c r="P769" s="100"/>
      <c r="Q769" s="100"/>
      <c r="R769" s="100"/>
      <c r="S769" s="8"/>
    </row>
    <row r="770" ht="14.25" customHeight="1">
      <c r="A770" s="100" t="s">
        <v>2670</v>
      </c>
      <c r="B770" s="100" t="s">
        <v>2671</v>
      </c>
      <c r="C770" s="100" t="s">
        <v>2350</v>
      </c>
      <c r="D770" s="100" t="s">
        <v>2083</v>
      </c>
      <c r="E770" s="810">
        <v>536.691</v>
      </c>
      <c r="F770" s="810">
        <v>719.0</v>
      </c>
      <c r="G770" s="810">
        <v>715.0</v>
      </c>
      <c r="H770" s="810">
        <v>691.0</v>
      </c>
      <c r="I770" s="810">
        <v>720.48</v>
      </c>
      <c r="J770" s="810">
        <v>356.0</v>
      </c>
      <c r="K770" s="810">
        <v>422.8</v>
      </c>
      <c r="L770" s="810">
        <v>502.92</v>
      </c>
      <c r="M770" s="810">
        <v>505.349</v>
      </c>
      <c r="N770" s="810">
        <v>159.6</v>
      </c>
      <c r="O770" s="810" t="s">
        <v>2434</v>
      </c>
      <c r="P770" s="100" t="s">
        <v>2400</v>
      </c>
      <c r="Q770" s="100"/>
      <c r="R770" s="100"/>
      <c r="S770" s="8"/>
    </row>
    <row r="771" ht="14.25" customHeight="1">
      <c r="A771" s="100" t="s">
        <v>2670</v>
      </c>
      <c r="B771" s="100" t="s">
        <v>2671</v>
      </c>
      <c r="C771" s="100" t="s">
        <v>2354</v>
      </c>
      <c r="D771" s="100"/>
      <c r="E771" s="810" t="s">
        <v>2434</v>
      </c>
      <c r="F771" s="810" t="s">
        <v>2434</v>
      </c>
      <c r="G771" s="810" t="s">
        <v>2434</v>
      </c>
      <c r="H771" s="810" t="s">
        <v>2434</v>
      </c>
      <c r="I771" s="810" t="s">
        <v>2434</v>
      </c>
      <c r="J771" s="810" t="s">
        <v>2434</v>
      </c>
      <c r="K771" s="810" t="s">
        <v>2434</v>
      </c>
      <c r="L771" s="810" t="s">
        <v>2434</v>
      </c>
      <c r="M771" s="810" t="s">
        <v>2434</v>
      </c>
      <c r="N771" s="810" t="s">
        <v>2434</v>
      </c>
      <c r="O771" s="810" t="s">
        <v>2434</v>
      </c>
      <c r="P771" s="100"/>
      <c r="Q771" s="100"/>
      <c r="R771" s="100"/>
      <c r="S771" s="8"/>
    </row>
    <row r="772" ht="14.25" customHeight="1">
      <c r="A772" s="100" t="s">
        <v>2670</v>
      </c>
      <c r="B772" s="100" t="s">
        <v>2671</v>
      </c>
      <c r="C772" s="100" t="s">
        <v>2356</v>
      </c>
      <c r="D772" s="100" t="s">
        <v>2083</v>
      </c>
      <c r="E772" s="810">
        <v>14901.0</v>
      </c>
      <c r="F772" s="810">
        <v>15229.0</v>
      </c>
      <c r="G772" s="810">
        <v>14178.0</v>
      </c>
      <c r="H772" s="810">
        <v>13778.0</v>
      </c>
      <c r="I772" s="810">
        <v>13146.0</v>
      </c>
      <c r="J772" s="810">
        <v>12513.0</v>
      </c>
      <c r="K772" s="810">
        <v>12528.0</v>
      </c>
      <c r="L772" s="810">
        <v>11312.0</v>
      </c>
      <c r="M772" s="810">
        <v>12845.0</v>
      </c>
      <c r="N772" s="810">
        <v>13005.0</v>
      </c>
      <c r="O772" s="810" t="s">
        <v>2434</v>
      </c>
      <c r="P772" s="100" t="s">
        <v>2557</v>
      </c>
      <c r="Q772" s="100"/>
      <c r="R772" s="100"/>
      <c r="S772" s="8"/>
    </row>
    <row r="773" ht="14.25" customHeight="1">
      <c r="A773" s="100" t="s">
        <v>2670</v>
      </c>
      <c r="B773" s="100" t="s">
        <v>2671</v>
      </c>
      <c r="C773" s="100" t="s">
        <v>2344</v>
      </c>
      <c r="D773" s="100" t="s">
        <v>2083</v>
      </c>
      <c r="E773" s="810">
        <v>22965.0</v>
      </c>
      <c r="F773" s="810">
        <v>24775.0</v>
      </c>
      <c r="G773" s="810">
        <v>24581.0</v>
      </c>
      <c r="H773" s="810">
        <v>23143.0</v>
      </c>
      <c r="I773" s="810">
        <v>23871.0</v>
      </c>
      <c r="J773" s="810">
        <v>23355.0</v>
      </c>
      <c r="K773" s="810">
        <v>23423.0</v>
      </c>
      <c r="L773" s="810">
        <v>24802.0</v>
      </c>
      <c r="M773" s="810">
        <v>24802.0</v>
      </c>
      <c r="N773" s="810">
        <v>24900.0</v>
      </c>
      <c r="O773" s="810" t="s">
        <v>2434</v>
      </c>
      <c r="P773" s="100" t="s">
        <v>2558</v>
      </c>
      <c r="Q773" s="100"/>
      <c r="R773" s="100"/>
      <c r="S773" s="8"/>
    </row>
    <row r="774" ht="14.25" customHeight="1">
      <c r="A774" s="100" t="s">
        <v>2670</v>
      </c>
      <c r="B774" s="100" t="s">
        <v>2671</v>
      </c>
      <c r="C774" s="100" t="s">
        <v>2362</v>
      </c>
      <c r="D774" s="100" t="s">
        <v>2083</v>
      </c>
      <c r="E774" s="810">
        <v>7446.775</v>
      </c>
      <c r="F774" s="810">
        <v>4569.167</v>
      </c>
      <c r="G774" s="810">
        <v>4363.1853</v>
      </c>
      <c r="H774" s="810">
        <v>4157.2037</v>
      </c>
      <c r="I774" s="810" t="s">
        <v>2434</v>
      </c>
      <c r="J774" s="810" t="s">
        <v>2434</v>
      </c>
      <c r="K774" s="810" t="s">
        <v>2434</v>
      </c>
      <c r="L774" s="810" t="s">
        <v>2434</v>
      </c>
      <c r="M774" s="810" t="s">
        <v>2434</v>
      </c>
      <c r="N774" s="810" t="s">
        <v>2434</v>
      </c>
      <c r="O774" s="810" t="s">
        <v>2434</v>
      </c>
      <c r="P774" s="100" t="s">
        <v>2674</v>
      </c>
      <c r="Q774" s="100"/>
      <c r="R774" s="100"/>
      <c r="S774" s="8"/>
    </row>
    <row r="775" ht="14.25" customHeight="1">
      <c r="A775" s="100" t="s">
        <v>2670</v>
      </c>
      <c r="B775" s="100" t="s">
        <v>2671</v>
      </c>
      <c r="C775" s="100" t="s">
        <v>2367</v>
      </c>
      <c r="D775" s="100"/>
      <c r="E775" s="810" t="s">
        <v>2434</v>
      </c>
      <c r="F775" s="810" t="s">
        <v>2434</v>
      </c>
      <c r="G775" s="810" t="s">
        <v>2434</v>
      </c>
      <c r="H775" s="810" t="s">
        <v>2434</v>
      </c>
      <c r="I775" s="810" t="s">
        <v>2434</v>
      </c>
      <c r="J775" s="810" t="s">
        <v>2434</v>
      </c>
      <c r="K775" s="810" t="s">
        <v>2434</v>
      </c>
      <c r="L775" s="810" t="s">
        <v>2434</v>
      </c>
      <c r="M775" s="810" t="s">
        <v>2434</v>
      </c>
      <c r="N775" s="810" t="s">
        <v>2434</v>
      </c>
      <c r="O775" s="810" t="s">
        <v>2434</v>
      </c>
      <c r="P775" s="100"/>
      <c r="Q775" s="100"/>
      <c r="R775" s="100"/>
      <c r="S775" s="8"/>
    </row>
    <row r="776" ht="14.25" customHeight="1">
      <c r="A776" s="100" t="s">
        <v>2670</v>
      </c>
      <c r="B776" s="100" t="s">
        <v>2671</v>
      </c>
      <c r="C776" s="100" t="s">
        <v>2369</v>
      </c>
      <c r="D776" s="100"/>
      <c r="E776" s="810" t="s">
        <v>2434</v>
      </c>
      <c r="F776" s="810" t="s">
        <v>2434</v>
      </c>
      <c r="G776" s="810" t="s">
        <v>2434</v>
      </c>
      <c r="H776" s="810" t="s">
        <v>2434</v>
      </c>
      <c r="I776" s="810" t="s">
        <v>2434</v>
      </c>
      <c r="J776" s="810" t="s">
        <v>2434</v>
      </c>
      <c r="K776" s="810" t="s">
        <v>2434</v>
      </c>
      <c r="L776" s="810" t="s">
        <v>2434</v>
      </c>
      <c r="M776" s="810" t="s">
        <v>2434</v>
      </c>
      <c r="N776" s="810" t="s">
        <v>2434</v>
      </c>
      <c r="O776" s="810" t="s">
        <v>2434</v>
      </c>
      <c r="P776" s="100"/>
      <c r="Q776" s="100"/>
      <c r="R776" s="100"/>
      <c r="S776" s="8"/>
    </row>
    <row r="777" ht="14.25" customHeight="1">
      <c r="A777" s="100" t="s">
        <v>2670</v>
      </c>
      <c r="B777" s="100" t="s">
        <v>2671</v>
      </c>
      <c r="C777" s="100" t="s">
        <v>2374</v>
      </c>
      <c r="D777" s="100" t="s">
        <v>2083</v>
      </c>
      <c r="E777" s="810">
        <v>25239.491</v>
      </c>
      <c r="F777" s="810">
        <v>24057.141</v>
      </c>
      <c r="G777" s="810">
        <v>19204.416</v>
      </c>
      <c r="H777" s="810">
        <v>16901.564</v>
      </c>
      <c r="I777" s="810">
        <v>15833.36</v>
      </c>
      <c r="J777" s="810">
        <v>15526.759</v>
      </c>
      <c r="K777" s="810">
        <v>14761.858</v>
      </c>
      <c r="L777" s="810">
        <v>14730.398</v>
      </c>
      <c r="M777" s="810">
        <v>14722.662</v>
      </c>
      <c r="N777" s="810">
        <v>15034.586</v>
      </c>
      <c r="O777" s="810" t="s">
        <v>2434</v>
      </c>
      <c r="P777" s="100" t="s">
        <v>2565</v>
      </c>
      <c r="Q777" s="100"/>
      <c r="R777" s="100"/>
      <c r="S777" s="8"/>
    </row>
    <row r="778" ht="14.25" customHeight="1">
      <c r="A778" s="100" t="s">
        <v>2670</v>
      </c>
      <c r="B778" s="100" t="s">
        <v>2671</v>
      </c>
      <c r="C778" s="100" t="s">
        <v>2386</v>
      </c>
      <c r="D778" s="100" t="s">
        <v>2083</v>
      </c>
      <c r="E778" s="810">
        <v>835.0</v>
      </c>
      <c r="F778" s="810">
        <v>1095.0</v>
      </c>
      <c r="G778" s="810">
        <v>1129.0</v>
      </c>
      <c r="H778" s="810">
        <v>1054.0</v>
      </c>
      <c r="I778" s="810">
        <v>1093.0</v>
      </c>
      <c r="J778" s="810">
        <v>918.0</v>
      </c>
      <c r="K778" s="810">
        <v>678.0</v>
      </c>
      <c r="L778" s="810">
        <v>853.9</v>
      </c>
      <c r="M778" s="810">
        <v>1088.0</v>
      </c>
      <c r="N778" s="810">
        <v>1102.7</v>
      </c>
      <c r="O778" s="810" t="s">
        <v>2434</v>
      </c>
      <c r="P778" s="100" t="s">
        <v>2675</v>
      </c>
      <c r="Q778" s="100"/>
      <c r="R778" s="100"/>
      <c r="S778" s="8"/>
    </row>
    <row r="779" ht="14.25" customHeight="1">
      <c r="A779" s="100" t="s">
        <v>2670</v>
      </c>
      <c r="B779" s="100" t="s">
        <v>2671</v>
      </c>
      <c r="C779" s="100" t="s">
        <v>2378</v>
      </c>
      <c r="D779" s="100"/>
      <c r="E779" s="810" t="s">
        <v>2434</v>
      </c>
      <c r="F779" s="810" t="s">
        <v>2434</v>
      </c>
      <c r="G779" s="810" t="s">
        <v>2434</v>
      </c>
      <c r="H779" s="810" t="s">
        <v>2434</v>
      </c>
      <c r="I779" s="810" t="s">
        <v>2434</v>
      </c>
      <c r="J779" s="810" t="s">
        <v>2434</v>
      </c>
      <c r="K779" s="810" t="s">
        <v>2434</v>
      </c>
      <c r="L779" s="810" t="s">
        <v>2434</v>
      </c>
      <c r="M779" s="810" t="s">
        <v>2434</v>
      </c>
      <c r="N779" s="810" t="s">
        <v>2434</v>
      </c>
      <c r="O779" s="810" t="s">
        <v>2434</v>
      </c>
      <c r="P779" s="100"/>
      <c r="Q779" s="100"/>
      <c r="R779" s="100"/>
      <c r="S779" s="8"/>
    </row>
    <row r="780" ht="14.25" customHeight="1">
      <c r="A780" s="100" t="s">
        <v>2670</v>
      </c>
      <c r="B780" s="100" t="s">
        <v>2671</v>
      </c>
      <c r="C780" s="100" t="s">
        <v>2383</v>
      </c>
      <c r="D780" s="100"/>
      <c r="E780" s="810" t="s">
        <v>2434</v>
      </c>
      <c r="F780" s="810" t="s">
        <v>2434</v>
      </c>
      <c r="G780" s="810" t="s">
        <v>2434</v>
      </c>
      <c r="H780" s="810" t="s">
        <v>2434</v>
      </c>
      <c r="I780" s="810" t="s">
        <v>2434</v>
      </c>
      <c r="J780" s="810" t="s">
        <v>2434</v>
      </c>
      <c r="K780" s="810" t="s">
        <v>2434</v>
      </c>
      <c r="L780" s="810" t="s">
        <v>2434</v>
      </c>
      <c r="M780" s="810" t="s">
        <v>2434</v>
      </c>
      <c r="N780" s="810" t="s">
        <v>2434</v>
      </c>
      <c r="O780" s="810" t="s">
        <v>2434</v>
      </c>
      <c r="P780" s="100"/>
      <c r="Q780" s="100"/>
      <c r="R780" s="100"/>
      <c r="S780" s="8"/>
    </row>
    <row r="781" ht="14.25" customHeight="1">
      <c r="A781" s="100" t="s">
        <v>2670</v>
      </c>
      <c r="B781" s="100" t="s">
        <v>2671</v>
      </c>
      <c r="C781" s="100" t="s">
        <v>2389</v>
      </c>
      <c r="D781" s="100"/>
      <c r="E781" s="810" t="s">
        <v>2434</v>
      </c>
      <c r="F781" s="810" t="s">
        <v>2434</v>
      </c>
      <c r="G781" s="810" t="s">
        <v>2434</v>
      </c>
      <c r="H781" s="810" t="s">
        <v>2434</v>
      </c>
      <c r="I781" s="810" t="s">
        <v>2434</v>
      </c>
      <c r="J781" s="810" t="s">
        <v>2434</v>
      </c>
      <c r="K781" s="810" t="s">
        <v>2434</v>
      </c>
      <c r="L781" s="810" t="s">
        <v>2434</v>
      </c>
      <c r="M781" s="810" t="s">
        <v>2434</v>
      </c>
      <c r="N781" s="810" t="s">
        <v>2434</v>
      </c>
      <c r="O781" s="810" t="s">
        <v>2434</v>
      </c>
      <c r="P781" s="100"/>
      <c r="Q781" s="100"/>
      <c r="R781" s="100"/>
      <c r="S781" s="8"/>
    </row>
    <row r="782" ht="14.25" customHeight="1">
      <c r="A782" s="100" t="s">
        <v>2670</v>
      </c>
      <c r="B782" s="100" t="s">
        <v>2671</v>
      </c>
      <c r="C782" s="100" t="s">
        <v>2391</v>
      </c>
      <c r="D782" s="100"/>
      <c r="E782" s="810" t="s">
        <v>2434</v>
      </c>
      <c r="F782" s="810" t="s">
        <v>2434</v>
      </c>
      <c r="G782" s="810" t="s">
        <v>2434</v>
      </c>
      <c r="H782" s="810" t="s">
        <v>2434</v>
      </c>
      <c r="I782" s="810" t="s">
        <v>2434</v>
      </c>
      <c r="J782" s="810" t="s">
        <v>2434</v>
      </c>
      <c r="K782" s="810" t="s">
        <v>2434</v>
      </c>
      <c r="L782" s="810" t="s">
        <v>2434</v>
      </c>
      <c r="M782" s="810" t="s">
        <v>2434</v>
      </c>
      <c r="N782" s="810" t="s">
        <v>2434</v>
      </c>
      <c r="O782" s="810" t="s">
        <v>2434</v>
      </c>
      <c r="P782" s="100"/>
      <c r="Q782" s="100"/>
      <c r="R782" s="100"/>
      <c r="S782" s="8"/>
    </row>
    <row r="783" ht="14.25" customHeight="1">
      <c r="A783" s="100" t="s">
        <v>2670</v>
      </c>
      <c r="B783" s="100" t="s">
        <v>2671</v>
      </c>
      <c r="C783" s="100" t="s">
        <v>2393</v>
      </c>
      <c r="D783" s="100" t="s">
        <v>2083</v>
      </c>
      <c r="E783" s="810">
        <v>11674.0</v>
      </c>
      <c r="F783" s="810">
        <v>13545.326</v>
      </c>
      <c r="G783" s="810">
        <v>11750.019</v>
      </c>
      <c r="H783" s="810">
        <v>10865.0</v>
      </c>
      <c r="I783" s="810">
        <v>11356.047</v>
      </c>
      <c r="J783" s="810">
        <v>11055.0</v>
      </c>
      <c r="K783" s="810">
        <v>11733.0</v>
      </c>
      <c r="L783" s="810">
        <v>12996.506</v>
      </c>
      <c r="M783" s="810">
        <v>14221.787</v>
      </c>
      <c r="N783" s="810">
        <v>14158.963</v>
      </c>
      <c r="O783" s="810" t="s">
        <v>2434</v>
      </c>
      <c r="P783" s="100" t="s">
        <v>2526</v>
      </c>
      <c r="Q783" s="100"/>
      <c r="R783" s="100"/>
      <c r="S783" s="8"/>
    </row>
    <row r="784" ht="14.25" customHeight="1">
      <c r="A784" s="100" t="s">
        <v>2670</v>
      </c>
      <c r="B784" s="100" t="s">
        <v>2671</v>
      </c>
      <c r="C784" s="100" t="s">
        <v>2395</v>
      </c>
      <c r="D784" s="100" t="s">
        <v>2083</v>
      </c>
      <c r="E784" s="810">
        <v>6483.6436</v>
      </c>
      <c r="F784" s="810">
        <v>5351.024</v>
      </c>
      <c r="G784" s="810">
        <v>4881.543</v>
      </c>
      <c r="H784" s="810" t="s">
        <v>2434</v>
      </c>
      <c r="I784" s="810" t="s">
        <v>2434</v>
      </c>
      <c r="J784" s="810" t="s">
        <v>2434</v>
      </c>
      <c r="K784" s="810" t="s">
        <v>2434</v>
      </c>
      <c r="L784" s="810">
        <v>4854.4476</v>
      </c>
      <c r="M784" s="810">
        <v>4294.3892</v>
      </c>
      <c r="N784" s="810">
        <v>4272.0847</v>
      </c>
      <c r="O784" s="810" t="s">
        <v>2434</v>
      </c>
      <c r="P784" s="100" t="s">
        <v>2571</v>
      </c>
      <c r="Q784" s="100"/>
      <c r="R784" s="100"/>
      <c r="S784" s="8"/>
    </row>
    <row r="785" ht="14.25" customHeight="1">
      <c r="A785" s="100" t="s">
        <v>2670</v>
      </c>
      <c r="B785" s="100" t="s">
        <v>2671</v>
      </c>
      <c r="C785" s="100" t="s">
        <v>2397</v>
      </c>
      <c r="D785" s="100" t="s">
        <v>2083</v>
      </c>
      <c r="E785" s="810">
        <v>5202.0</v>
      </c>
      <c r="F785" s="810">
        <v>5751.0</v>
      </c>
      <c r="G785" s="810">
        <v>5874.0</v>
      </c>
      <c r="H785" s="810">
        <v>5062.0</v>
      </c>
      <c r="I785" s="810">
        <v>5467.0</v>
      </c>
      <c r="J785" s="810">
        <v>6203.0</v>
      </c>
      <c r="K785" s="810">
        <v>5933.0</v>
      </c>
      <c r="L785" s="810">
        <v>6190.0</v>
      </c>
      <c r="M785" s="810">
        <v>6587.0</v>
      </c>
      <c r="N785" s="810">
        <v>7209.0</v>
      </c>
      <c r="O785" s="810" t="s">
        <v>2434</v>
      </c>
      <c r="P785" s="100" t="s">
        <v>2528</v>
      </c>
      <c r="Q785" s="100"/>
      <c r="R785" s="100"/>
      <c r="S785" s="8"/>
    </row>
    <row r="786" ht="14.25" customHeight="1">
      <c r="A786" s="100" t="s">
        <v>2670</v>
      </c>
      <c r="B786" s="100" t="s">
        <v>2671</v>
      </c>
      <c r="C786" s="100" t="s">
        <v>2411</v>
      </c>
      <c r="D786" s="100"/>
      <c r="E786" s="810" t="s">
        <v>2434</v>
      </c>
      <c r="F786" s="810" t="s">
        <v>2434</v>
      </c>
      <c r="G786" s="810" t="s">
        <v>2434</v>
      </c>
      <c r="H786" s="810" t="s">
        <v>2434</v>
      </c>
      <c r="I786" s="810" t="s">
        <v>2434</v>
      </c>
      <c r="J786" s="810" t="s">
        <v>2434</v>
      </c>
      <c r="K786" s="810" t="s">
        <v>2434</v>
      </c>
      <c r="L786" s="810" t="s">
        <v>2434</v>
      </c>
      <c r="M786" s="810" t="s">
        <v>2434</v>
      </c>
      <c r="N786" s="810" t="s">
        <v>2434</v>
      </c>
      <c r="O786" s="810" t="s">
        <v>2434</v>
      </c>
      <c r="P786" s="100"/>
      <c r="Q786" s="100"/>
      <c r="R786" s="100"/>
      <c r="S786" s="8"/>
    </row>
    <row r="787" ht="14.25" customHeight="1">
      <c r="A787" s="100" t="s">
        <v>2670</v>
      </c>
      <c r="B787" s="100" t="s">
        <v>2671</v>
      </c>
      <c r="C787" s="100" t="s">
        <v>2406</v>
      </c>
      <c r="D787" s="100" t="s">
        <v>2083</v>
      </c>
      <c r="E787" s="810">
        <v>680.725</v>
      </c>
      <c r="F787" s="810">
        <v>589.3697</v>
      </c>
      <c r="G787" s="810">
        <v>605.2402</v>
      </c>
      <c r="H787" s="810">
        <v>743.1385</v>
      </c>
      <c r="I787" s="810">
        <v>807.2622</v>
      </c>
      <c r="J787" s="810">
        <v>713.0399</v>
      </c>
      <c r="K787" s="810">
        <v>667.1947</v>
      </c>
      <c r="L787" s="810">
        <v>796.9304</v>
      </c>
      <c r="M787" s="810">
        <v>873.4871</v>
      </c>
      <c r="N787" s="810">
        <v>927.7677</v>
      </c>
      <c r="O787" s="810" t="s">
        <v>2434</v>
      </c>
      <c r="P787" s="100" t="s">
        <v>2676</v>
      </c>
      <c r="Q787" s="100"/>
      <c r="R787" s="100"/>
      <c r="S787" s="8"/>
    </row>
    <row r="788" ht="14.25" customHeight="1">
      <c r="A788" s="100" t="s">
        <v>2670</v>
      </c>
      <c r="B788" s="100" t="s">
        <v>2671</v>
      </c>
      <c r="C788" s="100" t="s">
        <v>2352</v>
      </c>
      <c r="D788" s="100" t="s">
        <v>2083</v>
      </c>
      <c r="E788" s="810">
        <v>21092.8375</v>
      </c>
      <c r="F788" s="810">
        <v>18230.6584</v>
      </c>
      <c r="G788" s="810">
        <v>16714.8837</v>
      </c>
      <c r="H788" s="810">
        <v>14604.0568</v>
      </c>
      <c r="I788" s="810">
        <v>16968.9871</v>
      </c>
      <c r="J788" s="810">
        <v>17700.468</v>
      </c>
      <c r="K788" s="810">
        <v>17341.3185</v>
      </c>
      <c r="L788" s="810">
        <v>17359.5034</v>
      </c>
      <c r="M788" s="810">
        <v>17882.1089</v>
      </c>
      <c r="N788" s="810">
        <v>16906.5223</v>
      </c>
      <c r="O788" s="810" t="s">
        <v>2434</v>
      </c>
      <c r="P788" s="100" t="s">
        <v>2646</v>
      </c>
      <c r="Q788" s="100" t="s">
        <v>2677</v>
      </c>
      <c r="R788" s="100"/>
      <c r="S788" s="8"/>
    </row>
    <row r="789" ht="14.25" customHeight="1">
      <c r="A789" s="100" t="s">
        <v>2670</v>
      </c>
      <c r="B789" s="100" t="s">
        <v>2671</v>
      </c>
      <c r="C789" s="100" t="s">
        <v>2400</v>
      </c>
      <c r="D789" s="100" t="s">
        <v>2083</v>
      </c>
      <c r="E789" s="810">
        <v>1791.0</v>
      </c>
      <c r="F789" s="810">
        <v>1928.0</v>
      </c>
      <c r="G789" s="810">
        <v>2122.0</v>
      </c>
      <c r="H789" s="810">
        <v>1985.0</v>
      </c>
      <c r="I789" s="810">
        <v>1931.0</v>
      </c>
      <c r="J789" s="810">
        <v>2152.0</v>
      </c>
      <c r="K789" s="810">
        <v>2163.0</v>
      </c>
      <c r="L789" s="810">
        <v>2043.0</v>
      </c>
      <c r="M789" s="810">
        <v>2197.0</v>
      </c>
      <c r="N789" s="810">
        <v>2539.0</v>
      </c>
      <c r="O789" s="810" t="s">
        <v>2434</v>
      </c>
      <c r="P789" s="100" t="s">
        <v>2531</v>
      </c>
      <c r="Q789" s="100"/>
      <c r="R789" s="100"/>
      <c r="S789" s="8"/>
    </row>
    <row r="790" ht="14.25" customHeight="1">
      <c r="A790" s="100" t="s">
        <v>2670</v>
      </c>
      <c r="B790" s="100" t="s">
        <v>2671</v>
      </c>
      <c r="C790" s="100" t="s">
        <v>2416</v>
      </c>
      <c r="D790" s="100" t="s">
        <v>2083</v>
      </c>
      <c r="E790" s="810">
        <v>1433.783</v>
      </c>
      <c r="F790" s="810">
        <v>1415.445</v>
      </c>
      <c r="G790" s="810">
        <v>1398.977</v>
      </c>
      <c r="H790" s="810">
        <v>1399.8</v>
      </c>
      <c r="I790" s="810">
        <v>1374.9</v>
      </c>
      <c r="J790" s="810">
        <v>1284.0</v>
      </c>
      <c r="K790" s="810">
        <v>1306.292</v>
      </c>
      <c r="L790" s="810">
        <v>1461.477</v>
      </c>
      <c r="M790" s="810">
        <v>1429.436</v>
      </c>
      <c r="N790" s="810">
        <v>1406.883</v>
      </c>
      <c r="O790" s="810">
        <v>1407.074</v>
      </c>
      <c r="P790" s="100" t="s">
        <v>2577</v>
      </c>
      <c r="Q790" s="100" t="s">
        <v>2678</v>
      </c>
      <c r="R790" s="100"/>
      <c r="S790" s="8"/>
    </row>
    <row r="791" ht="14.25" customHeight="1">
      <c r="A791" s="100" t="s">
        <v>2670</v>
      </c>
      <c r="B791" s="100" t="s">
        <v>2671</v>
      </c>
      <c r="C791" s="100" t="s">
        <v>2423</v>
      </c>
      <c r="D791" s="100" t="s">
        <v>2083</v>
      </c>
      <c r="E791" s="810">
        <v>3642.0</v>
      </c>
      <c r="F791" s="810">
        <v>3587.0</v>
      </c>
      <c r="G791" s="810">
        <v>3368.0</v>
      </c>
      <c r="H791" s="810">
        <v>3415.0</v>
      </c>
      <c r="I791" s="810">
        <v>3502.0</v>
      </c>
      <c r="J791" s="810">
        <v>3195.0</v>
      </c>
      <c r="K791" s="810">
        <v>3296.0</v>
      </c>
      <c r="L791" s="810">
        <v>3279.0</v>
      </c>
      <c r="M791" s="810">
        <v>3239.0</v>
      </c>
      <c r="N791" s="810">
        <v>3227.0</v>
      </c>
      <c r="O791" s="810" t="s">
        <v>2434</v>
      </c>
      <c r="P791" s="100" t="s">
        <v>2533</v>
      </c>
      <c r="Q791" s="100"/>
      <c r="R791" s="100"/>
      <c r="S791" s="8"/>
    </row>
    <row r="792" ht="14.25" customHeight="1">
      <c r="A792" s="100" t="s">
        <v>2670</v>
      </c>
      <c r="B792" s="100" t="s">
        <v>2671</v>
      </c>
      <c r="C792" s="100" t="s">
        <v>2360</v>
      </c>
      <c r="D792" s="100" t="s">
        <v>2083</v>
      </c>
      <c r="E792" s="810">
        <v>6598.0</v>
      </c>
      <c r="F792" s="810">
        <v>7096.0</v>
      </c>
      <c r="G792" s="810">
        <v>6555.0</v>
      </c>
      <c r="H792" s="810">
        <v>6712.0</v>
      </c>
      <c r="I792" s="810">
        <v>7197.0</v>
      </c>
      <c r="J792" s="810">
        <v>7804.0</v>
      </c>
      <c r="K792" s="810">
        <v>8056.0</v>
      </c>
      <c r="L792" s="810">
        <v>7824.0</v>
      </c>
      <c r="M792" s="810">
        <v>7734.0</v>
      </c>
      <c r="N792" s="810">
        <v>7830.0</v>
      </c>
      <c r="O792" s="810" t="s">
        <v>2434</v>
      </c>
      <c r="P792" s="100" t="s">
        <v>2579</v>
      </c>
      <c r="Q792" s="100"/>
      <c r="R792" s="100"/>
      <c r="S792" s="8"/>
    </row>
    <row r="793" ht="14.25" customHeight="1">
      <c r="A793" s="100" t="s">
        <v>2670</v>
      </c>
      <c r="B793" s="100" t="s">
        <v>2671</v>
      </c>
      <c r="C793" s="100" t="s">
        <v>2535</v>
      </c>
      <c r="D793" s="100" t="s">
        <v>2083</v>
      </c>
      <c r="E793" s="810" t="s">
        <v>2434</v>
      </c>
      <c r="F793" s="810" t="s">
        <v>2434</v>
      </c>
      <c r="G793" s="810">
        <v>1264.333</v>
      </c>
      <c r="H793" s="810">
        <v>1121.538</v>
      </c>
      <c r="I793" s="810">
        <v>1122.964</v>
      </c>
      <c r="J793" s="810">
        <v>1218.213</v>
      </c>
      <c r="K793" s="810">
        <v>1311.629</v>
      </c>
      <c r="L793" s="810" t="s">
        <v>2434</v>
      </c>
      <c r="M793" s="810" t="s">
        <v>2434</v>
      </c>
      <c r="N793" s="810" t="s">
        <v>2434</v>
      </c>
      <c r="O793" s="810" t="s">
        <v>2434</v>
      </c>
      <c r="P793" s="100" t="s">
        <v>2580</v>
      </c>
      <c r="Q793" s="100"/>
      <c r="R793" s="100"/>
      <c r="S793" s="8"/>
    </row>
    <row r="794" ht="14.25" customHeight="1">
      <c r="A794" s="100" t="s">
        <v>2120</v>
      </c>
      <c r="B794" s="100" t="s">
        <v>2119</v>
      </c>
      <c r="C794" s="100" t="s">
        <v>2317</v>
      </c>
      <c r="D794" s="100" t="s">
        <v>2083</v>
      </c>
      <c r="E794" s="810" t="str">
        <f t="shared" ref="E794:O794" si="64">#REF!</f>
        <v>#REF!</v>
      </c>
      <c r="F794" s="810" t="str">
        <f t="shared" si="64"/>
        <v>#REF!</v>
      </c>
      <c r="G794" s="810" t="str">
        <f t="shared" si="64"/>
        <v>#REF!</v>
      </c>
      <c r="H794" s="810" t="str">
        <f t="shared" si="64"/>
        <v>#REF!</v>
      </c>
      <c r="I794" s="810" t="str">
        <f t="shared" si="64"/>
        <v>#REF!</v>
      </c>
      <c r="J794" s="810" t="str">
        <f t="shared" si="64"/>
        <v>#REF!</v>
      </c>
      <c r="K794" s="810" t="str">
        <f t="shared" si="64"/>
        <v>#REF!</v>
      </c>
      <c r="L794" s="810" t="str">
        <f t="shared" si="64"/>
        <v>#REF!</v>
      </c>
      <c r="M794" s="810" t="str">
        <f t="shared" si="64"/>
        <v>#REF!</v>
      </c>
      <c r="N794" s="810" t="str">
        <f t="shared" si="64"/>
        <v>#REF!</v>
      </c>
      <c r="O794" s="810" t="str">
        <f t="shared" si="64"/>
        <v>#REF!</v>
      </c>
      <c r="P794" s="100" t="s">
        <v>2549</v>
      </c>
      <c r="Q794" s="100"/>
      <c r="R794" s="8"/>
      <c r="S794" s="8"/>
    </row>
    <row r="795" ht="14.25" customHeight="1">
      <c r="A795" s="100" t="str">
        <f t="shared" ref="A795:B795" si="65">A794</f>
        <v>prdpat</v>
      </c>
      <c r="B795" s="100" t="str">
        <f t="shared" si="65"/>
        <v>Production of pulp</v>
      </c>
      <c r="C795" s="100" t="s">
        <v>2507</v>
      </c>
      <c r="D795" s="100" t="str">
        <f>D794</f>
        <v>kt</v>
      </c>
      <c r="E795" s="810" t="str">
        <f t="shared" ref="E795:O795" si="66">#REF!</f>
        <v>#REF!</v>
      </c>
      <c r="F795" s="810" t="str">
        <f t="shared" si="66"/>
        <v>#REF!</v>
      </c>
      <c r="G795" s="810" t="str">
        <f t="shared" si="66"/>
        <v>#REF!</v>
      </c>
      <c r="H795" s="810" t="str">
        <f t="shared" si="66"/>
        <v>#REF!</v>
      </c>
      <c r="I795" s="810" t="str">
        <f t="shared" si="66"/>
        <v>#REF!</v>
      </c>
      <c r="J795" s="810" t="str">
        <f t="shared" si="66"/>
        <v>#REF!</v>
      </c>
      <c r="K795" s="810" t="str">
        <f t="shared" si="66"/>
        <v>#REF!</v>
      </c>
      <c r="L795" s="810" t="str">
        <f t="shared" si="66"/>
        <v>#REF!</v>
      </c>
      <c r="M795" s="810" t="str">
        <f t="shared" si="66"/>
        <v>#REF!</v>
      </c>
      <c r="N795" s="810" t="str">
        <f t="shared" si="66"/>
        <v>#REF!</v>
      </c>
      <c r="O795" s="810" t="str">
        <f t="shared" si="66"/>
        <v>#REF!</v>
      </c>
      <c r="P795" s="100"/>
      <c r="Q795" s="100"/>
      <c r="R795" s="8"/>
      <c r="S795" s="8"/>
    </row>
    <row r="796" ht="14.25" customHeight="1">
      <c r="A796" s="100" t="s">
        <v>2120</v>
      </c>
      <c r="B796" s="100" t="s">
        <v>2119</v>
      </c>
      <c r="C796" s="100" t="s">
        <v>2325</v>
      </c>
      <c r="D796" s="100" t="s">
        <v>2083</v>
      </c>
      <c r="E796" s="810">
        <v>1984.491</v>
      </c>
      <c r="F796" s="810">
        <v>2005.465</v>
      </c>
      <c r="G796" s="810">
        <v>2026.91</v>
      </c>
      <c r="H796" s="810">
        <v>1987.355</v>
      </c>
      <c r="I796" s="810">
        <v>1943.78</v>
      </c>
      <c r="J796" s="810">
        <v>1812.0</v>
      </c>
      <c r="K796" s="810">
        <v>2116.306</v>
      </c>
      <c r="L796" s="810">
        <v>2056.062</v>
      </c>
      <c r="M796" s="810">
        <v>2083.266</v>
      </c>
      <c r="N796" s="810">
        <v>2090.269</v>
      </c>
      <c r="O796" s="810" t="s">
        <v>2434</v>
      </c>
      <c r="P796" s="100" t="s">
        <v>2582</v>
      </c>
      <c r="Q796" s="100"/>
      <c r="R796" s="8"/>
      <c r="S796" s="8"/>
    </row>
    <row r="797" ht="14.25" customHeight="1">
      <c r="A797" s="100" t="s">
        <v>2120</v>
      </c>
      <c r="B797" s="100" t="s">
        <v>2119</v>
      </c>
      <c r="C797" s="100" t="s">
        <v>2329</v>
      </c>
      <c r="D797" s="100" t="s">
        <v>2083</v>
      </c>
      <c r="E797" s="810">
        <v>498.0</v>
      </c>
      <c r="F797" s="810">
        <v>503.0</v>
      </c>
      <c r="G797" s="810">
        <v>495.0</v>
      </c>
      <c r="H797" s="810">
        <v>501.0</v>
      </c>
      <c r="I797" s="810">
        <v>502.0</v>
      </c>
      <c r="J797" s="810">
        <v>492.0</v>
      </c>
      <c r="K797" s="810">
        <v>500.0</v>
      </c>
      <c r="L797" s="810">
        <v>501.0</v>
      </c>
      <c r="M797" s="810">
        <v>515.0</v>
      </c>
      <c r="N797" s="810">
        <v>453.0</v>
      </c>
      <c r="O797" s="810" t="s">
        <v>2434</v>
      </c>
      <c r="P797" s="100" t="s">
        <v>2583</v>
      </c>
      <c r="Q797" s="100" t="s">
        <v>2584</v>
      </c>
      <c r="R797" s="8"/>
      <c r="S797" s="8"/>
    </row>
    <row r="798" ht="14.25" customHeight="1">
      <c r="A798" s="100" t="s">
        <v>2120</v>
      </c>
      <c r="B798" s="100" t="s">
        <v>2119</v>
      </c>
      <c r="C798" s="100" t="s">
        <v>2333</v>
      </c>
      <c r="D798" s="100"/>
      <c r="E798" s="810" t="s">
        <v>2434</v>
      </c>
      <c r="F798" s="810" t="s">
        <v>2434</v>
      </c>
      <c r="G798" s="810" t="s">
        <v>2434</v>
      </c>
      <c r="H798" s="810" t="s">
        <v>2434</v>
      </c>
      <c r="I798" s="810" t="s">
        <v>2434</v>
      </c>
      <c r="J798" s="810" t="s">
        <v>2434</v>
      </c>
      <c r="K798" s="810" t="s">
        <v>2434</v>
      </c>
      <c r="L798" s="810" t="s">
        <v>2434</v>
      </c>
      <c r="M798" s="810" t="s">
        <v>2434</v>
      </c>
      <c r="N798" s="810" t="s">
        <v>2434</v>
      </c>
      <c r="O798" s="810" t="s">
        <v>2434</v>
      </c>
      <c r="P798" s="100"/>
      <c r="Q798" s="100"/>
      <c r="R798" s="8"/>
      <c r="S798" s="8"/>
    </row>
    <row r="799" ht="14.25" customHeight="1">
      <c r="A799" s="100" t="s">
        <v>2120</v>
      </c>
      <c r="B799" s="100" t="s">
        <v>2119</v>
      </c>
      <c r="C799" s="100" t="s">
        <v>2364</v>
      </c>
      <c r="D799" s="100"/>
      <c r="E799" s="810" t="s">
        <v>2434</v>
      </c>
      <c r="F799" s="810" t="s">
        <v>2434</v>
      </c>
      <c r="G799" s="810" t="s">
        <v>2434</v>
      </c>
      <c r="H799" s="810" t="s">
        <v>2434</v>
      </c>
      <c r="I799" s="810" t="s">
        <v>2434</v>
      </c>
      <c r="J799" s="810" t="s">
        <v>2434</v>
      </c>
      <c r="K799" s="810" t="s">
        <v>2434</v>
      </c>
      <c r="L799" s="810" t="s">
        <v>2434</v>
      </c>
      <c r="M799" s="810" t="s">
        <v>2434</v>
      </c>
      <c r="N799" s="810" t="s">
        <v>2434</v>
      </c>
      <c r="O799" s="810" t="s">
        <v>2434</v>
      </c>
      <c r="P799" s="100"/>
      <c r="Q799" s="100"/>
      <c r="R799" s="8"/>
      <c r="S799" s="8"/>
    </row>
    <row r="800" ht="14.25" customHeight="1">
      <c r="A800" s="100" t="s">
        <v>2120</v>
      </c>
      <c r="B800" s="100" t="s">
        <v>2119</v>
      </c>
      <c r="C800" s="100" t="s">
        <v>2337</v>
      </c>
      <c r="D800" s="100" t="s">
        <v>2083</v>
      </c>
      <c r="E800" s="810">
        <v>0.0</v>
      </c>
      <c r="F800" s="810">
        <v>0.0</v>
      </c>
      <c r="G800" s="810">
        <v>0.0</v>
      </c>
      <c r="H800" s="810">
        <v>0.0</v>
      </c>
      <c r="I800" s="810">
        <v>0.0</v>
      </c>
      <c r="J800" s="810">
        <v>0.0</v>
      </c>
      <c r="K800" s="810">
        <v>0.0</v>
      </c>
      <c r="L800" s="810">
        <v>0.0</v>
      </c>
      <c r="M800" s="810">
        <v>0.0</v>
      </c>
      <c r="N800" s="810">
        <v>0.0</v>
      </c>
      <c r="O800" s="810">
        <v>0.0</v>
      </c>
      <c r="P800" s="100" t="s">
        <v>2512</v>
      </c>
      <c r="Q800" s="100"/>
      <c r="R800" s="8"/>
      <c r="S800" s="8"/>
    </row>
    <row r="801" ht="14.25" customHeight="1">
      <c r="A801" s="100" t="s">
        <v>2120</v>
      </c>
      <c r="B801" s="100" t="s">
        <v>2119</v>
      </c>
      <c r="C801" s="100" t="s">
        <v>2341</v>
      </c>
      <c r="D801" s="100" t="s">
        <v>2083</v>
      </c>
      <c r="E801" s="810">
        <v>718.0</v>
      </c>
      <c r="F801" s="810">
        <v>699.5</v>
      </c>
      <c r="G801" s="810">
        <v>689.0</v>
      </c>
      <c r="H801" s="810">
        <v>456.0</v>
      </c>
      <c r="I801" s="810">
        <v>442.0</v>
      </c>
      <c r="J801" s="810">
        <v>431.229</v>
      </c>
      <c r="K801" s="810">
        <v>444.951</v>
      </c>
      <c r="L801" s="810">
        <v>452.218</v>
      </c>
      <c r="M801" s="810">
        <v>343.284</v>
      </c>
      <c r="N801" s="810">
        <v>553.307</v>
      </c>
      <c r="O801" s="810" t="s">
        <v>2434</v>
      </c>
      <c r="P801" s="100" t="s">
        <v>2586</v>
      </c>
      <c r="Q801" s="100"/>
      <c r="R801" s="8"/>
      <c r="S801" s="8"/>
    </row>
    <row r="802" ht="14.25" customHeight="1">
      <c r="A802" s="100" t="s">
        <v>2120</v>
      </c>
      <c r="B802" s="100" t="s">
        <v>2119</v>
      </c>
      <c r="C802" s="100" t="s">
        <v>2348</v>
      </c>
      <c r="D802" s="100"/>
      <c r="E802" s="810" t="s">
        <v>2434</v>
      </c>
      <c r="F802" s="810" t="s">
        <v>2434</v>
      </c>
      <c r="G802" s="810" t="s">
        <v>2434</v>
      </c>
      <c r="H802" s="810" t="s">
        <v>2434</v>
      </c>
      <c r="I802" s="810" t="s">
        <v>2434</v>
      </c>
      <c r="J802" s="810" t="s">
        <v>2434</v>
      </c>
      <c r="K802" s="810" t="s">
        <v>2434</v>
      </c>
      <c r="L802" s="810" t="s">
        <v>2434</v>
      </c>
      <c r="M802" s="810" t="s">
        <v>2434</v>
      </c>
      <c r="N802" s="810" t="s">
        <v>2434</v>
      </c>
      <c r="O802" s="810" t="s">
        <v>2434</v>
      </c>
      <c r="P802" s="100"/>
      <c r="Q802" s="100"/>
      <c r="R802" s="8"/>
      <c r="S802" s="8"/>
    </row>
    <row r="803" ht="14.25" customHeight="1">
      <c r="A803" s="100" t="s">
        <v>2120</v>
      </c>
      <c r="B803" s="100" t="s">
        <v>2119</v>
      </c>
      <c r="C803" s="100" t="s">
        <v>2350</v>
      </c>
      <c r="D803" s="100" t="s">
        <v>2083</v>
      </c>
      <c r="E803" s="810">
        <v>220.8</v>
      </c>
      <c r="F803" s="810">
        <v>221.4</v>
      </c>
      <c r="G803" s="810">
        <v>232.8</v>
      </c>
      <c r="H803" s="810">
        <v>223.8</v>
      </c>
      <c r="I803" s="810">
        <v>239.248</v>
      </c>
      <c r="J803" s="810">
        <v>247.732</v>
      </c>
      <c r="K803" s="810">
        <v>244.0</v>
      </c>
      <c r="L803" s="810">
        <v>241.882</v>
      </c>
      <c r="M803" s="810">
        <v>233.93</v>
      </c>
      <c r="N803" s="810">
        <v>222.29</v>
      </c>
      <c r="O803" s="810" t="s">
        <v>2434</v>
      </c>
      <c r="P803" s="100" t="s">
        <v>2400</v>
      </c>
      <c r="Q803" s="100"/>
      <c r="R803" s="8"/>
      <c r="S803" s="8"/>
    </row>
    <row r="804" ht="14.25" customHeight="1">
      <c r="A804" s="100" t="s">
        <v>2120</v>
      </c>
      <c r="B804" s="100" t="s">
        <v>2119</v>
      </c>
      <c r="C804" s="100" t="s">
        <v>2354</v>
      </c>
      <c r="D804" s="100" t="s">
        <v>2083</v>
      </c>
      <c r="E804" s="810">
        <v>10873.0</v>
      </c>
      <c r="F804" s="810">
        <v>10653.0</v>
      </c>
      <c r="G804" s="810">
        <v>10340.0</v>
      </c>
      <c r="H804" s="810">
        <v>10659.0</v>
      </c>
      <c r="I804" s="810">
        <v>10658.0</v>
      </c>
      <c r="J804" s="810">
        <v>9470.0</v>
      </c>
      <c r="K804" s="810">
        <v>9487.0</v>
      </c>
      <c r="L804" s="810">
        <v>9777.0</v>
      </c>
      <c r="M804" s="810">
        <v>10262.0</v>
      </c>
      <c r="N804" s="810">
        <v>10381.0</v>
      </c>
      <c r="O804" s="810" t="s">
        <v>2434</v>
      </c>
      <c r="P804" s="100" t="s">
        <v>2556</v>
      </c>
      <c r="Q804" s="100" t="s">
        <v>2679</v>
      </c>
      <c r="R804" s="8"/>
      <c r="S804" s="8"/>
    </row>
    <row r="805" ht="14.25" customHeight="1">
      <c r="A805" s="100" t="s">
        <v>2120</v>
      </c>
      <c r="B805" s="100" t="s">
        <v>2119</v>
      </c>
      <c r="C805" s="100" t="s">
        <v>2356</v>
      </c>
      <c r="D805" s="100" t="s">
        <v>2083</v>
      </c>
      <c r="E805" s="810">
        <v>1919.2</v>
      </c>
      <c r="F805" s="810">
        <v>1926.6</v>
      </c>
      <c r="G805" s="810">
        <v>1815.0</v>
      </c>
      <c r="H805" s="810">
        <v>1699.0</v>
      </c>
      <c r="I805" s="810">
        <v>1655.0</v>
      </c>
      <c r="J805" s="810">
        <v>1725.0</v>
      </c>
      <c r="K805" s="810">
        <v>1720.0</v>
      </c>
      <c r="L805" s="810">
        <v>1713.0</v>
      </c>
      <c r="M805" s="810">
        <v>1613.0</v>
      </c>
      <c r="N805" s="810">
        <v>1626.2</v>
      </c>
      <c r="O805" s="810" t="s">
        <v>2434</v>
      </c>
      <c r="P805" s="100" t="s">
        <v>2587</v>
      </c>
      <c r="Q805" s="100"/>
      <c r="R805" s="8"/>
      <c r="S805" s="8"/>
    </row>
    <row r="806" ht="14.25" customHeight="1">
      <c r="A806" s="100" t="s">
        <v>2120</v>
      </c>
      <c r="B806" s="100" t="s">
        <v>2119</v>
      </c>
      <c r="C806" s="100" t="s">
        <v>2344</v>
      </c>
      <c r="D806" s="100" t="s">
        <v>2083</v>
      </c>
      <c r="E806" s="810">
        <v>2936.0</v>
      </c>
      <c r="F806" s="810">
        <v>2725.0</v>
      </c>
      <c r="G806" s="810">
        <v>2636.0</v>
      </c>
      <c r="H806" s="810">
        <v>2609.0</v>
      </c>
      <c r="I806" s="810">
        <v>2597.0</v>
      </c>
      <c r="J806" s="810">
        <v>2554.0</v>
      </c>
      <c r="K806" s="810">
        <v>2485.0</v>
      </c>
      <c r="L806" s="810">
        <v>2472.0</v>
      </c>
      <c r="M806" s="810">
        <v>2458.0</v>
      </c>
      <c r="N806" s="810">
        <v>2379.0</v>
      </c>
      <c r="O806" s="810" t="s">
        <v>2434</v>
      </c>
      <c r="P806" s="100" t="s">
        <v>2588</v>
      </c>
      <c r="Q806" s="100"/>
      <c r="R806" s="8"/>
      <c r="S806" s="8"/>
    </row>
    <row r="807" ht="14.25" customHeight="1">
      <c r="A807" s="100" t="s">
        <v>2120</v>
      </c>
      <c r="B807" s="100" t="s">
        <v>2119</v>
      </c>
      <c r="C807" s="100" t="s">
        <v>2362</v>
      </c>
      <c r="D807" s="100"/>
      <c r="E807" s="810" t="s">
        <v>2434</v>
      </c>
      <c r="F807" s="810" t="s">
        <v>2434</v>
      </c>
      <c r="G807" s="810" t="s">
        <v>2434</v>
      </c>
      <c r="H807" s="810" t="s">
        <v>2434</v>
      </c>
      <c r="I807" s="810" t="s">
        <v>2434</v>
      </c>
      <c r="J807" s="810" t="s">
        <v>2434</v>
      </c>
      <c r="K807" s="810" t="s">
        <v>2434</v>
      </c>
      <c r="L807" s="810" t="s">
        <v>2434</v>
      </c>
      <c r="M807" s="810" t="s">
        <v>2434</v>
      </c>
      <c r="N807" s="810" t="s">
        <v>2434</v>
      </c>
      <c r="O807" s="810" t="s">
        <v>2434</v>
      </c>
      <c r="P807" s="100"/>
      <c r="Q807" s="100"/>
      <c r="R807" s="8"/>
      <c r="S807" s="8"/>
    </row>
    <row r="808" ht="14.25" customHeight="1">
      <c r="A808" s="100" t="s">
        <v>2120</v>
      </c>
      <c r="B808" s="100" t="s">
        <v>2119</v>
      </c>
      <c r="C808" s="100" t="s">
        <v>2367</v>
      </c>
      <c r="D808" s="100" t="s">
        <v>2083</v>
      </c>
      <c r="E808" s="810">
        <v>15.0</v>
      </c>
      <c r="F808" s="810">
        <v>18.0</v>
      </c>
      <c r="G808" s="810">
        <v>18.0</v>
      </c>
      <c r="H808" s="810">
        <v>19.0</v>
      </c>
      <c r="I808" s="810">
        <v>23.0</v>
      </c>
      <c r="J808" s="810">
        <v>19.0</v>
      </c>
      <c r="K808" s="810">
        <v>21.0</v>
      </c>
      <c r="L808" s="810">
        <v>21.0</v>
      </c>
      <c r="M808" s="810">
        <v>21.0</v>
      </c>
      <c r="N808" s="810">
        <v>24.0</v>
      </c>
      <c r="O808" s="810" t="s">
        <v>2434</v>
      </c>
      <c r="P808" s="100" t="s">
        <v>2562</v>
      </c>
      <c r="Q808" s="100"/>
      <c r="R808" s="8"/>
      <c r="S808" s="8"/>
    </row>
    <row r="809" ht="14.25" customHeight="1">
      <c r="A809" s="100" t="s">
        <v>2120</v>
      </c>
      <c r="B809" s="100" t="s">
        <v>2119</v>
      </c>
      <c r="C809" s="100" t="s">
        <v>2369</v>
      </c>
      <c r="D809" s="100" t="s">
        <v>2083</v>
      </c>
      <c r="E809" s="810">
        <v>0.0</v>
      </c>
      <c r="F809" s="810">
        <v>0.0</v>
      </c>
      <c r="G809" s="810">
        <v>0.0</v>
      </c>
      <c r="H809" s="810">
        <v>0.0</v>
      </c>
      <c r="I809" s="810">
        <v>0.0</v>
      </c>
      <c r="J809" s="810" t="s">
        <v>2434</v>
      </c>
      <c r="K809" s="810" t="s">
        <v>2434</v>
      </c>
      <c r="L809" s="810" t="s">
        <v>2434</v>
      </c>
      <c r="M809" s="810" t="s">
        <v>2434</v>
      </c>
      <c r="N809" s="810" t="s">
        <v>2434</v>
      </c>
      <c r="O809" s="810" t="s">
        <v>2434</v>
      </c>
      <c r="P809" s="100" t="s">
        <v>2519</v>
      </c>
      <c r="Q809" s="100"/>
      <c r="R809" s="8"/>
      <c r="S809" s="8"/>
    </row>
    <row r="810" ht="14.25" customHeight="1">
      <c r="A810" s="100" t="s">
        <v>2120</v>
      </c>
      <c r="B810" s="100" t="s">
        <v>2119</v>
      </c>
      <c r="C810" s="100" t="s">
        <v>2374</v>
      </c>
      <c r="D810" s="100" t="s">
        <v>2083</v>
      </c>
      <c r="E810" s="810">
        <v>599.116</v>
      </c>
      <c r="F810" s="810">
        <v>617.023</v>
      </c>
      <c r="G810" s="810">
        <v>607.052</v>
      </c>
      <c r="H810" s="810">
        <v>612.748</v>
      </c>
      <c r="I810" s="810">
        <v>641.896</v>
      </c>
      <c r="J810" s="810">
        <v>627.899</v>
      </c>
      <c r="K810" s="810">
        <v>623.016</v>
      </c>
      <c r="L810" s="810">
        <v>619.1799</v>
      </c>
      <c r="M810" s="810">
        <v>599.0735</v>
      </c>
      <c r="N810" s="825">
        <v>562.0298</v>
      </c>
      <c r="O810" s="810" t="s">
        <v>2434</v>
      </c>
      <c r="P810" s="100" t="s">
        <v>2680</v>
      </c>
      <c r="Q810" s="100" t="s">
        <v>2681</v>
      </c>
      <c r="R810" s="8"/>
      <c r="S810" s="8"/>
    </row>
    <row r="811" ht="14.25" customHeight="1">
      <c r="A811" s="100" t="s">
        <v>2120</v>
      </c>
      <c r="B811" s="100" t="s">
        <v>2119</v>
      </c>
      <c r="C811" s="100" t="s">
        <v>2386</v>
      </c>
      <c r="D811" s="100" t="s">
        <v>2083</v>
      </c>
      <c r="E811" s="810">
        <v>0.0</v>
      </c>
      <c r="F811" s="810">
        <v>0.0</v>
      </c>
      <c r="G811" s="810">
        <v>0.0</v>
      </c>
      <c r="H811" s="810">
        <v>0.0</v>
      </c>
      <c r="I811" s="810">
        <v>0.0</v>
      </c>
      <c r="J811" s="810">
        <v>0.0</v>
      </c>
      <c r="K811" s="810">
        <v>0.0</v>
      </c>
      <c r="L811" s="810">
        <v>0.0</v>
      </c>
      <c r="M811" s="810">
        <v>0.0</v>
      </c>
      <c r="N811" s="810">
        <v>0.0</v>
      </c>
      <c r="O811" s="810" t="s">
        <v>2434</v>
      </c>
      <c r="P811" s="100" t="s">
        <v>2592</v>
      </c>
      <c r="Q811" s="100"/>
      <c r="R811" s="8"/>
      <c r="S811" s="8"/>
    </row>
    <row r="812" ht="14.25" customHeight="1">
      <c r="A812" s="100" t="s">
        <v>2120</v>
      </c>
      <c r="B812" s="100" t="s">
        <v>2119</v>
      </c>
      <c r="C812" s="100" t="s">
        <v>2378</v>
      </c>
      <c r="D812" s="100"/>
      <c r="E812" s="810" t="s">
        <v>2434</v>
      </c>
      <c r="F812" s="810" t="s">
        <v>2434</v>
      </c>
      <c r="G812" s="810" t="s">
        <v>2434</v>
      </c>
      <c r="H812" s="810" t="s">
        <v>2434</v>
      </c>
      <c r="I812" s="810" t="s">
        <v>2434</v>
      </c>
      <c r="J812" s="810" t="s">
        <v>2434</v>
      </c>
      <c r="K812" s="810" t="s">
        <v>2434</v>
      </c>
      <c r="L812" s="810" t="s">
        <v>2434</v>
      </c>
      <c r="M812" s="810" t="s">
        <v>2434</v>
      </c>
      <c r="N812" s="810" t="s">
        <v>2434</v>
      </c>
      <c r="O812" s="810" t="s">
        <v>2434</v>
      </c>
      <c r="P812" s="100"/>
      <c r="Q812" s="100"/>
      <c r="R812" s="8"/>
      <c r="S812" s="8"/>
    </row>
    <row r="813" ht="14.25" customHeight="1">
      <c r="A813" s="100" t="s">
        <v>2120</v>
      </c>
      <c r="B813" s="100" t="s">
        <v>2119</v>
      </c>
      <c r="C813" s="100" t="s">
        <v>2383</v>
      </c>
      <c r="D813" s="100"/>
      <c r="E813" s="810" t="s">
        <v>2434</v>
      </c>
      <c r="F813" s="810" t="s">
        <v>2434</v>
      </c>
      <c r="G813" s="810" t="s">
        <v>2434</v>
      </c>
      <c r="H813" s="810" t="s">
        <v>2434</v>
      </c>
      <c r="I813" s="810" t="s">
        <v>2434</v>
      </c>
      <c r="J813" s="810" t="s">
        <v>2434</v>
      </c>
      <c r="K813" s="810" t="s">
        <v>2434</v>
      </c>
      <c r="L813" s="810" t="s">
        <v>2434</v>
      </c>
      <c r="M813" s="810" t="s">
        <v>2434</v>
      </c>
      <c r="N813" s="810" t="s">
        <v>2434</v>
      </c>
      <c r="O813" s="810" t="s">
        <v>2434</v>
      </c>
      <c r="P813" s="100"/>
      <c r="Q813" s="100"/>
      <c r="R813" s="8"/>
      <c r="S813" s="8"/>
    </row>
    <row r="814" ht="14.25" customHeight="1">
      <c r="A814" s="100" t="s">
        <v>2120</v>
      </c>
      <c r="B814" s="100" t="s">
        <v>2119</v>
      </c>
      <c r="C814" s="100" t="s">
        <v>2389</v>
      </c>
      <c r="D814" s="100"/>
      <c r="E814" s="810" t="s">
        <v>2434</v>
      </c>
      <c r="F814" s="810" t="s">
        <v>2434</v>
      </c>
      <c r="G814" s="810" t="s">
        <v>2434</v>
      </c>
      <c r="H814" s="810" t="s">
        <v>2434</v>
      </c>
      <c r="I814" s="810" t="s">
        <v>2434</v>
      </c>
      <c r="J814" s="810" t="s">
        <v>2434</v>
      </c>
      <c r="K814" s="810" t="s">
        <v>2434</v>
      </c>
      <c r="L814" s="810" t="s">
        <v>2434</v>
      </c>
      <c r="M814" s="810" t="s">
        <v>2434</v>
      </c>
      <c r="N814" s="810" t="s">
        <v>2434</v>
      </c>
      <c r="O814" s="810" t="s">
        <v>2434</v>
      </c>
      <c r="P814" s="100"/>
      <c r="Q814" s="100"/>
      <c r="R814" s="8"/>
      <c r="S814" s="8"/>
    </row>
    <row r="815" ht="14.25" customHeight="1">
      <c r="A815" s="100" t="s">
        <v>2120</v>
      </c>
      <c r="B815" s="100" t="s">
        <v>2119</v>
      </c>
      <c r="C815" s="100" t="s">
        <v>2391</v>
      </c>
      <c r="D815" s="100" t="s">
        <v>2083</v>
      </c>
      <c r="E815" s="810">
        <v>96.855</v>
      </c>
      <c r="F815" s="810">
        <v>34.0</v>
      </c>
      <c r="G815" s="810">
        <v>39.4</v>
      </c>
      <c r="H815" s="810">
        <v>40.6</v>
      </c>
      <c r="I815" s="810">
        <v>44.0</v>
      </c>
      <c r="J815" s="810">
        <v>44.2</v>
      </c>
      <c r="K815" s="810">
        <v>29.0</v>
      </c>
      <c r="L815" s="810">
        <v>37.4</v>
      </c>
      <c r="M815" s="810">
        <v>37.0</v>
      </c>
      <c r="N815" s="810">
        <v>34.0</v>
      </c>
      <c r="O815" s="810" t="s">
        <v>2434</v>
      </c>
      <c r="P815" s="100" t="s">
        <v>2586</v>
      </c>
      <c r="Q815" s="100"/>
      <c r="R815" s="8"/>
      <c r="S815" s="8"/>
    </row>
    <row r="816" ht="14.25" customHeight="1">
      <c r="A816" s="100" t="s">
        <v>2120</v>
      </c>
      <c r="B816" s="100" t="s">
        <v>2119</v>
      </c>
      <c r="C816" s="100" t="s">
        <v>2393</v>
      </c>
      <c r="D816" s="100" t="s">
        <v>2083</v>
      </c>
      <c r="E816" s="810">
        <v>1179.755</v>
      </c>
      <c r="F816" s="810">
        <v>1210.36</v>
      </c>
      <c r="G816" s="810">
        <v>1151.5</v>
      </c>
      <c r="H816" s="810">
        <v>1216.011</v>
      </c>
      <c r="I816" s="810">
        <v>1181.435</v>
      </c>
      <c r="J816" s="810">
        <v>1159.742</v>
      </c>
      <c r="K816" s="810">
        <v>1180.574</v>
      </c>
      <c r="L816" s="810">
        <v>1236.258</v>
      </c>
      <c r="M816" s="810">
        <v>1236.261</v>
      </c>
      <c r="N816" s="810">
        <v>1206.0</v>
      </c>
      <c r="O816" s="810" t="s">
        <v>2434</v>
      </c>
      <c r="P816" s="100" t="s">
        <v>2586</v>
      </c>
      <c r="Q816" s="100"/>
      <c r="R816" s="8"/>
      <c r="S816" s="8"/>
    </row>
    <row r="817" ht="14.25" customHeight="1">
      <c r="A817" s="100" t="s">
        <v>2120</v>
      </c>
      <c r="B817" s="100" t="s">
        <v>2119</v>
      </c>
      <c r="C817" s="100" t="s">
        <v>2395</v>
      </c>
      <c r="D817" s="100" t="s">
        <v>2083</v>
      </c>
      <c r="E817" s="810">
        <v>2263.4</v>
      </c>
      <c r="F817" s="810">
        <v>2445.0</v>
      </c>
      <c r="G817" s="810">
        <v>2488.7</v>
      </c>
      <c r="H817" s="810">
        <v>2621.0</v>
      </c>
      <c r="I817" s="810">
        <v>2631.0</v>
      </c>
      <c r="J817" s="810">
        <v>2662.0</v>
      </c>
      <c r="K817" s="810">
        <v>2729.0</v>
      </c>
      <c r="L817" s="810">
        <v>2753.0</v>
      </c>
      <c r="M817" s="810">
        <v>2773.0</v>
      </c>
      <c r="N817" s="810">
        <v>2754.0</v>
      </c>
      <c r="O817" s="810" t="s">
        <v>2434</v>
      </c>
      <c r="P817" s="100" t="s">
        <v>2594</v>
      </c>
      <c r="Q817" s="100"/>
      <c r="R817" s="8"/>
      <c r="S817" s="8"/>
    </row>
    <row r="818" ht="14.25" customHeight="1">
      <c r="A818" s="100" t="s">
        <v>2120</v>
      </c>
      <c r="B818" s="100" t="s">
        <v>2119</v>
      </c>
      <c r="C818" s="100" t="s">
        <v>2397</v>
      </c>
      <c r="D818" s="100" t="s">
        <v>2083</v>
      </c>
      <c r="E818" s="810">
        <v>0.0</v>
      </c>
      <c r="F818" s="810">
        <v>0.0</v>
      </c>
      <c r="G818" s="810">
        <v>0.0</v>
      </c>
      <c r="H818" s="810">
        <v>0.0</v>
      </c>
      <c r="I818" s="810">
        <v>0.0</v>
      </c>
      <c r="J818" s="810">
        <v>0.0</v>
      </c>
      <c r="K818" s="810">
        <v>0.0</v>
      </c>
      <c r="L818" s="810">
        <v>3.0</v>
      </c>
      <c r="M818" s="810">
        <v>25.0</v>
      </c>
      <c r="N818" s="810">
        <v>0.0</v>
      </c>
      <c r="O818" s="810" t="s">
        <v>2434</v>
      </c>
      <c r="P818" s="100" t="s">
        <v>2682</v>
      </c>
      <c r="Q818" s="100" t="s">
        <v>2683</v>
      </c>
      <c r="R818" s="8"/>
      <c r="S818" s="8"/>
    </row>
    <row r="819" ht="14.25" customHeight="1">
      <c r="A819" s="100" t="s">
        <v>2120</v>
      </c>
      <c r="B819" s="100" t="s">
        <v>2119</v>
      </c>
      <c r="C819" s="100" t="s">
        <v>2411</v>
      </c>
      <c r="D819" s="100" t="s">
        <v>2083</v>
      </c>
      <c r="E819" s="810">
        <v>637.36</v>
      </c>
      <c r="F819" s="810">
        <v>715.25</v>
      </c>
      <c r="G819" s="810">
        <v>710.0</v>
      </c>
      <c r="H819" s="810">
        <v>700.0</v>
      </c>
      <c r="I819" s="810">
        <v>718.0</v>
      </c>
      <c r="J819" s="810">
        <v>707.343</v>
      </c>
      <c r="K819" s="810">
        <v>698.5</v>
      </c>
      <c r="L819" s="810">
        <v>728.132</v>
      </c>
      <c r="M819" s="810">
        <v>687.861</v>
      </c>
      <c r="N819" s="810">
        <v>654.004</v>
      </c>
      <c r="O819" s="810" t="s">
        <v>2434</v>
      </c>
      <c r="P819" s="100" t="s">
        <v>2586</v>
      </c>
      <c r="Q819" s="100"/>
      <c r="R819" s="8"/>
      <c r="S819" s="8"/>
    </row>
    <row r="820" ht="14.25" customHeight="1">
      <c r="A820" s="100" t="s">
        <v>2120</v>
      </c>
      <c r="B820" s="100" t="s">
        <v>2119</v>
      </c>
      <c r="C820" s="100" t="s">
        <v>2406</v>
      </c>
      <c r="D820" s="100" t="s">
        <v>2083</v>
      </c>
      <c r="E820" s="810">
        <v>43.0</v>
      </c>
      <c r="F820" s="810">
        <v>43.0</v>
      </c>
      <c r="G820" s="810">
        <v>58.0</v>
      </c>
      <c r="H820" s="810">
        <v>75.372</v>
      </c>
      <c r="I820" s="810">
        <v>80.0</v>
      </c>
      <c r="J820" s="810">
        <v>90.0</v>
      </c>
      <c r="K820" s="810">
        <v>85.0</v>
      </c>
      <c r="L820" s="810">
        <v>93.4</v>
      </c>
      <c r="M820" s="810">
        <v>92.0</v>
      </c>
      <c r="N820" s="810">
        <v>89.0</v>
      </c>
      <c r="O820" s="810" t="s">
        <v>2434</v>
      </c>
      <c r="P820" s="100" t="s">
        <v>2684</v>
      </c>
      <c r="Q820" s="100" t="s">
        <v>2685</v>
      </c>
      <c r="R820" s="8"/>
      <c r="S820" s="8"/>
    </row>
    <row r="821" ht="14.25" customHeight="1">
      <c r="A821" s="100" t="s">
        <v>2120</v>
      </c>
      <c r="B821" s="100" t="s">
        <v>2119</v>
      </c>
      <c r="C821" s="100" t="s">
        <v>2352</v>
      </c>
      <c r="D821" s="100" t="s">
        <v>2083</v>
      </c>
      <c r="E821" s="810">
        <v>1864.9</v>
      </c>
      <c r="F821" s="810">
        <v>1976.0</v>
      </c>
      <c r="G821" s="810">
        <v>1980.55</v>
      </c>
      <c r="H821" s="810">
        <v>1976.461</v>
      </c>
      <c r="I821" s="810">
        <v>1863.3</v>
      </c>
      <c r="J821" s="810">
        <v>1640.9</v>
      </c>
      <c r="K821" s="810">
        <v>1676.5</v>
      </c>
      <c r="L821" s="810">
        <v>1699.5</v>
      </c>
      <c r="M821" s="810">
        <v>1713.1</v>
      </c>
      <c r="N821" s="810">
        <v>1656.7</v>
      </c>
      <c r="O821" s="810" t="s">
        <v>2434</v>
      </c>
      <c r="P821" s="100" t="s">
        <v>2597</v>
      </c>
      <c r="Q821" s="100"/>
      <c r="R821" s="8"/>
      <c r="S821" s="8"/>
    </row>
    <row r="822" ht="14.25" customHeight="1">
      <c r="A822" s="100" t="s">
        <v>2120</v>
      </c>
      <c r="B822" s="100" t="s">
        <v>2119</v>
      </c>
      <c r="C822" s="100" t="s">
        <v>2400</v>
      </c>
      <c r="D822" s="100" t="s">
        <v>2083</v>
      </c>
      <c r="E822" s="810">
        <v>11865.0</v>
      </c>
      <c r="F822" s="810">
        <v>11858.0</v>
      </c>
      <c r="G822" s="810">
        <v>12032.0</v>
      </c>
      <c r="H822" s="810">
        <v>11725.0</v>
      </c>
      <c r="I822" s="810">
        <v>11531.0</v>
      </c>
      <c r="J822" s="810">
        <v>10545.0</v>
      </c>
      <c r="K822" s="810">
        <v>10757.0</v>
      </c>
      <c r="L822" s="810">
        <v>10563.0</v>
      </c>
      <c r="M822" s="810">
        <v>10538.0</v>
      </c>
      <c r="N822" s="810">
        <v>10670.0</v>
      </c>
      <c r="O822" s="810" t="s">
        <v>2434</v>
      </c>
      <c r="P822" s="100" t="s">
        <v>2598</v>
      </c>
      <c r="Q822" s="100" t="s">
        <v>2599</v>
      </c>
      <c r="R822" s="8"/>
      <c r="S822" s="8"/>
    </row>
    <row r="823" ht="14.25" customHeight="1">
      <c r="A823" s="100" t="s">
        <v>2120</v>
      </c>
      <c r="B823" s="100" t="s">
        <v>2119</v>
      </c>
      <c r="C823" s="100" t="s">
        <v>2416</v>
      </c>
      <c r="D823" s="100" t="s">
        <v>2083</v>
      </c>
      <c r="E823" s="810">
        <v>2021.0</v>
      </c>
      <c r="F823" s="810">
        <v>1745.0</v>
      </c>
      <c r="G823" s="810">
        <v>1389.0</v>
      </c>
      <c r="H823" s="810">
        <v>1245.0</v>
      </c>
      <c r="I823" s="810">
        <v>918.0</v>
      </c>
      <c r="J823" s="810">
        <v>900.0</v>
      </c>
      <c r="K823" s="810">
        <v>1022.0</v>
      </c>
      <c r="L823" s="810">
        <v>1055.0</v>
      </c>
      <c r="M823" s="810">
        <v>1038.0</v>
      </c>
      <c r="N823" s="810">
        <v>983.0</v>
      </c>
      <c r="O823" s="810" t="s">
        <v>2434</v>
      </c>
      <c r="P823" s="100" t="s">
        <v>2586</v>
      </c>
      <c r="Q823" s="100" t="s">
        <v>2686</v>
      </c>
      <c r="R823" s="8"/>
      <c r="S823" s="8"/>
    </row>
    <row r="824" ht="14.25" customHeight="1">
      <c r="A824" s="100" t="s">
        <v>2120</v>
      </c>
      <c r="B824" s="100" t="s">
        <v>2119</v>
      </c>
      <c r="C824" s="100" t="s">
        <v>2423</v>
      </c>
      <c r="D824" s="100" t="s">
        <v>2083</v>
      </c>
      <c r="E824" s="810">
        <v>602.0</v>
      </c>
      <c r="F824" s="810">
        <v>564.0</v>
      </c>
      <c r="G824" s="810">
        <v>533.0</v>
      </c>
      <c r="H824" s="810">
        <v>510.0</v>
      </c>
      <c r="I824" s="810">
        <v>516.0</v>
      </c>
      <c r="J824" s="810">
        <v>519.0</v>
      </c>
      <c r="K824" s="810">
        <v>503.0</v>
      </c>
      <c r="L824" s="810">
        <v>507.0</v>
      </c>
      <c r="M824" s="810">
        <v>502.0</v>
      </c>
      <c r="N824" s="810">
        <v>460.0</v>
      </c>
      <c r="O824" s="810" t="s">
        <v>2434</v>
      </c>
      <c r="P824" s="100" t="s">
        <v>2533</v>
      </c>
      <c r="Q824" s="100"/>
      <c r="R824" s="8"/>
      <c r="S824" s="8"/>
    </row>
    <row r="825" ht="14.25" customHeight="1">
      <c r="A825" s="100" t="s">
        <v>2120</v>
      </c>
      <c r="B825" s="100" t="s">
        <v>2119</v>
      </c>
      <c r="C825" s="100" t="s">
        <v>2360</v>
      </c>
      <c r="D825" s="100" t="s">
        <v>2083</v>
      </c>
      <c r="E825" s="810">
        <v>0.0</v>
      </c>
      <c r="F825" s="810">
        <v>0.0</v>
      </c>
      <c r="G825" s="810">
        <v>0.0</v>
      </c>
      <c r="H825" s="810">
        <v>0.0</v>
      </c>
      <c r="I825" s="810">
        <v>0.0</v>
      </c>
      <c r="J825" s="810">
        <v>0.0</v>
      </c>
      <c r="K825" s="810">
        <v>0.0</v>
      </c>
      <c r="L825" s="810">
        <v>0.0</v>
      </c>
      <c r="M825" s="810">
        <v>0.0</v>
      </c>
      <c r="N825" s="810">
        <v>0.0</v>
      </c>
      <c r="O825" s="810" t="s">
        <v>2434</v>
      </c>
      <c r="P825" s="100" t="s">
        <v>2687</v>
      </c>
      <c r="Q825" s="100"/>
      <c r="R825" s="8"/>
      <c r="S825" s="8"/>
    </row>
    <row r="826" ht="14.25" customHeight="1">
      <c r="A826" s="100" t="s">
        <v>2120</v>
      </c>
      <c r="B826" s="100" t="s">
        <v>2119</v>
      </c>
      <c r="C826" s="100" t="s">
        <v>2535</v>
      </c>
      <c r="D826" s="100"/>
      <c r="E826" s="810" t="s">
        <v>2434</v>
      </c>
      <c r="F826" s="810" t="s">
        <v>2434</v>
      </c>
      <c r="G826" s="810" t="s">
        <v>2434</v>
      </c>
      <c r="H826" s="810" t="s">
        <v>2434</v>
      </c>
      <c r="I826" s="810" t="s">
        <v>2434</v>
      </c>
      <c r="J826" s="810" t="s">
        <v>2434</v>
      </c>
      <c r="K826" s="810" t="s">
        <v>2434</v>
      </c>
      <c r="L826" s="810" t="s">
        <v>2434</v>
      </c>
      <c r="M826" s="810" t="s">
        <v>2434</v>
      </c>
      <c r="N826" s="810" t="s">
        <v>2434</v>
      </c>
      <c r="O826" s="810" t="s">
        <v>2434</v>
      </c>
      <c r="P826" s="100"/>
      <c r="Q826" s="100"/>
      <c r="R826" s="8"/>
      <c r="S826" s="8"/>
    </row>
    <row r="827" ht="14.25" customHeight="1">
      <c r="A827" s="100" t="s">
        <v>2688</v>
      </c>
      <c r="B827" s="100" t="s">
        <v>2689</v>
      </c>
      <c r="C827" s="100" t="s">
        <v>2317</v>
      </c>
      <c r="D827" s="100" t="s">
        <v>2690</v>
      </c>
      <c r="E827" s="810" t="str">
        <f t="shared" ref="E827:O827" si="67">#REF!</f>
        <v>#REF!</v>
      </c>
      <c r="F827" s="810" t="str">
        <f t="shared" si="67"/>
        <v>#REF!</v>
      </c>
      <c r="G827" s="810" t="str">
        <f t="shared" si="67"/>
        <v>#REF!</v>
      </c>
      <c r="H827" s="810" t="str">
        <f t="shared" si="67"/>
        <v>#REF!</v>
      </c>
      <c r="I827" s="810" t="str">
        <f t="shared" si="67"/>
        <v>#REF!</v>
      </c>
      <c r="J827" s="810" t="str">
        <f t="shared" si="67"/>
        <v>#REF!</v>
      </c>
      <c r="K827" s="810" t="str">
        <f t="shared" si="67"/>
        <v>#REF!</v>
      </c>
      <c r="L827" s="810" t="str">
        <f t="shared" si="67"/>
        <v>#REF!</v>
      </c>
      <c r="M827" s="810" t="str">
        <f t="shared" si="67"/>
        <v>#REF!</v>
      </c>
      <c r="N827" s="810" t="str">
        <f t="shared" si="67"/>
        <v>#REF!</v>
      </c>
      <c r="O827" s="810" t="str">
        <f t="shared" si="67"/>
        <v>#REF!</v>
      </c>
      <c r="P827" s="100" t="s">
        <v>2691</v>
      </c>
      <c r="Q827" s="8"/>
      <c r="R827" s="8"/>
      <c r="S827" s="8"/>
    </row>
    <row r="828" ht="14.25" customHeight="1">
      <c r="A828" s="100" t="str">
        <f t="shared" ref="A828:B828" si="68">A827</f>
        <v>cmbecind</v>
      </c>
      <c r="B828" s="100" t="str">
        <f t="shared" si="68"/>
        <v>CO2 emissions of industry (including autoproducers)</v>
      </c>
      <c r="C828" s="100" t="s">
        <v>2507</v>
      </c>
      <c r="D828" s="100" t="str">
        <f>D827</f>
        <v>MtCO2</v>
      </c>
      <c r="E828" s="810" t="str">
        <f t="shared" ref="E828:O828" si="69">#REF!</f>
        <v>#REF!</v>
      </c>
      <c r="F828" s="810" t="str">
        <f t="shared" si="69"/>
        <v>#REF!</v>
      </c>
      <c r="G828" s="810" t="str">
        <f t="shared" si="69"/>
        <v>#REF!</v>
      </c>
      <c r="H828" s="810" t="str">
        <f t="shared" si="69"/>
        <v>#REF!</v>
      </c>
      <c r="I828" s="810" t="str">
        <f t="shared" si="69"/>
        <v>#REF!</v>
      </c>
      <c r="J828" s="810" t="str">
        <f t="shared" si="69"/>
        <v>#REF!</v>
      </c>
      <c r="K828" s="810" t="str">
        <f t="shared" si="69"/>
        <v>#REF!</v>
      </c>
      <c r="L828" s="810" t="str">
        <f t="shared" si="69"/>
        <v>#REF!</v>
      </c>
      <c r="M828" s="810" t="str">
        <f t="shared" si="69"/>
        <v>#REF!</v>
      </c>
      <c r="N828" s="810" t="str">
        <f t="shared" si="69"/>
        <v>#REF!</v>
      </c>
      <c r="O828" s="810" t="str">
        <f t="shared" si="69"/>
        <v>#REF!</v>
      </c>
      <c r="P828" s="100"/>
      <c r="Q828" s="8"/>
      <c r="R828" s="8"/>
      <c r="S828" s="8"/>
    </row>
    <row r="829" ht="14.25" customHeight="1">
      <c r="A829" s="100" t="s">
        <v>2688</v>
      </c>
      <c r="B829" s="100" t="s">
        <v>2689</v>
      </c>
      <c r="C829" s="100" t="s">
        <v>2325</v>
      </c>
      <c r="D829" s="100" t="s">
        <v>2690</v>
      </c>
      <c r="E829" s="810">
        <v>11.1895</v>
      </c>
      <c r="F829" s="810">
        <v>11.0756</v>
      </c>
      <c r="G829" s="810">
        <v>10.9652</v>
      </c>
      <c r="H829" s="810">
        <v>10.7395</v>
      </c>
      <c r="I829" s="810">
        <v>10.3477</v>
      </c>
      <c r="J829" s="810">
        <v>10.0782</v>
      </c>
      <c r="K829" s="810">
        <v>10.3962</v>
      </c>
      <c r="L829" s="810">
        <v>10.6305</v>
      </c>
      <c r="M829" s="810">
        <v>10.6703</v>
      </c>
      <c r="N829" s="810">
        <v>10.5916</v>
      </c>
      <c r="O829" s="810" t="s">
        <v>2434</v>
      </c>
      <c r="P829" s="100" t="s">
        <v>2691</v>
      </c>
      <c r="Q829" s="8"/>
      <c r="R829" s="8"/>
      <c r="S829" s="8"/>
    </row>
    <row r="830" ht="14.25" customHeight="1">
      <c r="A830" s="100" t="s">
        <v>2688</v>
      </c>
      <c r="B830" s="100" t="s">
        <v>2689</v>
      </c>
      <c r="C830" s="100" t="s">
        <v>2329</v>
      </c>
      <c r="D830" s="100" t="s">
        <v>2690</v>
      </c>
      <c r="E830" s="810">
        <v>15.343</v>
      </c>
      <c r="F830" s="810">
        <v>14.9833</v>
      </c>
      <c r="G830" s="810">
        <v>14.0009</v>
      </c>
      <c r="H830" s="810">
        <v>13.8029</v>
      </c>
      <c r="I830" s="810">
        <v>13.3347</v>
      </c>
      <c r="J830" s="810">
        <v>13.254</v>
      </c>
      <c r="K830" s="810">
        <v>13.1717</v>
      </c>
      <c r="L830" s="810">
        <v>13.3097</v>
      </c>
      <c r="M830" s="810">
        <v>13.537</v>
      </c>
      <c r="N830" s="810">
        <v>13.3858</v>
      </c>
      <c r="O830" s="810" t="s">
        <v>2434</v>
      </c>
      <c r="P830" s="100" t="s">
        <v>2691</v>
      </c>
      <c r="Q830" s="8"/>
      <c r="R830" s="8"/>
      <c r="S830" s="8"/>
    </row>
    <row r="831" ht="14.25" customHeight="1">
      <c r="A831" s="100" t="s">
        <v>2688</v>
      </c>
      <c r="B831" s="100" t="s">
        <v>2689</v>
      </c>
      <c r="C831" s="100" t="s">
        <v>2333</v>
      </c>
      <c r="D831" s="100" t="s">
        <v>2690</v>
      </c>
      <c r="E831" s="810">
        <v>3.1285</v>
      </c>
      <c r="F831" s="810">
        <v>2.7168</v>
      </c>
      <c r="G831" s="810">
        <v>2.5723</v>
      </c>
      <c r="H831" s="810">
        <v>2.5985</v>
      </c>
      <c r="I831" s="810">
        <v>2.5461</v>
      </c>
      <c r="J831" s="810">
        <v>2.8205</v>
      </c>
      <c r="K831" s="810">
        <v>2.8733</v>
      </c>
      <c r="L831" s="810">
        <v>3.5637</v>
      </c>
      <c r="M831" s="810">
        <v>4.2343</v>
      </c>
      <c r="N831" s="810">
        <v>4.0519</v>
      </c>
      <c r="O831" s="810" t="s">
        <v>2434</v>
      </c>
      <c r="P831" s="100" t="s">
        <v>2691</v>
      </c>
      <c r="Q831" s="8"/>
      <c r="R831" s="8"/>
      <c r="S831" s="8"/>
    </row>
    <row r="832" ht="14.25" customHeight="1">
      <c r="A832" s="100" t="s">
        <v>2688</v>
      </c>
      <c r="B832" s="100" t="s">
        <v>2689</v>
      </c>
      <c r="C832" s="100" t="s">
        <v>2364</v>
      </c>
      <c r="D832" s="100" t="s">
        <v>2690</v>
      </c>
      <c r="E832" s="810">
        <v>3.0158</v>
      </c>
      <c r="F832" s="810">
        <v>2.7796</v>
      </c>
      <c r="G832" s="810">
        <v>2.4091</v>
      </c>
      <c r="H832" s="810">
        <v>2.3849</v>
      </c>
      <c r="I832" s="810">
        <v>2.3243</v>
      </c>
      <c r="J832" s="810">
        <v>2.2227</v>
      </c>
      <c r="K832" s="810">
        <v>2.2287</v>
      </c>
      <c r="L832" s="810">
        <v>2.4296</v>
      </c>
      <c r="M832" s="810">
        <v>2.411</v>
      </c>
      <c r="N832" s="810">
        <v>2.4211</v>
      </c>
      <c r="O832" s="810" t="s">
        <v>2434</v>
      </c>
      <c r="P832" s="100" t="s">
        <v>2691</v>
      </c>
      <c r="Q832" s="8"/>
      <c r="R832" s="8"/>
      <c r="S832" s="8"/>
    </row>
    <row r="833" ht="14.25" customHeight="1">
      <c r="A833" s="100" t="s">
        <v>2688</v>
      </c>
      <c r="B833" s="100" t="s">
        <v>2689</v>
      </c>
      <c r="C833" s="100" t="s">
        <v>2337</v>
      </c>
      <c r="D833" s="100" t="s">
        <v>2690</v>
      </c>
      <c r="E833" s="810">
        <v>0.6966</v>
      </c>
      <c r="F833" s="810">
        <v>0.5724</v>
      </c>
      <c r="G833" s="810">
        <v>0.4589</v>
      </c>
      <c r="H833" s="810">
        <v>0.5383</v>
      </c>
      <c r="I833" s="810">
        <v>0.6932</v>
      </c>
      <c r="J833" s="810">
        <v>0.6002</v>
      </c>
      <c r="K833" s="810">
        <v>0.596</v>
      </c>
      <c r="L833" s="810">
        <v>0.6157</v>
      </c>
      <c r="M833" s="810">
        <v>0.5496</v>
      </c>
      <c r="N833" s="810">
        <v>0.5595</v>
      </c>
      <c r="O833" s="810" t="s">
        <v>2434</v>
      </c>
      <c r="P833" s="100" t="s">
        <v>2691</v>
      </c>
      <c r="Q833" s="8"/>
      <c r="R833" s="8"/>
      <c r="S833" s="8"/>
    </row>
    <row r="834" ht="14.25" customHeight="1">
      <c r="A834" s="100" t="s">
        <v>2688</v>
      </c>
      <c r="B834" s="100" t="s">
        <v>2689</v>
      </c>
      <c r="C834" s="100" t="s">
        <v>2341</v>
      </c>
      <c r="D834" s="100" t="s">
        <v>2690</v>
      </c>
      <c r="E834" s="810">
        <v>12.0212</v>
      </c>
      <c r="F834" s="810">
        <v>11.0483</v>
      </c>
      <c r="G834" s="810">
        <v>10.722</v>
      </c>
      <c r="H834" s="810">
        <v>9.9984</v>
      </c>
      <c r="I834" s="810">
        <v>9.471</v>
      </c>
      <c r="J834" s="810">
        <v>9.6576</v>
      </c>
      <c r="K834" s="810">
        <v>9.3918</v>
      </c>
      <c r="L834" s="810">
        <v>10.214</v>
      </c>
      <c r="M834" s="810">
        <v>9.8364</v>
      </c>
      <c r="N834" s="810">
        <v>9.2764</v>
      </c>
      <c r="O834" s="810" t="s">
        <v>2434</v>
      </c>
      <c r="P834" s="100" t="s">
        <v>2691</v>
      </c>
      <c r="Q834" s="8"/>
      <c r="R834" s="8"/>
      <c r="S834" s="8"/>
    </row>
    <row r="835" ht="14.25" customHeight="1">
      <c r="A835" s="100" t="s">
        <v>2688</v>
      </c>
      <c r="B835" s="100" t="s">
        <v>2689</v>
      </c>
      <c r="C835" s="100" t="s">
        <v>2348</v>
      </c>
      <c r="D835" s="100" t="s">
        <v>2690</v>
      </c>
      <c r="E835" s="810">
        <v>4.3575</v>
      </c>
      <c r="F835" s="810">
        <v>4.2892</v>
      </c>
      <c r="G835" s="810">
        <v>3.9709</v>
      </c>
      <c r="H835" s="810">
        <v>3.8252</v>
      </c>
      <c r="I835" s="810">
        <v>3.8263</v>
      </c>
      <c r="J835" s="810">
        <v>3.7627</v>
      </c>
      <c r="K835" s="810">
        <v>3.8354</v>
      </c>
      <c r="L835" s="810">
        <v>3.9252</v>
      </c>
      <c r="M835" s="810">
        <v>3.8869</v>
      </c>
      <c r="N835" s="810">
        <v>3.6577</v>
      </c>
      <c r="O835" s="810" t="s">
        <v>2434</v>
      </c>
      <c r="P835" s="100" t="s">
        <v>2691</v>
      </c>
      <c r="Q835" s="8"/>
      <c r="R835" s="8"/>
      <c r="S835" s="8"/>
    </row>
    <row r="836" ht="14.25" customHeight="1">
      <c r="A836" s="100" t="s">
        <v>2688</v>
      </c>
      <c r="B836" s="100" t="s">
        <v>2689</v>
      </c>
      <c r="C836" s="100" t="s">
        <v>2350</v>
      </c>
      <c r="D836" s="100" t="s">
        <v>2690</v>
      </c>
      <c r="E836" s="810">
        <v>0.7942</v>
      </c>
      <c r="F836" s="810">
        <v>1.0151</v>
      </c>
      <c r="G836" s="810">
        <v>0.9536</v>
      </c>
      <c r="H836" s="810">
        <v>0.9811</v>
      </c>
      <c r="I836" s="810">
        <v>0.8811</v>
      </c>
      <c r="J836" s="810">
        <v>0.6591</v>
      </c>
      <c r="K836" s="810">
        <v>0.6902</v>
      </c>
      <c r="L836" s="810">
        <v>0.7362</v>
      </c>
      <c r="M836" s="810">
        <v>0.7598</v>
      </c>
      <c r="N836" s="810">
        <v>0.7385</v>
      </c>
      <c r="O836" s="810" t="s">
        <v>2434</v>
      </c>
      <c r="P836" s="100" t="s">
        <v>2691</v>
      </c>
      <c r="Q836" s="8"/>
      <c r="R836" s="8"/>
      <c r="S836" s="8"/>
    </row>
    <row r="837" ht="14.25" customHeight="1">
      <c r="A837" s="100" t="s">
        <v>2688</v>
      </c>
      <c r="B837" s="100" t="s">
        <v>2689</v>
      </c>
      <c r="C837" s="100" t="s">
        <v>2354</v>
      </c>
      <c r="D837" s="100" t="s">
        <v>2690</v>
      </c>
      <c r="E837" s="810">
        <v>9.8911</v>
      </c>
      <c r="F837" s="810">
        <v>9.4914</v>
      </c>
      <c r="G837" s="810">
        <v>8.2746</v>
      </c>
      <c r="H837" s="810">
        <v>8.248</v>
      </c>
      <c r="I837" s="810">
        <v>6.9239</v>
      </c>
      <c r="J837" s="810">
        <v>6.5965</v>
      </c>
      <c r="K837" s="810">
        <v>6.654</v>
      </c>
      <c r="L837" s="810">
        <v>6.4977</v>
      </c>
      <c r="M837" s="810">
        <v>6.6379</v>
      </c>
      <c r="N837" s="810">
        <v>6.4123</v>
      </c>
      <c r="O837" s="810" t="s">
        <v>2434</v>
      </c>
      <c r="P837" s="100" t="s">
        <v>2691</v>
      </c>
      <c r="Q837" s="8"/>
      <c r="R837" s="8"/>
      <c r="S837" s="8"/>
    </row>
    <row r="838" ht="14.25" customHeight="1">
      <c r="A838" s="100" t="s">
        <v>2688</v>
      </c>
      <c r="B838" s="100" t="s">
        <v>2689</v>
      </c>
      <c r="C838" s="100" t="s">
        <v>2356</v>
      </c>
      <c r="D838" s="100" t="s">
        <v>2690</v>
      </c>
      <c r="E838" s="810">
        <v>57.1079</v>
      </c>
      <c r="F838" s="810">
        <v>55.4383</v>
      </c>
      <c r="G838" s="810">
        <v>54.9091</v>
      </c>
      <c r="H838" s="810">
        <v>52.921</v>
      </c>
      <c r="I838" s="810">
        <v>49.692</v>
      </c>
      <c r="J838" s="810">
        <v>49.4258</v>
      </c>
      <c r="K838" s="810">
        <v>49.9789</v>
      </c>
      <c r="L838" s="810">
        <v>48.0521</v>
      </c>
      <c r="M838" s="810">
        <v>49.049</v>
      </c>
      <c r="N838" s="810">
        <v>47.2218</v>
      </c>
      <c r="O838" s="810" t="s">
        <v>2434</v>
      </c>
      <c r="P838" s="100" t="s">
        <v>2691</v>
      </c>
      <c r="Q838" s="8"/>
      <c r="R838" s="8"/>
      <c r="S838" s="8"/>
    </row>
    <row r="839" ht="14.25" customHeight="1">
      <c r="A839" s="100" t="s">
        <v>2688</v>
      </c>
      <c r="B839" s="100" t="s">
        <v>2689</v>
      </c>
      <c r="C839" s="100" t="s">
        <v>2344</v>
      </c>
      <c r="D839" s="100" t="s">
        <v>2690</v>
      </c>
      <c r="E839" s="810">
        <v>124.7489</v>
      </c>
      <c r="F839" s="810">
        <v>121.8258</v>
      </c>
      <c r="G839" s="810">
        <v>116.9757</v>
      </c>
      <c r="H839" s="810">
        <v>117.6948</v>
      </c>
      <c r="I839" s="810">
        <v>117.5</v>
      </c>
      <c r="J839" s="810">
        <v>126.1408</v>
      </c>
      <c r="K839" s="810">
        <v>128.4792</v>
      </c>
      <c r="L839" s="810">
        <v>130.4228</v>
      </c>
      <c r="M839" s="810">
        <v>125.2903</v>
      </c>
      <c r="N839" s="810">
        <v>124.3135</v>
      </c>
      <c r="O839" s="810" t="s">
        <v>2434</v>
      </c>
      <c r="P839" s="100" t="s">
        <v>2691</v>
      </c>
      <c r="Q839" s="8"/>
      <c r="R839" s="8"/>
      <c r="S839" s="8"/>
    </row>
    <row r="840" ht="14.25" customHeight="1">
      <c r="A840" s="100" t="s">
        <v>2688</v>
      </c>
      <c r="B840" s="100" t="s">
        <v>2689</v>
      </c>
      <c r="C840" s="100" t="s">
        <v>2362</v>
      </c>
      <c r="D840" s="100" t="s">
        <v>2690</v>
      </c>
      <c r="E840" s="810">
        <v>6.8132</v>
      </c>
      <c r="F840" s="810">
        <v>4.917</v>
      </c>
      <c r="G840" s="810">
        <v>5.4578</v>
      </c>
      <c r="H840" s="810">
        <v>5.2292</v>
      </c>
      <c r="I840" s="810">
        <v>5.3973</v>
      </c>
      <c r="J840" s="810">
        <v>5.1663</v>
      </c>
      <c r="K840" s="810">
        <v>5.2919</v>
      </c>
      <c r="L840" s="810">
        <v>5.716</v>
      </c>
      <c r="M840" s="810">
        <v>5.0488</v>
      </c>
      <c r="N840" s="810">
        <v>4.5685</v>
      </c>
      <c r="O840" s="810" t="s">
        <v>2434</v>
      </c>
      <c r="P840" s="100" t="s">
        <v>2691</v>
      </c>
      <c r="Q840" s="8"/>
      <c r="R840" s="8"/>
      <c r="S840" s="8"/>
    </row>
    <row r="841" ht="14.25" customHeight="1">
      <c r="A841" s="100" t="s">
        <v>2688</v>
      </c>
      <c r="B841" s="100" t="s">
        <v>2689</v>
      </c>
      <c r="C841" s="100" t="s">
        <v>2367</v>
      </c>
      <c r="D841" s="100" t="s">
        <v>2690</v>
      </c>
      <c r="E841" s="810">
        <v>3.3508</v>
      </c>
      <c r="F841" s="810">
        <v>3.4171</v>
      </c>
      <c r="G841" s="810">
        <v>2.9525</v>
      </c>
      <c r="H841" s="810">
        <v>3.8484</v>
      </c>
      <c r="I841" s="810">
        <v>3.888</v>
      </c>
      <c r="J841" s="810">
        <v>4.1147</v>
      </c>
      <c r="K841" s="810">
        <v>4.5985</v>
      </c>
      <c r="L841" s="810">
        <v>4.886</v>
      </c>
      <c r="M841" s="810">
        <v>5.1674</v>
      </c>
      <c r="N841" s="810">
        <v>5.1157</v>
      </c>
      <c r="O841" s="810" t="s">
        <v>2434</v>
      </c>
      <c r="P841" s="100" t="s">
        <v>2691</v>
      </c>
      <c r="Q841" s="8"/>
      <c r="R841" s="8"/>
      <c r="S841" s="8"/>
    </row>
    <row r="842" ht="14.25" customHeight="1">
      <c r="A842" s="100" t="s">
        <v>2688</v>
      </c>
      <c r="B842" s="100" t="s">
        <v>2689</v>
      </c>
      <c r="C842" s="100" t="s">
        <v>2369</v>
      </c>
      <c r="D842" s="100" t="s">
        <v>2690</v>
      </c>
      <c r="E842" s="810">
        <v>4.1418</v>
      </c>
      <c r="F842" s="810">
        <v>3.6704</v>
      </c>
      <c r="G842" s="810">
        <v>3.7393</v>
      </c>
      <c r="H842" s="810">
        <v>3.9022</v>
      </c>
      <c r="I842" s="810">
        <v>4.1578</v>
      </c>
      <c r="J842" s="810">
        <v>4.2398</v>
      </c>
      <c r="K842" s="810">
        <v>4.3316</v>
      </c>
      <c r="L842" s="810">
        <v>4.4397</v>
      </c>
      <c r="M842" s="810">
        <v>4.662</v>
      </c>
      <c r="N842" s="810">
        <v>4.5678</v>
      </c>
      <c r="O842" s="810" t="s">
        <v>2434</v>
      </c>
      <c r="P842" s="100" t="s">
        <v>2691</v>
      </c>
      <c r="Q842" s="8"/>
      <c r="R842" s="8"/>
      <c r="S842" s="8"/>
    </row>
    <row r="843" ht="14.25" customHeight="1">
      <c r="A843" s="100" t="s">
        <v>2688</v>
      </c>
      <c r="B843" s="100" t="s">
        <v>2689</v>
      </c>
      <c r="C843" s="100" t="s">
        <v>2374</v>
      </c>
      <c r="D843" s="100" t="s">
        <v>2690</v>
      </c>
      <c r="E843" s="810">
        <v>68.8995</v>
      </c>
      <c r="F843" s="810">
        <v>69.6879</v>
      </c>
      <c r="G843" s="810">
        <v>65.4288</v>
      </c>
      <c r="H843" s="810">
        <v>55.7024</v>
      </c>
      <c r="I843" s="810">
        <v>51.5243</v>
      </c>
      <c r="J843" s="810">
        <v>54.5524</v>
      </c>
      <c r="K843" s="810">
        <v>53.3655</v>
      </c>
      <c r="L843" s="810">
        <v>52.1359</v>
      </c>
      <c r="M843" s="810">
        <v>53.2214</v>
      </c>
      <c r="N843" s="810">
        <v>48.8381</v>
      </c>
      <c r="O843" s="810" t="s">
        <v>2434</v>
      </c>
      <c r="P843" s="100" t="s">
        <v>2691</v>
      </c>
      <c r="Q843" s="8"/>
      <c r="R843" s="8"/>
      <c r="S843" s="8"/>
    </row>
    <row r="844" ht="14.25" customHeight="1">
      <c r="A844" s="100" t="s">
        <v>2688</v>
      </c>
      <c r="B844" s="100" t="s">
        <v>2689</v>
      </c>
      <c r="C844" s="100" t="s">
        <v>2386</v>
      </c>
      <c r="D844" s="100" t="s">
        <v>2690</v>
      </c>
      <c r="E844" s="810">
        <v>1.0737</v>
      </c>
      <c r="F844" s="810">
        <v>0.8725</v>
      </c>
      <c r="G844" s="810">
        <v>0.9171</v>
      </c>
      <c r="H844" s="810">
        <v>0.7616</v>
      </c>
      <c r="I844" s="810">
        <v>0.6913</v>
      </c>
      <c r="J844" s="810">
        <v>0.6403</v>
      </c>
      <c r="K844" s="810">
        <v>0.5769</v>
      </c>
      <c r="L844" s="810">
        <v>0.6192</v>
      </c>
      <c r="M844" s="810">
        <v>0.7042</v>
      </c>
      <c r="N844" s="810">
        <v>0.6255</v>
      </c>
      <c r="O844" s="810" t="s">
        <v>2434</v>
      </c>
      <c r="P844" s="100" t="s">
        <v>2691</v>
      </c>
      <c r="Q844" s="8"/>
      <c r="R844" s="8"/>
      <c r="S844" s="8"/>
    </row>
    <row r="845" ht="14.25" customHeight="1">
      <c r="A845" s="100" t="s">
        <v>2688</v>
      </c>
      <c r="B845" s="100" t="s">
        <v>2689</v>
      </c>
      <c r="C845" s="100" t="s">
        <v>2378</v>
      </c>
      <c r="D845" s="100" t="s">
        <v>2690</v>
      </c>
      <c r="E845" s="810">
        <v>1.2758</v>
      </c>
      <c r="F845" s="810">
        <v>1.371</v>
      </c>
      <c r="G845" s="810">
        <v>1.4694</v>
      </c>
      <c r="H845" s="810">
        <v>1.4141</v>
      </c>
      <c r="I845" s="810">
        <v>1.2926</v>
      </c>
      <c r="J845" s="810">
        <v>1.1717</v>
      </c>
      <c r="K845" s="810">
        <v>1.1448</v>
      </c>
      <c r="L845" s="810">
        <v>1.1643</v>
      </c>
      <c r="M845" s="810">
        <v>1.2472</v>
      </c>
      <c r="N845" s="810">
        <v>1.2829</v>
      </c>
      <c r="O845" s="810" t="s">
        <v>2434</v>
      </c>
      <c r="P845" s="100" t="s">
        <v>2691</v>
      </c>
      <c r="Q845" s="8"/>
      <c r="R845" s="8"/>
      <c r="S845" s="8"/>
    </row>
    <row r="846" ht="14.25" customHeight="1">
      <c r="A846" s="100" t="s">
        <v>2688</v>
      </c>
      <c r="B846" s="100" t="s">
        <v>2689</v>
      </c>
      <c r="C846" s="100" t="s">
        <v>2383</v>
      </c>
      <c r="D846" s="100" t="s">
        <v>2690</v>
      </c>
      <c r="E846" s="810">
        <v>1.2547</v>
      </c>
      <c r="F846" s="810">
        <v>1.231</v>
      </c>
      <c r="G846" s="810">
        <v>1.1735</v>
      </c>
      <c r="H846" s="810">
        <v>1.133</v>
      </c>
      <c r="I846" s="810">
        <v>1.1363</v>
      </c>
      <c r="J846" s="810">
        <v>1.1017</v>
      </c>
      <c r="K846" s="810">
        <v>1.1443</v>
      </c>
      <c r="L846" s="810">
        <v>1.1345</v>
      </c>
      <c r="M846" s="810">
        <v>1.151</v>
      </c>
      <c r="N846" s="810">
        <v>1.1659</v>
      </c>
      <c r="O846" s="810" t="s">
        <v>2434</v>
      </c>
      <c r="P846" s="100" t="s">
        <v>2691</v>
      </c>
      <c r="Q846" s="8"/>
      <c r="R846" s="8"/>
      <c r="S846" s="8"/>
    </row>
    <row r="847" ht="14.25" customHeight="1">
      <c r="A847" s="100" t="s">
        <v>2688</v>
      </c>
      <c r="B847" s="100" t="s">
        <v>2689</v>
      </c>
      <c r="C847" s="100" t="s">
        <v>2389</v>
      </c>
      <c r="D847" s="100" t="s">
        <v>2690</v>
      </c>
      <c r="E847" s="810">
        <v>0.0308</v>
      </c>
      <c r="F847" s="810">
        <v>0.0153</v>
      </c>
      <c r="G847" s="810">
        <v>0.0277</v>
      </c>
      <c r="H847" s="810">
        <v>0.0599</v>
      </c>
      <c r="I847" s="810">
        <v>0.0691</v>
      </c>
      <c r="J847" s="810">
        <v>0.0661</v>
      </c>
      <c r="K847" s="810">
        <v>0.0659</v>
      </c>
      <c r="L847" s="810">
        <v>0.0592</v>
      </c>
      <c r="M847" s="810">
        <v>0.0492</v>
      </c>
      <c r="N847" s="810">
        <v>0.0457</v>
      </c>
      <c r="O847" s="810" t="s">
        <v>2434</v>
      </c>
      <c r="P847" s="100" t="s">
        <v>2691</v>
      </c>
      <c r="Q847" s="8"/>
      <c r="R847" s="8"/>
      <c r="S847" s="8"/>
    </row>
    <row r="848" ht="14.25" customHeight="1">
      <c r="A848" s="100" t="s">
        <v>2688</v>
      </c>
      <c r="B848" s="100" t="s">
        <v>2689</v>
      </c>
      <c r="C848" s="100" t="s">
        <v>2391</v>
      </c>
      <c r="D848" s="100" t="s">
        <v>2690</v>
      </c>
      <c r="E848" s="810">
        <v>27.8029</v>
      </c>
      <c r="F848" s="810">
        <v>27.4355</v>
      </c>
      <c r="G848" s="810">
        <v>27.2897</v>
      </c>
      <c r="H848" s="810">
        <v>26.0685</v>
      </c>
      <c r="I848" s="810">
        <v>25.3975</v>
      </c>
      <c r="J848" s="810">
        <v>24.9307</v>
      </c>
      <c r="K848" s="810">
        <v>27.0703</v>
      </c>
      <c r="L848" s="810">
        <v>28.4222</v>
      </c>
      <c r="M848" s="810">
        <v>27.7991</v>
      </c>
      <c r="N848" s="810">
        <v>26.7927</v>
      </c>
      <c r="O848" s="810" t="s">
        <v>2434</v>
      </c>
      <c r="P848" s="100" t="s">
        <v>2691</v>
      </c>
      <c r="Q848" s="8"/>
      <c r="R848" s="8"/>
      <c r="S848" s="8"/>
    </row>
    <row r="849" ht="14.25" customHeight="1">
      <c r="A849" s="100" t="s">
        <v>2688</v>
      </c>
      <c r="B849" s="100" t="s">
        <v>2689</v>
      </c>
      <c r="C849" s="100" t="s">
        <v>2393</v>
      </c>
      <c r="D849" s="100" t="s">
        <v>2690</v>
      </c>
      <c r="E849" s="810">
        <v>29.4026</v>
      </c>
      <c r="F849" s="810">
        <v>30.3251</v>
      </c>
      <c r="G849" s="810">
        <v>29.2482</v>
      </c>
      <c r="H849" s="810">
        <v>29.0429</v>
      </c>
      <c r="I849" s="810">
        <v>29.17</v>
      </c>
      <c r="J849" s="810">
        <v>27.7038</v>
      </c>
      <c r="K849" s="810">
        <v>28.3795</v>
      </c>
      <c r="L849" s="810">
        <v>30.8289</v>
      </c>
      <c r="M849" s="810">
        <v>31.4064</v>
      </c>
      <c r="N849" s="810">
        <v>31.0581</v>
      </c>
      <c r="O849" s="810" t="s">
        <v>2434</v>
      </c>
      <c r="P849" s="100" t="s">
        <v>2691</v>
      </c>
      <c r="Q849" s="8"/>
      <c r="R849" s="8"/>
      <c r="S849" s="8"/>
    </row>
    <row r="850" ht="14.25" customHeight="1">
      <c r="A850" s="100" t="s">
        <v>2688</v>
      </c>
      <c r="B850" s="100" t="s">
        <v>2689</v>
      </c>
      <c r="C850" s="100" t="s">
        <v>2395</v>
      </c>
      <c r="D850" s="100" t="s">
        <v>2690</v>
      </c>
      <c r="E850" s="810">
        <v>9.0309</v>
      </c>
      <c r="F850" s="810">
        <v>8.3582</v>
      </c>
      <c r="G850" s="810">
        <v>7.4652</v>
      </c>
      <c r="H850" s="810">
        <v>7.389</v>
      </c>
      <c r="I850" s="810">
        <v>7.3996</v>
      </c>
      <c r="J850" s="810">
        <v>7.6817</v>
      </c>
      <c r="K850" s="810">
        <v>7.2045</v>
      </c>
      <c r="L850" s="810">
        <v>7.4542</v>
      </c>
      <c r="M850" s="810">
        <v>7.4771</v>
      </c>
      <c r="N850" s="810">
        <v>7.6842</v>
      </c>
      <c r="O850" s="810" t="s">
        <v>2434</v>
      </c>
      <c r="P850" s="100" t="s">
        <v>2691</v>
      </c>
      <c r="Q850" s="8"/>
      <c r="R850" s="8"/>
      <c r="S850" s="8"/>
    </row>
    <row r="851" ht="14.25" customHeight="1">
      <c r="A851" s="100" t="s">
        <v>2688</v>
      </c>
      <c r="B851" s="100" t="s">
        <v>2689</v>
      </c>
      <c r="C851" s="100" t="s">
        <v>2397</v>
      </c>
      <c r="D851" s="100" t="s">
        <v>2690</v>
      </c>
      <c r="E851" s="810">
        <v>12.8148</v>
      </c>
      <c r="F851" s="810">
        <v>15.2603</v>
      </c>
      <c r="G851" s="810">
        <v>15.672</v>
      </c>
      <c r="H851" s="810">
        <v>15.1532</v>
      </c>
      <c r="I851" s="810">
        <v>14.32</v>
      </c>
      <c r="J851" s="810">
        <v>15.2068</v>
      </c>
      <c r="K851" s="810">
        <v>14.2349</v>
      </c>
      <c r="L851" s="810">
        <v>14.4622</v>
      </c>
      <c r="M851" s="810">
        <v>15.6684</v>
      </c>
      <c r="N851" s="810">
        <v>14.4796</v>
      </c>
      <c r="O851" s="810" t="s">
        <v>2434</v>
      </c>
      <c r="P851" s="100" t="s">
        <v>2691</v>
      </c>
      <c r="Q851" s="8"/>
      <c r="R851" s="8"/>
      <c r="S851" s="8"/>
    </row>
    <row r="852" ht="14.25" customHeight="1">
      <c r="A852" s="100" t="s">
        <v>2688</v>
      </c>
      <c r="B852" s="100" t="s">
        <v>2689</v>
      </c>
      <c r="C852" s="100" t="s">
        <v>2411</v>
      </c>
      <c r="D852" s="100" t="s">
        <v>2690</v>
      </c>
      <c r="E852" s="810">
        <v>7.6125</v>
      </c>
      <c r="F852" s="810">
        <v>8.7486</v>
      </c>
      <c r="G852" s="810">
        <v>6.9859</v>
      </c>
      <c r="H852" s="810">
        <v>7.1307</v>
      </c>
      <c r="I852" s="810">
        <v>7.2493</v>
      </c>
      <c r="J852" s="810">
        <v>6.7132</v>
      </c>
      <c r="K852" s="810">
        <v>6.6603</v>
      </c>
      <c r="L852" s="810">
        <v>7.0829</v>
      </c>
      <c r="M852" s="810">
        <v>7.5805</v>
      </c>
      <c r="N852" s="810">
        <v>6.2785</v>
      </c>
      <c r="O852" s="810" t="s">
        <v>2434</v>
      </c>
      <c r="P852" s="100" t="s">
        <v>2691</v>
      </c>
      <c r="Q852" s="8"/>
      <c r="R852" s="8"/>
      <c r="S852" s="8"/>
    </row>
    <row r="853" ht="14.25" customHeight="1">
      <c r="A853" s="100" t="s">
        <v>2688</v>
      </c>
      <c r="B853" s="100" t="s">
        <v>2689</v>
      </c>
      <c r="C853" s="100" t="s">
        <v>2406</v>
      </c>
      <c r="D853" s="100" t="s">
        <v>2690</v>
      </c>
      <c r="E853" s="810">
        <v>1.8924</v>
      </c>
      <c r="F853" s="810">
        <v>1.6981</v>
      </c>
      <c r="G853" s="810">
        <v>1.6311</v>
      </c>
      <c r="H853" s="810">
        <v>1.6245</v>
      </c>
      <c r="I853" s="810">
        <v>1.6284</v>
      </c>
      <c r="J853" s="810">
        <v>1.5695</v>
      </c>
      <c r="K853" s="810">
        <v>1.5767</v>
      </c>
      <c r="L853" s="810">
        <v>1.6556</v>
      </c>
      <c r="M853" s="810">
        <v>1.7511</v>
      </c>
      <c r="N853" s="810">
        <v>1.704</v>
      </c>
      <c r="O853" s="810" t="s">
        <v>2434</v>
      </c>
      <c r="P853" s="100" t="s">
        <v>2691</v>
      </c>
      <c r="Q853" s="8"/>
      <c r="R853" s="8"/>
      <c r="S853" s="8"/>
    </row>
    <row r="854" ht="14.25" customHeight="1">
      <c r="A854" s="100" t="s">
        <v>2688</v>
      </c>
      <c r="B854" s="100" t="s">
        <v>2689</v>
      </c>
      <c r="C854" s="100" t="s">
        <v>2352</v>
      </c>
      <c r="D854" s="100" t="s">
        <v>2690</v>
      </c>
      <c r="E854" s="810">
        <v>48.8138</v>
      </c>
      <c r="F854" s="810">
        <v>45.6485</v>
      </c>
      <c r="G854" s="810">
        <v>44.3923</v>
      </c>
      <c r="H854" s="810">
        <v>41.2674</v>
      </c>
      <c r="I854" s="810">
        <v>38.6023</v>
      </c>
      <c r="J854" s="810">
        <v>39.0819</v>
      </c>
      <c r="K854" s="810">
        <v>39.4997</v>
      </c>
      <c r="L854" s="810">
        <v>43.2558</v>
      </c>
      <c r="M854" s="810">
        <v>45.2577</v>
      </c>
      <c r="N854" s="810">
        <v>45.9843</v>
      </c>
      <c r="O854" s="810" t="s">
        <v>2434</v>
      </c>
      <c r="P854" s="100" t="s">
        <v>2691</v>
      </c>
      <c r="Q854" s="8"/>
      <c r="R854" s="8"/>
      <c r="S854" s="8"/>
    </row>
    <row r="855" ht="14.25" customHeight="1">
      <c r="A855" s="100" t="s">
        <v>2688</v>
      </c>
      <c r="B855" s="100" t="s">
        <v>2689</v>
      </c>
      <c r="C855" s="100" t="s">
        <v>2400</v>
      </c>
      <c r="D855" s="100" t="s">
        <v>2690</v>
      </c>
      <c r="E855" s="810">
        <v>8.4117</v>
      </c>
      <c r="F855" s="810">
        <v>7.796</v>
      </c>
      <c r="G855" s="810">
        <v>7.2618</v>
      </c>
      <c r="H855" s="810">
        <v>6.9835</v>
      </c>
      <c r="I855" s="810">
        <v>6.8468</v>
      </c>
      <c r="J855" s="810">
        <v>6.9885</v>
      </c>
      <c r="K855" s="810">
        <v>6.7835</v>
      </c>
      <c r="L855" s="810">
        <v>6.7229</v>
      </c>
      <c r="M855" s="810">
        <v>6.8059</v>
      </c>
      <c r="N855" s="810">
        <v>6.8411</v>
      </c>
      <c r="O855" s="810" t="s">
        <v>2434</v>
      </c>
      <c r="P855" s="100" t="s">
        <v>2691</v>
      </c>
      <c r="Q855" s="8"/>
      <c r="R855" s="8"/>
      <c r="S855" s="8"/>
    </row>
    <row r="856" ht="14.25" customHeight="1">
      <c r="A856" s="100" t="s">
        <v>2688</v>
      </c>
      <c r="B856" s="100" t="s">
        <v>2689</v>
      </c>
      <c r="C856" s="100" t="s">
        <v>2416</v>
      </c>
      <c r="D856" s="100" t="s">
        <v>2690</v>
      </c>
      <c r="E856" s="810">
        <v>3.6518</v>
      </c>
      <c r="F856" s="810">
        <v>3.4804</v>
      </c>
      <c r="G856" s="810">
        <v>3.3378</v>
      </c>
      <c r="H856" s="810">
        <v>3.3879</v>
      </c>
      <c r="I856" s="810">
        <v>3.164</v>
      </c>
      <c r="J856" s="810">
        <v>3.2303</v>
      </c>
      <c r="K856" s="810">
        <v>3.1525</v>
      </c>
      <c r="L856" s="810">
        <v>3.1842</v>
      </c>
      <c r="M856" s="810">
        <v>3.13</v>
      </c>
      <c r="N856" s="810" t="s">
        <v>2434</v>
      </c>
      <c r="O856" s="810" t="s">
        <v>2434</v>
      </c>
      <c r="P856" s="100" t="s">
        <v>2691</v>
      </c>
      <c r="Q856" s="8"/>
      <c r="R856" s="8"/>
      <c r="S856" s="8"/>
    </row>
    <row r="857" ht="14.25" customHeight="1">
      <c r="A857" s="100" t="s">
        <v>2688</v>
      </c>
      <c r="B857" s="100" t="s">
        <v>2689</v>
      </c>
      <c r="C857" s="100" t="s">
        <v>2423</v>
      </c>
      <c r="D857" s="100" t="s">
        <v>2690</v>
      </c>
      <c r="E857" s="810">
        <v>5.8218</v>
      </c>
      <c r="F857" s="810">
        <v>5.3952</v>
      </c>
      <c r="G857" s="810">
        <v>5.3922</v>
      </c>
      <c r="H857" s="810">
        <v>5.4572</v>
      </c>
      <c r="I857" s="810">
        <v>5.0607</v>
      </c>
      <c r="J857" s="810">
        <v>4.9414</v>
      </c>
      <c r="K857" s="810">
        <v>4.9449</v>
      </c>
      <c r="L857" s="810">
        <v>4.909</v>
      </c>
      <c r="M857" s="810">
        <v>4.7801</v>
      </c>
      <c r="N857" s="810" t="s">
        <v>2434</v>
      </c>
      <c r="O857" s="810" t="s">
        <v>2434</v>
      </c>
      <c r="P857" s="100" t="s">
        <v>2691</v>
      </c>
      <c r="Q857" s="8"/>
      <c r="R857" s="8"/>
      <c r="S857" s="8"/>
    </row>
    <row r="858" ht="14.25" customHeight="1">
      <c r="A858" s="100" t="s">
        <v>2688</v>
      </c>
      <c r="B858" s="100" t="s">
        <v>2689</v>
      </c>
      <c r="C858" s="100" t="s">
        <v>2360</v>
      </c>
      <c r="D858" s="100" t="s">
        <v>2690</v>
      </c>
      <c r="E858" s="810">
        <v>61.8386</v>
      </c>
      <c r="F858" s="810">
        <v>57.4709</v>
      </c>
      <c r="G858" s="810">
        <v>57.0117</v>
      </c>
      <c r="H858" s="810">
        <v>57.2436</v>
      </c>
      <c r="I858" s="810">
        <v>56.9728</v>
      </c>
      <c r="J858" s="810">
        <v>54.9095</v>
      </c>
      <c r="K858" s="810">
        <v>52.049</v>
      </c>
      <c r="L858" s="810">
        <v>52.2868</v>
      </c>
      <c r="M858" s="810">
        <v>51.748</v>
      </c>
      <c r="N858" s="810">
        <v>49.9925</v>
      </c>
      <c r="O858" s="810" t="s">
        <v>2434</v>
      </c>
      <c r="P858" s="100" t="s">
        <v>2691</v>
      </c>
      <c r="Q858" s="8"/>
      <c r="R858" s="8"/>
      <c r="S858" s="8"/>
    </row>
    <row r="859" ht="14.25" customHeight="1">
      <c r="A859" s="100" t="s">
        <v>2688</v>
      </c>
      <c r="B859" s="100" t="s">
        <v>2689</v>
      </c>
      <c r="C859" s="100" t="s">
        <v>2535</v>
      </c>
      <c r="D859" s="100" t="s">
        <v>2690</v>
      </c>
      <c r="E859" s="810">
        <v>6.7687</v>
      </c>
      <c r="F859" s="810">
        <v>6.9582</v>
      </c>
      <c r="G859" s="810">
        <v>5.4984</v>
      </c>
      <c r="H859" s="810">
        <v>4.822</v>
      </c>
      <c r="I859" s="810">
        <v>4.4184</v>
      </c>
      <c r="J859" s="810">
        <v>5.3763</v>
      </c>
      <c r="K859" s="810">
        <v>6.1994</v>
      </c>
      <c r="L859" s="810">
        <v>6.2743</v>
      </c>
      <c r="M859" s="810">
        <v>7.0201</v>
      </c>
      <c r="N859" s="810">
        <v>6.5482</v>
      </c>
      <c r="O859" s="810" t="s">
        <v>2434</v>
      </c>
      <c r="P859" s="100" t="s">
        <v>2549</v>
      </c>
      <c r="Q859" s="8"/>
      <c r="R859" s="8"/>
      <c r="S859" s="8"/>
    </row>
    <row r="860" ht="14.25" customHeight="1">
      <c r="A860" s="100" t="s">
        <v>2692</v>
      </c>
      <c r="B860" s="100" t="s">
        <v>2693</v>
      </c>
      <c r="C860" s="100" t="s">
        <v>2317</v>
      </c>
      <c r="D860" s="100" t="s">
        <v>2690</v>
      </c>
      <c r="E860" s="810" t="str">
        <f t="shared" ref="E860:O860" si="70">#REF!</f>
        <v>#REF!</v>
      </c>
      <c r="F860" s="810" t="str">
        <f t="shared" si="70"/>
        <v>#REF!</v>
      </c>
      <c r="G860" s="810" t="str">
        <f t="shared" si="70"/>
        <v>#REF!</v>
      </c>
      <c r="H860" s="810" t="str">
        <f t="shared" si="70"/>
        <v>#REF!</v>
      </c>
      <c r="I860" s="810" t="str">
        <f t="shared" si="70"/>
        <v>#REF!</v>
      </c>
      <c r="J860" s="810" t="str">
        <f t="shared" si="70"/>
        <v>#REF!</v>
      </c>
      <c r="K860" s="810" t="str">
        <f t="shared" si="70"/>
        <v>#REF!</v>
      </c>
      <c r="L860" s="810" t="str">
        <f t="shared" si="70"/>
        <v>#REF!</v>
      </c>
      <c r="M860" s="810" t="str">
        <f t="shared" si="70"/>
        <v>#REF!</v>
      </c>
      <c r="N860" s="810" t="str">
        <f t="shared" si="70"/>
        <v>#REF!</v>
      </c>
      <c r="O860" s="810" t="str">
        <f t="shared" si="70"/>
        <v>#REF!</v>
      </c>
      <c r="P860" s="100" t="s">
        <v>2549</v>
      </c>
      <c r="Q860" s="8"/>
      <c r="R860" s="8"/>
      <c r="S860" s="8"/>
    </row>
    <row r="861" ht="14.25" customHeight="1">
      <c r="A861" s="100" t="str">
        <f t="shared" ref="A861:B861" si="71">A860</f>
        <v>tceecind</v>
      </c>
      <c r="B861" s="100" t="str">
        <f t="shared" si="71"/>
        <v>Total CO2 emissions of industry (including electricity and autoproducers)</v>
      </c>
      <c r="C861" s="100" t="s">
        <v>2507</v>
      </c>
      <c r="D861" s="100" t="str">
        <f>D860</f>
        <v>MtCO2</v>
      </c>
      <c r="E861" s="810" t="str">
        <f t="shared" ref="E861:O861" si="72">#REF!</f>
        <v>#REF!</v>
      </c>
      <c r="F861" s="810" t="str">
        <f t="shared" si="72"/>
        <v>#REF!</v>
      </c>
      <c r="G861" s="810" t="str">
        <f t="shared" si="72"/>
        <v>#REF!</v>
      </c>
      <c r="H861" s="810" t="str">
        <f t="shared" si="72"/>
        <v>#REF!</v>
      </c>
      <c r="I861" s="810" t="str">
        <f t="shared" si="72"/>
        <v>#REF!</v>
      </c>
      <c r="J861" s="810" t="str">
        <f t="shared" si="72"/>
        <v>#REF!</v>
      </c>
      <c r="K861" s="810" t="str">
        <f t="shared" si="72"/>
        <v>#REF!</v>
      </c>
      <c r="L861" s="810" t="str">
        <f t="shared" si="72"/>
        <v>#REF!</v>
      </c>
      <c r="M861" s="810" t="str">
        <f t="shared" si="72"/>
        <v>#REF!</v>
      </c>
      <c r="N861" s="810" t="str">
        <f t="shared" si="72"/>
        <v>#REF!</v>
      </c>
      <c r="O861" s="810" t="str">
        <f t="shared" si="72"/>
        <v>#REF!</v>
      </c>
      <c r="P861" s="100"/>
      <c r="Q861" s="8"/>
      <c r="R861" s="8"/>
      <c r="S861" s="8"/>
    </row>
    <row r="862" ht="14.25" customHeight="1">
      <c r="A862" s="100" t="s">
        <v>2692</v>
      </c>
      <c r="B862" s="100" t="s">
        <v>2693</v>
      </c>
      <c r="C862" s="100" t="s">
        <v>2325</v>
      </c>
      <c r="D862" s="100" t="s">
        <v>2690</v>
      </c>
      <c r="E862" s="810">
        <v>18.0272</v>
      </c>
      <c r="F862" s="810">
        <v>17.9187</v>
      </c>
      <c r="G862" s="810">
        <v>16.9106</v>
      </c>
      <c r="H862" s="810">
        <v>16.2637</v>
      </c>
      <c r="I862" s="810">
        <v>15.1753</v>
      </c>
      <c r="J862" s="810">
        <v>15.3271</v>
      </c>
      <c r="K862" s="810">
        <v>15.5437</v>
      </c>
      <c r="L862" s="810">
        <v>16.3339</v>
      </c>
      <c r="M862" s="810">
        <v>15.9164</v>
      </c>
      <c r="N862" s="810">
        <v>16.1716</v>
      </c>
      <c r="O862" s="810" t="s">
        <v>2434</v>
      </c>
      <c r="P862" s="100" t="s">
        <v>2549</v>
      </c>
      <c r="Q862" s="8"/>
      <c r="R862" s="8"/>
      <c r="S862" s="8"/>
    </row>
    <row r="863" ht="14.25" customHeight="1">
      <c r="A863" s="100" t="s">
        <v>2692</v>
      </c>
      <c r="B863" s="100" t="s">
        <v>2693</v>
      </c>
      <c r="C863" s="100" t="s">
        <v>2329</v>
      </c>
      <c r="D863" s="100" t="s">
        <v>2690</v>
      </c>
      <c r="E863" s="810">
        <v>25.793</v>
      </c>
      <c r="F863" s="810">
        <v>23.9303</v>
      </c>
      <c r="G863" s="810">
        <v>22.6127</v>
      </c>
      <c r="H863" s="810">
        <v>21.3855</v>
      </c>
      <c r="I863" s="810">
        <v>20.5287</v>
      </c>
      <c r="J863" s="810">
        <v>20.871</v>
      </c>
      <c r="K863" s="810">
        <v>20.1952</v>
      </c>
      <c r="L863" s="810">
        <v>20.3034</v>
      </c>
      <c r="M863" s="810">
        <v>20.7023</v>
      </c>
      <c r="N863" s="810">
        <v>20.907</v>
      </c>
      <c r="O863" s="810" t="s">
        <v>2434</v>
      </c>
      <c r="P863" s="100" t="s">
        <v>2549</v>
      </c>
      <c r="Q863" s="8"/>
      <c r="R863" s="8"/>
      <c r="S863" s="8"/>
    </row>
    <row r="864" ht="14.25" customHeight="1">
      <c r="A864" s="100" t="s">
        <v>2692</v>
      </c>
      <c r="B864" s="100" t="s">
        <v>2693</v>
      </c>
      <c r="C864" s="100" t="s">
        <v>2333</v>
      </c>
      <c r="D864" s="100" t="s">
        <v>2690</v>
      </c>
      <c r="E864" s="810">
        <v>11.4294</v>
      </c>
      <c r="F864" s="810">
        <v>12.5738</v>
      </c>
      <c r="G864" s="810">
        <v>11.0133</v>
      </c>
      <c r="H864" s="810">
        <v>10.2641</v>
      </c>
      <c r="I864" s="810">
        <v>10.8416</v>
      </c>
      <c r="J864" s="810">
        <v>11.3543</v>
      </c>
      <c r="K864" s="810">
        <v>10.1999</v>
      </c>
      <c r="L864" s="810">
        <v>11.3814</v>
      </c>
      <c r="M864" s="810">
        <v>11.417</v>
      </c>
      <c r="N864" s="810">
        <v>10.7666</v>
      </c>
      <c r="O864" s="810" t="s">
        <v>2434</v>
      </c>
      <c r="P864" s="100" t="s">
        <v>2549</v>
      </c>
      <c r="Q864" s="8"/>
      <c r="R864" s="8"/>
      <c r="S864" s="8"/>
    </row>
    <row r="865" ht="14.25" customHeight="1">
      <c r="A865" s="100" t="s">
        <v>2692</v>
      </c>
      <c r="B865" s="100" t="s">
        <v>2693</v>
      </c>
      <c r="C865" s="100" t="s">
        <v>2364</v>
      </c>
      <c r="D865" s="100" t="s">
        <v>2690</v>
      </c>
      <c r="E865" s="810">
        <v>3.8875</v>
      </c>
      <c r="F865" s="810">
        <v>3.6757</v>
      </c>
      <c r="G865" s="810">
        <v>3.1691</v>
      </c>
      <c r="H865" s="810">
        <v>3.1405</v>
      </c>
      <c r="I865" s="810">
        <v>3.0058</v>
      </c>
      <c r="J865" s="810">
        <v>2.9242</v>
      </c>
      <c r="K865" s="810">
        <v>2.9907</v>
      </c>
      <c r="L865" s="810">
        <v>3.1136</v>
      </c>
      <c r="M865" s="810">
        <v>2.9805</v>
      </c>
      <c r="N865" s="810">
        <v>3.057</v>
      </c>
      <c r="O865" s="810" t="s">
        <v>2434</v>
      </c>
      <c r="P865" s="100" t="s">
        <v>2549</v>
      </c>
      <c r="Q865" s="8"/>
      <c r="R865" s="8"/>
      <c r="S865" s="8"/>
    </row>
    <row r="866" ht="14.25" customHeight="1">
      <c r="A866" s="100" t="s">
        <v>2692</v>
      </c>
      <c r="B866" s="100" t="s">
        <v>2693</v>
      </c>
      <c r="C866" s="100" t="s">
        <v>2337</v>
      </c>
      <c r="D866" s="100" t="s">
        <v>2690</v>
      </c>
      <c r="E866" s="810">
        <v>1.3539</v>
      </c>
      <c r="F866" s="810">
        <v>1.1915</v>
      </c>
      <c r="G866" s="810">
        <v>0.9602</v>
      </c>
      <c r="H866" s="810">
        <v>0.9535</v>
      </c>
      <c r="I866" s="810">
        <v>1.1659</v>
      </c>
      <c r="J866" s="810">
        <v>1.0927</v>
      </c>
      <c r="K866" s="810">
        <v>1.194</v>
      </c>
      <c r="L866" s="810">
        <v>1.2224</v>
      </c>
      <c r="M866" s="810">
        <v>1.1689</v>
      </c>
      <c r="N866" s="810">
        <v>1.1326</v>
      </c>
      <c r="O866" s="810" t="s">
        <v>2434</v>
      </c>
      <c r="P866" s="100" t="s">
        <v>2549</v>
      </c>
      <c r="Q866" s="8"/>
      <c r="R866" s="8"/>
      <c r="S866" s="8"/>
    </row>
    <row r="867" ht="14.25" customHeight="1">
      <c r="A867" s="100" t="s">
        <v>2692</v>
      </c>
      <c r="B867" s="100" t="s">
        <v>2693</v>
      </c>
      <c r="C867" s="100" t="s">
        <v>2341</v>
      </c>
      <c r="D867" s="100" t="s">
        <v>2690</v>
      </c>
      <c r="E867" s="810">
        <v>36.213</v>
      </c>
      <c r="F867" s="810">
        <v>35.6142</v>
      </c>
      <c r="G867" s="810">
        <v>33.8464</v>
      </c>
      <c r="H867" s="810">
        <v>31.0985</v>
      </c>
      <c r="I867" s="810">
        <v>30.7252</v>
      </c>
      <c r="J867" s="810">
        <v>30.8848</v>
      </c>
      <c r="K867" s="810">
        <v>30.8724</v>
      </c>
      <c r="L867" s="810">
        <v>31.4965</v>
      </c>
      <c r="M867" s="810">
        <v>31.0481</v>
      </c>
      <c r="N867" s="810">
        <v>28.6988</v>
      </c>
      <c r="O867" s="810" t="s">
        <v>2434</v>
      </c>
      <c r="P867" s="100" t="s">
        <v>2549</v>
      </c>
      <c r="Q867" s="8"/>
      <c r="R867" s="8"/>
      <c r="S867" s="8"/>
    </row>
    <row r="868" ht="14.25" customHeight="1">
      <c r="A868" s="100" t="s">
        <v>2692</v>
      </c>
      <c r="B868" s="100" t="s">
        <v>2693</v>
      </c>
      <c r="C868" s="100" t="s">
        <v>2348</v>
      </c>
      <c r="D868" s="100" t="s">
        <v>2690</v>
      </c>
      <c r="E868" s="810">
        <v>9.9275</v>
      </c>
      <c r="F868" s="810">
        <v>8.919</v>
      </c>
      <c r="G868" s="810">
        <v>7.6626</v>
      </c>
      <c r="H868" s="810">
        <v>8.0174</v>
      </c>
      <c r="I868" s="810">
        <v>7.0949</v>
      </c>
      <c r="J868" s="810">
        <v>6.2563</v>
      </c>
      <c r="K868" s="810">
        <v>6.6922</v>
      </c>
      <c r="L868" s="810">
        <v>6.1972</v>
      </c>
      <c r="M868" s="810">
        <v>6.2147</v>
      </c>
      <c r="N868" s="810">
        <v>5.2562</v>
      </c>
      <c r="O868" s="810" t="s">
        <v>2434</v>
      </c>
      <c r="P868" s="100" t="s">
        <v>2549</v>
      </c>
      <c r="Q868" s="8"/>
      <c r="R868" s="8"/>
      <c r="S868" s="8"/>
    </row>
    <row r="869" ht="14.25" customHeight="1">
      <c r="A869" s="100" t="s">
        <v>2692</v>
      </c>
      <c r="B869" s="100" t="s">
        <v>2693</v>
      </c>
      <c r="C869" s="100" t="s">
        <v>2350</v>
      </c>
      <c r="D869" s="100" t="s">
        <v>2690</v>
      </c>
      <c r="E869" s="810">
        <v>4.8082</v>
      </c>
      <c r="F869" s="810">
        <v>4.7603</v>
      </c>
      <c r="G869" s="810">
        <v>4.4231</v>
      </c>
      <c r="H869" s="810">
        <v>5.1477</v>
      </c>
      <c r="I869" s="810">
        <v>4.6093</v>
      </c>
      <c r="J869" s="810">
        <v>3.7117</v>
      </c>
      <c r="K869" s="810">
        <v>3.8056</v>
      </c>
      <c r="L869" s="810">
        <v>4.1475</v>
      </c>
      <c r="M869" s="810">
        <v>4.0371</v>
      </c>
      <c r="N869" s="810">
        <v>2.2226</v>
      </c>
      <c r="O869" s="810" t="s">
        <v>2434</v>
      </c>
      <c r="P869" s="100" t="s">
        <v>2549</v>
      </c>
      <c r="Q869" s="8"/>
      <c r="R869" s="8"/>
      <c r="S869" s="8"/>
    </row>
    <row r="870" ht="14.25" customHeight="1">
      <c r="A870" s="100" t="s">
        <v>2692</v>
      </c>
      <c r="B870" s="100" t="s">
        <v>2693</v>
      </c>
      <c r="C870" s="100" t="s">
        <v>2354</v>
      </c>
      <c r="D870" s="100" t="s">
        <v>2690</v>
      </c>
      <c r="E870" s="810">
        <v>23.9154</v>
      </c>
      <c r="F870" s="810">
        <v>20.8264</v>
      </c>
      <c r="G870" s="810">
        <v>17.0113</v>
      </c>
      <c r="H870" s="810">
        <v>17.9798</v>
      </c>
      <c r="I870" s="810">
        <v>15.3702</v>
      </c>
      <c r="J870" s="810">
        <v>13.6189</v>
      </c>
      <c r="K870" s="810">
        <v>14.1151</v>
      </c>
      <c r="L870" s="810">
        <v>13.3614</v>
      </c>
      <c r="M870" s="810">
        <v>13.9348</v>
      </c>
      <c r="N870" s="810">
        <v>12.6912</v>
      </c>
      <c r="O870" s="810" t="s">
        <v>2434</v>
      </c>
      <c r="P870" s="100" t="s">
        <v>2549</v>
      </c>
      <c r="Q870" s="8"/>
      <c r="R870" s="8"/>
      <c r="S870" s="8"/>
    </row>
    <row r="871" ht="14.25" customHeight="1">
      <c r="A871" s="100" t="s">
        <v>2692</v>
      </c>
      <c r="B871" s="100" t="s">
        <v>2693</v>
      </c>
      <c r="C871" s="100" t="s">
        <v>2356</v>
      </c>
      <c r="D871" s="100" t="s">
        <v>2690</v>
      </c>
      <c r="E871" s="810">
        <v>70.1365</v>
      </c>
      <c r="F871" s="810">
        <v>67.7614</v>
      </c>
      <c r="G871" s="810">
        <v>67.6618</v>
      </c>
      <c r="H871" s="810">
        <v>64.9276</v>
      </c>
      <c r="I871" s="810">
        <v>58.9809</v>
      </c>
      <c r="J871" s="810">
        <v>59.0556</v>
      </c>
      <c r="K871" s="810">
        <v>60.9256</v>
      </c>
      <c r="L871" s="810">
        <v>60.205</v>
      </c>
      <c r="M871" s="810">
        <v>59.4301</v>
      </c>
      <c r="N871" s="810">
        <v>56.7067</v>
      </c>
      <c r="O871" s="810" t="s">
        <v>2434</v>
      </c>
      <c r="P871" s="100" t="s">
        <v>2549</v>
      </c>
      <c r="Q871" s="8"/>
      <c r="R871" s="8"/>
      <c r="S871" s="8"/>
    </row>
    <row r="872" ht="14.25" customHeight="1">
      <c r="A872" s="100" t="s">
        <v>2692</v>
      </c>
      <c r="B872" s="100" t="s">
        <v>2693</v>
      </c>
      <c r="C872" s="100" t="s">
        <v>2344</v>
      </c>
      <c r="D872" s="100" t="s">
        <v>2690</v>
      </c>
      <c r="E872" s="810">
        <v>260.6265</v>
      </c>
      <c r="F872" s="810">
        <v>260.3319</v>
      </c>
      <c r="G872" s="810">
        <v>260.5787</v>
      </c>
      <c r="H872" s="810">
        <v>265.0065</v>
      </c>
      <c r="I872" s="810">
        <v>257.7567</v>
      </c>
      <c r="J872" s="810">
        <v>262.9902</v>
      </c>
      <c r="K872" s="810">
        <v>265.358</v>
      </c>
      <c r="L872" s="810">
        <v>258.1453</v>
      </c>
      <c r="M872" s="810">
        <v>246.8734</v>
      </c>
      <c r="N872" s="810">
        <v>225.1691</v>
      </c>
      <c r="O872" s="810" t="s">
        <v>2434</v>
      </c>
      <c r="P872" s="100" t="s">
        <v>2549</v>
      </c>
      <c r="Q872" s="8"/>
      <c r="R872" s="8"/>
      <c r="S872" s="8"/>
    </row>
    <row r="873" ht="14.25" customHeight="1">
      <c r="A873" s="100" t="s">
        <v>2692</v>
      </c>
      <c r="B873" s="100" t="s">
        <v>2693</v>
      </c>
      <c r="C873" s="100" t="s">
        <v>2362</v>
      </c>
      <c r="D873" s="100" t="s">
        <v>2690</v>
      </c>
      <c r="E873" s="810">
        <v>17.5823</v>
      </c>
      <c r="F873" s="810">
        <v>16.5175</v>
      </c>
      <c r="G873" s="810">
        <v>14.6316</v>
      </c>
      <c r="H873" s="810">
        <v>13.6221</v>
      </c>
      <c r="I873" s="810">
        <v>13.9074</v>
      </c>
      <c r="J873" s="810">
        <v>12.5388</v>
      </c>
      <c r="K873" s="810">
        <v>11.1564</v>
      </c>
      <c r="L873" s="810">
        <v>12.381</v>
      </c>
      <c r="M873" s="810">
        <v>12.1529</v>
      </c>
      <c r="N873" s="810">
        <v>10.2979</v>
      </c>
      <c r="O873" s="810" t="s">
        <v>2434</v>
      </c>
      <c r="P873" s="100" t="s">
        <v>2549</v>
      </c>
      <c r="Q873" s="8"/>
      <c r="R873" s="8"/>
      <c r="S873" s="8"/>
    </row>
    <row r="874" ht="14.25" customHeight="1">
      <c r="A874" s="100" t="s">
        <v>2692</v>
      </c>
      <c r="B874" s="100" t="s">
        <v>2693</v>
      </c>
      <c r="C874" s="100" t="s">
        <v>2367</v>
      </c>
      <c r="D874" s="100" t="s">
        <v>2690</v>
      </c>
      <c r="E874" s="810">
        <v>7.5353</v>
      </c>
      <c r="F874" s="810">
        <v>7.4104</v>
      </c>
      <c r="G874" s="810">
        <v>8.4913</v>
      </c>
      <c r="H874" s="810">
        <v>8.5009</v>
      </c>
      <c r="I874" s="810">
        <v>8.2049</v>
      </c>
      <c r="J874" s="810">
        <v>8.5197</v>
      </c>
      <c r="K874" s="810">
        <v>9.2524</v>
      </c>
      <c r="L874" s="810">
        <v>9.4515</v>
      </c>
      <c r="M874" s="810">
        <v>9.4596</v>
      </c>
      <c r="N874" s="810">
        <v>9.4551</v>
      </c>
      <c r="O874" s="810" t="s">
        <v>2434</v>
      </c>
      <c r="P874" s="100" t="s">
        <v>2549</v>
      </c>
      <c r="Q874" s="8"/>
      <c r="R874" s="8"/>
      <c r="S874" s="8"/>
    </row>
    <row r="875" ht="14.25" customHeight="1">
      <c r="A875" s="100" t="s">
        <v>2692</v>
      </c>
      <c r="B875" s="100" t="s">
        <v>2693</v>
      </c>
      <c r="C875" s="100" t="s">
        <v>2369</v>
      </c>
      <c r="D875" s="100" t="s">
        <v>2690</v>
      </c>
      <c r="E875" s="810">
        <v>7.2848</v>
      </c>
      <c r="F875" s="810">
        <v>6.5171</v>
      </c>
      <c r="G875" s="810">
        <v>6.7435</v>
      </c>
      <c r="H875" s="810">
        <v>6.6294</v>
      </c>
      <c r="I875" s="810">
        <v>7.3876</v>
      </c>
      <c r="J875" s="810">
        <v>7.4478</v>
      </c>
      <c r="K875" s="810">
        <v>7.9262</v>
      </c>
      <c r="L875" s="810">
        <v>7.7683</v>
      </c>
      <c r="M875" s="810">
        <v>7.6076</v>
      </c>
      <c r="N875" s="810">
        <v>7.1897</v>
      </c>
      <c r="O875" s="810" t="s">
        <v>2434</v>
      </c>
      <c r="P875" s="100" t="s">
        <v>2549</v>
      </c>
      <c r="Q875" s="8"/>
      <c r="R875" s="8"/>
      <c r="S875" s="8"/>
    </row>
    <row r="876" ht="14.25" customHeight="1">
      <c r="A876" s="100" t="s">
        <v>2692</v>
      </c>
      <c r="B876" s="100" t="s">
        <v>2693</v>
      </c>
      <c r="C876" s="100" t="s">
        <v>2374</v>
      </c>
      <c r="D876" s="100" t="s">
        <v>2690</v>
      </c>
      <c r="E876" s="810">
        <v>124.4824</v>
      </c>
      <c r="F876" s="810">
        <v>124.4108</v>
      </c>
      <c r="G876" s="810">
        <v>115.7366</v>
      </c>
      <c r="H876" s="810">
        <v>98.4295</v>
      </c>
      <c r="I876" s="810">
        <v>91.3784</v>
      </c>
      <c r="J876" s="810">
        <v>95.4571</v>
      </c>
      <c r="K876" s="810">
        <v>94.6139</v>
      </c>
      <c r="L876" s="810">
        <v>93.6948</v>
      </c>
      <c r="M876" s="810">
        <v>91.7295</v>
      </c>
      <c r="N876" s="810">
        <v>86.3169</v>
      </c>
      <c r="O876" s="810" t="s">
        <v>2434</v>
      </c>
      <c r="P876" s="100" t="s">
        <v>2549</v>
      </c>
      <c r="Q876" s="8"/>
      <c r="R876" s="8"/>
      <c r="S876" s="8"/>
    </row>
    <row r="877" ht="14.25" customHeight="1">
      <c r="A877" s="100" t="s">
        <v>2692</v>
      </c>
      <c r="B877" s="100" t="s">
        <v>2693</v>
      </c>
      <c r="C877" s="100" t="s">
        <v>2386</v>
      </c>
      <c r="D877" s="100" t="s">
        <v>2690</v>
      </c>
      <c r="E877" s="810">
        <v>1.5584</v>
      </c>
      <c r="F877" s="810">
        <v>1.3494</v>
      </c>
      <c r="G877" s="810">
        <v>1.3835</v>
      </c>
      <c r="H877" s="810">
        <v>1.2644</v>
      </c>
      <c r="I877" s="810">
        <v>1.1014</v>
      </c>
      <c r="J877" s="810">
        <v>1.0959</v>
      </c>
      <c r="K877" s="810">
        <v>1.0385</v>
      </c>
      <c r="L877" s="810">
        <v>0.9499</v>
      </c>
      <c r="M877" s="810">
        <v>1.166</v>
      </c>
      <c r="N877" s="810">
        <v>1.0628</v>
      </c>
      <c r="O877" s="810" t="s">
        <v>2434</v>
      </c>
      <c r="P877" s="100" t="s">
        <v>2549</v>
      </c>
      <c r="Q877" s="8"/>
      <c r="R877" s="8"/>
      <c r="S877" s="8"/>
    </row>
    <row r="878" ht="14.25" customHeight="1">
      <c r="A878" s="100" t="s">
        <v>2692</v>
      </c>
      <c r="B878" s="100" t="s">
        <v>2693</v>
      </c>
      <c r="C878" s="100" t="s">
        <v>2378</v>
      </c>
      <c r="D878" s="100" t="s">
        <v>2690</v>
      </c>
      <c r="E878" s="810">
        <v>2.2464</v>
      </c>
      <c r="F878" s="810">
        <v>2.1463</v>
      </c>
      <c r="G878" s="810">
        <v>2.2903</v>
      </c>
      <c r="H878" s="810">
        <v>2.068</v>
      </c>
      <c r="I878" s="810">
        <v>1.8185</v>
      </c>
      <c r="J878" s="810">
        <v>1.6686</v>
      </c>
      <c r="K878" s="810">
        <v>1.5374</v>
      </c>
      <c r="L878" s="810">
        <v>1.4734</v>
      </c>
      <c r="M878" s="810">
        <v>1.5315</v>
      </c>
      <c r="N878" s="810">
        <v>1.5798</v>
      </c>
      <c r="O878" s="810" t="s">
        <v>2434</v>
      </c>
      <c r="P878" s="100" t="s">
        <v>2549</v>
      </c>
      <c r="Q878" s="8"/>
      <c r="R878" s="8"/>
      <c r="S878" s="8"/>
    </row>
    <row r="879" ht="14.25" customHeight="1">
      <c r="A879" s="100" t="s">
        <v>2692</v>
      </c>
      <c r="B879" s="100" t="s">
        <v>2693</v>
      </c>
      <c r="C879" s="100" t="s">
        <v>2383</v>
      </c>
      <c r="D879" s="100" t="s">
        <v>2690</v>
      </c>
      <c r="E879" s="810">
        <v>1.9621</v>
      </c>
      <c r="F879" s="810">
        <v>1.8255</v>
      </c>
      <c r="G879" s="810">
        <v>1.739</v>
      </c>
      <c r="H879" s="810">
        <v>1.503</v>
      </c>
      <c r="I879" s="810">
        <v>1.4878</v>
      </c>
      <c r="J879" s="810">
        <v>1.3435</v>
      </c>
      <c r="K879" s="810">
        <v>1.2859</v>
      </c>
      <c r="L879" s="810">
        <v>1.253</v>
      </c>
      <c r="M879" s="810">
        <v>1.2602</v>
      </c>
      <c r="N879" s="810">
        <v>1.2721</v>
      </c>
      <c r="O879" s="810" t="s">
        <v>2434</v>
      </c>
      <c r="P879" s="100" t="s">
        <v>2549</v>
      </c>
      <c r="Q879" s="8"/>
      <c r="R879" s="8"/>
      <c r="S879" s="8"/>
    </row>
    <row r="880" ht="14.25" customHeight="1">
      <c r="A880" s="100" t="s">
        <v>2692</v>
      </c>
      <c r="B880" s="100" t="s">
        <v>2693</v>
      </c>
      <c r="C880" s="100" t="s">
        <v>2389</v>
      </c>
      <c r="D880" s="100" t="s">
        <v>2690</v>
      </c>
      <c r="E880" s="810">
        <v>0.5545</v>
      </c>
      <c r="F880" s="810">
        <v>0.5625</v>
      </c>
      <c r="G880" s="810">
        <v>0.5904</v>
      </c>
      <c r="H880" s="810">
        <v>0.5281</v>
      </c>
      <c r="I880" s="810">
        <v>0.5175</v>
      </c>
      <c r="J880" s="810">
        <v>0.3029</v>
      </c>
      <c r="K880" s="810">
        <v>0.2221</v>
      </c>
      <c r="L880" s="810">
        <v>0.2613</v>
      </c>
      <c r="M880" s="810">
        <v>0.2471</v>
      </c>
      <c r="N880" s="810">
        <v>0.2543</v>
      </c>
      <c r="O880" s="810" t="s">
        <v>2434</v>
      </c>
      <c r="P880" s="100" t="s">
        <v>2549</v>
      </c>
      <c r="Q880" s="8"/>
      <c r="R880" s="8"/>
      <c r="S880" s="8"/>
    </row>
    <row r="881" ht="14.25" customHeight="1">
      <c r="A881" s="100" t="s">
        <v>2692</v>
      </c>
      <c r="B881" s="100" t="s">
        <v>2693</v>
      </c>
      <c r="C881" s="100" t="s">
        <v>2391</v>
      </c>
      <c r="D881" s="100" t="s">
        <v>2690</v>
      </c>
      <c r="E881" s="810">
        <v>48.7765</v>
      </c>
      <c r="F881" s="810">
        <v>46.8312</v>
      </c>
      <c r="G881" s="810">
        <v>44.6913</v>
      </c>
      <c r="H881" s="810">
        <v>43.2365</v>
      </c>
      <c r="I881" s="810">
        <v>43.0913</v>
      </c>
      <c r="J881" s="810">
        <v>43.9575</v>
      </c>
      <c r="K881" s="810">
        <v>46.2399</v>
      </c>
      <c r="L881" s="810">
        <v>46.6066</v>
      </c>
      <c r="M881" s="810">
        <v>44.4099</v>
      </c>
      <c r="N881" s="810">
        <v>43.019</v>
      </c>
      <c r="O881" s="810" t="s">
        <v>2434</v>
      </c>
      <c r="P881" s="100" t="s">
        <v>2549</v>
      </c>
      <c r="Q881" s="8"/>
      <c r="R881" s="8"/>
      <c r="S881" s="8"/>
    </row>
    <row r="882" ht="14.25" customHeight="1">
      <c r="A882" s="100" t="s">
        <v>2692</v>
      </c>
      <c r="B882" s="100" t="s">
        <v>2693</v>
      </c>
      <c r="C882" s="100" t="s">
        <v>2393</v>
      </c>
      <c r="D882" s="100" t="s">
        <v>2690</v>
      </c>
      <c r="E882" s="810">
        <v>82.232</v>
      </c>
      <c r="F882" s="810">
        <v>85.7316</v>
      </c>
      <c r="G882" s="810">
        <v>83.0305</v>
      </c>
      <c r="H882" s="810">
        <v>85.742</v>
      </c>
      <c r="I882" s="810">
        <v>82.2432</v>
      </c>
      <c r="J882" s="810">
        <v>82.9988</v>
      </c>
      <c r="K882" s="810">
        <v>83.4157</v>
      </c>
      <c r="L882" s="810">
        <v>89.611</v>
      </c>
      <c r="M882" s="810">
        <v>90.3643</v>
      </c>
      <c r="N882" s="810">
        <v>85.3812</v>
      </c>
      <c r="O882" s="810" t="s">
        <v>2434</v>
      </c>
      <c r="P882" s="100" t="s">
        <v>2549</v>
      </c>
      <c r="Q882" s="8"/>
      <c r="R882" s="8"/>
      <c r="S882" s="8"/>
    </row>
    <row r="883" ht="14.25" customHeight="1">
      <c r="A883" s="100" t="s">
        <v>2692</v>
      </c>
      <c r="B883" s="100" t="s">
        <v>2693</v>
      </c>
      <c r="C883" s="100" t="s">
        <v>2395</v>
      </c>
      <c r="D883" s="100" t="s">
        <v>2690</v>
      </c>
      <c r="E883" s="810">
        <v>14.0348</v>
      </c>
      <c r="F883" s="810">
        <v>14.0607</v>
      </c>
      <c r="G883" s="810">
        <v>13.3784</v>
      </c>
      <c r="H883" s="810">
        <v>12.5752</v>
      </c>
      <c r="I883" s="810">
        <v>12.597</v>
      </c>
      <c r="J883" s="810">
        <v>14.0188</v>
      </c>
      <c r="K883" s="810">
        <v>13.2559</v>
      </c>
      <c r="L883" s="810">
        <v>14.9449</v>
      </c>
      <c r="M883" s="810">
        <v>13.7486</v>
      </c>
      <c r="N883" s="810">
        <v>12.3743</v>
      </c>
      <c r="O883" s="810" t="s">
        <v>2434</v>
      </c>
      <c r="P883" s="100" t="s">
        <v>2549</v>
      </c>
      <c r="Q883" s="8"/>
      <c r="R883" s="8"/>
      <c r="S883" s="8"/>
    </row>
    <row r="884" ht="14.25" customHeight="1">
      <c r="A884" s="100" t="s">
        <v>2692</v>
      </c>
      <c r="B884" s="100" t="s">
        <v>2693</v>
      </c>
      <c r="C884" s="100" t="s">
        <v>2397</v>
      </c>
      <c r="D884" s="100" t="s">
        <v>2690</v>
      </c>
      <c r="E884" s="810">
        <v>27.1622</v>
      </c>
      <c r="F884" s="810">
        <v>32.3873</v>
      </c>
      <c r="G884" s="810">
        <v>30.926</v>
      </c>
      <c r="H884" s="810">
        <v>26.63</v>
      </c>
      <c r="I884" s="810">
        <v>25.9289</v>
      </c>
      <c r="J884" s="810">
        <v>27.5248</v>
      </c>
      <c r="K884" s="810">
        <v>25.7712</v>
      </c>
      <c r="L884" s="810">
        <v>26.3365</v>
      </c>
      <c r="M884" s="810">
        <v>27.1636</v>
      </c>
      <c r="N884" s="810">
        <v>24.8409</v>
      </c>
      <c r="O884" s="810" t="s">
        <v>2434</v>
      </c>
      <c r="P884" s="100" t="s">
        <v>2549</v>
      </c>
      <c r="Q884" s="8"/>
      <c r="R884" s="8"/>
      <c r="S884" s="8"/>
    </row>
    <row r="885" ht="14.25" customHeight="1">
      <c r="A885" s="100" t="s">
        <v>2692</v>
      </c>
      <c r="B885" s="100" t="s">
        <v>2693</v>
      </c>
      <c r="C885" s="100" t="s">
        <v>2411</v>
      </c>
      <c r="D885" s="100" t="s">
        <v>2690</v>
      </c>
      <c r="E885" s="810">
        <v>11.0894</v>
      </c>
      <c r="F885" s="810">
        <v>12.2476</v>
      </c>
      <c r="G885" s="810">
        <v>10.7036</v>
      </c>
      <c r="H885" s="810">
        <v>10.3867</v>
      </c>
      <c r="I885" s="810">
        <v>10.2658</v>
      </c>
      <c r="J885" s="810">
        <v>9.6261</v>
      </c>
      <c r="K885" s="810">
        <v>9.5095</v>
      </c>
      <c r="L885" s="810">
        <v>10.0212</v>
      </c>
      <c r="M885" s="810">
        <v>10.3021</v>
      </c>
      <c r="N885" s="810">
        <v>8.8711</v>
      </c>
      <c r="O885" s="810" t="s">
        <v>2434</v>
      </c>
      <c r="P885" s="100" t="s">
        <v>2549</v>
      </c>
      <c r="Q885" s="8"/>
      <c r="R885" s="8"/>
      <c r="S885" s="8"/>
    </row>
    <row r="886" ht="14.25" customHeight="1">
      <c r="A886" s="100" t="s">
        <v>2692</v>
      </c>
      <c r="B886" s="100" t="s">
        <v>2693</v>
      </c>
      <c r="C886" s="100" t="s">
        <v>2406</v>
      </c>
      <c r="D886" s="100" t="s">
        <v>2690</v>
      </c>
      <c r="E886" s="810">
        <v>4.691</v>
      </c>
      <c r="F886" s="810">
        <v>4.6006</v>
      </c>
      <c r="G886" s="810">
        <v>4.4459</v>
      </c>
      <c r="H886" s="810">
        <v>4.3076</v>
      </c>
      <c r="I886" s="810">
        <v>3.7895</v>
      </c>
      <c r="J886" s="810">
        <v>3.7454</v>
      </c>
      <c r="K886" s="810">
        <v>3.8923</v>
      </c>
      <c r="L886" s="810">
        <v>3.9693</v>
      </c>
      <c r="M886" s="810">
        <v>3.9976</v>
      </c>
      <c r="N886" s="810">
        <v>3.8302</v>
      </c>
      <c r="O886" s="810" t="s">
        <v>2434</v>
      </c>
      <c r="P886" s="100" t="s">
        <v>2549</v>
      </c>
      <c r="Q886" s="8"/>
      <c r="R886" s="8"/>
      <c r="S886" s="8"/>
    </row>
    <row r="887" ht="14.25" customHeight="1">
      <c r="A887" s="100" t="s">
        <v>2692</v>
      </c>
      <c r="B887" s="100" t="s">
        <v>2693</v>
      </c>
      <c r="C887" s="100" t="s">
        <v>2352</v>
      </c>
      <c r="D887" s="100" t="s">
        <v>2690</v>
      </c>
      <c r="E887" s="810">
        <v>69.7865</v>
      </c>
      <c r="F887" s="810">
        <v>71.0747</v>
      </c>
      <c r="G887" s="810">
        <v>71.2033</v>
      </c>
      <c r="H887" s="810">
        <v>61.9456</v>
      </c>
      <c r="I887" s="810">
        <v>60.0557</v>
      </c>
      <c r="J887" s="810">
        <v>64.9341</v>
      </c>
      <c r="K887" s="810">
        <v>61.0845</v>
      </c>
      <c r="L887" s="810">
        <v>69.0728</v>
      </c>
      <c r="M887" s="810">
        <v>67.6421</v>
      </c>
      <c r="N887" s="810">
        <v>63.487</v>
      </c>
      <c r="O887" s="810" t="s">
        <v>2434</v>
      </c>
      <c r="P887" s="100" t="s">
        <v>2549</v>
      </c>
      <c r="Q887" s="8"/>
      <c r="R887" s="8"/>
      <c r="S887" s="8"/>
    </row>
    <row r="888" ht="14.25" customHeight="1">
      <c r="A888" s="100" t="s">
        <v>2692</v>
      </c>
      <c r="B888" s="100" t="s">
        <v>2693</v>
      </c>
      <c r="C888" s="100" t="s">
        <v>2400</v>
      </c>
      <c r="D888" s="100" t="s">
        <v>2690</v>
      </c>
      <c r="E888" s="810">
        <v>11.9732</v>
      </c>
      <c r="F888" s="810">
        <v>10.7562</v>
      </c>
      <c r="G888" s="810">
        <v>9.7249</v>
      </c>
      <c r="H888" s="810">
        <v>9.4621</v>
      </c>
      <c r="I888" s="810">
        <v>8.9706</v>
      </c>
      <c r="J888" s="810">
        <v>9.0205</v>
      </c>
      <c r="K888" s="810">
        <v>9.0343</v>
      </c>
      <c r="L888" s="810">
        <v>9.021</v>
      </c>
      <c r="M888" s="810">
        <v>9.2129</v>
      </c>
      <c r="N888" s="810">
        <v>8.8275</v>
      </c>
      <c r="O888" s="810" t="s">
        <v>2434</v>
      </c>
      <c r="P888" s="100" t="s">
        <v>2549</v>
      </c>
      <c r="Q888" s="8"/>
      <c r="R888" s="8"/>
      <c r="S888" s="8"/>
    </row>
    <row r="889" ht="14.25" customHeight="1">
      <c r="A889" s="100" t="s">
        <v>2692</v>
      </c>
      <c r="B889" s="100" t="s">
        <v>2693</v>
      </c>
      <c r="C889" s="100" t="s">
        <v>2416</v>
      </c>
      <c r="D889" s="100" t="s">
        <v>2690</v>
      </c>
      <c r="E889" s="810">
        <v>4.8062</v>
      </c>
      <c r="F889" s="810">
        <v>4.3958</v>
      </c>
      <c r="G889" s="810">
        <v>3.8405</v>
      </c>
      <c r="H889" s="810">
        <v>3.9033</v>
      </c>
      <c r="I889" s="810">
        <v>3.7392</v>
      </c>
      <c r="J889" s="810">
        <v>3.797</v>
      </c>
      <c r="K889" s="810">
        <v>3.7163</v>
      </c>
      <c r="L889" s="810">
        <v>3.7666</v>
      </c>
      <c r="M889" s="810">
        <v>3.7105</v>
      </c>
      <c r="N889" s="810" t="s">
        <v>2434</v>
      </c>
      <c r="O889" s="810" t="s">
        <v>2434</v>
      </c>
      <c r="P889" s="100" t="s">
        <v>2549</v>
      </c>
      <c r="Q889" s="8"/>
      <c r="R889" s="8"/>
      <c r="S889" s="8"/>
    </row>
    <row r="890" ht="14.25" customHeight="1">
      <c r="A890" s="100" t="s">
        <v>2692</v>
      </c>
      <c r="B890" s="100" t="s">
        <v>2693</v>
      </c>
      <c r="C890" s="100" t="s">
        <v>2423</v>
      </c>
      <c r="D890" s="100" t="s">
        <v>2690</v>
      </c>
      <c r="E890" s="810">
        <v>6.5735</v>
      </c>
      <c r="F890" s="810">
        <v>6.1341</v>
      </c>
      <c r="G890" s="810">
        <v>6.1267</v>
      </c>
      <c r="H890" s="810">
        <v>6.1547</v>
      </c>
      <c r="I890" s="810">
        <v>5.7263</v>
      </c>
      <c r="J890" s="810">
        <v>5.6069</v>
      </c>
      <c r="K890" s="810">
        <v>5.5814</v>
      </c>
      <c r="L890" s="810">
        <v>5.5785</v>
      </c>
      <c r="M890" s="810">
        <v>5.447</v>
      </c>
      <c r="N890" s="810" t="s">
        <v>2434</v>
      </c>
      <c r="O890" s="810" t="s">
        <v>2434</v>
      </c>
      <c r="P890" s="100" t="s">
        <v>2549</v>
      </c>
      <c r="Q890" s="8"/>
      <c r="R890" s="8"/>
      <c r="S890" s="8"/>
    </row>
    <row r="891" ht="14.25" customHeight="1">
      <c r="A891" s="100" t="s">
        <v>2692</v>
      </c>
      <c r="B891" s="100" t="s">
        <v>2693</v>
      </c>
      <c r="C891" s="100" t="s">
        <v>2360</v>
      </c>
      <c r="D891" s="100" t="s">
        <v>2690</v>
      </c>
      <c r="E891" s="810">
        <v>114.7928</v>
      </c>
      <c r="F891" s="810">
        <v>107.9821</v>
      </c>
      <c r="G891" s="810">
        <v>110.1411</v>
      </c>
      <c r="H891" s="810">
        <v>105.5264</v>
      </c>
      <c r="I891" s="810">
        <v>98.0211</v>
      </c>
      <c r="J891" s="810">
        <v>89.862</v>
      </c>
      <c r="K891" s="810">
        <v>79.9274</v>
      </c>
      <c r="L891" s="810">
        <v>76.8948</v>
      </c>
      <c r="M891" s="810">
        <v>74.6522</v>
      </c>
      <c r="N891" s="810">
        <v>69.3079</v>
      </c>
      <c r="O891" s="810" t="s">
        <v>2434</v>
      </c>
      <c r="P891" s="100" t="s">
        <v>2549</v>
      </c>
      <c r="Q891" s="8"/>
      <c r="R891" s="8"/>
      <c r="S891" s="8"/>
    </row>
    <row r="892" ht="14.25" customHeight="1">
      <c r="A892" s="100" t="s">
        <v>2692</v>
      </c>
      <c r="B892" s="100" t="s">
        <v>2693</v>
      </c>
      <c r="C892" s="100" t="s">
        <v>2535</v>
      </c>
      <c r="D892" s="100" t="s">
        <v>2690</v>
      </c>
      <c r="E892" s="810">
        <v>14.8778</v>
      </c>
      <c r="F892" s="810">
        <v>16.0622</v>
      </c>
      <c r="G892" s="810">
        <v>13.2474</v>
      </c>
      <c r="H892" s="810">
        <v>13.0715</v>
      </c>
      <c r="I892" s="810">
        <v>11.0467</v>
      </c>
      <c r="J892" s="810">
        <v>13.5509</v>
      </c>
      <c r="K892" s="810">
        <v>14.715</v>
      </c>
      <c r="L892" s="810">
        <v>15.2213</v>
      </c>
      <c r="M892" s="810">
        <v>15.7702</v>
      </c>
      <c r="N892" s="810">
        <v>15.3279</v>
      </c>
      <c r="O892" s="810" t="s">
        <v>2434</v>
      </c>
      <c r="P892" s="100" t="s">
        <v>2549</v>
      </c>
      <c r="Q892" s="8"/>
      <c r="R892" s="8"/>
      <c r="S892" s="8"/>
    </row>
    <row r="893" ht="14.25" customHeight="1">
      <c r="A893" s="195" t="s">
        <v>2694</v>
      </c>
      <c r="B893" s="195" t="s">
        <v>2695</v>
      </c>
      <c r="C893" s="195" t="s">
        <v>2507</v>
      </c>
      <c r="D893" s="195" t="s">
        <v>2690</v>
      </c>
      <c r="E893" s="810" t="str">
        <f t="shared" ref="E893:O893" si="73">#REF!</f>
        <v>#REF!</v>
      </c>
      <c r="F893" s="810" t="str">
        <f t="shared" si="73"/>
        <v>#REF!</v>
      </c>
      <c r="G893" s="810" t="str">
        <f t="shared" si="73"/>
        <v>#REF!</v>
      </c>
      <c r="H893" s="810" t="str">
        <f t="shared" si="73"/>
        <v>#REF!</v>
      </c>
      <c r="I893" s="810" t="str">
        <f t="shared" si="73"/>
        <v>#REF!</v>
      </c>
      <c r="J893" s="810" t="str">
        <f t="shared" si="73"/>
        <v>#REF!</v>
      </c>
      <c r="K893" s="810" t="str">
        <f t="shared" si="73"/>
        <v>#REF!</v>
      </c>
      <c r="L893" s="810" t="str">
        <f t="shared" si="73"/>
        <v>#REF!</v>
      </c>
      <c r="M893" s="810" t="str">
        <f t="shared" si="73"/>
        <v>#REF!</v>
      </c>
      <c r="N893" s="810" t="str">
        <f t="shared" si="73"/>
        <v>#REF!</v>
      </c>
      <c r="O893" s="810" t="str">
        <f t="shared" si="73"/>
        <v>#REF!</v>
      </c>
      <c r="P893" s="195" t="s">
        <v>2691</v>
      </c>
      <c r="Q893" s="810"/>
      <c r="R893" s="8"/>
      <c r="S893" s="8"/>
    </row>
    <row r="894" ht="14.25" customHeight="1">
      <c r="A894" s="100" t="str">
        <f t="shared" ref="A894:B894" si="74">A893</f>
        <v>cmbecsid1</v>
      </c>
      <c r="B894" s="100" t="str">
        <f t="shared" si="74"/>
        <v>Iron and Steel</v>
      </c>
      <c r="C894" s="100" t="s">
        <v>2507</v>
      </c>
      <c r="D894" s="100" t="str">
        <f>D893</f>
        <v>MtCO2</v>
      </c>
      <c r="E894" s="810" t="str">
        <f t="shared" ref="E894:O894" si="75">#REF!</f>
        <v>#REF!</v>
      </c>
      <c r="F894" s="810" t="str">
        <f t="shared" si="75"/>
        <v>#REF!</v>
      </c>
      <c r="G894" s="810" t="str">
        <f t="shared" si="75"/>
        <v>#REF!</v>
      </c>
      <c r="H894" s="810" t="str">
        <f t="shared" si="75"/>
        <v>#REF!</v>
      </c>
      <c r="I894" s="810" t="str">
        <f t="shared" si="75"/>
        <v>#REF!</v>
      </c>
      <c r="J894" s="810" t="str">
        <f t="shared" si="75"/>
        <v>#REF!</v>
      </c>
      <c r="K894" s="810" t="str">
        <f t="shared" si="75"/>
        <v>#REF!</v>
      </c>
      <c r="L894" s="810" t="str">
        <f t="shared" si="75"/>
        <v>#REF!</v>
      </c>
      <c r="M894" s="810" t="str">
        <f t="shared" si="75"/>
        <v>#REF!</v>
      </c>
      <c r="N894" s="810" t="str">
        <f t="shared" si="75"/>
        <v>#REF!</v>
      </c>
      <c r="O894" s="810" t="str">
        <f t="shared" si="75"/>
        <v>#REF!</v>
      </c>
      <c r="P894" s="195"/>
      <c r="Q894" s="810"/>
      <c r="R894" s="8"/>
      <c r="S894" s="8"/>
    </row>
    <row r="895" ht="14.25" customHeight="1">
      <c r="A895" s="195" t="s">
        <v>2694</v>
      </c>
      <c r="B895" s="195" t="s">
        <v>2695</v>
      </c>
      <c r="C895" s="195" t="s">
        <v>2325</v>
      </c>
      <c r="D895" s="195" t="s">
        <v>2690</v>
      </c>
      <c r="E895" s="810">
        <v>1.4257</v>
      </c>
      <c r="F895" s="810">
        <v>1.5729</v>
      </c>
      <c r="G895" s="810">
        <v>1.6073</v>
      </c>
      <c r="H895" s="810">
        <v>1.7588</v>
      </c>
      <c r="I895" s="810">
        <v>1.6447</v>
      </c>
      <c r="J895" s="810">
        <v>1.4177</v>
      </c>
      <c r="K895" s="810">
        <v>1.5916</v>
      </c>
      <c r="L895" s="810">
        <v>1.6689</v>
      </c>
      <c r="M895" s="810">
        <v>1.7829</v>
      </c>
      <c r="N895" s="810">
        <v>1.8587</v>
      </c>
      <c r="O895" s="810" t="s">
        <v>2434</v>
      </c>
      <c r="P895" s="195" t="s">
        <v>2691</v>
      </c>
      <c r="Q895" s="810"/>
      <c r="R895" s="8"/>
      <c r="S895" s="8"/>
    </row>
    <row r="896" ht="14.25" customHeight="1">
      <c r="A896" s="195" t="s">
        <v>2694</v>
      </c>
      <c r="B896" s="195" t="s">
        <v>2695</v>
      </c>
      <c r="C896" s="195" t="s">
        <v>2329</v>
      </c>
      <c r="D896" s="195" t="s">
        <v>2690</v>
      </c>
      <c r="E896" s="810">
        <v>2.195</v>
      </c>
      <c r="F896" s="810">
        <v>2.0175</v>
      </c>
      <c r="G896" s="810">
        <v>1.2728</v>
      </c>
      <c r="H896" s="810">
        <v>1.0493</v>
      </c>
      <c r="I896" s="810">
        <v>1.0886</v>
      </c>
      <c r="J896" s="810">
        <v>1.1352</v>
      </c>
      <c r="K896" s="810">
        <v>1.1683</v>
      </c>
      <c r="L896" s="810">
        <v>1.2119</v>
      </c>
      <c r="M896" s="810">
        <v>1.2653</v>
      </c>
      <c r="N896" s="810">
        <v>1.2341</v>
      </c>
      <c r="O896" s="810" t="s">
        <v>2434</v>
      </c>
      <c r="P896" s="195" t="s">
        <v>2691</v>
      </c>
      <c r="Q896" s="810"/>
      <c r="R896" s="8"/>
      <c r="S896" s="8"/>
    </row>
    <row r="897" ht="14.25" customHeight="1">
      <c r="A897" s="195" t="s">
        <v>2694</v>
      </c>
      <c r="B897" s="195" t="s">
        <v>2695</v>
      </c>
      <c r="C897" s="195" t="s">
        <v>2333</v>
      </c>
      <c r="D897" s="195" t="s">
        <v>2690</v>
      </c>
      <c r="E897" s="810">
        <v>0.131</v>
      </c>
      <c r="F897" s="810">
        <v>0.1461</v>
      </c>
      <c r="G897" s="810">
        <v>0.1162</v>
      </c>
      <c r="H897" s="810">
        <v>0.099</v>
      </c>
      <c r="I897" s="810">
        <v>0.1174</v>
      </c>
      <c r="J897" s="810">
        <v>0.1158</v>
      </c>
      <c r="K897" s="810">
        <v>0.1136</v>
      </c>
      <c r="L897" s="810">
        <v>0.1186</v>
      </c>
      <c r="M897" s="810">
        <v>0.1297</v>
      </c>
      <c r="N897" s="810">
        <v>0.1209</v>
      </c>
      <c r="O897" s="810" t="s">
        <v>2434</v>
      </c>
      <c r="P897" s="195" t="s">
        <v>2691</v>
      </c>
      <c r="Q897" s="810"/>
      <c r="R897" s="8"/>
      <c r="S897" s="8"/>
    </row>
    <row r="898" ht="14.25" customHeight="1">
      <c r="A898" s="195" t="s">
        <v>2694</v>
      </c>
      <c r="B898" s="195" t="s">
        <v>2695</v>
      </c>
      <c r="C898" s="195" t="s">
        <v>2364</v>
      </c>
      <c r="D898" s="195" t="s">
        <v>2690</v>
      </c>
      <c r="E898" s="810">
        <v>0.0929</v>
      </c>
      <c r="F898" s="810">
        <v>0.0841</v>
      </c>
      <c r="G898" s="810">
        <v>0.0511</v>
      </c>
      <c r="H898" s="810">
        <v>0.0584</v>
      </c>
      <c r="I898" s="810">
        <v>0.0558</v>
      </c>
      <c r="J898" s="810">
        <v>0.0516</v>
      </c>
      <c r="K898" s="810">
        <v>0.034</v>
      </c>
      <c r="L898" s="810">
        <v>0.037</v>
      </c>
      <c r="M898" s="810">
        <v>0.0543</v>
      </c>
      <c r="N898" s="810">
        <v>0.0412</v>
      </c>
      <c r="O898" s="810" t="s">
        <v>2434</v>
      </c>
      <c r="P898" s="195" t="s">
        <v>2691</v>
      </c>
      <c r="Q898" s="810"/>
      <c r="R898" s="8"/>
      <c r="S898" s="8"/>
    </row>
    <row r="899" ht="14.25" customHeight="1">
      <c r="A899" s="195" t="s">
        <v>2694</v>
      </c>
      <c r="B899" s="195" t="s">
        <v>2695</v>
      </c>
      <c r="C899" s="195" t="s">
        <v>2337</v>
      </c>
      <c r="D899" s="195" t="s">
        <v>2690</v>
      </c>
      <c r="E899" s="810">
        <v>0.0</v>
      </c>
      <c r="F899" s="810">
        <v>0.0</v>
      </c>
      <c r="G899" s="810">
        <v>0.0</v>
      </c>
      <c r="H899" s="810">
        <v>0.0</v>
      </c>
      <c r="I899" s="810">
        <v>0.0</v>
      </c>
      <c r="J899" s="810">
        <v>0.0</v>
      </c>
      <c r="K899" s="810">
        <v>0.0</v>
      </c>
      <c r="L899" s="810">
        <v>0.0</v>
      </c>
      <c r="M899" s="810">
        <v>0.0</v>
      </c>
      <c r="N899" s="810">
        <v>0.0</v>
      </c>
      <c r="O899" s="810" t="s">
        <v>2434</v>
      </c>
      <c r="P899" s="195" t="s">
        <v>2691</v>
      </c>
      <c r="Q899" s="810"/>
      <c r="R899" s="8"/>
      <c r="S899" s="8"/>
    </row>
    <row r="900" ht="14.25" customHeight="1">
      <c r="A900" s="195" t="s">
        <v>2694</v>
      </c>
      <c r="B900" s="195" t="s">
        <v>2695</v>
      </c>
      <c r="C900" s="195" t="s">
        <v>2341</v>
      </c>
      <c r="D900" s="195" t="s">
        <v>2690</v>
      </c>
      <c r="E900" s="810">
        <v>2.4529</v>
      </c>
      <c r="F900" s="810">
        <v>2.418</v>
      </c>
      <c r="G900" s="810">
        <v>2.3365</v>
      </c>
      <c r="H900" s="810">
        <v>2.3202</v>
      </c>
      <c r="I900" s="810">
        <v>1.9745</v>
      </c>
      <c r="J900" s="810">
        <v>1.9236</v>
      </c>
      <c r="K900" s="810">
        <v>1.8022</v>
      </c>
      <c r="L900" s="810">
        <v>2.0627</v>
      </c>
      <c r="M900" s="810">
        <v>1.992</v>
      </c>
      <c r="N900" s="810">
        <v>1.4054</v>
      </c>
      <c r="O900" s="810" t="s">
        <v>2434</v>
      </c>
      <c r="P900" s="195" t="s">
        <v>2691</v>
      </c>
      <c r="Q900" s="810"/>
      <c r="R900" s="8"/>
      <c r="S900" s="8"/>
    </row>
    <row r="901" ht="14.25" customHeight="1">
      <c r="A901" s="195" t="s">
        <v>2694</v>
      </c>
      <c r="B901" s="195" t="s">
        <v>2695</v>
      </c>
      <c r="C901" s="195" t="s">
        <v>2348</v>
      </c>
      <c r="D901" s="195" t="s">
        <v>2690</v>
      </c>
      <c r="E901" s="810">
        <v>0.0735</v>
      </c>
      <c r="F901" s="810">
        <v>0.0785</v>
      </c>
      <c r="G901" s="810">
        <v>0.0882</v>
      </c>
      <c r="H901" s="810">
        <v>0.0921</v>
      </c>
      <c r="I901" s="810">
        <v>0.0988</v>
      </c>
      <c r="J901" s="810">
        <v>0.0959</v>
      </c>
      <c r="K901" s="810">
        <v>0.1044</v>
      </c>
      <c r="L901" s="810">
        <v>0.1065</v>
      </c>
      <c r="M901" s="810">
        <v>0.1089</v>
      </c>
      <c r="N901" s="810">
        <v>0.0991</v>
      </c>
      <c r="O901" s="810" t="s">
        <v>2434</v>
      </c>
      <c r="P901" s="195" t="s">
        <v>2691</v>
      </c>
      <c r="Q901" s="810"/>
      <c r="R901" s="8"/>
      <c r="S901" s="8"/>
    </row>
    <row r="902" ht="14.25" customHeight="1">
      <c r="A902" s="195" t="s">
        <v>2694</v>
      </c>
      <c r="B902" s="195" t="s">
        <v>2695</v>
      </c>
      <c r="C902" s="195" t="s">
        <v>2350</v>
      </c>
      <c r="D902" s="195" t="s">
        <v>2690</v>
      </c>
      <c r="E902" s="810">
        <v>3.0E-4</v>
      </c>
      <c r="F902" s="810">
        <v>2.0E-4</v>
      </c>
      <c r="G902" s="810">
        <v>1.0E-4</v>
      </c>
      <c r="H902" s="810">
        <v>1.0E-4</v>
      </c>
      <c r="I902" s="810">
        <v>1.0E-4</v>
      </c>
      <c r="J902" s="810">
        <v>1.0E-4</v>
      </c>
      <c r="K902" s="810">
        <v>7.0E-4</v>
      </c>
      <c r="L902" s="810">
        <v>6.0E-4</v>
      </c>
      <c r="M902" s="810">
        <v>7.0E-4</v>
      </c>
      <c r="N902" s="810">
        <v>0.001</v>
      </c>
      <c r="O902" s="810" t="s">
        <v>2434</v>
      </c>
      <c r="P902" s="195" t="s">
        <v>2691</v>
      </c>
      <c r="Q902" s="810"/>
      <c r="R902" s="8"/>
      <c r="S902" s="8"/>
    </row>
    <row r="903" ht="14.25" customHeight="1">
      <c r="A903" s="195" t="s">
        <v>2694</v>
      </c>
      <c r="B903" s="195" t="s">
        <v>2695</v>
      </c>
      <c r="C903" s="195" t="s">
        <v>2354</v>
      </c>
      <c r="D903" s="195" t="s">
        <v>2690</v>
      </c>
      <c r="E903" s="810">
        <v>2.9967</v>
      </c>
      <c r="F903" s="810">
        <v>2.9512</v>
      </c>
      <c r="G903" s="810">
        <v>2.2545</v>
      </c>
      <c r="H903" s="810">
        <v>2.1542</v>
      </c>
      <c r="I903" s="810">
        <v>0.9801</v>
      </c>
      <c r="J903" s="810">
        <v>0.8328</v>
      </c>
      <c r="K903" s="810">
        <v>0.9117</v>
      </c>
      <c r="L903" s="810">
        <v>0.8824</v>
      </c>
      <c r="M903" s="810">
        <v>0.905</v>
      </c>
      <c r="N903" s="810">
        <v>0.821</v>
      </c>
      <c r="O903" s="810" t="s">
        <v>2434</v>
      </c>
      <c r="P903" s="195" t="s">
        <v>2691</v>
      </c>
      <c r="Q903" s="810"/>
      <c r="R903" s="8"/>
      <c r="S903" s="8"/>
    </row>
    <row r="904" ht="14.25" customHeight="1">
      <c r="A904" s="195" t="s">
        <v>2694</v>
      </c>
      <c r="B904" s="195" t="s">
        <v>2695</v>
      </c>
      <c r="C904" s="195" t="s">
        <v>2356</v>
      </c>
      <c r="D904" s="195" t="s">
        <v>2690</v>
      </c>
      <c r="E904" s="810">
        <v>7.473</v>
      </c>
      <c r="F904" s="810">
        <v>6.5823</v>
      </c>
      <c r="G904" s="810">
        <v>7.7324</v>
      </c>
      <c r="H904" s="810">
        <v>6.4138</v>
      </c>
      <c r="I904" s="810">
        <v>6.1145</v>
      </c>
      <c r="J904" s="810">
        <v>6.5983</v>
      </c>
      <c r="K904" s="810">
        <v>5.9984</v>
      </c>
      <c r="L904" s="810">
        <v>6.239</v>
      </c>
      <c r="M904" s="810">
        <v>6.2996</v>
      </c>
      <c r="N904" s="810">
        <v>5.1492</v>
      </c>
      <c r="O904" s="810" t="s">
        <v>2434</v>
      </c>
      <c r="P904" s="195" t="s">
        <v>2691</v>
      </c>
      <c r="Q904" s="810"/>
      <c r="R904" s="8"/>
      <c r="S904" s="8"/>
    </row>
    <row r="905" ht="14.25" customHeight="1">
      <c r="A905" s="195" t="s">
        <v>2694</v>
      </c>
      <c r="B905" s="195" t="s">
        <v>2695</v>
      </c>
      <c r="C905" s="195" t="s">
        <v>2344</v>
      </c>
      <c r="D905" s="195" t="s">
        <v>2690</v>
      </c>
      <c r="E905" s="810">
        <v>36.2898</v>
      </c>
      <c r="F905" s="810">
        <v>34.3461</v>
      </c>
      <c r="G905" s="810">
        <v>32.1582</v>
      </c>
      <c r="H905" s="810">
        <v>33.1121</v>
      </c>
      <c r="I905" s="810">
        <v>33.6154</v>
      </c>
      <c r="J905" s="810">
        <v>40.0036</v>
      </c>
      <c r="K905" s="810">
        <v>37.4221</v>
      </c>
      <c r="L905" s="810">
        <v>37.2198</v>
      </c>
      <c r="M905" s="810">
        <v>37.1671</v>
      </c>
      <c r="N905" s="810">
        <v>35.7298</v>
      </c>
      <c r="O905" s="810" t="s">
        <v>2434</v>
      </c>
      <c r="P905" s="195" t="s">
        <v>2691</v>
      </c>
      <c r="Q905" s="810"/>
      <c r="R905" s="8"/>
      <c r="S905" s="8"/>
    </row>
    <row r="906" ht="14.25" customHeight="1">
      <c r="A906" s="195" t="s">
        <v>2694</v>
      </c>
      <c r="B906" s="195" t="s">
        <v>2695</v>
      </c>
      <c r="C906" s="195" t="s">
        <v>2362</v>
      </c>
      <c r="D906" s="195" t="s">
        <v>2690</v>
      </c>
      <c r="E906" s="810">
        <v>0.1603</v>
      </c>
      <c r="F906" s="810">
        <v>0.1493</v>
      </c>
      <c r="G906" s="810">
        <v>0.1984</v>
      </c>
      <c r="H906" s="810">
        <v>0.1728</v>
      </c>
      <c r="I906" s="810">
        <v>0.1481</v>
      </c>
      <c r="J906" s="810">
        <v>0.065</v>
      </c>
      <c r="K906" s="810">
        <v>0.1207</v>
      </c>
      <c r="L906" s="810">
        <v>0.1026</v>
      </c>
      <c r="M906" s="810">
        <v>0.0908</v>
      </c>
      <c r="N906" s="810">
        <v>0.0958</v>
      </c>
      <c r="O906" s="810" t="s">
        <v>2434</v>
      </c>
      <c r="P906" s="195" t="s">
        <v>2691</v>
      </c>
      <c r="Q906" s="810"/>
      <c r="R906" s="8"/>
      <c r="S906" s="8"/>
    </row>
    <row r="907" ht="14.25" customHeight="1">
      <c r="A907" s="195" t="s">
        <v>2694</v>
      </c>
      <c r="B907" s="195" t="s">
        <v>2695</v>
      </c>
      <c r="C907" s="195" t="s">
        <v>2367</v>
      </c>
      <c r="D907" s="195" t="s">
        <v>2690</v>
      </c>
      <c r="E907" s="810">
        <v>0.15</v>
      </c>
      <c r="F907" s="810">
        <v>0.1472</v>
      </c>
      <c r="G907" s="810">
        <v>0.1738</v>
      </c>
      <c r="H907" s="810">
        <v>0.2005</v>
      </c>
      <c r="I907" s="810">
        <v>0.1748</v>
      </c>
      <c r="J907" s="810">
        <v>0.1701</v>
      </c>
      <c r="K907" s="810">
        <v>0.1672</v>
      </c>
      <c r="L907" s="810">
        <v>0.1955</v>
      </c>
      <c r="M907" s="810">
        <v>0.2071</v>
      </c>
      <c r="N907" s="810">
        <v>0.1935</v>
      </c>
      <c r="O907" s="810" t="s">
        <v>2434</v>
      </c>
      <c r="P907" s="195" t="s">
        <v>2691</v>
      </c>
      <c r="Q907" s="810"/>
      <c r="R907" s="8"/>
      <c r="S907" s="8"/>
    </row>
    <row r="908" ht="14.25" customHeight="1">
      <c r="A908" s="195" t="s">
        <v>2694</v>
      </c>
      <c r="B908" s="195" t="s">
        <v>2695</v>
      </c>
      <c r="C908" s="195" t="s">
        <v>2369</v>
      </c>
      <c r="D908" s="195" t="s">
        <v>2690</v>
      </c>
      <c r="E908" s="810">
        <v>0.0024</v>
      </c>
      <c r="F908" s="810">
        <v>0.0024</v>
      </c>
      <c r="G908" s="810">
        <v>0.0024</v>
      </c>
      <c r="H908" s="810">
        <v>0.0023</v>
      </c>
      <c r="I908" s="810">
        <v>0.0024</v>
      </c>
      <c r="J908" s="810">
        <v>0.0024</v>
      </c>
      <c r="K908" s="810">
        <v>0.0023</v>
      </c>
      <c r="L908" s="810">
        <v>0.0023</v>
      </c>
      <c r="M908" s="810">
        <v>0.0023</v>
      </c>
      <c r="N908" s="810">
        <v>0.0023</v>
      </c>
      <c r="O908" s="810" t="s">
        <v>2434</v>
      </c>
      <c r="P908" s="195" t="s">
        <v>2691</v>
      </c>
      <c r="Q908" s="810"/>
      <c r="R908" s="8"/>
      <c r="S908" s="8"/>
    </row>
    <row r="909" ht="14.25" customHeight="1">
      <c r="A909" s="195" t="s">
        <v>2694</v>
      </c>
      <c r="B909" s="195" t="s">
        <v>2695</v>
      </c>
      <c r="C909" s="195" t="s">
        <v>2374</v>
      </c>
      <c r="D909" s="195" t="s">
        <v>2690</v>
      </c>
      <c r="E909" s="810">
        <v>15.7078</v>
      </c>
      <c r="F909" s="810">
        <v>17.2272</v>
      </c>
      <c r="G909" s="810">
        <v>16.5893</v>
      </c>
      <c r="H909" s="810">
        <v>12.7166</v>
      </c>
      <c r="I909" s="810">
        <v>12.1662</v>
      </c>
      <c r="J909" s="810">
        <v>10.6288</v>
      </c>
      <c r="K909" s="810">
        <v>11.5498</v>
      </c>
      <c r="L909" s="810">
        <v>9.832</v>
      </c>
      <c r="M909" s="810">
        <v>10.166</v>
      </c>
      <c r="N909" s="810">
        <v>9.8197</v>
      </c>
      <c r="O909" s="810" t="s">
        <v>2434</v>
      </c>
      <c r="P909" s="195" t="s">
        <v>2691</v>
      </c>
      <c r="Q909" s="810"/>
      <c r="R909" s="8"/>
      <c r="S909" s="8"/>
    </row>
    <row r="910" ht="14.25" customHeight="1">
      <c r="A910" s="195" t="s">
        <v>2694</v>
      </c>
      <c r="B910" s="195" t="s">
        <v>2695</v>
      </c>
      <c r="C910" s="195" t="s">
        <v>2386</v>
      </c>
      <c r="D910" s="195" t="s">
        <v>2690</v>
      </c>
      <c r="E910" s="810">
        <v>0.2892</v>
      </c>
      <c r="F910" s="810">
        <v>0.068</v>
      </c>
      <c r="G910" s="810">
        <v>0.0979</v>
      </c>
      <c r="H910" s="810">
        <v>0.0332</v>
      </c>
      <c r="I910" s="810">
        <v>7.0E-4</v>
      </c>
      <c r="J910" s="810">
        <v>0.0222</v>
      </c>
      <c r="K910" s="810">
        <v>0.0026</v>
      </c>
      <c r="L910" s="810">
        <v>4.0E-4</v>
      </c>
      <c r="M910" s="810">
        <v>2.0E-4</v>
      </c>
      <c r="N910" s="810">
        <v>0.0</v>
      </c>
      <c r="O910" s="810" t="s">
        <v>2434</v>
      </c>
      <c r="P910" s="195" t="s">
        <v>2691</v>
      </c>
      <c r="Q910" s="810"/>
      <c r="R910" s="8"/>
      <c r="S910" s="8"/>
    </row>
    <row r="911" ht="14.25" customHeight="1">
      <c r="A911" s="195" t="s">
        <v>2694</v>
      </c>
      <c r="B911" s="195" t="s">
        <v>2695</v>
      </c>
      <c r="C911" s="195" t="s">
        <v>2378</v>
      </c>
      <c r="D911" s="195" t="s">
        <v>2690</v>
      </c>
      <c r="E911" s="810">
        <v>0.0</v>
      </c>
      <c r="F911" s="810">
        <v>0.0</v>
      </c>
      <c r="G911" s="810">
        <v>0.0</v>
      </c>
      <c r="H911" s="810">
        <v>0.0</v>
      </c>
      <c r="I911" s="810">
        <v>0.0</v>
      </c>
      <c r="J911" s="810">
        <v>0.0</v>
      </c>
      <c r="K911" s="810">
        <v>0.0</v>
      </c>
      <c r="L911" s="810">
        <v>0.0</v>
      </c>
      <c r="M911" s="810">
        <v>0.0</v>
      </c>
      <c r="N911" s="810">
        <v>0.0</v>
      </c>
      <c r="O911" s="810" t="s">
        <v>2434</v>
      </c>
      <c r="P911" s="195" t="s">
        <v>2691</v>
      </c>
      <c r="Q911" s="810"/>
      <c r="R911" s="8"/>
      <c r="S911" s="8"/>
    </row>
    <row r="912" ht="14.25" customHeight="1">
      <c r="A912" s="195" t="s">
        <v>2694</v>
      </c>
      <c r="B912" s="195" t="s">
        <v>2695</v>
      </c>
      <c r="C912" s="195" t="s">
        <v>2383</v>
      </c>
      <c r="D912" s="195" t="s">
        <v>2690</v>
      </c>
      <c r="E912" s="810">
        <v>0.3787</v>
      </c>
      <c r="F912" s="810">
        <v>0.334</v>
      </c>
      <c r="G912" s="810">
        <v>0.2988</v>
      </c>
      <c r="H912" s="810">
        <v>0.276</v>
      </c>
      <c r="I912" s="810">
        <v>0.2731</v>
      </c>
      <c r="J912" s="810">
        <v>0.2776</v>
      </c>
      <c r="K912" s="810">
        <v>0.2687</v>
      </c>
      <c r="L912" s="810">
        <v>0.2693</v>
      </c>
      <c r="M912" s="810">
        <v>0.3061</v>
      </c>
      <c r="N912" s="810">
        <v>0.2966</v>
      </c>
      <c r="O912" s="810" t="s">
        <v>2434</v>
      </c>
      <c r="P912" s="195" t="s">
        <v>2691</v>
      </c>
      <c r="Q912" s="810"/>
      <c r="R912" s="8"/>
      <c r="S912" s="8"/>
    </row>
    <row r="913" ht="14.25" customHeight="1">
      <c r="A913" s="195" t="s">
        <v>2694</v>
      </c>
      <c r="B913" s="195" t="s">
        <v>2695</v>
      </c>
      <c r="C913" s="195" t="s">
        <v>2389</v>
      </c>
      <c r="D913" s="195" t="s">
        <v>2690</v>
      </c>
      <c r="E913" s="810">
        <v>0.0</v>
      </c>
      <c r="F913" s="810">
        <v>0.0</v>
      </c>
      <c r="G913" s="810">
        <v>0.0</v>
      </c>
      <c r="H913" s="810">
        <v>0.0</v>
      </c>
      <c r="I913" s="810">
        <v>0.0</v>
      </c>
      <c r="J913" s="810">
        <v>0.0</v>
      </c>
      <c r="K913" s="810">
        <v>0.0</v>
      </c>
      <c r="L913" s="810">
        <v>0.0</v>
      </c>
      <c r="M913" s="810">
        <v>0.0</v>
      </c>
      <c r="N913" s="810">
        <v>0.0</v>
      </c>
      <c r="O913" s="810" t="s">
        <v>2434</v>
      </c>
      <c r="P913" s="195" t="s">
        <v>2691</v>
      </c>
      <c r="Q913" s="810"/>
      <c r="R913" s="8"/>
      <c r="S913" s="8"/>
    </row>
    <row r="914" ht="14.25" customHeight="1">
      <c r="A914" s="195" t="s">
        <v>2694</v>
      </c>
      <c r="B914" s="195" t="s">
        <v>2695</v>
      </c>
      <c r="C914" s="195" t="s">
        <v>2391</v>
      </c>
      <c r="D914" s="195" t="s">
        <v>2690</v>
      </c>
      <c r="E914" s="810">
        <v>4.5287</v>
      </c>
      <c r="F914" s="810">
        <v>4.8636</v>
      </c>
      <c r="G914" s="810">
        <v>4.8997</v>
      </c>
      <c r="H914" s="810">
        <v>4.6181</v>
      </c>
      <c r="I914" s="810">
        <v>4.3483</v>
      </c>
      <c r="J914" s="810">
        <v>4.5901</v>
      </c>
      <c r="K914" s="810">
        <v>4.7079</v>
      </c>
      <c r="L914" s="810">
        <v>5.4218</v>
      </c>
      <c r="M914" s="810">
        <v>5.0338</v>
      </c>
      <c r="N914" s="810">
        <v>4.8863</v>
      </c>
      <c r="O914" s="810" t="s">
        <v>2434</v>
      </c>
      <c r="P914" s="195" t="s">
        <v>2691</v>
      </c>
      <c r="Q914" s="810"/>
      <c r="R914" s="8"/>
      <c r="S914" s="8"/>
    </row>
    <row r="915" ht="14.25" customHeight="1">
      <c r="A915" s="195" t="s">
        <v>2694</v>
      </c>
      <c r="B915" s="195" t="s">
        <v>2695</v>
      </c>
      <c r="C915" s="195" t="s">
        <v>2393</v>
      </c>
      <c r="D915" s="195" t="s">
        <v>2690</v>
      </c>
      <c r="E915" s="810">
        <v>5.0231</v>
      </c>
      <c r="F915" s="810">
        <v>5.3246</v>
      </c>
      <c r="G915" s="810">
        <v>5.5256</v>
      </c>
      <c r="H915" s="810">
        <v>5.4036</v>
      </c>
      <c r="I915" s="810">
        <v>5.6553</v>
      </c>
      <c r="J915" s="810">
        <v>5.1556</v>
      </c>
      <c r="K915" s="810">
        <v>5.0315</v>
      </c>
      <c r="L915" s="810">
        <v>5.9117</v>
      </c>
      <c r="M915" s="810">
        <v>5.4522</v>
      </c>
      <c r="N915" s="810">
        <v>4.5449</v>
      </c>
      <c r="O915" s="810" t="s">
        <v>2434</v>
      </c>
      <c r="P915" s="195" t="s">
        <v>2691</v>
      </c>
      <c r="Q915" s="810"/>
      <c r="R915" s="8"/>
      <c r="S915" s="8"/>
    </row>
    <row r="916" ht="14.25" customHeight="1">
      <c r="A916" s="195" t="s">
        <v>2694</v>
      </c>
      <c r="B916" s="195" t="s">
        <v>2695</v>
      </c>
      <c r="C916" s="195" t="s">
        <v>2395</v>
      </c>
      <c r="D916" s="195" t="s">
        <v>2690</v>
      </c>
      <c r="E916" s="810">
        <v>0.083</v>
      </c>
      <c r="F916" s="810">
        <v>0.0936</v>
      </c>
      <c r="G916" s="810">
        <v>0.0966</v>
      </c>
      <c r="H916" s="810">
        <v>0.0921</v>
      </c>
      <c r="I916" s="810">
        <v>0.0952</v>
      </c>
      <c r="J916" s="810">
        <v>0.0968</v>
      </c>
      <c r="K916" s="810">
        <v>0.088</v>
      </c>
      <c r="L916" s="810">
        <v>0.0929</v>
      </c>
      <c r="M916" s="810">
        <v>0.0978</v>
      </c>
      <c r="N916" s="810">
        <v>0.0943</v>
      </c>
      <c r="O916" s="810" t="s">
        <v>2434</v>
      </c>
      <c r="P916" s="195" t="s">
        <v>2691</v>
      </c>
      <c r="Q916" s="810"/>
      <c r="R916" s="8"/>
      <c r="S916" s="8"/>
    </row>
    <row r="917" ht="14.25" customHeight="1">
      <c r="A917" s="195" t="s">
        <v>2694</v>
      </c>
      <c r="B917" s="195" t="s">
        <v>2695</v>
      </c>
      <c r="C917" s="195" t="s">
        <v>2397</v>
      </c>
      <c r="D917" s="195" t="s">
        <v>2690</v>
      </c>
      <c r="E917" s="810">
        <v>0.8563</v>
      </c>
      <c r="F917" s="810">
        <v>1.74</v>
      </c>
      <c r="G917" s="810">
        <v>1.4877</v>
      </c>
      <c r="H917" s="810">
        <v>1.3531</v>
      </c>
      <c r="I917" s="810">
        <v>1.0338</v>
      </c>
      <c r="J917" s="810">
        <v>0.9583</v>
      </c>
      <c r="K917" s="810">
        <v>0.9495</v>
      </c>
      <c r="L917" s="810">
        <v>0.9059</v>
      </c>
      <c r="M917" s="810">
        <v>0.9293</v>
      </c>
      <c r="N917" s="810">
        <v>0.8467</v>
      </c>
      <c r="O917" s="810" t="s">
        <v>2434</v>
      </c>
      <c r="P917" s="195" t="s">
        <v>2691</v>
      </c>
      <c r="Q917" s="810"/>
      <c r="R917" s="8"/>
      <c r="S917" s="8"/>
    </row>
    <row r="918" ht="14.25" customHeight="1">
      <c r="A918" s="195" t="s">
        <v>2694</v>
      </c>
      <c r="B918" s="195" t="s">
        <v>2695</v>
      </c>
      <c r="C918" s="195" t="s">
        <v>2411</v>
      </c>
      <c r="D918" s="195" t="s">
        <v>2690</v>
      </c>
      <c r="E918" s="810">
        <v>3.7424</v>
      </c>
      <c r="F918" s="810">
        <v>4.7734</v>
      </c>
      <c r="G918" s="810">
        <v>3.3545</v>
      </c>
      <c r="H918" s="810">
        <v>3.1738</v>
      </c>
      <c r="I918" s="810">
        <v>3.1889</v>
      </c>
      <c r="J918" s="810">
        <v>2.8669</v>
      </c>
      <c r="K918" s="810">
        <v>2.7864</v>
      </c>
      <c r="L918" s="810">
        <v>3.0877</v>
      </c>
      <c r="M918" s="810">
        <v>3.4241</v>
      </c>
      <c r="N918" s="810">
        <v>2.4422</v>
      </c>
      <c r="O918" s="810" t="s">
        <v>2434</v>
      </c>
      <c r="P918" s="195" t="s">
        <v>2691</v>
      </c>
      <c r="Q918" s="810"/>
      <c r="R918" s="8"/>
      <c r="S918" s="8"/>
    </row>
    <row r="919" ht="14.25" customHeight="1">
      <c r="A919" s="195" t="s">
        <v>2694</v>
      </c>
      <c r="B919" s="195" t="s">
        <v>2695</v>
      </c>
      <c r="C919" s="195" t="s">
        <v>2406</v>
      </c>
      <c r="D919" s="195" t="s">
        <v>2690</v>
      </c>
      <c r="E919" s="810">
        <v>0.1982</v>
      </c>
      <c r="F919" s="810">
        <v>0.1948</v>
      </c>
      <c r="G919" s="810">
        <v>0.1977</v>
      </c>
      <c r="H919" s="810">
        <v>0.2017</v>
      </c>
      <c r="I919" s="810">
        <v>0.1964</v>
      </c>
      <c r="J919" s="810">
        <v>0.1927</v>
      </c>
      <c r="K919" s="810">
        <v>0.2017</v>
      </c>
      <c r="L919" s="810">
        <v>0.2153</v>
      </c>
      <c r="M919" s="810">
        <v>0.2093</v>
      </c>
      <c r="N919" s="810">
        <v>0.2148</v>
      </c>
      <c r="O919" s="810" t="s">
        <v>2434</v>
      </c>
      <c r="P919" s="195" t="s">
        <v>2691</v>
      </c>
      <c r="Q919" s="810"/>
      <c r="R919" s="8"/>
      <c r="S919" s="8"/>
    </row>
    <row r="920" ht="14.25" customHeight="1">
      <c r="A920" s="195" t="s">
        <v>2694</v>
      </c>
      <c r="B920" s="195" t="s">
        <v>2695</v>
      </c>
      <c r="C920" s="195" t="s">
        <v>2352</v>
      </c>
      <c r="D920" s="195" t="s">
        <v>2690</v>
      </c>
      <c r="E920" s="810">
        <v>6.542</v>
      </c>
      <c r="F920" s="810">
        <v>6.1491</v>
      </c>
      <c r="G920" s="810">
        <v>6.2606</v>
      </c>
      <c r="H920" s="810">
        <v>5.2398</v>
      </c>
      <c r="I920" s="810">
        <v>5.5135</v>
      </c>
      <c r="J920" s="810">
        <v>5.7934</v>
      </c>
      <c r="K920" s="810">
        <v>5.4884</v>
      </c>
      <c r="L920" s="810">
        <v>5.666</v>
      </c>
      <c r="M920" s="810">
        <v>5.6596</v>
      </c>
      <c r="N920" s="810">
        <v>5.6368</v>
      </c>
      <c r="O920" s="810" t="s">
        <v>2434</v>
      </c>
      <c r="P920" s="195" t="s">
        <v>2691</v>
      </c>
      <c r="Q920" s="810"/>
      <c r="R920" s="8"/>
      <c r="S920" s="8"/>
    </row>
    <row r="921" ht="14.25" customHeight="1">
      <c r="A921" s="195" t="s">
        <v>2694</v>
      </c>
      <c r="B921" s="195" t="s">
        <v>2695</v>
      </c>
      <c r="C921" s="195" t="s">
        <v>2400</v>
      </c>
      <c r="D921" s="195" t="s">
        <v>2690</v>
      </c>
      <c r="E921" s="810">
        <v>1.7713</v>
      </c>
      <c r="F921" s="810">
        <v>1.5163</v>
      </c>
      <c r="G921" s="810">
        <v>1.1584</v>
      </c>
      <c r="H921" s="810">
        <v>1.2621</v>
      </c>
      <c r="I921" s="810">
        <v>1.2668</v>
      </c>
      <c r="J921" s="810">
        <v>1.5851</v>
      </c>
      <c r="K921" s="810">
        <v>1.2283</v>
      </c>
      <c r="L921" s="810">
        <v>1.3771</v>
      </c>
      <c r="M921" s="810">
        <v>1.3422</v>
      </c>
      <c r="N921" s="810">
        <v>1.5688</v>
      </c>
      <c r="O921" s="810" t="s">
        <v>2434</v>
      </c>
      <c r="P921" s="195" t="s">
        <v>2691</v>
      </c>
      <c r="Q921" s="810"/>
      <c r="R921" s="8"/>
      <c r="S921" s="8"/>
    </row>
    <row r="922" ht="14.25" customHeight="1">
      <c r="A922" s="195" t="s">
        <v>2694</v>
      </c>
      <c r="B922" s="195" t="s">
        <v>2695</v>
      </c>
      <c r="C922" s="195" t="s">
        <v>2416</v>
      </c>
      <c r="D922" s="195" t="s">
        <v>2690</v>
      </c>
      <c r="E922" s="810">
        <v>0.076</v>
      </c>
      <c r="F922" s="810">
        <v>0.0686</v>
      </c>
      <c r="G922" s="810">
        <v>0.0734</v>
      </c>
      <c r="H922" s="810">
        <v>0.0703</v>
      </c>
      <c r="I922" s="810">
        <v>0.0811</v>
      </c>
      <c r="J922" s="810">
        <v>0.0739</v>
      </c>
      <c r="K922" s="810">
        <v>0.07</v>
      </c>
      <c r="L922" s="810">
        <v>0.0841</v>
      </c>
      <c r="M922" s="810">
        <v>0.0755</v>
      </c>
      <c r="N922" s="810" t="s">
        <v>2434</v>
      </c>
      <c r="O922" s="810" t="s">
        <v>2434</v>
      </c>
      <c r="P922" s="195" t="s">
        <v>2691</v>
      </c>
      <c r="Q922" s="810"/>
      <c r="R922" s="8"/>
      <c r="S922" s="8"/>
    </row>
    <row r="923" ht="14.25" customHeight="1">
      <c r="A923" s="195" t="s">
        <v>2694</v>
      </c>
      <c r="B923" s="195" t="s">
        <v>2695</v>
      </c>
      <c r="C923" s="195" t="s">
        <v>2535</v>
      </c>
      <c r="D923" s="195" t="s">
        <v>2690</v>
      </c>
      <c r="E923" s="810">
        <v>1.6391</v>
      </c>
      <c r="F923" s="810">
        <v>1.2988</v>
      </c>
      <c r="G923" s="810">
        <v>0.3919</v>
      </c>
      <c r="H923" s="810">
        <v>0.4866</v>
      </c>
      <c r="I923" s="810">
        <v>0.6898</v>
      </c>
      <c r="J923" s="810">
        <v>1.211</v>
      </c>
      <c r="K923" s="810">
        <v>1.5733</v>
      </c>
      <c r="L923" s="810">
        <v>1.7611</v>
      </c>
      <c r="M923" s="810">
        <v>2.2637</v>
      </c>
      <c r="N923" s="810">
        <v>2.4108</v>
      </c>
      <c r="O923" s="810" t="s">
        <v>2434</v>
      </c>
      <c r="P923" s="195" t="s">
        <v>2653</v>
      </c>
      <c r="Q923" s="810"/>
      <c r="R923" s="8"/>
      <c r="S923" s="8"/>
    </row>
    <row r="924" ht="14.25" customHeight="1">
      <c r="A924" s="195" t="s">
        <v>2694</v>
      </c>
      <c r="B924" s="195" t="s">
        <v>2695</v>
      </c>
      <c r="C924" s="195" t="s">
        <v>2360</v>
      </c>
      <c r="D924" s="195" t="s">
        <v>2690</v>
      </c>
      <c r="E924" s="810">
        <v>11.8143</v>
      </c>
      <c r="F924" s="810">
        <v>10.9427</v>
      </c>
      <c r="G924" s="810">
        <v>11.9789</v>
      </c>
      <c r="H924" s="810">
        <v>14.3914</v>
      </c>
      <c r="I924" s="810">
        <v>14.6737</v>
      </c>
      <c r="J924" s="810">
        <v>13.2619</v>
      </c>
      <c r="K924" s="810">
        <v>9.9254</v>
      </c>
      <c r="L924" s="810">
        <v>9.3505</v>
      </c>
      <c r="M924" s="810">
        <v>8.8961</v>
      </c>
      <c r="N924" s="810">
        <v>9.3967</v>
      </c>
      <c r="O924" s="810" t="s">
        <v>2434</v>
      </c>
      <c r="P924" s="195" t="s">
        <v>2691</v>
      </c>
      <c r="Q924" s="810"/>
      <c r="R924" s="8"/>
      <c r="S924" s="8"/>
    </row>
    <row r="925" ht="14.25" customHeight="1">
      <c r="A925" s="195" t="s">
        <v>2694</v>
      </c>
      <c r="B925" s="195" t="s">
        <v>2695</v>
      </c>
      <c r="C925" s="195" t="s">
        <v>2423</v>
      </c>
      <c r="D925" s="195" t="s">
        <v>2690</v>
      </c>
      <c r="E925" s="810">
        <v>0.2544</v>
      </c>
      <c r="F925" s="810">
        <v>0.2562</v>
      </c>
      <c r="G925" s="810">
        <v>0.2446</v>
      </c>
      <c r="H925" s="810">
        <v>0.237</v>
      </c>
      <c r="I925" s="810">
        <v>0.2458</v>
      </c>
      <c r="J925" s="810">
        <v>0.2615</v>
      </c>
      <c r="K925" s="810">
        <v>0.2541</v>
      </c>
      <c r="L925" s="810">
        <v>0.2801</v>
      </c>
      <c r="M925" s="810">
        <v>0.284</v>
      </c>
      <c r="N925" s="810" t="s">
        <v>2434</v>
      </c>
      <c r="O925" s="810" t="s">
        <v>2434</v>
      </c>
      <c r="P925" s="195" t="s">
        <v>2691</v>
      </c>
      <c r="Q925" s="810"/>
      <c r="R925" s="8"/>
      <c r="S925" s="8"/>
    </row>
    <row r="926" ht="14.25" customHeight="1">
      <c r="A926" s="195" t="s">
        <v>2696</v>
      </c>
      <c r="B926" s="195" t="s">
        <v>2697</v>
      </c>
      <c r="C926" s="195" t="s">
        <v>2317</v>
      </c>
      <c r="D926" s="195" t="s">
        <v>2690</v>
      </c>
      <c r="E926" s="810" t="str">
        <f t="shared" ref="E926:O926" si="76">#REF!</f>
        <v>#REF!</v>
      </c>
      <c r="F926" s="810" t="str">
        <f t="shared" si="76"/>
        <v>#REF!</v>
      </c>
      <c r="G926" s="810" t="str">
        <f t="shared" si="76"/>
        <v>#REF!</v>
      </c>
      <c r="H926" s="810" t="str">
        <f t="shared" si="76"/>
        <v>#REF!</v>
      </c>
      <c r="I926" s="810" t="str">
        <f t="shared" si="76"/>
        <v>#REF!</v>
      </c>
      <c r="J926" s="810" t="str">
        <f t="shared" si="76"/>
        <v>#REF!</v>
      </c>
      <c r="K926" s="810" t="str">
        <f t="shared" si="76"/>
        <v>#REF!</v>
      </c>
      <c r="L926" s="810" t="str">
        <f t="shared" si="76"/>
        <v>#REF!</v>
      </c>
      <c r="M926" s="810" t="str">
        <f t="shared" si="76"/>
        <v>#REF!</v>
      </c>
      <c r="N926" s="810" t="str">
        <f t="shared" si="76"/>
        <v>#REF!</v>
      </c>
      <c r="O926" s="810" t="str">
        <f t="shared" si="76"/>
        <v>#REF!</v>
      </c>
      <c r="P926" s="195" t="s">
        <v>2691</v>
      </c>
      <c r="Q926" s="8"/>
      <c r="R926" s="8"/>
      <c r="S926" s="8"/>
    </row>
    <row r="927" ht="14.25" customHeight="1">
      <c r="A927" s="100" t="str">
        <f t="shared" ref="A927:B927" si="77">A926</f>
        <v>cmbecmnf</v>
      </c>
      <c r="B927" s="100" t="str">
        <f t="shared" si="77"/>
        <v>Non-Ferrous Metals</v>
      </c>
      <c r="C927" s="100" t="s">
        <v>2507</v>
      </c>
      <c r="D927" s="100" t="str">
        <f>D926</f>
        <v>MtCO2</v>
      </c>
      <c r="E927" s="810" t="str">
        <f t="shared" ref="E927:O927" si="78">#REF!</f>
        <v>#REF!</v>
      </c>
      <c r="F927" s="810" t="str">
        <f t="shared" si="78"/>
        <v>#REF!</v>
      </c>
      <c r="G927" s="810" t="str">
        <f t="shared" si="78"/>
        <v>#REF!</v>
      </c>
      <c r="H927" s="810" t="str">
        <f t="shared" si="78"/>
        <v>#REF!</v>
      </c>
      <c r="I927" s="810" t="str">
        <f t="shared" si="78"/>
        <v>#REF!</v>
      </c>
      <c r="J927" s="810" t="str">
        <f t="shared" si="78"/>
        <v>#REF!</v>
      </c>
      <c r="K927" s="810" t="str">
        <f t="shared" si="78"/>
        <v>#REF!</v>
      </c>
      <c r="L927" s="810" t="str">
        <f t="shared" si="78"/>
        <v>#REF!</v>
      </c>
      <c r="M927" s="810" t="str">
        <f t="shared" si="78"/>
        <v>#REF!</v>
      </c>
      <c r="N927" s="810" t="str">
        <f t="shared" si="78"/>
        <v>#REF!</v>
      </c>
      <c r="O927" s="810" t="str">
        <f t="shared" si="78"/>
        <v>#REF!</v>
      </c>
      <c r="P927" s="195"/>
      <c r="Q927" s="8"/>
      <c r="R927" s="8"/>
      <c r="S927" s="8"/>
    </row>
    <row r="928" ht="14.25" customHeight="1">
      <c r="A928" s="100" t="s">
        <v>2696</v>
      </c>
      <c r="B928" s="100" t="s">
        <v>2697</v>
      </c>
      <c r="C928" s="100" t="s">
        <v>2325</v>
      </c>
      <c r="D928" s="100" t="s">
        <v>2690</v>
      </c>
      <c r="E928" s="810">
        <v>0.2357</v>
      </c>
      <c r="F928" s="810">
        <v>0.2484</v>
      </c>
      <c r="G928" s="810">
        <v>0.241</v>
      </c>
      <c r="H928" s="810">
        <v>0.2714</v>
      </c>
      <c r="I928" s="810">
        <v>0.2887</v>
      </c>
      <c r="J928" s="810">
        <v>0.2954</v>
      </c>
      <c r="K928" s="810">
        <v>0.3049</v>
      </c>
      <c r="L928" s="810">
        <v>0.297</v>
      </c>
      <c r="M928" s="810">
        <v>0.3233</v>
      </c>
      <c r="N928" s="810">
        <v>0.2945</v>
      </c>
      <c r="O928" s="810" t="s">
        <v>2434</v>
      </c>
      <c r="P928" s="100" t="s">
        <v>2691</v>
      </c>
      <c r="Q928" s="8"/>
      <c r="R928" s="8"/>
      <c r="S928" s="8"/>
    </row>
    <row r="929" ht="14.25" customHeight="1">
      <c r="A929" s="100" t="s">
        <v>2696</v>
      </c>
      <c r="B929" s="100" t="s">
        <v>2697</v>
      </c>
      <c r="C929" s="100" t="s">
        <v>2329</v>
      </c>
      <c r="D929" s="100" t="s">
        <v>2690</v>
      </c>
      <c r="E929" s="810">
        <v>0.4388</v>
      </c>
      <c r="F929" s="810">
        <v>0.43</v>
      </c>
      <c r="G929" s="810">
        <v>0.4364</v>
      </c>
      <c r="H929" s="810">
        <v>0.4328</v>
      </c>
      <c r="I929" s="810">
        <v>0.3959</v>
      </c>
      <c r="J929" s="810">
        <v>0.4204</v>
      </c>
      <c r="K929" s="810">
        <v>0.4434</v>
      </c>
      <c r="L929" s="810">
        <v>0.4456</v>
      </c>
      <c r="M929" s="810">
        <v>0.4442</v>
      </c>
      <c r="N929" s="810">
        <v>0.4265</v>
      </c>
      <c r="O929" s="810" t="s">
        <v>2434</v>
      </c>
      <c r="P929" s="100" t="s">
        <v>2691</v>
      </c>
      <c r="Q929" s="8"/>
      <c r="R929" s="8"/>
      <c r="S929" s="8"/>
    </row>
    <row r="930" ht="14.25" customHeight="1">
      <c r="A930" s="100" t="s">
        <v>2696</v>
      </c>
      <c r="B930" s="100" t="s">
        <v>2697</v>
      </c>
      <c r="C930" s="100" t="s">
        <v>2333</v>
      </c>
      <c r="D930" s="100" t="s">
        <v>2690</v>
      </c>
      <c r="E930" s="810">
        <v>0.1679</v>
      </c>
      <c r="F930" s="810">
        <v>0.1424</v>
      </c>
      <c r="G930" s="810">
        <v>0.1249</v>
      </c>
      <c r="H930" s="810">
        <v>0.1455</v>
      </c>
      <c r="I930" s="810">
        <v>0.1417</v>
      </c>
      <c r="J930" s="810">
        <v>0.1458</v>
      </c>
      <c r="K930" s="810">
        <v>0.1645</v>
      </c>
      <c r="L930" s="810">
        <v>0.1762</v>
      </c>
      <c r="M930" s="810">
        <v>0.205</v>
      </c>
      <c r="N930" s="810">
        <v>0.2512</v>
      </c>
      <c r="O930" s="810" t="s">
        <v>2434</v>
      </c>
      <c r="P930" s="100" t="s">
        <v>2691</v>
      </c>
      <c r="Q930" s="8"/>
      <c r="R930" s="8"/>
      <c r="S930" s="8"/>
    </row>
    <row r="931" ht="14.25" customHeight="1">
      <c r="A931" s="100" t="s">
        <v>2696</v>
      </c>
      <c r="B931" s="100" t="s">
        <v>2697</v>
      </c>
      <c r="C931" s="100" t="s">
        <v>2364</v>
      </c>
      <c r="D931" s="100" t="s">
        <v>2690</v>
      </c>
      <c r="E931" s="810">
        <v>0.014</v>
      </c>
      <c r="F931" s="810">
        <v>0.0185</v>
      </c>
      <c r="G931" s="810">
        <v>0.0197</v>
      </c>
      <c r="H931" s="810">
        <v>0.0199</v>
      </c>
      <c r="I931" s="810">
        <v>0.0187</v>
      </c>
      <c r="J931" s="810">
        <v>0.0109</v>
      </c>
      <c r="K931" s="810">
        <v>0.0107</v>
      </c>
      <c r="L931" s="810">
        <v>0.0207</v>
      </c>
      <c r="M931" s="810">
        <v>0.0269</v>
      </c>
      <c r="N931" s="810">
        <v>0.027</v>
      </c>
      <c r="O931" s="810" t="s">
        <v>2434</v>
      </c>
      <c r="P931" s="100" t="s">
        <v>2691</v>
      </c>
      <c r="Q931" s="8"/>
      <c r="R931" s="8"/>
      <c r="S931" s="8"/>
    </row>
    <row r="932" ht="14.25" customHeight="1">
      <c r="A932" s="100" t="s">
        <v>2696</v>
      </c>
      <c r="B932" s="100" t="s">
        <v>2697</v>
      </c>
      <c r="C932" s="100" t="s">
        <v>2337</v>
      </c>
      <c r="D932" s="100" t="s">
        <v>2690</v>
      </c>
      <c r="E932" s="810">
        <v>0.0051</v>
      </c>
      <c r="F932" s="810">
        <v>0.0054</v>
      </c>
      <c r="G932" s="810">
        <v>0.0062</v>
      </c>
      <c r="H932" s="810">
        <v>0.0</v>
      </c>
      <c r="I932" s="810">
        <v>0.0</v>
      </c>
      <c r="J932" s="810">
        <v>0.003</v>
      </c>
      <c r="K932" s="810">
        <v>0.0062</v>
      </c>
      <c r="L932" s="810">
        <v>0.0022</v>
      </c>
      <c r="M932" s="810">
        <v>0.0022</v>
      </c>
      <c r="N932" s="810">
        <v>0.0022</v>
      </c>
      <c r="O932" s="810" t="s">
        <v>2434</v>
      </c>
      <c r="P932" s="100" t="s">
        <v>2691</v>
      </c>
      <c r="Q932" s="8"/>
      <c r="R932" s="8"/>
      <c r="S932" s="8"/>
    </row>
    <row r="933" ht="14.25" customHeight="1">
      <c r="A933" s="100" t="s">
        <v>2696</v>
      </c>
      <c r="B933" s="100" t="s">
        <v>2697</v>
      </c>
      <c r="C933" s="100" t="s">
        <v>2341</v>
      </c>
      <c r="D933" s="100" t="s">
        <v>2690</v>
      </c>
      <c r="E933" s="810">
        <v>0.1197</v>
      </c>
      <c r="F933" s="810">
        <v>0.1094</v>
      </c>
      <c r="G933" s="810">
        <v>0.0849</v>
      </c>
      <c r="H933" s="810">
        <v>0.1147</v>
      </c>
      <c r="I933" s="810">
        <v>0.0954</v>
      </c>
      <c r="J933" s="810">
        <v>0.1052</v>
      </c>
      <c r="K933" s="810">
        <v>0.1354</v>
      </c>
      <c r="L933" s="810">
        <v>0.1682</v>
      </c>
      <c r="M933" s="810">
        <v>0.1525</v>
      </c>
      <c r="N933" s="810">
        <v>0.1479</v>
      </c>
      <c r="O933" s="810" t="s">
        <v>2434</v>
      </c>
      <c r="P933" s="100" t="s">
        <v>2691</v>
      </c>
      <c r="Q933" s="8"/>
      <c r="R933" s="8"/>
      <c r="S933" s="8"/>
    </row>
    <row r="934" ht="14.25" customHeight="1">
      <c r="A934" s="100" t="s">
        <v>2696</v>
      </c>
      <c r="B934" s="100" t="s">
        <v>2697</v>
      </c>
      <c r="C934" s="100" t="s">
        <v>2348</v>
      </c>
      <c r="D934" s="100" t="s">
        <v>2690</v>
      </c>
      <c r="E934" s="810">
        <v>0.0</v>
      </c>
      <c r="F934" s="810">
        <v>0.0</v>
      </c>
      <c r="G934" s="810">
        <v>0.0</v>
      </c>
      <c r="H934" s="810">
        <v>0.0</v>
      </c>
      <c r="I934" s="810">
        <v>0.0</v>
      </c>
      <c r="J934" s="810">
        <v>0.0</v>
      </c>
      <c r="K934" s="810">
        <v>0.0</v>
      </c>
      <c r="L934" s="810">
        <v>0.0</v>
      </c>
      <c r="M934" s="810">
        <v>0.0</v>
      </c>
      <c r="N934" s="810">
        <v>0.0</v>
      </c>
      <c r="O934" s="810" t="s">
        <v>2434</v>
      </c>
      <c r="P934" s="100" t="s">
        <v>2691</v>
      </c>
      <c r="Q934" s="8"/>
      <c r="R934" s="8"/>
      <c r="S934" s="8"/>
    </row>
    <row r="935" ht="14.25" customHeight="1">
      <c r="A935" s="100" t="s">
        <v>2696</v>
      </c>
      <c r="B935" s="100" t="s">
        <v>2697</v>
      </c>
      <c r="C935" s="100" t="s">
        <v>2350</v>
      </c>
      <c r="D935" s="100" t="s">
        <v>2690</v>
      </c>
      <c r="E935" s="810">
        <v>0.0056</v>
      </c>
      <c r="F935" s="810">
        <v>0.0026</v>
      </c>
      <c r="G935" s="810">
        <v>0.007</v>
      </c>
      <c r="H935" s="810">
        <v>0.0057</v>
      </c>
      <c r="I935" s="810">
        <v>0.0057</v>
      </c>
      <c r="J935" s="810">
        <v>0.0022</v>
      </c>
      <c r="K935" s="810">
        <v>0.0026</v>
      </c>
      <c r="L935" s="810">
        <v>0.0026</v>
      </c>
      <c r="M935" s="810">
        <v>0.0025</v>
      </c>
      <c r="N935" s="810">
        <v>0.001</v>
      </c>
      <c r="O935" s="810" t="s">
        <v>2434</v>
      </c>
      <c r="P935" s="100" t="s">
        <v>2691</v>
      </c>
      <c r="Q935" s="8"/>
      <c r="R935" s="8"/>
      <c r="S935" s="8"/>
    </row>
    <row r="936" ht="14.25" customHeight="1">
      <c r="A936" s="100" t="s">
        <v>2696</v>
      </c>
      <c r="B936" s="100" t="s">
        <v>2697</v>
      </c>
      <c r="C936" s="100" t="s">
        <v>2354</v>
      </c>
      <c r="D936" s="100" t="s">
        <v>2690</v>
      </c>
      <c r="E936" s="810">
        <v>0.1229</v>
      </c>
      <c r="F936" s="810">
        <v>0.1165</v>
      </c>
      <c r="G936" s="810">
        <v>0.1091</v>
      </c>
      <c r="H936" s="810">
        <v>0.1075</v>
      </c>
      <c r="I936" s="810">
        <v>0.1004</v>
      </c>
      <c r="J936" s="810">
        <v>0.1023</v>
      </c>
      <c r="K936" s="810">
        <v>0.1074</v>
      </c>
      <c r="L936" s="810">
        <v>0.1032</v>
      </c>
      <c r="M936" s="810">
        <v>0.1181</v>
      </c>
      <c r="N936" s="810">
        <v>0.1055</v>
      </c>
      <c r="O936" s="810" t="s">
        <v>2434</v>
      </c>
      <c r="P936" s="100" t="s">
        <v>2691</v>
      </c>
      <c r="Q936" s="8"/>
      <c r="R936" s="8"/>
      <c r="S936" s="8"/>
    </row>
    <row r="937" ht="14.25" customHeight="1">
      <c r="A937" s="100" t="s">
        <v>2696</v>
      </c>
      <c r="B937" s="100" t="s">
        <v>2697</v>
      </c>
      <c r="C937" s="100" t="s">
        <v>2356</v>
      </c>
      <c r="D937" s="100" t="s">
        <v>2690</v>
      </c>
      <c r="E937" s="810">
        <v>0.9038</v>
      </c>
      <c r="F937" s="810">
        <v>0.9005</v>
      </c>
      <c r="G937" s="810">
        <v>0.9897</v>
      </c>
      <c r="H937" s="810">
        <v>0.8764</v>
      </c>
      <c r="I937" s="810">
        <v>0.81</v>
      </c>
      <c r="J937" s="810">
        <v>0.8867</v>
      </c>
      <c r="K937" s="810">
        <v>1.0226</v>
      </c>
      <c r="L937" s="810">
        <v>0.8824</v>
      </c>
      <c r="M937" s="810">
        <v>0.8507</v>
      </c>
      <c r="N937" s="810">
        <v>0.8368</v>
      </c>
      <c r="O937" s="810" t="s">
        <v>2434</v>
      </c>
      <c r="P937" s="100" t="s">
        <v>2691</v>
      </c>
      <c r="Q937" s="8"/>
      <c r="R937" s="8"/>
      <c r="S937" s="8"/>
    </row>
    <row r="938" ht="14.25" customHeight="1">
      <c r="A938" s="100" t="s">
        <v>2696</v>
      </c>
      <c r="B938" s="100" t="s">
        <v>2697</v>
      </c>
      <c r="C938" s="100" t="s">
        <v>2344</v>
      </c>
      <c r="D938" s="100" t="s">
        <v>2690</v>
      </c>
      <c r="E938" s="810">
        <v>0.1562</v>
      </c>
      <c r="F938" s="810">
        <v>0.0862</v>
      </c>
      <c r="G938" s="810">
        <v>0.1118</v>
      </c>
      <c r="H938" s="810">
        <v>0.1173</v>
      </c>
      <c r="I938" s="810">
        <v>0.097</v>
      </c>
      <c r="J938" s="810">
        <v>0.1666</v>
      </c>
      <c r="K938" s="810">
        <v>0.1685</v>
      </c>
      <c r="L938" s="810">
        <v>0.1625</v>
      </c>
      <c r="M938" s="810">
        <v>0.1485</v>
      </c>
      <c r="N938" s="810">
        <v>0.1497</v>
      </c>
      <c r="O938" s="810" t="s">
        <v>2434</v>
      </c>
      <c r="P938" s="100" t="s">
        <v>2691</v>
      </c>
      <c r="Q938" s="8"/>
      <c r="R938" s="8"/>
      <c r="S938" s="8"/>
    </row>
    <row r="939" ht="14.25" customHeight="1">
      <c r="A939" s="100" t="s">
        <v>2696</v>
      </c>
      <c r="B939" s="100" t="s">
        <v>2697</v>
      </c>
      <c r="C939" s="100" t="s">
        <v>2362</v>
      </c>
      <c r="D939" s="100" t="s">
        <v>2690</v>
      </c>
      <c r="E939" s="810">
        <v>0.5079</v>
      </c>
      <c r="F939" s="810">
        <v>0.4661</v>
      </c>
      <c r="G939" s="810">
        <v>0.5321</v>
      </c>
      <c r="H939" s="810">
        <v>0.7722</v>
      </c>
      <c r="I939" s="810">
        <v>0.6229</v>
      </c>
      <c r="J939" s="810">
        <v>0.5871</v>
      </c>
      <c r="K939" s="810">
        <v>0.5622</v>
      </c>
      <c r="L939" s="810">
        <v>0.7591</v>
      </c>
      <c r="M939" s="810">
        <v>0.3215</v>
      </c>
      <c r="N939" s="810">
        <v>0.3576</v>
      </c>
      <c r="O939" s="810" t="s">
        <v>2434</v>
      </c>
      <c r="P939" s="100" t="s">
        <v>2691</v>
      </c>
      <c r="Q939" s="8"/>
      <c r="R939" s="8"/>
      <c r="S939" s="8"/>
    </row>
    <row r="940" ht="14.25" customHeight="1">
      <c r="A940" s="100" t="s">
        <v>2696</v>
      </c>
      <c r="B940" s="100" t="s">
        <v>2697</v>
      </c>
      <c r="C940" s="100" t="s">
        <v>2367</v>
      </c>
      <c r="D940" s="100" t="s">
        <v>2690</v>
      </c>
      <c r="E940" s="810">
        <v>0.188</v>
      </c>
      <c r="F940" s="810">
        <v>0.1895</v>
      </c>
      <c r="G940" s="810">
        <v>0.1595</v>
      </c>
      <c r="H940" s="810">
        <v>0.1719</v>
      </c>
      <c r="I940" s="810">
        <v>0.167</v>
      </c>
      <c r="J940" s="810">
        <v>0.166</v>
      </c>
      <c r="K940" s="810">
        <v>0.1753</v>
      </c>
      <c r="L940" s="810">
        <v>0.1944</v>
      </c>
      <c r="M940" s="810">
        <v>0.1894</v>
      </c>
      <c r="N940" s="810">
        <v>0.1803</v>
      </c>
      <c r="O940" s="810" t="s">
        <v>2434</v>
      </c>
      <c r="P940" s="100" t="s">
        <v>2691</v>
      </c>
      <c r="Q940" s="8"/>
      <c r="R940" s="8"/>
      <c r="S940" s="8"/>
    </row>
    <row r="941" ht="14.25" customHeight="1">
      <c r="A941" s="100" t="s">
        <v>2696</v>
      </c>
      <c r="B941" s="100" t="s">
        <v>2697</v>
      </c>
      <c r="C941" s="100" t="s">
        <v>2369</v>
      </c>
      <c r="D941" s="100" t="s">
        <v>2690</v>
      </c>
      <c r="E941" s="810">
        <v>1.5663</v>
      </c>
      <c r="F941" s="810">
        <v>1.3527</v>
      </c>
      <c r="G941" s="810">
        <v>1.2314</v>
      </c>
      <c r="H941" s="810">
        <v>1.3352</v>
      </c>
      <c r="I941" s="810">
        <v>1.2953</v>
      </c>
      <c r="J941" s="810">
        <v>1.3111</v>
      </c>
      <c r="K941" s="810">
        <v>1.2699</v>
      </c>
      <c r="L941" s="810">
        <v>1.3131</v>
      </c>
      <c r="M941" s="810">
        <v>1.3722</v>
      </c>
      <c r="N941" s="810">
        <v>1.3802</v>
      </c>
      <c r="O941" s="810" t="s">
        <v>2434</v>
      </c>
      <c r="P941" s="100" t="s">
        <v>2691</v>
      </c>
      <c r="Q941" s="8"/>
      <c r="R941" s="8"/>
      <c r="S941" s="8"/>
    </row>
    <row r="942" ht="14.25" customHeight="1">
      <c r="A942" s="100" t="s">
        <v>2696</v>
      </c>
      <c r="B942" s="100" t="s">
        <v>2697</v>
      </c>
      <c r="C942" s="100" t="s">
        <v>2374</v>
      </c>
      <c r="D942" s="100" t="s">
        <v>2690</v>
      </c>
      <c r="E942" s="810">
        <v>1.105</v>
      </c>
      <c r="F942" s="810">
        <v>1.3429</v>
      </c>
      <c r="G942" s="810">
        <v>1.0629</v>
      </c>
      <c r="H942" s="810">
        <v>1.0424</v>
      </c>
      <c r="I942" s="810">
        <v>1.0303</v>
      </c>
      <c r="J942" s="810">
        <v>0.9986</v>
      </c>
      <c r="K942" s="810">
        <v>1.0004</v>
      </c>
      <c r="L942" s="810">
        <v>1.0802</v>
      </c>
      <c r="M942" s="810">
        <v>1.1396</v>
      </c>
      <c r="N942" s="810">
        <v>1.1126</v>
      </c>
      <c r="O942" s="810" t="s">
        <v>2434</v>
      </c>
      <c r="P942" s="100" t="s">
        <v>2691</v>
      </c>
      <c r="Q942" s="8"/>
      <c r="R942" s="8"/>
      <c r="S942" s="8"/>
    </row>
    <row r="943" ht="14.25" customHeight="1">
      <c r="A943" s="100" t="s">
        <v>2696</v>
      </c>
      <c r="B943" s="100" t="s">
        <v>2697</v>
      </c>
      <c r="C943" s="100" t="s">
        <v>2386</v>
      </c>
      <c r="D943" s="100" t="s">
        <v>2690</v>
      </c>
      <c r="E943" s="810">
        <v>0.0075</v>
      </c>
      <c r="F943" s="810">
        <v>0.0095</v>
      </c>
      <c r="G943" s="810">
        <v>0.0094</v>
      </c>
      <c r="H943" s="810">
        <v>0.0075</v>
      </c>
      <c r="I943" s="810">
        <v>0.0039</v>
      </c>
      <c r="J943" s="810">
        <v>0.0034</v>
      </c>
      <c r="K943" s="810">
        <v>0.0021</v>
      </c>
      <c r="L943" s="810">
        <v>0.0014</v>
      </c>
      <c r="M943" s="810">
        <v>0.0015</v>
      </c>
      <c r="N943" s="810">
        <v>0.0014</v>
      </c>
      <c r="O943" s="810" t="s">
        <v>2434</v>
      </c>
      <c r="P943" s="100" t="s">
        <v>2691</v>
      </c>
      <c r="Q943" s="8"/>
      <c r="R943" s="8"/>
      <c r="S943" s="8"/>
    </row>
    <row r="944" ht="14.25" customHeight="1">
      <c r="A944" s="100" t="s">
        <v>2696</v>
      </c>
      <c r="B944" s="100" t="s">
        <v>2697</v>
      </c>
      <c r="C944" s="100" t="s">
        <v>2378</v>
      </c>
      <c r="D944" s="100" t="s">
        <v>2690</v>
      </c>
      <c r="E944" s="810">
        <v>0.0</v>
      </c>
      <c r="F944" s="810">
        <v>0.0</v>
      </c>
      <c r="G944" s="810">
        <v>0.0</v>
      </c>
      <c r="H944" s="810">
        <v>0.0</v>
      </c>
      <c r="I944" s="810">
        <v>0.0</v>
      </c>
      <c r="J944" s="810">
        <v>0.0</v>
      </c>
      <c r="K944" s="810">
        <v>0.0</v>
      </c>
      <c r="L944" s="810">
        <v>0.0</v>
      </c>
      <c r="M944" s="810">
        <v>0.0</v>
      </c>
      <c r="N944" s="810">
        <v>0.0</v>
      </c>
      <c r="O944" s="810" t="s">
        <v>2434</v>
      </c>
      <c r="P944" s="100" t="s">
        <v>2691</v>
      </c>
      <c r="Q944" s="8"/>
      <c r="R944" s="8"/>
      <c r="S944" s="8"/>
    </row>
    <row r="945" ht="14.25" customHeight="1">
      <c r="A945" s="100" t="s">
        <v>2696</v>
      </c>
      <c r="B945" s="100" t="s">
        <v>2697</v>
      </c>
      <c r="C945" s="100" t="s">
        <v>2383</v>
      </c>
      <c r="D945" s="100" t="s">
        <v>2690</v>
      </c>
      <c r="E945" s="810">
        <v>0.056</v>
      </c>
      <c r="F945" s="810">
        <v>0.0538</v>
      </c>
      <c r="G945" s="810">
        <v>0.0545</v>
      </c>
      <c r="H945" s="810">
        <v>0.0532</v>
      </c>
      <c r="I945" s="810">
        <v>0.0515</v>
      </c>
      <c r="J945" s="810">
        <v>0.0498</v>
      </c>
      <c r="K945" s="810">
        <v>0.0507</v>
      </c>
      <c r="L945" s="810">
        <v>0.0538</v>
      </c>
      <c r="M945" s="810">
        <v>0.0515</v>
      </c>
      <c r="N945" s="810">
        <v>0.0475</v>
      </c>
      <c r="O945" s="810" t="s">
        <v>2434</v>
      </c>
      <c r="P945" s="100" t="s">
        <v>2691</v>
      </c>
      <c r="Q945" s="8"/>
      <c r="R945" s="8"/>
      <c r="S945" s="8"/>
    </row>
    <row r="946" ht="14.25" customHeight="1">
      <c r="A946" s="100" t="s">
        <v>2696</v>
      </c>
      <c r="B946" s="100" t="s">
        <v>2697</v>
      </c>
      <c r="C946" s="100" t="s">
        <v>2389</v>
      </c>
      <c r="D946" s="100" t="s">
        <v>2690</v>
      </c>
      <c r="E946" s="810">
        <v>0.0</v>
      </c>
      <c r="F946" s="810">
        <v>0.0</v>
      </c>
      <c r="G946" s="810">
        <v>0.0</v>
      </c>
      <c r="H946" s="810">
        <v>0.0</v>
      </c>
      <c r="I946" s="810">
        <v>0.0</v>
      </c>
      <c r="J946" s="810">
        <v>0.0</v>
      </c>
      <c r="K946" s="810">
        <v>0.0</v>
      </c>
      <c r="L946" s="810">
        <v>0.0</v>
      </c>
      <c r="M946" s="810">
        <v>0.0</v>
      </c>
      <c r="N946" s="810">
        <v>0.0</v>
      </c>
      <c r="O946" s="810" t="s">
        <v>2434</v>
      </c>
      <c r="P946" s="100" t="s">
        <v>2691</v>
      </c>
      <c r="Q946" s="8"/>
      <c r="R946" s="8"/>
      <c r="S946" s="8"/>
    </row>
    <row r="947" ht="14.25" customHeight="1">
      <c r="A947" s="100" t="s">
        <v>2696</v>
      </c>
      <c r="B947" s="100" t="s">
        <v>2697</v>
      </c>
      <c r="C947" s="100" t="s">
        <v>2391</v>
      </c>
      <c r="D947" s="100" t="s">
        <v>2690</v>
      </c>
      <c r="E947" s="810">
        <v>0.2039</v>
      </c>
      <c r="F947" s="810">
        <v>0.1851</v>
      </c>
      <c r="G947" s="810">
        <v>0.1516</v>
      </c>
      <c r="H947" s="810">
        <v>0.1516</v>
      </c>
      <c r="I947" s="810">
        <v>0.1219</v>
      </c>
      <c r="J947" s="810">
        <v>0.1545</v>
      </c>
      <c r="K947" s="810">
        <v>0.1567</v>
      </c>
      <c r="L947" s="810">
        <v>0.1719</v>
      </c>
      <c r="M947" s="810">
        <v>0.1629</v>
      </c>
      <c r="N947" s="810">
        <v>0.1589</v>
      </c>
      <c r="O947" s="810" t="s">
        <v>2434</v>
      </c>
      <c r="P947" s="100" t="s">
        <v>2691</v>
      </c>
      <c r="Q947" s="8"/>
      <c r="R947" s="8"/>
      <c r="S947" s="8"/>
    </row>
    <row r="948" ht="14.25" customHeight="1">
      <c r="A948" s="100" t="s">
        <v>2696</v>
      </c>
      <c r="B948" s="100" t="s">
        <v>2697</v>
      </c>
      <c r="C948" s="100" t="s">
        <v>2393</v>
      </c>
      <c r="D948" s="100" t="s">
        <v>2690</v>
      </c>
      <c r="E948" s="810">
        <v>1.0387</v>
      </c>
      <c r="F948" s="810">
        <v>1.1027</v>
      </c>
      <c r="G948" s="810">
        <v>1.1255</v>
      </c>
      <c r="H948" s="810">
        <v>1.1127</v>
      </c>
      <c r="I948" s="810">
        <v>1.1547</v>
      </c>
      <c r="J948" s="810">
        <v>1.1879</v>
      </c>
      <c r="K948" s="810">
        <v>1.0854</v>
      </c>
      <c r="L948" s="810">
        <v>1.138</v>
      </c>
      <c r="M948" s="810">
        <v>1.2547</v>
      </c>
      <c r="N948" s="810">
        <v>1.3305</v>
      </c>
      <c r="O948" s="810" t="s">
        <v>2434</v>
      </c>
      <c r="P948" s="100" t="s">
        <v>2691</v>
      </c>
      <c r="Q948" s="8"/>
      <c r="R948" s="8"/>
      <c r="S948" s="8"/>
    </row>
    <row r="949" ht="14.25" customHeight="1">
      <c r="A949" s="100" t="s">
        <v>2696</v>
      </c>
      <c r="B949" s="100" t="s">
        <v>2697</v>
      </c>
      <c r="C949" s="100" t="s">
        <v>2395</v>
      </c>
      <c r="D949" s="100" t="s">
        <v>2690</v>
      </c>
      <c r="E949" s="810">
        <v>0.0</v>
      </c>
      <c r="F949" s="810">
        <v>0.0</v>
      </c>
      <c r="G949" s="810">
        <v>0.0</v>
      </c>
      <c r="H949" s="810">
        <v>0.0</v>
      </c>
      <c r="I949" s="810">
        <v>0.0</v>
      </c>
      <c r="J949" s="810">
        <v>0.0</v>
      </c>
      <c r="K949" s="810">
        <v>0.0</v>
      </c>
      <c r="L949" s="810">
        <v>0.0</v>
      </c>
      <c r="M949" s="810">
        <v>0.0</v>
      </c>
      <c r="N949" s="810">
        <v>0.0</v>
      </c>
      <c r="O949" s="810" t="s">
        <v>2434</v>
      </c>
      <c r="P949" s="100" t="s">
        <v>2691</v>
      </c>
      <c r="Q949" s="8"/>
      <c r="R949" s="8"/>
      <c r="S949" s="8"/>
    </row>
    <row r="950" ht="14.25" customHeight="1">
      <c r="A950" s="100" t="s">
        <v>2696</v>
      </c>
      <c r="B950" s="100" t="s">
        <v>2697</v>
      </c>
      <c r="C950" s="100" t="s">
        <v>2397</v>
      </c>
      <c r="D950" s="100" t="s">
        <v>2690</v>
      </c>
      <c r="E950" s="810">
        <v>0.409</v>
      </c>
      <c r="F950" s="810">
        <v>0.4541</v>
      </c>
      <c r="G950" s="810">
        <v>0.3846</v>
      </c>
      <c r="H950" s="810">
        <v>0.3195</v>
      </c>
      <c r="I950" s="810">
        <v>0.3387</v>
      </c>
      <c r="J950" s="810">
        <v>0.3524</v>
      </c>
      <c r="K950" s="810">
        <v>0.3623</v>
      </c>
      <c r="L950" s="810">
        <v>0.3697</v>
      </c>
      <c r="M950" s="810">
        <v>0.4206</v>
      </c>
      <c r="N950" s="810">
        <v>0.3522</v>
      </c>
      <c r="O950" s="810" t="s">
        <v>2434</v>
      </c>
      <c r="P950" s="100" t="s">
        <v>2691</v>
      </c>
      <c r="Q950" s="8"/>
      <c r="R950" s="8"/>
      <c r="S950" s="8"/>
    </row>
    <row r="951" ht="14.25" customHeight="1">
      <c r="A951" s="100" t="s">
        <v>2696</v>
      </c>
      <c r="B951" s="100" t="s">
        <v>2697</v>
      </c>
      <c r="C951" s="100" t="s">
        <v>2411</v>
      </c>
      <c r="D951" s="100" t="s">
        <v>2690</v>
      </c>
      <c r="E951" s="810">
        <v>0.1987</v>
      </c>
      <c r="F951" s="810">
        <v>0.2459</v>
      </c>
      <c r="G951" s="810">
        <v>0.2255</v>
      </c>
      <c r="H951" s="810">
        <v>0.1864</v>
      </c>
      <c r="I951" s="810">
        <v>0.1483</v>
      </c>
      <c r="J951" s="810">
        <v>0.1372</v>
      </c>
      <c r="K951" s="810">
        <v>0.1127</v>
      </c>
      <c r="L951" s="810">
        <v>0.1231</v>
      </c>
      <c r="M951" s="810">
        <v>0.0944</v>
      </c>
      <c r="N951" s="810">
        <v>0.099</v>
      </c>
      <c r="O951" s="810" t="s">
        <v>2434</v>
      </c>
      <c r="P951" s="100" t="s">
        <v>2691</v>
      </c>
      <c r="Q951" s="8"/>
      <c r="R951" s="8"/>
      <c r="S951" s="8"/>
    </row>
    <row r="952" ht="14.25" customHeight="1">
      <c r="A952" s="100" t="s">
        <v>2696</v>
      </c>
      <c r="B952" s="100" t="s">
        <v>2697</v>
      </c>
      <c r="C952" s="100" t="s">
        <v>2406</v>
      </c>
      <c r="D952" s="100" t="s">
        <v>2690</v>
      </c>
      <c r="E952" s="810">
        <v>0.0887</v>
      </c>
      <c r="F952" s="810">
        <v>0.0867</v>
      </c>
      <c r="G952" s="810">
        <v>0.0918</v>
      </c>
      <c r="H952" s="810">
        <v>0.0946</v>
      </c>
      <c r="I952" s="810">
        <v>0.0957</v>
      </c>
      <c r="J952" s="810">
        <v>0.1046</v>
      </c>
      <c r="K952" s="810">
        <v>0.1028</v>
      </c>
      <c r="L952" s="810">
        <v>0.1269</v>
      </c>
      <c r="M952" s="810">
        <v>0.1233</v>
      </c>
      <c r="N952" s="810">
        <v>0.0991</v>
      </c>
      <c r="O952" s="810" t="s">
        <v>2434</v>
      </c>
      <c r="P952" s="100" t="s">
        <v>2691</v>
      </c>
      <c r="Q952" s="8"/>
      <c r="R952" s="8"/>
      <c r="S952" s="8"/>
    </row>
    <row r="953" ht="14.25" customHeight="1">
      <c r="A953" s="100" t="s">
        <v>2696</v>
      </c>
      <c r="B953" s="100" t="s">
        <v>2697</v>
      </c>
      <c r="C953" s="100" t="s">
        <v>2352</v>
      </c>
      <c r="D953" s="100" t="s">
        <v>2690</v>
      </c>
      <c r="E953" s="810">
        <v>3.1102</v>
      </c>
      <c r="F953" s="810">
        <v>2.5398</v>
      </c>
      <c r="G953" s="810">
        <v>2.0906</v>
      </c>
      <c r="H953" s="810">
        <v>1.4752</v>
      </c>
      <c r="I953" s="810">
        <v>1.2353</v>
      </c>
      <c r="J953" s="810">
        <v>1.0028</v>
      </c>
      <c r="K953" s="810">
        <v>0.9884</v>
      </c>
      <c r="L953" s="810">
        <v>1.0633</v>
      </c>
      <c r="M953" s="810">
        <v>1.3069</v>
      </c>
      <c r="N953" s="810">
        <v>1.5939</v>
      </c>
      <c r="O953" s="810" t="s">
        <v>2434</v>
      </c>
      <c r="P953" s="100" t="s">
        <v>2691</v>
      </c>
      <c r="Q953" s="8"/>
      <c r="R953" s="8"/>
      <c r="S953" s="8"/>
    </row>
    <row r="954" ht="14.25" customHeight="1">
      <c r="A954" s="100" t="s">
        <v>2696</v>
      </c>
      <c r="B954" s="100" t="s">
        <v>2697</v>
      </c>
      <c r="C954" s="100" t="s">
        <v>2400</v>
      </c>
      <c r="D954" s="100" t="s">
        <v>2690</v>
      </c>
      <c r="E954" s="810">
        <v>0.0902</v>
      </c>
      <c r="F954" s="810">
        <v>0.0832</v>
      </c>
      <c r="G954" s="810">
        <v>0.0843</v>
      </c>
      <c r="H954" s="810">
        <v>0.0919</v>
      </c>
      <c r="I954" s="810">
        <v>0.0943</v>
      </c>
      <c r="J954" s="810">
        <v>0.0</v>
      </c>
      <c r="K954" s="810">
        <v>0.1008</v>
      </c>
      <c r="L954" s="810">
        <v>0.1008</v>
      </c>
      <c r="M954" s="810">
        <v>0.0995</v>
      </c>
      <c r="N954" s="810">
        <v>0.1109</v>
      </c>
      <c r="O954" s="810" t="s">
        <v>2434</v>
      </c>
      <c r="P954" s="100" t="s">
        <v>2691</v>
      </c>
      <c r="Q954" s="8"/>
      <c r="R954" s="8"/>
      <c r="S954" s="8"/>
    </row>
    <row r="955" ht="14.25" customHeight="1">
      <c r="A955" s="100" t="s">
        <v>2696</v>
      </c>
      <c r="B955" s="100" t="s">
        <v>2697</v>
      </c>
      <c r="C955" s="100" t="s">
        <v>2416</v>
      </c>
      <c r="D955" s="100" t="s">
        <v>2690</v>
      </c>
      <c r="E955" s="810">
        <v>0.2792</v>
      </c>
      <c r="F955" s="810">
        <v>0.1858</v>
      </c>
      <c r="G955" s="810">
        <v>0.1504</v>
      </c>
      <c r="H955" s="810">
        <v>0.1399</v>
      </c>
      <c r="I955" s="810">
        <v>0.1441</v>
      </c>
      <c r="J955" s="810">
        <v>0.1279</v>
      </c>
      <c r="K955" s="810">
        <v>0.1384</v>
      </c>
      <c r="L955" s="810">
        <v>0.1461</v>
      </c>
      <c r="M955" s="810">
        <v>0.1533</v>
      </c>
      <c r="N955" s="810" t="s">
        <v>2434</v>
      </c>
      <c r="O955" s="810" t="s">
        <v>2434</v>
      </c>
      <c r="P955" s="100" t="s">
        <v>2691</v>
      </c>
      <c r="Q955" s="8"/>
      <c r="R955" s="8"/>
      <c r="S955" s="8"/>
    </row>
    <row r="956" ht="14.25" customHeight="1">
      <c r="A956" s="100" t="s">
        <v>2696</v>
      </c>
      <c r="B956" s="100" t="s">
        <v>2697</v>
      </c>
      <c r="C956" s="100" t="s">
        <v>2423</v>
      </c>
      <c r="D956" s="100" t="s">
        <v>2690</v>
      </c>
      <c r="E956" s="810">
        <v>0.0708</v>
      </c>
      <c r="F956" s="810">
        <v>0.068</v>
      </c>
      <c r="G956" s="810">
        <v>0.1014</v>
      </c>
      <c r="H956" s="810">
        <v>0.0927</v>
      </c>
      <c r="I956" s="810">
        <v>0.1099</v>
      </c>
      <c r="J956" s="810">
        <v>0.1034</v>
      </c>
      <c r="K956" s="810">
        <v>0.0963</v>
      </c>
      <c r="L956" s="810">
        <v>0.0938</v>
      </c>
      <c r="M956" s="810">
        <v>0.0994</v>
      </c>
      <c r="N956" s="810" t="s">
        <v>2434</v>
      </c>
      <c r="O956" s="810" t="s">
        <v>2434</v>
      </c>
      <c r="P956" s="100" t="s">
        <v>2691</v>
      </c>
      <c r="Q956" s="8"/>
      <c r="R956" s="8"/>
      <c r="S956" s="8"/>
    </row>
    <row r="957" ht="14.25" customHeight="1">
      <c r="A957" s="100" t="s">
        <v>2696</v>
      </c>
      <c r="B957" s="100" t="s">
        <v>2697</v>
      </c>
      <c r="C957" s="100" t="s">
        <v>2360</v>
      </c>
      <c r="D957" s="100" t="s">
        <v>2690</v>
      </c>
      <c r="E957" s="810">
        <v>3.3169</v>
      </c>
      <c r="F957" s="810">
        <v>3.3244</v>
      </c>
      <c r="G957" s="810">
        <v>2.8722</v>
      </c>
      <c r="H957" s="810">
        <v>0.6003</v>
      </c>
      <c r="I957" s="810">
        <v>0.5576</v>
      </c>
      <c r="J957" s="810">
        <v>0.7357</v>
      </c>
      <c r="K957" s="810">
        <v>0.7131</v>
      </c>
      <c r="L957" s="810">
        <v>0.7149</v>
      </c>
      <c r="M957" s="810">
        <v>0.705</v>
      </c>
      <c r="N957" s="810">
        <v>0.6937</v>
      </c>
      <c r="O957" s="810" t="s">
        <v>2434</v>
      </c>
      <c r="P957" s="100" t="s">
        <v>2691</v>
      </c>
      <c r="Q957" s="8"/>
      <c r="R957" s="8"/>
      <c r="S957" s="8"/>
    </row>
    <row r="958" ht="14.25" customHeight="1">
      <c r="A958" s="100" t="s">
        <v>2696</v>
      </c>
      <c r="B958" s="100" t="s">
        <v>2697</v>
      </c>
      <c r="C958" s="100" t="s">
        <v>2535</v>
      </c>
      <c r="D958" s="100" t="s">
        <v>2690</v>
      </c>
      <c r="E958" s="810">
        <v>0.1398</v>
      </c>
      <c r="F958" s="810">
        <v>0.0584</v>
      </c>
      <c r="G958" s="810">
        <v>0.0483</v>
      </c>
      <c r="H958" s="810">
        <v>0.0189</v>
      </c>
      <c r="I958" s="810">
        <v>0.026</v>
      </c>
      <c r="J958" s="810">
        <v>0.0937</v>
      </c>
      <c r="K958" s="810">
        <v>0.0662</v>
      </c>
      <c r="L958" s="810">
        <v>0.0701</v>
      </c>
      <c r="M958" s="810">
        <v>0.0908</v>
      </c>
      <c r="N958" s="810">
        <v>0.0637</v>
      </c>
      <c r="O958" s="810" t="s">
        <v>2434</v>
      </c>
      <c r="P958" s="100" t="s">
        <v>2546</v>
      </c>
      <c r="Q958" s="8"/>
      <c r="R958" s="8"/>
      <c r="S958" s="8"/>
    </row>
    <row r="959" ht="14.25" customHeight="1">
      <c r="A959" s="100" t="s">
        <v>2698</v>
      </c>
      <c r="B959" s="100" t="s">
        <v>2699</v>
      </c>
      <c r="C959" s="100" t="s">
        <v>2317</v>
      </c>
      <c r="D959" s="100" t="s">
        <v>2690</v>
      </c>
      <c r="E959" s="810" t="str">
        <f t="shared" ref="E959:O959" si="79">#REF!</f>
        <v>#REF!</v>
      </c>
      <c r="F959" s="810" t="str">
        <f t="shared" si="79"/>
        <v>#REF!</v>
      </c>
      <c r="G959" s="810" t="str">
        <f t="shared" si="79"/>
        <v>#REF!</v>
      </c>
      <c r="H959" s="810" t="str">
        <f t="shared" si="79"/>
        <v>#REF!</v>
      </c>
      <c r="I959" s="810" t="str">
        <f t="shared" si="79"/>
        <v>#REF!</v>
      </c>
      <c r="J959" s="810" t="str">
        <f t="shared" si="79"/>
        <v>#REF!</v>
      </c>
      <c r="K959" s="810" t="str">
        <f t="shared" si="79"/>
        <v>#REF!</v>
      </c>
      <c r="L959" s="810" t="str">
        <f t="shared" si="79"/>
        <v>#REF!</v>
      </c>
      <c r="M959" s="810" t="str">
        <f t="shared" si="79"/>
        <v>#REF!</v>
      </c>
      <c r="N959" s="810" t="str">
        <f t="shared" si="79"/>
        <v>#REF!</v>
      </c>
      <c r="O959" s="810" t="str">
        <f t="shared" si="79"/>
        <v>#REF!</v>
      </c>
      <c r="P959" s="100" t="s">
        <v>2691</v>
      </c>
      <c r="Q959" s="8"/>
      <c r="R959" s="8"/>
      <c r="S959" s="8"/>
    </row>
    <row r="960" ht="14.25" customHeight="1">
      <c r="A960" s="100" t="str">
        <f t="shared" ref="A960:B960" si="80">A959</f>
        <v>cmbecchi</v>
      </c>
      <c r="B960" s="100" t="str">
        <f t="shared" si="80"/>
        <v>Chemicals</v>
      </c>
      <c r="C960" s="100" t="s">
        <v>2507</v>
      </c>
      <c r="D960" s="100" t="str">
        <f>D959</f>
        <v>MtCO2</v>
      </c>
      <c r="E960" s="810" t="str">
        <f t="shared" ref="E960:O960" si="81">#REF!</f>
        <v>#REF!</v>
      </c>
      <c r="F960" s="810" t="str">
        <f t="shared" si="81"/>
        <v>#REF!</v>
      </c>
      <c r="G960" s="810" t="str">
        <f t="shared" si="81"/>
        <v>#REF!</v>
      </c>
      <c r="H960" s="810" t="str">
        <f t="shared" si="81"/>
        <v>#REF!</v>
      </c>
      <c r="I960" s="810" t="str">
        <f t="shared" si="81"/>
        <v>#REF!</v>
      </c>
      <c r="J960" s="810" t="str">
        <f t="shared" si="81"/>
        <v>#REF!</v>
      </c>
      <c r="K960" s="810" t="str">
        <f t="shared" si="81"/>
        <v>#REF!</v>
      </c>
      <c r="L960" s="810" t="str">
        <f t="shared" si="81"/>
        <v>#REF!</v>
      </c>
      <c r="M960" s="810" t="str">
        <f t="shared" si="81"/>
        <v>#REF!</v>
      </c>
      <c r="N960" s="810" t="str">
        <f t="shared" si="81"/>
        <v>#REF!</v>
      </c>
      <c r="O960" s="810" t="str">
        <f t="shared" si="81"/>
        <v>#REF!</v>
      </c>
      <c r="P960" s="100"/>
      <c r="Q960" s="8"/>
      <c r="R960" s="8"/>
      <c r="S960" s="8"/>
    </row>
    <row r="961" ht="14.25" customHeight="1">
      <c r="A961" s="100" t="s">
        <v>2698</v>
      </c>
      <c r="B961" s="100" t="s">
        <v>2699</v>
      </c>
      <c r="C961" s="100" t="s">
        <v>2325</v>
      </c>
      <c r="D961" s="100" t="s">
        <v>2690</v>
      </c>
      <c r="E961" s="810">
        <v>1.5468</v>
      </c>
      <c r="F961" s="810">
        <v>1.4874</v>
      </c>
      <c r="G961" s="810">
        <v>1.4861</v>
      </c>
      <c r="H961" s="810">
        <v>1.3839</v>
      </c>
      <c r="I961" s="810">
        <v>1.4176</v>
      </c>
      <c r="J961" s="810">
        <v>1.3945</v>
      </c>
      <c r="K961" s="810">
        <v>1.5498</v>
      </c>
      <c r="L961" s="810">
        <v>1.627</v>
      </c>
      <c r="M961" s="810">
        <v>1.4635</v>
      </c>
      <c r="N961" s="810">
        <v>1.525</v>
      </c>
      <c r="O961" s="810" t="s">
        <v>2434</v>
      </c>
      <c r="P961" s="100" t="s">
        <v>2691</v>
      </c>
      <c r="Q961" s="8"/>
      <c r="R961" s="8"/>
      <c r="S961" s="8"/>
    </row>
    <row r="962" ht="14.25" customHeight="1">
      <c r="A962" s="100" t="s">
        <v>2698</v>
      </c>
      <c r="B962" s="100" t="s">
        <v>2699</v>
      </c>
      <c r="C962" s="100" t="s">
        <v>2329</v>
      </c>
      <c r="D962" s="100" t="s">
        <v>2690</v>
      </c>
      <c r="E962" s="810">
        <v>3.3615</v>
      </c>
      <c r="F962" s="810">
        <v>3.3352</v>
      </c>
      <c r="G962" s="810">
        <v>3.3427</v>
      </c>
      <c r="H962" s="810">
        <v>3.3439</v>
      </c>
      <c r="I962" s="810">
        <v>3.4562</v>
      </c>
      <c r="J962" s="810">
        <v>3.4873</v>
      </c>
      <c r="K962" s="810">
        <v>3.4757</v>
      </c>
      <c r="L962" s="810">
        <v>3.5992</v>
      </c>
      <c r="M962" s="810">
        <v>3.4875</v>
      </c>
      <c r="N962" s="810">
        <v>3.4355</v>
      </c>
      <c r="O962" s="810" t="s">
        <v>2434</v>
      </c>
      <c r="P962" s="100" t="s">
        <v>2691</v>
      </c>
      <c r="Q962" s="8"/>
      <c r="R962" s="8"/>
      <c r="S962" s="8"/>
    </row>
    <row r="963" ht="14.25" customHeight="1">
      <c r="A963" s="100" t="s">
        <v>2698</v>
      </c>
      <c r="B963" s="100" t="s">
        <v>2699</v>
      </c>
      <c r="C963" s="100" t="s">
        <v>2333</v>
      </c>
      <c r="D963" s="100" t="s">
        <v>2690</v>
      </c>
      <c r="E963" s="810">
        <v>0.2157</v>
      </c>
      <c r="F963" s="810">
        <v>0.2237</v>
      </c>
      <c r="G963" s="810">
        <v>0.2259</v>
      </c>
      <c r="H963" s="810">
        <v>0.2485</v>
      </c>
      <c r="I963" s="810">
        <v>0.2211</v>
      </c>
      <c r="J963" s="810">
        <v>0.3457</v>
      </c>
      <c r="K963" s="810">
        <v>0.3806</v>
      </c>
      <c r="L963" s="810">
        <v>1.0128</v>
      </c>
      <c r="M963" s="810">
        <v>1.5272</v>
      </c>
      <c r="N963" s="810">
        <v>1.4103</v>
      </c>
      <c r="O963" s="810" t="s">
        <v>2434</v>
      </c>
      <c r="P963" s="100" t="s">
        <v>2691</v>
      </c>
      <c r="Q963" s="8"/>
      <c r="R963" s="8"/>
      <c r="S963" s="8"/>
    </row>
    <row r="964" ht="14.25" customHeight="1">
      <c r="A964" s="100" t="s">
        <v>2698</v>
      </c>
      <c r="B964" s="100" t="s">
        <v>2699</v>
      </c>
      <c r="C964" s="100" t="s">
        <v>2364</v>
      </c>
      <c r="D964" s="100" t="s">
        <v>2690</v>
      </c>
      <c r="E964" s="810">
        <v>0.4497</v>
      </c>
      <c r="F964" s="810">
        <v>0.4177</v>
      </c>
      <c r="G964" s="810">
        <v>0.2798</v>
      </c>
      <c r="H964" s="810">
        <v>0.2532</v>
      </c>
      <c r="I964" s="810">
        <v>0.2881</v>
      </c>
      <c r="J964" s="810">
        <v>0.2943</v>
      </c>
      <c r="K964" s="810">
        <v>0.2964</v>
      </c>
      <c r="L964" s="810">
        <v>0.3324</v>
      </c>
      <c r="M964" s="810">
        <v>0.2796</v>
      </c>
      <c r="N964" s="810">
        <v>0.292</v>
      </c>
      <c r="O964" s="810" t="s">
        <v>2434</v>
      </c>
      <c r="P964" s="100" t="s">
        <v>2691</v>
      </c>
      <c r="Q964" s="8"/>
      <c r="R964" s="8"/>
      <c r="S964" s="8"/>
    </row>
    <row r="965" ht="14.25" customHeight="1">
      <c r="A965" s="100" t="s">
        <v>2698</v>
      </c>
      <c r="B965" s="100" t="s">
        <v>2699</v>
      </c>
      <c r="C965" s="100" t="s">
        <v>2337</v>
      </c>
      <c r="D965" s="100" t="s">
        <v>2690</v>
      </c>
      <c r="E965" s="810">
        <v>0.0021</v>
      </c>
      <c r="F965" s="810">
        <v>0.0024</v>
      </c>
      <c r="G965" s="810">
        <v>0.0032</v>
      </c>
      <c r="H965" s="810">
        <v>0.0</v>
      </c>
      <c r="I965" s="810">
        <v>0.0032</v>
      </c>
      <c r="J965" s="810">
        <v>0.0063</v>
      </c>
      <c r="K965" s="810">
        <v>0.0063</v>
      </c>
      <c r="L965" s="810">
        <v>0.0067</v>
      </c>
      <c r="M965" s="810">
        <v>0.0078</v>
      </c>
      <c r="N965" s="810">
        <v>0.0082</v>
      </c>
      <c r="O965" s="810" t="s">
        <v>2434</v>
      </c>
      <c r="P965" s="100" t="s">
        <v>2691</v>
      </c>
      <c r="Q965" s="8"/>
      <c r="R965" s="8"/>
      <c r="S965" s="8"/>
    </row>
    <row r="966" ht="14.25" customHeight="1">
      <c r="A966" s="100" t="s">
        <v>2698</v>
      </c>
      <c r="B966" s="100" t="s">
        <v>2699</v>
      </c>
      <c r="C966" s="100" t="s">
        <v>2341</v>
      </c>
      <c r="D966" s="100" t="s">
        <v>2690</v>
      </c>
      <c r="E966" s="810">
        <v>2.2233</v>
      </c>
      <c r="F966" s="810">
        <v>1.9213</v>
      </c>
      <c r="G966" s="810">
        <v>1.8019</v>
      </c>
      <c r="H966" s="810">
        <v>1.7573</v>
      </c>
      <c r="I966" s="810">
        <v>1.4969</v>
      </c>
      <c r="J966" s="810">
        <v>1.4064</v>
      </c>
      <c r="K966" s="810">
        <v>1.3617</v>
      </c>
      <c r="L966" s="810">
        <v>1.8784</v>
      </c>
      <c r="M966" s="810">
        <v>1.85</v>
      </c>
      <c r="N966" s="810">
        <v>1.8617</v>
      </c>
      <c r="O966" s="810" t="s">
        <v>2434</v>
      </c>
      <c r="P966" s="100" t="s">
        <v>2691</v>
      </c>
      <c r="Q966" s="8"/>
      <c r="R966" s="8"/>
      <c r="S966" s="8"/>
    </row>
    <row r="967" ht="14.25" customHeight="1">
      <c r="A967" s="100" t="s">
        <v>2698</v>
      </c>
      <c r="B967" s="100" t="s">
        <v>2699</v>
      </c>
      <c r="C967" s="100" t="s">
        <v>2348</v>
      </c>
      <c r="D967" s="100" t="s">
        <v>2690</v>
      </c>
      <c r="E967" s="810">
        <v>0.3608</v>
      </c>
      <c r="F967" s="810">
        <v>0.3926</v>
      </c>
      <c r="G967" s="810">
        <v>0.3498</v>
      </c>
      <c r="H967" s="810">
        <v>0.3765</v>
      </c>
      <c r="I967" s="810">
        <v>0.3764</v>
      </c>
      <c r="J967" s="810">
        <v>0.3694</v>
      </c>
      <c r="K967" s="810">
        <v>0.2963</v>
      </c>
      <c r="L967" s="810">
        <v>0.2988</v>
      </c>
      <c r="M967" s="810">
        <v>0.3012</v>
      </c>
      <c r="N967" s="810">
        <v>0.2701</v>
      </c>
      <c r="O967" s="810" t="s">
        <v>2434</v>
      </c>
      <c r="P967" s="100" t="s">
        <v>2691</v>
      </c>
      <c r="Q967" s="8"/>
      <c r="R967" s="8"/>
      <c r="S967" s="8"/>
    </row>
    <row r="968" ht="14.25" customHeight="1">
      <c r="A968" s="100" t="s">
        <v>2698</v>
      </c>
      <c r="B968" s="100" t="s">
        <v>2699</v>
      </c>
      <c r="C968" s="100" t="s">
        <v>2350</v>
      </c>
      <c r="D968" s="100" t="s">
        <v>2690</v>
      </c>
      <c r="E968" s="810">
        <v>0.0313</v>
      </c>
      <c r="F968" s="810">
        <v>0.0229</v>
      </c>
      <c r="G968" s="810">
        <v>0.0328</v>
      </c>
      <c r="H968" s="810">
        <v>0.0874</v>
      </c>
      <c r="I968" s="810">
        <v>0.015</v>
      </c>
      <c r="J968" s="810">
        <v>0.0352</v>
      </c>
      <c r="K968" s="810">
        <v>0.0313</v>
      </c>
      <c r="L968" s="810">
        <v>0.0247</v>
      </c>
      <c r="M968" s="810">
        <v>0.0193</v>
      </c>
      <c r="N968" s="810">
        <v>0.02</v>
      </c>
      <c r="O968" s="810" t="s">
        <v>2434</v>
      </c>
      <c r="P968" s="100" t="s">
        <v>2691</v>
      </c>
      <c r="Q968" s="8"/>
      <c r="R968" s="8"/>
      <c r="S968" s="8"/>
    </row>
    <row r="969" ht="14.25" customHeight="1">
      <c r="A969" s="100" t="s">
        <v>2698</v>
      </c>
      <c r="B969" s="100" t="s">
        <v>2699</v>
      </c>
      <c r="C969" s="100" t="s">
        <v>2354</v>
      </c>
      <c r="D969" s="100" t="s">
        <v>2690</v>
      </c>
      <c r="E969" s="810">
        <v>0.7759</v>
      </c>
      <c r="F969" s="810">
        <v>0.7917</v>
      </c>
      <c r="G969" s="810">
        <v>0.6615</v>
      </c>
      <c r="H969" s="810">
        <v>0.7499</v>
      </c>
      <c r="I969" s="810">
        <v>0.7442</v>
      </c>
      <c r="J969" s="810">
        <v>0.7525</v>
      </c>
      <c r="K969" s="810">
        <v>0.7819</v>
      </c>
      <c r="L969" s="810">
        <v>0.6705</v>
      </c>
      <c r="M969" s="810">
        <v>0.7356</v>
      </c>
      <c r="N969" s="810">
        <v>0.7264</v>
      </c>
      <c r="O969" s="810" t="s">
        <v>2434</v>
      </c>
      <c r="P969" s="100" t="s">
        <v>2691</v>
      </c>
      <c r="Q969" s="8"/>
      <c r="R969" s="8"/>
      <c r="S969" s="8"/>
    </row>
    <row r="970" ht="14.25" customHeight="1">
      <c r="A970" s="100" t="s">
        <v>2698</v>
      </c>
      <c r="B970" s="100" t="s">
        <v>2699</v>
      </c>
      <c r="C970" s="100" t="s">
        <v>2356</v>
      </c>
      <c r="D970" s="100" t="s">
        <v>2690</v>
      </c>
      <c r="E970" s="810">
        <v>16.3231</v>
      </c>
      <c r="F970" s="810">
        <v>15.8042</v>
      </c>
      <c r="G970" s="810">
        <v>15.3603</v>
      </c>
      <c r="H970" s="810">
        <v>14.6846</v>
      </c>
      <c r="I970" s="810">
        <v>13.542</v>
      </c>
      <c r="J970" s="810">
        <v>13.0559</v>
      </c>
      <c r="K970" s="810">
        <v>13.2947</v>
      </c>
      <c r="L970" s="810">
        <v>12.2723</v>
      </c>
      <c r="M970" s="810">
        <v>12.6831</v>
      </c>
      <c r="N970" s="810">
        <v>12.5098</v>
      </c>
      <c r="O970" s="810" t="s">
        <v>2434</v>
      </c>
      <c r="P970" s="100" t="s">
        <v>2691</v>
      </c>
      <c r="Q970" s="8"/>
      <c r="R970" s="8"/>
      <c r="S970" s="8"/>
    </row>
    <row r="971" ht="14.25" customHeight="1">
      <c r="A971" s="100" t="s">
        <v>2698</v>
      </c>
      <c r="B971" s="100" t="s">
        <v>2699</v>
      </c>
      <c r="C971" s="100" t="s">
        <v>2344</v>
      </c>
      <c r="D971" s="100" t="s">
        <v>2690</v>
      </c>
      <c r="E971" s="810">
        <v>0.0</v>
      </c>
      <c r="F971" s="810">
        <v>0.0</v>
      </c>
      <c r="G971" s="810">
        <v>0.0</v>
      </c>
      <c r="H971" s="810">
        <v>0.0</v>
      </c>
      <c r="I971" s="810">
        <v>0.0</v>
      </c>
      <c r="J971" s="810">
        <v>0.0</v>
      </c>
      <c r="K971" s="810">
        <v>0.0</v>
      </c>
      <c r="L971" s="810">
        <v>0.0</v>
      </c>
      <c r="M971" s="810">
        <v>0.0</v>
      </c>
      <c r="N971" s="810">
        <v>0.0</v>
      </c>
      <c r="O971" s="810" t="s">
        <v>2434</v>
      </c>
      <c r="P971" s="100" t="s">
        <v>2691</v>
      </c>
      <c r="Q971" s="8"/>
      <c r="R971" s="8"/>
      <c r="S971" s="8"/>
    </row>
    <row r="972" ht="14.25" customHeight="1">
      <c r="A972" s="100" t="s">
        <v>2698</v>
      </c>
      <c r="B972" s="100" t="s">
        <v>2699</v>
      </c>
      <c r="C972" s="100" t="s">
        <v>2362</v>
      </c>
      <c r="D972" s="100" t="s">
        <v>2690</v>
      </c>
      <c r="E972" s="810">
        <v>0.9779</v>
      </c>
      <c r="F972" s="810">
        <v>0.8076</v>
      </c>
      <c r="G972" s="810">
        <v>0.6697</v>
      </c>
      <c r="H972" s="810">
        <v>0.343</v>
      </c>
      <c r="I972" s="810">
        <v>0.3569</v>
      </c>
      <c r="J972" s="810">
        <v>0.4435</v>
      </c>
      <c r="K972" s="810">
        <v>0.092</v>
      </c>
      <c r="L972" s="810">
        <v>0.2662</v>
      </c>
      <c r="M972" s="810">
        <v>0.4783</v>
      </c>
      <c r="N972" s="810">
        <v>0.4522</v>
      </c>
      <c r="O972" s="810" t="s">
        <v>2434</v>
      </c>
      <c r="P972" s="100" t="s">
        <v>2691</v>
      </c>
      <c r="Q972" s="8"/>
      <c r="R972" s="8"/>
      <c r="S972" s="8"/>
    </row>
    <row r="973" ht="14.25" customHeight="1">
      <c r="A973" s="100" t="s">
        <v>2698</v>
      </c>
      <c r="B973" s="100" t="s">
        <v>2699</v>
      </c>
      <c r="C973" s="100" t="s">
        <v>2367</v>
      </c>
      <c r="D973" s="100" t="s">
        <v>2690</v>
      </c>
      <c r="E973" s="810">
        <v>0.132</v>
      </c>
      <c r="F973" s="810">
        <v>0.0893</v>
      </c>
      <c r="G973" s="810">
        <v>0.11</v>
      </c>
      <c r="H973" s="810">
        <v>0.3448</v>
      </c>
      <c r="I973" s="810">
        <v>0.3022</v>
      </c>
      <c r="J973" s="810">
        <v>0.3689</v>
      </c>
      <c r="K973" s="810">
        <v>0.402</v>
      </c>
      <c r="L973" s="810">
        <v>0.4394</v>
      </c>
      <c r="M973" s="810">
        <v>0.4038</v>
      </c>
      <c r="N973" s="810">
        <v>0.399</v>
      </c>
      <c r="O973" s="810" t="s">
        <v>2434</v>
      </c>
      <c r="P973" s="100" t="s">
        <v>2691</v>
      </c>
      <c r="Q973" s="8"/>
      <c r="R973" s="8"/>
      <c r="S973" s="8"/>
    </row>
    <row r="974" ht="14.25" customHeight="1">
      <c r="A974" s="100" t="s">
        <v>2698</v>
      </c>
      <c r="B974" s="100" t="s">
        <v>2699</v>
      </c>
      <c r="C974" s="100" t="s">
        <v>2369</v>
      </c>
      <c r="D974" s="100" t="s">
        <v>2690</v>
      </c>
      <c r="E974" s="810">
        <v>0.3866</v>
      </c>
      <c r="F974" s="810">
        <v>0.3756</v>
      </c>
      <c r="G974" s="810">
        <v>0.3905</v>
      </c>
      <c r="H974" s="810">
        <v>0.3575</v>
      </c>
      <c r="I974" s="810">
        <v>0.3649</v>
      </c>
      <c r="J974" s="810">
        <v>0.3813</v>
      </c>
      <c r="K974" s="810">
        <v>0.3855</v>
      </c>
      <c r="L974" s="810">
        <v>0.3943</v>
      </c>
      <c r="M974" s="810">
        <v>0.4164</v>
      </c>
      <c r="N974" s="810">
        <v>0.4249</v>
      </c>
      <c r="O974" s="810" t="s">
        <v>2434</v>
      </c>
      <c r="P974" s="100" t="s">
        <v>2691</v>
      </c>
      <c r="Q974" s="8"/>
      <c r="R974" s="8"/>
      <c r="S974" s="8"/>
    </row>
    <row r="975" ht="14.25" customHeight="1">
      <c r="A975" s="100" t="s">
        <v>2698</v>
      </c>
      <c r="B975" s="100" t="s">
        <v>2699</v>
      </c>
      <c r="C975" s="100" t="s">
        <v>2374</v>
      </c>
      <c r="D975" s="100" t="s">
        <v>2690</v>
      </c>
      <c r="E975" s="810">
        <v>16.4045</v>
      </c>
      <c r="F975" s="810">
        <v>15.573</v>
      </c>
      <c r="G975" s="810">
        <v>13.2582</v>
      </c>
      <c r="H975" s="810">
        <v>11.3668</v>
      </c>
      <c r="I975" s="810">
        <v>9.5629</v>
      </c>
      <c r="J975" s="810">
        <v>11.1425</v>
      </c>
      <c r="K975" s="810">
        <v>11.1392</v>
      </c>
      <c r="L975" s="810">
        <v>11.3463</v>
      </c>
      <c r="M975" s="810">
        <v>11.5972</v>
      </c>
      <c r="N975" s="810">
        <v>9.0734</v>
      </c>
      <c r="O975" s="810" t="s">
        <v>2434</v>
      </c>
      <c r="P975" s="100" t="s">
        <v>2691</v>
      </c>
      <c r="Q975" s="8"/>
      <c r="R975" s="8"/>
      <c r="S975" s="8"/>
    </row>
    <row r="976" ht="14.25" customHeight="1">
      <c r="A976" s="100" t="s">
        <v>2698</v>
      </c>
      <c r="B976" s="100" t="s">
        <v>2699</v>
      </c>
      <c r="C976" s="100" t="s">
        <v>2386</v>
      </c>
      <c r="D976" s="100" t="s">
        <v>2690</v>
      </c>
      <c r="E976" s="810">
        <v>0.0343</v>
      </c>
      <c r="F976" s="810">
        <v>0.0254</v>
      </c>
      <c r="G976" s="810">
        <v>0.0292</v>
      </c>
      <c r="H976" s="810">
        <v>0.0317</v>
      </c>
      <c r="I976" s="810">
        <v>0.0274</v>
      </c>
      <c r="J976" s="810">
        <v>0.0268</v>
      </c>
      <c r="K976" s="810">
        <v>0.0297</v>
      </c>
      <c r="L976" s="810">
        <v>0.034</v>
      </c>
      <c r="M976" s="810">
        <v>0.0384</v>
      </c>
      <c r="N976" s="810">
        <v>0.0267</v>
      </c>
      <c r="O976" s="810" t="s">
        <v>2434</v>
      </c>
      <c r="P976" s="100" t="s">
        <v>2691</v>
      </c>
      <c r="Q976" s="8"/>
      <c r="R976" s="8"/>
      <c r="S976" s="8"/>
    </row>
    <row r="977" ht="14.25" customHeight="1">
      <c r="A977" s="100" t="s">
        <v>2698</v>
      </c>
      <c r="B977" s="100" t="s">
        <v>2699</v>
      </c>
      <c r="C977" s="100" t="s">
        <v>2378</v>
      </c>
      <c r="D977" s="100" t="s">
        <v>2690</v>
      </c>
      <c r="E977" s="810">
        <v>0.3066</v>
      </c>
      <c r="F977" s="810">
        <v>0.3213</v>
      </c>
      <c r="G977" s="810">
        <v>0.3687</v>
      </c>
      <c r="H977" s="810">
        <v>0.2849</v>
      </c>
      <c r="I977" s="810">
        <v>0.3147</v>
      </c>
      <c r="J977" s="810">
        <v>0.3069</v>
      </c>
      <c r="K977" s="810">
        <v>0.268</v>
      </c>
      <c r="L977" s="810">
        <v>0.2738</v>
      </c>
      <c r="M977" s="810">
        <v>0.2879</v>
      </c>
      <c r="N977" s="810">
        <v>0.3136</v>
      </c>
      <c r="O977" s="810" t="s">
        <v>2434</v>
      </c>
      <c r="P977" s="100" t="s">
        <v>2691</v>
      </c>
      <c r="Q977" s="8"/>
      <c r="R977" s="8"/>
      <c r="S977" s="8"/>
    </row>
    <row r="978" ht="14.25" customHeight="1">
      <c r="A978" s="100" t="s">
        <v>2698</v>
      </c>
      <c r="B978" s="100" t="s">
        <v>2699</v>
      </c>
      <c r="C978" s="100" t="s">
        <v>2383</v>
      </c>
      <c r="D978" s="100" t="s">
        <v>2690</v>
      </c>
      <c r="E978" s="810">
        <v>0.1709</v>
      </c>
      <c r="F978" s="810">
        <v>0.185</v>
      </c>
      <c r="G978" s="810">
        <v>0.1805</v>
      </c>
      <c r="H978" s="810">
        <v>0.1976</v>
      </c>
      <c r="I978" s="810">
        <v>0.1624</v>
      </c>
      <c r="J978" s="810">
        <v>0.1446</v>
      </c>
      <c r="K978" s="810">
        <v>0.1473</v>
      </c>
      <c r="L978" s="810">
        <v>0.135</v>
      </c>
      <c r="M978" s="810">
        <v>0.1237</v>
      </c>
      <c r="N978" s="810">
        <v>0.1217</v>
      </c>
      <c r="O978" s="810" t="s">
        <v>2434</v>
      </c>
      <c r="P978" s="100" t="s">
        <v>2691</v>
      </c>
      <c r="Q978" s="8"/>
      <c r="R978" s="8"/>
      <c r="S978" s="8"/>
    </row>
    <row r="979" ht="14.25" customHeight="1">
      <c r="A979" s="100" t="s">
        <v>2698</v>
      </c>
      <c r="B979" s="100" t="s">
        <v>2699</v>
      </c>
      <c r="C979" s="100" t="s">
        <v>2389</v>
      </c>
      <c r="D979" s="100" t="s">
        <v>2690</v>
      </c>
      <c r="E979" s="810">
        <v>0.0</v>
      </c>
      <c r="F979" s="810">
        <v>0.0</v>
      </c>
      <c r="G979" s="810">
        <v>0.0</v>
      </c>
      <c r="H979" s="810">
        <v>0.0</v>
      </c>
      <c r="I979" s="810">
        <v>0.0</v>
      </c>
      <c r="J979" s="810">
        <v>0.0</v>
      </c>
      <c r="K979" s="810">
        <v>0.0</v>
      </c>
      <c r="L979" s="810">
        <v>0.0</v>
      </c>
      <c r="M979" s="810">
        <v>0.0</v>
      </c>
      <c r="N979" s="810">
        <v>0.0</v>
      </c>
      <c r="O979" s="810" t="s">
        <v>2434</v>
      </c>
      <c r="P979" s="100" t="s">
        <v>2691</v>
      </c>
      <c r="Q979" s="8"/>
      <c r="R979" s="8"/>
      <c r="S979" s="8"/>
    </row>
    <row r="980" ht="14.25" customHeight="1">
      <c r="A980" s="100" t="s">
        <v>2698</v>
      </c>
      <c r="B980" s="100" t="s">
        <v>2699</v>
      </c>
      <c r="C980" s="100" t="s">
        <v>2391</v>
      </c>
      <c r="D980" s="100" t="s">
        <v>2690</v>
      </c>
      <c r="E980" s="810">
        <v>13.5512</v>
      </c>
      <c r="F980" s="810">
        <v>13.0657</v>
      </c>
      <c r="G980" s="810">
        <v>13.1882</v>
      </c>
      <c r="H980" s="810">
        <v>12.7881</v>
      </c>
      <c r="I980" s="810">
        <v>12.4434</v>
      </c>
      <c r="J980" s="810">
        <v>11.8566</v>
      </c>
      <c r="K980" s="810">
        <v>13.5847</v>
      </c>
      <c r="L980" s="810">
        <v>14.0631</v>
      </c>
      <c r="M980" s="810">
        <v>13.7948</v>
      </c>
      <c r="N980" s="810">
        <v>13.0303</v>
      </c>
      <c r="O980" s="810" t="s">
        <v>2434</v>
      </c>
      <c r="P980" s="100" t="s">
        <v>2691</v>
      </c>
      <c r="Q980" s="8"/>
      <c r="R980" s="8"/>
      <c r="S980" s="8"/>
    </row>
    <row r="981" ht="14.25" customHeight="1">
      <c r="A981" s="100" t="s">
        <v>2698</v>
      </c>
      <c r="B981" s="100" t="s">
        <v>2699</v>
      </c>
      <c r="C981" s="100" t="s">
        <v>2393</v>
      </c>
      <c r="D981" s="100" t="s">
        <v>2690</v>
      </c>
      <c r="E981" s="810">
        <v>6.7103</v>
      </c>
      <c r="F981" s="810">
        <v>6.5968</v>
      </c>
      <c r="G981" s="810">
        <v>6.4807</v>
      </c>
      <c r="H981" s="810">
        <v>6.8363</v>
      </c>
      <c r="I981" s="810">
        <v>6.521</v>
      </c>
      <c r="J981" s="810">
        <v>5.9922</v>
      </c>
      <c r="K981" s="810">
        <v>5.9711</v>
      </c>
      <c r="L981" s="810">
        <v>6.5611</v>
      </c>
      <c r="M981" s="810">
        <v>6.583</v>
      </c>
      <c r="N981" s="810">
        <v>6.6122</v>
      </c>
      <c r="O981" s="810" t="s">
        <v>2434</v>
      </c>
      <c r="P981" s="100" t="s">
        <v>2691</v>
      </c>
      <c r="Q981" s="8"/>
      <c r="R981" s="8"/>
      <c r="S981" s="8"/>
    </row>
    <row r="982" ht="14.25" customHeight="1">
      <c r="A982" s="100" t="s">
        <v>2698</v>
      </c>
      <c r="B982" s="100" t="s">
        <v>2699</v>
      </c>
      <c r="C982" s="100" t="s">
        <v>2395</v>
      </c>
      <c r="D982" s="100" t="s">
        <v>2690</v>
      </c>
      <c r="E982" s="810">
        <v>1.3045</v>
      </c>
      <c r="F982" s="810">
        <v>1.2294</v>
      </c>
      <c r="G982" s="810">
        <v>1.0197</v>
      </c>
      <c r="H982" s="810">
        <v>1.0955</v>
      </c>
      <c r="I982" s="810">
        <v>1.0317</v>
      </c>
      <c r="J982" s="810">
        <v>1.063</v>
      </c>
      <c r="K982" s="810">
        <v>1.0704</v>
      </c>
      <c r="L982" s="810">
        <v>1.1369</v>
      </c>
      <c r="M982" s="810">
        <v>1.1528</v>
      </c>
      <c r="N982" s="810">
        <v>1.3346</v>
      </c>
      <c r="O982" s="810" t="s">
        <v>2434</v>
      </c>
      <c r="P982" s="100" t="s">
        <v>2691</v>
      </c>
      <c r="Q982" s="8"/>
      <c r="R982" s="8"/>
      <c r="S982" s="8"/>
    </row>
    <row r="983" ht="14.25" customHeight="1">
      <c r="A983" s="100" t="s">
        <v>2698</v>
      </c>
      <c r="B983" s="100" t="s">
        <v>2699</v>
      </c>
      <c r="C983" s="100" t="s">
        <v>2397</v>
      </c>
      <c r="D983" s="100" t="s">
        <v>2690</v>
      </c>
      <c r="E983" s="810">
        <v>2.8922</v>
      </c>
      <c r="F983" s="810">
        <v>3.0872</v>
      </c>
      <c r="G983" s="810">
        <v>2.6556</v>
      </c>
      <c r="H983" s="810">
        <v>2.3593</v>
      </c>
      <c r="I983" s="810">
        <v>2.2664</v>
      </c>
      <c r="J983" s="810">
        <v>2.0176</v>
      </c>
      <c r="K983" s="810">
        <v>1.6285</v>
      </c>
      <c r="L983" s="810">
        <v>1.8477</v>
      </c>
      <c r="M983" s="810">
        <v>1.9627</v>
      </c>
      <c r="N983" s="810">
        <v>2.2142</v>
      </c>
      <c r="O983" s="810" t="s">
        <v>2434</v>
      </c>
      <c r="P983" s="100" t="s">
        <v>2691</v>
      </c>
      <c r="Q983" s="8"/>
      <c r="R983" s="8"/>
      <c r="S983" s="8"/>
    </row>
    <row r="984" ht="14.25" customHeight="1">
      <c r="A984" s="100" t="s">
        <v>2698</v>
      </c>
      <c r="B984" s="100" t="s">
        <v>2699</v>
      </c>
      <c r="C984" s="100" t="s">
        <v>2411</v>
      </c>
      <c r="D984" s="100" t="s">
        <v>2690</v>
      </c>
      <c r="E984" s="810">
        <v>0.5605</v>
      </c>
      <c r="F984" s="810">
        <v>0.5927</v>
      </c>
      <c r="G984" s="810">
        <v>0.5538</v>
      </c>
      <c r="H984" s="810">
        <v>0.5709</v>
      </c>
      <c r="I984" s="810">
        <v>0.5157</v>
      </c>
      <c r="J984" s="810">
        <v>0.4831</v>
      </c>
      <c r="K984" s="810">
        <v>0.5015</v>
      </c>
      <c r="L984" s="810">
        <v>0.5141</v>
      </c>
      <c r="M984" s="810">
        <v>0.525</v>
      </c>
      <c r="N984" s="810">
        <v>0.4725</v>
      </c>
      <c r="O984" s="810" t="s">
        <v>2434</v>
      </c>
      <c r="P984" s="100" t="s">
        <v>2691</v>
      </c>
      <c r="Q984" s="8"/>
      <c r="R984" s="8"/>
      <c r="S984" s="8"/>
    </row>
    <row r="985" ht="14.25" customHeight="1">
      <c r="A985" s="100" t="s">
        <v>2698</v>
      </c>
      <c r="B985" s="100" t="s">
        <v>2699</v>
      </c>
      <c r="C985" s="100" t="s">
        <v>2406</v>
      </c>
      <c r="D985" s="100" t="s">
        <v>2690</v>
      </c>
      <c r="E985" s="810">
        <v>0.1186</v>
      </c>
      <c r="F985" s="810">
        <v>0.0877</v>
      </c>
      <c r="G985" s="810">
        <v>0.0782</v>
      </c>
      <c r="H985" s="810">
        <v>0.0779</v>
      </c>
      <c r="I985" s="810">
        <v>0.0747</v>
      </c>
      <c r="J985" s="810">
        <v>0.0705</v>
      </c>
      <c r="K985" s="810">
        <v>0.0714</v>
      </c>
      <c r="L985" s="810">
        <v>0.0677</v>
      </c>
      <c r="M985" s="810">
        <v>0.0637</v>
      </c>
      <c r="N985" s="810">
        <v>0.0612</v>
      </c>
      <c r="O985" s="810" t="s">
        <v>2434</v>
      </c>
      <c r="P985" s="100" t="s">
        <v>2691</v>
      </c>
      <c r="Q985" s="8"/>
      <c r="R985" s="8"/>
      <c r="S985" s="8"/>
    </row>
    <row r="986" ht="14.25" customHeight="1">
      <c r="A986" s="100" t="s">
        <v>2698</v>
      </c>
      <c r="B986" s="100" t="s">
        <v>2699</v>
      </c>
      <c r="C986" s="100" t="s">
        <v>2352</v>
      </c>
      <c r="D986" s="100" t="s">
        <v>2690</v>
      </c>
      <c r="E986" s="810">
        <v>5.6772</v>
      </c>
      <c r="F986" s="810">
        <v>6.4624</v>
      </c>
      <c r="G986" s="810">
        <v>7.3699</v>
      </c>
      <c r="H986" s="810">
        <v>8.5886</v>
      </c>
      <c r="I986" s="810">
        <v>7.7224</v>
      </c>
      <c r="J986" s="810">
        <v>7.0843</v>
      </c>
      <c r="K986" s="810">
        <v>6.3068</v>
      </c>
      <c r="L986" s="810">
        <v>7.9213</v>
      </c>
      <c r="M986" s="810">
        <v>9.1522</v>
      </c>
      <c r="N986" s="810">
        <v>9.2729</v>
      </c>
      <c r="O986" s="810" t="s">
        <v>2434</v>
      </c>
      <c r="P986" s="100" t="s">
        <v>2691</v>
      </c>
      <c r="Q986" s="8"/>
      <c r="R986" s="8"/>
      <c r="S986" s="8"/>
    </row>
    <row r="987" ht="14.25" customHeight="1">
      <c r="A987" s="100" t="s">
        <v>2698</v>
      </c>
      <c r="B987" s="100" t="s">
        <v>2699</v>
      </c>
      <c r="C987" s="100" t="s">
        <v>2400</v>
      </c>
      <c r="D987" s="100" t="s">
        <v>2690</v>
      </c>
      <c r="E987" s="810">
        <v>0.5769</v>
      </c>
      <c r="F987" s="810">
        <v>0.5397</v>
      </c>
      <c r="G987" s="810">
        <v>0.5263</v>
      </c>
      <c r="H987" s="810">
        <v>0.5662</v>
      </c>
      <c r="I987" s="810">
        <v>0.5192</v>
      </c>
      <c r="J987" s="810">
        <v>0.5111</v>
      </c>
      <c r="K987" s="810">
        <v>0.6206</v>
      </c>
      <c r="L987" s="810">
        <v>0.5047</v>
      </c>
      <c r="M987" s="810">
        <v>0.5552</v>
      </c>
      <c r="N987" s="810">
        <v>0.489</v>
      </c>
      <c r="O987" s="810" t="s">
        <v>2434</v>
      </c>
      <c r="P987" s="100" t="s">
        <v>2691</v>
      </c>
      <c r="Q987" s="8"/>
      <c r="R987" s="8"/>
      <c r="S987" s="8"/>
    </row>
    <row r="988" ht="14.25" customHeight="1">
      <c r="A988" s="100" t="s">
        <v>2698</v>
      </c>
      <c r="B988" s="100" t="s">
        <v>2699</v>
      </c>
      <c r="C988" s="100" t="s">
        <v>2416</v>
      </c>
      <c r="D988" s="100" t="s">
        <v>2690</v>
      </c>
      <c r="E988" s="810">
        <v>0.4941</v>
      </c>
      <c r="F988" s="810">
        <v>0.4944</v>
      </c>
      <c r="G988" s="810">
        <v>0.4805</v>
      </c>
      <c r="H988" s="810">
        <v>0.4405</v>
      </c>
      <c r="I988" s="810">
        <v>0.4577</v>
      </c>
      <c r="J988" s="810">
        <v>0.5219</v>
      </c>
      <c r="K988" s="810">
        <v>0.4648</v>
      </c>
      <c r="L988" s="810">
        <v>0.3538</v>
      </c>
      <c r="M988" s="810">
        <v>0.4671</v>
      </c>
      <c r="N988" s="810" t="s">
        <v>2434</v>
      </c>
      <c r="O988" s="810" t="s">
        <v>2434</v>
      </c>
      <c r="P988" s="100" t="s">
        <v>2691</v>
      </c>
      <c r="Q988" s="8"/>
      <c r="R988" s="8"/>
      <c r="S988" s="8"/>
    </row>
    <row r="989" ht="14.25" customHeight="1">
      <c r="A989" s="100" t="s">
        <v>2698</v>
      </c>
      <c r="B989" s="100" t="s">
        <v>2699</v>
      </c>
      <c r="C989" s="100" t="s">
        <v>2423</v>
      </c>
      <c r="D989" s="100" t="s">
        <v>2690</v>
      </c>
      <c r="E989" s="810">
        <v>0.7051</v>
      </c>
      <c r="F989" s="810">
        <v>0.7203</v>
      </c>
      <c r="G989" s="810">
        <v>0.8213</v>
      </c>
      <c r="H989" s="810">
        <v>0.8279</v>
      </c>
      <c r="I989" s="810">
        <v>0.7079</v>
      </c>
      <c r="J989" s="810">
        <v>0.7267</v>
      </c>
      <c r="K989" s="810">
        <v>0.8258</v>
      </c>
      <c r="L989" s="810">
        <v>0.7923</v>
      </c>
      <c r="M989" s="810">
        <v>0.7486</v>
      </c>
      <c r="N989" s="810" t="s">
        <v>2434</v>
      </c>
      <c r="O989" s="810" t="s">
        <v>2434</v>
      </c>
      <c r="P989" s="100" t="s">
        <v>2691</v>
      </c>
      <c r="Q989" s="8"/>
      <c r="R989" s="8"/>
      <c r="S989" s="8"/>
    </row>
    <row r="990" ht="14.25" customHeight="1">
      <c r="A990" s="100" t="s">
        <v>2698</v>
      </c>
      <c r="B990" s="100" t="s">
        <v>2699</v>
      </c>
      <c r="C990" s="100" t="s">
        <v>2360</v>
      </c>
      <c r="D990" s="100" t="s">
        <v>2690</v>
      </c>
      <c r="E990" s="810">
        <v>7.0269</v>
      </c>
      <c r="F990" s="810">
        <v>6.2469</v>
      </c>
      <c r="G990" s="810">
        <v>5.694</v>
      </c>
      <c r="H990" s="810">
        <v>5.8763</v>
      </c>
      <c r="I990" s="810">
        <v>5.212</v>
      </c>
      <c r="J990" s="810">
        <v>4.8145</v>
      </c>
      <c r="K990" s="810">
        <v>5.0348</v>
      </c>
      <c r="L990" s="810">
        <v>5.1512</v>
      </c>
      <c r="M990" s="810">
        <v>5.113</v>
      </c>
      <c r="N990" s="810">
        <v>4.9503</v>
      </c>
      <c r="O990" s="810" t="s">
        <v>2434</v>
      </c>
      <c r="P990" s="100" t="s">
        <v>2691</v>
      </c>
      <c r="Q990" s="8"/>
      <c r="R990" s="8"/>
      <c r="S990" s="8"/>
    </row>
    <row r="991" ht="14.25" customHeight="1">
      <c r="A991" s="100" t="s">
        <v>2698</v>
      </c>
      <c r="B991" s="100" t="s">
        <v>2699</v>
      </c>
      <c r="C991" s="100" t="s">
        <v>2535</v>
      </c>
      <c r="D991" s="100" t="s">
        <v>2690</v>
      </c>
      <c r="E991" s="810">
        <v>0.2051</v>
      </c>
      <c r="F991" s="810">
        <v>0.5831</v>
      </c>
      <c r="G991" s="810">
        <v>0.7115</v>
      </c>
      <c r="H991" s="810">
        <v>0.3765</v>
      </c>
      <c r="I991" s="810">
        <v>0.3996</v>
      </c>
      <c r="J991" s="810">
        <v>0.5061</v>
      </c>
      <c r="K991" s="810">
        <v>0.7655</v>
      </c>
      <c r="L991" s="810">
        <v>0.7582</v>
      </c>
      <c r="M991" s="810">
        <v>0.5247</v>
      </c>
      <c r="N991" s="810">
        <v>0.412</v>
      </c>
      <c r="O991" s="810" t="s">
        <v>2434</v>
      </c>
      <c r="P991" s="100" t="s">
        <v>2546</v>
      </c>
      <c r="Q991" s="8"/>
      <c r="R991" s="8"/>
      <c r="S991" s="8"/>
    </row>
    <row r="992" ht="14.25" customHeight="1">
      <c r="A992" s="100" t="s">
        <v>2700</v>
      </c>
      <c r="B992" s="100" t="s">
        <v>2701</v>
      </c>
      <c r="C992" s="100" t="s">
        <v>2317</v>
      </c>
      <c r="D992" s="100" t="s">
        <v>2690</v>
      </c>
      <c r="E992" s="810" t="str">
        <f t="shared" ref="E992:O992" si="82">#REF!</f>
        <v>#REF!</v>
      </c>
      <c r="F992" s="810" t="str">
        <f t="shared" si="82"/>
        <v>#REF!</v>
      </c>
      <c r="G992" s="810" t="str">
        <f t="shared" si="82"/>
        <v>#REF!</v>
      </c>
      <c r="H992" s="810" t="str">
        <f t="shared" si="82"/>
        <v>#REF!</v>
      </c>
      <c r="I992" s="810" t="str">
        <f t="shared" si="82"/>
        <v>#REF!</v>
      </c>
      <c r="J992" s="810" t="str">
        <f t="shared" si="82"/>
        <v>#REF!</v>
      </c>
      <c r="K992" s="810" t="str">
        <f t="shared" si="82"/>
        <v>#REF!</v>
      </c>
      <c r="L992" s="810" t="str">
        <f t="shared" si="82"/>
        <v>#REF!</v>
      </c>
      <c r="M992" s="810" t="str">
        <f t="shared" si="82"/>
        <v>#REF!</v>
      </c>
      <c r="N992" s="810" t="str">
        <f t="shared" si="82"/>
        <v>#REF!</v>
      </c>
      <c r="O992" s="810" t="str">
        <f t="shared" si="82"/>
        <v>#REF!</v>
      </c>
      <c r="P992" s="100" t="s">
        <v>2691</v>
      </c>
      <c r="Q992" s="8"/>
      <c r="R992" s="8"/>
      <c r="S992" s="8"/>
    </row>
    <row r="993" ht="14.25" customHeight="1">
      <c r="A993" s="100" t="str">
        <f t="shared" ref="A993:B993" si="83">A992</f>
        <v>cmbeciaa</v>
      </c>
      <c r="B993" s="100" t="str">
        <f t="shared" si="83"/>
        <v>Food Processing, Beverages and Tobacco</v>
      </c>
      <c r="C993" s="100" t="s">
        <v>2507</v>
      </c>
      <c r="D993" s="100" t="str">
        <f>D992</f>
        <v>MtCO2</v>
      </c>
      <c r="E993" s="810" t="str">
        <f t="shared" ref="E993:O993" si="84">#REF!</f>
        <v>#REF!</v>
      </c>
      <c r="F993" s="810" t="str">
        <f t="shared" si="84"/>
        <v>#REF!</v>
      </c>
      <c r="G993" s="810" t="str">
        <f t="shared" si="84"/>
        <v>#REF!</v>
      </c>
      <c r="H993" s="810" t="str">
        <f t="shared" si="84"/>
        <v>#REF!</v>
      </c>
      <c r="I993" s="810" t="str">
        <f t="shared" si="84"/>
        <v>#REF!</v>
      </c>
      <c r="J993" s="810" t="str">
        <f t="shared" si="84"/>
        <v>#REF!</v>
      </c>
      <c r="K993" s="810" t="str">
        <f t="shared" si="84"/>
        <v>#REF!</v>
      </c>
      <c r="L993" s="810" t="str">
        <f t="shared" si="84"/>
        <v>#REF!</v>
      </c>
      <c r="M993" s="810" t="str">
        <f t="shared" si="84"/>
        <v>#REF!</v>
      </c>
      <c r="N993" s="810" t="str">
        <f t="shared" si="84"/>
        <v>#REF!</v>
      </c>
      <c r="O993" s="810" t="str">
        <f t="shared" si="84"/>
        <v>#REF!</v>
      </c>
      <c r="P993" s="100"/>
      <c r="Q993" s="8"/>
      <c r="R993" s="8"/>
      <c r="S993" s="8"/>
    </row>
    <row r="994" ht="14.25" customHeight="1">
      <c r="A994" s="100" t="s">
        <v>2700</v>
      </c>
      <c r="B994" s="100" t="s">
        <v>2701</v>
      </c>
      <c r="C994" s="100" t="s">
        <v>2325</v>
      </c>
      <c r="D994" s="100" t="s">
        <v>2690</v>
      </c>
      <c r="E994" s="810">
        <v>0.9657</v>
      </c>
      <c r="F994" s="810">
        <v>0.9622</v>
      </c>
      <c r="G994" s="810">
        <v>0.9422</v>
      </c>
      <c r="H994" s="810">
        <v>0.827</v>
      </c>
      <c r="I994" s="810">
        <v>0.9222</v>
      </c>
      <c r="J994" s="810">
        <v>0.9797</v>
      </c>
      <c r="K994" s="810">
        <v>0.8158</v>
      </c>
      <c r="L994" s="810">
        <v>0.803</v>
      </c>
      <c r="M994" s="810">
        <v>0.7644</v>
      </c>
      <c r="N994" s="810">
        <v>0.734</v>
      </c>
      <c r="O994" s="810" t="s">
        <v>2434</v>
      </c>
      <c r="P994" s="100" t="s">
        <v>2691</v>
      </c>
      <c r="Q994" s="8"/>
      <c r="R994" s="8"/>
      <c r="S994" s="8"/>
    </row>
    <row r="995" ht="14.25" customHeight="1">
      <c r="A995" s="100" t="s">
        <v>2700</v>
      </c>
      <c r="B995" s="100" t="s">
        <v>2701</v>
      </c>
      <c r="C995" s="100" t="s">
        <v>2329</v>
      </c>
      <c r="D995" s="100" t="s">
        <v>2690</v>
      </c>
      <c r="E995" s="810">
        <v>2.2372</v>
      </c>
      <c r="F995" s="810">
        <v>2.0669</v>
      </c>
      <c r="G995" s="810">
        <v>2.0917</v>
      </c>
      <c r="H995" s="810">
        <v>2.1936</v>
      </c>
      <c r="I995" s="810">
        <v>2.2596</v>
      </c>
      <c r="J995" s="810">
        <v>2.2003</v>
      </c>
      <c r="K995" s="810">
        <v>2.1994</v>
      </c>
      <c r="L995" s="810">
        <v>2.2869</v>
      </c>
      <c r="M995" s="810">
        <v>2.4242</v>
      </c>
      <c r="N995" s="810">
        <v>2.4662</v>
      </c>
      <c r="O995" s="810" t="s">
        <v>2434</v>
      </c>
      <c r="P995" s="100" t="s">
        <v>2691</v>
      </c>
      <c r="Q995" s="8"/>
      <c r="R995" s="8"/>
      <c r="S995" s="8"/>
    </row>
    <row r="996" ht="14.25" customHeight="1">
      <c r="A996" s="100" t="s">
        <v>2700</v>
      </c>
      <c r="B996" s="100" t="s">
        <v>2701</v>
      </c>
      <c r="C996" s="100" t="s">
        <v>2333</v>
      </c>
      <c r="D996" s="100" t="s">
        <v>2690</v>
      </c>
      <c r="E996" s="810">
        <v>0.3543</v>
      </c>
      <c r="F996" s="810">
        <v>0.3184</v>
      </c>
      <c r="G996" s="810">
        <v>0.2898</v>
      </c>
      <c r="H996" s="810">
        <v>0.2893</v>
      </c>
      <c r="I996" s="810">
        <v>0.2564</v>
      </c>
      <c r="J996" s="810">
        <v>0.2592</v>
      </c>
      <c r="K996" s="810">
        <v>0.2399</v>
      </c>
      <c r="L996" s="810">
        <v>0.2402</v>
      </c>
      <c r="M996" s="810">
        <v>0.2384</v>
      </c>
      <c r="N996" s="810">
        <v>0.228</v>
      </c>
      <c r="O996" s="810" t="s">
        <v>2434</v>
      </c>
      <c r="P996" s="100" t="s">
        <v>2691</v>
      </c>
      <c r="Q996" s="8"/>
      <c r="R996" s="8"/>
      <c r="S996" s="8"/>
    </row>
    <row r="997" ht="14.25" customHeight="1">
      <c r="A997" s="100" t="s">
        <v>2700</v>
      </c>
      <c r="B997" s="100" t="s">
        <v>2701</v>
      </c>
      <c r="C997" s="100" t="s">
        <v>2364</v>
      </c>
      <c r="D997" s="100" t="s">
        <v>2690</v>
      </c>
      <c r="E997" s="810">
        <v>0.5141</v>
      </c>
      <c r="F997" s="810">
        <v>0.4958</v>
      </c>
      <c r="G997" s="810">
        <v>0.4298</v>
      </c>
      <c r="H997" s="810">
        <v>0.388</v>
      </c>
      <c r="I997" s="810">
        <v>0.3996</v>
      </c>
      <c r="J997" s="810">
        <v>0.3507</v>
      </c>
      <c r="K997" s="810">
        <v>0.3766</v>
      </c>
      <c r="L997" s="810">
        <v>0.3584</v>
      </c>
      <c r="M997" s="810">
        <v>0.3341</v>
      </c>
      <c r="N997" s="810">
        <v>0.3357</v>
      </c>
      <c r="O997" s="810" t="s">
        <v>2434</v>
      </c>
      <c r="P997" s="100" t="s">
        <v>2691</v>
      </c>
      <c r="Q997" s="8"/>
      <c r="R997" s="8"/>
      <c r="S997" s="8"/>
    </row>
    <row r="998" ht="14.25" customHeight="1">
      <c r="A998" s="100" t="s">
        <v>2700</v>
      </c>
      <c r="B998" s="100" t="s">
        <v>2701</v>
      </c>
      <c r="C998" s="100" t="s">
        <v>2337</v>
      </c>
      <c r="D998" s="100" t="s">
        <v>2690</v>
      </c>
      <c r="E998" s="810">
        <v>0.0595</v>
      </c>
      <c r="F998" s="810">
        <v>0.0943</v>
      </c>
      <c r="G998" s="810">
        <v>0.0526</v>
      </c>
      <c r="H998" s="810">
        <v>0.0433</v>
      </c>
      <c r="I998" s="810">
        <v>0.0433</v>
      </c>
      <c r="J998" s="810">
        <v>0.0558</v>
      </c>
      <c r="K998" s="810">
        <v>0.0496</v>
      </c>
      <c r="L998" s="810">
        <v>0.071</v>
      </c>
      <c r="M998" s="810">
        <v>0.0655</v>
      </c>
      <c r="N998" s="810">
        <v>0.0666</v>
      </c>
      <c r="O998" s="810" t="s">
        <v>2434</v>
      </c>
      <c r="P998" s="100" t="s">
        <v>2691</v>
      </c>
      <c r="Q998" s="8"/>
      <c r="R998" s="8"/>
      <c r="S998" s="8"/>
    </row>
    <row r="999" ht="14.25" customHeight="1">
      <c r="A999" s="100" t="s">
        <v>2700</v>
      </c>
      <c r="B999" s="100" t="s">
        <v>2701</v>
      </c>
      <c r="C999" s="100" t="s">
        <v>2341</v>
      </c>
      <c r="D999" s="100" t="s">
        <v>2690</v>
      </c>
      <c r="E999" s="810">
        <v>1.0378</v>
      </c>
      <c r="F999" s="810">
        <v>0.9669</v>
      </c>
      <c r="G999" s="810">
        <v>0.9725</v>
      </c>
      <c r="H999" s="810">
        <v>0.9595</v>
      </c>
      <c r="I999" s="810">
        <v>0.9913</v>
      </c>
      <c r="J999" s="810">
        <v>1.0192</v>
      </c>
      <c r="K999" s="810">
        <v>1.0211</v>
      </c>
      <c r="L999" s="810">
        <v>1.0323</v>
      </c>
      <c r="M999" s="810">
        <v>0.9845</v>
      </c>
      <c r="N999" s="810">
        <v>0.883</v>
      </c>
      <c r="O999" s="810" t="s">
        <v>2434</v>
      </c>
      <c r="P999" s="100" t="s">
        <v>2691</v>
      </c>
      <c r="Q999" s="8"/>
      <c r="R999" s="8"/>
      <c r="S999" s="8"/>
    </row>
    <row r="1000" ht="14.25" customHeight="1">
      <c r="A1000" s="100" t="s">
        <v>2700</v>
      </c>
      <c r="B1000" s="100" t="s">
        <v>2701</v>
      </c>
      <c r="C1000" s="100" t="s">
        <v>2348</v>
      </c>
      <c r="D1000" s="100" t="s">
        <v>2690</v>
      </c>
      <c r="E1000" s="810">
        <v>1.3669</v>
      </c>
      <c r="F1000" s="810">
        <v>1.2496</v>
      </c>
      <c r="G1000" s="810">
        <v>1.1467</v>
      </c>
      <c r="H1000" s="810">
        <v>1.0825</v>
      </c>
      <c r="I1000" s="810">
        <v>1.0962</v>
      </c>
      <c r="J1000" s="810">
        <v>1.0431</v>
      </c>
      <c r="K1000" s="810">
        <v>1.0423</v>
      </c>
      <c r="L1000" s="810">
        <v>1.0715</v>
      </c>
      <c r="M1000" s="810">
        <v>1.0726</v>
      </c>
      <c r="N1000" s="810">
        <v>0.8989</v>
      </c>
      <c r="O1000" s="810" t="s">
        <v>2434</v>
      </c>
      <c r="P1000" s="100" t="s">
        <v>2691</v>
      </c>
      <c r="Q1000" s="8"/>
      <c r="R1000" s="8"/>
      <c r="S1000" s="8"/>
    </row>
    <row r="1001" ht="14.25" customHeight="1">
      <c r="A1001" s="100" t="s">
        <v>2700</v>
      </c>
      <c r="B1001" s="100" t="s">
        <v>2701</v>
      </c>
      <c r="C1001" s="100" t="s">
        <v>2350</v>
      </c>
      <c r="D1001" s="100" t="s">
        <v>2690</v>
      </c>
      <c r="E1001" s="810">
        <v>0.1064</v>
      </c>
      <c r="F1001" s="810">
        <v>0.084</v>
      </c>
      <c r="G1001" s="810">
        <v>0.0755</v>
      </c>
      <c r="H1001" s="810">
        <v>0.0926</v>
      </c>
      <c r="I1001" s="810">
        <v>0.085</v>
      </c>
      <c r="J1001" s="810">
        <v>0.0849</v>
      </c>
      <c r="K1001" s="810">
        <v>0.0924</v>
      </c>
      <c r="L1001" s="810">
        <v>0.0661</v>
      </c>
      <c r="M1001" s="810">
        <v>0.0665</v>
      </c>
      <c r="N1001" s="810">
        <v>0.094</v>
      </c>
      <c r="O1001" s="810" t="s">
        <v>2434</v>
      </c>
      <c r="P1001" s="100" t="s">
        <v>2691</v>
      </c>
      <c r="Q1001" s="8"/>
      <c r="R1001" s="8"/>
      <c r="S1001" s="8"/>
    </row>
    <row r="1002" ht="14.25" customHeight="1">
      <c r="A1002" s="100" t="s">
        <v>2700</v>
      </c>
      <c r="B1002" s="100" t="s">
        <v>2701</v>
      </c>
      <c r="C1002" s="100" t="s">
        <v>2354</v>
      </c>
      <c r="D1002" s="100" t="s">
        <v>2690</v>
      </c>
      <c r="E1002" s="810">
        <v>0.2354</v>
      </c>
      <c r="F1002" s="810">
        <v>0.2455</v>
      </c>
      <c r="G1002" s="810">
        <v>0.2128</v>
      </c>
      <c r="H1002" s="810">
        <v>0.2265</v>
      </c>
      <c r="I1002" s="810">
        <v>0.2289</v>
      </c>
      <c r="J1002" s="810">
        <v>0.1535</v>
      </c>
      <c r="K1002" s="810">
        <v>0.1677</v>
      </c>
      <c r="L1002" s="810">
        <v>0.1513</v>
      </c>
      <c r="M1002" s="810">
        <v>0.1281</v>
      </c>
      <c r="N1002" s="810">
        <v>0.146</v>
      </c>
      <c r="O1002" s="810" t="s">
        <v>2434</v>
      </c>
      <c r="P1002" s="100" t="s">
        <v>2691</v>
      </c>
      <c r="Q1002" s="8"/>
      <c r="R1002" s="8"/>
      <c r="S1002" s="8"/>
    </row>
    <row r="1003" ht="14.25" customHeight="1">
      <c r="A1003" s="100" t="s">
        <v>2700</v>
      </c>
      <c r="B1003" s="100" t="s">
        <v>2701</v>
      </c>
      <c r="C1003" s="100" t="s">
        <v>2356</v>
      </c>
      <c r="D1003" s="100" t="s">
        <v>2690</v>
      </c>
      <c r="E1003" s="810">
        <v>9.9028</v>
      </c>
      <c r="F1003" s="810">
        <v>9.5587</v>
      </c>
      <c r="G1003" s="810">
        <v>9.0385</v>
      </c>
      <c r="H1003" s="810">
        <v>9.1275</v>
      </c>
      <c r="I1003" s="810">
        <v>8.8625</v>
      </c>
      <c r="J1003" s="810">
        <v>8.7646</v>
      </c>
      <c r="K1003" s="810">
        <v>9.0047</v>
      </c>
      <c r="L1003" s="810">
        <v>8.4175</v>
      </c>
      <c r="M1003" s="810">
        <v>8.5198</v>
      </c>
      <c r="N1003" s="810">
        <v>8.3352</v>
      </c>
      <c r="O1003" s="810" t="s">
        <v>2434</v>
      </c>
      <c r="P1003" s="100" t="s">
        <v>2691</v>
      </c>
      <c r="Q1003" s="8"/>
      <c r="R1003" s="8"/>
      <c r="S1003" s="8"/>
    </row>
    <row r="1004" ht="14.25" customHeight="1">
      <c r="A1004" s="100" t="s">
        <v>2700</v>
      </c>
      <c r="B1004" s="100" t="s">
        <v>2701</v>
      </c>
      <c r="C1004" s="100" t="s">
        <v>2344</v>
      </c>
      <c r="D1004" s="100" t="s">
        <v>2690</v>
      </c>
      <c r="E1004" s="810">
        <v>0.1796</v>
      </c>
      <c r="F1004" s="810">
        <v>0.2372</v>
      </c>
      <c r="G1004" s="810">
        <v>0.262</v>
      </c>
      <c r="H1004" s="810">
        <v>0.1649</v>
      </c>
      <c r="I1004" s="810">
        <v>0.2021</v>
      </c>
      <c r="J1004" s="810">
        <v>0.1759</v>
      </c>
      <c r="K1004" s="810">
        <v>0.1683</v>
      </c>
      <c r="L1004" s="810">
        <v>0.1871</v>
      </c>
      <c r="M1004" s="810">
        <v>0.1988</v>
      </c>
      <c r="N1004" s="810">
        <v>0.196</v>
      </c>
      <c r="O1004" s="810" t="s">
        <v>2434</v>
      </c>
      <c r="P1004" s="100" t="s">
        <v>2691</v>
      </c>
      <c r="Q1004" s="8"/>
      <c r="R1004" s="8"/>
      <c r="S1004" s="8"/>
    </row>
    <row r="1005" ht="14.25" customHeight="1">
      <c r="A1005" s="100" t="s">
        <v>2700</v>
      </c>
      <c r="B1005" s="100" t="s">
        <v>2701</v>
      </c>
      <c r="C1005" s="100" t="s">
        <v>2362</v>
      </c>
      <c r="D1005" s="100" t="s">
        <v>2690</v>
      </c>
      <c r="E1005" s="810">
        <v>0.5029</v>
      </c>
      <c r="F1005" s="810">
        <v>0.4041</v>
      </c>
      <c r="G1005" s="810">
        <v>0.5108</v>
      </c>
      <c r="H1005" s="810">
        <v>0.5684</v>
      </c>
      <c r="I1005" s="810">
        <v>0.6458</v>
      </c>
      <c r="J1005" s="810">
        <v>0.6204</v>
      </c>
      <c r="K1005" s="810">
        <v>0.6303</v>
      </c>
      <c r="L1005" s="810">
        <v>0.6367</v>
      </c>
      <c r="M1005" s="810">
        <v>0.6075</v>
      </c>
      <c r="N1005" s="810">
        <v>0.5808</v>
      </c>
      <c r="O1005" s="810" t="s">
        <v>2434</v>
      </c>
      <c r="P1005" s="100" t="s">
        <v>2691</v>
      </c>
      <c r="Q1005" s="8"/>
      <c r="R1005" s="8"/>
      <c r="S1005" s="8"/>
    </row>
    <row r="1006" ht="14.25" customHeight="1">
      <c r="A1006" s="100" t="s">
        <v>2700</v>
      </c>
      <c r="B1006" s="100" t="s">
        <v>2701</v>
      </c>
      <c r="C1006" s="100" t="s">
        <v>2367</v>
      </c>
      <c r="D1006" s="100" t="s">
        <v>2690</v>
      </c>
      <c r="E1006" s="810">
        <v>0.5808</v>
      </c>
      <c r="F1006" s="810">
        <v>0.5807</v>
      </c>
      <c r="G1006" s="810">
        <v>0.5116</v>
      </c>
      <c r="H1006" s="810">
        <v>0.6991</v>
      </c>
      <c r="I1006" s="810">
        <v>0.7288</v>
      </c>
      <c r="J1006" s="810">
        <v>0.7507</v>
      </c>
      <c r="K1006" s="810">
        <v>0.7177</v>
      </c>
      <c r="L1006" s="810">
        <v>0.7578</v>
      </c>
      <c r="M1006" s="810">
        <v>0.8604</v>
      </c>
      <c r="N1006" s="810">
        <v>0.799</v>
      </c>
      <c r="O1006" s="810" t="s">
        <v>2434</v>
      </c>
      <c r="P1006" s="100" t="s">
        <v>2691</v>
      </c>
      <c r="Q1006" s="8"/>
      <c r="R1006" s="8"/>
      <c r="S1006" s="8"/>
    </row>
    <row r="1007" ht="14.25" customHeight="1">
      <c r="A1007" s="100" t="s">
        <v>2700</v>
      </c>
      <c r="B1007" s="100" t="s">
        <v>2701</v>
      </c>
      <c r="C1007" s="100" t="s">
        <v>2369</v>
      </c>
      <c r="D1007" s="100" t="s">
        <v>2690</v>
      </c>
      <c r="E1007" s="810">
        <v>0.916</v>
      </c>
      <c r="F1007" s="810">
        <v>0.8147</v>
      </c>
      <c r="G1007" s="810">
        <v>0.9121</v>
      </c>
      <c r="H1007" s="810">
        <v>0.9375</v>
      </c>
      <c r="I1007" s="810">
        <v>0.907</v>
      </c>
      <c r="J1007" s="810">
        <v>0.9447</v>
      </c>
      <c r="K1007" s="810">
        <v>0.9855</v>
      </c>
      <c r="L1007" s="810">
        <v>1.0325</v>
      </c>
      <c r="M1007" s="810">
        <v>1.065</v>
      </c>
      <c r="N1007" s="810">
        <v>0.9806</v>
      </c>
      <c r="O1007" s="810" t="s">
        <v>2434</v>
      </c>
      <c r="P1007" s="100" t="s">
        <v>2691</v>
      </c>
      <c r="Q1007" s="8"/>
      <c r="R1007" s="8"/>
      <c r="S1007" s="8"/>
    </row>
    <row r="1008" ht="14.25" customHeight="1">
      <c r="A1008" s="100" t="s">
        <v>2700</v>
      </c>
      <c r="B1008" s="100" t="s">
        <v>2701</v>
      </c>
      <c r="C1008" s="100" t="s">
        <v>2374</v>
      </c>
      <c r="D1008" s="100" t="s">
        <v>2690</v>
      </c>
      <c r="E1008" s="810">
        <v>4.132</v>
      </c>
      <c r="F1008" s="810">
        <v>3.9706</v>
      </c>
      <c r="G1008" s="810">
        <v>3.7394</v>
      </c>
      <c r="H1008" s="810">
        <v>3.7121</v>
      </c>
      <c r="I1008" s="810">
        <v>3.536</v>
      </c>
      <c r="J1008" s="810">
        <v>3.4552</v>
      </c>
      <c r="K1008" s="810">
        <v>3.3626</v>
      </c>
      <c r="L1008" s="810">
        <v>3.7219</v>
      </c>
      <c r="M1008" s="810">
        <v>3.5306</v>
      </c>
      <c r="N1008" s="810">
        <v>3.4579</v>
      </c>
      <c r="O1008" s="810" t="s">
        <v>2434</v>
      </c>
      <c r="P1008" s="100" t="s">
        <v>2691</v>
      </c>
      <c r="Q1008" s="8"/>
      <c r="R1008" s="8"/>
      <c r="S1008" s="8"/>
    </row>
    <row r="1009" ht="14.25" customHeight="1">
      <c r="A1009" s="100" t="s">
        <v>2700</v>
      </c>
      <c r="B1009" s="100" t="s">
        <v>2701</v>
      </c>
      <c r="C1009" s="100" t="s">
        <v>2386</v>
      </c>
      <c r="D1009" s="100" t="s">
        <v>2690</v>
      </c>
      <c r="E1009" s="810">
        <v>0.1434</v>
      </c>
      <c r="F1009" s="810">
        <v>0.1315</v>
      </c>
      <c r="G1009" s="810">
        <v>0.1327</v>
      </c>
      <c r="H1009" s="810">
        <v>0.1238</v>
      </c>
      <c r="I1009" s="810">
        <v>0.1138</v>
      </c>
      <c r="J1009" s="810">
        <v>0.1032</v>
      </c>
      <c r="K1009" s="810">
        <v>0.1005</v>
      </c>
      <c r="L1009" s="810">
        <v>0.0907</v>
      </c>
      <c r="M1009" s="810">
        <v>0.0912</v>
      </c>
      <c r="N1009" s="810">
        <v>0.0888</v>
      </c>
      <c r="O1009" s="810" t="s">
        <v>2434</v>
      </c>
      <c r="P1009" s="100" t="s">
        <v>2691</v>
      </c>
      <c r="Q1009" s="8"/>
      <c r="R1009" s="8"/>
      <c r="S1009" s="8"/>
    </row>
    <row r="1010" ht="14.25" customHeight="1">
      <c r="A1010" s="100" t="s">
        <v>2700</v>
      </c>
      <c r="B1010" s="100" t="s">
        <v>2701</v>
      </c>
      <c r="C1010" s="100" t="s">
        <v>2378</v>
      </c>
      <c r="D1010" s="100" t="s">
        <v>2690</v>
      </c>
      <c r="E1010" s="810">
        <v>0.268</v>
      </c>
      <c r="F1010" s="810">
        <v>0.2883</v>
      </c>
      <c r="G1010" s="810">
        <v>0.2975</v>
      </c>
      <c r="H1010" s="810">
        <v>0.2802</v>
      </c>
      <c r="I1010" s="810">
        <v>0.2481</v>
      </c>
      <c r="J1010" s="810">
        <v>0.239</v>
      </c>
      <c r="K1010" s="810">
        <v>0.2462</v>
      </c>
      <c r="L1010" s="810">
        <v>0.2469</v>
      </c>
      <c r="M1010" s="810">
        <v>0.2532</v>
      </c>
      <c r="N1010" s="810">
        <v>0.2335</v>
      </c>
      <c r="O1010" s="810" t="s">
        <v>2434</v>
      </c>
      <c r="P1010" s="100" t="s">
        <v>2691</v>
      </c>
      <c r="Q1010" s="8"/>
      <c r="R1010" s="8"/>
      <c r="S1010" s="8"/>
    </row>
    <row r="1011" ht="14.25" customHeight="1">
      <c r="A1011" s="100" t="s">
        <v>2700</v>
      </c>
      <c r="B1011" s="100" t="s">
        <v>2701</v>
      </c>
      <c r="C1011" s="100" t="s">
        <v>2383</v>
      </c>
      <c r="D1011" s="100" t="s">
        <v>2690</v>
      </c>
      <c r="E1011" s="810">
        <v>0.0146</v>
      </c>
      <c r="F1011" s="810">
        <v>0.0204</v>
      </c>
      <c r="G1011" s="810">
        <v>0.0169</v>
      </c>
      <c r="H1011" s="810">
        <v>0.0178</v>
      </c>
      <c r="I1011" s="810">
        <v>0.0246</v>
      </c>
      <c r="J1011" s="810">
        <v>0.0214</v>
      </c>
      <c r="K1011" s="810">
        <v>0.0235</v>
      </c>
      <c r="L1011" s="810">
        <v>0.0273</v>
      </c>
      <c r="M1011" s="810">
        <v>0.024</v>
      </c>
      <c r="N1011" s="810">
        <v>0.0262</v>
      </c>
      <c r="O1011" s="810" t="s">
        <v>2434</v>
      </c>
      <c r="P1011" s="100" t="s">
        <v>2691</v>
      </c>
      <c r="Q1011" s="8"/>
      <c r="R1011" s="8"/>
      <c r="S1011" s="8"/>
    </row>
    <row r="1012" ht="14.25" customHeight="1">
      <c r="A1012" s="100" t="s">
        <v>2700</v>
      </c>
      <c r="B1012" s="100" t="s">
        <v>2701</v>
      </c>
      <c r="C1012" s="100" t="s">
        <v>2389</v>
      </c>
      <c r="D1012" s="100" t="s">
        <v>2690</v>
      </c>
      <c r="E1012" s="810">
        <v>0.0</v>
      </c>
      <c r="F1012" s="810">
        <v>0.0</v>
      </c>
      <c r="G1012" s="810">
        <v>0.0</v>
      </c>
      <c r="H1012" s="810">
        <v>0.0</v>
      </c>
      <c r="I1012" s="810">
        <v>0.0</v>
      </c>
      <c r="J1012" s="810">
        <v>0.0</v>
      </c>
      <c r="K1012" s="810">
        <v>0.0</v>
      </c>
      <c r="L1012" s="810">
        <v>0.0</v>
      </c>
      <c r="M1012" s="810">
        <v>0.0</v>
      </c>
      <c r="N1012" s="810">
        <v>0.0</v>
      </c>
      <c r="O1012" s="810" t="s">
        <v>2434</v>
      </c>
      <c r="P1012" s="100" t="s">
        <v>2691</v>
      </c>
      <c r="Q1012" s="8"/>
      <c r="R1012" s="8"/>
      <c r="S1012" s="8"/>
    </row>
    <row r="1013" ht="14.25" customHeight="1">
      <c r="A1013" s="100" t="s">
        <v>2700</v>
      </c>
      <c r="B1013" s="100" t="s">
        <v>2701</v>
      </c>
      <c r="C1013" s="100" t="s">
        <v>2391</v>
      </c>
      <c r="D1013" s="100" t="s">
        <v>2690</v>
      </c>
      <c r="E1013" s="810">
        <v>3.3266</v>
      </c>
      <c r="F1013" s="810">
        <v>3.5441</v>
      </c>
      <c r="G1013" s="810">
        <v>3.3875</v>
      </c>
      <c r="H1013" s="810">
        <v>3.2736</v>
      </c>
      <c r="I1013" s="810">
        <v>3.4764</v>
      </c>
      <c r="J1013" s="810">
        <v>3.289</v>
      </c>
      <c r="K1013" s="810">
        <v>3.3409</v>
      </c>
      <c r="L1013" s="810">
        <v>3.4724</v>
      </c>
      <c r="M1013" s="810">
        <v>3.4402</v>
      </c>
      <c r="N1013" s="810">
        <v>3.5657</v>
      </c>
      <c r="O1013" s="810" t="s">
        <v>2434</v>
      </c>
      <c r="P1013" s="100" t="s">
        <v>2691</v>
      </c>
      <c r="Q1013" s="8"/>
      <c r="R1013" s="8"/>
      <c r="S1013" s="8"/>
    </row>
    <row r="1014" ht="14.25" customHeight="1">
      <c r="A1014" s="100" t="s">
        <v>2700</v>
      </c>
      <c r="B1014" s="100" t="s">
        <v>2701</v>
      </c>
      <c r="C1014" s="100" t="s">
        <v>2393</v>
      </c>
      <c r="D1014" s="100" t="s">
        <v>2690</v>
      </c>
      <c r="E1014" s="810">
        <v>4.0781</v>
      </c>
      <c r="F1014" s="810">
        <v>4.035</v>
      </c>
      <c r="G1014" s="810">
        <v>4.1891</v>
      </c>
      <c r="H1014" s="810">
        <v>4.0254</v>
      </c>
      <c r="I1014" s="810">
        <v>4.001</v>
      </c>
      <c r="J1014" s="810">
        <v>3.7983</v>
      </c>
      <c r="K1014" s="810">
        <v>3.974</v>
      </c>
      <c r="L1014" s="810">
        <v>4.154</v>
      </c>
      <c r="M1014" s="810">
        <v>4.5255</v>
      </c>
      <c r="N1014" s="810">
        <v>4.4954</v>
      </c>
      <c r="O1014" s="810" t="s">
        <v>2434</v>
      </c>
      <c r="P1014" s="100" t="s">
        <v>2691</v>
      </c>
      <c r="Q1014" s="8"/>
      <c r="R1014" s="8"/>
      <c r="S1014" s="8"/>
    </row>
    <row r="1015" ht="14.25" customHeight="1">
      <c r="A1015" s="100" t="s">
        <v>2700</v>
      </c>
      <c r="B1015" s="100" t="s">
        <v>2701</v>
      </c>
      <c r="C1015" s="100" t="s">
        <v>2395</v>
      </c>
      <c r="D1015" s="100" t="s">
        <v>2690</v>
      </c>
      <c r="E1015" s="810">
        <v>0.9659</v>
      </c>
      <c r="F1015" s="810">
        <v>0.941</v>
      </c>
      <c r="G1015" s="810">
        <v>0.8726</v>
      </c>
      <c r="H1015" s="810">
        <v>0.8286</v>
      </c>
      <c r="I1015" s="810">
        <v>0.7908</v>
      </c>
      <c r="J1015" s="810">
        <v>0.8031</v>
      </c>
      <c r="K1015" s="810">
        <v>0.7967</v>
      </c>
      <c r="L1015" s="810">
        <v>0.7822</v>
      </c>
      <c r="M1015" s="810">
        <v>0.7369</v>
      </c>
      <c r="N1015" s="810">
        <v>0.7562</v>
      </c>
      <c r="O1015" s="810" t="s">
        <v>2434</v>
      </c>
      <c r="P1015" s="100" t="s">
        <v>2691</v>
      </c>
      <c r="Q1015" s="8"/>
      <c r="R1015" s="8"/>
      <c r="S1015" s="8"/>
    </row>
    <row r="1016" ht="14.25" customHeight="1">
      <c r="A1016" s="100" t="s">
        <v>2700</v>
      </c>
      <c r="B1016" s="100" t="s">
        <v>2701</v>
      </c>
      <c r="C1016" s="100" t="s">
        <v>2397</v>
      </c>
      <c r="D1016" s="100" t="s">
        <v>2690</v>
      </c>
      <c r="E1016" s="810">
        <v>0.9058</v>
      </c>
      <c r="F1016" s="810">
        <v>0.9097</v>
      </c>
      <c r="G1016" s="810">
        <v>0.9519</v>
      </c>
      <c r="H1016" s="810">
        <v>0.8155</v>
      </c>
      <c r="I1016" s="810">
        <v>0.848</v>
      </c>
      <c r="J1016" s="810">
        <v>0.8391</v>
      </c>
      <c r="K1016" s="810">
        <v>0.8981</v>
      </c>
      <c r="L1016" s="810">
        <v>0.8931</v>
      </c>
      <c r="M1016" s="810">
        <v>0.7803</v>
      </c>
      <c r="N1016" s="810">
        <v>0.8725</v>
      </c>
      <c r="O1016" s="810" t="s">
        <v>2434</v>
      </c>
      <c r="P1016" s="100" t="s">
        <v>2691</v>
      </c>
      <c r="Q1016" s="8"/>
      <c r="R1016" s="8"/>
      <c r="S1016" s="8"/>
    </row>
    <row r="1017" ht="14.25" customHeight="1">
      <c r="A1017" s="100" t="s">
        <v>2700</v>
      </c>
      <c r="B1017" s="100" t="s">
        <v>2701</v>
      </c>
      <c r="C1017" s="100" t="s">
        <v>2411</v>
      </c>
      <c r="D1017" s="100" t="s">
        <v>2690</v>
      </c>
      <c r="E1017" s="810">
        <v>0.306</v>
      </c>
      <c r="F1017" s="810">
        <v>0.312</v>
      </c>
      <c r="G1017" s="810">
        <v>0.2959</v>
      </c>
      <c r="H1017" s="810">
        <v>0.3096</v>
      </c>
      <c r="I1017" s="810">
        <v>0.3263</v>
      </c>
      <c r="J1017" s="810">
        <v>0.329</v>
      </c>
      <c r="K1017" s="810">
        <v>0.3198</v>
      </c>
      <c r="L1017" s="810">
        <v>0.3241</v>
      </c>
      <c r="M1017" s="810">
        <v>0.3227</v>
      </c>
      <c r="N1017" s="810">
        <v>0.3451</v>
      </c>
      <c r="O1017" s="810" t="s">
        <v>2434</v>
      </c>
      <c r="P1017" s="100" t="s">
        <v>2691</v>
      </c>
      <c r="Q1017" s="8"/>
      <c r="R1017" s="8"/>
      <c r="S1017" s="8"/>
    </row>
    <row r="1018" ht="14.25" customHeight="1">
      <c r="A1018" s="100" t="s">
        <v>2700</v>
      </c>
      <c r="B1018" s="100" t="s">
        <v>2701</v>
      </c>
      <c r="C1018" s="100" t="s">
        <v>2406</v>
      </c>
      <c r="D1018" s="100" t="s">
        <v>2690</v>
      </c>
      <c r="E1018" s="810">
        <v>0.1105</v>
      </c>
      <c r="F1018" s="810">
        <v>0.0984</v>
      </c>
      <c r="G1018" s="810">
        <v>0.0872</v>
      </c>
      <c r="H1018" s="810">
        <v>0.0869</v>
      </c>
      <c r="I1018" s="810">
        <v>0.1055</v>
      </c>
      <c r="J1018" s="810">
        <v>0.0892</v>
      </c>
      <c r="K1018" s="810">
        <v>0.0874</v>
      </c>
      <c r="L1018" s="810">
        <v>0.0878</v>
      </c>
      <c r="M1018" s="810">
        <v>0.109</v>
      </c>
      <c r="N1018" s="810">
        <v>0.0972</v>
      </c>
      <c r="O1018" s="810" t="s">
        <v>2434</v>
      </c>
      <c r="P1018" s="100" t="s">
        <v>2691</v>
      </c>
      <c r="Q1018" s="8"/>
      <c r="R1018" s="8"/>
      <c r="S1018" s="8"/>
    </row>
    <row r="1019" ht="14.25" customHeight="1">
      <c r="A1019" s="100" t="s">
        <v>2700</v>
      </c>
      <c r="B1019" s="100" t="s">
        <v>2701</v>
      </c>
      <c r="C1019" s="100" t="s">
        <v>2352</v>
      </c>
      <c r="D1019" s="100" t="s">
        <v>2690</v>
      </c>
      <c r="E1019" s="810">
        <v>2.5719</v>
      </c>
      <c r="F1019" s="810">
        <v>1.9947</v>
      </c>
      <c r="G1019" s="810">
        <v>2.6888</v>
      </c>
      <c r="H1019" s="810">
        <v>3.1757</v>
      </c>
      <c r="I1019" s="810">
        <v>2.7882</v>
      </c>
      <c r="J1019" s="810">
        <v>3.7917</v>
      </c>
      <c r="K1019" s="810">
        <v>4.2402</v>
      </c>
      <c r="L1019" s="810">
        <v>5.399</v>
      </c>
      <c r="M1019" s="810">
        <v>4.9129</v>
      </c>
      <c r="N1019" s="810">
        <v>4.8954</v>
      </c>
      <c r="O1019" s="810" t="s">
        <v>2434</v>
      </c>
      <c r="P1019" s="100" t="s">
        <v>2691</v>
      </c>
      <c r="Q1019" s="8"/>
      <c r="R1019" s="8"/>
      <c r="S1019" s="8"/>
    </row>
    <row r="1020" ht="14.25" customHeight="1">
      <c r="A1020" s="100" t="s">
        <v>2700</v>
      </c>
      <c r="B1020" s="100" t="s">
        <v>2701</v>
      </c>
      <c r="C1020" s="100" t="s">
        <v>2400</v>
      </c>
      <c r="D1020" s="100" t="s">
        <v>2690</v>
      </c>
      <c r="E1020" s="810">
        <v>0.4842</v>
      </c>
      <c r="F1020" s="810">
        <v>0.4819</v>
      </c>
      <c r="G1020" s="810">
        <v>0.4923</v>
      </c>
      <c r="H1020" s="810">
        <v>0.4571</v>
      </c>
      <c r="I1020" s="810">
        <v>0.4367</v>
      </c>
      <c r="J1020" s="810">
        <v>0.0</v>
      </c>
      <c r="K1020" s="810">
        <v>0.3987</v>
      </c>
      <c r="L1020" s="810">
        <v>0.3363</v>
      </c>
      <c r="M1020" s="810">
        <v>0.3217</v>
      </c>
      <c r="N1020" s="810">
        <v>0.2828</v>
      </c>
      <c r="O1020" s="810" t="s">
        <v>2434</v>
      </c>
      <c r="P1020" s="100" t="s">
        <v>2691</v>
      </c>
      <c r="Q1020" s="8"/>
      <c r="R1020" s="8"/>
      <c r="S1020" s="8"/>
    </row>
    <row r="1021" ht="14.25" customHeight="1">
      <c r="A1021" s="100" t="s">
        <v>2700</v>
      </c>
      <c r="B1021" s="100" t="s">
        <v>2701</v>
      </c>
      <c r="C1021" s="100" t="s">
        <v>2416</v>
      </c>
      <c r="D1021" s="100" t="s">
        <v>2690</v>
      </c>
      <c r="E1021" s="810">
        <v>0.349</v>
      </c>
      <c r="F1021" s="810">
        <v>0.3164</v>
      </c>
      <c r="G1021" s="810">
        <v>0.3024</v>
      </c>
      <c r="H1021" s="810">
        <v>0.2958</v>
      </c>
      <c r="I1021" s="810">
        <v>0.2914</v>
      </c>
      <c r="J1021" s="810">
        <v>0.3212</v>
      </c>
      <c r="K1021" s="810">
        <v>0.3159</v>
      </c>
      <c r="L1021" s="810">
        <v>0.3674</v>
      </c>
      <c r="M1021" s="810">
        <v>0.3256</v>
      </c>
      <c r="N1021" s="810" t="s">
        <v>2434</v>
      </c>
      <c r="O1021" s="810" t="s">
        <v>2434</v>
      </c>
      <c r="P1021" s="100" t="s">
        <v>2691</v>
      </c>
      <c r="Q1021" s="8"/>
      <c r="R1021" s="8"/>
      <c r="S1021" s="8"/>
    </row>
    <row r="1022" ht="14.25" customHeight="1">
      <c r="A1022" s="100" t="s">
        <v>2700</v>
      </c>
      <c r="B1022" s="100" t="s">
        <v>2701</v>
      </c>
      <c r="C1022" s="100" t="s">
        <v>2423</v>
      </c>
      <c r="D1022" s="100" t="s">
        <v>2690</v>
      </c>
      <c r="E1022" s="810">
        <v>0.8145</v>
      </c>
      <c r="F1022" s="810">
        <v>0.7044</v>
      </c>
      <c r="G1022" s="810">
        <v>0.7031</v>
      </c>
      <c r="H1022" s="810">
        <v>0.8098</v>
      </c>
      <c r="I1022" s="810">
        <v>0.7514</v>
      </c>
      <c r="J1022" s="810">
        <v>0.7039</v>
      </c>
      <c r="K1022" s="810">
        <v>0.6686</v>
      </c>
      <c r="L1022" s="810">
        <v>0.6752</v>
      </c>
      <c r="M1022" s="810">
        <v>0.6568</v>
      </c>
      <c r="N1022" s="810" t="s">
        <v>2434</v>
      </c>
      <c r="O1022" s="810" t="s">
        <v>2434</v>
      </c>
      <c r="P1022" s="100" t="s">
        <v>2691</v>
      </c>
      <c r="Q1022" s="8"/>
      <c r="R1022" s="8"/>
      <c r="S1022" s="8"/>
    </row>
    <row r="1023" ht="14.25" customHeight="1">
      <c r="A1023" s="100" t="s">
        <v>2700</v>
      </c>
      <c r="B1023" s="100" t="s">
        <v>2701</v>
      </c>
      <c r="C1023" s="100" t="s">
        <v>2360</v>
      </c>
      <c r="D1023" s="100" t="s">
        <v>2690</v>
      </c>
      <c r="E1023" s="810">
        <v>4.5911</v>
      </c>
      <c r="F1023" s="810">
        <v>4.5926</v>
      </c>
      <c r="G1023" s="810">
        <v>4.5489</v>
      </c>
      <c r="H1023" s="810">
        <v>4.658</v>
      </c>
      <c r="I1023" s="810">
        <v>4.552</v>
      </c>
      <c r="J1023" s="810">
        <v>4.0604</v>
      </c>
      <c r="K1023" s="810">
        <v>3.9824</v>
      </c>
      <c r="L1023" s="810">
        <v>4.0851</v>
      </c>
      <c r="M1023" s="810">
        <v>4.1195</v>
      </c>
      <c r="N1023" s="810">
        <v>4.1567</v>
      </c>
      <c r="O1023" s="810" t="s">
        <v>2434</v>
      </c>
      <c r="P1023" s="100" t="s">
        <v>2691</v>
      </c>
      <c r="Q1023" s="8"/>
      <c r="R1023" s="8"/>
      <c r="S1023" s="8"/>
    </row>
    <row r="1024" ht="14.25" customHeight="1">
      <c r="A1024" s="100" t="s">
        <v>2700</v>
      </c>
      <c r="B1024" s="100" t="s">
        <v>2701</v>
      </c>
      <c r="C1024" s="100" t="s">
        <v>2535</v>
      </c>
      <c r="D1024" s="100" t="s">
        <v>2690</v>
      </c>
      <c r="E1024" s="810">
        <v>1.0652</v>
      </c>
      <c r="F1024" s="810">
        <v>1.1923</v>
      </c>
      <c r="G1024" s="810">
        <v>1.4856</v>
      </c>
      <c r="H1024" s="810">
        <v>1.1847</v>
      </c>
      <c r="I1024" s="810">
        <v>0.9986</v>
      </c>
      <c r="J1024" s="810">
        <v>0.8323</v>
      </c>
      <c r="K1024" s="810">
        <v>0.4763</v>
      </c>
      <c r="L1024" s="810">
        <v>0.4737</v>
      </c>
      <c r="M1024" s="810">
        <v>0.4235</v>
      </c>
      <c r="N1024" s="810">
        <v>0.3661</v>
      </c>
      <c r="O1024" s="810" t="s">
        <v>2434</v>
      </c>
      <c r="P1024" s="100" t="s">
        <v>2546</v>
      </c>
      <c r="Q1024" s="8"/>
      <c r="R1024" s="8"/>
      <c r="S1024" s="8"/>
    </row>
    <row r="1025" ht="14.25" customHeight="1">
      <c r="A1025" s="100" t="s">
        <v>2702</v>
      </c>
      <c r="B1025" s="100" t="s">
        <v>2703</v>
      </c>
      <c r="C1025" s="100" t="s">
        <v>2317</v>
      </c>
      <c r="D1025" s="100" t="s">
        <v>2690</v>
      </c>
      <c r="E1025" s="810" t="str">
        <f t="shared" ref="E1025:O1025" si="85">#REF!</f>
        <v>#REF!</v>
      </c>
      <c r="F1025" s="810" t="str">
        <f t="shared" si="85"/>
        <v>#REF!</v>
      </c>
      <c r="G1025" s="810" t="str">
        <f t="shared" si="85"/>
        <v>#REF!</v>
      </c>
      <c r="H1025" s="810" t="str">
        <f t="shared" si="85"/>
        <v>#REF!</v>
      </c>
      <c r="I1025" s="810" t="str">
        <f t="shared" si="85"/>
        <v>#REF!</v>
      </c>
      <c r="J1025" s="810" t="str">
        <f t="shared" si="85"/>
        <v>#REF!</v>
      </c>
      <c r="K1025" s="810" t="str">
        <f t="shared" si="85"/>
        <v>#REF!</v>
      </c>
      <c r="L1025" s="810" t="str">
        <f t="shared" si="85"/>
        <v>#REF!</v>
      </c>
      <c r="M1025" s="810" t="str">
        <f t="shared" si="85"/>
        <v>#REF!</v>
      </c>
      <c r="N1025" s="810" t="str">
        <f t="shared" si="85"/>
        <v>#REF!</v>
      </c>
      <c r="O1025" s="810" t="str">
        <f t="shared" si="85"/>
        <v>#REF!</v>
      </c>
      <c r="P1025" s="100" t="s">
        <v>2691</v>
      </c>
      <c r="Q1025" s="8"/>
      <c r="R1025" s="8"/>
      <c r="S1025" s="8"/>
    </row>
    <row r="1026" ht="14.25" customHeight="1">
      <c r="A1026" s="100" t="str">
        <f t="shared" ref="A1026:B1026" si="86">A1025</f>
        <v>cmbecppp</v>
      </c>
      <c r="B1026" s="100" t="str">
        <f t="shared" si="86"/>
        <v>Pulp, Paper and Print</v>
      </c>
      <c r="C1026" s="100" t="s">
        <v>2507</v>
      </c>
      <c r="D1026" s="100" t="str">
        <f>D1025</f>
        <v>MtCO2</v>
      </c>
      <c r="E1026" s="810" t="str">
        <f t="shared" ref="E1026:O1026" si="87">#REF!</f>
        <v>#REF!</v>
      </c>
      <c r="F1026" s="810" t="str">
        <f t="shared" si="87"/>
        <v>#REF!</v>
      </c>
      <c r="G1026" s="810" t="str">
        <f t="shared" si="87"/>
        <v>#REF!</v>
      </c>
      <c r="H1026" s="810" t="str">
        <f t="shared" si="87"/>
        <v>#REF!</v>
      </c>
      <c r="I1026" s="810" t="str">
        <f t="shared" si="87"/>
        <v>#REF!</v>
      </c>
      <c r="J1026" s="810" t="str">
        <f t="shared" si="87"/>
        <v>#REF!</v>
      </c>
      <c r="K1026" s="810" t="str">
        <f t="shared" si="87"/>
        <v>#REF!</v>
      </c>
      <c r="L1026" s="810" t="str">
        <f t="shared" si="87"/>
        <v>#REF!</v>
      </c>
      <c r="M1026" s="810" t="str">
        <f t="shared" si="87"/>
        <v>#REF!</v>
      </c>
      <c r="N1026" s="810" t="str">
        <f t="shared" si="87"/>
        <v>#REF!</v>
      </c>
      <c r="O1026" s="810" t="str">
        <f t="shared" si="87"/>
        <v>#REF!</v>
      </c>
      <c r="P1026" s="100"/>
      <c r="Q1026" s="8"/>
      <c r="R1026" s="8"/>
      <c r="S1026" s="8"/>
    </row>
    <row r="1027" ht="14.25" customHeight="1">
      <c r="A1027" s="100" t="s">
        <v>2702</v>
      </c>
      <c r="B1027" s="100" t="s">
        <v>2703</v>
      </c>
      <c r="C1027" s="100" t="s">
        <v>2325</v>
      </c>
      <c r="D1027" s="100" t="s">
        <v>2690</v>
      </c>
      <c r="E1027" s="810">
        <v>2.3118</v>
      </c>
      <c r="F1027" s="810">
        <v>2.2641</v>
      </c>
      <c r="G1027" s="810">
        <v>2.0229</v>
      </c>
      <c r="H1027" s="810">
        <v>1.8986</v>
      </c>
      <c r="I1027" s="810">
        <v>1.7414</v>
      </c>
      <c r="J1027" s="810">
        <v>1.8287</v>
      </c>
      <c r="K1027" s="810">
        <v>1.774</v>
      </c>
      <c r="L1027" s="810">
        <v>1.8065</v>
      </c>
      <c r="M1027" s="810">
        <v>1.8796</v>
      </c>
      <c r="N1027" s="810">
        <v>1.943</v>
      </c>
      <c r="O1027" s="810" t="s">
        <v>2434</v>
      </c>
      <c r="P1027" s="100" t="s">
        <v>2691</v>
      </c>
      <c r="Q1027" s="8"/>
      <c r="R1027" s="8"/>
      <c r="S1027" s="8"/>
    </row>
    <row r="1028" ht="14.25" customHeight="1">
      <c r="A1028" s="100" t="s">
        <v>2702</v>
      </c>
      <c r="B1028" s="100" t="s">
        <v>2703</v>
      </c>
      <c r="C1028" s="100" t="s">
        <v>2329</v>
      </c>
      <c r="D1028" s="100" t="s">
        <v>2690</v>
      </c>
      <c r="E1028" s="810">
        <v>0.637</v>
      </c>
      <c r="F1028" s="810">
        <v>0.5359</v>
      </c>
      <c r="G1028" s="810">
        <v>0.5373</v>
      </c>
      <c r="H1028" s="810">
        <v>0.5315</v>
      </c>
      <c r="I1028" s="810">
        <v>0.5802</v>
      </c>
      <c r="J1028" s="810">
        <v>0.613</v>
      </c>
      <c r="K1028" s="810">
        <v>0.609</v>
      </c>
      <c r="L1028" s="810">
        <v>0.5606</v>
      </c>
      <c r="M1028" s="810">
        <v>0.5113</v>
      </c>
      <c r="N1028" s="810">
        <v>0.5375</v>
      </c>
      <c r="O1028" s="810" t="s">
        <v>2434</v>
      </c>
      <c r="P1028" s="100" t="s">
        <v>2691</v>
      </c>
      <c r="Q1028" s="8"/>
      <c r="R1028" s="8"/>
      <c r="S1028" s="8"/>
    </row>
    <row r="1029" ht="14.25" customHeight="1">
      <c r="A1029" s="100" t="s">
        <v>2702</v>
      </c>
      <c r="B1029" s="100" t="s">
        <v>2703</v>
      </c>
      <c r="C1029" s="100" t="s">
        <v>2333</v>
      </c>
      <c r="D1029" s="100" t="s">
        <v>2690</v>
      </c>
      <c r="E1029" s="810">
        <v>0.1027</v>
      </c>
      <c r="F1029" s="810">
        <v>0.1125</v>
      </c>
      <c r="G1029" s="810">
        <v>0.1078</v>
      </c>
      <c r="H1029" s="810">
        <v>0.123</v>
      </c>
      <c r="I1029" s="810">
        <v>0.1133</v>
      </c>
      <c r="J1029" s="810">
        <v>0.1112</v>
      </c>
      <c r="K1029" s="810">
        <v>0.117</v>
      </c>
      <c r="L1029" s="810">
        <v>0.1056</v>
      </c>
      <c r="M1029" s="810">
        <v>0.1068</v>
      </c>
      <c r="N1029" s="810">
        <v>0.1022</v>
      </c>
      <c r="O1029" s="810" t="s">
        <v>2434</v>
      </c>
      <c r="P1029" s="100" t="s">
        <v>2691</v>
      </c>
      <c r="Q1029" s="8"/>
      <c r="R1029" s="8"/>
      <c r="S1029" s="8"/>
    </row>
    <row r="1030" ht="14.25" customHeight="1">
      <c r="A1030" s="100" t="s">
        <v>2702</v>
      </c>
      <c r="B1030" s="100" t="s">
        <v>2703</v>
      </c>
      <c r="C1030" s="100" t="s">
        <v>2364</v>
      </c>
      <c r="D1030" s="100" t="s">
        <v>2690</v>
      </c>
      <c r="E1030" s="810">
        <v>0.1614</v>
      </c>
      <c r="F1030" s="810">
        <v>0.1482</v>
      </c>
      <c r="G1030" s="810">
        <v>0.1261</v>
      </c>
      <c r="H1030" s="810">
        <v>0.1134</v>
      </c>
      <c r="I1030" s="810">
        <v>0.0714</v>
      </c>
      <c r="J1030" s="810">
        <v>0.07</v>
      </c>
      <c r="K1030" s="810">
        <v>0.1055</v>
      </c>
      <c r="L1030" s="810">
        <v>0.0966</v>
      </c>
      <c r="M1030" s="810">
        <v>0.0929</v>
      </c>
      <c r="N1030" s="810">
        <v>0.1106</v>
      </c>
      <c r="O1030" s="810" t="s">
        <v>2434</v>
      </c>
      <c r="P1030" s="100" t="s">
        <v>2691</v>
      </c>
      <c r="Q1030" s="8"/>
      <c r="R1030" s="8"/>
      <c r="S1030" s="8"/>
    </row>
    <row r="1031" ht="14.25" customHeight="1">
      <c r="A1031" s="100" t="s">
        <v>2702</v>
      </c>
      <c r="B1031" s="100" t="s">
        <v>2703</v>
      </c>
      <c r="C1031" s="100" t="s">
        <v>2337</v>
      </c>
      <c r="D1031" s="100" t="s">
        <v>2690</v>
      </c>
      <c r="E1031" s="810">
        <v>0.0037</v>
      </c>
      <c r="F1031" s="810">
        <v>0.0063</v>
      </c>
      <c r="G1031" s="810">
        <v>0.0035</v>
      </c>
      <c r="H1031" s="810">
        <v>0.003</v>
      </c>
      <c r="I1031" s="810">
        <v>0.0031</v>
      </c>
      <c r="J1031" s="810">
        <v>0.0031</v>
      </c>
      <c r="K1031" s="810">
        <v>0.0031</v>
      </c>
      <c r="L1031" s="810">
        <v>0.0027</v>
      </c>
      <c r="M1031" s="810">
        <v>0.0026</v>
      </c>
      <c r="N1031" s="810">
        <v>0.0031</v>
      </c>
      <c r="O1031" s="810" t="s">
        <v>2434</v>
      </c>
      <c r="P1031" s="100" t="s">
        <v>2691</v>
      </c>
      <c r="Q1031" s="8"/>
      <c r="R1031" s="8"/>
      <c r="S1031" s="8"/>
    </row>
    <row r="1032" ht="14.25" customHeight="1">
      <c r="A1032" s="100" t="s">
        <v>2702</v>
      </c>
      <c r="B1032" s="100" t="s">
        <v>2703</v>
      </c>
      <c r="C1032" s="100" t="s">
        <v>2341</v>
      </c>
      <c r="D1032" s="100" t="s">
        <v>2690</v>
      </c>
      <c r="E1032" s="810">
        <v>0.6271</v>
      </c>
      <c r="F1032" s="810">
        <v>0.5339</v>
      </c>
      <c r="G1032" s="810">
        <v>0.523</v>
      </c>
      <c r="H1032" s="810">
        <v>0.4679</v>
      </c>
      <c r="I1032" s="810">
        <v>0.4216</v>
      </c>
      <c r="J1032" s="810">
        <v>0.4412</v>
      </c>
      <c r="K1032" s="810">
        <v>0.404</v>
      </c>
      <c r="L1032" s="810">
        <v>0.4008</v>
      </c>
      <c r="M1032" s="810">
        <v>0.4086</v>
      </c>
      <c r="N1032" s="810">
        <v>0.4438</v>
      </c>
      <c r="O1032" s="810" t="s">
        <v>2434</v>
      </c>
      <c r="P1032" s="100" t="s">
        <v>2691</v>
      </c>
      <c r="Q1032" s="8"/>
      <c r="R1032" s="8"/>
      <c r="S1032" s="8"/>
    </row>
    <row r="1033" ht="14.25" customHeight="1">
      <c r="A1033" s="100" t="s">
        <v>2702</v>
      </c>
      <c r="B1033" s="100" t="s">
        <v>2703</v>
      </c>
      <c r="C1033" s="100" t="s">
        <v>2348</v>
      </c>
      <c r="D1033" s="100" t="s">
        <v>2690</v>
      </c>
      <c r="E1033" s="810">
        <v>0.146</v>
      </c>
      <c r="F1033" s="810">
        <v>0.1436</v>
      </c>
      <c r="G1033" s="810">
        <v>0.1282</v>
      </c>
      <c r="H1033" s="810">
        <v>0.1208</v>
      </c>
      <c r="I1033" s="810">
        <v>0.1094</v>
      </c>
      <c r="J1033" s="810">
        <v>0.0958</v>
      </c>
      <c r="K1033" s="810">
        <v>0.0732</v>
      </c>
      <c r="L1033" s="810">
        <v>0.0787</v>
      </c>
      <c r="M1033" s="810">
        <v>0.0804</v>
      </c>
      <c r="N1033" s="810">
        <v>0.0623</v>
      </c>
      <c r="O1033" s="810" t="s">
        <v>2434</v>
      </c>
      <c r="P1033" s="100" t="s">
        <v>2691</v>
      </c>
      <c r="Q1033" s="8"/>
      <c r="R1033" s="8"/>
      <c r="S1033" s="8"/>
    </row>
    <row r="1034" ht="14.25" customHeight="1">
      <c r="A1034" s="100" t="s">
        <v>2702</v>
      </c>
      <c r="B1034" s="100" t="s">
        <v>2703</v>
      </c>
      <c r="C1034" s="100" t="s">
        <v>2350</v>
      </c>
      <c r="D1034" s="100" t="s">
        <v>2690</v>
      </c>
      <c r="E1034" s="810">
        <v>0.0697</v>
      </c>
      <c r="F1034" s="810">
        <v>0.0676</v>
      </c>
      <c r="G1034" s="810">
        <v>0.0611</v>
      </c>
      <c r="H1034" s="810">
        <v>0.06</v>
      </c>
      <c r="I1034" s="810">
        <v>0.0488</v>
      </c>
      <c r="J1034" s="810">
        <v>0.0475</v>
      </c>
      <c r="K1034" s="810">
        <v>0.054</v>
      </c>
      <c r="L1034" s="810">
        <v>0.0513</v>
      </c>
      <c r="M1034" s="810">
        <v>0.0617</v>
      </c>
      <c r="N1034" s="810">
        <v>0.0621</v>
      </c>
      <c r="O1034" s="810" t="s">
        <v>2434</v>
      </c>
      <c r="P1034" s="100" t="s">
        <v>2691</v>
      </c>
      <c r="Q1034" s="8"/>
      <c r="R1034" s="8"/>
      <c r="S1034" s="8"/>
    </row>
    <row r="1035" ht="14.25" customHeight="1">
      <c r="A1035" s="100" t="s">
        <v>2702</v>
      </c>
      <c r="B1035" s="100" t="s">
        <v>2703</v>
      </c>
      <c r="C1035" s="100" t="s">
        <v>2354</v>
      </c>
      <c r="D1035" s="100" t="s">
        <v>2690</v>
      </c>
      <c r="E1035" s="810">
        <v>3.4364</v>
      </c>
      <c r="F1035" s="810">
        <v>3.1373</v>
      </c>
      <c r="G1035" s="810">
        <v>2.8051</v>
      </c>
      <c r="H1035" s="810">
        <v>2.7972</v>
      </c>
      <c r="I1035" s="810">
        <v>2.7119</v>
      </c>
      <c r="J1035" s="810">
        <v>2.6808</v>
      </c>
      <c r="K1035" s="810">
        <v>2.6475</v>
      </c>
      <c r="L1035" s="810">
        <v>2.4866</v>
      </c>
      <c r="M1035" s="810">
        <v>2.5554</v>
      </c>
      <c r="N1035" s="810">
        <v>2.4642</v>
      </c>
      <c r="O1035" s="810" t="s">
        <v>2434</v>
      </c>
      <c r="P1035" s="100" t="s">
        <v>2691</v>
      </c>
      <c r="Q1035" s="8"/>
      <c r="R1035" s="8"/>
      <c r="S1035" s="8"/>
    </row>
    <row r="1036" ht="14.25" customHeight="1">
      <c r="A1036" s="100" t="s">
        <v>2702</v>
      </c>
      <c r="B1036" s="100" t="s">
        <v>2703</v>
      </c>
      <c r="C1036" s="100" t="s">
        <v>2356</v>
      </c>
      <c r="D1036" s="100" t="s">
        <v>2690</v>
      </c>
      <c r="E1036" s="810">
        <v>2.9582</v>
      </c>
      <c r="F1036" s="810">
        <v>2.6354</v>
      </c>
      <c r="G1036" s="810">
        <v>2.7014</v>
      </c>
      <c r="H1036" s="810">
        <v>3.0789</v>
      </c>
      <c r="I1036" s="810">
        <v>2.8972</v>
      </c>
      <c r="J1036" s="810">
        <v>2.7781</v>
      </c>
      <c r="K1036" s="810">
        <v>2.8469</v>
      </c>
      <c r="L1036" s="810">
        <v>2.6148</v>
      </c>
      <c r="M1036" s="810">
        <v>2.646</v>
      </c>
      <c r="N1036" s="810">
        <v>2.5421</v>
      </c>
      <c r="O1036" s="810" t="s">
        <v>2434</v>
      </c>
      <c r="P1036" s="100" t="s">
        <v>2691</v>
      </c>
      <c r="Q1036" s="8"/>
      <c r="R1036" s="8"/>
      <c r="S1036" s="8"/>
    </row>
    <row r="1037" ht="14.25" customHeight="1">
      <c r="A1037" s="100" t="s">
        <v>2702</v>
      </c>
      <c r="B1037" s="100" t="s">
        <v>2703</v>
      </c>
      <c r="C1037" s="100" t="s">
        <v>2344</v>
      </c>
      <c r="D1037" s="100" t="s">
        <v>2690</v>
      </c>
      <c r="E1037" s="810">
        <v>0.0095</v>
      </c>
      <c r="F1037" s="810">
        <v>0.0147</v>
      </c>
      <c r="G1037" s="810">
        <v>0.0161</v>
      </c>
      <c r="H1037" s="810">
        <v>0.0078</v>
      </c>
      <c r="I1037" s="810">
        <v>0.0072</v>
      </c>
      <c r="J1037" s="810">
        <v>0.0041</v>
      </c>
      <c r="K1037" s="810">
        <v>0.0044</v>
      </c>
      <c r="L1037" s="810">
        <v>0.0039</v>
      </c>
      <c r="M1037" s="810">
        <v>0.0066</v>
      </c>
      <c r="N1037" s="810">
        <v>0.0044</v>
      </c>
      <c r="O1037" s="810" t="s">
        <v>2434</v>
      </c>
      <c r="P1037" s="100" t="s">
        <v>2691</v>
      </c>
      <c r="Q1037" s="8"/>
      <c r="R1037" s="8"/>
      <c r="S1037" s="8"/>
    </row>
    <row r="1038" ht="14.25" customHeight="1">
      <c r="A1038" s="100" t="s">
        <v>2702</v>
      </c>
      <c r="B1038" s="100" t="s">
        <v>2703</v>
      </c>
      <c r="C1038" s="100" t="s">
        <v>2362</v>
      </c>
      <c r="D1038" s="100" t="s">
        <v>2690</v>
      </c>
      <c r="E1038" s="810">
        <v>0.1798</v>
      </c>
      <c r="F1038" s="810">
        <v>0.1517</v>
      </c>
      <c r="G1038" s="810">
        <v>0.119</v>
      </c>
      <c r="H1038" s="810">
        <v>0.1383</v>
      </c>
      <c r="I1038" s="810">
        <v>0.1332</v>
      </c>
      <c r="J1038" s="810">
        <v>0.1044</v>
      </c>
      <c r="K1038" s="810">
        <v>0.0797</v>
      </c>
      <c r="L1038" s="810">
        <v>0.0769</v>
      </c>
      <c r="M1038" s="810">
        <v>0.0913</v>
      </c>
      <c r="N1038" s="810">
        <v>0.0929</v>
      </c>
      <c r="O1038" s="810" t="s">
        <v>2434</v>
      </c>
      <c r="P1038" s="100" t="s">
        <v>2691</v>
      </c>
      <c r="Q1038" s="8"/>
      <c r="R1038" s="8"/>
      <c r="S1038" s="8"/>
    </row>
    <row r="1039" ht="14.25" customHeight="1">
      <c r="A1039" s="100" t="s">
        <v>2702</v>
      </c>
      <c r="B1039" s="100" t="s">
        <v>2703</v>
      </c>
      <c r="C1039" s="100" t="s">
        <v>2367</v>
      </c>
      <c r="D1039" s="100" t="s">
        <v>2690</v>
      </c>
      <c r="E1039" s="810">
        <v>0.1579</v>
      </c>
      <c r="F1039" s="810">
        <v>0.159</v>
      </c>
      <c r="G1039" s="810">
        <v>0.1557</v>
      </c>
      <c r="H1039" s="810">
        <v>0.1927</v>
      </c>
      <c r="I1039" s="810">
        <v>0.1955</v>
      </c>
      <c r="J1039" s="810">
        <v>0.145</v>
      </c>
      <c r="K1039" s="810">
        <v>0.4244</v>
      </c>
      <c r="L1039" s="810">
        <v>0.4781</v>
      </c>
      <c r="M1039" s="810">
        <v>0.423</v>
      </c>
      <c r="N1039" s="810">
        <v>0.4692</v>
      </c>
      <c r="O1039" s="810" t="s">
        <v>2434</v>
      </c>
      <c r="P1039" s="100" t="s">
        <v>2691</v>
      </c>
      <c r="Q1039" s="8"/>
      <c r="R1039" s="8"/>
      <c r="S1039" s="8"/>
    </row>
    <row r="1040" ht="14.25" customHeight="1">
      <c r="A1040" s="100" t="s">
        <v>2702</v>
      </c>
      <c r="B1040" s="100" t="s">
        <v>2703</v>
      </c>
      <c r="C1040" s="100" t="s">
        <v>2369</v>
      </c>
      <c r="D1040" s="100" t="s">
        <v>2690</v>
      </c>
      <c r="E1040" s="810">
        <v>0.0139</v>
      </c>
      <c r="F1040" s="810">
        <v>0.0097</v>
      </c>
      <c r="G1040" s="810">
        <v>0.0133</v>
      </c>
      <c r="H1040" s="810">
        <v>0.0119</v>
      </c>
      <c r="I1040" s="810">
        <v>0.0108</v>
      </c>
      <c r="J1040" s="810">
        <v>0.0101</v>
      </c>
      <c r="K1040" s="810">
        <v>0.012</v>
      </c>
      <c r="L1040" s="810">
        <v>0.0125</v>
      </c>
      <c r="M1040" s="810">
        <v>0.0133</v>
      </c>
      <c r="N1040" s="810">
        <v>0.0135</v>
      </c>
      <c r="O1040" s="810" t="s">
        <v>2434</v>
      </c>
      <c r="P1040" s="100" t="s">
        <v>2691</v>
      </c>
      <c r="Q1040" s="8"/>
      <c r="R1040" s="8"/>
      <c r="S1040" s="8"/>
    </row>
    <row r="1041" ht="14.25" customHeight="1">
      <c r="A1041" s="100" t="s">
        <v>2702</v>
      </c>
      <c r="B1041" s="100" t="s">
        <v>2703</v>
      </c>
      <c r="C1041" s="100" t="s">
        <v>2374</v>
      </c>
      <c r="D1041" s="100" t="s">
        <v>2690</v>
      </c>
      <c r="E1041" s="810">
        <v>5.1484</v>
      </c>
      <c r="F1041" s="810">
        <v>5.1346</v>
      </c>
      <c r="G1041" s="810">
        <v>5.1619</v>
      </c>
      <c r="H1041" s="810">
        <v>4.8513</v>
      </c>
      <c r="I1041" s="810">
        <v>4.8096</v>
      </c>
      <c r="J1041" s="810">
        <v>4.8725</v>
      </c>
      <c r="K1041" s="810">
        <v>4.7892</v>
      </c>
      <c r="L1041" s="810">
        <v>5.0269</v>
      </c>
      <c r="M1041" s="810">
        <v>4.916</v>
      </c>
      <c r="N1041" s="810">
        <v>4.9651</v>
      </c>
      <c r="O1041" s="810" t="s">
        <v>2434</v>
      </c>
      <c r="P1041" s="100" t="s">
        <v>2691</v>
      </c>
      <c r="Q1041" s="8"/>
      <c r="R1041" s="8"/>
      <c r="S1041" s="8"/>
    </row>
    <row r="1042" ht="14.25" customHeight="1">
      <c r="A1042" s="100" t="s">
        <v>2702</v>
      </c>
      <c r="B1042" s="100" t="s">
        <v>2703</v>
      </c>
      <c r="C1042" s="100" t="s">
        <v>2386</v>
      </c>
      <c r="D1042" s="100" t="s">
        <v>2690</v>
      </c>
      <c r="E1042" s="810">
        <v>0.0056</v>
      </c>
      <c r="F1042" s="810">
        <v>0.0056</v>
      </c>
      <c r="G1042" s="810">
        <v>0.0038</v>
      </c>
      <c r="H1042" s="810">
        <v>0.0056</v>
      </c>
      <c r="I1042" s="810">
        <v>0.0055</v>
      </c>
      <c r="J1042" s="810">
        <v>0.0054</v>
      </c>
      <c r="K1042" s="810">
        <v>0.0051</v>
      </c>
      <c r="L1042" s="810">
        <v>0.0061</v>
      </c>
      <c r="M1042" s="810">
        <v>0.0061</v>
      </c>
      <c r="N1042" s="810">
        <v>0.0055</v>
      </c>
      <c r="O1042" s="810" t="s">
        <v>2434</v>
      </c>
      <c r="P1042" s="100" t="s">
        <v>2691</v>
      </c>
      <c r="Q1042" s="8"/>
      <c r="R1042" s="8"/>
      <c r="S1042" s="8"/>
    </row>
    <row r="1043" ht="14.25" customHeight="1">
      <c r="A1043" s="100" t="s">
        <v>2702</v>
      </c>
      <c r="B1043" s="100" t="s">
        <v>2703</v>
      </c>
      <c r="C1043" s="100" t="s">
        <v>2378</v>
      </c>
      <c r="D1043" s="100" t="s">
        <v>2690</v>
      </c>
      <c r="E1043" s="810">
        <v>0.0648</v>
      </c>
      <c r="F1043" s="810">
        <v>0.0525</v>
      </c>
      <c r="G1043" s="810">
        <v>0.0443</v>
      </c>
      <c r="H1043" s="810">
        <v>0.0434</v>
      </c>
      <c r="I1043" s="810">
        <v>0.0266</v>
      </c>
      <c r="J1043" s="810">
        <v>0.0217</v>
      </c>
      <c r="K1043" s="810">
        <v>0.0289</v>
      </c>
      <c r="L1043" s="810">
        <v>0.0333</v>
      </c>
      <c r="M1043" s="810">
        <v>0.0431</v>
      </c>
      <c r="N1043" s="810">
        <v>0.0388</v>
      </c>
      <c r="O1043" s="810" t="s">
        <v>2434</v>
      </c>
      <c r="P1043" s="100" t="s">
        <v>2691</v>
      </c>
      <c r="Q1043" s="8"/>
      <c r="R1043" s="8"/>
      <c r="S1043" s="8"/>
    </row>
    <row r="1044" ht="14.25" customHeight="1">
      <c r="A1044" s="100" t="s">
        <v>2702</v>
      </c>
      <c r="B1044" s="100" t="s">
        <v>2703</v>
      </c>
      <c r="C1044" s="100" t="s">
        <v>2383</v>
      </c>
      <c r="D1044" s="100" t="s">
        <v>2690</v>
      </c>
      <c r="E1044" s="810">
        <v>0.0053</v>
      </c>
      <c r="F1044" s="810">
        <v>0.0088</v>
      </c>
      <c r="G1044" s="810">
        <v>0.0108</v>
      </c>
      <c r="H1044" s="810">
        <v>0.0134</v>
      </c>
      <c r="I1044" s="810">
        <v>0.0063</v>
      </c>
      <c r="J1044" s="810">
        <v>0.0055</v>
      </c>
      <c r="K1044" s="810">
        <v>0.0053</v>
      </c>
      <c r="L1044" s="810">
        <v>0.0048</v>
      </c>
      <c r="M1044" s="810">
        <v>0.0016</v>
      </c>
      <c r="N1044" s="810">
        <v>0.0017</v>
      </c>
      <c r="O1044" s="810" t="s">
        <v>2434</v>
      </c>
      <c r="P1044" s="100" t="s">
        <v>2691</v>
      </c>
      <c r="Q1044" s="8"/>
      <c r="R1044" s="8"/>
      <c r="S1044" s="8"/>
    </row>
    <row r="1045" ht="14.25" customHeight="1">
      <c r="A1045" s="100" t="s">
        <v>2702</v>
      </c>
      <c r="B1045" s="100" t="s">
        <v>2703</v>
      </c>
      <c r="C1045" s="100" t="s">
        <v>2389</v>
      </c>
      <c r="D1045" s="100" t="s">
        <v>2690</v>
      </c>
      <c r="E1045" s="810">
        <v>0.0</v>
      </c>
      <c r="F1045" s="810">
        <v>0.0</v>
      </c>
      <c r="G1045" s="810">
        <v>0.0</v>
      </c>
      <c r="H1045" s="810">
        <v>0.0</v>
      </c>
      <c r="I1045" s="810">
        <v>0.0</v>
      </c>
      <c r="J1045" s="810">
        <v>0.0</v>
      </c>
      <c r="K1045" s="810">
        <v>0.0</v>
      </c>
      <c r="L1045" s="810">
        <v>0.0</v>
      </c>
      <c r="M1045" s="810">
        <v>0.0</v>
      </c>
      <c r="N1045" s="810">
        <v>0.0</v>
      </c>
      <c r="O1045" s="810" t="s">
        <v>2434</v>
      </c>
      <c r="P1045" s="100" t="s">
        <v>2691</v>
      </c>
      <c r="Q1045" s="8"/>
      <c r="R1045" s="8"/>
      <c r="S1045" s="8"/>
    </row>
    <row r="1046" ht="14.25" customHeight="1">
      <c r="A1046" s="100" t="s">
        <v>2702</v>
      </c>
      <c r="B1046" s="100" t="s">
        <v>2703</v>
      </c>
      <c r="C1046" s="100" t="s">
        <v>2391</v>
      </c>
      <c r="D1046" s="100" t="s">
        <v>2690</v>
      </c>
      <c r="E1046" s="810">
        <v>1.1905</v>
      </c>
      <c r="F1046" s="810">
        <v>1.1059</v>
      </c>
      <c r="G1046" s="810">
        <v>1.0985</v>
      </c>
      <c r="H1046" s="810">
        <v>1.0079</v>
      </c>
      <c r="I1046" s="810">
        <v>1.0078</v>
      </c>
      <c r="J1046" s="810">
        <v>1.0334</v>
      </c>
      <c r="K1046" s="810">
        <v>1.018</v>
      </c>
      <c r="L1046" s="810">
        <v>1.0677</v>
      </c>
      <c r="M1046" s="810">
        <v>0.9656</v>
      </c>
      <c r="N1046" s="810">
        <v>0.9242</v>
      </c>
      <c r="O1046" s="810" t="s">
        <v>2434</v>
      </c>
      <c r="P1046" s="100" t="s">
        <v>2691</v>
      </c>
      <c r="Q1046" s="8"/>
      <c r="R1046" s="8"/>
      <c r="S1046" s="8"/>
    </row>
    <row r="1047" ht="14.25" customHeight="1">
      <c r="A1047" s="100" t="s">
        <v>2702</v>
      </c>
      <c r="B1047" s="100" t="s">
        <v>2703</v>
      </c>
      <c r="C1047" s="100" t="s">
        <v>2393</v>
      </c>
      <c r="D1047" s="100" t="s">
        <v>2690</v>
      </c>
      <c r="E1047" s="810">
        <v>1.3933</v>
      </c>
      <c r="F1047" s="810">
        <v>1.4757</v>
      </c>
      <c r="G1047" s="810">
        <v>1.4489</v>
      </c>
      <c r="H1047" s="810">
        <v>1.582</v>
      </c>
      <c r="I1047" s="810">
        <v>1.5919</v>
      </c>
      <c r="J1047" s="810">
        <v>1.5858</v>
      </c>
      <c r="K1047" s="810">
        <v>1.5259</v>
      </c>
      <c r="L1047" s="810">
        <v>1.4858</v>
      </c>
      <c r="M1047" s="810">
        <v>1.3074</v>
      </c>
      <c r="N1047" s="810">
        <v>1.4613</v>
      </c>
      <c r="O1047" s="810" t="s">
        <v>2434</v>
      </c>
      <c r="P1047" s="100" t="s">
        <v>2691</v>
      </c>
      <c r="Q1047" s="8"/>
      <c r="R1047" s="8"/>
      <c r="S1047" s="8"/>
    </row>
    <row r="1048" ht="14.25" customHeight="1">
      <c r="A1048" s="100" t="s">
        <v>2702</v>
      </c>
      <c r="B1048" s="100" t="s">
        <v>2703</v>
      </c>
      <c r="C1048" s="100" t="s">
        <v>2395</v>
      </c>
      <c r="D1048" s="100" t="s">
        <v>2690</v>
      </c>
      <c r="E1048" s="810">
        <v>1.0493</v>
      </c>
      <c r="F1048" s="810">
        <v>1.0505</v>
      </c>
      <c r="G1048" s="810">
        <v>1.0086</v>
      </c>
      <c r="H1048" s="810">
        <v>0.9695</v>
      </c>
      <c r="I1048" s="810">
        <v>0.9651</v>
      </c>
      <c r="J1048" s="810">
        <v>1.0684</v>
      </c>
      <c r="K1048" s="810">
        <v>1.1126</v>
      </c>
      <c r="L1048" s="810">
        <v>1.1294</v>
      </c>
      <c r="M1048" s="810">
        <v>1.3066</v>
      </c>
      <c r="N1048" s="810">
        <v>1.3551</v>
      </c>
      <c r="O1048" s="810" t="s">
        <v>2434</v>
      </c>
      <c r="P1048" s="100" t="s">
        <v>2691</v>
      </c>
      <c r="Q1048" s="8"/>
      <c r="R1048" s="8"/>
      <c r="S1048" s="8"/>
    </row>
    <row r="1049" ht="14.25" customHeight="1">
      <c r="A1049" s="100" t="s">
        <v>2702</v>
      </c>
      <c r="B1049" s="100" t="s">
        <v>2703</v>
      </c>
      <c r="C1049" s="100" t="s">
        <v>2397</v>
      </c>
      <c r="D1049" s="100" t="s">
        <v>2690</v>
      </c>
      <c r="E1049" s="810">
        <v>0.2622</v>
      </c>
      <c r="F1049" s="810">
        <v>0.0619</v>
      </c>
      <c r="G1049" s="810">
        <v>0.096</v>
      </c>
      <c r="H1049" s="810">
        <v>0.0968</v>
      </c>
      <c r="I1049" s="810">
        <v>0.123</v>
      </c>
      <c r="J1049" s="810">
        <v>0.1559</v>
      </c>
      <c r="K1049" s="810">
        <v>0.1776</v>
      </c>
      <c r="L1049" s="810">
        <v>0.2342</v>
      </c>
      <c r="M1049" s="810">
        <v>0.1563</v>
      </c>
      <c r="N1049" s="810">
        <v>0.2129</v>
      </c>
      <c r="O1049" s="810" t="s">
        <v>2434</v>
      </c>
      <c r="P1049" s="100" t="s">
        <v>2691</v>
      </c>
      <c r="Q1049" s="8"/>
      <c r="R1049" s="8"/>
      <c r="S1049" s="8"/>
    </row>
    <row r="1050" ht="14.25" customHeight="1">
      <c r="A1050" s="100" t="s">
        <v>2702</v>
      </c>
      <c r="B1050" s="100" t="s">
        <v>2703</v>
      </c>
      <c r="C1050" s="100" t="s">
        <v>2411</v>
      </c>
      <c r="D1050" s="100" t="s">
        <v>2690</v>
      </c>
      <c r="E1050" s="810">
        <v>0.3962</v>
      </c>
      <c r="F1050" s="810">
        <v>0.378</v>
      </c>
      <c r="G1050" s="810">
        <v>0.3054</v>
      </c>
      <c r="H1050" s="810">
        <v>0.4262</v>
      </c>
      <c r="I1050" s="810">
        <v>0.4797</v>
      </c>
      <c r="J1050" s="810">
        <v>0.4757</v>
      </c>
      <c r="K1050" s="810">
        <v>0.4019</v>
      </c>
      <c r="L1050" s="810">
        <v>0.3772</v>
      </c>
      <c r="M1050" s="810">
        <v>0.3456</v>
      </c>
      <c r="N1050" s="810">
        <v>0.4344</v>
      </c>
      <c r="O1050" s="810" t="s">
        <v>2434</v>
      </c>
      <c r="P1050" s="100" t="s">
        <v>2691</v>
      </c>
      <c r="Q1050" s="8"/>
      <c r="R1050" s="8"/>
      <c r="S1050" s="8"/>
    </row>
    <row r="1051" ht="14.25" customHeight="1">
      <c r="A1051" s="100" t="s">
        <v>2702</v>
      </c>
      <c r="B1051" s="100" t="s">
        <v>2703</v>
      </c>
      <c r="C1051" s="100" t="s">
        <v>2406</v>
      </c>
      <c r="D1051" s="100" t="s">
        <v>2690</v>
      </c>
      <c r="E1051" s="810">
        <v>0.3843</v>
      </c>
      <c r="F1051" s="810">
        <v>0.3509</v>
      </c>
      <c r="G1051" s="810">
        <v>0.3391</v>
      </c>
      <c r="H1051" s="810">
        <v>0.3335</v>
      </c>
      <c r="I1051" s="810">
        <v>0.3239</v>
      </c>
      <c r="J1051" s="810">
        <v>0.3125</v>
      </c>
      <c r="K1051" s="810">
        <v>0.3061</v>
      </c>
      <c r="L1051" s="810">
        <v>0.306</v>
      </c>
      <c r="M1051" s="810">
        <v>0.3091</v>
      </c>
      <c r="N1051" s="810">
        <v>0.3123</v>
      </c>
      <c r="O1051" s="810" t="s">
        <v>2434</v>
      </c>
      <c r="P1051" s="100" t="s">
        <v>2691</v>
      </c>
      <c r="Q1051" s="8"/>
      <c r="R1051" s="8"/>
      <c r="S1051" s="8"/>
    </row>
    <row r="1052" ht="14.25" customHeight="1">
      <c r="A1052" s="100" t="s">
        <v>2702</v>
      </c>
      <c r="B1052" s="100" t="s">
        <v>2703</v>
      </c>
      <c r="C1052" s="100" t="s">
        <v>2352</v>
      </c>
      <c r="D1052" s="100" t="s">
        <v>2690</v>
      </c>
      <c r="E1052" s="810">
        <v>4.4929</v>
      </c>
      <c r="F1052" s="810">
        <v>5.0288</v>
      </c>
      <c r="G1052" s="810">
        <v>5.1553</v>
      </c>
      <c r="H1052" s="810">
        <v>4.7516</v>
      </c>
      <c r="I1052" s="810">
        <v>3.8814</v>
      </c>
      <c r="J1052" s="810">
        <v>3.7614</v>
      </c>
      <c r="K1052" s="810">
        <v>3.9359</v>
      </c>
      <c r="L1052" s="810">
        <v>4.1784</v>
      </c>
      <c r="M1052" s="810">
        <v>4.2226</v>
      </c>
      <c r="N1052" s="810">
        <v>4.7901</v>
      </c>
      <c r="O1052" s="810" t="s">
        <v>2434</v>
      </c>
      <c r="P1052" s="100" t="s">
        <v>2691</v>
      </c>
      <c r="Q1052" s="8"/>
      <c r="R1052" s="8"/>
      <c r="S1052" s="8"/>
    </row>
    <row r="1053" ht="14.25" customHeight="1">
      <c r="A1053" s="100" t="s">
        <v>2702</v>
      </c>
      <c r="B1053" s="100" t="s">
        <v>2703</v>
      </c>
      <c r="C1053" s="100" t="s">
        <v>2400</v>
      </c>
      <c r="D1053" s="100" t="s">
        <v>2690</v>
      </c>
      <c r="E1053" s="810">
        <v>1.3992</v>
      </c>
      <c r="F1053" s="810">
        <v>1.1157</v>
      </c>
      <c r="G1053" s="810">
        <v>1.0291</v>
      </c>
      <c r="H1053" s="810">
        <v>0.8905</v>
      </c>
      <c r="I1053" s="810">
        <v>0.7105</v>
      </c>
      <c r="J1053" s="810">
        <v>0.0</v>
      </c>
      <c r="K1053" s="810">
        <v>0.7188</v>
      </c>
      <c r="L1053" s="810">
        <v>0.7358</v>
      </c>
      <c r="M1053" s="810">
        <v>0.7772</v>
      </c>
      <c r="N1053" s="810">
        <v>0.6911</v>
      </c>
      <c r="O1053" s="810" t="s">
        <v>2434</v>
      </c>
      <c r="P1053" s="100" t="s">
        <v>2691</v>
      </c>
      <c r="Q1053" s="8"/>
      <c r="R1053" s="8"/>
      <c r="S1053" s="8"/>
    </row>
    <row r="1054" ht="14.25" customHeight="1">
      <c r="A1054" s="100" t="s">
        <v>2702</v>
      </c>
      <c r="B1054" s="100" t="s">
        <v>2703</v>
      </c>
      <c r="C1054" s="100" t="s">
        <v>2416</v>
      </c>
      <c r="D1054" s="100" t="s">
        <v>2690</v>
      </c>
      <c r="E1054" s="810">
        <v>0.4062</v>
      </c>
      <c r="F1054" s="810">
        <v>0.3021</v>
      </c>
      <c r="G1054" s="810">
        <v>0.2091</v>
      </c>
      <c r="H1054" s="810">
        <v>0.1428</v>
      </c>
      <c r="I1054" s="810">
        <v>0.1075</v>
      </c>
      <c r="J1054" s="810">
        <v>0.0922</v>
      </c>
      <c r="K1054" s="810">
        <v>0.1042</v>
      </c>
      <c r="L1054" s="810">
        <v>0.0913</v>
      </c>
      <c r="M1054" s="810">
        <v>0.1024</v>
      </c>
      <c r="N1054" s="810" t="s">
        <v>2434</v>
      </c>
      <c r="O1054" s="810" t="s">
        <v>2434</v>
      </c>
      <c r="P1054" s="100" t="s">
        <v>2691</v>
      </c>
      <c r="Q1054" s="8"/>
      <c r="R1054" s="8"/>
      <c r="S1054" s="8"/>
    </row>
    <row r="1055" ht="14.25" customHeight="1">
      <c r="A1055" s="100" t="s">
        <v>2702</v>
      </c>
      <c r="B1055" s="100" t="s">
        <v>2703</v>
      </c>
      <c r="C1055" s="100" t="s">
        <v>2423</v>
      </c>
      <c r="D1055" s="100" t="s">
        <v>2690</v>
      </c>
      <c r="E1055" s="810">
        <v>0.4036</v>
      </c>
      <c r="F1055" s="810">
        <v>0.3527</v>
      </c>
      <c r="G1055" s="810">
        <v>0.315</v>
      </c>
      <c r="H1055" s="810">
        <v>0.3217</v>
      </c>
      <c r="I1055" s="810">
        <v>0.2684</v>
      </c>
      <c r="J1055" s="810">
        <v>0.2137</v>
      </c>
      <c r="K1055" s="810">
        <v>0.1759</v>
      </c>
      <c r="L1055" s="810">
        <v>0.1662</v>
      </c>
      <c r="M1055" s="810">
        <v>0.1198</v>
      </c>
      <c r="N1055" s="810" t="s">
        <v>2434</v>
      </c>
      <c r="O1055" s="810" t="s">
        <v>2434</v>
      </c>
      <c r="P1055" s="100" t="s">
        <v>2691</v>
      </c>
      <c r="Q1055" s="8"/>
      <c r="R1055" s="8"/>
      <c r="S1055" s="8"/>
    </row>
    <row r="1056" ht="14.25" customHeight="1">
      <c r="A1056" s="100" t="s">
        <v>2702</v>
      </c>
      <c r="B1056" s="100" t="s">
        <v>2703</v>
      </c>
      <c r="C1056" s="100" t="s">
        <v>2360</v>
      </c>
      <c r="D1056" s="100" t="s">
        <v>2690</v>
      </c>
      <c r="E1056" s="810">
        <v>2.6798</v>
      </c>
      <c r="F1056" s="810">
        <v>2.5642</v>
      </c>
      <c r="G1056" s="810">
        <v>2.5313</v>
      </c>
      <c r="H1056" s="810">
        <v>2.712</v>
      </c>
      <c r="I1056" s="810">
        <v>2.6427</v>
      </c>
      <c r="J1056" s="810">
        <v>1.5237</v>
      </c>
      <c r="K1056" s="810">
        <v>1.5044</v>
      </c>
      <c r="L1056" s="810">
        <v>1.4456</v>
      </c>
      <c r="M1056" s="810">
        <v>1.4196</v>
      </c>
      <c r="N1056" s="810">
        <v>1.3941</v>
      </c>
      <c r="O1056" s="810" t="s">
        <v>2434</v>
      </c>
      <c r="P1056" s="100" t="s">
        <v>2691</v>
      </c>
      <c r="Q1056" s="8"/>
      <c r="R1056" s="8"/>
      <c r="S1056" s="8"/>
    </row>
    <row r="1057" ht="14.25" customHeight="1">
      <c r="A1057" s="100" t="s">
        <v>2702</v>
      </c>
      <c r="B1057" s="100" t="s">
        <v>2703</v>
      </c>
      <c r="C1057" s="100" t="s">
        <v>2535</v>
      </c>
      <c r="D1057" s="100" t="s">
        <v>2690</v>
      </c>
      <c r="E1057" s="810">
        <v>0.0593</v>
      </c>
      <c r="F1057" s="810">
        <v>0.108</v>
      </c>
      <c r="G1057" s="810">
        <v>0.1544</v>
      </c>
      <c r="H1057" s="810">
        <v>0.0848</v>
      </c>
      <c r="I1057" s="810">
        <v>0.0668</v>
      </c>
      <c r="J1057" s="810">
        <v>0.0927</v>
      </c>
      <c r="K1057" s="810">
        <v>0.1368</v>
      </c>
      <c r="L1057" s="810">
        <v>0.1462</v>
      </c>
      <c r="M1057" s="810">
        <v>0.1443</v>
      </c>
      <c r="N1057" s="810">
        <v>0.1754</v>
      </c>
      <c r="O1057" s="810" t="s">
        <v>2434</v>
      </c>
      <c r="P1057" s="100" t="s">
        <v>2546</v>
      </c>
      <c r="Q1057" s="8"/>
      <c r="R1057" s="8"/>
      <c r="S1057" s="8"/>
    </row>
    <row r="1058" ht="14.25" customHeight="1">
      <c r="A1058" s="100" t="s">
        <v>2704</v>
      </c>
      <c r="B1058" s="100" t="s">
        <v>2705</v>
      </c>
      <c r="C1058" s="100" t="s">
        <v>2317</v>
      </c>
      <c r="D1058" s="100" t="s">
        <v>2690</v>
      </c>
      <c r="E1058" s="810" t="str">
        <f t="shared" ref="E1058:O1058" si="88">#REF!</f>
        <v>#REF!</v>
      </c>
      <c r="F1058" s="810" t="str">
        <f t="shared" si="88"/>
        <v>#REF!</v>
      </c>
      <c r="G1058" s="810" t="str">
        <f t="shared" si="88"/>
        <v>#REF!</v>
      </c>
      <c r="H1058" s="810" t="str">
        <f t="shared" si="88"/>
        <v>#REF!</v>
      </c>
      <c r="I1058" s="810" t="str">
        <f t="shared" si="88"/>
        <v>#REF!</v>
      </c>
      <c r="J1058" s="810" t="str">
        <f t="shared" si="88"/>
        <v>#REF!</v>
      </c>
      <c r="K1058" s="810" t="str">
        <f t="shared" si="88"/>
        <v>#REF!</v>
      </c>
      <c r="L1058" s="810" t="str">
        <f t="shared" si="88"/>
        <v>#REF!</v>
      </c>
      <c r="M1058" s="810" t="str">
        <f t="shared" si="88"/>
        <v>#REF!</v>
      </c>
      <c r="N1058" s="810" t="str">
        <f t="shared" si="88"/>
        <v>#REF!</v>
      </c>
      <c r="O1058" s="810" t="str">
        <f t="shared" si="88"/>
        <v>#REF!</v>
      </c>
      <c r="P1058" s="100" t="s">
        <v>2691</v>
      </c>
      <c r="Q1058" s="8"/>
      <c r="R1058" s="8"/>
      <c r="S1058" s="8"/>
    </row>
    <row r="1059" ht="14.25" customHeight="1">
      <c r="A1059" s="100" t="str">
        <f t="shared" ref="A1059:B1059" si="89">A1058</f>
        <v>cmbecidv</v>
      </c>
      <c r="B1059" s="100" t="str">
        <f t="shared" si="89"/>
        <v>Other</v>
      </c>
      <c r="C1059" s="100" t="s">
        <v>2507</v>
      </c>
      <c r="D1059" s="100" t="str">
        <f>D1058</f>
        <v>MtCO2</v>
      </c>
      <c r="E1059" s="810" t="str">
        <f t="shared" ref="E1059:O1059" si="90">#REF!</f>
        <v>#REF!</v>
      </c>
      <c r="F1059" s="810" t="str">
        <f t="shared" si="90"/>
        <v>#REF!</v>
      </c>
      <c r="G1059" s="810" t="str">
        <f t="shared" si="90"/>
        <v>#REF!</v>
      </c>
      <c r="H1059" s="810" t="str">
        <f t="shared" si="90"/>
        <v>#REF!</v>
      </c>
      <c r="I1059" s="810" t="str">
        <f t="shared" si="90"/>
        <v>#REF!</v>
      </c>
      <c r="J1059" s="810" t="str">
        <f t="shared" si="90"/>
        <v>#REF!</v>
      </c>
      <c r="K1059" s="810" t="str">
        <f t="shared" si="90"/>
        <v>#REF!</v>
      </c>
      <c r="L1059" s="810" t="str">
        <f t="shared" si="90"/>
        <v>#REF!</v>
      </c>
      <c r="M1059" s="810" t="str">
        <f t="shared" si="90"/>
        <v>#REF!</v>
      </c>
      <c r="N1059" s="810" t="str">
        <f t="shared" si="90"/>
        <v>#REF!</v>
      </c>
      <c r="O1059" s="810" t="str">
        <f t="shared" si="90"/>
        <v>#REF!</v>
      </c>
      <c r="P1059" s="100"/>
      <c r="Q1059" s="8"/>
      <c r="R1059" s="8"/>
      <c r="S1059" s="8"/>
    </row>
    <row r="1060" ht="14.25" customHeight="1">
      <c r="A1060" s="100" t="s">
        <v>2704</v>
      </c>
      <c r="B1060" s="100" t="s">
        <v>2705</v>
      </c>
      <c r="C1060" s="100" t="s">
        <v>2325</v>
      </c>
      <c r="D1060" s="100" t="s">
        <v>2690</v>
      </c>
      <c r="E1060" s="810">
        <v>3.1761</v>
      </c>
      <c r="F1060" s="810">
        <v>2.9946</v>
      </c>
      <c r="G1060" s="810">
        <v>3.136</v>
      </c>
      <c r="H1060" s="810">
        <v>3.0483</v>
      </c>
      <c r="I1060" s="810">
        <v>2.7201</v>
      </c>
      <c r="J1060" s="810">
        <v>2.5568</v>
      </c>
      <c r="K1060" s="810">
        <v>2.7297</v>
      </c>
      <c r="L1060" s="810">
        <v>2.7918</v>
      </c>
      <c r="M1060" s="810">
        <v>2.7625</v>
      </c>
      <c r="N1060" s="810">
        <v>2.5727</v>
      </c>
      <c r="O1060" s="810" t="s">
        <v>2434</v>
      </c>
      <c r="P1060" s="100" t="s">
        <v>2691</v>
      </c>
      <c r="Q1060" s="8"/>
      <c r="R1060" s="8"/>
      <c r="S1060" s="8"/>
    </row>
    <row r="1061" ht="14.25" customHeight="1">
      <c r="A1061" s="100" t="s">
        <v>2704</v>
      </c>
      <c r="B1061" s="100" t="s">
        <v>2705</v>
      </c>
      <c r="C1061" s="100" t="s">
        <v>2329</v>
      </c>
      <c r="D1061" s="100" t="s">
        <v>2690</v>
      </c>
      <c r="E1061" s="810">
        <v>2.3788</v>
      </c>
      <c r="F1061" s="810">
        <v>2.4721</v>
      </c>
      <c r="G1061" s="810">
        <v>2.4506</v>
      </c>
      <c r="H1061" s="810">
        <v>2.575</v>
      </c>
      <c r="I1061" s="810">
        <v>1.8769</v>
      </c>
      <c r="J1061" s="810">
        <v>1.8906</v>
      </c>
      <c r="K1061" s="810">
        <v>1.8081</v>
      </c>
      <c r="L1061" s="810">
        <v>1.8665</v>
      </c>
      <c r="M1061" s="810">
        <v>1.9201</v>
      </c>
      <c r="N1061" s="810">
        <v>1.8663</v>
      </c>
      <c r="O1061" s="810" t="s">
        <v>2434</v>
      </c>
      <c r="P1061" s="100" t="s">
        <v>2691</v>
      </c>
      <c r="Q1061" s="8"/>
      <c r="R1061" s="8"/>
      <c r="S1061" s="8"/>
    </row>
    <row r="1062" ht="14.25" customHeight="1">
      <c r="A1062" s="100" t="s">
        <v>2704</v>
      </c>
      <c r="B1062" s="100" t="s">
        <v>2705</v>
      </c>
      <c r="C1062" s="100" t="s">
        <v>2333</v>
      </c>
      <c r="D1062" s="100" t="s">
        <v>2690</v>
      </c>
      <c r="E1062" s="810">
        <v>0.4446</v>
      </c>
      <c r="F1062" s="810">
        <v>0.4691</v>
      </c>
      <c r="G1062" s="810">
        <v>0.4614</v>
      </c>
      <c r="H1062" s="810">
        <v>0.4485</v>
      </c>
      <c r="I1062" s="810">
        <v>0.4418</v>
      </c>
      <c r="J1062" s="810">
        <v>0.6141</v>
      </c>
      <c r="K1062" s="810">
        <v>0.6255</v>
      </c>
      <c r="L1062" s="810">
        <v>0.7162</v>
      </c>
      <c r="M1062" s="810">
        <v>0.8816</v>
      </c>
      <c r="N1062" s="810">
        <v>0.9093</v>
      </c>
      <c r="O1062" s="810" t="s">
        <v>2434</v>
      </c>
      <c r="P1062" s="100" t="s">
        <v>2691</v>
      </c>
      <c r="Q1062" s="8"/>
      <c r="R1062" s="8"/>
      <c r="S1062" s="8"/>
    </row>
    <row r="1063" ht="14.25" customHeight="1">
      <c r="A1063" s="100" t="s">
        <v>2704</v>
      </c>
      <c r="B1063" s="100" t="s">
        <v>2705</v>
      </c>
      <c r="C1063" s="100" t="s">
        <v>2364</v>
      </c>
      <c r="D1063" s="100" t="s">
        <v>2690</v>
      </c>
      <c r="E1063" s="810">
        <v>0.3845</v>
      </c>
      <c r="F1063" s="810">
        <v>0.3683</v>
      </c>
      <c r="G1063" s="810">
        <v>0.3358</v>
      </c>
      <c r="H1063" s="810">
        <v>0.3282</v>
      </c>
      <c r="I1063" s="810">
        <v>0.2981</v>
      </c>
      <c r="J1063" s="810">
        <v>0.2981</v>
      </c>
      <c r="K1063" s="810">
        <v>0.289</v>
      </c>
      <c r="L1063" s="810">
        <v>0.2893</v>
      </c>
      <c r="M1063" s="810">
        <v>0.3143</v>
      </c>
      <c r="N1063" s="810">
        <v>0.3349</v>
      </c>
      <c r="O1063" s="810" t="s">
        <v>2434</v>
      </c>
      <c r="P1063" s="100" t="s">
        <v>2691</v>
      </c>
      <c r="Q1063" s="8"/>
      <c r="R1063" s="8"/>
      <c r="S1063" s="8"/>
    </row>
    <row r="1064" ht="14.25" customHeight="1">
      <c r="A1064" s="100" t="s">
        <v>2704</v>
      </c>
      <c r="B1064" s="100" t="s">
        <v>2705</v>
      </c>
      <c r="C1064" s="100" t="s">
        <v>2337</v>
      </c>
      <c r="D1064" s="100" t="s">
        <v>2690</v>
      </c>
      <c r="E1064" s="810">
        <v>0.0736</v>
      </c>
      <c r="F1064" s="810">
        <v>0.0755</v>
      </c>
      <c r="G1064" s="810">
        <v>0.0603</v>
      </c>
      <c r="H1064" s="810">
        <v>0.0506</v>
      </c>
      <c r="I1064" s="810">
        <v>0.0692</v>
      </c>
      <c r="J1064" s="810">
        <v>0.0444</v>
      </c>
      <c r="K1064" s="810">
        <v>0.0507</v>
      </c>
      <c r="L1064" s="810">
        <v>0.0599</v>
      </c>
      <c r="M1064" s="810">
        <v>0.0519</v>
      </c>
      <c r="N1064" s="810">
        <v>0.0661</v>
      </c>
      <c r="O1064" s="810" t="s">
        <v>2434</v>
      </c>
      <c r="P1064" s="100" t="s">
        <v>2691</v>
      </c>
      <c r="Q1064" s="8"/>
      <c r="R1064" s="8"/>
      <c r="S1064" s="8"/>
    </row>
    <row r="1065" ht="14.25" customHeight="1">
      <c r="A1065" s="100" t="s">
        <v>2704</v>
      </c>
      <c r="B1065" s="100" t="s">
        <v>2705</v>
      </c>
      <c r="C1065" s="100" t="s">
        <v>2341</v>
      </c>
      <c r="D1065" s="100" t="s">
        <v>2690</v>
      </c>
      <c r="E1065" s="810">
        <v>2.8238</v>
      </c>
      <c r="F1065" s="810">
        <v>2.4798</v>
      </c>
      <c r="G1065" s="810">
        <v>2.4909</v>
      </c>
      <c r="H1065" s="810">
        <v>2.2441</v>
      </c>
      <c r="I1065" s="810">
        <v>2.2406</v>
      </c>
      <c r="J1065" s="810">
        <v>2.3824</v>
      </c>
      <c r="K1065" s="810">
        <v>2.1184</v>
      </c>
      <c r="L1065" s="810">
        <v>2.071</v>
      </c>
      <c r="M1065" s="810">
        <v>1.9627</v>
      </c>
      <c r="N1065" s="810">
        <v>1.9162</v>
      </c>
      <c r="O1065" s="810" t="s">
        <v>2434</v>
      </c>
      <c r="P1065" s="100" t="s">
        <v>2691</v>
      </c>
      <c r="Q1065" s="8"/>
      <c r="R1065" s="8"/>
      <c r="S1065" s="8"/>
    </row>
    <row r="1066" ht="14.25" customHeight="1">
      <c r="A1066" s="100" t="s">
        <v>2704</v>
      </c>
      <c r="B1066" s="100" t="s">
        <v>2705</v>
      </c>
      <c r="C1066" s="100" t="s">
        <v>2348</v>
      </c>
      <c r="D1066" s="100" t="s">
        <v>2690</v>
      </c>
      <c r="E1066" s="810">
        <v>1.3245</v>
      </c>
      <c r="F1066" s="810">
        <v>1.2123</v>
      </c>
      <c r="G1066" s="810">
        <v>1.0811</v>
      </c>
      <c r="H1066" s="810">
        <v>1.0113</v>
      </c>
      <c r="I1066" s="810">
        <v>0.9262</v>
      </c>
      <c r="J1066" s="810">
        <v>0.9216</v>
      </c>
      <c r="K1066" s="810">
        <v>0.9091</v>
      </c>
      <c r="L1066" s="810">
        <v>0.8888</v>
      </c>
      <c r="M1066" s="810">
        <v>0.8778</v>
      </c>
      <c r="N1066" s="810">
        <v>0.8477</v>
      </c>
      <c r="O1066" s="810" t="s">
        <v>2434</v>
      </c>
      <c r="P1066" s="100" t="s">
        <v>2691</v>
      </c>
      <c r="Q1066" s="8"/>
      <c r="R1066" s="8"/>
      <c r="S1066" s="8"/>
    </row>
    <row r="1067" ht="14.25" customHeight="1">
      <c r="A1067" s="100" t="s">
        <v>2704</v>
      </c>
      <c r="B1067" s="100" t="s">
        <v>2705</v>
      </c>
      <c r="C1067" s="100" t="s">
        <v>2350</v>
      </c>
      <c r="D1067" s="100" t="s">
        <v>2690</v>
      </c>
      <c r="E1067" s="810">
        <v>0.1932</v>
      </c>
      <c r="F1067" s="810">
        <v>0.2272</v>
      </c>
      <c r="G1067" s="810">
        <v>0.2598</v>
      </c>
      <c r="H1067" s="810">
        <v>0.2415</v>
      </c>
      <c r="I1067" s="810">
        <v>0.2233</v>
      </c>
      <c r="J1067" s="810">
        <v>0.2209</v>
      </c>
      <c r="K1067" s="810">
        <v>0.2584</v>
      </c>
      <c r="L1067" s="810">
        <v>0.2122</v>
      </c>
      <c r="M1067" s="810">
        <v>0.2184</v>
      </c>
      <c r="N1067" s="810">
        <v>0.2213</v>
      </c>
      <c r="O1067" s="810" t="s">
        <v>2434</v>
      </c>
      <c r="P1067" s="100" t="s">
        <v>2691</v>
      </c>
      <c r="Q1067" s="8"/>
      <c r="R1067" s="8"/>
      <c r="S1067" s="8"/>
    </row>
    <row r="1068" ht="14.25" customHeight="1">
      <c r="A1068" s="100" t="s">
        <v>2704</v>
      </c>
      <c r="B1068" s="100" t="s">
        <v>2705</v>
      </c>
      <c r="C1068" s="100" t="s">
        <v>2354</v>
      </c>
      <c r="D1068" s="100" t="s">
        <v>2690</v>
      </c>
      <c r="E1068" s="810">
        <v>1.6036</v>
      </c>
      <c r="F1068" s="810">
        <v>1.4971</v>
      </c>
      <c r="G1068" s="810">
        <v>1.5851</v>
      </c>
      <c r="H1068" s="810">
        <v>1.5815</v>
      </c>
      <c r="I1068" s="810">
        <v>1.5668</v>
      </c>
      <c r="J1068" s="810">
        <v>1.4866</v>
      </c>
      <c r="K1068" s="810">
        <v>1.3962</v>
      </c>
      <c r="L1068" s="810">
        <v>1.5314</v>
      </c>
      <c r="M1068" s="810">
        <v>1.6003</v>
      </c>
      <c r="N1068" s="810">
        <v>1.5713</v>
      </c>
      <c r="O1068" s="810" t="s">
        <v>2434</v>
      </c>
      <c r="P1068" s="100" t="s">
        <v>2691</v>
      </c>
      <c r="Q1068" s="8"/>
      <c r="R1068" s="8"/>
      <c r="S1068" s="8"/>
    </row>
    <row r="1069" ht="14.25" customHeight="1">
      <c r="A1069" s="100" t="s">
        <v>2704</v>
      </c>
      <c r="B1069" s="100" t="s">
        <v>2705</v>
      </c>
      <c r="C1069" s="100" t="s">
        <v>2356</v>
      </c>
      <c r="D1069" s="100" t="s">
        <v>2690</v>
      </c>
      <c r="E1069" s="810">
        <v>8.2018</v>
      </c>
      <c r="F1069" s="810">
        <v>8.5169</v>
      </c>
      <c r="G1069" s="810">
        <v>8.3452</v>
      </c>
      <c r="H1069" s="810">
        <v>8.4141</v>
      </c>
      <c r="I1069" s="810">
        <v>7.6449</v>
      </c>
      <c r="J1069" s="810">
        <v>7.9717</v>
      </c>
      <c r="K1069" s="810">
        <v>8.0062</v>
      </c>
      <c r="L1069" s="810">
        <v>8.1941</v>
      </c>
      <c r="M1069" s="810">
        <v>8.0745</v>
      </c>
      <c r="N1069" s="810">
        <v>8.0377</v>
      </c>
      <c r="O1069" s="810" t="s">
        <v>2434</v>
      </c>
      <c r="P1069" s="100" t="s">
        <v>2691</v>
      </c>
      <c r="Q1069" s="8"/>
      <c r="R1069" s="8"/>
      <c r="S1069" s="8"/>
    </row>
    <row r="1070" ht="14.25" customHeight="1">
      <c r="A1070" s="100" t="s">
        <v>2704</v>
      </c>
      <c r="B1070" s="100" t="s">
        <v>2705</v>
      </c>
      <c r="C1070" s="100" t="s">
        <v>2344</v>
      </c>
      <c r="D1070" s="100" t="s">
        <v>2690</v>
      </c>
      <c r="E1070" s="810">
        <v>74.9711</v>
      </c>
      <c r="F1070" s="810">
        <v>73.1835</v>
      </c>
      <c r="G1070" s="810">
        <v>71.1886</v>
      </c>
      <c r="H1070" s="810">
        <v>71.6121</v>
      </c>
      <c r="I1070" s="810">
        <v>70.337</v>
      </c>
      <c r="J1070" s="810">
        <v>72.6681</v>
      </c>
      <c r="K1070" s="810">
        <v>77.6057</v>
      </c>
      <c r="L1070" s="810">
        <v>79.4616</v>
      </c>
      <c r="M1070" s="810">
        <v>74.7498</v>
      </c>
      <c r="N1070" s="810">
        <v>74.9472</v>
      </c>
      <c r="O1070" s="810" t="s">
        <v>2434</v>
      </c>
      <c r="P1070" s="100" t="s">
        <v>2691</v>
      </c>
      <c r="Q1070" s="8"/>
      <c r="R1070" s="8"/>
      <c r="S1070" s="8"/>
    </row>
    <row r="1071" ht="14.25" customHeight="1">
      <c r="A1071" s="100" t="s">
        <v>2704</v>
      </c>
      <c r="B1071" s="100" t="s">
        <v>2705</v>
      </c>
      <c r="C1071" s="100" t="s">
        <v>2362</v>
      </c>
      <c r="D1071" s="100" t="s">
        <v>2690</v>
      </c>
      <c r="E1071" s="810">
        <v>0.0</v>
      </c>
      <c r="F1071" s="810">
        <v>0.0</v>
      </c>
      <c r="G1071" s="810">
        <v>0.0</v>
      </c>
      <c r="H1071" s="810">
        <v>0.0</v>
      </c>
      <c r="I1071" s="810">
        <v>0.0</v>
      </c>
      <c r="J1071" s="810">
        <v>0.0</v>
      </c>
      <c r="K1071" s="810">
        <v>0.0</v>
      </c>
      <c r="L1071" s="810">
        <v>0.0</v>
      </c>
      <c r="M1071" s="810">
        <v>0.0</v>
      </c>
      <c r="N1071" s="810">
        <v>0.0</v>
      </c>
      <c r="O1071" s="810" t="s">
        <v>2434</v>
      </c>
      <c r="P1071" s="100" t="s">
        <v>2691</v>
      </c>
      <c r="Q1071" s="8"/>
      <c r="R1071" s="8"/>
      <c r="S1071" s="8"/>
    </row>
    <row r="1072" ht="14.25" customHeight="1">
      <c r="A1072" s="100" t="s">
        <v>2704</v>
      </c>
      <c r="B1072" s="100" t="s">
        <v>2705</v>
      </c>
      <c r="C1072" s="100" t="s">
        <v>2367</v>
      </c>
      <c r="D1072" s="100" t="s">
        <v>2690</v>
      </c>
      <c r="E1072" s="810">
        <v>1.1541</v>
      </c>
      <c r="F1072" s="810">
        <v>1.3533</v>
      </c>
      <c r="G1072" s="810">
        <v>1.0373</v>
      </c>
      <c r="H1072" s="810">
        <v>1.3995</v>
      </c>
      <c r="I1072" s="810">
        <v>1.3957</v>
      </c>
      <c r="J1072" s="810">
        <v>1.4814</v>
      </c>
      <c r="K1072" s="810">
        <v>1.5907</v>
      </c>
      <c r="L1072" s="810">
        <v>1.6899</v>
      </c>
      <c r="M1072" s="810">
        <v>1.8716</v>
      </c>
      <c r="N1072" s="810">
        <v>1.8151</v>
      </c>
      <c r="O1072" s="810" t="s">
        <v>2434</v>
      </c>
      <c r="P1072" s="100" t="s">
        <v>2691</v>
      </c>
      <c r="Q1072" s="8"/>
      <c r="R1072" s="8"/>
      <c r="S1072" s="8"/>
    </row>
    <row r="1073" ht="14.25" customHeight="1">
      <c r="A1073" s="100" t="s">
        <v>2704</v>
      </c>
      <c r="B1073" s="100" t="s">
        <v>2705</v>
      </c>
      <c r="C1073" s="100" t="s">
        <v>2369</v>
      </c>
      <c r="D1073" s="100" t="s">
        <v>2690</v>
      </c>
      <c r="E1073" s="810">
        <v>0.4833</v>
      </c>
      <c r="F1073" s="810">
        <v>0.4272</v>
      </c>
      <c r="G1073" s="810">
        <v>0.41</v>
      </c>
      <c r="H1073" s="810">
        <v>0.4644</v>
      </c>
      <c r="I1073" s="810">
        <v>0.5374</v>
      </c>
      <c r="J1073" s="810">
        <v>0.4805</v>
      </c>
      <c r="K1073" s="810">
        <v>0.5269</v>
      </c>
      <c r="L1073" s="810">
        <v>0.5424</v>
      </c>
      <c r="M1073" s="810">
        <v>0.5857</v>
      </c>
      <c r="N1073" s="810">
        <v>0.6046</v>
      </c>
      <c r="O1073" s="810" t="s">
        <v>2434</v>
      </c>
      <c r="P1073" s="100" t="s">
        <v>2691</v>
      </c>
      <c r="Q1073" s="8"/>
      <c r="R1073" s="8"/>
      <c r="S1073" s="8"/>
    </row>
    <row r="1074" ht="14.25" customHeight="1">
      <c r="A1074" s="100" t="s">
        <v>2704</v>
      </c>
      <c r="B1074" s="100" t="s">
        <v>2705</v>
      </c>
      <c r="C1074" s="100" t="s">
        <v>2374</v>
      </c>
      <c r="D1074" s="100" t="s">
        <v>2690</v>
      </c>
      <c r="E1074" s="810">
        <v>8.3025</v>
      </c>
      <c r="F1074" s="810">
        <v>8.6826</v>
      </c>
      <c r="G1074" s="810">
        <v>7.7017</v>
      </c>
      <c r="H1074" s="810">
        <v>8.7052</v>
      </c>
      <c r="I1074" s="810">
        <v>8.0203</v>
      </c>
      <c r="J1074" s="810">
        <v>9.4482</v>
      </c>
      <c r="K1074" s="810">
        <v>8.6693</v>
      </c>
      <c r="L1074" s="810">
        <v>9.5304</v>
      </c>
      <c r="M1074" s="810">
        <v>9.9734</v>
      </c>
      <c r="N1074" s="810">
        <v>9.5069</v>
      </c>
      <c r="O1074" s="810" t="s">
        <v>2434</v>
      </c>
      <c r="P1074" s="100" t="s">
        <v>2691</v>
      </c>
      <c r="Q1074" s="8"/>
      <c r="R1074" s="8"/>
      <c r="S1074" s="8"/>
    </row>
    <row r="1075" ht="14.25" customHeight="1">
      <c r="A1075" s="100" t="s">
        <v>2704</v>
      </c>
      <c r="B1075" s="100" t="s">
        <v>2705</v>
      </c>
      <c r="C1075" s="100" t="s">
        <v>2386</v>
      </c>
      <c r="D1075" s="100" t="s">
        <v>2690</v>
      </c>
      <c r="E1075" s="810">
        <v>0.2773</v>
      </c>
      <c r="F1075" s="810">
        <v>0.3111</v>
      </c>
      <c r="G1075" s="810">
        <v>0.318</v>
      </c>
      <c r="H1075" s="810">
        <v>0.2686</v>
      </c>
      <c r="I1075" s="810">
        <v>0.2375</v>
      </c>
      <c r="J1075" s="810">
        <v>0.2148</v>
      </c>
      <c r="K1075" s="810">
        <v>0.2201</v>
      </c>
      <c r="L1075" s="810">
        <v>0.2263</v>
      </c>
      <c r="M1075" s="810">
        <v>0.2407</v>
      </c>
      <c r="N1075" s="810">
        <v>0.1986</v>
      </c>
      <c r="O1075" s="810" t="s">
        <v>2434</v>
      </c>
      <c r="P1075" s="100" t="s">
        <v>2691</v>
      </c>
      <c r="Q1075" s="8"/>
      <c r="R1075" s="8"/>
      <c r="S1075" s="8"/>
    </row>
    <row r="1076" ht="14.25" customHeight="1">
      <c r="A1076" s="100" t="s">
        <v>2704</v>
      </c>
      <c r="B1076" s="100" t="s">
        <v>2705</v>
      </c>
      <c r="C1076" s="100" t="s">
        <v>2378</v>
      </c>
      <c r="D1076" s="100" t="s">
        <v>2690</v>
      </c>
      <c r="E1076" s="810">
        <v>0.2248</v>
      </c>
      <c r="F1076" s="810">
        <v>0.2146</v>
      </c>
      <c r="G1076" s="810">
        <v>0.1981</v>
      </c>
      <c r="H1076" s="810">
        <v>0.1809</v>
      </c>
      <c r="I1076" s="810">
        <v>0.1764</v>
      </c>
      <c r="J1076" s="810">
        <v>0.1643</v>
      </c>
      <c r="K1076" s="810">
        <v>0.1934</v>
      </c>
      <c r="L1076" s="810">
        <v>0.2078</v>
      </c>
      <c r="M1076" s="810">
        <v>0.217</v>
      </c>
      <c r="N1076" s="810">
        <v>0.2058</v>
      </c>
      <c r="O1076" s="810" t="s">
        <v>2434</v>
      </c>
      <c r="P1076" s="100" t="s">
        <v>2691</v>
      </c>
      <c r="Q1076" s="8"/>
      <c r="R1076" s="8"/>
      <c r="S1076" s="8"/>
    </row>
    <row r="1077" ht="14.25" customHeight="1">
      <c r="A1077" s="100" t="s">
        <v>2704</v>
      </c>
      <c r="B1077" s="100" t="s">
        <v>2705</v>
      </c>
      <c r="C1077" s="100" t="s">
        <v>2383</v>
      </c>
      <c r="D1077" s="100" t="s">
        <v>2690</v>
      </c>
      <c r="E1077" s="810">
        <v>0.2139</v>
      </c>
      <c r="F1077" s="810">
        <v>0.2176</v>
      </c>
      <c r="G1077" s="810">
        <v>0.2118</v>
      </c>
      <c r="H1077" s="810">
        <v>0.2229</v>
      </c>
      <c r="I1077" s="810">
        <v>0.2255</v>
      </c>
      <c r="J1077" s="810">
        <v>0.233</v>
      </c>
      <c r="K1077" s="810">
        <v>0.2415</v>
      </c>
      <c r="L1077" s="810">
        <v>0.2499</v>
      </c>
      <c r="M1077" s="810">
        <v>0.2431</v>
      </c>
      <c r="N1077" s="810">
        <v>0.2556</v>
      </c>
      <c r="O1077" s="810" t="s">
        <v>2434</v>
      </c>
      <c r="P1077" s="100" t="s">
        <v>2691</v>
      </c>
      <c r="Q1077" s="8"/>
      <c r="R1077" s="8"/>
      <c r="S1077" s="8"/>
    </row>
    <row r="1078" ht="14.25" customHeight="1">
      <c r="A1078" s="100" t="s">
        <v>2704</v>
      </c>
      <c r="B1078" s="100" t="s">
        <v>2705</v>
      </c>
      <c r="C1078" s="100" t="s">
        <v>2389</v>
      </c>
      <c r="D1078" s="100" t="s">
        <v>2690</v>
      </c>
      <c r="E1078" s="810">
        <v>0.0308</v>
      </c>
      <c r="F1078" s="810">
        <v>0.0153</v>
      </c>
      <c r="G1078" s="810">
        <v>0.0277</v>
      </c>
      <c r="H1078" s="810">
        <v>0.0599</v>
      </c>
      <c r="I1078" s="810">
        <v>0.0691</v>
      </c>
      <c r="J1078" s="810">
        <v>0.0661</v>
      </c>
      <c r="K1078" s="810">
        <v>0.0659</v>
      </c>
      <c r="L1078" s="810">
        <v>0.0592</v>
      </c>
      <c r="M1078" s="810">
        <v>0.0492</v>
      </c>
      <c r="N1078" s="810">
        <v>0.0457</v>
      </c>
      <c r="O1078" s="810" t="s">
        <v>2434</v>
      </c>
      <c r="P1078" s="100" t="s">
        <v>2691</v>
      </c>
      <c r="Q1078" s="8"/>
      <c r="R1078" s="8"/>
      <c r="S1078" s="8"/>
    </row>
    <row r="1079" ht="14.25" customHeight="1">
      <c r="A1079" s="100" t="s">
        <v>2704</v>
      </c>
      <c r="B1079" s="100" t="s">
        <v>2705</v>
      </c>
      <c r="C1079" s="100" t="s">
        <v>2391</v>
      </c>
      <c r="D1079" s="100" t="s">
        <v>2690</v>
      </c>
      <c r="E1079" s="810">
        <v>3.5143</v>
      </c>
      <c r="F1079" s="810">
        <v>3.3502</v>
      </c>
      <c r="G1079" s="810">
        <v>3.3488</v>
      </c>
      <c r="H1079" s="810">
        <v>3.1302</v>
      </c>
      <c r="I1079" s="810">
        <v>2.8773</v>
      </c>
      <c r="J1079" s="810">
        <v>2.8305</v>
      </c>
      <c r="K1079" s="810">
        <v>3.0248</v>
      </c>
      <c r="L1079" s="810">
        <v>2.9798</v>
      </c>
      <c r="M1079" s="810">
        <v>3.0791</v>
      </c>
      <c r="N1079" s="810">
        <v>3.1414</v>
      </c>
      <c r="O1079" s="810" t="s">
        <v>2434</v>
      </c>
      <c r="P1079" s="100" t="s">
        <v>2691</v>
      </c>
      <c r="Q1079" s="8"/>
      <c r="R1079" s="8"/>
      <c r="S1079" s="8"/>
    </row>
    <row r="1080" ht="14.25" customHeight="1">
      <c r="A1080" s="100" t="s">
        <v>2704</v>
      </c>
      <c r="B1080" s="100" t="s">
        <v>2705</v>
      </c>
      <c r="C1080" s="100" t="s">
        <v>2393</v>
      </c>
      <c r="D1080" s="100" t="s">
        <v>2690</v>
      </c>
      <c r="E1080" s="810">
        <v>3.3791</v>
      </c>
      <c r="F1080" s="810">
        <v>3.2228</v>
      </c>
      <c r="G1080" s="810">
        <v>2.8332</v>
      </c>
      <c r="H1080" s="810">
        <v>2.8675</v>
      </c>
      <c r="I1080" s="810">
        <v>2.6859</v>
      </c>
      <c r="J1080" s="810">
        <v>2.6496</v>
      </c>
      <c r="K1080" s="810">
        <v>2.644</v>
      </c>
      <c r="L1080" s="810">
        <v>2.8535</v>
      </c>
      <c r="M1080" s="810">
        <v>2.9088</v>
      </c>
      <c r="N1080" s="810">
        <v>2.9069</v>
      </c>
      <c r="O1080" s="810" t="s">
        <v>2434</v>
      </c>
      <c r="P1080" s="100" t="s">
        <v>2691</v>
      </c>
      <c r="Q1080" s="8"/>
      <c r="R1080" s="8"/>
      <c r="S1080" s="8"/>
    </row>
    <row r="1081" ht="14.25" customHeight="1">
      <c r="A1081" s="100" t="s">
        <v>2704</v>
      </c>
      <c r="B1081" s="100" t="s">
        <v>2705</v>
      </c>
      <c r="C1081" s="100" t="s">
        <v>2395</v>
      </c>
      <c r="D1081" s="100" t="s">
        <v>2690</v>
      </c>
      <c r="E1081" s="810">
        <v>2.1686</v>
      </c>
      <c r="F1081" s="810">
        <v>2.0209</v>
      </c>
      <c r="G1081" s="810">
        <v>1.7004</v>
      </c>
      <c r="H1081" s="810">
        <v>1.5707</v>
      </c>
      <c r="I1081" s="810">
        <v>1.5105</v>
      </c>
      <c r="J1081" s="810">
        <v>1.6704</v>
      </c>
      <c r="K1081" s="810">
        <v>1.544</v>
      </c>
      <c r="L1081" s="810">
        <v>1.5798</v>
      </c>
      <c r="M1081" s="810">
        <v>1.5717</v>
      </c>
      <c r="N1081" s="810">
        <v>1.5313</v>
      </c>
      <c r="O1081" s="810" t="s">
        <v>2434</v>
      </c>
      <c r="P1081" s="100" t="s">
        <v>2691</v>
      </c>
      <c r="Q1081" s="8"/>
      <c r="R1081" s="8"/>
      <c r="S1081" s="8"/>
    </row>
    <row r="1082" ht="14.25" customHeight="1">
      <c r="A1082" s="100" t="s">
        <v>2704</v>
      </c>
      <c r="B1082" s="100" t="s">
        <v>2705</v>
      </c>
      <c r="C1082" s="100" t="s">
        <v>2397</v>
      </c>
      <c r="D1082" s="100" t="s">
        <v>2690</v>
      </c>
      <c r="E1082" s="810">
        <v>6.3077</v>
      </c>
      <c r="F1082" s="810">
        <v>7.4268</v>
      </c>
      <c r="G1082" s="810">
        <v>7.7356</v>
      </c>
      <c r="H1082" s="810">
        <v>8.2172</v>
      </c>
      <c r="I1082" s="810">
        <v>7.4586</v>
      </c>
      <c r="J1082" s="810">
        <v>8.3931</v>
      </c>
      <c r="K1082" s="810">
        <v>7.5529</v>
      </c>
      <c r="L1082" s="810">
        <v>7.4856</v>
      </c>
      <c r="M1082" s="810">
        <v>8.1482</v>
      </c>
      <c r="N1082" s="810">
        <v>6.8126</v>
      </c>
      <c r="O1082" s="810" t="s">
        <v>2434</v>
      </c>
      <c r="P1082" s="100" t="s">
        <v>2691</v>
      </c>
      <c r="Q1082" s="8"/>
      <c r="R1082" s="8"/>
      <c r="S1082" s="8"/>
    </row>
    <row r="1083" ht="14.25" customHeight="1">
      <c r="A1083" s="100" t="s">
        <v>2704</v>
      </c>
      <c r="B1083" s="100" t="s">
        <v>2705</v>
      </c>
      <c r="C1083" s="100" t="s">
        <v>2411</v>
      </c>
      <c r="D1083" s="100" t="s">
        <v>2690</v>
      </c>
      <c r="E1083" s="810">
        <v>1.237</v>
      </c>
      <c r="F1083" s="810">
        <v>1.2345</v>
      </c>
      <c r="G1083" s="810">
        <v>1.1113</v>
      </c>
      <c r="H1083" s="810">
        <v>1.2314</v>
      </c>
      <c r="I1083" s="810">
        <v>1.2242</v>
      </c>
      <c r="J1083" s="810">
        <v>1.1867</v>
      </c>
      <c r="K1083" s="810">
        <v>1.1889</v>
      </c>
      <c r="L1083" s="810">
        <v>1.3458</v>
      </c>
      <c r="M1083" s="810">
        <v>1.3732</v>
      </c>
      <c r="N1083" s="810">
        <v>1.0392</v>
      </c>
      <c r="O1083" s="810" t="s">
        <v>2434</v>
      </c>
      <c r="P1083" s="100" t="s">
        <v>2691</v>
      </c>
      <c r="Q1083" s="8"/>
      <c r="R1083" s="8"/>
      <c r="S1083" s="8"/>
    </row>
    <row r="1084" ht="14.25" customHeight="1">
      <c r="A1084" s="100" t="s">
        <v>2704</v>
      </c>
      <c r="B1084" s="100" t="s">
        <v>2705</v>
      </c>
      <c r="C1084" s="100" t="s">
        <v>2406</v>
      </c>
      <c r="D1084" s="100" t="s">
        <v>2690</v>
      </c>
      <c r="E1084" s="810">
        <v>0.5202</v>
      </c>
      <c r="F1084" s="810">
        <v>0.4592</v>
      </c>
      <c r="G1084" s="810">
        <v>0.4529</v>
      </c>
      <c r="H1084" s="810">
        <v>0.4135</v>
      </c>
      <c r="I1084" s="810">
        <v>0.3974</v>
      </c>
      <c r="J1084" s="810">
        <v>0.4012</v>
      </c>
      <c r="K1084" s="810">
        <v>0.3992</v>
      </c>
      <c r="L1084" s="810">
        <v>0.4103</v>
      </c>
      <c r="M1084" s="810">
        <v>0.472</v>
      </c>
      <c r="N1084" s="810">
        <v>0.4547</v>
      </c>
      <c r="O1084" s="810" t="s">
        <v>2434</v>
      </c>
      <c r="P1084" s="100" t="s">
        <v>2691</v>
      </c>
      <c r="Q1084" s="8"/>
      <c r="R1084" s="8"/>
      <c r="S1084" s="8"/>
    </row>
    <row r="1085" ht="14.25" customHeight="1">
      <c r="A1085" s="100" t="s">
        <v>2704</v>
      </c>
      <c r="B1085" s="100" t="s">
        <v>2705</v>
      </c>
      <c r="C1085" s="100" t="s">
        <v>2352</v>
      </c>
      <c r="D1085" s="100" t="s">
        <v>2690</v>
      </c>
      <c r="E1085" s="810">
        <v>11.8728</v>
      </c>
      <c r="F1085" s="810">
        <v>9.0307</v>
      </c>
      <c r="G1085" s="810">
        <v>9.3157</v>
      </c>
      <c r="H1085" s="810">
        <v>8.7059</v>
      </c>
      <c r="I1085" s="810">
        <v>7.6024</v>
      </c>
      <c r="J1085" s="810">
        <v>7.4699</v>
      </c>
      <c r="K1085" s="810">
        <v>7.8554</v>
      </c>
      <c r="L1085" s="810">
        <v>7.9226</v>
      </c>
      <c r="M1085" s="810">
        <v>8.3367</v>
      </c>
      <c r="N1085" s="810">
        <v>8.5056</v>
      </c>
      <c r="O1085" s="810" t="s">
        <v>2434</v>
      </c>
      <c r="P1085" s="100" t="s">
        <v>2691</v>
      </c>
      <c r="Q1085" s="8"/>
      <c r="R1085" s="8"/>
      <c r="S1085" s="8"/>
    </row>
    <row r="1086" ht="14.25" customHeight="1">
      <c r="A1086" s="100" t="s">
        <v>2704</v>
      </c>
      <c r="B1086" s="100" t="s">
        <v>2705</v>
      </c>
      <c r="C1086" s="100" t="s">
        <v>2400</v>
      </c>
      <c r="D1086" s="100" t="s">
        <v>2690</v>
      </c>
      <c r="E1086" s="810">
        <v>2.642</v>
      </c>
      <c r="F1086" s="810">
        <v>2.5782</v>
      </c>
      <c r="G1086" s="810">
        <v>2.5452</v>
      </c>
      <c r="H1086" s="810">
        <v>2.487</v>
      </c>
      <c r="I1086" s="810">
        <v>2.4533</v>
      </c>
      <c r="J1086" s="810">
        <v>2.4332</v>
      </c>
      <c r="K1086" s="810">
        <v>2.4144</v>
      </c>
      <c r="L1086" s="810">
        <v>2.3951</v>
      </c>
      <c r="M1086" s="810">
        <v>2.4208</v>
      </c>
      <c r="N1086" s="810">
        <v>2.5471</v>
      </c>
      <c r="O1086" s="810" t="s">
        <v>2434</v>
      </c>
      <c r="P1086" s="100" t="s">
        <v>2691</v>
      </c>
      <c r="Q1086" s="8"/>
      <c r="R1086" s="8"/>
      <c r="S1086" s="8"/>
    </row>
    <row r="1087" ht="14.25" customHeight="1">
      <c r="A1087" s="100" t="s">
        <v>2704</v>
      </c>
      <c r="B1087" s="100" t="s">
        <v>2705</v>
      </c>
      <c r="C1087" s="100" t="s">
        <v>2416</v>
      </c>
      <c r="D1087" s="100" t="s">
        <v>2690</v>
      </c>
      <c r="E1087" s="810">
        <v>1.2918</v>
      </c>
      <c r="F1087" s="810">
        <v>1.3042</v>
      </c>
      <c r="G1087" s="810">
        <v>1.3375</v>
      </c>
      <c r="H1087" s="810">
        <v>1.4588</v>
      </c>
      <c r="I1087" s="810">
        <v>1.2984</v>
      </c>
      <c r="J1087" s="810">
        <v>1.3246</v>
      </c>
      <c r="K1087" s="810">
        <v>1.2683</v>
      </c>
      <c r="L1087" s="810">
        <v>1.2739</v>
      </c>
      <c r="M1087" s="810">
        <v>1.1599</v>
      </c>
      <c r="N1087" s="810" t="s">
        <v>2434</v>
      </c>
      <c r="O1087" s="810" t="s">
        <v>2434</v>
      </c>
      <c r="P1087" s="100" t="s">
        <v>2691</v>
      </c>
      <c r="Q1087" s="8"/>
      <c r="R1087" s="8"/>
      <c r="S1087" s="8"/>
    </row>
    <row r="1088" ht="14.25" customHeight="1">
      <c r="A1088" s="100" t="s">
        <v>2704</v>
      </c>
      <c r="B1088" s="100" t="s">
        <v>2705</v>
      </c>
      <c r="C1088" s="100" t="s">
        <v>2423</v>
      </c>
      <c r="D1088" s="100" t="s">
        <v>2690</v>
      </c>
      <c r="E1088" s="810">
        <v>2.2731</v>
      </c>
      <c r="F1088" s="810">
        <v>2.042</v>
      </c>
      <c r="G1088" s="810">
        <v>2.0473</v>
      </c>
      <c r="H1088" s="810">
        <v>1.9966</v>
      </c>
      <c r="I1088" s="810">
        <v>1.776</v>
      </c>
      <c r="J1088" s="810">
        <v>1.8352</v>
      </c>
      <c r="K1088" s="810">
        <v>1.8306</v>
      </c>
      <c r="L1088" s="810">
        <v>1.8095</v>
      </c>
      <c r="M1088" s="810">
        <v>1.7927</v>
      </c>
      <c r="N1088" s="810" t="s">
        <v>2434</v>
      </c>
      <c r="O1088" s="810" t="s">
        <v>2434</v>
      </c>
      <c r="P1088" s="100" t="s">
        <v>2691</v>
      </c>
      <c r="Q1088" s="8"/>
      <c r="R1088" s="8"/>
      <c r="S1088" s="8"/>
    </row>
    <row r="1089" ht="14.25" customHeight="1">
      <c r="A1089" s="100" t="s">
        <v>2704</v>
      </c>
      <c r="B1089" s="100" t="s">
        <v>2705</v>
      </c>
      <c r="C1089" s="100" t="s">
        <v>2360</v>
      </c>
      <c r="D1089" s="100" t="s">
        <v>2690</v>
      </c>
      <c r="E1089" s="810">
        <v>29.9682</v>
      </c>
      <c r="F1089" s="810">
        <v>27.3058</v>
      </c>
      <c r="G1089" s="810">
        <v>27.1518</v>
      </c>
      <c r="H1089" s="810">
        <v>26.6369</v>
      </c>
      <c r="I1089" s="810">
        <v>26.9005</v>
      </c>
      <c r="J1089" s="810">
        <v>27.9246</v>
      </c>
      <c r="K1089" s="810">
        <v>28.2886</v>
      </c>
      <c r="L1089" s="810">
        <v>29.0004</v>
      </c>
      <c r="M1089" s="810">
        <v>28.9625</v>
      </c>
      <c r="N1089" s="810">
        <v>26.8276</v>
      </c>
      <c r="O1089" s="810" t="s">
        <v>2434</v>
      </c>
      <c r="P1089" s="100" t="s">
        <v>2691</v>
      </c>
      <c r="Q1089" s="8"/>
      <c r="R1089" s="8"/>
      <c r="S1089" s="8"/>
    </row>
    <row r="1090" ht="14.25" customHeight="1">
      <c r="A1090" s="100" t="s">
        <v>2704</v>
      </c>
      <c r="B1090" s="100" t="s">
        <v>2705</v>
      </c>
      <c r="C1090" s="100" t="s">
        <v>2535</v>
      </c>
      <c r="D1090" s="100"/>
      <c r="E1090" s="810" t="s">
        <v>2434</v>
      </c>
      <c r="F1090" s="810" t="s">
        <v>2434</v>
      </c>
      <c r="G1090" s="810" t="s">
        <v>2434</v>
      </c>
      <c r="H1090" s="810" t="s">
        <v>2434</v>
      </c>
      <c r="I1090" s="810" t="s">
        <v>2434</v>
      </c>
      <c r="J1090" s="810" t="s">
        <v>2434</v>
      </c>
      <c r="K1090" s="810" t="s">
        <v>2434</v>
      </c>
      <c r="L1090" s="810" t="s">
        <v>2434</v>
      </c>
      <c r="M1090" s="810" t="s">
        <v>2434</v>
      </c>
      <c r="N1090" s="810" t="s">
        <v>2434</v>
      </c>
      <c r="O1090" s="810" t="s">
        <v>2434</v>
      </c>
      <c r="P1090" s="100"/>
      <c r="Q1090" s="8"/>
      <c r="R1090" s="100"/>
      <c r="S1090" s="8"/>
    </row>
    <row r="1091" ht="14.25" customHeight="1">
      <c r="A1091" s="100" t="s">
        <v>2706</v>
      </c>
      <c r="B1091" s="100" t="s">
        <v>2707</v>
      </c>
      <c r="C1091" s="100" t="s">
        <v>2317</v>
      </c>
      <c r="D1091" s="100" t="s">
        <v>2690</v>
      </c>
      <c r="E1091" s="810" t="str">
        <f t="shared" ref="E1091:O1091" si="91">#REF!</f>
        <v>#REF!</v>
      </c>
      <c r="F1091" s="810" t="str">
        <f t="shared" si="91"/>
        <v>#REF!</v>
      </c>
      <c r="G1091" s="810" t="str">
        <f t="shared" si="91"/>
        <v>#REF!</v>
      </c>
      <c r="H1091" s="810" t="str">
        <f t="shared" si="91"/>
        <v>#REF!</v>
      </c>
      <c r="I1091" s="810" t="str">
        <f t="shared" si="91"/>
        <v>#REF!</v>
      </c>
      <c r="J1091" s="810" t="str">
        <f t="shared" si="91"/>
        <v>#REF!</v>
      </c>
      <c r="K1091" s="810" t="str">
        <f t="shared" si="91"/>
        <v>#REF!</v>
      </c>
      <c r="L1091" s="810" t="str">
        <f t="shared" si="91"/>
        <v>#REF!</v>
      </c>
      <c r="M1091" s="810" t="str">
        <f t="shared" si="91"/>
        <v>#REF!</v>
      </c>
      <c r="N1091" s="810" t="str">
        <f t="shared" si="91"/>
        <v>#REF!</v>
      </c>
      <c r="O1091" s="810" t="str">
        <f t="shared" si="91"/>
        <v>#REF!</v>
      </c>
      <c r="P1091" s="100" t="s">
        <v>2691</v>
      </c>
      <c r="Q1091" s="8"/>
      <c r="R1091" s="100"/>
      <c r="S1091" s="8"/>
    </row>
    <row r="1092" ht="14.25" customHeight="1">
      <c r="A1092" s="100" t="str">
        <f t="shared" ref="A1092:B1092" si="92">A1091</f>
        <v>cmbectfc</v>
      </c>
      <c r="B1092" s="100" t="str">
        <f t="shared" si="92"/>
        <v>CO2 emissions of final consumers</v>
      </c>
      <c r="C1092" s="100" t="s">
        <v>2507</v>
      </c>
      <c r="D1092" s="100" t="str">
        <f>D1091</f>
        <v>MtCO2</v>
      </c>
      <c r="E1092" s="810" t="str">
        <f t="shared" ref="E1092:O1092" si="93">#REF!</f>
        <v>#REF!</v>
      </c>
      <c r="F1092" s="810" t="str">
        <f t="shared" si="93"/>
        <v>#REF!</v>
      </c>
      <c r="G1092" s="810" t="str">
        <f t="shared" si="93"/>
        <v>#REF!</v>
      </c>
      <c r="H1092" s="810" t="str">
        <f t="shared" si="93"/>
        <v>#REF!</v>
      </c>
      <c r="I1092" s="810" t="str">
        <f t="shared" si="93"/>
        <v>#REF!</v>
      </c>
      <c r="J1092" s="810" t="str">
        <f t="shared" si="93"/>
        <v>#REF!</v>
      </c>
      <c r="K1092" s="810" t="str">
        <f t="shared" si="93"/>
        <v>#REF!</v>
      </c>
      <c r="L1092" s="810" t="str">
        <f t="shared" si="93"/>
        <v>#REF!</v>
      </c>
      <c r="M1092" s="810" t="str">
        <f t="shared" si="93"/>
        <v>#REF!</v>
      </c>
      <c r="N1092" s="810" t="str">
        <f t="shared" si="93"/>
        <v>#REF!</v>
      </c>
      <c r="O1092" s="810" t="str">
        <f t="shared" si="93"/>
        <v>#REF!</v>
      </c>
      <c r="P1092" s="100"/>
      <c r="Q1092" s="8"/>
      <c r="R1092" s="100"/>
      <c r="S1092" s="8"/>
    </row>
    <row r="1093" ht="14.25" customHeight="1">
      <c r="A1093" s="100" t="s">
        <v>2706</v>
      </c>
      <c r="B1093" s="100" t="s">
        <v>2707</v>
      </c>
      <c r="C1093" s="100" t="s">
        <v>2325</v>
      </c>
      <c r="D1093" s="100" t="s">
        <v>2690</v>
      </c>
      <c r="E1093" s="810">
        <v>44.2708</v>
      </c>
      <c r="F1093" s="810">
        <v>42.3236</v>
      </c>
      <c r="G1093" s="810">
        <v>41.5834</v>
      </c>
      <c r="H1093" s="810">
        <v>42.7478</v>
      </c>
      <c r="I1093" s="810">
        <v>40.7285</v>
      </c>
      <c r="J1093" s="810">
        <v>41.2595</v>
      </c>
      <c r="K1093" s="810">
        <v>42.72</v>
      </c>
      <c r="L1093" s="810">
        <v>43.7601</v>
      </c>
      <c r="M1093" s="810">
        <v>43.2557</v>
      </c>
      <c r="N1093" s="810">
        <v>43.5036</v>
      </c>
      <c r="O1093" s="810" t="s">
        <v>2434</v>
      </c>
      <c r="P1093" s="100" t="s">
        <v>2691</v>
      </c>
      <c r="Q1093" s="8"/>
      <c r="R1093" s="100"/>
      <c r="S1093" s="8"/>
    </row>
    <row r="1094" ht="14.25" customHeight="1">
      <c r="A1094" s="100" t="s">
        <v>2706</v>
      </c>
      <c r="B1094" s="100" t="s">
        <v>2707</v>
      </c>
      <c r="C1094" s="100" t="s">
        <v>2329</v>
      </c>
      <c r="D1094" s="100" t="s">
        <v>2690</v>
      </c>
      <c r="E1094" s="810">
        <v>71.0284</v>
      </c>
      <c r="F1094" s="810">
        <v>65.0204</v>
      </c>
      <c r="G1094" s="810">
        <v>64.288</v>
      </c>
      <c r="H1094" s="810">
        <v>65.539</v>
      </c>
      <c r="I1094" s="810">
        <v>60.729</v>
      </c>
      <c r="J1094" s="810">
        <v>63.9474</v>
      </c>
      <c r="K1094" s="810">
        <v>63.7597</v>
      </c>
      <c r="L1094" s="810">
        <v>63.2527</v>
      </c>
      <c r="M1094" s="810">
        <v>63.6541</v>
      </c>
      <c r="N1094" s="810">
        <v>62.838</v>
      </c>
      <c r="O1094" s="810" t="s">
        <v>2434</v>
      </c>
      <c r="P1094" s="100" t="s">
        <v>2691</v>
      </c>
      <c r="Q1094" s="8"/>
      <c r="R1094" s="100"/>
      <c r="S1094" s="8"/>
    </row>
    <row r="1095" ht="14.25" customHeight="1">
      <c r="A1095" s="100" t="s">
        <v>2706</v>
      </c>
      <c r="B1095" s="100" t="s">
        <v>2707</v>
      </c>
      <c r="C1095" s="100" t="s">
        <v>2333</v>
      </c>
      <c r="D1095" s="100" t="s">
        <v>2690</v>
      </c>
      <c r="E1095" s="810">
        <v>12.754</v>
      </c>
      <c r="F1095" s="810">
        <v>12.7593</v>
      </c>
      <c r="G1095" s="810">
        <v>12.9156</v>
      </c>
      <c r="H1095" s="810">
        <v>11.6676</v>
      </c>
      <c r="I1095" s="810">
        <v>12.3315</v>
      </c>
      <c r="J1095" s="810">
        <v>13.5614</v>
      </c>
      <c r="K1095" s="810">
        <v>13.7538</v>
      </c>
      <c r="L1095" s="810">
        <v>14.5936</v>
      </c>
      <c r="M1095" s="810">
        <v>15.3175</v>
      </c>
      <c r="N1095" s="810">
        <v>15.2281</v>
      </c>
      <c r="O1095" s="810" t="s">
        <v>2434</v>
      </c>
      <c r="P1095" s="100" t="s">
        <v>2691</v>
      </c>
      <c r="Q1095" s="8"/>
      <c r="R1095" s="100"/>
      <c r="S1095" s="8"/>
    </row>
    <row r="1096" ht="14.25" customHeight="1">
      <c r="A1096" s="100" t="s">
        <v>2706</v>
      </c>
      <c r="B1096" s="100" t="s">
        <v>2707</v>
      </c>
      <c r="C1096" s="100" t="s">
        <v>2364</v>
      </c>
      <c r="D1096" s="100" t="s">
        <v>2690</v>
      </c>
      <c r="E1096" s="810">
        <v>12.3878</v>
      </c>
      <c r="F1096" s="810">
        <v>11.7884</v>
      </c>
      <c r="G1096" s="810">
        <v>10.9019</v>
      </c>
      <c r="H1096" s="810">
        <v>10.8012</v>
      </c>
      <c r="I1096" s="810">
        <v>10.4356</v>
      </c>
      <c r="J1096" s="810">
        <v>10.8303</v>
      </c>
      <c r="K1096" s="810">
        <v>11.1251</v>
      </c>
      <c r="L1096" s="810">
        <v>11.8214</v>
      </c>
      <c r="M1096" s="810">
        <v>11.4989</v>
      </c>
      <c r="N1096" s="810">
        <v>11.5969</v>
      </c>
      <c r="O1096" s="810" t="s">
        <v>2434</v>
      </c>
      <c r="P1096" s="100" t="s">
        <v>2691</v>
      </c>
      <c r="Q1096" s="8"/>
      <c r="R1096" s="100"/>
      <c r="S1096" s="8"/>
    </row>
    <row r="1097" ht="14.25" customHeight="1">
      <c r="A1097" s="100" t="s">
        <v>2706</v>
      </c>
      <c r="B1097" s="100" t="s">
        <v>2707</v>
      </c>
      <c r="C1097" s="100" t="s">
        <v>2337</v>
      </c>
      <c r="D1097" s="100" t="s">
        <v>2690</v>
      </c>
      <c r="E1097" s="810">
        <v>3.6182</v>
      </c>
      <c r="F1097" s="810">
        <v>3.4742</v>
      </c>
      <c r="G1097" s="810">
        <v>3.1648</v>
      </c>
      <c r="H1097" s="810">
        <v>2.9575</v>
      </c>
      <c r="I1097" s="810">
        <v>2.9833</v>
      </c>
      <c r="J1097" s="810">
        <v>3.0316</v>
      </c>
      <c r="K1097" s="810">
        <v>3.1488</v>
      </c>
      <c r="L1097" s="810">
        <v>3.2687</v>
      </c>
      <c r="M1097" s="810">
        <v>3.1011</v>
      </c>
      <c r="N1097" s="810">
        <v>3.2138</v>
      </c>
      <c r="O1097" s="810" t="s">
        <v>2434</v>
      </c>
      <c r="P1097" s="100" t="s">
        <v>2691</v>
      </c>
      <c r="Q1097" s="8"/>
      <c r="R1097" s="100"/>
      <c r="S1097" s="8"/>
    </row>
    <row r="1098" ht="14.25" customHeight="1">
      <c r="A1098" s="100" t="s">
        <v>2706</v>
      </c>
      <c r="B1098" s="100" t="s">
        <v>2707</v>
      </c>
      <c r="C1098" s="100" t="s">
        <v>2341</v>
      </c>
      <c r="D1098" s="100" t="s">
        <v>2690</v>
      </c>
      <c r="E1098" s="810">
        <v>42.9867</v>
      </c>
      <c r="F1098" s="810">
        <v>40.769</v>
      </c>
      <c r="G1098" s="810">
        <v>40.1416</v>
      </c>
      <c r="H1098" s="810">
        <v>39.3416</v>
      </c>
      <c r="I1098" s="810">
        <v>37.7882</v>
      </c>
      <c r="J1098" s="810">
        <v>39.0411</v>
      </c>
      <c r="K1098" s="810">
        <v>39.9631</v>
      </c>
      <c r="L1098" s="810">
        <v>41.7736</v>
      </c>
      <c r="M1098" s="810">
        <v>40.6134</v>
      </c>
      <c r="N1098" s="810">
        <v>39.8094</v>
      </c>
      <c r="O1098" s="810" t="s">
        <v>2434</v>
      </c>
      <c r="P1098" s="100" t="s">
        <v>2691</v>
      </c>
      <c r="Q1098" s="8"/>
      <c r="R1098" s="100"/>
      <c r="S1098" s="8"/>
    </row>
    <row r="1099" ht="14.25" customHeight="1">
      <c r="A1099" s="100" t="s">
        <v>2706</v>
      </c>
      <c r="B1099" s="100" t="s">
        <v>2707</v>
      </c>
      <c r="C1099" s="100" t="s">
        <v>2348</v>
      </c>
      <c r="D1099" s="100" t="s">
        <v>2690</v>
      </c>
      <c r="E1099" s="810">
        <v>23.7339</v>
      </c>
      <c r="F1099" s="810">
        <v>22.5519</v>
      </c>
      <c r="G1099" s="810">
        <v>21.3723</v>
      </c>
      <c r="H1099" s="810">
        <v>20.9505</v>
      </c>
      <c r="I1099" s="810">
        <v>20.2306</v>
      </c>
      <c r="J1099" s="810">
        <v>20.6255</v>
      </c>
      <c r="K1099" s="810">
        <v>21.03</v>
      </c>
      <c r="L1099" s="810">
        <v>21.0807</v>
      </c>
      <c r="M1099" s="810">
        <v>21.2385</v>
      </c>
      <c r="N1099" s="810">
        <v>20.4259</v>
      </c>
      <c r="O1099" s="810" t="s">
        <v>2434</v>
      </c>
      <c r="P1099" s="100" t="s">
        <v>2691</v>
      </c>
      <c r="Q1099" s="8"/>
      <c r="R1099" s="100"/>
      <c r="S1099" s="8"/>
    </row>
    <row r="1100" ht="14.25" customHeight="1">
      <c r="A1100" s="100" t="s">
        <v>2706</v>
      </c>
      <c r="B1100" s="100" t="s">
        <v>2707</v>
      </c>
      <c r="C1100" s="100" t="s">
        <v>2350</v>
      </c>
      <c r="D1100" s="100" t="s">
        <v>2690</v>
      </c>
      <c r="E1100" s="810">
        <v>3.6151</v>
      </c>
      <c r="F1100" s="810">
        <v>3.9372</v>
      </c>
      <c r="G1100" s="810">
        <v>3.9265</v>
      </c>
      <c r="H1100" s="810">
        <v>3.8971</v>
      </c>
      <c r="I1100" s="810">
        <v>3.8935</v>
      </c>
      <c r="J1100" s="810">
        <v>3.7287</v>
      </c>
      <c r="K1100" s="810">
        <v>3.8106</v>
      </c>
      <c r="L1100" s="810">
        <v>3.9111</v>
      </c>
      <c r="M1100" s="810">
        <v>3.9328</v>
      </c>
      <c r="N1100" s="810">
        <v>3.8095</v>
      </c>
      <c r="O1100" s="810" t="s">
        <v>2434</v>
      </c>
      <c r="P1100" s="100" t="s">
        <v>2691</v>
      </c>
      <c r="Q1100" s="8"/>
      <c r="R1100" s="100"/>
      <c r="S1100" s="8"/>
    </row>
    <row r="1101" ht="14.25" customHeight="1">
      <c r="A1101" s="100" t="s">
        <v>2706</v>
      </c>
      <c r="B1101" s="100" t="s">
        <v>2707</v>
      </c>
      <c r="C1101" s="100" t="s">
        <v>2354</v>
      </c>
      <c r="D1101" s="100" t="s">
        <v>2690</v>
      </c>
      <c r="E1101" s="810">
        <v>27.3758</v>
      </c>
      <c r="F1101" s="810">
        <v>26.1529</v>
      </c>
      <c r="G1101" s="810">
        <v>24.904</v>
      </c>
      <c r="H1101" s="810">
        <v>24.27</v>
      </c>
      <c r="I1101" s="810">
        <v>21.7068</v>
      </c>
      <c r="J1101" s="810">
        <v>21.1614</v>
      </c>
      <c r="K1101" s="810">
        <v>22.529</v>
      </c>
      <c r="L1101" s="810">
        <v>21.6254</v>
      </c>
      <c r="M1101" s="810">
        <v>21.7931</v>
      </c>
      <c r="N1101" s="810">
        <v>21.0805</v>
      </c>
      <c r="O1101" s="810" t="s">
        <v>2434</v>
      </c>
      <c r="P1101" s="100" t="s">
        <v>2691</v>
      </c>
      <c r="Q1101" s="8"/>
      <c r="R1101" s="100"/>
      <c r="S1101" s="8"/>
    </row>
    <row r="1102" ht="14.25" customHeight="1">
      <c r="A1102" s="100" t="s">
        <v>2706</v>
      </c>
      <c r="B1102" s="100" t="s">
        <v>2707</v>
      </c>
      <c r="C1102" s="100" t="s">
        <v>2356</v>
      </c>
      <c r="D1102" s="100" t="s">
        <v>2690</v>
      </c>
      <c r="E1102" s="810">
        <v>284.3214</v>
      </c>
      <c r="F1102" s="810">
        <v>269.8614</v>
      </c>
      <c r="G1102" s="810">
        <v>273.5676</v>
      </c>
      <c r="H1102" s="810">
        <v>273.8158</v>
      </c>
      <c r="I1102" s="810">
        <v>254.9623</v>
      </c>
      <c r="J1102" s="810">
        <v>258.8363</v>
      </c>
      <c r="K1102" s="810">
        <v>260.0504</v>
      </c>
      <c r="L1102" s="810">
        <v>257.9798</v>
      </c>
      <c r="M1102" s="810">
        <v>252.3584</v>
      </c>
      <c r="N1102" s="810">
        <v>249.115</v>
      </c>
      <c r="O1102" s="810" t="s">
        <v>2434</v>
      </c>
      <c r="P1102" s="100" t="s">
        <v>2691</v>
      </c>
      <c r="Q1102" s="8"/>
      <c r="R1102" s="100"/>
      <c r="S1102" s="8"/>
    </row>
    <row r="1103" ht="14.25" customHeight="1">
      <c r="A1103" s="100" t="s">
        <v>2706</v>
      </c>
      <c r="B1103" s="100" t="s">
        <v>2707</v>
      </c>
      <c r="C1103" s="100" t="s">
        <v>2344</v>
      </c>
      <c r="D1103" s="100" t="s">
        <v>2690</v>
      </c>
      <c r="E1103" s="810">
        <v>428.9431</v>
      </c>
      <c r="F1103" s="810">
        <v>407.6462</v>
      </c>
      <c r="G1103" s="810">
        <v>403.8325</v>
      </c>
      <c r="H1103" s="810">
        <v>418.4598</v>
      </c>
      <c r="I1103" s="810">
        <v>398.5452</v>
      </c>
      <c r="J1103" s="810">
        <v>415.3813</v>
      </c>
      <c r="K1103" s="810">
        <v>421.7125</v>
      </c>
      <c r="L1103" s="810">
        <v>424.1708</v>
      </c>
      <c r="M1103" s="810">
        <v>407.2787</v>
      </c>
      <c r="N1103" s="810">
        <v>414.9477</v>
      </c>
      <c r="O1103" s="810" t="s">
        <v>2434</v>
      </c>
      <c r="P1103" s="100" t="s">
        <v>2691</v>
      </c>
      <c r="Q1103" s="8"/>
      <c r="R1103" s="100"/>
      <c r="S1103" s="8"/>
    </row>
    <row r="1104" ht="14.25" customHeight="1">
      <c r="A1104" s="100" t="s">
        <v>2706</v>
      </c>
      <c r="B1104" s="100" t="s">
        <v>2707</v>
      </c>
      <c r="C1104" s="100" t="s">
        <v>2362</v>
      </c>
      <c r="D1104" s="100" t="s">
        <v>2690</v>
      </c>
      <c r="E1104" s="810">
        <v>38.4407</v>
      </c>
      <c r="F1104" s="810">
        <v>35.5</v>
      </c>
      <c r="G1104" s="810">
        <v>31.18</v>
      </c>
      <c r="H1104" s="810">
        <v>26.3789</v>
      </c>
      <c r="I1104" s="810">
        <v>26.4786</v>
      </c>
      <c r="J1104" s="810">
        <v>28.2339</v>
      </c>
      <c r="K1104" s="810">
        <v>28.237</v>
      </c>
      <c r="L1104" s="810">
        <v>28.4835</v>
      </c>
      <c r="M1104" s="810">
        <v>27.2986</v>
      </c>
      <c r="N1104" s="810">
        <v>27.7311</v>
      </c>
      <c r="O1104" s="810" t="s">
        <v>2434</v>
      </c>
      <c r="P1104" s="100" t="s">
        <v>2691</v>
      </c>
      <c r="Q1104" s="8"/>
      <c r="R1104" s="100"/>
      <c r="S1104" s="8"/>
    </row>
    <row r="1105" ht="14.25" customHeight="1">
      <c r="A1105" s="100" t="s">
        <v>2706</v>
      </c>
      <c r="B1105" s="100" t="s">
        <v>2707</v>
      </c>
      <c r="C1105" s="100" t="s">
        <v>2367</v>
      </c>
      <c r="D1105" s="100" t="s">
        <v>2690</v>
      </c>
      <c r="E1105" s="810">
        <v>28.8506</v>
      </c>
      <c r="F1105" s="810">
        <v>27.6405</v>
      </c>
      <c r="G1105" s="810">
        <v>25.107</v>
      </c>
      <c r="H1105" s="810">
        <v>25.3273</v>
      </c>
      <c r="I1105" s="810">
        <v>25.6096</v>
      </c>
      <c r="J1105" s="810">
        <v>27.7087</v>
      </c>
      <c r="K1105" s="810">
        <v>28.7587</v>
      </c>
      <c r="L1105" s="810">
        <v>30.0693</v>
      </c>
      <c r="M1105" s="810">
        <v>30.6175</v>
      </c>
      <c r="N1105" s="810">
        <v>31.0765</v>
      </c>
      <c r="O1105" s="810" t="s">
        <v>2434</v>
      </c>
      <c r="P1105" s="100" t="s">
        <v>2691</v>
      </c>
      <c r="Q1105" s="8"/>
      <c r="R1105" s="100"/>
      <c r="S1105" s="8"/>
    </row>
    <row r="1106" ht="14.25" customHeight="1">
      <c r="A1106" s="100" t="s">
        <v>2706</v>
      </c>
      <c r="B1106" s="100" t="s">
        <v>2707</v>
      </c>
      <c r="C1106" s="100" t="s">
        <v>2369</v>
      </c>
      <c r="D1106" s="100" t="s">
        <v>2690</v>
      </c>
      <c r="E1106" s="810">
        <v>26.5512</v>
      </c>
      <c r="F1106" s="810">
        <v>24.4836</v>
      </c>
      <c r="G1106" s="810">
        <v>23.7265</v>
      </c>
      <c r="H1106" s="810">
        <v>23.9415</v>
      </c>
      <c r="I1106" s="810">
        <v>23.5166</v>
      </c>
      <c r="J1106" s="810">
        <v>24.464</v>
      </c>
      <c r="K1106" s="810">
        <v>25.0632</v>
      </c>
      <c r="L1106" s="810">
        <v>24.8155</v>
      </c>
      <c r="M1106" s="810">
        <v>25.9673</v>
      </c>
      <c r="N1106" s="810">
        <v>25.3657</v>
      </c>
      <c r="O1106" s="810" t="s">
        <v>2434</v>
      </c>
      <c r="P1106" s="100" t="s">
        <v>2691</v>
      </c>
      <c r="Q1106" s="8"/>
      <c r="R1106" s="100"/>
      <c r="S1106" s="8"/>
    </row>
    <row r="1107" ht="14.25" customHeight="1">
      <c r="A1107" s="100" t="s">
        <v>2706</v>
      </c>
      <c r="B1107" s="100" t="s">
        <v>2707</v>
      </c>
      <c r="C1107" s="100" t="s">
        <v>2374</v>
      </c>
      <c r="D1107" s="100" t="s">
        <v>2690</v>
      </c>
      <c r="E1107" s="810">
        <v>273.9776</v>
      </c>
      <c r="F1107" s="810">
        <v>266.5285</v>
      </c>
      <c r="G1107" s="810">
        <v>254.0103</v>
      </c>
      <c r="H1107" s="810">
        <v>240.9761</v>
      </c>
      <c r="I1107" s="810">
        <v>230.3955</v>
      </c>
      <c r="J1107" s="810">
        <v>237.2495</v>
      </c>
      <c r="K1107" s="810">
        <v>235.5619</v>
      </c>
      <c r="L1107" s="810">
        <v>230.1193</v>
      </c>
      <c r="M1107" s="810">
        <v>235.0956</v>
      </c>
      <c r="N1107" s="810">
        <v>229.8236</v>
      </c>
      <c r="O1107" s="810" t="s">
        <v>2434</v>
      </c>
      <c r="P1107" s="100" t="s">
        <v>2691</v>
      </c>
      <c r="Q1107" s="8"/>
      <c r="R1107" s="100"/>
      <c r="S1107" s="8"/>
    </row>
    <row r="1108" ht="14.25" customHeight="1">
      <c r="A1108" s="100" t="s">
        <v>2706</v>
      </c>
      <c r="B1108" s="100" t="s">
        <v>2707</v>
      </c>
      <c r="C1108" s="100" t="s">
        <v>2386</v>
      </c>
      <c r="D1108" s="100" t="s">
        <v>2690</v>
      </c>
      <c r="E1108" s="810">
        <v>5.7555</v>
      </c>
      <c r="F1108" s="810">
        <v>5.0903</v>
      </c>
      <c r="G1108" s="810">
        <v>4.9549</v>
      </c>
      <c r="H1108" s="810">
        <v>4.8089</v>
      </c>
      <c r="I1108" s="810">
        <v>4.8615</v>
      </c>
      <c r="J1108" s="810">
        <v>4.9577</v>
      </c>
      <c r="K1108" s="810">
        <v>4.9445</v>
      </c>
      <c r="L1108" s="810">
        <v>5.1711</v>
      </c>
      <c r="M1108" s="810">
        <v>5.2854</v>
      </c>
      <c r="N1108" s="810">
        <v>5.1687</v>
      </c>
      <c r="O1108" s="810" t="s">
        <v>2434</v>
      </c>
      <c r="P1108" s="100" t="s">
        <v>2691</v>
      </c>
      <c r="Q1108" s="8"/>
      <c r="R1108" s="100"/>
      <c r="S1108" s="8"/>
    </row>
    <row r="1109" ht="14.25" customHeight="1">
      <c r="A1109" s="100" t="s">
        <v>2706</v>
      </c>
      <c r="B1109" s="100" t="s">
        <v>2707</v>
      </c>
      <c r="C1109" s="100" t="s">
        <v>2378</v>
      </c>
      <c r="D1109" s="100" t="s">
        <v>2690</v>
      </c>
      <c r="E1109" s="810">
        <v>6.9358</v>
      </c>
      <c r="F1109" s="810">
        <v>7.0252</v>
      </c>
      <c r="G1109" s="810">
        <v>7.0694</v>
      </c>
      <c r="H1109" s="810">
        <v>6.9781</v>
      </c>
      <c r="I1109" s="810">
        <v>7.2356</v>
      </c>
      <c r="J1109" s="810">
        <v>7.26</v>
      </c>
      <c r="K1109" s="810">
        <v>7.753</v>
      </c>
      <c r="L1109" s="810">
        <v>8.0934</v>
      </c>
      <c r="M1109" s="810">
        <v>8.5818</v>
      </c>
      <c r="N1109" s="810">
        <v>8.7582</v>
      </c>
      <c r="O1109" s="810" t="s">
        <v>2434</v>
      </c>
      <c r="P1109" s="100" t="s">
        <v>2691</v>
      </c>
      <c r="Q1109" s="8"/>
      <c r="R1109" s="100"/>
      <c r="S1109" s="8"/>
    </row>
    <row r="1110" ht="14.25" customHeight="1">
      <c r="A1110" s="100" t="s">
        <v>2706</v>
      </c>
      <c r="B1110" s="100" t="s">
        <v>2707</v>
      </c>
      <c r="C1110" s="100" t="s">
        <v>2383</v>
      </c>
      <c r="D1110" s="100" t="s">
        <v>2690</v>
      </c>
      <c r="E1110" s="810">
        <v>9.4034</v>
      </c>
      <c r="F1110" s="810">
        <v>9.486</v>
      </c>
      <c r="G1110" s="810">
        <v>9.2456</v>
      </c>
      <c r="H1110" s="810">
        <v>9.0739</v>
      </c>
      <c r="I1110" s="810">
        <v>8.6011</v>
      </c>
      <c r="J1110" s="810">
        <v>8.3288</v>
      </c>
      <c r="K1110" s="810">
        <v>8.2556</v>
      </c>
      <c r="L1110" s="810">
        <v>8.4275</v>
      </c>
      <c r="M1110" s="810">
        <v>8.7514</v>
      </c>
      <c r="N1110" s="810">
        <v>8.9149</v>
      </c>
      <c r="O1110" s="810" t="s">
        <v>2434</v>
      </c>
      <c r="P1110" s="100" t="s">
        <v>2691</v>
      </c>
      <c r="Q1110" s="8"/>
      <c r="R1110" s="100"/>
      <c r="S1110" s="8"/>
    </row>
    <row r="1111" ht="14.25" customHeight="1">
      <c r="A1111" s="100" t="s">
        <v>2706</v>
      </c>
      <c r="B1111" s="100" t="s">
        <v>2707</v>
      </c>
      <c r="C1111" s="100" t="s">
        <v>2389</v>
      </c>
      <c r="D1111" s="100" t="s">
        <v>2690</v>
      </c>
      <c r="E1111" s="810">
        <v>0.7111</v>
      </c>
      <c r="F1111" s="810">
        <v>0.6616</v>
      </c>
      <c r="G1111" s="810">
        <v>0.733</v>
      </c>
      <c r="H1111" s="810">
        <v>0.7895</v>
      </c>
      <c r="I1111" s="810">
        <v>0.8338</v>
      </c>
      <c r="J1111" s="810">
        <v>0.8766</v>
      </c>
      <c r="K1111" s="810">
        <v>0.8365</v>
      </c>
      <c r="L1111" s="810">
        <v>0.8328</v>
      </c>
      <c r="M1111" s="810">
        <v>0.8316</v>
      </c>
      <c r="N1111" s="810">
        <v>0.9231</v>
      </c>
      <c r="O1111" s="810" t="s">
        <v>2434</v>
      </c>
      <c r="P1111" s="100" t="s">
        <v>2691</v>
      </c>
      <c r="Q1111" s="8"/>
      <c r="R1111" s="100"/>
      <c r="S1111" s="8"/>
    </row>
    <row r="1112" ht="14.25" customHeight="1">
      <c r="A1112" s="100" t="s">
        <v>2706</v>
      </c>
      <c r="B1112" s="100" t="s">
        <v>2707</v>
      </c>
      <c r="C1112" s="100" t="s">
        <v>2391</v>
      </c>
      <c r="D1112" s="100" t="s">
        <v>2690</v>
      </c>
      <c r="E1112" s="810">
        <v>106.6806</v>
      </c>
      <c r="F1112" s="810">
        <v>97.7951</v>
      </c>
      <c r="G1112" s="810">
        <v>98.0756</v>
      </c>
      <c r="H1112" s="810">
        <v>97.1503</v>
      </c>
      <c r="I1112" s="810">
        <v>86.2179</v>
      </c>
      <c r="J1112" s="810">
        <v>87.9583</v>
      </c>
      <c r="K1112" s="810">
        <v>90.8131</v>
      </c>
      <c r="L1112" s="810">
        <v>92.3209</v>
      </c>
      <c r="M1112" s="810">
        <v>91.9792</v>
      </c>
      <c r="N1112" s="810">
        <v>89.2561</v>
      </c>
      <c r="O1112" s="810" t="s">
        <v>2434</v>
      </c>
      <c r="P1112" s="100" t="s">
        <v>2691</v>
      </c>
      <c r="Q1112" s="8"/>
      <c r="R1112" s="100"/>
      <c r="S1112" s="8"/>
    </row>
    <row r="1113" ht="14.25" customHeight="1">
      <c r="A1113" s="100" t="s">
        <v>2706</v>
      </c>
      <c r="B1113" s="100" t="s">
        <v>2707</v>
      </c>
      <c r="C1113" s="100" t="s">
        <v>2393</v>
      </c>
      <c r="D1113" s="100" t="s">
        <v>2690</v>
      </c>
      <c r="E1113" s="810">
        <v>140.5611</v>
      </c>
      <c r="F1113" s="810">
        <v>135.7069</v>
      </c>
      <c r="G1113" s="810">
        <v>134.3453</v>
      </c>
      <c r="H1113" s="810">
        <v>129.3759</v>
      </c>
      <c r="I1113" s="810">
        <v>125.4673</v>
      </c>
      <c r="J1113" s="810">
        <v>125.7613</v>
      </c>
      <c r="K1113" s="810">
        <v>136.4736</v>
      </c>
      <c r="L1113" s="810">
        <v>147.521</v>
      </c>
      <c r="M1113" s="810">
        <v>147.9578</v>
      </c>
      <c r="N1113" s="810">
        <v>144.2853</v>
      </c>
      <c r="O1113" s="810" t="s">
        <v>2434</v>
      </c>
      <c r="P1113" s="100" t="s">
        <v>2691</v>
      </c>
      <c r="Q1113" s="8"/>
      <c r="R1113" s="100"/>
      <c r="S1113" s="8"/>
    </row>
    <row r="1114" ht="14.25" customHeight="1">
      <c r="A1114" s="100" t="s">
        <v>2706</v>
      </c>
      <c r="B1114" s="100" t="s">
        <v>2707</v>
      </c>
      <c r="C1114" s="100" t="s">
        <v>2395</v>
      </c>
      <c r="D1114" s="100" t="s">
        <v>2690</v>
      </c>
      <c r="E1114" s="810">
        <v>32.8245</v>
      </c>
      <c r="F1114" s="810">
        <v>30.2314</v>
      </c>
      <c r="G1114" s="810">
        <v>27.7732</v>
      </c>
      <c r="H1114" s="810">
        <v>27.271</v>
      </c>
      <c r="I1114" s="810">
        <v>27.5284</v>
      </c>
      <c r="J1114" s="810">
        <v>27.9768</v>
      </c>
      <c r="K1114" s="810">
        <v>27.9248</v>
      </c>
      <c r="L1114" s="810">
        <v>28.4849</v>
      </c>
      <c r="M1114" s="810">
        <v>28.6989</v>
      </c>
      <c r="N1114" s="810">
        <v>29.374</v>
      </c>
      <c r="O1114" s="810" t="s">
        <v>2434</v>
      </c>
      <c r="P1114" s="100" t="s">
        <v>2691</v>
      </c>
      <c r="Q1114" s="8"/>
      <c r="R1114" s="100"/>
      <c r="S1114" s="8"/>
    </row>
    <row r="1115" ht="14.25" customHeight="1">
      <c r="A1115" s="100" t="s">
        <v>2706</v>
      </c>
      <c r="B1115" s="100" t="s">
        <v>2707</v>
      </c>
      <c r="C1115" s="100" t="s">
        <v>2397</v>
      </c>
      <c r="D1115" s="100" t="s">
        <v>2690</v>
      </c>
      <c r="E1115" s="810">
        <v>35.9232</v>
      </c>
      <c r="F1115" s="810">
        <v>38.6028</v>
      </c>
      <c r="G1115" s="810">
        <v>40.3637</v>
      </c>
      <c r="H1115" s="810">
        <v>39.345</v>
      </c>
      <c r="I1115" s="810">
        <v>38.5788</v>
      </c>
      <c r="J1115" s="810">
        <v>39.9808</v>
      </c>
      <c r="K1115" s="810">
        <v>40.2791</v>
      </c>
      <c r="L1115" s="810">
        <v>42.1708</v>
      </c>
      <c r="M1115" s="810">
        <v>44.2872</v>
      </c>
      <c r="N1115" s="810">
        <v>43.6151</v>
      </c>
      <c r="O1115" s="810" t="s">
        <v>2434</v>
      </c>
      <c r="P1115" s="100" t="s">
        <v>2691</v>
      </c>
      <c r="Q1115" s="8"/>
      <c r="R1115" s="100"/>
      <c r="S1115" s="8"/>
    </row>
    <row r="1116" ht="14.25" customHeight="1">
      <c r="A1116" s="100" t="s">
        <v>2706</v>
      </c>
      <c r="B1116" s="100" t="s">
        <v>2707</v>
      </c>
      <c r="C1116" s="100" t="s">
        <v>2411</v>
      </c>
      <c r="D1116" s="100" t="s">
        <v>2690</v>
      </c>
      <c r="E1116" s="810">
        <v>21.2995</v>
      </c>
      <c r="F1116" s="810">
        <v>20.6695</v>
      </c>
      <c r="G1116" s="810">
        <v>19.0166</v>
      </c>
      <c r="H1116" s="810">
        <v>19.3099</v>
      </c>
      <c r="I1116" s="810">
        <v>18.2874</v>
      </c>
      <c r="J1116" s="810">
        <v>18.4654</v>
      </c>
      <c r="K1116" s="810">
        <v>18.6841</v>
      </c>
      <c r="L1116" s="810">
        <v>19.6641</v>
      </c>
      <c r="M1116" s="810">
        <v>19.8071</v>
      </c>
      <c r="N1116" s="810">
        <v>18.7303</v>
      </c>
      <c r="O1116" s="810" t="s">
        <v>2434</v>
      </c>
      <c r="P1116" s="100" t="s">
        <v>2691</v>
      </c>
      <c r="Q1116" s="8"/>
      <c r="R1116" s="100"/>
      <c r="S1116" s="8"/>
    </row>
    <row r="1117" ht="14.25" customHeight="1">
      <c r="A1117" s="100" t="s">
        <v>2706</v>
      </c>
      <c r="B1117" s="100" t="s">
        <v>2707</v>
      </c>
      <c r="C1117" s="100" t="s">
        <v>2406</v>
      </c>
      <c r="D1117" s="100" t="s">
        <v>2690</v>
      </c>
      <c r="E1117" s="810">
        <v>9.21</v>
      </c>
      <c r="F1117" s="810">
        <v>9.104</v>
      </c>
      <c r="G1117" s="810">
        <v>8.8112</v>
      </c>
      <c r="H1117" s="810">
        <v>8.4178</v>
      </c>
      <c r="I1117" s="810">
        <v>8.1786</v>
      </c>
      <c r="J1117" s="810">
        <v>8.1788</v>
      </c>
      <c r="K1117" s="810">
        <v>8.6184</v>
      </c>
      <c r="L1117" s="810">
        <v>8.7063</v>
      </c>
      <c r="M1117" s="810">
        <v>8.6993</v>
      </c>
      <c r="N1117" s="810">
        <v>8.4387</v>
      </c>
      <c r="O1117" s="810" t="s">
        <v>2434</v>
      </c>
      <c r="P1117" s="100" t="s">
        <v>2691</v>
      </c>
      <c r="Q1117" s="8"/>
      <c r="R1117" s="100"/>
      <c r="S1117" s="8"/>
    </row>
    <row r="1118" ht="14.25" customHeight="1">
      <c r="A1118" s="100" t="s">
        <v>2706</v>
      </c>
      <c r="B1118" s="100" t="s">
        <v>2707</v>
      </c>
      <c r="C1118" s="100" t="s">
        <v>2352</v>
      </c>
      <c r="D1118" s="100" t="s">
        <v>2690</v>
      </c>
      <c r="E1118" s="810">
        <v>183.7391</v>
      </c>
      <c r="F1118" s="810">
        <v>173.2773</v>
      </c>
      <c r="G1118" s="810">
        <v>163.571</v>
      </c>
      <c r="H1118" s="810">
        <v>158.3677</v>
      </c>
      <c r="I1118" s="810">
        <v>154.9377</v>
      </c>
      <c r="J1118" s="810">
        <v>160.4921</v>
      </c>
      <c r="K1118" s="810">
        <v>165.111</v>
      </c>
      <c r="L1118" s="810">
        <v>169.2171</v>
      </c>
      <c r="M1118" s="810">
        <v>173.237</v>
      </c>
      <c r="N1118" s="810">
        <v>172.7627</v>
      </c>
      <c r="O1118" s="810" t="s">
        <v>2434</v>
      </c>
      <c r="P1118" s="100" t="s">
        <v>2691</v>
      </c>
      <c r="Q1118" s="8"/>
      <c r="R1118" s="100"/>
      <c r="S1118" s="8"/>
    </row>
    <row r="1119" ht="14.25" customHeight="1">
      <c r="A1119" s="100" t="s">
        <v>2706</v>
      </c>
      <c r="B1119" s="100" t="s">
        <v>2707</v>
      </c>
      <c r="C1119" s="100" t="s">
        <v>2400</v>
      </c>
      <c r="D1119" s="100" t="s">
        <v>2690</v>
      </c>
      <c r="E1119" s="810">
        <v>32.6022</v>
      </c>
      <c r="F1119" s="810">
        <v>31.2237</v>
      </c>
      <c r="G1119" s="810">
        <v>29.3199</v>
      </c>
      <c r="H1119" s="810">
        <v>28.3947</v>
      </c>
      <c r="I1119" s="810">
        <v>27.68</v>
      </c>
      <c r="J1119" s="810">
        <v>27.7957</v>
      </c>
      <c r="K1119" s="810">
        <v>26.7184</v>
      </c>
      <c r="L1119" s="810">
        <v>26.1561</v>
      </c>
      <c r="M1119" s="810">
        <v>25.6673</v>
      </c>
      <c r="N1119" s="810">
        <v>25.4474</v>
      </c>
      <c r="O1119" s="810" t="s">
        <v>2434</v>
      </c>
      <c r="P1119" s="100" t="s">
        <v>2691</v>
      </c>
      <c r="Q1119" s="8"/>
      <c r="R1119" s="100"/>
      <c r="S1119" s="8"/>
    </row>
    <row r="1120" ht="14.25" customHeight="1">
      <c r="A1120" s="100" t="s">
        <v>2706</v>
      </c>
      <c r="B1120" s="100" t="s">
        <v>2707</v>
      </c>
      <c r="C1120" s="100" t="s">
        <v>2416</v>
      </c>
      <c r="D1120" s="100" t="s">
        <v>2690</v>
      </c>
      <c r="E1120" s="810">
        <v>21.2877</v>
      </c>
      <c r="F1120" s="810">
        <v>20.8879</v>
      </c>
      <c r="G1120" s="810">
        <v>20.7655</v>
      </c>
      <c r="H1120" s="810">
        <v>20.6318</v>
      </c>
      <c r="I1120" s="810">
        <v>20.1445</v>
      </c>
      <c r="J1120" s="810">
        <v>19.7237</v>
      </c>
      <c r="K1120" s="810">
        <v>19.3666</v>
      </c>
      <c r="L1120" s="810">
        <v>18.1163</v>
      </c>
      <c r="M1120" s="810">
        <v>18.6835</v>
      </c>
      <c r="N1120" s="810" t="s">
        <v>2434</v>
      </c>
      <c r="O1120" s="810" t="s">
        <v>2434</v>
      </c>
      <c r="P1120" s="100" t="s">
        <v>2691</v>
      </c>
      <c r="Q1120" s="8"/>
      <c r="R1120" s="100"/>
      <c r="S1120" s="8"/>
    </row>
    <row r="1121" ht="14.25" customHeight="1">
      <c r="A1121" s="100" t="s">
        <v>2706</v>
      </c>
      <c r="B1121" s="100" t="s">
        <v>2707</v>
      </c>
      <c r="C1121" s="100" t="s">
        <v>2423</v>
      </c>
      <c r="D1121" s="100" t="s">
        <v>2690</v>
      </c>
      <c r="E1121" s="810">
        <v>38.6135</v>
      </c>
      <c r="F1121" s="810">
        <v>34.8456</v>
      </c>
      <c r="G1121" s="810">
        <v>36.2019</v>
      </c>
      <c r="H1121" s="810">
        <v>37.0429</v>
      </c>
      <c r="I1121" s="810">
        <v>33.163</v>
      </c>
      <c r="J1121" s="810">
        <v>33.1518</v>
      </c>
      <c r="K1121" s="810">
        <v>33.4421</v>
      </c>
      <c r="L1121" s="810">
        <v>32.5495</v>
      </c>
      <c r="M1121" s="810">
        <v>31.2273</v>
      </c>
      <c r="N1121" s="810" t="s">
        <v>2434</v>
      </c>
      <c r="O1121" s="810" t="s">
        <v>2434</v>
      </c>
      <c r="P1121" s="100" t="s">
        <v>2691</v>
      </c>
      <c r="Q1121" s="8"/>
      <c r="R1121" s="100"/>
      <c r="S1121" s="8"/>
    </row>
    <row r="1122" ht="14.25" customHeight="1">
      <c r="A1122" s="100" t="s">
        <v>2706</v>
      </c>
      <c r="B1122" s="100" t="s">
        <v>2707</v>
      </c>
      <c r="C1122" s="100" t="s">
        <v>2360</v>
      </c>
      <c r="D1122" s="100" t="s">
        <v>2690</v>
      </c>
      <c r="E1122" s="810">
        <v>291.8284</v>
      </c>
      <c r="F1122" s="810">
        <v>265.3126</v>
      </c>
      <c r="G1122" s="810">
        <v>272.9189</v>
      </c>
      <c r="H1122" s="810">
        <v>273.3044</v>
      </c>
      <c r="I1122" s="810">
        <v>259.1727</v>
      </c>
      <c r="J1122" s="810">
        <v>263.3316</v>
      </c>
      <c r="K1122" s="810">
        <v>264.8449</v>
      </c>
      <c r="L1122" s="810">
        <v>262.5601</v>
      </c>
      <c r="M1122" s="810">
        <v>264.6238</v>
      </c>
      <c r="N1122" s="810">
        <v>259.5565</v>
      </c>
      <c r="O1122" s="810" t="s">
        <v>2434</v>
      </c>
      <c r="P1122" s="100" t="s">
        <v>2691</v>
      </c>
      <c r="Q1122" s="8"/>
      <c r="R1122" s="100"/>
      <c r="S1122" s="8"/>
    </row>
    <row r="1123" ht="14.25" customHeight="1">
      <c r="A1123" s="100" t="s">
        <v>2706</v>
      </c>
      <c r="B1123" s="100" t="s">
        <v>2707</v>
      </c>
      <c r="C1123" s="100" t="s">
        <v>2535</v>
      </c>
      <c r="D1123" s="100" t="s">
        <v>2690</v>
      </c>
      <c r="E1123" s="810">
        <v>16.4504</v>
      </c>
      <c r="F1123" s="810">
        <v>16.9139</v>
      </c>
      <c r="G1123" s="810">
        <v>13.9768</v>
      </c>
      <c r="H1123" s="810">
        <v>13.2819</v>
      </c>
      <c r="I1123" s="810">
        <v>12.6316</v>
      </c>
      <c r="J1123" s="810">
        <v>13.553</v>
      </c>
      <c r="K1123" s="810">
        <v>15.0073</v>
      </c>
      <c r="L1123" s="810">
        <v>15.3491</v>
      </c>
      <c r="M1123" s="810">
        <v>15.9939</v>
      </c>
      <c r="N1123" s="810">
        <v>16.0143</v>
      </c>
      <c r="O1123" s="810" t="s">
        <v>2434</v>
      </c>
      <c r="P1123" s="100" t="s">
        <v>2549</v>
      </c>
      <c r="Q1123" s="8"/>
      <c r="R1123" s="100"/>
      <c r="S1123" s="8"/>
    </row>
    <row r="1124" ht="14.25" customHeight="1">
      <c r="A1124" s="100" t="s">
        <v>2708</v>
      </c>
      <c r="B1124" s="100" t="s">
        <v>2709</v>
      </c>
      <c r="C1124" s="100" t="s">
        <v>2317</v>
      </c>
      <c r="D1124" s="100" t="s">
        <v>2690</v>
      </c>
      <c r="E1124" s="810" t="str">
        <f t="shared" ref="E1124:O1124" si="94">#REF!</f>
        <v>#REF!</v>
      </c>
      <c r="F1124" s="810" t="str">
        <f t="shared" si="94"/>
        <v>#REF!</v>
      </c>
      <c r="G1124" s="810" t="str">
        <f t="shared" si="94"/>
        <v>#REF!</v>
      </c>
      <c r="H1124" s="810" t="str">
        <f t="shared" si="94"/>
        <v>#REF!</v>
      </c>
      <c r="I1124" s="810" t="str">
        <f t="shared" si="94"/>
        <v>#REF!</v>
      </c>
      <c r="J1124" s="810" t="str">
        <f t="shared" si="94"/>
        <v>#REF!</v>
      </c>
      <c r="K1124" s="810" t="str">
        <f t="shared" si="94"/>
        <v>#REF!</v>
      </c>
      <c r="L1124" s="810" t="str">
        <f t="shared" si="94"/>
        <v>#REF!</v>
      </c>
      <c r="M1124" s="810" t="str">
        <f t="shared" si="94"/>
        <v>#REF!</v>
      </c>
      <c r="N1124" s="810" t="str">
        <f t="shared" si="94"/>
        <v>#REF!</v>
      </c>
      <c r="O1124" s="810" t="str">
        <f t="shared" si="94"/>
        <v>#REF!</v>
      </c>
      <c r="P1124" s="100" t="s">
        <v>2549</v>
      </c>
      <c r="Q1124" s="8"/>
      <c r="R1124" s="100"/>
      <c r="S1124" s="8"/>
    </row>
    <row r="1125" ht="14.25" customHeight="1">
      <c r="A1125" s="100" t="str">
        <f t="shared" ref="A1125:B1125" si="95">A1124</f>
        <v>tceectfc</v>
      </c>
      <c r="B1125" s="100" t="str">
        <f t="shared" si="95"/>
        <v>Total CO2 emissions of final consumers (including electricity)</v>
      </c>
      <c r="C1125" s="100" t="s">
        <v>2507</v>
      </c>
      <c r="D1125" s="100" t="str">
        <f>D1124</f>
        <v>MtCO2</v>
      </c>
      <c r="E1125" s="810" t="str">
        <f t="shared" ref="E1125:O1125" si="96">#REF!</f>
        <v>#REF!</v>
      </c>
      <c r="F1125" s="810" t="str">
        <f t="shared" si="96"/>
        <v>#REF!</v>
      </c>
      <c r="G1125" s="810" t="str">
        <f t="shared" si="96"/>
        <v>#REF!</v>
      </c>
      <c r="H1125" s="810" t="str">
        <f t="shared" si="96"/>
        <v>#REF!</v>
      </c>
      <c r="I1125" s="810" t="str">
        <f t="shared" si="96"/>
        <v>#REF!</v>
      </c>
      <c r="J1125" s="810" t="str">
        <f t="shared" si="96"/>
        <v>#REF!</v>
      </c>
      <c r="K1125" s="810" t="str">
        <f t="shared" si="96"/>
        <v>#REF!</v>
      </c>
      <c r="L1125" s="810" t="str">
        <f t="shared" si="96"/>
        <v>#REF!</v>
      </c>
      <c r="M1125" s="810" t="str">
        <f t="shared" si="96"/>
        <v>#REF!</v>
      </c>
      <c r="N1125" s="810" t="str">
        <f t="shared" si="96"/>
        <v>#REF!</v>
      </c>
      <c r="O1125" s="810" t="str">
        <f t="shared" si="96"/>
        <v>#REF!</v>
      </c>
      <c r="P1125" s="100"/>
      <c r="Q1125" s="8"/>
      <c r="R1125" s="100"/>
      <c r="S1125" s="8"/>
    </row>
    <row r="1126" ht="14.25" customHeight="1">
      <c r="A1126" s="100" t="s">
        <v>2708</v>
      </c>
      <c r="B1126" s="100" t="s">
        <v>2709</v>
      </c>
      <c r="C1126" s="100" t="s">
        <v>2325</v>
      </c>
      <c r="D1126" s="100" t="s">
        <v>2690</v>
      </c>
      <c r="E1126" s="810">
        <v>59.9923</v>
      </c>
      <c r="F1126" s="810">
        <v>57.7</v>
      </c>
      <c r="G1126" s="810">
        <v>55.1391</v>
      </c>
      <c r="H1126" s="810">
        <v>55.4985</v>
      </c>
      <c r="I1126" s="810">
        <v>51.6979</v>
      </c>
      <c r="J1126" s="810">
        <v>53.1716</v>
      </c>
      <c r="K1126" s="810">
        <v>54.2614</v>
      </c>
      <c r="L1126" s="810">
        <v>56.6315</v>
      </c>
      <c r="M1126" s="810">
        <v>55.0461</v>
      </c>
      <c r="N1126" s="810">
        <v>56.1997</v>
      </c>
      <c r="O1126" s="810" t="s">
        <v>2434</v>
      </c>
      <c r="P1126" s="100" t="s">
        <v>2549</v>
      </c>
      <c r="Q1126" s="8"/>
      <c r="R1126" s="100"/>
      <c r="S1126" s="8"/>
    </row>
    <row r="1127" ht="14.25" customHeight="1">
      <c r="A1127" s="100" t="s">
        <v>2708</v>
      </c>
      <c r="B1127" s="100" t="s">
        <v>2709</v>
      </c>
      <c r="C1127" s="100" t="s">
        <v>2329</v>
      </c>
      <c r="D1127" s="100" t="s">
        <v>2690</v>
      </c>
      <c r="E1127" s="810">
        <v>93.2259</v>
      </c>
      <c r="F1127" s="810">
        <v>83.8008</v>
      </c>
      <c r="G1127" s="810">
        <v>82.7955</v>
      </c>
      <c r="H1127" s="810">
        <v>82.0322</v>
      </c>
      <c r="I1127" s="810">
        <v>76.1</v>
      </c>
      <c r="J1127" s="810">
        <v>80.2524</v>
      </c>
      <c r="K1127" s="810">
        <v>78.7918</v>
      </c>
      <c r="L1127" s="810">
        <v>78.1406</v>
      </c>
      <c r="M1127" s="810">
        <v>78.8328</v>
      </c>
      <c r="N1127" s="810">
        <v>78.9051</v>
      </c>
      <c r="O1127" s="810" t="s">
        <v>2434</v>
      </c>
      <c r="P1127" s="100" t="s">
        <v>2549</v>
      </c>
      <c r="Q1127" s="8"/>
      <c r="R1127" s="100"/>
      <c r="S1127" s="8"/>
    </row>
    <row r="1128" ht="14.25" customHeight="1">
      <c r="A1128" s="100" t="s">
        <v>2708</v>
      </c>
      <c r="B1128" s="100" t="s">
        <v>2709</v>
      </c>
      <c r="C1128" s="100" t="s">
        <v>2333</v>
      </c>
      <c r="D1128" s="100" t="s">
        <v>2690</v>
      </c>
      <c r="E1128" s="810">
        <v>41.1163</v>
      </c>
      <c r="F1128" s="810">
        <v>45.4694</v>
      </c>
      <c r="G1128" s="810">
        <v>41.11</v>
      </c>
      <c r="H1128" s="810">
        <v>36.2408</v>
      </c>
      <c r="I1128" s="810">
        <v>38.5022</v>
      </c>
      <c r="J1128" s="810">
        <v>40.4371</v>
      </c>
      <c r="K1128" s="810">
        <v>37.4015</v>
      </c>
      <c r="L1128" s="810">
        <v>39.4696</v>
      </c>
      <c r="M1128" s="810">
        <v>37.2584</v>
      </c>
      <c r="N1128" s="810">
        <v>35.9378</v>
      </c>
      <c r="O1128" s="810" t="s">
        <v>2434</v>
      </c>
      <c r="P1128" s="100" t="s">
        <v>2549</v>
      </c>
      <c r="Q1128" s="8"/>
      <c r="R1128" s="100"/>
      <c r="S1128" s="8"/>
    </row>
    <row r="1129" ht="14.25" customHeight="1">
      <c r="A1129" s="100" t="s">
        <v>2708</v>
      </c>
      <c r="B1129" s="100" t="s">
        <v>2709</v>
      </c>
      <c r="C1129" s="100" t="s">
        <v>2364</v>
      </c>
      <c r="D1129" s="100" t="s">
        <v>2690</v>
      </c>
      <c r="E1129" s="810">
        <v>16.4917</v>
      </c>
      <c r="F1129" s="810">
        <v>16.1136</v>
      </c>
      <c r="G1129" s="810">
        <v>14.8247</v>
      </c>
      <c r="H1129" s="810">
        <v>14.512</v>
      </c>
      <c r="I1129" s="810">
        <v>13.5741</v>
      </c>
      <c r="J1129" s="810">
        <v>14.0192</v>
      </c>
      <c r="K1129" s="810">
        <v>14.5591</v>
      </c>
      <c r="L1129" s="810">
        <v>14.8546</v>
      </c>
      <c r="M1129" s="810">
        <v>13.9973</v>
      </c>
      <c r="N1129" s="810">
        <v>14.4125</v>
      </c>
      <c r="O1129" s="810" t="s">
        <v>2434</v>
      </c>
      <c r="P1129" s="100" t="s">
        <v>2549</v>
      </c>
      <c r="Q1129" s="8"/>
      <c r="R1129" s="100"/>
      <c r="S1129" s="8"/>
    </row>
    <row r="1130" ht="14.25" customHeight="1">
      <c r="A1130" s="100" t="s">
        <v>2708</v>
      </c>
      <c r="B1130" s="100" t="s">
        <v>2709</v>
      </c>
      <c r="C1130" s="100" t="s">
        <v>2337</v>
      </c>
      <c r="D1130" s="100" t="s">
        <v>2690</v>
      </c>
      <c r="E1130" s="810">
        <v>7.3579</v>
      </c>
      <c r="F1130" s="810">
        <v>7.0333</v>
      </c>
      <c r="G1130" s="810">
        <v>6.5953</v>
      </c>
      <c r="H1130" s="810">
        <v>5.714</v>
      </c>
      <c r="I1130" s="810">
        <v>5.8233</v>
      </c>
      <c r="J1130" s="810">
        <v>5.9652</v>
      </c>
      <c r="K1130" s="810">
        <v>6.3647</v>
      </c>
      <c r="L1130" s="810">
        <v>6.498</v>
      </c>
      <c r="M1130" s="810">
        <v>6.3572</v>
      </c>
      <c r="N1130" s="810">
        <v>6.4104</v>
      </c>
      <c r="O1130" s="810" t="s">
        <v>2434</v>
      </c>
      <c r="P1130" s="100" t="s">
        <v>2549</v>
      </c>
      <c r="Q1130" s="8"/>
      <c r="R1130" s="100"/>
      <c r="S1130" s="8"/>
    </row>
    <row r="1131" ht="14.25" customHeight="1">
      <c r="A1131" s="100" t="s">
        <v>2708</v>
      </c>
      <c r="B1131" s="100" t="s">
        <v>2709</v>
      </c>
      <c r="C1131" s="100" t="s">
        <v>2341</v>
      </c>
      <c r="D1131" s="100" t="s">
        <v>2690</v>
      </c>
      <c r="E1131" s="810">
        <v>103.5575</v>
      </c>
      <c r="F1131" s="810">
        <v>99.6486</v>
      </c>
      <c r="G1131" s="810">
        <v>96.1169</v>
      </c>
      <c r="H1131" s="810">
        <v>92.3894</v>
      </c>
      <c r="I1131" s="810">
        <v>89.1398</v>
      </c>
      <c r="J1131" s="810">
        <v>90.3555</v>
      </c>
      <c r="K1131" s="810">
        <v>92.3969</v>
      </c>
      <c r="L1131" s="810">
        <v>93.1953</v>
      </c>
      <c r="M1131" s="810">
        <v>91.617</v>
      </c>
      <c r="N1131" s="810">
        <v>86.7634</v>
      </c>
      <c r="O1131" s="810" t="s">
        <v>2434</v>
      </c>
      <c r="P1131" s="100" t="s">
        <v>2549</v>
      </c>
      <c r="Q1131" s="8"/>
      <c r="R1131" s="100"/>
      <c r="S1131" s="8"/>
    </row>
    <row r="1132" ht="14.25" customHeight="1">
      <c r="A1132" s="100" t="s">
        <v>2708</v>
      </c>
      <c r="B1132" s="100" t="s">
        <v>2709</v>
      </c>
      <c r="C1132" s="100" t="s">
        <v>2348</v>
      </c>
      <c r="D1132" s="100" t="s">
        <v>2690</v>
      </c>
      <c r="E1132" s="810">
        <v>45.013</v>
      </c>
      <c r="F1132" s="810">
        <v>39.7521</v>
      </c>
      <c r="G1132" s="810">
        <v>35.2498</v>
      </c>
      <c r="H1132" s="810">
        <v>37.017</v>
      </c>
      <c r="I1132" s="810">
        <v>32.9872</v>
      </c>
      <c r="J1132" s="810">
        <v>30.4736</v>
      </c>
      <c r="K1132" s="810">
        <v>32.1228</v>
      </c>
      <c r="L1132" s="810">
        <v>29.8012</v>
      </c>
      <c r="M1132" s="810">
        <v>30.0788</v>
      </c>
      <c r="N1132" s="810">
        <v>26.9433</v>
      </c>
      <c r="O1132" s="810" t="s">
        <v>2434</v>
      </c>
      <c r="P1132" s="100" t="s">
        <v>2549</v>
      </c>
      <c r="Q1132" s="8"/>
      <c r="R1132" s="100"/>
      <c r="S1132" s="8"/>
    </row>
    <row r="1133" ht="14.25" customHeight="1">
      <c r="A1133" s="100" t="s">
        <v>2708</v>
      </c>
      <c r="B1133" s="100" t="s">
        <v>2709</v>
      </c>
      <c r="C1133" s="100" t="s">
        <v>2350</v>
      </c>
      <c r="D1133" s="100" t="s">
        <v>2690</v>
      </c>
      <c r="E1133" s="810">
        <v>17.3429</v>
      </c>
      <c r="F1133" s="810">
        <v>16.4703</v>
      </c>
      <c r="G1133" s="810">
        <v>15.471</v>
      </c>
      <c r="H1133" s="810">
        <v>17.4229</v>
      </c>
      <c r="I1133" s="810">
        <v>16.3576</v>
      </c>
      <c r="J1133" s="810">
        <v>14.1302</v>
      </c>
      <c r="K1133" s="810">
        <v>14.5979</v>
      </c>
      <c r="L1133" s="810">
        <v>15.1969</v>
      </c>
      <c r="M1133" s="810">
        <v>14.2444</v>
      </c>
      <c r="N1133" s="810">
        <v>9.1241</v>
      </c>
      <c r="O1133" s="810" t="s">
        <v>2434</v>
      </c>
      <c r="P1133" s="100" t="s">
        <v>2549</v>
      </c>
      <c r="Q1133" s="8"/>
      <c r="R1133" s="100"/>
      <c r="S1133" s="8"/>
    </row>
    <row r="1134" ht="14.25" customHeight="1">
      <c r="A1134" s="100" t="s">
        <v>2708</v>
      </c>
      <c r="B1134" s="100" t="s">
        <v>2709</v>
      </c>
      <c r="C1134" s="100" t="s">
        <v>2354</v>
      </c>
      <c r="D1134" s="100" t="s">
        <v>2690</v>
      </c>
      <c r="E1134" s="810">
        <v>56.8709</v>
      </c>
      <c r="F1134" s="810">
        <v>49.6087</v>
      </c>
      <c r="G1134" s="810">
        <v>43.8053</v>
      </c>
      <c r="H1134" s="810">
        <v>44.747</v>
      </c>
      <c r="I1134" s="810">
        <v>39.672</v>
      </c>
      <c r="J1134" s="810">
        <v>36.0666</v>
      </c>
      <c r="K1134" s="810">
        <v>38.679</v>
      </c>
      <c r="L1134" s="810">
        <v>36.3448</v>
      </c>
      <c r="M1134" s="810">
        <v>37.4603</v>
      </c>
      <c r="N1134" s="810">
        <v>34.6293</v>
      </c>
      <c r="O1134" s="810" t="s">
        <v>2434</v>
      </c>
      <c r="P1134" s="100" t="s">
        <v>2549</v>
      </c>
      <c r="Q1134" s="8"/>
      <c r="R1134" s="100"/>
      <c r="S1134" s="8"/>
    </row>
    <row r="1135" ht="14.25" customHeight="1">
      <c r="A1135" s="100" t="s">
        <v>2708</v>
      </c>
      <c r="B1135" s="100" t="s">
        <v>2709</v>
      </c>
      <c r="C1135" s="100" t="s">
        <v>2356</v>
      </c>
      <c r="D1135" s="100" t="s">
        <v>2690</v>
      </c>
      <c r="E1135" s="810">
        <v>333.3016</v>
      </c>
      <c r="F1135" s="810">
        <v>312.0068</v>
      </c>
      <c r="G1135" s="810">
        <v>319.3435</v>
      </c>
      <c r="H1135" s="810">
        <v>318.3715</v>
      </c>
      <c r="I1135" s="810">
        <v>287.4939</v>
      </c>
      <c r="J1135" s="810">
        <v>293.9743</v>
      </c>
      <c r="K1135" s="810">
        <v>298.0708</v>
      </c>
      <c r="L1135" s="810">
        <v>300.281</v>
      </c>
      <c r="M1135" s="810">
        <v>288.1556</v>
      </c>
      <c r="N1135" s="810">
        <v>283.1305</v>
      </c>
      <c r="O1135" s="810" t="s">
        <v>2434</v>
      </c>
      <c r="P1135" s="100" t="s">
        <v>2549</v>
      </c>
      <c r="Q1135" s="8"/>
      <c r="R1135" s="100"/>
      <c r="S1135" s="8"/>
    </row>
    <row r="1136" ht="14.25" customHeight="1">
      <c r="A1136" s="100" t="s">
        <v>2708</v>
      </c>
      <c r="B1136" s="100" t="s">
        <v>2709</v>
      </c>
      <c r="C1136" s="100" t="s">
        <v>2344</v>
      </c>
      <c r="D1136" s="100" t="s">
        <v>2690</v>
      </c>
      <c r="E1136" s="810">
        <v>749.3659</v>
      </c>
      <c r="F1136" s="810">
        <v>721.419</v>
      </c>
      <c r="G1136" s="810">
        <v>728.6095</v>
      </c>
      <c r="H1136" s="810">
        <v>752.313</v>
      </c>
      <c r="I1136" s="810">
        <v>713.23</v>
      </c>
      <c r="J1136" s="810">
        <v>725.8734</v>
      </c>
      <c r="K1136" s="810">
        <v>730.7026</v>
      </c>
      <c r="L1136" s="810">
        <v>715.0394</v>
      </c>
      <c r="M1136" s="810">
        <v>682.8671</v>
      </c>
      <c r="N1136" s="810">
        <v>643.5983</v>
      </c>
      <c r="O1136" s="810" t="s">
        <v>2434</v>
      </c>
      <c r="P1136" s="100" t="s">
        <v>2549</v>
      </c>
      <c r="Q1136" s="8"/>
      <c r="R1136" s="100"/>
      <c r="S1136" s="8"/>
    </row>
    <row r="1137" ht="14.25" customHeight="1">
      <c r="A1137" s="100" t="s">
        <v>2708</v>
      </c>
      <c r="B1137" s="100" t="s">
        <v>2709</v>
      </c>
      <c r="C1137" s="100" t="s">
        <v>2362</v>
      </c>
      <c r="D1137" s="100" t="s">
        <v>2690</v>
      </c>
      <c r="E1137" s="810">
        <v>78.8915</v>
      </c>
      <c r="F1137" s="810">
        <v>76.5407</v>
      </c>
      <c r="G1137" s="810">
        <v>72.4135</v>
      </c>
      <c r="H1137" s="810">
        <v>62.4073</v>
      </c>
      <c r="I1137" s="810">
        <v>59.2121</v>
      </c>
      <c r="J1137" s="810">
        <v>57.7908</v>
      </c>
      <c r="K1137" s="810">
        <v>55.9683</v>
      </c>
      <c r="L1137" s="810">
        <v>57.7662</v>
      </c>
      <c r="M1137" s="810">
        <v>55.6074</v>
      </c>
      <c r="N1137" s="810">
        <v>51.0989</v>
      </c>
      <c r="O1137" s="810" t="s">
        <v>2434</v>
      </c>
      <c r="P1137" s="100" t="s">
        <v>2549</v>
      </c>
      <c r="Q1137" s="8"/>
      <c r="R1137" s="100"/>
      <c r="S1137" s="8"/>
    </row>
    <row r="1138" ht="14.25" customHeight="1">
      <c r="A1138" s="100" t="s">
        <v>2708</v>
      </c>
      <c r="B1138" s="100" t="s">
        <v>2709</v>
      </c>
      <c r="C1138" s="100" t="s">
        <v>2367</v>
      </c>
      <c r="D1138" s="100" t="s">
        <v>2690</v>
      </c>
      <c r="E1138" s="810">
        <v>43.5115</v>
      </c>
      <c r="F1138" s="810">
        <v>41.6395</v>
      </c>
      <c r="G1138" s="810">
        <v>38.4876</v>
      </c>
      <c r="H1138" s="810">
        <v>36.4232</v>
      </c>
      <c r="I1138" s="810">
        <v>35.9193</v>
      </c>
      <c r="J1138" s="810">
        <v>38.2625</v>
      </c>
      <c r="K1138" s="810">
        <v>39.7166</v>
      </c>
      <c r="L1138" s="810">
        <v>40.7938</v>
      </c>
      <c r="M1138" s="810">
        <v>40.6498</v>
      </c>
      <c r="N1138" s="810">
        <v>41.1042</v>
      </c>
      <c r="O1138" s="810" t="s">
        <v>2434</v>
      </c>
      <c r="P1138" s="100" t="s">
        <v>2549</v>
      </c>
      <c r="Q1138" s="8"/>
      <c r="R1138" s="100"/>
      <c r="S1138" s="8"/>
    </row>
    <row r="1139" ht="14.25" customHeight="1">
      <c r="A1139" s="100" t="s">
        <v>2708</v>
      </c>
      <c r="B1139" s="100" t="s">
        <v>2709</v>
      </c>
      <c r="C1139" s="100" t="s">
        <v>2369</v>
      </c>
      <c r="D1139" s="100" t="s">
        <v>2690</v>
      </c>
      <c r="E1139" s="810">
        <v>39.5659</v>
      </c>
      <c r="F1139" s="810">
        <v>36.1605</v>
      </c>
      <c r="G1139" s="810">
        <v>36.5888</v>
      </c>
      <c r="H1139" s="810">
        <v>35.3884</v>
      </c>
      <c r="I1139" s="810">
        <v>34.8205</v>
      </c>
      <c r="J1139" s="810">
        <v>36.4782</v>
      </c>
      <c r="K1139" s="810">
        <v>37.8689</v>
      </c>
      <c r="L1139" s="810">
        <v>36.7193</v>
      </c>
      <c r="M1139" s="810">
        <v>36.3896</v>
      </c>
      <c r="N1139" s="810">
        <v>34.533</v>
      </c>
      <c r="O1139" s="810" t="s">
        <v>2434</v>
      </c>
      <c r="P1139" s="100" t="s">
        <v>2549</v>
      </c>
      <c r="Q1139" s="8"/>
      <c r="R1139" s="100"/>
      <c r="S1139" s="8"/>
    </row>
    <row r="1140" ht="14.25" customHeight="1">
      <c r="A1140" s="100" t="s">
        <v>2708</v>
      </c>
      <c r="B1140" s="100" t="s">
        <v>2709</v>
      </c>
      <c r="C1140" s="100" t="s">
        <v>2374</v>
      </c>
      <c r="D1140" s="100" t="s">
        <v>2690</v>
      </c>
      <c r="E1140" s="810">
        <v>403.8789</v>
      </c>
      <c r="F1140" s="810">
        <v>395.2984</v>
      </c>
      <c r="G1140" s="810">
        <v>377.8923</v>
      </c>
      <c r="H1140" s="810">
        <v>347.6138</v>
      </c>
      <c r="I1140" s="810">
        <v>329.5989</v>
      </c>
      <c r="J1140" s="810">
        <v>341.4786</v>
      </c>
      <c r="K1140" s="810">
        <v>339.5911</v>
      </c>
      <c r="L1140" s="810">
        <v>334.6073</v>
      </c>
      <c r="M1140" s="810">
        <v>332.1598</v>
      </c>
      <c r="N1140" s="810">
        <v>320.9925</v>
      </c>
      <c r="O1140" s="810" t="s">
        <v>2434</v>
      </c>
      <c r="P1140" s="100" t="s">
        <v>2549</v>
      </c>
      <c r="Q1140" s="8"/>
      <c r="R1140" s="100"/>
      <c r="S1140" s="8"/>
    </row>
    <row r="1141" ht="14.25" customHeight="1">
      <c r="A1141" s="100" t="s">
        <v>2708</v>
      </c>
      <c r="B1141" s="100" t="s">
        <v>2709</v>
      </c>
      <c r="C1141" s="100" t="s">
        <v>2386</v>
      </c>
      <c r="D1141" s="100" t="s">
        <v>2690</v>
      </c>
      <c r="E1141" s="810">
        <v>8.0444</v>
      </c>
      <c r="F1141" s="810">
        <v>7.2008</v>
      </c>
      <c r="G1141" s="810">
        <v>6.866</v>
      </c>
      <c r="H1141" s="810">
        <v>6.8403</v>
      </c>
      <c r="I1141" s="810">
        <v>6.6122</v>
      </c>
      <c r="J1141" s="810">
        <v>6.7857</v>
      </c>
      <c r="K1141" s="810">
        <v>6.8141</v>
      </c>
      <c r="L1141" s="810">
        <v>6.6516</v>
      </c>
      <c r="M1141" s="810">
        <v>7.163</v>
      </c>
      <c r="N1141" s="810">
        <v>6.9595</v>
      </c>
      <c r="O1141" s="810" t="s">
        <v>2434</v>
      </c>
      <c r="P1141" s="100" t="s">
        <v>2549</v>
      </c>
      <c r="Q1141" s="8"/>
      <c r="R1141" s="100"/>
      <c r="S1141" s="8"/>
    </row>
    <row r="1142" ht="14.25" customHeight="1">
      <c r="A1142" s="100" t="s">
        <v>2708</v>
      </c>
      <c r="B1142" s="100" t="s">
        <v>2709</v>
      </c>
      <c r="C1142" s="100" t="s">
        <v>2378</v>
      </c>
      <c r="D1142" s="100" t="s">
        <v>2690</v>
      </c>
      <c r="E1142" s="810">
        <v>10.197</v>
      </c>
      <c r="F1142" s="810">
        <v>9.5533</v>
      </c>
      <c r="G1142" s="810">
        <v>9.7235</v>
      </c>
      <c r="H1142" s="810">
        <v>9.0439</v>
      </c>
      <c r="I1142" s="810">
        <v>8.8552</v>
      </c>
      <c r="J1142" s="810">
        <v>8.7385</v>
      </c>
      <c r="K1142" s="810">
        <v>8.9568</v>
      </c>
      <c r="L1142" s="810">
        <v>9.0077</v>
      </c>
      <c r="M1142" s="810">
        <v>9.4498</v>
      </c>
      <c r="N1142" s="810">
        <v>9.6422</v>
      </c>
      <c r="O1142" s="810" t="s">
        <v>2434</v>
      </c>
      <c r="P1142" s="100" t="s">
        <v>2549</v>
      </c>
      <c r="Q1142" s="8"/>
      <c r="R1142" s="100"/>
      <c r="S1142" s="8"/>
    </row>
    <row r="1143" ht="14.25" customHeight="1">
      <c r="A1143" s="100" t="s">
        <v>2708</v>
      </c>
      <c r="B1143" s="100" t="s">
        <v>2709</v>
      </c>
      <c r="C1143" s="100" t="s">
        <v>2383</v>
      </c>
      <c r="D1143" s="100" t="s">
        <v>2690</v>
      </c>
      <c r="E1143" s="810">
        <v>10.6901</v>
      </c>
      <c r="F1143" s="810">
        <v>10.5688</v>
      </c>
      <c r="G1143" s="810">
        <v>10.3512</v>
      </c>
      <c r="H1143" s="810">
        <v>9.833</v>
      </c>
      <c r="I1143" s="810">
        <v>9.3123</v>
      </c>
      <c r="J1143" s="810">
        <v>8.8182</v>
      </c>
      <c r="K1143" s="810">
        <v>8.5294</v>
      </c>
      <c r="L1143" s="810">
        <v>8.6872</v>
      </c>
      <c r="M1143" s="810">
        <v>8.9948</v>
      </c>
      <c r="N1143" s="810">
        <v>9.1568</v>
      </c>
      <c r="O1143" s="810" t="s">
        <v>2434</v>
      </c>
      <c r="P1143" s="100" t="s">
        <v>2549</v>
      </c>
      <c r="Q1143" s="8"/>
      <c r="R1143" s="100"/>
      <c r="S1143" s="8"/>
    </row>
    <row r="1144" ht="14.25" customHeight="1">
      <c r="A1144" s="100" t="s">
        <v>2708</v>
      </c>
      <c r="B1144" s="100" t="s">
        <v>2709</v>
      </c>
      <c r="C1144" s="100" t="s">
        <v>2389</v>
      </c>
      <c r="D1144" s="100" t="s">
        <v>2690</v>
      </c>
      <c r="E1144" s="810">
        <v>2.6882</v>
      </c>
      <c r="F1144" s="810">
        <v>2.7022</v>
      </c>
      <c r="G1144" s="810">
        <v>2.8943</v>
      </c>
      <c r="H1144" s="810">
        <v>2.5562</v>
      </c>
      <c r="I1144" s="810">
        <v>2.5561</v>
      </c>
      <c r="J1144" s="810">
        <v>1.796</v>
      </c>
      <c r="K1144" s="810">
        <v>1.4416</v>
      </c>
      <c r="L1144" s="810">
        <v>1.6031</v>
      </c>
      <c r="M1144" s="810">
        <v>1.592</v>
      </c>
      <c r="N1144" s="810">
        <v>1.7255</v>
      </c>
      <c r="O1144" s="810" t="s">
        <v>2434</v>
      </c>
      <c r="P1144" s="100" t="s">
        <v>2549</v>
      </c>
      <c r="Q1144" s="8"/>
      <c r="R1144" s="100"/>
      <c r="S1144" s="8"/>
    </row>
    <row r="1145" ht="14.25" customHeight="1">
      <c r="A1145" s="100" t="s">
        <v>2708</v>
      </c>
      <c r="B1145" s="100" t="s">
        <v>2709</v>
      </c>
      <c r="C1145" s="100" t="s">
        <v>2391</v>
      </c>
      <c r="D1145" s="100" t="s">
        <v>2690</v>
      </c>
      <c r="E1145" s="810">
        <v>164.0497</v>
      </c>
      <c r="F1145" s="810">
        <v>151.0433</v>
      </c>
      <c r="G1145" s="810">
        <v>149.2889</v>
      </c>
      <c r="H1145" s="810">
        <v>148.0943</v>
      </c>
      <c r="I1145" s="810">
        <v>139.8558</v>
      </c>
      <c r="J1145" s="810">
        <v>145.3255</v>
      </c>
      <c r="K1145" s="810">
        <v>147.0609</v>
      </c>
      <c r="L1145" s="810">
        <v>146.0445</v>
      </c>
      <c r="M1145" s="810">
        <v>141.9573</v>
      </c>
      <c r="N1145" s="810">
        <v>138.5988</v>
      </c>
      <c r="O1145" s="810" t="s">
        <v>2434</v>
      </c>
      <c r="P1145" s="100" t="s">
        <v>2549</v>
      </c>
      <c r="Q1145" s="8"/>
      <c r="R1145" s="100"/>
      <c r="S1145" s="8"/>
    </row>
    <row r="1146" ht="14.25" customHeight="1">
      <c r="A1146" s="100" t="s">
        <v>2708</v>
      </c>
      <c r="B1146" s="100" t="s">
        <v>2709</v>
      </c>
      <c r="C1146" s="100" t="s">
        <v>2393</v>
      </c>
      <c r="D1146" s="100" t="s">
        <v>2690</v>
      </c>
      <c r="E1146" s="810">
        <v>288.2537</v>
      </c>
      <c r="F1146" s="810">
        <v>283.7561</v>
      </c>
      <c r="G1146" s="810">
        <v>277.7732</v>
      </c>
      <c r="H1146" s="810">
        <v>274.3468</v>
      </c>
      <c r="I1146" s="810">
        <v>261.8825</v>
      </c>
      <c r="J1146" s="810">
        <v>263.8204</v>
      </c>
      <c r="K1146" s="810">
        <v>275.0718</v>
      </c>
      <c r="L1146" s="810">
        <v>288.597</v>
      </c>
      <c r="M1146" s="810">
        <v>288.1381</v>
      </c>
      <c r="N1146" s="810">
        <v>272.9998</v>
      </c>
      <c r="O1146" s="810" t="s">
        <v>2434</v>
      </c>
      <c r="P1146" s="100" t="s">
        <v>2549</v>
      </c>
      <c r="Q1146" s="8"/>
      <c r="R1146" s="100"/>
      <c r="S1146" s="8"/>
    </row>
    <row r="1147" ht="14.25" customHeight="1">
      <c r="A1147" s="100" t="s">
        <v>2708</v>
      </c>
      <c r="B1147" s="100" t="s">
        <v>2709</v>
      </c>
      <c r="C1147" s="100" t="s">
        <v>2395</v>
      </c>
      <c r="D1147" s="100" t="s">
        <v>2690</v>
      </c>
      <c r="E1147" s="810">
        <v>47.8112</v>
      </c>
      <c r="F1147" s="810">
        <v>47.2196</v>
      </c>
      <c r="G1147" s="810">
        <v>45.6122</v>
      </c>
      <c r="H1147" s="810">
        <v>42.7334</v>
      </c>
      <c r="I1147" s="810">
        <v>42.6135</v>
      </c>
      <c r="J1147" s="810">
        <v>46.5587</v>
      </c>
      <c r="K1147" s="810">
        <v>45.6817</v>
      </c>
      <c r="L1147" s="810">
        <v>49.9146</v>
      </c>
      <c r="M1147" s="810">
        <v>46.852</v>
      </c>
      <c r="N1147" s="810">
        <v>42.7549</v>
      </c>
      <c r="O1147" s="810" t="s">
        <v>2434</v>
      </c>
      <c r="P1147" s="100" t="s">
        <v>2549</v>
      </c>
      <c r="Q1147" s="8"/>
      <c r="R1147" s="100"/>
      <c r="S1147" s="8"/>
    </row>
    <row r="1148" ht="14.25" customHeight="1">
      <c r="A1148" s="100" t="s">
        <v>2708</v>
      </c>
      <c r="B1148" s="100" t="s">
        <v>2709</v>
      </c>
      <c r="C1148" s="100" t="s">
        <v>2397</v>
      </c>
      <c r="D1148" s="100" t="s">
        <v>2690</v>
      </c>
      <c r="E1148" s="810">
        <v>65.7499</v>
      </c>
      <c r="F1148" s="810">
        <v>74.6991</v>
      </c>
      <c r="G1148" s="810">
        <v>72.4406</v>
      </c>
      <c r="H1148" s="810">
        <v>64.6504</v>
      </c>
      <c r="I1148" s="810">
        <v>63.4878</v>
      </c>
      <c r="J1148" s="810">
        <v>66.1468</v>
      </c>
      <c r="K1148" s="810">
        <v>64.5619</v>
      </c>
      <c r="L1148" s="810">
        <v>67.1136</v>
      </c>
      <c r="M1148" s="810">
        <v>68.0067</v>
      </c>
      <c r="N1148" s="810">
        <v>64.987</v>
      </c>
      <c r="O1148" s="810" t="s">
        <v>2434</v>
      </c>
      <c r="P1148" s="100" t="s">
        <v>2549</v>
      </c>
      <c r="Q1148" s="8"/>
      <c r="R1148" s="100"/>
      <c r="S1148" s="8"/>
    </row>
    <row r="1149" ht="14.25" customHeight="1">
      <c r="A1149" s="100" t="s">
        <v>2708</v>
      </c>
      <c r="B1149" s="100" t="s">
        <v>2709</v>
      </c>
      <c r="C1149" s="100" t="s">
        <v>2411</v>
      </c>
      <c r="D1149" s="100" t="s">
        <v>2690</v>
      </c>
      <c r="E1149" s="810">
        <v>29.4989</v>
      </c>
      <c r="F1149" s="810">
        <v>28.8062</v>
      </c>
      <c r="G1149" s="810">
        <v>26.7642</v>
      </c>
      <c r="H1149" s="810">
        <v>26.4566</v>
      </c>
      <c r="I1149" s="810">
        <v>24.4323</v>
      </c>
      <c r="J1149" s="810">
        <v>24.7423</v>
      </c>
      <c r="K1149" s="810">
        <v>24.7744</v>
      </c>
      <c r="L1149" s="810">
        <v>25.9614</v>
      </c>
      <c r="M1149" s="810">
        <v>25.5352</v>
      </c>
      <c r="N1149" s="810">
        <v>24.2977</v>
      </c>
      <c r="O1149" s="810" t="s">
        <v>2434</v>
      </c>
      <c r="P1149" s="100" t="s">
        <v>2549</v>
      </c>
      <c r="Q1149" s="8"/>
      <c r="R1149" s="100"/>
      <c r="S1149" s="8"/>
    </row>
    <row r="1150" ht="14.25" customHeight="1">
      <c r="A1150" s="100" t="s">
        <v>2708</v>
      </c>
      <c r="B1150" s="100" t="s">
        <v>2709</v>
      </c>
      <c r="C1150" s="100" t="s">
        <v>2406</v>
      </c>
      <c r="D1150" s="100" t="s">
        <v>2690</v>
      </c>
      <c r="E1150" s="810">
        <v>15.3403</v>
      </c>
      <c r="F1150" s="810">
        <v>15.3276</v>
      </c>
      <c r="G1150" s="810">
        <v>14.7548</v>
      </c>
      <c r="H1150" s="810">
        <v>14.1506</v>
      </c>
      <c r="I1150" s="810">
        <v>12.6503</v>
      </c>
      <c r="J1150" s="810">
        <v>12.6877</v>
      </c>
      <c r="K1150" s="810">
        <v>13.4775</v>
      </c>
      <c r="L1150" s="810">
        <v>13.5881</v>
      </c>
      <c r="M1150" s="810">
        <v>13.4644</v>
      </c>
      <c r="N1150" s="810">
        <v>12.941</v>
      </c>
      <c r="O1150" s="810" t="s">
        <v>2434</v>
      </c>
      <c r="P1150" s="100" t="s">
        <v>2549</v>
      </c>
      <c r="Q1150" s="8"/>
      <c r="R1150" s="100"/>
      <c r="S1150" s="8"/>
    </row>
    <row r="1151" ht="14.25" customHeight="1">
      <c r="A1151" s="100" t="s">
        <v>2708</v>
      </c>
      <c r="B1151" s="100" t="s">
        <v>2709</v>
      </c>
      <c r="C1151" s="100" t="s">
        <v>2352</v>
      </c>
      <c r="D1151" s="100" t="s">
        <v>2690</v>
      </c>
      <c r="E1151" s="810">
        <v>253.6009</v>
      </c>
      <c r="F1151" s="810">
        <v>257.5716</v>
      </c>
      <c r="G1151" s="810">
        <v>252.4582</v>
      </c>
      <c r="H1151" s="810">
        <v>225.5417</v>
      </c>
      <c r="I1151" s="810">
        <v>222.8685</v>
      </c>
      <c r="J1151" s="810">
        <v>239.3651</v>
      </c>
      <c r="K1151" s="810">
        <v>229.5381</v>
      </c>
      <c r="L1151" s="810">
        <v>245.4076</v>
      </c>
      <c r="M1151" s="810">
        <v>241.0983</v>
      </c>
      <c r="N1151" s="810">
        <v>226.828</v>
      </c>
      <c r="O1151" s="810" t="s">
        <v>2434</v>
      </c>
      <c r="P1151" s="100" t="s">
        <v>2549</v>
      </c>
      <c r="Q1151" s="8"/>
      <c r="R1151" s="100"/>
      <c r="S1151" s="8"/>
    </row>
    <row r="1152" ht="14.25" customHeight="1">
      <c r="A1152" s="100" t="s">
        <v>2708</v>
      </c>
      <c r="B1152" s="100" t="s">
        <v>2709</v>
      </c>
      <c r="C1152" s="100" t="s">
        <v>2400</v>
      </c>
      <c r="D1152" s="100" t="s">
        <v>2690</v>
      </c>
      <c r="E1152" s="810">
        <v>41.8105</v>
      </c>
      <c r="F1152" s="810">
        <v>38.4411</v>
      </c>
      <c r="G1152" s="810">
        <v>35.4361</v>
      </c>
      <c r="H1152" s="810">
        <v>34.5959</v>
      </c>
      <c r="I1152" s="810">
        <v>32.9149</v>
      </c>
      <c r="J1152" s="810">
        <v>32.9289</v>
      </c>
      <c r="K1152" s="810">
        <v>32.5328</v>
      </c>
      <c r="L1152" s="810">
        <v>32.0293</v>
      </c>
      <c r="M1152" s="810">
        <v>31.8659</v>
      </c>
      <c r="N1152" s="810">
        <v>30.5794</v>
      </c>
      <c r="O1152" s="810" t="s">
        <v>2434</v>
      </c>
      <c r="P1152" s="100" t="s">
        <v>2549</v>
      </c>
      <c r="Q1152" s="8"/>
      <c r="R1152" s="100"/>
      <c r="S1152" s="8"/>
    </row>
    <row r="1153" ht="14.25" customHeight="1">
      <c r="A1153" s="100" t="s">
        <v>2708</v>
      </c>
      <c r="B1153" s="100" t="s">
        <v>2709</v>
      </c>
      <c r="C1153" s="100" t="s">
        <v>2416</v>
      </c>
      <c r="D1153" s="100" t="s">
        <v>2690</v>
      </c>
      <c r="E1153" s="810">
        <v>24.3502</v>
      </c>
      <c r="F1153" s="810">
        <v>23.1881</v>
      </c>
      <c r="G1153" s="810">
        <v>22.0817</v>
      </c>
      <c r="H1153" s="810">
        <v>21.9862</v>
      </c>
      <c r="I1153" s="810">
        <v>21.5751</v>
      </c>
      <c r="J1153" s="810">
        <v>21.1456</v>
      </c>
      <c r="K1153" s="810">
        <v>20.7941</v>
      </c>
      <c r="L1153" s="810">
        <v>19.5941</v>
      </c>
      <c r="M1153" s="810">
        <v>20.1638</v>
      </c>
      <c r="N1153" s="810" t="s">
        <v>2434</v>
      </c>
      <c r="O1153" s="810" t="s">
        <v>2434</v>
      </c>
      <c r="P1153" s="100" t="s">
        <v>2549</v>
      </c>
      <c r="Q1153" s="8"/>
      <c r="R1153" s="100"/>
      <c r="S1153" s="8"/>
    </row>
    <row r="1154" ht="14.25" customHeight="1">
      <c r="A1154" s="100" t="s">
        <v>2708</v>
      </c>
      <c r="B1154" s="100" t="s">
        <v>2709</v>
      </c>
      <c r="C1154" s="100" t="s">
        <v>2423</v>
      </c>
      <c r="D1154" s="100" t="s">
        <v>2690</v>
      </c>
      <c r="E1154" s="810">
        <v>41.1366</v>
      </c>
      <c r="F1154" s="810">
        <v>37.2696</v>
      </c>
      <c r="G1154" s="810">
        <v>38.6811</v>
      </c>
      <c r="H1154" s="810">
        <v>39.4865</v>
      </c>
      <c r="I1154" s="810">
        <v>35.5003</v>
      </c>
      <c r="J1154" s="810">
        <v>35.5214</v>
      </c>
      <c r="K1154" s="810">
        <v>35.8829</v>
      </c>
      <c r="L1154" s="810">
        <v>34.9989</v>
      </c>
      <c r="M1154" s="810">
        <v>33.6287</v>
      </c>
      <c r="N1154" s="810" t="s">
        <v>2434</v>
      </c>
      <c r="O1154" s="810" t="s">
        <v>2434</v>
      </c>
      <c r="P1154" s="100" t="s">
        <v>2549</v>
      </c>
      <c r="Q1154" s="8"/>
      <c r="R1154" s="100"/>
      <c r="S1154" s="8"/>
    </row>
    <row r="1155" ht="14.25" customHeight="1">
      <c r="A1155" s="100" t="s">
        <v>2708</v>
      </c>
      <c r="B1155" s="100" t="s">
        <v>2709</v>
      </c>
      <c r="C1155" s="100" t="s">
        <v>2360</v>
      </c>
      <c r="D1155" s="100" t="s">
        <v>2690</v>
      </c>
      <c r="E1155" s="810">
        <v>458.4034</v>
      </c>
      <c r="F1155" s="810">
        <v>422.087</v>
      </c>
      <c r="G1155" s="810">
        <v>444.6668</v>
      </c>
      <c r="H1155" s="810">
        <v>430.763</v>
      </c>
      <c r="I1155" s="810">
        <v>392.8092</v>
      </c>
      <c r="J1155" s="810">
        <v>377.4651</v>
      </c>
      <c r="K1155" s="810">
        <v>355.6757</v>
      </c>
      <c r="L1155" s="810">
        <v>342.442</v>
      </c>
      <c r="M1155" s="810">
        <v>337.9319</v>
      </c>
      <c r="N1155" s="810">
        <v>321.8054</v>
      </c>
      <c r="O1155" s="810" t="s">
        <v>2434</v>
      </c>
      <c r="P1155" s="100" t="s">
        <v>2549</v>
      </c>
      <c r="Q1155" s="8"/>
      <c r="R1155" s="100"/>
      <c r="S1155" s="8"/>
    </row>
    <row r="1156" ht="14.25" customHeight="1">
      <c r="A1156" s="100" t="s">
        <v>2708</v>
      </c>
      <c r="B1156" s="100" t="s">
        <v>2709</v>
      </c>
      <c r="C1156" s="100" t="s">
        <v>2535</v>
      </c>
      <c r="D1156" s="100" t="s">
        <v>2690</v>
      </c>
      <c r="E1156" s="810">
        <v>45.7391</v>
      </c>
      <c r="F1156" s="810">
        <v>49.4932</v>
      </c>
      <c r="G1156" s="810">
        <v>43.4106</v>
      </c>
      <c r="H1156" s="810">
        <v>43.7922</v>
      </c>
      <c r="I1156" s="810">
        <v>36.7496</v>
      </c>
      <c r="J1156" s="810">
        <v>43.0911</v>
      </c>
      <c r="K1156" s="810">
        <v>44.457</v>
      </c>
      <c r="L1156" s="810">
        <v>45.3556</v>
      </c>
      <c r="M1156" s="810">
        <v>44.1805</v>
      </c>
      <c r="N1156" s="810">
        <v>44.079</v>
      </c>
      <c r="O1156" s="810" t="s">
        <v>2434</v>
      </c>
      <c r="P1156" s="100" t="s">
        <v>2549</v>
      </c>
      <c r="Q1156" s="8"/>
      <c r="R1156" s="100"/>
      <c r="S1156" s="8"/>
    </row>
    <row r="1157" ht="14.25" customHeight="1">
      <c r="A1157" s="100" t="s">
        <v>2191</v>
      </c>
      <c r="B1157" s="100" t="s">
        <v>2710</v>
      </c>
      <c r="C1157" s="100" t="s">
        <v>2317</v>
      </c>
      <c r="D1157" s="100" t="s">
        <v>135</v>
      </c>
      <c r="E1157" s="810" t="str">
        <f t="shared" ref="E1157:O1157" si="97">#REF!</f>
        <v>#REF!</v>
      </c>
      <c r="F1157" s="810" t="str">
        <f t="shared" si="97"/>
        <v>#REF!</v>
      </c>
      <c r="G1157" s="810" t="str">
        <f t="shared" si="97"/>
        <v>#REF!</v>
      </c>
      <c r="H1157" s="810" t="str">
        <f t="shared" si="97"/>
        <v>#REF!</v>
      </c>
      <c r="I1157" s="810" t="str">
        <f t="shared" si="97"/>
        <v>#REF!</v>
      </c>
      <c r="J1157" s="810" t="str">
        <f t="shared" si="97"/>
        <v>#REF!</v>
      </c>
      <c r="K1157" s="810" t="str">
        <f t="shared" si="97"/>
        <v>#REF!</v>
      </c>
      <c r="L1157" s="810" t="str">
        <f t="shared" si="97"/>
        <v>#REF!</v>
      </c>
      <c r="M1157" s="810" t="str">
        <f t="shared" si="97"/>
        <v>#REF!</v>
      </c>
      <c r="N1157" s="810" t="str">
        <f t="shared" si="97"/>
        <v>#REF!</v>
      </c>
      <c r="O1157" s="810" t="str">
        <f t="shared" si="97"/>
        <v>#REF!</v>
      </c>
      <c r="P1157" s="100" t="s">
        <v>2546</v>
      </c>
      <c r="Q1157" s="100"/>
      <c r="R1157" s="100"/>
      <c r="S1157" s="8"/>
    </row>
    <row r="1158" ht="14.25" customHeight="1">
      <c r="A1158" s="100" t="str">
        <f t="shared" ref="A1158:B1158" si="98">A1157</f>
        <v>cmscfind</v>
      </c>
      <c r="B1158" s="100" t="str">
        <f t="shared" si="98"/>
        <v>Coal consumption of industry</v>
      </c>
      <c r="C1158" s="100" t="s">
        <v>2507</v>
      </c>
      <c r="D1158" s="100" t="str">
        <f>D1157</f>
        <v>TWh</v>
      </c>
      <c r="E1158" s="810" t="str">
        <f t="shared" ref="E1158:O1158" si="99">#REF!</f>
        <v>#REF!</v>
      </c>
      <c r="F1158" s="810" t="str">
        <f t="shared" si="99"/>
        <v>#REF!</v>
      </c>
      <c r="G1158" s="810" t="str">
        <f t="shared" si="99"/>
        <v>#REF!</v>
      </c>
      <c r="H1158" s="810" t="str">
        <f t="shared" si="99"/>
        <v>#REF!</v>
      </c>
      <c r="I1158" s="810" t="str">
        <f t="shared" si="99"/>
        <v>#REF!</v>
      </c>
      <c r="J1158" s="810" t="str">
        <f t="shared" si="99"/>
        <v>#REF!</v>
      </c>
      <c r="K1158" s="810" t="str">
        <f t="shared" si="99"/>
        <v>#REF!</v>
      </c>
      <c r="L1158" s="810" t="str">
        <f t="shared" si="99"/>
        <v>#REF!</v>
      </c>
      <c r="M1158" s="810" t="str">
        <f t="shared" si="99"/>
        <v>#REF!</v>
      </c>
      <c r="N1158" s="810" t="str">
        <f t="shared" si="99"/>
        <v>#REF!</v>
      </c>
      <c r="O1158" s="810" t="str">
        <f t="shared" si="99"/>
        <v>#REF!</v>
      </c>
      <c r="P1158" s="100"/>
      <c r="Q1158" s="100"/>
      <c r="R1158" s="100"/>
      <c r="S1158" s="8"/>
    </row>
    <row r="1159" ht="14.25" customHeight="1">
      <c r="A1159" s="100" t="s">
        <v>2191</v>
      </c>
      <c r="B1159" s="100" t="s">
        <v>2710</v>
      </c>
      <c r="C1159" s="100" t="s">
        <v>2325</v>
      </c>
      <c r="D1159" s="100" t="s">
        <v>135</v>
      </c>
      <c r="E1159" s="810">
        <v>23.068</v>
      </c>
      <c r="F1159" s="810">
        <v>22.6399</v>
      </c>
      <c r="G1159" s="810">
        <v>22.5441</v>
      </c>
      <c r="H1159" s="810">
        <v>23.2589</v>
      </c>
      <c r="I1159" s="810">
        <v>23.0267</v>
      </c>
      <c r="J1159" s="810">
        <v>25.3834</v>
      </c>
      <c r="K1159" s="810">
        <v>25.2934</v>
      </c>
      <c r="L1159" s="810">
        <v>27.6799</v>
      </c>
      <c r="M1159" s="810">
        <v>22.891</v>
      </c>
      <c r="N1159" s="810">
        <v>25.5218</v>
      </c>
      <c r="O1159" s="810" t="s">
        <v>2434</v>
      </c>
      <c r="P1159" s="100" t="s">
        <v>2616</v>
      </c>
      <c r="Q1159" s="100"/>
      <c r="R1159" s="100"/>
      <c r="S1159" s="8"/>
    </row>
    <row r="1160" ht="14.25" customHeight="1">
      <c r="A1160" s="100" t="s">
        <v>2191</v>
      </c>
      <c r="B1160" s="100" t="s">
        <v>2710</v>
      </c>
      <c r="C1160" s="100" t="s">
        <v>2329</v>
      </c>
      <c r="D1160" s="100" t="s">
        <v>135</v>
      </c>
      <c r="E1160" s="810">
        <v>17.6468</v>
      </c>
      <c r="F1160" s="810">
        <v>17.0644</v>
      </c>
      <c r="G1160" s="810">
        <v>15.5819</v>
      </c>
      <c r="H1160" s="810">
        <v>18.6272</v>
      </c>
      <c r="I1160" s="810">
        <v>19.1046</v>
      </c>
      <c r="J1160" s="810">
        <v>19.7817</v>
      </c>
      <c r="K1160" s="810">
        <v>21.8822</v>
      </c>
      <c r="L1160" s="810">
        <v>21.7616</v>
      </c>
      <c r="M1160" s="810">
        <v>21.7186</v>
      </c>
      <c r="N1160" s="810">
        <v>21.8677</v>
      </c>
      <c r="O1160" s="810" t="s">
        <v>2434</v>
      </c>
      <c r="P1160" s="100" t="s">
        <v>2651</v>
      </c>
      <c r="Q1160" s="100"/>
      <c r="R1160" s="100"/>
      <c r="S1160" s="8"/>
    </row>
    <row r="1161" ht="14.25" customHeight="1">
      <c r="A1161" s="100" t="s">
        <v>2191</v>
      </c>
      <c r="B1161" s="100" t="s">
        <v>2710</v>
      </c>
      <c r="C1161" s="100" t="s">
        <v>2333</v>
      </c>
      <c r="D1161" s="100" t="s">
        <v>135</v>
      </c>
      <c r="E1161" s="810">
        <v>2.5</v>
      </c>
      <c r="F1161" s="810">
        <v>2.3837</v>
      </c>
      <c r="G1161" s="810">
        <v>1.9767</v>
      </c>
      <c r="H1161" s="810">
        <v>1.8721</v>
      </c>
      <c r="I1161" s="810">
        <v>2.0233</v>
      </c>
      <c r="J1161" s="810">
        <v>2.1163</v>
      </c>
      <c r="K1161" s="810">
        <v>1.9651</v>
      </c>
      <c r="L1161" s="810">
        <v>2.3201</v>
      </c>
      <c r="M1161" s="810">
        <v>2.6635</v>
      </c>
      <c r="N1161" s="810">
        <v>2.2832</v>
      </c>
      <c r="O1161" s="810" t="s">
        <v>2434</v>
      </c>
      <c r="P1161" s="100" t="s">
        <v>2537</v>
      </c>
      <c r="Q1161" s="100"/>
      <c r="R1161" s="100"/>
      <c r="S1161" s="8"/>
    </row>
    <row r="1162" ht="14.25" customHeight="1">
      <c r="A1162" s="100" t="s">
        <v>2191</v>
      </c>
      <c r="B1162" s="100" t="s">
        <v>2710</v>
      </c>
      <c r="C1162" s="100" t="s">
        <v>2364</v>
      </c>
      <c r="D1162" s="100" t="s">
        <v>135</v>
      </c>
      <c r="E1162" s="810">
        <v>1.7237</v>
      </c>
      <c r="F1162" s="810">
        <v>1.6087</v>
      </c>
      <c r="G1162" s="810">
        <v>1.4503</v>
      </c>
      <c r="H1162" s="810">
        <v>1.2955</v>
      </c>
      <c r="I1162" s="810">
        <v>1.1576</v>
      </c>
      <c r="J1162" s="810">
        <v>0.9167</v>
      </c>
      <c r="K1162" s="810">
        <v>0.7479</v>
      </c>
      <c r="L1162" s="810">
        <v>0.8638</v>
      </c>
      <c r="M1162" s="810">
        <v>0.7835</v>
      </c>
      <c r="N1162" s="810">
        <v>0.9835</v>
      </c>
      <c r="O1162" s="810" t="s">
        <v>2434</v>
      </c>
      <c r="P1162" s="100" t="s">
        <v>2617</v>
      </c>
      <c r="Q1162" s="100"/>
      <c r="R1162" s="100"/>
      <c r="S1162" s="8"/>
    </row>
    <row r="1163" ht="14.25" customHeight="1">
      <c r="A1163" s="100" t="s">
        <v>2191</v>
      </c>
      <c r="B1163" s="100" t="s">
        <v>2710</v>
      </c>
      <c r="C1163" s="100" t="s">
        <v>2337</v>
      </c>
      <c r="D1163" s="100" t="s">
        <v>135</v>
      </c>
      <c r="E1163" s="810">
        <v>0.2618</v>
      </c>
      <c r="F1163" s="810">
        <v>0.104</v>
      </c>
      <c r="G1163" s="810">
        <v>0.0</v>
      </c>
      <c r="H1163" s="810">
        <v>0.0</v>
      </c>
      <c r="I1163" s="810">
        <v>0.1073</v>
      </c>
      <c r="J1163" s="810">
        <v>0.1354</v>
      </c>
      <c r="K1163" s="810">
        <v>0.0368</v>
      </c>
      <c r="L1163" s="810">
        <v>0.0368</v>
      </c>
      <c r="M1163" s="810">
        <v>0.2442</v>
      </c>
      <c r="N1163" s="810">
        <v>0.2883</v>
      </c>
      <c r="O1163" s="810">
        <v>0.2692</v>
      </c>
      <c r="P1163" s="100" t="s">
        <v>2512</v>
      </c>
      <c r="Q1163" s="100" t="s">
        <v>2711</v>
      </c>
      <c r="R1163" s="100"/>
      <c r="S1163" s="8"/>
    </row>
    <row r="1164" ht="14.25" customHeight="1">
      <c r="A1164" s="100" t="s">
        <v>2191</v>
      </c>
      <c r="B1164" s="100" t="s">
        <v>2710</v>
      </c>
      <c r="C1164" s="100" t="s">
        <v>2341</v>
      </c>
      <c r="D1164" s="100" t="s">
        <v>135</v>
      </c>
      <c r="E1164" s="810">
        <v>21.0417</v>
      </c>
      <c r="F1164" s="810">
        <v>21.2948</v>
      </c>
      <c r="G1164" s="810">
        <v>21.492</v>
      </c>
      <c r="H1164" s="810">
        <v>20.4323</v>
      </c>
      <c r="I1164" s="810">
        <v>22.3764</v>
      </c>
      <c r="J1164" s="810">
        <v>22.2667</v>
      </c>
      <c r="K1164" s="810">
        <v>23.0092</v>
      </c>
      <c r="L1164" s="810">
        <v>23.7018</v>
      </c>
      <c r="M1164" s="810">
        <v>24.6515</v>
      </c>
      <c r="N1164" s="810">
        <v>21.8803</v>
      </c>
      <c r="O1164" s="810" t="s">
        <v>2434</v>
      </c>
      <c r="P1164" s="100" t="s">
        <v>2546</v>
      </c>
      <c r="Q1164" s="100"/>
      <c r="R1164" s="100"/>
      <c r="S1164" s="8"/>
    </row>
    <row r="1165" ht="14.25" customHeight="1">
      <c r="A1165" s="100" t="s">
        <v>2191</v>
      </c>
      <c r="B1165" s="100" t="s">
        <v>2710</v>
      </c>
      <c r="C1165" s="100" t="s">
        <v>2348</v>
      </c>
      <c r="D1165" s="100" t="s">
        <v>135</v>
      </c>
      <c r="E1165" s="810">
        <v>1.2167</v>
      </c>
      <c r="F1165" s="810">
        <v>1.3432</v>
      </c>
      <c r="G1165" s="810">
        <v>1.0132</v>
      </c>
      <c r="H1165" s="810">
        <v>1.0833</v>
      </c>
      <c r="I1165" s="810">
        <v>1.1833</v>
      </c>
      <c r="J1165" s="810">
        <v>1.1645</v>
      </c>
      <c r="K1165" s="810">
        <v>1.2448</v>
      </c>
      <c r="L1165" s="810">
        <v>1.4024</v>
      </c>
      <c r="M1165" s="810">
        <v>1.4529</v>
      </c>
      <c r="N1165" s="810">
        <v>1.2026</v>
      </c>
      <c r="O1165" s="810" t="s">
        <v>2434</v>
      </c>
      <c r="P1165" s="100" t="s">
        <v>2618</v>
      </c>
      <c r="Q1165" s="100" t="s">
        <v>2712</v>
      </c>
      <c r="R1165" s="100"/>
      <c r="S1165" s="8"/>
    </row>
    <row r="1166" ht="14.25" customHeight="1">
      <c r="A1166" s="100" t="s">
        <v>2191</v>
      </c>
      <c r="B1166" s="100" t="s">
        <v>2710</v>
      </c>
      <c r="C1166" s="100" t="s">
        <v>2350</v>
      </c>
      <c r="D1166" s="100" t="s">
        <v>135</v>
      </c>
      <c r="E1166" s="810">
        <v>0.8311</v>
      </c>
      <c r="F1166" s="810">
        <v>1.2889</v>
      </c>
      <c r="G1166" s="810">
        <v>0.9757</v>
      </c>
      <c r="H1166" s="810">
        <v>0.8405</v>
      </c>
      <c r="I1166" s="810">
        <v>0.8929</v>
      </c>
      <c r="J1166" s="810">
        <v>0.3444</v>
      </c>
      <c r="K1166" s="810">
        <v>0.259</v>
      </c>
      <c r="L1166" s="810">
        <v>0.4299</v>
      </c>
      <c r="M1166" s="810">
        <v>0.6481</v>
      </c>
      <c r="N1166" s="810">
        <v>0.6599</v>
      </c>
      <c r="O1166" s="810" t="s">
        <v>2434</v>
      </c>
      <c r="P1166" s="100" t="s">
        <v>2400</v>
      </c>
      <c r="Q1166" s="100"/>
      <c r="R1166" s="100"/>
      <c r="S1166" s="8"/>
    </row>
    <row r="1167" ht="14.25" customHeight="1">
      <c r="A1167" s="100" t="s">
        <v>2191</v>
      </c>
      <c r="B1167" s="100" t="s">
        <v>2710</v>
      </c>
      <c r="C1167" s="100" t="s">
        <v>2354</v>
      </c>
      <c r="D1167" s="100" t="s">
        <v>135</v>
      </c>
      <c r="E1167" s="810">
        <v>9.3424</v>
      </c>
      <c r="F1167" s="810">
        <v>8.9174</v>
      </c>
      <c r="G1167" s="810">
        <v>8.0573</v>
      </c>
      <c r="H1167" s="810">
        <v>6.9663</v>
      </c>
      <c r="I1167" s="810">
        <v>7.3933</v>
      </c>
      <c r="J1167" s="810">
        <v>6.7836</v>
      </c>
      <c r="K1167" s="810">
        <v>8.2918</v>
      </c>
      <c r="L1167" s="810">
        <v>8.105</v>
      </c>
      <c r="M1167" s="810">
        <v>8.554</v>
      </c>
      <c r="N1167" s="810">
        <v>6.8662</v>
      </c>
      <c r="O1167" s="810" t="s">
        <v>2434</v>
      </c>
      <c r="P1167" s="100" t="s">
        <v>2619</v>
      </c>
      <c r="Q1167" s="100" t="s">
        <v>2713</v>
      </c>
      <c r="R1167" s="100"/>
      <c r="S1167" s="8"/>
    </row>
    <row r="1168" ht="14.25" customHeight="1">
      <c r="A1168" s="100" t="s">
        <v>2191</v>
      </c>
      <c r="B1168" s="100" t="s">
        <v>2710</v>
      </c>
      <c r="C1168" s="100" t="s">
        <v>2356</v>
      </c>
      <c r="D1168" s="100" t="s">
        <v>135</v>
      </c>
      <c r="E1168" s="810">
        <v>44.7543</v>
      </c>
      <c r="F1168" s="810">
        <v>41.3294</v>
      </c>
      <c r="G1168" s="810">
        <v>41.0393</v>
      </c>
      <c r="H1168" s="810">
        <v>39.4536</v>
      </c>
      <c r="I1168" s="810">
        <v>38.9597</v>
      </c>
      <c r="J1168" s="810">
        <v>38.3704</v>
      </c>
      <c r="K1168" s="810">
        <v>36.9099</v>
      </c>
      <c r="L1168" s="810">
        <v>39.3309</v>
      </c>
      <c r="M1168" s="810">
        <v>39.531</v>
      </c>
      <c r="N1168" s="810">
        <v>31.3604</v>
      </c>
      <c r="O1168" s="810" t="s">
        <v>2434</v>
      </c>
      <c r="P1168" s="100" t="s">
        <v>2620</v>
      </c>
      <c r="Q1168" s="100"/>
      <c r="R1168" s="100"/>
      <c r="S1168" s="8"/>
    </row>
    <row r="1169" ht="14.25" customHeight="1">
      <c r="A1169" s="100" t="s">
        <v>2191</v>
      </c>
      <c r="B1169" s="100" t="s">
        <v>2710</v>
      </c>
      <c r="C1169" s="100" t="s">
        <v>2344</v>
      </c>
      <c r="D1169" s="100" t="s">
        <v>135</v>
      </c>
      <c r="E1169" s="810">
        <v>110.6247</v>
      </c>
      <c r="F1169" s="810">
        <v>113.0685</v>
      </c>
      <c r="G1169" s="810">
        <v>110.3867</v>
      </c>
      <c r="H1169" s="810">
        <v>111.2085</v>
      </c>
      <c r="I1169" s="810">
        <v>112.8915</v>
      </c>
      <c r="J1169" s="810">
        <v>120.2336</v>
      </c>
      <c r="K1169" s="810">
        <v>122.0049</v>
      </c>
      <c r="L1169" s="810">
        <v>120.0067</v>
      </c>
      <c r="M1169" s="810">
        <v>117.8868</v>
      </c>
      <c r="N1169" s="810">
        <v>111.9787</v>
      </c>
      <c r="O1169" s="810" t="s">
        <v>2434</v>
      </c>
      <c r="P1169" s="100" t="s">
        <v>2621</v>
      </c>
      <c r="Q1169" s="100"/>
      <c r="R1169" s="100"/>
      <c r="S1169" s="8"/>
    </row>
    <row r="1170" ht="14.25" customHeight="1">
      <c r="A1170" s="100" t="s">
        <v>2191</v>
      </c>
      <c r="B1170" s="100" t="s">
        <v>2710</v>
      </c>
      <c r="C1170" s="100" t="s">
        <v>2362</v>
      </c>
      <c r="D1170" s="100" t="s">
        <v>135</v>
      </c>
      <c r="E1170" s="810">
        <v>3.4671</v>
      </c>
      <c r="F1170" s="810">
        <v>2.4528</v>
      </c>
      <c r="G1170" s="810">
        <v>2.638</v>
      </c>
      <c r="H1170" s="810">
        <v>2.4476</v>
      </c>
      <c r="I1170" s="810">
        <v>2.6362</v>
      </c>
      <c r="J1170" s="810">
        <v>2.537</v>
      </c>
      <c r="K1170" s="810">
        <v>2.2528</v>
      </c>
      <c r="L1170" s="810">
        <v>2.2141</v>
      </c>
      <c r="M1170" s="810">
        <v>3.226</v>
      </c>
      <c r="N1170" s="810">
        <v>2.2703</v>
      </c>
      <c r="O1170" s="810" t="s">
        <v>2434</v>
      </c>
      <c r="P1170" s="100" t="s">
        <v>2622</v>
      </c>
      <c r="Q1170" s="100"/>
      <c r="R1170" s="100"/>
      <c r="S1170" s="8"/>
    </row>
    <row r="1171" ht="14.25" customHeight="1">
      <c r="A1171" s="100" t="s">
        <v>2191</v>
      </c>
      <c r="B1171" s="100" t="s">
        <v>2710</v>
      </c>
      <c r="C1171" s="100" t="s">
        <v>2367</v>
      </c>
      <c r="D1171" s="100" t="s">
        <v>135</v>
      </c>
      <c r="E1171" s="810">
        <v>4.5408</v>
      </c>
      <c r="F1171" s="810">
        <v>4.6633</v>
      </c>
      <c r="G1171" s="810">
        <v>4.3046</v>
      </c>
      <c r="H1171" s="810">
        <v>2.3882</v>
      </c>
      <c r="I1171" s="810">
        <v>3.0292</v>
      </c>
      <c r="J1171" s="810">
        <v>4.1685</v>
      </c>
      <c r="K1171" s="810">
        <v>3.3061</v>
      </c>
      <c r="L1171" s="810">
        <v>4.9751</v>
      </c>
      <c r="M1171" s="810">
        <v>4.7097</v>
      </c>
      <c r="N1171" s="810">
        <v>4.2443</v>
      </c>
      <c r="O1171" s="810" t="s">
        <v>2434</v>
      </c>
      <c r="P1171" s="100" t="s">
        <v>2546</v>
      </c>
      <c r="Q1171" s="100"/>
      <c r="R1171" s="100"/>
      <c r="S1171" s="8"/>
    </row>
    <row r="1172" ht="14.25" customHeight="1">
      <c r="A1172" s="100" t="s">
        <v>2191</v>
      </c>
      <c r="B1172" s="100" t="s">
        <v>2710</v>
      </c>
      <c r="C1172" s="100" t="s">
        <v>2369</v>
      </c>
      <c r="D1172" s="100" t="s">
        <v>135</v>
      </c>
      <c r="E1172" s="810">
        <v>1.4484</v>
      </c>
      <c r="F1172" s="810">
        <v>1.2747</v>
      </c>
      <c r="G1172" s="810">
        <v>1.1367</v>
      </c>
      <c r="H1172" s="810">
        <v>0.9621</v>
      </c>
      <c r="I1172" s="810">
        <v>1.252</v>
      </c>
      <c r="J1172" s="810">
        <v>1.2405</v>
      </c>
      <c r="K1172" s="810">
        <v>1.2479</v>
      </c>
      <c r="L1172" s="810">
        <v>1.1976</v>
      </c>
      <c r="M1172" s="810">
        <v>1.2372</v>
      </c>
      <c r="N1172" s="810">
        <v>0.922</v>
      </c>
      <c r="O1172" s="810" t="s">
        <v>2434</v>
      </c>
      <c r="P1172" s="100" t="s">
        <v>2623</v>
      </c>
      <c r="Q1172" s="100" t="s">
        <v>193</v>
      </c>
      <c r="R1172" s="100"/>
      <c r="S1172" s="8"/>
    </row>
    <row r="1173" ht="14.25" customHeight="1">
      <c r="A1173" s="100" t="s">
        <v>2191</v>
      </c>
      <c r="B1173" s="100" t="s">
        <v>2710</v>
      </c>
      <c r="C1173" s="100" t="s">
        <v>2374</v>
      </c>
      <c r="D1173" s="100" t="s">
        <v>135</v>
      </c>
      <c r="E1173" s="810">
        <v>30.0703</v>
      </c>
      <c r="F1173" s="810">
        <v>34.6295</v>
      </c>
      <c r="G1173" s="810">
        <v>34.9444</v>
      </c>
      <c r="H1173" s="810">
        <v>25.5999</v>
      </c>
      <c r="I1173" s="810">
        <v>23.7645</v>
      </c>
      <c r="J1173" s="810">
        <v>17.4678</v>
      </c>
      <c r="K1173" s="810">
        <v>21.2142</v>
      </c>
      <c r="L1173" s="810">
        <v>16.5507</v>
      </c>
      <c r="M1173" s="810">
        <v>16.9385</v>
      </c>
      <c r="N1173" s="810">
        <v>16.5449</v>
      </c>
      <c r="O1173" s="810" t="s">
        <v>2434</v>
      </c>
      <c r="P1173" s="100" t="s">
        <v>2624</v>
      </c>
      <c r="Q1173" s="100"/>
      <c r="R1173" s="100"/>
      <c r="S1173" s="8"/>
    </row>
    <row r="1174" ht="14.25" customHeight="1">
      <c r="A1174" s="100" t="s">
        <v>2191</v>
      </c>
      <c r="B1174" s="100" t="s">
        <v>2710</v>
      </c>
      <c r="C1174" s="100" t="s">
        <v>2386</v>
      </c>
      <c r="D1174" s="100" t="s">
        <v>135</v>
      </c>
      <c r="E1174" s="810">
        <v>0.8837</v>
      </c>
      <c r="F1174" s="810">
        <v>1.2674</v>
      </c>
      <c r="G1174" s="810">
        <v>1.2791</v>
      </c>
      <c r="H1174" s="810">
        <v>1.0465</v>
      </c>
      <c r="I1174" s="810">
        <v>1.1279</v>
      </c>
      <c r="J1174" s="810">
        <v>0.9302</v>
      </c>
      <c r="K1174" s="810">
        <v>0.6395</v>
      </c>
      <c r="L1174" s="810">
        <v>0.5581</v>
      </c>
      <c r="M1174" s="810">
        <v>0.7558</v>
      </c>
      <c r="N1174" s="810">
        <v>0.8365</v>
      </c>
      <c r="O1174" s="810" t="s">
        <v>2434</v>
      </c>
      <c r="P1174" s="100" t="s">
        <v>2625</v>
      </c>
      <c r="Q1174" s="100"/>
      <c r="R1174" s="100"/>
      <c r="S1174" s="8"/>
    </row>
    <row r="1175" ht="14.25" customHeight="1">
      <c r="A1175" s="100" t="s">
        <v>2191</v>
      </c>
      <c r="B1175" s="100" t="s">
        <v>2710</v>
      </c>
      <c r="C1175" s="100" t="s">
        <v>2378</v>
      </c>
      <c r="D1175" s="100" t="s">
        <v>135</v>
      </c>
      <c r="E1175" s="810">
        <v>0.998</v>
      </c>
      <c r="F1175" s="810">
        <v>1.2512</v>
      </c>
      <c r="G1175" s="810">
        <v>1.413</v>
      </c>
      <c r="H1175" s="810">
        <v>1.6147</v>
      </c>
      <c r="I1175" s="810">
        <v>1.3956</v>
      </c>
      <c r="J1175" s="810">
        <v>1.1366</v>
      </c>
      <c r="K1175" s="810">
        <v>1.0367</v>
      </c>
      <c r="L1175" s="810">
        <v>1.0101</v>
      </c>
      <c r="M1175" s="810">
        <v>1.1276</v>
      </c>
      <c r="N1175" s="810">
        <v>1.2523</v>
      </c>
      <c r="O1175" s="810" t="s">
        <v>2434</v>
      </c>
      <c r="P1175" s="100" t="s">
        <v>2567</v>
      </c>
      <c r="Q1175" s="100"/>
      <c r="R1175" s="100"/>
      <c r="S1175" s="8"/>
    </row>
    <row r="1176" ht="14.25" customHeight="1">
      <c r="A1176" s="100" t="s">
        <v>2191</v>
      </c>
      <c r="B1176" s="100" t="s">
        <v>2710</v>
      </c>
      <c r="C1176" s="100" t="s">
        <v>2383</v>
      </c>
      <c r="D1176" s="100" t="s">
        <v>135</v>
      </c>
      <c r="E1176" s="810">
        <v>0.7674</v>
      </c>
      <c r="F1176" s="810">
        <v>0.6744</v>
      </c>
      <c r="G1176" s="810">
        <v>0.6395</v>
      </c>
      <c r="H1176" s="810">
        <v>0.5581</v>
      </c>
      <c r="I1176" s="810">
        <v>0.6163</v>
      </c>
      <c r="J1176" s="810">
        <v>0.5698</v>
      </c>
      <c r="K1176" s="810">
        <v>0.6047</v>
      </c>
      <c r="L1176" s="810">
        <v>0.5233</v>
      </c>
      <c r="M1176" s="810">
        <v>0.4884</v>
      </c>
      <c r="N1176" s="810">
        <v>0.5</v>
      </c>
      <c r="O1176" s="810" t="s">
        <v>2434</v>
      </c>
      <c r="P1176" s="100" t="s">
        <v>2523</v>
      </c>
      <c r="Q1176" s="100" t="s">
        <v>2714</v>
      </c>
      <c r="R1176" s="100"/>
      <c r="S1176" s="8"/>
    </row>
    <row r="1177" ht="14.25" customHeight="1">
      <c r="A1177" s="100" t="s">
        <v>2191</v>
      </c>
      <c r="B1177" s="100" t="s">
        <v>2710</v>
      </c>
      <c r="C1177" s="100" t="s">
        <v>2389</v>
      </c>
      <c r="D1177" s="100" t="s">
        <v>135</v>
      </c>
      <c r="E1177" s="810">
        <v>0.0</v>
      </c>
      <c r="F1177" s="810">
        <v>0.0</v>
      </c>
      <c r="G1177" s="810">
        <v>0.0</v>
      </c>
      <c r="H1177" s="810">
        <v>0.0</v>
      </c>
      <c r="I1177" s="810">
        <v>0.0</v>
      </c>
      <c r="J1177" s="810">
        <v>0.0</v>
      </c>
      <c r="K1177" s="810">
        <v>0.0</v>
      </c>
      <c r="L1177" s="810">
        <v>0.0</v>
      </c>
      <c r="M1177" s="810">
        <v>0.0</v>
      </c>
      <c r="N1177" s="810">
        <v>0.0</v>
      </c>
      <c r="O1177" s="810" t="s">
        <v>2434</v>
      </c>
      <c r="P1177" s="100" t="s">
        <v>2715</v>
      </c>
      <c r="Q1177" s="100" t="s">
        <v>2716</v>
      </c>
      <c r="R1177" s="100"/>
      <c r="S1177" s="8"/>
    </row>
    <row r="1178" ht="14.25" customHeight="1">
      <c r="A1178" s="100" t="s">
        <v>2191</v>
      </c>
      <c r="B1178" s="100" t="s">
        <v>2710</v>
      </c>
      <c r="C1178" s="100" t="s">
        <v>2391</v>
      </c>
      <c r="D1178" s="100" t="s">
        <v>135</v>
      </c>
      <c r="E1178" s="810">
        <v>15.6953</v>
      </c>
      <c r="F1178" s="810">
        <v>17.4917</v>
      </c>
      <c r="G1178" s="810">
        <v>18.1106</v>
      </c>
      <c r="H1178" s="810">
        <v>16.6969</v>
      </c>
      <c r="I1178" s="810">
        <v>17.4716</v>
      </c>
      <c r="J1178" s="810">
        <v>17.7259</v>
      </c>
      <c r="K1178" s="810">
        <v>17.9855</v>
      </c>
      <c r="L1178" s="810">
        <v>19.2519</v>
      </c>
      <c r="M1178" s="810">
        <v>18.4807</v>
      </c>
      <c r="N1178" s="810">
        <v>18.2669</v>
      </c>
      <c r="O1178" s="810" t="s">
        <v>2434</v>
      </c>
      <c r="P1178" s="100" t="s">
        <v>2546</v>
      </c>
      <c r="Q1178" s="100"/>
      <c r="R1178" s="100"/>
      <c r="S1178" s="8"/>
    </row>
    <row r="1179" ht="14.25" customHeight="1">
      <c r="A1179" s="100" t="s">
        <v>2191</v>
      </c>
      <c r="B1179" s="100" t="s">
        <v>2710</v>
      </c>
      <c r="C1179" s="100" t="s">
        <v>2393</v>
      </c>
      <c r="D1179" s="100" t="s">
        <v>135</v>
      </c>
      <c r="E1179" s="810">
        <v>45.3618</v>
      </c>
      <c r="F1179" s="810">
        <v>49.5924</v>
      </c>
      <c r="G1179" s="810">
        <v>48.1981</v>
      </c>
      <c r="H1179" s="810">
        <v>46.9109</v>
      </c>
      <c r="I1179" s="810">
        <v>48.3288</v>
      </c>
      <c r="J1179" s="810">
        <v>46.6986</v>
      </c>
      <c r="K1179" s="810">
        <v>45.4594</v>
      </c>
      <c r="L1179" s="810">
        <v>48.0751</v>
      </c>
      <c r="M1179" s="810">
        <v>47.677</v>
      </c>
      <c r="N1179" s="810">
        <v>45.5228</v>
      </c>
      <c r="O1179" s="810" t="s">
        <v>2434</v>
      </c>
      <c r="P1179" s="100" t="s">
        <v>2526</v>
      </c>
      <c r="Q1179" s="100"/>
      <c r="R1179" s="100"/>
      <c r="S1179" s="8"/>
    </row>
    <row r="1180" ht="14.25" customHeight="1">
      <c r="A1180" s="100" t="s">
        <v>2191</v>
      </c>
      <c r="B1180" s="100" t="s">
        <v>2710</v>
      </c>
      <c r="C1180" s="100" t="s">
        <v>2395</v>
      </c>
      <c r="D1180" s="100" t="s">
        <v>135</v>
      </c>
      <c r="E1180" s="810">
        <v>0.5837</v>
      </c>
      <c r="F1180" s="810">
        <v>0.2353</v>
      </c>
      <c r="G1180" s="810">
        <v>0.2222</v>
      </c>
      <c r="H1180" s="810">
        <v>0.286</v>
      </c>
      <c r="I1180" s="810">
        <v>0.144</v>
      </c>
      <c r="J1180" s="810">
        <v>0.1578</v>
      </c>
      <c r="K1180" s="810">
        <v>0.159</v>
      </c>
      <c r="L1180" s="810">
        <v>0.1279</v>
      </c>
      <c r="M1180" s="810">
        <v>0.1183</v>
      </c>
      <c r="N1180" s="810">
        <v>0.1247</v>
      </c>
      <c r="O1180" s="810" t="s">
        <v>2434</v>
      </c>
      <c r="P1180" s="100" t="s">
        <v>2626</v>
      </c>
      <c r="Q1180" s="100"/>
      <c r="R1180" s="100"/>
      <c r="S1180" s="8"/>
    </row>
    <row r="1181" ht="14.25" customHeight="1">
      <c r="A1181" s="100" t="s">
        <v>2191</v>
      </c>
      <c r="B1181" s="100" t="s">
        <v>2710</v>
      </c>
      <c r="C1181" s="100" t="s">
        <v>2397</v>
      </c>
      <c r="D1181" s="100" t="s">
        <v>135</v>
      </c>
      <c r="E1181" s="810">
        <v>14.9884</v>
      </c>
      <c r="F1181" s="810">
        <v>16.6046</v>
      </c>
      <c r="G1181" s="810">
        <v>8.8256</v>
      </c>
      <c r="H1181" s="810">
        <v>7.7326</v>
      </c>
      <c r="I1181" s="810">
        <v>6.9535</v>
      </c>
      <c r="J1181" s="810">
        <v>7.8372</v>
      </c>
      <c r="K1181" s="810">
        <v>7.8256</v>
      </c>
      <c r="L1181" s="810">
        <v>6.5233</v>
      </c>
      <c r="M1181" s="810">
        <v>6.4186</v>
      </c>
      <c r="N1181" s="810">
        <v>6.2326</v>
      </c>
      <c r="O1181" s="810" t="s">
        <v>2434</v>
      </c>
      <c r="P1181" s="100" t="s">
        <v>2528</v>
      </c>
      <c r="Q1181" s="100"/>
      <c r="R1181" s="100"/>
      <c r="S1181" s="8"/>
    </row>
    <row r="1182" ht="14.25" customHeight="1">
      <c r="A1182" s="100" t="s">
        <v>2191</v>
      </c>
      <c r="B1182" s="100" t="s">
        <v>2710</v>
      </c>
      <c r="C1182" s="100" t="s">
        <v>2411</v>
      </c>
      <c r="D1182" s="100" t="s">
        <v>135</v>
      </c>
      <c r="E1182" s="810">
        <v>15.0264</v>
      </c>
      <c r="F1182" s="810">
        <v>13.4412</v>
      </c>
      <c r="G1182" s="810">
        <v>14.5913</v>
      </c>
      <c r="H1182" s="810">
        <v>14.4518</v>
      </c>
      <c r="I1182" s="810">
        <v>14.8814</v>
      </c>
      <c r="J1182" s="810">
        <v>13.76</v>
      </c>
      <c r="K1182" s="810">
        <v>13.8405</v>
      </c>
      <c r="L1182" s="810">
        <v>14.6012</v>
      </c>
      <c r="M1182" s="810">
        <v>15.3298</v>
      </c>
      <c r="N1182" s="810">
        <v>11.8001</v>
      </c>
      <c r="O1182" s="810" t="s">
        <v>2434</v>
      </c>
      <c r="P1182" s="100" t="s">
        <v>2546</v>
      </c>
      <c r="Q1182" s="100"/>
      <c r="R1182" s="100"/>
      <c r="S1182" s="8"/>
    </row>
    <row r="1183" ht="14.25" customHeight="1">
      <c r="A1183" s="100" t="s">
        <v>2191</v>
      </c>
      <c r="B1183" s="100" t="s">
        <v>2710</v>
      </c>
      <c r="C1183" s="100" t="s">
        <v>2406</v>
      </c>
      <c r="D1183" s="100" t="s">
        <v>135</v>
      </c>
      <c r="E1183" s="810">
        <v>0.5519</v>
      </c>
      <c r="F1183" s="810">
        <v>0.6157</v>
      </c>
      <c r="G1183" s="810">
        <v>0.5906</v>
      </c>
      <c r="H1183" s="810">
        <v>0.552</v>
      </c>
      <c r="I1183" s="810">
        <v>0.524</v>
      </c>
      <c r="J1183" s="810">
        <v>0.457</v>
      </c>
      <c r="K1183" s="810">
        <v>0.4217</v>
      </c>
      <c r="L1183" s="810">
        <v>0.4448</v>
      </c>
      <c r="M1183" s="810">
        <v>0.4751</v>
      </c>
      <c r="N1183" s="810">
        <v>0.4628</v>
      </c>
      <c r="O1183" s="810" t="s">
        <v>2434</v>
      </c>
      <c r="P1183" s="100" t="s">
        <v>2628</v>
      </c>
      <c r="Q1183" s="100"/>
      <c r="R1183" s="100"/>
      <c r="S1183" s="8"/>
    </row>
    <row r="1184" ht="14.25" customHeight="1">
      <c r="A1184" s="100" t="s">
        <v>2191</v>
      </c>
      <c r="B1184" s="100" t="s">
        <v>2710</v>
      </c>
      <c r="C1184" s="100" t="s">
        <v>2352</v>
      </c>
      <c r="D1184" s="100" t="s">
        <v>135</v>
      </c>
      <c r="E1184" s="810">
        <v>12.9652</v>
      </c>
      <c r="F1184" s="810">
        <v>15.7752</v>
      </c>
      <c r="G1184" s="810">
        <v>11.6127</v>
      </c>
      <c r="H1184" s="810">
        <v>15.5506</v>
      </c>
      <c r="I1184" s="810">
        <v>12.8293</v>
      </c>
      <c r="J1184" s="810">
        <v>13.0682</v>
      </c>
      <c r="K1184" s="810">
        <v>12.1547</v>
      </c>
      <c r="L1184" s="810">
        <v>14.3345</v>
      </c>
      <c r="M1184" s="810">
        <v>12.7515</v>
      </c>
      <c r="N1184" s="810">
        <v>9.8992</v>
      </c>
      <c r="O1184" s="810" t="s">
        <v>2434</v>
      </c>
      <c r="P1184" s="100" t="s">
        <v>2629</v>
      </c>
      <c r="Q1184" s="100"/>
      <c r="R1184" s="100"/>
      <c r="S1184" s="8"/>
    </row>
    <row r="1185" ht="14.25" customHeight="1">
      <c r="A1185" s="100" t="s">
        <v>2191</v>
      </c>
      <c r="B1185" s="100" t="s">
        <v>2710</v>
      </c>
      <c r="C1185" s="100" t="s">
        <v>2400</v>
      </c>
      <c r="D1185" s="100" t="s">
        <v>135</v>
      </c>
      <c r="E1185" s="810">
        <v>17.1815</v>
      </c>
      <c r="F1185" s="810">
        <v>18.0624</v>
      </c>
      <c r="G1185" s="810">
        <v>15.7129</v>
      </c>
      <c r="H1185" s="810">
        <v>17.4239</v>
      </c>
      <c r="I1185" s="810">
        <v>17.4064</v>
      </c>
      <c r="J1185" s="810">
        <v>16.4265</v>
      </c>
      <c r="K1185" s="810">
        <v>17.3525</v>
      </c>
      <c r="L1185" s="810">
        <v>17.9513</v>
      </c>
      <c r="M1185" s="810">
        <v>17.3049</v>
      </c>
      <c r="N1185" s="810">
        <v>17.1022</v>
      </c>
      <c r="O1185" s="810" t="s">
        <v>2434</v>
      </c>
      <c r="P1185" s="100" t="s">
        <v>2630</v>
      </c>
      <c r="Q1185" s="100"/>
      <c r="R1185" s="100"/>
      <c r="S1185" s="8"/>
    </row>
    <row r="1186" ht="14.25" customHeight="1">
      <c r="A1186" s="100" t="s">
        <v>2191</v>
      </c>
      <c r="B1186" s="100" t="s">
        <v>2710</v>
      </c>
      <c r="C1186" s="100" t="s">
        <v>2416</v>
      </c>
      <c r="D1186" s="100" t="s">
        <v>135</v>
      </c>
      <c r="E1186" s="810">
        <v>7.0341</v>
      </c>
      <c r="F1186" s="810">
        <v>7.2222</v>
      </c>
      <c r="G1186" s="810">
        <v>7.52</v>
      </c>
      <c r="H1186" s="810">
        <v>7.5151</v>
      </c>
      <c r="I1186" s="810">
        <v>7.5715</v>
      </c>
      <c r="J1186" s="810">
        <v>7.3389</v>
      </c>
      <c r="K1186" s="810">
        <v>7.7051</v>
      </c>
      <c r="L1186" s="810">
        <v>7.8268</v>
      </c>
      <c r="M1186" s="810">
        <v>7.4814</v>
      </c>
      <c r="N1186" s="810">
        <v>7.5032</v>
      </c>
      <c r="O1186" s="810">
        <v>7.6309</v>
      </c>
      <c r="P1186" s="100" t="s">
        <v>2631</v>
      </c>
      <c r="Q1186" s="100"/>
      <c r="R1186" s="100"/>
      <c r="S1186" s="8"/>
    </row>
    <row r="1187" ht="14.25" customHeight="1">
      <c r="A1187" s="100" t="s">
        <v>2191</v>
      </c>
      <c r="B1187" s="100" t="s">
        <v>2710</v>
      </c>
      <c r="C1187" s="100" t="s">
        <v>2423</v>
      </c>
      <c r="D1187" s="100" t="s">
        <v>135</v>
      </c>
      <c r="E1187" s="810">
        <v>1.6163</v>
      </c>
      <c r="F1187" s="810">
        <v>1.5116</v>
      </c>
      <c r="G1187" s="810">
        <v>1.3488</v>
      </c>
      <c r="H1187" s="810">
        <v>1.4651</v>
      </c>
      <c r="I1187" s="810">
        <v>1.5233</v>
      </c>
      <c r="J1187" s="810">
        <v>1.3953</v>
      </c>
      <c r="K1187" s="810">
        <v>1.2326</v>
      </c>
      <c r="L1187" s="810">
        <v>1.2558</v>
      </c>
      <c r="M1187" s="810">
        <v>1.1628</v>
      </c>
      <c r="N1187" s="810">
        <v>0.9651</v>
      </c>
      <c r="O1187" s="810" t="s">
        <v>2434</v>
      </c>
      <c r="P1187" s="100" t="s">
        <v>2632</v>
      </c>
      <c r="Q1187" s="100"/>
      <c r="R1187" s="100"/>
      <c r="S1187" s="8"/>
    </row>
    <row r="1188" ht="14.25" customHeight="1">
      <c r="A1188" s="100" t="s">
        <v>2191</v>
      </c>
      <c r="B1188" s="100" t="s">
        <v>2710</v>
      </c>
      <c r="C1188" s="100" t="s">
        <v>2360</v>
      </c>
      <c r="D1188" s="100" t="s">
        <v>135</v>
      </c>
      <c r="E1188" s="810">
        <v>18.4238</v>
      </c>
      <c r="F1188" s="810">
        <v>16.7466</v>
      </c>
      <c r="G1188" s="810">
        <v>17.7554</v>
      </c>
      <c r="H1188" s="810">
        <v>23.0453</v>
      </c>
      <c r="I1188" s="810">
        <v>23.5854</v>
      </c>
      <c r="J1188" s="810">
        <v>19.8444</v>
      </c>
      <c r="K1188" s="810">
        <v>17.0231</v>
      </c>
      <c r="L1188" s="810">
        <v>14.8714</v>
      </c>
      <c r="M1188" s="810">
        <v>13.585</v>
      </c>
      <c r="N1188" s="810">
        <v>12.5466</v>
      </c>
      <c r="O1188" s="810" t="s">
        <v>2434</v>
      </c>
      <c r="P1188" s="100" t="s">
        <v>2612</v>
      </c>
      <c r="Q1188" s="100"/>
      <c r="R1188" s="100"/>
      <c r="S1188" s="8"/>
    </row>
    <row r="1189" ht="14.25" customHeight="1">
      <c r="A1189" s="100" t="s">
        <v>2191</v>
      </c>
      <c r="B1189" s="100" t="s">
        <v>2710</v>
      </c>
      <c r="C1189" s="100" t="s">
        <v>2535</v>
      </c>
      <c r="D1189" s="100" t="s">
        <v>135</v>
      </c>
      <c r="E1189" s="810">
        <v>6.236</v>
      </c>
      <c r="F1189" s="810">
        <v>6.0927</v>
      </c>
      <c r="G1189" s="810">
        <v>4.0751</v>
      </c>
      <c r="H1189" s="810">
        <v>3.2468</v>
      </c>
      <c r="I1189" s="810">
        <v>3.7644</v>
      </c>
      <c r="J1189" s="810">
        <v>5.2576</v>
      </c>
      <c r="K1189" s="810">
        <v>6.6672</v>
      </c>
      <c r="L1189" s="810">
        <v>6.0054</v>
      </c>
      <c r="M1189" s="810">
        <v>6.9427</v>
      </c>
      <c r="N1189" s="810">
        <v>6.3348</v>
      </c>
      <c r="O1189" s="810" t="s">
        <v>2434</v>
      </c>
      <c r="P1189" s="100" t="s">
        <v>2546</v>
      </c>
      <c r="Q1189" s="100" t="s">
        <v>2717</v>
      </c>
      <c r="R1189" s="100"/>
      <c r="S1189" s="8"/>
    </row>
    <row r="1190" ht="14.25" customHeight="1">
      <c r="A1190" s="100" t="s">
        <v>2195</v>
      </c>
      <c r="B1190" s="100" t="s">
        <v>2718</v>
      </c>
      <c r="C1190" s="100" t="s">
        <v>2317</v>
      </c>
      <c r="D1190" s="100" t="s">
        <v>135</v>
      </c>
      <c r="E1190" s="810" t="str">
        <f t="shared" ref="E1190:O1190" si="100">#REF!</f>
        <v>#REF!</v>
      </c>
      <c r="F1190" s="810" t="str">
        <f t="shared" si="100"/>
        <v>#REF!</v>
      </c>
      <c r="G1190" s="810" t="str">
        <f t="shared" si="100"/>
        <v>#REF!</v>
      </c>
      <c r="H1190" s="810" t="str">
        <f t="shared" si="100"/>
        <v>#REF!</v>
      </c>
      <c r="I1190" s="810" t="str">
        <f t="shared" si="100"/>
        <v>#REF!</v>
      </c>
      <c r="J1190" s="810" t="str">
        <f t="shared" si="100"/>
        <v>#REF!</v>
      </c>
      <c r="K1190" s="810" t="str">
        <f t="shared" si="100"/>
        <v>#REF!</v>
      </c>
      <c r="L1190" s="810" t="str">
        <f t="shared" si="100"/>
        <v>#REF!</v>
      </c>
      <c r="M1190" s="810" t="str">
        <f t="shared" si="100"/>
        <v>#REF!</v>
      </c>
      <c r="N1190" s="810" t="str">
        <f t="shared" si="100"/>
        <v>#REF!</v>
      </c>
      <c r="O1190" s="810" t="str">
        <f t="shared" si="100"/>
        <v>#REF!</v>
      </c>
      <c r="P1190" s="100" t="s">
        <v>2546</v>
      </c>
      <c r="Q1190" s="100"/>
      <c r="R1190" s="100"/>
      <c r="S1190" s="8"/>
    </row>
    <row r="1191" ht="14.25" customHeight="1">
      <c r="A1191" s="100" t="str">
        <f t="shared" ref="A1191:B1191" si="101">A1190</f>
        <v>petcfind</v>
      </c>
      <c r="B1191" s="100" t="str">
        <f t="shared" si="101"/>
        <v>Oil products consumption of industry</v>
      </c>
      <c r="C1191" s="100" t="s">
        <v>2507</v>
      </c>
      <c r="D1191" s="100" t="str">
        <f>D1190</f>
        <v>TWh</v>
      </c>
      <c r="E1191" s="810" t="str">
        <f t="shared" ref="E1191:O1191" si="102">#REF!</f>
        <v>#REF!</v>
      </c>
      <c r="F1191" s="810" t="str">
        <f t="shared" si="102"/>
        <v>#REF!</v>
      </c>
      <c r="G1191" s="810" t="str">
        <f t="shared" si="102"/>
        <v>#REF!</v>
      </c>
      <c r="H1191" s="810" t="str">
        <f t="shared" si="102"/>
        <v>#REF!</v>
      </c>
      <c r="I1191" s="810" t="str">
        <f t="shared" si="102"/>
        <v>#REF!</v>
      </c>
      <c r="J1191" s="810" t="str">
        <f t="shared" si="102"/>
        <v>#REF!</v>
      </c>
      <c r="K1191" s="810" t="str">
        <f t="shared" si="102"/>
        <v>#REF!</v>
      </c>
      <c r="L1191" s="810" t="str">
        <f t="shared" si="102"/>
        <v>#REF!</v>
      </c>
      <c r="M1191" s="810" t="str">
        <f t="shared" si="102"/>
        <v>#REF!</v>
      </c>
      <c r="N1191" s="810" t="str">
        <f t="shared" si="102"/>
        <v>#REF!</v>
      </c>
      <c r="O1191" s="810" t="str">
        <f t="shared" si="102"/>
        <v>#REF!</v>
      </c>
      <c r="P1191" s="100"/>
      <c r="Q1191" s="100"/>
      <c r="R1191" s="100"/>
      <c r="S1191" s="8"/>
    </row>
    <row r="1192" ht="14.25" customHeight="1">
      <c r="A1192" s="100" t="s">
        <v>2195</v>
      </c>
      <c r="B1192" s="100" t="s">
        <v>2718</v>
      </c>
      <c r="C1192" s="100" t="s">
        <v>2325</v>
      </c>
      <c r="D1192" s="100" t="s">
        <v>135</v>
      </c>
      <c r="E1192" s="810">
        <v>10.586</v>
      </c>
      <c r="F1192" s="810">
        <v>9.8873</v>
      </c>
      <c r="G1192" s="810">
        <v>9.4114</v>
      </c>
      <c r="H1192" s="810">
        <v>7.1469</v>
      </c>
      <c r="I1192" s="810">
        <v>6.3276</v>
      </c>
      <c r="J1192" s="810">
        <v>4.6939</v>
      </c>
      <c r="K1192" s="810">
        <v>4.251</v>
      </c>
      <c r="L1192" s="810">
        <v>4.095</v>
      </c>
      <c r="M1192" s="810">
        <v>3.8538</v>
      </c>
      <c r="N1192" s="810">
        <v>3.3983</v>
      </c>
      <c r="O1192" s="810" t="s">
        <v>2434</v>
      </c>
      <c r="P1192" s="100" t="s">
        <v>2616</v>
      </c>
      <c r="Q1192" s="100"/>
      <c r="R1192" s="100"/>
      <c r="S1192" s="8"/>
    </row>
    <row r="1193" ht="14.25" customHeight="1">
      <c r="A1193" s="100" t="s">
        <v>2195</v>
      </c>
      <c r="B1193" s="100" t="s">
        <v>2718</v>
      </c>
      <c r="C1193" s="100" t="s">
        <v>2329</v>
      </c>
      <c r="D1193" s="100" t="s">
        <v>135</v>
      </c>
      <c r="E1193" s="810">
        <v>20.9695</v>
      </c>
      <c r="F1193" s="810">
        <v>18.0384</v>
      </c>
      <c r="G1193" s="810">
        <v>19.0388</v>
      </c>
      <c r="H1193" s="810">
        <v>20.4399</v>
      </c>
      <c r="I1193" s="810">
        <v>20.9068</v>
      </c>
      <c r="J1193" s="810">
        <v>19.7675</v>
      </c>
      <c r="K1193" s="810">
        <v>19.7795</v>
      </c>
      <c r="L1193" s="810">
        <v>16.4273</v>
      </c>
      <c r="M1193" s="810">
        <v>17.1825</v>
      </c>
      <c r="N1193" s="810">
        <v>14.6768</v>
      </c>
      <c r="O1193" s="810" t="s">
        <v>2434</v>
      </c>
      <c r="P1193" s="100" t="s">
        <v>2651</v>
      </c>
      <c r="Q1193" s="100"/>
      <c r="R1193" s="100"/>
      <c r="S1193" s="8"/>
    </row>
    <row r="1194" ht="14.25" customHeight="1">
      <c r="A1194" s="100" t="s">
        <v>2195</v>
      </c>
      <c r="B1194" s="100" t="s">
        <v>2718</v>
      </c>
      <c r="C1194" s="100" t="s">
        <v>2333</v>
      </c>
      <c r="D1194" s="100" t="s">
        <v>135</v>
      </c>
      <c r="E1194" s="810">
        <v>3.7209</v>
      </c>
      <c r="F1194" s="810">
        <v>2.4767</v>
      </c>
      <c r="G1194" s="810">
        <v>2.3953</v>
      </c>
      <c r="H1194" s="810">
        <v>2.3837</v>
      </c>
      <c r="I1194" s="810">
        <v>2.2209</v>
      </c>
      <c r="J1194" s="810">
        <v>2.0581</v>
      </c>
      <c r="K1194" s="810">
        <v>2.2442</v>
      </c>
      <c r="L1194" s="810">
        <v>3.6419</v>
      </c>
      <c r="M1194" s="810">
        <v>4.6602</v>
      </c>
      <c r="N1194" s="810">
        <v>4.6385</v>
      </c>
      <c r="O1194" s="810" t="s">
        <v>2434</v>
      </c>
      <c r="P1194" s="100" t="s">
        <v>2537</v>
      </c>
      <c r="Q1194" s="100"/>
      <c r="R1194" s="100"/>
      <c r="S1194" s="8"/>
    </row>
    <row r="1195" ht="14.25" customHeight="1">
      <c r="A1195" s="100" t="s">
        <v>2195</v>
      </c>
      <c r="B1195" s="100" t="s">
        <v>2718</v>
      </c>
      <c r="C1195" s="100" t="s">
        <v>2364</v>
      </c>
      <c r="D1195" s="100" t="s">
        <v>135</v>
      </c>
      <c r="E1195" s="810">
        <v>3.48</v>
      </c>
      <c r="F1195" s="810">
        <v>3.1778</v>
      </c>
      <c r="G1195" s="810">
        <v>2.8729</v>
      </c>
      <c r="H1195" s="810">
        <v>3.1688</v>
      </c>
      <c r="I1195" s="810">
        <v>3.0962</v>
      </c>
      <c r="J1195" s="810">
        <v>3.171</v>
      </c>
      <c r="K1195" s="810">
        <v>3.2034</v>
      </c>
      <c r="L1195" s="810">
        <v>3.3461</v>
      </c>
      <c r="M1195" s="810">
        <v>3.386</v>
      </c>
      <c r="N1195" s="810">
        <v>2.9605</v>
      </c>
      <c r="O1195" s="810" t="s">
        <v>2434</v>
      </c>
      <c r="P1195" s="100" t="s">
        <v>2617</v>
      </c>
      <c r="Q1195" s="100"/>
      <c r="R1195" s="100"/>
      <c r="S1195" s="8"/>
    </row>
    <row r="1196" ht="14.25" customHeight="1">
      <c r="A1196" s="100" t="s">
        <v>2195</v>
      </c>
      <c r="B1196" s="100" t="s">
        <v>2718</v>
      </c>
      <c r="C1196" s="100" t="s">
        <v>2337</v>
      </c>
      <c r="D1196" s="100" t="s">
        <v>135</v>
      </c>
      <c r="E1196" s="810">
        <v>1.6913</v>
      </c>
      <c r="F1196" s="810">
        <v>1.4418</v>
      </c>
      <c r="G1196" s="810">
        <v>1.268</v>
      </c>
      <c r="H1196" s="810">
        <v>1.4958</v>
      </c>
      <c r="I1196" s="810">
        <v>1.7792</v>
      </c>
      <c r="J1196" s="810">
        <v>1.485</v>
      </c>
      <c r="K1196" s="810">
        <v>1.4181</v>
      </c>
      <c r="L1196" s="810">
        <v>1.475</v>
      </c>
      <c r="M1196" s="810">
        <v>1.1009</v>
      </c>
      <c r="N1196" s="810">
        <v>1.0322</v>
      </c>
      <c r="O1196" s="810">
        <v>1.0847</v>
      </c>
      <c r="P1196" s="100" t="s">
        <v>2512</v>
      </c>
      <c r="Q1196" s="100" t="s">
        <v>2711</v>
      </c>
      <c r="R1196" s="100"/>
      <c r="S1196" s="8"/>
    </row>
    <row r="1197" ht="14.25" customHeight="1">
      <c r="A1197" s="100" t="s">
        <v>2195</v>
      </c>
      <c r="B1197" s="100" t="s">
        <v>2718</v>
      </c>
      <c r="C1197" s="100" t="s">
        <v>2341</v>
      </c>
      <c r="D1197" s="100" t="s">
        <v>135</v>
      </c>
      <c r="E1197" s="810">
        <v>4.6727</v>
      </c>
      <c r="F1197" s="810">
        <v>3.9988</v>
      </c>
      <c r="G1197" s="810">
        <v>3.5959</v>
      </c>
      <c r="H1197" s="810">
        <v>2.4402</v>
      </c>
      <c r="I1197" s="810">
        <v>3.4965</v>
      </c>
      <c r="J1197" s="810">
        <v>3.5555</v>
      </c>
      <c r="K1197" s="810">
        <v>1.699</v>
      </c>
      <c r="L1197" s="810">
        <v>1.4902</v>
      </c>
      <c r="M1197" s="810">
        <v>1.8293</v>
      </c>
      <c r="N1197" s="810">
        <v>1.652</v>
      </c>
      <c r="O1197" s="810" t="s">
        <v>2434</v>
      </c>
      <c r="P1197" s="100" t="s">
        <v>2546</v>
      </c>
      <c r="Q1197" s="100"/>
      <c r="R1197" s="100"/>
      <c r="S1197" s="8"/>
    </row>
    <row r="1198" ht="14.25" customHeight="1">
      <c r="A1198" s="100" t="s">
        <v>2195</v>
      </c>
      <c r="B1198" s="100" t="s">
        <v>2718</v>
      </c>
      <c r="C1198" s="100" t="s">
        <v>2348</v>
      </c>
      <c r="D1198" s="100" t="s">
        <v>135</v>
      </c>
      <c r="E1198" s="810">
        <v>6.4064</v>
      </c>
      <c r="F1198" s="810">
        <v>6.0744</v>
      </c>
      <c r="G1198" s="810">
        <v>5.6417</v>
      </c>
      <c r="H1198" s="810">
        <v>4.8081</v>
      </c>
      <c r="I1198" s="810">
        <v>4.561</v>
      </c>
      <c r="J1198" s="810">
        <v>4.5557</v>
      </c>
      <c r="K1198" s="810">
        <v>4.929</v>
      </c>
      <c r="L1198" s="810">
        <v>5.1071</v>
      </c>
      <c r="M1198" s="810">
        <v>4.7413</v>
      </c>
      <c r="N1198" s="810">
        <v>4.9593</v>
      </c>
      <c r="O1198" s="810" t="s">
        <v>2434</v>
      </c>
      <c r="P1198" s="100" t="s">
        <v>2618</v>
      </c>
      <c r="Q1198" s="100" t="s">
        <v>2712</v>
      </c>
      <c r="R1198" s="100"/>
      <c r="S1198" s="8"/>
    </row>
    <row r="1199" ht="14.25" customHeight="1">
      <c r="A1199" s="100" t="s">
        <v>2195</v>
      </c>
      <c r="B1199" s="100" t="s">
        <v>2718</v>
      </c>
      <c r="C1199" s="100" t="s">
        <v>2350</v>
      </c>
      <c r="D1199" s="100" t="s">
        <v>135</v>
      </c>
      <c r="E1199" s="810">
        <v>0.7074</v>
      </c>
      <c r="F1199" s="810">
        <v>0.6961</v>
      </c>
      <c r="G1199" s="810">
        <v>0.8053</v>
      </c>
      <c r="H1199" s="810">
        <v>0.7582</v>
      </c>
      <c r="I1199" s="810">
        <v>0.7212</v>
      </c>
      <c r="J1199" s="810">
        <v>0.8044</v>
      </c>
      <c r="K1199" s="810">
        <v>0.8997</v>
      </c>
      <c r="L1199" s="810">
        <v>0.649</v>
      </c>
      <c r="M1199" s="810">
        <v>0.6027</v>
      </c>
      <c r="N1199" s="810">
        <v>0.741</v>
      </c>
      <c r="O1199" s="810" t="s">
        <v>2434</v>
      </c>
      <c r="P1199" s="100" t="s">
        <v>2400</v>
      </c>
      <c r="Q1199" s="100"/>
      <c r="R1199" s="100"/>
      <c r="S1199" s="8"/>
    </row>
    <row r="1200" ht="14.25" customHeight="1">
      <c r="A1200" s="100" t="s">
        <v>2195</v>
      </c>
      <c r="B1200" s="100" t="s">
        <v>2718</v>
      </c>
      <c r="C1200" s="100" t="s">
        <v>2354</v>
      </c>
      <c r="D1200" s="100" t="s">
        <v>135</v>
      </c>
      <c r="E1200" s="810">
        <v>18.0486</v>
      </c>
      <c r="F1200" s="810">
        <v>17.5773</v>
      </c>
      <c r="G1200" s="810">
        <v>15.7988</v>
      </c>
      <c r="H1200" s="810">
        <v>15.2441</v>
      </c>
      <c r="I1200" s="810">
        <v>14.8724</v>
      </c>
      <c r="J1200" s="810">
        <v>15.4642</v>
      </c>
      <c r="K1200" s="810">
        <v>14.2229</v>
      </c>
      <c r="L1200" s="810">
        <v>13.859</v>
      </c>
      <c r="M1200" s="810">
        <v>15.2226</v>
      </c>
      <c r="N1200" s="810">
        <v>11.7243</v>
      </c>
      <c r="O1200" s="810" t="s">
        <v>2434</v>
      </c>
      <c r="P1200" s="100" t="s">
        <v>2619</v>
      </c>
      <c r="Q1200" s="100" t="s">
        <v>2713</v>
      </c>
      <c r="R1200" s="100"/>
      <c r="S1200" s="8"/>
    </row>
    <row r="1201" ht="14.25" customHeight="1">
      <c r="A1201" s="100" t="s">
        <v>2195</v>
      </c>
      <c r="B1201" s="100" t="s">
        <v>2718</v>
      </c>
      <c r="C1201" s="100" t="s">
        <v>2356</v>
      </c>
      <c r="D1201" s="100" t="s">
        <v>135</v>
      </c>
      <c r="E1201" s="810">
        <v>33.407</v>
      </c>
      <c r="F1201" s="810">
        <v>41.017</v>
      </c>
      <c r="G1201" s="810">
        <v>36.3674</v>
      </c>
      <c r="H1201" s="810">
        <v>33.1013</v>
      </c>
      <c r="I1201" s="810">
        <v>30.8868</v>
      </c>
      <c r="J1201" s="810">
        <v>31.1639</v>
      </c>
      <c r="K1201" s="810">
        <v>32.5088</v>
      </c>
      <c r="L1201" s="810">
        <v>29.7713</v>
      </c>
      <c r="M1201" s="810">
        <v>27.8762</v>
      </c>
      <c r="N1201" s="810">
        <v>31.7907</v>
      </c>
      <c r="O1201" s="810" t="s">
        <v>2434</v>
      </c>
      <c r="P1201" s="100" t="s">
        <v>2620</v>
      </c>
      <c r="Q1201" s="100"/>
      <c r="R1201" s="100"/>
      <c r="S1201" s="8"/>
    </row>
    <row r="1202" ht="14.25" customHeight="1">
      <c r="A1202" s="100" t="s">
        <v>2195</v>
      </c>
      <c r="B1202" s="100" t="s">
        <v>2718</v>
      </c>
      <c r="C1202" s="100" t="s">
        <v>2344</v>
      </c>
      <c r="D1202" s="100" t="s">
        <v>135</v>
      </c>
      <c r="E1202" s="810">
        <v>43.6495</v>
      </c>
      <c r="F1202" s="810">
        <v>38.3951</v>
      </c>
      <c r="G1202" s="810">
        <v>38.4706</v>
      </c>
      <c r="H1202" s="810">
        <v>42.5411</v>
      </c>
      <c r="I1202" s="810">
        <v>37.4772</v>
      </c>
      <c r="J1202" s="810">
        <v>22.1639</v>
      </c>
      <c r="K1202" s="810">
        <v>20.9467</v>
      </c>
      <c r="L1202" s="810">
        <v>30.1523</v>
      </c>
      <c r="M1202" s="810">
        <v>23.218</v>
      </c>
      <c r="N1202" s="810">
        <v>27.2659</v>
      </c>
      <c r="O1202" s="810" t="s">
        <v>2434</v>
      </c>
      <c r="P1202" s="100" t="s">
        <v>2621</v>
      </c>
      <c r="Q1202" s="100"/>
      <c r="R1202" s="100"/>
      <c r="S1202" s="8"/>
    </row>
    <row r="1203" ht="14.25" customHeight="1">
      <c r="A1203" s="100" t="s">
        <v>2195</v>
      </c>
      <c r="B1203" s="100" t="s">
        <v>2718</v>
      </c>
      <c r="C1203" s="100" t="s">
        <v>2362</v>
      </c>
      <c r="D1203" s="100" t="s">
        <v>135</v>
      </c>
      <c r="E1203" s="810">
        <v>15.5624</v>
      </c>
      <c r="F1203" s="810">
        <v>12.0385</v>
      </c>
      <c r="G1203" s="810">
        <v>12.3237</v>
      </c>
      <c r="H1203" s="810">
        <v>11.4143</v>
      </c>
      <c r="I1203" s="810">
        <v>13.1107</v>
      </c>
      <c r="J1203" s="810">
        <v>13.1194</v>
      </c>
      <c r="K1203" s="810">
        <v>13.7653</v>
      </c>
      <c r="L1203" s="810">
        <v>12.3106</v>
      </c>
      <c r="M1203" s="810">
        <v>10.8203</v>
      </c>
      <c r="N1203" s="810">
        <v>9.9993</v>
      </c>
      <c r="O1203" s="810" t="s">
        <v>2434</v>
      </c>
      <c r="P1203" s="100" t="s">
        <v>2622</v>
      </c>
      <c r="Q1203" s="100"/>
      <c r="R1203" s="100"/>
      <c r="S1203" s="8"/>
    </row>
    <row r="1204" ht="14.25" customHeight="1">
      <c r="A1204" s="100" t="s">
        <v>2195</v>
      </c>
      <c r="B1204" s="100" t="s">
        <v>2718</v>
      </c>
      <c r="C1204" s="100" t="s">
        <v>2367</v>
      </c>
      <c r="D1204" s="100" t="s">
        <v>135</v>
      </c>
      <c r="E1204" s="810">
        <v>1.6373</v>
      </c>
      <c r="F1204" s="810">
        <v>6.2729</v>
      </c>
      <c r="G1204" s="810">
        <v>5.5887</v>
      </c>
      <c r="H1204" s="810">
        <v>6.2287</v>
      </c>
      <c r="I1204" s="810">
        <v>6.6125</v>
      </c>
      <c r="J1204" s="810">
        <v>7.2866</v>
      </c>
      <c r="K1204" s="810">
        <v>7.2085</v>
      </c>
      <c r="L1204" s="810">
        <v>7.7276</v>
      </c>
      <c r="M1204" s="810">
        <v>8.433</v>
      </c>
      <c r="N1204" s="810">
        <v>7.904</v>
      </c>
      <c r="O1204" s="810" t="s">
        <v>2434</v>
      </c>
      <c r="P1204" s="100" t="s">
        <v>2546</v>
      </c>
      <c r="Q1204" s="100"/>
      <c r="R1204" s="100"/>
      <c r="S1204" s="8"/>
    </row>
    <row r="1205" ht="14.25" customHeight="1">
      <c r="A1205" s="100" t="s">
        <v>2195</v>
      </c>
      <c r="B1205" s="100" t="s">
        <v>2718</v>
      </c>
      <c r="C1205" s="100" t="s">
        <v>2369</v>
      </c>
      <c r="D1205" s="100" t="s">
        <v>135</v>
      </c>
      <c r="E1205" s="810">
        <v>6.5384</v>
      </c>
      <c r="F1205" s="810">
        <v>4.5507</v>
      </c>
      <c r="G1205" s="810">
        <v>4.1476</v>
      </c>
      <c r="H1205" s="810">
        <v>4.6379</v>
      </c>
      <c r="I1205" s="810">
        <v>4.4741</v>
      </c>
      <c r="J1205" s="810">
        <v>4.0032</v>
      </c>
      <c r="K1205" s="810">
        <v>4.2151</v>
      </c>
      <c r="L1205" s="810">
        <v>4.2323</v>
      </c>
      <c r="M1205" s="810">
        <v>4.4811</v>
      </c>
      <c r="N1205" s="810">
        <v>4.4379</v>
      </c>
      <c r="O1205" s="810" t="s">
        <v>2434</v>
      </c>
      <c r="P1205" s="100" t="s">
        <v>2623</v>
      </c>
      <c r="Q1205" s="100"/>
      <c r="R1205" s="100"/>
      <c r="S1205" s="8"/>
    </row>
    <row r="1206" ht="14.25" customHeight="1">
      <c r="A1206" s="100" t="s">
        <v>2195</v>
      </c>
      <c r="B1206" s="100" t="s">
        <v>2718</v>
      </c>
      <c r="C1206" s="100" t="s">
        <v>2374</v>
      </c>
      <c r="D1206" s="100" t="s">
        <v>135</v>
      </c>
      <c r="E1206" s="810">
        <v>40.4723</v>
      </c>
      <c r="F1206" s="810">
        <v>40.5969</v>
      </c>
      <c r="G1206" s="810">
        <v>38.0048</v>
      </c>
      <c r="H1206" s="810">
        <v>31.9854</v>
      </c>
      <c r="I1206" s="810">
        <v>25.9885</v>
      </c>
      <c r="J1206" s="810">
        <v>32.2921</v>
      </c>
      <c r="K1206" s="810">
        <v>30.9437</v>
      </c>
      <c r="L1206" s="810">
        <v>22.7245</v>
      </c>
      <c r="M1206" s="810">
        <v>23.481</v>
      </c>
      <c r="N1206" s="810">
        <v>20.4166</v>
      </c>
      <c r="O1206" s="810" t="s">
        <v>2434</v>
      </c>
      <c r="P1206" s="100" t="s">
        <v>2624</v>
      </c>
      <c r="Q1206" s="100"/>
      <c r="R1206" s="100"/>
      <c r="S1206" s="8"/>
    </row>
    <row r="1207" ht="14.25" customHeight="1">
      <c r="A1207" s="100" t="s">
        <v>2195</v>
      </c>
      <c r="B1207" s="100" t="s">
        <v>2718</v>
      </c>
      <c r="C1207" s="100" t="s">
        <v>2386</v>
      </c>
      <c r="D1207" s="100" t="s">
        <v>135</v>
      </c>
      <c r="E1207" s="810">
        <v>0.9857</v>
      </c>
      <c r="F1207" s="810">
        <v>0.6618</v>
      </c>
      <c r="G1207" s="810">
        <v>0.7513</v>
      </c>
      <c r="H1207" s="810">
        <v>0.7229</v>
      </c>
      <c r="I1207" s="810">
        <v>0.6341</v>
      </c>
      <c r="J1207" s="810">
        <v>0.5674</v>
      </c>
      <c r="K1207" s="810">
        <v>0.6149</v>
      </c>
      <c r="L1207" s="810">
        <v>0.6163</v>
      </c>
      <c r="M1207" s="810">
        <v>0.6279</v>
      </c>
      <c r="N1207" s="810">
        <v>0.5748</v>
      </c>
      <c r="O1207" s="810" t="s">
        <v>2434</v>
      </c>
      <c r="P1207" s="100" t="s">
        <v>2625</v>
      </c>
      <c r="Q1207" s="100"/>
      <c r="R1207" s="100"/>
      <c r="S1207" s="8"/>
    </row>
    <row r="1208" ht="14.25" customHeight="1">
      <c r="A1208" s="100" t="s">
        <v>2195</v>
      </c>
      <c r="B1208" s="100" t="s">
        <v>2718</v>
      </c>
      <c r="C1208" s="100" t="s">
        <v>2378</v>
      </c>
      <c r="D1208" s="100" t="s">
        <v>135</v>
      </c>
      <c r="E1208" s="810">
        <v>0.4761</v>
      </c>
      <c r="F1208" s="810">
        <v>0.43</v>
      </c>
      <c r="G1208" s="810">
        <v>0.479</v>
      </c>
      <c r="H1208" s="810">
        <v>0.442</v>
      </c>
      <c r="I1208" s="810">
        <v>0.4513</v>
      </c>
      <c r="J1208" s="810">
        <v>0.4356</v>
      </c>
      <c r="K1208" s="810">
        <v>0.4033</v>
      </c>
      <c r="L1208" s="810">
        <v>0.4617</v>
      </c>
      <c r="M1208" s="810">
        <v>0.4283</v>
      </c>
      <c r="N1208" s="810">
        <v>0.4907</v>
      </c>
      <c r="O1208" s="810" t="s">
        <v>2434</v>
      </c>
      <c r="P1208" s="100" t="s">
        <v>2567</v>
      </c>
      <c r="Q1208" s="100"/>
      <c r="R1208" s="100"/>
      <c r="S1208" s="8"/>
    </row>
    <row r="1209" ht="14.25" customHeight="1">
      <c r="A1209" s="100" t="s">
        <v>2195</v>
      </c>
      <c r="B1209" s="100" t="s">
        <v>2718</v>
      </c>
      <c r="C1209" s="100" t="s">
        <v>2383</v>
      </c>
      <c r="D1209" s="100" t="s">
        <v>135</v>
      </c>
      <c r="E1209" s="810">
        <v>0.1512</v>
      </c>
      <c r="F1209" s="810">
        <v>0.1047</v>
      </c>
      <c r="G1209" s="810">
        <v>0.1279</v>
      </c>
      <c r="H1209" s="810">
        <v>0.1628</v>
      </c>
      <c r="I1209" s="810">
        <v>0.1163</v>
      </c>
      <c r="J1209" s="810">
        <v>0.1047</v>
      </c>
      <c r="K1209" s="810">
        <v>0.1047</v>
      </c>
      <c r="L1209" s="810">
        <v>0.1977</v>
      </c>
      <c r="M1209" s="810">
        <v>0.2093</v>
      </c>
      <c r="N1209" s="810">
        <v>0.2492</v>
      </c>
      <c r="O1209" s="810" t="s">
        <v>2434</v>
      </c>
      <c r="P1209" s="100" t="s">
        <v>2523</v>
      </c>
      <c r="Q1209" s="100" t="s">
        <v>2714</v>
      </c>
      <c r="R1209" s="100"/>
      <c r="S1209" s="8"/>
    </row>
    <row r="1210" ht="14.25" customHeight="1">
      <c r="A1210" s="100" t="s">
        <v>2195</v>
      </c>
      <c r="B1210" s="100" t="s">
        <v>2718</v>
      </c>
      <c r="C1210" s="100" t="s">
        <v>2389</v>
      </c>
      <c r="D1210" s="100" t="s">
        <v>135</v>
      </c>
      <c r="E1210" s="810">
        <v>0.1161</v>
      </c>
      <c r="F1210" s="810">
        <v>0.0605</v>
      </c>
      <c r="G1210" s="810">
        <v>0.1058</v>
      </c>
      <c r="H1210" s="810">
        <v>0.2032</v>
      </c>
      <c r="I1210" s="810">
        <v>0.2392</v>
      </c>
      <c r="J1210" s="810">
        <v>0.2261</v>
      </c>
      <c r="K1210" s="810">
        <v>0.2315</v>
      </c>
      <c r="L1210" s="810">
        <v>0.206</v>
      </c>
      <c r="M1210" s="810">
        <v>0.1681</v>
      </c>
      <c r="N1210" s="810">
        <v>0.1494</v>
      </c>
      <c r="O1210" s="810" t="s">
        <v>2434</v>
      </c>
      <c r="P1210" s="100" t="s">
        <v>2719</v>
      </c>
      <c r="Q1210" s="100" t="s">
        <v>2716</v>
      </c>
      <c r="R1210" s="100"/>
      <c r="S1210" s="8"/>
    </row>
    <row r="1211" ht="14.25" customHeight="1">
      <c r="A1211" s="100" t="s">
        <v>2195</v>
      </c>
      <c r="B1211" s="100" t="s">
        <v>2718</v>
      </c>
      <c r="C1211" s="100" t="s">
        <v>2391</v>
      </c>
      <c r="D1211" s="100" t="s">
        <v>135</v>
      </c>
      <c r="E1211" s="810">
        <v>36.3375</v>
      </c>
      <c r="F1211" s="810">
        <v>32.2824</v>
      </c>
      <c r="G1211" s="810">
        <v>36.0984</v>
      </c>
      <c r="H1211" s="810">
        <v>33.8667</v>
      </c>
      <c r="I1211" s="810">
        <v>34.8114</v>
      </c>
      <c r="J1211" s="810">
        <v>34.0294</v>
      </c>
      <c r="K1211" s="810">
        <v>37.7906</v>
      </c>
      <c r="L1211" s="810">
        <v>37.6476</v>
      </c>
      <c r="M1211" s="810">
        <v>38.1757</v>
      </c>
      <c r="N1211" s="810">
        <v>35.0675</v>
      </c>
      <c r="O1211" s="810" t="s">
        <v>2434</v>
      </c>
      <c r="P1211" s="100" t="s">
        <v>2546</v>
      </c>
      <c r="Q1211" s="100"/>
      <c r="R1211" s="100"/>
      <c r="S1211" s="8"/>
    </row>
    <row r="1212" ht="14.25" customHeight="1">
      <c r="A1212" s="100" t="s">
        <v>2195</v>
      </c>
      <c r="B1212" s="100" t="s">
        <v>2718</v>
      </c>
      <c r="C1212" s="100" t="s">
        <v>2393</v>
      </c>
      <c r="D1212" s="100" t="s">
        <v>135</v>
      </c>
      <c r="E1212" s="810">
        <v>13.9934</v>
      </c>
      <c r="F1212" s="810">
        <v>13.2435</v>
      </c>
      <c r="G1212" s="810">
        <v>11.4166</v>
      </c>
      <c r="H1212" s="810">
        <v>11.0164</v>
      </c>
      <c r="I1212" s="810">
        <v>9.7768</v>
      </c>
      <c r="J1212" s="810">
        <v>8.6986</v>
      </c>
      <c r="K1212" s="810">
        <v>8.9353</v>
      </c>
      <c r="L1212" s="810">
        <v>8.7122</v>
      </c>
      <c r="M1212" s="810">
        <v>8.9406</v>
      </c>
      <c r="N1212" s="810">
        <v>10.5302</v>
      </c>
      <c r="O1212" s="810" t="s">
        <v>2434</v>
      </c>
      <c r="P1212" s="100" t="s">
        <v>2526</v>
      </c>
      <c r="Q1212" s="100"/>
      <c r="R1212" s="100"/>
      <c r="S1212" s="8"/>
    </row>
    <row r="1213" ht="14.25" customHeight="1">
      <c r="A1213" s="100" t="s">
        <v>2195</v>
      </c>
      <c r="B1213" s="100" t="s">
        <v>2718</v>
      </c>
      <c r="C1213" s="100" t="s">
        <v>2395</v>
      </c>
      <c r="D1213" s="100" t="s">
        <v>135</v>
      </c>
      <c r="E1213" s="810">
        <v>12.4077</v>
      </c>
      <c r="F1213" s="810">
        <v>10.0726</v>
      </c>
      <c r="G1213" s="810">
        <v>8.1046</v>
      </c>
      <c r="H1213" s="810">
        <v>7.6721</v>
      </c>
      <c r="I1213" s="810">
        <v>8.4626</v>
      </c>
      <c r="J1213" s="810">
        <v>8.4437</v>
      </c>
      <c r="K1213" s="810">
        <v>6.7527</v>
      </c>
      <c r="L1213" s="810">
        <v>7.087</v>
      </c>
      <c r="M1213" s="810">
        <v>6.8303</v>
      </c>
      <c r="N1213" s="810">
        <v>6.4245</v>
      </c>
      <c r="O1213" s="810" t="s">
        <v>2434</v>
      </c>
      <c r="P1213" s="100" t="s">
        <v>2626</v>
      </c>
      <c r="Q1213" s="100"/>
      <c r="R1213" s="100"/>
      <c r="S1213" s="8"/>
    </row>
    <row r="1214" ht="14.25" customHeight="1">
      <c r="A1214" s="100" t="s">
        <v>2195</v>
      </c>
      <c r="B1214" s="100" t="s">
        <v>2718</v>
      </c>
      <c r="C1214" s="100" t="s">
        <v>2397</v>
      </c>
      <c r="D1214" s="100" t="s">
        <v>135</v>
      </c>
      <c r="E1214" s="810">
        <v>10.8256</v>
      </c>
      <c r="F1214" s="810">
        <v>9.6977</v>
      </c>
      <c r="G1214" s="810">
        <v>11.1395</v>
      </c>
      <c r="H1214" s="810">
        <v>9.9767</v>
      </c>
      <c r="I1214" s="810">
        <v>10.6512</v>
      </c>
      <c r="J1214" s="810">
        <v>11.2674</v>
      </c>
      <c r="K1214" s="810">
        <v>10.7442</v>
      </c>
      <c r="L1214" s="810">
        <v>10.9186</v>
      </c>
      <c r="M1214" s="810">
        <v>15.0232</v>
      </c>
      <c r="N1214" s="810">
        <v>14.9419</v>
      </c>
      <c r="O1214" s="810" t="s">
        <v>2434</v>
      </c>
      <c r="P1214" s="100" t="s">
        <v>2528</v>
      </c>
      <c r="Q1214" s="100"/>
      <c r="R1214" s="100"/>
      <c r="S1214" s="8"/>
    </row>
    <row r="1215" ht="14.25" customHeight="1">
      <c r="A1215" s="100" t="s">
        <v>2195</v>
      </c>
      <c r="B1215" s="100" t="s">
        <v>2718</v>
      </c>
      <c r="C1215" s="100" t="s">
        <v>2411</v>
      </c>
      <c r="D1215" s="100" t="s">
        <v>135</v>
      </c>
      <c r="E1215" s="810">
        <v>1.2384</v>
      </c>
      <c r="F1215" s="810">
        <v>1.2337</v>
      </c>
      <c r="G1215" s="810">
        <v>1.9267</v>
      </c>
      <c r="H1215" s="810">
        <v>0.7674</v>
      </c>
      <c r="I1215" s="810">
        <v>0.8453</v>
      </c>
      <c r="J1215" s="810">
        <v>1.3198</v>
      </c>
      <c r="K1215" s="810">
        <v>1.3372</v>
      </c>
      <c r="L1215" s="810">
        <v>1.6373</v>
      </c>
      <c r="M1215" s="810">
        <v>3.4824</v>
      </c>
      <c r="N1215" s="810">
        <v>3.3601</v>
      </c>
      <c r="O1215" s="810" t="s">
        <v>2434</v>
      </c>
      <c r="P1215" s="100" t="s">
        <v>2546</v>
      </c>
      <c r="Q1215" s="100"/>
      <c r="R1215" s="100"/>
      <c r="S1215" s="8"/>
    </row>
    <row r="1216" ht="14.25" customHeight="1">
      <c r="A1216" s="100" t="s">
        <v>2195</v>
      </c>
      <c r="B1216" s="100" t="s">
        <v>2718</v>
      </c>
      <c r="C1216" s="100" t="s">
        <v>2406</v>
      </c>
      <c r="D1216" s="100" t="s">
        <v>135</v>
      </c>
      <c r="E1216" s="810">
        <v>1.4784</v>
      </c>
      <c r="F1216" s="810">
        <v>1.3363</v>
      </c>
      <c r="G1216" s="810">
        <v>1.2313</v>
      </c>
      <c r="H1216" s="810">
        <v>1.3585</v>
      </c>
      <c r="I1216" s="810">
        <v>1.2937</v>
      </c>
      <c r="J1216" s="810">
        <v>1.0843</v>
      </c>
      <c r="K1216" s="810">
        <v>1.0942</v>
      </c>
      <c r="L1216" s="810">
        <v>1.1156</v>
      </c>
      <c r="M1216" s="810">
        <v>1.1553</v>
      </c>
      <c r="N1216" s="810">
        <v>1.1834</v>
      </c>
      <c r="O1216" s="810" t="s">
        <v>2434</v>
      </c>
      <c r="P1216" s="100" t="s">
        <v>2628</v>
      </c>
      <c r="Q1216" s="100"/>
      <c r="R1216" s="100"/>
      <c r="S1216" s="8"/>
    </row>
    <row r="1217" ht="14.25" customHeight="1">
      <c r="A1217" s="100" t="s">
        <v>2195</v>
      </c>
      <c r="B1217" s="100" t="s">
        <v>2718</v>
      </c>
      <c r="C1217" s="100" t="s">
        <v>2352</v>
      </c>
      <c r="D1217" s="100" t="s">
        <v>135</v>
      </c>
      <c r="E1217" s="810">
        <v>57.8709</v>
      </c>
      <c r="F1217" s="810">
        <v>51.2831</v>
      </c>
      <c r="G1217" s="810">
        <v>41.0204</v>
      </c>
      <c r="H1217" s="810">
        <v>31.453</v>
      </c>
      <c r="I1217" s="810">
        <v>29.9157</v>
      </c>
      <c r="J1217" s="810">
        <v>31.8863</v>
      </c>
      <c r="K1217" s="810">
        <v>33.2104</v>
      </c>
      <c r="L1217" s="810">
        <v>33.4647</v>
      </c>
      <c r="M1217" s="810">
        <v>34.6134</v>
      </c>
      <c r="N1217" s="810">
        <v>33.8291</v>
      </c>
      <c r="O1217" s="810" t="s">
        <v>2434</v>
      </c>
      <c r="P1217" s="100" t="s">
        <v>2629</v>
      </c>
      <c r="Q1217" s="100"/>
      <c r="R1217" s="100"/>
      <c r="S1217" s="8"/>
    </row>
    <row r="1218" ht="14.25" customHeight="1">
      <c r="A1218" s="100" t="s">
        <v>2195</v>
      </c>
      <c r="B1218" s="100" t="s">
        <v>2718</v>
      </c>
      <c r="C1218" s="100" t="s">
        <v>2400</v>
      </c>
      <c r="D1218" s="100" t="s">
        <v>135</v>
      </c>
      <c r="E1218" s="810">
        <v>16.3049</v>
      </c>
      <c r="F1218" s="810">
        <v>14.518</v>
      </c>
      <c r="G1218" s="810">
        <v>13.7627</v>
      </c>
      <c r="H1218" s="810">
        <v>12.1326</v>
      </c>
      <c r="I1218" s="810">
        <v>10.8974</v>
      </c>
      <c r="J1218" s="810">
        <v>10.336</v>
      </c>
      <c r="K1218" s="810">
        <v>10.8499</v>
      </c>
      <c r="L1218" s="810">
        <v>10.8813</v>
      </c>
      <c r="M1218" s="810">
        <v>11.3714</v>
      </c>
      <c r="N1218" s="810">
        <v>10.637</v>
      </c>
      <c r="O1218" s="810" t="s">
        <v>2434</v>
      </c>
      <c r="P1218" s="100" t="s">
        <v>2630</v>
      </c>
      <c r="Q1218" s="100"/>
      <c r="R1218" s="100"/>
      <c r="S1218" s="8"/>
    </row>
    <row r="1219" ht="14.25" customHeight="1">
      <c r="A1219" s="100" t="s">
        <v>2195</v>
      </c>
      <c r="B1219" s="100" t="s">
        <v>2718</v>
      </c>
      <c r="C1219" s="100" t="s">
        <v>2416</v>
      </c>
      <c r="D1219" s="100" t="s">
        <v>135</v>
      </c>
      <c r="E1219" s="810">
        <v>12.2207</v>
      </c>
      <c r="F1219" s="810">
        <v>11.6378</v>
      </c>
      <c r="G1219" s="810">
        <v>10.6937</v>
      </c>
      <c r="H1219" s="810">
        <v>11.0579</v>
      </c>
      <c r="I1219" s="810">
        <v>10.2454</v>
      </c>
      <c r="J1219" s="810">
        <v>10.6324</v>
      </c>
      <c r="K1219" s="810">
        <v>9.9792</v>
      </c>
      <c r="L1219" s="810">
        <v>10.3978</v>
      </c>
      <c r="M1219" s="810">
        <v>11.0806</v>
      </c>
      <c r="N1219" s="810">
        <v>10.7155</v>
      </c>
      <c r="O1219" s="810">
        <v>10.5987</v>
      </c>
      <c r="P1219" s="100" t="s">
        <v>2631</v>
      </c>
      <c r="Q1219" s="100"/>
      <c r="R1219" s="100"/>
      <c r="S1219" s="8"/>
    </row>
    <row r="1220" ht="14.25" customHeight="1">
      <c r="A1220" s="100" t="s">
        <v>2195</v>
      </c>
      <c r="B1220" s="100" t="s">
        <v>2718</v>
      </c>
      <c r="C1220" s="100" t="s">
        <v>2423</v>
      </c>
      <c r="D1220" s="100" t="s">
        <v>135</v>
      </c>
      <c r="E1220" s="810">
        <v>5.0465</v>
      </c>
      <c r="F1220" s="810">
        <v>4.1977</v>
      </c>
      <c r="G1220" s="810">
        <v>4.1977</v>
      </c>
      <c r="H1220" s="810">
        <v>4.0116</v>
      </c>
      <c r="I1220" s="810">
        <v>3.1279</v>
      </c>
      <c r="J1220" s="810">
        <v>3.2442</v>
      </c>
      <c r="K1220" s="810">
        <v>2.8256</v>
      </c>
      <c r="L1220" s="810">
        <v>2.7326</v>
      </c>
      <c r="M1220" s="810">
        <v>2.4302</v>
      </c>
      <c r="N1220" s="810">
        <v>2.314</v>
      </c>
      <c r="O1220" s="810" t="s">
        <v>2434</v>
      </c>
      <c r="P1220" s="100" t="s">
        <v>2632</v>
      </c>
      <c r="Q1220" s="100"/>
      <c r="R1220" s="100"/>
      <c r="S1220" s="8"/>
    </row>
    <row r="1221" ht="14.25" customHeight="1">
      <c r="A1221" s="100" t="s">
        <v>2195</v>
      </c>
      <c r="B1221" s="100" t="s">
        <v>2718</v>
      </c>
      <c r="C1221" s="100" t="s">
        <v>2360</v>
      </c>
      <c r="D1221" s="100" t="s">
        <v>135</v>
      </c>
      <c r="E1221" s="810">
        <v>60.5596</v>
      </c>
      <c r="F1221" s="810">
        <v>49.7088</v>
      </c>
      <c r="G1221" s="810">
        <v>51.5723</v>
      </c>
      <c r="H1221" s="810">
        <v>44.8009</v>
      </c>
      <c r="I1221" s="810">
        <v>46.8182</v>
      </c>
      <c r="J1221" s="810">
        <v>46.5268</v>
      </c>
      <c r="K1221" s="810">
        <v>24.4767</v>
      </c>
      <c r="L1221" s="810">
        <v>29.2181</v>
      </c>
      <c r="M1221" s="810">
        <v>28.5926</v>
      </c>
      <c r="N1221" s="810">
        <v>25.4028</v>
      </c>
      <c r="O1221" s="810" t="s">
        <v>2434</v>
      </c>
      <c r="P1221" s="100" t="s">
        <v>2636</v>
      </c>
      <c r="Q1221" s="100"/>
      <c r="R1221" s="100"/>
      <c r="S1221" s="8"/>
    </row>
    <row r="1222" ht="14.25" customHeight="1">
      <c r="A1222" s="100" t="s">
        <v>2195</v>
      </c>
      <c r="B1222" s="100" t="s">
        <v>2718</v>
      </c>
      <c r="C1222" s="100" t="s">
        <v>2535</v>
      </c>
      <c r="D1222" s="100" t="s">
        <v>135</v>
      </c>
      <c r="E1222" s="810">
        <v>4.1546</v>
      </c>
      <c r="F1222" s="810">
        <v>5.5687</v>
      </c>
      <c r="G1222" s="810">
        <v>6.8126</v>
      </c>
      <c r="H1222" s="810">
        <v>4.511</v>
      </c>
      <c r="I1222" s="810">
        <v>4.3779</v>
      </c>
      <c r="J1222" s="810">
        <v>4.1233</v>
      </c>
      <c r="K1222" s="810">
        <v>4.1309</v>
      </c>
      <c r="L1222" s="810">
        <v>3.8349</v>
      </c>
      <c r="M1222" s="810">
        <v>4.1041</v>
      </c>
      <c r="N1222" s="810">
        <v>4.3087</v>
      </c>
      <c r="O1222" s="810" t="s">
        <v>2434</v>
      </c>
      <c r="P1222" s="100" t="s">
        <v>2546</v>
      </c>
      <c r="Q1222" s="100" t="s">
        <v>2717</v>
      </c>
      <c r="R1222" s="100"/>
      <c r="S1222" s="8"/>
    </row>
    <row r="1223" ht="14.25" customHeight="1">
      <c r="A1223" s="100" t="s">
        <v>2201</v>
      </c>
      <c r="B1223" s="100" t="s">
        <v>2720</v>
      </c>
      <c r="C1223" s="100" t="s">
        <v>2317</v>
      </c>
      <c r="D1223" s="100" t="s">
        <v>135</v>
      </c>
      <c r="E1223" s="810" t="str">
        <f t="shared" ref="E1223:M1223" si="103">#REF!</f>
        <v>#REF!</v>
      </c>
      <c r="F1223" s="810" t="str">
        <f t="shared" si="103"/>
        <v>#REF!</v>
      </c>
      <c r="G1223" s="810" t="str">
        <f t="shared" si="103"/>
        <v>#REF!</v>
      </c>
      <c r="H1223" s="810" t="str">
        <f t="shared" si="103"/>
        <v>#REF!</v>
      </c>
      <c r="I1223" s="810" t="str">
        <f t="shared" si="103"/>
        <v>#REF!</v>
      </c>
      <c r="J1223" s="810" t="str">
        <f t="shared" si="103"/>
        <v>#REF!</v>
      </c>
      <c r="K1223" s="810" t="str">
        <f t="shared" si="103"/>
        <v>#REF!</v>
      </c>
      <c r="L1223" s="810" t="str">
        <f t="shared" si="103"/>
        <v>#REF!</v>
      </c>
      <c r="M1223" s="810" t="str">
        <f t="shared" si="103"/>
        <v>#REF!</v>
      </c>
      <c r="N1223" s="817" t="str">
        <f>(M1223*(N1224+N1254)/(M1224+M1254))</f>
        <v>#REF!</v>
      </c>
      <c r="O1223" s="810" t="str">
        <f>#REF!</f>
        <v>#REF!</v>
      </c>
      <c r="P1223" s="100" t="s">
        <v>2546</v>
      </c>
      <c r="Q1223" s="100"/>
      <c r="R1223" s="100"/>
      <c r="S1223" s="8"/>
    </row>
    <row r="1224" ht="14.25" customHeight="1">
      <c r="A1224" s="100" t="str">
        <f t="shared" ref="A1224:B1224" si="104">A1223</f>
        <v>vapcfind</v>
      </c>
      <c r="B1224" s="100" t="str">
        <f t="shared" si="104"/>
        <v>Heat consumption of industry</v>
      </c>
      <c r="C1224" s="100" t="s">
        <v>2507</v>
      </c>
      <c r="D1224" s="100" t="str">
        <f>D1223</f>
        <v>TWh</v>
      </c>
      <c r="E1224" s="810" t="str">
        <f t="shared" ref="E1224:O1224" si="105">#REF!</f>
        <v>#REF!</v>
      </c>
      <c r="F1224" s="810" t="str">
        <f t="shared" si="105"/>
        <v>#REF!</v>
      </c>
      <c r="G1224" s="810" t="str">
        <f t="shared" si="105"/>
        <v>#REF!</v>
      </c>
      <c r="H1224" s="810" t="str">
        <f t="shared" si="105"/>
        <v>#REF!</v>
      </c>
      <c r="I1224" s="810" t="str">
        <f t="shared" si="105"/>
        <v>#REF!</v>
      </c>
      <c r="J1224" s="810" t="str">
        <f t="shared" si="105"/>
        <v>#REF!</v>
      </c>
      <c r="K1224" s="810" t="str">
        <f t="shared" si="105"/>
        <v>#REF!</v>
      </c>
      <c r="L1224" s="810" t="str">
        <f t="shared" si="105"/>
        <v>#REF!</v>
      </c>
      <c r="M1224" s="810" t="str">
        <f t="shared" si="105"/>
        <v>#REF!</v>
      </c>
      <c r="N1224" s="810" t="str">
        <f t="shared" si="105"/>
        <v>#REF!</v>
      </c>
      <c r="O1224" s="810" t="str">
        <f t="shared" si="105"/>
        <v>#REF!</v>
      </c>
      <c r="P1224" s="100"/>
      <c r="Q1224" s="100"/>
      <c r="R1224" s="100"/>
      <c r="S1224" s="8"/>
    </row>
    <row r="1225" ht="14.25" customHeight="1">
      <c r="A1225" s="100" t="s">
        <v>2201</v>
      </c>
      <c r="B1225" s="100" t="s">
        <v>2720</v>
      </c>
      <c r="C1225" s="100" t="s">
        <v>2325</v>
      </c>
      <c r="D1225" s="100" t="s">
        <v>135</v>
      </c>
      <c r="E1225" s="810">
        <v>2.8793</v>
      </c>
      <c r="F1225" s="810">
        <v>2.8984</v>
      </c>
      <c r="G1225" s="810">
        <v>3.3785</v>
      </c>
      <c r="H1225" s="810">
        <v>3.2361</v>
      </c>
      <c r="I1225" s="810">
        <v>3.1983</v>
      </c>
      <c r="J1225" s="810">
        <v>2.88</v>
      </c>
      <c r="K1225" s="810">
        <v>2.8342</v>
      </c>
      <c r="L1225" s="810">
        <v>2.9176</v>
      </c>
      <c r="M1225" s="810">
        <v>3.0376</v>
      </c>
      <c r="N1225" s="810">
        <v>2.9348</v>
      </c>
      <c r="O1225" s="810" t="s">
        <v>2434</v>
      </c>
      <c r="P1225" s="100" t="s">
        <v>2616</v>
      </c>
      <c r="Q1225" s="100" t="s">
        <v>2721</v>
      </c>
      <c r="R1225" s="100"/>
      <c r="S1225" s="8"/>
    </row>
    <row r="1226" ht="14.25" customHeight="1">
      <c r="A1226" s="100" t="s">
        <v>2201</v>
      </c>
      <c r="B1226" s="100" t="s">
        <v>2720</v>
      </c>
      <c r="C1226" s="100" t="s">
        <v>2329</v>
      </c>
      <c r="D1226" s="100" t="s">
        <v>135</v>
      </c>
      <c r="E1226" s="810">
        <v>6.3997</v>
      </c>
      <c r="F1226" s="810">
        <v>6.2014</v>
      </c>
      <c r="G1226" s="810">
        <v>6.3663</v>
      </c>
      <c r="H1226" s="810">
        <v>5.8362</v>
      </c>
      <c r="I1226" s="810">
        <v>5.2363</v>
      </c>
      <c r="J1226" s="810">
        <v>5.1113</v>
      </c>
      <c r="K1226" s="810">
        <v>4.9277</v>
      </c>
      <c r="L1226" s="810">
        <v>4.0709</v>
      </c>
      <c r="M1226" s="810">
        <v>4.4342</v>
      </c>
      <c r="N1226" s="810">
        <v>4.8291</v>
      </c>
      <c r="O1226" s="810" t="s">
        <v>2434</v>
      </c>
      <c r="P1226" s="100" t="s">
        <v>2651</v>
      </c>
      <c r="Q1226" s="100"/>
      <c r="R1226" s="100"/>
      <c r="S1226" s="8"/>
    </row>
    <row r="1227" ht="14.25" customHeight="1">
      <c r="A1227" s="100" t="s">
        <v>2201</v>
      </c>
      <c r="B1227" s="100" t="s">
        <v>2720</v>
      </c>
      <c r="C1227" s="100" t="s">
        <v>2333</v>
      </c>
      <c r="D1227" s="100" t="s">
        <v>135</v>
      </c>
      <c r="E1227" s="810">
        <v>5.5814</v>
      </c>
      <c r="F1227" s="810">
        <v>6.0465</v>
      </c>
      <c r="G1227" s="810">
        <v>6.0233</v>
      </c>
      <c r="H1227" s="810">
        <v>5.5233</v>
      </c>
      <c r="I1227" s="810">
        <v>5.5465</v>
      </c>
      <c r="J1227" s="810">
        <v>4.2907</v>
      </c>
      <c r="K1227" s="810">
        <v>3.5116</v>
      </c>
      <c r="L1227" s="810">
        <v>2.3029</v>
      </c>
      <c r="M1227" s="810">
        <v>0.8582</v>
      </c>
      <c r="N1227" s="810">
        <v>1.1904</v>
      </c>
      <c r="O1227" s="810" t="s">
        <v>2434</v>
      </c>
      <c r="P1227" s="100" t="s">
        <v>2537</v>
      </c>
      <c r="Q1227" s="100"/>
      <c r="R1227" s="100"/>
      <c r="S1227" s="8"/>
    </row>
    <row r="1228" ht="14.25" customHeight="1">
      <c r="A1228" s="100" t="s">
        <v>2201</v>
      </c>
      <c r="B1228" s="100" t="s">
        <v>2720</v>
      </c>
      <c r="C1228" s="100" t="s">
        <v>2364</v>
      </c>
      <c r="D1228" s="100" t="s">
        <v>135</v>
      </c>
      <c r="E1228" s="810">
        <v>0.2033</v>
      </c>
      <c r="F1228" s="810">
        <v>0.2037</v>
      </c>
      <c r="G1228" s="810">
        <v>0.2257</v>
      </c>
      <c r="H1228" s="810">
        <v>0.207</v>
      </c>
      <c r="I1228" s="810">
        <v>0.2101</v>
      </c>
      <c r="J1228" s="810">
        <v>0.3259</v>
      </c>
      <c r="K1228" s="810">
        <v>0.4213</v>
      </c>
      <c r="L1228" s="810">
        <v>0.5533</v>
      </c>
      <c r="M1228" s="810">
        <v>0.5962</v>
      </c>
      <c r="N1228" s="810">
        <v>0.7817</v>
      </c>
      <c r="O1228" s="810" t="s">
        <v>2434</v>
      </c>
      <c r="P1228" s="100" t="s">
        <v>2617</v>
      </c>
      <c r="Q1228" s="100"/>
      <c r="R1228" s="100"/>
      <c r="S1228" s="8"/>
    </row>
    <row r="1229" ht="14.25" customHeight="1">
      <c r="A1229" s="100" t="s">
        <v>2201</v>
      </c>
      <c r="B1229" s="100" t="s">
        <v>2720</v>
      </c>
      <c r="C1229" s="100" t="s">
        <v>2337</v>
      </c>
      <c r="D1229" s="100" t="s">
        <v>135</v>
      </c>
      <c r="E1229" s="810">
        <v>0.0</v>
      </c>
      <c r="F1229" s="810">
        <v>0.0</v>
      </c>
      <c r="G1229" s="810">
        <v>0.0</v>
      </c>
      <c r="H1229" s="810">
        <v>0.0</v>
      </c>
      <c r="I1229" s="810">
        <v>0.0</v>
      </c>
      <c r="J1229" s="810">
        <v>0.0</v>
      </c>
      <c r="K1229" s="810">
        <v>0.0</v>
      </c>
      <c r="L1229" s="810">
        <v>0.0</v>
      </c>
      <c r="M1229" s="810">
        <v>0.0</v>
      </c>
      <c r="N1229" s="810">
        <v>0.0</v>
      </c>
      <c r="O1229" s="810">
        <v>0.0</v>
      </c>
      <c r="P1229" s="100" t="s">
        <v>2512</v>
      </c>
      <c r="Q1229" s="100" t="s">
        <v>2711</v>
      </c>
      <c r="R1229" s="100"/>
      <c r="S1229" s="8"/>
    </row>
    <row r="1230" ht="14.25" customHeight="1">
      <c r="A1230" s="100" t="s">
        <v>2201</v>
      </c>
      <c r="B1230" s="100" t="s">
        <v>2720</v>
      </c>
      <c r="C1230" s="100" t="s">
        <v>2341</v>
      </c>
      <c r="D1230" s="100" t="s">
        <v>135</v>
      </c>
      <c r="E1230" s="810">
        <v>7.3659</v>
      </c>
      <c r="F1230" s="810">
        <v>7.6072</v>
      </c>
      <c r="G1230" s="810">
        <v>7.5028</v>
      </c>
      <c r="H1230" s="810">
        <v>6.9549</v>
      </c>
      <c r="I1230" s="810">
        <v>6.2856</v>
      </c>
      <c r="J1230" s="810">
        <v>6.35</v>
      </c>
      <c r="K1230" s="810">
        <v>6.496</v>
      </c>
      <c r="L1230" s="810">
        <v>6.7278</v>
      </c>
      <c r="M1230" s="810">
        <v>6.6399</v>
      </c>
      <c r="N1230" s="810">
        <v>6.6986</v>
      </c>
      <c r="O1230" s="810" t="s">
        <v>2434</v>
      </c>
      <c r="P1230" s="100" t="s">
        <v>2546</v>
      </c>
      <c r="Q1230" s="100"/>
      <c r="R1230" s="100"/>
      <c r="S1230" s="8"/>
    </row>
    <row r="1231" ht="14.25" customHeight="1">
      <c r="A1231" s="100" t="s">
        <v>2201</v>
      </c>
      <c r="B1231" s="100" t="s">
        <v>2720</v>
      </c>
      <c r="C1231" s="100" t="s">
        <v>2348</v>
      </c>
      <c r="D1231" s="100" t="s">
        <v>135</v>
      </c>
      <c r="E1231" s="810">
        <v>1.3479</v>
      </c>
      <c r="F1231" s="810">
        <v>1.2899</v>
      </c>
      <c r="G1231" s="810">
        <v>1.4325</v>
      </c>
      <c r="H1231" s="810">
        <v>1.198</v>
      </c>
      <c r="I1231" s="810">
        <v>0.8014</v>
      </c>
      <c r="J1231" s="810">
        <v>0.6665</v>
      </c>
      <c r="K1231" s="810">
        <v>0.9424</v>
      </c>
      <c r="L1231" s="810">
        <v>0.9424</v>
      </c>
      <c r="M1231" s="810">
        <v>0.9202</v>
      </c>
      <c r="N1231" s="810">
        <v>0.9202</v>
      </c>
      <c r="O1231" s="810" t="s">
        <v>2434</v>
      </c>
      <c r="P1231" s="100" t="s">
        <v>2618</v>
      </c>
      <c r="Q1231" s="100" t="s">
        <v>2712</v>
      </c>
      <c r="R1231" s="100"/>
      <c r="S1231" s="8"/>
    </row>
    <row r="1232" ht="14.25" customHeight="1">
      <c r="A1232" s="100" t="s">
        <v>2201</v>
      </c>
      <c r="B1232" s="100" t="s">
        <v>2720</v>
      </c>
      <c r="C1232" s="100" t="s">
        <v>2350</v>
      </c>
      <c r="D1232" s="100" t="s">
        <v>135</v>
      </c>
      <c r="E1232" s="810">
        <v>0.5063</v>
      </c>
      <c r="F1232" s="810">
        <v>0.4305</v>
      </c>
      <c r="G1232" s="810">
        <v>0.4166</v>
      </c>
      <c r="H1232" s="810">
        <v>0.3827</v>
      </c>
      <c r="I1232" s="810">
        <v>0.3699</v>
      </c>
      <c r="J1232" s="810">
        <v>0.4335</v>
      </c>
      <c r="K1232" s="810">
        <v>0.4394</v>
      </c>
      <c r="L1232" s="810">
        <v>0.4305</v>
      </c>
      <c r="M1232" s="810">
        <v>0.4158</v>
      </c>
      <c r="N1232" s="810">
        <v>0.3891</v>
      </c>
      <c r="O1232" s="810" t="s">
        <v>2434</v>
      </c>
      <c r="P1232" s="100" t="s">
        <v>2400</v>
      </c>
      <c r="Q1232" s="100"/>
      <c r="R1232" s="100"/>
      <c r="S1232" s="8"/>
    </row>
    <row r="1233" ht="14.25" customHeight="1">
      <c r="A1233" s="100" t="s">
        <v>2201</v>
      </c>
      <c r="B1233" s="100" t="s">
        <v>2720</v>
      </c>
      <c r="C1233" s="100" t="s">
        <v>2354</v>
      </c>
      <c r="D1233" s="100" t="s">
        <v>135</v>
      </c>
      <c r="E1233" s="810">
        <v>18.2839</v>
      </c>
      <c r="F1233" s="810">
        <v>17.6499</v>
      </c>
      <c r="G1233" s="810">
        <v>17.4782</v>
      </c>
      <c r="H1233" s="810">
        <v>16.4198</v>
      </c>
      <c r="I1233" s="810">
        <v>14.6843</v>
      </c>
      <c r="J1233" s="810">
        <v>14.7135</v>
      </c>
      <c r="K1233" s="810">
        <v>15.2409</v>
      </c>
      <c r="L1233" s="810">
        <v>14.6657</v>
      </c>
      <c r="M1233" s="810">
        <v>14.794</v>
      </c>
      <c r="N1233" s="810">
        <v>14.4063</v>
      </c>
      <c r="O1233" s="810" t="s">
        <v>2434</v>
      </c>
      <c r="P1233" s="100" t="s">
        <v>2619</v>
      </c>
      <c r="Q1233" s="100" t="s">
        <v>2713</v>
      </c>
      <c r="R1233" s="100"/>
      <c r="S1233" s="8"/>
    </row>
    <row r="1234" ht="14.25" customHeight="1">
      <c r="A1234" s="100" t="s">
        <v>2201</v>
      </c>
      <c r="B1234" s="100" t="s">
        <v>2720</v>
      </c>
      <c r="C1234" s="100" t="s">
        <v>2356</v>
      </c>
      <c r="D1234" s="100" t="s">
        <v>135</v>
      </c>
      <c r="E1234" s="810">
        <v>9.2053</v>
      </c>
      <c r="F1234" s="810">
        <v>12.0927</v>
      </c>
      <c r="G1234" s="810">
        <v>11.6238</v>
      </c>
      <c r="H1234" s="810">
        <v>10.2472</v>
      </c>
      <c r="I1234" s="810">
        <v>11.5372</v>
      </c>
      <c r="J1234" s="810">
        <v>10.1559</v>
      </c>
      <c r="K1234" s="810">
        <v>16.0951</v>
      </c>
      <c r="L1234" s="810">
        <v>16.8273</v>
      </c>
      <c r="M1234" s="810">
        <v>17.5228</v>
      </c>
      <c r="N1234" s="810">
        <v>18.8605</v>
      </c>
      <c r="O1234" s="810" t="s">
        <v>2434</v>
      </c>
      <c r="P1234" s="100" t="s">
        <v>2620</v>
      </c>
      <c r="Q1234" s="100"/>
      <c r="R1234" s="100"/>
      <c r="S1234" s="8"/>
    </row>
    <row r="1235" ht="14.25" customHeight="1">
      <c r="A1235" s="100" t="s">
        <v>2201</v>
      </c>
      <c r="B1235" s="100" t="s">
        <v>2720</v>
      </c>
      <c r="C1235" s="100" t="s">
        <v>2344</v>
      </c>
      <c r="D1235" s="100" t="s">
        <v>135</v>
      </c>
      <c r="E1235" s="810">
        <v>40.5088</v>
      </c>
      <c r="F1235" s="810">
        <v>47.1239</v>
      </c>
      <c r="G1235" s="810">
        <v>58.9368</v>
      </c>
      <c r="H1235" s="810">
        <v>59.2554</v>
      </c>
      <c r="I1235" s="810">
        <v>48.3818</v>
      </c>
      <c r="J1235" s="810">
        <v>48.1909</v>
      </c>
      <c r="K1235" s="810">
        <v>48.2442</v>
      </c>
      <c r="L1235" s="810">
        <v>47.795</v>
      </c>
      <c r="M1235" s="810">
        <v>53.1557</v>
      </c>
      <c r="N1235" s="810">
        <v>48.6905</v>
      </c>
      <c r="O1235" s="810" t="s">
        <v>2434</v>
      </c>
      <c r="P1235" s="100" t="s">
        <v>2621</v>
      </c>
      <c r="Q1235" s="100"/>
      <c r="R1235" s="100"/>
      <c r="S1235" s="8"/>
    </row>
    <row r="1236" ht="14.25" customHeight="1">
      <c r="A1236" s="100" t="s">
        <v>2201</v>
      </c>
      <c r="B1236" s="100" t="s">
        <v>2720</v>
      </c>
      <c r="C1236" s="100" t="s">
        <v>2362</v>
      </c>
      <c r="D1236" s="100" t="s">
        <v>135</v>
      </c>
      <c r="E1236" s="810">
        <v>0.0</v>
      </c>
      <c r="F1236" s="810">
        <v>0.0</v>
      </c>
      <c r="G1236" s="810">
        <v>0.0</v>
      </c>
      <c r="H1236" s="810">
        <v>0.0</v>
      </c>
      <c r="I1236" s="810">
        <v>0.0</v>
      </c>
      <c r="J1236" s="810">
        <v>0.0</v>
      </c>
      <c r="K1236" s="810">
        <v>0.0</v>
      </c>
      <c r="L1236" s="810">
        <v>0.0</v>
      </c>
      <c r="M1236" s="810">
        <v>0.0</v>
      </c>
      <c r="N1236" s="810">
        <v>0.0116</v>
      </c>
      <c r="O1236" s="810" t="s">
        <v>2434</v>
      </c>
      <c r="P1236" s="100" t="s">
        <v>2622</v>
      </c>
      <c r="Q1236" s="100"/>
      <c r="R1236" s="100"/>
      <c r="S1236" s="8"/>
    </row>
    <row r="1237" ht="14.25" customHeight="1">
      <c r="A1237" s="100" t="s">
        <v>2201</v>
      </c>
      <c r="B1237" s="100" t="s">
        <v>2720</v>
      </c>
      <c r="C1237" s="100" t="s">
        <v>2367</v>
      </c>
      <c r="D1237" s="100" t="s">
        <v>135</v>
      </c>
      <c r="E1237" s="810">
        <v>3.4946</v>
      </c>
      <c r="F1237" s="810">
        <v>3.2441</v>
      </c>
      <c r="G1237" s="810">
        <v>3.5752</v>
      </c>
      <c r="H1237" s="810">
        <v>4.4025</v>
      </c>
      <c r="I1237" s="810">
        <v>3.9768</v>
      </c>
      <c r="J1237" s="810">
        <v>4.1093</v>
      </c>
      <c r="K1237" s="810">
        <v>4.5753</v>
      </c>
      <c r="L1237" s="810">
        <v>4.172</v>
      </c>
      <c r="M1237" s="810">
        <v>3.8751</v>
      </c>
      <c r="N1237" s="810">
        <v>4.0115</v>
      </c>
      <c r="O1237" s="810" t="s">
        <v>2434</v>
      </c>
      <c r="P1237" s="100" t="s">
        <v>2546</v>
      </c>
      <c r="Q1237" s="100"/>
      <c r="R1237" s="100"/>
      <c r="S1237" s="8"/>
    </row>
    <row r="1238" ht="14.25" customHeight="1">
      <c r="A1238" s="100" t="s">
        <v>2201</v>
      </c>
      <c r="B1238" s="100" t="s">
        <v>2720</v>
      </c>
      <c r="C1238" s="100" t="s">
        <v>2369</v>
      </c>
      <c r="D1238" s="100" t="s">
        <v>135</v>
      </c>
      <c r="E1238" s="810">
        <v>0.0</v>
      </c>
      <c r="F1238" s="810">
        <v>0.0</v>
      </c>
      <c r="G1238" s="810">
        <v>0.0</v>
      </c>
      <c r="H1238" s="810">
        <v>0.0</v>
      </c>
      <c r="I1238" s="810">
        <v>0.0</v>
      </c>
      <c r="J1238" s="810">
        <v>0.0</v>
      </c>
      <c r="K1238" s="810">
        <v>0.0</v>
      </c>
      <c r="L1238" s="810">
        <v>0.0</v>
      </c>
      <c r="M1238" s="810">
        <v>0.0</v>
      </c>
      <c r="N1238" s="810">
        <v>0.0</v>
      </c>
      <c r="O1238" s="810" t="s">
        <v>2434</v>
      </c>
      <c r="P1238" s="100" t="s">
        <v>2623</v>
      </c>
      <c r="Q1238" s="100"/>
      <c r="R1238" s="100"/>
      <c r="S1238" s="8"/>
    </row>
    <row r="1239" ht="14.25" customHeight="1">
      <c r="A1239" s="100" t="s">
        <v>2201</v>
      </c>
      <c r="B1239" s="100" t="s">
        <v>2720</v>
      </c>
      <c r="C1239" s="100" t="s">
        <v>2374</v>
      </c>
      <c r="D1239" s="100" t="s">
        <v>135</v>
      </c>
      <c r="E1239" s="810">
        <v>36.3884</v>
      </c>
      <c r="F1239" s="810">
        <v>28.4299</v>
      </c>
      <c r="G1239" s="810">
        <v>30.0354</v>
      </c>
      <c r="H1239" s="810">
        <v>29.7696</v>
      </c>
      <c r="I1239" s="810">
        <v>30.5717</v>
      </c>
      <c r="J1239" s="810">
        <v>31.3452</v>
      </c>
      <c r="K1239" s="810">
        <v>31.8098</v>
      </c>
      <c r="L1239" s="810">
        <v>33.4178</v>
      </c>
      <c r="M1239" s="810">
        <v>25.9728</v>
      </c>
      <c r="N1239" s="810">
        <v>34.2135</v>
      </c>
      <c r="O1239" s="810" t="s">
        <v>2434</v>
      </c>
      <c r="P1239" s="100" t="s">
        <v>2624</v>
      </c>
      <c r="Q1239" s="100"/>
      <c r="R1239" s="100"/>
      <c r="S1239" s="8"/>
    </row>
    <row r="1240" ht="14.25" customHeight="1">
      <c r="A1240" s="100" t="s">
        <v>2201</v>
      </c>
      <c r="B1240" s="100" t="s">
        <v>2720</v>
      </c>
      <c r="C1240" s="100" t="s">
        <v>2386</v>
      </c>
      <c r="D1240" s="100" t="s">
        <v>135</v>
      </c>
      <c r="E1240" s="810">
        <v>0.1075</v>
      </c>
      <c r="F1240" s="810">
        <v>0.0744</v>
      </c>
      <c r="G1240" s="810">
        <v>0.0719</v>
      </c>
      <c r="H1240" s="810">
        <v>0.133</v>
      </c>
      <c r="I1240" s="810">
        <v>0.2472</v>
      </c>
      <c r="J1240" s="810">
        <v>0.4027</v>
      </c>
      <c r="K1240" s="810">
        <v>0.696</v>
      </c>
      <c r="L1240" s="810">
        <v>0.907</v>
      </c>
      <c r="M1240" s="810">
        <v>1.0465</v>
      </c>
      <c r="N1240" s="810">
        <v>0.9231</v>
      </c>
      <c r="O1240" s="810" t="s">
        <v>2434</v>
      </c>
      <c r="P1240" s="100" t="s">
        <v>2625</v>
      </c>
      <c r="Q1240" s="100"/>
      <c r="R1240" s="100"/>
      <c r="S1240" s="8"/>
    </row>
    <row r="1241" ht="14.25" customHeight="1">
      <c r="A1241" s="100" t="s">
        <v>2201</v>
      </c>
      <c r="B1241" s="100" t="s">
        <v>2720</v>
      </c>
      <c r="C1241" s="100" t="s">
        <v>2378</v>
      </c>
      <c r="D1241" s="100" t="s">
        <v>135</v>
      </c>
      <c r="E1241" s="810">
        <v>2.1023</v>
      </c>
      <c r="F1241" s="810">
        <v>2.4</v>
      </c>
      <c r="G1241" s="810">
        <v>2.4698</v>
      </c>
      <c r="H1241" s="810">
        <v>2.4035</v>
      </c>
      <c r="I1241" s="810">
        <v>2.6233</v>
      </c>
      <c r="J1241" s="810">
        <v>2.2058</v>
      </c>
      <c r="K1241" s="810">
        <v>2.1977</v>
      </c>
      <c r="L1241" s="810">
        <v>2.7802</v>
      </c>
      <c r="M1241" s="810">
        <v>2.7</v>
      </c>
      <c r="N1241" s="810">
        <v>2.5756</v>
      </c>
      <c r="O1241" s="810" t="s">
        <v>2434</v>
      </c>
      <c r="P1241" s="100" t="s">
        <v>2567</v>
      </c>
      <c r="Q1241" s="100"/>
      <c r="R1241" s="100"/>
      <c r="S1241" s="8"/>
    </row>
    <row r="1242" ht="14.25" customHeight="1">
      <c r="A1242" s="100" t="s">
        <v>2201</v>
      </c>
      <c r="B1242" s="100" t="s">
        <v>2720</v>
      </c>
      <c r="C1242" s="100" t="s">
        <v>2383</v>
      </c>
      <c r="D1242" s="100" t="s">
        <v>135</v>
      </c>
      <c r="E1242" s="810">
        <v>0.1512</v>
      </c>
      <c r="F1242" s="810">
        <v>0.093</v>
      </c>
      <c r="G1242" s="810">
        <v>0.1279</v>
      </c>
      <c r="H1242" s="810">
        <v>0.1395</v>
      </c>
      <c r="I1242" s="810">
        <v>0.1512</v>
      </c>
      <c r="J1242" s="810">
        <v>0.0</v>
      </c>
      <c r="K1242" s="810">
        <v>0.0116</v>
      </c>
      <c r="L1242" s="810">
        <v>0.0116</v>
      </c>
      <c r="M1242" s="810">
        <v>0.0116</v>
      </c>
      <c r="N1242" s="810">
        <v>0.0062</v>
      </c>
      <c r="O1242" s="810" t="s">
        <v>2434</v>
      </c>
      <c r="P1242" s="100" t="s">
        <v>2523</v>
      </c>
      <c r="Q1242" s="100" t="s">
        <v>2714</v>
      </c>
      <c r="R1242" s="100"/>
      <c r="S1242" s="8"/>
    </row>
    <row r="1243" ht="14.25" customHeight="1">
      <c r="A1243" s="100" t="s">
        <v>2201</v>
      </c>
      <c r="B1243" s="100" t="s">
        <v>2720</v>
      </c>
      <c r="C1243" s="100" t="s">
        <v>2389</v>
      </c>
      <c r="D1243" s="100" t="s">
        <v>135</v>
      </c>
      <c r="E1243" s="810">
        <v>0.0</v>
      </c>
      <c r="F1243" s="810">
        <v>0.0</v>
      </c>
      <c r="G1243" s="810">
        <v>0.0</v>
      </c>
      <c r="H1243" s="810">
        <v>0.0</v>
      </c>
      <c r="I1243" s="810">
        <v>0.0</v>
      </c>
      <c r="J1243" s="810">
        <v>0.0</v>
      </c>
      <c r="K1243" s="810">
        <v>0.0</v>
      </c>
      <c r="L1243" s="810">
        <v>0.0</v>
      </c>
      <c r="M1243" s="810">
        <v>0.0</v>
      </c>
      <c r="N1243" s="810">
        <v>0.0</v>
      </c>
      <c r="O1243" s="810" t="s">
        <v>2434</v>
      </c>
      <c r="P1243" s="100" t="s">
        <v>2722</v>
      </c>
      <c r="Q1243" s="100" t="s">
        <v>2723</v>
      </c>
      <c r="R1243" s="100"/>
      <c r="S1243" s="8"/>
    </row>
    <row r="1244" ht="14.25" customHeight="1">
      <c r="A1244" s="100" t="s">
        <v>2201</v>
      </c>
      <c r="B1244" s="100" t="s">
        <v>2720</v>
      </c>
      <c r="C1244" s="100" t="s">
        <v>2391</v>
      </c>
      <c r="D1244" s="100" t="s">
        <v>135</v>
      </c>
      <c r="E1244" s="810">
        <v>26.4186</v>
      </c>
      <c r="F1244" s="810">
        <v>25.6626</v>
      </c>
      <c r="G1244" s="810">
        <v>24.7433</v>
      </c>
      <c r="H1244" s="810">
        <v>24.635</v>
      </c>
      <c r="I1244" s="810">
        <v>24.3984</v>
      </c>
      <c r="J1244" s="810">
        <v>20.7942</v>
      </c>
      <c r="K1244" s="810">
        <v>20.1335</v>
      </c>
      <c r="L1244" s="810">
        <v>18.2584</v>
      </c>
      <c r="M1244" s="810">
        <v>16.8308</v>
      </c>
      <c r="N1244" s="810">
        <v>17.8533</v>
      </c>
      <c r="O1244" s="810" t="s">
        <v>2434</v>
      </c>
      <c r="P1244" s="100" t="s">
        <v>2546</v>
      </c>
      <c r="Q1244" s="100"/>
      <c r="R1244" s="100"/>
      <c r="S1244" s="8"/>
    </row>
    <row r="1245" ht="14.25" customHeight="1">
      <c r="A1245" s="100" t="s">
        <v>2201</v>
      </c>
      <c r="B1245" s="100" t="s">
        <v>2720</v>
      </c>
      <c r="C1245" s="100" t="s">
        <v>2393</v>
      </c>
      <c r="D1245" s="100" t="s">
        <v>135</v>
      </c>
      <c r="E1245" s="810">
        <v>7.7891</v>
      </c>
      <c r="F1245" s="810">
        <v>6.9517</v>
      </c>
      <c r="G1245" s="810">
        <v>7.3177</v>
      </c>
      <c r="H1245" s="810">
        <v>7.2835</v>
      </c>
      <c r="I1245" s="810">
        <v>6.5832</v>
      </c>
      <c r="J1245" s="810">
        <v>7.6847</v>
      </c>
      <c r="K1245" s="810">
        <v>7.9619</v>
      </c>
      <c r="L1245" s="810">
        <v>8.3932</v>
      </c>
      <c r="M1245" s="810">
        <v>9.6226</v>
      </c>
      <c r="N1245" s="810">
        <v>10.0871</v>
      </c>
      <c r="O1245" s="810" t="s">
        <v>2434</v>
      </c>
      <c r="P1245" s="100" t="s">
        <v>2526</v>
      </c>
      <c r="Q1245" s="100"/>
      <c r="R1245" s="100"/>
      <c r="S1245" s="8"/>
    </row>
    <row r="1246" ht="14.25" customHeight="1">
      <c r="A1246" s="100" t="s">
        <v>2201</v>
      </c>
      <c r="B1246" s="100" t="s">
        <v>2720</v>
      </c>
      <c r="C1246" s="100" t="s">
        <v>2395</v>
      </c>
      <c r="D1246" s="100" t="s">
        <v>135</v>
      </c>
      <c r="E1246" s="810">
        <v>15.0107</v>
      </c>
      <c r="F1246" s="810">
        <v>15.6734</v>
      </c>
      <c r="G1246" s="810">
        <v>15.0514</v>
      </c>
      <c r="H1246" s="810">
        <v>15.5582</v>
      </c>
      <c r="I1246" s="810">
        <v>13.8851</v>
      </c>
      <c r="J1246" s="810">
        <v>13.4535</v>
      </c>
      <c r="K1246" s="810">
        <v>13.5465</v>
      </c>
      <c r="L1246" s="810">
        <v>12.8721</v>
      </c>
      <c r="M1246" s="810">
        <v>13.2207</v>
      </c>
      <c r="N1246" s="810">
        <v>13.563</v>
      </c>
      <c r="O1246" s="810" t="s">
        <v>2434</v>
      </c>
      <c r="P1246" s="100" t="s">
        <v>2626</v>
      </c>
      <c r="Q1246" s="100"/>
      <c r="R1246" s="100"/>
      <c r="S1246" s="8"/>
    </row>
    <row r="1247" ht="14.25" customHeight="1">
      <c r="A1247" s="100" t="s">
        <v>2201</v>
      </c>
      <c r="B1247" s="100" t="s">
        <v>2720</v>
      </c>
      <c r="C1247" s="100" t="s">
        <v>2397</v>
      </c>
      <c r="D1247" s="100" t="s">
        <v>135</v>
      </c>
      <c r="E1247" s="810">
        <v>3.2907</v>
      </c>
      <c r="F1247" s="810">
        <v>3.3953</v>
      </c>
      <c r="G1247" s="810">
        <v>3.2442</v>
      </c>
      <c r="H1247" s="810">
        <v>3.0116</v>
      </c>
      <c r="I1247" s="810">
        <v>3.093</v>
      </c>
      <c r="J1247" s="810">
        <v>3.1395</v>
      </c>
      <c r="K1247" s="810">
        <v>3.1977</v>
      </c>
      <c r="L1247" s="810">
        <v>3.1512</v>
      </c>
      <c r="M1247" s="810">
        <v>2.5349</v>
      </c>
      <c r="N1247" s="810">
        <v>2.8023</v>
      </c>
      <c r="O1247" s="810" t="s">
        <v>2434</v>
      </c>
      <c r="P1247" s="100" t="s">
        <v>2528</v>
      </c>
      <c r="Q1247" s="100"/>
      <c r="R1247" s="100"/>
      <c r="S1247" s="8"/>
    </row>
    <row r="1248" ht="14.25" customHeight="1">
      <c r="A1248" s="100" t="s">
        <v>2201</v>
      </c>
      <c r="B1248" s="100" t="s">
        <v>2720</v>
      </c>
      <c r="C1248" s="100" t="s">
        <v>2411</v>
      </c>
      <c r="D1248" s="100" t="s">
        <v>135</v>
      </c>
      <c r="E1248" s="810">
        <v>1.2384</v>
      </c>
      <c r="F1248" s="810">
        <v>1.2267</v>
      </c>
      <c r="G1248" s="810">
        <v>1.9263</v>
      </c>
      <c r="H1248" s="810">
        <v>1.7999</v>
      </c>
      <c r="I1248" s="810">
        <v>1.5182</v>
      </c>
      <c r="J1248" s="810">
        <v>1.8533</v>
      </c>
      <c r="K1248" s="810">
        <v>1.6103</v>
      </c>
      <c r="L1248" s="810">
        <v>1.6808</v>
      </c>
      <c r="M1248" s="810">
        <v>0.8987</v>
      </c>
      <c r="N1248" s="810">
        <v>0.9696</v>
      </c>
      <c r="O1248" s="810" t="s">
        <v>2434</v>
      </c>
      <c r="P1248" s="100" t="s">
        <v>2546</v>
      </c>
      <c r="Q1248" s="100"/>
      <c r="R1248" s="100"/>
      <c r="S1248" s="8"/>
    </row>
    <row r="1249" ht="14.25" customHeight="1">
      <c r="A1249" s="100" t="s">
        <v>2201</v>
      </c>
      <c r="B1249" s="100" t="s">
        <v>2720</v>
      </c>
      <c r="C1249" s="100" t="s">
        <v>2406</v>
      </c>
      <c r="D1249" s="100" t="s">
        <v>135</v>
      </c>
      <c r="E1249" s="810">
        <v>0.6246</v>
      </c>
      <c r="F1249" s="810">
        <v>0.6782</v>
      </c>
      <c r="G1249" s="810">
        <v>0.636</v>
      </c>
      <c r="H1249" s="810">
        <v>0.6032</v>
      </c>
      <c r="I1249" s="810">
        <v>0.5646</v>
      </c>
      <c r="J1249" s="810">
        <v>0.5713</v>
      </c>
      <c r="K1249" s="810">
        <v>0.5913</v>
      </c>
      <c r="L1249" s="810">
        <v>0.5974</v>
      </c>
      <c r="M1249" s="810">
        <v>0.5333</v>
      </c>
      <c r="N1249" s="810">
        <v>0.5959</v>
      </c>
      <c r="O1249" s="810" t="s">
        <v>2434</v>
      </c>
      <c r="P1249" s="100" t="s">
        <v>2628</v>
      </c>
      <c r="Q1249" s="100"/>
      <c r="R1249" s="100"/>
      <c r="S1249" s="8"/>
    </row>
    <row r="1250" ht="14.25" customHeight="1">
      <c r="A1250" s="100" t="s">
        <v>2201</v>
      </c>
      <c r="B1250" s="100" t="s">
        <v>2720</v>
      </c>
      <c r="C1250" s="100" t="s">
        <v>2352</v>
      </c>
      <c r="D1250" s="100" t="s">
        <v>135</v>
      </c>
      <c r="E1250" s="810">
        <v>0.0</v>
      </c>
      <c r="F1250" s="810">
        <v>0.0</v>
      </c>
      <c r="G1250" s="810">
        <v>0.0</v>
      </c>
      <c r="H1250" s="810">
        <v>0.0</v>
      </c>
      <c r="I1250" s="810">
        <v>0.0</v>
      </c>
      <c r="J1250" s="810">
        <v>0.0</v>
      </c>
      <c r="K1250" s="810">
        <v>0.0</v>
      </c>
      <c r="L1250" s="810">
        <v>0.0</v>
      </c>
      <c r="M1250" s="810">
        <v>0.0</v>
      </c>
      <c r="N1250" s="810">
        <v>0.0</v>
      </c>
      <c r="O1250" s="810" t="s">
        <v>2434</v>
      </c>
      <c r="P1250" s="100" t="s">
        <v>2629</v>
      </c>
      <c r="Q1250" s="100"/>
      <c r="R1250" s="100"/>
      <c r="S1250" s="8"/>
    </row>
    <row r="1251" ht="14.25" customHeight="1">
      <c r="A1251" s="100" t="s">
        <v>2201</v>
      </c>
      <c r="B1251" s="100" t="s">
        <v>2720</v>
      </c>
      <c r="C1251" s="100" t="s">
        <v>2400</v>
      </c>
      <c r="D1251" s="100" t="s">
        <v>135</v>
      </c>
      <c r="E1251" s="810">
        <v>4.4167</v>
      </c>
      <c r="F1251" s="810">
        <v>4.0179</v>
      </c>
      <c r="G1251" s="810">
        <v>4.1679</v>
      </c>
      <c r="H1251" s="810">
        <v>4.0846</v>
      </c>
      <c r="I1251" s="810">
        <v>3.9487</v>
      </c>
      <c r="J1251" s="810">
        <v>3.7556</v>
      </c>
      <c r="K1251" s="810">
        <v>3.5848</v>
      </c>
      <c r="L1251" s="810">
        <v>3.5693</v>
      </c>
      <c r="M1251" s="810">
        <v>3.644</v>
      </c>
      <c r="N1251" s="810">
        <v>3.6215</v>
      </c>
      <c r="O1251" s="810" t="s">
        <v>2434</v>
      </c>
      <c r="P1251" s="100" t="s">
        <v>2630</v>
      </c>
      <c r="Q1251" s="100"/>
      <c r="R1251" s="100"/>
      <c r="S1251" s="8"/>
    </row>
    <row r="1252" ht="14.25" customHeight="1">
      <c r="A1252" s="100" t="s">
        <v>2201</v>
      </c>
      <c r="B1252" s="100" t="s">
        <v>2720</v>
      </c>
      <c r="C1252" s="100" t="s">
        <v>2416</v>
      </c>
      <c r="D1252" s="100" t="s">
        <v>135</v>
      </c>
      <c r="E1252" s="810">
        <v>0.6789</v>
      </c>
      <c r="F1252" s="810">
        <v>0.6739</v>
      </c>
      <c r="G1252" s="810">
        <v>0.6808</v>
      </c>
      <c r="H1252" s="810">
        <v>0.7016</v>
      </c>
      <c r="I1252" s="810">
        <v>0.7175</v>
      </c>
      <c r="J1252" s="810">
        <v>0.7462</v>
      </c>
      <c r="K1252" s="810">
        <v>0.7026</v>
      </c>
      <c r="L1252" s="810">
        <v>0.5948</v>
      </c>
      <c r="M1252" s="810">
        <v>0.5918</v>
      </c>
      <c r="N1252" s="810">
        <v>0.5829</v>
      </c>
      <c r="O1252" s="810">
        <v>0.5789</v>
      </c>
      <c r="P1252" s="100" t="s">
        <v>2631</v>
      </c>
      <c r="Q1252" s="100"/>
      <c r="R1252" s="100"/>
      <c r="S1252" s="8"/>
    </row>
    <row r="1253" ht="14.25" customHeight="1">
      <c r="A1253" s="100" t="s">
        <v>2201</v>
      </c>
      <c r="B1253" s="100" t="s">
        <v>2720</v>
      </c>
      <c r="C1253" s="100" t="s">
        <v>2423</v>
      </c>
      <c r="D1253" s="100" t="s">
        <v>135</v>
      </c>
      <c r="E1253" s="810">
        <v>1.5758</v>
      </c>
      <c r="F1253" s="810">
        <v>1.1599</v>
      </c>
      <c r="G1253" s="810">
        <v>1.2003</v>
      </c>
      <c r="H1253" s="810">
        <v>0.8317</v>
      </c>
      <c r="I1253" s="810">
        <v>0.8184</v>
      </c>
      <c r="J1253" s="810">
        <v>1.1175</v>
      </c>
      <c r="K1253" s="810">
        <v>1.2209</v>
      </c>
      <c r="L1253" s="810">
        <v>1.3372</v>
      </c>
      <c r="M1253" s="810">
        <v>1.3721</v>
      </c>
      <c r="N1253" s="810">
        <v>1.6047</v>
      </c>
      <c r="O1253" s="810" t="s">
        <v>2434</v>
      </c>
      <c r="P1253" s="100" t="s">
        <v>2632</v>
      </c>
      <c r="Q1253" s="100"/>
      <c r="R1253" s="100"/>
      <c r="S1253" s="8"/>
    </row>
    <row r="1254" ht="14.25" customHeight="1">
      <c r="A1254" s="100" t="s">
        <v>2201</v>
      </c>
      <c r="B1254" s="100" t="s">
        <v>2720</v>
      </c>
      <c r="C1254" s="100" t="s">
        <v>2360</v>
      </c>
      <c r="D1254" s="100" t="s">
        <v>135</v>
      </c>
      <c r="E1254" s="810">
        <v>9.5599</v>
      </c>
      <c r="F1254" s="810">
        <v>8.9459</v>
      </c>
      <c r="G1254" s="810">
        <v>8.813</v>
      </c>
      <c r="H1254" s="810">
        <v>8.5984</v>
      </c>
      <c r="I1254" s="810">
        <v>7.2885</v>
      </c>
      <c r="J1254" s="810">
        <v>7.8885</v>
      </c>
      <c r="K1254" s="810">
        <v>7.7553</v>
      </c>
      <c r="L1254" s="810">
        <v>8.2451</v>
      </c>
      <c r="M1254" s="810">
        <v>8.033</v>
      </c>
      <c r="N1254" s="810">
        <v>7.8229</v>
      </c>
      <c r="O1254" s="810" t="s">
        <v>2434</v>
      </c>
      <c r="P1254" s="100" t="s">
        <v>2636</v>
      </c>
      <c r="Q1254" s="100"/>
      <c r="R1254" s="100"/>
      <c r="S1254" s="8"/>
    </row>
    <row r="1255" ht="14.25" customHeight="1">
      <c r="A1255" s="100" t="s">
        <v>2201</v>
      </c>
      <c r="B1255" s="100" t="s">
        <v>2720</v>
      </c>
      <c r="C1255" s="100" t="s">
        <v>2535</v>
      </c>
      <c r="D1255" s="100" t="s">
        <v>135</v>
      </c>
      <c r="E1255" s="810">
        <v>4.0196</v>
      </c>
      <c r="F1255" s="810">
        <v>4.3481</v>
      </c>
      <c r="G1255" s="810">
        <v>2.8759</v>
      </c>
      <c r="H1255" s="810">
        <v>2.7612</v>
      </c>
      <c r="I1255" s="810">
        <v>1.8941</v>
      </c>
      <c r="J1255" s="810">
        <v>2.2065</v>
      </c>
      <c r="K1255" s="810">
        <v>2.3215</v>
      </c>
      <c r="L1255" s="810">
        <v>2.49</v>
      </c>
      <c r="M1255" s="810">
        <v>2.4715</v>
      </c>
      <c r="N1255" s="810">
        <v>2.3174</v>
      </c>
      <c r="O1255" s="810" t="s">
        <v>2434</v>
      </c>
      <c r="P1255" s="100" t="s">
        <v>2546</v>
      </c>
      <c r="Q1255" s="100" t="s">
        <v>2717</v>
      </c>
      <c r="R1255" s="100"/>
      <c r="S1255" s="8"/>
    </row>
    <row r="1256" ht="14.25" customHeight="1">
      <c r="A1256" s="100" t="s">
        <v>2193</v>
      </c>
      <c r="B1256" s="100" t="s">
        <v>2724</v>
      </c>
      <c r="C1256" s="100" t="s">
        <v>2317</v>
      </c>
      <c r="D1256" s="100" t="s">
        <v>135</v>
      </c>
      <c r="E1256" s="810" t="str">
        <f t="shared" ref="E1256:M1256" si="106">#REF!</f>
        <v>#REF!</v>
      </c>
      <c r="F1256" s="810" t="str">
        <f t="shared" si="106"/>
        <v>#REF!</v>
      </c>
      <c r="G1256" s="810" t="str">
        <f t="shared" si="106"/>
        <v>#REF!</v>
      </c>
      <c r="H1256" s="810" t="str">
        <f t="shared" si="106"/>
        <v>#REF!</v>
      </c>
      <c r="I1256" s="810" t="str">
        <f t="shared" si="106"/>
        <v>#REF!</v>
      </c>
      <c r="J1256" s="810" t="str">
        <f t="shared" si="106"/>
        <v>#REF!</v>
      </c>
      <c r="K1256" s="810" t="str">
        <f t="shared" si="106"/>
        <v>#REF!</v>
      </c>
      <c r="L1256" s="810" t="str">
        <f t="shared" si="106"/>
        <v>#REF!</v>
      </c>
      <c r="M1256" s="810" t="str">
        <f t="shared" si="106"/>
        <v>#REF!</v>
      </c>
      <c r="N1256" s="817" t="str">
        <f>(M1256*(N1257+N1287)/(M1257+M1287))</f>
        <v>#REF!</v>
      </c>
      <c r="O1256" s="810" t="str">
        <f>#REF!</f>
        <v>#REF!</v>
      </c>
      <c r="P1256" s="100" t="s">
        <v>2546</v>
      </c>
      <c r="Q1256" s="100"/>
      <c r="R1256" s="100"/>
      <c r="S1256" s="8"/>
    </row>
    <row r="1257" ht="14.25" customHeight="1">
      <c r="A1257" s="100" t="s">
        <v>2193</v>
      </c>
      <c r="B1257" s="100"/>
      <c r="C1257" s="100" t="s">
        <v>2507</v>
      </c>
      <c r="D1257" s="100"/>
      <c r="E1257" s="810" t="str">
        <f t="shared" ref="E1257:O1257" si="107">#REF!</f>
        <v>#REF!</v>
      </c>
      <c r="F1257" s="810" t="str">
        <f t="shared" si="107"/>
        <v>#REF!</v>
      </c>
      <c r="G1257" s="810" t="str">
        <f t="shared" si="107"/>
        <v>#REF!</v>
      </c>
      <c r="H1257" s="810" t="str">
        <f t="shared" si="107"/>
        <v>#REF!</v>
      </c>
      <c r="I1257" s="810" t="str">
        <f t="shared" si="107"/>
        <v>#REF!</v>
      </c>
      <c r="J1257" s="810" t="str">
        <f t="shared" si="107"/>
        <v>#REF!</v>
      </c>
      <c r="K1257" s="810" t="str">
        <f t="shared" si="107"/>
        <v>#REF!</v>
      </c>
      <c r="L1257" s="810" t="str">
        <f t="shared" si="107"/>
        <v>#REF!</v>
      </c>
      <c r="M1257" s="810" t="str">
        <f t="shared" si="107"/>
        <v>#REF!</v>
      </c>
      <c r="N1257" s="810" t="str">
        <f t="shared" si="107"/>
        <v>#REF!</v>
      </c>
      <c r="O1257" s="810" t="str">
        <f t="shared" si="107"/>
        <v>#REF!</v>
      </c>
      <c r="P1257" s="100"/>
      <c r="Q1257" s="100"/>
      <c r="R1257" s="100"/>
      <c r="S1257" s="8"/>
    </row>
    <row r="1258" ht="14.25" customHeight="1">
      <c r="A1258" s="100" t="s">
        <v>2193</v>
      </c>
      <c r="B1258" s="100" t="s">
        <v>2724</v>
      </c>
      <c r="C1258" s="100" t="s">
        <v>2325</v>
      </c>
      <c r="D1258" s="100" t="s">
        <v>135</v>
      </c>
      <c r="E1258" s="810">
        <v>17.785</v>
      </c>
      <c r="F1258" s="810">
        <v>17.6701</v>
      </c>
      <c r="G1258" s="810">
        <v>17.8845</v>
      </c>
      <c r="H1258" s="810">
        <v>17.4276</v>
      </c>
      <c r="I1258" s="810">
        <v>17.2942</v>
      </c>
      <c r="J1258" s="810">
        <v>17.0591</v>
      </c>
      <c r="K1258" s="810">
        <v>18.4317</v>
      </c>
      <c r="L1258" s="810">
        <v>18.3441</v>
      </c>
      <c r="M1258" s="810">
        <v>17.1136</v>
      </c>
      <c r="N1258" s="810">
        <v>16.9387</v>
      </c>
      <c r="O1258" s="810" t="s">
        <v>2434</v>
      </c>
      <c r="P1258" s="100" t="s">
        <v>2616</v>
      </c>
      <c r="Q1258" s="100" t="s">
        <v>2725</v>
      </c>
      <c r="R1258" s="100"/>
      <c r="S1258" s="8"/>
    </row>
    <row r="1259" ht="14.25" customHeight="1">
      <c r="A1259" s="100" t="s">
        <v>2193</v>
      </c>
      <c r="B1259" s="100" t="s">
        <v>2724</v>
      </c>
      <c r="C1259" s="100" t="s">
        <v>2329</v>
      </c>
      <c r="D1259" s="100" t="s">
        <v>135</v>
      </c>
      <c r="E1259" s="810">
        <v>9.0867</v>
      </c>
      <c r="F1259" s="810">
        <v>9.45</v>
      </c>
      <c r="G1259" s="810">
        <v>8.817</v>
      </c>
      <c r="H1259" s="810">
        <v>9.7941</v>
      </c>
      <c r="I1259" s="810">
        <v>9.7652</v>
      </c>
      <c r="J1259" s="810">
        <v>9.588</v>
      </c>
      <c r="K1259" s="810">
        <v>9.7913</v>
      </c>
      <c r="L1259" s="810">
        <v>9.3616</v>
      </c>
      <c r="M1259" s="810">
        <v>9.9401</v>
      </c>
      <c r="N1259" s="810">
        <v>9.3028</v>
      </c>
      <c r="O1259" s="810" t="s">
        <v>2434</v>
      </c>
      <c r="P1259" s="100" t="s">
        <v>2651</v>
      </c>
      <c r="Q1259" s="100" t="s">
        <v>2726</v>
      </c>
      <c r="R1259" s="100"/>
      <c r="S1259" s="8"/>
    </row>
    <row r="1260" ht="14.25" customHeight="1">
      <c r="A1260" s="100" t="s">
        <v>2193</v>
      </c>
      <c r="B1260" s="100" t="s">
        <v>2724</v>
      </c>
      <c r="C1260" s="100" t="s">
        <v>2333</v>
      </c>
      <c r="D1260" s="100" t="s">
        <v>135</v>
      </c>
      <c r="E1260" s="810">
        <v>2.0116</v>
      </c>
      <c r="F1260" s="810">
        <v>2.2209</v>
      </c>
      <c r="G1260" s="810">
        <v>2.5116</v>
      </c>
      <c r="H1260" s="810">
        <v>2.8953</v>
      </c>
      <c r="I1260" s="810">
        <v>2.7442</v>
      </c>
      <c r="J1260" s="810">
        <v>3.3372</v>
      </c>
      <c r="K1260" s="810">
        <v>3.314</v>
      </c>
      <c r="L1260" s="810">
        <v>3.1744</v>
      </c>
      <c r="M1260" s="810">
        <v>2.7869</v>
      </c>
      <c r="N1260" s="810">
        <v>3.5509</v>
      </c>
      <c r="O1260" s="810" t="s">
        <v>2434</v>
      </c>
      <c r="P1260" s="100" t="s">
        <v>2537</v>
      </c>
      <c r="Q1260" s="100"/>
      <c r="R1260" s="100"/>
      <c r="S1260" s="8"/>
    </row>
    <row r="1261" ht="14.25" customHeight="1">
      <c r="A1261" s="100" t="s">
        <v>2193</v>
      </c>
      <c r="B1261" s="100" t="s">
        <v>2724</v>
      </c>
      <c r="C1261" s="100" t="s">
        <v>2364</v>
      </c>
      <c r="D1261" s="100" t="s">
        <v>135</v>
      </c>
      <c r="E1261" s="810">
        <v>0.6813</v>
      </c>
      <c r="F1261" s="810">
        <v>0.565</v>
      </c>
      <c r="G1261" s="810">
        <v>0.6902</v>
      </c>
      <c r="H1261" s="810">
        <v>0.6257</v>
      </c>
      <c r="I1261" s="810">
        <v>0.5711</v>
      </c>
      <c r="J1261" s="810">
        <v>0.4614</v>
      </c>
      <c r="K1261" s="810">
        <v>0.3414</v>
      </c>
      <c r="L1261" s="810">
        <v>0.5066</v>
      </c>
      <c r="M1261" s="810">
        <v>0.6198</v>
      </c>
      <c r="N1261" s="810">
        <v>0.6878</v>
      </c>
      <c r="O1261" s="810" t="s">
        <v>2434</v>
      </c>
      <c r="P1261" s="100" t="s">
        <v>2617</v>
      </c>
      <c r="Q1261" s="100"/>
      <c r="R1261" s="100"/>
      <c r="S1261" s="8"/>
    </row>
    <row r="1262" ht="14.25" customHeight="1">
      <c r="A1262" s="100" t="s">
        <v>2193</v>
      </c>
      <c r="B1262" s="100" t="s">
        <v>2724</v>
      </c>
      <c r="C1262" s="100" t="s">
        <v>2337</v>
      </c>
      <c r="D1262" s="100" t="s">
        <v>135</v>
      </c>
      <c r="E1262" s="810">
        <v>0.0922</v>
      </c>
      <c r="F1262" s="810">
        <v>0.0802</v>
      </c>
      <c r="G1262" s="810">
        <v>0.0374</v>
      </c>
      <c r="H1262" s="810">
        <v>0.0082</v>
      </c>
      <c r="I1262" s="810">
        <v>0.0116</v>
      </c>
      <c r="J1262" s="810">
        <v>0.0137</v>
      </c>
      <c r="K1262" s="810">
        <v>0.0139</v>
      </c>
      <c r="L1262" s="810">
        <v>0.0195</v>
      </c>
      <c r="M1262" s="810">
        <v>0.0151</v>
      </c>
      <c r="N1262" s="810">
        <v>0.0175</v>
      </c>
      <c r="O1262" s="810">
        <v>0.0229</v>
      </c>
      <c r="P1262" s="100" t="s">
        <v>2512</v>
      </c>
      <c r="Q1262" s="100" t="s">
        <v>2711</v>
      </c>
      <c r="R1262" s="100"/>
      <c r="S1262" s="8"/>
    </row>
    <row r="1263" ht="14.25" customHeight="1">
      <c r="A1263" s="100" t="s">
        <v>2193</v>
      </c>
      <c r="B1263" s="100" t="s">
        <v>2724</v>
      </c>
      <c r="C1263" s="100" t="s">
        <v>2341</v>
      </c>
      <c r="D1263" s="100" t="s">
        <v>135</v>
      </c>
      <c r="E1263" s="810">
        <v>4.7364</v>
      </c>
      <c r="F1263" s="810">
        <v>4.5384</v>
      </c>
      <c r="G1263" s="810">
        <v>4.8022</v>
      </c>
      <c r="H1263" s="810">
        <v>5.1733</v>
      </c>
      <c r="I1263" s="810">
        <v>5.2638</v>
      </c>
      <c r="J1263" s="810">
        <v>5.5677</v>
      </c>
      <c r="K1263" s="810">
        <v>5.6021</v>
      </c>
      <c r="L1263" s="810">
        <v>5.2348</v>
      </c>
      <c r="M1263" s="810">
        <v>4.9676</v>
      </c>
      <c r="N1263" s="810">
        <v>5.5703</v>
      </c>
      <c r="O1263" s="810" t="s">
        <v>2434</v>
      </c>
      <c r="P1263" s="100" t="s">
        <v>2546</v>
      </c>
      <c r="Q1263" s="100"/>
      <c r="R1263" s="100"/>
      <c r="S1263" s="8"/>
    </row>
    <row r="1264" ht="14.25" customHeight="1">
      <c r="A1264" s="100" t="s">
        <v>2193</v>
      </c>
      <c r="B1264" s="100" t="s">
        <v>2724</v>
      </c>
      <c r="C1264" s="100" t="s">
        <v>2348</v>
      </c>
      <c r="D1264" s="100" t="s">
        <v>135</v>
      </c>
      <c r="E1264" s="810">
        <v>2.7428</v>
      </c>
      <c r="F1264" s="810">
        <v>2.8283</v>
      </c>
      <c r="G1264" s="810">
        <v>2.2985</v>
      </c>
      <c r="H1264" s="810">
        <v>2.103</v>
      </c>
      <c r="I1264" s="810">
        <v>2.0257</v>
      </c>
      <c r="J1264" s="810">
        <v>3.0378</v>
      </c>
      <c r="K1264" s="810">
        <v>2.9623</v>
      </c>
      <c r="L1264" s="810">
        <v>3.2655</v>
      </c>
      <c r="M1264" s="810">
        <v>3.6649</v>
      </c>
      <c r="N1264" s="810">
        <v>4.0472</v>
      </c>
      <c r="O1264" s="810" t="s">
        <v>2434</v>
      </c>
      <c r="P1264" s="100" t="s">
        <v>2618</v>
      </c>
      <c r="Q1264" s="100" t="s">
        <v>2727</v>
      </c>
      <c r="R1264" s="100"/>
      <c r="S1264" s="8"/>
    </row>
    <row r="1265" ht="14.25" customHeight="1">
      <c r="A1265" s="100" t="s">
        <v>2193</v>
      </c>
      <c r="B1265" s="100" t="s">
        <v>2724</v>
      </c>
      <c r="C1265" s="100" t="s">
        <v>2350</v>
      </c>
      <c r="D1265" s="100" t="s">
        <v>135</v>
      </c>
      <c r="E1265" s="810">
        <v>1.2137</v>
      </c>
      <c r="F1265" s="810">
        <v>1.2725</v>
      </c>
      <c r="G1265" s="810">
        <v>0.8887</v>
      </c>
      <c r="H1265" s="810">
        <v>1.6536</v>
      </c>
      <c r="I1265" s="810">
        <v>1.2337</v>
      </c>
      <c r="J1265" s="810">
        <v>1.3506</v>
      </c>
      <c r="K1265" s="810">
        <v>0.2816</v>
      </c>
      <c r="L1265" s="810">
        <v>0.4241</v>
      </c>
      <c r="M1265" s="810">
        <v>0.4058</v>
      </c>
      <c r="N1265" s="810">
        <v>0.2743</v>
      </c>
      <c r="O1265" s="810" t="s">
        <v>2434</v>
      </c>
      <c r="P1265" s="100" t="s">
        <v>2400</v>
      </c>
      <c r="Q1265" s="100"/>
      <c r="R1265" s="100"/>
      <c r="S1265" s="8"/>
    </row>
    <row r="1266" ht="14.25" customHeight="1">
      <c r="A1266" s="100" t="s">
        <v>2193</v>
      </c>
      <c r="B1266" s="100" t="s">
        <v>2724</v>
      </c>
      <c r="C1266" s="100" t="s">
        <v>2354</v>
      </c>
      <c r="D1266" s="100" t="s">
        <v>135</v>
      </c>
      <c r="E1266" s="810">
        <v>35.139</v>
      </c>
      <c r="F1266" s="810">
        <v>35.9207</v>
      </c>
      <c r="G1266" s="810">
        <v>36.7928</v>
      </c>
      <c r="H1266" s="810">
        <v>37.976</v>
      </c>
      <c r="I1266" s="810">
        <v>39.9825</v>
      </c>
      <c r="J1266" s="810">
        <v>40.7307</v>
      </c>
      <c r="K1266" s="810">
        <v>43.2943</v>
      </c>
      <c r="L1266" s="810">
        <v>45.9142</v>
      </c>
      <c r="M1266" s="810">
        <v>48.7754</v>
      </c>
      <c r="N1266" s="810">
        <v>49.8714</v>
      </c>
      <c r="O1266" s="810" t="s">
        <v>2434</v>
      </c>
      <c r="P1266" s="100" t="s">
        <v>2619</v>
      </c>
      <c r="Q1266" s="100" t="s">
        <v>2713</v>
      </c>
      <c r="R1266" s="100"/>
      <c r="S1266" s="8"/>
    </row>
    <row r="1267" ht="14.25" customHeight="1">
      <c r="A1267" s="100" t="s">
        <v>2193</v>
      </c>
      <c r="B1267" s="100" t="s">
        <v>2724</v>
      </c>
      <c r="C1267" s="100" t="s">
        <v>2356</v>
      </c>
      <c r="D1267" s="100" t="s">
        <v>135</v>
      </c>
      <c r="E1267" s="810">
        <v>17.071</v>
      </c>
      <c r="F1267" s="810">
        <v>15.3075</v>
      </c>
      <c r="G1267" s="810">
        <v>18.1739</v>
      </c>
      <c r="H1267" s="810">
        <v>19.3239</v>
      </c>
      <c r="I1267" s="810">
        <v>17.4412</v>
      </c>
      <c r="J1267" s="810">
        <v>18.0394</v>
      </c>
      <c r="K1267" s="810">
        <v>20.591</v>
      </c>
      <c r="L1267" s="810">
        <v>18.3093</v>
      </c>
      <c r="M1267" s="810">
        <v>20.6654</v>
      </c>
      <c r="N1267" s="810">
        <v>16.593</v>
      </c>
      <c r="O1267" s="810" t="s">
        <v>2434</v>
      </c>
      <c r="P1267" s="100" t="s">
        <v>2620</v>
      </c>
      <c r="Q1267" s="100"/>
      <c r="R1267" s="100"/>
      <c r="S1267" s="8"/>
    </row>
    <row r="1268" ht="14.25" customHeight="1">
      <c r="A1268" s="100" t="s">
        <v>2193</v>
      </c>
      <c r="B1268" s="100" t="s">
        <v>2724</v>
      </c>
      <c r="C1268" s="100" t="s">
        <v>2344</v>
      </c>
      <c r="D1268" s="100" t="s">
        <v>135</v>
      </c>
      <c r="E1268" s="810">
        <v>60.2211</v>
      </c>
      <c r="F1268" s="810">
        <v>61.6444</v>
      </c>
      <c r="G1268" s="810">
        <v>46.5868</v>
      </c>
      <c r="H1268" s="810">
        <v>46.7935</v>
      </c>
      <c r="I1268" s="810">
        <v>51.8387</v>
      </c>
      <c r="J1268" s="810">
        <v>51.2471</v>
      </c>
      <c r="K1268" s="810">
        <v>53.4716</v>
      </c>
      <c r="L1268" s="810">
        <v>53.2076</v>
      </c>
      <c r="M1268" s="810">
        <v>52.4397</v>
      </c>
      <c r="N1268" s="810">
        <v>53.7261</v>
      </c>
      <c r="O1268" s="810" t="s">
        <v>2434</v>
      </c>
      <c r="P1268" s="100" t="s">
        <v>2621</v>
      </c>
      <c r="Q1268" s="100"/>
      <c r="R1268" s="100"/>
      <c r="S1268" s="8"/>
    </row>
    <row r="1269" ht="14.25" customHeight="1">
      <c r="A1269" s="100" t="s">
        <v>2193</v>
      </c>
      <c r="B1269" s="100" t="s">
        <v>2724</v>
      </c>
      <c r="C1269" s="100" t="s">
        <v>2362</v>
      </c>
      <c r="D1269" s="100" t="s">
        <v>135</v>
      </c>
      <c r="E1269" s="810">
        <v>2.8692</v>
      </c>
      <c r="F1269" s="810">
        <v>3.0536</v>
      </c>
      <c r="G1269" s="810">
        <v>2.3874</v>
      </c>
      <c r="H1269" s="810">
        <v>1.5007</v>
      </c>
      <c r="I1269" s="810">
        <v>1.9043</v>
      </c>
      <c r="J1269" s="810">
        <v>3.0392</v>
      </c>
      <c r="K1269" s="810">
        <v>2.0238</v>
      </c>
      <c r="L1269" s="810">
        <v>1.5742</v>
      </c>
      <c r="M1269" s="810">
        <v>1.6623</v>
      </c>
      <c r="N1269" s="810">
        <v>1.6129</v>
      </c>
      <c r="O1269" s="810" t="s">
        <v>2434</v>
      </c>
      <c r="P1269" s="100" t="s">
        <v>2622</v>
      </c>
      <c r="Q1269" s="100"/>
      <c r="R1269" s="100"/>
      <c r="S1269" s="8"/>
    </row>
    <row r="1270" ht="14.25" customHeight="1">
      <c r="A1270" s="100" t="s">
        <v>2193</v>
      </c>
      <c r="B1270" s="100" t="s">
        <v>2724</v>
      </c>
      <c r="C1270" s="100" t="s">
        <v>2367</v>
      </c>
      <c r="D1270" s="100" t="s">
        <v>135</v>
      </c>
      <c r="E1270" s="810">
        <v>1.0065</v>
      </c>
      <c r="F1270" s="810">
        <v>0.9759</v>
      </c>
      <c r="G1270" s="810">
        <v>0.7518</v>
      </c>
      <c r="H1270" s="810">
        <v>1.1862</v>
      </c>
      <c r="I1270" s="810">
        <v>1.5053</v>
      </c>
      <c r="J1270" s="810">
        <v>1.5072</v>
      </c>
      <c r="K1270" s="810">
        <v>1.6505</v>
      </c>
      <c r="L1270" s="810">
        <v>2.1163</v>
      </c>
      <c r="M1270" s="810">
        <v>2.4876</v>
      </c>
      <c r="N1270" s="810">
        <v>2.8648</v>
      </c>
      <c r="O1270" s="810" t="s">
        <v>2434</v>
      </c>
      <c r="P1270" s="100" t="s">
        <v>2546</v>
      </c>
      <c r="Q1270" s="100"/>
      <c r="R1270" s="100"/>
      <c r="S1270" s="8"/>
    </row>
    <row r="1271" ht="14.25" customHeight="1">
      <c r="A1271" s="100" t="s">
        <v>2193</v>
      </c>
      <c r="B1271" s="100" t="s">
        <v>2724</v>
      </c>
      <c r="C1271" s="100" t="s">
        <v>2369</v>
      </c>
      <c r="D1271" s="100" t="s">
        <v>135</v>
      </c>
      <c r="E1271" s="810">
        <v>1.8169</v>
      </c>
      <c r="F1271" s="810">
        <v>1.7011</v>
      </c>
      <c r="G1271" s="810">
        <v>1.6136</v>
      </c>
      <c r="H1271" s="810">
        <v>1.6848</v>
      </c>
      <c r="I1271" s="810">
        <v>2.0374</v>
      </c>
      <c r="J1271" s="810">
        <v>2.1262</v>
      </c>
      <c r="K1271" s="810">
        <v>2.0864</v>
      </c>
      <c r="L1271" s="810">
        <v>2.2877</v>
      </c>
      <c r="M1271" s="810">
        <v>2.3527</v>
      </c>
      <c r="N1271" s="810">
        <v>2.2569</v>
      </c>
      <c r="O1271" s="810" t="s">
        <v>2434</v>
      </c>
      <c r="P1271" s="100" t="s">
        <v>2623</v>
      </c>
      <c r="Q1271" s="100"/>
      <c r="R1271" s="100"/>
      <c r="S1271" s="8"/>
    </row>
    <row r="1272" ht="14.25" customHeight="1">
      <c r="A1272" s="100" t="s">
        <v>2193</v>
      </c>
      <c r="B1272" s="100" t="s">
        <v>2724</v>
      </c>
      <c r="C1272" s="100" t="s">
        <v>2374</v>
      </c>
      <c r="D1272" s="100" t="s">
        <v>135</v>
      </c>
      <c r="E1272" s="810">
        <v>5.1155</v>
      </c>
      <c r="F1272" s="810">
        <v>5.8345</v>
      </c>
      <c r="G1272" s="810">
        <v>6.4155</v>
      </c>
      <c r="H1272" s="810">
        <v>6.4588</v>
      </c>
      <c r="I1272" s="810">
        <v>6.9657</v>
      </c>
      <c r="J1272" s="810">
        <v>7.8028</v>
      </c>
      <c r="K1272" s="810">
        <v>7.7805</v>
      </c>
      <c r="L1272" s="810">
        <v>7.417</v>
      </c>
      <c r="M1272" s="810">
        <v>7.6567</v>
      </c>
      <c r="N1272" s="810">
        <v>8.2224</v>
      </c>
      <c r="O1272" s="810" t="s">
        <v>2434</v>
      </c>
      <c r="P1272" s="100" t="s">
        <v>2624</v>
      </c>
      <c r="Q1272" s="100"/>
      <c r="R1272" s="100"/>
      <c r="S1272" s="8"/>
    </row>
    <row r="1273" ht="14.25" customHeight="1">
      <c r="A1273" s="100" t="s">
        <v>2193</v>
      </c>
      <c r="B1273" s="100" t="s">
        <v>2724</v>
      </c>
      <c r="C1273" s="100" t="s">
        <v>2386</v>
      </c>
      <c r="D1273" s="100" t="s">
        <v>135</v>
      </c>
      <c r="E1273" s="810">
        <v>2.6312</v>
      </c>
      <c r="F1273" s="810">
        <v>3.0097</v>
      </c>
      <c r="G1273" s="810">
        <v>3.4358</v>
      </c>
      <c r="H1273" s="810">
        <v>3.5811</v>
      </c>
      <c r="I1273" s="810">
        <v>4.1197</v>
      </c>
      <c r="J1273" s="810">
        <v>4.175</v>
      </c>
      <c r="K1273" s="810">
        <v>3.8498</v>
      </c>
      <c r="L1273" s="810">
        <v>4.0814</v>
      </c>
      <c r="M1273" s="810">
        <v>4.8072</v>
      </c>
      <c r="N1273" s="810">
        <v>4.598</v>
      </c>
      <c r="O1273" s="810" t="s">
        <v>2434</v>
      </c>
      <c r="P1273" s="100" t="s">
        <v>2625</v>
      </c>
      <c r="Q1273" s="100"/>
      <c r="R1273" s="100"/>
      <c r="S1273" s="8"/>
    </row>
    <row r="1274" ht="14.25" customHeight="1">
      <c r="A1274" s="100" t="s">
        <v>2193</v>
      </c>
      <c r="B1274" s="100" t="s">
        <v>2724</v>
      </c>
      <c r="C1274" s="100" t="s">
        <v>2378</v>
      </c>
      <c r="D1274" s="100" t="s">
        <v>135</v>
      </c>
      <c r="E1274" s="810">
        <v>0.8872</v>
      </c>
      <c r="F1274" s="810">
        <v>0.8979</v>
      </c>
      <c r="G1274" s="810">
        <v>1.0093</v>
      </c>
      <c r="H1274" s="810">
        <v>1.0062</v>
      </c>
      <c r="I1274" s="810">
        <v>0.9769</v>
      </c>
      <c r="J1274" s="810">
        <v>1.0371</v>
      </c>
      <c r="K1274" s="810">
        <v>1.1171</v>
      </c>
      <c r="L1274" s="810">
        <v>1.1803</v>
      </c>
      <c r="M1274" s="810">
        <v>1.2868</v>
      </c>
      <c r="N1274" s="810">
        <v>1.2872</v>
      </c>
      <c r="O1274" s="810" t="s">
        <v>2434</v>
      </c>
      <c r="P1274" s="100" t="s">
        <v>2567</v>
      </c>
      <c r="Q1274" s="100"/>
      <c r="R1274" s="100"/>
      <c r="S1274" s="8"/>
    </row>
    <row r="1275" ht="14.25" customHeight="1">
      <c r="A1275" s="100" t="s">
        <v>2193</v>
      </c>
      <c r="B1275" s="100" t="s">
        <v>2724</v>
      </c>
      <c r="C1275" s="100" t="s">
        <v>2383</v>
      </c>
      <c r="D1275" s="100" t="s">
        <v>135</v>
      </c>
      <c r="E1275" s="810">
        <v>0.5</v>
      </c>
      <c r="F1275" s="810">
        <v>0.4535</v>
      </c>
      <c r="G1275" s="810">
        <v>0.4535</v>
      </c>
      <c r="H1275" s="810">
        <v>0.4767</v>
      </c>
      <c r="I1275" s="810">
        <v>0.5116</v>
      </c>
      <c r="J1275" s="810">
        <v>0.4767</v>
      </c>
      <c r="K1275" s="810">
        <v>0.4535</v>
      </c>
      <c r="L1275" s="810">
        <v>0.4535</v>
      </c>
      <c r="M1275" s="810">
        <v>0.3837</v>
      </c>
      <c r="N1275" s="810">
        <v>0.2916</v>
      </c>
      <c r="O1275" s="810" t="s">
        <v>2434</v>
      </c>
      <c r="P1275" s="100" t="s">
        <v>2523</v>
      </c>
      <c r="Q1275" s="100" t="s">
        <v>2714</v>
      </c>
      <c r="R1275" s="100"/>
      <c r="S1275" s="8"/>
    </row>
    <row r="1276" ht="14.25" customHeight="1">
      <c r="A1276" s="100" t="s">
        <v>2193</v>
      </c>
      <c r="B1276" s="100" t="s">
        <v>2724</v>
      </c>
      <c r="C1276" s="100" t="s">
        <v>2389</v>
      </c>
      <c r="D1276" s="100" t="s">
        <v>135</v>
      </c>
      <c r="E1276" s="810">
        <v>0.0017</v>
      </c>
      <c r="F1276" s="810">
        <v>1.0E-4</v>
      </c>
      <c r="G1276" s="810">
        <v>1.0E-4</v>
      </c>
      <c r="H1276" s="810">
        <v>2.0E-4</v>
      </c>
      <c r="I1276" s="810">
        <v>2.0E-4</v>
      </c>
      <c r="J1276" s="810">
        <v>2.0E-4</v>
      </c>
      <c r="K1276" s="810">
        <v>0.0</v>
      </c>
      <c r="L1276" s="810">
        <v>0.0</v>
      </c>
      <c r="M1276" s="810">
        <v>0.0</v>
      </c>
      <c r="N1276" s="810">
        <v>0.0</v>
      </c>
      <c r="O1276" s="810" t="s">
        <v>2434</v>
      </c>
      <c r="P1276" s="100" t="s">
        <v>2635</v>
      </c>
      <c r="Q1276" s="100" t="s">
        <v>2716</v>
      </c>
      <c r="R1276" s="100"/>
      <c r="S1276" s="8"/>
    </row>
    <row r="1277" ht="14.25" customHeight="1">
      <c r="A1277" s="100" t="s">
        <v>2193</v>
      </c>
      <c r="B1277" s="100" t="s">
        <v>2724</v>
      </c>
      <c r="C1277" s="100" t="s">
        <v>2391</v>
      </c>
      <c r="D1277" s="100" t="s">
        <v>135</v>
      </c>
      <c r="E1277" s="810">
        <v>1.1938</v>
      </c>
      <c r="F1277" s="810">
        <v>1.0468</v>
      </c>
      <c r="G1277" s="810">
        <v>1.1745</v>
      </c>
      <c r="H1277" s="810">
        <v>1.2065</v>
      </c>
      <c r="I1277" s="810">
        <v>1.6928</v>
      </c>
      <c r="J1277" s="810">
        <v>1.6598</v>
      </c>
      <c r="K1277" s="810">
        <v>1.6097</v>
      </c>
      <c r="L1277" s="810">
        <v>1.5513</v>
      </c>
      <c r="M1277" s="810">
        <v>2.2529</v>
      </c>
      <c r="N1277" s="810">
        <v>2.1104</v>
      </c>
      <c r="O1277" s="810" t="s">
        <v>2434</v>
      </c>
      <c r="P1277" s="100" t="s">
        <v>2546</v>
      </c>
      <c r="Q1277" s="100" t="s">
        <v>2728</v>
      </c>
      <c r="R1277" s="100"/>
      <c r="S1277" s="8"/>
    </row>
    <row r="1278" ht="14.25" customHeight="1">
      <c r="A1278" s="100" t="s">
        <v>2193</v>
      </c>
      <c r="B1278" s="100" t="s">
        <v>2724</v>
      </c>
      <c r="C1278" s="100" t="s">
        <v>2393</v>
      </c>
      <c r="D1278" s="100" t="s">
        <v>135</v>
      </c>
      <c r="E1278" s="810">
        <v>15.0978</v>
      </c>
      <c r="F1278" s="810">
        <v>16.5176</v>
      </c>
      <c r="G1278" s="810">
        <v>16.8196</v>
      </c>
      <c r="H1278" s="810">
        <v>20.1724</v>
      </c>
      <c r="I1278" s="810">
        <v>21.3505</v>
      </c>
      <c r="J1278" s="810">
        <v>21.9985</v>
      </c>
      <c r="K1278" s="810">
        <v>25.4087</v>
      </c>
      <c r="L1278" s="810">
        <v>28.0516</v>
      </c>
      <c r="M1278" s="810">
        <v>27.9409</v>
      </c>
      <c r="N1278" s="810">
        <v>31.2403</v>
      </c>
      <c r="O1278" s="810" t="s">
        <v>2434</v>
      </c>
      <c r="P1278" s="100" t="s">
        <v>2526</v>
      </c>
      <c r="Q1278" s="100"/>
      <c r="R1278" s="100"/>
      <c r="S1278" s="8"/>
    </row>
    <row r="1279" ht="14.25" customHeight="1">
      <c r="A1279" s="100" t="s">
        <v>2193</v>
      </c>
      <c r="B1279" s="100" t="s">
        <v>2724</v>
      </c>
      <c r="C1279" s="100" t="s">
        <v>2395</v>
      </c>
      <c r="D1279" s="100" t="s">
        <v>135</v>
      </c>
      <c r="E1279" s="810">
        <v>7.4929</v>
      </c>
      <c r="F1279" s="810">
        <v>2.3438</v>
      </c>
      <c r="G1279" s="810">
        <v>4.5103</v>
      </c>
      <c r="H1279" s="810">
        <v>2.4372</v>
      </c>
      <c r="I1279" s="810">
        <v>2.8817</v>
      </c>
      <c r="J1279" s="810">
        <v>2.387</v>
      </c>
      <c r="K1279" s="810">
        <v>2.034</v>
      </c>
      <c r="L1279" s="810">
        <v>2.1071</v>
      </c>
      <c r="M1279" s="810">
        <v>2.1775</v>
      </c>
      <c r="N1279" s="810">
        <v>2.6173</v>
      </c>
      <c r="O1279" s="810" t="s">
        <v>2434</v>
      </c>
      <c r="P1279" s="100" t="s">
        <v>2626</v>
      </c>
      <c r="Q1279" s="100"/>
      <c r="R1279" s="100"/>
      <c r="S1279" s="8"/>
    </row>
    <row r="1280" ht="14.25" customHeight="1">
      <c r="A1280" s="100" t="s">
        <v>2193</v>
      </c>
      <c r="B1280" s="100" t="s">
        <v>2724</v>
      </c>
      <c r="C1280" s="100" t="s">
        <v>2397</v>
      </c>
      <c r="D1280" s="100" t="s">
        <v>135</v>
      </c>
      <c r="E1280" s="810">
        <v>2.907</v>
      </c>
      <c r="F1280" s="810">
        <v>3.4302</v>
      </c>
      <c r="G1280" s="810">
        <v>3.0</v>
      </c>
      <c r="H1280" s="810">
        <v>3.1512</v>
      </c>
      <c r="I1280" s="810">
        <v>3.0</v>
      </c>
      <c r="J1280" s="810">
        <v>2.8256</v>
      </c>
      <c r="K1280" s="810">
        <v>3.3721</v>
      </c>
      <c r="L1280" s="810">
        <v>6.5465</v>
      </c>
      <c r="M1280" s="810">
        <v>7.2442</v>
      </c>
      <c r="N1280" s="810">
        <v>7.3837</v>
      </c>
      <c r="O1280" s="810" t="s">
        <v>2434</v>
      </c>
      <c r="P1280" s="100" t="s">
        <v>2528</v>
      </c>
      <c r="Q1280" s="100"/>
      <c r="R1280" s="100"/>
      <c r="S1280" s="8"/>
    </row>
    <row r="1281" ht="14.25" customHeight="1">
      <c r="A1281" s="100" t="s">
        <v>2193</v>
      </c>
      <c r="B1281" s="100" t="s">
        <v>2724</v>
      </c>
      <c r="C1281" s="100" t="s">
        <v>2411</v>
      </c>
      <c r="D1281" s="100" t="s">
        <v>135</v>
      </c>
      <c r="E1281" s="810">
        <v>4.5221</v>
      </c>
      <c r="F1281" s="810">
        <v>4.4686</v>
      </c>
      <c r="G1281" s="810">
        <v>3.3907</v>
      </c>
      <c r="H1281" s="810">
        <v>4.143</v>
      </c>
      <c r="I1281" s="810">
        <v>5.1314</v>
      </c>
      <c r="J1281" s="810">
        <v>6.6128</v>
      </c>
      <c r="K1281" s="810">
        <v>6.0674</v>
      </c>
      <c r="L1281" s="810">
        <v>6.1279</v>
      </c>
      <c r="M1281" s="810">
        <v>6.5105</v>
      </c>
      <c r="N1281" s="810">
        <v>6.6961</v>
      </c>
      <c r="O1281" s="810" t="s">
        <v>2434</v>
      </c>
      <c r="P1281" s="100" t="s">
        <v>2546</v>
      </c>
      <c r="Q1281" s="100"/>
      <c r="R1281" s="100"/>
      <c r="S1281" s="8"/>
    </row>
    <row r="1282" ht="14.25" customHeight="1">
      <c r="A1282" s="100" t="s">
        <v>2193</v>
      </c>
      <c r="B1282" s="100" t="s">
        <v>2724</v>
      </c>
      <c r="C1282" s="100" t="s">
        <v>2406</v>
      </c>
      <c r="D1282" s="100" t="s">
        <v>135</v>
      </c>
      <c r="E1282" s="810">
        <v>1.0512</v>
      </c>
      <c r="F1282" s="810">
        <v>0.9365</v>
      </c>
      <c r="G1282" s="810">
        <v>0.8146</v>
      </c>
      <c r="H1282" s="810">
        <v>0.9526</v>
      </c>
      <c r="I1282" s="810">
        <v>1.3184</v>
      </c>
      <c r="J1282" s="810">
        <v>1.277</v>
      </c>
      <c r="K1282" s="810">
        <v>1.27</v>
      </c>
      <c r="L1282" s="810">
        <v>1.3538</v>
      </c>
      <c r="M1282" s="810">
        <v>1.3554</v>
      </c>
      <c r="N1282" s="810">
        <v>1.4626</v>
      </c>
      <c r="O1282" s="810" t="s">
        <v>2434</v>
      </c>
      <c r="P1282" s="100" t="s">
        <v>2628</v>
      </c>
      <c r="Q1282" s="100"/>
      <c r="R1282" s="100"/>
      <c r="S1282" s="8"/>
    </row>
    <row r="1283" ht="14.25" customHeight="1">
      <c r="A1283" s="100" t="s">
        <v>2193</v>
      </c>
      <c r="B1283" s="100" t="s">
        <v>2724</v>
      </c>
      <c r="C1283" s="100" t="s">
        <v>2352</v>
      </c>
      <c r="D1283" s="100" t="s">
        <v>135</v>
      </c>
      <c r="E1283" s="810">
        <v>13.3217</v>
      </c>
      <c r="F1283" s="810">
        <v>14.6064</v>
      </c>
      <c r="G1283" s="810">
        <v>14.7603</v>
      </c>
      <c r="H1283" s="810">
        <v>13.7124</v>
      </c>
      <c r="I1283" s="810">
        <v>13.2507</v>
      </c>
      <c r="J1283" s="810">
        <v>15.6551</v>
      </c>
      <c r="K1283" s="810">
        <v>16.1201</v>
      </c>
      <c r="L1283" s="810">
        <v>16.7312</v>
      </c>
      <c r="M1283" s="810">
        <v>17.1126</v>
      </c>
      <c r="N1283" s="810">
        <v>18.4767</v>
      </c>
      <c r="O1283" s="810" t="s">
        <v>2434</v>
      </c>
      <c r="P1283" s="100" t="s">
        <v>2629</v>
      </c>
      <c r="Q1283" s="100"/>
      <c r="R1283" s="100"/>
      <c r="S1283" s="8"/>
    </row>
    <row r="1284" ht="14.25" customHeight="1">
      <c r="A1284" s="100" t="s">
        <v>2193</v>
      </c>
      <c r="B1284" s="100" t="s">
        <v>2724</v>
      </c>
      <c r="C1284" s="100" t="s">
        <v>2400</v>
      </c>
      <c r="D1284" s="100" t="s">
        <v>135</v>
      </c>
      <c r="E1284" s="810">
        <v>54.5196</v>
      </c>
      <c r="F1284" s="810">
        <v>54.0929</v>
      </c>
      <c r="G1284" s="810">
        <v>55.3281</v>
      </c>
      <c r="H1284" s="810">
        <v>55.4925</v>
      </c>
      <c r="I1284" s="810">
        <v>56.7206</v>
      </c>
      <c r="J1284" s="810">
        <v>57.3317</v>
      </c>
      <c r="K1284" s="810">
        <v>56.984</v>
      </c>
      <c r="L1284" s="810">
        <v>57.0007</v>
      </c>
      <c r="M1284" s="810">
        <v>56.2974</v>
      </c>
      <c r="N1284" s="810">
        <v>58.7038</v>
      </c>
      <c r="O1284" s="810" t="s">
        <v>2434</v>
      </c>
      <c r="P1284" s="100" t="s">
        <v>2630</v>
      </c>
      <c r="Q1284" s="100"/>
      <c r="R1284" s="100"/>
      <c r="S1284" s="8"/>
    </row>
    <row r="1285" ht="14.25" customHeight="1">
      <c r="A1285" s="100" t="s">
        <v>2193</v>
      </c>
      <c r="B1285" s="100" t="s">
        <v>2724</v>
      </c>
      <c r="C1285" s="100" t="s">
        <v>2416</v>
      </c>
      <c r="D1285" s="100" t="s">
        <v>135</v>
      </c>
      <c r="E1285" s="810">
        <v>6.188</v>
      </c>
      <c r="F1285" s="810">
        <v>6.377</v>
      </c>
      <c r="G1285" s="810">
        <v>5.1578</v>
      </c>
      <c r="H1285" s="810">
        <v>5.2489</v>
      </c>
      <c r="I1285" s="810">
        <v>3.8555</v>
      </c>
      <c r="J1285" s="810">
        <v>4.0178</v>
      </c>
      <c r="K1285" s="810">
        <v>3.5794</v>
      </c>
      <c r="L1285" s="810">
        <v>3.8288</v>
      </c>
      <c r="M1285" s="810">
        <v>4.2138</v>
      </c>
      <c r="N1285" s="810">
        <v>4.9579</v>
      </c>
      <c r="O1285" s="810">
        <v>4.8669</v>
      </c>
      <c r="P1285" s="100" t="s">
        <v>2631</v>
      </c>
      <c r="Q1285" s="100"/>
      <c r="R1285" s="100"/>
      <c r="S1285" s="8"/>
    </row>
    <row r="1286" ht="14.25" customHeight="1">
      <c r="A1286" s="100" t="s">
        <v>2193</v>
      </c>
      <c r="B1286" s="100" t="s">
        <v>2724</v>
      </c>
      <c r="C1286" s="100" t="s">
        <v>2423</v>
      </c>
      <c r="D1286" s="100" t="s">
        <v>135</v>
      </c>
      <c r="E1286" s="810">
        <v>4.2791</v>
      </c>
      <c r="F1286" s="810">
        <v>4.3605</v>
      </c>
      <c r="G1286" s="810">
        <v>4.3256</v>
      </c>
      <c r="H1286" s="810">
        <v>4.4186</v>
      </c>
      <c r="I1286" s="810">
        <v>4.8837</v>
      </c>
      <c r="J1286" s="810">
        <v>4.1628</v>
      </c>
      <c r="K1286" s="810">
        <v>5.3488</v>
      </c>
      <c r="L1286" s="810">
        <v>4.1395</v>
      </c>
      <c r="M1286" s="810">
        <v>4.5465</v>
      </c>
      <c r="N1286" s="810">
        <v>4.593</v>
      </c>
      <c r="O1286" s="810" t="s">
        <v>2434</v>
      </c>
      <c r="P1286" s="100" t="s">
        <v>2632</v>
      </c>
      <c r="Q1286" s="100"/>
      <c r="R1286" s="100"/>
      <c r="S1286" s="8"/>
    </row>
    <row r="1287" ht="14.25" customHeight="1">
      <c r="A1287" s="100" t="s">
        <v>2193</v>
      </c>
      <c r="B1287" s="100" t="s">
        <v>2724</v>
      </c>
      <c r="C1287" s="100" t="s">
        <v>2360</v>
      </c>
      <c r="D1287" s="100" t="s">
        <v>135</v>
      </c>
      <c r="E1287" s="810">
        <v>4.7739</v>
      </c>
      <c r="F1287" s="810">
        <v>5.3705</v>
      </c>
      <c r="G1287" s="810">
        <v>4.9394</v>
      </c>
      <c r="H1287" s="810">
        <v>5.8365</v>
      </c>
      <c r="I1287" s="810">
        <v>6.0102</v>
      </c>
      <c r="J1287" s="810">
        <v>11.2839</v>
      </c>
      <c r="K1287" s="810">
        <v>12.5987</v>
      </c>
      <c r="L1287" s="810">
        <v>12.4828</v>
      </c>
      <c r="M1287" s="810">
        <v>14.5319</v>
      </c>
      <c r="N1287" s="810">
        <v>14.7834</v>
      </c>
      <c r="O1287" s="810" t="s">
        <v>2434</v>
      </c>
      <c r="P1287" s="100" t="s">
        <v>2636</v>
      </c>
      <c r="Q1287" s="100"/>
      <c r="R1287" s="100"/>
      <c r="S1287" s="8"/>
    </row>
    <row r="1288" ht="14.25" customHeight="1">
      <c r="A1288" s="100" t="s">
        <v>2193</v>
      </c>
      <c r="B1288" s="100" t="s">
        <v>2724</v>
      </c>
      <c r="C1288" s="100" t="s">
        <v>2535</v>
      </c>
      <c r="D1288" s="100" t="s">
        <v>135</v>
      </c>
      <c r="E1288" s="810">
        <v>0.6127</v>
      </c>
      <c r="F1288" s="810">
        <v>1.5539</v>
      </c>
      <c r="G1288" s="810">
        <v>0.8293</v>
      </c>
      <c r="H1288" s="810">
        <v>2.2599</v>
      </c>
      <c r="I1288" s="810">
        <v>1.4867</v>
      </c>
      <c r="J1288" s="810">
        <v>1.5592</v>
      </c>
      <c r="K1288" s="810">
        <v>1.5381</v>
      </c>
      <c r="L1288" s="810">
        <v>2.166</v>
      </c>
      <c r="M1288" s="810">
        <v>2.0247</v>
      </c>
      <c r="N1288" s="810">
        <v>2.2637</v>
      </c>
      <c r="O1288" s="810" t="s">
        <v>2434</v>
      </c>
      <c r="P1288" s="100" t="s">
        <v>2546</v>
      </c>
      <c r="Q1288" s="100" t="s">
        <v>2717</v>
      </c>
      <c r="R1288" s="100"/>
      <c r="S1288" s="8"/>
    </row>
    <row r="1289" ht="14.25" customHeight="1">
      <c r="A1289" s="100" t="s">
        <v>2199</v>
      </c>
      <c r="B1289" s="100" t="s">
        <v>2729</v>
      </c>
      <c r="C1289" s="100" t="s">
        <v>2317</v>
      </c>
      <c r="D1289" s="100" t="s">
        <v>135</v>
      </c>
      <c r="E1289" s="810" t="str">
        <f t="shared" ref="E1289:M1289" si="108">#REF!</f>
        <v>#REF!</v>
      </c>
      <c r="F1289" s="810" t="str">
        <f t="shared" si="108"/>
        <v>#REF!</v>
      </c>
      <c r="G1289" s="810" t="str">
        <f t="shared" si="108"/>
        <v>#REF!</v>
      </c>
      <c r="H1289" s="810" t="str">
        <f t="shared" si="108"/>
        <v>#REF!</v>
      </c>
      <c r="I1289" s="810" t="str">
        <f t="shared" si="108"/>
        <v>#REF!</v>
      </c>
      <c r="J1289" s="810" t="str">
        <f t="shared" si="108"/>
        <v>#REF!</v>
      </c>
      <c r="K1289" s="810" t="str">
        <f t="shared" si="108"/>
        <v>#REF!</v>
      </c>
      <c r="L1289" s="810" t="str">
        <f t="shared" si="108"/>
        <v>#REF!</v>
      </c>
      <c r="M1289" s="810" t="str">
        <f t="shared" si="108"/>
        <v>#REF!</v>
      </c>
      <c r="N1289" s="817" t="str">
        <f>(M1289*(N1290+N1320)/(M1290+M1320))</f>
        <v>#REF!</v>
      </c>
      <c r="O1289" s="810" t="str">
        <f>#REF!</f>
        <v>#REF!</v>
      </c>
      <c r="P1289" s="100" t="s">
        <v>2546</v>
      </c>
      <c r="Q1289" s="100"/>
      <c r="R1289" s="100"/>
      <c r="S1289" s="8"/>
    </row>
    <row r="1290" ht="14.25" customHeight="1">
      <c r="A1290" s="100" t="s">
        <v>2199</v>
      </c>
      <c r="B1290" s="100"/>
      <c r="C1290" s="100" t="s">
        <v>2507</v>
      </c>
      <c r="D1290" s="100"/>
      <c r="E1290" s="810" t="str">
        <f t="shared" ref="E1290:O1290" si="109">#REF!</f>
        <v>#REF!</v>
      </c>
      <c r="F1290" s="810" t="str">
        <f t="shared" si="109"/>
        <v>#REF!</v>
      </c>
      <c r="G1290" s="810" t="str">
        <f t="shared" si="109"/>
        <v>#REF!</v>
      </c>
      <c r="H1290" s="810" t="str">
        <f t="shared" si="109"/>
        <v>#REF!</v>
      </c>
      <c r="I1290" s="810" t="str">
        <f t="shared" si="109"/>
        <v>#REF!</v>
      </c>
      <c r="J1290" s="810" t="str">
        <f t="shared" si="109"/>
        <v>#REF!</v>
      </c>
      <c r="K1290" s="810" t="str">
        <f t="shared" si="109"/>
        <v>#REF!</v>
      </c>
      <c r="L1290" s="810" t="str">
        <f t="shared" si="109"/>
        <v>#REF!</v>
      </c>
      <c r="M1290" s="810" t="str">
        <f t="shared" si="109"/>
        <v>#REF!</v>
      </c>
      <c r="N1290" s="810" t="str">
        <f t="shared" si="109"/>
        <v>#REF!</v>
      </c>
      <c r="O1290" s="810" t="str">
        <f t="shared" si="109"/>
        <v>#REF!</v>
      </c>
      <c r="P1290" s="100"/>
      <c r="Q1290" s="100"/>
      <c r="R1290" s="100"/>
      <c r="S1290" s="8"/>
    </row>
    <row r="1291" ht="14.25" customHeight="1">
      <c r="A1291" s="100" t="s">
        <v>2199</v>
      </c>
      <c r="B1291" s="100" t="s">
        <v>2729</v>
      </c>
      <c r="C1291" s="100" t="s">
        <v>2325</v>
      </c>
      <c r="D1291" s="100" t="s">
        <v>135</v>
      </c>
      <c r="E1291" s="810">
        <v>27.2056</v>
      </c>
      <c r="F1291" s="810">
        <v>27.8294</v>
      </c>
      <c r="G1291" s="810">
        <v>28.0547</v>
      </c>
      <c r="H1291" s="810">
        <v>28.1171</v>
      </c>
      <c r="I1291" s="810">
        <v>28.1182</v>
      </c>
      <c r="J1291" s="810">
        <v>28.49</v>
      </c>
      <c r="K1291" s="810">
        <v>29.3576</v>
      </c>
      <c r="L1291" s="810">
        <v>29.5552</v>
      </c>
      <c r="M1291" s="810">
        <v>29.6241</v>
      </c>
      <c r="N1291" s="810">
        <v>29.3051</v>
      </c>
      <c r="O1291" s="810" t="s">
        <v>2434</v>
      </c>
      <c r="P1291" s="100" t="s">
        <v>2616</v>
      </c>
      <c r="Q1291" s="100"/>
      <c r="R1291" s="100"/>
      <c r="S1291" s="8"/>
    </row>
    <row r="1292" ht="14.25" customHeight="1">
      <c r="A1292" s="100" t="s">
        <v>2199</v>
      </c>
      <c r="B1292" s="100" t="s">
        <v>2729</v>
      </c>
      <c r="C1292" s="100" t="s">
        <v>2329</v>
      </c>
      <c r="D1292" s="100" t="s">
        <v>135</v>
      </c>
      <c r="E1292" s="810">
        <v>39.8417</v>
      </c>
      <c r="F1292" s="810">
        <v>39.249</v>
      </c>
      <c r="G1292" s="810">
        <v>38.2689</v>
      </c>
      <c r="H1292" s="810">
        <v>37.7682</v>
      </c>
      <c r="I1292" s="810">
        <v>37.9387</v>
      </c>
      <c r="J1292" s="810">
        <v>38.0906</v>
      </c>
      <c r="K1292" s="810">
        <v>38.3642</v>
      </c>
      <c r="L1292" s="810">
        <v>38.5847</v>
      </c>
      <c r="M1292" s="810">
        <v>39.1057</v>
      </c>
      <c r="N1292" s="810">
        <v>38.3209</v>
      </c>
      <c r="O1292" s="810" t="s">
        <v>2434</v>
      </c>
      <c r="P1292" s="100" t="s">
        <v>2730</v>
      </c>
      <c r="Q1292" s="100"/>
      <c r="R1292" s="100"/>
      <c r="S1292" s="8"/>
    </row>
    <row r="1293" ht="14.25" customHeight="1">
      <c r="A1293" s="100" t="s">
        <v>2199</v>
      </c>
      <c r="B1293" s="100" t="s">
        <v>2729</v>
      </c>
      <c r="C1293" s="100" t="s">
        <v>2333</v>
      </c>
      <c r="D1293" s="100" t="s">
        <v>135</v>
      </c>
      <c r="E1293" s="810">
        <v>7.8256</v>
      </c>
      <c r="F1293" s="810">
        <v>8.4419</v>
      </c>
      <c r="G1293" s="810">
        <v>8.2326</v>
      </c>
      <c r="H1293" s="810">
        <v>8.5233</v>
      </c>
      <c r="I1293" s="810">
        <v>8.686</v>
      </c>
      <c r="J1293" s="810">
        <v>8.9419</v>
      </c>
      <c r="K1293" s="810">
        <v>8.9186</v>
      </c>
      <c r="L1293" s="810">
        <v>9.4035</v>
      </c>
      <c r="M1293" s="810">
        <v>9.8699</v>
      </c>
      <c r="N1293" s="810">
        <v>9.8285</v>
      </c>
      <c r="O1293" s="810" t="s">
        <v>2434</v>
      </c>
      <c r="P1293" s="100" t="s">
        <v>2537</v>
      </c>
      <c r="Q1293" s="100"/>
      <c r="R1293" s="8"/>
      <c r="S1293" s="8"/>
    </row>
    <row r="1294" ht="14.25" customHeight="1">
      <c r="A1294" s="100" t="s">
        <v>2199</v>
      </c>
      <c r="B1294" s="100" t="s">
        <v>2729</v>
      </c>
      <c r="C1294" s="100" t="s">
        <v>2364</v>
      </c>
      <c r="D1294" s="100" t="s">
        <v>135</v>
      </c>
      <c r="E1294" s="810">
        <v>3.4904</v>
      </c>
      <c r="F1294" s="810">
        <v>3.3615</v>
      </c>
      <c r="G1294" s="810">
        <v>3.0488</v>
      </c>
      <c r="H1294" s="810">
        <v>3.1547</v>
      </c>
      <c r="I1294" s="810">
        <v>3.2992</v>
      </c>
      <c r="J1294" s="810">
        <v>3.4343</v>
      </c>
      <c r="K1294" s="810">
        <v>3.4327</v>
      </c>
      <c r="L1294" s="810">
        <v>3.6155</v>
      </c>
      <c r="M1294" s="810">
        <v>3.6879</v>
      </c>
      <c r="N1294" s="810">
        <v>3.618</v>
      </c>
      <c r="O1294" s="810" t="s">
        <v>2434</v>
      </c>
      <c r="P1294" s="100" t="s">
        <v>2617</v>
      </c>
      <c r="Q1294" s="100"/>
      <c r="R1294" s="8"/>
      <c r="S1294" s="8"/>
    </row>
    <row r="1295" ht="14.25" customHeight="1">
      <c r="A1295" s="100" t="s">
        <v>2199</v>
      </c>
      <c r="B1295" s="100" t="s">
        <v>2729</v>
      </c>
      <c r="C1295" s="100" t="s">
        <v>2337</v>
      </c>
      <c r="D1295" s="100" t="s">
        <v>135</v>
      </c>
      <c r="E1295" s="810">
        <v>0.8481</v>
      </c>
      <c r="F1295" s="810">
        <v>0.8026</v>
      </c>
      <c r="G1295" s="810">
        <v>0.6396</v>
      </c>
      <c r="H1295" s="810">
        <v>0.5894</v>
      </c>
      <c r="I1295" s="810">
        <v>0.656</v>
      </c>
      <c r="J1295" s="810">
        <v>0.6857</v>
      </c>
      <c r="K1295" s="810">
        <v>0.8195</v>
      </c>
      <c r="L1295" s="810">
        <v>0.8563</v>
      </c>
      <c r="M1295" s="810">
        <v>0.8838</v>
      </c>
      <c r="N1295" s="810">
        <v>0.8487</v>
      </c>
      <c r="O1295" s="810">
        <v>0.7619</v>
      </c>
      <c r="P1295" s="100" t="s">
        <v>2512</v>
      </c>
      <c r="Q1295" s="100" t="s">
        <v>2711</v>
      </c>
      <c r="R1295" s="8"/>
      <c r="S1295" s="8"/>
    </row>
    <row r="1296" ht="14.25" customHeight="1">
      <c r="A1296" s="100" t="s">
        <v>2199</v>
      </c>
      <c r="B1296" s="100" t="s">
        <v>2729</v>
      </c>
      <c r="C1296" s="100" t="s">
        <v>2341</v>
      </c>
      <c r="D1296" s="100" t="s">
        <v>135</v>
      </c>
      <c r="E1296" s="810">
        <v>21.846</v>
      </c>
      <c r="F1296" s="810">
        <v>22.5489</v>
      </c>
      <c r="G1296" s="810">
        <v>22.4289</v>
      </c>
      <c r="H1296" s="810">
        <v>21.3401</v>
      </c>
      <c r="I1296" s="810">
        <v>22.188</v>
      </c>
      <c r="J1296" s="810">
        <v>22.7009</v>
      </c>
      <c r="K1296" s="810">
        <v>23.0638</v>
      </c>
      <c r="L1296" s="810">
        <v>23.9548</v>
      </c>
      <c r="M1296" s="810">
        <v>24.3577</v>
      </c>
      <c r="N1296" s="810">
        <v>24.3635</v>
      </c>
      <c r="O1296" s="810" t="s">
        <v>2434</v>
      </c>
      <c r="P1296" s="100" t="s">
        <v>2546</v>
      </c>
      <c r="Q1296" s="100"/>
      <c r="R1296" s="8"/>
      <c r="S1296" s="8"/>
    </row>
    <row r="1297" ht="14.25" customHeight="1">
      <c r="A1297" s="100" t="s">
        <v>2199</v>
      </c>
      <c r="B1297" s="100" t="s">
        <v>2729</v>
      </c>
      <c r="C1297" s="100" t="s">
        <v>2348</v>
      </c>
      <c r="D1297" s="100" t="s">
        <v>135</v>
      </c>
      <c r="E1297" s="810">
        <v>8.6271</v>
      </c>
      <c r="F1297" s="810">
        <v>8.7386</v>
      </c>
      <c r="G1297" s="810">
        <v>8.6288</v>
      </c>
      <c r="H1297" s="810">
        <v>8.4241</v>
      </c>
      <c r="I1297" s="810">
        <v>8.2617</v>
      </c>
      <c r="J1297" s="810">
        <v>8.4085</v>
      </c>
      <c r="K1297" s="810">
        <v>8.4941</v>
      </c>
      <c r="L1297" s="810">
        <v>8.6469</v>
      </c>
      <c r="M1297" s="810">
        <v>8.7106</v>
      </c>
      <c r="N1297" s="810">
        <v>8.3878</v>
      </c>
      <c r="O1297" s="810" t="s">
        <v>2434</v>
      </c>
      <c r="P1297" s="100" t="s">
        <v>2618</v>
      </c>
      <c r="Q1297" s="100" t="s">
        <v>2712</v>
      </c>
      <c r="R1297" s="8"/>
      <c r="S1297" s="8"/>
    </row>
    <row r="1298" ht="14.25" customHeight="1">
      <c r="A1298" s="100" t="s">
        <v>2199</v>
      </c>
      <c r="B1298" s="100" t="s">
        <v>2729</v>
      </c>
      <c r="C1298" s="100" t="s">
        <v>2350</v>
      </c>
      <c r="D1298" s="100" t="s">
        <v>135</v>
      </c>
      <c r="E1298" s="810">
        <v>2.0946</v>
      </c>
      <c r="F1298" s="810">
        <v>2.0456</v>
      </c>
      <c r="G1298" s="810">
        <v>2.1866</v>
      </c>
      <c r="H1298" s="810">
        <v>2.1556</v>
      </c>
      <c r="I1298" s="810">
        <v>2.1166</v>
      </c>
      <c r="J1298" s="810">
        <v>2.0586</v>
      </c>
      <c r="K1298" s="810">
        <v>2.1516</v>
      </c>
      <c r="L1298" s="810">
        <v>2.2356</v>
      </c>
      <c r="M1298" s="810">
        <v>2.3605</v>
      </c>
      <c r="N1298" s="810">
        <v>2.1315</v>
      </c>
      <c r="O1298" s="810" t="s">
        <v>2434</v>
      </c>
      <c r="P1298" s="100" t="s">
        <v>2400</v>
      </c>
      <c r="Q1298" s="100"/>
      <c r="R1298" s="8"/>
      <c r="S1298" s="8"/>
    </row>
    <row r="1299" ht="14.25" customHeight="1">
      <c r="A1299" s="100" t="s">
        <v>2199</v>
      </c>
      <c r="B1299" s="100" t="s">
        <v>2729</v>
      </c>
      <c r="C1299" s="100" t="s">
        <v>2354</v>
      </c>
      <c r="D1299" s="100" t="s">
        <v>135</v>
      </c>
      <c r="E1299" s="810">
        <v>40.3529</v>
      </c>
      <c r="F1299" s="810">
        <v>39.2332</v>
      </c>
      <c r="G1299" s="810">
        <v>38.1579</v>
      </c>
      <c r="H1299" s="810">
        <v>38.6903</v>
      </c>
      <c r="I1299" s="810">
        <v>38.1659</v>
      </c>
      <c r="J1299" s="810">
        <v>37.8862</v>
      </c>
      <c r="K1299" s="810">
        <v>38.5101</v>
      </c>
      <c r="L1299" s="810">
        <v>38.549</v>
      </c>
      <c r="M1299" s="810">
        <v>39.4803</v>
      </c>
      <c r="N1299" s="810">
        <v>38.883</v>
      </c>
      <c r="O1299" s="810" t="s">
        <v>2434</v>
      </c>
      <c r="P1299" s="100" t="s">
        <v>2619</v>
      </c>
      <c r="Q1299" s="100" t="s">
        <v>2713</v>
      </c>
      <c r="R1299" s="8"/>
      <c r="S1299" s="8"/>
    </row>
    <row r="1300" ht="14.25" customHeight="1">
      <c r="A1300" s="100" t="s">
        <v>2199</v>
      </c>
      <c r="B1300" s="100" t="s">
        <v>2729</v>
      </c>
      <c r="C1300" s="100" t="s">
        <v>2356</v>
      </c>
      <c r="D1300" s="100" t="s">
        <v>135</v>
      </c>
      <c r="E1300" s="810">
        <v>117.4228</v>
      </c>
      <c r="F1300" s="810">
        <v>120.6204</v>
      </c>
      <c r="G1300" s="810">
        <v>119.9833</v>
      </c>
      <c r="H1300" s="810">
        <v>118.6276</v>
      </c>
      <c r="I1300" s="810">
        <v>117.2746</v>
      </c>
      <c r="J1300" s="810">
        <v>116.3267</v>
      </c>
      <c r="K1300" s="810">
        <v>124.0023</v>
      </c>
      <c r="L1300" s="810">
        <v>123.0915</v>
      </c>
      <c r="M1300" s="810">
        <v>123.1109</v>
      </c>
      <c r="N1300" s="810">
        <v>115.4999</v>
      </c>
      <c r="O1300" s="810" t="s">
        <v>2434</v>
      </c>
      <c r="P1300" s="100" t="s">
        <v>2620</v>
      </c>
      <c r="Q1300" s="100"/>
      <c r="R1300" s="8"/>
      <c r="S1300" s="8"/>
    </row>
    <row r="1301" ht="14.25" customHeight="1">
      <c r="A1301" s="100" t="s">
        <v>2199</v>
      </c>
      <c r="B1301" s="100" t="s">
        <v>2729</v>
      </c>
      <c r="C1301" s="100" t="s">
        <v>2344</v>
      </c>
      <c r="D1301" s="100" t="s">
        <v>135</v>
      </c>
      <c r="E1301" s="810">
        <v>225.2071</v>
      </c>
      <c r="F1301" s="810">
        <v>230.5526</v>
      </c>
      <c r="G1301" s="810">
        <v>229.8822</v>
      </c>
      <c r="H1301" s="810">
        <v>231.5892</v>
      </c>
      <c r="I1301" s="810">
        <v>228.7309</v>
      </c>
      <c r="J1301" s="810">
        <v>228.5551</v>
      </c>
      <c r="K1301" s="810">
        <v>230.1548</v>
      </c>
      <c r="L1301" s="810">
        <v>228.0499</v>
      </c>
      <c r="M1301" s="810">
        <v>226.0542</v>
      </c>
      <c r="N1301" s="810">
        <v>222.2224</v>
      </c>
      <c r="O1301" s="810" t="s">
        <v>2434</v>
      </c>
      <c r="P1301" s="100" t="s">
        <v>2621</v>
      </c>
      <c r="Q1301" s="100"/>
      <c r="R1301" s="8"/>
      <c r="S1301" s="8"/>
    </row>
    <row r="1302" ht="14.25" customHeight="1">
      <c r="A1302" s="100" t="s">
        <v>2199</v>
      </c>
      <c r="B1302" s="100" t="s">
        <v>2729</v>
      </c>
      <c r="C1302" s="100" t="s">
        <v>2362</v>
      </c>
      <c r="D1302" s="100" t="s">
        <v>135</v>
      </c>
      <c r="E1302" s="810">
        <v>14.1394</v>
      </c>
      <c r="F1302" s="810">
        <v>14.6374</v>
      </c>
      <c r="G1302" s="810">
        <v>11.5709</v>
      </c>
      <c r="H1302" s="810">
        <v>11.3639</v>
      </c>
      <c r="I1302" s="810">
        <v>12.8667</v>
      </c>
      <c r="J1302" s="810">
        <v>12.6657</v>
      </c>
      <c r="K1302" s="810">
        <v>11.283</v>
      </c>
      <c r="L1302" s="810">
        <v>12.2818</v>
      </c>
      <c r="M1302" s="810">
        <v>12.4113</v>
      </c>
      <c r="N1302" s="810">
        <v>12.3056</v>
      </c>
      <c r="O1302" s="810" t="s">
        <v>2434</v>
      </c>
      <c r="P1302" s="100" t="s">
        <v>2622</v>
      </c>
      <c r="Q1302" s="100"/>
      <c r="R1302" s="8"/>
      <c r="S1302" s="8"/>
    </row>
    <row r="1303" ht="14.25" customHeight="1">
      <c r="A1303" s="100" t="s">
        <v>2199</v>
      </c>
      <c r="B1303" s="100" t="s">
        <v>2729</v>
      </c>
      <c r="C1303" s="100" t="s">
        <v>2367</v>
      </c>
      <c r="D1303" s="100" t="s">
        <v>135</v>
      </c>
      <c r="E1303" s="810">
        <v>9.7822</v>
      </c>
      <c r="F1303" s="810">
        <v>9.8762</v>
      </c>
      <c r="G1303" s="810">
        <v>14.7993</v>
      </c>
      <c r="H1303" s="810">
        <v>14.8373</v>
      </c>
      <c r="I1303" s="810">
        <v>14.6934</v>
      </c>
      <c r="J1303" s="810">
        <v>15.4002</v>
      </c>
      <c r="K1303" s="810">
        <v>15.9991</v>
      </c>
      <c r="L1303" s="810">
        <v>16.732</v>
      </c>
      <c r="M1303" s="810">
        <v>17.2309</v>
      </c>
      <c r="N1303" s="810">
        <v>17.7738</v>
      </c>
      <c r="O1303" s="810" t="s">
        <v>2434</v>
      </c>
      <c r="P1303" s="100" t="s">
        <v>2546</v>
      </c>
      <c r="Q1303" s="100"/>
      <c r="R1303" s="8"/>
      <c r="S1303" s="8"/>
    </row>
    <row r="1304" ht="14.25" customHeight="1">
      <c r="A1304" s="100" t="s">
        <v>2199</v>
      </c>
      <c r="B1304" s="100" t="s">
        <v>2729</v>
      </c>
      <c r="C1304" s="100" t="s">
        <v>2369</v>
      </c>
      <c r="D1304" s="100" t="s">
        <v>135</v>
      </c>
      <c r="E1304" s="810">
        <v>6.1338</v>
      </c>
      <c r="F1304" s="810">
        <v>6.0642</v>
      </c>
      <c r="G1304" s="810">
        <v>5.7996</v>
      </c>
      <c r="H1304" s="810">
        <v>5.9232</v>
      </c>
      <c r="I1304" s="810">
        <v>7.09</v>
      </c>
      <c r="J1304" s="810">
        <v>6.8859</v>
      </c>
      <c r="K1304" s="810">
        <v>7.4041</v>
      </c>
      <c r="L1304" s="810">
        <v>7.4482</v>
      </c>
      <c r="M1304" s="810">
        <v>7.8787</v>
      </c>
      <c r="N1304" s="810">
        <v>8.1295</v>
      </c>
      <c r="O1304" s="810" t="s">
        <v>2434</v>
      </c>
      <c r="P1304" s="100" t="s">
        <v>2623</v>
      </c>
      <c r="Q1304" s="100"/>
      <c r="R1304" s="8"/>
      <c r="S1304" s="8"/>
    </row>
    <row r="1305" ht="14.25" customHeight="1">
      <c r="A1305" s="100" t="s">
        <v>2199</v>
      </c>
      <c r="B1305" s="100" t="s">
        <v>2729</v>
      </c>
      <c r="C1305" s="100" t="s">
        <v>2374</v>
      </c>
      <c r="D1305" s="100" t="s">
        <v>135</v>
      </c>
      <c r="E1305" s="810">
        <v>127.8449</v>
      </c>
      <c r="F1305" s="810">
        <v>128.0529</v>
      </c>
      <c r="G1305" s="810">
        <v>120.3013</v>
      </c>
      <c r="H1305" s="810">
        <v>114.9602</v>
      </c>
      <c r="I1305" s="810">
        <v>112.8976</v>
      </c>
      <c r="J1305" s="810">
        <v>112.6447</v>
      </c>
      <c r="K1305" s="810">
        <v>113.2365</v>
      </c>
      <c r="L1305" s="810">
        <v>115.5885</v>
      </c>
      <c r="M1305" s="810">
        <v>116.0492</v>
      </c>
      <c r="N1305" s="810">
        <v>119.5132</v>
      </c>
      <c r="O1305" s="810" t="s">
        <v>2434</v>
      </c>
      <c r="P1305" s="100" t="s">
        <v>2624</v>
      </c>
      <c r="Q1305" s="100"/>
      <c r="R1305" s="8"/>
      <c r="S1305" s="8"/>
    </row>
    <row r="1306" ht="14.25" customHeight="1">
      <c r="A1306" s="100" t="s">
        <v>2199</v>
      </c>
      <c r="B1306" s="100" t="s">
        <v>2729</v>
      </c>
      <c r="C1306" s="100" t="s">
        <v>2386</v>
      </c>
      <c r="D1306" s="100" t="s">
        <v>135</v>
      </c>
      <c r="E1306" s="810">
        <v>1.5897</v>
      </c>
      <c r="F1306" s="810">
        <v>1.6697</v>
      </c>
      <c r="G1306" s="810">
        <v>1.9927</v>
      </c>
      <c r="H1306" s="810">
        <v>1.8077</v>
      </c>
      <c r="I1306" s="810">
        <v>1.6672</v>
      </c>
      <c r="J1306" s="810">
        <v>1.7025</v>
      </c>
      <c r="K1306" s="810">
        <v>1.6678</v>
      </c>
      <c r="L1306" s="810">
        <v>1.7558</v>
      </c>
      <c r="M1306" s="810">
        <v>1.8372</v>
      </c>
      <c r="N1306" s="810">
        <v>1.8458</v>
      </c>
      <c r="O1306" s="810" t="s">
        <v>2434</v>
      </c>
      <c r="P1306" s="100" t="s">
        <v>2625</v>
      </c>
      <c r="Q1306" s="100"/>
      <c r="R1306" s="8"/>
      <c r="S1306" s="8"/>
    </row>
    <row r="1307" ht="14.25" customHeight="1">
      <c r="A1307" s="100" t="s">
        <v>2199</v>
      </c>
      <c r="B1307" s="100" t="s">
        <v>2729</v>
      </c>
      <c r="C1307" s="100" t="s">
        <v>2378</v>
      </c>
      <c r="D1307" s="100" t="s">
        <v>135</v>
      </c>
      <c r="E1307" s="810">
        <v>2.6535</v>
      </c>
      <c r="F1307" s="810">
        <v>2.7663</v>
      </c>
      <c r="G1307" s="810">
        <v>2.9081</v>
      </c>
      <c r="H1307" s="810">
        <v>2.986</v>
      </c>
      <c r="I1307" s="810">
        <v>3.1198</v>
      </c>
      <c r="J1307" s="810">
        <v>3.3128</v>
      </c>
      <c r="K1307" s="810">
        <v>3.4163</v>
      </c>
      <c r="L1307" s="810">
        <v>3.6349</v>
      </c>
      <c r="M1307" s="810">
        <v>3.686</v>
      </c>
      <c r="N1307" s="810">
        <v>3.7942</v>
      </c>
      <c r="O1307" s="810" t="s">
        <v>2434</v>
      </c>
      <c r="P1307" s="100" t="s">
        <v>2567</v>
      </c>
      <c r="Q1307" s="100"/>
      <c r="R1307" s="8"/>
      <c r="S1307" s="8"/>
    </row>
    <row r="1308" ht="14.25" customHeight="1">
      <c r="A1308" s="100" t="s">
        <v>2199</v>
      </c>
      <c r="B1308" s="100" t="s">
        <v>2729</v>
      </c>
      <c r="C1308" s="100" t="s">
        <v>2383</v>
      </c>
      <c r="D1308" s="100" t="s">
        <v>135</v>
      </c>
      <c r="E1308" s="810">
        <v>3.6279</v>
      </c>
      <c r="F1308" s="810">
        <v>3.5698</v>
      </c>
      <c r="G1308" s="810">
        <v>3.186</v>
      </c>
      <c r="H1308" s="810">
        <v>3.0465</v>
      </c>
      <c r="I1308" s="810">
        <v>3.0814</v>
      </c>
      <c r="J1308" s="810">
        <v>3.1512</v>
      </c>
      <c r="K1308" s="810">
        <v>3.4302</v>
      </c>
      <c r="L1308" s="810">
        <v>3.0</v>
      </c>
      <c r="M1308" s="810">
        <v>3.0581</v>
      </c>
      <c r="N1308" s="810">
        <v>3.0249</v>
      </c>
      <c r="O1308" s="810" t="s">
        <v>2434</v>
      </c>
      <c r="P1308" s="100" t="s">
        <v>2523</v>
      </c>
      <c r="Q1308" s="100" t="s">
        <v>2714</v>
      </c>
      <c r="R1308" s="8"/>
      <c r="S1308" s="8"/>
    </row>
    <row r="1309" ht="14.25" customHeight="1">
      <c r="A1309" s="100" t="s">
        <v>2199</v>
      </c>
      <c r="B1309" s="100" t="s">
        <v>2729</v>
      </c>
      <c r="C1309" s="100" t="s">
        <v>2389</v>
      </c>
      <c r="D1309" s="100" t="s">
        <v>135</v>
      </c>
      <c r="E1309" s="810">
        <v>0.5138</v>
      </c>
      <c r="F1309" s="810">
        <v>0.536</v>
      </c>
      <c r="G1309" s="810">
        <v>0.543</v>
      </c>
      <c r="H1309" s="810">
        <v>0.5575</v>
      </c>
      <c r="I1309" s="810">
        <v>0.5629</v>
      </c>
      <c r="J1309" s="810">
        <v>0.5895</v>
      </c>
      <c r="K1309" s="810">
        <v>0.5935</v>
      </c>
      <c r="L1309" s="810">
        <v>0.6613</v>
      </c>
      <c r="M1309" s="810">
        <v>0.6729</v>
      </c>
      <c r="N1309" s="810">
        <v>0.7055</v>
      </c>
      <c r="O1309" s="810" t="s">
        <v>2434</v>
      </c>
      <c r="P1309" s="100" t="s">
        <v>2719</v>
      </c>
      <c r="Q1309" s="100" t="s">
        <v>2731</v>
      </c>
      <c r="R1309" s="8"/>
      <c r="S1309" s="8"/>
    </row>
    <row r="1310" ht="14.25" customHeight="1">
      <c r="A1310" s="100" t="s">
        <v>2199</v>
      </c>
      <c r="B1310" s="100" t="s">
        <v>2729</v>
      </c>
      <c r="C1310" s="100" t="s">
        <v>2391</v>
      </c>
      <c r="D1310" s="100" t="s">
        <v>135</v>
      </c>
      <c r="E1310" s="810">
        <v>39.2029</v>
      </c>
      <c r="F1310" s="810">
        <v>39.1149</v>
      </c>
      <c r="G1310" s="810">
        <v>35.0713</v>
      </c>
      <c r="H1310" s="810">
        <v>34.8999</v>
      </c>
      <c r="I1310" s="810">
        <v>33.2888</v>
      </c>
      <c r="J1310" s="810">
        <v>34.3604</v>
      </c>
      <c r="K1310" s="810">
        <v>35.6713</v>
      </c>
      <c r="L1310" s="810">
        <v>35.8498</v>
      </c>
      <c r="M1310" s="810">
        <v>35.9052</v>
      </c>
      <c r="N1310" s="810">
        <v>35.707</v>
      </c>
      <c r="O1310" s="810" t="s">
        <v>2434</v>
      </c>
      <c r="P1310" s="100" t="s">
        <v>2546</v>
      </c>
      <c r="Q1310" s="100"/>
      <c r="R1310" s="8"/>
      <c r="S1310" s="8"/>
    </row>
    <row r="1311" ht="14.25" customHeight="1">
      <c r="A1311" s="100" t="s">
        <v>2199</v>
      </c>
      <c r="B1311" s="100" t="s">
        <v>2729</v>
      </c>
      <c r="C1311" s="100" t="s">
        <v>2393</v>
      </c>
      <c r="D1311" s="100" t="s">
        <v>135</v>
      </c>
      <c r="E1311" s="810">
        <v>45.8796</v>
      </c>
      <c r="F1311" s="810">
        <v>48.4789</v>
      </c>
      <c r="G1311" s="810">
        <v>49.1362</v>
      </c>
      <c r="H1311" s="810">
        <v>51.7829</v>
      </c>
      <c r="I1311" s="810">
        <v>52.164</v>
      </c>
      <c r="J1311" s="810">
        <v>54.5008</v>
      </c>
      <c r="K1311" s="810">
        <v>56.2256</v>
      </c>
      <c r="L1311" s="810">
        <v>60.351</v>
      </c>
      <c r="M1311" s="810">
        <v>62.972</v>
      </c>
      <c r="N1311" s="810">
        <v>63.3846</v>
      </c>
      <c r="O1311" s="810" t="s">
        <v>2434</v>
      </c>
      <c r="P1311" s="100" t="s">
        <v>2526</v>
      </c>
      <c r="Q1311" s="100"/>
      <c r="R1311" s="8"/>
      <c r="S1311" s="8"/>
    </row>
    <row r="1312" ht="14.25" customHeight="1">
      <c r="A1312" s="100" t="s">
        <v>2199</v>
      </c>
      <c r="B1312" s="100" t="s">
        <v>2729</v>
      </c>
      <c r="C1312" s="100" t="s">
        <v>2395</v>
      </c>
      <c r="D1312" s="100" t="s">
        <v>135</v>
      </c>
      <c r="E1312" s="810">
        <v>16.6571</v>
      </c>
      <c r="F1312" s="810">
        <v>16.2386</v>
      </c>
      <c r="G1312" s="810">
        <v>15.3302</v>
      </c>
      <c r="H1312" s="810">
        <v>15.1657</v>
      </c>
      <c r="I1312" s="810">
        <v>15.5687</v>
      </c>
      <c r="J1312" s="810">
        <v>15.6239</v>
      </c>
      <c r="K1312" s="810">
        <v>15.8086</v>
      </c>
      <c r="L1312" s="810">
        <v>16.3012</v>
      </c>
      <c r="M1312" s="810">
        <v>16.5737</v>
      </c>
      <c r="N1312" s="810">
        <v>16.782</v>
      </c>
      <c r="O1312" s="810" t="s">
        <v>2434</v>
      </c>
      <c r="P1312" s="100" t="s">
        <v>2626</v>
      </c>
      <c r="Q1312" s="100"/>
      <c r="R1312" s="8"/>
      <c r="S1312" s="8"/>
    </row>
    <row r="1313" ht="14.25" customHeight="1">
      <c r="A1313" s="100" t="s">
        <v>2199</v>
      </c>
      <c r="B1313" s="100" t="s">
        <v>2729</v>
      </c>
      <c r="C1313" s="100" t="s">
        <v>2397</v>
      </c>
      <c r="D1313" s="100" t="s">
        <v>135</v>
      </c>
      <c r="E1313" s="810">
        <v>20.3953</v>
      </c>
      <c r="F1313" s="810">
        <v>21.0814</v>
      </c>
      <c r="G1313" s="810">
        <v>20.4186</v>
      </c>
      <c r="H1313" s="810">
        <v>18.8372</v>
      </c>
      <c r="I1313" s="810">
        <v>19.8721</v>
      </c>
      <c r="J1313" s="810">
        <v>20.5465</v>
      </c>
      <c r="K1313" s="810">
        <v>20.8372</v>
      </c>
      <c r="L1313" s="810">
        <v>21.7442</v>
      </c>
      <c r="M1313" s="810">
        <v>22.2442</v>
      </c>
      <c r="N1313" s="810">
        <v>22.6163</v>
      </c>
      <c r="O1313" s="810" t="s">
        <v>2434</v>
      </c>
      <c r="P1313" s="100" t="s">
        <v>2528</v>
      </c>
      <c r="Q1313" s="100"/>
      <c r="R1313" s="8"/>
      <c r="S1313" s="8"/>
    </row>
    <row r="1314" ht="14.25" customHeight="1">
      <c r="A1314" s="100" t="s">
        <v>2199</v>
      </c>
      <c r="B1314" s="100" t="s">
        <v>2729</v>
      </c>
      <c r="C1314" s="100" t="s">
        <v>2411</v>
      </c>
      <c r="D1314" s="100" t="s">
        <v>135</v>
      </c>
      <c r="E1314" s="810">
        <v>10.9256</v>
      </c>
      <c r="F1314" s="810">
        <v>11.2395</v>
      </c>
      <c r="G1314" s="810">
        <v>12.0888</v>
      </c>
      <c r="H1314" s="810">
        <v>11.9625</v>
      </c>
      <c r="I1314" s="810">
        <v>12.4318</v>
      </c>
      <c r="J1314" s="810">
        <v>11.8054</v>
      </c>
      <c r="K1314" s="810">
        <v>12.2805</v>
      </c>
      <c r="L1314" s="810">
        <v>12.5584</v>
      </c>
      <c r="M1314" s="810">
        <v>12.9811</v>
      </c>
      <c r="N1314" s="810">
        <v>12.2438</v>
      </c>
      <c r="O1314" s="810" t="s">
        <v>2434</v>
      </c>
      <c r="P1314" s="100" t="s">
        <v>2546</v>
      </c>
      <c r="Q1314" s="100"/>
      <c r="R1314" s="8"/>
      <c r="S1314" s="8"/>
    </row>
    <row r="1315" ht="14.25" customHeight="1">
      <c r="A1315" s="100" t="s">
        <v>2199</v>
      </c>
      <c r="B1315" s="100" t="s">
        <v>2729</v>
      </c>
      <c r="C1315" s="100" t="s">
        <v>2406</v>
      </c>
      <c r="D1315" s="100" t="s">
        <v>135</v>
      </c>
      <c r="E1315" s="810">
        <v>5.486</v>
      </c>
      <c r="F1315" s="810">
        <v>5.8629</v>
      </c>
      <c r="G1315" s="810">
        <v>5.9209</v>
      </c>
      <c r="H1315" s="810">
        <v>5.8769</v>
      </c>
      <c r="I1315" s="810">
        <v>6.0559</v>
      </c>
      <c r="J1315" s="810">
        <v>6.1979</v>
      </c>
      <c r="K1315" s="810">
        <v>6.2329</v>
      </c>
      <c r="L1315" s="810">
        <v>6.4451</v>
      </c>
      <c r="M1315" s="810">
        <v>6.4976</v>
      </c>
      <c r="N1315" s="810">
        <v>6.4905</v>
      </c>
      <c r="O1315" s="810" t="s">
        <v>2434</v>
      </c>
      <c r="P1315" s="100" t="s">
        <v>2628</v>
      </c>
      <c r="Q1315" s="100"/>
      <c r="R1315" s="8"/>
      <c r="S1315" s="8"/>
    </row>
    <row r="1316" ht="14.25" customHeight="1">
      <c r="A1316" s="100" t="s">
        <v>2199</v>
      </c>
      <c r="B1316" s="100" t="s">
        <v>2729</v>
      </c>
      <c r="C1316" s="100" t="s">
        <v>2352</v>
      </c>
      <c r="D1316" s="100" t="s">
        <v>135</v>
      </c>
      <c r="E1316" s="810">
        <v>73.4771</v>
      </c>
      <c r="F1316" s="810">
        <v>73.4381</v>
      </c>
      <c r="G1316" s="810">
        <v>72.4533</v>
      </c>
      <c r="H1316" s="810">
        <v>70.8156</v>
      </c>
      <c r="I1316" s="810">
        <v>71.6445</v>
      </c>
      <c r="J1316" s="810">
        <v>76.0417</v>
      </c>
      <c r="K1316" s="810">
        <v>77.8854</v>
      </c>
      <c r="L1316" s="810">
        <v>81.0048</v>
      </c>
      <c r="M1316" s="810">
        <v>78.6452</v>
      </c>
      <c r="N1316" s="810">
        <v>75.9117</v>
      </c>
      <c r="O1316" s="810" t="s">
        <v>2434</v>
      </c>
      <c r="P1316" s="100" t="s">
        <v>2629</v>
      </c>
      <c r="Q1316" s="100"/>
      <c r="R1316" s="8"/>
      <c r="S1316" s="8"/>
    </row>
    <row r="1317" ht="14.25" customHeight="1">
      <c r="A1317" s="100" t="s">
        <v>2199</v>
      </c>
      <c r="B1317" s="100" t="s">
        <v>2729</v>
      </c>
      <c r="C1317" s="100" t="s">
        <v>2400</v>
      </c>
      <c r="D1317" s="100" t="s">
        <v>135</v>
      </c>
      <c r="E1317" s="810">
        <v>52.7219</v>
      </c>
      <c r="F1317" s="810">
        <v>53.0657</v>
      </c>
      <c r="G1317" s="810">
        <v>52.5061</v>
      </c>
      <c r="H1317" s="810">
        <v>51.019</v>
      </c>
      <c r="I1317" s="810">
        <v>49.7044</v>
      </c>
      <c r="J1317" s="810">
        <v>49.2801</v>
      </c>
      <c r="K1317" s="810">
        <v>49.3193</v>
      </c>
      <c r="L1317" s="810">
        <v>49.9685</v>
      </c>
      <c r="M1317" s="810">
        <v>49.6889</v>
      </c>
      <c r="N1317" s="810">
        <v>48.6392</v>
      </c>
      <c r="O1317" s="810" t="s">
        <v>2434</v>
      </c>
      <c r="P1317" s="100" t="s">
        <v>2630</v>
      </c>
      <c r="Q1317" s="100"/>
      <c r="R1317" s="8"/>
      <c r="S1317" s="8"/>
    </row>
    <row r="1318" ht="14.25" customHeight="1">
      <c r="A1318" s="100" t="s">
        <v>2199</v>
      </c>
      <c r="B1318" s="100" t="s">
        <v>2729</v>
      </c>
      <c r="C1318" s="100" t="s">
        <v>2416</v>
      </c>
      <c r="D1318" s="100" t="s">
        <v>135</v>
      </c>
      <c r="E1318" s="810">
        <v>44.0633</v>
      </c>
      <c r="F1318" s="810">
        <v>43.7377</v>
      </c>
      <c r="G1318" s="810">
        <v>43.041</v>
      </c>
      <c r="H1318" s="810">
        <v>42.8985</v>
      </c>
      <c r="I1318" s="810">
        <v>43.9861</v>
      </c>
      <c r="J1318" s="810">
        <v>44.5462</v>
      </c>
      <c r="K1318" s="810">
        <v>45.5794</v>
      </c>
      <c r="L1318" s="810">
        <v>45.6823</v>
      </c>
      <c r="M1318" s="810">
        <v>46.4047</v>
      </c>
      <c r="N1318" s="810">
        <v>46.3364</v>
      </c>
      <c r="O1318" s="810">
        <v>46.665</v>
      </c>
      <c r="P1318" s="100" t="s">
        <v>2631</v>
      </c>
      <c r="Q1318" s="100"/>
      <c r="R1318" s="8"/>
      <c r="S1318" s="8"/>
    </row>
    <row r="1319" ht="14.25" customHeight="1">
      <c r="A1319" s="100" t="s">
        <v>2199</v>
      </c>
      <c r="B1319" s="100" t="s">
        <v>2729</v>
      </c>
      <c r="C1319" s="100" t="s">
        <v>2423</v>
      </c>
      <c r="D1319" s="100" t="s">
        <v>135</v>
      </c>
      <c r="E1319" s="810">
        <v>16.0024</v>
      </c>
      <c r="F1319" s="810">
        <v>16.2499</v>
      </c>
      <c r="G1319" s="810">
        <v>15.8558</v>
      </c>
      <c r="H1319" s="810">
        <v>15.8558</v>
      </c>
      <c r="I1319" s="810">
        <v>15.3144</v>
      </c>
      <c r="J1319" s="810">
        <v>15.258</v>
      </c>
      <c r="K1319" s="810">
        <v>13.7791</v>
      </c>
      <c r="L1319" s="810">
        <v>14.5116</v>
      </c>
      <c r="M1319" s="810">
        <v>14.3372</v>
      </c>
      <c r="N1319" s="810">
        <v>13.7791</v>
      </c>
      <c r="O1319" s="810" t="s">
        <v>2434</v>
      </c>
      <c r="P1319" s="100" t="s">
        <v>2632</v>
      </c>
      <c r="Q1319" s="100"/>
      <c r="R1319" s="8"/>
      <c r="S1319" s="8"/>
    </row>
    <row r="1320" ht="14.25" customHeight="1">
      <c r="A1320" s="100" t="s">
        <v>2199</v>
      </c>
      <c r="B1320" s="100" t="s">
        <v>2729</v>
      </c>
      <c r="C1320" s="100" t="s">
        <v>2360</v>
      </c>
      <c r="D1320" s="100" t="s">
        <v>135</v>
      </c>
      <c r="E1320" s="810">
        <v>104.5187</v>
      </c>
      <c r="F1320" s="810">
        <v>102.397</v>
      </c>
      <c r="G1320" s="810">
        <v>98.438</v>
      </c>
      <c r="H1320" s="810">
        <v>96.9633</v>
      </c>
      <c r="I1320" s="810">
        <v>92.9881</v>
      </c>
      <c r="J1320" s="810">
        <v>92.9216</v>
      </c>
      <c r="K1320" s="810">
        <v>93.2991</v>
      </c>
      <c r="L1320" s="810">
        <v>92.2917</v>
      </c>
      <c r="M1320" s="810">
        <v>93.8544</v>
      </c>
      <c r="N1320" s="810">
        <v>91.6006</v>
      </c>
      <c r="O1320" s="810" t="s">
        <v>2434</v>
      </c>
      <c r="P1320" s="100" t="s">
        <v>2636</v>
      </c>
      <c r="Q1320" s="100"/>
      <c r="R1320" s="8"/>
      <c r="S1320" s="8"/>
    </row>
    <row r="1321" ht="14.25" customHeight="1">
      <c r="A1321" s="100" t="s">
        <v>2199</v>
      </c>
      <c r="B1321" s="100" t="s">
        <v>2729</v>
      </c>
      <c r="C1321" s="100" t="s">
        <v>2535</v>
      </c>
      <c r="D1321" s="100" t="s">
        <v>135</v>
      </c>
      <c r="E1321" s="810">
        <v>7.4876</v>
      </c>
      <c r="F1321" s="810">
        <v>7.6836</v>
      </c>
      <c r="G1321" s="810">
        <v>7.1027</v>
      </c>
      <c r="H1321" s="810">
        <v>7.2497</v>
      </c>
      <c r="I1321" s="810">
        <v>7.2217</v>
      </c>
      <c r="J1321" s="810">
        <v>7.5376</v>
      </c>
      <c r="K1321" s="810">
        <v>7.9995</v>
      </c>
      <c r="L1321" s="810">
        <v>8.4005</v>
      </c>
      <c r="M1321" s="810">
        <v>8.7337</v>
      </c>
      <c r="N1321" s="810">
        <v>8.7814</v>
      </c>
      <c r="O1321" s="810" t="s">
        <v>2434</v>
      </c>
      <c r="P1321" s="100" t="s">
        <v>2546</v>
      </c>
      <c r="Q1321" s="100" t="s">
        <v>2717</v>
      </c>
      <c r="R1321" s="8"/>
      <c r="S1321" s="8"/>
    </row>
    <row r="1322" ht="14.25" customHeight="1">
      <c r="A1322" s="100" t="s">
        <v>2159</v>
      </c>
      <c r="B1322" s="100" t="s">
        <v>2402</v>
      </c>
      <c r="C1322" s="100" t="s">
        <v>2317</v>
      </c>
      <c r="D1322" s="100" t="s">
        <v>135</v>
      </c>
      <c r="E1322" s="810" t="str">
        <f t="shared" ref="E1322:O1322" si="110">#REF!</f>
        <v>#REF!</v>
      </c>
      <c r="F1322" s="810" t="str">
        <f t="shared" si="110"/>
        <v>#REF!</v>
      </c>
      <c r="G1322" s="810" t="str">
        <f t="shared" si="110"/>
        <v>#REF!</v>
      </c>
      <c r="H1322" s="810" t="str">
        <f t="shared" si="110"/>
        <v>#REF!</v>
      </c>
      <c r="I1322" s="810" t="str">
        <f t="shared" si="110"/>
        <v>#REF!</v>
      </c>
      <c r="J1322" s="810" t="str">
        <f t="shared" si="110"/>
        <v>#REF!</v>
      </c>
      <c r="K1322" s="810" t="str">
        <f t="shared" si="110"/>
        <v>#REF!</v>
      </c>
      <c r="L1322" s="810" t="str">
        <f t="shared" si="110"/>
        <v>#REF!</v>
      </c>
      <c r="M1322" s="810" t="str">
        <f t="shared" si="110"/>
        <v>#REF!</v>
      </c>
      <c r="N1322" s="810" t="str">
        <f t="shared" si="110"/>
        <v>#REF!</v>
      </c>
      <c r="O1322" s="810" t="str">
        <f t="shared" si="110"/>
        <v>#REF!</v>
      </c>
      <c r="P1322" s="100" t="s">
        <v>2546</v>
      </c>
      <c r="Q1322" s="100"/>
      <c r="R1322" s="8"/>
      <c r="S1322" s="8"/>
    </row>
    <row r="1323" ht="14.25" customHeight="1">
      <c r="A1323" s="100" t="s">
        <v>2159</v>
      </c>
      <c r="B1323" s="100"/>
      <c r="C1323" s="100" t="s">
        <v>2507</v>
      </c>
      <c r="D1323" s="100"/>
      <c r="E1323" s="810" t="str">
        <f t="shared" ref="E1323:O1323" si="111">#REF!</f>
        <v>#REF!</v>
      </c>
      <c r="F1323" s="810" t="str">
        <f t="shared" si="111"/>
        <v>#REF!</v>
      </c>
      <c r="G1323" s="810" t="str">
        <f t="shared" si="111"/>
        <v>#REF!</v>
      </c>
      <c r="H1323" s="810" t="str">
        <f t="shared" si="111"/>
        <v>#REF!</v>
      </c>
      <c r="I1323" s="810" t="str">
        <f t="shared" si="111"/>
        <v>#REF!</v>
      </c>
      <c r="J1323" s="810" t="str">
        <f t="shared" si="111"/>
        <v>#REF!</v>
      </c>
      <c r="K1323" s="810" t="str">
        <f t="shared" si="111"/>
        <v>#REF!</v>
      </c>
      <c r="L1323" s="810" t="str">
        <f t="shared" si="111"/>
        <v>#REF!</v>
      </c>
      <c r="M1323" s="810" t="str">
        <f t="shared" si="111"/>
        <v>#REF!</v>
      </c>
      <c r="N1323" s="810" t="str">
        <f t="shared" si="111"/>
        <v>#REF!</v>
      </c>
      <c r="O1323" s="810" t="str">
        <f t="shared" si="111"/>
        <v>#REF!</v>
      </c>
      <c r="P1323" s="100"/>
      <c r="Q1323" s="100"/>
      <c r="R1323" s="8"/>
      <c r="S1323" s="8"/>
    </row>
    <row r="1324" ht="14.25" customHeight="1">
      <c r="A1324" s="100" t="s">
        <v>2159</v>
      </c>
      <c r="B1324" s="100" t="s">
        <v>2402</v>
      </c>
      <c r="C1324" s="100" t="s">
        <v>2325</v>
      </c>
      <c r="D1324" s="100" t="s">
        <v>135</v>
      </c>
      <c r="E1324" s="810">
        <v>116.7462</v>
      </c>
      <c r="F1324" s="810">
        <v>117.2277</v>
      </c>
      <c r="G1324" s="810">
        <v>117.4597</v>
      </c>
      <c r="H1324" s="810">
        <v>116.8435</v>
      </c>
      <c r="I1324" s="810">
        <v>114.5196</v>
      </c>
      <c r="J1324" s="810">
        <v>112.9607</v>
      </c>
      <c r="K1324" s="810">
        <v>114.3821</v>
      </c>
      <c r="L1324" s="810">
        <v>117.3717</v>
      </c>
      <c r="M1324" s="810">
        <v>111.1177</v>
      </c>
      <c r="N1324" s="810">
        <v>113.0857</v>
      </c>
      <c r="O1324" s="810" t="s">
        <v>2434</v>
      </c>
      <c r="P1324" s="100" t="s">
        <v>2616</v>
      </c>
      <c r="Q1324" s="100"/>
      <c r="R1324" s="8"/>
      <c r="S1324" s="8"/>
    </row>
    <row r="1325" ht="14.25" customHeight="1">
      <c r="A1325" s="100" t="s">
        <v>2159</v>
      </c>
      <c r="B1325" s="100" t="s">
        <v>2402</v>
      </c>
      <c r="C1325" s="100" t="s">
        <v>2329</v>
      </c>
      <c r="D1325" s="100" t="s">
        <v>135</v>
      </c>
      <c r="E1325" s="810">
        <v>142.7726</v>
      </c>
      <c r="F1325" s="810">
        <v>137.7632</v>
      </c>
      <c r="G1325" s="810">
        <v>135.7638</v>
      </c>
      <c r="H1325" s="810">
        <v>141.0645</v>
      </c>
      <c r="I1325" s="810">
        <v>139.4801</v>
      </c>
      <c r="J1325" s="810">
        <v>139.5678</v>
      </c>
      <c r="K1325" s="810">
        <v>142.687</v>
      </c>
      <c r="L1325" s="810">
        <v>140.7188</v>
      </c>
      <c r="M1325" s="810">
        <v>143.12</v>
      </c>
      <c r="N1325" s="810">
        <v>138.6691</v>
      </c>
      <c r="O1325" s="810" t="s">
        <v>2434</v>
      </c>
      <c r="P1325" s="100" t="s">
        <v>2549</v>
      </c>
      <c r="Q1325" s="100"/>
      <c r="R1325" s="8"/>
      <c r="S1325" s="8"/>
    </row>
    <row r="1326" ht="14.25" customHeight="1">
      <c r="A1326" s="100" t="s">
        <v>2159</v>
      </c>
      <c r="B1326" s="100" t="s">
        <v>2402</v>
      </c>
      <c r="C1326" s="100" t="s">
        <v>2333</v>
      </c>
      <c r="D1326" s="100" t="s">
        <v>135</v>
      </c>
      <c r="E1326" s="810">
        <v>29.7325</v>
      </c>
      <c r="F1326" s="810">
        <v>31.407</v>
      </c>
      <c r="G1326" s="810">
        <v>29.9651</v>
      </c>
      <c r="H1326" s="810">
        <v>29.9884</v>
      </c>
      <c r="I1326" s="810">
        <v>30.3023</v>
      </c>
      <c r="J1326" s="810">
        <v>31.407</v>
      </c>
      <c r="K1326" s="810">
        <v>30.6279</v>
      </c>
      <c r="L1326" s="810">
        <v>31.6431</v>
      </c>
      <c r="M1326" s="810">
        <v>31.2434</v>
      </c>
      <c r="N1326" s="810">
        <v>31.0798</v>
      </c>
      <c r="O1326" s="810" t="s">
        <v>2434</v>
      </c>
      <c r="P1326" s="100" t="s">
        <v>2537</v>
      </c>
      <c r="Q1326" s="100"/>
      <c r="R1326" s="8"/>
      <c r="S1326" s="8"/>
    </row>
    <row r="1327" ht="14.25" customHeight="1">
      <c r="A1327" s="100" t="s">
        <v>2159</v>
      </c>
      <c r="B1327" s="100" t="s">
        <v>2402</v>
      </c>
      <c r="C1327" s="100" t="s">
        <v>2364</v>
      </c>
      <c r="D1327" s="100" t="s">
        <v>135</v>
      </c>
      <c r="E1327" s="810">
        <v>15.5276</v>
      </c>
      <c r="F1327" s="810">
        <v>14.503</v>
      </c>
      <c r="G1327" s="810">
        <v>12.8206</v>
      </c>
      <c r="H1327" s="810">
        <v>12.5319</v>
      </c>
      <c r="I1327" s="810">
        <v>12.4259</v>
      </c>
      <c r="J1327" s="810">
        <v>12.2712</v>
      </c>
      <c r="K1327" s="810">
        <v>12.296</v>
      </c>
      <c r="L1327" s="810">
        <v>13.3789</v>
      </c>
      <c r="M1327" s="810">
        <v>13.5269</v>
      </c>
      <c r="N1327" s="810">
        <v>13.6896</v>
      </c>
      <c r="O1327" s="810" t="s">
        <v>2434</v>
      </c>
      <c r="P1327" s="100" t="s">
        <v>2617</v>
      </c>
      <c r="Q1327" s="100"/>
      <c r="R1327" s="8"/>
      <c r="S1327" s="8"/>
    </row>
    <row r="1328" ht="14.25" customHeight="1">
      <c r="A1328" s="100" t="s">
        <v>2159</v>
      </c>
      <c r="B1328" s="100" t="s">
        <v>2402</v>
      </c>
      <c r="C1328" s="100" t="s">
        <v>2337</v>
      </c>
      <c r="D1328" s="100" t="s">
        <v>135</v>
      </c>
      <c r="E1328" s="810">
        <v>2.8934</v>
      </c>
      <c r="F1328" s="810">
        <v>2.4286</v>
      </c>
      <c r="G1328" s="810">
        <v>1.945</v>
      </c>
      <c r="H1328" s="810">
        <v>2.0934</v>
      </c>
      <c r="I1328" s="810">
        <v>2.554</v>
      </c>
      <c r="J1328" s="810">
        <v>2.3198</v>
      </c>
      <c r="K1328" s="810">
        <v>2.2883</v>
      </c>
      <c r="L1328" s="810">
        <v>2.3876</v>
      </c>
      <c r="M1328" s="810">
        <v>2.244</v>
      </c>
      <c r="N1328" s="810">
        <v>2.1867</v>
      </c>
      <c r="O1328" s="810">
        <v>2.1387</v>
      </c>
      <c r="P1328" s="100" t="s">
        <v>2512</v>
      </c>
      <c r="Q1328" s="100"/>
      <c r="R1328" s="8"/>
      <c r="S1328" s="8"/>
    </row>
    <row r="1329" ht="14.25" customHeight="1">
      <c r="A1329" s="100" t="s">
        <v>2159</v>
      </c>
      <c r="B1329" s="100" t="s">
        <v>2402</v>
      </c>
      <c r="C1329" s="100" t="s">
        <v>2341</v>
      </c>
      <c r="D1329" s="100" t="s">
        <v>135</v>
      </c>
      <c r="E1329" s="810">
        <v>90.5192</v>
      </c>
      <c r="F1329" s="810">
        <v>89.0751</v>
      </c>
      <c r="G1329" s="810">
        <v>88.4601</v>
      </c>
      <c r="H1329" s="810">
        <v>84.9838</v>
      </c>
      <c r="I1329" s="810">
        <v>86.6081</v>
      </c>
      <c r="J1329" s="810">
        <v>88.1477</v>
      </c>
      <c r="K1329" s="810">
        <v>87.8523</v>
      </c>
      <c r="L1329" s="810">
        <v>90.3248</v>
      </c>
      <c r="M1329" s="810">
        <v>90.8196</v>
      </c>
      <c r="N1329" s="810">
        <v>87.9601</v>
      </c>
      <c r="O1329" s="810" t="s">
        <v>2434</v>
      </c>
      <c r="P1329" s="100" t="s">
        <v>2546</v>
      </c>
      <c r="Q1329" s="100"/>
      <c r="R1329" s="8"/>
      <c r="S1329" s="8"/>
    </row>
    <row r="1330" ht="14.25" customHeight="1">
      <c r="A1330" s="100" t="s">
        <v>2159</v>
      </c>
      <c r="B1330" s="100" t="s">
        <v>2402</v>
      </c>
      <c r="C1330" s="100" t="s">
        <v>2348</v>
      </c>
      <c r="D1330" s="100" t="s">
        <v>135</v>
      </c>
      <c r="E1330" s="810">
        <v>28.6559</v>
      </c>
      <c r="F1330" s="810">
        <v>28.5921</v>
      </c>
      <c r="G1330" s="810">
        <v>26.9757</v>
      </c>
      <c r="H1330" s="810">
        <v>25.4986</v>
      </c>
      <c r="I1330" s="810">
        <v>24.7707</v>
      </c>
      <c r="J1330" s="810">
        <v>25.5022</v>
      </c>
      <c r="K1330" s="810">
        <v>26.0601</v>
      </c>
      <c r="L1330" s="810">
        <v>26.9587</v>
      </c>
      <c r="M1330" s="810">
        <v>27.2326</v>
      </c>
      <c r="N1330" s="810">
        <v>26.613</v>
      </c>
      <c r="O1330" s="810" t="s">
        <v>2434</v>
      </c>
      <c r="P1330" s="100" t="s">
        <v>2618</v>
      </c>
      <c r="Q1330" s="100"/>
      <c r="R1330" s="8"/>
      <c r="S1330" s="8"/>
    </row>
    <row r="1331" ht="14.25" customHeight="1">
      <c r="A1331" s="100" t="s">
        <v>2159</v>
      </c>
      <c r="B1331" s="100" t="s">
        <v>2402</v>
      </c>
      <c r="C1331" s="100" t="s">
        <v>2350</v>
      </c>
      <c r="D1331" s="100" t="s">
        <v>135</v>
      </c>
      <c r="E1331" s="810">
        <v>6.6865</v>
      </c>
      <c r="F1331" s="810">
        <v>7.0614</v>
      </c>
      <c r="G1331" s="810">
        <v>6.6556</v>
      </c>
      <c r="H1331" s="810">
        <v>7.4929</v>
      </c>
      <c r="I1331" s="810">
        <v>6.4713</v>
      </c>
      <c r="J1331" s="810">
        <v>6.0863</v>
      </c>
      <c r="K1331" s="810">
        <v>5.2683</v>
      </c>
      <c r="L1331" s="810">
        <v>5.3113</v>
      </c>
      <c r="M1331" s="810">
        <v>5.7005</v>
      </c>
      <c r="N1331" s="810">
        <v>5.3542</v>
      </c>
      <c r="O1331" s="810" t="s">
        <v>2434</v>
      </c>
      <c r="P1331" s="100" t="s">
        <v>2400</v>
      </c>
      <c r="Q1331" s="100"/>
      <c r="R1331" s="8"/>
      <c r="S1331" s="8"/>
    </row>
    <row r="1332" ht="14.25" customHeight="1">
      <c r="A1332" s="100" t="s">
        <v>2159</v>
      </c>
      <c r="B1332" s="100" t="s">
        <v>2402</v>
      </c>
      <c r="C1332" s="100" t="s">
        <v>2354</v>
      </c>
      <c r="D1332" s="100" t="s">
        <v>135</v>
      </c>
      <c r="E1332" s="810">
        <v>132.0483</v>
      </c>
      <c r="F1332" s="810">
        <v>129.7008</v>
      </c>
      <c r="G1332" s="810">
        <v>125.8971</v>
      </c>
      <c r="H1332" s="810">
        <v>125.0643</v>
      </c>
      <c r="I1332" s="810">
        <v>124.4616</v>
      </c>
      <c r="J1332" s="810">
        <v>124.8102</v>
      </c>
      <c r="K1332" s="810">
        <v>128.6505</v>
      </c>
      <c r="L1332" s="810">
        <v>130.3355</v>
      </c>
      <c r="M1332" s="810">
        <v>135.9514</v>
      </c>
      <c r="N1332" s="810">
        <v>131.5433</v>
      </c>
      <c r="O1332" s="810" t="s">
        <v>2434</v>
      </c>
      <c r="P1332" s="100" t="s">
        <v>2619</v>
      </c>
      <c r="Q1332" s="100"/>
      <c r="R1332" s="8"/>
      <c r="S1332" s="8"/>
    </row>
    <row r="1333" ht="14.25" customHeight="1">
      <c r="A1333" s="100" t="s">
        <v>2159</v>
      </c>
      <c r="B1333" s="100" t="s">
        <v>2402</v>
      </c>
      <c r="C1333" s="100" t="s">
        <v>2356</v>
      </c>
      <c r="D1333" s="100" t="s">
        <v>135</v>
      </c>
      <c r="E1333" s="810">
        <v>360.8102</v>
      </c>
      <c r="F1333" s="810">
        <v>360.1385</v>
      </c>
      <c r="G1333" s="810">
        <v>354.5168</v>
      </c>
      <c r="H1333" s="810">
        <v>353.5047</v>
      </c>
      <c r="I1333" s="810">
        <v>341.1176</v>
      </c>
      <c r="J1333" s="810">
        <v>338.0141</v>
      </c>
      <c r="K1333" s="810">
        <v>355.6676</v>
      </c>
      <c r="L1333" s="810">
        <v>352.4854</v>
      </c>
      <c r="M1333" s="810">
        <v>357.4998</v>
      </c>
      <c r="N1333" s="810">
        <v>336.2207</v>
      </c>
      <c r="O1333" s="810" t="s">
        <v>2434</v>
      </c>
      <c r="P1333" s="100" t="s">
        <v>2620</v>
      </c>
      <c r="Q1333" s="100"/>
      <c r="R1333" s="8"/>
      <c r="S1333" s="8"/>
    </row>
    <row r="1334" ht="14.25" customHeight="1">
      <c r="A1334" s="100" t="s">
        <v>2159</v>
      </c>
      <c r="B1334" s="100" t="s">
        <v>2402</v>
      </c>
      <c r="C1334" s="100" t="s">
        <v>2344</v>
      </c>
      <c r="D1334" s="100" t="s">
        <v>135</v>
      </c>
      <c r="E1334" s="810">
        <v>735.8389</v>
      </c>
      <c r="F1334" s="810">
        <v>746.8234</v>
      </c>
      <c r="G1334" s="810">
        <v>734.2618</v>
      </c>
      <c r="H1334" s="810">
        <v>750.4763</v>
      </c>
      <c r="I1334" s="810">
        <v>720.023</v>
      </c>
      <c r="J1334" s="810">
        <v>721.7212</v>
      </c>
      <c r="K1334" s="810">
        <v>731.1449</v>
      </c>
      <c r="L1334" s="810">
        <v>740.4132</v>
      </c>
      <c r="M1334" s="810">
        <v>722.3098</v>
      </c>
      <c r="N1334" s="810">
        <v>711.8624</v>
      </c>
      <c r="O1334" s="810" t="s">
        <v>2434</v>
      </c>
      <c r="P1334" s="100" t="s">
        <v>2621</v>
      </c>
      <c r="Q1334" s="100"/>
      <c r="R1334" s="8"/>
      <c r="S1334" s="8"/>
    </row>
    <row r="1335" ht="14.25" customHeight="1">
      <c r="A1335" s="100" t="s">
        <v>2159</v>
      </c>
      <c r="B1335" s="100" t="s">
        <v>2402</v>
      </c>
      <c r="C1335" s="100" t="s">
        <v>2362</v>
      </c>
      <c r="D1335" s="100" t="s">
        <v>135</v>
      </c>
      <c r="E1335" s="810">
        <v>40.3815</v>
      </c>
      <c r="F1335" s="810">
        <v>38.6375</v>
      </c>
      <c r="G1335" s="810">
        <v>34.8313</v>
      </c>
      <c r="H1335" s="810">
        <v>32.9713</v>
      </c>
      <c r="I1335" s="810">
        <v>35.9104</v>
      </c>
      <c r="J1335" s="810">
        <v>36.3773</v>
      </c>
      <c r="K1335" s="810">
        <v>35.734</v>
      </c>
      <c r="L1335" s="810">
        <v>32.1258</v>
      </c>
      <c r="M1335" s="810">
        <v>31.8471</v>
      </c>
      <c r="N1335" s="810">
        <v>30.0884</v>
      </c>
      <c r="O1335" s="810" t="s">
        <v>2434</v>
      </c>
      <c r="P1335" s="100" t="s">
        <v>2622</v>
      </c>
      <c r="Q1335" s="100"/>
      <c r="R1335" s="8"/>
      <c r="S1335" s="8"/>
    </row>
    <row r="1336" ht="14.25" customHeight="1">
      <c r="A1336" s="100" t="s">
        <v>2159</v>
      </c>
      <c r="B1336" s="100" t="s">
        <v>2402</v>
      </c>
      <c r="C1336" s="100" t="s">
        <v>2367</v>
      </c>
      <c r="D1336" s="100" t="s">
        <v>135</v>
      </c>
      <c r="E1336" s="810">
        <v>33.8798</v>
      </c>
      <c r="F1336" s="810">
        <v>38.4039</v>
      </c>
      <c r="G1336" s="810">
        <v>40.1524</v>
      </c>
      <c r="H1336" s="810">
        <v>44.9054</v>
      </c>
      <c r="I1336" s="810">
        <v>45.7362</v>
      </c>
      <c r="J1336" s="810">
        <v>48.9237</v>
      </c>
      <c r="K1336" s="810">
        <v>48.9758</v>
      </c>
      <c r="L1336" s="810">
        <v>53.4378</v>
      </c>
      <c r="M1336" s="810">
        <v>55.2886</v>
      </c>
      <c r="N1336" s="810">
        <v>54.7767</v>
      </c>
      <c r="O1336" s="810" t="s">
        <v>2434</v>
      </c>
      <c r="P1336" s="100" t="s">
        <v>2546</v>
      </c>
      <c r="Q1336" s="100"/>
      <c r="R1336" s="8"/>
      <c r="S1336" s="8"/>
    </row>
    <row r="1337" ht="14.25" customHeight="1">
      <c r="A1337" s="100" t="s">
        <v>2159</v>
      </c>
      <c r="B1337" s="100" t="s">
        <v>2402</v>
      </c>
      <c r="C1337" s="100" t="s">
        <v>2369</v>
      </c>
      <c r="D1337" s="100" t="s">
        <v>135</v>
      </c>
      <c r="E1337" s="810">
        <v>22.3545</v>
      </c>
      <c r="F1337" s="810">
        <v>20.5322</v>
      </c>
      <c r="G1337" s="810">
        <v>20.2171</v>
      </c>
      <c r="H1337" s="810">
        <v>20.9615</v>
      </c>
      <c r="I1337" s="810">
        <v>23.6222</v>
      </c>
      <c r="J1337" s="810">
        <v>23.503</v>
      </c>
      <c r="K1337" s="810">
        <v>24.9102</v>
      </c>
      <c r="L1337" s="810">
        <v>25.4225</v>
      </c>
      <c r="M1337" s="810">
        <v>26.9474</v>
      </c>
      <c r="N1337" s="810">
        <v>26.9875</v>
      </c>
      <c r="O1337" s="810" t="s">
        <v>2434</v>
      </c>
      <c r="P1337" s="100" t="s">
        <v>2623</v>
      </c>
      <c r="Q1337" s="100"/>
      <c r="R1337" s="8"/>
      <c r="S1337" s="8"/>
    </row>
    <row r="1338" ht="14.25" customHeight="1">
      <c r="A1338" s="100" t="s">
        <v>2159</v>
      </c>
      <c r="B1338" s="100" t="s">
        <v>2402</v>
      </c>
      <c r="C1338" s="100" t="s">
        <v>2374</v>
      </c>
      <c r="D1338" s="100" t="s">
        <v>135</v>
      </c>
      <c r="E1338" s="810">
        <v>360.2449</v>
      </c>
      <c r="F1338" s="810">
        <v>345.7742</v>
      </c>
      <c r="G1338" s="810">
        <v>337.2459</v>
      </c>
      <c r="H1338" s="810">
        <v>312.2183</v>
      </c>
      <c r="I1338" s="810">
        <v>302.8249</v>
      </c>
      <c r="J1338" s="810">
        <v>300.1876</v>
      </c>
      <c r="K1338" s="810">
        <v>304.9456</v>
      </c>
      <c r="L1338" s="810">
        <v>300.6956</v>
      </c>
      <c r="M1338" s="810">
        <v>292.1998</v>
      </c>
      <c r="N1338" s="810">
        <v>299.4915</v>
      </c>
      <c r="O1338" s="810" t="s">
        <v>2434</v>
      </c>
      <c r="P1338" s="100" t="s">
        <v>2624</v>
      </c>
      <c r="Q1338" s="100"/>
      <c r="R1338" s="8"/>
      <c r="S1338" s="8"/>
    </row>
    <row r="1339" ht="14.25" customHeight="1">
      <c r="A1339" s="100" t="s">
        <v>2159</v>
      </c>
      <c r="B1339" s="100" t="s">
        <v>2402</v>
      </c>
      <c r="C1339" s="100" t="s">
        <v>2386</v>
      </c>
      <c r="D1339" s="100" t="s">
        <v>135</v>
      </c>
      <c r="E1339" s="810">
        <v>9.0214</v>
      </c>
      <c r="F1339" s="810">
        <v>8.7039</v>
      </c>
      <c r="G1339" s="810">
        <v>9.6453</v>
      </c>
      <c r="H1339" s="810">
        <v>8.9541</v>
      </c>
      <c r="I1339" s="810">
        <v>9.1924</v>
      </c>
      <c r="J1339" s="810">
        <v>9.1839</v>
      </c>
      <c r="K1339" s="810">
        <v>8.7353</v>
      </c>
      <c r="L1339" s="810">
        <v>9.1744</v>
      </c>
      <c r="M1339" s="810">
        <v>10.4118</v>
      </c>
      <c r="N1339" s="810">
        <v>9.9098</v>
      </c>
      <c r="O1339" s="810" t="s">
        <v>2434</v>
      </c>
      <c r="P1339" s="100" t="s">
        <v>2625</v>
      </c>
      <c r="Q1339" s="100"/>
      <c r="R1339" s="8"/>
      <c r="S1339" s="8"/>
    </row>
    <row r="1340" ht="14.25" customHeight="1">
      <c r="A1340" s="100" t="s">
        <v>2159</v>
      </c>
      <c r="B1340" s="100" t="s">
        <v>2402</v>
      </c>
      <c r="C1340" s="100" t="s">
        <v>2378</v>
      </c>
      <c r="D1340" s="100" t="s">
        <v>135</v>
      </c>
      <c r="E1340" s="810">
        <v>11.0835</v>
      </c>
      <c r="F1340" s="810">
        <v>11.8232</v>
      </c>
      <c r="G1340" s="810">
        <v>12.4937</v>
      </c>
      <c r="H1340" s="810">
        <v>12.0826</v>
      </c>
      <c r="I1340" s="810">
        <v>12.05</v>
      </c>
      <c r="J1340" s="810">
        <v>11.4483</v>
      </c>
      <c r="K1340" s="810">
        <v>11.5341</v>
      </c>
      <c r="L1340" s="810">
        <v>12.4755</v>
      </c>
      <c r="M1340" s="810">
        <v>12.8657</v>
      </c>
      <c r="N1340" s="810">
        <v>12.9302</v>
      </c>
      <c r="O1340" s="810" t="s">
        <v>2434</v>
      </c>
      <c r="P1340" s="100" t="s">
        <v>2567</v>
      </c>
      <c r="Q1340" s="100"/>
      <c r="R1340" s="8"/>
      <c r="S1340" s="8"/>
    </row>
    <row r="1341" ht="14.25" customHeight="1">
      <c r="A1341" s="100" t="s">
        <v>2159</v>
      </c>
      <c r="B1341" s="100" t="s">
        <v>2402</v>
      </c>
      <c r="C1341" s="100" t="s">
        <v>2383</v>
      </c>
      <c r="D1341" s="100" t="s">
        <v>135</v>
      </c>
      <c r="E1341" s="810">
        <v>8.7791</v>
      </c>
      <c r="F1341" s="810">
        <v>8.4302</v>
      </c>
      <c r="G1341" s="810">
        <v>7.8953</v>
      </c>
      <c r="H1341" s="810">
        <v>7.5349</v>
      </c>
      <c r="I1341" s="810">
        <v>7.6395</v>
      </c>
      <c r="J1341" s="810">
        <v>7.5</v>
      </c>
      <c r="K1341" s="810">
        <v>7.8488</v>
      </c>
      <c r="L1341" s="810">
        <v>7.2558</v>
      </c>
      <c r="M1341" s="810">
        <v>7.3488</v>
      </c>
      <c r="N1341" s="810">
        <v>7.1937</v>
      </c>
      <c r="O1341" s="810" t="s">
        <v>2434</v>
      </c>
      <c r="P1341" s="100" t="s">
        <v>2523</v>
      </c>
      <c r="Q1341" s="100"/>
      <c r="R1341" s="8"/>
      <c r="S1341" s="8"/>
    </row>
    <row r="1342" ht="14.25" customHeight="1">
      <c r="A1342" s="100" t="s">
        <v>2159</v>
      </c>
      <c r="B1342" s="100" t="s">
        <v>2402</v>
      </c>
      <c r="C1342" s="100" t="s">
        <v>2389</v>
      </c>
      <c r="D1342" s="100" t="s">
        <v>135</v>
      </c>
      <c r="E1342" s="810">
        <v>0.6316</v>
      </c>
      <c r="F1342" s="810">
        <v>0.5966</v>
      </c>
      <c r="G1342" s="810">
        <v>0.6489</v>
      </c>
      <c r="H1342" s="810">
        <v>0.7609</v>
      </c>
      <c r="I1342" s="810">
        <v>0.8022</v>
      </c>
      <c r="J1342" s="810">
        <v>0.8157</v>
      </c>
      <c r="K1342" s="810">
        <v>0.825</v>
      </c>
      <c r="L1342" s="810">
        <v>0.8674</v>
      </c>
      <c r="M1342" s="810">
        <v>0.841</v>
      </c>
      <c r="N1342" s="810">
        <v>0.8549</v>
      </c>
      <c r="O1342" s="810" t="s">
        <v>2434</v>
      </c>
      <c r="P1342" s="100" t="s">
        <v>2549</v>
      </c>
      <c r="Q1342" s="100"/>
      <c r="R1342" s="8"/>
      <c r="S1342" s="8"/>
    </row>
    <row r="1343" ht="14.25" customHeight="1">
      <c r="A1343" s="100" t="s">
        <v>2159</v>
      </c>
      <c r="B1343" s="100" t="s">
        <v>2402</v>
      </c>
      <c r="C1343" s="100" t="s">
        <v>2391</v>
      </c>
      <c r="D1343" s="100" t="s">
        <v>135</v>
      </c>
      <c r="E1343" s="810">
        <v>182.0918</v>
      </c>
      <c r="F1343" s="810">
        <v>177.5838</v>
      </c>
      <c r="G1343" s="810">
        <v>175.9728</v>
      </c>
      <c r="H1343" s="810">
        <v>172.7795</v>
      </c>
      <c r="I1343" s="810">
        <v>170.4535</v>
      </c>
      <c r="J1343" s="810">
        <v>169.5258</v>
      </c>
      <c r="K1343" s="810">
        <v>176.461</v>
      </c>
      <c r="L1343" s="810">
        <v>178.3064</v>
      </c>
      <c r="M1343" s="810">
        <v>175.8861</v>
      </c>
      <c r="N1343" s="810">
        <v>172.8039</v>
      </c>
      <c r="O1343" s="810" t="s">
        <v>2434</v>
      </c>
      <c r="P1343" s="100" t="s">
        <v>2546</v>
      </c>
      <c r="Q1343" s="100"/>
      <c r="R1343" s="8"/>
      <c r="S1343" s="8"/>
    </row>
    <row r="1344" ht="14.25" customHeight="1">
      <c r="A1344" s="100" t="s">
        <v>2159</v>
      </c>
      <c r="B1344" s="100" t="s">
        <v>2402</v>
      </c>
      <c r="C1344" s="100" t="s">
        <v>2393</v>
      </c>
      <c r="D1344" s="100" t="s">
        <v>135</v>
      </c>
      <c r="E1344" s="810">
        <v>170.6683</v>
      </c>
      <c r="F1344" s="810">
        <v>178.1798</v>
      </c>
      <c r="G1344" s="810">
        <v>175.899</v>
      </c>
      <c r="H1344" s="810">
        <v>181.0431</v>
      </c>
      <c r="I1344" s="810">
        <v>182.3083</v>
      </c>
      <c r="J1344" s="810">
        <v>182.7987</v>
      </c>
      <c r="K1344" s="810">
        <v>189.0286</v>
      </c>
      <c r="L1344" s="810">
        <v>202.2394</v>
      </c>
      <c r="M1344" s="810">
        <v>208.0892</v>
      </c>
      <c r="N1344" s="810">
        <v>211.4849</v>
      </c>
      <c r="O1344" s="810" t="s">
        <v>2434</v>
      </c>
      <c r="P1344" s="100" t="s">
        <v>2526</v>
      </c>
      <c r="Q1344" s="100"/>
      <c r="R1344" s="8"/>
      <c r="S1344" s="8"/>
    </row>
    <row r="1345" ht="14.25" customHeight="1">
      <c r="A1345" s="100" t="s">
        <v>2159</v>
      </c>
      <c r="B1345" s="100" t="s">
        <v>2402</v>
      </c>
      <c r="C1345" s="100" t="s">
        <v>2395</v>
      </c>
      <c r="D1345" s="100" t="s">
        <v>135</v>
      </c>
      <c r="E1345" s="810">
        <v>63.2336</v>
      </c>
      <c r="F1345" s="810">
        <v>56.8155</v>
      </c>
      <c r="G1345" s="810">
        <v>55.3112</v>
      </c>
      <c r="H1345" s="810">
        <v>53.2294</v>
      </c>
      <c r="I1345" s="810">
        <v>52.9912</v>
      </c>
      <c r="J1345" s="810">
        <v>53.0009</v>
      </c>
      <c r="K1345" s="810">
        <v>51.1202</v>
      </c>
      <c r="L1345" s="810">
        <v>52.4618</v>
      </c>
      <c r="M1345" s="810">
        <v>52.8869</v>
      </c>
      <c r="N1345" s="810">
        <v>53.6652</v>
      </c>
      <c r="O1345" s="810" t="s">
        <v>2434</v>
      </c>
      <c r="P1345" s="100" t="s">
        <v>2626</v>
      </c>
      <c r="Q1345" s="100"/>
      <c r="R1345" s="8"/>
      <c r="S1345" s="8"/>
    </row>
    <row r="1346" ht="14.25" customHeight="1">
      <c r="A1346" s="100" t="s">
        <v>2159</v>
      </c>
      <c r="B1346" s="100" t="s">
        <v>2402</v>
      </c>
      <c r="C1346" s="100" t="s">
        <v>2397</v>
      </c>
      <c r="D1346" s="100" t="s">
        <v>135</v>
      </c>
      <c r="E1346" s="810">
        <v>86.5348</v>
      </c>
      <c r="F1346" s="810">
        <v>89.6976</v>
      </c>
      <c r="G1346" s="810">
        <v>76.9883</v>
      </c>
      <c r="H1346" s="810">
        <v>70.7325</v>
      </c>
      <c r="I1346" s="810">
        <v>72.3837</v>
      </c>
      <c r="J1346" s="810">
        <v>71.8953</v>
      </c>
      <c r="K1346" s="810">
        <v>70.4534</v>
      </c>
      <c r="L1346" s="810">
        <v>74.5</v>
      </c>
      <c r="M1346" s="810">
        <v>79.9883</v>
      </c>
      <c r="N1346" s="810">
        <v>80.593</v>
      </c>
      <c r="O1346" s="810" t="s">
        <v>2434</v>
      </c>
      <c r="P1346" s="100" t="s">
        <v>2528</v>
      </c>
      <c r="Q1346" s="100"/>
      <c r="R1346" s="8"/>
      <c r="S1346" s="8"/>
    </row>
    <row r="1347" ht="14.25" customHeight="1">
      <c r="A1347" s="100" t="s">
        <v>2159</v>
      </c>
      <c r="B1347" s="100" t="s">
        <v>2402</v>
      </c>
      <c r="C1347" s="100" t="s">
        <v>2411</v>
      </c>
      <c r="D1347" s="100" t="s">
        <v>135</v>
      </c>
      <c r="E1347" s="810">
        <v>50.5772</v>
      </c>
      <c r="F1347" s="810">
        <v>49.357</v>
      </c>
      <c r="G1347" s="810">
        <v>50.7157</v>
      </c>
      <c r="H1347" s="810">
        <v>49.7148</v>
      </c>
      <c r="I1347" s="810">
        <v>51.7206</v>
      </c>
      <c r="J1347" s="810">
        <v>51.6501</v>
      </c>
      <c r="K1347" s="810">
        <v>51.9095</v>
      </c>
      <c r="L1347" s="810">
        <v>54.2364</v>
      </c>
      <c r="M1347" s="810">
        <v>57.2499</v>
      </c>
      <c r="N1347" s="810" t="s">
        <v>2434</v>
      </c>
      <c r="O1347" s="810" t="s">
        <v>2434</v>
      </c>
      <c r="P1347" s="100" t="s">
        <v>2546</v>
      </c>
      <c r="Q1347" s="100"/>
      <c r="R1347" s="8"/>
      <c r="S1347" s="8"/>
    </row>
    <row r="1348" ht="14.25" customHeight="1">
      <c r="A1348" s="100" t="s">
        <v>2159</v>
      </c>
      <c r="B1348" s="100" t="s">
        <v>2402</v>
      </c>
      <c r="C1348" s="100" t="s">
        <v>2406</v>
      </c>
      <c r="D1348" s="100" t="s">
        <v>135</v>
      </c>
      <c r="E1348" s="810">
        <v>14.8071</v>
      </c>
      <c r="F1348" s="810">
        <v>14.375</v>
      </c>
      <c r="G1348" s="810">
        <v>14.0317</v>
      </c>
      <c r="H1348" s="810">
        <v>13.9186</v>
      </c>
      <c r="I1348" s="810">
        <v>14.309</v>
      </c>
      <c r="J1348" s="810">
        <v>14.2632</v>
      </c>
      <c r="K1348" s="810">
        <v>14.4399</v>
      </c>
      <c r="L1348" s="810">
        <v>15.0563</v>
      </c>
      <c r="M1348" s="810">
        <v>15.3294</v>
      </c>
      <c r="N1348" s="810">
        <v>15.4484</v>
      </c>
      <c r="O1348" s="810" t="s">
        <v>2434</v>
      </c>
      <c r="P1348" s="100" t="s">
        <v>2628</v>
      </c>
      <c r="Q1348" s="100"/>
      <c r="R1348" s="8"/>
      <c r="S1348" s="8"/>
    </row>
    <row r="1349" ht="14.25" customHeight="1">
      <c r="A1349" s="100" t="s">
        <v>2159</v>
      </c>
      <c r="B1349" s="100" t="s">
        <v>2402</v>
      </c>
      <c r="C1349" s="100" t="s">
        <v>2352</v>
      </c>
      <c r="D1349" s="100" t="s">
        <v>135</v>
      </c>
      <c r="E1349" s="810">
        <v>249.3536</v>
      </c>
      <c r="F1349" s="810">
        <v>246.3934</v>
      </c>
      <c r="G1349" s="810">
        <v>239.4715</v>
      </c>
      <c r="H1349" s="810">
        <v>237.9672</v>
      </c>
      <c r="I1349" s="810">
        <v>230.3192</v>
      </c>
      <c r="J1349" s="810">
        <v>217.7498</v>
      </c>
      <c r="K1349" s="810">
        <v>216.4254</v>
      </c>
      <c r="L1349" s="810">
        <v>234.6453</v>
      </c>
      <c r="M1349" s="810">
        <v>240.7867</v>
      </c>
      <c r="N1349" s="810">
        <v>236.8076</v>
      </c>
      <c r="O1349" s="810" t="s">
        <v>2434</v>
      </c>
      <c r="P1349" s="100" t="s">
        <v>2629</v>
      </c>
      <c r="Q1349" s="100"/>
      <c r="R1349" s="8"/>
      <c r="S1349" s="8"/>
    </row>
    <row r="1350" ht="14.25" customHeight="1">
      <c r="A1350" s="100" t="s">
        <v>2159</v>
      </c>
      <c r="B1350" s="100" t="s">
        <v>2402</v>
      </c>
      <c r="C1350" s="100" t="s">
        <v>2400</v>
      </c>
      <c r="D1350" s="100" t="s">
        <v>135</v>
      </c>
      <c r="E1350" s="810">
        <v>151.3753</v>
      </c>
      <c r="F1350" s="810">
        <v>149.7599</v>
      </c>
      <c r="G1350" s="810">
        <v>147.7222</v>
      </c>
      <c r="H1350" s="810">
        <v>145.82</v>
      </c>
      <c r="I1350" s="810">
        <v>144.6171</v>
      </c>
      <c r="J1350" s="810">
        <v>143.3476</v>
      </c>
      <c r="K1350" s="810">
        <v>144.3514</v>
      </c>
      <c r="L1350" s="810">
        <v>145.43</v>
      </c>
      <c r="M1350" s="810">
        <v>143.8896</v>
      </c>
      <c r="N1350" s="810">
        <v>144.403</v>
      </c>
      <c r="O1350" s="810" t="s">
        <v>2434</v>
      </c>
      <c r="P1350" s="100" t="s">
        <v>2630</v>
      </c>
      <c r="Q1350" s="100"/>
      <c r="R1350" s="8"/>
      <c r="S1350" s="8"/>
    </row>
    <row r="1351" ht="14.25" customHeight="1">
      <c r="A1351" s="100" t="s">
        <v>2159</v>
      </c>
      <c r="B1351" s="100" t="s">
        <v>2402</v>
      </c>
      <c r="C1351" s="100" t="s">
        <v>2416</v>
      </c>
      <c r="D1351" s="100" t="s">
        <v>135</v>
      </c>
      <c r="E1351" s="810">
        <v>72.7224</v>
      </c>
      <c r="F1351" s="810">
        <v>72.3285</v>
      </c>
      <c r="G1351" s="810">
        <v>70.2612</v>
      </c>
      <c r="H1351" s="810">
        <v>70.564</v>
      </c>
      <c r="I1351" s="810">
        <v>69.3894</v>
      </c>
      <c r="J1351" s="810">
        <v>70.2513</v>
      </c>
      <c r="K1351" s="810">
        <v>70.5631</v>
      </c>
      <c r="L1351" s="810">
        <v>71.6754</v>
      </c>
      <c r="M1351" s="810">
        <v>73.044</v>
      </c>
      <c r="N1351" s="810">
        <v>73.5883</v>
      </c>
      <c r="O1351" s="810">
        <v>73.3399</v>
      </c>
      <c r="P1351" s="100" t="s">
        <v>2631</v>
      </c>
      <c r="Q1351" s="100"/>
      <c r="R1351" s="8"/>
      <c r="S1351" s="8"/>
    </row>
    <row r="1352" ht="14.25" customHeight="1">
      <c r="A1352" s="100" t="s">
        <v>2159</v>
      </c>
      <c r="B1352" s="100" t="s">
        <v>2402</v>
      </c>
      <c r="C1352" s="100" t="s">
        <v>2423</v>
      </c>
      <c r="D1352" s="100" t="s">
        <v>135</v>
      </c>
      <c r="E1352" s="810">
        <v>39.044</v>
      </c>
      <c r="F1352" s="810">
        <v>38.3006</v>
      </c>
      <c r="G1352" s="810">
        <v>37.6798</v>
      </c>
      <c r="H1352" s="810">
        <v>38.2474</v>
      </c>
      <c r="I1352" s="810">
        <v>36.5844</v>
      </c>
      <c r="J1352" s="810">
        <v>35.8676</v>
      </c>
      <c r="K1352" s="810">
        <v>34.3139</v>
      </c>
      <c r="L1352" s="810">
        <v>34.0697</v>
      </c>
      <c r="M1352" s="810">
        <v>33.4186</v>
      </c>
      <c r="N1352" s="810">
        <v>32.1046</v>
      </c>
      <c r="O1352" s="810" t="s">
        <v>2434</v>
      </c>
      <c r="P1352" s="100" t="s">
        <v>2632</v>
      </c>
      <c r="Q1352" s="100"/>
      <c r="R1352" s="8"/>
      <c r="S1352" s="8"/>
    </row>
    <row r="1353" ht="14.25" customHeight="1">
      <c r="A1353" s="100" t="s">
        <v>2159</v>
      </c>
      <c r="B1353" s="100" t="s">
        <v>2402</v>
      </c>
      <c r="C1353" s="100" t="s">
        <v>2360</v>
      </c>
      <c r="D1353" s="100" t="s">
        <v>135</v>
      </c>
      <c r="E1353" s="810">
        <v>296.16</v>
      </c>
      <c r="F1353" s="810">
        <v>277.4314</v>
      </c>
      <c r="G1353" s="810">
        <v>273.8358</v>
      </c>
      <c r="H1353" s="810">
        <v>273.7406</v>
      </c>
      <c r="I1353" s="810">
        <v>267.2465</v>
      </c>
      <c r="J1353" s="810">
        <v>266.5608</v>
      </c>
      <c r="K1353" s="810">
        <v>245.6417</v>
      </c>
      <c r="L1353" s="810">
        <v>249.8518</v>
      </c>
      <c r="M1353" s="810">
        <v>251.2497</v>
      </c>
      <c r="N1353" s="810">
        <v>243.7294</v>
      </c>
      <c r="O1353" s="810" t="s">
        <v>2434</v>
      </c>
      <c r="P1353" s="100" t="s">
        <v>2549</v>
      </c>
      <c r="Q1353" s="100"/>
      <c r="R1353" s="8"/>
      <c r="S1353" s="8"/>
    </row>
    <row r="1354" ht="14.25" customHeight="1">
      <c r="A1354" s="100" t="s">
        <v>2159</v>
      </c>
      <c r="B1354" s="100" t="s">
        <v>2402</v>
      </c>
      <c r="C1354" s="100" t="s">
        <v>2535</v>
      </c>
      <c r="D1354" s="100" t="s">
        <v>135</v>
      </c>
      <c r="E1354" s="810">
        <v>30.4728</v>
      </c>
      <c r="F1354" s="810">
        <v>33.1943</v>
      </c>
      <c r="G1354" s="810">
        <v>29.082</v>
      </c>
      <c r="H1354" s="810">
        <v>28.6845</v>
      </c>
      <c r="I1354" s="810">
        <v>23.8068</v>
      </c>
      <c r="J1354" s="810">
        <v>26.4707</v>
      </c>
      <c r="K1354" s="810">
        <v>28.6967</v>
      </c>
      <c r="L1354" s="810">
        <v>30.2566</v>
      </c>
      <c r="M1354" s="810">
        <v>32.8115</v>
      </c>
      <c r="N1354" s="810">
        <v>31.2835</v>
      </c>
      <c r="O1354" s="810" t="s">
        <v>2434</v>
      </c>
      <c r="P1354" s="100" t="s">
        <v>2546</v>
      </c>
      <c r="Q1354" s="100"/>
      <c r="R1354" s="8"/>
      <c r="S1354" s="8"/>
    </row>
    <row r="1355" ht="14.25" customHeight="1">
      <c r="A1355" s="100" t="s">
        <v>2197</v>
      </c>
      <c r="B1355" s="100" t="s">
        <v>2732</v>
      </c>
      <c r="C1355" s="100" t="s">
        <v>2317</v>
      </c>
      <c r="D1355" s="100" t="s">
        <v>135</v>
      </c>
      <c r="E1355" s="810" t="str">
        <f t="shared" ref="E1355:M1355" si="112">#REF!</f>
        <v>#REF!</v>
      </c>
      <c r="F1355" s="810" t="str">
        <f t="shared" si="112"/>
        <v>#REF!</v>
      </c>
      <c r="G1355" s="810" t="str">
        <f t="shared" si="112"/>
        <v>#REF!</v>
      </c>
      <c r="H1355" s="810" t="str">
        <f t="shared" si="112"/>
        <v>#REF!</v>
      </c>
      <c r="I1355" s="810" t="str">
        <f t="shared" si="112"/>
        <v>#REF!</v>
      </c>
      <c r="J1355" s="810" t="str">
        <f t="shared" si="112"/>
        <v>#REF!</v>
      </c>
      <c r="K1355" s="810" t="str">
        <f t="shared" si="112"/>
        <v>#REF!</v>
      </c>
      <c r="L1355" s="810" t="str">
        <f t="shared" si="112"/>
        <v>#REF!</v>
      </c>
      <c r="M1355" s="810" t="str">
        <f t="shared" si="112"/>
        <v>#REF!</v>
      </c>
      <c r="N1355" s="817" t="str">
        <f>(M1355*(N1356+N1386)/(M1356+M1386))</f>
        <v>#REF!</v>
      </c>
      <c r="O1355" s="810" t="str">
        <f>#REF!</f>
        <v>#REF!</v>
      </c>
      <c r="P1355" s="100" t="s">
        <v>2653</v>
      </c>
      <c r="Q1355" s="100"/>
      <c r="R1355" s="808" t="s">
        <v>2733</v>
      </c>
      <c r="S1355" s="8"/>
    </row>
    <row r="1356" ht="14.25" customHeight="1">
      <c r="A1356" s="100" t="s">
        <v>2197</v>
      </c>
      <c r="B1356" s="100" t="s">
        <v>2732</v>
      </c>
      <c r="C1356" s="100" t="s">
        <v>2507</v>
      </c>
      <c r="D1356" s="100"/>
      <c r="E1356" s="810" t="str">
        <f t="shared" ref="E1356:O1356" si="113">#REF!</f>
        <v>#REF!</v>
      </c>
      <c r="F1356" s="810" t="str">
        <f t="shared" si="113"/>
        <v>#REF!</v>
      </c>
      <c r="G1356" s="810" t="str">
        <f t="shared" si="113"/>
        <v>#REF!</v>
      </c>
      <c r="H1356" s="810" t="str">
        <f t="shared" si="113"/>
        <v>#REF!</v>
      </c>
      <c r="I1356" s="810" t="str">
        <f t="shared" si="113"/>
        <v>#REF!</v>
      </c>
      <c r="J1356" s="810" t="str">
        <f t="shared" si="113"/>
        <v>#REF!</v>
      </c>
      <c r="K1356" s="810" t="str">
        <f t="shared" si="113"/>
        <v>#REF!</v>
      </c>
      <c r="L1356" s="810" t="str">
        <f t="shared" si="113"/>
        <v>#REF!</v>
      </c>
      <c r="M1356" s="810" t="str">
        <f t="shared" si="113"/>
        <v>#REF!</v>
      </c>
      <c r="N1356" s="810" t="str">
        <f t="shared" si="113"/>
        <v>#REF!</v>
      </c>
      <c r="O1356" s="810" t="str">
        <f t="shared" si="113"/>
        <v>#REF!</v>
      </c>
      <c r="P1356" s="100"/>
      <c r="Q1356" s="100"/>
      <c r="R1356" s="8"/>
      <c r="S1356" s="8"/>
    </row>
    <row r="1357" ht="14.25" customHeight="1">
      <c r="A1357" s="100" t="s">
        <v>2197</v>
      </c>
      <c r="B1357" s="100" t="s">
        <v>2732</v>
      </c>
      <c r="C1357" s="100" t="s">
        <v>2325</v>
      </c>
      <c r="D1357" s="100" t="s">
        <v>135</v>
      </c>
      <c r="E1357" s="810">
        <v>35.2224</v>
      </c>
      <c r="F1357" s="810">
        <v>36.3025</v>
      </c>
      <c r="G1357" s="810">
        <v>36.1866</v>
      </c>
      <c r="H1357" s="810">
        <v>37.6568</v>
      </c>
      <c r="I1357" s="810">
        <v>36.5547</v>
      </c>
      <c r="J1357" s="810">
        <v>34.4543</v>
      </c>
      <c r="K1357" s="810">
        <v>34.2143</v>
      </c>
      <c r="L1357" s="810">
        <v>34.7798</v>
      </c>
      <c r="M1357" s="810">
        <v>34.5975</v>
      </c>
      <c r="N1357" s="810">
        <v>34.9871</v>
      </c>
      <c r="O1357" s="810" t="s">
        <v>2434</v>
      </c>
      <c r="P1357" s="100" t="s">
        <v>2616</v>
      </c>
      <c r="Q1357" s="100"/>
      <c r="R1357" s="8"/>
      <c r="S1357" s="8"/>
    </row>
    <row r="1358" ht="14.25" customHeight="1">
      <c r="A1358" s="100" t="s">
        <v>2197</v>
      </c>
      <c r="B1358" s="100" t="s">
        <v>2732</v>
      </c>
      <c r="C1358" s="100" t="s">
        <v>2329</v>
      </c>
      <c r="D1358" s="100" t="s">
        <v>135</v>
      </c>
      <c r="E1358" s="810">
        <v>48.8281</v>
      </c>
      <c r="F1358" s="810">
        <v>47.76</v>
      </c>
      <c r="G1358" s="810">
        <v>47.6908</v>
      </c>
      <c r="H1358" s="810">
        <v>48.599</v>
      </c>
      <c r="I1358" s="810">
        <v>46.5285</v>
      </c>
      <c r="J1358" s="810">
        <v>47.2287</v>
      </c>
      <c r="K1358" s="810">
        <v>47.9422</v>
      </c>
      <c r="L1358" s="810">
        <v>50.5125</v>
      </c>
      <c r="M1358" s="810">
        <v>50.7389</v>
      </c>
      <c r="N1358" s="810">
        <v>49.6719</v>
      </c>
      <c r="O1358" s="810" t="s">
        <v>2434</v>
      </c>
      <c r="P1358" s="100" t="s">
        <v>2734</v>
      </c>
      <c r="Q1358" s="100"/>
      <c r="R1358" s="8"/>
      <c r="S1358" s="8"/>
    </row>
    <row r="1359" ht="14.25" customHeight="1">
      <c r="A1359" s="100" t="s">
        <v>2197</v>
      </c>
      <c r="B1359" s="100" t="s">
        <v>2732</v>
      </c>
      <c r="C1359" s="100" t="s">
        <v>2333</v>
      </c>
      <c r="D1359" s="100" t="s">
        <v>135</v>
      </c>
      <c r="E1359" s="810">
        <v>8.093</v>
      </c>
      <c r="F1359" s="810">
        <v>9.8372</v>
      </c>
      <c r="G1359" s="810">
        <v>8.8256</v>
      </c>
      <c r="H1359" s="810">
        <v>8.7907</v>
      </c>
      <c r="I1359" s="810">
        <v>9.0814</v>
      </c>
      <c r="J1359" s="810">
        <v>10.6628</v>
      </c>
      <c r="K1359" s="810">
        <v>10.6744</v>
      </c>
      <c r="L1359" s="810">
        <v>10.8004</v>
      </c>
      <c r="M1359" s="810">
        <v>10.4048</v>
      </c>
      <c r="N1359" s="810">
        <v>9.5884</v>
      </c>
      <c r="O1359" s="810" t="s">
        <v>2434</v>
      </c>
      <c r="P1359" s="100" t="s">
        <v>2537</v>
      </c>
      <c r="Q1359" s="100"/>
      <c r="R1359" s="8"/>
      <c r="S1359" s="8"/>
    </row>
    <row r="1360" ht="14.25" customHeight="1">
      <c r="A1360" s="100" t="s">
        <v>2197</v>
      </c>
      <c r="B1360" s="100" t="s">
        <v>2732</v>
      </c>
      <c r="C1360" s="100" t="s">
        <v>2364</v>
      </c>
      <c r="D1360" s="100" t="s">
        <v>135</v>
      </c>
      <c r="E1360" s="810">
        <v>5.9489</v>
      </c>
      <c r="F1360" s="810">
        <v>5.5863</v>
      </c>
      <c r="G1360" s="810">
        <v>4.5325</v>
      </c>
      <c r="H1360" s="810">
        <v>4.08</v>
      </c>
      <c r="I1360" s="810">
        <v>4.0917</v>
      </c>
      <c r="J1360" s="810">
        <v>3.962</v>
      </c>
      <c r="K1360" s="810">
        <v>4.1491</v>
      </c>
      <c r="L1360" s="810">
        <v>4.4938</v>
      </c>
      <c r="M1360" s="810">
        <v>4.4533</v>
      </c>
      <c r="N1360" s="810">
        <v>4.6582</v>
      </c>
      <c r="O1360" s="810" t="s">
        <v>2434</v>
      </c>
      <c r="P1360" s="100" t="s">
        <v>2617</v>
      </c>
      <c r="Q1360" s="100"/>
      <c r="R1360" s="8"/>
      <c r="S1360" s="8"/>
    </row>
    <row r="1361" ht="14.25" customHeight="1">
      <c r="A1361" s="100" t="s">
        <v>2197</v>
      </c>
      <c r="B1361" s="100" t="s">
        <v>2732</v>
      </c>
      <c r="C1361" s="100" t="s">
        <v>2337</v>
      </c>
      <c r="D1361" s="100" t="s">
        <v>135</v>
      </c>
      <c r="E1361" s="810">
        <v>0.0</v>
      </c>
      <c r="F1361" s="810">
        <v>0.0</v>
      </c>
      <c r="G1361" s="810">
        <v>0.0</v>
      </c>
      <c r="H1361" s="810">
        <v>0.0</v>
      </c>
      <c r="I1361" s="810">
        <v>0.0</v>
      </c>
      <c r="J1361" s="810">
        <v>0.0</v>
      </c>
      <c r="K1361" s="810">
        <v>0.0</v>
      </c>
      <c r="L1361" s="810">
        <v>0.0</v>
      </c>
      <c r="M1361" s="810">
        <v>0.0</v>
      </c>
      <c r="N1361" s="810">
        <v>0.0</v>
      </c>
      <c r="O1361" s="810">
        <v>0.0</v>
      </c>
      <c r="P1361" s="100" t="s">
        <v>2512</v>
      </c>
      <c r="Q1361" s="100" t="s">
        <v>2711</v>
      </c>
      <c r="R1361" s="8"/>
      <c r="S1361" s="8"/>
    </row>
    <row r="1362" ht="14.25" customHeight="1">
      <c r="A1362" s="100" t="s">
        <v>2197</v>
      </c>
      <c r="B1362" s="100" t="s">
        <v>2732</v>
      </c>
      <c r="C1362" s="100" t="s">
        <v>2341</v>
      </c>
      <c r="D1362" s="100" t="s">
        <v>135</v>
      </c>
      <c r="E1362" s="810">
        <v>30.8565</v>
      </c>
      <c r="F1362" s="810">
        <v>29.087</v>
      </c>
      <c r="G1362" s="810">
        <v>28.6382</v>
      </c>
      <c r="H1362" s="810">
        <v>28.643</v>
      </c>
      <c r="I1362" s="810">
        <v>26.9978</v>
      </c>
      <c r="J1362" s="810">
        <v>27.707</v>
      </c>
      <c r="K1362" s="810">
        <v>27.9822</v>
      </c>
      <c r="L1362" s="810">
        <v>29.2154</v>
      </c>
      <c r="M1362" s="810">
        <v>28.3737</v>
      </c>
      <c r="N1362" s="810">
        <v>27.7953</v>
      </c>
      <c r="O1362" s="810" t="s">
        <v>2434</v>
      </c>
      <c r="P1362" s="100" t="s">
        <v>2653</v>
      </c>
      <c r="Q1362" s="100"/>
      <c r="R1362" s="8"/>
      <c r="S1362" s="8"/>
    </row>
    <row r="1363" ht="14.25" customHeight="1">
      <c r="A1363" s="100" t="s">
        <v>2197</v>
      </c>
      <c r="B1363" s="100" t="s">
        <v>2732</v>
      </c>
      <c r="C1363" s="100" t="s">
        <v>2348</v>
      </c>
      <c r="D1363" s="100" t="s">
        <v>135</v>
      </c>
      <c r="E1363" s="810">
        <v>8.315</v>
      </c>
      <c r="F1363" s="810">
        <v>8.3177</v>
      </c>
      <c r="G1363" s="810">
        <v>7.961</v>
      </c>
      <c r="H1363" s="810">
        <v>7.8821</v>
      </c>
      <c r="I1363" s="810">
        <v>7.9376</v>
      </c>
      <c r="J1363" s="810">
        <v>7.6691</v>
      </c>
      <c r="K1363" s="810">
        <v>7.4875</v>
      </c>
      <c r="L1363" s="810">
        <v>7.5945</v>
      </c>
      <c r="M1363" s="810">
        <v>7.7426</v>
      </c>
      <c r="N1363" s="810">
        <v>7.096</v>
      </c>
      <c r="O1363" s="810" t="s">
        <v>2434</v>
      </c>
      <c r="P1363" s="100" t="s">
        <v>2618</v>
      </c>
      <c r="Q1363" s="100" t="s">
        <v>2712</v>
      </c>
      <c r="R1363" s="8"/>
      <c r="S1363" s="8"/>
    </row>
    <row r="1364" ht="14.25" customHeight="1">
      <c r="A1364" s="100" t="s">
        <v>2197</v>
      </c>
      <c r="B1364" s="100" t="s">
        <v>2732</v>
      </c>
      <c r="C1364" s="100" t="s">
        <v>2350</v>
      </c>
      <c r="D1364" s="100" t="s">
        <v>135</v>
      </c>
      <c r="E1364" s="810">
        <v>1.3335</v>
      </c>
      <c r="F1364" s="810">
        <v>1.3277</v>
      </c>
      <c r="G1364" s="810">
        <v>1.3827</v>
      </c>
      <c r="H1364" s="810">
        <v>1.7023</v>
      </c>
      <c r="I1364" s="810">
        <v>1.1369</v>
      </c>
      <c r="J1364" s="810">
        <v>1.0948</v>
      </c>
      <c r="K1364" s="810">
        <v>1.237</v>
      </c>
      <c r="L1364" s="810">
        <v>1.1422</v>
      </c>
      <c r="M1364" s="810">
        <v>1.2678</v>
      </c>
      <c r="N1364" s="810">
        <v>1.1584</v>
      </c>
      <c r="O1364" s="810" t="s">
        <v>2434</v>
      </c>
      <c r="P1364" s="100" t="s">
        <v>2400</v>
      </c>
      <c r="Q1364" s="100"/>
      <c r="R1364" s="8"/>
      <c r="S1364" s="8"/>
    </row>
    <row r="1365" ht="14.25" customHeight="1">
      <c r="A1365" s="100" t="s">
        <v>2197</v>
      </c>
      <c r="B1365" s="100" t="s">
        <v>2732</v>
      </c>
      <c r="C1365" s="100" t="s">
        <v>2354</v>
      </c>
      <c r="D1365" s="100" t="s">
        <v>135</v>
      </c>
      <c r="E1365" s="810">
        <v>10.8815</v>
      </c>
      <c r="F1365" s="810">
        <v>10.4024</v>
      </c>
      <c r="G1365" s="810">
        <v>9.612</v>
      </c>
      <c r="H1365" s="810">
        <v>9.7677</v>
      </c>
      <c r="I1365" s="810">
        <v>9.3633</v>
      </c>
      <c r="J1365" s="810">
        <v>9.232</v>
      </c>
      <c r="K1365" s="810">
        <v>9.0906</v>
      </c>
      <c r="L1365" s="810">
        <v>9.2424</v>
      </c>
      <c r="M1365" s="810">
        <v>9.1251</v>
      </c>
      <c r="N1365" s="810">
        <v>9.7922</v>
      </c>
      <c r="O1365" s="810" t="s">
        <v>2434</v>
      </c>
      <c r="P1365" s="100" t="s">
        <v>2735</v>
      </c>
      <c r="Q1365" s="100" t="s">
        <v>2713</v>
      </c>
      <c r="R1365" s="8"/>
      <c r="S1365" s="8"/>
    </row>
    <row r="1366" ht="14.25" customHeight="1">
      <c r="A1366" s="100" t="s">
        <v>2197</v>
      </c>
      <c r="B1366" s="100" t="s">
        <v>2732</v>
      </c>
      <c r="C1366" s="100" t="s">
        <v>2356</v>
      </c>
      <c r="D1366" s="100" t="s">
        <v>135</v>
      </c>
      <c r="E1366" s="810">
        <v>138.9499</v>
      </c>
      <c r="F1366" s="810">
        <v>129.7714</v>
      </c>
      <c r="G1366" s="810">
        <v>127.3291</v>
      </c>
      <c r="H1366" s="810">
        <v>132.7511</v>
      </c>
      <c r="I1366" s="810">
        <v>125.0181</v>
      </c>
      <c r="J1366" s="810">
        <v>123.9579</v>
      </c>
      <c r="K1366" s="810">
        <v>125.5605</v>
      </c>
      <c r="L1366" s="810">
        <v>125.1551</v>
      </c>
      <c r="M1366" s="810">
        <v>128.7936</v>
      </c>
      <c r="N1366" s="810">
        <v>122.1162</v>
      </c>
      <c r="O1366" s="810" t="s">
        <v>2434</v>
      </c>
      <c r="P1366" s="100" t="s">
        <v>2620</v>
      </c>
      <c r="Q1366" s="100"/>
      <c r="R1366" s="8"/>
      <c r="S1366" s="8"/>
    </row>
    <row r="1367" ht="14.25" customHeight="1">
      <c r="A1367" s="100" t="s">
        <v>2197</v>
      </c>
      <c r="B1367" s="100" t="s">
        <v>2732</v>
      </c>
      <c r="C1367" s="100" t="s">
        <v>2344</v>
      </c>
      <c r="D1367" s="100" t="s">
        <v>135</v>
      </c>
      <c r="E1367" s="810">
        <v>255.6277</v>
      </c>
      <c r="F1367" s="810">
        <v>256.0389</v>
      </c>
      <c r="G1367" s="810">
        <v>249.9987</v>
      </c>
      <c r="H1367" s="810">
        <v>259.0886</v>
      </c>
      <c r="I1367" s="810">
        <v>240.7029</v>
      </c>
      <c r="J1367" s="810">
        <v>251.3307</v>
      </c>
      <c r="K1367" s="810">
        <v>256.3227</v>
      </c>
      <c r="L1367" s="810">
        <v>261.2017</v>
      </c>
      <c r="M1367" s="810">
        <v>249.5555</v>
      </c>
      <c r="N1367" s="810">
        <v>247.9789</v>
      </c>
      <c r="O1367" s="810" t="s">
        <v>2434</v>
      </c>
      <c r="P1367" s="100" t="s">
        <v>2621</v>
      </c>
      <c r="Q1367" s="100"/>
      <c r="R1367" s="8"/>
      <c r="S1367" s="8"/>
    </row>
    <row r="1368" ht="14.25" customHeight="1">
      <c r="A1368" s="100" t="s">
        <v>2197</v>
      </c>
      <c r="B1368" s="100" t="s">
        <v>2732</v>
      </c>
      <c r="C1368" s="100" t="s">
        <v>2362</v>
      </c>
      <c r="D1368" s="100" t="s">
        <v>135</v>
      </c>
      <c r="E1368" s="810">
        <v>4.3434</v>
      </c>
      <c r="F1368" s="810">
        <v>6.4551</v>
      </c>
      <c r="G1368" s="810">
        <v>5.9114</v>
      </c>
      <c r="H1368" s="810">
        <v>6.2447</v>
      </c>
      <c r="I1368" s="810">
        <v>5.3925</v>
      </c>
      <c r="J1368" s="810">
        <v>5.0161</v>
      </c>
      <c r="K1368" s="810">
        <v>6.4091</v>
      </c>
      <c r="L1368" s="810">
        <v>3.7451</v>
      </c>
      <c r="M1368" s="810">
        <v>3.7272</v>
      </c>
      <c r="N1368" s="810">
        <v>3.8887</v>
      </c>
      <c r="O1368" s="810" t="s">
        <v>2434</v>
      </c>
      <c r="P1368" s="100" t="s">
        <v>2622</v>
      </c>
      <c r="Q1368" s="100"/>
      <c r="R1368" s="8"/>
      <c r="S1368" s="8"/>
    </row>
    <row r="1369" ht="14.25" customHeight="1">
      <c r="A1369" s="100" t="s">
        <v>2197</v>
      </c>
      <c r="B1369" s="100" t="s">
        <v>2732</v>
      </c>
      <c r="C1369" s="100" t="s">
        <v>2367</v>
      </c>
      <c r="D1369" s="100" t="s">
        <v>135</v>
      </c>
      <c r="E1369" s="810">
        <v>13.4183</v>
      </c>
      <c r="F1369" s="810">
        <v>13.3715</v>
      </c>
      <c r="G1369" s="810">
        <v>11.1327</v>
      </c>
      <c r="H1369" s="810">
        <v>15.8624</v>
      </c>
      <c r="I1369" s="810">
        <v>15.9191</v>
      </c>
      <c r="J1369" s="810">
        <v>16.4518</v>
      </c>
      <c r="K1369" s="810">
        <v>16.2364</v>
      </c>
      <c r="L1369" s="810">
        <v>17.7149</v>
      </c>
      <c r="M1369" s="810">
        <v>18.5523</v>
      </c>
      <c r="N1369" s="810">
        <v>17.9784</v>
      </c>
      <c r="O1369" s="810" t="s">
        <v>2434</v>
      </c>
      <c r="P1369" s="100" t="s">
        <v>2653</v>
      </c>
      <c r="Q1369" s="100" t="s">
        <v>2736</v>
      </c>
      <c r="R1369" s="8"/>
      <c r="S1369" s="8"/>
    </row>
    <row r="1370" ht="14.25" customHeight="1">
      <c r="A1370" s="100" t="s">
        <v>2197</v>
      </c>
      <c r="B1370" s="100" t="s">
        <v>2732</v>
      </c>
      <c r="C1370" s="100" t="s">
        <v>2369</v>
      </c>
      <c r="D1370" s="100" t="s">
        <v>135</v>
      </c>
      <c r="E1370" s="810">
        <v>6.4169</v>
      </c>
      <c r="F1370" s="810">
        <v>6.9415</v>
      </c>
      <c r="G1370" s="810">
        <v>7.5196</v>
      </c>
      <c r="H1370" s="810">
        <v>7.7535</v>
      </c>
      <c r="I1370" s="810">
        <v>8.7688</v>
      </c>
      <c r="J1370" s="810">
        <v>9.2472</v>
      </c>
      <c r="K1370" s="810">
        <v>9.9567</v>
      </c>
      <c r="L1370" s="810">
        <v>10.2567</v>
      </c>
      <c r="M1370" s="810">
        <v>10.9977</v>
      </c>
      <c r="N1370" s="810">
        <v>11.2412</v>
      </c>
      <c r="O1370" s="810" t="s">
        <v>2434</v>
      </c>
      <c r="P1370" s="100" t="s">
        <v>2623</v>
      </c>
      <c r="Q1370" s="100"/>
      <c r="R1370" s="8"/>
      <c r="S1370" s="8"/>
    </row>
    <row r="1371" ht="14.25" customHeight="1">
      <c r="A1371" s="100" t="s">
        <v>2197</v>
      </c>
      <c r="B1371" s="100" t="s">
        <v>2732</v>
      </c>
      <c r="C1371" s="100" t="s">
        <v>2374</v>
      </c>
      <c r="D1371" s="100" t="s">
        <v>135</v>
      </c>
      <c r="E1371" s="810">
        <v>120.3535</v>
      </c>
      <c r="F1371" s="810">
        <v>108.2305</v>
      </c>
      <c r="G1371" s="810">
        <v>107.5444</v>
      </c>
      <c r="H1371" s="810">
        <v>103.4444</v>
      </c>
      <c r="I1371" s="810">
        <v>102.6368</v>
      </c>
      <c r="J1371" s="810">
        <v>98.6352</v>
      </c>
      <c r="K1371" s="810">
        <v>99.9608</v>
      </c>
      <c r="L1371" s="810">
        <v>104.997</v>
      </c>
      <c r="M1371" s="810">
        <v>102.1016</v>
      </c>
      <c r="N1371" s="810">
        <v>100.5809</v>
      </c>
      <c r="O1371" s="810" t="s">
        <v>2434</v>
      </c>
      <c r="P1371" s="100" t="s">
        <v>2624</v>
      </c>
      <c r="Q1371" s="100"/>
      <c r="R1371" s="8"/>
      <c r="S1371" s="8"/>
    </row>
    <row r="1372" ht="14.25" customHeight="1">
      <c r="A1372" s="100" t="s">
        <v>2197</v>
      </c>
      <c r="B1372" s="100" t="s">
        <v>2732</v>
      </c>
      <c r="C1372" s="100" t="s">
        <v>2386</v>
      </c>
      <c r="D1372" s="100" t="s">
        <v>135</v>
      </c>
      <c r="E1372" s="810">
        <v>2.8237</v>
      </c>
      <c r="F1372" s="810">
        <v>2.0207</v>
      </c>
      <c r="G1372" s="810">
        <v>2.1146</v>
      </c>
      <c r="H1372" s="810">
        <v>1.6628</v>
      </c>
      <c r="I1372" s="810">
        <v>1.3964</v>
      </c>
      <c r="J1372" s="810">
        <v>1.4061</v>
      </c>
      <c r="K1372" s="810">
        <v>1.2673</v>
      </c>
      <c r="L1372" s="810">
        <v>1.2558</v>
      </c>
      <c r="M1372" s="810">
        <v>1.3372</v>
      </c>
      <c r="N1372" s="810">
        <v>1.1317</v>
      </c>
      <c r="O1372" s="810" t="s">
        <v>2434</v>
      </c>
      <c r="P1372" s="100" t="s">
        <v>2625</v>
      </c>
      <c r="Q1372" s="100"/>
      <c r="R1372" s="8"/>
      <c r="S1372" s="8"/>
    </row>
    <row r="1373" ht="14.25" customHeight="1">
      <c r="A1373" s="100" t="s">
        <v>2197</v>
      </c>
      <c r="B1373" s="100" t="s">
        <v>2732</v>
      </c>
      <c r="C1373" s="100" t="s">
        <v>2378</v>
      </c>
      <c r="D1373" s="100" t="s">
        <v>135</v>
      </c>
      <c r="E1373" s="810">
        <v>3.9663</v>
      </c>
      <c r="F1373" s="810">
        <v>4.0778</v>
      </c>
      <c r="G1373" s="810">
        <v>4.2146</v>
      </c>
      <c r="H1373" s="810">
        <v>3.6302</v>
      </c>
      <c r="I1373" s="810">
        <v>3.4831</v>
      </c>
      <c r="J1373" s="810">
        <v>3.3204</v>
      </c>
      <c r="K1373" s="810">
        <v>3.3631</v>
      </c>
      <c r="L1373" s="810">
        <v>3.4083</v>
      </c>
      <c r="M1373" s="810">
        <v>3.6369</v>
      </c>
      <c r="N1373" s="810">
        <v>3.5302</v>
      </c>
      <c r="O1373" s="810" t="s">
        <v>2434</v>
      </c>
      <c r="P1373" s="100" t="s">
        <v>2567</v>
      </c>
      <c r="Q1373" s="100"/>
      <c r="R1373" s="8"/>
      <c r="S1373" s="8"/>
    </row>
    <row r="1374" ht="14.25" customHeight="1">
      <c r="A1374" s="100" t="s">
        <v>2197</v>
      </c>
      <c r="B1374" s="100" t="s">
        <v>2732</v>
      </c>
      <c r="C1374" s="100" t="s">
        <v>2383</v>
      </c>
      <c r="D1374" s="100" t="s">
        <v>135</v>
      </c>
      <c r="E1374" s="810">
        <v>3.5814</v>
      </c>
      <c r="F1374" s="810">
        <v>3.5349</v>
      </c>
      <c r="G1374" s="810">
        <v>3.3605</v>
      </c>
      <c r="H1374" s="810">
        <v>3.1512</v>
      </c>
      <c r="I1374" s="810">
        <v>3.1628</v>
      </c>
      <c r="J1374" s="810">
        <v>3.1977</v>
      </c>
      <c r="K1374" s="810">
        <v>3.2442</v>
      </c>
      <c r="L1374" s="810">
        <v>3.0698</v>
      </c>
      <c r="M1374" s="810">
        <v>3.1977</v>
      </c>
      <c r="N1374" s="810">
        <v>3.1217</v>
      </c>
      <c r="O1374" s="810" t="s">
        <v>2434</v>
      </c>
      <c r="P1374" s="100" t="s">
        <v>2523</v>
      </c>
      <c r="Q1374" s="100" t="s">
        <v>2737</v>
      </c>
      <c r="R1374" s="8"/>
      <c r="S1374" s="8"/>
    </row>
    <row r="1375" ht="14.25" customHeight="1">
      <c r="A1375" s="100" t="s">
        <v>2197</v>
      </c>
      <c r="B1375" s="100" t="s">
        <v>2732</v>
      </c>
      <c r="C1375" s="100" t="s">
        <v>2389</v>
      </c>
      <c r="D1375" s="100" t="s">
        <v>135</v>
      </c>
      <c r="E1375" s="810">
        <v>0.0</v>
      </c>
      <c r="F1375" s="810">
        <v>0.0</v>
      </c>
      <c r="G1375" s="810">
        <v>0.0</v>
      </c>
      <c r="H1375" s="810">
        <v>0.0</v>
      </c>
      <c r="I1375" s="810">
        <v>0.0</v>
      </c>
      <c r="J1375" s="810">
        <v>0.0</v>
      </c>
      <c r="K1375" s="810">
        <v>0.0</v>
      </c>
      <c r="L1375" s="810">
        <v>0.0</v>
      </c>
      <c r="M1375" s="810">
        <v>0.0</v>
      </c>
      <c r="N1375" s="810">
        <v>0.0</v>
      </c>
      <c r="O1375" s="810" t="s">
        <v>2434</v>
      </c>
      <c r="P1375" s="100" t="s">
        <v>2715</v>
      </c>
      <c r="Q1375" s="100" t="s">
        <v>2716</v>
      </c>
      <c r="R1375" s="8"/>
      <c r="S1375" s="8"/>
    </row>
    <row r="1376" ht="14.25" customHeight="1">
      <c r="A1376" s="100" t="s">
        <v>2197</v>
      </c>
      <c r="B1376" s="100" t="s">
        <v>2732</v>
      </c>
      <c r="C1376" s="100" t="s">
        <v>2391</v>
      </c>
      <c r="D1376" s="100" t="s">
        <v>135</v>
      </c>
      <c r="E1376" s="810">
        <v>63.2437</v>
      </c>
      <c r="F1376" s="810">
        <v>61.9853</v>
      </c>
      <c r="G1376" s="810">
        <v>60.7748</v>
      </c>
      <c r="H1376" s="810">
        <v>61.4746</v>
      </c>
      <c r="I1376" s="810">
        <v>58.7907</v>
      </c>
      <c r="J1376" s="810">
        <v>60.956</v>
      </c>
      <c r="K1376" s="810">
        <v>63.2703</v>
      </c>
      <c r="L1376" s="810">
        <v>65.7473</v>
      </c>
      <c r="M1376" s="810">
        <v>64.2408</v>
      </c>
      <c r="N1376" s="810">
        <v>63.799</v>
      </c>
      <c r="O1376" s="810" t="s">
        <v>2434</v>
      </c>
      <c r="P1376" s="100" t="s">
        <v>2653</v>
      </c>
      <c r="Q1376" s="100"/>
      <c r="R1376" s="8"/>
      <c r="S1376" s="8"/>
    </row>
    <row r="1377" ht="14.25" customHeight="1">
      <c r="A1377" s="100" t="s">
        <v>2197</v>
      </c>
      <c r="B1377" s="100" t="s">
        <v>2732</v>
      </c>
      <c r="C1377" s="100" t="s">
        <v>2393</v>
      </c>
      <c r="D1377" s="100" t="s">
        <v>135</v>
      </c>
      <c r="E1377" s="810">
        <v>42.5466</v>
      </c>
      <c r="F1377" s="810">
        <v>43.3958</v>
      </c>
      <c r="G1377" s="810">
        <v>43.0108</v>
      </c>
      <c r="H1377" s="810">
        <v>43.877</v>
      </c>
      <c r="I1377" s="810">
        <v>44.105</v>
      </c>
      <c r="J1377" s="810">
        <v>43.2175</v>
      </c>
      <c r="K1377" s="810">
        <v>45.0378</v>
      </c>
      <c r="L1377" s="810">
        <v>48.6563</v>
      </c>
      <c r="M1377" s="810">
        <v>50.9361</v>
      </c>
      <c r="N1377" s="810">
        <v>50.7198</v>
      </c>
      <c r="O1377" s="810" t="s">
        <v>2434</v>
      </c>
      <c r="P1377" s="100" t="s">
        <v>2526</v>
      </c>
      <c r="Q1377" s="100"/>
      <c r="R1377" s="8"/>
      <c r="S1377" s="8"/>
    </row>
    <row r="1378" ht="14.25" customHeight="1">
      <c r="A1378" s="100" t="s">
        <v>2197</v>
      </c>
      <c r="B1378" s="100" t="s">
        <v>2732</v>
      </c>
      <c r="C1378" s="100" t="s">
        <v>2395</v>
      </c>
      <c r="D1378" s="100" t="s">
        <v>135</v>
      </c>
      <c r="E1378" s="810">
        <v>11.0814</v>
      </c>
      <c r="F1378" s="810">
        <v>12.2519</v>
      </c>
      <c r="G1378" s="810">
        <v>12.0924</v>
      </c>
      <c r="H1378" s="810">
        <v>12.1101</v>
      </c>
      <c r="I1378" s="810">
        <v>12.049</v>
      </c>
      <c r="J1378" s="810">
        <v>12.9351</v>
      </c>
      <c r="K1378" s="810">
        <v>12.8195</v>
      </c>
      <c r="L1378" s="810">
        <v>13.9666</v>
      </c>
      <c r="M1378" s="810">
        <v>13.9663</v>
      </c>
      <c r="N1378" s="810">
        <v>14.1536</v>
      </c>
      <c r="O1378" s="810" t="s">
        <v>2434</v>
      </c>
      <c r="P1378" s="100" t="s">
        <v>2626</v>
      </c>
      <c r="Q1378" s="100"/>
      <c r="R1378" s="8"/>
      <c r="S1378" s="8"/>
    </row>
    <row r="1379" ht="14.25" customHeight="1">
      <c r="A1379" s="100" t="s">
        <v>2197</v>
      </c>
      <c r="B1379" s="100" t="s">
        <v>2732</v>
      </c>
      <c r="C1379" s="100" t="s">
        <v>2397</v>
      </c>
      <c r="D1379" s="100" t="s">
        <v>135</v>
      </c>
      <c r="E1379" s="810">
        <v>34.1279</v>
      </c>
      <c r="F1379" s="810">
        <v>35.4884</v>
      </c>
      <c r="G1379" s="810">
        <v>30.3604</v>
      </c>
      <c r="H1379" s="810">
        <v>28.0232</v>
      </c>
      <c r="I1379" s="810">
        <v>28.8139</v>
      </c>
      <c r="J1379" s="810">
        <v>26.2791</v>
      </c>
      <c r="K1379" s="810">
        <v>24.4767</v>
      </c>
      <c r="L1379" s="810">
        <v>25.6163</v>
      </c>
      <c r="M1379" s="810">
        <v>26.5232</v>
      </c>
      <c r="N1379" s="810">
        <v>26.6163</v>
      </c>
      <c r="O1379" s="810" t="s">
        <v>2434</v>
      </c>
      <c r="P1379" s="100" t="s">
        <v>2528</v>
      </c>
      <c r="Q1379" s="100"/>
      <c r="R1379" s="8"/>
      <c r="S1379" s="8"/>
    </row>
    <row r="1380" ht="14.25" customHeight="1">
      <c r="A1380" s="100" t="s">
        <v>2197</v>
      </c>
      <c r="B1380" s="100" t="s">
        <v>2732</v>
      </c>
      <c r="C1380" s="100" t="s">
        <v>2411</v>
      </c>
      <c r="D1380" s="100" t="s">
        <v>135</v>
      </c>
      <c r="E1380" s="810">
        <v>17.6264</v>
      </c>
      <c r="F1380" s="810">
        <v>17.7472</v>
      </c>
      <c r="G1380" s="810">
        <v>16.7919</v>
      </c>
      <c r="H1380" s="810">
        <v>16.5901</v>
      </c>
      <c r="I1380" s="810">
        <v>16.9125</v>
      </c>
      <c r="J1380" s="810">
        <v>16.2988</v>
      </c>
      <c r="K1380" s="810">
        <v>16.7735</v>
      </c>
      <c r="L1380" s="810">
        <v>17.6307</v>
      </c>
      <c r="M1380" s="810">
        <v>18.0473</v>
      </c>
      <c r="N1380" s="810" t="s">
        <v>2434</v>
      </c>
      <c r="O1380" s="810" t="s">
        <v>2434</v>
      </c>
      <c r="P1380" s="100" t="s">
        <v>2653</v>
      </c>
      <c r="Q1380" s="100"/>
      <c r="R1380" s="8"/>
      <c r="S1380" s="8"/>
    </row>
    <row r="1381" ht="14.25" customHeight="1">
      <c r="A1381" s="100" t="s">
        <v>2197</v>
      </c>
      <c r="B1381" s="100" t="s">
        <v>2732</v>
      </c>
      <c r="C1381" s="100" t="s">
        <v>2406</v>
      </c>
      <c r="D1381" s="100" t="s">
        <v>135</v>
      </c>
      <c r="E1381" s="810">
        <v>5.6149</v>
      </c>
      <c r="F1381" s="810">
        <v>4.9455</v>
      </c>
      <c r="G1381" s="810">
        <v>4.8383</v>
      </c>
      <c r="H1381" s="810">
        <v>4.5754</v>
      </c>
      <c r="I1381" s="810">
        <v>4.5524</v>
      </c>
      <c r="J1381" s="810">
        <v>4.6758</v>
      </c>
      <c r="K1381" s="810">
        <v>4.8298</v>
      </c>
      <c r="L1381" s="810">
        <v>5.0996</v>
      </c>
      <c r="M1381" s="810">
        <v>5.3126</v>
      </c>
      <c r="N1381" s="810">
        <v>5.2533</v>
      </c>
      <c r="O1381" s="810" t="s">
        <v>2434</v>
      </c>
      <c r="P1381" s="100" t="s">
        <v>2628</v>
      </c>
      <c r="Q1381" s="100"/>
      <c r="R1381" s="8"/>
      <c r="S1381" s="8"/>
    </row>
    <row r="1382" ht="14.25" customHeight="1">
      <c r="A1382" s="100" t="s">
        <v>2197</v>
      </c>
      <c r="B1382" s="100" t="s">
        <v>2732</v>
      </c>
      <c r="C1382" s="100" t="s">
        <v>2352</v>
      </c>
      <c r="D1382" s="100" t="s">
        <v>135</v>
      </c>
      <c r="E1382" s="810">
        <v>91.7185</v>
      </c>
      <c r="F1382" s="810">
        <v>91.2905</v>
      </c>
      <c r="G1382" s="810">
        <v>99.6247</v>
      </c>
      <c r="H1382" s="810">
        <v>106.4355</v>
      </c>
      <c r="I1382" s="810">
        <v>102.6789</v>
      </c>
      <c r="J1382" s="810">
        <v>81.0985</v>
      </c>
      <c r="K1382" s="810">
        <v>77.0548</v>
      </c>
      <c r="L1382" s="810">
        <v>89.1101</v>
      </c>
      <c r="M1382" s="810">
        <v>97.664</v>
      </c>
      <c r="N1382" s="810">
        <v>98.691</v>
      </c>
      <c r="O1382" s="810" t="s">
        <v>2434</v>
      </c>
      <c r="P1382" s="100" t="s">
        <v>2629</v>
      </c>
      <c r="Q1382" s="100"/>
      <c r="R1382" s="8"/>
      <c r="S1382" s="8"/>
    </row>
    <row r="1383" ht="14.25" customHeight="1">
      <c r="A1383" s="100" t="s">
        <v>2197</v>
      </c>
      <c r="B1383" s="100" t="s">
        <v>2732</v>
      </c>
      <c r="C1383" s="100" t="s">
        <v>2400</v>
      </c>
      <c r="D1383" s="100" t="s">
        <v>135</v>
      </c>
      <c r="E1383" s="810">
        <v>6.2307</v>
      </c>
      <c r="F1383" s="810">
        <v>6.0031</v>
      </c>
      <c r="G1383" s="810">
        <v>6.2444</v>
      </c>
      <c r="H1383" s="810">
        <v>5.6673</v>
      </c>
      <c r="I1383" s="810">
        <v>5.9395</v>
      </c>
      <c r="J1383" s="810">
        <v>6.2177</v>
      </c>
      <c r="K1383" s="810">
        <v>6.2609</v>
      </c>
      <c r="L1383" s="810">
        <v>6.0591</v>
      </c>
      <c r="M1383" s="810">
        <v>5.5829</v>
      </c>
      <c r="N1383" s="810">
        <v>5.6993</v>
      </c>
      <c r="O1383" s="810" t="s">
        <v>2434</v>
      </c>
      <c r="P1383" s="100" t="s">
        <v>2630</v>
      </c>
      <c r="Q1383" s="100"/>
      <c r="R1383" s="8"/>
      <c r="S1383" s="8"/>
    </row>
    <row r="1384" ht="14.25" customHeight="1">
      <c r="A1384" s="100" t="s">
        <v>2197</v>
      </c>
      <c r="B1384" s="100" t="s">
        <v>2732</v>
      </c>
      <c r="C1384" s="100" t="s">
        <v>2535</v>
      </c>
      <c r="D1384" s="100" t="s">
        <v>135</v>
      </c>
      <c r="E1384" s="810">
        <v>7.9623</v>
      </c>
      <c r="F1384" s="810">
        <v>7.9473</v>
      </c>
      <c r="G1384" s="810">
        <v>7.3864</v>
      </c>
      <c r="H1384" s="810">
        <v>8.6561</v>
      </c>
      <c r="I1384" s="810">
        <v>5.0621</v>
      </c>
      <c r="J1384" s="810">
        <v>5.7864</v>
      </c>
      <c r="K1384" s="810">
        <v>6.0395</v>
      </c>
      <c r="L1384" s="810">
        <v>7.3599</v>
      </c>
      <c r="M1384" s="810">
        <v>8.5348</v>
      </c>
      <c r="N1384" s="810">
        <v>7.2774</v>
      </c>
      <c r="O1384" s="810" t="s">
        <v>2434</v>
      </c>
      <c r="P1384" s="100" t="s">
        <v>2653</v>
      </c>
      <c r="Q1384" s="100" t="s">
        <v>2717</v>
      </c>
      <c r="R1384" s="8"/>
      <c r="S1384" s="8"/>
    </row>
    <row r="1385" ht="14.25" customHeight="1">
      <c r="A1385" s="100" t="s">
        <v>2197</v>
      </c>
      <c r="B1385" s="100" t="s">
        <v>2732</v>
      </c>
      <c r="C1385" s="100" t="s">
        <v>2423</v>
      </c>
      <c r="D1385" s="100" t="s">
        <v>135</v>
      </c>
      <c r="E1385" s="810">
        <v>10.524</v>
      </c>
      <c r="F1385" s="810">
        <v>10.8211</v>
      </c>
      <c r="G1385" s="810">
        <v>10.7516</v>
      </c>
      <c r="H1385" s="810">
        <v>11.6646</v>
      </c>
      <c r="I1385" s="810">
        <v>10.9167</v>
      </c>
      <c r="J1385" s="810">
        <v>10.6897</v>
      </c>
      <c r="K1385" s="810">
        <v>9.907</v>
      </c>
      <c r="L1385" s="810">
        <v>10.093</v>
      </c>
      <c r="M1385" s="810">
        <v>9.5698</v>
      </c>
      <c r="N1385" s="810">
        <v>8.8488</v>
      </c>
      <c r="O1385" s="810" t="s">
        <v>2434</v>
      </c>
      <c r="P1385" s="100" t="s">
        <v>2632</v>
      </c>
      <c r="Q1385" s="100"/>
      <c r="R1385" s="8"/>
      <c r="S1385" s="8"/>
    </row>
    <row r="1386" ht="14.25" customHeight="1">
      <c r="A1386" s="100" t="s">
        <v>2197</v>
      </c>
      <c r="B1386" s="100" t="s">
        <v>2732</v>
      </c>
      <c r="C1386" s="100" t="s">
        <v>2360</v>
      </c>
      <c r="D1386" s="100" t="s">
        <v>135</v>
      </c>
      <c r="E1386" s="810">
        <v>98.3242</v>
      </c>
      <c r="F1386" s="810">
        <v>94.2625</v>
      </c>
      <c r="G1386" s="810">
        <v>92.3178</v>
      </c>
      <c r="H1386" s="810">
        <v>94.4963</v>
      </c>
      <c r="I1386" s="810">
        <v>90.5562</v>
      </c>
      <c r="J1386" s="810">
        <v>88.0957</v>
      </c>
      <c r="K1386" s="810">
        <v>90.4887</v>
      </c>
      <c r="L1386" s="810">
        <v>92.7427</v>
      </c>
      <c r="M1386" s="810">
        <v>92.6529</v>
      </c>
      <c r="N1386" s="810">
        <v>91.5731</v>
      </c>
      <c r="O1386" s="810" t="s">
        <v>2434</v>
      </c>
      <c r="P1386" s="100" t="s">
        <v>2636</v>
      </c>
      <c r="Q1386" s="100"/>
      <c r="R1386" s="8"/>
      <c r="S1386" s="8"/>
    </row>
    <row r="1387" ht="14.25" customHeight="1">
      <c r="A1387" s="100" t="s">
        <v>2197</v>
      </c>
      <c r="B1387" s="100" t="s">
        <v>2732</v>
      </c>
      <c r="C1387" s="100" t="s">
        <v>2416</v>
      </c>
      <c r="D1387" s="100" t="s">
        <v>135</v>
      </c>
      <c r="E1387" s="810">
        <v>2.5374</v>
      </c>
      <c r="F1387" s="810">
        <v>2.6799</v>
      </c>
      <c r="G1387" s="810">
        <v>3.1677</v>
      </c>
      <c r="H1387" s="810">
        <v>3.142</v>
      </c>
      <c r="I1387" s="810">
        <v>3.0134</v>
      </c>
      <c r="J1387" s="810">
        <v>2.9698</v>
      </c>
      <c r="K1387" s="810">
        <v>3.0173</v>
      </c>
      <c r="L1387" s="810">
        <v>3.3449</v>
      </c>
      <c r="M1387" s="810">
        <v>3.2716</v>
      </c>
      <c r="N1387" s="810">
        <v>3.4923</v>
      </c>
      <c r="O1387" s="810">
        <v>2.9995</v>
      </c>
      <c r="P1387" s="100" t="s">
        <v>2631</v>
      </c>
      <c r="Q1387" s="100"/>
      <c r="R1387" s="8"/>
      <c r="S1387" s="8"/>
    </row>
    <row r="1388" ht="14.25" customHeight="1">
      <c r="A1388" s="100"/>
      <c r="B1388" s="100"/>
      <c r="C1388" s="100"/>
      <c r="D1388" s="100"/>
      <c r="E1388" s="100"/>
      <c r="F1388" s="100"/>
      <c r="G1388" s="100"/>
      <c r="H1388" s="100"/>
      <c r="I1388" s="100"/>
      <c r="J1388" s="100"/>
      <c r="K1388" s="100"/>
      <c r="L1388" s="100"/>
      <c r="M1388" s="100"/>
      <c r="N1388" s="100"/>
      <c r="O1388" s="100"/>
      <c r="P1388" s="100"/>
      <c r="Q1388" s="100"/>
      <c r="R1388" s="8"/>
      <c r="S1388" s="8"/>
    </row>
    <row r="1389" ht="14.25" customHeight="1">
      <c r="A1389" s="100" t="s">
        <v>2738</v>
      </c>
      <c r="B1389" s="100"/>
      <c r="C1389" s="100"/>
      <c r="D1389" s="100"/>
      <c r="E1389" s="100"/>
      <c r="F1389" s="100"/>
      <c r="G1389" s="100"/>
      <c r="H1389" s="100"/>
      <c r="I1389" s="100"/>
      <c r="J1389" s="100"/>
      <c r="K1389" s="100"/>
      <c r="L1389" s="100"/>
      <c r="M1389" s="100"/>
      <c r="N1389" s="100"/>
      <c r="O1389" s="100"/>
      <c r="P1389" s="100"/>
      <c r="Q1389" s="100"/>
      <c r="R1389" s="8"/>
      <c r="S1389" s="8"/>
    </row>
    <row r="1390" ht="14.25" customHeight="1">
      <c r="A1390" s="100"/>
      <c r="B1390" s="100"/>
      <c r="C1390" s="100"/>
      <c r="D1390" s="100"/>
      <c r="E1390" s="100"/>
      <c r="F1390" s="100"/>
      <c r="G1390" s="100"/>
      <c r="H1390" s="100"/>
      <c r="I1390" s="100"/>
      <c r="J1390" s="100"/>
      <c r="K1390" s="100"/>
      <c r="L1390" s="100"/>
      <c r="M1390" s="100"/>
      <c r="N1390" s="100"/>
      <c r="O1390" s="100"/>
      <c r="P1390" s="100"/>
      <c r="Q1390" s="100"/>
      <c r="R1390" s="8"/>
      <c r="S1390" s="8"/>
    </row>
    <row r="1391" ht="14.25" customHeight="1">
      <c r="A1391" s="100" t="s">
        <v>2739</v>
      </c>
      <c r="B1391" s="100"/>
      <c r="C1391" s="100"/>
      <c r="D1391" s="100"/>
      <c r="E1391" s="100"/>
      <c r="F1391" s="100"/>
      <c r="G1391" s="100"/>
      <c r="H1391" s="100"/>
      <c r="I1391" s="100"/>
      <c r="J1391" s="100"/>
      <c r="K1391" s="100"/>
      <c r="L1391" s="100"/>
      <c r="M1391" s="100"/>
      <c r="N1391" s="100"/>
      <c r="O1391" s="100"/>
      <c r="P1391" s="100"/>
      <c r="Q1391" s="100"/>
      <c r="R1391" s="8"/>
      <c r="S1391" s="8"/>
    </row>
  </sheetData>
  <hyperlinks>
    <hyperlink r:id="rId1" ref="R114"/>
  </hyperlinks>
  <printOptions/>
  <pageMargins bottom="0.75" footer="0.0" header="0.0" left="0.7" right="0.7" top="0.75"/>
  <pageSetup paperSize="9" orientation="portrait"/>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9E40"/>
    <pageSetUpPr/>
  </sheetPr>
  <sheetViews>
    <sheetView showGridLines="0" workbookViewId="0">
      <pane ySplit="1.0" topLeftCell="A2" activePane="bottomLeft" state="frozen"/>
      <selection activeCell="B3" sqref="B3" pane="bottomLeft"/>
    </sheetView>
  </sheetViews>
  <sheetFormatPr customHeight="1" defaultColWidth="14.43" defaultRowHeight="15.0" outlineLevelCol="1" outlineLevelRow="5"/>
  <cols>
    <col customWidth="1" min="1" max="4" width="2.43"/>
    <col customWidth="1" min="5" max="5" width="78.43"/>
    <col customWidth="1" min="6" max="6" width="17.43"/>
    <col customWidth="1" min="7" max="7" width="14.57"/>
    <col customWidth="1" hidden="1" min="8" max="22" width="10.57" outlineLevel="1"/>
    <col customWidth="1" min="23" max="23" width="10.57"/>
    <col customWidth="1" hidden="1" min="24" max="27" width="10.57" outlineLevel="1"/>
    <col customWidth="1" min="28" max="37" width="10.57"/>
    <col customWidth="1" min="38" max="38" width="20.43"/>
    <col customWidth="1" min="39" max="39" width="38.43"/>
    <col customWidth="1" min="40" max="40" width="6.43"/>
  </cols>
  <sheetData>
    <row r="1" ht="14.25" customHeight="1">
      <c r="A1" s="147" t="s">
        <v>49</v>
      </c>
      <c r="B1" s="148"/>
      <c r="C1" s="148"/>
      <c r="D1" s="148"/>
      <c r="E1" s="149"/>
      <c r="F1" s="114" t="s">
        <v>50</v>
      </c>
      <c r="G1" s="114" t="s">
        <v>51</v>
      </c>
      <c r="H1" s="114">
        <v>2000.0</v>
      </c>
      <c r="I1" s="114">
        <v>2001.0</v>
      </c>
      <c r="J1" s="114">
        <v>2002.0</v>
      </c>
      <c r="K1" s="114">
        <v>2003.0</v>
      </c>
      <c r="L1" s="114">
        <v>2004.0</v>
      </c>
      <c r="M1" s="114">
        <v>2005.0</v>
      </c>
      <c r="N1" s="114">
        <v>2006.0</v>
      </c>
      <c r="O1" s="114">
        <v>2007.0</v>
      </c>
      <c r="P1" s="114">
        <v>2008.0</v>
      </c>
      <c r="Q1" s="114">
        <v>2009.0</v>
      </c>
      <c r="R1" s="114">
        <v>2010.0</v>
      </c>
      <c r="S1" s="114">
        <v>2011.0</v>
      </c>
      <c r="T1" s="114">
        <v>2012.0</v>
      </c>
      <c r="U1" s="114">
        <v>2013.0</v>
      </c>
      <c r="V1" s="114">
        <v>2014.0</v>
      </c>
      <c r="W1" s="114">
        <f>ReferenceYear</f>
        <v>2015</v>
      </c>
      <c r="X1" s="114">
        <v>2016.0</v>
      </c>
      <c r="Y1" s="114">
        <v>2017.0</v>
      </c>
      <c r="Z1" s="114">
        <v>2018.0</v>
      </c>
      <c r="AA1" s="114">
        <v>2019.0</v>
      </c>
      <c r="AB1" s="114">
        <f>IFERROR(IF(W1+5&lt;=TargetYear,W1+5,""),"")</f>
        <v>2020</v>
      </c>
      <c r="AC1" s="114">
        <f>IFERROR(IF(AB1+5&lt;=TargetYear,AB1+5,""),"")</f>
        <v>2025</v>
      </c>
      <c r="AD1" s="114">
        <f>IFERROR(IF(AC1+5&lt;=TargetYear,AC1+5,""),"")</f>
        <v>2030</v>
      </c>
      <c r="AE1" s="114">
        <f>IFERROR(IF(AD1+5&lt;=TargetYear,AD1+5,""),"")</f>
        <v>2035</v>
      </c>
      <c r="AF1" s="114">
        <f>IFERROR(IF(AE1+5&lt;=TargetYear,AE1+5,""),"")</f>
        <v>2040</v>
      </c>
      <c r="AG1" s="114">
        <f>IFERROR(IF(AF1+5&lt;=TargetYear,AF1+5,""),"")</f>
        <v>2045</v>
      </c>
      <c r="AH1" s="114">
        <f>IFERROR(IF(AG1+5&lt;=TargetYear,AG1+5,""),"")</f>
        <v>2050</v>
      </c>
      <c r="AI1" s="114" t="s">
        <v>52</v>
      </c>
      <c r="AJ1" s="114" t="s">
        <v>53</v>
      </c>
      <c r="AK1" s="114" t="s">
        <v>54</v>
      </c>
      <c r="AL1" s="114" t="s">
        <v>55</v>
      </c>
      <c r="AM1" s="114" t="s">
        <v>56</v>
      </c>
      <c r="AN1" s="150"/>
    </row>
    <row r="2" ht="14.25" customHeight="1">
      <c r="A2" s="224" t="s">
        <v>2740</v>
      </c>
      <c r="B2" s="225"/>
      <c r="C2" s="225"/>
      <c r="D2" s="225"/>
      <c r="E2" s="225"/>
      <c r="F2" s="225"/>
      <c r="G2" s="225"/>
      <c r="H2" s="826"/>
      <c r="I2" s="826"/>
      <c r="J2" s="826"/>
      <c r="K2" s="826"/>
      <c r="L2" s="826"/>
      <c r="M2" s="826"/>
      <c r="N2" s="826"/>
      <c r="O2" s="826"/>
      <c r="P2" s="826"/>
      <c r="Q2" s="826"/>
      <c r="R2" s="826"/>
      <c r="S2" s="826"/>
      <c r="T2" s="826"/>
      <c r="U2" s="826"/>
      <c r="V2" s="826"/>
      <c r="W2" s="827"/>
      <c r="X2" s="827"/>
      <c r="Y2" s="827"/>
      <c r="Z2" s="827"/>
      <c r="AA2" s="827"/>
      <c r="AB2" s="827"/>
      <c r="AC2" s="827"/>
      <c r="AD2" s="827"/>
      <c r="AE2" s="827"/>
      <c r="AF2" s="827"/>
      <c r="AG2" s="827"/>
      <c r="AH2" s="827"/>
      <c r="AI2" s="828"/>
      <c r="AJ2" s="828"/>
      <c r="AK2" s="828"/>
      <c r="AL2" s="828"/>
      <c r="AM2" s="828"/>
      <c r="AN2" s="176"/>
    </row>
    <row r="3" ht="9.75" customHeight="1">
      <c r="A3" s="166"/>
      <c r="B3" s="167"/>
      <c r="C3" s="167"/>
      <c r="D3" s="167"/>
      <c r="E3" s="167"/>
      <c r="F3" s="168"/>
      <c r="G3" s="168"/>
      <c r="H3" s="169"/>
      <c r="I3" s="169"/>
      <c r="J3" s="169"/>
      <c r="K3" s="169"/>
      <c r="L3" s="169"/>
      <c r="M3" s="169"/>
      <c r="N3" s="169"/>
      <c r="O3" s="169"/>
      <c r="P3" s="169"/>
      <c r="Q3" s="169"/>
      <c r="R3" s="169"/>
      <c r="S3" s="169"/>
      <c r="T3" s="169"/>
      <c r="U3" s="169"/>
      <c r="V3" s="169"/>
      <c r="W3" s="169"/>
      <c r="X3" s="169"/>
      <c r="Y3" s="169"/>
      <c r="Z3" s="169"/>
      <c r="AA3" s="169"/>
      <c r="AB3" s="169"/>
      <c r="AC3" s="169"/>
      <c r="AD3" s="169"/>
      <c r="AE3" s="169"/>
      <c r="AF3" s="169"/>
      <c r="AG3" s="169"/>
      <c r="AH3" s="169"/>
      <c r="AI3" s="448"/>
      <c r="AJ3" s="448"/>
      <c r="AK3" s="448"/>
      <c r="AL3" s="448"/>
      <c r="AM3" s="448"/>
      <c r="AN3" s="102"/>
    </row>
    <row r="4" ht="14.25" customHeight="1">
      <c r="A4" s="829" t="s">
        <v>36</v>
      </c>
      <c r="B4" s="830"/>
      <c r="C4" s="830"/>
      <c r="D4" s="830"/>
      <c r="E4" s="830"/>
      <c r="F4" s="830"/>
      <c r="G4" s="830"/>
      <c r="H4" s="831"/>
      <c r="I4" s="831"/>
      <c r="J4" s="831"/>
      <c r="K4" s="831"/>
      <c r="L4" s="831"/>
      <c r="M4" s="831"/>
      <c r="N4" s="831"/>
      <c r="O4" s="831"/>
      <c r="P4" s="831"/>
      <c r="Q4" s="831"/>
      <c r="R4" s="831"/>
      <c r="S4" s="831"/>
      <c r="T4" s="831"/>
      <c r="U4" s="831"/>
      <c r="V4" s="831"/>
      <c r="W4" s="831"/>
      <c r="X4" s="831"/>
      <c r="Y4" s="831"/>
      <c r="Z4" s="831"/>
      <c r="AA4" s="831"/>
      <c r="AB4" s="831"/>
      <c r="AC4" s="831"/>
      <c r="AD4" s="831"/>
      <c r="AE4" s="831"/>
      <c r="AF4" s="831"/>
      <c r="AG4" s="831"/>
      <c r="AH4" s="831"/>
      <c r="AI4" s="832"/>
      <c r="AJ4" s="832"/>
      <c r="AK4" s="832"/>
      <c r="AL4" s="832"/>
      <c r="AM4" s="832"/>
      <c r="AN4" s="102"/>
    </row>
    <row r="5" ht="14.25" customHeight="1" outlineLevel="1">
      <c r="A5" s="833" t="s">
        <v>2741</v>
      </c>
      <c r="B5" s="195"/>
      <c r="C5" s="162"/>
      <c r="D5" s="162"/>
      <c r="E5" s="162"/>
      <c r="F5" s="162"/>
      <c r="G5" s="162"/>
      <c r="H5" s="178"/>
      <c r="I5" s="178"/>
      <c r="J5" s="178"/>
      <c r="K5" s="178"/>
      <c r="L5" s="178"/>
      <c r="M5" s="178"/>
      <c r="N5" s="178"/>
      <c r="O5" s="178"/>
      <c r="P5" s="178"/>
      <c r="Q5" s="178"/>
      <c r="R5" s="178"/>
      <c r="S5" s="178"/>
      <c r="T5" s="178"/>
      <c r="U5" s="178"/>
      <c r="V5" s="178"/>
      <c r="W5" s="178"/>
      <c r="X5" s="178"/>
      <c r="Y5" s="178"/>
      <c r="Z5" s="178"/>
      <c r="AA5" s="178"/>
      <c r="AB5" s="178"/>
      <c r="AC5" s="178"/>
      <c r="AD5" s="178"/>
      <c r="AE5" s="178"/>
      <c r="AF5" s="178"/>
      <c r="AG5" s="178"/>
      <c r="AH5" s="178"/>
      <c r="AI5" s="244"/>
      <c r="AJ5" s="244"/>
      <c r="AK5" s="244"/>
      <c r="AL5" s="244"/>
      <c r="AM5" s="244"/>
      <c r="AN5" s="176"/>
    </row>
    <row r="6" ht="14.25" customHeight="1" outlineLevel="2">
      <c r="A6" s="833"/>
      <c r="B6" s="195"/>
      <c r="C6" s="100"/>
      <c r="D6" s="100"/>
      <c r="E6" s="834" t="s">
        <v>2742</v>
      </c>
      <c r="F6" s="249" t="s">
        <v>261</v>
      </c>
      <c r="G6" s="249" t="s">
        <v>2743</v>
      </c>
      <c r="H6" s="253"/>
      <c r="I6" s="254"/>
      <c r="J6" s="254"/>
      <c r="K6" s="254"/>
      <c r="L6" s="254"/>
      <c r="M6" s="254"/>
      <c r="N6" s="254"/>
      <c r="O6" s="254"/>
      <c r="P6" s="254"/>
      <c r="Q6" s="254"/>
      <c r="R6" s="254"/>
      <c r="S6" s="254"/>
      <c r="T6" s="254"/>
      <c r="U6" s="254"/>
      <c r="V6" s="254"/>
      <c r="W6" s="279"/>
      <c r="X6" s="254"/>
      <c r="Y6" s="254"/>
      <c r="Z6" s="254"/>
      <c r="AA6" s="254"/>
      <c r="AB6" s="279"/>
      <c r="AC6" s="279"/>
      <c r="AD6" s="279"/>
      <c r="AE6" s="279"/>
      <c r="AF6" s="279"/>
      <c r="AG6" s="279"/>
      <c r="AH6" s="835"/>
      <c r="AI6" s="493"/>
      <c r="AJ6" s="493"/>
      <c r="AK6" s="493"/>
      <c r="AL6" s="493"/>
      <c r="AM6" s="494"/>
      <c r="AN6" s="176"/>
    </row>
    <row r="7" ht="14.25" customHeight="1" outlineLevel="2">
      <c r="A7" s="833"/>
      <c r="B7" s="195"/>
      <c r="C7" s="100"/>
      <c r="D7" s="100"/>
      <c r="E7" s="834" t="s">
        <v>2744</v>
      </c>
      <c r="F7" s="249" t="s">
        <v>2745</v>
      </c>
      <c r="G7" s="249" t="s">
        <v>2746</v>
      </c>
      <c r="H7" s="260"/>
      <c r="I7" s="181"/>
      <c r="J7" s="181"/>
      <c r="K7" s="181"/>
      <c r="L7" s="181"/>
      <c r="M7" s="181"/>
      <c r="N7" s="181"/>
      <c r="O7" s="181"/>
      <c r="P7" s="181"/>
      <c r="Q7" s="181"/>
      <c r="R7" s="181"/>
      <c r="S7" s="181"/>
      <c r="T7" s="181"/>
      <c r="U7" s="181"/>
      <c r="V7" s="181"/>
      <c r="W7" s="202"/>
      <c r="X7" s="181"/>
      <c r="Y7" s="181"/>
      <c r="Z7" s="181"/>
      <c r="AA7" s="181"/>
      <c r="AB7" s="202"/>
      <c r="AC7" s="202"/>
      <c r="AD7" s="202"/>
      <c r="AE7" s="202"/>
      <c r="AF7" s="202"/>
      <c r="AG7" s="202"/>
      <c r="AH7" s="203"/>
      <c r="AI7" s="493"/>
      <c r="AJ7" s="493"/>
      <c r="AK7" s="493"/>
      <c r="AL7" s="493"/>
      <c r="AM7" s="494"/>
      <c r="AN7" s="176"/>
    </row>
    <row r="8" ht="14.25" customHeight="1" outlineLevel="2">
      <c r="A8" s="833"/>
      <c r="B8" s="195"/>
      <c r="C8" s="100"/>
      <c r="D8" s="100"/>
      <c r="E8" s="834" t="s">
        <v>2747</v>
      </c>
      <c r="F8" s="249" t="s">
        <v>2745</v>
      </c>
      <c r="G8" s="249" t="s">
        <v>2748</v>
      </c>
      <c r="H8" s="260"/>
      <c r="I8" s="181"/>
      <c r="J8" s="181"/>
      <c r="K8" s="181"/>
      <c r="L8" s="181"/>
      <c r="M8" s="181"/>
      <c r="N8" s="181"/>
      <c r="O8" s="181"/>
      <c r="P8" s="181"/>
      <c r="Q8" s="181"/>
      <c r="R8" s="181"/>
      <c r="S8" s="181"/>
      <c r="T8" s="181"/>
      <c r="U8" s="181"/>
      <c r="V8" s="181"/>
      <c r="W8" s="202"/>
      <c r="X8" s="181"/>
      <c r="Y8" s="181"/>
      <c r="Z8" s="181"/>
      <c r="AA8" s="181"/>
      <c r="AB8" s="202"/>
      <c r="AC8" s="202"/>
      <c r="AD8" s="202"/>
      <c r="AE8" s="202"/>
      <c r="AF8" s="202"/>
      <c r="AG8" s="202"/>
      <c r="AH8" s="203"/>
      <c r="AI8" s="493"/>
      <c r="AJ8" s="493"/>
      <c r="AK8" s="493"/>
      <c r="AL8" s="493"/>
      <c r="AM8" s="494"/>
      <c r="AN8" s="176"/>
    </row>
    <row r="9" ht="14.25" customHeight="1" outlineLevel="2">
      <c r="A9" s="833"/>
      <c r="B9" s="195"/>
      <c r="C9" s="100"/>
      <c r="D9" s="100"/>
      <c r="E9" s="187" t="s">
        <v>2749</v>
      </c>
      <c r="F9" s="123" t="s">
        <v>261</v>
      </c>
      <c r="G9" s="123" t="s">
        <v>2750</v>
      </c>
      <c r="H9" s="253"/>
      <c r="I9" s="254"/>
      <c r="J9" s="254"/>
      <c r="K9" s="254"/>
      <c r="L9" s="254"/>
      <c r="M9" s="254"/>
      <c r="N9" s="254"/>
      <c r="O9" s="254"/>
      <c r="P9" s="254"/>
      <c r="Q9" s="254"/>
      <c r="R9" s="254"/>
      <c r="S9" s="254"/>
      <c r="T9" s="254"/>
      <c r="U9" s="254"/>
      <c r="V9" s="254"/>
      <c r="W9" s="279"/>
      <c r="X9" s="254"/>
      <c r="Y9" s="254"/>
      <c r="Z9" s="254"/>
      <c r="AA9" s="254"/>
      <c r="AB9" s="279"/>
      <c r="AC9" s="279"/>
      <c r="AD9" s="279"/>
      <c r="AE9" s="279"/>
      <c r="AF9" s="279"/>
      <c r="AG9" s="279"/>
      <c r="AH9" s="835"/>
      <c r="AI9" s="493"/>
      <c r="AJ9" s="493"/>
      <c r="AK9" s="493"/>
      <c r="AL9" s="493"/>
      <c r="AM9" s="494"/>
      <c r="AN9" s="176"/>
    </row>
    <row r="10" ht="14.25" customHeight="1" outlineLevel="1">
      <c r="A10" s="833" t="s">
        <v>2751</v>
      </c>
      <c r="B10" s="195"/>
      <c r="C10" s="100"/>
      <c r="D10" s="100"/>
      <c r="E10" s="162"/>
      <c r="F10" s="162"/>
      <c r="G10" s="162"/>
      <c r="H10" s="178"/>
      <c r="I10" s="178"/>
      <c r="J10" s="178"/>
      <c r="K10" s="178"/>
      <c r="L10" s="178"/>
      <c r="M10" s="178"/>
      <c r="N10" s="178"/>
      <c r="O10" s="178"/>
      <c r="P10" s="178"/>
      <c r="Q10" s="178"/>
      <c r="R10" s="178"/>
      <c r="S10" s="178"/>
      <c r="T10" s="178"/>
      <c r="U10" s="178"/>
      <c r="V10" s="178"/>
      <c r="W10" s="836"/>
      <c r="X10" s="178"/>
      <c r="Y10" s="178"/>
      <c r="Z10" s="178"/>
      <c r="AA10" s="178"/>
      <c r="AB10" s="836"/>
      <c r="AC10" s="836"/>
      <c r="AD10" s="836"/>
      <c r="AE10" s="836"/>
      <c r="AF10" s="836"/>
      <c r="AG10" s="836"/>
      <c r="AH10" s="836"/>
      <c r="AI10" s="244"/>
      <c r="AJ10" s="244"/>
      <c r="AK10" s="244"/>
      <c r="AL10" s="244"/>
      <c r="AM10" s="244"/>
      <c r="AN10" s="176"/>
    </row>
    <row r="11" ht="13.5" customHeight="1" outlineLevel="2">
      <c r="A11" s="833"/>
      <c r="B11" s="195"/>
      <c r="C11" s="100"/>
      <c r="D11" s="100"/>
      <c r="E11" s="834" t="s">
        <v>2752</v>
      </c>
      <c r="F11" s="249" t="s">
        <v>2745</v>
      </c>
      <c r="G11" s="249" t="s">
        <v>2753</v>
      </c>
      <c r="H11" s="260"/>
      <c r="I11" s="181"/>
      <c r="J11" s="181"/>
      <c r="K11" s="181"/>
      <c r="L11" s="181"/>
      <c r="M11" s="181"/>
      <c r="N11" s="181"/>
      <c r="O11" s="181"/>
      <c r="P11" s="181"/>
      <c r="Q11" s="181"/>
      <c r="R11" s="181"/>
      <c r="S11" s="181"/>
      <c r="T11" s="181"/>
      <c r="U11" s="181"/>
      <c r="V11" s="181"/>
      <c r="W11" s="202"/>
      <c r="X11" s="181"/>
      <c r="Y11" s="181"/>
      <c r="Z11" s="181"/>
      <c r="AA11" s="181"/>
      <c r="AB11" s="202"/>
      <c r="AC11" s="202"/>
      <c r="AD11" s="202"/>
      <c r="AE11" s="202"/>
      <c r="AF11" s="202"/>
      <c r="AG11" s="202"/>
      <c r="AH11" s="203"/>
      <c r="AI11" s="493"/>
      <c r="AJ11" s="493"/>
      <c r="AK11" s="493"/>
      <c r="AL11" s="493"/>
      <c r="AM11" s="494"/>
      <c r="AN11" s="176"/>
    </row>
    <row r="12" ht="14.25" customHeight="1" outlineLevel="2">
      <c r="A12" s="833"/>
      <c r="B12" s="195"/>
      <c r="C12" s="100"/>
      <c r="D12" s="100"/>
      <c r="E12" s="834" t="s">
        <v>2754</v>
      </c>
      <c r="F12" s="249" t="s">
        <v>2745</v>
      </c>
      <c r="G12" s="249" t="s">
        <v>2755</v>
      </c>
      <c r="H12" s="260"/>
      <c r="I12" s="181"/>
      <c r="J12" s="181"/>
      <c r="K12" s="181"/>
      <c r="L12" s="181"/>
      <c r="M12" s="181"/>
      <c r="N12" s="181"/>
      <c r="O12" s="181"/>
      <c r="P12" s="181"/>
      <c r="Q12" s="181"/>
      <c r="R12" s="181"/>
      <c r="S12" s="181"/>
      <c r="T12" s="181"/>
      <c r="U12" s="181"/>
      <c r="V12" s="181"/>
      <c r="W12" s="202"/>
      <c r="X12" s="181"/>
      <c r="Y12" s="181"/>
      <c r="Z12" s="181"/>
      <c r="AA12" s="181"/>
      <c r="AB12" s="202"/>
      <c r="AC12" s="202"/>
      <c r="AD12" s="202"/>
      <c r="AE12" s="202"/>
      <c r="AF12" s="202"/>
      <c r="AG12" s="202"/>
      <c r="AH12" s="203"/>
      <c r="AI12" s="493"/>
      <c r="AJ12" s="493"/>
      <c r="AK12" s="493"/>
      <c r="AL12" s="493"/>
      <c r="AM12" s="494"/>
      <c r="AN12" s="176"/>
    </row>
    <row r="13" ht="14.25" customHeight="1" outlineLevel="2">
      <c r="A13" s="833"/>
      <c r="B13" s="195"/>
      <c r="C13" s="100"/>
      <c r="D13" s="100"/>
      <c r="E13" s="187" t="s">
        <v>2756</v>
      </c>
      <c r="F13" s="123" t="s">
        <v>261</v>
      </c>
      <c r="G13" s="123" t="s">
        <v>2757</v>
      </c>
      <c r="H13" s="253"/>
      <c r="I13" s="254"/>
      <c r="J13" s="254"/>
      <c r="K13" s="254"/>
      <c r="L13" s="254"/>
      <c r="M13" s="254"/>
      <c r="N13" s="254"/>
      <c r="O13" s="254"/>
      <c r="P13" s="254"/>
      <c r="Q13" s="254"/>
      <c r="R13" s="254"/>
      <c r="S13" s="254"/>
      <c r="T13" s="254"/>
      <c r="U13" s="254"/>
      <c r="V13" s="254"/>
      <c r="W13" s="279"/>
      <c r="X13" s="254"/>
      <c r="Y13" s="254"/>
      <c r="Z13" s="254"/>
      <c r="AA13" s="254"/>
      <c r="AB13" s="279"/>
      <c r="AC13" s="279"/>
      <c r="AD13" s="279"/>
      <c r="AE13" s="279"/>
      <c r="AF13" s="279"/>
      <c r="AG13" s="279"/>
      <c r="AH13" s="835"/>
      <c r="AI13" s="493"/>
      <c r="AJ13" s="493"/>
      <c r="AK13" s="493"/>
      <c r="AL13" s="493"/>
      <c r="AM13" s="494"/>
      <c r="AN13" s="176"/>
    </row>
    <row r="14" ht="14.25" customHeight="1" outlineLevel="1">
      <c r="A14" s="833" t="s">
        <v>2758</v>
      </c>
      <c r="B14" s="195"/>
      <c r="C14" s="100"/>
      <c r="D14" s="100"/>
      <c r="E14" s="162"/>
      <c r="F14" s="162"/>
      <c r="G14" s="162"/>
      <c r="H14" s="178"/>
      <c r="I14" s="178"/>
      <c r="J14" s="178"/>
      <c r="K14" s="178"/>
      <c r="L14" s="178"/>
      <c r="M14" s="178"/>
      <c r="N14" s="178"/>
      <c r="O14" s="178"/>
      <c r="P14" s="178"/>
      <c r="Q14" s="178"/>
      <c r="R14" s="178"/>
      <c r="S14" s="178"/>
      <c r="T14" s="178"/>
      <c r="U14" s="178"/>
      <c r="V14" s="178"/>
      <c r="W14" s="836"/>
      <c r="X14" s="178"/>
      <c r="Y14" s="178"/>
      <c r="Z14" s="178"/>
      <c r="AA14" s="178"/>
      <c r="AB14" s="836"/>
      <c r="AC14" s="836"/>
      <c r="AD14" s="836"/>
      <c r="AE14" s="836"/>
      <c r="AF14" s="836"/>
      <c r="AG14" s="836"/>
      <c r="AH14" s="836"/>
      <c r="AI14" s="244"/>
      <c r="AJ14" s="244"/>
      <c r="AK14" s="244"/>
      <c r="AL14" s="244"/>
      <c r="AM14" s="244"/>
      <c r="AN14" s="176"/>
    </row>
    <row r="15" ht="14.25" customHeight="1" outlineLevel="2">
      <c r="A15" s="833"/>
      <c r="B15" s="195"/>
      <c r="C15" s="100"/>
      <c r="D15" s="100"/>
      <c r="E15" s="187" t="s">
        <v>2759</v>
      </c>
      <c r="F15" s="123" t="s">
        <v>2745</v>
      </c>
      <c r="G15" s="123" t="s">
        <v>2760</v>
      </c>
      <c r="H15" s="260"/>
      <c r="I15" s="181"/>
      <c r="J15" s="181"/>
      <c r="K15" s="181"/>
      <c r="L15" s="181"/>
      <c r="M15" s="181"/>
      <c r="N15" s="181"/>
      <c r="O15" s="181"/>
      <c r="P15" s="181"/>
      <c r="Q15" s="181"/>
      <c r="R15" s="181"/>
      <c r="S15" s="181"/>
      <c r="T15" s="181"/>
      <c r="U15" s="181"/>
      <c r="V15" s="181"/>
      <c r="W15" s="202"/>
      <c r="X15" s="181"/>
      <c r="Y15" s="181"/>
      <c r="Z15" s="181"/>
      <c r="AA15" s="181"/>
      <c r="AB15" s="202"/>
      <c r="AC15" s="202"/>
      <c r="AD15" s="202"/>
      <c r="AE15" s="202"/>
      <c r="AF15" s="202"/>
      <c r="AG15" s="202"/>
      <c r="AH15" s="203"/>
      <c r="AI15" s="493"/>
      <c r="AJ15" s="493"/>
      <c r="AK15" s="493"/>
      <c r="AL15" s="493"/>
      <c r="AM15" s="494"/>
      <c r="AN15" s="176"/>
    </row>
    <row r="16" ht="14.25" customHeight="1" outlineLevel="1">
      <c r="A16" s="833" t="s">
        <v>2761</v>
      </c>
      <c r="B16" s="195"/>
      <c r="C16" s="100"/>
      <c r="D16" s="100"/>
      <c r="E16" s="162"/>
      <c r="F16" s="162"/>
      <c r="G16" s="162"/>
      <c r="H16" s="178"/>
      <c r="I16" s="178"/>
      <c r="J16" s="178"/>
      <c r="K16" s="178"/>
      <c r="L16" s="178"/>
      <c r="M16" s="178"/>
      <c r="N16" s="178"/>
      <c r="O16" s="178"/>
      <c r="P16" s="178"/>
      <c r="Q16" s="178"/>
      <c r="R16" s="178"/>
      <c r="S16" s="178"/>
      <c r="T16" s="178"/>
      <c r="U16" s="178"/>
      <c r="V16" s="178"/>
      <c r="W16" s="836"/>
      <c r="X16" s="178"/>
      <c r="Y16" s="178"/>
      <c r="Z16" s="178"/>
      <c r="AA16" s="178"/>
      <c r="AB16" s="836"/>
      <c r="AC16" s="836"/>
      <c r="AD16" s="836"/>
      <c r="AE16" s="836"/>
      <c r="AF16" s="836"/>
      <c r="AG16" s="836"/>
      <c r="AH16" s="836"/>
      <c r="AI16" s="244"/>
      <c r="AJ16" s="244"/>
      <c r="AK16" s="244"/>
      <c r="AL16" s="244"/>
      <c r="AM16" s="244"/>
      <c r="AN16" s="176"/>
    </row>
    <row r="17" ht="14.25" customHeight="1" outlineLevel="2">
      <c r="A17" s="833"/>
      <c r="B17" s="195"/>
      <c r="C17" s="100"/>
      <c r="D17" s="100"/>
      <c r="E17" s="187" t="s">
        <v>2761</v>
      </c>
      <c r="F17" s="123" t="s">
        <v>2762</v>
      </c>
      <c r="G17" s="123" t="s">
        <v>2763</v>
      </c>
      <c r="H17" s="260"/>
      <c r="I17" s="181"/>
      <c r="J17" s="181"/>
      <c r="K17" s="181"/>
      <c r="L17" s="181"/>
      <c r="M17" s="181"/>
      <c r="N17" s="181"/>
      <c r="O17" s="181"/>
      <c r="P17" s="181"/>
      <c r="Q17" s="181"/>
      <c r="R17" s="181"/>
      <c r="S17" s="181"/>
      <c r="T17" s="181"/>
      <c r="U17" s="181"/>
      <c r="V17" s="181"/>
      <c r="W17" s="202"/>
      <c r="X17" s="181"/>
      <c r="Y17" s="181"/>
      <c r="Z17" s="181"/>
      <c r="AA17" s="181"/>
      <c r="AB17" s="202"/>
      <c r="AC17" s="202"/>
      <c r="AD17" s="202"/>
      <c r="AE17" s="202"/>
      <c r="AF17" s="202"/>
      <c r="AG17" s="202"/>
      <c r="AH17" s="203"/>
      <c r="AI17" s="493"/>
      <c r="AJ17" s="493"/>
      <c r="AK17" s="493"/>
      <c r="AL17" s="493"/>
      <c r="AM17" s="494"/>
      <c r="AN17" s="176"/>
    </row>
    <row r="18" ht="9.75" customHeight="1">
      <c r="A18" s="166"/>
      <c r="B18" s="167"/>
      <c r="C18" s="167"/>
      <c r="D18" s="167"/>
      <c r="E18" s="167"/>
      <c r="F18" s="168"/>
      <c r="G18" s="168"/>
      <c r="H18" s="169"/>
      <c r="I18" s="169"/>
      <c r="J18" s="169"/>
      <c r="K18" s="169"/>
      <c r="L18" s="169"/>
      <c r="M18" s="169"/>
      <c r="N18" s="169"/>
      <c r="O18" s="169"/>
      <c r="P18" s="169"/>
      <c r="Q18" s="169"/>
      <c r="R18" s="169"/>
      <c r="S18" s="169"/>
      <c r="T18" s="169"/>
      <c r="U18" s="169"/>
      <c r="V18" s="169"/>
      <c r="W18" s="837"/>
      <c r="X18" s="169"/>
      <c r="Y18" s="169"/>
      <c r="Z18" s="169"/>
      <c r="AA18" s="169"/>
      <c r="AB18" s="169"/>
      <c r="AC18" s="169"/>
      <c r="AD18" s="169"/>
      <c r="AE18" s="169"/>
      <c r="AF18" s="169"/>
      <c r="AG18" s="169"/>
      <c r="AH18" s="169"/>
      <c r="AI18" s="448"/>
      <c r="AJ18" s="448"/>
      <c r="AK18" s="448"/>
      <c r="AL18" s="448"/>
      <c r="AM18" s="448"/>
      <c r="AN18" s="102"/>
    </row>
    <row r="19" ht="14.25" customHeight="1">
      <c r="A19" s="829" t="s">
        <v>37</v>
      </c>
      <c r="B19" s="838"/>
      <c r="C19" s="838"/>
      <c r="D19" s="838"/>
      <c r="E19" s="838"/>
      <c r="F19" s="838"/>
      <c r="G19" s="838"/>
      <c r="H19" s="839"/>
      <c r="I19" s="839"/>
      <c r="J19" s="839"/>
      <c r="K19" s="839"/>
      <c r="L19" s="839"/>
      <c r="M19" s="839"/>
      <c r="N19" s="839"/>
      <c r="O19" s="839"/>
      <c r="P19" s="839"/>
      <c r="Q19" s="839"/>
      <c r="R19" s="839"/>
      <c r="S19" s="839"/>
      <c r="T19" s="839"/>
      <c r="U19" s="839"/>
      <c r="V19" s="839"/>
      <c r="W19" s="840"/>
      <c r="X19" s="839"/>
      <c r="Y19" s="839"/>
      <c r="Z19" s="839"/>
      <c r="AA19" s="839"/>
      <c r="AB19" s="839"/>
      <c r="AC19" s="839"/>
      <c r="AD19" s="839"/>
      <c r="AE19" s="839"/>
      <c r="AF19" s="839"/>
      <c r="AG19" s="839"/>
      <c r="AH19" s="839"/>
      <c r="AI19" s="832"/>
      <c r="AJ19" s="832"/>
      <c r="AK19" s="832"/>
      <c r="AL19" s="832"/>
      <c r="AM19" s="832"/>
      <c r="AN19" s="102"/>
    </row>
    <row r="20" ht="14.25" customHeight="1" outlineLevel="1">
      <c r="A20" s="833" t="s">
        <v>2764</v>
      </c>
      <c r="B20" s="162"/>
      <c r="C20" s="162"/>
      <c r="D20" s="195"/>
      <c r="E20" s="162"/>
      <c r="F20" s="162"/>
      <c r="G20" s="162"/>
      <c r="H20" s="178"/>
      <c r="I20" s="178"/>
      <c r="J20" s="178"/>
      <c r="K20" s="178"/>
      <c r="L20" s="178"/>
      <c r="M20" s="178"/>
      <c r="N20" s="178"/>
      <c r="O20" s="178"/>
      <c r="P20" s="178"/>
      <c r="Q20" s="178"/>
      <c r="R20" s="178"/>
      <c r="S20" s="178"/>
      <c r="T20" s="178"/>
      <c r="U20" s="178"/>
      <c r="V20" s="178"/>
      <c r="W20" s="836"/>
      <c r="X20" s="178"/>
      <c r="Y20" s="178"/>
      <c r="Z20" s="178"/>
      <c r="AA20" s="178"/>
      <c r="AB20" s="178"/>
      <c r="AC20" s="178"/>
      <c r="AD20" s="178"/>
      <c r="AE20" s="178"/>
      <c r="AF20" s="178"/>
      <c r="AG20" s="178"/>
      <c r="AH20" s="178"/>
      <c r="AI20" s="244"/>
      <c r="AJ20" s="244"/>
      <c r="AK20" s="244"/>
      <c r="AL20" s="244"/>
      <c r="AM20" s="244"/>
      <c r="AN20" s="176"/>
    </row>
    <row r="21" ht="14.25" customHeight="1" outlineLevel="2">
      <c r="A21" s="833"/>
      <c r="B21" s="841" t="s">
        <v>2765</v>
      </c>
      <c r="C21" s="100"/>
      <c r="D21" s="195"/>
      <c r="E21" s="162"/>
      <c r="F21" s="162"/>
      <c r="G21" s="162"/>
      <c r="H21" s="178"/>
      <c r="I21" s="178"/>
      <c r="J21" s="178"/>
      <c r="K21" s="178"/>
      <c r="L21" s="178"/>
      <c r="M21" s="178"/>
      <c r="N21" s="178"/>
      <c r="O21" s="178"/>
      <c r="P21" s="178"/>
      <c r="Q21" s="178"/>
      <c r="R21" s="178"/>
      <c r="S21" s="178"/>
      <c r="T21" s="178"/>
      <c r="U21" s="178"/>
      <c r="V21" s="178"/>
      <c r="W21" s="836"/>
      <c r="X21" s="178"/>
      <c r="Y21" s="178"/>
      <c r="Z21" s="178"/>
      <c r="AA21" s="178"/>
      <c r="AB21" s="178"/>
      <c r="AC21" s="178"/>
      <c r="AD21" s="178"/>
      <c r="AE21" s="178"/>
      <c r="AF21" s="178"/>
      <c r="AG21" s="178"/>
      <c r="AH21" s="178"/>
      <c r="AI21" s="244"/>
      <c r="AJ21" s="244"/>
      <c r="AK21" s="244"/>
      <c r="AL21" s="244"/>
      <c r="AM21" s="244"/>
      <c r="AN21" s="176"/>
    </row>
    <row r="22" ht="14.25" customHeight="1" outlineLevel="3">
      <c r="A22" s="833"/>
      <c r="B22" s="842"/>
      <c r="C22" s="100"/>
      <c r="D22" s="195"/>
      <c r="E22" s="834" t="s">
        <v>2766</v>
      </c>
      <c r="F22" s="249" t="s">
        <v>261</v>
      </c>
      <c r="G22" s="249" t="s">
        <v>2767</v>
      </c>
      <c r="H22" s="253"/>
      <c r="I22" s="254"/>
      <c r="J22" s="254"/>
      <c r="K22" s="254"/>
      <c r="L22" s="254"/>
      <c r="M22" s="254"/>
      <c r="N22" s="254"/>
      <c r="O22" s="254"/>
      <c r="P22" s="254"/>
      <c r="Q22" s="254"/>
      <c r="R22" s="254"/>
      <c r="S22" s="254"/>
      <c r="T22" s="254"/>
      <c r="U22" s="254"/>
      <c r="V22" s="254"/>
      <c r="W22" s="279"/>
      <c r="X22" s="254"/>
      <c r="Y22" s="254"/>
      <c r="Z22" s="254"/>
      <c r="AA22" s="254"/>
      <c r="AB22" s="279"/>
      <c r="AC22" s="279"/>
      <c r="AD22" s="279"/>
      <c r="AE22" s="279"/>
      <c r="AF22" s="279"/>
      <c r="AG22" s="279"/>
      <c r="AH22" s="835"/>
      <c r="AI22" s="493"/>
      <c r="AJ22" s="493"/>
      <c r="AK22" s="493"/>
      <c r="AL22" s="493"/>
      <c r="AM22" s="494"/>
      <c r="AN22" s="176"/>
    </row>
    <row r="23" ht="14.25" customHeight="1" outlineLevel="3">
      <c r="A23" s="833"/>
      <c r="B23" s="842"/>
      <c r="C23" s="100"/>
      <c r="D23" s="195"/>
      <c r="E23" s="187" t="s">
        <v>2768</v>
      </c>
      <c r="F23" s="123" t="s">
        <v>261</v>
      </c>
      <c r="G23" s="123" t="s">
        <v>2769</v>
      </c>
      <c r="H23" s="253"/>
      <c r="I23" s="254"/>
      <c r="J23" s="254"/>
      <c r="K23" s="254"/>
      <c r="L23" s="254"/>
      <c r="M23" s="254"/>
      <c r="N23" s="254"/>
      <c r="O23" s="254"/>
      <c r="P23" s="254"/>
      <c r="Q23" s="254"/>
      <c r="R23" s="254"/>
      <c r="S23" s="254"/>
      <c r="T23" s="254"/>
      <c r="U23" s="254"/>
      <c r="V23" s="254"/>
      <c r="W23" s="279"/>
      <c r="X23" s="254"/>
      <c r="Y23" s="254"/>
      <c r="Z23" s="254"/>
      <c r="AA23" s="254"/>
      <c r="AB23" s="279"/>
      <c r="AC23" s="279"/>
      <c r="AD23" s="279"/>
      <c r="AE23" s="279"/>
      <c r="AF23" s="279"/>
      <c r="AG23" s="279"/>
      <c r="AH23" s="835"/>
      <c r="AI23" s="493"/>
      <c r="AJ23" s="493"/>
      <c r="AK23" s="493"/>
      <c r="AL23" s="493"/>
      <c r="AM23" s="494"/>
      <c r="AN23" s="176"/>
    </row>
    <row r="24" ht="14.25" customHeight="1" outlineLevel="2">
      <c r="A24" s="833"/>
      <c r="B24" s="841" t="s">
        <v>2770</v>
      </c>
      <c r="C24" s="100"/>
      <c r="D24" s="195"/>
      <c r="E24" s="162"/>
      <c r="F24" s="162"/>
      <c r="G24" s="162"/>
      <c r="H24" s="178"/>
      <c r="I24" s="178"/>
      <c r="J24" s="178"/>
      <c r="K24" s="178"/>
      <c r="L24" s="178"/>
      <c r="M24" s="178"/>
      <c r="N24" s="178"/>
      <c r="O24" s="178"/>
      <c r="P24" s="178"/>
      <c r="Q24" s="178"/>
      <c r="R24" s="178"/>
      <c r="S24" s="178"/>
      <c r="T24" s="178"/>
      <c r="U24" s="178"/>
      <c r="V24" s="178"/>
      <c r="W24" s="836"/>
      <c r="X24" s="178"/>
      <c r="Y24" s="178"/>
      <c r="Z24" s="178"/>
      <c r="AA24" s="178"/>
      <c r="AB24" s="836"/>
      <c r="AC24" s="836"/>
      <c r="AD24" s="836"/>
      <c r="AE24" s="836"/>
      <c r="AF24" s="836"/>
      <c r="AG24" s="836"/>
      <c r="AH24" s="836"/>
      <c r="AI24" s="244"/>
      <c r="AJ24" s="244"/>
      <c r="AK24" s="244"/>
      <c r="AL24" s="244"/>
      <c r="AM24" s="244"/>
      <c r="AN24" s="176"/>
    </row>
    <row r="25" ht="14.25" customHeight="1" outlineLevel="3">
      <c r="A25" s="833"/>
      <c r="B25" s="842"/>
      <c r="C25" s="100"/>
      <c r="D25" s="195"/>
      <c r="E25" s="834" t="s">
        <v>2771</v>
      </c>
      <c r="F25" s="249" t="s">
        <v>2772</v>
      </c>
      <c r="G25" s="249" t="s">
        <v>2773</v>
      </c>
      <c r="H25" s="260"/>
      <c r="I25" s="181"/>
      <c r="J25" s="181"/>
      <c r="K25" s="181"/>
      <c r="L25" s="181"/>
      <c r="M25" s="181"/>
      <c r="N25" s="181"/>
      <c r="O25" s="181"/>
      <c r="P25" s="181"/>
      <c r="Q25" s="181"/>
      <c r="R25" s="181"/>
      <c r="S25" s="181"/>
      <c r="T25" s="181"/>
      <c r="U25" s="181"/>
      <c r="V25" s="181"/>
      <c r="W25" s="202"/>
      <c r="X25" s="181"/>
      <c r="Y25" s="181"/>
      <c r="Z25" s="181"/>
      <c r="AA25" s="181"/>
      <c r="AB25" s="202"/>
      <c r="AC25" s="202"/>
      <c r="AD25" s="202"/>
      <c r="AE25" s="202"/>
      <c r="AF25" s="202"/>
      <c r="AG25" s="202"/>
      <c r="AH25" s="203"/>
      <c r="AI25" s="493"/>
      <c r="AJ25" s="493"/>
      <c r="AK25" s="493"/>
      <c r="AL25" s="493"/>
      <c r="AM25" s="494"/>
      <c r="AN25" s="176"/>
    </row>
    <row r="26" ht="14.25" customHeight="1" outlineLevel="3">
      <c r="A26" s="833"/>
      <c r="B26" s="842"/>
      <c r="C26" s="100"/>
      <c r="D26" s="195"/>
      <c r="E26" s="834" t="s">
        <v>2774</v>
      </c>
      <c r="F26" s="249" t="s">
        <v>2772</v>
      </c>
      <c r="G26" s="249" t="s">
        <v>2775</v>
      </c>
      <c r="H26" s="260"/>
      <c r="I26" s="181"/>
      <c r="J26" s="181"/>
      <c r="K26" s="181"/>
      <c r="L26" s="181"/>
      <c r="M26" s="181"/>
      <c r="N26" s="181"/>
      <c r="O26" s="181"/>
      <c r="P26" s="181"/>
      <c r="Q26" s="181"/>
      <c r="R26" s="181"/>
      <c r="S26" s="181"/>
      <c r="T26" s="181"/>
      <c r="U26" s="181"/>
      <c r="V26" s="181"/>
      <c r="W26" s="202"/>
      <c r="X26" s="181"/>
      <c r="Y26" s="181"/>
      <c r="Z26" s="181"/>
      <c r="AA26" s="181"/>
      <c r="AB26" s="202"/>
      <c r="AC26" s="202"/>
      <c r="AD26" s="202"/>
      <c r="AE26" s="202"/>
      <c r="AF26" s="202"/>
      <c r="AG26" s="202"/>
      <c r="AH26" s="203"/>
      <c r="AI26" s="493"/>
      <c r="AJ26" s="493"/>
      <c r="AK26" s="493"/>
      <c r="AL26" s="493"/>
      <c r="AM26" s="494"/>
      <c r="AN26" s="176"/>
    </row>
    <row r="27" ht="14.25" customHeight="1" outlineLevel="3">
      <c r="A27" s="833"/>
      <c r="B27" s="842"/>
      <c r="C27" s="100"/>
      <c r="D27" s="195"/>
      <c r="E27" s="834" t="s">
        <v>2776</v>
      </c>
      <c r="F27" s="249" t="s">
        <v>2772</v>
      </c>
      <c r="G27" s="249" t="s">
        <v>2777</v>
      </c>
      <c r="H27" s="260"/>
      <c r="I27" s="181"/>
      <c r="J27" s="181"/>
      <c r="K27" s="181"/>
      <c r="L27" s="181"/>
      <c r="M27" s="181"/>
      <c r="N27" s="181"/>
      <c r="O27" s="181"/>
      <c r="P27" s="181"/>
      <c r="Q27" s="181"/>
      <c r="R27" s="181"/>
      <c r="S27" s="181"/>
      <c r="T27" s="181"/>
      <c r="U27" s="181"/>
      <c r="V27" s="181"/>
      <c r="W27" s="202"/>
      <c r="X27" s="181"/>
      <c r="Y27" s="181"/>
      <c r="Z27" s="181"/>
      <c r="AA27" s="181"/>
      <c r="AB27" s="202"/>
      <c r="AC27" s="202"/>
      <c r="AD27" s="202"/>
      <c r="AE27" s="202"/>
      <c r="AF27" s="202"/>
      <c r="AG27" s="202"/>
      <c r="AH27" s="203"/>
      <c r="AI27" s="493"/>
      <c r="AJ27" s="493"/>
      <c r="AK27" s="493"/>
      <c r="AL27" s="493"/>
      <c r="AM27" s="494"/>
      <c r="AN27" s="176"/>
    </row>
    <row r="28" ht="14.25" customHeight="1" outlineLevel="3">
      <c r="A28" s="833"/>
      <c r="B28" s="842"/>
      <c r="C28" s="100"/>
      <c r="D28" s="195"/>
      <c r="E28" s="843" t="s">
        <v>2778</v>
      </c>
      <c r="F28" s="123" t="s">
        <v>2772</v>
      </c>
      <c r="G28" s="123" t="s">
        <v>2779</v>
      </c>
      <c r="H28" s="260"/>
      <c r="I28" s="181"/>
      <c r="J28" s="181"/>
      <c r="K28" s="181"/>
      <c r="L28" s="181"/>
      <c r="M28" s="181"/>
      <c r="N28" s="181"/>
      <c r="O28" s="181"/>
      <c r="P28" s="181"/>
      <c r="Q28" s="181"/>
      <c r="R28" s="181"/>
      <c r="S28" s="181"/>
      <c r="T28" s="181"/>
      <c r="U28" s="181"/>
      <c r="V28" s="181"/>
      <c r="W28" s="202"/>
      <c r="X28" s="181"/>
      <c r="Y28" s="181"/>
      <c r="Z28" s="181"/>
      <c r="AA28" s="181"/>
      <c r="AB28" s="202"/>
      <c r="AC28" s="202"/>
      <c r="AD28" s="202"/>
      <c r="AE28" s="202"/>
      <c r="AF28" s="202"/>
      <c r="AG28" s="202"/>
      <c r="AH28" s="203"/>
      <c r="AI28" s="493"/>
      <c r="AJ28" s="493"/>
      <c r="AK28" s="493"/>
      <c r="AL28" s="493"/>
      <c r="AM28" s="494"/>
      <c r="AN28" s="176"/>
    </row>
    <row r="29" ht="14.25" customHeight="1" outlineLevel="1">
      <c r="A29" s="833" t="s">
        <v>2780</v>
      </c>
      <c r="B29" s="842"/>
      <c r="C29" s="100"/>
      <c r="D29" s="195"/>
      <c r="E29" s="162"/>
      <c r="F29" s="162"/>
      <c r="G29" s="162"/>
      <c r="H29" s="178"/>
      <c r="I29" s="178"/>
      <c r="J29" s="178"/>
      <c r="K29" s="178"/>
      <c r="L29" s="178"/>
      <c r="M29" s="178"/>
      <c r="N29" s="178"/>
      <c r="O29" s="178"/>
      <c r="P29" s="178"/>
      <c r="Q29" s="178"/>
      <c r="R29" s="178"/>
      <c r="S29" s="178"/>
      <c r="T29" s="178"/>
      <c r="U29" s="178"/>
      <c r="V29" s="178"/>
      <c r="W29" s="836"/>
      <c r="X29" s="178"/>
      <c r="Y29" s="178"/>
      <c r="Z29" s="178"/>
      <c r="AA29" s="178"/>
      <c r="AB29" s="836"/>
      <c r="AC29" s="836"/>
      <c r="AD29" s="836"/>
      <c r="AE29" s="836"/>
      <c r="AF29" s="836"/>
      <c r="AG29" s="836"/>
      <c r="AH29" s="836"/>
      <c r="AI29" s="244"/>
      <c r="AJ29" s="244"/>
      <c r="AK29" s="244"/>
      <c r="AL29" s="244"/>
      <c r="AM29" s="244"/>
      <c r="AN29" s="176"/>
    </row>
    <row r="30" ht="14.25" customHeight="1" outlineLevel="2">
      <c r="A30" s="833"/>
      <c r="B30" s="841" t="s">
        <v>2781</v>
      </c>
      <c r="C30" s="100"/>
      <c r="D30" s="195"/>
      <c r="E30" s="162"/>
      <c r="F30" s="162"/>
      <c r="G30" s="162"/>
      <c r="H30" s="178"/>
      <c r="I30" s="178"/>
      <c r="J30" s="178"/>
      <c r="K30" s="178"/>
      <c r="L30" s="178"/>
      <c r="M30" s="178"/>
      <c r="N30" s="178"/>
      <c r="O30" s="178"/>
      <c r="P30" s="178"/>
      <c r="Q30" s="178"/>
      <c r="R30" s="178"/>
      <c r="S30" s="178"/>
      <c r="T30" s="178"/>
      <c r="U30" s="178"/>
      <c r="V30" s="178"/>
      <c r="W30" s="836"/>
      <c r="X30" s="178"/>
      <c r="Y30" s="178"/>
      <c r="Z30" s="178"/>
      <c r="AA30" s="178"/>
      <c r="AB30" s="836"/>
      <c r="AC30" s="836"/>
      <c r="AD30" s="836"/>
      <c r="AE30" s="836"/>
      <c r="AF30" s="836"/>
      <c r="AG30" s="836"/>
      <c r="AH30" s="836"/>
      <c r="AI30" s="244"/>
      <c r="AJ30" s="244"/>
      <c r="AK30" s="244"/>
      <c r="AL30" s="244"/>
      <c r="AM30" s="244"/>
      <c r="AN30" s="176"/>
    </row>
    <row r="31" ht="14.25" customHeight="1" outlineLevel="3">
      <c r="A31" s="833"/>
      <c r="B31" s="842"/>
      <c r="C31" s="100"/>
      <c r="D31" s="195"/>
      <c r="E31" s="834" t="s">
        <v>2782</v>
      </c>
      <c r="F31" s="249" t="s">
        <v>2783</v>
      </c>
      <c r="G31" s="249" t="s">
        <v>2784</v>
      </c>
      <c r="H31" s="260"/>
      <c r="I31" s="181"/>
      <c r="J31" s="181"/>
      <c r="K31" s="181"/>
      <c r="L31" s="181"/>
      <c r="M31" s="181"/>
      <c r="N31" s="181"/>
      <c r="O31" s="181"/>
      <c r="P31" s="181"/>
      <c r="Q31" s="181"/>
      <c r="R31" s="181"/>
      <c r="S31" s="181"/>
      <c r="T31" s="181"/>
      <c r="U31" s="181"/>
      <c r="V31" s="181"/>
      <c r="W31" s="202"/>
      <c r="X31" s="181"/>
      <c r="Y31" s="181"/>
      <c r="Z31" s="181"/>
      <c r="AA31" s="181"/>
      <c r="AB31" s="202"/>
      <c r="AC31" s="202"/>
      <c r="AD31" s="202"/>
      <c r="AE31" s="202"/>
      <c r="AF31" s="202"/>
      <c r="AG31" s="202"/>
      <c r="AH31" s="203"/>
      <c r="AI31" s="493"/>
      <c r="AJ31" s="493"/>
      <c r="AK31" s="493"/>
      <c r="AL31" s="493"/>
      <c r="AM31" s="494"/>
      <c r="AN31" s="176"/>
    </row>
    <row r="32" ht="13.5" customHeight="1" outlineLevel="3">
      <c r="A32" s="833"/>
      <c r="B32" s="842"/>
      <c r="C32" s="100"/>
      <c r="D32" s="195"/>
      <c r="E32" s="834" t="s">
        <v>2785</v>
      </c>
      <c r="F32" s="249" t="s">
        <v>2783</v>
      </c>
      <c r="G32" s="249" t="s">
        <v>2786</v>
      </c>
      <c r="H32" s="260"/>
      <c r="I32" s="181"/>
      <c r="J32" s="181"/>
      <c r="K32" s="181"/>
      <c r="L32" s="181"/>
      <c r="M32" s="181"/>
      <c r="N32" s="181"/>
      <c r="O32" s="181"/>
      <c r="P32" s="181"/>
      <c r="Q32" s="181"/>
      <c r="R32" s="181"/>
      <c r="S32" s="181"/>
      <c r="T32" s="181"/>
      <c r="U32" s="181"/>
      <c r="V32" s="181"/>
      <c r="W32" s="202"/>
      <c r="X32" s="181"/>
      <c r="Y32" s="181"/>
      <c r="Z32" s="181"/>
      <c r="AA32" s="181"/>
      <c r="AB32" s="202"/>
      <c r="AC32" s="202"/>
      <c r="AD32" s="202"/>
      <c r="AE32" s="202"/>
      <c r="AF32" s="202"/>
      <c r="AG32" s="202"/>
      <c r="AH32" s="203"/>
      <c r="AI32" s="493"/>
      <c r="AJ32" s="493"/>
      <c r="AK32" s="493"/>
      <c r="AL32" s="493"/>
      <c r="AM32" s="494"/>
      <c r="AN32" s="176"/>
    </row>
    <row r="33" ht="13.5" customHeight="1" outlineLevel="3">
      <c r="A33" s="833"/>
      <c r="B33" s="842"/>
      <c r="C33" s="100"/>
      <c r="D33" s="195"/>
      <c r="E33" s="187" t="s">
        <v>2787</v>
      </c>
      <c r="F33" s="123" t="s">
        <v>2783</v>
      </c>
      <c r="G33" s="123" t="s">
        <v>2788</v>
      </c>
      <c r="H33" s="260"/>
      <c r="I33" s="181"/>
      <c r="J33" s="181"/>
      <c r="K33" s="181"/>
      <c r="L33" s="181"/>
      <c r="M33" s="181"/>
      <c r="N33" s="181"/>
      <c r="O33" s="181"/>
      <c r="P33" s="181"/>
      <c r="Q33" s="181"/>
      <c r="R33" s="181"/>
      <c r="S33" s="181"/>
      <c r="T33" s="181"/>
      <c r="U33" s="181"/>
      <c r="V33" s="181"/>
      <c r="W33" s="202"/>
      <c r="X33" s="181"/>
      <c r="Y33" s="181"/>
      <c r="Z33" s="181"/>
      <c r="AA33" s="181"/>
      <c r="AB33" s="202"/>
      <c r="AC33" s="202"/>
      <c r="AD33" s="202"/>
      <c r="AE33" s="202"/>
      <c r="AF33" s="202"/>
      <c r="AG33" s="202"/>
      <c r="AH33" s="203"/>
      <c r="AI33" s="493"/>
      <c r="AJ33" s="493"/>
      <c r="AK33" s="493"/>
      <c r="AL33" s="493"/>
      <c r="AM33" s="494"/>
      <c r="AN33" s="176"/>
    </row>
    <row r="34" ht="14.25" customHeight="1" outlineLevel="2">
      <c r="A34" s="833"/>
      <c r="B34" s="841" t="s">
        <v>2789</v>
      </c>
      <c r="C34" s="100"/>
      <c r="D34" s="195"/>
      <c r="E34" s="162"/>
      <c r="F34" s="162"/>
      <c r="G34" s="162"/>
      <c r="H34" s="178"/>
      <c r="I34" s="178"/>
      <c r="J34" s="178"/>
      <c r="K34" s="178"/>
      <c r="L34" s="178"/>
      <c r="M34" s="178"/>
      <c r="N34" s="178"/>
      <c r="O34" s="178"/>
      <c r="P34" s="178"/>
      <c r="Q34" s="178"/>
      <c r="R34" s="178"/>
      <c r="S34" s="178"/>
      <c r="T34" s="178"/>
      <c r="U34" s="178"/>
      <c r="V34" s="178"/>
      <c r="W34" s="836"/>
      <c r="X34" s="178"/>
      <c r="Y34" s="178"/>
      <c r="Z34" s="178"/>
      <c r="AA34" s="178"/>
      <c r="AB34" s="836"/>
      <c r="AC34" s="836"/>
      <c r="AD34" s="836"/>
      <c r="AE34" s="836"/>
      <c r="AF34" s="836"/>
      <c r="AG34" s="836"/>
      <c r="AH34" s="836"/>
      <c r="AI34" s="244"/>
      <c r="AJ34" s="244"/>
      <c r="AK34" s="244"/>
      <c r="AL34" s="244"/>
      <c r="AM34" s="244"/>
      <c r="AN34" s="176"/>
    </row>
    <row r="35" ht="13.5" customHeight="1" outlineLevel="3">
      <c r="A35" s="833"/>
      <c r="B35" s="842"/>
      <c r="C35" s="100"/>
      <c r="D35" s="195"/>
      <c r="E35" s="834" t="s">
        <v>2790</v>
      </c>
      <c r="F35" s="249" t="s">
        <v>2783</v>
      </c>
      <c r="G35" s="249" t="s">
        <v>2791</v>
      </c>
      <c r="H35" s="260"/>
      <c r="I35" s="181"/>
      <c r="J35" s="181"/>
      <c r="K35" s="181"/>
      <c r="L35" s="181"/>
      <c r="M35" s="181"/>
      <c r="N35" s="181"/>
      <c r="O35" s="181"/>
      <c r="P35" s="181"/>
      <c r="Q35" s="181"/>
      <c r="R35" s="181"/>
      <c r="S35" s="181"/>
      <c r="T35" s="181"/>
      <c r="U35" s="181"/>
      <c r="V35" s="181"/>
      <c r="W35" s="202"/>
      <c r="X35" s="181"/>
      <c r="Y35" s="181"/>
      <c r="Z35" s="181"/>
      <c r="AA35" s="181"/>
      <c r="AB35" s="202"/>
      <c r="AC35" s="202"/>
      <c r="AD35" s="202"/>
      <c r="AE35" s="202"/>
      <c r="AF35" s="202"/>
      <c r="AG35" s="202"/>
      <c r="AH35" s="203"/>
      <c r="AI35" s="493"/>
      <c r="AJ35" s="493"/>
      <c r="AK35" s="493"/>
      <c r="AL35" s="493"/>
      <c r="AM35" s="494"/>
      <c r="AN35" s="176"/>
    </row>
    <row r="36" ht="13.5" customHeight="1" outlineLevel="3">
      <c r="A36" s="833"/>
      <c r="B36" s="842"/>
      <c r="C36" s="100"/>
      <c r="D36" s="195"/>
      <c r="E36" s="834" t="s">
        <v>2792</v>
      </c>
      <c r="F36" s="249" t="s">
        <v>2783</v>
      </c>
      <c r="G36" s="249" t="s">
        <v>2793</v>
      </c>
      <c r="H36" s="260"/>
      <c r="I36" s="181"/>
      <c r="J36" s="181"/>
      <c r="K36" s="181"/>
      <c r="L36" s="181"/>
      <c r="M36" s="181"/>
      <c r="N36" s="181"/>
      <c r="O36" s="181"/>
      <c r="P36" s="181"/>
      <c r="Q36" s="181"/>
      <c r="R36" s="181"/>
      <c r="S36" s="181"/>
      <c r="T36" s="181"/>
      <c r="U36" s="181"/>
      <c r="V36" s="181"/>
      <c r="W36" s="202"/>
      <c r="X36" s="181"/>
      <c r="Y36" s="181"/>
      <c r="Z36" s="181"/>
      <c r="AA36" s="181"/>
      <c r="AB36" s="202"/>
      <c r="AC36" s="202"/>
      <c r="AD36" s="202"/>
      <c r="AE36" s="202"/>
      <c r="AF36" s="202"/>
      <c r="AG36" s="202"/>
      <c r="AH36" s="203"/>
      <c r="AI36" s="493"/>
      <c r="AJ36" s="493"/>
      <c r="AK36" s="493"/>
      <c r="AL36" s="493"/>
      <c r="AM36" s="494"/>
      <c r="AN36" s="176"/>
    </row>
    <row r="37" ht="13.5" customHeight="1" outlineLevel="3">
      <c r="A37" s="833"/>
      <c r="B37" s="842"/>
      <c r="C37" s="100"/>
      <c r="D37" s="195"/>
      <c r="E37" s="834" t="s">
        <v>2794</v>
      </c>
      <c r="F37" s="249" t="s">
        <v>2783</v>
      </c>
      <c r="G37" s="249" t="s">
        <v>2795</v>
      </c>
      <c r="H37" s="260"/>
      <c r="I37" s="181"/>
      <c r="J37" s="181"/>
      <c r="K37" s="181"/>
      <c r="L37" s="181"/>
      <c r="M37" s="181"/>
      <c r="N37" s="181"/>
      <c r="O37" s="181"/>
      <c r="P37" s="181"/>
      <c r="Q37" s="181"/>
      <c r="R37" s="181"/>
      <c r="S37" s="181"/>
      <c r="T37" s="181"/>
      <c r="U37" s="181"/>
      <c r="V37" s="181"/>
      <c r="W37" s="202"/>
      <c r="X37" s="181"/>
      <c r="Y37" s="181"/>
      <c r="Z37" s="181"/>
      <c r="AA37" s="181"/>
      <c r="AB37" s="202"/>
      <c r="AC37" s="202"/>
      <c r="AD37" s="202"/>
      <c r="AE37" s="202"/>
      <c r="AF37" s="202"/>
      <c r="AG37" s="202"/>
      <c r="AH37" s="203"/>
      <c r="AI37" s="493"/>
      <c r="AJ37" s="493"/>
      <c r="AK37" s="493"/>
      <c r="AL37" s="493"/>
      <c r="AM37" s="494"/>
      <c r="AN37" s="176"/>
    </row>
    <row r="38" ht="13.5" customHeight="1" outlineLevel="3">
      <c r="A38" s="833"/>
      <c r="B38" s="842"/>
      <c r="C38" s="100"/>
      <c r="D38" s="195"/>
      <c r="E38" s="834" t="s">
        <v>2796</v>
      </c>
      <c r="F38" s="249" t="s">
        <v>2783</v>
      </c>
      <c r="G38" s="249" t="s">
        <v>2797</v>
      </c>
      <c r="H38" s="260"/>
      <c r="I38" s="181"/>
      <c r="J38" s="181"/>
      <c r="K38" s="181"/>
      <c r="L38" s="181"/>
      <c r="M38" s="181"/>
      <c r="N38" s="181"/>
      <c r="O38" s="181"/>
      <c r="P38" s="181"/>
      <c r="Q38" s="181"/>
      <c r="R38" s="181"/>
      <c r="S38" s="181"/>
      <c r="T38" s="181"/>
      <c r="U38" s="181"/>
      <c r="V38" s="181"/>
      <c r="W38" s="202"/>
      <c r="X38" s="181"/>
      <c r="Y38" s="181"/>
      <c r="Z38" s="181"/>
      <c r="AA38" s="181"/>
      <c r="AB38" s="202"/>
      <c r="AC38" s="202"/>
      <c r="AD38" s="202"/>
      <c r="AE38" s="202"/>
      <c r="AF38" s="202"/>
      <c r="AG38" s="202"/>
      <c r="AH38" s="203"/>
      <c r="AI38" s="493"/>
      <c r="AJ38" s="493"/>
      <c r="AK38" s="493"/>
      <c r="AL38" s="493"/>
      <c r="AM38" s="494"/>
      <c r="AN38" s="176"/>
    </row>
    <row r="39" ht="13.5" customHeight="1" outlineLevel="3">
      <c r="A39" s="833"/>
      <c r="B39" s="842"/>
      <c r="C39" s="100"/>
      <c r="D39" s="195"/>
      <c r="E39" s="834" t="s">
        <v>2798</v>
      </c>
      <c r="F39" s="249" t="s">
        <v>2783</v>
      </c>
      <c r="G39" s="249" t="s">
        <v>2799</v>
      </c>
      <c r="H39" s="260"/>
      <c r="I39" s="181"/>
      <c r="J39" s="181"/>
      <c r="K39" s="181"/>
      <c r="L39" s="181"/>
      <c r="M39" s="181"/>
      <c r="N39" s="181"/>
      <c r="O39" s="181"/>
      <c r="P39" s="181"/>
      <c r="Q39" s="181"/>
      <c r="R39" s="181"/>
      <c r="S39" s="181"/>
      <c r="T39" s="181"/>
      <c r="U39" s="181"/>
      <c r="V39" s="181"/>
      <c r="W39" s="202"/>
      <c r="X39" s="181"/>
      <c r="Y39" s="181"/>
      <c r="Z39" s="181"/>
      <c r="AA39" s="181"/>
      <c r="AB39" s="202"/>
      <c r="AC39" s="202"/>
      <c r="AD39" s="202"/>
      <c r="AE39" s="202"/>
      <c r="AF39" s="202"/>
      <c r="AG39" s="202"/>
      <c r="AH39" s="203"/>
      <c r="AI39" s="493"/>
      <c r="AJ39" s="493"/>
      <c r="AK39" s="493"/>
      <c r="AL39" s="493"/>
      <c r="AM39" s="494"/>
      <c r="AN39" s="176"/>
    </row>
    <row r="40" ht="13.5" customHeight="1" outlineLevel="3">
      <c r="A40" s="833"/>
      <c r="B40" s="842"/>
      <c r="C40" s="100"/>
      <c r="D40" s="195"/>
      <c r="E40" s="834" t="s">
        <v>2800</v>
      </c>
      <c r="F40" s="249" t="s">
        <v>2783</v>
      </c>
      <c r="G40" s="249" t="s">
        <v>2801</v>
      </c>
      <c r="H40" s="260"/>
      <c r="I40" s="181"/>
      <c r="J40" s="181"/>
      <c r="K40" s="181"/>
      <c r="L40" s="181"/>
      <c r="M40" s="181"/>
      <c r="N40" s="181"/>
      <c r="O40" s="181"/>
      <c r="P40" s="181"/>
      <c r="Q40" s="181"/>
      <c r="R40" s="181"/>
      <c r="S40" s="181"/>
      <c r="T40" s="181"/>
      <c r="U40" s="181"/>
      <c r="V40" s="181"/>
      <c r="W40" s="202"/>
      <c r="X40" s="181"/>
      <c r="Y40" s="181"/>
      <c r="Z40" s="181"/>
      <c r="AA40" s="181"/>
      <c r="AB40" s="202"/>
      <c r="AC40" s="202"/>
      <c r="AD40" s="202"/>
      <c r="AE40" s="202"/>
      <c r="AF40" s="202"/>
      <c r="AG40" s="202"/>
      <c r="AH40" s="203"/>
      <c r="AI40" s="493"/>
      <c r="AJ40" s="493"/>
      <c r="AK40" s="493"/>
      <c r="AL40" s="493"/>
      <c r="AM40" s="494"/>
      <c r="AN40" s="176"/>
    </row>
    <row r="41" ht="13.5" customHeight="1" outlineLevel="3">
      <c r="A41" s="833"/>
      <c r="B41" s="842"/>
      <c r="C41" s="100"/>
      <c r="D41" s="195"/>
      <c r="E41" s="834" t="s">
        <v>2802</v>
      </c>
      <c r="F41" s="249" t="s">
        <v>2783</v>
      </c>
      <c r="G41" s="249" t="s">
        <v>2803</v>
      </c>
      <c r="H41" s="260"/>
      <c r="I41" s="181"/>
      <c r="J41" s="181"/>
      <c r="K41" s="181"/>
      <c r="L41" s="181"/>
      <c r="M41" s="181"/>
      <c r="N41" s="181"/>
      <c r="O41" s="181"/>
      <c r="P41" s="181"/>
      <c r="Q41" s="181"/>
      <c r="R41" s="181"/>
      <c r="S41" s="181"/>
      <c r="T41" s="181"/>
      <c r="U41" s="181"/>
      <c r="V41" s="181"/>
      <c r="W41" s="202"/>
      <c r="X41" s="181"/>
      <c r="Y41" s="181"/>
      <c r="Z41" s="181"/>
      <c r="AA41" s="181"/>
      <c r="AB41" s="202"/>
      <c r="AC41" s="202"/>
      <c r="AD41" s="202"/>
      <c r="AE41" s="202"/>
      <c r="AF41" s="202"/>
      <c r="AG41" s="202"/>
      <c r="AH41" s="203"/>
      <c r="AI41" s="493"/>
      <c r="AJ41" s="493"/>
      <c r="AK41" s="493"/>
      <c r="AL41" s="493"/>
      <c r="AM41" s="494"/>
      <c r="AN41" s="176"/>
    </row>
    <row r="42" ht="13.5" customHeight="1" outlineLevel="3">
      <c r="A42" s="833"/>
      <c r="B42" s="842"/>
      <c r="C42" s="100"/>
      <c r="D42" s="195"/>
      <c r="E42" s="834" t="s">
        <v>2804</v>
      </c>
      <c r="F42" s="249" t="s">
        <v>2783</v>
      </c>
      <c r="G42" s="249" t="s">
        <v>2805</v>
      </c>
      <c r="H42" s="260"/>
      <c r="I42" s="181"/>
      <c r="J42" s="181"/>
      <c r="K42" s="181"/>
      <c r="L42" s="181"/>
      <c r="M42" s="181"/>
      <c r="N42" s="181"/>
      <c r="O42" s="181"/>
      <c r="P42" s="181"/>
      <c r="Q42" s="181"/>
      <c r="R42" s="181"/>
      <c r="S42" s="181"/>
      <c r="T42" s="181"/>
      <c r="U42" s="181"/>
      <c r="V42" s="181"/>
      <c r="W42" s="202"/>
      <c r="X42" s="181"/>
      <c r="Y42" s="181"/>
      <c r="Z42" s="181"/>
      <c r="AA42" s="181"/>
      <c r="AB42" s="202"/>
      <c r="AC42" s="202"/>
      <c r="AD42" s="202"/>
      <c r="AE42" s="202"/>
      <c r="AF42" s="202"/>
      <c r="AG42" s="202"/>
      <c r="AH42" s="203"/>
      <c r="AI42" s="493"/>
      <c r="AJ42" s="493"/>
      <c r="AK42" s="493"/>
      <c r="AL42" s="493"/>
      <c r="AM42" s="494"/>
      <c r="AN42" s="176"/>
    </row>
    <row r="43" ht="13.5" customHeight="1" outlineLevel="3">
      <c r="A43" s="833"/>
      <c r="B43" s="842"/>
      <c r="C43" s="100"/>
      <c r="D43" s="195"/>
      <c r="E43" s="187" t="s">
        <v>2806</v>
      </c>
      <c r="F43" s="123" t="s">
        <v>2783</v>
      </c>
      <c r="G43" s="123" t="s">
        <v>2807</v>
      </c>
      <c r="H43" s="260"/>
      <c r="I43" s="181"/>
      <c r="J43" s="181"/>
      <c r="K43" s="181"/>
      <c r="L43" s="181"/>
      <c r="M43" s="181"/>
      <c r="N43" s="181"/>
      <c r="O43" s="181"/>
      <c r="P43" s="181"/>
      <c r="Q43" s="181"/>
      <c r="R43" s="181"/>
      <c r="S43" s="181"/>
      <c r="T43" s="181"/>
      <c r="U43" s="181"/>
      <c r="V43" s="181"/>
      <c r="W43" s="202"/>
      <c r="X43" s="181"/>
      <c r="Y43" s="181"/>
      <c r="Z43" s="181"/>
      <c r="AA43" s="181"/>
      <c r="AB43" s="202"/>
      <c r="AC43" s="202"/>
      <c r="AD43" s="202"/>
      <c r="AE43" s="202"/>
      <c r="AF43" s="202"/>
      <c r="AG43" s="202"/>
      <c r="AH43" s="203"/>
      <c r="AI43" s="493"/>
      <c r="AJ43" s="493"/>
      <c r="AK43" s="493"/>
      <c r="AL43" s="493"/>
      <c r="AM43" s="494"/>
      <c r="AN43" s="176"/>
    </row>
    <row r="44" ht="14.25" customHeight="1" outlineLevel="1">
      <c r="A44" s="833" t="s">
        <v>2808</v>
      </c>
      <c r="B44" s="841"/>
      <c r="C44" s="162"/>
      <c r="D44" s="195"/>
      <c r="E44" s="162"/>
      <c r="F44" s="162"/>
      <c r="G44" s="162"/>
      <c r="H44" s="178"/>
      <c r="I44" s="178"/>
      <c r="J44" s="178"/>
      <c r="K44" s="178"/>
      <c r="L44" s="178"/>
      <c r="M44" s="178"/>
      <c r="N44" s="178"/>
      <c r="O44" s="178"/>
      <c r="P44" s="178"/>
      <c r="Q44" s="178"/>
      <c r="R44" s="178"/>
      <c r="S44" s="178"/>
      <c r="T44" s="178"/>
      <c r="U44" s="178"/>
      <c r="V44" s="178"/>
      <c r="W44" s="836"/>
      <c r="X44" s="178"/>
      <c r="Y44" s="178"/>
      <c r="Z44" s="178"/>
      <c r="AA44" s="178"/>
      <c r="AB44" s="836"/>
      <c r="AC44" s="836"/>
      <c r="AD44" s="836"/>
      <c r="AE44" s="836"/>
      <c r="AF44" s="836"/>
      <c r="AG44" s="836"/>
      <c r="AH44" s="836"/>
      <c r="AI44" s="244"/>
      <c r="AJ44" s="244"/>
      <c r="AK44" s="244"/>
      <c r="AL44" s="244"/>
      <c r="AM44" s="244"/>
      <c r="AN44" s="176"/>
    </row>
    <row r="45" ht="14.25" customHeight="1" outlineLevel="2">
      <c r="A45" s="833"/>
      <c r="B45" s="842"/>
      <c r="C45" s="100"/>
      <c r="D45" s="195"/>
      <c r="E45" s="834" t="s">
        <v>2809</v>
      </c>
      <c r="F45" s="249" t="s">
        <v>2810</v>
      </c>
      <c r="G45" s="249" t="s">
        <v>2811</v>
      </c>
      <c r="H45" s="260"/>
      <c r="I45" s="181"/>
      <c r="J45" s="181"/>
      <c r="K45" s="181"/>
      <c r="L45" s="181"/>
      <c r="M45" s="181"/>
      <c r="N45" s="181"/>
      <c r="O45" s="181"/>
      <c r="P45" s="181"/>
      <c r="Q45" s="181"/>
      <c r="R45" s="181"/>
      <c r="S45" s="181"/>
      <c r="T45" s="181"/>
      <c r="U45" s="181"/>
      <c r="V45" s="181"/>
      <c r="W45" s="202"/>
      <c r="X45" s="181"/>
      <c r="Y45" s="181"/>
      <c r="Z45" s="181"/>
      <c r="AA45" s="181"/>
      <c r="AB45" s="202"/>
      <c r="AC45" s="202"/>
      <c r="AD45" s="202"/>
      <c r="AE45" s="202"/>
      <c r="AF45" s="202"/>
      <c r="AG45" s="202"/>
      <c r="AH45" s="203"/>
      <c r="AI45" s="493"/>
      <c r="AJ45" s="493"/>
      <c r="AK45" s="493"/>
      <c r="AL45" s="493"/>
      <c r="AM45" s="494"/>
      <c r="AN45" s="176"/>
    </row>
    <row r="46" ht="14.25" customHeight="1" outlineLevel="2">
      <c r="A46" s="833"/>
      <c r="B46" s="842"/>
      <c r="C46" s="100"/>
      <c r="D46" s="195"/>
      <c r="E46" s="834" t="s">
        <v>2812</v>
      </c>
      <c r="F46" s="249" t="s">
        <v>2810</v>
      </c>
      <c r="G46" s="249" t="s">
        <v>2813</v>
      </c>
      <c r="H46" s="260"/>
      <c r="I46" s="181"/>
      <c r="J46" s="181"/>
      <c r="K46" s="181"/>
      <c r="L46" s="181"/>
      <c r="M46" s="181"/>
      <c r="N46" s="181"/>
      <c r="O46" s="181"/>
      <c r="P46" s="181"/>
      <c r="Q46" s="181"/>
      <c r="R46" s="181"/>
      <c r="S46" s="181"/>
      <c r="T46" s="181"/>
      <c r="U46" s="181"/>
      <c r="V46" s="181"/>
      <c r="W46" s="202"/>
      <c r="X46" s="181"/>
      <c r="Y46" s="181"/>
      <c r="Z46" s="181"/>
      <c r="AA46" s="181"/>
      <c r="AB46" s="202"/>
      <c r="AC46" s="202"/>
      <c r="AD46" s="202"/>
      <c r="AE46" s="202"/>
      <c r="AF46" s="202"/>
      <c r="AG46" s="202"/>
      <c r="AH46" s="203"/>
      <c r="AI46" s="493"/>
      <c r="AJ46" s="493"/>
      <c r="AK46" s="493"/>
      <c r="AL46" s="493"/>
      <c r="AM46" s="494"/>
      <c r="AN46" s="176"/>
    </row>
    <row r="47" ht="14.25" customHeight="1" outlineLevel="2">
      <c r="A47" s="833"/>
      <c r="B47" s="842"/>
      <c r="C47" s="100"/>
      <c r="D47" s="195"/>
      <c r="E47" s="834" t="s">
        <v>2814</v>
      </c>
      <c r="F47" s="249" t="s">
        <v>2810</v>
      </c>
      <c r="G47" s="249" t="s">
        <v>2815</v>
      </c>
      <c r="H47" s="260"/>
      <c r="I47" s="181"/>
      <c r="J47" s="181"/>
      <c r="K47" s="181"/>
      <c r="L47" s="181"/>
      <c r="M47" s="181"/>
      <c r="N47" s="181"/>
      <c r="O47" s="181"/>
      <c r="P47" s="181"/>
      <c r="Q47" s="181"/>
      <c r="R47" s="181"/>
      <c r="S47" s="181"/>
      <c r="T47" s="181"/>
      <c r="U47" s="181"/>
      <c r="V47" s="181"/>
      <c r="W47" s="202"/>
      <c r="X47" s="181"/>
      <c r="Y47" s="181"/>
      <c r="Z47" s="181"/>
      <c r="AA47" s="181"/>
      <c r="AB47" s="202"/>
      <c r="AC47" s="202"/>
      <c r="AD47" s="202"/>
      <c r="AE47" s="202"/>
      <c r="AF47" s="202"/>
      <c r="AG47" s="202"/>
      <c r="AH47" s="203"/>
      <c r="AI47" s="493"/>
      <c r="AJ47" s="493"/>
      <c r="AK47" s="493"/>
      <c r="AL47" s="493"/>
      <c r="AM47" s="494"/>
      <c r="AN47" s="176"/>
    </row>
    <row r="48" ht="14.25" customHeight="1" outlineLevel="2">
      <c r="A48" s="844"/>
      <c r="B48" s="100"/>
      <c r="C48" s="100"/>
      <c r="D48" s="195"/>
      <c r="E48" s="187" t="s">
        <v>2816</v>
      </c>
      <c r="F48" s="123" t="s">
        <v>2810</v>
      </c>
      <c r="G48" s="123" t="s">
        <v>2817</v>
      </c>
      <c r="H48" s="260"/>
      <c r="I48" s="181"/>
      <c r="J48" s="181"/>
      <c r="K48" s="181"/>
      <c r="L48" s="181"/>
      <c r="M48" s="181"/>
      <c r="N48" s="181"/>
      <c r="O48" s="181"/>
      <c r="P48" s="181"/>
      <c r="Q48" s="181"/>
      <c r="R48" s="181"/>
      <c r="S48" s="181"/>
      <c r="T48" s="181"/>
      <c r="U48" s="181"/>
      <c r="V48" s="181"/>
      <c r="W48" s="202"/>
      <c r="X48" s="181"/>
      <c r="Y48" s="181"/>
      <c r="Z48" s="181"/>
      <c r="AA48" s="181"/>
      <c r="AB48" s="202"/>
      <c r="AC48" s="202"/>
      <c r="AD48" s="202"/>
      <c r="AE48" s="202"/>
      <c r="AF48" s="202"/>
      <c r="AG48" s="202"/>
      <c r="AH48" s="203"/>
      <c r="AI48" s="493"/>
      <c r="AJ48" s="493"/>
      <c r="AK48" s="493"/>
      <c r="AL48" s="493"/>
      <c r="AM48" s="494"/>
      <c r="AN48" s="176"/>
    </row>
    <row r="49" ht="9.75" customHeight="1">
      <c r="A49" s="166"/>
      <c r="B49" s="167"/>
      <c r="C49" s="167"/>
      <c r="D49" s="167"/>
      <c r="E49" s="167"/>
      <c r="F49" s="168"/>
      <c r="G49" s="168"/>
      <c r="H49" s="169"/>
      <c r="I49" s="169"/>
      <c r="J49" s="169"/>
      <c r="K49" s="169"/>
      <c r="L49" s="169"/>
      <c r="M49" s="169"/>
      <c r="N49" s="169"/>
      <c r="O49" s="169"/>
      <c r="P49" s="169"/>
      <c r="Q49" s="169"/>
      <c r="R49" s="169"/>
      <c r="S49" s="169"/>
      <c r="T49" s="169"/>
      <c r="U49" s="169"/>
      <c r="V49" s="169"/>
      <c r="W49" s="169"/>
      <c r="X49" s="169"/>
      <c r="Y49" s="169"/>
      <c r="Z49" s="169"/>
      <c r="AA49" s="169"/>
      <c r="AB49" s="837"/>
      <c r="AC49" s="837"/>
      <c r="AD49" s="837"/>
      <c r="AE49" s="837"/>
      <c r="AF49" s="837"/>
      <c r="AG49" s="837"/>
      <c r="AH49" s="837"/>
      <c r="AI49" s="448"/>
      <c r="AJ49" s="448"/>
      <c r="AK49" s="448"/>
      <c r="AL49" s="448"/>
      <c r="AM49" s="448"/>
      <c r="AN49" s="102"/>
    </row>
    <row r="50" ht="14.25" customHeight="1">
      <c r="A50" s="829" t="s">
        <v>34</v>
      </c>
      <c r="B50" s="830"/>
      <c r="C50" s="830"/>
      <c r="D50" s="830"/>
      <c r="E50" s="830"/>
      <c r="F50" s="830"/>
      <c r="G50" s="830"/>
      <c r="H50" s="831"/>
      <c r="I50" s="831"/>
      <c r="J50" s="831"/>
      <c r="K50" s="831"/>
      <c r="L50" s="831"/>
      <c r="M50" s="831"/>
      <c r="N50" s="831"/>
      <c r="O50" s="831"/>
      <c r="P50" s="831"/>
      <c r="Q50" s="831"/>
      <c r="R50" s="831"/>
      <c r="S50" s="831"/>
      <c r="T50" s="831"/>
      <c r="U50" s="831"/>
      <c r="V50" s="831"/>
      <c r="W50" s="831"/>
      <c r="X50" s="831"/>
      <c r="Y50" s="831"/>
      <c r="Z50" s="831"/>
      <c r="AA50" s="831"/>
      <c r="AB50" s="845"/>
      <c r="AC50" s="845"/>
      <c r="AD50" s="845"/>
      <c r="AE50" s="845"/>
      <c r="AF50" s="845"/>
      <c r="AG50" s="845"/>
      <c r="AH50" s="845"/>
      <c r="AI50" s="832"/>
      <c r="AJ50" s="832"/>
      <c r="AK50" s="832"/>
      <c r="AL50" s="832"/>
      <c r="AM50" s="832"/>
      <c r="AN50" s="102"/>
    </row>
    <row r="51" ht="14.25" customHeight="1" outlineLevel="1">
      <c r="A51" s="833" t="s">
        <v>2818</v>
      </c>
      <c r="B51" s="846"/>
      <c r="C51" s="846"/>
      <c r="D51" s="195"/>
      <c r="E51" s="162"/>
      <c r="F51" s="162"/>
      <c r="G51" s="162"/>
      <c r="H51" s="178"/>
      <c r="I51" s="178"/>
      <c r="J51" s="178"/>
      <c r="K51" s="178"/>
      <c r="L51" s="178"/>
      <c r="M51" s="178"/>
      <c r="N51" s="178"/>
      <c r="O51" s="178"/>
      <c r="P51" s="178"/>
      <c r="Q51" s="178"/>
      <c r="R51" s="178"/>
      <c r="S51" s="178"/>
      <c r="T51" s="178"/>
      <c r="U51" s="178"/>
      <c r="V51" s="178"/>
      <c r="W51" s="178"/>
      <c r="X51" s="178"/>
      <c r="Y51" s="178"/>
      <c r="Z51" s="178"/>
      <c r="AA51" s="178"/>
      <c r="AB51" s="836"/>
      <c r="AC51" s="836"/>
      <c r="AD51" s="836"/>
      <c r="AE51" s="836"/>
      <c r="AF51" s="836"/>
      <c r="AG51" s="836"/>
      <c r="AH51" s="836"/>
      <c r="AI51" s="244"/>
      <c r="AJ51" s="244"/>
      <c r="AK51" s="244"/>
      <c r="AL51" s="244"/>
      <c r="AM51" s="244"/>
      <c r="AN51" s="176"/>
    </row>
    <row r="52" ht="14.25" customHeight="1" outlineLevel="3">
      <c r="A52" s="833"/>
      <c r="B52" s="842"/>
      <c r="C52" s="842"/>
      <c r="D52" s="847"/>
      <c r="E52" s="834" t="s">
        <v>2819</v>
      </c>
      <c r="F52" s="249" t="s">
        <v>1572</v>
      </c>
      <c r="G52" s="249" t="s">
        <v>2820</v>
      </c>
      <c r="H52" s="260"/>
      <c r="I52" s="181"/>
      <c r="J52" s="181"/>
      <c r="K52" s="181"/>
      <c r="L52" s="181"/>
      <c r="M52" s="181"/>
      <c r="N52" s="181"/>
      <c r="O52" s="181"/>
      <c r="P52" s="181"/>
      <c r="Q52" s="181"/>
      <c r="R52" s="181"/>
      <c r="S52" s="181"/>
      <c r="T52" s="181"/>
      <c r="U52" s="181"/>
      <c r="V52" s="181"/>
      <c r="W52" s="202"/>
      <c r="X52" s="181"/>
      <c r="Y52" s="181"/>
      <c r="Z52" s="181"/>
      <c r="AA52" s="181"/>
      <c r="AB52" s="202"/>
      <c r="AC52" s="202"/>
      <c r="AD52" s="202"/>
      <c r="AE52" s="202"/>
      <c r="AF52" s="202"/>
      <c r="AG52" s="202"/>
      <c r="AH52" s="203"/>
      <c r="AI52" s="493"/>
      <c r="AJ52" s="493"/>
      <c r="AK52" s="493"/>
      <c r="AL52" s="493"/>
      <c r="AM52" s="494"/>
      <c r="AN52" s="176"/>
    </row>
    <row r="53" ht="14.25" customHeight="1" outlineLevel="3">
      <c r="A53" s="833"/>
      <c r="B53" s="842"/>
      <c r="C53" s="842"/>
      <c r="D53" s="847"/>
      <c r="E53" s="834" t="s">
        <v>2821</v>
      </c>
      <c r="F53" s="249" t="s">
        <v>1572</v>
      </c>
      <c r="G53" s="249" t="s">
        <v>2822</v>
      </c>
      <c r="H53" s="260"/>
      <c r="I53" s="181"/>
      <c r="J53" s="181"/>
      <c r="K53" s="181"/>
      <c r="L53" s="181"/>
      <c r="M53" s="181"/>
      <c r="N53" s="181"/>
      <c r="O53" s="181"/>
      <c r="P53" s="181"/>
      <c r="Q53" s="181"/>
      <c r="R53" s="181"/>
      <c r="S53" s="181"/>
      <c r="T53" s="181"/>
      <c r="U53" s="181"/>
      <c r="V53" s="181"/>
      <c r="W53" s="202"/>
      <c r="X53" s="181"/>
      <c r="Y53" s="181"/>
      <c r="Z53" s="181"/>
      <c r="AA53" s="181"/>
      <c r="AB53" s="202"/>
      <c r="AC53" s="202"/>
      <c r="AD53" s="202"/>
      <c r="AE53" s="202"/>
      <c r="AF53" s="202"/>
      <c r="AG53" s="202"/>
      <c r="AH53" s="203"/>
      <c r="AI53" s="493"/>
      <c r="AJ53" s="493"/>
      <c r="AK53" s="493"/>
      <c r="AL53" s="493"/>
      <c r="AM53" s="494"/>
      <c r="AN53" s="176"/>
    </row>
    <row r="54" ht="14.25" customHeight="1" outlineLevel="3">
      <c r="A54" s="833"/>
      <c r="B54" s="842"/>
      <c r="C54" s="842"/>
      <c r="D54" s="847"/>
      <c r="E54" s="187" t="s">
        <v>2823</v>
      </c>
      <c r="F54" s="123" t="s">
        <v>261</v>
      </c>
      <c r="G54" s="123" t="s">
        <v>2824</v>
      </c>
      <c r="H54" s="253"/>
      <c r="I54" s="254"/>
      <c r="J54" s="254"/>
      <c r="K54" s="254"/>
      <c r="L54" s="254"/>
      <c r="M54" s="254"/>
      <c r="N54" s="254"/>
      <c r="O54" s="254"/>
      <c r="P54" s="254"/>
      <c r="Q54" s="254"/>
      <c r="R54" s="254"/>
      <c r="S54" s="254"/>
      <c r="T54" s="254"/>
      <c r="U54" s="254"/>
      <c r="V54" s="254"/>
      <c r="W54" s="279"/>
      <c r="X54" s="254"/>
      <c r="Y54" s="254"/>
      <c r="Z54" s="254"/>
      <c r="AA54" s="254"/>
      <c r="AB54" s="279"/>
      <c r="AC54" s="279"/>
      <c r="AD54" s="279"/>
      <c r="AE54" s="279"/>
      <c r="AF54" s="279"/>
      <c r="AG54" s="279"/>
      <c r="AH54" s="835"/>
      <c r="AI54" s="493"/>
      <c r="AJ54" s="493"/>
      <c r="AK54" s="493"/>
      <c r="AL54" s="493"/>
      <c r="AM54" s="494"/>
      <c r="AN54" s="176"/>
    </row>
    <row r="55" ht="14.25" customHeight="1" outlineLevel="1">
      <c r="A55" s="833" t="s">
        <v>2825</v>
      </c>
      <c r="B55" s="841"/>
      <c r="C55" s="841"/>
      <c r="D55" s="847"/>
      <c r="E55" s="162"/>
      <c r="F55" s="162"/>
      <c r="G55" s="162"/>
      <c r="H55" s="178"/>
      <c r="I55" s="178"/>
      <c r="J55" s="178"/>
      <c r="K55" s="178"/>
      <c r="L55" s="178"/>
      <c r="M55" s="178"/>
      <c r="N55" s="178"/>
      <c r="O55" s="178"/>
      <c r="P55" s="178"/>
      <c r="Q55" s="178"/>
      <c r="R55" s="178"/>
      <c r="S55" s="178"/>
      <c r="T55" s="178"/>
      <c r="U55" s="178"/>
      <c r="V55" s="178"/>
      <c r="W55" s="836"/>
      <c r="X55" s="178"/>
      <c r="Y55" s="178"/>
      <c r="Z55" s="178"/>
      <c r="AA55" s="178"/>
      <c r="AB55" s="836"/>
      <c r="AC55" s="836"/>
      <c r="AD55" s="836"/>
      <c r="AE55" s="836"/>
      <c r="AF55" s="836"/>
      <c r="AG55" s="836"/>
      <c r="AH55" s="836"/>
      <c r="AI55" s="244"/>
      <c r="AJ55" s="244"/>
      <c r="AK55" s="244"/>
      <c r="AL55" s="244"/>
      <c r="AM55" s="244"/>
      <c r="AN55" s="176"/>
    </row>
    <row r="56" ht="14.25" customHeight="1" outlineLevel="2">
      <c r="A56" s="833"/>
      <c r="B56" s="841" t="s">
        <v>2826</v>
      </c>
      <c r="C56" s="842"/>
      <c r="D56" s="847"/>
      <c r="E56" s="162"/>
      <c r="F56" s="162"/>
      <c r="G56" s="162"/>
      <c r="H56" s="178"/>
      <c r="I56" s="178"/>
      <c r="J56" s="178"/>
      <c r="K56" s="178"/>
      <c r="L56" s="178"/>
      <c r="M56" s="178"/>
      <c r="N56" s="178"/>
      <c r="O56" s="178"/>
      <c r="P56" s="178"/>
      <c r="Q56" s="178"/>
      <c r="R56" s="178"/>
      <c r="S56" s="178"/>
      <c r="T56" s="178"/>
      <c r="U56" s="178"/>
      <c r="V56" s="178"/>
      <c r="W56" s="836"/>
      <c r="X56" s="178"/>
      <c r="Y56" s="178"/>
      <c r="Z56" s="178"/>
      <c r="AA56" s="178"/>
      <c r="AB56" s="836"/>
      <c r="AC56" s="836"/>
      <c r="AD56" s="836"/>
      <c r="AE56" s="836"/>
      <c r="AF56" s="836"/>
      <c r="AG56" s="836"/>
      <c r="AH56" s="836"/>
      <c r="AI56" s="244"/>
      <c r="AJ56" s="244"/>
      <c r="AK56" s="244"/>
      <c r="AL56" s="244"/>
      <c r="AM56" s="244"/>
      <c r="AN56" s="176"/>
    </row>
    <row r="57" ht="14.25" customHeight="1" outlineLevel="3">
      <c r="A57" s="833"/>
      <c r="B57" s="842"/>
      <c r="C57" s="841" t="s">
        <v>2827</v>
      </c>
      <c r="D57" s="847"/>
      <c r="E57" s="162"/>
      <c r="F57" s="162"/>
      <c r="G57" s="162"/>
      <c r="H57" s="178"/>
      <c r="I57" s="178"/>
      <c r="J57" s="178"/>
      <c r="K57" s="178"/>
      <c r="L57" s="178"/>
      <c r="M57" s="178"/>
      <c r="N57" s="178"/>
      <c r="O57" s="178"/>
      <c r="P57" s="178"/>
      <c r="Q57" s="178"/>
      <c r="R57" s="178"/>
      <c r="S57" s="178"/>
      <c r="T57" s="178"/>
      <c r="U57" s="178"/>
      <c r="V57" s="178"/>
      <c r="W57" s="836"/>
      <c r="X57" s="178"/>
      <c r="Y57" s="178"/>
      <c r="Z57" s="178"/>
      <c r="AA57" s="178"/>
      <c r="AB57" s="836"/>
      <c r="AC57" s="836"/>
      <c r="AD57" s="836"/>
      <c r="AE57" s="836"/>
      <c r="AF57" s="836"/>
      <c r="AG57" s="836"/>
      <c r="AH57" s="836"/>
      <c r="AI57" s="244"/>
      <c r="AJ57" s="244"/>
      <c r="AK57" s="244"/>
      <c r="AL57" s="244"/>
      <c r="AM57" s="244"/>
      <c r="AN57" s="176"/>
    </row>
    <row r="58" ht="14.25" customHeight="1" outlineLevel="4">
      <c r="A58" s="848"/>
      <c r="B58" s="841"/>
      <c r="C58" s="842"/>
      <c r="D58" s="842"/>
      <c r="E58" s="834" t="s">
        <v>2828</v>
      </c>
      <c r="F58" s="249" t="s">
        <v>261</v>
      </c>
      <c r="G58" s="249" t="s">
        <v>2829</v>
      </c>
      <c r="H58" s="253"/>
      <c r="I58" s="254"/>
      <c r="J58" s="254"/>
      <c r="K58" s="254"/>
      <c r="L58" s="254"/>
      <c r="M58" s="254"/>
      <c r="N58" s="254"/>
      <c r="O58" s="254"/>
      <c r="P58" s="254"/>
      <c r="Q58" s="254"/>
      <c r="R58" s="254"/>
      <c r="S58" s="254"/>
      <c r="T58" s="254"/>
      <c r="U58" s="254"/>
      <c r="V58" s="254"/>
      <c r="W58" s="279"/>
      <c r="X58" s="254"/>
      <c r="Y58" s="254"/>
      <c r="Z58" s="254"/>
      <c r="AA58" s="254"/>
      <c r="AB58" s="279"/>
      <c r="AC58" s="279"/>
      <c r="AD58" s="279"/>
      <c r="AE58" s="279"/>
      <c r="AF58" s="279"/>
      <c r="AG58" s="279"/>
      <c r="AH58" s="835"/>
      <c r="AI58" s="493"/>
      <c r="AJ58" s="493"/>
      <c r="AK58" s="493"/>
      <c r="AL58" s="493"/>
      <c r="AM58" s="494"/>
      <c r="AN58" s="176"/>
    </row>
    <row r="59" ht="14.25" customHeight="1" outlineLevel="4">
      <c r="A59" s="848"/>
      <c r="B59" s="841"/>
      <c r="C59" s="842"/>
      <c r="D59" s="842"/>
      <c r="E59" s="834" t="s">
        <v>2830</v>
      </c>
      <c r="F59" s="249" t="s">
        <v>261</v>
      </c>
      <c r="G59" s="249" t="s">
        <v>2831</v>
      </c>
      <c r="H59" s="253"/>
      <c r="I59" s="254"/>
      <c r="J59" s="254"/>
      <c r="K59" s="254"/>
      <c r="L59" s="254"/>
      <c r="M59" s="254"/>
      <c r="N59" s="254"/>
      <c r="O59" s="254"/>
      <c r="P59" s="254"/>
      <c r="Q59" s="254"/>
      <c r="R59" s="254"/>
      <c r="S59" s="254"/>
      <c r="T59" s="254"/>
      <c r="U59" s="254"/>
      <c r="V59" s="254"/>
      <c r="W59" s="279"/>
      <c r="X59" s="254"/>
      <c r="Y59" s="254"/>
      <c r="Z59" s="254"/>
      <c r="AA59" s="254"/>
      <c r="AB59" s="279"/>
      <c r="AC59" s="279"/>
      <c r="AD59" s="279"/>
      <c r="AE59" s="279"/>
      <c r="AF59" s="279"/>
      <c r="AG59" s="279"/>
      <c r="AH59" s="835"/>
      <c r="AI59" s="493"/>
      <c r="AJ59" s="493"/>
      <c r="AK59" s="493"/>
      <c r="AL59" s="493"/>
      <c r="AM59" s="494"/>
      <c r="AN59" s="176"/>
    </row>
    <row r="60" ht="14.25" customHeight="1" outlineLevel="4">
      <c r="A60" s="848"/>
      <c r="B60" s="841"/>
      <c r="C60" s="842"/>
      <c r="D60" s="842"/>
      <c r="E60" s="187" t="s">
        <v>2832</v>
      </c>
      <c r="F60" s="123" t="s">
        <v>261</v>
      </c>
      <c r="G60" s="123" t="s">
        <v>2833</v>
      </c>
      <c r="H60" s="253"/>
      <c r="I60" s="254"/>
      <c r="J60" s="254"/>
      <c r="K60" s="254"/>
      <c r="L60" s="254"/>
      <c r="M60" s="254"/>
      <c r="N60" s="254"/>
      <c r="O60" s="254"/>
      <c r="P60" s="254"/>
      <c r="Q60" s="254"/>
      <c r="R60" s="254"/>
      <c r="S60" s="254"/>
      <c r="T60" s="254"/>
      <c r="U60" s="254"/>
      <c r="V60" s="254"/>
      <c r="W60" s="279"/>
      <c r="X60" s="254"/>
      <c r="Y60" s="254"/>
      <c r="Z60" s="254"/>
      <c r="AA60" s="254"/>
      <c r="AB60" s="279"/>
      <c r="AC60" s="279"/>
      <c r="AD60" s="279"/>
      <c r="AE60" s="279"/>
      <c r="AF60" s="279"/>
      <c r="AG60" s="279"/>
      <c r="AH60" s="835"/>
      <c r="AI60" s="493"/>
      <c r="AJ60" s="493"/>
      <c r="AK60" s="493"/>
      <c r="AL60" s="493"/>
      <c r="AM60" s="494"/>
      <c r="AN60" s="176"/>
    </row>
    <row r="61" ht="14.25" customHeight="1" outlineLevel="3">
      <c r="A61" s="848"/>
      <c r="B61" s="841"/>
      <c r="C61" s="841" t="s">
        <v>2834</v>
      </c>
      <c r="D61" s="847"/>
      <c r="E61" s="162"/>
      <c r="F61" s="162"/>
      <c r="G61" s="162"/>
      <c r="H61" s="178"/>
      <c r="I61" s="178"/>
      <c r="J61" s="178"/>
      <c r="K61" s="178"/>
      <c r="L61" s="178"/>
      <c r="M61" s="178"/>
      <c r="N61" s="178"/>
      <c r="O61" s="178"/>
      <c r="P61" s="178"/>
      <c r="Q61" s="178"/>
      <c r="R61" s="178"/>
      <c r="S61" s="178"/>
      <c r="T61" s="178"/>
      <c r="U61" s="178"/>
      <c r="V61" s="178"/>
      <c r="W61" s="836"/>
      <c r="X61" s="178"/>
      <c r="Y61" s="178"/>
      <c r="Z61" s="178"/>
      <c r="AA61" s="178"/>
      <c r="AB61" s="836"/>
      <c r="AC61" s="836"/>
      <c r="AD61" s="836"/>
      <c r="AE61" s="836"/>
      <c r="AF61" s="836"/>
      <c r="AG61" s="836"/>
      <c r="AH61" s="836"/>
      <c r="AI61" s="244"/>
      <c r="AJ61" s="244"/>
      <c r="AK61" s="244"/>
      <c r="AL61" s="244"/>
      <c r="AM61" s="244"/>
      <c r="AN61" s="176"/>
    </row>
    <row r="62" ht="13.5" customHeight="1" outlineLevel="4">
      <c r="A62" s="848"/>
      <c r="B62" s="841"/>
      <c r="C62" s="842"/>
      <c r="D62" s="847"/>
      <c r="E62" s="834" t="s">
        <v>2835</v>
      </c>
      <c r="F62" s="249" t="s">
        <v>2810</v>
      </c>
      <c r="G62" s="249" t="s">
        <v>2836</v>
      </c>
      <c r="H62" s="260"/>
      <c r="I62" s="181"/>
      <c r="J62" s="181"/>
      <c r="K62" s="181"/>
      <c r="L62" s="181"/>
      <c r="M62" s="181"/>
      <c r="N62" s="181"/>
      <c r="O62" s="181"/>
      <c r="P62" s="181"/>
      <c r="Q62" s="181"/>
      <c r="R62" s="181"/>
      <c r="S62" s="181"/>
      <c r="T62" s="181"/>
      <c r="U62" s="181"/>
      <c r="V62" s="181"/>
      <c r="W62" s="202"/>
      <c r="X62" s="181"/>
      <c r="Y62" s="181"/>
      <c r="Z62" s="181"/>
      <c r="AA62" s="181"/>
      <c r="AB62" s="202"/>
      <c r="AC62" s="202"/>
      <c r="AD62" s="202"/>
      <c r="AE62" s="202"/>
      <c r="AF62" s="202"/>
      <c r="AG62" s="202"/>
      <c r="AH62" s="203"/>
      <c r="AI62" s="493"/>
      <c r="AJ62" s="493"/>
      <c r="AK62" s="493"/>
      <c r="AL62" s="493"/>
      <c r="AM62" s="494"/>
      <c r="AN62" s="176"/>
    </row>
    <row r="63" ht="13.5" customHeight="1" outlineLevel="4">
      <c r="A63" s="848"/>
      <c r="B63" s="841"/>
      <c r="C63" s="842"/>
      <c r="D63" s="847"/>
      <c r="E63" s="834" t="s">
        <v>2837</v>
      </c>
      <c r="F63" s="249" t="s">
        <v>2810</v>
      </c>
      <c r="G63" s="249" t="s">
        <v>2838</v>
      </c>
      <c r="H63" s="260"/>
      <c r="I63" s="181"/>
      <c r="J63" s="181"/>
      <c r="K63" s="181"/>
      <c r="L63" s="181"/>
      <c r="M63" s="181"/>
      <c r="N63" s="181"/>
      <c r="O63" s="181"/>
      <c r="P63" s="181"/>
      <c r="Q63" s="181"/>
      <c r="R63" s="181"/>
      <c r="S63" s="181"/>
      <c r="T63" s="181"/>
      <c r="U63" s="181"/>
      <c r="V63" s="181"/>
      <c r="W63" s="202"/>
      <c r="X63" s="181"/>
      <c r="Y63" s="181"/>
      <c r="Z63" s="181"/>
      <c r="AA63" s="181"/>
      <c r="AB63" s="202"/>
      <c r="AC63" s="202"/>
      <c r="AD63" s="202"/>
      <c r="AE63" s="202"/>
      <c r="AF63" s="202"/>
      <c r="AG63" s="202"/>
      <c r="AH63" s="203"/>
      <c r="AI63" s="493"/>
      <c r="AJ63" s="493"/>
      <c r="AK63" s="493"/>
      <c r="AL63" s="493"/>
      <c r="AM63" s="494"/>
      <c r="AN63" s="176"/>
    </row>
    <row r="64" ht="13.5" customHeight="1" outlineLevel="4">
      <c r="A64" s="848"/>
      <c r="B64" s="841"/>
      <c r="C64" s="842"/>
      <c r="D64" s="847"/>
      <c r="E64" s="834" t="s">
        <v>2839</v>
      </c>
      <c r="F64" s="249" t="s">
        <v>2810</v>
      </c>
      <c r="G64" s="249" t="s">
        <v>2840</v>
      </c>
      <c r="H64" s="260"/>
      <c r="I64" s="181"/>
      <c r="J64" s="181"/>
      <c r="K64" s="181"/>
      <c r="L64" s="181"/>
      <c r="M64" s="181"/>
      <c r="N64" s="181"/>
      <c r="O64" s="181"/>
      <c r="P64" s="181"/>
      <c r="Q64" s="181"/>
      <c r="R64" s="181"/>
      <c r="S64" s="181"/>
      <c r="T64" s="181"/>
      <c r="U64" s="181"/>
      <c r="V64" s="181"/>
      <c r="W64" s="202"/>
      <c r="X64" s="181"/>
      <c r="Y64" s="181"/>
      <c r="Z64" s="181"/>
      <c r="AA64" s="181"/>
      <c r="AB64" s="202"/>
      <c r="AC64" s="202"/>
      <c r="AD64" s="202"/>
      <c r="AE64" s="202"/>
      <c r="AF64" s="202"/>
      <c r="AG64" s="202"/>
      <c r="AH64" s="203"/>
      <c r="AI64" s="493"/>
      <c r="AJ64" s="493"/>
      <c r="AK64" s="493"/>
      <c r="AL64" s="493"/>
      <c r="AM64" s="494"/>
      <c r="AN64" s="176"/>
    </row>
    <row r="65" ht="13.5" customHeight="1" outlineLevel="4">
      <c r="A65" s="848"/>
      <c r="B65" s="841"/>
      <c r="C65" s="842"/>
      <c r="D65" s="847"/>
      <c r="E65" s="834" t="s">
        <v>2841</v>
      </c>
      <c r="F65" s="249" t="s">
        <v>2810</v>
      </c>
      <c r="G65" s="249" t="s">
        <v>2842</v>
      </c>
      <c r="H65" s="260"/>
      <c r="I65" s="181"/>
      <c r="J65" s="181"/>
      <c r="K65" s="181"/>
      <c r="L65" s="181"/>
      <c r="M65" s="181"/>
      <c r="N65" s="181"/>
      <c r="O65" s="181"/>
      <c r="P65" s="181"/>
      <c r="Q65" s="181"/>
      <c r="R65" s="181"/>
      <c r="S65" s="181"/>
      <c r="T65" s="181"/>
      <c r="U65" s="181"/>
      <c r="V65" s="181"/>
      <c r="W65" s="202"/>
      <c r="X65" s="181"/>
      <c r="Y65" s="181"/>
      <c r="Z65" s="181"/>
      <c r="AA65" s="181"/>
      <c r="AB65" s="202"/>
      <c r="AC65" s="202"/>
      <c r="AD65" s="202"/>
      <c r="AE65" s="202"/>
      <c r="AF65" s="202"/>
      <c r="AG65" s="202"/>
      <c r="AH65" s="203"/>
      <c r="AI65" s="493"/>
      <c r="AJ65" s="493"/>
      <c r="AK65" s="493"/>
      <c r="AL65" s="493"/>
      <c r="AM65" s="494"/>
      <c r="AN65" s="176"/>
    </row>
    <row r="66" ht="13.5" customHeight="1" outlineLevel="4">
      <c r="A66" s="848"/>
      <c r="B66" s="841"/>
      <c r="C66" s="842"/>
      <c r="D66" s="847"/>
      <c r="E66" s="834" t="s">
        <v>2843</v>
      </c>
      <c r="F66" s="249" t="s">
        <v>2810</v>
      </c>
      <c r="G66" s="249" t="s">
        <v>2844</v>
      </c>
      <c r="H66" s="260"/>
      <c r="I66" s="181"/>
      <c r="J66" s="181"/>
      <c r="K66" s="181"/>
      <c r="L66" s="181"/>
      <c r="M66" s="181"/>
      <c r="N66" s="181"/>
      <c r="O66" s="181"/>
      <c r="P66" s="181"/>
      <c r="Q66" s="181"/>
      <c r="R66" s="181"/>
      <c r="S66" s="181"/>
      <c r="T66" s="181"/>
      <c r="U66" s="181"/>
      <c r="V66" s="181"/>
      <c r="W66" s="202"/>
      <c r="X66" s="181"/>
      <c r="Y66" s="181"/>
      <c r="Z66" s="181"/>
      <c r="AA66" s="181"/>
      <c r="AB66" s="202"/>
      <c r="AC66" s="202"/>
      <c r="AD66" s="202"/>
      <c r="AE66" s="202"/>
      <c r="AF66" s="202"/>
      <c r="AG66" s="202"/>
      <c r="AH66" s="203"/>
      <c r="AI66" s="493"/>
      <c r="AJ66" s="493"/>
      <c r="AK66" s="493"/>
      <c r="AL66" s="493"/>
      <c r="AM66" s="494"/>
      <c r="AN66" s="176"/>
    </row>
    <row r="67" ht="13.5" customHeight="1" outlineLevel="4">
      <c r="A67" s="848"/>
      <c r="B67" s="841"/>
      <c r="C67" s="842"/>
      <c r="D67" s="847"/>
      <c r="E67" s="834" t="s">
        <v>2845</v>
      </c>
      <c r="F67" s="249" t="s">
        <v>2810</v>
      </c>
      <c r="G67" s="249" t="s">
        <v>2846</v>
      </c>
      <c r="H67" s="260"/>
      <c r="I67" s="181"/>
      <c r="J67" s="181"/>
      <c r="K67" s="181"/>
      <c r="L67" s="181"/>
      <c r="M67" s="181"/>
      <c r="N67" s="181"/>
      <c r="O67" s="181"/>
      <c r="P67" s="181"/>
      <c r="Q67" s="181"/>
      <c r="R67" s="181"/>
      <c r="S67" s="181"/>
      <c r="T67" s="181"/>
      <c r="U67" s="181"/>
      <c r="V67" s="181"/>
      <c r="W67" s="202"/>
      <c r="X67" s="181"/>
      <c r="Y67" s="181"/>
      <c r="Z67" s="181"/>
      <c r="AA67" s="181"/>
      <c r="AB67" s="202"/>
      <c r="AC67" s="202"/>
      <c r="AD67" s="202"/>
      <c r="AE67" s="202"/>
      <c r="AF67" s="202"/>
      <c r="AG67" s="202"/>
      <c r="AH67" s="203"/>
      <c r="AI67" s="493"/>
      <c r="AJ67" s="493"/>
      <c r="AK67" s="493"/>
      <c r="AL67" s="493"/>
      <c r="AM67" s="494"/>
      <c r="AN67" s="176"/>
    </row>
    <row r="68" ht="13.5" customHeight="1" outlineLevel="4">
      <c r="A68" s="848"/>
      <c r="B68" s="841"/>
      <c r="C68" s="842"/>
      <c r="D68" s="847"/>
      <c r="E68" s="834" t="s">
        <v>2847</v>
      </c>
      <c r="F68" s="249" t="s">
        <v>2810</v>
      </c>
      <c r="G68" s="249" t="s">
        <v>2848</v>
      </c>
      <c r="H68" s="260"/>
      <c r="I68" s="181"/>
      <c r="J68" s="181"/>
      <c r="K68" s="181"/>
      <c r="L68" s="181"/>
      <c r="M68" s="181"/>
      <c r="N68" s="181"/>
      <c r="O68" s="181"/>
      <c r="P68" s="181"/>
      <c r="Q68" s="181"/>
      <c r="R68" s="181"/>
      <c r="S68" s="181"/>
      <c r="T68" s="181"/>
      <c r="U68" s="181"/>
      <c r="V68" s="181"/>
      <c r="W68" s="202"/>
      <c r="X68" s="181"/>
      <c r="Y68" s="181"/>
      <c r="Z68" s="181"/>
      <c r="AA68" s="181"/>
      <c r="AB68" s="202"/>
      <c r="AC68" s="202"/>
      <c r="AD68" s="202"/>
      <c r="AE68" s="202"/>
      <c r="AF68" s="202"/>
      <c r="AG68" s="202"/>
      <c r="AH68" s="203"/>
      <c r="AI68" s="493"/>
      <c r="AJ68" s="493"/>
      <c r="AK68" s="493"/>
      <c r="AL68" s="493"/>
      <c r="AM68" s="494"/>
      <c r="AN68" s="176"/>
    </row>
    <row r="69" ht="13.5" customHeight="1" outlineLevel="4">
      <c r="A69" s="848"/>
      <c r="B69" s="841"/>
      <c r="C69" s="842"/>
      <c r="D69" s="847"/>
      <c r="E69" s="834" t="s">
        <v>2849</v>
      </c>
      <c r="F69" s="249" t="s">
        <v>2810</v>
      </c>
      <c r="G69" s="249" t="s">
        <v>2850</v>
      </c>
      <c r="H69" s="260"/>
      <c r="I69" s="181"/>
      <c r="J69" s="181"/>
      <c r="K69" s="181"/>
      <c r="L69" s="181"/>
      <c r="M69" s="181"/>
      <c r="N69" s="181"/>
      <c r="O69" s="181"/>
      <c r="P69" s="181"/>
      <c r="Q69" s="181"/>
      <c r="R69" s="181"/>
      <c r="S69" s="181"/>
      <c r="T69" s="181"/>
      <c r="U69" s="181"/>
      <c r="V69" s="181"/>
      <c r="W69" s="202"/>
      <c r="X69" s="181"/>
      <c r="Y69" s="181"/>
      <c r="Z69" s="181"/>
      <c r="AA69" s="181"/>
      <c r="AB69" s="202"/>
      <c r="AC69" s="202"/>
      <c r="AD69" s="202"/>
      <c r="AE69" s="202"/>
      <c r="AF69" s="202"/>
      <c r="AG69" s="202"/>
      <c r="AH69" s="203"/>
      <c r="AI69" s="493"/>
      <c r="AJ69" s="493"/>
      <c r="AK69" s="493"/>
      <c r="AL69" s="493"/>
      <c r="AM69" s="494"/>
      <c r="AN69" s="176"/>
    </row>
    <row r="70" ht="13.5" customHeight="1" outlineLevel="4">
      <c r="A70" s="848"/>
      <c r="B70" s="841"/>
      <c r="C70" s="842"/>
      <c r="D70" s="847"/>
      <c r="E70" s="187" t="s">
        <v>2851</v>
      </c>
      <c r="F70" s="123" t="s">
        <v>2810</v>
      </c>
      <c r="G70" s="123" t="s">
        <v>2852</v>
      </c>
      <c r="H70" s="260"/>
      <c r="I70" s="181"/>
      <c r="J70" s="181"/>
      <c r="K70" s="181"/>
      <c r="L70" s="181"/>
      <c r="M70" s="181"/>
      <c r="N70" s="181"/>
      <c r="O70" s="181"/>
      <c r="P70" s="181"/>
      <c r="Q70" s="181"/>
      <c r="R70" s="181"/>
      <c r="S70" s="181"/>
      <c r="T70" s="181"/>
      <c r="U70" s="181"/>
      <c r="V70" s="181"/>
      <c r="W70" s="202"/>
      <c r="X70" s="181"/>
      <c r="Y70" s="181"/>
      <c r="Z70" s="181"/>
      <c r="AA70" s="181"/>
      <c r="AB70" s="202"/>
      <c r="AC70" s="202"/>
      <c r="AD70" s="202"/>
      <c r="AE70" s="202"/>
      <c r="AF70" s="202"/>
      <c r="AG70" s="202"/>
      <c r="AH70" s="203"/>
      <c r="AI70" s="493"/>
      <c r="AJ70" s="493"/>
      <c r="AK70" s="493"/>
      <c r="AL70" s="493"/>
      <c r="AM70" s="494"/>
      <c r="AN70" s="176"/>
    </row>
    <row r="71" ht="14.25" customHeight="1" outlineLevel="3">
      <c r="A71" s="848"/>
      <c r="B71" s="841"/>
      <c r="C71" s="841" t="s">
        <v>2853</v>
      </c>
      <c r="D71" s="847"/>
      <c r="E71" s="162"/>
      <c r="F71" s="162"/>
      <c r="G71" s="162"/>
      <c r="H71" s="178"/>
      <c r="I71" s="178"/>
      <c r="J71" s="178"/>
      <c r="K71" s="178"/>
      <c r="L71" s="178"/>
      <c r="M71" s="178"/>
      <c r="N71" s="178"/>
      <c r="O71" s="178"/>
      <c r="P71" s="178"/>
      <c r="Q71" s="178"/>
      <c r="R71" s="178"/>
      <c r="S71" s="178"/>
      <c r="T71" s="178"/>
      <c r="U71" s="178"/>
      <c r="V71" s="178"/>
      <c r="W71" s="836"/>
      <c r="X71" s="178"/>
      <c r="Y71" s="178"/>
      <c r="Z71" s="178"/>
      <c r="AA71" s="178"/>
      <c r="AB71" s="836"/>
      <c r="AC71" s="836"/>
      <c r="AD71" s="836"/>
      <c r="AE71" s="836"/>
      <c r="AF71" s="836"/>
      <c r="AG71" s="836"/>
      <c r="AH71" s="836"/>
      <c r="AI71" s="244"/>
      <c r="AJ71" s="244"/>
      <c r="AK71" s="244"/>
      <c r="AL71" s="244"/>
      <c r="AM71" s="244"/>
      <c r="AN71" s="176"/>
    </row>
    <row r="72" ht="14.25" customHeight="1" outlineLevel="4">
      <c r="A72" s="849"/>
      <c r="B72" s="850"/>
      <c r="C72" s="850"/>
      <c r="D72" s="847"/>
      <c r="E72" s="834" t="s">
        <v>2854</v>
      </c>
      <c r="F72" s="249" t="s">
        <v>261</v>
      </c>
      <c r="G72" s="249" t="s">
        <v>2855</v>
      </c>
      <c r="H72" s="253"/>
      <c r="I72" s="254"/>
      <c r="J72" s="254"/>
      <c r="K72" s="254"/>
      <c r="L72" s="254"/>
      <c r="M72" s="254"/>
      <c r="N72" s="254"/>
      <c r="O72" s="254"/>
      <c r="P72" s="254"/>
      <c r="Q72" s="254"/>
      <c r="R72" s="254"/>
      <c r="S72" s="254"/>
      <c r="T72" s="254"/>
      <c r="U72" s="254"/>
      <c r="V72" s="254"/>
      <c r="W72" s="279"/>
      <c r="X72" s="254"/>
      <c r="Y72" s="254"/>
      <c r="Z72" s="254"/>
      <c r="AA72" s="254"/>
      <c r="AB72" s="279"/>
      <c r="AC72" s="279"/>
      <c r="AD72" s="279"/>
      <c r="AE72" s="279"/>
      <c r="AF72" s="279"/>
      <c r="AG72" s="279"/>
      <c r="AH72" s="835"/>
      <c r="AI72" s="493"/>
      <c r="AJ72" s="493"/>
      <c r="AK72" s="493"/>
      <c r="AL72" s="493"/>
      <c r="AM72" s="494"/>
      <c r="AN72" s="176"/>
    </row>
    <row r="73" ht="14.25" customHeight="1" outlineLevel="4">
      <c r="A73" s="849"/>
      <c r="B73" s="841"/>
      <c r="C73" s="842"/>
      <c r="D73" s="847"/>
      <c r="E73" s="834" t="s">
        <v>2856</v>
      </c>
      <c r="F73" s="249" t="s">
        <v>1572</v>
      </c>
      <c r="G73" s="249" t="s">
        <v>2857</v>
      </c>
      <c r="H73" s="260"/>
      <c r="I73" s="181"/>
      <c r="J73" s="181"/>
      <c r="K73" s="181"/>
      <c r="L73" s="181"/>
      <c r="M73" s="181"/>
      <c r="N73" s="181"/>
      <c r="O73" s="181"/>
      <c r="P73" s="181"/>
      <c r="Q73" s="181"/>
      <c r="R73" s="181"/>
      <c r="S73" s="181"/>
      <c r="T73" s="181"/>
      <c r="U73" s="181"/>
      <c r="V73" s="181"/>
      <c r="W73" s="202"/>
      <c r="X73" s="181"/>
      <c r="Y73" s="181"/>
      <c r="Z73" s="181"/>
      <c r="AA73" s="181"/>
      <c r="AB73" s="202"/>
      <c r="AC73" s="202"/>
      <c r="AD73" s="202"/>
      <c r="AE73" s="202"/>
      <c r="AF73" s="202"/>
      <c r="AG73" s="202"/>
      <c r="AH73" s="203"/>
      <c r="AI73" s="493"/>
      <c r="AJ73" s="493"/>
      <c r="AK73" s="493"/>
      <c r="AL73" s="493"/>
      <c r="AM73" s="494"/>
      <c r="AN73" s="176"/>
    </row>
    <row r="74" ht="14.25" customHeight="1" outlineLevel="4">
      <c r="A74" s="849"/>
      <c r="B74" s="841"/>
      <c r="C74" s="842"/>
      <c r="D74" s="847"/>
      <c r="E74" s="834" t="s">
        <v>2858</v>
      </c>
      <c r="F74" s="249" t="s">
        <v>1572</v>
      </c>
      <c r="G74" s="249" t="s">
        <v>2859</v>
      </c>
      <c r="H74" s="260"/>
      <c r="I74" s="181"/>
      <c r="J74" s="181"/>
      <c r="K74" s="181"/>
      <c r="L74" s="181"/>
      <c r="M74" s="181"/>
      <c r="N74" s="181"/>
      <c r="O74" s="181"/>
      <c r="P74" s="181"/>
      <c r="Q74" s="181"/>
      <c r="R74" s="181"/>
      <c r="S74" s="181"/>
      <c r="T74" s="181"/>
      <c r="U74" s="181"/>
      <c r="V74" s="181"/>
      <c r="W74" s="202"/>
      <c r="X74" s="181"/>
      <c r="Y74" s="181"/>
      <c r="Z74" s="181"/>
      <c r="AA74" s="181"/>
      <c r="AB74" s="202"/>
      <c r="AC74" s="202"/>
      <c r="AD74" s="202"/>
      <c r="AE74" s="202"/>
      <c r="AF74" s="202"/>
      <c r="AG74" s="202"/>
      <c r="AH74" s="203"/>
      <c r="AI74" s="493"/>
      <c r="AJ74" s="493"/>
      <c r="AK74" s="493"/>
      <c r="AL74" s="493"/>
      <c r="AM74" s="494"/>
      <c r="AN74" s="176"/>
    </row>
    <row r="75" ht="14.25" customHeight="1" outlineLevel="4">
      <c r="A75" s="849"/>
      <c r="B75" s="841"/>
      <c r="C75" s="842"/>
      <c r="D75" s="847"/>
      <c r="E75" s="187" t="s">
        <v>2860</v>
      </c>
      <c r="F75" s="123" t="s">
        <v>2783</v>
      </c>
      <c r="G75" s="123" t="s">
        <v>2861</v>
      </c>
      <c r="H75" s="260"/>
      <c r="I75" s="181"/>
      <c r="J75" s="181"/>
      <c r="K75" s="181"/>
      <c r="L75" s="181"/>
      <c r="M75" s="181"/>
      <c r="N75" s="181"/>
      <c r="O75" s="181"/>
      <c r="P75" s="181"/>
      <c r="Q75" s="181"/>
      <c r="R75" s="181"/>
      <c r="S75" s="181"/>
      <c r="T75" s="181"/>
      <c r="U75" s="181"/>
      <c r="V75" s="181"/>
      <c r="W75" s="202"/>
      <c r="X75" s="181"/>
      <c r="Y75" s="181"/>
      <c r="Z75" s="181"/>
      <c r="AA75" s="181"/>
      <c r="AB75" s="202"/>
      <c r="AC75" s="202"/>
      <c r="AD75" s="202"/>
      <c r="AE75" s="202"/>
      <c r="AF75" s="202"/>
      <c r="AG75" s="202"/>
      <c r="AH75" s="203"/>
      <c r="AI75" s="493"/>
      <c r="AJ75" s="493"/>
      <c r="AK75" s="493"/>
      <c r="AL75" s="493"/>
      <c r="AM75" s="494"/>
      <c r="AN75" s="176"/>
    </row>
    <row r="76" ht="14.25" customHeight="1" outlineLevel="2">
      <c r="A76" s="833"/>
      <c r="B76" s="841" t="s">
        <v>2862</v>
      </c>
      <c r="C76" s="842"/>
      <c r="D76" s="847"/>
      <c r="E76" s="162"/>
      <c r="F76" s="162"/>
      <c r="G76" s="162"/>
      <c r="H76" s="178"/>
      <c r="I76" s="178"/>
      <c r="J76" s="178"/>
      <c r="K76" s="178"/>
      <c r="L76" s="178"/>
      <c r="M76" s="178"/>
      <c r="N76" s="178"/>
      <c r="O76" s="178"/>
      <c r="P76" s="178"/>
      <c r="Q76" s="178"/>
      <c r="R76" s="178"/>
      <c r="S76" s="178"/>
      <c r="T76" s="178"/>
      <c r="U76" s="178"/>
      <c r="V76" s="178"/>
      <c r="W76" s="836"/>
      <c r="X76" s="178"/>
      <c r="Y76" s="178"/>
      <c r="Z76" s="178"/>
      <c r="AA76" s="178"/>
      <c r="AB76" s="836"/>
      <c r="AC76" s="836"/>
      <c r="AD76" s="836"/>
      <c r="AE76" s="836"/>
      <c r="AF76" s="836"/>
      <c r="AG76" s="836"/>
      <c r="AH76" s="836"/>
      <c r="AI76" s="244"/>
      <c r="AJ76" s="244"/>
      <c r="AK76" s="244"/>
      <c r="AL76" s="244"/>
      <c r="AM76" s="244"/>
      <c r="AN76" s="176"/>
    </row>
    <row r="77" ht="14.25" customHeight="1" outlineLevel="3">
      <c r="A77" s="833"/>
      <c r="B77" s="842"/>
      <c r="C77" s="841" t="s">
        <v>2863</v>
      </c>
      <c r="D77" s="847"/>
      <c r="E77" s="162"/>
      <c r="F77" s="162"/>
      <c r="G77" s="162"/>
      <c r="H77" s="178"/>
      <c r="I77" s="178"/>
      <c r="J77" s="178"/>
      <c r="K77" s="178"/>
      <c r="L77" s="178"/>
      <c r="M77" s="178"/>
      <c r="N77" s="178"/>
      <c r="O77" s="178"/>
      <c r="P77" s="178"/>
      <c r="Q77" s="178"/>
      <c r="R77" s="178"/>
      <c r="S77" s="178"/>
      <c r="T77" s="178"/>
      <c r="U77" s="178"/>
      <c r="V77" s="178"/>
      <c r="W77" s="836"/>
      <c r="X77" s="178"/>
      <c r="Y77" s="178"/>
      <c r="Z77" s="178"/>
      <c r="AA77" s="178"/>
      <c r="AB77" s="836"/>
      <c r="AC77" s="836"/>
      <c r="AD77" s="836"/>
      <c r="AE77" s="836"/>
      <c r="AF77" s="836"/>
      <c r="AG77" s="836"/>
      <c r="AH77" s="836"/>
      <c r="AI77" s="244"/>
      <c r="AJ77" s="244"/>
      <c r="AK77" s="244"/>
      <c r="AL77" s="244"/>
      <c r="AM77" s="244"/>
      <c r="AN77" s="176"/>
    </row>
    <row r="78" ht="14.25" customHeight="1" outlineLevel="4">
      <c r="A78" s="833"/>
      <c r="B78" s="842"/>
      <c r="C78" s="842"/>
      <c r="D78" s="847"/>
      <c r="E78" s="834" t="s">
        <v>2864</v>
      </c>
      <c r="F78" s="249" t="s">
        <v>261</v>
      </c>
      <c r="G78" s="249" t="s">
        <v>2865</v>
      </c>
      <c r="H78" s="253"/>
      <c r="I78" s="254"/>
      <c r="J78" s="254"/>
      <c r="K78" s="254"/>
      <c r="L78" s="254"/>
      <c r="M78" s="254"/>
      <c r="N78" s="254"/>
      <c r="O78" s="254"/>
      <c r="P78" s="254"/>
      <c r="Q78" s="254"/>
      <c r="R78" s="254"/>
      <c r="S78" s="254"/>
      <c r="T78" s="254"/>
      <c r="U78" s="254"/>
      <c r="V78" s="254"/>
      <c r="W78" s="279"/>
      <c r="X78" s="254"/>
      <c r="Y78" s="254"/>
      <c r="Z78" s="254"/>
      <c r="AA78" s="254"/>
      <c r="AB78" s="279"/>
      <c r="AC78" s="279"/>
      <c r="AD78" s="279"/>
      <c r="AE78" s="279"/>
      <c r="AF78" s="279"/>
      <c r="AG78" s="279"/>
      <c r="AH78" s="835"/>
      <c r="AI78" s="493"/>
      <c r="AJ78" s="493"/>
      <c r="AK78" s="493"/>
      <c r="AL78" s="493"/>
      <c r="AM78" s="494"/>
      <c r="AN78" s="176"/>
    </row>
    <row r="79" ht="14.25" customHeight="1" outlineLevel="4">
      <c r="A79" s="833"/>
      <c r="B79" s="842"/>
      <c r="C79" s="842"/>
      <c r="D79" s="847"/>
      <c r="E79" s="187" t="s">
        <v>2866</v>
      </c>
      <c r="F79" s="123" t="s">
        <v>261</v>
      </c>
      <c r="G79" s="123" t="s">
        <v>2867</v>
      </c>
      <c r="H79" s="253"/>
      <c r="I79" s="254"/>
      <c r="J79" s="254"/>
      <c r="K79" s="254"/>
      <c r="L79" s="254"/>
      <c r="M79" s="254"/>
      <c r="N79" s="254"/>
      <c r="O79" s="254"/>
      <c r="P79" s="254"/>
      <c r="Q79" s="254"/>
      <c r="R79" s="254"/>
      <c r="S79" s="254"/>
      <c r="T79" s="254"/>
      <c r="U79" s="254"/>
      <c r="V79" s="254"/>
      <c r="W79" s="279"/>
      <c r="X79" s="254"/>
      <c r="Y79" s="254"/>
      <c r="Z79" s="254"/>
      <c r="AA79" s="254"/>
      <c r="AB79" s="279"/>
      <c r="AC79" s="279"/>
      <c r="AD79" s="279"/>
      <c r="AE79" s="279"/>
      <c r="AF79" s="279"/>
      <c r="AG79" s="279"/>
      <c r="AH79" s="835"/>
      <c r="AI79" s="493"/>
      <c r="AJ79" s="493"/>
      <c r="AK79" s="493"/>
      <c r="AL79" s="493"/>
      <c r="AM79" s="494"/>
      <c r="AN79" s="176"/>
    </row>
    <row r="80" ht="14.25" customHeight="1" outlineLevel="3">
      <c r="A80" s="833"/>
      <c r="B80" s="842"/>
      <c r="C80" s="841" t="s">
        <v>2868</v>
      </c>
      <c r="D80" s="847"/>
      <c r="E80" s="162"/>
      <c r="F80" s="162"/>
      <c r="G80" s="162"/>
      <c r="H80" s="178"/>
      <c r="I80" s="178"/>
      <c r="J80" s="178"/>
      <c r="K80" s="178"/>
      <c r="L80" s="178"/>
      <c r="M80" s="178"/>
      <c r="N80" s="178"/>
      <c r="O80" s="178"/>
      <c r="P80" s="178"/>
      <c r="Q80" s="178"/>
      <c r="R80" s="178"/>
      <c r="S80" s="178"/>
      <c r="T80" s="178"/>
      <c r="U80" s="178"/>
      <c r="V80" s="178"/>
      <c r="W80" s="836"/>
      <c r="X80" s="178"/>
      <c r="Y80" s="178"/>
      <c r="Z80" s="178"/>
      <c r="AA80" s="178"/>
      <c r="AB80" s="836"/>
      <c r="AC80" s="836"/>
      <c r="AD80" s="836"/>
      <c r="AE80" s="836"/>
      <c r="AF80" s="836"/>
      <c r="AG80" s="836"/>
      <c r="AH80" s="836"/>
      <c r="AI80" s="244"/>
      <c r="AJ80" s="244"/>
      <c r="AK80" s="244"/>
      <c r="AL80" s="244"/>
      <c r="AM80" s="244"/>
      <c r="AN80" s="176"/>
    </row>
    <row r="81" ht="14.25" customHeight="1" outlineLevel="4">
      <c r="A81" s="833"/>
      <c r="B81" s="842"/>
      <c r="C81" s="841"/>
      <c r="D81" s="851" t="s">
        <v>2869</v>
      </c>
      <c r="E81" s="162"/>
      <c r="F81" s="162"/>
      <c r="G81" s="162"/>
      <c r="H81" s="178"/>
      <c r="I81" s="178"/>
      <c r="J81" s="178"/>
      <c r="K81" s="178"/>
      <c r="L81" s="178"/>
      <c r="M81" s="178"/>
      <c r="N81" s="178"/>
      <c r="O81" s="178"/>
      <c r="P81" s="178"/>
      <c r="Q81" s="178"/>
      <c r="R81" s="178"/>
      <c r="S81" s="178"/>
      <c r="T81" s="178"/>
      <c r="U81" s="178"/>
      <c r="V81" s="178"/>
      <c r="W81" s="836"/>
      <c r="X81" s="178"/>
      <c r="Y81" s="178"/>
      <c r="Z81" s="178"/>
      <c r="AA81" s="178"/>
      <c r="AB81" s="836"/>
      <c r="AC81" s="836"/>
      <c r="AD81" s="836"/>
      <c r="AE81" s="836"/>
      <c r="AF81" s="836"/>
      <c r="AG81" s="836"/>
      <c r="AH81" s="836"/>
      <c r="AI81" s="244"/>
      <c r="AJ81" s="244"/>
      <c r="AK81" s="244"/>
      <c r="AL81" s="244"/>
      <c r="AM81" s="244"/>
      <c r="AN81" s="176"/>
    </row>
    <row r="82" ht="14.25" customHeight="1" outlineLevel="5">
      <c r="A82" s="833"/>
      <c r="B82" s="842"/>
      <c r="C82" s="841"/>
      <c r="D82" s="847"/>
      <c r="E82" s="834" t="s">
        <v>2870</v>
      </c>
      <c r="F82" s="249" t="s">
        <v>2871</v>
      </c>
      <c r="G82" s="249" t="s">
        <v>2872</v>
      </c>
      <c r="H82" s="260"/>
      <c r="I82" s="181"/>
      <c r="J82" s="181"/>
      <c r="K82" s="181"/>
      <c r="L82" s="181"/>
      <c r="M82" s="181"/>
      <c r="N82" s="181"/>
      <c r="O82" s="181"/>
      <c r="P82" s="181"/>
      <c r="Q82" s="181"/>
      <c r="R82" s="181"/>
      <c r="S82" s="181"/>
      <c r="T82" s="181"/>
      <c r="U82" s="181"/>
      <c r="V82" s="181"/>
      <c r="W82" s="202"/>
      <c r="X82" s="181"/>
      <c r="Y82" s="181"/>
      <c r="Z82" s="181"/>
      <c r="AA82" s="181"/>
      <c r="AB82" s="202"/>
      <c r="AC82" s="202"/>
      <c r="AD82" s="202"/>
      <c r="AE82" s="202"/>
      <c r="AF82" s="202"/>
      <c r="AG82" s="202"/>
      <c r="AH82" s="203"/>
      <c r="AI82" s="493"/>
      <c r="AJ82" s="493"/>
      <c r="AK82" s="493"/>
      <c r="AL82" s="493"/>
      <c r="AM82" s="494"/>
      <c r="AN82" s="176"/>
    </row>
    <row r="83" ht="14.25" customHeight="1" outlineLevel="5">
      <c r="A83" s="833"/>
      <c r="B83" s="842"/>
      <c r="C83" s="842"/>
      <c r="D83" s="847"/>
      <c r="E83" s="187" t="s">
        <v>2873</v>
      </c>
      <c r="F83" s="123" t="s">
        <v>2871</v>
      </c>
      <c r="G83" s="123" t="s">
        <v>2874</v>
      </c>
      <c r="H83" s="260"/>
      <c r="I83" s="181"/>
      <c r="J83" s="181"/>
      <c r="K83" s="181"/>
      <c r="L83" s="181"/>
      <c r="M83" s="181"/>
      <c r="N83" s="181"/>
      <c r="O83" s="181"/>
      <c r="P83" s="181"/>
      <c r="Q83" s="181"/>
      <c r="R83" s="181"/>
      <c r="S83" s="181"/>
      <c r="T83" s="181"/>
      <c r="U83" s="181"/>
      <c r="V83" s="181"/>
      <c r="W83" s="202"/>
      <c r="X83" s="181"/>
      <c r="Y83" s="181"/>
      <c r="Z83" s="181"/>
      <c r="AA83" s="181"/>
      <c r="AB83" s="202"/>
      <c r="AC83" s="202"/>
      <c r="AD83" s="202"/>
      <c r="AE83" s="202"/>
      <c r="AF83" s="202"/>
      <c r="AG83" s="202"/>
      <c r="AH83" s="203"/>
      <c r="AI83" s="493"/>
      <c r="AJ83" s="493"/>
      <c r="AK83" s="493"/>
      <c r="AL83" s="493"/>
      <c r="AM83" s="494"/>
      <c r="AN83" s="176"/>
    </row>
    <row r="84" ht="14.25" customHeight="1" outlineLevel="4">
      <c r="A84" s="833"/>
      <c r="B84" s="842"/>
      <c r="C84" s="842"/>
      <c r="D84" s="851" t="s">
        <v>2875</v>
      </c>
      <c r="E84" s="162"/>
      <c r="F84" s="162"/>
      <c r="G84" s="162"/>
      <c r="H84" s="178"/>
      <c r="I84" s="178"/>
      <c r="J84" s="178"/>
      <c r="K84" s="178"/>
      <c r="L84" s="178"/>
      <c r="M84" s="178"/>
      <c r="N84" s="178"/>
      <c r="O84" s="178"/>
      <c r="P84" s="178"/>
      <c r="Q84" s="178"/>
      <c r="R84" s="178"/>
      <c r="S84" s="178"/>
      <c r="T84" s="178"/>
      <c r="U84" s="178"/>
      <c r="V84" s="178"/>
      <c r="W84" s="836"/>
      <c r="X84" s="178"/>
      <c r="Y84" s="178"/>
      <c r="Z84" s="178"/>
      <c r="AA84" s="178"/>
      <c r="AB84" s="836"/>
      <c r="AC84" s="836"/>
      <c r="AD84" s="836"/>
      <c r="AE84" s="836"/>
      <c r="AF84" s="836"/>
      <c r="AG84" s="836"/>
      <c r="AH84" s="836"/>
      <c r="AI84" s="244"/>
      <c r="AJ84" s="244"/>
      <c r="AK84" s="244"/>
      <c r="AL84" s="244"/>
      <c r="AM84" s="244"/>
      <c r="AN84" s="176"/>
    </row>
    <row r="85" ht="14.25" customHeight="1" outlineLevel="5">
      <c r="A85" s="833"/>
      <c r="B85" s="842"/>
      <c r="C85" s="842"/>
      <c r="D85" s="847"/>
      <c r="E85" s="834" t="s">
        <v>2876</v>
      </c>
      <c r="F85" s="249" t="s">
        <v>2871</v>
      </c>
      <c r="G85" s="249" t="s">
        <v>2877</v>
      </c>
      <c r="H85" s="260"/>
      <c r="I85" s="181"/>
      <c r="J85" s="181"/>
      <c r="K85" s="181"/>
      <c r="L85" s="181"/>
      <c r="M85" s="181"/>
      <c r="N85" s="181"/>
      <c r="O85" s="181"/>
      <c r="P85" s="181"/>
      <c r="Q85" s="181"/>
      <c r="R85" s="181"/>
      <c r="S85" s="181"/>
      <c r="T85" s="181"/>
      <c r="U85" s="181"/>
      <c r="V85" s="181"/>
      <c r="W85" s="202"/>
      <c r="X85" s="181"/>
      <c r="Y85" s="181"/>
      <c r="Z85" s="181"/>
      <c r="AA85" s="181"/>
      <c r="AB85" s="202"/>
      <c r="AC85" s="202"/>
      <c r="AD85" s="202"/>
      <c r="AE85" s="202"/>
      <c r="AF85" s="202"/>
      <c r="AG85" s="202"/>
      <c r="AH85" s="203"/>
      <c r="AI85" s="493"/>
      <c r="AJ85" s="493"/>
      <c r="AK85" s="493"/>
      <c r="AL85" s="493"/>
      <c r="AM85" s="494"/>
      <c r="AN85" s="176"/>
    </row>
    <row r="86" ht="14.25" customHeight="1" outlineLevel="5">
      <c r="A86" s="833"/>
      <c r="B86" s="842"/>
      <c r="C86" s="842"/>
      <c r="D86" s="847"/>
      <c r="E86" s="834" t="s">
        <v>2878</v>
      </c>
      <c r="F86" s="249" t="s">
        <v>2871</v>
      </c>
      <c r="G86" s="249" t="s">
        <v>2879</v>
      </c>
      <c r="H86" s="260"/>
      <c r="I86" s="181"/>
      <c r="J86" s="181"/>
      <c r="K86" s="181"/>
      <c r="L86" s="181"/>
      <c r="M86" s="181"/>
      <c r="N86" s="181"/>
      <c r="O86" s="181"/>
      <c r="P86" s="181"/>
      <c r="Q86" s="181"/>
      <c r="R86" s="181"/>
      <c r="S86" s="181"/>
      <c r="T86" s="181"/>
      <c r="U86" s="181"/>
      <c r="V86" s="181"/>
      <c r="W86" s="202"/>
      <c r="X86" s="181"/>
      <c r="Y86" s="181"/>
      <c r="Z86" s="181"/>
      <c r="AA86" s="181"/>
      <c r="AB86" s="202"/>
      <c r="AC86" s="202"/>
      <c r="AD86" s="202"/>
      <c r="AE86" s="202"/>
      <c r="AF86" s="202"/>
      <c r="AG86" s="202"/>
      <c r="AH86" s="203"/>
      <c r="AI86" s="493"/>
      <c r="AJ86" s="493"/>
      <c r="AK86" s="493"/>
      <c r="AL86" s="493"/>
      <c r="AM86" s="494"/>
      <c r="AN86" s="176"/>
    </row>
    <row r="87" ht="14.25" customHeight="1" outlineLevel="5">
      <c r="A87" s="833"/>
      <c r="B87" s="842"/>
      <c r="C87" s="842"/>
      <c r="D87" s="847"/>
      <c r="E87" s="187" t="s">
        <v>2880</v>
      </c>
      <c r="F87" s="123" t="s">
        <v>2871</v>
      </c>
      <c r="G87" s="123" t="s">
        <v>2881</v>
      </c>
      <c r="H87" s="260"/>
      <c r="I87" s="181"/>
      <c r="J87" s="181"/>
      <c r="K87" s="181"/>
      <c r="L87" s="181"/>
      <c r="M87" s="181"/>
      <c r="N87" s="181"/>
      <c r="O87" s="181"/>
      <c r="P87" s="181"/>
      <c r="Q87" s="181"/>
      <c r="R87" s="181"/>
      <c r="S87" s="181"/>
      <c r="T87" s="181"/>
      <c r="U87" s="181"/>
      <c r="V87" s="181"/>
      <c r="W87" s="202"/>
      <c r="X87" s="181"/>
      <c r="Y87" s="181"/>
      <c r="Z87" s="181"/>
      <c r="AA87" s="181"/>
      <c r="AB87" s="202"/>
      <c r="AC87" s="202"/>
      <c r="AD87" s="202"/>
      <c r="AE87" s="202"/>
      <c r="AF87" s="202"/>
      <c r="AG87" s="202"/>
      <c r="AH87" s="203"/>
      <c r="AI87" s="493"/>
      <c r="AJ87" s="493"/>
      <c r="AK87" s="493"/>
      <c r="AL87" s="493"/>
      <c r="AM87" s="494"/>
      <c r="AN87" s="176"/>
    </row>
    <row r="88" ht="14.25" customHeight="1" outlineLevel="1">
      <c r="A88" s="833" t="s">
        <v>2882</v>
      </c>
      <c r="B88" s="162"/>
      <c r="C88" s="162"/>
      <c r="D88" s="195"/>
      <c r="E88" s="162"/>
      <c r="F88" s="162"/>
      <c r="G88" s="162"/>
      <c r="H88" s="178"/>
      <c r="I88" s="178"/>
      <c r="J88" s="178"/>
      <c r="K88" s="178"/>
      <c r="L88" s="178"/>
      <c r="M88" s="178"/>
      <c r="N88" s="178"/>
      <c r="O88" s="178"/>
      <c r="P88" s="178"/>
      <c r="Q88" s="178"/>
      <c r="R88" s="178"/>
      <c r="S88" s="178"/>
      <c r="T88" s="178"/>
      <c r="U88" s="178"/>
      <c r="V88" s="178"/>
      <c r="W88" s="836"/>
      <c r="X88" s="178"/>
      <c r="Y88" s="178"/>
      <c r="Z88" s="178"/>
      <c r="AA88" s="178"/>
      <c r="AB88" s="836"/>
      <c r="AC88" s="836"/>
      <c r="AD88" s="836"/>
      <c r="AE88" s="836"/>
      <c r="AF88" s="836"/>
      <c r="AG88" s="836"/>
      <c r="AH88" s="836"/>
      <c r="AI88" s="244"/>
      <c r="AJ88" s="244"/>
      <c r="AK88" s="244"/>
      <c r="AL88" s="244"/>
      <c r="AM88" s="244"/>
      <c r="AN88" s="176"/>
    </row>
    <row r="89" ht="14.25" customHeight="1" outlineLevel="2">
      <c r="A89" s="833"/>
      <c r="B89" s="100"/>
      <c r="C89" s="100"/>
      <c r="D89" s="195"/>
      <c r="E89" s="187" t="s">
        <v>2883</v>
      </c>
      <c r="F89" s="123" t="s">
        <v>1572</v>
      </c>
      <c r="G89" s="123" t="s">
        <v>2884</v>
      </c>
      <c r="H89" s="260"/>
      <c r="I89" s="181"/>
      <c r="J89" s="181"/>
      <c r="K89" s="181"/>
      <c r="L89" s="181"/>
      <c r="M89" s="181"/>
      <c r="N89" s="181"/>
      <c r="O89" s="181"/>
      <c r="P89" s="181"/>
      <c r="Q89" s="181"/>
      <c r="R89" s="181"/>
      <c r="S89" s="181"/>
      <c r="T89" s="181"/>
      <c r="U89" s="181"/>
      <c r="V89" s="181"/>
      <c r="W89" s="202"/>
      <c r="X89" s="181"/>
      <c r="Y89" s="181"/>
      <c r="Z89" s="181"/>
      <c r="AA89" s="181"/>
      <c r="AB89" s="202"/>
      <c r="AC89" s="202"/>
      <c r="AD89" s="202"/>
      <c r="AE89" s="202"/>
      <c r="AF89" s="202"/>
      <c r="AG89" s="202"/>
      <c r="AH89" s="203"/>
      <c r="AI89" s="493"/>
      <c r="AJ89" s="493"/>
      <c r="AK89" s="493"/>
      <c r="AL89" s="493"/>
      <c r="AM89" s="494"/>
      <c r="AN89" s="176"/>
    </row>
    <row r="90" ht="14.25" customHeight="1" outlineLevel="1">
      <c r="A90" s="833" t="s">
        <v>2885</v>
      </c>
      <c r="B90" s="100"/>
      <c r="C90" s="100"/>
      <c r="D90" s="195"/>
      <c r="E90" s="162"/>
      <c r="F90" s="162"/>
      <c r="G90" s="162"/>
      <c r="H90" s="178"/>
      <c r="I90" s="178"/>
      <c r="J90" s="178"/>
      <c r="K90" s="178"/>
      <c r="L90" s="178"/>
      <c r="M90" s="178"/>
      <c r="N90" s="178"/>
      <c r="O90" s="178"/>
      <c r="P90" s="178"/>
      <c r="Q90" s="178"/>
      <c r="R90" s="178"/>
      <c r="S90" s="178"/>
      <c r="T90" s="178"/>
      <c r="U90" s="178"/>
      <c r="V90" s="178"/>
      <c r="W90" s="836"/>
      <c r="X90" s="178"/>
      <c r="Y90" s="178"/>
      <c r="Z90" s="178"/>
      <c r="AA90" s="178"/>
      <c r="AB90" s="836"/>
      <c r="AC90" s="836"/>
      <c r="AD90" s="836"/>
      <c r="AE90" s="836"/>
      <c r="AF90" s="836"/>
      <c r="AG90" s="836"/>
      <c r="AH90" s="836"/>
      <c r="AI90" s="244"/>
      <c r="AJ90" s="244"/>
      <c r="AK90" s="244"/>
      <c r="AL90" s="244"/>
      <c r="AM90" s="244"/>
      <c r="AN90" s="176"/>
    </row>
    <row r="91" ht="14.25" customHeight="1" outlineLevel="3">
      <c r="A91" s="99"/>
      <c r="B91" s="100"/>
      <c r="C91" s="852"/>
      <c r="D91" s="100"/>
      <c r="E91" s="853" t="s">
        <v>2886</v>
      </c>
      <c r="F91" s="249" t="s">
        <v>135</v>
      </c>
      <c r="G91" s="249" t="s">
        <v>2887</v>
      </c>
      <c r="H91" s="260">
        <v>11.4323</v>
      </c>
      <c r="I91" s="181">
        <v>11.0499</v>
      </c>
      <c r="J91" s="181">
        <v>9.5796</v>
      </c>
      <c r="K91" s="181">
        <v>11.8033</v>
      </c>
      <c r="L91" s="181">
        <v>12.0355</v>
      </c>
      <c r="M91" s="181">
        <v>11.6332</v>
      </c>
      <c r="N91" s="181">
        <v>10.2346</v>
      </c>
      <c r="O91" s="181">
        <v>9.0146</v>
      </c>
      <c r="P91" s="181">
        <v>9.287</v>
      </c>
      <c r="Q91" s="181">
        <v>8.5477</v>
      </c>
      <c r="R91" s="181">
        <v>8.7309</v>
      </c>
      <c r="S91" s="181">
        <v>7.9244</v>
      </c>
      <c r="T91" s="181">
        <v>8.0782</v>
      </c>
      <c r="U91" s="181">
        <v>9.5158</v>
      </c>
      <c r="V91" s="181">
        <v>8.2184</v>
      </c>
      <c r="W91" s="202">
        <v>8.3258</v>
      </c>
      <c r="X91" s="181">
        <v>8.9447</v>
      </c>
      <c r="Y91" s="181">
        <v>9.161</v>
      </c>
      <c r="Z91" s="181"/>
      <c r="AA91" s="181"/>
      <c r="AB91" s="202"/>
      <c r="AC91" s="202"/>
      <c r="AD91" s="202"/>
      <c r="AE91" s="202"/>
      <c r="AF91" s="202"/>
      <c r="AG91" s="202"/>
      <c r="AH91" s="203"/>
      <c r="AI91" s="275" t="s">
        <v>2888</v>
      </c>
      <c r="AJ91" s="275"/>
      <c r="AK91" s="275"/>
      <c r="AL91" s="275"/>
      <c r="AM91" s="205"/>
      <c r="AN91" s="102"/>
    </row>
    <row r="92" ht="14.25" customHeight="1" outlineLevel="3">
      <c r="A92" s="269"/>
      <c r="B92" s="100"/>
      <c r="C92" s="100"/>
      <c r="D92" s="852"/>
      <c r="E92" s="834" t="s">
        <v>2889</v>
      </c>
      <c r="F92" s="249" t="s">
        <v>135</v>
      </c>
      <c r="G92" s="249" t="s">
        <v>2890</v>
      </c>
      <c r="H92" s="260">
        <v>0.0</v>
      </c>
      <c r="I92" s="181">
        <v>0.0</v>
      </c>
      <c r="J92" s="181">
        <v>0.201</v>
      </c>
      <c r="K92" s="181">
        <v>0.1955</v>
      </c>
      <c r="L92" s="181">
        <v>0.1957</v>
      </c>
      <c r="M92" s="181">
        <v>0.1957</v>
      </c>
      <c r="N92" s="181">
        <v>0.1957</v>
      </c>
      <c r="O92" s="181">
        <v>0.2868</v>
      </c>
      <c r="P92" s="181">
        <v>0.3707</v>
      </c>
      <c r="Q92" s="181">
        <v>0.2446</v>
      </c>
      <c r="R92" s="181">
        <v>0.1399</v>
      </c>
      <c r="S92" s="181">
        <v>0.063</v>
      </c>
      <c r="T92" s="181">
        <v>0.0741</v>
      </c>
      <c r="U92" s="181">
        <v>0.0808</v>
      </c>
      <c r="V92" s="181">
        <v>0.1027</v>
      </c>
      <c r="W92" s="202">
        <v>0.1027</v>
      </c>
      <c r="X92" s="181">
        <v>0.1027</v>
      </c>
      <c r="Y92" s="181">
        <v>0.1019</v>
      </c>
      <c r="Z92" s="181"/>
      <c r="AA92" s="181"/>
      <c r="AB92" s="202"/>
      <c r="AC92" s="202"/>
      <c r="AD92" s="202"/>
      <c r="AE92" s="202"/>
      <c r="AF92" s="202"/>
      <c r="AG92" s="202"/>
      <c r="AH92" s="203"/>
      <c r="AI92" s="275" t="s">
        <v>2891</v>
      </c>
      <c r="AJ92" s="275"/>
      <c r="AK92" s="275"/>
      <c r="AL92" s="275"/>
      <c r="AM92" s="205"/>
      <c r="AN92" s="102"/>
    </row>
    <row r="93" ht="14.25" customHeight="1" outlineLevel="3">
      <c r="A93" s="269"/>
      <c r="B93" s="100"/>
      <c r="C93" s="100"/>
      <c r="D93" s="852"/>
      <c r="E93" s="834" t="s">
        <v>2892</v>
      </c>
      <c r="F93" s="249" t="s">
        <v>135</v>
      </c>
      <c r="G93" s="249" t="s">
        <v>2893</v>
      </c>
      <c r="H93" s="260">
        <v>0.0</v>
      </c>
      <c r="I93" s="181">
        <v>0.0</v>
      </c>
      <c r="J93" s="181">
        <v>0.0</v>
      </c>
      <c r="K93" s="181">
        <v>0.0</v>
      </c>
      <c r="L93" s="181">
        <v>0.0136</v>
      </c>
      <c r="M93" s="181">
        <v>0.0175</v>
      </c>
      <c r="N93" s="181">
        <v>0.0311</v>
      </c>
      <c r="O93" s="181">
        <v>0.1383</v>
      </c>
      <c r="P93" s="181">
        <v>0.1835</v>
      </c>
      <c r="Q93" s="181">
        <v>0.3462</v>
      </c>
      <c r="R93" s="181">
        <v>0.3029</v>
      </c>
      <c r="S93" s="181">
        <v>0.3468</v>
      </c>
      <c r="T93" s="181">
        <v>0.4312</v>
      </c>
      <c r="U93" s="181">
        <v>0.5603</v>
      </c>
      <c r="V93" s="181">
        <v>0.55</v>
      </c>
      <c r="W93" s="202">
        <v>0.5886</v>
      </c>
      <c r="X93" s="181">
        <v>0.5717</v>
      </c>
      <c r="Y93" s="181">
        <v>0.5264</v>
      </c>
      <c r="Z93" s="181"/>
      <c r="AA93" s="181"/>
      <c r="AB93" s="202"/>
      <c r="AC93" s="202"/>
      <c r="AD93" s="202"/>
      <c r="AE93" s="202"/>
      <c r="AF93" s="202"/>
      <c r="AG93" s="202"/>
      <c r="AH93" s="203"/>
      <c r="AI93" s="275" t="s">
        <v>2891</v>
      </c>
      <c r="AJ93" s="275"/>
      <c r="AK93" s="275"/>
      <c r="AL93" s="275"/>
      <c r="AM93" s="205"/>
      <c r="AN93" s="102"/>
    </row>
    <row r="94" ht="14.25" customHeight="1" outlineLevel="3">
      <c r="A94" s="269"/>
      <c r="B94" s="100"/>
      <c r="C94" s="100"/>
      <c r="D94" s="852"/>
      <c r="E94" s="834" t="s">
        <v>2894</v>
      </c>
      <c r="F94" s="249" t="s">
        <v>135</v>
      </c>
      <c r="G94" s="249" t="s">
        <v>2895</v>
      </c>
      <c r="H94" s="260">
        <v>8.8445</v>
      </c>
      <c r="I94" s="181">
        <v>8.4594</v>
      </c>
      <c r="J94" s="181">
        <v>6.7932</v>
      </c>
      <c r="K94" s="181">
        <v>9.0025</v>
      </c>
      <c r="L94" s="181">
        <v>9.0138</v>
      </c>
      <c r="M94" s="181">
        <v>8.669</v>
      </c>
      <c r="N94" s="181">
        <v>7.3543</v>
      </c>
      <c r="O94" s="181">
        <v>6.121</v>
      </c>
      <c r="P94" s="181">
        <v>6.3287</v>
      </c>
      <c r="Q94" s="181">
        <v>5.1218</v>
      </c>
      <c r="R94" s="181">
        <v>5.179</v>
      </c>
      <c r="S94" s="181">
        <v>4.5271</v>
      </c>
      <c r="T94" s="181">
        <v>4.3705</v>
      </c>
      <c r="U94" s="181">
        <v>4.7242</v>
      </c>
      <c r="V94" s="181">
        <v>3.8743</v>
      </c>
      <c r="W94" s="202">
        <v>3.4986</v>
      </c>
      <c r="X94" s="181">
        <v>3.8296</v>
      </c>
      <c r="Y94" s="181">
        <v>3.8171</v>
      </c>
      <c r="Z94" s="181"/>
      <c r="AA94" s="181"/>
      <c r="AB94" s="202"/>
      <c r="AC94" s="202"/>
      <c r="AD94" s="202"/>
      <c r="AE94" s="202"/>
      <c r="AF94" s="202"/>
      <c r="AG94" s="202"/>
      <c r="AH94" s="203"/>
      <c r="AI94" s="275" t="s">
        <v>2891</v>
      </c>
      <c r="AJ94" s="275"/>
      <c r="AK94" s="275"/>
      <c r="AL94" s="275"/>
      <c r="AM94" s="205"/>
      <c r="AN94" s="102"/>
    </row>
    <row r="95" ht="14.25" customHeight="1" outlineLevel="3">
      <c r="A95" s="269"/>
      <c r="B95" s="100"/>
      <c r="C95" s="100"/>
      <c r="D95" s="852"/>
      <c r="E95" s="834" t="s">
        <v>2896</v>
      </c>
      <c r="F95" s="249" t="s">
        <v>135</v>
      </c>
      <c r="G95" s="249" t="s">
        <v>2897</v>
      </c>
      <c r="H95" s="260">
        <v>1.4374</v>
      </c>
      <c r="I95" s="181">
        <v>1.4374</v>
      </c>
      <c r="J95" s="181">
        <v>1.4374</v>
      </c>
      <c r="K95" s="181">
        <v>1.4374</v>
      </c>
      <c r="L95" s="181">
        <v>1.8716</v>
      </c>
      <c r="M95" s="181">
        <v>1.7864</v>
      </c>
      <c r="N95" s="181">
        <v>1.6087</v>
      </c>
      <c r="O95" s="181">
        <v>1.2479</v>
      </c>
      <c r="P95" s="181">
        <v>1.1281</v>
      </c>
      <c r="Q95" s="181">
        <v>1.5267</v>
      </c>
      <c r="R95" s="181">
        <v>2.2234</v>
      </c>
      <c r="S95" s="181">
        <v>2.1496</v>
      </c>
      <c r="T95" s="181">
        <v>2.3744</v>
      </c>
      <c r="U95" s="181">
        <v>2.6293</v>
      </c>
      <c r="V95" s="181">
        <v>2.2054</v>
      </c>
      <c r="W95" s="202">
        <v>2.511</v>
      </c>
      <c r="X95" s="181">
        <v>2.7232</v>
      </c>
      <c r="Y95" s="181">
        <v>3.0619</v>
      </c>
      <c r="Z95" s="181"/>
      <c r="AA95" s="181"/>
      <c r="AB95" s="202"/>
      <c r="AC95" s="202"/>
      <c r="AD95" s="202"/>
      <c r="AE95" s="202"/>
      <c r="AF95" s="202"/>
      <c r="AG95" s="202"/>
      <c r="AH95" s="203"/>
      <c r="AI95" s="275" t="s">
        <v>2898</v>
      </c>
      <c r="AJ95" s="275"/>
      <c r="AK95" s="275"/>
      <c r="AL95" s="275"/>
      <c r="AM95" s="205"/>
      <c r="AN95" s="102"/>
    </row>
    <row r="96" ht="14.25" customHeight="1" outlineLevel="3">
      <c r="A96" s="269"/>
      <c r="B96" s="100"/>
      <c r="C96" s="100"/>
      <c r="D96" s="852"/>
      <c r="E96" s="834" t="s">
        <v>2899</v>
      </c>
      <c r="F96" s="249" t="s">
        <v>135</v>
      </c>
      <c r="G96" s="249" t="s">
        <v>2900</v>
      </c>
      <c r="H96" s="260">
        <v>1.1505</v>
      </c>
      <c r="I96" s="181">
        <v>1.1531</v>
      </c>
      <c r="J96" s="181">
        <v>1.148</v>
      </c>
      <c r="K96" s="181">
        <v>1.168</v>
      </c>
      <c r="L96" s="181">
        <v>0.9407</v>
      </c>
      <c r="M96" s="181">
        <v>0.9645</v>
      </c>
      <c r="N96" s="181">
        <v>0.9165</v>
      </c>
      <c r="O96" s="181">
        <v>1.0856</v>
      </c>
      <c r="P96" s="181">
        <v>1.0734</v>
      </c>
      <c r="Q96" s="181">
        <v>1.0226</v>
      </c>
      <c r="R96" s="181">
        <v>0.8257</v>
      </c>
      <c r="S96" s="181">
        <v>0.7896</v>
      </c>
      <c r="T96" s="181">
        <v>0.8085</v>
      </c>
      <c r="U96" s="181">
        <v>1.4832</v>
      </c>
      <c r="V96" s="181">
        <v>1.4593</v>
      </c>
      <c r="W96" s="202">
        <v>1.5712</v>
      </c>
      <c r="X96" s="181">
        <v>1.6612</v>
      </c>
      <c r="Y96" s="181">
        <v>1.6018</v>
      </c>
      <c r="Z96" s="181"/>
      <c r="AA96" s="181"/>
      <c r="AB96" s="202"/>
      <c r="AC96" s="202"/>
      <c r="AD96" s="202"/>
      <c r="AE96" s="202"/>
      <c r="AF96" s="202"/>
      <c r="AG96" s="202"/>
      <c r="AH96" s="203"/>
      <c r="AI96" s="275" t="s">
        <v>2898</v>
      </c>
      <c r="AJ96" s="275"/>
      <c r="AK96" s="275"/>
      <c r="AL96" s="275"/>
      <c r="AM96" s="205"/>
      <c r="AN96" s="102"/>
    </row>
    <row r="97" ht="14.25" customHeight="1" outlineLevel="3">
      <c r="A97" s="269"/>
      <c r="B97" s="100"/>
      <c r="C97" s="100"/>
      <c r="D97" s="852"/>
      <c r="E97" s="834" t="s">
        <v>2901</v>
      </c>
      <c r="F97" s="249" t="s">
        <v>135</v>
      </c>
      <c r="G97" s="249" t="s">
        <v>2902</v>
      </c>
      <c r="H97" s="260"/>
      <c r="I97" s="181"/>
      <c r="J97" s="181"/>
      <c r="K97" s="181"/>
      <c r="L97" s="181"/>
      <c r="M97" s="181"/>
      <c r="N97" s="181"/>
      <c r="O97" s="181"/>
      <c r="P97" s="181"/>
      <c r="Q97" s="181"/>
      <c r="R97" s="181"/>
      <c r="S97" s="181"/>
      <c r="T97" s="181"/>
      <c r="U97" s="181"/>
      <c r="V97" s="181"/>
      <c r="W97" s="202"/>
      <c r="X97" s="181"/>
      <c r="Y97" s="181"/>
      <c r="Z97" s="181"/>
      <c r="AA97" s="181"/>
      <c r="AB97" s="202"/>
      <c r="AC97" s="202"/>
      <c r="AD97" s="202"/>
      <c r="AE97" s="202"/>
      <c r="AF97" s="202"/>
      <c r="AG97" s="202"/>
      <c r="AH97" s="203"/>
      <c r="AI97" s="275"/>
      <c r="AJ97" s="275"/>
      <c r="AK97" s="275"/>
      <c r="AL97" s="275"/>
      <c r="AM97" s="205"/>
      <c r="AN97" s="102"/>
    </row>
    <row r="98" ht="14.25" customHeight="1" outlineLevel="3">
      <c r="A98" s="269"/>
      <c r="B98" s="100"/>
      <c r="C98" s="100"/>
      <c r="D98" s="852"/>
      <c r="E98" s="834" t="s">
        <v>2903</v>
      </c>
      <c r="F98" s="249" t="s">
        <v>135</v>
      </c>
      <c r="G98" s="249" t="s">
        <v>2904</v>
      </c>
      <c r="H98" s="260">
        <v>0.0</v>
      </c>
      <c r="I98" s="181">
        <v>0.0</v>
      </c>
      <c r="J98" s="181">
        <v>0.0</v>
      </c>
      <c r="K98" s="181">
        <v>0.0</v>
      </c>
      <c r="L98" s="181">
        <v>0.0</v>
      </c>
      <c r="M98" s="181">
        <v>0.0</v>
      </c>
      <c r="N98" s="181">
        <v>0.1282</v>
      </c>
      <c r="O98" s="181">
        <v>0.1349</v>
      </c>
      <c r="P98" s="181">
        <v>0.2027</v>
      </c>
      <c r="Q98" s="181">
        <v>0.2858</v>
      </c>
      <c r="R98" s="181">
        <v>0.0599</v>
      </c>
      <c r="S98" s="181">
        <v>0.0483</v>
      </c>
      <c r="T98" s="181">
        <v>0.0194</v>
      </c>
      <c r="U98" s="181">
        <v>0.038</v>
      </c>
      <c r="V98" s="181">
        <v>0.0267</v>
      </c>
      <c r="W98" s="202">
        <v>0.0536</v>
      </c>
      <c r="X98" s="181">
        <v>0.0564</v>
      </c>
      <c r="Y98" s="181">
        <v>0.0519</v>
      </c>
      <c r="Z98" s="181"/>
      <c r="AA98" s="181"/>
      <c r="AB98" s="202"/>
      <c r="AC98" s="202"/>
      <c r="AD98" s="202"/>
      <c r="AE98" s="202"/>
      <c r="AF98" s="202"/>
      <c r="AG98" s="202"/>
      <c r="AH98" s="203"/>
      <c r="AI98" s="275" t="s">
        <v>2891</v>
      </c>
      <c r="AJ98" s="275"/>
      <c r="AK98" s="275"/>
      <c r="AL98" s="275"/>
      <c r="AM98" s="205"/>
      <c r="AN98" s="102"/>
    </row>
    <row r="99" ht="14.25" customHeight="1" outlineLevel="3">
      <c r="A99" s="269"/>
      <c r="B99" s="100"/>
      <c r="C99" s="100"/>
      <c r="D99" s="100"/>
      <c r="E99" s="187" t="s">
        <v>2905</v>
      </c>
      <c r="F99" s="123" t="s">
        <v>135</v>
      </c>
      <c r="G99" s="123" t="s">
        <v>2906</v>
      </c>
      <c r="H99" s="260"/>
      <c r="I99" s="181"/>
      <c r="J99" s="181"/>
      <c r="K99" s="181"/>
      <c r="L99" s="181"/>
      <c r="M99" s="181"/>
      <c r="N99" s="181"/>
      <c r="O99" s="181"/>
      <c r="P99" s="181"/>
      <c r="Q99" s="181"/>
      <c r="R99" s="181"/>
      <c r="S99" s="181"/>
      <c r="T99" s="181"/>
      <c r="U99" s="181"/>
      <c r="V99" s="181"/>
      <c r="W99" s="202"/>
      <c r="X99" s="181"/>
      <c r="Y99" s="181"/>
      <c r="Z99" s="181"/>
      <c r="AA99" s="181"/>
      <c r="AB99" s="202"/>
      <c r="AC99" s="202"/>
      <c r="AD99" s="202"/>
      <c r="AE99" s="202"/>
      <c r="AF99" s="202"/>
      <c r="AG99" s="202"/>
      <c r="AH99" s="203"/>
      <c r="AI99" s="275"/>
      <c r="AJ99" s="275"/>
      <c r="AK99" s="275"/>
      <c r="AL99" s="275"/>
      <c r="AM99" s="205"/>
      <c r="AN99" s="102"/>
    </row>
    <row r="100" ht="9.75" customHeight="1">
      <c r="A100" s="166"/>
      <c r="B100" s="167"/>
      <c r="C100" s="167"/>
      <c r="D100" s="167"/>
      <c r="E100" s="167"/>
      <c r="F100" s="168"/>
      <c r="G100" s="168"/>
      <c r="H100" s="169"/>
      <c r="I100" s="169"/>
      <c r="J100" s="169"/>
      <c r="K100" s="169"/>
      <c r="L100" s="169"/>
      <c r="M100" s="169"/>
      <c r="N100" s="169"/>
      <c r="O100" s="169"/>
      <c r="P100" s="169"/>
      <c r="Q100" s="169"/>
      <c r="R100" s="169"/>
      <c r="S100" s="169"/>
      <c r="T100" s="169"/>
      <c r="U100" s="169"/>
      <c r="V100" s="169"/>
      <c r="W100" s="169"/>
      <c r="X100" s="169"/>
      <c r="Y100" s="169"/>
      <c r="Z100" s="169"/>
      <c r="AA100" s="169"/>
      <c r="AB100" s="169"/>
      <c r="AC100" s="169"/>
      <c r="AD100" s="169"/>
      <c r="AE100" s="169"/>
      <c r="AF100" s="169"/>
      <c r="AG100" s="169"/>
      <c r="AH100" s="169"/>
      <c r="AI100" s="448"/>
      <c r="AJ100" s="448"/>
      <c r="AK100" s="448"/>
      <c r="AL100" s="448"/>
      <c r="AM100" s="448"/>
      <c r="AN100" s="102"/>
    </row>
    <row r="101" ht="14.25" customHeight="1">
      <c r="A101" s="829" t="s">
        <v>2907</v>
      </c>
      <c r="B101" s="830"/>
      <c r="C101" s="830"/>
      <c r="D101" s="830"/>
      <c r="E101" s="830"/>
      <c r="F101" s="830"/>
      <c r="G101" s="830"/>
      <c r="H101" s="831"/>
      <c r="I101" s="831"/>
      <c r="J101" s="831"/>
      <c r="K101" s="831"/>
      <c r="L101" s="831"/>
      <c r="M101" s="831"/>
      <c r="N101" s="831"/>
      <c r="O101" s="831"/>
      <c r="P101" s="831"/>
      <c r="Q101" s="831"/>
      <c r="R101" s="831"/>
      <c r="S101" s="831"/>
      <c r="T101" s="831"/>
      <c r="U101" s="831"/>
      <c r="V101" s="831"/>
      <c r="W101" s="831"/>
      <c r="X101" s="831"/>
      <c r="Y101" s="831"/>
      <c r="Z101" s="831"/>
      <c r="AA101" s="831"/>
      <c r="AB101" s="831"/>
      <c r="AC101" s="831"/>
      <c r="AD101" s="831"/>
      <c r="AE101" s="831"/>
      <c r="AF101" s="831"/>
      <c r="AG101" s="831"/>
      <c r="AH101" s="831"/>
      <c r="AI101" s="832"/>
      <c r="AJ101" s="832"/>
      <c r="AK101" s="832"/>
      <c r="AL101" s="832"/>
      <c r="AM101" s="832"/>
      <c r="AN101" s="102"/>
    </row>
    <row r="102" ht="14.25" customHeight="1" outlineLevel="1">
      <c r="A102" s="833" t="s">
        <v>2908</v>
      </c>
      <c r="B102" s="100"/>
      <c r="C102" s="100"/>
      <c r="D102" s="195"/>
      <c r="E102" s="162"/>
      <c r="F102" s="162"/>
      <c r="G102" s="162"/>
      <c r="H102" s="178"/>
      <c r="I102" s="178"/>
      <c r="J102" s="178"/>
      <c r="K102" s="178"/>
      <c r="L102" s="178"/>
      <c r="M102" s="178"/>
      <c r="N102" s="178"/>
      <c r="O102" s="178"/>
      <c r="P102" s="178"/>
      <c r="Q102" s="178"/>
      <c r="R102" s="178"/>
      <c r="S102" s="178"/>
      <c r="T102" s="178"/>
      <c r="U102" s="178"/>
      <c r="V102" s="178"/>
      <c r="W102" s="178"/>
      <c r="X102" s="178"/>
      <c r="Y102" s="178"/>
      <c r="Z102" s="178"/>
      <c r="AA102" s="178"/>
      <c r="AB102" s="178"/>
      <c r="AC102" s="178"/>
      <c r="AD102" s="178"/>
      <c r="AE102" s="178"/>
      <c r="AF102" s="178"/>
      <c r="AG102" s="178"/>
      <c r="AH102" s="178"/>
      <c r="AI102" s="244"/>
      <c r="AJ102" s="244"/>
      <c r="AK102" s="244"/>
      <c r="AL102" s="244"/>
      <c r="AM102" s="244"/>
      <c r="AN102" s="176"/>
    </row>
    <row r="103" ht="14.25" customHeight="1" outlineLevel="2">
      <c r="A103" s="833"/>
      <c r="B103" s="841" t="s">
        <v>2909</v>
      </c>
      <c r="C103" s="842"/>
      <c r="D103" s="847"/>
      <c r="E103" s="162"/>
      <c r="F103" s="162"/>
      <c r="G103" s="162"/>
      <c r="H103" s="178"/>
      <c r="I103" s="178"/>
      <c r="J103" s="178"/>
      <c r="K103" s="178"/>
      <c r="L103" s="178"/>
      <c r="M103" s="178"/>
      <c r="N103" s="178"/>
      <c r="O103" s="178"/>
      <c r="P103" s="178"/>
      <c r="Q103" s="178"/>
      <c r="R103" s="178"/>
      <c r="S103" s="178"/>
      <c r="T103" s="178"/>
      <c r="U103" s="178"/>
      <c r="V103" s="178"/>
      <c r="W103" s="178"/>
      <c r="X103" s="178"/>
      <c r="Y103" s="178"/>
      <c r="Z103" s="178"/>
      <c r="AA103" s="178"/>
      <c r="AB103" s="178"/>
      <c r="AC103" s="178"/>
      <c r="AD103" s="178"/>
      <c r="AE103" s="178"/>
      <c r="AF103" s="178"/>
      <c r="AG103" s="178"/>
      <c r="AH103" s="178"/>
      <c r="AI103" s="244"/>
      <c r="AJ103" s="244"/>
      <c r="AK103" s="244"/>
      <c r="AL103" s="244"/>
      <c r="AM103" s="244"/>
      <c r="AN103" s="176"/>
    </row>
    <row r="104" ht="14.25" customHeight="1" outlineLevel="3">
      <c r="A104" s="833"/>
      <c r="B104" s="842"/>
      <c r="C104" s="842"/>
      <c r="D104" s="847"/>
      <c r="E104" s="834" t="s">
        <v>2910</v>
      </c>
      <c r="F104" s="249" t="s">
        <v>2772</v>
      </c>
      <c r="G104" s="249" t="s">
        <v>2911</v>
      </c>
      <c r="H104" s="260"/>
      <c r="I104" s="181"/>
      <c r="J104" s="181"/>
      <c r="K104" s="181"/>
      <c r="L104" s="181"/>
      <c r="M104" s="181"/>
      <c r="N104" s="181"/>
      <c r="O104" s="181"/>
      <c r="P104" s="181"/>
      <c r="Q104" s="181"/>
      <c r="R104" s="181"/>
      <c r="S104" s="181"/>
      <c r="T104" s="181"/>
      <c r="U104" s="181"/>
      <c r="V104" s="181"/>
      <c r="W104" s="202"/>
      <c r="X104" s="181"/>
      <c r="Y104" s="181"/>
      <c r="Z104" s="181"/>
      <c r="AA104" s="181"/>
      <c r="AB104" s="202"/>
      <c r="AC104" s="202"/>
      <c r="AD104" s="202"/>
      <c r="AE104" s="202"/>
      <c r="AF104" s="202"/>
      <c r="AG104" s="202"/>
      <c r="AH104" s="203"/>
      <c r="AI104" s="493"/>
      <c r="AJ104" s="493"/>
      <c r="AK104" s="493"/>
      <c r="AL104" s="493"/>
      <c r="AM104" s="494"/>
      <c r="AN104" s="176"/>
    </row>
    <row r="105" ht="14.25" customHeight="1" outlineLevel="3">
      <c r="A105" s="833"/>
      <c r="B105" s="842"/>
      <c r="C105" s="842"/>
      <c r="D105" s="847"/>
      <c r="E105" s="834" t="s">
        <v>2912</v>
      </c>
      <c r="F105" s="249" t="s">
        <v>2810</v>
      </c>
      <c r="G105" s="249" t="s">
        <v>2913</v>
      </c>
      <c r="H105" s="260"/>
      <c r="I105" s="181"/>
      <c r="J105" s="181"/>
      <c r="K105" s="181"/>
      <c r="L105" s="181"/>
      <c r="M105" s="181"/>
      <c r="N105" s="181"/>
      <c r="O105" s="181"/>
      <c r="P105" s="181"/>
      <c r="Q105" s="181"/>
      <c r="R105" s="181"/>
      <c r="S105" s="181"/>
      <c r="T105" s="181"/>
      <c r="U105" s="181"/>
      <c r="V105" s="181"/>
      <c r="W105" s="202"/>
      <c r="X105" s="181"/>
      <c r="Y105" s="181"/>
      <c r="Z105" s="181"/>
      <c r="AA105" s="181"/>
      <c r="AB105" s="202"/>
      <c r="AC105" s="202"/>
      <c r="AD105" s="202"/>
      <c r="AE105" s="202"/>
      <c r="AF105" s="202"/>
      <c r="AG105" s="202"/>
      <c r="AH105" s="203"/>
      <c r="AI105" s="493"/>
      <c r="AJ105" s="493"/>
      <c r="AK105" s="493"/>
      <c r="AL105" s="493"/>
      <c r="AM105" s="494"/>
      <c r="AN105" s="176"/>
    </row>
    <row r="106" ht="14.25" customHeight="1" outlineLevel="3">
      <c r="A106" s="833"/>
      <c r="B106" s="842"/>
      <c r="C106" s="842"/>
      <c r="D106" s="847"/>
      <c r="E106" s="834" t="s">
        <v>2914</v>
      </c>
      <c r="F106" s="249" t="s">
        <v>135</v>
      </c>
      <c r="G106" s="249" t="s">
        <v>2915</v>
      </c>
      <c r="H106" s="260"/>
      <c r="I106" s="181"/>
      <c r="J106" s="181"/>
      <c r="K106" s="181"/>
      <c r="L106" s="181"/>
      <c r="M106" s="181"/>
      <c r="N106" s="181"/>
      <c r="O106" s="181"/>
      <c r="P106" s="181"/>
      <c r="Q106" s="181"/>
      <c r="R106" s="181"/>
      <c r="S106" s="181"/>
      <c r="T106" s="181"/>
      <c r="U106" s="181"/>
      <c r="V106" s="181"/>
      <c r="W106" s="202"/>
      <c r="X106" s="181"/>
      <c r="Y106" s="181"/>
      <c r="Z106" s="181"/>
      <c r="AA106" s="181"/>
      <c r="AB106" s="202"/>
      <c r="AC106" s="202"/>
      <c r="AD106" s="202"/>
      <c r="AE106" s="202"/>
      <c r="AF106" s="202"/>
      <c r="AG106" s="202"/>
      <c r="AH106" s="203"/>
      <c r="AI106" s="493"/>
      <c r="AJ106" s="493"/>
      <c r="AK106" s="493"/>
      <c r="AL106" s="493"/>
      <c r="AM106" s="494"/>
      <c r="AN106" s="176"/>
    </row>
    <row r="107" ht="14.25" customHeight="1" outlineLevel="3">
      <c r="A107" s="833"/>
      <c r="B107" s="842"/>
      <c r="C107" s="842"/>
      <c r="D107" s="847"/>
      <c r="E107" s="187" t="s">
        <v>2916</v>
      </c>
      <c r="F107" s="123" t="s">
        <v>261</v>
      </c>
      <c r="G107" s="123" t="s">
        <v>2917</v>
      </c>
      <c r="H107" s="253"/>
      <c r="I107" s="254"/>
      <c r="J107" s="254"/>
      <c r="K107" s="254"/>
      <c r="L107" s="254"/>
      <c r="M107" s="254"/>
      <c r="N107" s="254"/>
      <c r="O107" s="254"/>
      <c r="P107" s="254"/>
      <c r="Q107" s="254"/>
      <c r="R107" s="254"/>
      <c r="S107" s="254"/>
      <c r="T107" s="254"/>
      <c r="U107" s="254"/>
      <c r="V107" s="254"/>
      <c r="W107" s="279"/>
      <c r="X107" s="254"/>
      <c r="Y107" s="254"/>
      <c r="Z107" s="254"/>
      <c r="AA107" s="254"/>
      <c r="AB107" s="279"/>
      <c r="AC107" s="279"/>
      <c r="AD107" s="279"/>
      <c r="AE107" s="279"/>
      <c r="AF107" s="279"/>
      <c r="AG107" s="279"/>
      <c r="AH107" s="835"/>
      <c r="AI107" s="493"/>
      <c r="AJ107" s="493"/>
      <c r="AK107" s="493"/>
      <c r="AL107" s="493"/>
      <c r="AM107" s="494"/>
      <c r="AN107" s="176"/>
    </row>
    <row r="108" ht="14.25" customHeight="1" outlineLevel="2">
      <c r="A108" s="833"/>
      <c r="B108" s="841" t="s">
        <v>2918</v>
      </c>
      <c r="C108" s="842"/>
      <c r="D108" s="847"/>
      <c r="E108" s="162"/>
      <c r="F108" s="162"/>
      <c r="G108" s="162"/>
      <c r="H108" s="178"/>
      <c r="I108" s="178"/>
      <c r="J108" s="178"/>
      <c r="K108" s="178"/>
      <c r="L108" s="178"/>
      <c r="M108" s="178"/>
      <c r="N108" s="178"/>
      <c r="O108" s="178"/>
      <c r="P108" s="178"/>
      <c r="Q108" s="178"/>
      <c r="R108" s="178"/>
      <c r="S108" s="178"/>
      <c r="T108" s="178"/>
      <c r="U108" s="178"/>
      <c r="V108" s="178"/>
      <c r="W108" s="836"/>
      <c r="X108" s="178"/>
      <c r="Y108" s="178"/>
      <c r="Z108" s="178"/>
      <c r="AA108" s="178"/>
      <c r="AB108" s="836"/>
      <c r="AC108" s="836"/>
      <c r="AD108" s="836"/>
      <c r="AE108" s="836"/>
      <c r="AF108" s="836"/>
      <c r="AG108" s="836"/>
      <c r="AH108" s="836"/>
      <c r="AI108" s="244"/>
      <c r="AJ108" s="244"/>
      <c r="AK108" s="244"/>
      <c r="AL108" s="244"/>
      <c r="AM108" s="244"/>
      <c r="AN108" s="176"/>
    </row>
    <row r="109" ht="14.25" customHeight="1" outlineLevel="3">
      <c r="A109" s="833"/>
      <c r="B109" s="842"/>
      <c r="C109" s="842"/>
      <c r="D109" s="847"/>
      <c r="E109" s="834" t="s">
        <v>2919</v>
      </c>
      <c r="F109" s="249" t="s">
        <v>2772</v>
      </c>
      <c r="G109" s="249" t="s">
        <v>2920</v>
      </c>
      <c r="H109" s="260"/>
      <c r="I109" s="181"/>
      <c r="J109" s="181"/>
      <c r="K109" s="181"/>
      <c r="L109" s="181"/>
      <c r="M109" s="181"/>
      <c r="N109" s="181"/>
      <c r="O109" s="181"/>
      <c r="P109" s="181"/>
      <c r="Q109" s="181"/>
      <c r="R109" s="181"/>
      <c r="S109" s="181"/>
      <c r="T109" s="181"/>
      <c r="U109" s="181"/>
      <c r="V109" s="181"/>
      <c r="W109" s="202"/>
      <c r="X109" s="181"/>
      <c r="Y109" s="181"/>
      <c r="Z109" s="181"/>
      <c r="AA109" s="181"/>
      <c r="AB109" s="202"/>
      <c r="AC109" s="202"/>
      <c r="AD109" s="202"/>
      <c r="AE109" s="202"/>
      <c r="AF109" s="202"/>
      <c r="AG109" s="202"/>
      <c r="AH109" s="203"/>
      <c r="AI109" s="493"/>
      <c r="AJ109" s="493"/>
      <c r="AK109" s="493"/>
      <c r="AL109" s="493"/>
      <c r="AM109" s="494"/>
      <c r="AN109" s="176"/>
    </row>
    <row r="110" ht="14.25" customHeight="1" outlineLevel="3">
      <c r="A110" s="833"/>
      <c r="B110" s="842"/>
      <c r="C110" s="842"/>
      <c r="D110" s="847"/>
      <c r="E110" s="834" t="s">
        <v>2912</v>
      </c>
      <c r="F110" s="249" t="s">
        <v>2810</v>
      </c>
      <c r="G110" s="249" t="s">
        <v>2921</v>
      </c>
      <c r="H110" s="260"/>
      <c r="I110" s="181"/>
      <c r="J110" s="181"/>
      <c r="K110" s="181"/>
      <c r="L110" s="181"/>
      <c r="M110" s="181"/>
      <c r="N110" s="181"/>
      <c r="O110" s="181"/>
      <c r="P110" s="181"/>
      <c r="Q110" s="181"/>
      <c r="R110" s="181"/>
      <c r="S110" s="181"/>
      <c r="T110" s="181"/>
      <c r="U110" s="181"/>
      <c r="V110" s="181"/>
      <c r="W110" s="202"/>
      <c r="X110" s="181"/>
      <c r="Y110" s="181"/>
      <c r="Z110" s="181"/>
      <c r="AA110" s="181"/>
      <c r="AB110" s="202"/>
      <c r="AC110" s="202"/>
      <c r="AD110" s="202"/>
      <c r="AE110" s="202"/>
      <c r="AF110" s="202"/>
      <c r="AG110" s="202"/>
      <c r="AH110" s="203"/>
      <c r="AI110" s="493"/>
      <c r="AJ110" s="493"/>
      <c r="AK110" s="493"/>
      <c r="AL110" s="493"/>
      <c r="AM110" s="494"/>
      <c r="AN110" s="176"/>
    </row>
    <row r="111" ht="14.25" customHeight="1" outlineLevel="3">
      <c r="A111" s="833"/>
      <c r="B111" s="842"/>
      <c r="C111" s="842"/>
      <c r="D111" s="847"/>
      <c r="E111" s="834" t="s">
        <v>2922</v>
      </c>
      <c r="F111" s="249" t="s">
        <v>135</v>
      </c>
      <c r="G111" s="249" t="s">
        <v>2923</v>
      </c>
      <c r="H111" s="260"/>
      <c r="I111" s="181"/>
      <c r="J111" s="181"/>
      <c r="K111" s="181"/>
      <c r="L111" s="181"/>
      <c r="M111" s="181"/>
      <c r="N111" s="181"/>
      <c r="O111" s="181"/>
      <c r="P111" s="181"/>
      <c r="Q111" s="181"/>
      <c r="R111" s="181"/>
      <c r="S111" s="181"/>
      <c r="T111" s="181"/>
      <c r="U111" s="181"/>
      <c r="V111" s="181"/>
      <c r="W111" s="202"/>
      <c r="X111" s="181"/>
      <c r="Y111" s="181"/>
      <c r="Z111" s="181"/>
      <c r="AA111" s="181"/>
      <c r="AB111" s="202"/>
      <c r="AC111" s="202"/>
      <c r="AD111" s="202"/>
      <c r="AE111" s="202"/>
      <c r="AF111" s="202"/>
      <c r="AG111" s="202"/>
      <c r="AH111" s="203"/>
      <c r="AI111" s="493"/>
      <c r="AJ111" s="493"/>
      <c r="AK111" s="493"/>
      <c r="AL111" s="493"/>
      <c r="AM111" s="494"/>
      <c r="AN111" s="176"/>
    </row>
    <row r="112" ht="14.25" customHeight="1" outlineLevel="3">
      <c r="A112" s="833"/>
      <c r="B112" s="842"/>
      <c r="C112" s="842"/>
      <c r="D112" s="847"/>
      <c r="E112" s="187" t="s">
        <v>2916</v>
      </c>
      <c r="F112" s="123" t="s">
        <v>261</v>
      </c>
      <c r="G112" s="123" t="s">
        <v>2924</v>
      </c>
      <c r="H112" s="253"/>
      <c r="I112" s="254"/>
      <c r="J112" s="254"/>
      <c r="K112" s="254"/>
      <c r="L112" s="254"/>
      <c r="M112" s="254"/>
      <c r="N112" s="254"/>
      <c r="O112" s="254"/>
      <c r="P112" s="254"/>
      <c r="Q112" s="254"/>
      <c r="R112" s="254"/>
      <c r="S112" s="254"/>
      <c r="T112" s="254"/>
      <c r="U112" s="254"/>
      <c r="V112" s="254"/>
      <c r="W112" s="279"/>
      <c r="X112" s="254"/>
      <c r="Y112" s="254"/>
      <c r="Z112" s="254"/>
      <c r="AA112" s="254"/>
      <c r="AB112" s="279"/>
      <c r="AC112" s="279"/>
      <c r="AD112" s="279"/>
      <c r="AE112" s="279"/>
      <c r="AF112" s="279"/>
      <c r="AG112" s="279"/>
      <c r="AH112" s="835"/>
      <c r="AI112" s="493"/>
      <c r="AJ112" s="493"/>
      <c r="AK112" s="493"/>
      <c r="AL112" s="493"/>
      <c r="AM112" s="494"/>
      <c r="AN112" s="176"/>
    </row>
    <row r="113" ht="14.25" customHeight="1" outlineLevel="2">
      <c r="A113" s="833"/>
      <c r="B113" s="841" t="s">
        <v>2925</v>
      </c>
      <c r="C113" s="842"/>
      <c r="D113" s="847"/>
      <c r="E113" s="162"/>
      <c r="F113" s="162"/>
      <c r="G113" s="162"/>
      <c r="H113" s="178"/>
      <c r="I113" s="178"/>
      <c r="J113" s="178"/>
      <c r="K113" s="178"/>
      <c r="L113" s="178"/>
      <c r="M113" s="178"/>
      <c r="N113" s="178"/>
      <c r="O113" s="178"/>
      <c r="P113" s="178"/>
      <c r="Q113" s="178"/>
      <c r="R113" s="178"/>
      <c r="S113" s="178"/>
      <c r="T113" s="178"/>
      <c r="U113" s="178"/>
      <c r="V113" s="178"/>
      <c r="W113" s="836"/>
      <c r="X113" s="178"/>
      <c r="Y113" s="178"/>
      <c r="Z113" s="178"/>
      <c r="AA113" s="178"/>
      <c r="AB113" s="836"/>
      <c r="AC113" s="836"/>
      <c r="AD113" s="836"/>
      <c r="AE113" s="836"/>
      <c r="AF113" s="836"/>
      <c r="AG113" s="836"/>
      <c r="AH113" s="836"/>
      <c r="AI113" s="244"/>
      <c r="AJ113" s="244"/>
      <c r="AK113" s="244"/>
      <c r="AL113" s="244"/>
      <c r="AM113" s="244"/>
      <c r="AN113" s="176"/>
    </row>
    <row r="114" ht="14.25" customHeight="1" outlineLevel="3">
      <c r="A114" s="833"/>
      <c r="B114" s="842"/>
      <c r="C114" s="842"/>
      <c r="D114" s="847"/>
      <c r="E114" s="834" t="s">
        <v>2926</v>
      </c>
      <c r="F114" s="249" t="s">
        <v>2772</v>
      </c>
      <c r="G114" s="249" t="s">
        <v>2927</v>
      </c>
      <c r="H114" s="260"/>
      <c r="I114" s="181"/>
      <c r="J114" s="181"/>
      <c r="K114" s="181"/>
      <c r="L114" s="181"/>
      <c r="M114" s="181"/>
      <c r="N114" s="181"/>
      <c r="O114" s="181"/>
      <c r="P114" s="181"/>
      <c r="Q114" s="181"/>
      <c r="R114" s="181"/>
      <c r="S114" s="181"/>
      <c r="T114" s="181"/>
      <c r="U114" s="181"/>
      <c r="V114" s="181"/>
      <c r="W114" s="202"/>
      <c r="X114" s="181"/>
      <c r="Y114" s="181"/>
      <c r="Z114" s="181"/>
      <c r="AA114" s="181"/>
      <c r="AB114" s="202"/>
      <c r="AC114" s="202"/>
      <c r="AD114" s="202"/>
      <c r="AE114" s="202"/>
      <c r="AF114" s="202"/>
      <c r="AG114" s="202"/>
      <c r="AH114" s="203"/>
      <c r="AI114" s="493"/>
      <c r="AJ114" s="493"/>
      <c r="AK114" s="493"/>
      <c r="AL114" s="493"/>
      <c r="AM114" s="494"/>
      <c r="AN114" s="176"/>
    </row>
    <row r="115" ht="14.25" customHeight="1" outlineLevel="3">
      <c r="A115" s="833"/>
      <c r="B115" s="842"/>
      <c r="C115" s="842"/>
      <c r="D115" s="847"/>
      <c r="E115" s="834" t="s">
        <v>2912</v>
      </c>
      <c r="F115" s="249" t="s">
        <v>2810</v>
      </c>
      <c r="G115" s="249" t="s">
        <v>2928</v>
      </c>
      <c r="H115" s="260"/>
      <c r="I115" s="181"/>
      <c r="J115" s="181"/>
      <c r="K115" s="181"/>
      <c r="L115" s="181"/>
      <c r="M115" s="181"/>
      <c r="N115" s="181"/>
      <c r="O115" s="181"/>
      <c r="P115" s="181"/>
      <c r="Q115" s="181"/>
      <c r="R115" s="181"/>
      <c r="S115" s="181"/>
      <c r="T115" s="181"/>
      <c r="U115" s="181"/>
      <c r="V115" s="181"/>
      <c r="W115" s="202"/>
      <c r="X115" s="181"/>
      <c r="Y115" s="181"/>
      <c r="Z115" s="181"/>
      <c r="AA115" s="181"/>
      <c r="AB115" s="202"/>
      <c r="AC115" s="202"/>
      <c r="AD115" s="202"/>
      <c r="AE115" s="202"/>
      <c r="AF115" s="202"/>
      <c r="AG115" s="202"/>
      <c r="AH115" s="203"/>
      <c r="AI115" s="493"/>
      <c r="AJ115" s="493"/>
      <c r="AK115" s="493"/>
      <c r="AL115" s="493"/>
      <c r="AM115" s="494"/>
      <c r="AN115" s="176"/>
    </row>
    <row r="116" ht="14.25" customHeight="1" outlineLevel="3">
      <c r="A116" s="833"/>
      <c r="B116" s="842"/>
      <c r="C116" s="842"/>
      <c r="D116" s="847"/>
      <c r="E116" s="834" t="s">
        <v>2929</v>
      </c>
      <c r="F116" s="249" t="s">
        <v>135</v>
      </c>
      <c r="G116" s="249" t="s">
        <v>2930</v>
      </c>
      <c r="H116" s="260"/>
      <c r="I116" s="181"/>
      <c r="J116" s="181"/>
      <c r="K116" s="181"/>
      <c r="L116" s="181"/>
      <c r="M116" s="181"/>
      <c r="N116" s="181"/>
      <c r="O116" s="181"/>
      <c r="P116" s="181"/>
      <c r="Q116" s="181"/>
      <c r="R116" s="181"/>
      <c r="S116" s="181"/>
      <c r="T116" s="181"/>
      <c r="U116" s="181"/>
      <c r="V116" s="181"/>
      <c r="W116" s="202"/>
      <c r="X116" s="181"/>
      <c r="Y116" s="181"/>
      <c r="Z116" s="181"/>
      <c r="AA116" s="181"/>
      <c r="AB116" s="202"/>
      <c r="AC116" s="202"/>
      <c r="AD116" s="202"/>
      <c r="AE116" s="202"/>
      <c r="AF116" s="202"/>
      <c r="AG116" s="202"/>
      <c r="AH116" s="203"/>
      <c r="AI116" s="493"/>
      <c r="AJ116" s="493"/>
      <c r="AK116" s="493"/>
      <c r="AL116" s="493"/>
      <c r="AM116" s="494"/>
      <c r="AN116" s="176"/>
    </row>
    <row r="117" ht="14.25" customHeight="1" outlineLevel="3">
      <c r="A117" s="833"/>
      <c r="B117" s="842"/>
      <c r="C117" s="842"/>
      <c r="D117" s="847"/>
      <c r="E117" s="187" t="s">
        <v>2916</v>
      </c>
      <c r="F117" s="123" t="s">
        <v>261</v>
      </c>
      <c r="G117" s="123" t="s">
        <v>2931</v>
      </c>
      <c r="H117" s="253"/>
      <c r="I117" s="254"/>
      <c r="J117" s="254"/>
      <c r="K117" s="254"/>
      <c r="L117" s="254"/>
      <c r="M117" s="254"/>
      <c r="N117" s="254"/>
      <c r="O117" s="254"/>
      <c r="P117" s="254"/>
      <c r="Q117" s="254"/>
      <c r="R117" s="254"/>
      <c r="S117" s="254"/>
      <c r="T117" s="254"/>
      <c r="U117" s="254"/>
      <c r="V117" s="254"/>
      <c r="W117" s="279"/>
      <c r="X117" s="254"/>
      <c r="Y117" s="254"/>
      <c r="Z117" s="254"/>
      <c r="AA117" s="254"/>
      <c r="AB117" s="279"/>
      <c r="AC117" s="279"/>
      <c r="AD117" s="279"/>
      <c r="AE117" s="279"/>
      <c r="AF117" s="279"/>
      <c r="AG117" s="279"/>
      <c r="AH117" s="835"/>
      <c r="AI117" s="493"/>
      <c r="AJ117" s="493"/>
      <c r="AK117" s="493"/>
      <c r="AL117" s="493"/>
      <c r="AM117" s="494"/>
      <c r="AN117" s="176"/>
    </row>
    <row r="118" ht="14.25" customHeight="1" outlineLevel="2">
      <c r="A118" s="833"/>
      <c r="B118" s="841" t="s">
        <v>2932</v>
      </c>
      <c r="C118" s="842"/>
      <c r="D118" s="847"/>
      <c r="E118" s="162"/>
      <c r="F118" s="162"/>
      <c r="G118" s="162"/>
      <c r="H118" s="178"/>
      <c r="I118" s="178"/>
      <c r="J118" s="178"/>
      <c r="K118" s="178"/>
      <c r="L118" s="178"/>
      <c r="M118" s="178"/>
      <c r="N118" s="178"/>
      <c r="O118" s="178"/>
      <c r="P118" s="178"/>
      <c r="Q118" s="178"/>
      <c r="R118" s="178"/>
      <c r="S118" s="178"/>
      <c r="T118" s="178"/>
      <c r="U118" s="178"/>
      <c r="V118" s="178"/>
      <c r="W118" s="836"/>
      <c r="X118" s="178"/>
      <c r="Y118" s="178"/>
      <c r="Z118" s="178"/>
      <c r="AA118" s="178"/>
      <c r="AB118" s="836"/>
      <c r="AC118" s="836"/>
      <c r="AD118" s="836"/>
      <c r="AE118" s="836"/>
      <c r="AF118" s="836"/>
      <c r="AG118" s="836"/>
      <c r="AH118" s="836"/>
      <c r="AI118" s="244"/>
      <c r="AJ118" s="244"/>
      <c r="AK118" s="244"/>
      <c r="AL118" s="244"/>
      <c r="AM118" s="244"/>
      <c r="AN118" s="176"/>
    </row>
    <row r="119" ht="14.25" customHeight="1" outlineLevel="3">
      <c r="A119" s="833"/>
      <c r="B119" s="842"/>
      <c r="C119" s="842"/>
      <c r="D119" s="847"/>
      <c r="E119" s="834" t="s">
        <v>2933</v>
      </c>
      <c r="F119" s="249" t="s">
        <v>2772</v>
      </c>
      <c r="G119" s="249" t="s">
        <v>2934</v>
      </c>
      <c r="H119" s="260"/>
      <c r="I119" s="181"/>
      <c r="J119" s="181"/>
      <c r="K119" s="181"/>
      <c r="L119" s="181"/>
      <c r="M119" s="181"/>
      <c r="N119" s="181"/>
      <c r="O119" s="181"/>
      <c r="P119" s="181"/>
      <c r="Q119" s="181"/>
      <c r="R119" s="181"/>
      <c r="S119" s="181"/>
      <c r="T119" s="181"/>
      <c r="U119" s="181"/>
      <c r="V119" s="181"/>
      <c r="W119" s="202"/>
      <c r="X119" s="181"/>
      <c r="Y119" s="181"/>
      <c r="Z119" s="181"/>
      <c r="AA119" s="181"/>
      <c r="AB119" s="202"/>
      <c r="AC119" s="202"/>
      <c r="AD119" s="202"/>
      <c r="AE119" s="202"/>
      <c r="AF119" s="202"/>
      <c r="AG119" s="202"/>
      <c r="AH119" s="203"/>
      <c r="AI119" s="493"/>
      <c r="AJ119" s="493"/>
      <c r="AK119" s="493"/>
      <c r="AL119" s="493"/>
      <c r="AM119" s="494"/>
      <c r="AN119" s="176"/>
    </row>
    <row r="120" ht="14.25" customHeight="1" outlineLevel="3">
      <c r="A120" s="833"/>
      <c r="B120" s="842"/>
      <c r="C120" s="842"/>
      <c r="D120" s="847"/>
      <c r="E120" s="834" t="s">
        <v>2912</v>
      </c>
      <c r="F120" s="249" t="s">
        <v>2810</v>
      </c>
      <c r="G120" s="249" t="s">
        <v>2935</v>
      </c>
      <c r="H120" s="260"/>
      <c r="I120" s="181"/>
      <c r="J120" s="181"/>
      <c r="K120" s="181"/>
      <c r="L120" s="181"/>
      <c r="M120" s="181"/>
      <c r="N120" s="181"/>
      <c r="O120" s="181"/>
      <c r="P120" s="181"/>
      <c r="Q120" s="181"/>
      <c r="R120" s="181"/>
      <c r="S120" s="181"/>
      <c r="T120" s="181"/>
      <c r="U120" s="181"/>
      <c r="V120" s="181"/>
      <c r="W120" s="202"/>
      <c r="X120" s="181"/>
      <c r="Y120" s="181"/>
      <c r="Z120" s="181"/>
      <c r="AA120" s="181"/>
      <c r="AB120" s="202"/>
      <c r="AC120" s="202"/>
      <c r="AD120" s="202"/>
      <c r="AE120" s="202"/>
      <c r="AF120" s="202"/>
      <c r="AG120" s="202"/>
      <c r="AH120" s="203"/>
      <c r="AI120" s="493"/>
      <c r="AJ120" s="493"/>
      <c r="AK120" s="493"/>
      <c r="AL120" s="493"/>
      <c r="AM120" s="494"/>
      <c r="AN120" s="176"/>
    </row>
    <row r="121" ht="14.25" customHeight="1" outlineLevel="3">
      <c r="A121" s="833"/>
      <c r="B121" s="842"/>
      <c r="C121" s="842"/>
      <c r="D121" s="847"/>
      <c r="E121" s="834" t="s">
        <v>2936</v>
      </c>
      <c r="F121" s="249" t="s">
        <v>135</v>
      </c>
      <c r="G121" s="249" t="s">
        <v>2937</v>
      </c>
      <c r="H121" s="260"/>
      <c r="I121" s="181"/>
      <c r="J121" s="181"/>
      <c r="K121" s="181"/>
      <c r="L121" s="181"/>
      <c r="M121" s="181"/>
      <c r="N121" s="181"/>
      <c r="O121" s="181"/>
      <c r="P121" s="181"/>
      <c r="Q121" s="181"/>
      <c r="R121" s="181"/>
      <c r="S121" s="181"/>
      <c r="T121" s="181"/>
      <c r="U121" s="181"/>
      <c r="V121" s="181"/>
      <c r="W121" s="202"/>
      <c r="X121" s="181"/>
      <c r="Y121" s="181"/>
      <c r="Z121" s="181"/>
      <c r="AA121" s="181"/>
      <c r="AB121" s="202"/>
      <c r="AC121" s="202"/>
      <c r="AD121" s="202"/>
      <c r="AE121" s="202"/>
      <c r="AF121" s="202"/>
      <c r="AG121" s="202"/>
      <c r="AH121" s="203"/>
      <c r="AI121" s="493"/>
      <c r="AJ121" s="493"/>
      <c r="AK121" s="493"/>
      <c r="AL121" s="493"/>
      <c r="AM121" s="494"/>
      <c r="AN121" s="176"/>
    </row>
    <row r="122" ht="14.25" customHeight="1" outlineLevel="3">
      <c r="A122" s="833"/>
      <c r="B122" s="842"/>
      <c r="C122" s="842"/>
      <c r="D122" s="847"/>
      <c r="E122" s="187" t="s">
        <v>2916</v>
      </c>
      <c r="F122" s="123" t="s">
        <v>261</v>
      </c>
      <c r="G122" s="123" t="s">
        <v>2938</v>
      </c>
      <c r="H122" s="253"/>
      <c r="I122" s="254"/>
      <c r="J122" s="254"/>
      <c r="K122" s="254"/>
      <c r="L122" s="254"/>
      <c r="M122" s="254"/>
      <c r="N122" s="254"/>
      <c r="O122" s="254"/>
      <c r="P122" s="254"/>
      <c r="Q122" s="254"/>
      <c r="R122" s="254"/>
      <c r="S122" s="254"/>
      <c r="T122" s="254"/>
      <c r="U122" s="254"/>
      <c r="V122" s="254"/>
      <c r="W122" s="279"/>
      <c r="X122" s="254"/>
      <c r="Y122" s="254"/>
      <c r="Z122" s="254"/>
      <c r="AA122" s="254"/>
      <c r="AB122" s="279"/>
      <c r="AC122" s="279"/>
      <c r="AD122" s="279"/>
      <c r="AE122" s="279"/>
      <c r="AF122" s="279"/>
      <c r="AG122" s="279"/>
      <c r="AH122" s="835"/>
      <c r="AI122" s="493"/>
      <c r="AJ122" s="493"/>
      <c r="AK122" s="493"/>
      <c r="AL122" s="493"/>
      <c r="AM122" s="494"/>
      <c r="AN122" s="176"/>
    </row>
    <row r="123" ht="14.25" customHeight="1" outlineLevel="2">
      <c r="A123" s="833"/>
      <c r="B123" s="841" t="s">
        <v>2939</v>
      </c>
      <c r="C123" s="842"/>
      <c r="D123" s="847"/>
      <c r="E123" s="162"/>
      <c r="F123" s="162"/>
      <c r="G123" s="162"/>
      <c r="H123" s="178"/>
      <c r="I123" s="178"/>
      <c r="J123" s="178"/>
      <c r="K123" s="178"/>
      <c r="L123" s="178"/>
      <c r="M123" s="178"/>
      <c r="N123" s="178"/>
      <c r="O123" s="178"/>
      <c r="P123" s="178"/>
      <c r="Q123" s="178"/>
      <c r="R123" s="178"/>
      <c r="S123" s="178"/>
      <c r="T123" s="178"/>
      <c r="U123" s="178"/>
      <c r="V123" s="178"/>
      <c r="W123" s="836"/>
      <c r="X123" s="178"/>
      <c r="Y123" s="178"/>
      <c r="Z123" s="178"/>
      <c r="AA123" s="178"/>
      <c r="AB123" s="836"/>
      <c r="AC123" s="836"/>
      <c r="AD123" s="836"/>
      <c r="AE123" s="836"/>
      <c r="AF123" s="836"/>
      <c r="AG123" s="836"/>
      <c r="AH123" s="836"/>
      <c r="AI123" s="244"/>
      <c r="AJ123" s="244"/>
      <c r="AK123" s="244"/>
      <c r="AL123" s="244"/>
      <c r="AM123" s="244"/>
      <c r="AN123" s="176"/>
    </row>
    <row r="124" ht="14.25" customHeight="1" outlineLevel="3">
      <c r="A124" s="833"/>
      <c r="B124" s="842"/>
      <c r="C124" s="842"/>
      <c r="D124" s="847"/>
      <c r="E124" s="834" t="s">
        <v>2940</v>
      </c>
      <c r="F124" s="249" t="s">
        <v>2772</v>
      </c>
      <c r="G124" s="249" t="s">
        <v>2941</v>
      </c>
      <c r="H124" s="260"/>
      <c r="I124" s="181"/>
      <c r="J124" s="181"/>
      <c r="K124" s="181"/>
      <c r="L124" s="181"/>
      <c r="M124" s="181"/>
      <c r="N124" s="181"/>
      <c r="O124" s="181"/>
      <c r="P124" s="181"/>
      <c r="Q124" s="181"/>
      <c r="R124" s="181"/>
      <c r="S124" s="181"/>
      <c r="T124" s="181"/>
      <c r="U124" s="181"/>
      <c r="V124" s="181"/>
      <c r="W124" s="202"/>
      <c r="X124" s="181"/>
      <c r="Y124" s="181"/>
      <c r="Z124" s="181"/>
      <c r="AA124" s="181"/>
      <c r="AB124" s="202"/>
      <c r="AC124" s="202"/>
      <c r="AD124" s="202"/>
      <c r="AE124" s="202"/>
      <c r="AF124" s="202"/>
      <c r="AG124" s="202"/>
      <c r="AH124" s="203"/>
      <c r="AI124" s="493"/>
      <c r="AJ124" s="493"/>
      <c r="AK124" s="493"/>
      <c r="AL124" s="493"/>
      <c r="AM124" s="494"/>
      <c r="AN124" s="176"/>
    </row>
    <row r="125" ht="14.25" customHeight="1" outlineLevel="3">
      <c r="A125" s="833"/>
      <c r="B125" s="842"/>
      <c r="C125" s="842"/>
      <c r="D125" s="847"/>
      <c r="E125" s="834" t="s">
        <v>2912</v>
      </c>
      <c r="F125" s="249" t="s">
        <v>2810</v>
      </c>
      <c r="G125" s="249" t="s">
        <v>2942</v>
      </c>
      <c r="H125" s="260"/>
      <c r="I125" s="181"/>
      <c r="J125" s="181"/>
      <c r="K125" s="181"/>
      <c r="L125" s="181"/>
      <c r="M125" s="181"/>
      <c r="N125" s="181"/>
      <c r="O125" s="181"/>
      <c r="P125" s="181"/>
      <c r="Q125" s="181"/>
      <c r="R125" s="181"/>
      <c r="S125" s="181"/>
      <c r="T125" s="181"/>
      <c r="U125" s="181"/>
      <c r="V125" s="181"/>
      <c r="W125" s="202"/>
      <c r="X125" s="181"/>
      <c r="Y125" s="181"/>
      <c r="Z125" s="181"/>
      <c r="AA125" s="181"/>
      <c r="AB125" s="202"/>
      <c r="AC125" s="202"/>
      <c r="AD125" s="202"/>
      <c r="AE125" s="202"/>
      <c r="AF125" s="202"/>
      <c r="AG125" s="202"/>
      <c r="AH125" s="203"/>
      <c r="AI125" s="493"/>
      <c r="AJ125" s="493"/>
      <c r="AK125" s="493"/>
      <c r="AL125" s="493"/>
      <c r="AM125" s="494"/>
      <c r="AN125" s="176"/>
    </row>
    <row r="126" ht="14.25" customHeight="1" outlineLevel="3">
      <c r="A126" s="833"/>
      <c r="B126" s="842"/>
      <c r="C126" s="842"/>
      <c r="D126" s="847"/>
      <c r="E126" s="834" t="s">
        <v>2943</v>
      </c>
      <c r="F126" s="249" t="s">
        <v>135</v>
      </c>
      <c r="G126" s="249" t="s">
        <v>2944</v>
      </c>
      <c r="H126" s="260"/>
      <c r="I126" s="181"/>
      <c r="J126" s="181"/>
      <c r="K126" s="181"/>
      <c r="L126" s="181"/>
      <c r="M126" s="181"/>
      <c r="N126" s="181"/>
      <c r="O126" s="181"/>
      <c r="P126" s="181"/>
      <c r="Q126" s="181"/>
      <c r="R126" s="181"/>
      <c r="S126" s="181"/>
      <c r="T126" s="181"/>
      <c r="U126" s="181"/>
      <c r="V126" s="181"/>
      <c r="W126" s="202"/>
      <c r="X126" s="181"/>
      <c r="Y126" s="181"/>
      <c r="Z126" s="181"/>
      <c r="AA126" s="181"/>
      <c r="AB126" s="202"/>
      <c r="AC126" s="202"/>
      <c r="AD126" s="202"/>
      <c r="AE126" s="202"/>
      <c r="AF126" s="202"/>
      <c r="AG126" s="202"/>
      <c r="AH126" s="203"/>
      <c r="AI126" s="493"/>
      <c r="AJ126" s="493"/>
      <c r="AK126" s="493"/>
      <c r="AL126" s="493"/>
      <c r="AM126" s="494"/>
      <c r="AN126" s="176"/>
    </row>
    <row r="127" ht="14.25" customHeight="1" outlineLevel="3">
      <c r="A127" s="833"/>
      <c r="B127" s="842"/>
      <c r="C127" s="842"/>
      <c r="D127" s="847"/>
      <c r="E127" s="187" t="s">
        <v>2916</v>
      </c>
      <c r="F127" s="123" t="s">
        <v>261</v>
      </c>
      <c r="G127" s="123" t="s">
        <v>2945</v>
      </c>
      <c r="H127" s="253"/>
      <c r="I127" s="254"/>
      <c r="J127" s="254"/>
      <c r="K127" s="254"/>
      <c r="L127" s="254"/>
      <c r="M127" s="254"/>
      <c r="N127" s="254"/>
      <c r="O127" s="254"/>
      <c r="P127" s="254"/>
      <c r="Q127" s="254"/>
      <c r="R127" s="254"/>
      <c r="S127" s="254"/>
      <c r="T127" s="254"/>
      <c r="U127" s="254"/>
      <c r="V127" s="254"/>
      <c r="W127" s="279"/>
      <c r="X127" s="254"/>
      <c r="Y127" s="254"/>
      <c r="Z127" s="254"/>
      <c r="AA127" s="254"/>
      <c r="AB127" s="279"/>
      <c r="AC127" s="279"/>
      <c r="AD127" s="279"/>
      <c r="AE127" s="279"/>
      <c r="AF127" s="279"/>
      <c r="AG127" s="279"/>
      <c r="AH127" s="835"/>
      <c r="AI127" s="493"/>
      <c r="AJ127" s="493"/>
      <c r="AK127" s="493"/>
      <c r="AL127" s="493"/>
      <c r="AM127" s="494"/>
      <c r="AN127" s="176"/>
    </row>
    <row r="128" ht="14.25" customHeight="1" outlineLevel="2">
      <c r="A128" s="833"/>
      <c r="B128" s="841" t="s">
        <v>2946</v>
      </c>
      <c r="C128" s="842"/>
      <c r="D128" s="847"/>
      <c r="E128" s="162"/>
      <c r="F128" s="162"/>
      <c r="G128" s="162"/>
      <c r="H128" s="178"/>
      <c r="I128" s="178"/>
      <c r="J128" s="178"/>
      <c r="K128" s="178"/>
      <c r="L128" s="178"/>
      <c r="M128" s="178"/>
      <c r="N128" s="178"/>
      <c r="O128" s="178"/>
      <c r="P128" s="178"/>
      <c r="Q128" s="178"/>
      <c r="R128" s="178"/>
      <c r="S128" s="178"/>
      <c r="T128" s="178"/>
      <c r="U128" s="178"/>
      <c r="V128" s="178"/>
      <c r="W128" s="836"/>
      <c r="X128" s="178"/>
      <c r="Y128" s="178"/>
      <c r="Z128" s="178"/>
      <c r="AA128" s="178"/>
      <c r="AB128" s="836"/>
      <c r="AC128" s="836"/>
      <c r="AD128" s="836"/>
      <c r="AE128" s="836"/>
      <c r="AF128" s="836"/>
      <c r="AG128" s="836"/>
      <c r="AH128" s="836"/>
      <c r="AI128" s="244"/>
      <c r="AJ128" s="244"/>
      <c r="AK128" s="244"/>
      <c r="AL128" s="244"/>
      <c r="AM128" s="244"/>
      <c r="AN128" s="176"/>
    </row>
    <row r="129" ht="14.25" customHeight="1" outlineLevel="3">
      <c r="A129" s="833"/>
      <c r="B129" s="842"/>
      <c r="C129" s="842"/>
      <c r="D129" s="847"/>
      <c r="E129" s="834" t="s">
        <v>2947</v>
      </c>
      <c r="F129" s="249" t="s">
        <v>2772</v>
      </c>
      <c r="G129" s="249" t="s">
        <v>2948</v>
      </c>
      <c r="H129" s="260"/>
      <c r="I129" s="181"/>
      <c r="J129" s="181"/>
      <c r="K129" s="181"/>
      <c r="L129" s="181"/>
      <c r="M129" s="181"/>
      <c r="N129" s="181"/>
      <c r="O129" s="181"/>
      <c r="P129" s="181"/>
      <c r="Q129" s="181"/>
      <c r="R129" s="181"/>
      <c r="S129" s="181"/>
      <c r="T129" s="181"/>
      <c r="U129" s="181"/>
      <c r="V129" s="181"/>
      <c r="W129" s="202"/>
      <c r="X129" s="181"/>
      <c r="Y129" s="181"/>
      <c r="Z129" s="181"/>
      <c r="AA129" s="181"/>
      <c r="AB129" s="202"/>
      <c r="AC129" s="202"/>
      <c r="AD129" s="202"/>
      <c r="AE129" s="202"/>
      <c r="AF129" s="202"/>
      <c r="AG129" s="202"/>
      <c r="AH129" s="203"/>
      <c r="AI129" s="493"/>
      <c r="AJ129" s="493"/>
      <c r="AK129" s="493"/>
      <c r="AL129" s="493"/>
      <c r="AM129" s="494"/>
      <c r="AN129" s="176"/>
    </row>
    <row r="130" ht="14.25" customHeight="1" outlineLevel="3">
      <c r="A130" s="833"/>
      <c r="B130" s="842"/>
      <c r="C130" s="842"/>
      <c r="D130" s="847"/>
      <c r="E130" s="834" t="s">
        <v>2912</v>
      </c>
      <c r="F130" s="249" t="s">
        <v>2810</v>
      </c>
      <c r="G130" s="249" t="s">
        <v>862</v>
      </c>
      <c r="H130" s="260"/>
      <c r="I130" s="181"/>
      <c r="J130" s="181"/>
      <c r="K130" s="181"/>
      <c r="L130" s="181"/>
      <c r="M130" s="181"/>
      <c r="N130" s="181"/>
      <c r="O130" s="181"/>
      <c r="P130" s="181"/>
      <c r="Q130" s="181"/>
      <c r="R130" s="181"/>
      <c r="S130" s="181"/>
      <c r="T130" s="181"/>
      <c r="U130" s="181"/>
      <c r="V130" s="181"/>
      <c r="W130" s="202"/>
      <c r="X130" s="181"/>
      <c r="Y130" s="181"/>
      <c r="Z130" s="181"/>
      <c r="AA130" s="181"/>
      <c r="AB130" s="202"/>
      <c r="AC130" s="202"/>
      <c r="AD130" s="202"/>
      <c r="AE130" s="202"/>
      <c r="AF130" s="202"/>
      <c r="AG130" s="202"/>
      <c r="AH130" s="203"/>
      <c r="AI130" s="493"/>
      <c r="AJ130" s="493"/>
      <c r="AK130" s="493"/>
      <c r="AL130" s="493"/>
      <c r="AM130" s="494"/>
      <c r="AN130" s="176"/>
    </row>
    <row r="131" ht="14.25" customHeight="1" outlineLevel="3">
      <c r="A131" s="833"/>
      <c r="B131" s="842"/>
      <c r="C131" s="842"/>
      <c r="D131" s="847"/>
      <c r="E131" s="834" t="s">
        <v>2949</v>
      </c>
      <c r="F131" s="249" t="s">
        <v>135</v>
      </c>
      <c r="G131" s="249" t="s">
        <v>2950</v>
      </c>
      <c r="H131" s="260"/>
      <c r="I131" s="181"/>
      <c r="J131" s="181"/>
      <c r="K131" s="181"/>
      <c r="L131" s="181"/>
      <c r="M131" s="181"/>
      <c r="N131" s="181"/>
      <c r="O131" s="181"/>
      <c r="P131" s="181"/>
      <c r="Q131" s="181"/>
      <c r="R131" s="181"/>
      <c r="S131" s="181"/>
      <c r="T131" s="181"/>
      <c r="U131" s="181"/>
      <c r="V131" s="181"/>
      <c r="W131" s="202"/>
      <c r="X131" s="181"/>
      <c r="Y131" s="181"/>
      <c r="Z131" s="181"/>
      <c r="AA131" s="181"/>
      <c r="AB131" s="202"/>
      <c r="AC131" s="202"/>
      <c r="AD131" s="202"/>
      <c r="AE131" s="202"/>
      <c r="AF131" s="202"/>
      <c r="AG131" s="202"/>
      <c r="AH131" s="203"/>
      <c r="AI131" s="493"/>
      <c r="AJ131" s="493"/>
      <c r="AK131" s="493"/>
      <c r="AL131" s="493"/>
      <c r="AM131" s="494"/>
      <c r="AN131" s="176"/>
    </row>
    <row r="132" ht="14.25" customHeight="1" outlineLevel="3">
      <c r="A132" s="833"/>
      <c r="B132" s="842"/>
      <c r="C132" s="842"/>
      <c r="D132" s="847"/>
      <c r="E132" s="187" t="s">
        <v>2916</v>
      </c>
      <c r="F132" s="123" t="s">
        <v>261</v>
      </c>
      <c r="G132" s="123" t="s">
        <v>2951</v>
      </c>
      <c r="H132" s="253"/>
      <c r="I132" s="254"/>
      <c r="J132" s="254"/>
      <c r="K132" s="254"/>
      <c r="L132" s="254"/>
      <c r="M132" s="254"/>
      <c r="N132" s="254"/>
      <c r="O132" s="254"/>
      <c r="P132" s="254"/>
      <c r="Q132" s="254"/>
      <c r="R132" s="254"/>
      <c r="S132" s="254"/>
      <c r="T132" s="254"/>
      <c r="U132" s="254"/>
      <c r="V132" s="254"/>
      <c r="W132" s="279"/>
      <c r="X132" s="254"/>
      <c r="Y132" s="254"/>
      <c r="Z132" s="254"/>
      <c r="AA132" s="254"/>
      <c r="AB132" s="279"/>
      <c r="AC132" s="279"/>
      <c r="AD132" s="279"/>
      <c r="AE132" s="279"/>
      <c r="AF132" s="279"/>
      <c r="AG132" s="279"/>
      <c r="AH132" s="835"/>
      <c r="AI132" s="493"/>
      <c r="AJ132" s="493"/>
      <c r="AK132" s="493"/>
      <c r="AL132" s="493"/>
      <c r="AM132" s="494"/>
      <c r="AN132" s="176"/>
    </row>
    <row r="133" ht="14.25" customHeight="1" outlineLevel="1">
      <c r="A133" s="833" t="s">
        <v>2952</v>
      </c>
      <c r="B133" s="842"/>
      <c r="C133" s="842"/>
      <c r="D133" s="847"/>
      <c r="E133" s="162"/>
      <c r="F133" s="162"/>
      <c r="G133" s="162"/>
      <c r="H133" s="178"/>
      <c r="I133" s="178"/>
      <c r="J133" s="178"/>
      <c r="K133" s="178"/>
      <c r="L133" s="178"/>
      <c r="M133" s="178"/>
      <c r="N133" s="178"/>
      <c r="O133" s="178"/>
      <c r="P133" s="178"/>
      <c r="Q133" s="178"/>
      <c r="R133" s="178"/>
      <c r="S133" s="178"/>
      <c r="T133" s="178"/>
      <c r="U133" s="178"/>
      <c r="V133" s="178"/>
      <c r="W133" s="836"/>
      <c r="X133" s="178"/>
      <c r="Y133" s="178"/>
      <c r="Z133" s="178"/>
      <c r="AA133" s="178"/>
      <c r="AB133" s="836"/>
      <c r="AC133" s="836"/>
      <c r="AD133" s="836"/>
      <c r="AE133" s="836"/>
      <c r="AF133" s="836"/>
      <c r="AG133" s="836"/>
      <c r="AH133" s="836"/>
      <c r="AI133" s="244"/>
      <c r="AJ133" s="244"/>
      <c r="AK133" s="244"/>
      <c r="AL133" s="244"/>
      <c r="AM133" s="244"/>
      <c r="AN133" s="176"/>
    </row>
    <row r="134" ht="14.25" customHeight="1" outlineLevel="2">
      <c r="A134" s="833"/>
      <c r="B134" s="841" t="s">
        <v>2953</v>
      </c>
      <c r="C134" s="842"/>
      <c r="D134" s="847"/>
      <c r="E134" s="162"/>
      <c r="F134" s="162"/>
      <c r="G134" s="162"/>
      <c r="H134" s="178"/>
      <c r="I134" s="178"/>
      <c r="J134" s="178"/>
      <c r="K134" s="178"/>
      <c r="L134" s="178"/>
      <c r="M134" s="178"/>
      <c r="N134" s="178"/>
      <c r="O134" s="178"/>
      <c r="P134" s="178"/>
      <c r="Q134" s="178"/>
      <c r="R134" s="178"/>
      <c r="S134" s="178"/>
      <c r="T134" s="178"/>
      <c r="U134" s="178"/>
      <c r="V134" s="178"/>
      <c r="W134" s="836"/>
      <c r="X134" s="178"/>
      <c r="Y134" s="178"/>
      <c r="Z134" s="178"/>
      <c r="AA134" s="178"/>
      <c r="AB134" s="836"/>
      <c r="AC134" s="836"/>
      <c r="AD134" s="836"/>
      <c r="AE134" s="836"/>
      <c r="AF134" s="836"/>
      <c r="AG134" s="836"/>
      <c r="AH134" s="836"/>
      <c r="AI134" s="244"/>
      <c r="AJ134" s="244"/>
      <c r="AK134" s="244"/>
      <c r="AL134" s="244"/>
      <c r="AM134" s="244"/>
      <c r="AN134" s="176"/>
    </row>
    <row r="135" ht="14.25" customHeight="1" outlineLevel="3">
      <c r="A135" s="833"/>
      <c r="B135" s="842"/>
      <c r="C135" s="842"/>
      <c r="D135" s="847"/>
      <c r="E135" s="834" t="s">
        <v>2954</v>
      </c>
      <c r="F135" s="249" t="s">
        <v>2772</v>
      </c>
      <c r="G135" s="249" t="s">
        <v>2955</v>
      </c>
      <c r="H135" s="260"/>
      <c r="I135" s="181"/>
      <c r="J135" s="181"/>
      <c r="K135" s="181"/>
      <c r="L135" s="181"/>
      <c r="M135" s="181"/>
      <c r="N135" s="181"/>
      <c r="O135" s="181"/>
      <c r="P135" s="181"/>
      <c r="Q135" s="181"/>
      <c r="R135" s="181"/>
      <c r="S135" s="181"/>
      <c r="T135" s="181"/>
      <c r="U135" s="181"/>
      <c r="V135" s="181"/>
      <c r="W135" s="202"/>
      <c r="X135" s="181"/>
      <c r="Y135" s="181"/>
      <c r="Z135" s="181"/>
      <c r="AA135" s="181"/>
      <c r="AB135" s="202"/>
      <c r="AC135" s="202"/>
      <c r="AD135" s="202"/>
      <c r="AE135" s="202"/>
      <c r="AF135" s="202"/>
      <c r="AG135" s="202"/>
      <c r="AH135" s="203"/>
      <c r="AI135" s="493"/>
      <c r="AJ135" s="493"/>
      <c r="AK135" s="493"/>
      <c r="AL135" s="493"/>
      <c r="AM135" s="494"/>
      <c r="AN135" s="176"/>
    </row>
    <row r="136" ht="14.25" customHeight="1" outlineLevel="3">
      <c r="A136" s="833"/>
      <c r="B136" s="842"/>
      <c r="C136" s="842"/>
      <c r="D136" s="847"/>
      <c r="E136" s="834" t="s">
        <v>2912</v>
      </c>
      <c r="F136" s="249" t="s">
        <v>2810</v>
      </c>
      <c r="G136" s="249" t="s">
        <v>2956</v>
      </c>
      <c r="H136" s="260"/>
      <c r="I136" s="181"/>
      <c r="J136" s="181"/>
      <c r="K136" s="181"/>
      <c r="L136" s="181"/>
      <c r="M136" s="181"/>
      <c r="N136" s="181"/>
      <c r="O136" s="181"/>
      <c r="P136" s="181"/>
      <c r="Q136" s="181"/>
      <c r="R136" s="181"/>
      <c r="S136" s="181"/>
      <c r="T136" s="181"/>
      <c r="U136" s="181"/>
      <c r="V136" s="181"/>
      <c r="W136" s="202"/>
      <c r="X136" s="181"/>
      <c r="Y136" s="181"/>
      <c r="Z136" s="181"/>
      <c r="AA136" s="181"/>
      <c r="AB136" s="202"/>
      <c r="AC136" s="202"/>
      <c r="AD136" s="202"/>
      <c r="AE136" s="202"/>
      <c r="AF136" s="202"/>
      <c r="AG136" s="202"/>
      <c r="AH136" s="203"/>
      <c r="AI136" s="493"/>
      <c r="AJ136" s="493"/>
      <c r="AK136" s="493"/>
      <c r="AL136" s="493"/>
      <c r="AM136" s="494"/>
      <c r="AN136" s="176"/>
    </row>
    <row r="137" ht="14.25" customHeight="1" outlineLevel="3">
      <c r="A137" s="833"/>
      <c r="B137" s="842"/>
      <c r="C137" s="842"/>
      <c r="D137" s="847"/>
      <c r="E137" s="834" t="s">
        <v>2957</v>
      </c>
      <c r="F137" s="249" t="s">
        <v>135</v>
      </c>
      <c r="G137" s="249" t="s">
        <v>2958</v>
      </c>
      <c r="H137" s="260"/>
      <c r="I137" s="181"/>
      <c r="J137" s="181"/>
      <c r="K137" s="181"/>
      <c r="L137" s="181"/>
      <c r="M137" s="181"/>
      <c r="N137" s="181"/>
      <c r="O137" s="181"/>
      <c r="P137" s="181"/>
      <c r="Q137" s="181"/>
      <c r="R137" s="181"/>
      <c r="S137" s="181"/>
      <c r="T137" s="181"/>
      <c r="U137" s="181"/>
      <c r="V137" s="181"/>
      <c r="W137" s="202"/>
      <c r="X137" s="181"/>
      <c r="Y137" s="181"/>
      <c r="Z137" s="181"/>
      <c r="AA137" s="181"/>
      <c r="AB137" s="202"/>
      <c r="AC137" s="202"/>
      <c r="AD137" s="202"/>
      <c r="AE137" s="202"/>
      <c r="AF137" s="202"/>
      <c r="AG137" s="202"/>
      <c r="AH137" s="203"/>
      <c r="AI137" s="493"/>
      <c r="AJ137" s="493"/>
      <c r="AK137" s="493"/>
      <c r="AL137" s="493"/>
      <c r="AM137" s="494"/>
      <c r="AN137" s="176"/>
    </row>
    <row r="138" ht="14.25" customHeight="1" outlineLevel="3">
      <c r="A138" s="833"/>
      <c r="B138" s="842"/>
      <c r="C138" s="842"/>
      <c r="D138" s="847"/>
      <c r="E138" s="187" t="s">
        <v>2916</v>
      </c>
      <c r="F138" s="123" t="s">
        <v>261</v>
      </c>
      <c r="G138" s="123" t="s">
        <v>2959</v>
      </c>
      <c r="H138" s="253"/>
      <c r="I138" s="254"/>
      <c r="J138" s="254"/>
      <c r="K138" s="254"/>
      <c r="L138" s="254"/>
      <c r="M138" s="254"/>
      <c r="N138" s="254"/>
      <c r="O138" s="254"/>
      <c r="P138" s="254"/>
      <c r="Q138" s="254"/>
      <c r="R138" s="254"/>
      <c r="S138" s="254"/>
      <c r="T138" s="254"/>
      <c r="U138" s="254"/>
      <c r="V138" s="254"/>
      <c r="W138" s="279"/>
      <c r="X138" s="254"/>
      <c r="Y138" s="254"/>
      <c r="Z138" s="254"/>
      <c r="AA138" s="254"/>
      <c r="AB138" s="279"/>
      <c r="AC138" s="279"/>
      <c r="AD138" s="279"/>
      <c r="AE138" s="279"/>
      <c r="AF138" s="279"/>
      <c r="AG138" s="279"/>
      <c r="AH138" s="835"/>
      <c r="AI138" s="493"/>
      <c r="AJ138" s="493"/>
      <c r="AK138" s="493"/>
      <c r="AL138" s="493"/>
      <c r="AM138" s="494"/>
      <c r="AN138" s="176"/>
    </row>
    <row r="139" ht="14.25" customHeight="1" outlineLevel="2">
      <c r="A139" s="833"/>
      <c r="B139" s="841" t="s">
        <v>2960</v>
      </c>
      <c r="C139" s="842"/>
      <c r="D139" s="847"/>
      <c r="E139" s="162"/>
      <c r="F139" s="162"/>
      <c r="G139" s="162"/>
      <c r="H139" s="178"/>
      <c r="I139" s="178"/>
      <c r="J139" s="178"/>
      <c r="K139" s="178"/>
      <c r="L139" s="178"/>
      <c r="M139" s="178"/>
      <c r="N139" s="178"/>
      <c r="O139" s="178"/>
      <c r="P139" s="178"/>
      <c r="Q139" s="178"/>
      <c r="R139" s="178"/>
      <c r="S139" s="178"/>
      <c r="T139" s="178"/>
      <c r="U139" s="178"/>
      <c r="V139" s="178"/>
      <c r="W139" s="836"/>
      <c r="X139" s="178"/>
      <c r="Y139" s="178"/>
      <c r="Z139" s="178"/>
      <c r="AA139" s="178"/>
      <c r="AB139" s="836"/>
      <c r="AC139" s="836"/>
      <c r="AD139" s="836"/>
      <c r="AE139" s="836"/>
      <c r="AF139" s="836"/>
      <c r="AG139" s="836"/>
      <c r="AH139" s="836"/>
      <c r="AI139" s="244"/>
      <c r="AJ139" s="244"/>
      <c r="AK139" s="244"/>
      <c r="AL139" s="244"/>
      <c r="AM139" s="244"/>
      <c r="AN139" s="176"/>
    </row>
    <row r="140" ht="14.25" customHeight="1" outlineLevel="3">
      <c r="A140" s="833"/>
      <c r="B140" s="842"/>
      <c r="C140" s="842"/>
      <c r="D140" s="847"/>
      <c r="E140" s="834" t="s">
        <v>2961</v>
      </c>
      <c r="F140" s="249" t="s">
        <v>2772</v>
      </c>
      <c r="G140" s="249" t="s">
        <v>2962</v>
      </c>
      <c r="H140" s="260"/>
      <c r="I140" s="181"/>
      <c r="J140" s="181"/>
      <c r="K140" s="181"/>
      <c r="L140" s="181"/>
      <c r="M140" s="181"/>
      <c r="N140" s="181"/>
      <c r="O140" s="181"/>
      <c r="P140" s="181"/>
      <c r="Q140" s="181"/>
      <c r="R140" s="181"/>
      <c r="S140" s="181"/>
      <c r="T140" s="181"/>
      <c r="U140" s="181"/>
      <c r="V140" s="181"/>
      <c r="W140" s="202"/>
      <c r="X140" s="181"/>
      <c r="Y140" s="181"/>
      <c r="Z140" s="181"/>
      <c r="AA140" s="181"/>
      <c r="AB140" s="202"/>
      <c r="AC140" s="202"/>
      <c r="AD140" s="202"/>
      <c r="AE140" s="202"/>
      <c r="AF140" s="202"/>
      <c r="AG140" s="202"/>
      <c r="AH140" s="203"/>
      <c r="AI140" s="493"/>
      <c r="AJ140" s="493"/>
      <c r="AK140" s="493"/>
      <c r="AL140" s="493"/>
      <c r="AM140" s="494"/>
      <c r="AN140" s="176"/>
    </row>
    <row r="141" ht="14.25" customHeight="1" outlineLevel="3">
      <c r="A141" s="833"/>
      <c r="B141" s="842"/>
      <c r="C141" s="842"/>
      <c r="D141" s="847"/>
      <c r="E141" s="834" t="s">
        <v>2912</v>
      </c>
      <c r="F141" s="249" t="s">
        <v>2810</v>
      </c>
      <c r="G141" s="249" t="s">
        <v>2963</v>
      </c>
      <c r="H141" s="260"/>
      <c r="I141" s="181"/>
      <c r="J141" s="181"/>
      <c r="K141" s="181"/>
      <c r="L141" s="181"/>
      <c r="M141" s="181"/>
      <c r="N141" s="181"/>
      <c r="O141" s="181"/>
      <c r="P141" s="181"/>
      <c r="Q141" s="181"/>
      <c r="R141" s="181"/>
      <c r="S141" s="181"/>
      <c r="T141" s="181"/>
      <c r="U141" s="181"/>
      <c r="V141" s="181"/>
      <c r="W141" s="202"/>
      <c r="X141" s="181"/>
      <c r="Y141" s="181"/>
      <c r="Z141" s="181"/>
      <c r="AA141" s="181"/>
      <c r="AB141" s="202"/>
      <c r="AC141" s="202"/>
      <c r="AD141" s="202"/>
      <c r="AE141" s="202"/>
      <c r="AF141" s="202"/>
      <c r="AG141" s="202"/>
      <c r="AH141" s="203"/>
      <c r="AI141" s="493"/>
      <c r="AJ141" s="493"/>
      <c r="AK141" s="493"/>
      <c r="AL141" s="493"/>
      <c r="AM141" s="494"/>
      <c r="AN141" s="176"/>
    </row>
    <row r="142" ht="14.25" customHeight="1" outlineLevel="3">
      <c r="A142" s="833"/>
      <c r="B142" s="842"/>
      <c r="C142" s="842"/>
      <c r="D142" s="847"/>
      <c r="E142" s="834" t="s">
        <v>2964</v>
      </c>
      <c r="F142" s="249" t="s">
        <v>135</v>
      </c>
      <c r="G142" s="249" t="s">
        <v>2965</v>
      </c>
      <c r="H142" s="260"/>
      <c r="I142" s="181"/>
      <c r="J142" s="181"/>
      <c r="K142" s="181"/>
      <c r="L142" s="181"/>
      <c r="M142" s="181"/>
      <c r="N142" s="181"/>
      <c r="O142" s="181"/>
      <c r="P142" s="181"/>
      <c r="Q142" s="181"/>
      <c r="R142" s="181"/>
      <c r="S142" s="181"/>
      <c r="T142" s="181"/>
      <c r="U142" s="181"/>
      <c r="V142" s="181"/>
      <c r="W142" s="202"/>
      <c r="X142" s="181"/>
      <c r="Y142" s="181"/>
      <c r="Z142" s="181"/>
      <c r="AA142" s="181"/>
      <c r="AB142" s="202"/>
      <c r="AC142" s="202"/>
      <c r="AD142" s="202"/>
      <c r="AE142" s="202"/>
      <c r="AF142" s="202"/>
      <c r="AG142" s="202"/>
      <c r="AH142" s="203"/>
      <c r="AI142" s="493"/>
      <c r="AJ142" s="493"/>
      <c r="AK142" s="493"/>
      <c r="AL142" s="493"/>
      <c r="AM142" s="494"/>
      <c r="AN142" s="176"/>
    </row>
    <row r="143" ht="14.25" customHeight="1" outlineLevel="3">
      <c r="A143" s="833"/>
      <c r="B143" s="842"/>
      <c r="C143" s="842"/>
      <c r="D143" s="847"/>
      <c r="E143" s="187" t="s">
        <v>2916</v>
      </c>
      <c r="F143" s="123" t="s">
        <v>261</v>
      </c>
      <c r="G143" s="123" t="s">
        <v>2966</v>
      </c>
      <c r="H143" s="253"/>
      <c r="I143" s="254"/>
      <c r="J143" s="254"/>
      <c r="K143" s="254"/>
      <c r="L143" s="254"/>
      <c r="M143" s="254"/>
      <c r="N143" s="254"/>
      <c r="O143" s="254"/>
      <c r="P143" s="254"/>
      <c r="Q143" s="254"/>
      <c r="R143" s="254"/>
      <c r="S143" s="254"/>
      <c r="T143" s="254"/>
      <c r="U143" s="254"/>
      <c r="V143" s="254"/>
      <c r="W143" s="279"/>
      <c r="X143" s="254"/>
      <c r="Y143" s="254"/>
      <c r="Z143" s="254"/>
      <c r="AA143" s="254"/>
      <c r="AB143" s="279"/>
      <c r="AC143" s="279"/>
      <c r="AD143" s="279"/>
      <c r="AE143" s="279"/>
      <c r="AF143" s="279"/>
      <c r="AG143" s="279"/>
      <c r="AH143" s="835"/>
      <c r="AI143" s="493"/>
      <c r="AJ143" s="493"/>
      <c r="AK143" s="493"/>
      <c r="AL143" s="493"/>
      <c r="AM143" s="494"/>
      <c r="AN143" s="176"/>
    </row>
    <row r="144" ht="14.25" customHeight="1" outlineLevel="2">
      <c r="A144" s="833"/>
      <c r="B144" s="841" t="s">
        <v>2967</v>
      </c>
      <c r="C144" s="842"/>
      <c r="D144" s="847"/>
      <c r="E144" s="162"/>
      <c r="F144" s="162"/>
      <c r="G144" s="162"/>
      <c r="H144" s="178"/>
      <c r="I144" s="178"/>
      <c r="J144" s="178"/>
      <c r="K144" s="178"/>
      <c r="L144" s="178"/>
      <c r="M144" s="178"/>
      <c r="N144" s="178"/>
      <c r="O144" s="178"/>
      <c r="P144" s="178"/>
      <c r="Q144" s="178"/>
      <c r="R144" s="178"/>
      <c r="S144" s="178"/>
      <c r="T144" s="178"/>
      <c r="U144" s="178"/>
      <c r="V144" s="178"/>
      <c r="W144" s="836"/>
      <c r="X144" s="178"/>
      <c r="Y144" s="178"/>
      <c r="Z144" s="178"/>
      <c r="AA144" s="178"/>
      <c r="AB144" s="836"/>
      <c r="AC144" s="836"/>
      <c r="AD144" s="836"/>
      <c r="AE144" s="836"/>
      <c r="AF144" s="836"/>
      <c r="AG144" s="836"/>
      <c r="AH144" s="836"/>
      <c r="AI144" s="244"/>
      <c r="AJ144" s="244"/>
      <c r="AK144" s="244"/>
      <c r="AL144" s="244"/>
      <c r="AM144" s="244"/>
      <c r="AN144" s="176"/>
    </row>
    <row r="145" ht="14.25" customHeight="1" outlineLevel="3">
      <c r="A145" s="833"/>
      <c r="B145" s="842"/>
      <c r="C145" s="842"/>
      <c r="D145" s="847"/>
      <c r="E145" s="834" t="s">
        <v>2968</v>
      </c>
      <c r="F145" s="249" t="s">
        <v>2772</v>
      </c>
      <c r="G145" s="249" t="s">
        <v>2969</v>
      </c>
      <c r="H145" s="260"/>
      <c r="I145" s="181"/>
      <c r="J145" s="181"/>
      <c r="K145" s="181"/>
      <c r="L145" s="181"/>
      <c r="M145" s="181"/>
      <c r="N145" s="181"/>
      <c r="O145" s="181"/>
      <c r="P145" s="181"/>
      <c r="Q145" s="181"/>
      <c r="R145" s="181"/>
      <c r="S145" s="181"/>
      <c r="T145" s="181"/>
      <c r="U145" s="181"/>
      <c r="V145" s="181"/>
      <c r="W145" s="202"/>
      <c r="X145" s="181"/>
      <c r="Y145" s="181"/>
      <c r="Z145" s="181"/>
      <c r="AA145" s="181"/>
      <c r="AB145" s="202"/>
      <c r="AC145" s="202"/>
      <c r="AD145" s="202"/>
      <c r="AE145" s="202"/>
      <c r="AF145" s="202"/>
      <c r="AG145" s="202"/>
      <c r="AH145" s="203"/>
      <c r="AI145" s="493"/>
      <c r="AJ145" s="493"/>
      <c r="AK145" s="493"/>
      <c r="AL145" s="493"/>
      <c r="AM145" s="494"/>
      <c r="AN145" s="176"/>
    </row>
    <row r="146" ht="14.25" customHeight="1" outlineLevel="3">
      <c r="A146" s="833"/>
      <c r="B146" s="842"/>
      <c r="C146" s="842"/>
      <c r="D146" s="847"/>
      <c r="E146" s="834" t="s">
        <v>2912</v>
      </c>
      <c r="F146" s="249" t="s">
        <v>2810</v>
      </c>
      <c r="G146" s="249" t="s">
        <v>2970</v>
      </c>
      <c r="H146" s="260"/>
      <c r="I146" s="181"/>
      <c r="J146" s="181"/>
      <c r="K146" s="181"/>
      <c r="L146" s="181"/>
      <c r="M146" s="181"/>
      <c r="N146" s="181"/>
      <c r="O146" s="181"/>
      <c r="P146" s="181"/>
      <c r="Q146" s="181"/>
      <c r="R146" s="181"/>
      <c r="S146" s="181"/>
      <c r="T146" s="181"/>
      <c r="U146" s="181"/>
      <c r="V146" s="181"/>
      <c r="W146" s="202"/>
      <c r="X146" s="181"/>
      <c r="Y146" s="181"/>
      <c r="Z146" s="181"/>
      <c r="AA146" s="181"/>
      <c r="AB146" s="202"/>
      <c r="AC146" s="202"/>
      <c r="AD146" s="202"/>
      <c r="AE146" s="202"/>
      <c r="AF146" s="202"/>
      <c r="AG146" s="202"/>
      <c r="AH146" s="203"/>
      <c r="AI146" s="493"/>
      <c r="AJ146" s="493"/>
      <c r="AK146" s="493"/>
      <c r="AL146" s="493"/>
      <c r="AM146" s="494"/>
      <c r="AN146" s="176"/>
    </row>
    <row r="147" ht="14.25" customHeight="1" outlineLevel="3">
      <c r="A147" s="833"/>
      <c r="B147" s="842"/>
      <c r="C147" s="842"/>
      <c r="D147" s="847"/>
      <c r="E147" s="834" t="s">
        <v>2971</v>
      </c>
      <c r="F147" s="249" t="s">
        <v>135</v>
      </c>
      <c r="G147" s="249" t="s">
        <v>2972</v>
      </c>
      <c r="H147" s="260"/>
      <c r="I147" s="181"/>
      <c r="J147" s="181"/>
      <c r="K147" s="181"/>
      <c r="L147" s="181"/>
      <c r="M147" s="181"/>
      <c r="N147" s="181"/>
      <c r="O147" s="181"/>
      <c r="P147" s="181"/>
      <c r="Q147" s="181"/>
      <c r="R147" s="181"/>
      <c r="S147" s="181"/>
      <c r="T147" s="181"/>
      <c r="U147" s="181"/>
      <c r="V147" s="181"/>
      <c r="W147" s="202"/>
      <c r="X147" s="181"/>
      <c r="Y147" s="181"/>
      <c r="Z147" s="181"/>
      <c r="AA147" s="181"/>
      <c r="AB147" s="202"/>
      <c r="AC147" s="202"/>
      <c r="AD147" s="202"/>
      <c r="AE147" s="202"/>
      <c r="AF147" s="202"/>
      <c r="AG147" s="202"/>
      <c r="AH147" s="203"/>
      <c r="AI147" s="493"/>
      <c r="AJ147" s="493"/>
      <c r="AK147" s="493"/>
      <c r="AL147" s="493"/>
      <c r="AM147" s="494"/>
      <c r="AN147" s="176"/>
    </row>
    <row r="148" ht="14.25" customHeight="1" outlineLevel="3">
      <c r="A148" s="833"/>
      <c r="B148" s="842"/>
      <c r="C148" s="842"/>
      <c r="D148" s="847"/>
      <c r="E148" s="187" t="s">
        <v>2916</v>
      </c>
      <c r="F148" s="123" t="s">
        <v>261</v>
      </c>
      <c r="G148" s="123" t="s">
        <v>2973</v>
      </c>
      <c r="H148" s="253"/>
      <c r="I148" s="254"/>
      <c r="J148" s="254"/>
      <c r="K148" s="254"/>
      <c r="L148" s="254"/>
      <c r="M148" s="254"/>
      <c r="N148" s="254"/>
      <c r="O148" s="254"/>
      <c r="P148" s="254"/>
      <c r="Q148" s="254"/>
      <c r="R148" s="254"/>
      <c r="S148" s="254"/>
      <c r="T148" s="254"/>
      <c r="U148" s="254"/>
      <c r="V148" s="254"/>
      <c r="W148" s="279"/>
      <c r="X148" s="254"/>
      <c r="Y148" s="254"/>
      <c r="Z148" s="254"/>
      <c r="AA148" s="254"/>
      <c r="AB148" s="279"/>
      <c r="AC148" s="279"/>
      <c r="AD148" s="279"/>
      <c r="AE148" s="279"/>
      <c r="AF148" s="279"/>
      <c r="AG148" s="279"/>
      <c r="AH148" s="835"/>
      <c r="AI148" s="493"/>
      <c r="AJ148" s="493"/>
      <c r="AK148" s="493"/>
      <c r="AL148" s="493"/>
      <c r="AM148" s="494"/>
      <c r="AN148" s="176"/>
    </row>
    <row r="149" ht="14.25" customHeight="1" outlineLevel="2">
      <c r="A149" s="833"/>
      <c r="B149" s="841" t="s">
        <v>2974</v>
      </c>
      <c r="C149" s="842"/>
      <c r="D149" s="847"/>
      <c r="E149" s="162"/>
      <c r="F149" s="162"/>
      <c r="G149" s="162"/>
      <c r="H149" s="178"/>
      <c r="I149" s="178"/>
      <c r="J149" s="178"/>
      <c r="K149" s="178"/>
      <c r="L149" s="178"/>
      <c r="M149" s="178"/>
      <c r="N149" s="178"/>
      <c r="O149" s="178"/>
      <c r="P149" s="178"/>
      <c r="Q149" s="178"/>
      <c r="R149" s="178"/>
      <c r="S149" s="178"/>
      <c r="T149" s="178"/>
      <c r="U149" s="178"/>
      <c r="V149" s="178"/>
      <c r="W149" s="836"/>
      <c r="X149" s="178"/>
      <c r="Y149" s="178"/>
      <c r="Z149" s="178"/>
      <c r="AA149" s="178"/>
      <c r="AB149" s="836"/>
      <c r="AC149" s="836"/>
      <c r="AD149" s="836"/>
      <c r="AE149" s="836"/>
      <c r="AF149" s="836"/>
      <c r="AG149" s="836"/>
      <c r="AH149" s="836"/>
      <c r="AI149" s="244"/>
      <c r="AJ149" s="244"/>
      <c r="AK149" s="244"/>
      <c r="AL149" s="244"/>
      <c r="AM149" s="244"/>
      <c r="AN149" s="176"/>
    </row>
    <row r="150" ht="14.25" customHeight="1" outlineLevel="3">
      <c r="A150" s="833"/>
      <c r="B150" s="842"/>
      <c r="C150" s="842"/>
      <c r="D150" s="847"/>
      <c r="E150" s="834" t="s">
        <v>2975</v>
      </c>
      <c r="F150" s="249" t="s">
        <v>2772</v>
      </c>
      <c r="G150" s="249" t="s">
        <v>2976</v>
      </c>
      <c r="H150" s="260"/>
      <c r="I150" s="181"/>
      <c r="J150" s="181"/>
      <c r="K150" s="181"/>
      <c r="L150" s="181"/>
      <c r="M150" s="181"/>
      <c r="N150" s="181"/>
      <c r="O150" s="181"/>
      <c r="P150" s="181"/>
      <c r="Q150" s="181"/>
      <c r="R150" s="181"/>
      <c r="S150" s="181"/>
      <c r="T150" s="181"/>
      <c r="U150" s="181"/>
      <c r="V150" s="181"/>
      <c r="W150" s="202"/>
      <c r="X150" s="181"/>
      <c r="Y150" s="181"/>
      <c r="Z150" s="181"/>
      <c r="AA150" s="181"/>
      <c r="AB150" s="202"/>
      <c r="AC150" s="202"/>
      <c r="AD150" s="202"/>
      <c r="AE150" s="202"/>
      <c r="AF150" s="202"/>
      <c r="AG150" s="202"/>
      <c r="AH150" s="203"/>
      <c r="AI150" s="493"/>
      <c r="AJ150" s="493"/>
      <c r="AK150" s="493"/>
      <c r="AL150" s="493"/>
      <c r="AM150" s="494"/>
      <c r="AN150" s="176"/>
    </row>
    <row r="151" ht="14.25" customHeight="1" outlineLevel="3">
      <c r="A151" s="833"/>
      <c r="B151" s="842"/>
      <c r="C151" s="842"/>
      <c r="D151" s="847"/>
      <c r="E151" s="834" t="s">
        <v>2912</v>
      </c>
      <c r="F151" s="249" t="s">
        <v>2810</v>
      </c>
      <c r="G151" s="249" t="s">
        <v>2977</v>
      </c>
      <c r="H151" s="260"/>
      <c r="I151" s="181"/>
      <c r="J151" s="181"/>
      <c r="K151" s="181"/>
      <c r="L151" s="181"/>
      <c r="M151" s="181"/>
      <c r="N151" s="181"/>
      <c r="O151" s="181"/>
      <c r="P151" s="181"/>
      <c r="Q151" s="181"/>
      <c r="R151" s="181"/>
      <c r="S151" s="181"/>
      <c r="T151" s="181"/>
      <c r="U151" s="181"/>
      <c r="V151" s="181"/>
      <c r="W151" s="202"/>
      <c r="X151" s="181"/>
      <c r="Y151" s="181"/>
      <c r="Z151" s="181"/>
      <c r="AA151" s="181"/>
      <c r="AB151" s="202"/>
      <c r="AC151" s="202"/>
      <c r="AD151" s="202"/>
      <c r="AE151" s="202"/>
      <c r="AF151" s="202"/>
      <c r="AG151" s="202"/>
      <c r="AH151" s="203"/>
      <c r="AI151" s="493"/>
      <c r="AJ151" s="493"/>
      <c r="AK151" s="493"/>
      <c r="AL151" s="493"/>
      <c r="AM151" s="494"/>
      <c r="AN151" s="176"/>
    </row>
    <row r="152" ht="14.25" customHeight="1" outlineLevel="3">
      <c r="A152" s="833"/>
      <c r="B152" s="842"/>
      <c r="C152" s="842"/>
      <c r="D152" s="847"/>
      <c r="E152" s="834" t="s">
        <v>2978</v>
      </c>
      <c r="F152" s="249" t="s">
        <v>135</v>
      </c>
      <c r="G152" s="249" t="s">
        <v>2979</v>
      </c>
      <c r="H152" s="260"/>
      <c r="I152" s="181"/>
      <c r="J152" s="181"/>
      <c r="K152" s="181"/>
      <c r="L152" s="181"/>
      <c r="M152" s="181"/>
      <c r="N152" s="181"/>
      <c r="O152" s="181"/>
      <c r="P152" s="181"/>
      <c r="Q152" s="181"/>
      <c r="R152" s="181"/>
      <c r="S152" s="181"/>
      <c r="T152" s="181"/>
      <c r="U152" s="181"/>
      <c r="V152" s="181"/>
      <c r="W152" s="202"/>
      <c r="X152" s="181"/>
      <c r="Y152" s="181"/>
      <c r="Z152" s="181"/>
      <c r="AA152" s="181"/>
      <c r="AB152" s="202"/>
      <c r="AC152" s="202"/>
      <c r="AD152" s="202"/>
      <c r="AE152" s="202"/>
      <c r="AF152" s="202"/>
      <c r="AG152" s="202"/>
      <c r="AH152" s="203"/>
      <c r="AI152" s="493"/>
      <c r="AJ152" s="493"/>
      <c r="AK152" s="493"/>
      <c r="AL152" s="493"/>
      <c r="AM152" s="494"/>
      <c r="AN152" s="176"/>
    </row>
    <row r="153" ht="14.25" customHeight="1" outlineLevel="3">
      <c r="A153" s="833"/>
      <c r="B153" s="842"/>
      <c r="C153" s="842"/>
      <c r="D153" s="847"/>
      <c r="E153" s="187" t="s">
        <v>2916</v>
      </c>
      <c r="F153" s="123" t="s">
        <v>261</v>
      </c>
      <c r="G153" s="123" t="s">
        <v>2980</v>
      </c>
      <c r="H153" s="253"/>
      <c r="I153" s="254"/>
      <c r="J153" s="254"/>
      <c r="K153" s="254"/>
      <c r="L153" s="254"/>
      <c r="M153" s="254"/>
      <c r="N153" s="254"/>
      <c r="O153" s="254"/>
      <c r="P153" s="254"/>
      <c r="Q153" s="254"/>
      <c r="R153" s="254"/>
      <c r="S153" s="254"/>
      <c r="T153" s="254"/>
      <c r="U153" s="254"/>
      <c r="V153" s="254"/>
      <c r="W153" s="279"/>
      <c r="X153" s="254"/>
      <c r="Y153" s="254"/>
      <c r="Z153" s="254"/>
      <c r="AA153" s="254"/>
      <c r="AB153" s="279"/>
      <c r="AC153" s="279"/>
      <c r="AD153" s="279"/>
      <c r="AE153" s="279"/>
      <c r="AF153" s="279"/>
      <c r="AG153" s="279"/>
      <c r="AH153" s="835"/>
      <c r="AI153" s="493"/>
      <c r="AJ153" s="493"/>
      <c r="AK153" s="493"/>
      <c r="AL153" s="493"/>
      <c r="AM153" s="494"/>
      <c r="AN153" s="176"/>
    </row>
    <row r="154" ht="14.25" customHeight="1" outlineLevel="1">
      <c r="A154" s="833" t="s">
        <v>2981</v>
      </c>
      <c r="B154" s="842"/>
      <c r="C154" s="842"/>
      <c r="D154" s="847"/>
      <c r="E154" s="162"/>
      <c r="F154" s="162"/>
      <c r="G154" s="162"/>
      <c r="H154" s="178"/>
      <c r="I154" s="178"/>
      <c r="J154" s="178"/>
      <c r="K154" s="178"/>
      <c r="L154" s="178"/>
      <c r="M154" s="178"/>
      <c r="N154" s="178"/>
      <c r="O154" s="178"/>
      <c r="P154" s="178"/>
      <c r="Q154" s="178"/>
      <c r="R154" s="178"/>
      <c r="S154" s="178"/>
      <c r="T154" s="178"/>
      <c r="U154" s="178"/>
      <c r="V154" s="178"/>
      <c r="W154" s="836"/>
      <c r="X154" s="178"/>
      <c r="Y154" s="178"/>
      <c r="Z154" s="178"/>
      <c r="AA154" s="178"/>
      <c r="AB154" s="836"/>
      <c r="AC154" s="836"/>
      <c r="AD154" s="836"/>
      <c r="AE154" s="836"/>
      <c r="AF154" s="836"/>
      <c r="AG154" s="836"/>
      <c r="AH154" s="836"/>
      <c r="AI154" s="244"/>
      <c r="AJ154" s="244"/>
      <c r="AK154" s="244"/>
      <c r="AL154" s="244"/>
      <c r="AM154" s="244"/>
      <c r="AN154" s="176"/>
    </row>
    <row r="155" ht="14.25" customHeight="1" outlineLevel="2">
      <c r="A155" s="833"/>
      <c r="B155" s="841" t="s">
        <v>2982</v>
      </c>
      <c r="C155" s="842"/>
      <c r="D155" s="847"/>
      <c r="E155" s="162"/>
      <c r="F155" s="162"/>
      <c r="G155" s="162"/>
      <c r="H155" s="178"/>
      <c r="I155" s="178"/>
      <c r="J155" s="178"/>
      <c r="K155" s="178"/>
      <c r="L155" s="178"/>
      <c r="M155" s="178"/>
      <c r="N155" s="178"/>
      <c r="O155" s="178"/>
      <c r="P155" s="178"/>
      <c r="Q155" s="178"/>
      <c r="R155" s="178"/>
      <c r="S155" s="178"/>
      <c r="T155" s="178"/>
      <c r="U155" s="178"/>
      <c r="V155" s="178"/>
      <c r="W155" s="836"/>
      <c r="X155" s="178"/>
      <c r="Y155" s="178"/>
      <c r="Z155" s="178"/>
      <c r="AA155" s="178"/>
      <c r="AB155" s="836"/>
      <c r="AC155" s="836"/>
      <c r="AD155" s="836"/>
      <c r="AE155" s="836"/>
      <c r="AF155" s="836"/>
      <c r="AG155" s="836"/>
      <c r="AH155" s="836"/>
      <c r="AI155" s="244"/>
      <c r="AJ155" s="244"/>
      <c r="AK155" s="244"/>
      <c r="AL155" s="244"/>
      <c r="AM155" s="244"/>
      <c r="AN155" s="176"/>
    </row>
    <row r="156" ht="14.25" customHeight="1" outlineLevel="3">
      <c r="A156" s="833"/>
      <c r="B156" s="842"/>
      <c r="C156" s="842"/>
      <c r="D156" s="847"/>
      <c r="E156" s="834" t="s">
        <v>2983</v>
      </c>
      <c r="F156" s="249" t="s">
        <v>2772</v>
      </c>
      <c r="G156" s="249" t="s">
        <v>2984</v>
      </c>
      <c r="H156" s="260"/>
      <c r="I156" s="181"/>
      <c r="J156" s="181"/>
      <c r="K156" s="181"/>
      <c r="L156" s="181"/>
      <c r="M156" s="181"/>
      <c r="N156" s="181"/>
      <c r="O156" s="181"/>
      <c r="P156" s="181"/>
      <c r="Q156" s="181"/>
      <c r="R156" s="181"/>
      <c r="S156" s="181"/>
      <c r="T156" s="181"/>
      <c r="U156" s="181"/>
      <c r="V156" s="181"/>
      <c r="W156" s="202"/>
      <c r="X156" s="181"/>
      <c r="Y156" s="181"/>
      <c r="Z156" s="181"/>
      <c r="AA156" s="181"/>
      <c r="AB156" s="202"/>
      <c r="AC156" s="202"/>
      <c r="AD156" s="202"/>
      <c r="AE156" s="202"/>
      <c r="AF156" s="202"/>
      <c r="AG156" s="202"/>
      <c r="AH156" s="203"/>
      <c r="AI156" s="493"/>
      <c r="AJ156" s="493"/>
      <c r="AK156" s="493"/>
      <c r="AL156" s="493"/>
      <c r="AM156" s="494"/>
      <c r="AN156" s="176"/>
    </row>
    <row r="157" ht="14.25" customHeight="1" outlineLevel="3">
      <c r="A157" s="833"/>
      <c r="B157" s="842"/>
      <c r="C157" s="842"/>
      <c r="D157" s="847"/>
      <c r="E157" s="834" t="s">
        <v>2912</v>
      </c>
      <c r="F157" s="249" t="s">
        <v>2810</v>
      </c>
      <c r="G157" s="249" t="s">
        <v>2985</v>
      </c>
      <c r="H157" s="260"/>
      <c r="I157" s="181"/>
      <c r="J157" s="181"/>
      <c r="K157" s="181"/>
      <c r="L157" s="181"/>
      <c r="M157" s="181"/>
      <c r="N157" s="181"/>
      <c r="O157" s="181"/>
      <c r="P157" s="181"/>
      <c r="Q157" s="181"/>
      <c r="R157" s="181"/>
      <c r="S157" s="181"/>
      <c r="T157" s="181"/>
      <c r="U157" s="181"/>
      <c r="V157" s="181"/>
      <c r="W157" s="202"/>
      <c r="X157" s="181"/>
      <c r="Y157" s="181"/>
      <c r="Z157" s="181"/>
      <c r="AA157" s="181"/>
      <c r="AB157" s="202"/>
      <c r="AC157" s="202"/>
      <c r="AD157" s="202"/>
      <c r="AE157" s="202"/>
      <c r="AF157" s="202"/>
      <c r="AG157" s="202"/>
      <c r="AH157" s="203"/>
      <c r="AI157" s="493"/>
      <c r="AJ157" s="493"/>
      <c r="AK157" s="493"/>
      <c r="AL157" s="493"/>
      <c r="AM157" s="494"/>
      <c r="AN157" s="176"/>
    </row>
    <row r="158" ht="14.25" customHeight="1" outlineLevel="3">
      <c r="A158" s="833"/>
      <c r="B158" s="842"/>
      <c r="C158" s="842"/>
      <c r="D158" s="847"/>
      <c r="E158" s="834" t="s">
        <v>2986</v>
      </c>
      <c r="F158" s="249" t="s">
        <v>135</v>
      </c>
      <c r="G158" s="249" t="s">
        <v>2987</v>
      </c>
      <c r="H158" s="260"/>
      <c r="I158" s="181"/>
      <c r="J158" s="181"/>
      <c r="K158" s="181"/>
      <c r="L158" s="181"/>
      <c r="M158" s="181"/>
      <c r="N158" s="181"/>
      <c r="O158" s="181"/>
      <c r="P158" s="181"/>
      <c r="Q158" s="181"/>
      <c r="R158" s="181"/>
      <c r="S158" s="181"/>
      <c r="T158" s="181"/>
      <c r="U158" s="181"/>
      <c r="V158" s="181"/>
      <c r="W158" s="202"/>
      <c r="X158" s="181"/>
      <c r="Y158" s="181"/>
      <c r="Z158" s="181"/>
      <c r="AA158" s="181"/>
      <c r="AB158" s="202"/>
      <c r="AC158" s="202"/>
      <c r="AD158" s="202"/>
      <c r="AE158" s="202"/>
      <c r="AF158" s="202"/>
      <c r="AG158" s="202"/>
      <c r="AH158" s="203"/>
      <c r="AI158" s="493"/>
      <c r="AJ158" s="493"/>
      <c r="AK158" s="493"/>
      <c r="AL158" s="493"/>
      <c r="AM158" s="494"/>
      <c r="AN158" s="176"/>
    </row>
    <row r="159" ht="14.25" customHeight="1" outlineLevel="3">
      <c r="A159" s="833"/>
      <c r="B159" s="842"/>
      <c r="C159" s="842"/>
      <c r="D159" s="847"/>
      <c r="E159" s="187" t="s">
        <v>2916</v>
      </c>
      <c r="F159" s="123" t="s">
        <v>261</v>
      </c>
      <c r="G159" s="123" t="s">
        <v>2988</v>
      </c>
      <c r="H159" s="253"/>
      <c r="I159" s="254"/>
      <c r="J159" s="254"/>
      <c r="K159" s="254"/>
      <c r="L159" s="254"/>
      <c r="M159" s="254"/>
      <c r="N159" s="254"/>
      <c r="O159" s="254"/>
      <c r="P159" s="254"/>
      <c r="Q159" s="254"/>
      <c r="R159" s="254"/>
      <c r="S159" s="254"/>
      <c r="T159" s="254"/>
      <c r="U159" s="254"/>
      <c r="V159" s="254"/>
      <c r="W159" s="279"/>
      <c r="X159" s="254"/>
      <c r="Y159" s="254"/>
      <c r="Z159" s="254"/>
      <c r="AA159" s="254"/>
      <c r="AB159" s="279"/>
      <c r="AC159" s="279"/>
      <c r="AD159" s="279"/>
      <c r="AE159" s="279"/>
      <c r="AF159" s="279"/>
      <c r="AG159" s="279"/>
      <c r="AH159" s="835"/>
      <c r="AI159" s="493"/>
      <c r="AJ159" s="493"/>
      <c r="AK159" s="493"/>
      <c r="AL159" s="493"/>
      <c r="AM159" s="494"/>
      <c r="AN159" s="176"/>
    </row>
    <row r="160" ht="14.25" customHeight="1" outlineLevel="2">
      <c r="A160" s="833"/>
      <c r="B160" s="841" t="s">
        <v>2989</v>
      </c>
      <c r="C160" s="842"/>
      <c r="D160" s="847"/>
      <c r="E160" s="162"/>
      <c r="F160" s="162"/>
      <c r="G160" s="162"/>
      <c r="H160" s="178"/>
      <c r="I160" s="178"/>
      <c r="J160" s="178"/>
      <c r="K160" s="178"/>
      <c r="L160" s="178"/>
      <c r="M160" s="178"/>
      <c r="N160" s="178"/>
      <c r="O160" s="178"/>
      <c r="P160" s="178"/>
      <c r="Q160" s="178"/>
      <c r="R160" s="178"/>
      <c r="S160" s="178"/>
      <c r="T160" s="178"/>
      <c r="U160" s="178"/>
      <c r="V160" s="178"/>
      <c r="W160" s="836"/>
      <c r="X160" s="178"/>
      <c r="Y160" s="178"/>
      <c r="Z160" s="178"/>
      <c r="AA160" s="178"/>
      <c r="AB160" s="836"/>
      <c r="AC160" s="836"/>
      <c r="AD160" s="836"/>
      <c r="AE160" s="836"/>
      <c r="AF160" s="836"/>
      <c r="AG160" s="836"/>
      <c r="AH160" s="836"/>
      <c r="AI160" s="244"/>
      <c r="AJ160" s="244"/>
      <c r="AK160" s="244"/>
      <c r="AL160" s="244"/>
      <c r="AM160" s="244"/>
      <c r="AN160" s="176"/>
    </row>
    <row r="161" ht="14.25" customHeight="1" outlineLevel="3">
      <c r="A161" s="833"/>
      <c r="B161" s="842"/>
      <c r="C161" s="842"/>
      <c r="D161" s="847"/>
      <c r="E161" s="834" t="s">
        <v>2990</v>
      </c>
      <c r="F161" s="249" t="s">
        <v>2772</v>
      </c>
      <c r="G161" s="249" t="s">
        <v>2991</v>
      </c>
      <c r="H161" s="260"/>
      <c r="I161" s="181"/>
      <c r="J161" s="181"/>
      <c r="K161" s="181"/>
      <c r="L161" s="181"/>
      <c r="M161" s="181"/>
      <c r="N161" s="181"/>
      <c r="O161" s="181"/>
      <c r="P161" s="181"/>
      <c r="Q161" s="181"/>
      <c r="R161" s="181"/>
      <c r="S161" s="181"/>
      <c r="T161" s="181"/>
      <c r="U161" s="181"/>
      <c r="V161" s="181"/>
      <c r="W161" s="202"/>
      <c r="X161" s="181"/>
      <c r="Y161" s="181"/>
      <c r="Z161" s="181"/>
      <c r="AA161" s="181"/>
      <c r="AB161" s="202"/>
      <c r="AC161" s="202"/>
      <c r="AD161" s="202"/>
      <c r="AE161" s="202"/>
      <c r="AF161" s="202"/>
      <c r="AG161" s="202"/>
      <c r="AH161" s="203"/>
      <c r="AI161" s="493"/>
      <c r="AJ161" s="493"/>
      <c r="AK161" s="493"/>
      <c r="AL161" s="493"/>
      <c r="AM161" s="494"/>
      <c r="AN161" s="176"/>
    </row>
    <row r="162" ht="14.25" customHeight="1" outlineLevel="3">
      <c r="A162" s="833"/>
      <c r="B162" s="842"/>
      <c r="C162" s="842"/>
      <c r="D162" s="847"/>
      <c r="E162" s="834" t="s">
        <v>2912</v>
      </c>
      <c r="F162" s="249" t="s">
        <v>2810</v>
      </c>
      <c r="G162" s="249" t="s">
        <v>2992</v>
      </c>
      <c r="H162" s="260"/>
      <c r="I162" s="181"/>
      <c r="J162" s="181"/>
      <c r="K162" s="181"/>
      <c r="L162" s="181"/>
      <c r="M162" s="181"/>
      <c r="N162" s="181"/>
      <c r="O162" s="181"/>
      <c r="P162" s="181"/>
      <c r="Q162" s="181"/>
      <c r="R162" s="181"/>
      <c r="S162" s="181"/>
      <c r="T162" s="181"/>
      <c r="U162" s="181"/>
      <c r="V162" s="181"/>
      <c r="W162" s="202"/>
      <c r="X162" s="181"/>
      <c r="Y162" s="181"/>
      <c r="Z162" s="181"/>
      <c r="AA162" s="181"/>
      <c r="AB162" s="202"/>
      <c r="AC162" s="202"/>
      <c r="AD162" s="202"/>
      <c r="AE162" s="202"/>
      <c r="AF162" s="202"/>
      <c r="AG162" s="202"/>
      <c r="AH162" s="203"/>
      <c r="AI162" s="493"/>
      <c r="AJ162" s="493"/>
      <c r="AK162" s="493"/>
      <c r="AL162" s="493"/>
      <c r="AM162" s="494"/>
      <c r="AN162" s="176"/>
    </row>
    <row r="163" ht="14.25" customHeight="1" outlineLevel="3">
      <c r="A163" s="833"/>
      <c r="B163" s="842"/>
      <c r="C163" s="842"/>
      <c r="D163" s="847"/>
      <c r="E163" s="834" t="s">
        <v>2993</v>
      </c>
      <c r="F163" s="249" t="s">
        <v>135</v>
      </c>
      <c r="G163" s="249" t="s">
        <v>2994</v>
      </c>
      <c r="H163" s="260"/>
      <c r="I163" s="181"/>
      <c r="J163" s="181"/>
      <c r="K163" s="181"/>
      <c r="L163" s="181"/>
      <c r="M163" s="181"/>
      <c r="N163" s="181"/>
      <c r="O163" s="181"/>
      <c r="P163" s="181"/>
      <c r="Q163" s="181"/>
      <c r="R163" s="181"/>
      <c r="S163" s="181"/>
      <c r="T163" s="181"/>
      <c r="U163" s="181"/>
      <c r="V163" s="181"/>
      <c r="W163" s="202"/>
      <c r="X163" s="181"/>
      <c r="Y163" s="181"/>
      <c r="Z163" s="181"/>
      <c r="AA163" s="181"/>
      <c r="AB163" s="202"/>
      <c r="AC163" s="202"/>
      <c r="AD163" s="202"/>
      <c r="AE163" s="202"/>
      <c r="AF163" s="202"/>
      <c r="AG163" s="202"/>
      <c r="AH163" s="203"/>
      <c r="AI163" s="493"/>
      <c r="AJ163" s="493"/>
      <c r="AK163" s="493"/>
      <c r="AL163" s="493"/>
      <c r="AM163" s="494"/>
      <c r="AN163" s="176"/>
    </row>
    <row r="164" ht="14.25" customHeight="1" outlineLevel="3">
      <c r="A164" s="833"/>
      <c r="B164" s="842"/>
      <c r="C164" s="842"/>
      <c r="D164" s="847"/>
      <c r="E164" s="187" t="s">
        <v>2916</v>
      </c>
      <c r="F164" s="123" t="s">
        <v>261</v>
      </c>
      <c r="G164" s="123" t="s">
        <v>2995</v>
      </c>
      <c r="H164" s="253"/>
      <c r="I164" s="254"/>
      <c r="J164" s="254"/>
      <c r="K164" s="254"/>
      <c r="L164" s="254"/>
      <c r="M164" s="254"/>
      <c r="N164" s="254"/>
      <c r="O164" s="254"/>
      <c r="P164" s="254"/>
      <c r="Q164" s="254"/>
      <c r="R164" s="254"/>
      <c r="S164" s="254"/>
      <c r="T164" s="254"/>
      <c r="U164" s="254"/>
      <c r="V164" s="254"/>
      <c r="W164" s="279"/>
      <c r="X164" s="254"/>
      <c r="Y164" s="254"/>
      <c r="Z164" s="254"/>
      <c r="AA164" s="254"/>
      <c r="AB164" s="279"/>
      <c r="AC164" s="279"/>
      <c r="AD164" s="279"/>
      <c r="AE164" s="279"/>
      <c r="AF164" s="279"/>
      <c r="AG164" s="279"/>
      <c r="AH164" s="835"/>
      <c r="AI164" s="493"/>
      <c r="AJ164" s="493"/>
      <c r="AK164" s="493"/>
      <c r="AL164" s="493"/>
      <c r="AM164" s="494"/>
      <c r="AN164" s="176"/>
    </row>
    <row r="165" ht="14.25" customHeight="1">
      <c r="A165" s="247"/>
      <c r="B165" s="100"/>
      <c r="C165" s="100"/>
      <c r="D165" s="100"/>
      <c r="E165" s="100"/>
      <c r="F165" s="206"/>
      <c r="G165" s="206"/>
      <c r="H165" s="207"/>
      <c r="I165" s="207"/>
      <c r="J165" s="207"/>
      <c r="K165" s="207"/>
      <c r="L165" s="207"/>
      <c r="M165" s="207"/>
      <c r="N165" s="207"/>
      <c r="O165" s="207"/>
      <c r="P165" s="207"/>
      <c r="Q165" s="207"/>
      <c r="R165" s="207"/>
      <c r="S165" s="207"/>
      <c r="T165" s="207"/>
      <c r="U165" s="207"/>
      <c r="V165" s="207"/>
      <c r="W165" s="208"/>
      <c r="X165" s="208"/>
      <c r="Y165" s="208"/>
      <c r="Z165" s="208"/>
      <c r="AA165" s="208"/>
      <c r="AB165" s="208"/>
      <c r="AC165" s="208"/>
      <c r="AD165" s="208"/>
      <c r="AE165" s="208"/>
      <c r="AF165" s="208"/>
      <c r="AG165" s="208"/>
      <c r="AH165" s="208"/>
      <c r="AI165" s="271"/>
      <c r="AJ165" s="271"/>
      <c r="AK165" s="271"/>
      <c r="AL165" s="271"/>
      <c r="AM165" s="271"/>
      <c r="AN165" s="102"/>
    </row>
    <row r="166" ht="14.25" customHeight="1">
      <c r="A166" s="247"/>
      <c r="B166" s="100"/>
      <c r="C166" s="100"/>
      <c r="D166" s="100"/>
      <c r="E166" s="100"/>
      <c r="F166" s="206"/>
      <c r="G166" s="206"/>
      <c r="H166" s="207"/>
      <c r="I166" s="207"/>
      <c r="J166" s="207"/>
      <c r="K166" s="207"/>
      <c r="L166" s="207"/>
      <c r="M166" s="207"/>
      <c r="N166" s="207"/>
      <c r="O166" s="207"/>
      <c r="P166" s="207"/>
      <c r="Q166" s="207"/>
      <c r="R166" s="207"/>
      <c r="S166" s="207"/>
      <c r="T166" s="207"/>
      <c r="U166" s="207"/>
      <c r="V166" s="207"/>
      <c r="W166" s="208"/>
      <c r="X166" s="208"/>
      <c r="Y166" s="208"/>
      <c r="Z166" s="208"/>
      <c r="AA166" s="208"/>
      <c r="AB166" s="208"/>
      <c r="AC166" s="208"/>
      <c r="AD166" s="208"/>
      <c r="AE166" s="208"/>
      <c r="AF166" s="208"/>
      <c r="AG166" s="208"/>
      <c r="AH166" s="208"/>
      <c r="AI166" s="271"/>
      <c r="AJ166" s="271"/>
      <c r="AK166" s="271"/>
      <c r="AL166" s="271"/>
      <c r="AM166" s="271"/>
      <c r="AN166" s="102"/>
    </row>
    <row r="167" ht="14.25" customHeight="1">
      <c r="A167" s="247"/>
      <c r="B167" s="100"/>
      <c r="C167" s="100"/>
      <c r="D167" s="100"/>
      <c r="E167" s="100"/>
      <c r="F167" s="206"/>
      <c r="G167" s="206"/>
      <c r="H167" s="207"/>
      <c r="I167" s="207"/>
      <c r="J167" s="207"/>
      <c r="K167" s="207"/>
      <c r="L167" s="207"/>
      <c r="M167" s="207"/>
      <c r="N167" s="207"/>
      <c r="O167" s="207"/>
      <c r="P167" s="207"/>
      <c r="Q167" s="207"/>
      <c r="R167" s="207"/>
      <c r="S167" s="207"/>
      <c r="T167" s="207"/>
      <c r="U167" s="207"/>
      <c r="V167" s="207"/>
      <c r="W167" s="208"/>
      <c r="X167" s="208"/>
      <c r="Y167" s="208"/>
      <c r="Z167" s="208"/>
      <c r="AA167" s="208"/>
      <c r="AB167" s="208"/>
      <c r="AC167" s="208"/>
      <c r="AD167" s="208"/>
      <c r="AE167" s="208"/>
      <c r="AF167" s="208"/>
      <c r="AG167" s="208"/>
      <c r="AH167" s="208"/>
      <c r="AI167" s="271"/>
      <c r="AJ167" s="271"/>
      <c r="AK167" s="271"/>
      <c r="AL167" s="271"/>
      <c r="AM167" s="271"/>
      <c r="AN167" s="102"/>
    </row>
    <row r="168" ht="14.25" customHeight="1">
      <c r="A168" s="247"/>
      <c r="B168" s="100"/>
      <c r="C168" s="100"/>
      <c r="D168" s="100"/>
      <c r="E168" s="854" t="s">
        <v>2996</v>
      </c>
      <c r="F168" s="206"/>
      <c r="G168" s="206"/>
      <c r="H168" s="207"/>
      <c r="I168" s="207"/>
      <c r="J168" s="207"/>
      <c r="K168" s="207"/>
      <c r="L168" s="207"/>
      <c r="M168" s="207"/>
      <c r="N168" s="207"/>
      <c r="O168" s="207"/>
      <c r="P168" s="207"/>
      <c r="Q168" s="207"/>
      <c r="R168" s="207"/>
      <c r="S168" s="207"/>
      <c r="T168" s="207"/>
      <c r="U168" s="207"/>
      <c r="V168" s="207"/>
      <c r="W168" s="208"/>
      <c r="X168" s="208"/>
      <c r="Y168" s="208"/>
      <c r="Z168" s="208"/>
      <c r="AA168" s="208"/>
      <c r="AB168" s="208"/>
      <c r="AC168" s="208"/>
      <c r="AD168" s="208"/>
      <c r="AE168" s="208"/>
      <c r="AF168" s="208"/>
      <c r="AG168" s="208"/>
      <c r="AH168" s="208"/>
      <c r="AI168" s="271"/>
      <c r="AJ168" s="271"/>
      <c r="AK168" s="271"/>
      <c r="AL168" s="271"/>
      <c r="AM168" s="271"/>
      <c r="AN168" s="102"/>
    </row>
    <row r="169" ht="60.0" customHeight="1">
      <c r="A169" s="247"/>
      <c r="B169" s="100"/>
      <c r="C169" s="100"/>
      <c r="D169" s="100"/>
      <c r="E169" s="210"/>
      <c r="F169" s="206"/>
      <c r="G169" s="206"/>
      <c r="H169" s="207"/>
      <c r="I169" s="207"/>
      <c r="J169" s="207"/>
      <c r="K169" s="207"/>
      <c r="L169" s="207"/>
      <c r="M169" s="207"/>
      <c r="N169" s="207"/>
      <c r="O169" s="207"/>
      <c r="P169" s="207"/>
      <c r="Q169" s="207"/>
      <c r="R169" s="207"/>
      <c r="S169" s="207"/>
      <c r="T169" s="207"/>
      <c r="U169" s="207"/>
      <c r="V169" s="207"/>
      <c r="W169" s="208"/>
      <c r="X169" s="208"/>
      <c r="Y169" s="208"/>
      <c r="Z169" s="208"/>
      <c r="AA169" s="208"/>
      <c r="AB169" s="208"/>
      <c r="AC169" s="208"/>
      <c r="AD169" s="208"/>
      <c r="AE169" s="208"/>
      <c r="AF169" s="208"/>
      <c r="AG169" s="208"/>
      <c r="AH169" s="208"/>
      <c r="AI169" s="271"/>
      <c r="AJ169" s="271"/>
      <c r="AK169" s="271"/>
      <c r="AL169" s="271"/>
      <c r="AM169" s="271"/>
      <c r="AN169" s="102"/>
    </row>
    <row r="170" ht="14.25" customHeight="1">
      <c r="A170" s="247"/>
      <c r="B170" s="100"/>
      <c r="C170" s="100"/>
      <c r="D170" s="100"/>
      <c r="E170" s="100"/>
      <c r="F170" s="206"/>
      <c r="G170" s="206"/>
      <c r="H170" s="207"/>
      <c r="I170" s="207"/>
      <c r="J170" s="207"/>
      <c r="K170" s="207"/>
      <c r="L170" s="207"/>
      <c r="M170" s="207"/>
      <c r="N170" s="207"/>
      <c r="O170" s="207"/>
      <c r="P170" s="207"/>
      <c r="Q170" s="207"/>
      <c r="R170" s="207"/>
      <c r="S170" s="207"/>
      <c r="T170" s="207"/>
      <c r="U170" s="207"/>
      <c r="V170" s="207"/>
      <c r="W170" s="208"/>
      <c r="X170" s="208"/>
      <c r="Y170" s="208"/>
      <c r="Z170" s="208"/>
      <c r="AA170" s="208"/>
      <c r="AB170" s="208"/>
      <c r="AC170" s="208"/>
      <c r="AD170" s="208"/>
      <c r="AE170" s="208"/>
      <c r="AF170" s="208"/>
      <c r="AG170" s="208"/>
      <c r="AH170" s="208"/>
      <c r="AI170" s="271"/>
      <c r="AJ170" s="271"/>
      <c r="AK170" s="271"/>
      <c r="AL170" s="271"/>
      <c r="AM170" s="271"/>
      <c r="AN170" s="102"/>
    </row>
    <row r="171" ht="14.25" customHeight="1">
      <c r="A171" s="247"/>
      <c r="B171" s="100"/>
      <c r="C171" s="100"/>
      <c r="D171" s="100"/>
      <c r="E171" s="100"/>
      <c r="F171" s="206"/>
      <c r="G171" s="206"/>
      <c r="H171" s="207"/>
      <c r="I171" s="207"/>
      <c r="J171" s="207"/>
      <c r="K171" s="207"/>
      <c r="L171" s="207"/>
      <c r="M171" s="207"/>
      <c r="N171" s="207"/>
      <c r="O171" s="207"/>
      <c r="P171" s="207"/>
      <c r="Q171" s="207"/>
      <c r="R171" s="207"/>
      <c r="S171" s="207"/>
      <c r="T171" s="207"/>
      <c r="U171" s="207"/>
      <c r="V171" s="207"/>
      <c r="W171" s="208"/>
      <c r="X171" s="208"/>
      <c r="Y171" s="208"/>
      <c r="Z171" s="208"/>
      <c r="AA171" s="208"/>
      <c r="AB171" s="208"/>
      <c r="AC171" s="208"/>
      <c r="AD171" s="208"/>
      <c r="AE171" s="208"/>
      <c r="AF171" s="208"/>
      <c r="AG171" s="208"/>
      <c r="AH171" s="208"/>
      <c r="AI171" s="271"/>
      <c r="AJ171" s="271"/>
      <c r="AK171" s="271"/>
      <c r="AL171" s="271"/>
      <c r="AM171" s="271"/>
      <c r="AN171" s="102"/>
    </row>
    <row r="172" ht="14.25" customHeight="1">
      <c r="A172" s="247"/>
      <c r="B172" s="100"/>
      <c r="C172" s="100"/>
      <c r="D172" s="100"/>
      <c r="E172" s="100"/>
      <c r="F172" s="206"/>
      <c r="G172" s="206"/>
      <c r="H172" s="207"/>
      <c r="I172" s="207"/>
      <c r="J172" s="207"/>
      <c r="K172" s="207"/>
      <c r="L172" s="207"/>
      <c r="M172" s="207"/>
      <c r="N172" s="207"/>
      <c r="O172" s="207"/>
      <c r="P172" s="207"/>
      <c r="Q172" s="207"/>
      <c r="R172" s="207"/>
      <c r="S172" s="207"/>
      <c r="T172" s="207"/>
      <c r="U172" s="207"/>
      <c r="V172" s="207"/>
      <c r="W172" s="208"/>
      <c r="X172" s="208"/>
      <c r="Y172" s="208"/>
      <c r="Z172" s="208"/>
      <c r="AA172" s="208"/>
      <c r="AB172" s="208"/>
      <c r="AC172" s="208"/>
      <c r="AD172" s="208"/>
      <c r="AE172" s="208"/>
      <c r="AF172" s="208"/>
      <c r="AG172" s="208"/>
      <c r="AH172" s="208"/>
      <c r="AI172" s="271"/>
      <c r="AJ172" s="271"/>
      <c r="AK172" s="271"/>
      <c r="AL172" s="271"/>
      <c r="AM172" s="271"/>
      <c r="AN172" s="102"/>
    </row>
    <row r="173" ht="14.25" customHeight="1">
      <c r="A173" s="136" t="s">
        <v>201</v>
      </c>
      <c r="B173" s="137"/>
      <c r="C173" s="137"/>
      <c r="D173" s="138"/>
      <c r="E173" s="137"/>
      <c r="F173" s="137"/>
      <c r="G173" s="137"/>
      <c r="H173" s="62">
        <v>2000.0</v>
      </c>
      <c r="I173" s="62">
        <v>2001.0</v>
      </c>
      <c r="J173" s="62">
        <v>2002.0</v>
      </c>
      <c r="K173" s="62">
        <v>2003.0</v>
      </c>
      <c r="L173" s="62">
        <v>2004.0</v>
      </c>
      <c r="M173" s="62">
        <v>2005.0</v>
      </c>
      <c r="N173" s="62">
        <v>2006.0</v>
      </c>
      <c r="O173" s="62">
        <v>2007.0</v>
      </c>
      <c r="P173" s="62">
        <v>2008.0</v>
      </c>
      <c r="Q173" s="62">
        <v>2009.0</v>
      </c>
      <c r="R173" s="62">
        <v>2010.0</v>
      </c>
      <c r="S173" s="62">
        <v>2011.0</v>
      </c>
      <c r="T173" s="62">
        <v>2012.0</v>
      </c>
      <c r="U173" s="62">
        <v>2013.0</v>
      </c>
      <c r="V173" s="62">
        <v>2014.0</v>
      </c>
      <c r="W173" s="62">
        <v>2015.0</v>
      </c>
      <c r="X173" s="62">
        <v>2016.0</v>
      </c>
      <c r="Y173" s="62">
        <v>2017.0</v>
      </c>
      <c r="Z173" s="62">
        <v>2018.0</v>
      </c>
      <c r="AA173" s="62">
        <v>2019.0</v>
      </c>
      <c r="AB173" s="62">
        <v>2020.0</v>
      </c>
      <c r="AC173" s="62">
        <v>2025.0</v>
      </c>
      <c r="AD173" s="62">
        <v>2030.0</v>
      </c>
      <c r="AE173" s="62">
        <v>2035.0</v>
      </c>
      <c r="AF173" s="62">
        <v>2040.0</v>
      </c>
      <c r="AG173" s="62">
        <v>2045.0</v>
      </c>
      <c r="AH173" s="62">
        <v>2050.0</v>
      </c>
      <c r="AI173" s="212" t="s">
        <v>243</v>
      </c>
      <c r="AJ173" s="212" t="s">
        <v>244</v>
      </c>
      <c r="AK173" s="212" t="s">
        <v>2997</v>
      </c>
      <c r="AL173" s="212" t="s">
        <v>246</v>
      </c>
      <c r="AM173" s="212" t="s">
        <v>247</v>
      </c>
      <c r="AN173" s="102"/>
    </row>
    <row r="174" ht="14.25" customHeight="1">
      <c r="A174" s="224" t="s">
        <v>254</v>
      </c>
      <c r="B174" s="225"/>
      <c r="C174" s="225"/>
      <c r="D174" s="225"/>
      <c r="E174" s="225"/>
      <c r="F174" s="225"/>
      <c r="G174" s="225"/>
      <c r="H174" s="141">
        <f t="shared" ref="H174:AH174" si="1">AVERAGE(H175,H180,H188,H202)</f>
        <v>0.04375</v>
      </c>
      <c r="I174" s="141">
        <f t="shared" si="1"/>
        <v>0.04375</v>
      </c>
      <c r="J174" s="141">
        <f t="shared" si="1"/>
        <v>0.04375</v>
      </c>
      <c r="K174" s="141">
        <f t="shared" si="1"/>
        <v>0.04375</v>
      </c>
      <c r="L174" s="141">
        <f t="shared" si="1"/>
        <v>0.04375</v>
      </c>
      <c r="M174" s="141">
        <f t="shared" si="1"/>
        <v>0.04375</v>
      </c>
      <c r="N174" s="141">
        <f t="shared" si="1"/>
        <v>0.04375</v>
      </c>
      <c r="O174" s="141">
        <f t="shared" si="1"/>
        <v>0.04375</v>
      </c>
      <c r="P174" s="141">
        <f t="shared" si="1"/>
        <v>0.04375</v>
      </c>
      <c r="Q174" s="141">
        <f t="shared" si="1"/>
        <v>0.04375</v>
      </c>
      <c r="R174" s="141">
        <f t="shared" si="1"/>
        <v>0.04375</v>
      </c>
      <c r="S174" s="141">
        <f t="shared" si="1"/>
        <v>0.04375</v>
      </c>
      <c r="T174" s="141">
        <f t="shared" si="1"/>
        <v>0.04375</v>
      </c>
      <c r="U174" s="141">
        <f t="shared" si="1"/>
        <v>0.04375</v>
      </c>
      <c r="V174" s="141">
        <f t="shared" si="1"/>
        <v>0.04375</v>
      </c>
      <c r="W174" s="141">
        <f t="shared" si="1"/>
        <v>0.04375</v>
      </c>
      <c r="X174" s="141">
        <f t="shared" si="1"/>
        <v>0.04375</v>
      </c>
      <c r="Y174" s="141">
        <f t="shared" si="1"/>
        <v>0.04375</v>
      </c>
      <c r="Z174" s="141">
        <f t="shared" si="1"/>
        <v>0</v>
      </c>
      <c r="AA174" s="141">
        <f t="shared" si="1"/>
        <v>0</v>
      </c>
      <c r="AB174" s="141">
        <f t="shared" si="1"/>
        <v>0</v>
      </c>
      <c r="AC174" s="141">
        <f t="shared" si="1"/>
        <v>0</v>
      </c>
      <c r="AD174" s="141">
        <f t="shared" si="1"/>
        <v>0</v>
      </c>
      <c r="AE174" s="141">
        <f t="shared" si="1"/>
        <v>0</v>
      </c>
      <c r="AF174" s="141">
        <f t="shared" si="1"/>
        <v>0</v>
      </c>
      <c r="AG174" s="141">
        <f t="shared" si="1"/>
        <v>0</v>
      </c>
      <c r="AH174" s="141">
        <f t="shared" si="1"/>
        <v>0</v>
      </c>
      <c r="AI174" s="141">
        <f t="shared" ref="AI174:AI217" si="3">AVERAGE(H174:AA174)</f>
        <v>0.039375</v>
      </c>
      <c r="AJ174" s="141">
        <f t="shared" ref="AJ174:AJ217" si="4">W174</f>
        <v>0.04375</v>
      </c>
      <c r="AK174" s="141">
        <f t="shared" ref="AK174:AK217" si="5">AVERAGE(AB174:AH174)</f>
        <v>0</v>
      </c>
      <c r="AL174" s="141">
        <f t="shared" ref="AL174:AL217" si="6">AVERAGE(W174,AB174,AC174,AD174,AE174,AF174,AG174,AH174)</f>
        <v>0.00546875</v>
      </c>
      <c r="AM174" s="215">
        <f t="shared" ref="AM174:AM217" si="7">AVERAGE(H174:AH174)</f>
        <v>0.02916666667</v>
      </c>
      <c r="AN174" s="176"/>
    </row>
    <row r="175" ht="14.25" customHeight="1">
      <c r="A175" s="829" t="s">
        <v>36</v>
      </c>
      <c r="B175" s="830"/>
      <c r="C175" s="830"/>
      <c r="D175" s="830"/>
      <c r="E175" s="830"/>
      <c r="F175" s="830"/>
      <c r="G175" s="830"/>
      <c r="H175" s="141">
        <f t="shared" ref="H175:AH175" si="2">AVERAGE(H176:H179)</f>
        <v>0</v>
      </c>
      <c r="I175" s="141">
        <f t="shared" si="2"/>
        <v>0</v>
      </c>
      <c r="J175" s="141">
        <f t="shared" si="2"/>
        <v>0</v>
      </c>
      <c r="K175" s="141">
        <f t="shared" si="2"/>
        <v>0</v>
      </c>
      <c r="L175" s="141">
        <f t="shared" si="2"/>
        <v>0</v>
      </c>
      <c r="M175" s="141">
        <f t="shared" si="2"/>
        <v>0</v>
      </c>
      <c r="N175" s="141">
        <f t="shared" si="2"/>
        <v>0</v>
      </c>
      <c r="O175" s="141">
        <f t="shared" si="2"/>
        <v>0</v>
      </c>
      <c r="P175" s="141">
        <f t="shared" si="2"/>
        <v>0</v>
      </c>
      <c r="Q175" s="141">
        <f t="shared" si="2"/>
        <v>0</v>
      </c>
      <c r="R175" s="141">
        <f t="shared" si="2"/>
        <v>0</v>
      </c>
      <c r="S175" s="141">
        <f t="shared" si="2"/>
        <v>0</v>
      </c>
      <c r="T175" s="141">
        <f t="shared" si="2"/>
        <v>0</v>
      </c>
      <c r="U175" s="141">
        <f t="shared" si="2"/>
        <v>0</v>
      </c>
      <c r="V175" s="141">
        <f t="shared" si="2"/>
        <v>0</v>
      </c>
      <c r="W175" s="141">
        <f t="shared" si="2"/>
        <v>0</v>
      </c>
      <c r="X175" s="141">
        <f t="shared" si="2"/>
        <v>0</v>
      </c>
      <c r="Y175" s="141">
        <f t="shared" si="2"/>
        <v>0</v>
      </c>
      <c r="Z175" s="141">
        <f t="shared" si="2"/>
        <v>0</v>
      </c>
      <c r="AA175" s="141">
        <f t="shared" si="2"/>
        <v>0</v>
      </c>
      <c r="AB175" s="141">
        <f t="shared" si="2"/>
        <v>0</v>
      </c>
      <c r="AC175" s="141">
        <f t="shared" si="2"/>
        <v>0</v>
      </c>
      <c r="AD175" s="141">
        <f t="shared" si="2"/>
        <v>0</v>
      </c>
      <c r="AE175" s="141">
        <f t="shared" si="2"/>
        <v>0</v>
      </c>
      <c r="AF175" s="141">
        <f t="shared" si="2"/>
        <v>0</v>
      </c>
      <c r="AG175" s="141">
        <f t="shared" si="2"/>
        <v>0</v>
      </c>
      <c r="AH175" s="141">
        <f t="shared" si="2"/>
        <v>0</v>
      </c>
      <c r="AI175" s="141">
        <f t="shared" si="3"/>
        <v>0</v>
      </c>
      <c r="AJ175" s="141">
        <f t="shared" si="4"/>
        <v>0</v>
      </c>
      <c r="AK175" s="141">
        <f t="shared" si="5"/>
        <v>0</v>
      </c>
      <c r="AL175" s="141">
        <f t="shared" si="6"/>
        <v>0</v>
      </c>
      <c r="AM175" s="215">
        <f t="shared" si="7"/>
        <v>0</v>
      </c>
      <c r="AN175" s="102"/>
    </row>
    <row r="176" ht="14.25" customHeight="1" outlineLevel="1">
      <c r="A176" s="833" t="s">
        <v>2741</v>
      </c>
      <c r="B176" s="195"/>
      <c r="C176" s="162"/>
      <c r="D176" s="162"/>
      <c r="E176" s="162"/>
      <c r="F176" s="162"/>
      <c r="G176" s="162"/>
      <c r="H176" s="141">
        <f t="shared" ref="H176:AH176" si="8">(COUNT(H6:H9))/(COUNT(H6:H9)+COUNTBLANK(H6:H9))</f>
        <v>0</v>
      </c>
      <c r="I176" s="141">
        <f t="shared" si="8"/>
        <v>0</v>
      </c>
      <c r="J176" s="141">
        <f t="shared" si="8"/>
        <v>0</v>
      </c>
      <c r="K176" s="141">
        <f t="shared" si="8"/>
        <v>0</v>
      </c>
      <c r="L176" s="141">
        <f t="shared" si="8"/>
        <v>0</v>
      </c>
      <c r="M176" s="141">
        <f t="shared" si="8"/>
        <v>0</v>
      </c>
      <c r="N176" s="141">
        <f t="shared" si="8"/>
        <v>0</v>
      </c>
      <c r="O176" s="141">
        <f t="shared" si="8"/>
        <v>0</v>
      </c>
      <c r="P176" s="141">
        <f t="shared" si="8"/>
        <v>0</v>
      </c>
      <c r="Q176" s="141">
        <f t="shared" si="8"/>
        <v>0</v>
      </c>
      <c r="R176" s="141">
        <f t="shared" si="8"/>
        <v>0</v>
      </c>
      <c r="S176" s="141">
        <f t="shared" si="8"/>
        <v>0</v>
      </c>
      <c r="T176" s="141">
        <f t="shared" si="8"/>
        <v>0</v>
      </c>
      <c r="U176" s="141">
        <f t="shared" si="8"/>
        <v>0</v>
      </c>
      <c r="V176" s="141">
        <f t="shared" si="8"/>
        <v>0</v>
      </c>
      <c r="W176" s="141">
        <f t="shared" si="8"/>
        <v>0</v>
      </c>
      <c r="X176" s="141">
        <f t="shared" si="8"/>
        <v>0</v>
      </c>
      <c r="Y176" s="141">
        <f t="shared" si="8"/>
        <v>0</v>
      </c>
      <c r="Z176" s="141">
        <f t="shared" si="8"/>
        <v>0</v>
      </c>
      <c r="AA176" s="141">
        <f t="shared" si="8"/>
        <v>0</v>
      </c>
      <c r="AB176" s="141">
        <f t="shared" si="8"/>
        <v>0</v>
      </c>
      <c r="AC176" s="141">
        <f t="shared" si="8"/>
        <v>0</v>
      </c>
      <c r="AD176" s="141">
        <f t="shared" si="8"/>
        <v>0</v>
      </c>
      <c r="AE176" s="141">
        <f t="shared" si="8"/>
        <v>0</v>
      </c>
      <c r="AF176" s="141">
        <f t="shared" si="8"/>
        <v>0</v>
      </c>
      <c r="AG176" s="141">
        <f t="shared" si="8"/>
        <v>0</v>
      </c>
      <c r="AH176" s="141">
        <f t="shared" si="8"/>
        <v>0</v>
      </c>
      <c r="AI176" s="141">
        <f t="shared" si="3"/>
        <v>0</v>
      </c>
      <c r="AJ176" s="141">
        <f t="shared" si="4"/>
        <v>0</v>
      </c>
      <c r="AK176" s="141">
        <f t="shared" si="5"/>
        <v>0</v>
      </c>
      <c r="AL176" s="141">
        <f t="shared" si="6"/>
        <v>0</v>
      </c>
      <c r="AM176" s="215">
        <f t="shared" si="7"/>
        <v>0</v>
      </c>
      <c r="AN176" s="176"/>
    </row>
    <row r="177" ht="14.25" customHeight="1" outlineLevel="1">
      <c r="A177" s="833" t="s">
        <v>2751</v>
      </c>
      <c r="B177" s="195"/>
      <c r="C177" s="100"/>
      <c r="D177" s="100"/>
      <c r="E177" s="162"/>
      <c r="F177" s="162"/>
      <c r="G177" s="162"/>
      <c r="H177" s="141">
        <f t="shared" ref="H177:AH177" si="9">(COUNT(H11:H13))/(COUNT(H11:H13)+COUNTBLANK(H11:H13))</f>
        <v>0</v>
      </c>
      <c r="I177" s="141">
        <f t="shared" si="9"/>
        <v>0</v>
      </c>
      <c r="J177" s="141">
        <f t="shared" si="9"/>
        <v>0</v>
      </c>
      <c r="K177" s="141">
        <f t="shared" si="9"/>
        <v>0</v>
      </c>
      <c r="L177" s="141">
        <f t="shared" si="9"/>
        <v>0</v>
      </c>
      <c r="M177" s="141">
        <f t="shared" si="9"/>
        <v>0</v>
      </c>
      <c r="N177" s="141">
        <f t="shared" si="9"/>
        <v>0</v>
      </c>
      <c r="O177" s="141">
        <f t="shared" si="9"/>
        <v>0</v>
      </c>
      <c r="P177" s="141">
        <f t="shared" si="9"/>
        <v>0</v>
      </c>
      <c r="Q177" s="141">
        <f t="shared" si="9"/>
        <v>0</v>
      </c>
      <c r="R177" s="141">
        <f t="shared" si="9"/>
        <v>0</v>
      </c>
      <c r="S177" s="141">
        <f t="shared" si="9"/>
        <v>0</v>
      </c>
      <c r="T177" s="141">
        <f t="shared" si="9"/>
        <v>0</v>
      </c>
      <c r="U177" s="141">
        <f t="shared" si="9"/>
        <v>0</v>
      </c>
      <c r="V177" s="141">
        <f t="shared" si="9"/>
        <v>0</v>
      </c>
      <c r="W177" s="141">
        <f t="shared" si="9"/>
        <v>0</v>
      </c>
      <c r="X177" s="141">
        <f t="shared" si="9"/>
        <v>0</v>
      </c>
      <c r="Y177" s="141">
        <f t="shared" si="9"/>
        <v>0</v>
      </c>
      <c r="Z177" s="141">
        <f t="shared" si="9"/>
        <v>0</v>
      </c>
      <c r="AA177" s="141">
        <f t="shared" si="9"/>
        <v>0</v>
      </c>
      <c r="AB177" s="141">
        <f t="shared" si="9"/>
        <v>0</v>
      </c>
      <c r="AC177" s="141">
        <f t="shared" si="9"/>
        <v>0</v>
      </c>
      <c r="AD177" s="141">
        <f t="shared" si="9"/>
        <v>0</v>
      </c>
      <c r="AE177" s="141">
        <f t="shared" si="9"/>
        <v>0</v>
      </c>
      <c r="AF177" s="141">
        <f t="shared" si="9"/>
        <v>0</v>
      </c>
      <c r="AG177" s="141">
        <f t="shared" si="9"/>
        <v>0</v>
      </c>
      <c r="AH177" s="141">
        <f t="shared" si="9"/>
        <v>0</v>
      </c>
      <c r="AI177" s="141">
        <f t="shared" si="3"/>
        <v>0</v>
      </c>
      <c r="AJ177" s="141">
        <f t="shared" si="4"/>
        <v>0</v>
      </c>
      <c r="AK177" s="141">
        <f t="shared" si="5"/>
        <v>0</v>
      </c>
      <c r="AL177" s="141">
        <f t="shared" si="6"/>
        <v>0</v>
      </c>
      <c r="AM177" s="215">
        <f t="shared" si="7"/>
        <v>0</v>
      </c>
      <c r="AN177" s="176"/>
    </row>
    <row r="178" ht="14.25" customHeight="1" outlineLevel="1">
      <c r="A178" s="833" t="s">
        <v>2758</v>
      </c>
      <c r="B178" s="195"/>
      <c r="C178" s="100"/>
      <c r="D178" s="100"/>
      <c r="E178" s="162"/>
      <c r="F178" s="162"/>
      <c r="G178" s="162"/>
      <c r="H178" s="141">
        <f t="shared" ref="H178:AH178" si="10">(COUNT(H15))/(COUNT(H15)+COUNTBLANK(H15))</f>
        <v>0</v>
      </c>
      <c r="I178" s="141">
        <f t="shared" si="10"/>
        <v>0</v>
      </c>
      <c r="J178" s="141">
        <f t="shared" si="10"/>
        <v>0</v>
      </c>
      <c r="K178" s="141">
        <f t="shared" si="10"/>
        <v>0</v>
      </c>
      <c r="L178" s="141">
        <f t="shared" si="10"/>
        <v>0</v>
      </c>
      <c r="M178" s="141">
        <f t="shared" si="10"/>
        <v>0</v>
      </c>
      <c r="N178" s="141">
        <f t="shared" si="10"/>
        <v>0</v>
      </c>
      <c r="O178" s="141">
        <f t="shared" si="10"/>
        <v>0</v>
      </c>
      <c r="P178" s="141">
        <f t="shared" si="10"/>
        <v>0</v>
      </c>
      <c r="Q178" s="141">
        <f t="shared" si="10"/>
        <v>0</v>
      </c>
      <c r="R178" s="141">
        <f t="shared" si="10"/>
        <v>0</v>
      </c>
      <c r="S178" s="141">
        <f t="shared" si="10"/>
        <v>0</v>
      </c>
      <c r="T178" s="141">
        <f t="shared" si="10"/>
        <v>0</v>
      </c>
      <c r="U178" s="141">
        <f t="shared" si="10"/>
        <v>0</v>
      </c>
      <c r="V178" s="141">
        <f t="shared" si="10"/>
        <v>0</v>
      </c>
      <c r="W178" s="141">
        <f t="shared" si="10"/>
        <v>0</v>
      </c>
      <c r="X178" s="141">
        <f t="shared" si="10"/>
        <v>0</v>
      </c>
      <c r="Y178" s="141">
        <f t="shared" si="10"/>
        <v>0</v>
      </c>
      <c r="Z178" s="141">
        <f t="shared" si="10"/>
        <v>0</v>
      </c>
      <c r="AA178" s="141">
        <f t="shared" si="10"/>
        <v>0</v>
      </c>
      <c r="AB178" s="141">
        <f t="shared" si="10"/>
        <v>0</v>
      </c>
      <c r="AC178" s="141">
        <f t="shared" si="10"/>
        <v>0</v>
      </c>
      <c r="AD178" s="141">
        <f t="shared" si="10"/>
        <v>0</v>
      </c>
      <c r="AE178" s="141">
        <f t="shared" si="10"/>
        <v>0</v>
      </c>
      <c r="AF178" s="141">
        <f t="shared" si="10"/>
        <v>0</v>
      </c>
      <c r="AG178" s="141">
        <f t="shared" si="10"/>
        <v>0</v>
      </c>
      <c r="AH178" s="141">
        <f t="shared" si="10"/>
        <v>0</v>
      </c>
      <c r="AI178" s="141">
        <f t="shared" si="3"/>
        <v>0</v>
      </c>
      <c r="AJ178" s="141">
        <f t="shared" si="4"/>
        <v>0</v>
      </c>
      <c r="AK178" s="141">
        <f t="shared" si="5"/>
        <v>0</v>
      </c>
      <c r="AL178" s="141">
        <f t="shared" si="6"/>
        <v>0</v>
      </c>
      <c r="AM178" s="215">
        <f t="shared" si="7"/>
        <v>0</v>
      </c>
      <c r="AN178" s="176"/>
    </row>
    <row r="179" ht="14.25" customHeight="1" outlineLevel="1">
      <c r="A179" s="833" t="s">
        <v>2761</v>
      </c>
      <c r="B179" s="195"/>
      <c r="C179" s="100"/>
      <c r="D179" s="100"/>
      <c r="E179" s="162"/>
      <c r="F179" s="162"/>
      <c r="G179" s="162"/>
      <c r="H179" s="141">
        <f t="shared" ref="H179:AH179" si="11">(COUNT(H17))/(COUNT(H17)+COUNTBLANK(H17))</f>
        <v>0</v>
      </c>
      <c r="I179" s="141">
        <f t="shared" si="11"/>
        <v>0</v>
      </c>
      <c r="J179" s="141">
        <f t="shared" si="11"/>
        <v>0</v>
      </c>
      <c r="K179" s="141">
        <f t="shared" si="11"/>
        <v>0</v>
      </c>
      <c r="L179" s="141">
        <f t="shared" si="11"/>
        <v>0</v>
      </c>
      <c r="M179" s="141">
        <f t="shared" si="11"/>
        <v>0</v>
      </c>
      <c r="N179" s="141">
        <f t="shared" si="11"/>
        <v>0</v>
      </c>
      <c r="O179" s="141">
        <f t="shared" si="11"/>
        <v>0</v>
      </c>
      <c r="P179" s="141">
        <f t="shared" si="11"/>
        <v>0</v>
      </c>
      <c r="Q179" s="141">
        <f t="shared" si="11"/>
        <v>0</v>
      </c>
      <c r="R179" s="141">
        <f t="shared" si="11"/>
        <v>0</v>
      </c>
      <c r="S179" s="141">
        <f t="shared" si="11"/>
        <v>0</v>
      </c>
      <c r="T179" s="141">
        <f t="shared" si="11"/>
        <v>0</v>
      </c>
      <c r="U179" s="141">
        <f t="shared" si="11"/>
        <v>0</v>
      </c>
      <c r="V179" s="141">
        <f t="shared" si="11"/>
        <v>0</v>
      </c>
      <c r="W179" s="141">
        <f t="shared" si="11"/>
        <v>0</v>
      </c>
      <c r="X179" s="141">
        <f t="shared" si="11"/>
        <v>0</v>
      </c>
      <c r="Y179" s="141">
        <f t="shared" si="11"/>
        <v>0</v>
      </c>
      <c r="Z179" s="141">
        <f t="shared" si="11"/>
        <v>0</v>
      </c>
      <c r="AA179" s="141">
        <f t="shared" si="11"/>
        <v>0</v>
      </c>
      <c r="AB179" s="141">
        <f t="shared" si="11"/>
        <v>0</v>
      </c>
      <c r="AC179" s="141">
        <f t="shared" si="11"/>
        <v>0</v>
      </c>
      <c r="AD179" s="141">
        <f t="shared" si="11"/>
        <v>0</v>
      </c>
      <c r="AE179" s="141">
        <f t="shared" si="11"/>
        <v>0</v>
      </c>
      <c r="AF179" s="141">
        <f t="shared" si="11"/>
        <v>0</v>
      </c>
      <c r="AG179" s="141">
        <f t="shared" si="11"/>
        <v>0</v>
      </c>
      <c r="AH179" s="141">
        <f t="shared" si="11"/>
        <v>0</v>
      </c>
      <c r="AI179" s="141">
        <f t="shared" si="3"/>
        <v>0</v>
      </c>
      <c r="AJ179" s="141">
        <f t="shared" si="4"/>
        <v>0</v>
      </c>
      <c r="AK179" s="141">
        <f t="shared" si="5"/>
        <v>0</v>
      </c>
      <c r="AL179" s="141">
        <f t="shared" si="6"/>
        <v>0</v>
      </c>
      <c r="AM179" s="215">
        <f t="shared" si="7"/>
        <v>0</v>
      </c>
      <c r="AN179" s="176"/>
    </row>
    <row r="180" ht="14.25" customHeight="1">
      <c r="A180" s="829" t="s">
        <v>37</v>
      </c>
      <c r="B180" s="838"/>
      <c r="C180" s="838"/>
      <c r="D180" s="838"/>
      <c r="E180" s="838"/>
      <c r="F180" s="838"/>
      <c r="G180" s="838"/>
      <c r="H180" s="141">
        <f t="shared" ref="H180:AH180" si="12">AVERAGE(H181,H184,H187)</f>
        <v>0</v>
      </c>
      <c r="I180" s="141">
        <f t="shared" si="12"/>
        <v>0</v>
      </c>
      <c r="J180" s="141">
        <f t="shared" si="12"/>
        <v>0</v>
      </c>
      <c r="K180" s="141">
        <f t="shared" si="12"/>
        <v>0</v>
      </c>
      <c r="L180" s="141">
        <f t="shared" si="12"/>
        <v>0</v>
      </c>
      <c r="M180" s="141">
        <f t="shared" si="12"/>
        <v>0</v>
      </c>
      <c r="N180" s="141">
        <f t="shared" si="12"/>
        <v>0</v>
      </c>
      <c r="O180" s="141">
        <f t="shared" si="12"/>
        <v>0</v>
      </c>
      <c r="P180" s="141">
        <f t="shared" si="12"/>
        <v>0</v>
      </c>
      <c r="Q180" s="141">
        <f t="shared" si="12"/>
        <v>0</v>
      </c>
      <c r="R180" s="141">
        <f t="shared" si="12"/>
        <v>0</v>
      </c>
      <c r="S180" s="141">
        <f t="shared" si="12"/>
        <v>0</v>
      </c>
      <c r="T180" s="141">
        <f t="shared" si="12"/>
        <v>0</v>
      </c>
      <c r="U180" s="141">
        <f t="shared" si="12"/>
        <v>0</v>
      </c>
      <c r="V180" s="141">
        <f t="shared" si="12"/>
        <v>0</v>
      </c>
      <c r="W180" s="141">
        <f t="shared" si="12"/>
        <v>0</v>
      </c>
      <c r="X180" s="141">
        <f t="shared" si="12"/>
        <v>0</v>
      </c>
      <c r="Y180" s="141">
        <f t="shared" si="12"/>
        <v>0</v>
      </c>
      <c r="Z180" s="141">
        <f t="shared" si="12"/>
        <v>0</v>
      </c>
      <c r="AA180" s="141">
        <f t="shared" si="12"/>
        <v>0</v>
      </c>
      <c r="AB180" s="141">
        <f t="shared" si="12"/>
        <v>0</v>
      </c>
      <c r="AC180" s="141">
        <f t="shared" si="12"/>
        <v>0</v>
      </c>
      <c r="AD180" s="141">
        <f t="shared" si="12"/>
        <v>0</v>
      </c>
      <c r="AE180" s="141">
        <f t="shared" si="12"/>
        <v>0</v>
      </c>
      <c r="AF180" s="141">
        <f t="shared" si="12"/>
        <v>0</v>
      </c>
      <c r="AG180" s="141">
        <f t="shared" si="12"/>
        <v>0</v>
      </c>
      <c r="AH180" s="141">
        <f t="shared" si="12"/>
        <v>0</v>
      </c>
      <c r="AI180" s="141">
        <f t="shared" si="3"/>
        <v>0</v>
      </c>
      <c r="AJ180" s="141">
        <f t="shared" si="4"/>
        <v>0</v>
      </c>
      <c r="AK180" s="141">
        <f t="shared" si="5"/>
        <v>0</v>
      </c>
      <c r="AL180" s="141">
        <f t="shared" si="6"/>
        <v>0</v>
      </c>
      <c r="AM180" s="215">
        <f t="shared" si="7"/>
        <v>0</v>
      </c>
      <c r="AN180" s="102"/>
    </row>
    <row r="181" ht="14.25" customHeight="1" outlineLevel="1">
      <c r="A181" s="833" t="s">
        <v>2764</v>
      </c>
      <c r="B181" s="162"/>
      <c r="C181" s="162"/>
      <c r="D181" s="195"/>
      <c r="E181" s="162"/>
      <c r="F181" s="162"/>
      <c r="G181" s="162"/>
      <c r="H181" s="141">
        <f t="shared" ref="H181:AH181" si="13">AVERAGE(H182:H183)</f>
        <v>0</v>
      </c>
      <c r="I181" s="141">
        <f t="shared" si="13"/>
        <v>0</v>
      </c>
      <c r="J181" s="141">
        <f t="shared" si="13"/>
        <v>0</v>
      </c>
      <c r="K181" s="141">
        <f t="shared" si="13"/>
        <v>0</v>
      </c>
      <c r="L181" s="141">
        <f t="shared" si="13"/>
        <v>0</v>
      </c>
      <c r="M181" s="141">
        <f t="shared" si="13"/>
        <v>0</v>
      </c>
      <c r="N181" s="141">
        <f t="shared" si="13"/>
        <v>0</v>
      </c>
      <c r="O181" s="141">
        <f t="shared" si="13"/>
        <v>0</v>
      </c>
      <c r="P181" s="141">
        <f t="shared" si="13"/>
        <v>0</v>
      </c>
      <c r="Q181" s="141">
        <f t="shared" si="13"/>
        <v>0</v>
      </c>
      <c r="R181" s="141">
        <f t="shared" si="13"/>
        <v>0</v>
      </c>
      <c r="S181" s="141">
        <f t="shared" si="13"/>
        <v>0</v>
      </c>
      <c r="T181" s="141">
        <f t="shared" si="13"/>
        <v>0</v>
      </c>
      <c r="U181" s="141">
        <f t="shared" si="13"/>
        <v>0</v>
      </c>
      <c r="V181" s="141">
        <f t="shared" si="13"/>
        <v>0</v>
      </c>
      <c r="W181" s="141">
        <f t="shared" si="13"/>
        <v>0</v>
      </c>
      <c r="X181" s="141">
        <f t="shared" si="13"/>
        <v>0</v>
      </c>
      <c r="Y181" s="141">
        <f t="shared" si="13"/>
        <v>0</v>
      </c>
      <c r="Z181" s="141">
        <f t="shared" si="13"/>
        <v>0</v>
      </c>
      <c r="AA181" s="141">
        <f t="shared" si="13"/>
        <v>0</v>
      </c>
      <c r="AB181" s="141">
        <f t="shared" si="13"/>
        <v>0</v>
      </c>
      <c r="AC181" s="141">
        <f t="shared" si="13"/>
        <v>0</v>
      </c>
      <c r="AD181" s="141">
        <f t="shared" si="13"/>
        <v>0</v>
      </c>
      <c r="AE181" s="141">
        <f t="shared" si="13"/>
        <v>0</v>
      </c>
      <c r="AF181" s="141">
        <f t="shared" si="13"/>
        <v>0</v>
      </c>
      <c r="AG181" s="141">
        <f t="shared" si="13"/>
        <v>0</v>
      </c>
      <c r="AH181" s="141">
        <f t="shared" si="13"/>
        <v>0</v>
      </c>
      <c r="AI181" s="141">
        <f t="shared" si="3"/>
        <v>0</v>
      </c>
      <c r="AJ181" s="141">
        <f t="shared" si="4"/>
        <v>0</v>
      </c>
      <c r="AK181" s="141">
        <f t="shared" si="5"/>
        <v>0</v>
      </c>
      <c r="AL181" s="141">
        <f t="shared" si="6"/>
        <v>0</v>
      </c>
      <c r="AM181" s="215">
        <f t="shared" si="7"/>
        <v>0</v>
      </c>
      <c r="AN181" s="176"/>
    </row>
    <row r="182" ht="14.25" customHeight="1" outlineLevel="2">
      <c r="A182" s="833"/>
      <c r="B182" s="841" t="s">
        <v>2765</v>
      </c>
      <c r="C182" s="100"/>
      <c r="D182" s="195"/>
      <c r="E182" s="162"/>
      <c r="F182" s="162"/>
      <c r="G182" s="162"/>
      <c r="H182" s="141">
        <f t="shared" ref="H182:AH182" si="14">(COUNT(H22:H23))/(COUNT(H22:H23)+COUNTBLANK(H22:H23))</f>
        <v>0</v>
      </c>
      <c r="I182" s="141">
        <f t="shared" si="14"/>
        <v>0</v>
      </c>
      <c r="J182" s="141">
        <f t="shared" si="14"/>
        <v>0</v>
      </c>
      <c r="K182" s="141">
        <f t="shared" si="14"/>
        <v>0</v>
      </c>
      <c r="L182" s="141">
        <f t="shared" si="14"/>
        <v>0</v>
      </c>
      <c r="M182" s="141">
        <f t="shared" si="14"/>
        <v>0</v>
      </c>
      <c r="N182" s="141">
        <f t="shared" si="14"/>
        <v>0</v>
      </c>
      <c r="O182" s="141">
        <f t="shared" si="14"/>
        <v>0</v>
      </c>
      <c r="P182" s="141">
        <f t="shared" si="14"/>
        <v>0</v>
      </c>
      <c r="Q182" s="141">
        <f t="shared" si="14"/>
        <v>0</v>
      </c>
      <c r="R182" s="141">
        <f t="shared" si="14"/>
        <v>0</v>
      </c>
      <c r="S182" s="141">
        <f t="shared" si="14"/>
        <v>0</v>
      </c>
      <c r="T182" s="141">
        <f t="shared" si="14"/>
        <v>0</v>
      </c>
      <c r="U182" s="141">
        <f t="shared" si="14"/>
        <v>0</v>
      </c>
      <c r="V182" s="141">
        <f t="shared" si="14"/>
        <v>0</v>
      </c>
      <c r="W182" s="141">
        <f t="shared" si="14"/>
        <v>0</v>
      </c>
      <c r="X182" s="141">
        <f t="shared" si="14"/>
        <v>0</v>
      </c>
      <c r="Y182" s="141">
        <f t="shared" si="14"/>
        <v>0</v>
      </c>
      <c r="Z182" s="141">
        <f t="shared" si="14"/>
        <v>0</v>
      </c>
      <c r="AA182" s="141">
        <f t="shared" si="14"/>
        <v>0</v>
      </c>
      <c r="AB182" s="141">
        <f t="shared" si="14"/>
        <v>0</v>
      </c>
      <c r="AC182" s="141">
        <f t="shared" si="14"/>
        <v>0</v>
      </c>
      <c r="AD182" s="141">
        <f t="shared" si="14"/>
        <v>0</v>
      </c>
      <c r="AE182" s="141">
        <f t="shared" si="14"/>
        <v>0</v>
      </c>
      <c r="AF182" s="141">
        <f t="shared" si="14"/>
        <v>0</v>
      </c>
      <c r="AG182" s="141">
        <f t="shared" si="14"/>
        <v>0</v>
      </c>
      <c r="AH182" s="141">
        <f t="shared" si="14"/>
        <v>0</v>
      </c>
      <c r="AI182" s="141">
        <f t="shared" si="3"/>
        <v>0</v>
      </c>
      <c r="AJ182" s="141">
        <f t="shared" si="4"/>
        <v>0</v>
      </c>
      <c r="AK182" s="141">
        <f t="shared" si="5"/>
        <v>0</v>
      </c>
      <c r="AL182" s="141">
        <f t="shared" si="6"/>
        <v>0</v>
      </c>
      <c r="AM182" s="215">
        <f t="shared" si="7"/>
        <v>0</v>
      </c>
      <c r="AN182" s="176"/>
    </row>
    <row r="183" ht="14.25" customHeight="1" outlineLevel="2">
      <c r="A183" s="833"/>
      <c r="B183" s="841" t="s">
        <v>2770</v>
      </c>
      <c r="C183" s="100"/>
      <c r="D183" s="195"/>
      <c r="E183" s="162"/>
      <c r="F183" s="162"/>
      <c r="G183" s="162"/>
      <c r="H183" s="141">
        <f t="shared" ref="H183:AH183" si="15">(COUNT(H25:H28))/(COUNT(H25:H28)+COUNTBLANK(H25:H28))</f>
        <v>0</v>
      </c>
      <c r="I183" s="141">
        <f t="shared" si="15"/>
        <v>0</v>
      </c>
      <c r="J183" s="141">
        <f t="shared" si="15"/>
        <v>0</v>
      </c>
      <c r="K183" s="141">
        <f t="shared" si="15"/>
        <v>0</v>
      </c>
      <c r="L183" s="141">
        <f t="shared" si="15"/>
        <v>0</v>
      </c>
      <c r="M183" s="141">
        <f t="shared" si="15"/>
        <v>0</v>
      </c>
      <c r="N183" s="141">
        <f t="shared" si="15"/>
        <v>0</v>
      </c>
      <c r="O183" s="141">
        <f t="shared" si="15"/>
        <v>0</v>
      </c>
      <c r="P183" s="141">
        <f t="shared" si="15"/>
        <v>0</v>
      </c>
      <c r="Q183" s="141">
        <f t="shared" si="15"/>
        <v>0</v>
      </c>
      <c r="R183" s="141">
        <f t="shared" si="15"/>
        <v>0</v>
      </c>
      <c r="S183" s="141">
        <f t="shared" si="15"/>
        <v>0</v>
      </c>
      <c r="T183" s="141">
        <f t="shared" si="15"/>
        <v>0</v>
      </c>
      <c r="U183" s="141">
        <f t="shared" si="15"/>
        <v>0</v>
      </c>
      <c r="V183" s="141">
        <f t="shared" si="15"/>
        <v>0</v>
      </c>
      <c r="W183" s="141">
        <f t="shared" si="15"/>
        <v>0</v>
      </c>
      <c r="X183" s="141">
        <f t="shared" si="15"/>
        <v>0</v>
      </c>
      <c r="Y183" s="141">
        <f t="shared" si="15"/>
        <v>0</v>
      </c>
      <c r="Z183" s="141">
        <f t="shared" si="15"/>
        <v>0</v>
      </c>
      <c r="AA183" s="141">
        <f t="shared" si="15"/>
        <v>0</v>
      </c>
      <c r="AB183" s="141">
        <f t="shared" si="15"/>
        <v>0</v>
      </c>
      <c r="AC183" s="141">
        <f t="shared" si="15"/>
        <v>0</v>
      </c>
      <c r="AD183" s="141">
        <f t="shared" si="15"/>
        <v>0</v>
      </c>
      <c r="AE183" s="141">
        <f t="shared" si="15"/>
        <v>0</v>
      </c>
      <c r="AF183" s="141">
        <f t="shared" si="15"/>
        <v>0</v>
      </c>
      <c r="AG183" s="141">
        <f t="shared" si="15"/>
        <v>0</v>
      </c>
      <c r="AH183" s="141">
        <f t="shared" si="15"/>
        <v>0</v>
      </c>
      <c r="AI183" s="141">
        <f t="shared" si="3"/>
        <v>0</v>
      </c>
      <c r="AJ183" s="141">
        <f t="shared" si="4"/>
        <v>0</v>
      </c>
      <c r="AK183" s="141">
        <f t="shared" si="5"/>
        <v>0</v>
      </c>
      <c r="AL183" s="141">
        <f t="shared" si="6"/>
        <v>0</v>
      </c>
      <c r="AM183" s="215">
        <f t="shared" si="7"/>
        <v>0</v>
      </c>
      <c r="AN183" s="176"/>
    </row>
    <row r="184" ht="14.25" customHeight="1" outlineLevel="1">
      <c r="A184" s="833" t="s">
        <v>2780</v>
      </c>
      <c r="B184" s="842"/>
      <c r="C184" s="100"/>
      <c r="D184" s="195"/>
      <c r="E184" s="162"/>
      <c r="F184" s="162"/>
      <c r="G184" s="162"/>
      <c r="H184" s="141">
        <f t="shared" ref="H184:AH184" si="16">AVERAGE(H185:H186)</f>
        <v>0</v>
      </c>
      <c r="I184" s="141">
        <f t="shared" si="16"/>
        <v>0</v>
      </c>
      <c r="J184" s="141">
        <f t="shared" si="16"/>
        <v>0</v>
      </c>
      <c r="K184" s="141">
        <f t="shared" si="16"/>
        <v>0</v>
      </c>
      <c r="L184" s="141">
        <f t="shared" si="16"/>
        <v>0</v>
      </c>
      <c r="M184" s="141">
        <f t="shared" si="16"/>
        <v>0</v>
      </c>
      <c r="N184" s="141">
        <f t="shared" si="16"/>
        <v>0</v>
      </c>
      <c r="O184" s="141">
        <f t="shared" si="16"/>
        <v>0</v>
      </c>
      <c r="P184" s="141">
        <f t="shared" si="16"/>
        <v>0</v>
      </c>
      <c r="Q184" s="141">
        <f t="shared" si="16"/>
        <v>0</v>
      </c>
      <c r="R184" s="141">
        <f t="shared" si="16"/>
        <v>0</v>
      </c>
      <c r="S184" s="141">
        <f t="shared" si="16"/>
        <v>0</v>
      </c>
      <c r="T184" s="141">
        <f t="shared" si="16"/>
        <v>0</v>
      </c>
      <c r="U184" s="141">
        <f t="shared" si="16"/>
        <v>0</v>
      </c>
      <c r="V184" s="141">
        <f t="shared" si="16"/>
        <v>0</v>
      </c>
      <c r="W184" s="141">
        <f t="shared" si="16"/>
        <v>0</v>
      </c>
      <c r="X184" s="141">
        <f t="shared" si="16"/>
        <v>0</v>
      </c>
      <c r="Y184" s="141">
        <f t="shared" si="16"/>
        <v>0</v>
      </c>
      <c r="Z184" s="141">
        <f t="shared" si="16"/>
        <v>0</v>
      </c>
      <c r="AA184" s="141">
        <f t="shared" si="16"/>
        <v>0</v>
      </c>
      <c r="AB184" s="141">
        <f t="shared" si="16"/>
        <v>0</v>
      </c>
      <c r="AC184" s="141">
        <f t="shared" si="16"/>
        <v>0</v>
      </c>
      <c r="AD184" s="141">
        <f t="shared" si="16"/>
        <v>0</v>
      </c>
      <c r="AE184" s="141">
        <f t="shared" si="16"/>
        <v>0</v>
      </c>
      <c r="AF184" s="141">
        <f t="shared" si="16"/>
        <v>0</v>
      </c>
      <c r="AG184" s="141">
        <f t="shared" si="16"/>
        <v>0</v>
      </c>
      <c r="AH184" s="141">
        <f t="shared" si="16"/>
        <v>0</v>
      </c>
      <c r="AI184" s="141">
        <f t="shared" si="3"/>
        <v>0</v>
      </c>
      <c r="AJ184" s="141">
        <f t="shared" si="4"/>
        <v>0</v>
      </c>
      <c r="AK184" s="141">
        <f t="shared" si="5"/>
        <v>0</v>
      </c>
      <c r="AL184" s="141">
        <f t="shared" si="6"/>
        <v>0</v>
      </c>
      <c r="AM184" s="215">
        <f t="shared" si="7"/>
        <v>0</v>
      </c>
      <c r="AN184" s="176"/>
    </row>
    <row r="185" ht="14.25" customHeight="1" outlineLevel="2">
      <c r="A185" s="833"/>
      <c r="B185" s="841" t="s">
        <v>2781</v>
      </c>
      <c r="C185" s="100"/>
      <c r="D185" s="195"/>
      <c r="E185" s="162"/>
      <c r="F185" s="162"/>
      <c r="G185" s="162"/>
      <c r="H185" s="141">
        <f t="shared" ref="H185:AH185" si="17">(COUNT(H31:H33))/(COUNT(H31:H33)+COUNTBLANK(H31:H33))</f>
        <v>0</v>
      </c>
      <c r="I185" s="141">
        <f t="shared" si="17"/>
        <v>0</v>
      </c>
      <c r="J185" s="141">
        <f t="shared" si="17"/>
        <v>0</v>
      </c>
      <c r="K185" s="141">
        <f t="shared" si="17"/>
        <v>0</v>
      </c>
      <c r="L185" s="141">
        <f t="shared" si="17"/>
        <v>0</v>
      </c>
      <c r="M185" s="141">
        <f t="shared" si="17"/>
        <v>0</v>
      </c>
      <c r="N185" s="141">
        <f t="shared" si="17"/>
        <v>0</v>
      </c>
      <c r="O185" s="141">
        <f t="shared" si="17"/>
        <v>0</v>
      </c>
      <c r="P185" s="141">
        <f t="shared" si="17"/>
        <v>0</v>
      </c>
      <c r="Q185" s="141">
        <f t="shared" si="17"/>
        <v>0</v>
      </c>
      <c r="R185" s="141">
        <f t="shared" si="17"/>
        <v>0</v>
      </c>
      <c r="S185" s="141">
        <f t="shared" si="17"/>
        <v>0</v>
      </c>
      <c r="T185" s="141">
        <f t="shared" si="17"/>
        <v>0</v>
      </c>
      <c r="U185" s="141">
        <f t="shared" si="17"/>
        <v>0</v>
      </c>
      <c r="V185" s="141">
        <f t="shared" si="17"/>
        <v>0</v>
      </c>
      <c r="W185" s="141">
        <f t="shared" si="17"/>
        <v>0</v>
      </c>
      <c r="X185" s="141">
        <f t="shared" si="17"/>
        <v>0</v>
      </c>
      <c r="Y185" s="141">
        <f t="shared" si="17"/>
        <v>0</v>
      </c>
      <c r="Z185" s="141">
        <f t="shared" si="17"/>
        <v>0</v>
      </c>
      <c r="AA185" s="141">
        <f t="shared" si="17"/>
        <v>0</v>
      </c>
      <c r="AB185" s="141">
        <f t="shared" si="17"/>
        <v>0</v>
      </c>
      <c r="AC185" s="141">
        <f t="shared" si="17"/>
        <v>0</v>
      </c>
      <c r="AD185" s="141">
        <f t="shared" si="17"/>
        <v>0</v>
      </c>
      <c r="AE185" s="141">
        <f t="shared" si="17"/>
        <v>0</v>
      </c>
      <c r="AF185" s="141">
        <f t="shared" si="17"/>
        <v>0</v>
      </c>
      <c r="AG185" s="141">
        <f t="shared" si="17"/>
        <v>0</v>
      </c>
      <c r="AH185" s="141">
        <f t="shared" si="17"/>
        <v>0</v>
      </c>
      <c r="AI185" s="141">
        <f t="shared" si="3"/>
        <v>0</v>
      </c>
      <c r="AJ185" s="141">
        <f t="shared" si="4"/>
        <v>0</v>
      </c>
      <c r="AK185" s="141">
        <f t="shared" si="5"/>
        <v>0</v>
      </c>
      <c r="AL185" s="141">
        <f t="shared" si="6"/>
        <v>0</v>
      </c>
      <c r="AM185" s="215">
        <f t="shared" si="7"/>
        <v>0</v>
      </c>
      <c r="AN185" s="176"/>
    </row>
    <row r="186" ht="14.25" customHeight="1" outlineLevel="2">
      <c r="A186" s="833"/>
      <c r="B186" s="841" t="s">
        <v>2789</v>
      </c>
      <c r="C186" s="100"/>
      <c r="D186" s="195"/>
      <c r="E186" s="162"/>
      <c r="F186" s="162"/>
      <c r="G186" s="162"/>
      <c r="H186" s="141">
        <f t="shared" ref="H186:AH186" si="18">(COUNT(H35:H43))/(COUNT(H35:H43)+COUNTBLANK(H35:H43))</f>
        <v>0</v>
      </c>
      <c r="I186" s="141">
        <f t="shared" si="18"/>
        <v>0</v>
      </c>
      <c r="J186" s="141">
        <f t="shared" si="18"/>
        <v>0</v>
      </c>
      <c r="K186" s="141">
        <f t="shared" si="18"/>
        <v>0</v>
      </c>
      <c r="L186" s="141">
        <f t="shared" si="18"/>
        <v>0</v>
      </c>
      <c r="M186" s="141">
        <f t="shared" si="18"/>
        <v>0</v>
      </c>
      <c r="N186" s="141">
        <f t="shared" si="18"/>
        <v>0</v>
      </c>
      <c r="O186" s="141">
        <f t="shared" si="18"/>
        <v>0</v>
      </c>
      <c r="P186" s="141">
        <f t="shared" si="18"/>
        <v>0</v>
      </c>
      <c r="Q186" s="141">
        <f t="shared" si="18"/>
        <v>0</v>
      </c>
      <c r="R186" s="141">
        <f t="shared" si="18"/>
        <v>0</v>
      </c>
      <c r="S186" s="141">
        <f t="shared" si="18"/>
        <v>0</v>
      </c>
      <c r="T186" s="141">
        <f t="shared" si="18"/>
        <v>0</v>
      </c>
      <c r="U186" s="141">
        <f t="shared" si="18"/>
        <v>0</v>
      </c>
      <c r="V186" s="141">
        <f t="shared" si="18"/>
        <v>0</v>
      </c>
      <c r="W186" s="141">
        <f t="shared" si="18"/>
        <v>0</v>
      </c>
      <c r="X186" s="141">
        <f t="shared" si="18"/>
        <v>0</v>
      </c>
      <c r="Y186" s="141">
        <f t="shared" si="18"/>
        <v>0</v>
      </c>
      <c r="Z186" s="141">
        <f t="shared" si="18"/>
        <v>0</v>
      </c>
      <c r="AA186" s="141">
        <f t="shared" si="18"/>
        <v>0</v>
      </c>
      <c r="AB186" s="141">
        <f t="shared" si="18"/>
        <v>0</v>
      </c>
      <c r="AC186" s="141">
        <f t="shared" si="18"/>
        <v>0</v>
      </c>
      <c r="AD186" s="141">
        <f t="shared" si="18"/>
        <v>0</v>
      </c>
      <c r="AE186" s="141">
        <f t="shared" si="18"/>
        <v>0</v>
      </c>
      <c r="AF186" s="141">
        <f t="shared" si="18"/>
        <v>0</v>
      </c>
      <c r="AG186" s="141">
        <f t="shared" si="18"/>
        <v>0</v>
      </c>
      <c r="AH186" s="141">
        <f t="shared" si="18"/>
        <v>0</v>
      </c>
      <c r="AI186" s="141">
        <f t="shared" si="3"/>
        <v>0</v>
      </c>
      <c r="AJ186" s="141">
        <f t="shared" si="4"/>
        <v>0</v>
      </c>
      <c r="AK186" s="141">
        <f t="shared" si="5"/>
        <v>0</v>
      </c>
      <c r="AL186" s="141">
        <f t="shared" si="6"/>
        <v>0</v>
      </c>
      <c r="AM186" s="215">
        <f t="shared" si="7"/>
        <v>0</v>
      </c>
      <c r="AN186" s="176"/>
    </row>
    <row r="187" ht="14.25" customHeight="1" outlineLevel="1">
      <c r="A187" s="833" t="s">
        <v>2808</v>
      </c>
      <c r="B187" s="841"/>
      <c r="C187" s="162"/>
      <c r="D187" s="195"/>
      <c r="E187" s="162"/>
      <c r="F187" s="162"/>
      <c r="G187" s="162"/>
      <c r="H187" s="141">
        <f t="shared" ref="H187:AH187" si="19">(COUNT(H45:H48))/(COUNT(H45:H48)+COUNTBLANK(H45:H48))</f>
        <v>0</v>
      </c>
      <c r="I187" s="141">
        <f t="shared" si="19"/>
        <v>0</v>
      </c>
      <c r="J187" s="141">
        <f t="shared" si="19"/>
        <v>0</v>
      </c>
      <c r="K187" s="141">
        <f t="shared" si="19"/>
        <v>0</v>
      </c>
      <c r="L187" s="141">
        <f t="shared" si="19"/>
        <v>0</v>
      </c>
      <c r="M187" s="141">
        <f t="shared" si="19"/>
        <v>0</v>
      </c>
      <c r="N187" s="141">
        <f t="shared" si="19"/>
        <v>0</v>
      </c>
      <c r="O187" s="141">
        <f t="shared" si="19"/>
        <v>0</v>
      </c>
      <c r="P187" s="141">
        <f t="shared" si="19"/>
        <v>0</v>
      </c>
      <c r="Q187" s="141">
        <f t="shared" si="19"/>
        <v>0</v>
      </c>
      <c r="R187" s="141">
        <f t="shared" si="19"/>
        <v>0</v>
      </c>
      <c r="S187" s="141">
        <f t="shared" si="19"/>
        <v>0</v>
      </c>
      <c r="T187" s="141">
        <f t="shared" si="19"/>
        <v>0</v>
      </c>
      <c r="U187" s="141">
        <f t="shared" si="19"/>
        <v>0</v>
      </c>
      <c r="V187" s="141">
        <f t="shared" si="19"/>
        <v>0</v>
      </c>
      <c r="W187" s="141">
        <f t="shared" si="19"/>
        <v>0</v>
      </c>
      <c r="X187" s="141">
        <f t="shared" si="19"/>
        <v>0</v>
      </c>
      <c r="Y187" s="141">
        <f t="shared" si="19"/>
        <v>0</v>
      </c>
      <c r="Z187" s="141">
        <f t="shared" si="19"/>
        <v>0</v>
      </c>
      <c r="AA187" s="141">
        <f t="shared" si="19"/>
        <v>0</v>
      </c>
      <c r="AB187" s="141">
        <f t="shared" si="19"/>
        <v>0</v>
      </c>
      <c r="AC187" s="141">
        <f t="shared" si="19"/>
        <v>0</v>
      </c>
      <c r="AD187" s="141">
        <f t="shared" si="19"/>
        <v>0</v>
      </c>
      <c r="AE187" s="141">
        <f t="shared" si="19"/>
        <v>0</v>
      </c>
      <c r="AF187" s="141">
        <f t="shared" si="19"/>
        <v>0</v>
      </c>
      <c r="AG187" s="141">
        <f t="shared" si="19"/>
        <v>0</v>
      </c>
      <c r="AH187" s="141">
        <f t="shared" si="19"/>
        <v>0</v>
      </c>
      <c r="AI187" s="141">
        <f t="shared" si="3"/>
        <v>0</v>
      </c>
      <c r="AJ187" s="141">
        <f t="shared" si="4"/>
        <v>0</v>
      </c>
      <c r="AK187" s="141">
        <f t="shared" si="5"/>
        <v>0</v>
      </c>
      <c r="AL187" s="141">
        <f t="shared" si="6"/>
        <v>0</v>
      </c>
      <c r="AM187" s="215">
        <f t="shared" si="7"/>
        <v>0</v>
      </c>
      <c r="AN187" s="176"/>
    </row>
    <row r="188" ht="14.25" customHeight="1">
      <c r="A188" s="829" t="s">
        <v>34</v>
      </c>
      <c r="B188" s="830"/>
      <c r="C188" s="830"/>
      <c r="D188" s="830"/>
      <c r="E188" s="830"/>
      <c r="F188" s="830"/>
      <c r="G188" s="830"/>
      <c r="H188" s="141">
        <f t="shared" ref="H188:AH188" si="20">AVERAGE(H189,H190,H200,H201)</f>
        <v>0.175</v>
      </c>
      <c r="I188" s="141">
        <f t="shared" si="20"/>
        <v>0.175</v>
      </c>
      <c r="J188" s="141">
        <f t="shared" si="20"/>
        <v>0.175</v>
      </c>
      <c r="K188" s="141">
        <f t="shared" si="20"/>
        <v>0.175</v>
      </c>
      <c r="L188" s="141">
        <f t="shared" si="20"/>
        <v>0.175</v>
      </c>
      <c r="M188" s="141">
        <f t="shared" si="20"/>
        <v>0.175</v>
      </c>
      <c r="N188" s="141">
        <f t="shared" si="20"/>
        <v>0.175</v>
      </c>
      <c r="O188" s="141">
        <f t="shared" si="20"/>
        <v>0.175</v>
      </c>
      <c r="P188" s="141">
        <f t="shared" si="20"/>
        <v>0.175</v>
      </c>
      <c r="Q188" s="141">
        <f t="shared" si="20"/>
        <v>0.175</v>
      </c>
      <c r="R188" s="141">
        <f t="shared" si="20"/>
        <v>0.175</v>
      </c>
      <c r="S188" s="141">
        <f t="shared" si="20"/>
        <v>0.175</v>
      </c>
      <c r="T188" s="141">
        <f t="shared" si="20"/>
        <v>0.175</v>
      </c>
      <c r="U188" s="141">
        <f t="shared" si="20"/>
        <v>0.175</v>
      </c>
      <c r="V188" s="141">
        <f t="shared" si="20"/>
        <v>0.175</v>
      </c>
      <c r="W188" s="141">
        <f t="shared" si="20"/>
        <v>0.175</v>
      </c>
      <c r="X188" s="141">
        <f t="shared" si="20"/>
        <v>0.175</v>
      </c>
      <c r="Y188" s="141">
        <f t="shared" si="20"/>
        <v>0.175</v>
      </c>
      <c r="Z188" s="141">
        <f t="shared" si="20"/>
        <v>0</v>
      </c>
      <c r="AA188" s="141">
        <f t="shared" si="20"/>
        <v>0</v>
      </c>
      <c r="AB188" s="141">
        <f t="shared" si="20"/>
        <v>0</v>
      </c>
      <c r="AC188" s="141">
        <f t="shared" si="20"/>
        <v>0</v>
      </c>
      <c r="AD188" s="141">
        <f t="shared" si="20"/>
        <v>0</v>
      </c>
      <c r="AE188" s="141">
        <f t="shared" si="20"/>
        <v>0</v>
      </c>
      <c r="AF188" s="141">
        <f t="shared" si="20"/>
        <v>0</v>
      </c>
      <c r="AG188" s="141">
        <f t="shared" si="20"/>
        <v>0</v>
      </c>
      <c r="AH188" s="141">
        <f t="shared" si="20"/>
        <v>0</v>
      </c>
      <c r="AI188" s="141">
        <f t="shared" si="3"/>
        <v>0.1575</v>
      </c>
      <c r="AJ188" s="141">
        <f t="shared" si="4"/>
        <v>0.175</v>
      </c>
      <c r="AK188" s="141">
        <f t="shared" si="5"/>
        <v>0</v>
      </c>
      <c r="AL188" s="141">
        <f t="shared" si="6"/>
        <v>0.021875</v>
      </c>
      <c r="AM188" s="215">
        <f t="shared" si="7"/>
        <v>0.1166666667</v>
      </c>
      <c r="AN188" s="102"/>
    </row>
    <row r="189" ht="14.25" customHeight="1" outlineLevel="1">
      <c r="A189" s="833" t="s">
        <v>2818</v>
      </c>
      <c r="B189" s="846"/>
      <c r="C189" s="846"/>
      <c r="D189" s="195"/>
      <c r="E189" s="162"/>
      <c r="F189" s="162"/>
      <c r="G189" s="162"/>
      <c r="H189" s="141">
        <f t="shared" ref="H189:AH189" si="21">(COUNT(H52:H54))/(COUNT(H52:H54)+COUNTBLANK(H52:H54))</f>
        <v>0</v>
      </c>
      <c r="I189" s="141">
        <f t="shared" si="21"/>
        <v>0</v>
      </c>
      <c r="J189" s="141">
        <f t="shared" si="21"/>
        <v>0</v>
      </c>
      <c r="K189" s="141">
        <f t="shared" si="21"/>
        <v>0</v>
      </c>
      <c r="L189" s="141">
        <f t="shared" si="21"/>
        <v>0</v>
      </c>
      <c r="M189" s="141">
        <f t="shared" si="21"/>
        <v>0</v>
      </c>
      <c r="N189" s="141">
        <f t="shared" si="21"/>
        <v>0</v>
      </c>
      <c r="O189" s="141">
        <f t="shared" si="21"/>
        <v>0</v>
      </c>
      <c r="P189" s="141">
        <f t="shared" si="21"/>
        <v>0</v>
      </c>
      <c r="Q189" s="141">
        <f t="shared" si="21"/>
        <v>0</v>
      </c>
      <c r="R189" s="141">
        <f t="shared" si="21"/>
        <v>0</v>
      </c>
      <c r="S189" s="141">
        <f t="shared" si="21"/>
        <v>0</v>
      </c>
      <c r="T189" s="141">
        <f t="shared" si="21"/>
        <v>0</v>
      </c>
      <c r="U189" s="141">
        <f t="shared" si="21"/>
        <v>0</v>
      </c>
      <c r="V189" s="141">
        <f t="shared" si="21"/>
        <v>0</v>
      </c>
      <c r="W189" s="141">
        <f t="shared" si="21"/>
        <v>0</v>
      </c>
      <c r="X189" s="141">
        <f t="shared" si="21"/>
        <v>0</v>
      </c>
      <c r="Y189" s="141">
        <f t="shared" si="21"/>
        <v>0</v>
      </c>
      <c r="Z189" s="141">
        <f t="shared" si="21"/>
        <v>0</v>
      </c>
      <c r="AA189" s="141">
        <f t="shared" si="21"/>
        <v>0</v>
      </c>
      <c r="AB189" s="141">
        <f t="shared" si="21"/>
        <v>0</v>
      </c>
      <c r="AC189" s="141">
        <f t="shared" si="21"/>
        <v>0</v>
      </c>
      <c r="AD189" s="141">
        <f t="shared" si="21"/>
        <v>0</v>
      </c>
      <c r="AE189" s="141">
        <f t="shared" si="21"/>
        <v>0</v>
      </c>
      <c r="AF189" s="141">
        <f t="shared" si="21"/>
        <v>0</v>
      </c>
      <c r="AG189" s="141">
        <f t="shared" si="21"/>
        <v>0</v>
      </c>
      <c r="AH189" s="141">
        <f t="shared" si="21"/>
        <v>0</v>
      </c>
      <c r="AI189" s="141">
        <f t="shared" si="3"/>
        <v>0</v>
      </c>
      <c r="AJ189" s="141">
        <f t="shared" si="4"/>
        <v>0</v>
      </c>
      <c r="AK189" s="141">
        <f t="shared" si="5"/>
        <v>0</v>
      </c>
      <c r="AL189" s="141">
        <f t="shared" si="6"/>
        <v>0</v>
      </c>
      <c r="AM189" s="215">
        <f t="shared" si="7"/>
        <v>0</v>
      </c>
      <c r="AN189" s="176"/>
    </row>
    <row r="190" ht="14.25" customHeight="1" outlineLevel="1">
      <c r="A190" s="833" t="s">
        <v>2825</v>
      </c>
      <c r="B190" s="841"/>
      <c r="C190" s="841"/>
      <c r="D190" s="847"/>
      <c r="E190" s="162"/>
      <c r="F190" s="162"/>
      <c r="G190" s="162"/>
      <c r="H190" s="141">
        <f t="shared" ref="H190:AH190" si="22">AVERAGE(H191,H195)</f>
        <v>0</v>
      </c>
      <c r="I190" s="141">
        <f t="shared" si="22"/>
        <v>0</v>
      </c>
      <c r="J190" s="141">
        <f t="shared" si="22"/>
        <v>0</v>
      </c>
      <c r="K190" s="141">
        <f t="shared" si="22"/>
        <v>0</v>
      </c>
      <c r="L190" s="141">
        <f t="shared" si="22"/>
        <v>0</v>
      </c>
      <c r="M190" s="141">
        <f t="shared" si="22"/>
        <v>0</v>
      </c>
      <c r="N190" s="141">
        <f t="shared" si="22"/>
        <v>0</v>
      </c>
      <c r="O190" s="141">
        <f t="shared" si="22"/>
        <v>0</v>
      </c>
      <c r="P190" s="141">
        <f t="shared" si="22"/>
        <v>0</v>
      </c>
      <c r="Q190" s="141">
        <f t="shared" si="22"/>
        <v>0</v>
      </c>
      <c r="R190" s="141">
        <f t="shared" si="22"/>
        <v>0</v>
      </c>
      <c r="S190" s="141">
        <f t="shared" si="22"/>
        <v>0</v>
      </c>
      <c r="T190" s="141">
        <f t="shared" si="22"/>
        <v>0</v>
      </c>
      <c r="U190" s="141">
        <f t="shared" si="22"/>
        <v>0</v>
      </c>
      <c r="V190" s="141">
        <f t="shared" si="22"/>
        <v>0</v>
      </c>
      <c r="W190" s="141">
        <f t="shared" si="22"/>
        <v>0</v>
      </c>
      <c r="X190" s="141">
        <f t="shared" si="22"/>
        <v>0</v>
      </c>
      <c r="Y190" s="141">
        <f t="shared" si="22"/>
        <v>0</v>
      </c>
      <c r="Z190" s="141">
        <f t="shared" si="22"/>
        <v>0</v>
      </c>
      <c r="AA190" s="141">
        <f t="shared" si="22"/>
        <v>0</v>
      </c>
      <c r="AB190" s="141">
        <f t="shared" si="22"/>
        <v>0</v>
      </c>
      <c r="AC190" s="141">
        <f t="shared" si="22"/>
        <v>0</v>
      </c>
      <c r="AD190" s="141">
        <f t="shared" si="22"/>
        <v>0</v>
      </c>
      <c r="AE190" s="141">
        <f t="shared" si="22"/>
        <v>0</v>
      </c>
      <c r="AF190" s="141">
        <f t="shared" si="22"/>
        <v>0</v>
      </c>
      <c r="AG190" s="141">
        <f t="shared" si="22"/>
        <v>0</v>
      </c>
      <c r="AH190" s="141">
        <f t="shared" si="22"/>
        <v>0</v>
      </c>
      <c r="AI190" s="141">
        <f t="shared" si="3"/>
        <v>0</v>
      </c>
      <c r="AJ190" s="141">
        <f t="shared" si="4"/>
        <v>0</v>
      </c>
      <c r="AK190" s="141">
        <f t="shared" si="5"/>
        <v>0</v>
      </c>
      <c r="AL190" s="141">
        <f t="shared" si="6"/>
        <v>0</v>
      </c>
      <c r="AM190" s="215">
        <f t="shared" si="7"/>
        <v>0</v>
      </c>
      <c r="AN190" s="176"/>
    </row>
    <row r="191" ht="14.25" customHeight="1" outlineLevel="2">
      <c r="A191" s="833"/>
      <c r="B191" s="841" t="s">
        <v>2826</v>
      </c>
      <c r="C191" s="842"/>
      <c r="D191" s="847"/>
      <c r="E191" s="162"/>
      <c r="F191" s="162"/>
      <c r="G191" s="162"/>
      <c r="H191" s="141">
        <f t="shared" ref="H191:AH191" si="23">AVERAGE(H192:H194)</f>
        <v>0</v>
      </c>
      <c r="I191" s="141">
        <f t="shared" si="23"/>
        <v>0</v>
      </c>
      <c r="J191" s="141">
        <f t="shared" si="23"/>
        <v>0</v>
      </c>
      <c r="K191" s="141">
        <f t="shared" si="23"/>
        <v>0</v>
      </c>
      <c r="L191" s="141">
        <f t="shared" si="23"/>
        <v>0</v>
      </c>
      <c r="M191" s="141">
        <f t="shared" si="23"/>
        <v>0</v>
      </c>
      <c r="N191" s="141">
        <f t="shared" si="23"/>
        <v>0</v>
      </c>
      <c r="O191" s="141">
        <f t="shared" si="23"/>
        <v>0</v>
      </c>
      <c r="P191" s="141">
        <f t="shared" si="23"/>
        <v>0</v>
      </c>
      <c r="Q191" s="141">
        <f t="shared" si="23"/>
        <v>0</v>
      </c>
      <c r="R191" s="141">
        <f t="shared" si="23"/>
        <v>0</v>
      </c>
      <c r="S191" s="141">
        <f t="shared" si="23"/>
        <v>0</v>
      </c>
      <c r="T191" s="141">
        <f t="shared" si="23"/>
        <v>0</v>
      </c>
      <c r="U191" s="141">
        <f t="shared" si="23"/>
        <v>0</v>
      </c>
      <c r="V191" s="141">
        <f t="shared" si="23"/>
        <v>0</v>
      </c>
      <c r="W191" s="141">
        <f t="shared" si="23"/>
        <v>0</v>
      </c>
      <c r="X191" s="141">
        <f t="shared" si="23"/>
        <v>0</v>
      </c>
      <c r="Y191" s="141">
        <f t="shared" si="23"/>
        <v>0</v>
      </c>
      <c r="Z191" s="141">
        <f t="shared" si="23"/>
        <v>0</v>
      </c>
      <c r="AA191" s="141">
        <f t="shared" si="23"/>
        <v>0</v>
      </c>
      <c r="AB191" s="141">
        <f t="shared" si="23"/>
        <v>0</v>
      </c>
      <c r="AC191" s="141">
        <f t="shared" si="23"/>
        <v>0</v>
      </c>
      <c r="AD191" s="141">
        <f t="shared" si="23"/>
        <v>0</v>
      </c>
      <c r="AE191" s="141">
        <f t="shared" si="23"/>
        <v>0</v>
      </c>
      <c r="AF191" s="141">
        <f t="shared" si="23"/>
        <v>0</v>
      </c>
      <c r="AG191" s="141">
        <f t="shared" si="23"/>
        <v>0</v>
      </c>
      <c r="AH191" s="141">
        <f t="shared" si="23"/>
        <v>0</v>
      </c>
      <c r="AI191" s="141">
        <f t="shared" si="3"/>
        <v>0</v>
      </c>
      <c r="AJ191" s="141">
        <f t="shared" si="4"/>
        <v>0</v>
      </c>
      <c r="AK191" s="141">
        <f t="shared" si="5"/>
        <v>0</v>
      </c>
      <c r="AL191" s="141">
        <f t="shared" si="6"/>
        <v>0</v>
      </c>
      <c r="AM191" s="215">
        <f t="shared" si="7"/>
        <v>0</v>
      </c>
      <c r="AN191" s="176"/>
    </row>
    <row r="192" ht="14.25" customHeight="1" outlineLevel="3">
      <c r="A192" s="833"/>
      <c r="B192" s="842"/>
      <c r="C192" s="841" t="s">
        <v>2827</v>
      </c>
      <c r="D192" s="847"/>
      <c r="E192" s="162"/>
      <c r="F192" s="162"/>
      <c r="G192" s="162"/>
      <c r="H192" s="141">
        <f t="shared" ref="H192:AH192" si="24">(COUNT(H58:H60))/(COUNT(H58:H60)+COUNTBLANK(H58:H60))</f>
        <v>0</v>
      </c>
      <c r="I192" s="141">
        <f t="shared" si="24"/>
        <v>0</v>
      </c>
      <c r="J192" s="141">
        <f t="shared" si="24"/>
        <v>0</v>
      </c>
      <c r="K192" s="141">
        <f t="shared" si="24"/>
        <v>0</v>
      </c>
      <c r="L192" s="141">
        <f t="shared" si="24"/>
        <v>0</v>
      </c>
      <c r="M192" s="141">
        <f t="shared" si="24"/>
        <v>0</v>
      </c>
      <c r="N192" s="141">
        <f t="shared" si="24"/>
        <v>0</v>
      </c>
      <c r="O192" s="141">
        <f t="shared" si="24"/>
        <v>0</v>
      </c>
      <c r="P192" s="141">
        <f t="shared" si="24"/>
        <v>0</v>
      </c>
      <c r="Q192" s="141">
        <f t="shared" si="24"/>
        <v>0</v>
      </c>
      <c r="R192" s="141">
        <f t="shared" si="24"/>
        <v>0</v>
      </c>
      <c r="S192" s="141">
        <f t="shared" si="24"/>
        <v>0</v>
      </c>
      <c r="T192" s="141">
        <f t="shared" si="24"/>
        <v>0</v>
      </c>
      <c r="U192" s="141">
        <f t="shared" si="24"/>
        <v>0</v>
      </c>
      <c r="V192" s="141">
        <f t="shared" si="24"/>
        <v>0</v>
      </c>
      <c r="W192" s="141">
        <f t="shared" si="24"/>
        <v>0</v>
      </c>
      <c r="X192" s="141">
        <f t="shared" si="24"/>
        <v>0</v>
      </c>
      <c r="Y192" s="141">
        <f t="shared" si="24"/>
        <v>0</v>
      </c>
      <c r="Z192" s="141">
        <f t="shared" si="24"/>
        <v>0</v>
      </c>
      <c r="AA192" s="141">
        <f t="shared" si="24"/>
        <v>0</v>
      </c>
      <c r="AB192" s="141">
        <f t="shared" si="24"/>
        <v>0</v>
      </c>
      <c r="AC192" s="141">
        <f t="shared" si="24"/>
        <v>0</v>
      </c>
      <c r="AD192" s="141">
        <f t="shared" si="24"/>
        <v>0</v>
      </c>
      <c r="AE192" s="141">
        <f t="shared" si="24"/>
        <v>0</v>
      </c>
      <c r="AF192" s="141">
        <f t="shared" si="24"/>
        <v>0</v>
      </c>
      <c r="AG192" s="141">
        <f t="shared" si="24"/>
        <v>0</v>
      </c>
      <c r="AH192" s="141">
        <f t="shared" si="24"/>
        <v>0</v>
      </c>
      <c r="AI192" s="141">
        <f t="shared" si="3"/>
        <v>0</v>
      </c>
      <c r="AJ192" s="141">
        <f t="shared" si="4"/>
        <v>0</v>
      </c>
      <c r="AK192" s="141">
        <f t="shared" si="5"/>
        <v>0</v>
      </c>
      <c r="AL192" s="141">
        <f t="shared" si="6"/>
        <v>0</v>
      </c>
      <c r="AM192" s="215">
        <f t="shared" si="7"/>
        <v>0</v>
      </c>
      <c r="AN192" s="176"/>
    </row>
    <row r="193" ht="14.25" customHeight="1" outlineLevel="3">
      <c r="A193" s="848"/>
      <c r="B193" s="841"/>
      <c r="C193" s="841" t="s">
        <v>2834</v>
      </c>
      <c r="D193" s="847"/>
      <c r="E193" s="162"/>
      <c r="F193" s="162"/>
      <c r="G193" s="162"/>
      <c r="H193" s="141">
        <f t="shared" ref="H193:AH193" si="25">(COUNT(H62:H70))/(COUNT(H62:H70)+COUNTBLANK(H62:H70))</f>
        <v>0</v>
      </c>
      <c r="I193" s="141">
        <f t="shared" si="25"/>
        <v>0</v>
      </c>
      <c r="J193" s="141">
        <f t="shared" si="25"/>
        <v>0</v>
      </c>
      <c r="K193" s="141">
        <f t="shared" si="25"/>
        <v>0</v>
      </c>
      <c r="L193" s="141">
        <f t="shared" si="25"/>
        <v>0</v>
      </c>
      <c r="M193" s="141">
        <f t="shared" si="25"/>
        <v>0</v>
      </c>
      <c r="N193" s="141">
        <f t="shared" si="25"/>
        <v>0</v>
      </c>
      <c r="O193" s="141">
        <f t="shared" si="25"/>
        <v>0</v>
      </c>
      <c r="P193" s="141">
        <f t="shared" si="25"/>
        <v>0</v>
      </c>
      <c r="Q193" s="141">
        <f t="shared" si="25"/>
        <v>0</v>
      </c>
      <c r="R193" s="141">
        <f t="shared" si="25"/>
        <v>0</v>
      </c>
      <c r="S193" s="141">
        <f t="shared" si="25"/>
        <v>0</v>
      </c>
      <c r="T193" s="141">
        <f t="shared" si="25"/>
        <v>0</v>
      </c>
      <c r="U193" s="141">
        <f t="shared" si="25"/>
        <v>0</v>
      </c>
      <c r="V193" s="141">
        <f t="shared" si="25"/>
        <v>0</v>
      </c>
      <c r="W193" s="141">
        <f t="shared" si="25"/>
        <v>0</v>
      </c>
      <c r="X193" s="141">
        <f t="shared" si="25"/>
        <v>0</v>
      </c>
      <c r="Y193" s="141">
        <f t="shared" si="25"/>
        <v>0</v>
      </c>
      <c r="Z193" s="141">
        <f t="shared" si="25"/>
        <v>0</v>
      </c>
      <c r="AA193" s="141">
        <f t="shared" si="25"/>
        <v>0</v>
      </c>
      <c r="AB193" s="141">
        <f t="shared" si="25"/>
        <v>0</v>
      </c>
      <c r="AC193" s="141">
        <f t="shared" si="25"/>
        <v>0</v>
      </c>
      <c r="AD193" s="141">
        <f t="shared" si="25"/>
        <v>0</v>
      </c>
      <c r="AE193" s="141">
        <f t="shared" si="25"/>
        <v>0</v>
      </c>
      <c r="AF193" s="141">
        <f t="shared" si="25"/>
        <v>0</v>
      </c>
      <c r="AG193" s="141">
        <f t="shared" si="25"/>
        <v>0</v>
      </c>
      <c r="AH193" s="141">
        <f t="shared" si="25"/>
        <v>0</v>
      </c>
      <c r="AI193" s="141">
        <f t="shared" si="3"/>
        <v>0</v>
      </c>
      <c r="AJ193" s="141">
        <f t="shared" si="4"/>
        <v>0</v>
      </c>
      <c r="AK193" s="141">
        <f t="shared" si="5"/>
        <v>0</v>
      </c>
      <c r="AL193" s="141">
        <f t="shared" si="6"/>
        <v>0</v>
      </c>
      <c r="AM193" s="215">
        <f t="shared" si="7"/>
        <v>0</v>
      </c>
      <c r="AN193" s="176"/>
    </row>
    <row r="194" ht="14.25" customHeight="1" outlineLevel="3">
      <c r="A194" s="848"/>
      <c r="B194" s="841"/>
      <c r="C194" s="841" t="s">
        <v>2853</v>
      </c>
      <c r="D194" s="847"/>
      <c r="E194" s="162"/>
      <c r="F194" s="162"/>
      <c r="G194" s="162"/>
      <c r="H194" s="141">
        <f t="shared" ref="H194:AH194" si="26">(COUNT(H72:H75))/(COUNT(H72:H75)+COUNTBLANK(H72:H75))</f>
        <v>0</v>
      </c>
      <c r="I194" s="141">
        <f t="shared" si="26"/>
        <v>0</v>
      </c>
      <c r="J194" s="141">
        <f t="shared" si="26"/>
        <v>0</v>
      </c>
      <c r="K194" s="141">
        <f t="shared" si="26"/>
        <v>0</v>
      </c>
      <c r="L194" s="141">
        <f t="shared" si="26"/>
        <v>0</v>
      </c>
      <c r="M194" s="141">
        <f t="shared" si="26"/>
        <v>0</v>
      </c>
      <c r="N194" s="141">
        <f t="shared" si="26"/>
        <v>0</v>
      </c>
      <c r="O194" s="141">
        <f t="shared" si="26"/>
        <v>0</v>
      </c>
      <c r="P194" s="141">
        <f t="shared" si="26"/>
        <v>0</v>
      </c>
      <c r="Q194" s="141">
        <f t="shared" si="26"/>
        <v>0</v>
      </c>
      <c r="R194" s="141">
        <f t="shared" si="26"/>
        <v>0</v>
      </c>
      <c r="S194" s="141">
        <f t="shared" si="26"/>
        <v>0</v>
      </c>
      <c r="T194" s="141">
        <f t="shared" si="26"/>
        <v>0</v>
      </c>
      <c r="U194" s="141">
        <f t="shared" si="26"/>
        <v>0</v>
      </c>
      <c r="V194" s="141">
        <f t="shared" si="26"/>
        <v>0</v>
      </c>
      <c r="W194" s="141">
        <f t="shared" si="26"/>
        <v>0</v>
      </c>
      <c r="X194" s="141">
        <f t="shared" si="26"/>
        <v>0</v>
      </c>
      <c r="Y194" s="141">
        <f t="shared" si="26"/>
        <v>0</v>
      </c>
      <c r="Z194" s="141">
        <f t="shared" si="26"/>
        <v>0</v>
      </c>
      <c r="AA194" s="141">
        <f t="shared" si="26"/>
        <v>0</v>
      </c>
      <c r="AB194" s="141">
        <f t="shared" si="26"/>
        <v>0</v>
      </c>
      <c r="AC194" s="141">
        <f t="shared" si="26"/>
        <v>0</v>
      </c>
      <c r="AD194" s="141">
        <f t="shared" si="26"/>
        <v>0</v>
      </c>
      <c r="AE194" s="141">
        <f t="shared" si="26"/>
        <v>0</v>
      </c>
      <c r="AF194" s="141">
        <f t="shared" si="26"/>
        <v>0</v>
      </c>
      <c r="AG194" s="141">
        <f t="shared" si="26"/>
        <v>0</v>
      </c>
      <c r="AH194" s="141">
        <f t="shared" si="26"/>
        <v>0</v>
      </c>
      <c r="AI194" s="141">
        <f t="shared" si="3"/>
        <v>0</v>
      </c>
      <c r="AJ194" s="141">
        <f t="shared" si="4"/>
        <v>0</v>
      </c>
      <c r="AK194" s="141">
        <f t="shared" si="5"/>
        <v>0</v>
      </c>
      <c r="AL194" s="141">
        <f t="shared" si="6"/>
        <v>0</v>
      </c>
      <c r="AM194" s="215">
        <f t="shared" si="7"/>
        <v>0</v>
      </c>
      <c r="AN194" s="176"/>
    </row>
    <row r="195" ht="14.25" customHeight="1" outlineLevel="2">
      <c r="A195" s="833"/>
      <c r="B195" s="841" t="s">
        <v>2862</v>
      </c>
      <c r="C195" s="842"/>
      <c r="D195" s="847"/>
      <c r="E195" s="162"/>
      <c r="F195" s="162"/>
      <c r="G195" s="162"/>
      <c r="H195" s="141">
        <f t="shared" ref="H195:AH195" si="27">AVERAGE(H196:H197)</f>
        <v>0</v>
      </c>
      <c r="I195" s="141">
        <f t="shared" si="27"/>
        <v>0</v>
      </c>
      <c r="J195" s="141">
        <f t="shared" si="27"/>
        <v>0</v>
      </c>
      <c r="K195" s="141">
        <f t="shared" si="27"/>
        <v>0</v>
      </c>
      <c r="L195" s="141">
        <f t="shared" si="27"/>
        <v>0</v>
      </c>
      <c r="M195" s="141">
        <f t="shared" si="27"/>
        <v>0</v>
      </c>
      <c r="N195" s="141">
        <f t="shared" si="27"/>
        <v>0</v>
      </c>
      <c r="O195" s="141">
        <f t="shared" si="27"/>
        <v>0</v>
      </c>
      <c r="P195" s="141">
        <f t="shared" si="27"/>
        <v>0</v>
      </c>
      <c r="Q195" s="141">
        <f t="shared" si="27"/>
        <v>0</v>
      </c>
      <c r="R195" s="141">
        <f t="shared" si="27"/>
        <v>0</v>
      </c>
      <c r="S195" s="141">
        <f t="shared" si="27"/>
        <v>0</v>
      </c>
      <c r="T195" s="141">
        <f t="shared" si="27"/>
        <v>0</v>
      </c>
      <c r="U195" s="141">
        <f t="shared" si="27"/>
        <v>0</v>
      </c>
      <c r="V195" s="141">
        <f t="shared" si="27"/>
        <v>0</v>
      </c>
      <c r="W195" s="141">
        <f t="shared" si="27"/>
        <v>0</v>
      </c>
      <c r="X195" s="141">
        <f t="shared" si="27"/>
        <v>0</v>
      </c>
      <c r="Y195" s="141">
        <f t="shared" si="27"/>
        <v>0</v>
      </c>
      <c r="Z195" s="141">
        <f t="shared" si="27"/>
        <v>0</v>
      </c>
      <c r="AA195" s="141">
        <f t="shared" si="27"/>
        <v>0</v>
      </c>
      <c r="AB195" s="141">
        <f t="shared" si="27"/>
        <v>0</v>
      </c>
      <c r="AC195" s="141">
        <f t="shared" si="27"/>
        <v>0</v>
      </c>
      <c r="AD195" s="141">
        <f t="shared" si="27"/>
        <v>0</v>
      </c>
      <c r="AE195" s="141">
        <f t="shared" si="27"/>
        <v>0</v>
      </c>
      <c r="AF195" s="141">
        <f t="shared" si="27"/>
        <v>0</v>
      </c>
      <c r="AG195" s="141">
        <f t="shared" si="27"/>
        <v>0</v>
      </c>
      <c r="AH195" s="141">
        <f t="shared" si="27"/>
        <v>0</v>
      </c>
      <c r="AI195" s="141">
        <f t="shared" si="3"/>
        <v>0</v>
      </c>
      <c r="AJ195" s="141">
        <f t="shared" si="4"/>
        <v>0</v>
      </c>
      <c r="AK195" s="141">
        <f t="shared" si="5"/>
        <v>0</v>
      </c>
      <c r="AL195" s="141">
        <f t="shared" si="6"/>
        <v>0</v>
      </c>
      <c r="AM195" s="215">
        <f t="shared" si="7"/>
        <v>0</v>
      </c>
      <c r="AN195" s="176"/>
    </row>
    <row r="196" ht="14.25" customHeight="1" outlineLevel="3">
      <c r="A196" s="833"/>
      <c r="B196" s="842"/>
      <c r="C196" s="841" t="s">
        <v>2863</v>
      </c>
      <c r="D196" s="847"/>
      <c r="E196" s="162"/>
      <c r="F196" s="162"/>
      <c r="G196" s="162"/>
      <c r="H196" s="141">
        <f t="shared" ref="H196:AH196" si="28">(COUNT(H78:H79))/(COUNT(H78:H79)+COUNTBLANK(H78:H79))</f>
        <v>0</v>
      </c>
      <c r="I196" s="141">
        <f t="shared" si="28"/>
        <v>0</v>
      </c>
      <c r="J196" s="141">
        <f t="shared" si="28"/>
        <v>0</v>
      </c>
      <c r="K196" s="141">
        <f t="shared" si="28"/>
        <v>0</v>
      </c>
      <c r="L196" s="141">
        <f t="shared" si="28"/>
        <v>0</v>
      </c>
      <c r="M196" s="141">
        <f t="shared" si="28"/>
        <v>0</v>
      </c>
      <c r="N196" s="141">
        <f t="shared" si="28"/>
        <v>0</v>
      </c>
      <c r="O196" s="141">
        <f t="shared" si="28"/>
        <v>0</v>
      </c>
      <c r="P196" s="141">
        <f t="shared" si="28"/>
        <v>0</v>
      </c>
      <c r="Q196" s="141">
        <f t="shared" si="28"/>
        <v>0</v>
      </c>
      <c r="R196" s="141">
        <f t="shared" si="28"/>
        <v>0</v>
      </c>
      <c r="S196" s="141">
        <f t="shared" si="28"/>
        <v>0</v>
      </c>
      <c r="T196" s="141">
        <f t="shared" si="28"/>
        <v>0</v>
      </c>
      <c r="U196" s="141">
        <f t="shared" si="28"/>
        <v>0</v>
      </c>
      <c r="V196" s="141">
        <f t="shared" si="28"/>
        <v>0</v>
      </c>
      <c r="W196" s="141">
        <f t="shared" si="28"/>
        <v>0</v>
      </c>
      <c r="X196" s="141">
        <f t="shared" si="28"/>
        <v>0</v>
      </c>
      <c r="Y196" s="141">
        <f t="shared" si="28"/>
        <v>0</v>
      </c>
      <c r="Z196" s="141">
        <f t="shared" si="28"/>
        <v>0</v>
      </c>
      <c r="AA196" s="141">
        <f t="shared" si="28"/>
        <v>0</v>
      </c>
      <c r="AB196" s="141">
        <f t="shared" si="28"/>
        <v>0</v>
      </c>
      <c r="AC196" s="141">
        <f t="shared" si="28"/>
        <v>0</v>
      </c>
      <c r="AD196" s="141">
        <f t="shared" si="28"/>
        <v>0</v>
      </c>
      <c r="AE196" s="141">
        <f t="shared" si="28"/>
        <v>0</v>
      </c>
      <c r="AF196" s="141">
        <f t="shared" si="28"/>
        <v>0</v>
      </c>
      <c r="AG196" s="141">
        <f t="shared" si="28"/>
        <v>0</v>
      </c>
      <c r="AH196" s="141">
        <f t="shared" si="28"/>
        <v>0</v>
      </c>
      <c r="AI196" s="141">
        <f t="shared" si="3"/>
        <v>0</v>
      </c>
      <c r="AJ196" s="141">
        <f t="shared" si="4"/>
        <v>0</v>
      </c>
      <c r="AK196" s="141">
        <f t="shared" si="5"/>
        <v>0</v>
      </c>
      <c r="AL196" s="141">
        <f t="shared" si="6"/>
        <v>0</v>
      </c>
      <c r="AM196" s="215">
        <f t="shared" si="7"/>
        <v>0</v>
      </c>
      <c r="AN196" s="176"/>
    </row>
    <row r="197" ht="14.25" customHeight="1" outlineLevel="3">
      <c r="A197" s="833"/>
      <c r="B197" s="842"/>
      <c r="C197" s="841" t="s">
        <v>2868</v>
      </c>
      <c r="D197" s="847"/>
      <c r="E197" s="162"/>
      <c r="F197" s="162"/>
      <c r="G197" s="162"/>
      <c r="H197" s="141">
        <f t="shared" ref="H197:AH197" si="29">AVERAGE(H198:H199)</f>
        <v>0</v>
      </c>
      <c r="I197" s="141">
        <f t="shared" si="29"/>
        <v>0</v>
      </c>
      <c r="J197" s="141">
        <f t="shared" si="29"/>
        <v>0</v>
      </c>
      <c r="K197" s="141">
        <f t="shared" si="29"/>
        <v>0</v>
      </c>
      <c r="L197" s="141">
        <f t="shared" si="29"/>
        <v>0</v>
      </c>
      <c r="M197" s="141">
        <f t="shared" si="29"/>
        <v>0</v>
      </c>
      <c r="N197" s="141">
        <f t="shared" si="29"/>
        <v>0</v>
      </c>
      <c r="O197" s="141">
        <f t="shared" si="29"/>
        <v>0</v>
      </c>
      <c r="P197" s="141">
        <f t="shared" si="29"/>
        <v>0</v>
      </c>
      <c r="Q197" s="141">
        <f t="shared" si="29"/>
        <v>0</v>
      </c>
      <c r="R197" s="141">
        <f t="shared" si="29"/>
        <v>0</v>
      </c>
      <c r="S197" s="141">
        <f t="shared" si="29"/>
        <v>0</v>
      </c>
      <c r="T197" s="141">
        <f t="shared" si="29"/>
        <v>0</v>
      </c>
      <c r="U197" s="141">
        <f t="shared" si="29"/>
        <v>0</v>
      </c>
      <c r="V197" s="141">
        <f t="shared" si="29"/>
        <v>0</v>
      </c>
      <c r="W197" s="141">
        <f t="shared" si="29"/>
        <v>0</v>
      </c>
      <c r="X197" s="141">
        <f t="shared" si="29"/>
        <v>0</v>
      </c>
      <c r="Y197" s="141">
        <f t="shared" si="29"/>
        <v>0</v>
      </c>
      <c r="Z197" s="141">
        <f t="shared" si="29"/>
        <v>0</v>
      </c>
      <c r="AA197" s="141">
        <f t="shared" si="29"/>
        <v>0</v>
      </c>
      <c r="AB197" s="141">
        <f t="shared" si="29"/>
        <v>0</v>
      </c>
      <c r="AC197" s="141">
        <f t="shared" si="29"/>
        <v>0</v>
      </c>
      <c r="AD197" s="141">
        <f t="shared" si="29"/>
        <v>0</v>
      </c>
      <c r="AE197" s="141">
        <f t="shared" si="29"/>
        <v>0</v>
      </c>
      <c r="AF197" s="141">
        <f t="shared" si="29"/>
        <v>0</v>
      </c>
      <c r="AG197" s="141">
        <f t="shared" si="29"/>
        <v>0</v>
      </c>
      <c r="AH197" s="141">
        <f t="shared" si="29"/>
        <v>0</v>
      </c>
      <c r="AI197" s="141">
        <f t="shared" si="3"/>
        <v>0</v>
      </c>
      <c r="AJ197" s="141">
        <f t="shared" si="4"/>
        <v>0</v>
      </c>
      <c r="AK197" s="141">
        <f t="shared" si="5"/>
        <v>0</v>
      </c>
      <c r="AL197" s="141">
        <f t="shared" si="6"/>
        <v>0</v>
      </c>
      <c r="AM197" s="215">
        <f t="shared" si="7"/>
        <v>0</v>
      </c>
      <c r="AN197" s="176"/>
    </row>
    <row r="198" ht="14.25" customHeight="1" outlineLevel="4">
      <c r="A198" s="833"/>
      <c r="B198" s="842"/>
      <c r="C198" s="841"/>
      <c r="D198" s="851" t="s">
        <v>2869</v>
      </c>
      <c r="E198" s="162"/>
      <c r="F198" s="162"/>
      <c r="G198" s="162"/>
      <c r="H198" s="141">
        <f t="shared" ref="H198:AH198" si="30">(COUNT(H82:H83))/(COUNT(H82:H83)+COUNTBLANK(H82:H83))</f>
        <v>0</v>
      </c>
      <c r="I198" s="141">
        <f t="shared" si="30"/>
        <v>0</v>
      </c>
      <c r="J198" s="141">
        <f t="shared" si="30"/>
        <v>0</v>
      </c>
      <c r="K198" s="141">
        <f t="shared" si="30"/>
        <v>0</v>
      </c>
      <c r="L198" s="141">
        <f t="shared" si="30"/>
        <v>0</v>
      </c>
      <c r="M198" s="141">
        <f t="shared" si="30"/>
        <v>0</v>
      </c>
      <c r="N198" s="141">
        <f t="shared" si="30"/>
        <v>0</v>
      </c>
      <c r="O198" s="141">
        <f t="shared" si="30"/>
        <v>0</v>
      </c>
      <c r="P198" s="141">
        <f t="shared" si="30"/>
        <v>0</v>
      </c>
      <c r="Q198" s="141">
        <f t="shared" si="30"/>
        <v>0</v>
      </c>
      <c r="R198" s="141">
        <f t="shared" si="30"/>
        <v>0</v>
      </c>
      <c r="S198" s="141">
        <f t="shared" si="30"/>
        <v>0</v>
      </c>
      <c r="T198" s="141">
        <f t="shared" si="30"/>
        <v>0</v>
      </c>
      <c r="U198" s="141">
        <f t="shared" si="30"/>
        <v>0</v>
      </c>
      <c r="V198" s="141">
        <f t="shared" si="30"/>
        <v>0</v>
      </c>
      <c r="W198" s="141">
        <f t="shared" si="30"/>
        <v>0</v>
      </c>
      <c r="X198" s="141">
        <f t="shared" si="30"/>
        <v>0</v>
      </c>
      <c r="Y198" s="141">
        <f t="shared" si="30"/>
        <v>0</v>
      </c>
      <c r="Z198" s="141">
        <f t="shared" si="30"/>
        <v>0</v>
      </c>
      <c r="AA198" s="141">
        <f t="shared" si="30"/>
        <v>0</v>
      </c>
      <c r="AB198" s="141">
        <f t="shared" si="30"/>
        <v>0</v>
      </c>
      <c r="AC198" s="141">
        <f t="shared" si="30"/>
        <v>0</v>
      </c>
      <c r="AD198" s="141">
        <f t="shared" si="30"/>
        <v>0</v>
      </c>
      <c r="AE198" s="141">
        <f t="shared" si="30"/>
        <v>0</v>
      </c>
      <c r="AF198" s="141">
        <f t="shared" si="30"/>
        <v>0</v>
      </c>
      <c r="AG198" s="141">
        <f t="shared" si="30"/>
        <v>0</v>
      </c>
      <c r="AH198" s="141">
        <f t="shared" si="30"/>
        <v>0</v>
      </c>
      <c r="AI198" s="141">
        <f t="shared" si="3"/>
        <v>0</v>
      </c>
      <c r="AJ198" s="141">
        <f t="shared" si="4"/>
        <v>0</v>
      </c>
      <c r="AK198" s="141">
        <f t="shared" si="5"/>
        <v>0</v>
      </c>
      <c r="AL198" s="141">
        <f t="shared" si="6"/>
        <v>0</v>
      </c>
      <c r="AM198" s="215">
        <f t="shared" si="7"/>
        <v>0</v>
      </c>
      <c r="AN198" s="176"/>
    </row>
    <row r="199" ht="14.25" customHeight="1" outlineLevel="4">
      <c r="A199" s="833"/>
      <c r="B199" s="842"/>
      <c r="C199" s="842"/>
      <c r="D199" s="851" t="s">
        <v>2875</v>
      </c>
      <c r="E199" s="162"/>
      <c r="F199" s="162"/>
      <c r="G199" s="162"/>
      <c r="H199" s="141">
        <f t="shared" ref="H199:AH199" si="31">(COUNT(H85:H87))/(COUNT(H85:H87)+COUNTBLANK(H85:H87))</f>
        <v>0</v>
      </c>
      <c r="I199" s="141">
        <f t="shared" si="31"/>
        <v>0</v>
      </c>
      <c r="J199" s="141">
        <f t="shared" si="31"/>
        <v>0</v>
      </c>
      <c r="K199" s="141">
        <f t="shared" si="31"/>
        <v>0</v>
      </c>
      <c r="L199" s="141">
        <f t="shared" si="31"/>
        <v>0</v>
      </c>
      <c r="M199" s="141">
        <f t="shared" si="31"/>
        <v>0</v>
      </c>
      <c r="N199" s="141">
        <f t="shared" si="31"/>
        <v>0</v>
      </c>
      <c r="O199" s="141">
        <f t="shared" si="31"/>
        <v>0</v>
      </c>
      <c r="P199" s="141">
        <f t="shared" si="31"/>
        <v>0</v>
      </c>
      <c r="Q199" s="141">
        <f t="shared" si="31"/>
        <v>0</v>
      </c>
      <c r="R199" s="141">
        <f t="shared" si="31"/>
        <v>0</v>
      </c>
      <c r="S199" s="141">
        <f t="shared" si="31"/>
        <v>0</v>
      </c>
      <c r="T199" s="141">
        <f t="shared" si="31"/>
        <v>0</v>
      </c>
      <c r="U199" s="141">
        <f t="shared" si="31"/>
        <v>0</v>
      </c>
      <c r="V199" s="141">
        <f t="shared" si="31"/>
        <v>0</v>
      </c>
      <c r="W199" s="141">
        <f t="shared" si="31"/>
        <v>0</v>
      </c>
      <c r="X199" s="141">
        <f t="shared" si="31"/>
        <v>0</v>
      </c>
      <c r="Y199" s="141">
        <f t="shared" si="31"/>
        <v>0</v>
      </c>
      <c r="Z199" s="141">
        <f t="shared" si="31"/>
        <v>0</v>
      </c>
      <c r="AA199" s="141">
        <f t="shared" si="31"/>
        <v>0</v>
      </c>
      <c r="AB199" s="141">
        <f t="shared" si="31"/>
        <v>0</v>
      </c>
      <c r="AC199" s="141">
        <f t="shared" si="31"/>
        <v>0</v>
      </c>
      <c r="AD199" s="141">
        <f t="shared" si="31"/>
        <v>0</v>
      </c>
      <c r="AE199" s="141">
        <f t="shared" si="31"/>
        <v>0</v>
      </c>
      <c r="AF199" s="141">
        <f t="shared" si="31"/>
        <v>0</v>
      </c>
      <c r="AG199" s="141">
        <f t="shared" si="31"/>
        <v>0</v>
      </c>
      <c r="AH199" s="141">
        <f t="shared" si="31"/>
        <v>0</v>
      </c>
      <c r="AI199" s="141">
        <f t="shared" si="3"/>
        <v>0</v>
      </c>
      <c r="AJ199" s="141">
        <f t="shared" si="4"/>
        <v>0</v>
      </c>
      <c r="AK199" s="141">
        <f t="shared" si="5"/>
        <v>0</v>
      </c>
      <c r="AL199" s="141">
        <f t="shared" si="6"/>
        <v>0</v>
      </c>
      <c r="AM199" s="215">
        <f t="shared" si="7"/>
        <v>0</v>
      </c>
      <c r="AN199" s="176"/>
    </row>
    <row r="200" ht="14.25" customHeight="1" outlineLevel="1">
      <c r="A200" s="833" t="s">
        <v>2882</v>
      </c>
      <c r="B200" s="162"/>
      <c r="C200" s="162"/>
      <c r="D200" s="195"/>
      <c r="E200" s="162"/>
      <c r="F200" s="162"/>
      <c r="G200" s="162"/>
      <c r="H200" s="141">
        <f t="shared" ref="H200:AH200" si="32">(COUNT(H89))/(COUNT(H89)+COUNTBLANK(H89))</f>
        <v>0</v>
      </c>
      <c r="I200" s="141">
        <f t="shared" si="32"/>
        <v>0</v>
      </c>
      <c r="J200" s="141">
        <f t="shared" si="32"/>
        <v>0</v>
      </c>
      <c r="K200" s="141">
        <f t="shared" si="32"/>
        <v>0</v>
      </c>
      <c r="L200" s="141">
        <f t="shared" si="32"/>
        <v>0</v>
      </c>
      <c r="M200" s="141">
        <f t="shared" si="32"/>
        <v>0</v>
      </c>
      <c r="N200" s="141">
        <f t="shared" si="32"/>
        <v>0</v>
      </c>
      <c r="O200" s="141">
        <f t="shared" si="32"/>
        <v>0</v>
      </c>
      <c r="P200" s="141">
        <f t="shared" si="32"/>
        <v>0</v>
      </c>
      <c r="Q200" s="141">
        <f t="shared" si="32"/>
        <v>0</v>
      </c>
      <c r="R200" s="141">
        <f t="shared" si="32"/>
        <v>0</v>
      </c>
      <c r="S200" s="141">
        <f t="shared" si="32"/>
        <v>0</v>
      </c>
      <c r="T200" s="141">
        <f t="shared" si="32"/>
        <v>0</v>
      </c>
      <c r="U200" s="141">
        <f t="shared" si="32"/>
        <v>0</v>
      </c>
      <c r="V200" s="141">
        <f t="shared" si="32"/>
        <v>0</v>
      </c>
      <c r="W200" s="141">
        <f t="shared" si="32"/>
        <v>0</v>
      </c>
      <c r="X200" s="141">
        <f t="shared" si="32"/>
        <v>0</v>
      </c>
      <c r="Y200" s="141">
        <f t="shared" si="32"/>
        <v>0</v>
      </c>
      <c r="Z200" s="141">
        <f t="shared" si="32"/>
        <v>0</v>
      </c>
      <c r="AA200" s="141">
        <f t="shared" si="32"/>
        <v>0</v>
      </c>
      <c r="AB200" s="141">
        <f t="shared" si="32"/>
        <v>0</v>
      </c>
      <c r="AC200" s="141">
        <f t="shared" si="32"/>
        <v>0</v>
      </c>
      <c r="AD200" s="141">
        <f t="shared" si="32"/>
        <v>0</v>
      </c>
      <c r="AE200" s="141">
        <f t="shared" si="32"/>
        <v>0</v>
      </c>
      <c r="AF200" s="141">
        <f t="shared" si="32"/>
        <v>0</v>
      </c>
      <c r="AG200" s="141">
        <f t="shared" si="32"/>
        <v>0</v>
      </c>
      <c r="AH200" s="141">
        <f t="shared" si="32"/>
        <v>0</v>
      </c>
      <c r="AI200" s="141">
        <f t="shared" si="3"/>
        <v>0</v>
      </c>
      <c r="AJ200" s="141">
        <f t="shared" si="4"/>
        <v>0</v>
      </c>
      <c r="AK200" s="141">
        <f t="shared" si="5"/>
        <v>0</v>
      </c>
      <c r="AL200" s="141">
        <f t="shared" si="6"/>
        <v>0</v>
      </c>
      <c r="AM200" s="215">
        <f t="shared" si="7"/>
        <v>0</v>
      </c>
      <c r="AN200" s="176"/>
    </row>
    <row r="201" ht="14.25" customHeight="1" outlineLevel="1">
      <c r="A201" s="833" t="s">
        <v>2885</v>
      </c>
      <c r="B201" s="100"/>
      <c r="C201" s="100"/>
      <c r="D201" s="195"/>
      <c r="E201" s="162"/>
      <c r="F201" s="162"/>
      <c r="G201" s="162"/>
      <c r="H201" s="141">
        <f t="shared" ref="H201:AH201" si="33">(COUNT(H91:H100))/(COUNT(H91:H100)+COUNTBLANK(H91:H100))</f>
        <v>0.7</v>
      </c>
      <c r="I201" s="141">
        <f t="shared" si="33"/>
        <v>0.7</v>
      </c>
      <c r="J201" s="141">
        <f t="shared" si="33"/>
        <v>0.7</v>
      </c>
      <c r="K201" s="141">
        <f t="shared" si="33"/>
        <v>0.7</v>
      </c>
      <c r="L201" s="141">
        <f t="shared" si="33"/>
        <v>0.7</v>
      </c>
      <c r="M201" s="141">
        <f t="shared" si="33"/>
        <v>0.7</v>
      </c>
      <c r="N201" s="141">
        <f t="shared" si="33"/>
        <v>0.7</v>
      </c>
      <c r="O201" s="141">
        <f t="shared" si="33"/>
        <v>0.7</v>
      </c>
      <c r="P201" s="141">
        <f t="shared" si="33"/>
        <v>0.7</v>
      </c>
      <c r="Q201" s="141">
        <f t="shared" si="33"/>
        <v>0.7</v>
      </c>
      <c r="R201" s="141">
        <f t="shared" si="33"/>
        <v>0.7</v>
      </c>
      <c r="S201" s="141">
        <f t="shared" si="33"/>
        <v>0.7</v>
      </c>
      <c r="T201" s="141">
        <f t="shared" si="33"/>
        <v>0.7</v>
      </c>
      <c r="U201" s="141">
        <f t="shared" si="33"/>
        <v>0.7</v>
      </c>
      <c r="V201" s="141">
        <f t="shared" si="33"/>
        <v>0.7</v>
      </c>
      <c r="W201" s="141">
        <f t="shared" si="33"/>
        <v>0.7</v>
      </c>
      <c r="X201" s="141">
        <f t="shared" si="33"/>
        <v>0.7</v>
      </c>
      <c r="Y201" s="141">
        <f t="shared" si="33"/>
        <v>0.7</v>
      </c>
      <c r="Z201" s="141">
        <f t="shared" si="33"/>
        <v>0</v>
      </c>
      <c r="AA201" s="141">
        <f t="shared" si="33"/>
        <v>0</v>
      </c>
      <c r="AB201" s="141">
        <f t="shared" si="33"/>
        <v>0</v>
      </c>
      <c r="AC201" s="141">
        <f t="shared" si="33"/>
        <v>0</v>
      </c>
      <c r="AD201" s="141">
        <f t="shared" si="33"/>
        <v>0</v>
      </c>
      <c r="AE201" s="141">
        <f t="shared" si="33"/>
        <v>0</v>
      </c>
      <c r="AF201" s="141">
        <f t="shared" si="33"/>
        <v>0</v>
      </c>
      <c r="AG201" s="141">
        <f t="shared" si="33"/>
        <v>0</v>
      </c>
      <c r="AH201" s="141">
        <f t="shared" si="33"/>
        <v>0</v>
      </c>
      <c r="AI201" s="141">
        <f t="shared" si="3"/>
        <v>0.63</v>
      </c>
      <c r="AJ201" s="141">
        <f t="shared" si="4"/>
        <v>0.7</v>
      </c>
      <c r="AK201" s="141">
        <f t="shared" si="5"/>
        <v>0</v>
      </c>
      <c r="AL201" s="141">
        <f t="shared" si="6"/>
        <v>0.0875</v>
      </c>
      <c r="AM201" s="215">
        <f t="shared" si="7"/>
        <v>0.4666666667</v>
      </c>
      <c r="AN201" s="176"/>
    </row>
    <row r="202" ht="14.25" customHeight="1">
      <c r="A202" s="829" t="s">
        <v>2998</v>
      </c>
      <c r="B202" s="830"/>
      <c r="C202" s="830"/>
      <c r="D202" s="830"/>
      <c r="E202" s="830"/>
      <c r="F202" s="830"/>
      <c r="G202" s="830"/>
      <c r="H202" s="141">
        <f t="shared" ref="H202:AH202" si="34">AVERAGE(H203,H210,H215)</f>
        <v>0</v>
      </c>
      <c r="I202" s="141">
        <f t="shared" si="34"/>
        <v>0</v>
      </c>
      <c r="J202" s="141">
        <f t="shared" si="34"/>
        <v>0</v>
      </c>
      <c r="K202" s="141">
        <f t="shared" si="34"/>
        <v>0</v>
      </c>
      <c r="L202" s="141">
        <f t="shared" si="34"/>
        <v>0</v>
      </c>
      <c r="M202" s="141">
        <f t="shared" si="34"/>
        <v>0</v>
      </c>
      <c r="N202" s="141">
        <f t="shared" si="34"/>
        <v>0</v>
      </c>
      <c r="O202" s="141">
        <f t="shared" si="34"/>
        <v>0</v>
      </c>
      <c r="P202" s="141">
        <f t="shared" si="34"/>
        <v>0</v>
      </c>
      <c r="Q202" s="141">
        <f t="shared" si="34"/>
        <v>0</v>
      </c>
      <c r="R202" s="141">
        <f t="shared" si="34"/>
        <v>0</v>
      </c>
      <c r="S202" s="141">
        <f t="shared" si="34"/>
        <v>0</v>
      </c>
      <c r="T202" s="141">
        <f t="shared" si="34"/>
        <v>0</v>
      </c>
      <c r="U202" s="141">
        <f t="shared" si="34"/>
        <v>0</v>
      </c>
      <c r="V202" s="141">
        <f t="shared" si="34"/>
        <v>0</v>
      </c>
      <c r="W202" s="141">
        <f t="shared" si="34"/>
        <v>0</v>
      </c>
      <c r="X202" s="141">
        <f t="shared" si="34"/>
        <v>0</v>
      </c>
      <c r="Y202" s="141">
        <f t="shared" si="34"/>
        <v>0</v>
      </c>
      <c r="Z202" s="141">
        <f t="shared" si="34"/>
        <v>0</v>
      </c>
      <c r="AA202" s="141">
        <f t="shared" si="34"/>
        <v>0</v>
      </c>
      <c r="AB202" s="141">
        <f t="shared" si="34"/>
        <v>0</v>
      </c>
      <c r="AC202" s="141">
        <f t="shared" si="34"/>
        <v>0</v>
      </c>
      <c r="AD202" s="141">
        <f t="shared" si="34"/>
        <v>0</v>
      </c>
      <c r="AE202" s="141">
        <f t="shared" si="34"/>
        <v>0</v>
      </c>
      <c r="AF202" s="141">
        <f t="shared" si="34"/>
        <v>0</v>
      </c>
      <c r="AG202" s="141">
        <f t="shared" si="34"/>
        <v>0</v>
      </c>
      <c r="AH202" s="141">
        <f t="shared" si="34"/>
        <v>0</v>
      </c>
      <c r="AI202" s="141">
        <f t="shared" si="3"/>
        <v>0</v>
      </c>
      <c r="AJ202" s="141">
        <f t="shared" si="4"/>
        <v>0</v>
      </c>
      <c r="AK202" s="141">
        <f t="shared" si="5"/>
        <v>0</v>
      </c>
      <c r="AL202" s="141">
        <f t="shared" si="6"/>
        <v>0</v>
      </c>
      <c r="AM202" s="215">
        <f t="shared" si="7"/>
        <v>0</v>
      </c>
      <c r="AN202" s="102"/>
    </row>
    <row r="203" ht="14.25" customHeight="1" outlineLevel="1">
      <c r="A203" s="833" t="s">
        <v>2908</v>
      </c>
      <c r="B203" s="100"/>
      <c r="C203" s="100"/>
      <c r="D203" s="195"/>
      <c r="E203" s="162"/>
      <c r="F203" s="162"/>
      <c r="G203" s="162"/>
      <c r="H203" s="141">
        <f t="shared" ref="H203:AH203" si="35">AVERAGE(H204:H209)</f>
        <v>0</v>
      </c>
      <c r="I203" s="141">
        <f t="shared" si="35"/>
        <v>0</v>
      </c>
      <c r="J203" s="141">
        <f t="shared" si="35"/>
        <v>0</v>
      </c>
      <c r="K203" s="141">
        <f t="shared" si="35"/>
        <v>0</v>
      </c>
      <c r="L203" s="141">
        <f t="shared" si="35"/>
        <v>0</v>
      </c>
      <c r="M203" s="141">
        <f t="shared" si="35"/>
        <v>0</v>
      </c>
      <c r="N203" s="141">
        <f t="shared" si="35"/>
        <v>0</v>
      </c>
      <c r="O203" s="141">
        <f t="shared" si="35"/>
        <v>0</v>
      </c>
      <c r="P203" s="141">
        <f t="shared" si="35"/>
        <v>0</v>
      </c>
      <c r="Q203" s="141">
        <f t="shared" si="35"/>
        <v>0</v>
      </c>
      <c r="R203" s="141">
        <f t="shared" si="35"/>
        <v>0</v>
      </c>
      <c r="S203" s="141">
        <f t="shared" si="35"/>
        <v>0</v>
      </c>
      <c r="T203" s="141">
        <f t="shared" si="35"/>
        <v>0</v>
      </c>
      <c r="U203" s="141">
        <f t="shared" si="35"/>
        <v>0</v>
      </c>
      <c r="V203" s="141">
        <f t="shared" si="35"/>
        <v>0</v>
      </c>
      <c r="W203" s="141">
        <f t="shared" si="35"/>
        <v>0</v>
      </c>
      <c r="X203" s="141">
        <f t="shared" si="35"/>
        <v>0</v>
      </c>
      <c r="Y203" s="141">
        <f t="shared" si="35"/>
        <v>0</v>
      </c>
      <c r="Z203" s="141">
        <f t="shared" si="35"/>
        <v>0</v>
      </c>
      <c r="AA203" s="141">
        <f t="shared" si="35"/>
        <v>0</v>
      </c>
      <c r="AB203" s="141">
        <f t="shared" si="35"/>
        <v>0</v>
      </c>
      <c r="AC203" s="141">
        <f t="shared" si="35"/>
        <v>0</v>
      </c>
      <c r="AD203" s="141">
        <f t="shared" si="35"/>
        <v>0</v>
      </c>
      <c r="AE203" s="141">
        <f t="shared" si="35"/>
        <v>0</v>
      </c>
      <c r="AF203" s="141">
        <f t="shared" si="35"/>
        <v>0</v>
      </c>
      <c r="AG203" s="141">
        <f t="shared" si="35"/>
        <v>0</v>
      </c>
      <c r="AH203" s="141">
        <f t="shared" si="35"/>
        <v>0</v>
      </c>
      <c r="AI203" s="141">
        <f t="shared" si="3"/>
        <v>0</v>
      </c>
      <c r="AJ203" s="141">
        <f t="shared" si="4"/>
        <v>0</v>
      </c>
      <c r="AK203" s="141">
        <f t="shared" si="5"/>
        <v>0</v>
      </c>
      <c r="AL203" s="141">
        <f t="shared" si="6"/>
        <v>0</v>
      </c>
      <c r="AM203" s="215">
        <f t="shared" si="7"/>
        <v>0</v>
      </c>
      <c r="AN203" s="176"/>
    </row>
    <row r="204" ht="14.25" customHeight="1" outlineLevel="2">
      <c r="A204" s="833"/>
      <c r="B204" s="841" t="s">
        <v>2909</v>
      </c>
      <c r="C204" s="842"/>
      <c r="D204" s="847"/>
      <c r="E204" s="162"/>
      <c r="F204" s="162"/>
      <c r="G204" s="162"/>
      <c r="H204" s="141">
        <f t="shared" ref="H204:AH204" si="36">(COUNT(H105:H108))/(COUNT(H105:H108)+COUNTBLANK(H105:H108))</f>
        <v>0</v>
      </c>
      <c r="I204" s="141">
        <f t="shared" si="36"/>
        <v>0</v>
      </c>
      <c r="J204" s="141">
        <f t="shared" si="36"/>
        <v>0</v>
      </c>
      <c r="K204" s="141">
        <f t="shared" si="36"/>
        <v>0</v>
      </c>
      <c r="L204" s="141">
        <f t="shared" si="36"/>
        <v>0</v>
      </c>
      <c r="M204" s="141">
        <f t="shared" si="36"/>
        <v>0</v>
      </c>
      <c r="N204" s="141">
        <f t="shared" si="36"/>
        <v>0</v>
      </c>
      <c r="O204" s="141">
        <f t="shared" si="36"/>
        <v>0</v>
      </c>
      <c r="P204" s="141">
        <f t="shared" si="36"/>
        <v>0</v>
      </c>
      <c r="Q204" s="141">
        <f t="shared" si="36"/>
        <v>0</v>
      </c>
      <c r="R204" s="141">
        <f t="shared" si="36"/>
        <v>0</v>
      </c>
      <c r="S204" s="141">
        <f t="shared" si="36"/>
        <v>0</v>
      </c>
      <c r="T204" s="141">
        <f t="shared" si="36"/>
        <v>0</v>
      </c>
      <c r="U204" s="141">
        <f t="shared" si="36"/>
        <v>0</v>
      </c>
      <c r="V204" s="141">
        <f t="shared" si="36"/>
        <v>0</v>
      </c>
      <c r="W204" s="141">
        <f t="shared" si="36"/>
        <v>0</v>
      </c>
      <c r="X204" s="141">
        <f t="shared" si="36"/>
        <v>0</v>
      </c>
      <c r="Y204" s="141">
        <f t="shared" si="36"/>
        <v>0</v>
      </c>
      <c r="Z204" s="141">
        <f t="shared" si="36"/>
        <v>0</v>
      </c>
      <c r="AA204" s="141">
        <f t="shared" si="36"/>
        <v>0</v>
      </c>
      <c r="AB204" s="141">
        <f t="shared" si="36"/>
        <v>0</v>
      </c>
      <c r="AC204" s="141">
        <f t="shared" si="36"/>
        <v>0</v>
      </c>
      <c r="AD204" s="141">
        <f t="shared" si="36"/>
        <v>0</v>
      </c>
      <c r="AE204" s="141">
        <f t="shared" si="36"/>
        <v>0</v>
      </c>
      <c r="AF204" s="141">
        <f t="shared" si="36"/>
        <v>0</v>
      </c>
      <c r="AG204" s="141">
        <f t="shared" si="36"/>
        <v>0</v>
      </c>
      <c r="AH204" s="141">
        <f t="shared" si="36"/>
        <v>0</v>
      </c>
      <c r="AI204" s="141">
        <f t="shared" si="3"/>
        <v>0</v>
      </c>
      <c r="AJ204" s="141">
        <f t="shared" si="4"/>
        <v>0</v>
      </c>
      <c r="AK204" s="141">
        <f t="shared" si="5"/>
        <v>0</v>
      </c>
      <c r="AL204" s="141">
        <f t="shared" si="6"/>
        <v>0</v>
      </c>
      <c r="AM204" s="215">
        <f t="shared" si="7"/>
        <v>0</v>
      </c>
      <c r="AN204" s="176"/>
    </row>
    <row r="205" ht="14.25" customHeight="1" outlineLevel="2">
      <c r="A205" s="833"/>
      <c r="B205" s="841" t="s">
        <v>2918</v>
      </c>
      <c r="C205" s="842"/>
      <c r="D205" s="847"/>
      <c r="E205" s="162"/>
      <c r="F205" s="162"/>
      <c r="G205" s="162"/>
      <c r="H205" s="141">
        <f t="shared" ref="H205:AH205" si="37">(COUNT(H110:H113))/(COUNT(H110:H113)+COUNTBLANK(H110:H113))</f>
        <v>0</v>
      </c>
      <c r="I205" s="141">
        <f t="shared" si="37"/>
        <v>0</v>
      </c>
      <c r="J205" s="141">
        <f t="shared" si="37"/>
        <v>0</v>
      </c>
      <c r="K205" s="141">
        <f t="shared" si="37"/>
        <v>0</v>
      </c>
      <c r="L205" s="141">
        <f t="shared" si="37"/>
        <v>0</v>
      </c>
      <c r="M205" s="141">
        <f t="shared" si="37"/>
        <v>0</v>
      </c>
      <c r="N205" s="141">
        <f t="shared" si="37"/>
        <v>0</v>
      </c>
      <c r="O205" s="141">
        <f t="shared" si="37"/>
        <v>0</v>
      </c>
      <c r="P205" s="141">
        <f t="shared" si="37"/>
        <v>0</v>
      </c>
      <c r="Q205" s="141">
        <f t="shared" si="37"/>
        <v>0</v>
      </c>
      <c r="R205" s="141">
        <f t="shared" si="37"/>
        <v>0</v>
      </c>
      <c r="S205" s="141">
        <f t="shared" si="37"/>
        <v>0</v>
      </c>
      <c r="T205" s="141">
        <f t="shared" si="37"/>
        <v>0</v>
      </c>
      <c r="U205" s="141">
        <f t="shared" si="37"/>
        <v>0</v>
      </c>
      <c r="V205" s="141">
        <f t="shared" si="37"/>
        <v>0</v>
      </c>
      <c r="W205" s="141">
        <f t="shared" si="37"/>
        <v>0</v>
      </c>
      <c r="X205" s="141">
        <f t="shared" si="37"/>
        <v>0</v>
      </c>
      <c r="Y205" s="141">
        <f t="shared" si="37"/>
        <v>0</v>
      </c>
      <c r="Z205" s="141">
        <f t="shared" si="37"/>
        <v>0</v>
      </c>
      <c r="AA205" s="141">
        <f t="shared" si="37"/>
        <v>0</v>
      </c>
      <c r="AB205" s="141">
        <f t="shared" si="37"/>
        <v>0</v>
      </c>
      <c r="AC205" s="141">
        <f t="shared" si="37"/>
        <v>0</v>
      </c>
      <c r="AD205" s="141">
        <f t="shared" si="37"/>
        <v>0</v>
      </c>
      <c r="AE205" s="141">
        <f t="shared" si="37"/>
        <v>0</v>
      </c>
      <c r="AF205" s="141">
        <f t="shared" si="37"/>
        <v>0</v>
      </c>
      <c r="AG205" s="141">
        <f t="shared" si="37"/>
        <v>0</v>
      </c>
      <c r="AH205" s="141">
        <f t="shared" si="37"/>
        <v>0</v>
      </c>
      <c r="AI205" s="141">
        <f t="shared" si="3"/>
        <v>0</v>
      </c>
      <c r="AJ205" s="141">
        <f t="shared" si="4"/>
        <v>0</v>
      </c>
      <c r="AK205" s="141">
        <f t="shared" si="5"/>
        <v>0</v>
      </c>
      <c r="AL205" s="141">
        <f t="shared" si="6"/>
        <v>0</v>
      </c>
      <c r="AM205" s="215">
        <f t="shared" si="7"/>
        <v>0</v>
      </c>
      <c r="AN205" s="176"/>
    </row>
    <row r="206" ht="14.25" customHeight="1" outlineLevel="2">
      <c r="A206" s="833"/>
      <c r="B206" s="841" t="s">
        <v>2925</v>
      </c>
      <c r="C206" s="842"/>
      <c r="D206" s="847"/>
      <c r="E206" s="162"/>
      <c r="F206" s="162"/>
      <c r="G206" s="162"/>
      <c r="H206" s="141">
        <f t="shared" ref="H206:AH206" si="38">(COUNT(H115:H118))/(COUNT(H115:H118)+COUNTBLANK(H115:H118))</f>
        <v>0</v>
      </c>
      <c r="I206" s="141">
        <f t="shared" si="38"/>
        <v>0</v>
      </c>
      <c r="J206" s="141">
        <f t="shared" si="38"/>
        <v>0</v>
      </c>
      <c r="K206" s="141">
        <f t="shared" si="38"/>
        <v>0</v>
      </c>
      <c r="L206" s="141">
        <f t="shared" si="38"/>
        <v>0</v>
      </c>
      <c r="M206" s="141">
        <f t="shared" si="38"/>
        <v>0</v>
      </c>
      <c r="N206" s="141">
        <f t="shared" si="38"/>
        <v>0</v>
      </c>
      <c r="O206" s="141">
        <f t="shared" si="38"/>
        <v>0</v>
      </c>
      <c r="P206" s="141">
        <f t="shared" si="38"/>
        <v>0</v>
      </c>
      <c r="Q206" s="141">
        <f t="shared" si="38"/>
        <v>0</v>
      </c>
      <c r="R206" s="141">
        <f t="shared" si="38"/>
        <v>0</v>
      </c>
      <c r="S206" s="141">
        <f t="shared" si="38"/>
        <v>0</v>
      </c>
      <c r="T206" s="141">
        <f t="shared" si="38"/>
        <v>0</v>
      </c>
      <c r="U206" s="141">
        <f t="shared" si="38"/>
        <v>0</v>
      </c>
      <c r="V206" s="141">
        <f t="shared" si="38"/>
        <v>0</v>
      </c>
      <c r="W206" s="141">
        <f t="shared" si="38"/>
        <v>0</v>
      </c>
      <c r="X206" s="141">
        <f t="shared" si="38"/>
        <v>0</v>
      </c>
      <c r="Y206" s="141">
        <f t="shared" si="38"/>
        <v>0</v>
      </c>
      <c r="Z206" s="141">
        <f t="shared" si="38"/>
        <v>0</v>
      </c>
      <c r="AA206" s="141">
        <f t="shared" si="38"/>
        <v>0</v>
      </c>
      <c r="AB206" s="141">
        <f t="shared" si="38"/>
        <v>0</v>
      </c>
      <c r="AC206" s="141">
        <f t="shared" si="38"/>
        <v>0</v>
      </c>
      <c r="AD206" s="141">
        <f t="shared" si="38"/>
        <v>0</v>
      </c>
      <c r="AE206" s="141">
        <f t="shared" si="38"/>
        <v>0</v>
      </c>
      <c r="AF206" s="141">
        <f t="shared" si="38"/>
        <v>0</v>
      </c>
      <c r="AG206" s="141">
        <f t="shared" si="38"/>
        <v>0</v>
      </c>
      <c r="AH206" s="141">
        <f t="shared" si="38"/>
        <v>0</v>
      </c>
      <c r="AI206" s="141">
        <f t="shared" si="3"/>
        <v>0</v>
      </c>
      <c r="AJ206" s="141">
        <f t="shared" si="4"/>
        <v>0</v>
      </c>
      <c r="AK206" s="141">
        <f t="shared" si="5"/>
        <v>0</v>
      </c>
      <c r="AL206" s="141">
        <f t="shared" si="6"/>
        <v>0</v>
      </c>
      <c r="AM206" s="215">
        <f t="shared" si="7"/>
        <v>0</v>
      </c>
      <c r="AN206" s="176"/>
    </row>
    <row r="207" ht="14.25" customHeight="1" outlineLevel="2">
      <c r="A207" s="833"/>
      <c r="B207" s="841" t="s">
        <v>2932</v>
      </c>
      <c r="C207" s="842"/>
      <c r="D207" s="847"/>
      <c r="E207" s="162"/>
      <c r="F207" s="162"/>
      <c r="G207" s="162"/>
      <c r="H207" s="141">
        <f t="shared" ref="H207:AH207" si="39">(COUNT(H120:H123))/(COUNT(H120:H123)+COUNTBLANK(H120:H123))</f>
        <v>0</v>
      </c>
      <c r="I207" s="141">
        <f t="shared" si="39"/>
        <v>0</v>
      </c>
      <c r="J207" s="141">
        <f t="shared" si="39"/>
        <v>0</v>
      </c>
      <c r="K207" s="141">
        <f t="shared" si="39"/>
        <v>0</v>
      </c>
      <c r="L207" s="141">
        <f t="shared" si="39"/>
        <v>0</v>
      </c>
      <c r="M207" s="141">
        <f t="shared" si="39"/>
        <v>0</v>
      </c>
      <c r="N207" s="141">
        <f t="shared" si="39"/>
        <v>0</v>
      </c>
      <c r="O207" s="141">
        <f t="shared" si="39"/>
        <v>0</v>
      </c>
      <c r="P207" s="141">
        <f t="shared" si="39"/>
        <v>0</v>
      </c>
      <c r="Q207" s="141">
        <f t="shared" si="39"/>
        <v>0</v>
      </c>
      <c r="R207" s="141">
        <f t="shared" si="39"/>
        <v>0</v>
      </c>
      <c r="S207" s="141">
        <f t="shared" si="39"/>
        <v>0</v>
      </c>
      <c r="T207" s="141">
        <f t="shared" si="39"/>
        <v>0</v>
      </c>
      <c r="U207" s="141">
        <f t="shared" si="39"/>
        <v>0</v>
      </c>
      <c r="V207" s="141">
        <f t="shared" si="39"/>
        <v>0</v>
      </c>
      <c r="W207" s="141">
        <f t="shared" si="39"/>
        <v>0</v>
      </c>
      <c r="X207" s="141">
        <f t="shared" si="39"/>
        <v>0</v>
      </c>
      <c r="Y207" s="141">
        <f t="shared" si="39"/>
        <v>0</v>
      </c>
      <c r="Z207" s="141">
        <f t="shared" si="39"/>
        <v>0</v>
      </c>
      <c r="AA207" s="141">
        <f t="shared" si="39"/>
        <v>0</v>
      </c>
      <c r="AB207" s="141">
        <f t="shared" si="39"/>
        <v>0</v>
      </c>
      <c r="AC207" s="141">
        <f t="shared" si="39"/>
        <v>0</v>
      </c>
      <c r="AD207" s="141">
        <f t="shared" si="39"/>
        <v>0</v>
      </c>
      <c r="AE207" s="141">
        <f t="shared" si="39"/>
        <v>0</v>
      </c>
      <c r="AF207" s="141">
        <f t="shared" si="39"/>
        <v>0</v>
      </c>
      <c r="AG207" s="141">
        <f t="shared" si="39"/>
        <v>0</v>
      </c>
      <c r="AH207" s="141">
        <f t="shared" si="39"/>
        <v>0</v>
      </c>
      <c r="AI207" s="141">
        <f t="shared" si="3"/>
        <v>0</v>
      </c>
      <c r="AJ207" s="141">
        <f t="shared" si="4"/>
        <v>0</v>
      </c>
      <c r="AK207" s="141">
        <f t="shared" si="5"/>
        <v>0</v>
      </c>
      <c r="AL207" s="141">
        <f t="shared" si="6"/>
        <v>0</v>
      </c>
      <c r="AM207" s="215">
        <f t="shared" si="7"/>
        <v>0</v>
      </c>
      <c r="AN207" s="176"/>
    </row>
    <row r="208" ht="14.25" customHeight="1" outlineLevel="2">
      <c r="A208" s="833"/>
      <c r="B208" s="841" t="s">
        <v>2939</v>
      </c>
      <c r="C208" s="842"/>
      <c r="D208" s="847"/>
      <c r="E208" s="162"/>
      <c r="F208" s="162"/>
      <c r="G208" s="162"/>
      <c r="H208" s="141">
        <f t="shared" ref="H208:AH208" si="40">(COUNT(H125:H128))/(COUNT(H125:H128)+COUNTBLANK(H125:H128))</f>
        <v>0</v>
      </c>
      <c r="I208" s="141">
        <f t="shared" si="40"/>
        <v>0</v>
      </c>
      <c r="J208" s="141">
        <f t="shared" si="40"/>
        <v>0</v>
      </c>
      <c r="K208" s="141">
        <f t="shared" si="40"/>
        <v>0</v>
      </c>
      <c r="L208" s="141">
        <f t="shared" si="40"/>
        <v>0</v>
      </c>
      <c r="M208" s="141">
        <f t="shared" si="40"/>
        <v>0</v>
      </c>
      <c r="N208" s="141">
        <f t="shared" si="40"/>
        <v>0</v>
      </c>
      <c r="O208" s="141">
        <f t="shared" si="40"/>
        <v>0</v>
      </c>
      <c r="P208" s="141">
        <f t="shared" si="40"/>
        <v>0</v>
      </c>
      <c r="Q208" s="141">
        <f t="shared" si="40"/>
        <v>0</v>
      </c>
      <c r="R208" s="141">
        <f t="shared" si="40"/>
        <v>0</v>
      </c>
      <c r="S208" s="141">
        <f t="shared" si="40"/>
        <v>0</v>
      </c>
      <c r="T208" s="141">
        <f t="shared" si="40"/>
        <v>0</v>
      </c>
      <c r="U208" s="141">
        <f t="shared" si="40"/>
        <v>0</v>
      </c>
      <c r="V208" s="141">
        <f t="shared" si="40"/>
        <v>0</v>
      </c>
      <c r="W208" s="141">
        <f t="shared" si="40"/>
        <v>0</v>
      </c>
      <c r="X208" s="141">
        <f t="shared" si="40"/>
        <v>0</v>
      </c>
      <c r="Y208" s="141">
        <f t="shared" si="40"/>
        <v>0</v>
      </c>
      <c r="Z208" s="141">
        <f t="shared" si="40"/>
        <v>0</v>
      </c>
      <c r="AA208" s="141">
        <f t="shared" si="40"/>
        <v>0</v>
      </c>
      <c r="AB208" s="141">
        <f t="shared" si="40"/>
        <v>0</v>
      </c>
      <c r="AC208" s="141">
        <f t="shared" si="40"/>
        <v>0</v>
      </c>
      <c r="AD208" s="141">
        <f t="shared" si="40"/>
        <v>0</v>
      </c>
      <c r="AE208" s="141">
        <f t="shared" si="40"/>
        <v>0</v>
      </c>
      <c r="AF208" s="141">
        <f t="shared" si="40"/>
        <v>0</v>
      </c>
      <c r="AG208" s="141">
        <f t="shared" si="40"/>
        <v>0</v>
      </c>
      <c r="AH208" s="141">
        <f t="shared" si="40"/>
        <v>0</v>
      </c>
      <c r="AI208" s="141">
        <f t="shared" si="3"/>
        <v>0</v>
      </c>
      <c r="AJ208" s="141">
        <f t="shared" si="4"/>
        <v>0</v>
      </c>
      <c r="AK208" s="141">
        <f t="shared" si="5"/>
        <v>0</v>
      </c>
      <c r="AL208" s="141">
        <f t="shared" si="6"/>
        <v>0</v>
      </c>
      <c r="AM208" s="215">
        <f t="shared" si="7"/>
        <v>0</v>
      </c>
      <c r="AN208" s="176"/>
    </row>
    <row r="209" ht="14.25" customHeight="1" outlineLevel="2">
      <c r="A209" s="833"/>
      <c r="B209" s="841" t="s">
        <v>2946</v>
      </c>
      <c r="C209" s="842"/>
      <c r="D209" s="847"/>
      <c r="E209" s="162"/>
      <c r="F209" s="162"/>
      <c r="G209" s="162"/>
      <c r="H209" s="141">
        <f t="shared" ref="H209:AH209" si="41">(COUNT(H130:H133))/(COUNT(H130:H133)+COUNTBLANK(H130:H133))</f>
        <v>0</v>
      </c>
      <c r="I209" s="141">
        <f t="shared" si="41"/>
        <v>0</v>
      </c>
      <c r="J209" s="141">
        <f t="shared" si="41"/>
        <v>0</v>
      </c>
      <c r="K209" s="141">
        <f t="shared" si="41"/>
        <v>0</v>
      </c>
      <c r="L209" s="141">
        <f t="shared" si="41"/>
        <v>0</v>
      </c>
      <c r="M209" s="141">
        <f t="shared" si="41"/>
        <v>0</v>
      </c>
      <c r="N209" s="141">
        <f t="shared" si="41"/>
        <v>0</v>
      </c>
      <c r="O209" s="141">
        <f t="shared" si="41"/>
        <v>0</v>
      </c>
      <c r="P209" s="141">
        <f t="shared" si="41"/>
        <v>0</v>
      </c>
      <c r="Q209" s="141">
        <f t="shared" si="41"/>
        <v>0</v>
      </c>
      <c r="R209" s="141">
        <f t="shared" si="41"/>
        <v>0</v>
      </c>
      <c r="S209" s="141">
        <f t="shared" si="41"/>
        <v>0</v>
      </c>
      <c r="T209" s="141">
        <f t="shared" si="41"/>
        <v>0</v>
      </c>
      <c r="U209" s="141">
        <f t="shared" si="41"/>
        <v>0</v>
      </c>
      <c r="V209" s="141">
        <f t="shared" si="41"/>
        <v>0</v>
      </c>
      <c r="W209" s="141">
        <f t="shared" si="41"/>
        <v>0</v>
      </c>
      <c r="X209" s="141">
        <f t="shared" si="41"/>
        <v>0</v>
      </c>
      <c r="Y209" s="141">
        <f t="shared" si="41"/>
        <v>0</v>
      </c>
      <c r="Z209" s="141">
        <f t="shared" si="41"/>
        <v>0</v>
      </c>
      <c r="AA209" s="141">
        <f t="shared" si="41"/>
        <v>0</v>
      </c>
      <c r="AB209" s="141">
        <f t="shared" si="41"/>
        <v>0</v>
      </c>
      <c r="AC209" s="141">
        <f t="shared" si="41"/>
        <v>0</v>
      </c>
      <c r="AD209" s="141">
        <f t="shared" si="41"/>
        <v>0</v>
      </c>
      <c r="AE209" s="141">
        <f t="shared" si="41"/>
        <v>0</v>
      </c>
      <c r="AF209" s="141">
        <f t="shared" si="41"/>
        <v>0</v>
      </c>
      <c r="AG209" s="141">
        <f t="shared" si="41"/>
        <v>0</v>
      </c>
      <c r="AH209" s="141">
        <f t="shared" si="41"/>
        <v>0</v>
      </c>
      <c r="AI209" s="141">
        <f t="shared" si="3"/>
        <v>0</v>
      </c>
      <c r="AJ209" s="141">
        <f t="shared" si="4"/>
        <v>0</v>
      </c>
      <c r="AK209" s="141">
        <f t="shared" si="5"/>
        <v>0</v>
      </c>
      <c r="AL209" s="141">
        <f t="shared" si="6"/>
        <v>0</v>
      </c>
      <c r="AM209" s="215">
        <f t="shared" si="7"/>
        <v>0</v>
      </c>
      <c r="AN209" s="176"/>
    </row>
    <row r="210" ht="14.25" customHeight="1" outlineLevel="1">
      <c r="A210" s="833" t="s">
        <v>2952</v>
      </c>
      <c r="B210" s="842"/>
      <c r="C210" s="842"/>
      <c r="D210" s="847"/>
      <c r="E210" s="162"/>
      <c r="F210" s="162"/>
      <c r="G210" s="162"/>
      <c r="H210" s="141">
        <f t="shared" ref="H210:AH210" si="42">AVERAGE(H211:H214)</f>
        <v>0</v>
      </c>
      <c r="I210" s="141">
        <f t="shared" si="42"/>
        <v>0</v>
      </c>
      <c r="J210" s="141">
        <f t="shared" si="42"/>
        <v>0</v>
      </c>
      <c r="K210" s="141">
        <f t="shared" si="42"/>
        <v>0</v>
      </c>
      <c r="L210" s="141">
        <f t="shared" si="42"/>
        <v>0</v>
      </c>
      <c r="M210" s="141">
        <f t="shared" si="42"/>
        <v>0</v>
      </c>
      <c r="N210" s="141">
        <f t="shared" si="42"/>
        <v>0</v>
      </c>
      <c r="O210" s="141">
        <f t="shared" si="42"/>
        <v>0</v>
      </c>
      <c r="P210" s="141">
        <f t="shared" si="42"/>
        <v>0</v>
      </c>
      <c r="Q210" s="141">
        <f t="shared" si="42"/>
        <v>0</v>
      </c>
      <c r="R210" s="141">
        <f t="shared" si="42"/>
        <v>0</v>
      </c>
      <c r="S210" s="141">
        <f t="shared" si="42"/>
        <v>0</v>
      </c>
      <c r="T210" s="141">
        <f t="shared" si="42"/>
        <v>0</v>
      </c>
      <c r="U210" s="141">
        <f t="shared" si="42"/>
        <v>0</v>
      </c>
      <c r="V210" s="141">
        <f t="shared" si="42"/>
        <v>0</v>
      </c>
      <c r="W210" s="141">
        <f t="shared" si="42"/>
        <v>0</v>
      </c>
      <c r="X210" s="141">
        <f t="shared" si="42"/>
        <v>0</v>
      </c>
      <c r="Y210" s="141">
        <f t="shared" si="42"/>
        <v>0</v>
      </c>
      <c r="Z210" s="141">
        <f t="shared" si="42"/>
        <v>0</v>
      </c>
      <c r="AA210" s="141">
        <f t="shared" si="42"/>
        <v>0</v>
      </c>
      <c r="AB210" s="141">
        <f t="shared" si="42"/>
        <v>0</v>
      </c>
      <c r="AC210" s="141">
        <f t="shared" si="42"/>
        <v>0</v>
      </c>
      <c r="AD210" s="141">
        <f t="shared" si="42"/>
        <v>0</v>
      </c>
      <c r="AE210" s="141">
        <f t="shared" si="42"/>
        <v>0</v>
      </c>
      <c r="AF210" s="141">
        <f t="shared" si="42"/>
        <v>0</v>
      </c>
      <c r="AG210" s="141">
        <f t="shared" si="42"/>
        <v>0</v>
      </c>
      <c r="AH210" s="141">
        <f t="shared" si="42"/>
        <v>0</v>
      </c>
      <c r="AI210" s="141">
        <f t="shared" si="3"/>
        <v>0</v>
      </c>
      <c r="AJ210" s="141">
        <f t="shared" si="4"/>
        <v>0</v>
      </c>
      <c r="AK210" s="141">
        <f t="shared" si="5"/>
        <v>0</v>
      </c>
      <c r="AL210" s="141">
        <f t="shared" si="6"/>
        <v>0</v>
      </c>
      <c r="AM210" s="215">
        <f t="shared" si="7"/>
        <v>0</v>
      </c>
      <c r="AN210" s="176"/>
    </row>
    <row r="211" ht="14.25" customHeight="1" outlineLevel="2">
      <c r="A211" s="833"/>
      <c r="B211" s="841" t="s">
        <v>2953</v>
      </c>
      <c r="C211" s="842"/>
      <c r="D211" s="847"/>
      <c r="E211" s="162"/>
      <c r="F211" s="162"/>
      <c r="G211" s="162"/>
      <c r="H211" s="141">
        <f t="shared" ref="H211:AH211" si="43">(COUNT(H136:H139))/(COUNT(H136:H139)+COUNTBLANK(H136:H139))</f>
        <v>0</v>
      </c>
      <c r="I211" s="141">
        <f t="shared" si="43"/>
        <v>0</v>
      </c>
      <c r="J211" s="141">
        <f t="shared" si="43"/>
        <v>0</v>
      </c>
      <c r="K211" s="141">
        <f t="shared" si="43"/>
        <v>0</v>
      </c>
      <c r="L211" s="141">
        <f t="shared" si="43"/>
        <v>0</v>
      </c>
      <c r="M211" s="141">
        <f t="shared" si="43"/>
        <v>0</v>
      </c>
      <c r="N211" s="141">
        <f t="shared" si="43"/>
        <v>0</v>
      </c>
      <c r="O211" s="141">
        <f t="shared" si="43"/>
        <v>0</v>
      </c>
      <c r="P211" s="141">
        <f t="shared" si="43"/>
        <v>0</v>
      </c>
      <c r="Q211" s="141">
        <f t="shared" si="43"/>
        <v>0</v>
      </c>
      <c r="R211" s="141">
        <f t="shared" si="43"/>
        <v>0</v>
      </c>
      <c r="S211" s="141">
        <f t="shared" si="43"/>
        <v>0</v>
      </c>
      <c r="T211" s="141">
        <f t="shared" si="43"/>
        <v>0</v>
      </c>
      <c r="U211" s="141">
        <f t="shared" si="43"/>
        <v>0</v>
      </c>
      <c r="V211" s="141">
        <f t="shared" si="43"/>
        <v>0</v>
      </c>
      <c r="W211" s="141">
        <f t="shared" si="43"/>
        <v>0</v>
      </c>
      <c r="X211" s="141">
        <f t="shared" si="43"/>
        <v>0</v>
      </c>
      <c r="Y211" s="141">
        <f t="shared" si="43"/>
        <v>0</v>
      </c>
      <c r="Z211" s="141">
        <f t="shared" si="43"/>
        <v>0</v>
      </c>
      <c r="AA211" s="141">
        <f t="shared" si="43"/>
        <v>0</v>
      </c>
      <c r="AB211" s="141">
        <f t="shared" si="43"/>
        <v>0</v>
      </c>
      <c r="AC211" s="141">
        <f t="shared" si="43"/>
        <v>0</v>
      </c>
      <c r="AD211" s="141">
        <f t="shared" si="43"/>
        <v>0</v>
      </c>
      <c r="AE211" s="141">
        <f t="shared" si="43"/>
        <v>0</v>
      </c>
      <c r="AF211" s="141">
        <f t="shared" si="43"/>
        <v>0</v>
      </c>
      <c r="AG211" s="141">
        <f t="shared" si="43"/>
        <v>0</v>
      </c>
      <c r="AH211" s="141">
        <f t="shared" si="43"/>
        <v>0</v>
      </c>
      <c r="AI211" s="141">
        <f t="shared" si="3"/>
        <v>0</v>
      </c>
      <c r="AJ211" s="141">
        <f t="shared" si="4"/>
        <v>0</v>
      </c>
      <c r="AK211" s="141">
        <f t="shared" si="5"/>
        <v>0</v>
      </c>
      <c r="AL211" s="141">
        <f t="shared" si="6"/>
        <v>0</v>
      </c>
      <c r="AM211" s="215">
        <f t="shared" si="7"/>
        <v>0</v>
      </c>
      <c r="AN211" s="176"/>
    </row>
    <row r="212" ht="14.25" customHeight="1" outlineLevel="2">
      <c r="A212" s="833"/>
      <c r="B212" s="841" t="s">
        <v>2960</v>
      </c>
      <c r="C212" s="842"/>
      <c r="D212" s="847"/>
      <c r="E212" s="162"/>
      <c r="F212" s="162"/>
      <c r="G212" s="162"/>
      <c r="H212" s="141">
        <f t="shared" ref="H212:AH212" si="44">(COUNT(H141:H144))/(COUNT(H141:H144)+COUNTBLANK(H141:H144))</f>
        <v>0</v>
      </c>
      <c r="I212" s="141">
        <f t="shared" si="44"/>
        <v>0</v>
      </c>
      <c r="J212" s="141">
        <f t="shared" si="44"/>
        <v>0</v>
      </c>
      <c r="K212" s="141">
        <f t="shared" si="44"/>
        <v>0</v>
      </c>
      <c r="L212" s="141">
        <f t="shared" si="44"/>
        <v>0</v>
      </c>
      <c r="M212" s="141">
        <f t="shared" si="44"/>
        <v>0</v>
      </c>
      <c r="N212" s="141">
        <f t="shared" si="44"/>
        <v>0</v>
      </c>
      <c r="O212" s="141">
        <f t="shared" si="44"/>
        <v>0</v>
      </c>
      <c r="P212" s="141">
        <f t="shared" si="44"/>
        <v>0</v>
      </c>
      <c r="Q212" s="141">
        <f t="shared" si="44"/>
        <v>0</v>
      </c>
      <c r="R212" s="141">
        <f t="shared" si="44"/>
        <v>0</v>
      </c>
      <c r="S212" s="141">
        <f t="shared" si="44"/>
        <v>0</v>
      </c>
      <c r="T212" s="141">
        <f t="shared" si="44"/>
        <v>0</v>
      </c>
      <c r="U212" s="141">
        <f t="shared" si="44"/>
        <v>0</v>
      </c>
      <c r="V212" s="141">
        <f t="shared" si="44"/>
        <v>0</v>
      </c>
      <c r="W212" s="141">
        <f t="shared" si="44"/>
        <v>0</v>
      </c>
      <c r="X212" s="141">
        <f t="shared" si="44"/>
        <v>0</v>
      </c>
      <c r="Y212" s="141">
        <f t="shared" si="44"/>
        <v>0</v>
      </c>
      <c r="Z212" s="141">
        <f t="shared" si="44"/>
        <v>0</v>
      </c>
      <c r="AA212" s="141">
        <f t="shared" si="44"/>
        <v>0</v>
      </c>
      <c r="AB212" s="141">
        <f t="shared" si="44"/>
        <v>0</v>
      </c>
      <c r="AC212" s="141">
        <f t="shared" si="44"/>
        <v>0</v>
      </c>
      <c r="AD212" s="141">
        <f t="shared" si="44"/>
        <v>0</v>
      </c>
      <c r="AE212" s="141">
        <f t="shared" si="44"/>
        <v>0</v>
      </c>
      <c r="AF212" s="141">
        <f t="shared" si="44"/>
        <v>0</v>
      </c>
      <c r="AG212" s="141">
        <f t="shared" si="44"/>
        <v>0</v>
      </c>
      <c r="AH212" s="141">
        <f t="shared" si="44"/>
        <v>0</v>
      </c>
      <c r="AI212" s="141">
        <f t="shared" si="3"/>
        <v>0</v>
      </c>
      <c r="AJ212" s="141">
        <f t="shared" si="4"/>
        <v>0</v>
      </c>
      <c r="AK212" s="141">
        <f t="shared" si="5"/>
        <v>0</v>
      </c>
      <c r="AL212" s="141">
        <f t="shared" si="6"/>
        <v>0</v>
      </c>
      <c r="AM212" s="215">
        <f t="shared" si="7"/>
        <v>0</v>
      </c>
      <c r="AN212" s="176"/>
    </row>
    <row r="213" ht="14.25" customHeight="1" outlineLevel="2">
      <c r="A213" s="833"/>
      <c r="B213" s="841" t="s">
        <v>2967</v>
      </c>
      <c r="C213" s="842"/>
      <c r="D213" s="847"/>
      <c r="E213" s="162"/>
      <c r="F213" s="162"/>
      <c r="G213" s="162"/>
      <c r="H213" s="141">
        <f t="shared" ref="H213:AH213" si="45">(COUNT(H146:H149))/(COUNT(H146:H149)+COUNTBLANK(H146:H149))</f>
        <v>0</v>
      </c>
      <c r="I213" s="141">
        <f t="shared" si="45"/>
        <v>0</v>
      </c>
      <c r="J213" s="141">
        <f t="shared" si="45"/>
        <v>0</v>
      </c>
      <c r="K213" s="141">
        <f t="shared" si="45"/>
        <v>0</v>
      </c>
      <c r="L213" s="141">
        <f t="shared" si="45"/>
        <v>0</v>
      </c>
      <c r="M213" s="141">
        <f t="shared" si="45"/>
        <v>0</v>
      </c>
      <c r="N213" s="141">
        <f t="shared" si="45"/>
        <v>0</v>
      </c>
      <c r="O213" s="141">
        <f t="shared" si="45"/>
        <v>0</v>
      </c>
      <c r="P213" s="141">
        <f t="shared" si="45"/>
        <v>0</v>
      </c>
      <c r="Q213" s="141">
        <f t="shared" si="45"/>
        <v>0</v>
      </c>
      <c r="R213" s="141">
        <f t="shared" si="45"/>
        <v>0</v>
      </c>
      <c r="S213" s="141">
        <f t="shared" si="45"/>
        <v>0</v>
      </c>
      <c r="T213" s="141">
        <f t="shared" si="45"/>
        <v>0</v>
      </c>
      <c r="U213" s="141">
        <f t="shared" si="45"/>
        <v>0</v>
      </c>
      <c r="V213" s="141">
        <f t="shared" si="45"/>
        <v>0</v>
      </c>
      <c r="W213" s="141">
        <f t="shared" si="45"/>
        <v>0</v>
      </c>
      <c r="X213" s="141">
        <f t="shared" si="45"/>
        <v>0</v>
      </c>
      <c r="Y213" s="141">
        <f t="shared" si="45"/>
        <v>0</v>
      </c>
      <c r="Z213" s="141">
        <f t="shared" si="45"/>
        <v>0</v>
      </c>
      <c r="AA213" s="141">
        <f t="shared" si="45"/>
        <v>0</v>
      </c>
      <c r="AB213" s="141">
        <f t="shared" si="45"/>
        <v>0</v>
      </c>
      <c r="AC213" s="141">
        <f t="shared" si="45"/>
        <v>0</v>
      </c>
      <c r="AD213" s="141">
        <f t="shared" si="45"/>
        <v>0</v>
      </c>
      <c r="AE213" s="141">
        <f t="shared" si="45"/>
        <v>0</v>
      </c>
      <c r="AF213" s="141">
        <f t="shared" si="45"/>
        <v>0</v>
      </c>
      <c r="AG213" s="141">
        <f t="shared" si="45"/>
        <v>0</v>
      </c>
      <c r="AH213" s="141">
        <f t="shared" si="45"/>
        <v>0</v>
      </c>
      <c r="AI213" s="141">
        <f t="shared" si="3"/>
        <v>0</v>
      </c>
      <c r="AJ213" s="141">
        <f t="shared" si="4"/>
        <v>0</v>
      </c>
      <c r="AK213" s="141">
        <f t="shared" si="5"/>
        <v>0</v>
      </c>
      <c r="AL213" s="141">
        <f t="shared" si="6"/>
        <v>0</v>
      </c>
      <c r="AM213" s="215">
        <f t="shared" si="7"/>
        <v>0</v>
      </c>
      <c r="AN213" s="176"/>
    </row>
    <row r="214" ht="14.25" customHeight="1" outlineLevel="2">
      <c r="A214" s="833"/>
      <c r="B214" s="841" t="s">
        <v>2974</v>
      </c>
      <c r="C214" s="842"/>
      <c r="D214" s="847"/>
      <c r="E214" s="162"/>
      <c r="F214" s="162"/>
      <c r="G214" s="162"/>
      <c r="H214" s="141">
        <f t="shared" ref="H214:AH214" si="46">(COUNT(H151:H154))/(COUNT(H151:H154)+COUNTBLANK(H151:H154))</f>
        <v>0</v>
      </c>
      <c r="I214" s="141">
        <f t="shared" si="46"/>
        <v>0</v>
      </c>
      <c r="J214" s="141">
        <f t="shared" si="46"/>
        <v>0</v>
      </c>
      <c r="K214" s="141">
        <f t="shared" si="46"/>
        <v>0</v>
      </c>
      <c r="L214" s="141">
        <f t="shared" si="46"/>
        <v>0</v>
      </c>
      <c r="M214" s="141">
        <f t="shared" si="46"/>
        <v>0</v>
      </c>
      <c r="N214" s="141">
        <f t="shared" si="46"/>
        <v>0</v>
      </c>
      <c r="O214" s="141">
        <f t="shared" si="46"/>
        <v>0</v>
      </c>
      <c r="P214" s="141">
        <f t="shared" si="46"/>
        <v>0</v>
      </c>
      <c r="Q214" s="141">
        <f t="shared" si="46"/>
        <v>0</v>
      </c>
      <c r="R214" s="141">
        <f t="shared" si="46"/>
        <v>0</v>
      </c>
      <c r="S214" s="141">
        <f t="shared" si="46"/>
        <v>0</v>
      </c>
      <c r="T214" s="141">
        <f t="shared" si="46"/>
        <v>0</v>
      </c>
      <c r="U214" s="141">
        <f t="shared" si="46"/>
        <v>0</v>
      </c>
      <c r="V214" s="141">
        <f t="shared" si="46"/>
        <v>0</v>
      </c>
      <c r="W214" s="141">
        <f t="shared" si="46"/>
        <v>0</v>
      </c>
      <c r="X214" s="141">
        <f t="shared" si="46"/>
        <v>0</v>
      </c>
      <c r="Y214" s="141">
        <f t="shared" si="46"/>
        <v>0</v>
      </c>
      <c r="Z214" s="141">
        <f t="shared" si="46"/>
        <v>0</v>
      </c>
      <c r="AA214" s="141">
        <f t="shared" si="46"/>
        <v>0</v>
      </c>
      <c r="AB214" s="141">
        <f t="shared" si="46"/>
        <v>0</v>
      </c>
      <c r="AC214" s="141">
        <f t="shared" si="46"/>
        <v>0</v>
      </c>
      <c r="AD214" s="141">
        <f t="shared" si="46"/>
        <v>0</v>
      </c>
      <c r="AE214" s="141">
        <f t="shared" si="46"/>
        <v>0</v>
      </c>
      <c r="AF214" s="141">
        <f t="shared" si="46"/>
        <v>0</v>
      </c>
      <c r="AG214" s="141">
        <f t="shared" si="46"/>
        <v>0</v>
      </c>
      <c r="AH214" s="141">
        <f t="shared" si="46"/>
        <v>0</v>
      </c>
      <c r="AI214" s="141">
        <f t="shared" si="3"/>
        <v>0</v>
      </c>
      <c r="AJ214" s="141">
        <f t="shared" si="4"/>
        <v>0</v>
      </c>
      <c r="AK214" s="141">
        <f t="shared" si="5"/>
        <v>0</v>
      </c>
      <c r="AL214" s="141">
        <f t="shared" si="6"/>
        <v>0</v>
      </c>
      <c r="AM214" s="215">
        <f t="shared" si="7"/>
        <v>0</v>
      </c>
      <c r="AN214" s="176"/>
    </row>
    <row r="215" ht="14.25" customHeight="1" outlineLevel="1">
      <c r="A215" s="833" t="s">
        <v>2981</v>
      </c>
      <c r="B215" s="842"/>
      <c r="C215" s="842"/>
      <c r="D215" s="847"/>
      <c r="E215" s="162"/>
      <c r="F215" s="162"/>
      <c r="G215" s="162"/>
      <c r="H215" s="141">
        <f t="shared" ref="H215:AH215" si="47">AVERAGE(H216:H217)</f>
        <v>0</v>
      </c>
      <c r="I215" s="141">
        <f t="shared" si="47"/>
        <v>0</v>
      </c>
      <c r="J215" s="141">
        <f t="shared" si="47"/>
        <v>0</v>
      </c>
      <c r="K215" s="141">
        <f t="shared" si="47"/>
        <v>0</v>
      </c>
      <c r="L215" s="141">
        <f t="shared" si="47"/>
        <v>0</v>
      </c>
      <c r="M215" s="141">
        <f t="shared" si="47"/>
        <v>0</v>
      </c>
      <c r="N215" s="141">
        <f t="shared" si="47"/>
        <v>0</v>
      </c>
      <c r="O215" s="141">
        <f t="shared" si="47"/>
        <v>0</v>
      </c>
      <c r="P215" s="141">
        <f t="shared" si="47"/>
        <v>0</v>
      </c>
      <c r="Q215" s="141">
        <f t="shared" si="47"/>
        <v>0</v>
      </c>
      <c r="R215" s="141">
        <f t="shared" si="47"/>
        <v>0</v>
      </c>
      <c r="S215" s="141">
        <f t="shared" si="47"/>
        <v>0</v>
      </c>
      <c r="T215" s="141">
        <f t="shared" si="47"/>
        <v>0</v>
      </c>
      <c r="U215" s="141">
        <f t="shared" si="47"/>
        <v>0</v>
      </c>
      <c r="V215" s="141">
        <f t="shared" si="47"/>
        <v>0</v>
      </c>
      <c r="W215" s="141">
        <f t="shared" si="47"/>
        <v>0</v>
      </c>
      <c r="X215" s="141">
        <f t="shared" si="47"/>
        <v>0</v>
      </c>
      <c r="Y215" s="141">
        <f t="shared" si="47"/>
        <v>0</v>
      </c>
      <c r="Z215" s="141">
        <f t="shared" si="47"/>
        <v>0</v>
      </c>
      <c r="AA215" s="141">
        <f t="shared" si="47"/>
        <v>0</v>
      </c>
      <c r="AB215" s="141">
        <f t="shared" si="47"/>
        <v>0</v>
      </c>
      <c r="AC215" s="141">
        <f t="shared" si="47"/>
        <v>0</v>
      </c>
      <c r="AD215" s="141">
        <f t="shared" si="47"/>
        <v>0</v>
      </c>
      <c r="AE215" s="141">
        <f t="shared" si="47"/>
        <v>0</v>
      </c>
      <c r="AF215" s="141">
        <f t="shared" si="47"/>
        <v>0</v>
      </c>
      <c r="AG215" s="141">
        <f t="shared" si="47"/>
        <v>0</v>
      </c>
      <c r="AH215" s="141">
        <f t="shared" si="47"/>
        <v>0</v>
      </c>
      <c r="AI215" s="141">
        <f t="shared" si="3"/>
        <v>0</v>
      </c>
      <c r="AJ215" s="141">
        <f t="shared" si="4"/>
        <v>0</v>
      </c>
      <c r="AK215" s="141">
        <f t="shared" si="5"/>
        <v>0</v>
      </c>
      <c r="AL215" s="141">
        <f t="shared" si="6"/>
        <v>0</v>
      </c>
      <c r="AM215" s="215">
        <f t="shared" si="7"/>
        <v>0</v>
      </c>
      <c r="AN215" s="176"/>
    </row>
    <row r="216" ht="14.25" customHeight="1" outlineLevel="2">
      <c r="A216" s="833"/>
      <c r="B216" s="841" t="s">
        <v>2982</v>
      </c>
      <c r="C216" s="842"/>
      <c r="D216" s="847"/>
      <c r="E216" s="162"/>
      <c r="F216" s="162"/>
      <c r="G216" s="162"/>
      <c r="H216" s="141">
        <f t="shared" ref="H216:AH216" si="48">(COUNT(H157:H160))/(COUNT(H157:H160)+COUNTBLANK(H157:H160))</f>
        <v>0</v>
      </c>
      <c r="I216" s="141">
        <f t="shared" si="48"/>
        <v>0</v>
      </c>
      <c r="J216" s="141">
        <f t="shared" si="48"/>
        <v>0</v>
      </c>
      <c r="K216" s="141">
        <f t="shared" si="48"/>
        <v>0</v>
      </c>
      <c r="L216" s="141">
        <f t="shared" si="48"/>
        <v>0</v>
      </c>
      <c r="M216" s="141">
        <f t="shared" si="48"/>
        <v>0</v>
      </c>
      <c r="N216" s="141">
        <f t="shared" si="48"/>
        <v>0</v>
      </c>
      <c r="O216" s="141">
        <f t="shared" si="48"/>
        <v>0</v>
      </c>
      <c r="P216" s="141">
        <f t="shared" si="48"/>
        <v>0</v>
      </c>
      <c r="Q216" s="141">
        <f t="shared" si="48"/>
        <v>0</v>
      </c>
      <c r="R216" s="141">
        <f t="shared" si="48"/>
        <v>0</v>
      </c>
      <c r="S216" s="141">
        <f t="shared" si="48"/>
        <v>0</v>
      </c>
      <c r="T216" s="141">
        <f t="shared" si="48"/>
        <v>0</v>
      </c>
      <c r="U216" s="141">
        <f t="shared" si="48"/>
        <v>0</v>
      </c>
      <c r="V216" s="141">
        <f t="shared" si="48"/>
        <v>0</v>
      </c>
      <c r="W216" s="141">
        <f t="shared" si="48"/>
        <v>0</v>
      </c>
      <c r="X216" s="141">
        <f t="shared" si="48"/>
        <v>0</v>
      </c>
      <c r="Y216" s="141">
        <f t="shared" si="48"/>
        <v>0</v>
      </c>
      <c r="Z216" s="141">
        <f t="shared" si="48"/>
        <v>0</v>
      </c>
      <c r="AA216" s="141">
        <f t="shared" si="48"/>
        <v>0</v>
      </c>
      <c r="AB216" s="141">
        <f t="shared" si="48"/>
        <v>0</v>
      </c>
      <c r="AC216" s="141">
        <f t="shared" si="48"/>
        <v>0</v>
      </c>
      <c r="AD216" s="141">
        <f t="shared" si="48"/>
        <v>0</v>
      </c>
      <c r="AE216" s="141">
        <f t="shared" si="48"/>
        <v>0</v>
      </c>
      <c r="AF216" s="141">
        <f t="shared" si="48"/>
        <v>0</v>
      </c>
      <c r="AG216" s="141">
        <f t="shared" si="48"/>
        <v>0</v>
      </c>
      <c r="AH216" s="141">
        <f t="shared" si="48"/>
        <v>0</v>
      </c>
      <c r="AI216" s="141">
        <f t="shared" si="3"/>
        <v>0</v>
      </c>
      <c r="AJ216" s="141">
        <f t="shared" si="4"/>
        <v>0</v>
      </c>
      <c r="AK216" s="141">
        <f t="shared" si="5"/>
        <v>0</v>
      </c>
      <c r="AL216" s="141">
        <f t="shared" si="6"/>
        <v>0</v>
      </c>
      <c r="AM216" s="215">
        <f t="shared" si="7"/>
        <v>0</v>
      </c>
      <c r="AN216" s="176"/>
    </row>
    <row r="217" ht="14.25" customHeight="1" outlineLevel="2">
      <c r="A217" s="833"/>
      <c r="B217" s="841" t="s">
        <v>2989</v>
      </c>
      <c r="C217" s="842"/>
      <c r="D217" s="847"/>
      <c r="E217" s="162"/>
      <c r="F217" s="162"/>
      <c r="G217" s="162"/>
      <c r="H217" s="141">
        <f t="shared" ref="H217:AH217" si="49">(COUNT(H162:H165))/(COUNT(H162:H165)+COUNTBLANK(H162:H165))</f>
        <v>0</v>
      </c>
      <c r="I217" s="141">
        <f t="shared" si="49"/>
        <v>0</v>
      </c>
      <c r="J217" s="141">
        <f t="shared" si="49"/>
        <v>0</v>
      </c>
      <c r="K217" s="141">
        <f t="shared" si="49"/>
        <v>0</v>
      </c>
      <c r="L217" s="141">
        <f t="shared" si="49"/>
        <v>0</v>
      </c>
      <c r="M217" s="141">
        <f t="shared" si="49"/>
        <v>0</v>
      </c>
      <c r="N217" s="141">
        <f t="shared" si="49"/>
        <v>0</v>
      </c>
      <c r="O217" s="141">
        <f t="shared" si="49"/>
        <v>0</v>
      </c>
      <c r="P217" s="141">
        <f t="shared" si="49"/>
        <v>0</v>
      </c>
      <c r="Q217" s="141">
        <f t="shared" si="49"/>
        <v>0</v>
      </c>
      <c r="R217" s="141">
        <f t="shared" si="49"/>
        <v>0</v>
      </c>
      <c r="S217" s="141">
        <f t="shared" si="49"/>
        <v>0</v>
      </c>
      <c r="T217" s="141">
        <f t="shared" si="49"/>
        <v>0</v>
      </c>
      <c r="U217" s="141">
        <f t="shared" si="49"/>
        <v>0</v>
      </c>
      <c r="V217" s="141">
        <f t="shared" si="49"/>
        <v>0</v>
      </c>
      <c r="W217" s="141">
        <f t="shared" si="49"/>
        <v>0</v>
      </c>
      <c r="X217" s="141">
        <f t="shared" si="49"/>
        <v>0</v>
      </c>
      <c r="Y217" s="141">
        <f t="shared" si="49"/>
        <v>0</v>
      </c>
      <c r="Z217" s="141">
        <f t="shared" si="49"/>
        <v>0</v>
      </c>
      <c r="AA217" s="141">
        <f t="shared" si="49"/>
        <v>0</v>
      </c>
      <c r="AB217" s="141">
        <f t="shared" si="49"/>
        <v>0</v>
      </c>
      <c r="AC217" s="141">
        <f t="shared" si="49"/>
        <v>0</v>
      </c>
      <c r="AD217" s="141">
        <f t="shared" si="49"/>
        <v>0</v>
      </c>
      <c r="AE217" s="141">
        <f t="shared" si="49"/>
        <v>0</v>
      </c>
      <c r="AF217" s="141">
        <f t="shared" si="49"/>
        <v>0</v>
      </c>
      <c r="AG217" s="141">
        <f t="shared" si="49"/>
        <v>0</v>
      </c>
      <c r="AH217" s="141">
        <f t="shared" si="49"/>
        <v>0</v>
      </c>
      <c r="AI217" s="141">
        <f t="shared" si="3"/>
        <v>0</v>
      </c>
      <c r="AJ217" s="141">
        <f t="shared" si="4"/>
        <v>0</v>
      </c>
      <c r="AK217" s="141">
        <f t="shared" si="5"/>
        <v>0</v>
      </c>
      <c r="AL217" s="141">
        <f t="shared" si="6"/>
        <v>0</v>
      </c>
      <c r="AM217" s="215">
        <f t="shared" si="7"/>
        <v>0</v>
      </c>
      <c r="AN217" s="176"/>
    </row>
    <row r="218" ht="14.25" customHeight="1">
      <c r="A218" s="247"/>
      <c r="B218" s="100"/>
      <c r="C218" s="100"/>
      <c r="D218" s="100"/>
      <c r="E218" s="100"/>
      <c r="F218" s="206"/>
      <c r="G218" s="206"/>
      <c r="H218" s="207"/>
      <c r="I218" s="207"/>
      <c r="J218" s="207"/>
      <c r="K218" s="207"/>
      <c r="L218" s="207"/>
      <c r="M218" s="207"/>
      <c r="N218" s="207"/>
      <c r="O218" s="207"/>
      <c r="P218" s="207"/>
      <c r="Q218" s="207"/>
      <c r="R218" s="207"/>
      <c r="S218" s="207"/>
      <c r="T218" s="207"/>
      <c r="U218" s="207"/>
      <c r="V218" s="207"/>
      <c r="W218" s="208"/>
      <c r="X218" s="208"/>
      <c r="Y218" s="208"/>
      <c r="Z218" s="208"/>
      <c r="AA218" s="208"/>
      <c r="AB218" s="208"/>
      <c r="AC218" s="208"/>
      <c r="AD218" s="208"/>
      <c r="AE218" s="208"/>
      <c r="AF218" s="208"/>
      <c r="AG218" s="208"/>
      <c r="AH218" s="208"/>
      <c r="AI218" s="271"/>
      <c r="AJ218" s="271"/>
      <c r="AK218" s="271"/>
      <c r="AL218" s="271"/>
      <c r="AM218" s="271"/>
      <c r="AN218" s="102"/>
    </row>
    <row r="219" ht="14.25" customHeight="1">
      <c r="A219" s="306"/>
      <c r="B219" s="230"/>
      <c r="C219" s="230"/>
      <c r="D219" s="230"/>
      <c r="E219" s="230"/>
      <c r="F219" s="231"/>
      <c r="G219" s="231"/>
      <c r="H219" s="232"/>
      <c r="I219" s="232"/>
      <c r="J219" s="232"/>
      <c r="K219" s="232"/>
      <c r="L219" s="232"/>
      <c r="M219" s="232"/>
      <c r="N219" s="232"/>
      <c r="O219" s="232"/>
      <c r="P219" s="232"/>
      <c r="Q219" s="232"/>
      <c r="R219" s="232"/>
      <c r="S219" s="232"/>
      <c r="T219" s="232"/>
      <c r="U219" s="232"/>
      <c r="V219" s="232"/>
      <c r="W219" s="233"/>
      <c r="X219" s="233"/>
      <c r="Y219" s="233"/>
      <c r="Z219" s="233"/>
      <c r="AA219" s="233"/>
      <c r="AB219" s="233"/>
      <c r="AC219" s="233"/>
      <c r="AD219" s="233"/>
      <c r="AE219" s="233"/>
      <c r="AF219" s="233"/>
      <c r="AG219" s="233"/>
      <c r="AH219" s="233"/>
      <c r="AI219" s="307"/>
      <c r="AJ219" s="307"/>
      <c r="AK219" s="307"/>
      <c r="AL219" s="307"/>
      <c r="AM219" s="307"/>
      <c r="AN219" s="234"/>
    </row>
    <row r="220" ht="14.25" customHeight="1">
      <c r="A220" s="179"/>
      <c r="B220" s="98"/>
      <c r="C220" s="98"/>
      <c r="D220" s="98"/>
      <c r="E220" s="98"/>
      <c r="F220" s="235"/>
      <c r="G220" s="235"/>
      <c r="H220" s="236"/>
      <c r="I220" s="236"/>
      <c r="J220" s="236"/>
      <c r="K220" s="236"/>
      <c r="L220" s="236"/>
      <c r="M220" s="236"/>
      <c r="N220" s="236"/>
      <c r="O220" s="236"/>
      <c r="P220" s="236"/>
      <c r="Q220" s="236"/>
      <c r="R220" s="236"/>
      <c r="S220" s="236"/>
      <c r="T220" s="236"/>
      <c r="U220" s="236"/>
      <c r="V220" s="236"/>
      <c r="W220" s="237"/>
      <c r="X220" s="237"/>
      <c r="Y220" s="237"/>
      <c r="Z220" s="237"/>
      <c r="AA220" s="237"/>
      <c r="AB220" s="237"/>
      <c r="AC220" s="237"/>
      <c r="AD220" s="237"/>
      <c r="AE220" s="237"/>
      <c r="AF220" s="237"/>
      <c r="AG220" s="237"/>
      <c r="AH220" s="237"/>
      <c r="AI220" s="308"/>
      <c r="AJ220" s="308"/>
      <c r="AK220" s="308"/>
      <c r="AL220" s="308"/>
      <c r="AM220" s="308"/>
      <c r="AN220" s="98"/>
    </row>
    <row r="221" ht="14.25" customHeight="1">
      <c r="A221" s="179"/>
      <c r="B221" s="98"/>
      <c r="C221" s="98"/>
      <c r="D221" s="98"/>
      <c r="E221" s="98"/>
      <c r="F221" s="235"/>
      <c r="G221" s="235"/>
      <c r="H221" s="236"/>
      <c r="I221" s="236"/>
      <c r="J221" s="236"/>
      <c r="K221" s="236"/>
      <c r="L221" s="236"/>
      <c r="M221" s="236"/>
      <c r="N221" s="236"/>
      <c r="O221" s="236"/>
      <c r="P221" s="236"/>
      <c r="Q221" s="236"/>
      <c r="R221" s="236"/>
      <c r="S221" s="236"/>
      <c r="T221" s="236"/>
      <c r="U221" s="236"/>
      <c r="V221" s="236"/>
      <c r="W221" s="237"/>
      <c r="X221" s="237"/>
      <c r="Y221" s="237"/>
      <c r="Z221" s="237"/>
      <c r="AA221" s="237"/>
      <c r="AB221" s="237"/>
      <c r="AC221" s="237"/>
      <c r="AD221" s="237"/>
      <c r="AE221" s="237"/>
      <c r="AF221" s="237"/>
      <c r="AG221" s="237"/>
      <c r="AH221" s="237"/>
      <c r="AI221" s="308"/>
      <c r="AJ221" s="308"/>
      <c r="AK221" s="308"/>
      <c r="AL221" s="308"/>
      <c r="AM221" s="308"/>
      <c r="AN221" s="98"/>
    </row>
    <row r="222" ht="14.25" customHeight="1">
      <c r="A222" s="179"/>
      <c r="B222" s="98"/>
      <c r="C222" s="98"/>
      <c r="D222" s="98"/>
      <c r="E222" s="98"/>
      <c r="F222" s="235"/>
      <c r="G222" s="235"/>
      <c r="H222" s="236"/>
      <c r="I222" s="236"/>
      <c r="J222" s="236"/>
      <c r="K222" s="236"/>
      <c r="L222" s="236"/>
      <c r="M222" s="236"/>
      <c r="N222" s="236"/>
      <c r="O222" s="236"/>
      <c r="P222" s="236"/>
      <c r="Q222" s="236"/>
      <c r="R222" s="236"/>
      <c r="S222" s="236"/>
      <c r="T222" s="236"/>
      <c r="U222" s="236"/>
      <c r="V222" s="236"/>
      <c r="W222" s="237"/>
      <c r="X222" s="237"/>
      <c r="Y222" s="237"/>
      <c r="Z222" s="237"/>
      <c r="AA222" s="237"/>
      <c r="AB222" s="237"/>
      <c r="AC222" s="237"/>
      <c r="AD222" s="237"/>
      <c r="AE222" s="237"/>
      <c r="AF222" s="237"/>
      <c r="AG222" s="237"/>
      <c r="AH222" s="237"/>
      <c r="AI222" s="308"/>
      <c r="AJ222" s="308"/>
      <c r="AK222" s="308"/>
      <c r="AL222" s="308"/>
      <c r="AM222" s="308"/>
      <c r="AN222" s="98"/>
    </row>
    <row r="223" ht="14.25" customHeight="1">
      <c r="A223" s="179"/>
      <c r="B223" s="98"/>
      <c r="C223" s="98"/>
      <c r="D223" s="98"/>
      <c r="E223" s="98"/>
      <c r="F223" s="235"/>
      <c r="G223" s="235"/>
      <c r="H223" s="236"/>
      <c r="I223" s="236"/>
      <c r="J223" s="236"/>
      <c r="K223" s="236"/>
      <c r="L223" s="236"/>
      <c r="M223" s="236"/>
      <c r="N223" s="236"/>
      <c r="O223" s="236"/>
      <c r="P223" s="236"/>
      <c r="Q223" s="236"/>
      <c r="R223" s="236"/>
      <c r="S223" s="236"/>
      <c r="T223" s="236"/>
      <c r="U223" s="236"/>
      <c r="V223" s="236"/>
      <c r="W223" s="237"/>
      <c r="X223" s="237"/>
      <c r="Y223" s="237"/>
      <c r="Z223" s="237"/>
      <c r="AA223" s="237"/>
      <c r="AB223" s="237"/>
      <c r="AC223" s="237"/>
      <c r="AD223" s="237"/>
      <c r="AE223" s="237"/>
      <c r="AF223" s="237"/>
      <c r="AG223" s="237"/>
      <c r="AH223" s="237"/>
      <c r="AI223" s="308"/>
      <c r="AJ223" s="308"/>
      <c r="AK223" s="308"/>
      <c r="AL223" s="308"/>
      <c r="AM223" s="308"/>
      <c r="AN223" s="98"/>
    </row>
    <row r="224" ht="14.25" customHeight="1">
      <c r="A224" s="179"/>
      <c r="B224" s="98"/>
      <c r="C224" s="98"/>
      <c r="D224" s="98"/>
      <c r="E224" s="98"/>
      <c r="F224" s="235"/>
      <c r="G224" s="235"/>
      <c r="H224" s="236"/>
      <c r="I224" s="236"/>
      <c r="J224" s="236"/>
      <c r="K224" s="236"/>
      <c r="L224" s="236"/>
      <c r="M224" s="236"/>
      <c r="N224" s="236"/>
      <c r="O224" s="236"/>
      <c r="P224" s="236"/>
      <c r="Q224" s="236"/>
      <c r="R224" s="236"/>
      <c r="S224" s="236"/>
      <c r="T224" s="236"/>
      <c r="U224" s="236"/>
      <c r="V224" s="236"/>
      <c r="W224" s="237"/>
      <c r="X224" s="237"/>
      <c r="Y224" s="237"/>
      <c r="Z224" s="237"/>
      <c r="AA224" s="237"/>
      <c r="AB224" s="237"/>
      <c r="AC224" s="237"/>
      <c r="AD224" s="237"/>
      <c r="AE224" s="237"/>
      <c r="AF224" s="237"/>
      <c r="AG224" s="237"/>
      <c r="AH224" s="237"/>
      <c r="AI224" s="308"/>
      <c r="AJ224" s="308"/>
      <c r="AK224" s="308"/>
      <c r="AL224" s="308"/>
      <c r="AM224" s="308"/>
      <c r="AN224" s="98"/>
    </row>
    <row r="225" ht="14.25" customHeight="1">
      <c r="A225" s="179"/>
      <c r="B225" s="98"/>
      <c r="C225" s="98"/>
      <c r="D225" s="98"/>
      <c r="E225" s="98"/>
      <c r="F225" s="235"/>
      <c r="G225" s="235"/>
      <c r="H225" s="236"/>
      <c r="I225" s="236"/>
      <c r="J225" s="236"/>
      <c r="K225" s="236"/>
      <c r="L225" s="236"/>
      <c r="M225" s="236"/>
      <c r="N225" s="236"/>
      <c r="O225" s="236"/>
      <c r="P225" s="236"/>
      <c r="Q225" s="236"/>
      <c r="R225" s="236"/>
      <c r="S225" s="236"/>
      <c r="T225" s="236"/>
      <c r="U225" s="236"/>
      <c r="V225" s="236"/>
      <c r="W225" s="237"/>
      <c r="X225" s="237"/>
      <c r="Y225" s="237"/>
      <c r="Z225" s="237"/>
      <c r="AA225" s="237"/>
      <c r="AB225" s="237"/>
      <c r="AC225" s="237"/>
      <c r="AD225" s="237"/>
      <c r="AE225" s="237"/>
      <c r="AF225" s="237"/>
      <c r="AG225" s="237"/>
      <c r="AH225" s="237"/>
      <c r="AI225" s="308"/>
      <c r="AJ225" s="308"/>
      <c r="AK225" s="308"/>
      <c r="AL225" s="308"/>
      <c r="AM225" s="308"/>
      <c r="AN225" s="98"/>
    </row>
    <row r="226" ht="14.25" customHeight="1">
      <c r="A226" s="179"/>
      <c r="B226" s="98"/>
      <c r="C226" s="98"/>
      <c r="D226" s="98"/>
      <c r="E226" s="98"/>
      <c r="F226" s="235"/>
      <c r="G226" s="235"/>
      <c r="H226" s="236"/>
      <c r="I226" s="236"/>
      <c r="J226" s="236"/>
      <c r="K226" s="236"/>
      <c r="L226" s="236"/>
      <c r="M226" s="236"/>
      <c r="N226" s="236"/>
      <c r="O226" s="236"/>
      <c r="P226" s="236"/>
      <c r="Q226" s="236"/>
      <c r="R226" s="236"/>
      <c r="S226" s="236"/>
      <c r="T226" s="236"/>
      <c r="U226" s="236"/>
      <c r="V226" s="236"/>
      <c r="W226" s="237"/>
      <c r="X226" s="237"/>
      <c r="Y226" s="237"/>
      <c r="Z226" s="237"/>
      <c r="AA226" s="237"/>
      <c r="AB226" s="237"/>
      <c r="AC226" s="237"/>
      <c r="AD226" s="237"/>
      <c r="AE226" s="237"/>
      <c r="AF226" s="237"/>
      <c r="AG226" s="237"/>
      <c r="AH226" s="237"/>
      <c r="AI226" s="308"/>
      <c r="AJ226" s="308"/>
      <c r="AK226" s="308"/>
      <c r="AL226" s="308"/>
      <c r="AM226" s="308"/>
      <c r="AN226" s="98"/>
    </row>
    <row r="227" ht="14.25" customHeight="1">
      <c r="A227" s="179"/>
      <c r="B227" s="98"/>
      <c r="C227" s="98"/>
      <c r="D227" s="98"/>
      <c r="E227" s="98"/>
      <c r="F227" s="235"/>
      <c r="G227" s="235"/>
      <c r="H227" s="236"/>
      <c r="I227" s="236"/>
      <c r="J227" s="236"/>
      <c r="K227" s="236"/>
      <c r="L227" s="236"/>
      <c r="M227" s="236"/>
      <c r="N227" s="236"/>
      <c r="O227" s="236"/>
      <c r="P227" s="236"/>
      <c r="Q227" s="236"/>
      <c r="R227" s="236"/>
      <c r="S227" s="236"/>
      <c r="T227" s="236"/>
      <c r="U227" s="236"/>
      <c r="V227" s="236"/>
      <c r="W227" s="237"/>
      <c r="X227" s="237"/>
      <c r="Y227" s="237"/>
      <c r="Z227" s="237"/>
      <c r="AA227" s="237"/>
      <c r="AB227" s="237"/>
      <c r="AC227" s="237"/>
      <c r="AD227" s="237"/>
      <c r="AE227" s="237"/>
      <c r="AF227" s="237"/>
      <c r="AG227" s="237"/>
      <c r="AH227" s="237"/>
      <c r="AI227" s="308"/>
      <c r="AJ227" s="308"/>
      <c r="AK227" s="308"/>
      <c r="AL227" s="308"/>
      <c r="AM227" s="308"/>
      <c r="AN227" s="98"/>
    </row>
    <row r="228" ht="14.25" customHeight="1">
      <c r="A228" s="179"/>
      <c r="B228" s="98"/>
      <c r="C228" s="98"/>
      <c r="D228" s="98"/>
      <c r="E228" s="98"/>
      <c r="F228" s="235"/>
      <c r="G228" s="235"/>
      <c r="H228" s="236"/>
      <c r="I228" s="236"/>
      <c r="J228" s="236"/>
      <c r="K228" s="236"/>
      <c r="L228" s="236"/>
      <c r="M228" s="236"/>
      <c r="N228" s="236"/>
      <c r="O228" s="236"/>
      <c r="P228" s="236"/>
      <c r="Q228" s="236"/>
      <c r="R228" s="236"/>
      <c r="S228" s="236"/>
      <c r="T228" s="236"/>
      <c r="U228" s="236"/>
      <c r="V228" s="236"/>
      <c r="W228" s="237"/>
      <c r="X228" s="237"/>
      <c r="Y228" s="237"/>
      <c r="Z228" s="237"/>
      <c r="AA228" s="237"/>
      <c r="AB228" s="237"/>
      <c r="AC228" s="237"/>
      <c r="AD228" s="237"/>
      <c r="AE228" s="237"/>
      <c r="AF228" s="237"/>
      <c r="AG228" s="237"/>
      <c r="AH228" s="237"/>
      <c r="AI228" s="308"/>
      <c r="AJ228" s="308"/>
      <c r="AK228" s="308"/>
      <c r="AL228" s="308"/>
      <c r="AM228" s="308"/>
      <c r="AN228" s="98"/>
    </row>
    <row r="229" ht="14.25" customHeight="1">
      <c r="A229" s="179"/>
      <c r="B229" s="98"/>
      <c r="C229" s="98"/>
      <c r="D229" s="98"/>
      <c r="E229" s="98"/>
      <c r="F229" s="235"/>
      <c r="G229" s="235"/>
      <c r="H229" s="236"/>
      <c r="I229" s="236"/>
      <c r="J229" s="236"/>
      <c r="K229" s="236"/>
      <c r="L229" s="236"/>
      <c r="M229" s="236"/>
      <c r="N229" s="236"/>
      <c r="O229" s="236"/>
      <c r="P229" s="236"/>
      <c r="Q229" s="236"/>
      <c r="R229" s="236"/>
      <c r="S229" s="236"/>
      <c r="T229" s="236"/>
      <c r="U229" s="236"/>
      <c r="V229" s="236"/>
      <c r="W229" s="237"/>
      <c r="X229" s="237"/>
      <c r="Y229" s="237"/>
      <c r="Z229" s="237"/>
      <c r="AA229" s="237"/>
      <c r="AB229" s="237"/>
      <c r="AC229" s="237"/>
      <c r="AD229" s="237"/>
      <c r="AE229" s="237"/>
      <c r="AF229" s="237"/>
      <c r="AG229" s="237"/>
      <c r="AH229" s="237"/>
      <c r="AI229" s="308"/>
      <c r="AJ229" s="308"/>
      <c r="AK229" s="308"/>
      <c r="AL229" s="308"/>
      <c r="AM229" s="308"/>
      <c r="AN229" s="98"/>
    </row>
    <row r="230" ht="14.25" customHeight="1">
      <c r="A230" s="179"/>
      <c r="B230" s="98"/>
      <c r="C230" s="98"/>
      <c r="D230" s="98"/>
      <c r="E230" s="98"/>
      <c r="F230" s="235"/>
      <c r="G230" s="235"/>
      <c r="H230" s="236"/>
      <c r="I230" s="236"/>
      <c r="J230" s="236"/>
      <c r="K230" s="236"/>
      <c r="L230" s="236"/>
      <c r="M230" s="236"/>
      <c r="N230" s="236"/>
      <c r="O230" s="236"/>
      <c r="P230" s="236"/>
      <c r="Q230" s="236"/>
      <c r="R230" s="236"/>
      <c r="S230" s="236"/>
      <c r="T230" s="236"/>
      <c r="U230" s="236"/>
      <c r="V230" s="236"/>
      <c r="W230" s="237"/>
      <c r="X230" s="237"/>
      <c r="Y230" s="237"/>
      <c r="Z230" s="237"/>
      <c r="AA230" s="237"/>
      <c r="AB230" s="237"/>
      <c r="AC230" s="237"/>
      <c r="AD230" s="237"/>
      <c r="AE230" s="237"/>
      <c r="AF230" s="237"/>
      <c r="AG230" s="237"/>
      <c r="AH230" s="237"/>
      <c r="AI230" s="308"/>
      <c r="AJ230" s="308"/>
      <c r="AK230" s="308"/>
      <c r="AL230" s="308"/>
      <c r="AM230" s="308"/>
      <c r="AN230" s="98"/>
    </row>
    <row r="231" ht="14.25" customHeight="1">
      <c r="A231" s="179"/>
      <c r="B231" s="98"/>
      <c r="C231" s="98"/>
      <c r="D231" s="98"/>
      <c r="E231" s="98"/>
      <c r="F231" s="235"/>
      <c r="G231" s="235"/>
      <c r="H231" s="236"/>
      <c r="I231" s="236"/>
      <c r="J231" s="236"/>
      <c r="K231" s="236"/>
      <c r="L231" s="236"/>
      <c r="M231" s="236"/>
      <c r="N231" s="236"/>
      <c r="O231" s="236"/>
      <c r="P231" s="236"/>
      <c r="Q231" s="236"/>
      <c r="R231" s="236"/>
      <c r="S231" s="236"/>
      <c r="T231" s="236"/>
      <c r="U231" s="236"/>
      <c r="V231" s="236"/>
      <c r="W231" s="237"/>
      <c r="X231" s="237"/>
      <c r="Y231" s="237"/>
      <c r="Z231" s="237"/>
      <c r="AA231" s="237"/>
      <c r="AB231" s="237"/>
      <c r="AC231" s="237"/>
      <c r="AD231" s="237"/>
      <c r="AE231" s="237"/>
      <c r="AF231" s="237"/>
      <c r="AG231" s="237"/>
      <c r="AH231" s="237"/>
      <c r="AI231" s="308"/>
      <c r="AJ231" s="308"/>
      <c r="AK231" s="308"/>
      <c r="AL231" s="308"/>
      <c r="AM231" s="308"/>
      <c r="AN231" s="98"/>
    </row>
    <row r="232" ht="14.25" customHeight="1">
      <c r="A232" s="179"/>
      <c r="B232" s="98"/>
      <c r="C232" s="98"/>
      <c r="D232" s="98"/>
      <c r="E232" s="98"/>
      <c r="F232" s="235"/>
      <c r="G232" s="235"/>
      <c r="H232" s="236"/>
      <c r="I232" s="236"/>
      <c r="J232" s="236"/>
      <c r="K232" s="236"/>
      <c r="L232" s="236"/>
      <c r="M232" s="236"/>
      <c r="N232" s="236"/>
      <c r="O232" s="236"/>
      <c r="P232" s="236"/>
      <c r="Q232" s="236"/>
      <c r="R232" s="236"/>
      <c r="S232" s="236"/>
      <c r="T232" s="236"/>
      <c r="U232" s="236"/>
      <c r="V232" s="236"/>
      <c r="W232" s="237"/>
      <c r="X232" s="237"/>
      <c r="Y232" s="237"/>
      <c r="Z232" s="237"/>
      <c r="AA232" s="237"/>
      <c r="AB232" s="237"/>
      <c r="AC232" s="237"/>
      <c r="AD232" s="237"/>
      <c r="AE232" s="237"/>
      <c r="AF232" s="237"/>
      <c r="AG232" s="237"/>
      <c r="AH232" s="237"/>
      <c r="AI232" s="308"/>
      <c r="AJ232" s="308"/>
      <c r="AK232" s="308"/>
      <c r="AL232" s="308"/>
      <c r="AM232" s="308"/>
      <c r="AN232" s="98"/>
    </row>
    <row r="233" ht="14.25" customHeight="1">
      <c r="A233" s="179"/>
      <c r="B233" s="98"/>
      <c r="C233" s="98"/>
      <c r="D233" s="98"/>
      <c r="E233" s="98"/>
      <c r="F233" s="235"/>
      <c r="G233" s="235"/>
      <c r="H233" s="236"/>
      <c r="I233" s="236"/>
      <c r="J233" s="236"/>
      <c r="K233" s="236"/>
      <c r="L233" s="236"/>
      <c r="M233" s="236"/>
      <c r="N233" s="236"/>
      <c r="O233" s="236"/>
      <c r="P233" s="236"/>
      <c r="Q233" s="236"/>
      <c r="R233" s="236"/>
      <c r="S233" s="236"/>
      <c r="T233" s="236"/>
      <c r="U233" s="236"/>
      <c r="V233" s="236"/>
      <c r="W233" s="237"/>
      <c r="X233" s="237"/>
      <c r="Y233" s="237"/>
      <c r="Z233" s="237"/>
      <c r="AA233" s="237"/>
      <c r="AB233" s="237"/>
      <c r="AC233" s="237"/>
      <c r="AD233" s="237"/>
      <c r="AE233" s="237"/>
      <c r="AF233" s="237"/>
      <c r="AG233" s="237"/>
      <c r="AH233" s="237"/>
      <c r="AI233" s="308"/>
      <c r="AJ233" s="308"/>
      <c r="AK233" s="308"/>
      <c r="AL233" s="308"/>
      <c r="AM233" s="308"/>
      <c r="AN233" s="98"/>
    </row>
    <row r="234" ht="14.25" customHeight="1">
      <c r="A234" s="179"/>
      <c r="B234" s="98"/>
      <c r="C234" s="98"/>
      <c r="D234" s="98"/>
      <c r="E234" s="98"/>
      <c r="F234" s="235"/>
      <c r="G234" s="235"/>
      <c r="H234" s="236"/>
      <c r="I234" s="236"/>
      <c r="J234" s="236"/>
      <c r="K234" s="236"/>
      <c r="L234" s="236"/>
      <c r="M234" s="236"/>
      <c r="N234" s="236"/>
      <c r="O234" s="236"/>
      <c r="P234" s="236"/>
      <c r="Q234" s="236"/>
      <c r="R234" s="236"/>
      <c r="S234" s="236"/>
      <c r="T234" s="236"/>
      <c r="U234" s="236"/>
      <c r="V234" s="236"/>
      <c r="W234" s="237"/>
      <c r="X234" s="237"/>
      <c r="Y234" s="237"/>
      <c r="Z234" s="237"/>
      <c r="AA234" s="237"/>
      <c r="AB234" s="237"/>
      <c r="AC234" s="237"/>
      <c r="AD234" s="237"/>
      <c r="AE234" s="237"/>
      <c r="AF234" s="237"/>
      <c r="AG234" s="237"/>
      <c r="AH234" s="237"/>
      <c r="AI234" s="308"/>
      <c r="AJ234" s="308"/>
      <c r="AK234" s="308"/>
      <c r="AL234" s="308"/>
      <c r="AM234" s="308"/>
      <c r="AN234" s="98"/>
    </row>
    <row r="235" ht="14.25" customHeight="1">
      <c r="A235" s="179"/>
      <c r="B235" s="98"/>
      <c r="C235" s="98"/>
      <c r="D235" s="98"/>
      <c r="E235" s="98"/>
      <c r="F235" s="235"/>
      <c r="G235" s="235"/>
      <c r="H235" s="236"/>
      <c r="I235" s="236"/>
      <c r="J235" s="236"/>
      <c r="K235" s="236"/>
      <c r="L235" s="236"/>
      <c r="M235" s="236"/>
      <c r="N235" s="236"/>
      <c r="O235" s="236"/>
      <c r="P235" s="236"/>
      <c r="Q235" s="236"/>
      <c r="R235" s="236"/>
      <c r="S235" s="236"/>
      <c r="T235" s="236"/>
      <c r="U235" s="236"/>
      <c r="V235" s="236"/>
      <c r="W235" s="237"/>
      <c r="X235" s="237"/>
      <c r="Y235" s="237"/>
      <c r="Z235" s="237"/>
      <c r="AA235" s="237"/>
      <c r="AB235" s="237"/>
      <c r="AC235" s="237"/>
      <c r="AD235" s="237"/>
      <c r="AE235" s="237"/>
      <c r="AF235" s="237"/>
      <c r="AG235" s="237"/>
      <c r="AH235" s="237"/>
      <c r="AI235" s="308"/>
      <c r="AJ235" s="308"/>
      <c r="AK235" s="308"/>
      <c r="AL235" s="308"/>
      <c r="AM235" s="308"/>
      <c r="AN235" s="98"/>
    </row>
    <row r="236" ht="14.25" customHeight="1">
      <c r="A236" s="179"/>
      <c r="B236" s="98"/>
      <c r="C236" s="98"/>
      <c r="D236" s="98"/>
      <c r="E236" s="98"/>
      <c r="F236" s="235"/>
      <c r="G236" s="235"/>
      <c r="H236" s="236"/>
      <c r="I236" s="236"/>
      <c r="J236" s="236"/>
      <c r="K236" s="236"/>
      <c r="L236" s="236"/>
      <c r="M236" s="236"/>
      <c r="N236" s="236"/>
      <c r="O236" s="236"/>
      <c r="P236" s="236"/>
      <c r="Q236" s="236"/>
      <c r="R236" s="236"/>
      <c r="S236" s="236"/>
      <c r="T236" s="236"/>
      <c r="U236" s="236"/>
      <c r="V236" s="236"/>
      <c r="W236" s="237"/>
      <c r="X236" s="237"/>
      <c r="Y236" s="237"/>
      <c r="Z236" s="237"/>
      <c r="AA236" s="237"/>
      <c r="AB236" s="237"/>
      <c r="AC236" s="237"/>
      <c r="AD236" s="237"/>
      <c r="AE236" s="237"/>
      <c r="AF236" s="237"/>
      <c r="AG236" s="237"/>
      <c r="AH236" s="237"/>
      <c r="AI236" s="308"/>
      <c r="AJ236" s="308"/>
      <c r="AK236" s="308"/>
      <c r="AL236" s="308"/>
      <c r="AM236" s="308"/>
      <c r="AN236" s="98"/>
    </row>
    <row r="237" ht="14.25" customHeight="1">
      <c r="A237" s="179"/>
      <c r="B237" s="98"/>
      <c r="C237" s="98"/>
      <c r="D237" s="98"/>
      <c r="E237" s="98"/>
      <c r="F237" s="235"/>
      <c r="G237" s="235"/>
      <c r="H237" s="236"/>
      <c r="I237" s="236"/>
      <c r="J237" s="236"/>
      <c r="K237" s="236"/>
      <c r="L237" s="236"/>
      <c r="M237" s="236"/>
      <c r="N237" s="236"/>
      <c r="O237" s="236"/>
      <c r="P237" s="236"/>
      <c r="Q237" s="236"/>
      <c r="R237" s="236"/>
      <c r="S237" s="236"/>
      <c r="T237" s="236"/>
      <c r="U237" s="236"/>
      <c r="V237" s="236"/>
      <c r="W237" s="237"/>
      <c r="X237" s="237"/>
      <c r="Y237" s="237"/>
      <c r="Z237" s="237"/>
      <c r="AA237" s="237"/>
      <c r="AB237" s="237"/>
      <c r="AC237" s="237"/>
      <c r="AD237" s="237"/>
      <c r="AE237" s="237"/>
      <c r="AF237" s="237"/>
      <c r="AG237" s="237"/>
      <c r="AH237" s="237"/>
      <c r="AI237" s="308"/>
      <c r="AJ237" s="308"/>
      <c r="AK237" s="308"/>
      <c r="AL237" s="308"/>
      <c r="AM237" s="308"/>
      <c r="AN237" s="98"/>
    </row>
    <row r="238" ht="14.25" customHeight="1">
      <c r="A238" s="179"/>
      <c r="B238" s="98"/>
      <c r="C238" s="98"/>
      <c r="D238" s="98"/>
      <c r="E238" s="98"/>
      <c r="F238" s="235"/>
      <c r="G238" s="235"/>
      <c r="H238" s="236"/>
      <c r="I238" s="236"/>
      <c r="J238" s="236"/>
      <c r="K238" s="236"/>
      <c r="L238" s="236"/>
      <c r="M238" s="236"/>
      <c r="N238" s="236"/>
      <c r="O238" s="236"/>
      <c r="P238" s="236"/>
      <c r="Q238" s="236"/>
      <c r="R238" s="236"/>
      <c r="S238" s="236"/>
      <c r="T238" s="236"/>
      <c r="U238" s="236"/>
      <c r="V238" s="236"/>
      <c r="W238" s="237"/>
      <c r="X238" s="237"/>
      <c r="Y238" s="237"/>
      <c r="Z238" s="237"/>
      <c r="AA238" s="237"/>
      <c r="AB238" s="237"/>
      <c r="AC238" s="237"/>
      <c r="AD238" s="237"/>
      <c r="AE238" s="237"/>
      <c r="AF238" s="237"/>
      <c r="AG238" s="237"/>
      <c r="AH238" s="237"/>
      <c r="AI238" s="308"/>
      <c r="AJ238" s="308"/>
      <c r="AK238" s="308"/>
      <c r="AL238" s="308"/>
      <c r="AM238" s="308"/>
      <c r="AN238" s="98"/>
    </row>
    <row r="239" ht="14.25" customHeight="1">
      <c r="A239" s="179"/>
      <c r="B239" s="98"/>
      <c r="C239" s="98"/>
      <c r="D239" s="98"/>
      <c r="E239" s="98"/>
      <c r="F239" s="235"/>
      <c r="G239" s="235"/>
      <c r="H239" s="236"/>
      <c r="I239" s="236"/>
      <c r="J239" s="236"/>
      <c r="K239" s="236"/>
      <c r="L239" s="236"/>
      <c r="M239" s="236"/>
      <c r="N239" s="236"/>
      <c r="O239" s="236"/>
      <c r="P239" s="236"/>
      <c r="Q239" s="236"/>
      <c r="R239" s="236"/>
      <c r="S239" s="236"/>
      <c r="T239" s="236"/>
      <c r="U239" s="236"/>
      <c r="V239" s="236"/>
      <c r="W239" s="237"/>
      <c r="X239" s="237"/>
      <c r="Y239" s="237"/>
      <c r="Z239" s="237"/>
      <c r="AA239" s="237"/>
      <c r="AB239" s="237"/>
      <c r="AC239" s="237"/>
      <c r="AD239" s="237"/>
      <c r="AE239" s="237"/>
      <c r="AF239" s="237"/>
      <c r="AG239" s="237"/>
      <c r="AH239" s="237"/>
      <c r="AI239" s="308"/>
      <c r="AJ239" s="308"/>
      <c r="AK239" s="308"/>
      <c r="AL239" s="308"/>
      <c r="AM239" s="308"/>
      <c r="AN239" s="98"/>
    </row>
    <row r="240" ht="14.25" customHeight="1">
      <c r="A240" s="179"/>
      <c r="B240" s="98"/>
      <c r="C240" s="98"/>
      <c r="D240" s="98"/>
      <c r="E240" s="98"/>
      <c r="F240" s="235"/>
      <c r="G240" s="235"/>
      <c r="H240" s="236"/>
      <c r="I240" s="236"/>
      <c r="J240" s="236"/>
      <c r="K240" s="236"/>
      <c r="L240" s="236"/>
      <c r="M240" s="236"/>
      <c r="N240" s="236"/>
      <c r="O240" s="236"/>
      <c r="P240" s="236"/>
      <c r="Q240" s="236"/>
      <c r="R240" s="236"/>
      <c r="S240" s="236"/>
      <c r="T240" s="236"/>
      <c r="U240" s="236"/>
      <c r="V240" s="236"/>
      <c r="W240" s="237"/>
      <c r="X240" s="237"/>
      <c r="Y240" s="237"/>
      <c r="Z240" s="237"/>
      <c r="AA240" s="237"/>
      <c r="AB240" s="237"/>
      <c r="AC240" s="237"/>
      <c r="AD240" s="237"/>
      <c r="AE240" s="237"/>
      <c r="AF240" s="237"/>
      <c r="AG240" s="237"/>
      <c r="AH240" s="237"/>
      <c r="AI240" s="308"/>
      <c r="AJ240" s="308"/>
      <c r="AK240" s="308"/>
      <c r="AL240" s="308"/>
      <c r="AM240" s="308"/>
      <c r="AN240" s="98"/>
    </row>
    <row r="241" ht="14.25" customHeight="1">
      <c r="A241" s="179"/>
      <c r="B241" s="98"/>
      <c r="C241" s="98"/>
      <c r="D241" s="98"/>
      <c r="E241" s="98"/>
      <c r="F241" s="235"/>
      <c r="G241" s="235"/>
      <c r="H241" s="236"/>
      <c r="I241" s="236"/>
      <c r="J241" s="236"/>
      <c r="K241" s="236"/>
      <c r="L241" s="236"/>
      <c r="M241" s="236"/>
      <c r="N241" s="236"/>
      <c r="O241" s="236"/>
      <c r="P241" s="236"/>
      <c r="Q241" s="236"/>
      <c r="R241" s="236"/>
      <c r="S241" s="236"/>
      <c r="T241" s="236"/>
      <c r="U241" s="236"/>
      <c r="V241" s="236"/>
      <c r="W241" s="237"/>
      <c r="X241" s="237"/>
      <c r="Y241" s="237"/>
      <c r="Z241" s="237"/>
      <c r="AA241" s="237"/>
      <c r="AB241" s="237"/>
      <c r="AC241" s="237"/>
      <c r="AD241" s="237"/>
      <c r="AE241" s="237"/>
      <c r="AF241" s="237"/>
      <c r="AG241" s="237"/>
      <c r="AH241" s="237"/>
      <c r="AI241" s="308"/>
      <c r="AJ241" s="308"/>
      <c r="AK241" s="308"/>
      <c r="AL241" s="308"/>
      <c r="AM241" s="308"/>
      <c r="AN241" s="98"/>
    </row>
    <row r="242" ht="14.25" customHeight="1">
      <c r="A242" s="179"/>
      <c r="B242" s="98"/>
      <c r="C242" s="98"/>
      <c r="D242" s="98"/>
      <c r="E242" s="98"/>
      <c r="F242" s="235"/>
      <c r="G242" s="235"/>
      <c r="H242" s="236"/>
      <c r="I242" s="236"/>
      <c r="J242" s="236"/>
      <c r="K242" s="236"/>
      <c r="L242" s="236"/>
      <c r="M242" s="236"/>
      <c r="N242" s="236"/>
      <c r="O242" s="236"/>
      <c r="P242" s="236"/>
      <c r="Q242" s="236"/>
      <c r="R242" s="236"/>
      <c r="S242" s="236"/>
      <c r="T242" s="236"/>
      <c r="U242" s="236"/>
      <c r="V242" s="236"/>
      <c r="W242" s="237"/>
      <c r="X242" s="237"/>
      <c r="Y242" s="237"/>
      <c r="Z242" s="237"/>
      <c r="AA242" s="237"/>
      <c r="AB242" s="237"/>
      <c r="AC242" s="237"/>
      <c r="AD242" s="237"/>
      <c r="AE242" s="237"/>
      <c r="AF242" s="237"/>
      <c r="AG242" s="237"/>
      <c r="AH242" s="237"/>
      <c r="AI242" s="308"/>
      <c r="AJ242" s="308"/>
      <c r="AK242" s="308"/>
      <c r="AL242" s="308"/>
      <c r="AM242" s="308"/>
      <c r="AN242" s="98"/>
    </row>
    <row r="243" ht="14.25" customHeight="1">
      <c r="A243" s="179"/>
      <c r="B243" s="98"/>
      <c r="C243" s="98"/>
      <c r="D243" s="98"/>
      <c r="E243" s="98"/>
      <c r="F243" s="235"/>
      <c r="G243" s="235"/>
      <c r="H243" s="236"/>
      <c r="I243" s="236"/>
      <c r="J243" s="236"/>
      <c r="K243" s="236"/>
      <c r="L243" s="236"/>
      <c r="M243" s="236"/>
      <c r="N243" s="236"/>
      <c r="O243" s="236"/>
      <c r="P243" s="236"/>
      <c r="Q243" s="236"/>
      <c r="R243" s="236"/>
      <c r="S243" s="236"/>
      <c r="T243" s="236"/>
      <c r="U243" s="236"/>
      <c r="V243" s="236"/>
      <c r="W243" s="237"/>
      <c r="X243" s="237"/>
      <c r="Y243" s="237"/>
      <c r="Z243" s="237"/>
      <c r="AA243" s="237"/>
      <c r="AB243" s="237"/>
      <c r="AC243" s="237"/>
      <c r="AD243" s="237"/>
      <c r="AE243" s="237"/>
      <c r="AF243" s="237"/>
      <c r="AG243" s="237"/>
      <c r="AH243" s="237"/>
      <c r="AI243" s="308"/>
      <c r="AJ243" s="308"/>
      <c r="AK243" s="308"/>
      <c r="AL243" s="308"/>
      <c r="AM243" s="308"/>
      <c r="AN243" s="98"/>
    </row>
    <row r="244" ht="14.25" customHeight="1">
      <c r="A244" s="179"/>
      <c r="B244" s="98"/>
      <c r="C244" s="98"/>
      <c r="D244" s="98"/>
      <c r="E244" s="98"/>
      <c r="F244" s="235"/>
      <c r="G244" s="235"/>
      <c r="H244" s="236"/>
      <c r="I244" s="236"/>
      <c r="J244" s="236"/>
      <c r="K244" s="236"/>
      <c r="L244" s="236"/>
      <c r="M244" s="236"/>
      <c r="N244" s="236"/>
      <c r="O244" s="236"/>
      <c r="P244" s="236"/>
      <c r="Q244" s="236"/>
      <c r="R244" s="236"/>
      <c r="S244" s="236"/>
      <c r="T244" s="236"/>
      <c r="U244" s="236"/>
      <c r="V244" s="236"/>
      <c r="W244" s="237"/>
      <c r="X244" s="237"/>
      <c r="Y244" s="237"/>
      <c r="Z244" s="237"/>
      <c r="AA244" s="237"/>
      <c r="AB244" s="237"/>
      <c r="AC244" s="237"/>
      <c r="AD244" s="237"/>
      <c r="AE244" s="237"/>
      <c r="AF244" s="237"/>
      <c r="AG244" s="237"/>
      <c r="AH244" s="237"/>
      <c r="AI244" s="308"/>
      <c r="AJ244" s="308"/>
      <c r="AK244" s="308"/>
      <c r="AL244" s="308"/>
      <c r="AM244" s="308"/>
      <c r="AN244" s="98"/>
    </row>
    <row r="245" ht="14.25" customHeight="1">
      <c r="A245" s="179"/>
      <c r="B245" s="98"/>
      <c r="C245" s="98"/>
      <c r="D245" s="98"/>
      <c r="E245" s="98"/>
      <c r="F245" s="235"/>
      <c r="G245" s="235"/>
      <c r="H245" s="236"/>
      <c r="I245" s="236"/>
      <c r="J245" s="236"/>
      <c r="K245" s="236"/>
      <c r="L245" s="236"/>
      <c r="M245" s="236"/>
      <c r="N245" s="236"/>
      <c r="O245" s="236"/>
      <c r="P245" s="236"/>
      <c r="Q245" s="236"/>
      <c r="R245" s="236"/>
      <c r="S245" s="236"/>
      <c r="T245" s="236"/>
      <c r="U245" s="236"/>
      <c r="V245" s="236"/>
      <c r="W245" s="237"/>
      <c r="X245" s="237"/>
      <c r="Y245" s="237"/>
      <c r="Z245" s="237"/>
      <c r="AA245" s="237"/>
      <c r="AB245" s="237"/>
      <c r="AC245" s="237"/>
      <c r="AD245" s="237"/>
      <c r="AE245" s="237"/>
      <c r="AF245" s="237"/>
      <c r="AG245" s="237"/>
      <c r="AH245" s="237"/>
      <c r="AI245" s="308"/>
      <c r="AJ245" s="308"/>
      <c r="AK245" s="308"/>
      <c r="AL245" s="308"/>
      <c r="AM245" s="308"/>
      <c r="AN245" s="98"/>
    </row>
    <row r="246" ht="14.25" customHeight="1">
      <c r="A246" s="179"/>
      <c r="B246" s="98"/>
      <c r="C246" s="98"/>
      <c r="D246" s="98"/>
      <c r="E246" s="98"/>
      <c r="F246" s="235"/>
      <c r="G246" s="235"/>
      <c r="H246" s="236"/>
      <c r="I246" s="236"/>
      <c r="J246" s="236"/>
      <c r="K246" s="236"/>
      <c r="L246" s="236"/>
      <c r="M246" s="236"/>
      <c r="N246" s="236"/>
      <c r="O246" s="236"/>
      <c r="P246" s="236"/>
      <c r="Q246" s="236"/>
      <c r="R246" s="236"/>
      <c r="S246" s="236"/>
      <c r="T246" s="236"/>
      <c r="U246" s="236"/>
      <c r="V246" s="236"/>
      <c r="W246" s="237"/>
      <c r="X246" s="237"/>
      <c r="Y246" s="237"/>
      <c r="Z246" s="237"/>
      <c r="AA246" s="237"/>
      <c r="AB246" s="237"/>
      <c r="AC246" s="237"/>
      <c r="AD246" s="237"/>
      <c r="AE246" s="237"/>
      <c r="AF246" s="237"/>
      <c r="AG246" s="237"/>
      <c r="AH246" s="237"/>
      <c r="AI246" s="308"/>
      <c r="AJ246" s="308"/>
      <c r="AK246" s="308"/>
      <c r="AL246" s="308"/>
      <c r="AM246" s="308"/>
      <c r="AN246" s="98"/>
    </row>
    <row r="247" ht="14.25" customHeight="1">
      <c r="A247" s="179"/>
      <c r="B247" s="98"/>
      <c r="C247" s="98"/>
      <c r="D247" s="98"/>
      <c r="E247" s="98"/>
      <c r="F247" s="235"/>
      <c r="G247" s="235"/>
      <c r="H247" s="236"/>
      <c r="I247" s="236"/>
      <c r="J247" s="236"/>
      <c r="K247" s="236"/>
      <c r="L247" s="236"/>
      <c r="M247" s="236"/>
      <c r="N247" s="236"/>
      <c r="O247" s="236"/>
      <c r="P247" s="236"/>
      <c r="Q247" s="236"/>
      <c r="R247" s="236"/>
      <c r="S247" s="236"/>
      <c r="T247" s="236"/>
      <c r="U247" s="236"/>
      <c r="V247" s="236"/>
      <c r="W247" s="237"/>
      <c r="X247" s="237"/>
      <c r="Y247" s="237"/>
      <c r="Z247" s="237"/>
      <c r="AA247" s="237"/>
      <c r="AB247" s="237"/>
      <c r="AC247" s="237"/>
      <c r="AD247" s="237"/>
      <c r="AE247" s="237"/>
      <c r="AF247" s="237"/>
      <c r="AG247" s="237"/>
      <c r="AH247" s="237"/>
      <c r="AI247" s="308"/>
      <c r="AJ247" s="308"/>
      <c r="AK247" s="308"/>
      <c r="AL247" s="308"/>
      <c r="AM247" s="308"/>
      <c r="AN247" s="98"/>
    </row>
    <row r="248" ht="14.25" customHeight="1">
      <c r="A248" s="179"/>
      <c r="B248" s="98"/>
      <c r="C248" s="98"/>
      <c r="D248" s="98"/>
      <c r="E248" s="98"/>
      <c r="F248" s="235"/>
      <c r="G248" s="235"/>
      <c r="H248" s="236"/>
      <c r="I248" s="236"/>
      <c r="J248" s="236"/>
      <c r="K248" s="236"/>
      <c r="L248" s="236"/>
      <c r="M248" s="236"/>
      <c r="N248" s="236"/>
      <c r="O248" s="236"/>
      <c r="P248" s="236"/>
      <c r="Q248" s="236"/>
      <c r="R248" s="236"/>
      <c r="S248" s="236"/>
      <c r="T248" s="236"/>
      <c r="U248" s="236"/>
      <c r="V248" s="236"/>
      <c r="W248" s="237"/>
      <c r="X248" s="237"/>
      <c r="Y248" s="237"/>
      <c r="Z248" s="237"/>
      <c r="AA248" s="237"/>
      <c r="AB248" s="237"/>
      <c r="AC248" s="237"/>
      <c r="AD248" s="237"/>
      <c r="AE248" s="237"/>
      <c r="AF248" s="237"/>
      <c r="AG248" s="237"/>
      <c r="AH248" s="237"/>
      <c r="AI248" s="308"/>
      <c r="AJ248" s="308"/>
      <c r="AK248" s="308"/>
      <c r="AL248" s="308"/>
      <c r="AM248" s="308"/>
      <c r="AN248" s="98"/>
    </row>
    <row r="249" ht="14.25" customHeight="1">
      <c r="A249" s="179"/>
      <c r="B249" s="98"/>
      <c r="C249" s="98"/>
      <c r="D249" s="98"/>
      <c r="E249" s="98"/>
      <c r="F249" s="235"/>
      <c r="G249" s="235"/>
      <c r="H249" s="236"/>
      <c r="I249" s="236"/>
      <c r="J249" s="236"/>
      <c r="K249" s="236"/>
      <c r="L249" s="236"/>
      <c r="M249" s="236"/>
      <c r="N249" s="236"/>
      <c r="O249" s="236"/>
      <c r="P249" s="236"/>
      <c r="Q249" s="236"/>
      <c r="R249" s="236"/>
      <c r="S249" s="236"/>
      <c r="T249" s="236"/>
      <c r="U249" s="236"/>
      <c r="V249" s="236"/>
      <c r="W249" s="237"/>
      <c r="X249" s="237"/>
      <c r="Y249" s="237"/>
      <c r="Z249" s="237"/>
      <c r="AA249" s="237"/>
      <c r="AB249" s="237"/>
      <c r="AC249" s="237"/>
      <c r="AD249" s="237"/>
      <c r="AE249" s="237"/>
      <c r="AF249" s="237"/>
      <c r="AG249" s="237"/>
      <c r="AH249" s="237"/>
      <c r="AI249" s="308"/>
      <c r="AJ249" s="308"/>
      <c r="AK249" s="308"/>
      <c r="AL249" s="308"/>
      <c r="AM249" s="308"/>
      <c r="AN249" s="98"/>
    </row>
    <row r="250" ht="14.25" customHeight="1">
      <c r="A250" s="179"/>
      <c r="B250" s="98"/>
      <c r="C250" s="98"/>
      <c r="D250" s="98"/>
      <c r="E250" s="98"/>
      <c r="F250" s="235"/>
      <c r="G250" s="235"/>
      <c r="H250" s="236"/>
      <c r="I250" s="236"/>
      <c r="J250" s="236"/>
      <c r="K250" s="236"/>
      <c r="L250" s="236"/>
      <c r="M250" s="236"/>
      <c r="N250" s="236"/>
      <c r="O250" s="236"/>
      <c r="P250" s="236"/>
      <c r="Q250" s="236"/>
      <c r="R250" s="236"/>
      <c r="S250" s="236"/>
      <c r="T250" s="236"/>
      <c r="U250" s="236"/>
      <c r="V250" s="236"/>
      <c r="W250" s="237"/>
      <c r="X250" s="237"/>
      <c r="Y250" s="237"/>
      <c r="Z250" s="237"/>
      <c r="AA250" s="237"/>
      <c r="AB250" s="237"/>
      <c r="AC250" s="237"/>
      <c r="AD250" s="237"/>
      <c r="AE250" s="237"/>
      <c r="AF250" s="237"/>
      <c r="AG250" s="237"/>
      <c r="AH250" s="237"/>
      <c r="AI250" s="308"/>
      <c r="AJ250" s="308"/>
      <c r="AK250" s="308"/>
      <c r="AL250" s="308"/>
      <c r="AM250" s="308"/>
      <c r="AN250" s="98"/>
    </row>
    <row r="251" ht="14.25" customHeight="1">
      <c r="A251" s="179"/>
      <c r="B251" s="98"/>
      <c r="C251" s="98"/>
      <c r="D251" s="98"/>
      <c r="E251" s="98"/>
      <c r="F251" s="235"/>
      <c r="G251" s="235"/>
      <c r="H251" s="236"/>
      <c r="I251" s="236"/>
      <c r="J251" s="236"/>
      <c r="K251" s="236"/>
      <c r="L251" s="236"/>
      <c r="M251" s="236"/>
      <c r="N251" s="236"/>
      <c r="O251" s="236"/>
      <c r="P251" s="236"/>
      <c r="Q251" s="236"/>
      <c r="R251" s="236"/>
      <c r="S251" s="236"/>
      <c r="T251" s="236"/>
      <c r="U251" s="236"/>
      <c r="V251" s="236"/>
      <c r="W251" s="237"/>
      <c r="X251" s="237"/>
      <c r="Y251" s="237"/>
      <c r="Z251" s="237"/>
      <c r="AA251" s="237"/>
      <c r="AB251" s="237"/>
      <c r="AC251" s="237"/>
      <c r="AD251" s="237"/>
      <c r="AE251" s="237"/>
      <c r="AF251" s="237"/>
      <c r="AG251" s="237"/>
      <c r="AH251" s="237"/>
      <c r="AI251" s="308"/>
      <c r="AJ251" s="308"/>
      <c r="AK251" s="308"/>
      <c r="AL251" s="308"/>
      <c r="AM251" s="308"/>
      <c r="AN251" s="98"/>
    </row>
    <row r="252" ht="14.25" customHeight="1">
      <c r="A252" s="179"/>
      <c r="B252" s="98"/>
      <c r="C252" s="98"/>
      <c r="D252" s="98"/>
      <c r="E252" s="98"/>
      <c r="F252" s="235"/>
      <c r="G252" s="235"/>
      <c r="H252" s="236"/>
      <c r="I252" s="236"/>
      <c r="J252" s="236"/>
      <c r="K252" s="236"/>
      <c r="L252" s="236"/>
      <c r="M252" s="236"/>
      <c r="N252" s="236"/>
      <c r="O252" s="236"/>
      <c r="P252" s="236"/>
      <c r="Q252" s="236"/>
      <c r="R252" s="236"/>
      <c r="S252" s="236"/>
      <c r="T252" s="236"/>
      <c r="U252" s="236"/>
      <c r="V252" s="236"/>
      <c r="W252" s="237"/>
      <c r="X252" s="237"/>
      <c r="Y252" s="237"/>
      <c r="Z252" s="237"/>
      <c r="AA252" s="237"/>
      <c r="AB252" s="237"/>
      <c r="AC252" s="237"/>
      <c r="AD252" s="237"/>
      <c r="AE252" s="237"/>
      <c r="AF252" s="237"/>
      <c r="AG252" s="237"/>
      <c r="AH252" s="237"/>
      <c r="AI252" s="308"/>
      <c r="AJ252" s="308"/>
      <c r="AK252" s="308"/>
      <c r="AL252" s="308"/>
      <c r="AM252" s="308"/>
      <c r="AN252" s="98"/>
    </row>
    <row r="253" ht="14.25" customHeight="1">
      <c r="A253" s="179"/>
      <c r="B253" s="98"/>
      <c r="C253" s="98"/>
      <c r="D253" s="98"/>
      <c r="E253" s="98"/>
      <c r="F253" s="235"/>
      <c r="G253" s="235"/>
      <c r="H253" s="236"/>
      <c r="I253" s="236"/>
      <c r="J253" s="236"/>
      <c r="K253" s="236"/>
      <c r="L253" s="236"/>
      <c r="M253" s="236"/>
      <c r="N253" s="236"/>
      <c r="O253" s="236"/>
      <c r="P253" s="236"/>
      <c r="Q253" s="236"/>
      <c r="R253" s="236"/>
      <c r="S253" s="236"/>
      <c r="T253" s="236"/>
      <c r="U253" s="236"/>
      <c r="V253" s="236"/>
      <c r="W253" s="237"/>
      <c r="X253" s="237"/>
      <c r="Y253" s="237"/>
      <c r="Z253" s="237"/>
      <c r="AA253" s="237"/>
      <c r="AB253" s="237"/>
      <c r="AC253" s="237"/>
      <c r="AD253" s="237"/>
      <c r="AE253" s="237"/>
      <c r="AF253" s="237"/>
      <c r="AG253" s="237"/>
      <c r="AH253" s="237"/>
      <c r="AI253" s="308"/>
      <c r="AJ253" s="308"/>
      <c r="AK253" s="308"/>
      <c r="AL253" s="308"/>
      <c r="AM253" s="308"/>
      <c r="AN253" s="98"/>
    </row>
    <row r="254" ht="14.25" customHeight="1">
      <c r="A254" s="179"/>
      <c r="B254" s="98"/>
      <c r="C254" s="98"/>
      <c r="D254" s="98"/>
      <c r="E254" s="98"/>
      <c r="F254" s="235"/>
      <c r="G254" s="235"/>
      <c r="H254" s="236"/>
      <c r="I254" s="236"/>
      <c r="J254" s="236"/>
      <c r="K254" s="236"/>
      <c r="L254" s="236"/>
      <c r="M254" s="236"/>
      <c r="N254" s="236"/>
      <c r="O254" s="236"/>
      <c r="P254" s="236"/>
      <c r="Q254" s="236"/>
      <c r="R254" s="236"/>
      <c r="S254" s="236"/>
      <c r="T254" s="236"/>
      <c r="U254" s="236"/>
      <c r="V254" s="236"/>
      <c r="W254" s="237"/>
      <c r="X254" s="237"/>
      <c r="Y254" s="237"/>
      <c r="Z254" s="237"/>
      <c r="AA254" s="237"/>
      <c r="AB254" s="237"/>
      <c r="AC254" s="237"/>
      <c r="AD254" s="237"/>
      <c r="AE254" s="237"/>
      <c r="AF254" s="237"/>
      <c r="AG254" s="237"/>
      <c r="AH254" s="237"/>
      <c r="AI254" s="308"/>
      <c r="AJ254" s="308"/>
      <c r="AK254" s="308"/>
      <c r="AL254" s="308"/>
      <c r="AM254" s="308"/>
      <c r="AN254" s="98"/>
    </row>
    <row r="255" ht="14.25" customHeight="1">
      <c r="A255" s="179"/>
      <c r="B255" s="98"/>
      <c r="C255" s="98"/>
      <c r="D255" s="98"/>
      <c r="E255" s="98"/>
      <c r="F255" s="235"/>
      <c r="G255" s="235"/>
      <c r="H255" s="236"/>
      <c r="I255" s="236"/>
      <c r="J255" s="236"/>
      <c r="K255" s="236"/>
      <c r="L255" s="236"/>
      <c r="M255" s="236"/>
      <c r="N255" s="236"/>
      <c r="O255" s="236"/>
      <c r="P255" s="236"/>
      <c r="Q255" s="236"/>
      <c r="R255" s="236"/>
      <c r="S255" s="236"/>
      <c r="T255" s="236"/>
      <c r="U255" s="236"/>
      <c r="V255" s="236"/>
      <c r="W255" s="237"/>
      <c r="X255" s="237"/>
      <c r="Y255" s="237"/>
      <c r="Z255" s="237"/>
      <c r="AA255" s="237"/>
      <c r="AB255" s="237"/>
      <c r="AC255" s="237"/>
      <c r="AD255" s="237"/>
      <c r="AE255" s="237"/>
      <c r="AF255" s="237"/>
      <c r="AG255" s="237"/>
      <c r="AH255" s="237"/>
      <c r="AI255" s="308"/>
      <c r="AJ255" s="308"/>
      <c r="AK255" s="308"/>
      <c r="AL255" s="308"/>
      <c r="AM255" s="308"/>
      <c r="AN255" s="98"/>
    </row>
    <row r="256" ht="14.25" customHeight="1">
      <c r="A256" s="179"/>
      <c r="B256" s="98"/>
      <c r="C256" s="98"/>
      <c r="D256" s="98"/>
      <c r="E256" s="98"/>
      <c r="F256" s="235"/>
      <c r="G256" s="235"/>
      <c r="H256" s="236"/>
      <c r="I256" s="236"/>
      <c r="J256" s="236"/>
      <c r="K256" s="236"/>
      <c r="L256" s="236"/>
      <c r="M256" s="236"/>
      <c r="N256" s="236"/>
      <c r="O256" s="236"/>
      <c r="P256" s="236"/>
      <c r="Q256" s="236"/>
      <c r="R256" s="236"/>
      <c r="S256" s="236"/>
      <c r="T256" s="236"/>
      <c r="U256" s="236"/>
      <c r="V256" s="236"/>
      <c r="W256" s="237"/>
      <c r="X256" s="237"/>
      <c r="Y256" s="237"/>
      <c r="Z256" s="237"/>
      <c r="AA256" s="237"/>
      <c r="AB256" s="237"/>
      <c r="AC256" s="237"/>
      <c r="AD256" s="237"/>
      <c r="AE256" s="237"/>
      <c r="AF256" s="237"/>
      <c r="AG256" s="237"/>
      <c r="AH256" s="237"/>
      <c r="AI256" s="308"/>
      <c r="AJ256" s="308"/>
      <c r="AK256" s="308"/>
      <c r="AL256" s="308"/>
      <c r="AM256" s="308"/>
      <c r="AN256" s="98"/>
    </row>
    <row r="257" ht="14.25" customHeight="1">
      <c r="A257" s="179"/>
      <c r="B257" s="98"/>
      <c r="C257" s="98"/>
      <c r="D257" s="98"/>
      <c r="E257" s="98"/>
      <c r="F257" s="235"/>
      <c r="G257" s="235"/>
      <c r="H257" s="236"/>
      <c r="I257" s="236"/>
      <c r="J257" s="236"/>
      <c r="K257" s="236"/>
      <c r="L257" s="236"/>
      <c r="M257" s="236"/>
      <c r="N257" s="236"/>
      <c r="O257" s="236"/>
      <c r="P257" s="236"/>
      <c r="Q257" s="236"/>
      <c r="R257" s="236"/>
      <c r="S257" s="236"/>
      <c r="T257" s="236"/>
      <c r="U257" s="236"/>
      <c r="V257" s="236"/>
      <c r="W257" s="237"/>
      <c r="X257" s="237"/>
      <c r="Y257" s="237"/>
      <c r="Z257" s="237"/>
      <c r="AA257" s="237"/>
      <c r="AB257" s="237"/>
      <c r="AC257" s="237"/>
      <c r="AD257" s="237"/>
      <c r="AE257" s="237"/>
      <c r="AF257" s="237"/>
      <c r="AG257" s="237"/>
      <c r="AH257" s="237"/>
      <c r="AI257" s="308"/>
      <c r="AJ257" s="308"/>
      <c r="AK257" s="308"/>
      <c r="AL257" s="308"/>
      <c r="AM257" s="308"/>
      <c r="AN257" s="98"/>
    </row>
    <row r="258" ht="14.25" customHeight="1">
      <c r="A258" s="179"/>
      <c r="B258" s="98"/>
      <c r="C258" s="98"/>
      <c r="D258" s="98"/>
      <c r="E258" s="98"/>
      <c r="F258" s="235"/>
      <c r="G258" s="235"/>
      <c r="H258" s="236"/>
      <c r="I258" s="236"/>
      <c r="J258" s="236"/>
      <c r="K258" s="236"/>
      <c r="L258" s="236"/>
      <c r="M258" s="236"/>
      <c r="N258" s="236"/>
      <c r="O258" s="236"/>
      <c r="P258" s="236"/>
      <c r="Q258" s="236"/>
      <c r="R258" s="236"/>
      <c r="S258" s="236"/>
      <c r="T258" s="236"/>
      <c r="U258" s="236"/>
      <c r="V258" s="236"/>
      <c r="W258" s="237"/>
      <c r="X258" s="237"/>
      <c r="Y258" s="237"/>
      <c r="Z258" s="237"/>
      <c r="AA258" s="237"/>
      <c r="AB258" s="237"/>
      <c r="AC258" s="237"/>
      <c r="AD258" s="237"/>
      <c r="AE258" s="237"/>
      <c r="AF258" s="237"/>
      <c r="AG258" s="237"/>
      <c r="AH258" s="237"/>
      <c r="AI258" s="308"/>
      <c r="AJ258" s="308"/>
      <c r="AK258" s="308"/>
      <c r="AL258" s="308"/>
      <c r="AM258" s="308"/>
      <c r="AN258" s="98"/>
    </row>
    <row r="259" ht="14.25" customHeight="1">
      <c r="A259" s="179"/>
      <c r="B259" s="98"/>
      <c r="C259" s="98"/>
      <c r="D259" s="98"/>
      <c r="E259" s="98"/>
      <c r="F259" s="235"/>
      <c r="G259" s="235"/>
      <c r="H259" s="236"/>
      <c r="I259" s="236"/>
      <c r="J259" s="236"/>
      <c r="K259" s="236"/>
      <c r="L259" s="236"/>
      <c r="M259" s="236"/>
      <c r="N259" s="236"/>
      <c r="O259" s="236"/>
      <c r="P259" s="236"/>
      <c r="Q259" s="236"/>
      <c r="R259" s="236"/>
      <c r="S259" s="236"/>
      <c r="T259" s="236"/>
      <c r="U259" s="236"/>
      <c r="V259" s="236"/>
      <c r="W259" s="237"/>
      <c r="X259" s="237"/>
      <c r="Y259" s="237"/>
      <c r="Z259" s="237"/>
      <c r="AA259" s="237"/>
      <c r="AB259" s="237"/>
      <c r="AC259" s="237"/>
      <c r="AD259" s="237"/>
      <c r="AE259" s="237"/>
      <c r="AF259" s="237"/>
      <c r="AG259" s="237"/>
      <c r="AH259" s="237"/>
      <c r="AI259" s="308"/>
      <c r="AJ259" s="308"/>
      <c r="AK259" s="308"/>
      <c r="AL259" s="308"/>
      <c r="AM259" s="308"/>
      <c r="AN259" s="98"/>
    </row>
    <row r="260" ht="14.25" customHeight="1">
      <c r="A260" s="179"/>
      <c r="B260" s="98"/>
      <c r="C260" s="98"/>
      <c r="D260" s="98"/>
      <c r="E260" s="98"/>
      <c r="F260" s="235"/>
      <c r="G260" s="235"/>
      <c r="H260" s="236"/>
      <c r="I260" s="236"/>
      <c r="J260" s="236"/>
      <c r="K260" s="236"/>
      <c r="L260" s="236"/>
      <c r="M260" s="236"/>
      <c r="N260" s="236"/>
      <c r="O260" s="236"/>
      <c r="P260" s="236"/>
      <c r="Q260" s="236"/>
      <c r="R260" s="236"/>
      <c r="S260" s="236"/>
      <c r="T260" s="236"/>
      <c r="U260" s="236"/>
      <c r="V260" s="236"/>
      <c r="W260" s="237"/>
      <c r="X260" s="237"/>
      <c r="Y260" s="237"/>
      <c r="Z260" s="237"/>
      <c r="AA260" s="237"/>
      <c r="AB260" s="237"/>
      <c r="AC260" s="237"/>
      <c r="AD260" s="237"/>
      <c r="AE260" s="237"/>
      <c r="AF260" s="237"/>
      <c r="AG260" s="237"/>
      <c r="AH260" s="237"/>
      <c r="AI260" s="308"/>
      <c r="AJ260" s="308"/>
      <c r="AK260" s="308"/>
      <c r="AL260" s="308"/>
      <c r="AM260" s="308"/>
      <c r="AN260" s="98"/>
    </row>
    <row r="261" ht="14.25" customHeight="1">
      <c r="A261" s="179"/>
      <c r="B261" s="98"/>
      <c r="C261" s="98"/>
      <c r="D261" s="98"/>
      <c r="E261" s="98"/>
      <c r="F261" s="235"/>
      <c r="G261" s="235"/>
      <c r="H261" s="236"/>
      <c r="I261" s="236"/>
      <c r="J261" s="236"/>
      <c r="K261" s="236"/>
      <c r="L261" s="236"/>
      <c r="M261" s="236"/>
      <c r="N261" s="236"/>
      <c r="O261" s="236"/>
      <c r="P261" s="236"/>
      <c r="Q261" s="236"/>
      <c r="R261" s="236"/>
      <c r="S261" s="236"/>
      <c r="T261" s="236"/>
      <c r="U261" s="236"/>
      <c r="V261" s="236"/>
      <c r="W261" s="237"/>
      <c r="X261" s="237"/>
      <c r="Y261" s="237"/>
      <c r="Z261" s="237"/>
      <c r="AA261" s="237"/>
      <c r="AB261" s="237"/>
      <c r="AC261" s="237"/>
      <c r="AD261" s="237"/>
      <c r="AE261" s="237"/>
      <c r="AF261" s="237"/>
      <c r="AG261" s="237"/>
      <c r="AH261" s="237"/>
      <c r="AI261" s="308"/>
      <c r="AJ261" s="308"/>
      <c r="AK261" s="308"/>
      <c r="AL261" s="308"/>
      <c r="AM261" s="308"/>
      <c r="AN261" s="98"/>
    </row>
    <row r="262" ht="14.25" customHeight="1">
      <c r="A262" s="179"/>
      <c r="B262" s="98"/>
      <c r="C262" s="98"/>
      <c r="D262" s="98"/>
      <c r="E262" s="98"/>
      <c r="F262" s="235"/>
      <c r="G262" s="235"/>
      <c r="H262" s="236"/>
      <c r="I262" s="236"/>
      <c r="J262" s="236"/>
      <c r="K262" s="236"/>
      <c r="L262" s="236"/>
      <c r="M262" s="236"/>
      <c r="N262" s="236"/>
      <c r="O262" s="236"/>
      <c r="P262" s="236"/>
      <c r="Q262" s="236"/>
      <c r="R262" s="236"/>
      <c r="S262" s="236"/>
      <c r="T262" s="236"/>
      <c r="U262" s="236"/>
      <c r="V262" s="236"/>
      <c r="W262" s="237"/>
      <c r="X262" s="237"/>
      <c r="Y262" s="237"/>
      <c r="Z262" s="237"/>
      <c r="AA262" s="237"/>
      <c r="AB262" s="237"/>
      <c r="AC262" s="237"/>
      <c r="AD262" s="237"/>
      <c r="AE262" s="237"/>
      <c r="AF262" s="237"/>
      <c r="AG262" s="237"/>
      <c r="AH262" s="237"/>
      <c r="AI262" s="308"/>
      <c r="AJ262" s="308"/>
      <c r="AK262" s="308"/>
      <c r="AL262" s="308"/>
      <c r="AM262" s="308"/>
      <c r="AN262" s="98"/>
    </row>
    <row r="263" ht="14.25" customHeight="1">
      <c r="A263" s="179"/>
      <c r="B263" s="98"/>
      <c r="C263" s="98"/>
      <c r="D263" s="98"/>
      <c r="E263" s="98"/>
      <c r="F263" s="235"/>
      <c r="G263" s="235"/>
      <c r="H263" s="236"/>
      <c r="I263" s="236"/>
      <c r="J263" s="236"/>
      <c r="K263" s="236"/>
      <c r="L263" s="236"/>
      <c r="M263" s="236"/>
      <c r="N263" s="236"/>
      <c r="O263" s="236"/>
      <c r="P263" s="236"/>
      <c r="Q263" s="236"/>
      <c r="R263" s="236"/>
      <c r="S263" s="236"/>
      <c r="T263" s="236"/>
      <c r="U263" s="236"/>
      <c r="V263" s="236"/>
      <c r="W263" s="237"/>
      <c r="X263" s="237"/>
      <c r="Y263" s="237"/>
      <c r="Z263" s="237"/>
      <c r="AA263" s="237"/>
      <c r="AB263" s="237"/>
      <c r="AC263" s="237"/>
      <c r="AD263" s="237"/>
      <c r="AE263" s="237"/>
      <c r="AF263" s="237"/>
      <c r="AG263" s="237"/>
      <c r="AH263" s="237"/>
      <c r="AI263" s="308"/>
      <c r="AJ263" s="308"/>
      <c r="AK263" s="308"/>
      <c r="AL263" s="308"/>
      <c r="AM263" s="308"/>
      <c r="AN263" s="98"/>
    </row>
    <row r="264" ht="14.25" customHeight="1">
      <c r="A264" s="179"/>
      <c r="B264" s="98"/>
      <c r="C264" s="98"/>
      <c r="D264" s="98"/>
      <c r="E264" s="98"/>
      <c r="F264" s="235"/>
      <c r="G264" s="235"/>
      <c r="H264" s="236"/>
      <c r="I264" s="236"/>
      <c r="J264" s="236"/>
      <c r="K264" s="236"/>
      <c r="L264" s="236"/>
      <c r="M264" s="236"/>
      <c r="N264" s="236"/>
      <c r="O264" s="236"/>
      <c r="P264" s="236"/>
      <c r="Q264" s="236"/>
      <c r="R264" s="236"/>
      <c r="S264" s="236"/>
      <c r="T264" s="236"/>
      <c r="U264" s="236"/>
      <c r="V264" s="236"/>
      <c r="W264" s="237"/>
      <c r="X264" s="237"/>
      <c r="Y264" s="237"/>
      <c r="Z264" s="237"/>
      <c r="AA264" s="237"/>
      <c r="AB264" s="237"/>
      <c r="AC264" s="237"/>
      <c r="AD264" s="237"/>
      <c r="AE264" s="237"/>
      <c r="AF264" s="237"/>
      <c r="AG264" s="237"/>
      <c r="AH264" s="237"/>
      <c r="AI264" s="308"/>
      <c r="AJ264" s="308"/>
      <c r="AK264" s="308"/>
      <c r="AL264" s="308"/>
      <c r="AM264" s="308"/>
      <c r="AN264" s="98"/>
    </row>
    <row r="265" ht="14.25" customHeight="1">
      <c r="A265" s="179"/>
      <c r="B265" s="98"/>
      <c r="C265" s="98"/>
      <c r="D265" s="98"/>
      <c r="E265" s="98"/>
      <c r="F265" s="235"/>
      <c r="G265" s="235"/>
      <c r="H265" s="236"/>
      <c r="I265" s="236"/>
      <c r="J265" s="236"/>
      <c r="K265" s="236"/>
      <c r="L265" s="236"/>
      <c r="M265" s="236"/>
      <c r="N265" s="236"/>
      <c r="O265" s="236"/>
      <c r="P265" s="236"/>
      <c r="Q265" s="236"/>
      <c r="R265" s="236"/>
      <c r="S265" s="236"/>
      <c r="T265" s="236"/>
      <c r="U265" s="236"/>
      <c r="V265" s="236"/>
      <c r="W265" s="237"/>
      <c r="X265" s="237"/>
      <c r="Y265" s="237"/>
      <c r="Z265" s="237"/>
      <c r="AA265" s="237"/>
      <c r="AB265" s="237"/>
      <c r="AC265" s="237"/>
      <c r="AD265" s="237"/>
      <c r="AE265" s="237"/>
      <c r="AF265" s="237"/>
      <c r="AG265" s="237"/>
      <c r="AH265" s="237"/>
      <c r="AI265" s="308"/>
      <c r="AJ265" s="308"/>
      <c r="AK265" s="308"/>
      <c r="AL265" s="308"/>
      <c r="AM265" s="308"/>
      <c r="AN265" s="98"/>
    </row>
    <row r="266" ht="14.25" customHeight="1">
      <c r="A266" s="179"/>
      <c r="B266" s="98"/>
      <c r="C266" s="98"/>
      <c r="D266" s="98"/>
      <c r="E266" s="98"/>
      <c r="F266" s="235"/>
      <c r="G266" s="235"/>
      <c r="H266" s="236"/>
      <c r="I266" s="236"/>
      <c r="J266" s="236"/>
      <c r="K266" s="236"/>
      <c r="L266" s="236"/>
      <c r="M266" s="236"/>
      <c r="N266" s="236"/>
      <c r="O266" s="236"/>
      <c r="P266" s="236"/>
      <c r="Q266" s="236"/>
      <c r="R266" s="236"/>
      <c r="S266" s="236"/>
      <c r="T266" s="236"/>
      <c r="U266" s="236"/>
      <c r="V266" s="236"/>
      <c r="W266" s="237"/>
      <c r="X266" s="237"/>
      <c r="Y266" s="237"/>
      <c r="Z266" s="237"/>
      <c r="AA266" s="237"/>
      <c r="AB266" s="237"/>
      <c r="AC266" s="237"/>
      <c r="AD266" s="237"/>
      <c r="AE266" s="237"/>
      <c r="AF266" s="237"/>
      <c r="AG266" s="237"/>
      <c r="AH266" s="237"/>
      <c r="AI266" s="308"/>
      <c r="AJ266" s="308"/>
      <c r="AK266" s="308"/>
      <c r="AL266" s="308"/>
      <c r="AM266" s="308"/>
      <c r="AN266" s="98"/>
    </row>
    <row r="267" ht="14.25" customHeight="1">
      <c r="A267" s="179"/>
      <c r="B267" s="98"/>
      <c r="C267" s="98"/>
      <c r="D267" s="98"/>
      <c r="E267" s="98"/>
      <c r="F267" s="235"/>
      <c r="G267" s="235"/>
      <c r="H267" s="236"/>
      <c r="I267" s="236"/>
      <c r="J267" s="236"/>
      <c r="K267" s="236"/>
      <c r="L267" s="236"/>
      <c r="M267" s="236"/>
      <c r="N267" s="236"/>
      <c r="O267" s="236"/>
      <c r="P267" s="236"/>
      <c r="Q267" s="236"/>
      <c r="R267" s="236"/>
      <c r="S267" s="236"/>
      <c r="T267" s="236"/>
      <c r="U267" s="236"/>
      <c r="V267" s="236"/>
      <c r="W267" s="237"/>
      <c r="X267" s="237"/>
      <c r="Y267" s="237"/>
      <c r="Z267" s="237"/>
      <c r="AA267" s="237"/>
      <c r="AB267" s="237"/>
      <c r="AC267" s="237"/>
      <c r="AD267" s="237"/>
      <c r="AE267" s="237"/>
      <c r="AF267" s="237"/>
      <c r="AG267" s="237"/>
      <c r="AH267" s="237"/>
      <c r="AI267" s="308"/>
      <c r="AJ267" s="308"/>
      <c r="AK267" s="308"/>
      <c r="AL267" s="308"/>
      <c r="AM267" s="308"/>
      <c r="AN267" s="98"/>
    </row>
    <row r="268" ht="14.25" customHeight="1">
      <c r="A268" s="179"/>
      <c r="B268" s="98"/>
      <c r="C268" s="98"/>
      <c r="D268" s="98"/>
      <c r="E268" s="98"/>
      <c r="F268" s="235"/>
      <c r="G268" s="235"/>
      <c r="H268" s="236"/>
      <c r="I268" s="236"/>
      <c r="J268" s="236"/>
      <c r="K268" s="236"/>
      <c r="L268" s="236"/>
      <c r="M268" s="236"/>
      <c r="N268" s="236"/>
      <c r="O268" s="236"/>
      <c r="P268" s="236"/>
      <c r="Q268" s="236"/>
      <c r="R268" s="236"/>
      <c r="S268" s="236"/>
      <c r="T268" s="236"/>
      <c r="U268" s="236"/>
      <c r="V268" s="236"/>
      <c r="W268" s="237"/>
      <c r="X268" s="237"/>
      <c r="Y268" s="237"/>
      <c r="Z268" s="237"/>
      <c r="AA268" s="237"/>
      <c r="AB268" s="237"/>
      <c r="AC268" s="237"/>
      <c r="AD268" s="237"/>
      <c r="AE268" s="237"/>
      <c r="AF268" s="237"/>
      <c r="AG268" s="237"/>
      <c r="AH268" s="237"/>
      <c r="AI268" s="308"/>
      <c r="AJ268" s="308"/>
      <c r="AK268" s="308"/>
      <c r="AL268" s="308"/>
      <c r="AM268" s="308"/>
      <c r="AN268" s="98"/>
    </row>
    <row r="269" ht="14.25" customHeight="1">
      <c r="A269" s="179"/>
      <c r="B269" s="98"/>
      <c r="C269" s="98"/>
      <c r="D269" s="98"/>
      <c r="E269" s="98"/>
      <c r="F269" s="235"/>
      <c r="G269" s="235"/>
      <c r="H269" s="236"/>
      <c r="I269" s="236"/>
      <c r="J269" s="236"/>
      <c r="K269" s="236"/>
      <c r="L269" s="236"/>
      <c r="M269" s="236"/>
      <c r="N269" s="236"/>
      <c r="O269" s="236"/>
      <c r="P269" s="236"/>
      <c r="Q269" s="236"/>
      <c r="R269" s="236"/>
      <c r="S269" s="236"/>
      <c r="T269" s="236"/>
      <c r="U269" s="236"/>
      <c r="V269" s="236"/>
      <c r="W269" s="237"/>
      <c r="X269" s="237"/>
      <c r="Y269" s="237"/>
      <c r="Z269" s="237"/>
      <c r="AA269" s="237"/>
      <c r="AB269" s="237"/>
      <c r="AC269" s="237"/>
      <c r="AD269" s="237"/>
      <c r="AE269" s="237"/>
      <c r="AF269" s="237"/>
      <c r="AG269" s="237"/>
      <c r="AH269" s="237"/>
      <c r="AI269" s="308"/>
      <c r="AJ269" s="308"/>
      <c r="AK269" s="308"/>
      <c r="AL269" s="308"/>
      <c r="AM269" s="308"/>
      <c r="AN269" s="98"/>
    </row>
    <row r="270" ht="14.25" customHeight="1">
      <c r="A270" s="179"/>
      <c r="B270" s="98"/>
      <c r="C270" s="98"/>
      <c r="D270" s="98"/>
      <c r="E270" s="98"/>
      <c r="F270" s="235"/>
      <c r="G270" s="235"/>
      <c r="H270" s="236"/>
      <c r="I270" s="236"/>
      <c r="J270" s="236"/>
      <c r="K270" s="236"/>
      <c r="L270" s="236"/>
      <c r="M270" s="236"/>
      <c r="N270" s="236"/>
      <c r="O270" s="236"/>
      <c r="P270" s="236"/>
      <c r="Q270" s="236"/>
      <c r="R270" s="236"/>
      <c r="S270" s="236"/>
      <c r="T270" s="236"/>
      <c r="U270" s="236"/>
      <c r="V270" s="236"/>
      <c r="W270" s="237"/>
      <c r="X270" s="237"/>
      <c r="Y270" s="237"/>
      <c r="Z270" s="237"/>
      <c r="AA270" s="237"/>
      <c r="AB270" s="237"/>
      <c r="AC270" s="237"/>
      <c r="AD270" s="237"/>
      <c r="AE270" s="237"/>
      <c r="AF270" s="237"/>
      <c r="AG270" s="237"/>
      <c r="AH270" s="237"/>
      <c r="AI270" s="308"/>
      <c r="AJ270" s="308"/>
      <c r="AK270" s="308"/>
      <c r="AL270" s="308"/>
      <c r="AM270" s="308"/>
      <c r="AN270" s="98"/>
    </row>
    <row r="271" ht="14.25" customHeight="1">
      <c r="A271" s="179"/>
      <c r="B271" s="98"/>
      <c r="C271" s="98"/>
      <c r="D271" s="98"/>
      <c r="E271" s="98"/>
      <c r="F271" s="235"/>
      <c r="G271" s="235"/>
      <c r="H271" s="236"/>
      <c r="I271" s="236"/>
      <c r="J271" s="236"/>
      <c r="K271" s="236"/>
      <c r="L271" s="236"/>
      <c r="M271" s="236"/>
      <c r="N271" s="236"/>
      <c r="O271" s="236"/>
      <c r="P271" s="236"/>
      <c r="Q271" s="236"/>
      <c r="R271" s="236"/>
      <c r="S271" s="236"/>
      <c r="T271" s="236"/>
      <c r="U271" s="236"/>
      <c r="V271" s="236"/>
      <c r="W271" s="237"/>
      <c r="X271" s="237"/>
      <c r="Y271" s="237"/>
      <c r="Z271" s="237"/>
      <c r="AA271" s="237"/>
      <c r="AB271" s="237"/>
      <c r="AC271" s="237"/>
      <c r="AD271" s="237"/>
      <c r="AE271" s="237"/>
      <c r="AF271" s="237"/>
      <c r="AG271" s="237"/>
      <c r="AH271" s="237"/>
      <c r="AI271" s="308"/>
      <c r="AJ271" s="308"/>
      <c r="AK271" s="308"/>
      <c r="AL271" s="308"/>
      <c r="AM271" s="308"/>
      <c r="AN271" s="98"/>
    </row>
    <row r="272" ht="14.25" customHeight="1">
      <c r="A272" s="179"/>
      <c r="B272" s="98"/>
      <c r="C272" s="98"/>
      <c r="D272" s="98"/>
      <c r="E272" s="98"/>
      <c r="F272" s="235"/>
      <c r="G272" s="235"/>
      <c r="H272" s="236"/>
      <c r="I272" s="236"/>
      <c r="J272" s="236"/>
      <c r="K272" s="236"/>
      <c r="L272" s="236"/>
      <c r="M272" s="236"/>
      <c r="N272" s="236"/>
      <c r="O272" s="236"/>
      <c r="P272" s="236"/>
      <c r="Q272" s="236"/>
      <c r="R272" s="236"/>
      <c r="S272" s="236"/>
      <c r="T272" s="236"/>
      <c r="U272" s="236"/>
      <c r="V272" s="236"/>
      <c r="W272" s="237"/>
      <c r="X272" s="237"/>
      <c r="Y272" s="237"/>
      <c r="Z272" s="237"/>
      <c r="AA272" s="237"/>
      <c r="AB272" s="237"/>
      <c r="AC272" s="237"/>
      <c r="AD272" s="237"/>
      <c r="AE272" s="237"/>
      <c r="AF272" s="237"/>
      <c r="AG272" s="237"/>
      <c r="AH272" s="237"/>
      <c r="AI272" s="308"/>
      <c r="AJ272" s="308"/>
      <c r="AK272" s="308"/>
      <c r="AL272" s="308"/>
      <c r="AM272" s="308"/>
      <c r="AN272" s="98"/>
    </row>
    <row r="273" ht="14.25" customHeight="1">
      <c r="A273" s="179"/>
      <c r="B273" s="98"/>
      <c r="C273" s="98"/>
      <c r="D273" s="98"/>
      <c r="E273" s="98"/>
      <c r="F273" s="235"/>
      <c r="G273" s="235"/>
      <c r="H273" s="236"/>
      <c r="I273" s="236"/>
      <c r="J273" s="236"/>
      <c r="K273" s="236"/>
      <c r="L273" s="236"/>
      <c r="M273" s="236"/>
      <c r="N273" s="236"/>
      <c r="O273" s="236"/>
      <c r="P273" s="236"/>
      <c r="Q273" s="236"/>
      <c r="R273" s="236"/>
      <c r="S273" s="236"/>
      <c r="T273" s="236"/>
      <c r="U273" s="236"/>
      <c r="V273" s="236"/>
      <c r="W273" s="237"/>
      <c r="X273" s="237"/>
      <c r="Y273" s="237"/>
      <c r="Z273" s="237"/>
      <c r="AA273" s="237"/>
      <c r="AB273" s="237"/>
      <c r="AC273" s="237"/>
      <c r="AD273" s="237"/>
      <c r="AE273" s="237"/>
      <c r="AF273" s="237"/>
      <c r="AG273" s="237"/>
      <c r="AH273" s="237"/>
      <c r="AI273" s="308"/>
      <c r="AJ273" s="308"/>
      <c r="AK273" s="308"/>
      <c r="AL273" s="308"/>
      <c r="AM273" s="308"/>
      <c r="AN273" s="98"/>
    </row>
    <row r="274" ht="14.25" customHeight="1">
      <c r="A274" s="179"/>
      <c r="B274" s="98"/>
      <c r="C274" s="98"/>
      <c r="D274" s="98"/>
      <c r="E274" s="98"/>
      <c r="F274" s="235"/>
      <c r="G274" s="235"/>
      <c r="H274" s="236"/>
      <c r="I274" s="236"/>
      <c r="J274" s="236"/>
      <c r="K274" s="236"/>
      <c r="L274" s="236"/>
      <c r="M274" s="236"/>
      <c r="N274" s="236"/>
      <c r="O274" s="236"/>
      <c r="P274" s="236"/>
      <c r="Q274" s="236"/>
      <c r="R274" s="236"/>
      <c r="S274" s="236"/>
      <c r="T274" s="236"/>
      <c r="U274" s="236"/>
      <c r="V274" s="236"/>
      <c r="W274" s="237"/>
      <c r="X274" s="237"/>
      <c r="Y274" s="237"/>
      <c r="Z274" s="237"/>
      <c r="AA274" s="237"/>
      <c r="AB274" s="237"/>
      <c r="AC274" s="237"/>
      <c r="AD274" s="237"/>
      <c r="AE274" s="237"/>
      <c r="AF274" s="237"/>
      <c r="AG274" s="237"/>
      <c r="AH274" s="237"/>
      <c r="AI274" s="308"/>
      <c r="AJ274" s="308"/>
      <c r="AK274" s="308"/>
      <c r="AL274" s="308"/>
      <c r="AM274" s="308"/>
      <c r="AN274" s="98"/>
    </row>
    <row r="275" ht="14.25" customHeight="1">
      <c r="A275" s="179"/>
      <c r="B275" s="98"/>
      <c r="C275" s="98"/>
      <c r="D275" s="98"/>
      <c r="E275" s="98"/>
      <c r="F275" s="235"/>
      <c r="G275" s="235"/>
      <c r="H275" s="236"/>
      <c r="I275" s="236"/>
      <c r="J275" s="236"/>
      <c r="K275" s="236"/>
      <c r="L275" s="236"/>
      <c r="M275" s="236"/>
      <c r="N275" s="236"/>
      <c r="O275" s="236"/>
      <c r="P275" s="236"/>
      <c r="Q275" s="236"/>
      <c r="R275" s="236"/>
      <c r="S275" s="236"/>
      <c r="T275" s="236"/>
      <c r="U275" s="236"/>
      <c r="V275" s="236"/>
      <c r="W275" s="237"/>
      <c r="X275" s="237"/>
      <c r="Y275" s="237"/>
      <c r="Z275" s="237"/>
      <c r="AA275" s="237"/>
      <c r="AB275" s="237"/>
      <c r="AC275" s="237"/>
      <c r="AD275" s="237"/>
      <c r="AE275" s="237"/>
      <c r="AF275" s="237"/>
      <c r="AG275" s="237"/>
      <c r="AH275" s="237"/>
      <c r="AI275" s="308"/>
      <c r="AJ275" s="308"/>
      <c r="AK275" s="308"/>
      <c r="AL275" s="308"/>
      <c r="AM275" s="308"/>
      <c r="AN275" s="98"/>
    </row>
    <row r="276" ht="14.25" customHeight="1">
      <c r="A276" s="179"/>
      <c r="B276" s="98"/>
      <c r="C276" s="98"/>
      <c r="D276" s="98"/>
      <c r="E276" s="98"/>
      <c r="F276" s="235"/>
      <c r="G276" s="235"/>
      <c r="H276" s="236"/>
      <c r="I276" s="236"/>
      <c r="J276" s="236"/>
      <c r="K276" s="236"/>
      <c r="L276" s="236"/>
      <c r="M276" s="236"/>
      <c r="N276" s="236"/>
      <c r="O276" s="236"/>
      <c r="P276" s="236"/>
      <c r="Q276" s="236"/>
      <c r="R276" s="236"/>
      <c r="S276" s="236"/>
      <c r="T276" s="236"/>
      <c r="U276" s="236"/>
      <c r="V276" s="236"/>
      <c r="W276" s="237"/>
      <c r="X276" s="237"/>
      <c r="Y276" s="237"/>
      <c r="Z276" s="237"/>
      <c r="AA276" s="237"/>
      <c r="AB276" s="237"/>
      <c r="AC276" s="237"/>
      <c r="AD276" s="237"/>
      <c r="AE276" s="237"/>
      <c r="AF276" s="237"/>
      <c r="AG276" s="237"/>
      <c r="AH276" s="237"/>
      <c r="AI276" s="308"/>
      <c r="AJ276" s="308"/>
      <c r="AK276" s="308"/>
      <c r="AL276" s="308"/>
      <c r="AM276" s="308"/>
      <c r="AN276" s="98"/>
    </row>
    <row r="277" ht="14.25" customHeight="1">
      <c r="A277" s="179"/>
      <c r="B277" s="98"/>
      <c r="C277" s="98"/>
      <c r="D277" s="98"/>
      <c r="E277" s="98"/>
      <c r="F277" s="235"/>
      <c r="G277" s="235"/>
      <c r="H277" s="236"/>
      <c r="I277" s="236"/>
      <c r="J277" s="236"/>
      <c r="K277" s="236"/>
      <c r="L277" s="236"/>
      <c r="M277" s="236"/>
      <c r="N277" s="236"/>
      <c r="O277" s="236"/>
      <c r="P277" s="236"/>
      <c r="Q277" s="236"/>
      <c r="R277" s="236"/>
      <c r="S277" s="236"/>
      <c r="T277" s="236"/>
      <c r="U277" s="236"/>
      <c r="V277" s="236"/>
      <c r="W277" s="237"/>
      <c r="X277" s="237"/>
      <c r="Y277" s="237"/>
      <c r="Z277" s="237"/>
      <c r="AA277" s="237"/>
      <c r="AB277" s="237"/>
      <c r="AC277" s="237"/>
      <c r="AD277" s="237"/>
      <c r="AE277" s="237"/>
      <c r="AF277" s="237"/>
      <c r="AG277" s="237"/>
      <c r="AH277" s="237"/>
      <c r="AI277" s="308"/>
      <c r="AJ277" s="308"/>
      <c r="AK277" s="308"/>
      <c r="AL277" s="308"/>
      <c r="AM277" s="308"/>
      <c r="AN277" s="98"/>
    </row>
    <row r="278" ht="14.25" customHeight="1">
      <c r="A278" s="179"/>
      <c r="B278" s="98"/>
      <c r="C278" s="98"/>
      <c r="D278" s="98"/>
      <c r="E278" s="98"/>
      <c r="F278" s="235"/>
      <c r="G278" s="235"/>
      <c r="H278" s="236"/>
      <c r="I278" s="236"/>
      <c r="J278" s="236"/>
      <c r="K278" s="236"/>
      <c r="L278" s="236"/>
      <c r="M278" s="236"/>
      <c r="N278" s="236"/>
      <c r="O278" s="236"/>
      <c r="P278" s="236"/>
      <c r="Q278" s="236"/>
      <c r="R278" s="236"/>
      <c r="S278" s="236"/>
      <c r="T278" s="236"/>
      <c r="U278" s="236"/>
      <c r="V278" s="236"/>
      <c r="W278" s="237"/>
      <c r="X278" s="237"/>
      <c r="Y278" s="237"/>
      <c r="Z278" s="237"/>
      <c r="AA278" s="237"/>
      <c r="AB278" s="237"/>
      <c r="AC278" s="237"/>
      <c r="AD278" s="237"/>
      <c r="AE278" s="237"/>
      <c r="AF278" s="237"/>
      <c r="AG278" s="237"/>
      <c r="AH278" s="237"/>
      <c r="AI278" s="308"/>
      <c r="AJ278" s="308"/>
      <c r="AK278" s="308"/>
      <c r="AL278" s="308"/>
      <c r="AM278" s="308"/>
      <c r="AN278" s="98"/>
    </row>
    <row r="279" ht="14.25" customHeight="1">
      <c r="A279" s="179"/>
      <c r="B279" s="98"/>
      <c r="C279" s="98"/>
      <c r="D279" s="98"/>
      <c r="E279" s="98"/>
      <c r="F279" s="235"/>
      <c r="G279" s="235"/>
      <c r="H279" s="236"/>
      <c r="I279" s="236"/>
      <c r="J279" s="236"/>
      <c r="K279" s="236"/>
      <c r="L279" s="236"/>
      <c r="M279" s="236"/>
      <c r="N279" s="236"/>
      <c r="O279" s="236"/>
      <c r="P279" s="236"/>
      <c r="Q279" s="236"/>
      <c r="R279" s="236"/>
      <c r="S279" s="236"/>
      <c r="T279" s="236"/>
      <c r="U279" s="236"/>
      <c r="V279" s="236"/>
      <c r="W279" s="237"/>
      <c r="X279" s="237"/>
      <c r="Y279" s="237"/>
      <c r="Z279" s="237"/>
      <c r="AA279" s="237"/>
      <c r="AB279" s="237"/>
      <c r="AC279" s="237"/>
      <c r="AD279" s="237"/>
      <c r="AE279" s="237"/>
      <c r="AF279" s="237"/>
      <c r="AG279" s="237"/>
      <c r="AH279" s="237"/>
      <c r="AI279" s="308"/>
      <c r="AJ279" s="308"/>
      <c r="AK279" s="308"/>
      <c r="AL279" s="308"/>
      <c r="AM279" s="308"/>
      <c r="AN279" s="98"/>
    </row>
    <row r="280" ht="14.25" customHeight="1">
      <c r="A280" s="179"/>
      <c r="B280" s="98"/>
      <c r="C280" s="98"/>
      <c r="D280" s="98"/>
      <c r="E280" s="98"/>
      <c r="F280" s="235"/>
      <c r="G280" s="235"/>
      <c r="H280" s="236"/>
      <c r="I280" s="236"/>
      <c r="J280" s="236"/>
      <c r="K280" s="236"/>
      <c r="L280" s="236"/>
      <c r="M280" s="236"/>
      <c r="N280" s="236"/>
      <c r="O280" s="236"/>
      <c r="P280" s="236"/>
      <c r="Q280" s="236"/>
      <c r="R280" s="236"/>
      <c r="S280" s="236"/>
      <c r="T280" s="236"/>
      <c r="U280" s="236"/>
      <c r="V280" s="236"/>
      <c r="W280" s="237"/>
      <c r="X280" s="237"/>
      <c r="Y280" s="237"/>
      <c r="Z280" s="237"/>
      <c r="AA280" s="237"/>
      <c r="AB280" s="237"/>
      <c r="AC280" s="237"/>
      <c r="AD280" s="237"/>
      <c r="AE280" s="237"/>
      <c r="AF280" s="237"/>
      <c r="AG280" s="237"/>
      <c r="AH280" s="237"/>
      <c r="AI280" s="308"/>
      <c r="AJ280" s="308"/>
      <c r="AK280" s="308"/>
      <c r="AL280" s="308"/>
      <c r="AM280" s="308"/>
      <c r="AN280" s="98"/>
    </row>
    <row r="281" ht="14.25" customHeight="1">
      <c r="A281" s="179"/>
      <c r="B281" s="98"/>
      <c r="C281" s="98"/>
      <c r="D281" s="98"/>
      <c r="E281" s="98"/>
      <c r="F281" s="235"/>
      <c r="G281" s="235"/>
      <c r="H281" s="236"/>
      <c r="I281" s="236"/>
      <c r="J281" s="236"/>
      <c r="K281" s="236"/>
      <c r="L281" s="236"/>
      <c r="M281" s="236"/>
      <c r="N281" s="236"/>
      <c r="O281" s="236"/>
      <c r="P281" s="236"/>
      <c r="Q281" s="236"/>
      <c r="R281" s="236"/>
      <c r="S281" s="236"/>
      <c r="T281" s="236"/>
      <c r="U281" s="236"/>
      <c r="V281" s="236"/>
      <c r="W281" s="237"/>
      <c r="X281" s="237"/>
      <c r="Y281" s="237"/>
      <c r="Z281" s="237"/>
      <c r="AA281" s="237"/>
      <c r="AB281" s="237"/>
      <c r="AC281" s="237"/>
      <c r="AD281" s="237"/>
      <c r="AE281" s="237"/>
      <c r="AF281" s="237"/>
      <c r="AG281" s="237"/>
      <c r="AH281" s="237"/>
      <c r="AI281" s="308"/>
      <c r="AJ281" s="308"/>
      <c r="AK281" s="308"/>
      <c r="AL281" s="308"/>
      <c r="AM281" s="308"/>
      <c r="AN281" s="98"/>
    </row>
    <row r="282" ht="14.25" customHeight="1">
      <c r="A282" s="179"/>
      <c r="B282" s="98"/>
      <c r="C282" s="98"/>
      <c r="D282" s="98"/>
      <c r="E282" s="98"/>
      <c r="F282" s="235"/>
      <c r="G282" s="235"/>
      <c r="H282" s="236"/>
      <c r="I282" s="236"/>
      <c r="J282" s="236"/>
      <c r="K282" s="236"/>
      <c r="L282" s="236"/>
      <c r="M282" s="236"/>
      <c r="N282" s="236"/>
      <c r="O282" s="236"/>
      <c r="P282" s="236"/>
      <c r="Q282" s="236"/>
      <c r="R282" s="236"/>
      <c r="S282" s="236"/>
      <c r="T282" s="236"/>
      <c r="U282" s="236"/>
      <c r="V282" s="236"/>
      <c r="W282" s="237"/>
      <c r="X282" s="237"/>
      <c r="Y282" s="237"/>
      <c r="Z282" s="237"/>
      <c r="AA282" s="237"/>
      <c r="AB282" s="237"/>
      <c r="AC282" s="237"/>
      <c r="AD282" s="237"/>
      <c r="AE282" s="237"/>
      <c r="AF282" s="237"/>
      <c r="AG282" s="237"/>
      <c r="AH282" s="237"/>
      <c r="AI282" s="308"/>
      <c r="AJ282" s="308"/>
      <c r="AK282" s="308"/>
      <c r="AL282" s="308"/>
      <c r="AM282" s="308"/>
      <c r="AN282" s="98"/>
    </row>
    <row r="283" ht="14.25" customHeight="1">
      <c r="A283" s="179"/>
      <c r="B283" s="98"/>
      <c r="C283" s="98"/>
      <c r="D283" s="98"/>
      <c r="E283" s="98"/>
      <c r="F283" s="235"/>
      <c r="G283" s="235"/>
      <c r="H283" s="236"/>
      <c r="I283" s="236"/>
      <c r="J283" s="236"/>
      <c r="K283" s="236"/>
      <c r="L283" s="236"/>
      <c r="M283" s="236"/>
      <c r="N283" s="236"/>
      <c r="O283" s="236"/>
      <c r="P283" s="236"/>
      <c r="Q283" s="236"/>
      <c r="R283" s="236"/>
      <c r="S283" s="236"/>
      <c r="T283" s="236"/>
      <c r="U283" s="236"/>
      <c r="V283" s="236"/>
      <c r="W283" s="237"/>
      <c r="X283" s="237"/>
      <c r="Y283" s="237"/>
      <c r="Z283" s="237"/>
      <c r="AA283" s="237"/>
      <c r="AB283" s="237"/>
      <c r="AC283" s="237"/>
      <c r="AD283" s="237"/>
      <c r="AE283" s="237"/>
      <c r="AF283" s="237"/>
      <c r="AG283" s="237"/>
      <c r="AH283" s="237"/>
      <c r="AI283" s="308"/>
      <c r="AJ283" s="308"/>
      <c r="AK283" s="308"/>
      <c r="AL283" s="308"/>
      <c r="AM283" s="308"/>
      <c r="AN283" s="98"/>
    </row>
    <row r="284" ht="14.25" customHeight="1">
      <c r="A284" s="179"/>
      <c r="B284" s="98"/>
      <c r="C284" s="98"/>
      <c r="D284" s="98"/>
      <c r="E284" s="98"/>
      <c r="F284" s="235"/>
      <c r="G284" s="235"/>
      <c r="H284" s="236"/>
      <c r="I284" s="236"/>
      <c r="J284" s="236"/>
      <c r="K284" s="236"/>
      <c r="L284" s="236"/>
      <c r="M284" s="236"/>
      <c r="N284" s="236"/>
      <c r="O284" s="236"/>
      <c r="P284" s="236"/>
      <c r="Q284" s="236"/>
      <c r="R284" s="236"/>
      <c r="S284" s="236"/>
      <c r="T284" s="236"/>
      <c r="U284" s="236"/>
      <c r="V284" s="236"/>
      <c r="W284" s="237"/>
      <c r="X284" s="237"/>
      <c r="Y284" s="237"/>
      <c r="Z284" s="237"/>
      <c r="AA284" s="237"/>
      <c r="AB284" s="237"/>
      <c r="AC284" s="237"/>
      <c r="AD284" s="237"/>
      <c r="AE284" s="237"/>
      <c r="AF284" s="237"/>
      <c r="AG284" s="237"/>
      <c r="AH284" s="237"/>
      <c r="AI284" s="308"/>
      <c r="AJ284" s="308"/>
      <c r="AK284" s="308"/>
      <c r="AL284" s="308"/>
      <c r="AM284" s="308"/>
      <c r="AN284" s="98"/>
    </row>
    <row r="285" ht="14.25" customHeight="1">
      <c r="A285" s="179"/>
      <c r="B285" s="98"/>
      <c r="C285" s="98"/>
      <c r="D285" s="98"/>
      <c r="E285" s="98"/>
      <c r="F285" s="235"/>
      <c r="G285" s="235"/>
      <c r="H285" s="236"/>
      <c r="I285" s="236"/>
      <c r="J285" s="236"/>
      <c r="K285" s="236"/>
      <c r="L285" s="236"/>
      <c r="M285" s="236"/>
      <c r="N285" s="236"/>
      <c r="O285" s="236"/>
      <c r="P285" s="236"/>
      <c r="Q285" s="236"/>
      <c r="R285" s="236"/>
      <c r="S285" s="236"/>
      <c r="T285" s="236"/>
      <c r="U285" s="236"/>
      <c r="V285" s="236"/>
      <c r="W285" s="237"/>
      <c r="X285" s="237"/>
      <c r="Y285" s="237"/>
      <c r="Z285" s="237"/>
      <c r="AA285" s="237"/>
      <c r="AB285" s="237"/>
      <c r="AC285" s="237"/>
      <c r="AD285" s="237"/>
      <c r="AE285" s="237"/>
      <c r="AF285" s="237"/>
      <c r="AG285" s="237"/>
      <c r="AH285" s="237"/>
      <c r="AI285" s="308"/>
      <c r="AJ285" s="308"/>
      <c r="AK285" s="308"/>
      <c r="AL285" s="308"/>
      <c r="AM285" s="308"/>
      <c r="AN285" s="98"/>
    </row>
    <row r="286" ht="14.25" customHeight="1">
      <c r="A286" s="179"/>
      <c r="B286" s="98"/>
      <c r="C286" s="98"/>
      <c r="D286" s="98"/>
      <c r="E286" s="98"/>
      <c r="F286" s="235"/>
      <c r="G286" s="235"/>
      <c r="H286" s="236"/>
      <c r="I286" s="236"/>
      <c r="J286" s="236"/>
      <c r="K286" s="236"/>
      <c r="L286" s="236"/>
      <c r="M286" s="236"/>
      <c r="N286" s="236"/>
      <c r="O286" s="236"/>
      <c r="P286" s="236"/>
      <c r="Q286" s="236"/>
      <c r="R286" s="236"/>
      <c r="S286" s="236"/>
      <c r="T286" s="236"/>
      <c r="U286" s="236"/>
      <c r="V286" s="236"/>
      <c r="W286" s="237"/>
      <c r="X286" s="237"/>
      <c r="Y286" s="237"/>
      <c r="Z286" s="237"/>
      <c r="AA286" s="237"/>
      <c r="AB286" s="237"/>
      <c r="AC286" s="237"/>
      <c r="AD286" s="237"/>
      <c r="AE286" s="237"/>
      <c r="AF286" s="237"/>
      <c r="AG286" s="237"/>
      <c r="AH286" s="237"/>
      <c r="AI286" s="308"/>
      <c r="AJ286" s="308"/>
      <c r="AK286" s="308"/>
      <c r="AL286" s="308"/>
      <c r="AM286" s="308"/>
      <c r="AN286" s="98"/>
    </row>
    <row r="287" ht="14.25" customHeight="1">
      <c r="A287" s="179"/>
      <c r="B287" s="98"/>
      <c r="C287" s="98"/>
      <c r="D287" s="98"/>
      <c r="E287" s="98"/>
      <c r="F287" s="235"/>
      <c r="G287" s="235"/>
      <c r="H287" s="236"/>
      <c r="I287" s="236"/>
      <c r="J287" s="236"/>
      <c r="K287" s="236"/>
      <c r="L287" s="236"/>
      <c r="M287" s="236"/>
      <c r="N287" s="236"/>
      <c r="O287" s="236"/>
      <c r="P287" s="236"/>
      <c r="Q287" s="236"/>
      <c r="R287" s="236"/>
      <c r="S287" s="236"/>
      <c r="T287" s="236"/>
      <c r="U287" s="236"/>
      <c r="V287" s="236"/>
      <c r="W287" s="237"/>
      <c r="X287" s="237"/>
      <c r="Y287" s="237"/>
      <c r="Z287" s="237"/>
      <c r="AA287" s="237"/>
      <c r="AB287" s="237"/>
      <c r="AC287" s="237"/>
      <c r="AD287" s="237"/>
      <c r="AE287" s="237"/>
      <c r="AF287" s="237"/>
      <c r="AG287" s="237"/>
      <c r="AH287" s="237"/>
      <c r="AI287" s="308"/>
      <c r="AJ287" s="308"/>
      <c r="AK287" s="308"/>
      <c r="AL287" s="308"/>
      <c r="AM287" s="308"/>
      <c r="AN287" s="98"/>
    </row>
    <row r="288" ht="14.25" customHeight="1">
      <c r="A288" s="179"/>
      <c r="B288" s="98"/>
      <c r="C288" s="98"/>
      <c r="D288" s="98"/>
      <c r="E288" s="98"/>
      <c r="F288" s="235"/>
      <c r="G288" s="235"/>
      <c r="H288" s="236"/>
      <c r="I288" s="236"/>
      <c r="J288" s="236"/>
      <c r="K288" s="236"/>
      <c r="L288" s="236"/>
      <c r="M288" s="236"/>
      <c r="N288" s="236"/>
      <c r="O288" s="236"/>
      <c r="P288" s="236"/>
      <c r="Q288" s="236"/>
      <c r="R288" s="236"/>
      <c r="S288" s="236"/>
      <c r="T288" s="236"/>
      <c r="U288" s="236"/>
      <c r="V288" s="236"/>
      <c r="W288" s="237"/>
      <c r="X288" s="237"/>
      <c r="Y288" s="237"/>
      <c r="Z288" s="237"/>
      <c r="AA288" s="237"/>
      <c r="AB288" s="237"/>
      <c r="AC288" s="237"/>
      <c r="AD288" s="237"/>
      <c r="AE288" s="237"/>
      <c r="AF288" s="237"/>
      <c r="AG288" s="237"/>
      <c r="AH288" s="237"/>
      <c r="AI288" s="308"/>
      <c r="AJ288" s="308"/>
      <c r="AK288" s="308"/>
      <c r="AL288" s="308"/>
      <c r="AM288" s="308"/>
      <c r="AN288" s="98"/>
    </row>
    <row r="289" ht="14.25" customHeight="1">
      <c r="A289" s="179"/>
      <c r="B289" s="98"/>
      <c r="C289" s="98"/>
      <c r="D289" s="98"/>
      <c r="E289" s="98"/>
      <c r="F289" s="235"/>
      <c r="G289" s="235"/>
      <c r="H289" s="236"/>
      <c r="I289" s="236"/>
      <c r="J289" s="236"/>
      <c r="K289" s="236"/>
      <c r="L289" s="236"/>
      <c r="M289" s="236"/>
      <c r="N289" s="236"/>
      <c r="O289" s="236"/>
      <c r="P289" s="236"/>
      <c r="Q289" s="236"/>
      <c r="R289" s="236"/>
      <c r="S289" s="236"/>
      <c r="T289" s="236"/>
      <c r="U289" s="236"/>
      <c r="V289" s="236"/>
      <c r="W289" s="237"/>
      <c r="X289" s="237"/>
      <c r="Y289" s="237"/>
      <c r="Z289" s="237"/>
      <c r="AA289" s="237"/>
      <c r="AB289" s="237"/>
      <c r="AC289" s="237"/>
      <c r="AD289" s="237"/>
      <c r="AE289" s="237"/>
      <c r="AF289" s="237"/>
      <c r="AG289" s="237"/>
      <c r="AH289" s="237"/>
      <c r="AI289" s="308"/>
      <c r="AJ289" s="308"/>
      <c r="AK289" s="308"/>
      <c r="AL289" s="308"/>
      <c r="AM289" s="308"/>
      <c r="AN289" s="98"/>
    </row>
    <row r="290" ht="14.25" customHeight="1">
      <c r="A290" s="179"/>
      <c r="B290" s="98"/>
      <c r="C290" s="98"/>
      <c r="D290" s="98"/>
      <c r="E290" s="98"/>
      <c r="F290" s="235"/>
      <c r="G290" s="235"/>
      <c r="H290" s="236"/>
      <c r="I290" s="236"/>
      <c r="J290" s="236"/>
      <c r="K290" s="236"/>
      <c r="L290" s="236"/>
      <c r="M290" s="236"/>
      <c r="N290" s="236"/>
      <c r="O290" s="236"/>
      <c r="P290" s="236"/>
      <c r="Q290" s="236"/>
      <c r="R290" s="236"/>
      <c r="S290" s="236"/>
      <c r="T290" s="236"/>
      <c r="U290" s="236"/>
      <c r="V290" s="236"/>
      <c r="W290" s="237"/>
      <c r="X290" s="237"/>
      <c r="Y290" s="237"/>
      <c r="Z290" s="237"/>
      <c r="AA290" s="237"/>
      <c r="AB290" s="237"/>
      <c r="AC290" s="237"/>
      <c r="AD290" s="237"/>
      <c r="AE290" s="237"/>
      <c r="AF290" s="237"/>
      <c r="AG290" s="237"/>
      <c r="AH290" s="237"/>
      <c r="AI290" s="308"/>
      <c r="AJ290" s="308"/>
      <c r="AK290" s="308"/>
      <c r="AL290" s="308"/>
      <c r="AM290" s="308"/>
      <c r="AN290" s="98"/>
    </row>
    <row r="291" ht="14.25" customHeight="1">
      <c r="A291" s="179"/>
      <c r="B291" s="98"/>
      <c r="C291" s="98"/>
      <c r="D291" s="98"/>
      <c r="E291" s="98"/>
      <c r="F291" s="235"/>
      <c r="G291" s="235"/>
      <c r="H291" s="236"/>
      <c r="I291" s="236"/>
      <c r="J291" s="236"/>
      <c r="K291" s="236"/>
      <c r="L291" s="236"/>
      <c r="M291" s="236"/>
      <c r="N291" s="236"/>
      <c r="O291" s="236"/>
      <c r="P291" s="236"/>
      <c r="Q291" s="236"/>
      <c r="R291" s="236"/>
      <c r="S291" s="236"/>
      <c r="T291" s="236"/>
      <c r="U291" s="236"/>
      <c r="V291" s="236"/>
      <c r="W291" s="237"/>
      <c r="X291" s="237"/>
      <c r="Y291" s="237"/>
      <c r="Z291" s="237"/>
      <c r="AA291" s="237"/>
      <c r="AB291" s="237"/>
      <c r="AC291" s="237"/>
      <c r="AD291" s="237"/>
      <c r="AE291" s="237"/>
      <c r="AF291" s="237"/>
      <c r="AG291" s="237"/>
      <c r="AH291" s="237"/>
      <c r="AI291" s="308"/>
      <c r="AJ291" s="308"/>
      <c r="AK291" s="308"/>
      <c r="AL291" s="308"/>
      <c r="AM291" s="308"/>
      <c r="AN291" s="98"/>
    </row>
    <row r="292" ht="14.25" customHeight="1">
      <c r="A292" s="179"/>
      <c r="B292" s="98"/>
      <c r="C292" s="98"/>
      <c r="D292" s="98"/>
      <c r="E292" s="98"/>
      <c r="F292" s="235"/>
      <c r="G292" s="235"/>
      <c r="H292" s="236"/>
      <c r="I292" s="236"/>
      <c r="J292" s="236"/>
      <c r="K292" s="236"/>
      <c r="L292" s="236"/>
      <c r="M292" s="236"/>
      <c r="N292" s="236"/>
      <c r="O292" s="236"/>
      <c r="P292" s="236"/>
      <c r="Q292" s="236"/>
      <c r="R292" s="236"/>
      <c r="S292" s="236"/>
      <c r="T292" s="236"/>
      <c r="U292" s="236"/>
      <c r="V292" s="236"/>
      <c r="W292" s="237"/>
      <c r="X292" s="237"/>
      <c r="Y292" s="237"/>
      <c r="Z292" s="237"/>
      <c r="AA292" s="237"/>
      <c r="AB292" s="237"/>
      <c r="AC292" s="237"/>
      <c r="AD292" s="237"/>
      <c r="AE292" s="237"/>
      <c r="AF292" s="237"/>
      <c r="AG292" s="237"/>
      <c r="AH292" s="237"/>
      <c r="AI292" s="308"/>
      <c r="AJ292" s="308"/>
      <c r="AK292" s="308"/>
      <c r="AL292" s="308"/>
      <c r="AM292" s="308"/>
      <c r="AN292" s="98"/>
    </row>
    <row r="293" ht="14.25" customHeight="1">
      <c r="A293" s="179"/>
      <c r="B293" s="98"/>
      <c r="C293" s="98"/>
      <c r="D293" s="98"/>
      <c r="E293" s="98"/>
      <c r="F293" s="235"/>
      <c r="G293" s="235"/>
      <c r="H293" s="236"/>
      <c r="I293" s="236"/>
      <c r="J293" s="236"/>
      <c r="K293" s="236"/>
      <c r="L293" s="236"/>
      <c r="M293" s="236"/>
      <c r="N293" s="236"/>
      <c r="O293" s="236"/>
      <c r="P293" s="236"/>
      <c r="Q293" s="236"/>
      <c r="R293" s="236"/>
      <c r="S293" s="236"/>
      <c r="T293" s="236"/>
      <c r="U293" s="236"/>
      <c r="V293" s="236"/>
      <c r="W293" s="237"/>
      <c r="X293" s="237"/>
      <c r="Y293" s="237"/>
      <c r="Z293" s="237"/>
      <c r="AA293" s="237"/>
      <c r="AB293" s="237"/>
      <c r="AC293" s="237"/>
      <c r="AD293" s="237"/>
      <c r="AE293" s="237"/>
      <c r="AF293" s="237"/>
      <c r="AG293" s="237"/>
      <c r="AH293" s="237"/>
      <c r="AI293" s="308"/>
      <c r="AJ293" s="308"/>
      <c r="AK293" s="308"/>
      <c r="AL293" s="308"/>
      <c r="AM293" s="308"/>
      <c r="AN293" s="98"/>
    </row>
    <row r="294" ht="14.25" customHeight="1">
      <c r="A294" s="179"/>
      <c r="B294" s="98"/>
      <c r="C294" s="98"/>
      <c r="D294" s="98"/>
      <c r="E294" s="98"/>
      <c r="F294" s="235"/>
      <c r="G294" s="235"/>
      <c r="H294" s="236"/>
      <c r="I294" s="236"/>
      <c r="J294" s="236"/>
      <c r="K294" s="236"/>
      <c r="L294" s="236"/>
      <c r="M294" s="236"/>
      <c r="N294" s="236"/>
      <c r="O294" s="236"/>
      <c r="P294" s="236"/>
      <c r="Q294" s="236"/>
      <c r="R294" s="236"/>
      <c r="S294" s="236"/>
      <c r="T294" s="236"/>
      <c r="U294" s="236"/>
      <c r="V294" s="236"/>
      <c r="W294" s="237"/>
      <c r="X294" s="237"/>
      <c r="Y294" s="237"/>
      <c r="Z294" s="237"/>
      <c r="AA294" s="237"/>
      <c r="AB294" s="237"/>
      <c r="AC294" s="237"/>
      <c r="AD294" s="237"/>
      <c r="AE294" s="237"/>
      <c r="AF294" s="237"/>
      <c r="AG294" s="237"/>
      <c r="AH294" s="237"/>
      <c r="AI294" s="308"/>
      <c r="AJ294" s="308"/>
      <c r="AK294" s="308"/>
      <c r="AL294" s="308"/>
      <c r="AM294" s="308"/>
      <c r="AN294" s="98"/>
    </row>
    <row r="295" ht="14.25" customHeight="1">
      <c r="A295" s="179"/>
      <c r="B295" s="98"/>
      <c r="C295" s="98"/>
      <c r="D295" s="98"/>
      <c r="E295" s="98"/>
      <c r="F295" s="235"/>
      <c r="G295" s="235"/>
      <c r="H295" s="236"/>
      <c r="I295" s="236"/>
      <c r="J295" s="236"/>
      <c r="K295" s="236"/>
      <c r="L295" s="236"/>
      <c r="M295" s="236"/>
      <c r="N295" s="236"/>
      <c r="O295" s="236"/>
      <c r="P295" s="236"/>
      <c r="Q295" s="236"/>
      <c r="R295" s="236"/>
      <c r="S295" s="236"/>
      <c r="T295" s="236"/>
      <c r="U295" s="236"/>
      <c r="V295" s="236"/>
      <c r="W295" s="237"/>
      <c r="X295" s="237"/>
      <c r="Y295" s="237"/>
      <c r="Z295" s="237"/>
      <c r="AA295" s="237"/>
      <c r="AB295" s="237"/>
      <c r="AC295" s="237"/>
      <c r="AD295" s="237"/>
      <c r="AE295" s="237"/>
      <c r="AF295" s="237"/>
      <c r="AG295" s="237"/>
      <c r="AH295" s="237"/>
      <c r="AI295" s="308"/>
      <c r="AJ295" s="308"/>
      <c r="AK295" s="308"/>
      <c r="AL295" s="308"/>
      <c r="AM295" s="308"/>
      <c r="AN295" s="98"/>
    </row>
    <row r="296" ht="14.25" customHeight="1">
      <c r="A296" s="179"/>
      <c r="B296" s="98"/>
      <c r="C296" s="98"/>
      <c r="D296" s="98"/>
      <c r="E296" s="98"/>
      <c r="F296" s="235"/>
      <c r="G296" s="235"/>
      <c r="H296" s="236"/>
      <c r="I296" s="236"/>
      <c r="J296" s="236"/>
      <c r="K296" s="236"/>
      <c r="L296" s="236"/>
      <c r="M296" s="236"/>
      <c r="N296" s="236"/>
      <c r="O296" s="236"/>
      <c r="P296" s="236"/>
      <c r="Q296" s="236"/>
      <c r="R296" s="236"/>
      <c r="S296" s="236"/>
      <c r="T296" s="236"/>
      <c r="U296" s="236"/>
      <c r="V296" s="236"/>
      <c r="W296" s="237"/>
      <c r="X296" s="237"/>
      <c r="Y296" s="237"/>
      <c r="Z296" s="237"/>
      <c r="AA296" s="237"/>
      <c r="AB296" s="237"/>
      <c r="AC296" s="237"/>
      <c r="AD296" s="237"/>
      <c r="AE296" s="237"/>
      <c r="AF296" s="237"/>
      <c r="AG296" s="237"/>
      <c r="AH296" s="237"/>
      <c r="AI296" s="308"/>
      <c r="AJ296" s="308"/>
      <c r="AK296" s="308"/>
      <c r="AL296" s="308"/>
      <c r="AM296" s="308"/>
      <c r="AN296" s="98"/>
    </row>
    <row r="297" ht="14.25" customHeight="1">
      <c r="A297" s="179"/>
      <c r="B297" s="98"/>
      <c r="C297" s="98"/>
      <c r="D297" s="98"/>
      <c r="E297" s="98"/>
      <c r="F297" s="235"/>
      <c r="G297" s="235"/>
      <c r="H297" s="236"/>
      <c r="I297" s="236"/>
      <c r="J297" s="236"/>
      <c r="K297" s="236"/>
      <c r="L297" s="236"/>
      <c r="M297" s="236"/>
      <c r="N297" s="236"/>
      <c r="O297" s="236"/>
      <c r="P297" s="236"/>
      <c r="Q297" s="236"/>
      <c r="R297" s="236"/>
      <c r="S297" s="236"/>
      <c r="T297" s="236"/>
      <c r="U297" s="236"/>
      <c r="V297" s="236"/>
      <c r="W297" s="237"/>
      <c r="X297" s="237"/>
      <c r="Y297" s="237"/>
      <c r="Z297" s="237"/>
      <c r="AA297" s="237"/>
      <c r="AB297" s="237"/>
      <c r="AC297" s="237"/>
      <c r="AD297" s="237"/>
      <c r="AE297" s="237"/>
      <c r="AF297" s="237"/>
      <c r="AG297" s="237"/>
      <c r="AH297" s="237"/>
      <c r="AI297" s="308"/>
      <c r="AJ297" s="308"/>
      <c r="AK297" s="308"/>
      <c r="AL297" s="308"/>
      <c r="AM297" s="308"/>
      <c r="AN297" s="98"/>
    </row>
    <row r="298" ht="14.25" customHeight="1">
      <c r="A298" s="179"/>
      <c r="B298" s="98"/>
      <c r="C298" s="98"/>
      <c r="D298" s="98"/>
      <c r="E298" s="98"/>
      <c r="F298" s="235"/>
      <c r="G298" s="235"/>
      <c r="H298" s="236"/>
      <c r="I298" s="236"/>
      <c r="J298" s="236"/>
      <c r="K298" s="236"/>
      <c r="L298" s="236"/>
      <c r="M298" s="236"/>
      <c r="N298" s="236"/>
      <c r="O298" s="236"/>
      <c r="P298" s="236"/>
      <c r="Q298" s="236"/>
      <c r="R298" s="236"/>
      <c r="S298" s="236"/>
      <c r="T298" s="236"/>
      <c r="U298" s="236"/>
      <c r="V298" s="236"/>
      <c r="W298" s="237"/>
      <c r="X298" s="237"/>
      <c r="Y298" s="237"/>
      <c r="Z298" s="237"/>
      <c r="AA298" s="237"/>
      <c r="AB298" s="237"/>
      <c r="AC298" s="237"/>
      <c r="AD298" s="237"/>
      <c r="AE298" s="237"/>
      <c r="AF298" s="237"/>
      <c r="AG298" s="237"/>
      <c r="AH298" s="237"/>
      <c r="AI298" s="308"/>
      <c r="AJ298" s="308"/>
      <c r="AK298" s="308"/>
      <c r="AL298" s="308"/>
      <c r="AM298" s="308"/>
      <c r="AN298" s="98"/>
    </row>
    <row r="299" ht="14.25" customHeight="1">
      <c r="A299" s="179"/>
      <c r="B299" s="98"/>
      <c r="C299" s="98"/>
      <c r="D299" s="98"/>
      <c r="E299" s="98"/>
      <c r="F299" s="235"/>
      <c r="G299" s="235"/>
      <c r="H299" s="236"/>
      <c r="I299" s="236"/>
      <c r="J299" s="236"/>
      <c r="K299" s="236"/>
      <c r="L299" s="236"/>
      <c r="M299" s="236"/>
      <c r="N299" s="236"/>
      <c r="O299" s="236"/>
      <c r="P299" s="236"/>
      <c r="Q299" s="236"/>
      <c r="R299" s="236"/>
      <c r="S299" s="236"/>
      <c r="T299" s="236"/>
      <c r="U299" s="236"/>
      <c r="V299" s="236"/>
      <c r="W299" s="237"/>
      <c r="X299" s="237"/>
      <c r="Y299" s="237"/>
      <c r="Z299" s="237"/>
      <c r="AA299" s="237"/>
      <c r="AB299" s="237"/>
      <c r="AC299" s="237"/>
      <c r="AD299" s="237"/>
      <c r="AE299" s="237"/>
      <c r="AF299" s="237"/>
      <c r="AG299" s="237"/>
      <c r="AH299" s="237"/>
      <c r="AI299" s="308"/>
      <c r="AJ299" s="308"/>
      <c r="AK299" s="308"/>
      <c r="AL299" s="308"/>
      <c r="AM299" s="308"/>
      <c r="AN299" s="98"/>
    </row>
    <row r="300" ht="14.25" customHeight="1">
      <c r="A300" s="179"/>
      <c r="B300" s="98"/>
      <c r="C300" s="98"/>
      <c r="D300" s="98"/>
      <c r="E300" s="98"/>
      <c r="F300" s="235"/>
      <c r="G300" s="235"/>
      <c r="H300" s="236"/>
      <c r="I300" s="236"/>
      <c r="J300" s="236"/>
      <c r="K300" s="236"/>
      <c r="L300" s="236"/>
      <c r="M300" s="236"/>
      <c r="N300" s="236"/>
      <c r="O300" s="236"/>
      <c r="P300" s="236"/>
      <c r="Q300" s="236"/>
      <c r="R300" s="236"/>
      <c r="S300" s="236"/>
      <c r="T300" s="236"/>
      <c r="U300" s="236"/>
      <c r="V300" s="236"/>
      <c r="W300" s="237"/>
      <c r="X300" s="237"/>
      <c r="Y300" s="237"/>
      <c r="Z300" s="237"/>
      <c r="AA300" s="237"/>
      <c r="AB300" s="237"/>
      <c r="AC300" s="237"/>
      <c r="AD300" s="237"/>
      <c r="AE300" s="237"/>
      <c r="AF300" s="237"/>
      <c r="AG300" s="237"/>
      <c r="AH300" s="237"/>
      <c r="AI300" s="308"/>
      <c r="AJ300" s="308"/>
      <c r="AK300" s="308"/>
      <c r="AL300" s="308"/>
      <c r="AM300" s="308"/>
      <c r="AN300" s="98"/>
    </row>
    <row r="301" ht="14.25" customHeight="1">
      <c r="A301" s="179"/>
      <c r="B301" s="98"/>
      <c r="C301" s="98"/>
      <c r="D301" s="98"/>
      <c r="E301" s="98"/>
      <c r="F301" s="235"/>
      <c r="G301" s="235"/>
      <c r="H301" s="236"/>
      <c r="I301" s="236"/>
      <c r="J301" s="236"/>
      <c r="K301" s="236"/>
      <c r="L301" s="236"/>
      <c r="M301" s="236"/>
      <c r="N301" s="236"/>
      <c r="O301" s="236"/>
      <c r="P301" s="236"/>
      <c r="Q301" s="236"/>
      <c r="R301" s="236"/>
      <c r="S301" s="236"/>
      <c r="T301" s="236"/>
      <c r="U301" s="236"/>
      <c r="V301" s="236"/>
      <c r="W301" s="237"/>
      <c r="X301" s="237"/>
      <c r="Y301" s="237"/>
      <c r="Z301" s="237"/>
      <c r="AA301" s="237"/>
      <c r="AB301" s="237"/>
      <c r="AC301" s="237"/>
      <c r="AD301" s="237"/>
      <c r="AE301" s="237"/>
      <c r="AF301" s="237"/>
      <c r="AG301" s="237"/>
      <c r="AH301" s="237"/>
      <c r="AI301" s="308"/>
      <c r="AJ301" s="308"/>
      <c r="AK301" s="308"/>
      <c r="AL301" s="308"/>
      <c r="AM301" s="308"/>
      <c r="AN301" s="98"/>
    </row>
    <row r="302" ht="14.25" customHeight="1">
      <c r="A302" s="179"/>
      <c r="B302" s="98"/>
      <c r="C302" s="98"/>
      <c r="D302" s="98"/>
      <c r="E302" s="98"/>
      <c r="F302" s="235"/>
      <c r="G302" s="235"/>
      <c r="H302" s="236"/>
      <c r="I302" s="236"/>
      <c r="J302" s="236"/>
      <c r="K302" s="236"/>
      <c r="L302" s="236"/>
      <c r="M302" s="236"/>
      <c r="N302" s="236"/>
      <c r="O302" s="236"/>
      <c r="P302" s="236"/>
      <c r="Q302" s="236"/>
      <c r="R302" s="236"/>
      <c r="S302" s="236"/>
      <c r="T302" s="236"/>
      <c r="U302" s="236"/>
      <c r="V302" s="236"/>
      <c r="W302" s="237"/>
      <c r="X302" s="237"/>
      <c r="Y302" s="237"/>
      <c r="Z302" s="237"/>
      <c r="AA302" s="237"/>
      <c r="AB302" s="237"/>
      <c r="AC302" s="237"/>
      <c r="AD302" s="237"/>
      <c r="AE302" s="237"/>
      <c r="AF302" s="237"/>
      <c r="AG302" s="237"/>
      <c r="AH302" s="237"/>
      <c r="AI302" s="308"/>
      <c r="AJ302" s="308"/>
      <c r="AK302" s="308"/>
      <c r="AL302" s="308"/>
      <c r="AM302" s="308"/>
      <c r="AN302" s="98"/>
    </row>
    <row r="303" ht="14.25" customHeight="1">
      <c r="A303" s="179"/>
      <c r="B303" s="98"/>
      <c r="C303" s="98"/>
      <c r="D303" s="98"/>
      <c r="E303" s="98"/>
      <c r="F303" s="235"/>
      <c r="G303" s="235"/>
      <c r="H303" s="236"/>
      <c r="I303" s="236"/>
      <c r="J303" s="236"/>
      <c r="K303" s="236"/>
      <c r="L303" s="236"/>
      <c r="M303" s="236"/>
      <c r="N303" s="236"/>
      <c r="O303" s="236"/>
      <c r="P303" s="236"/>
      <c r="Q303" s="236"/>
      <c r="R303" s="236"/>
      <c r="S303" s="236"/>
      <c r="T303" s="236"/>
      <c r="U303" s="236"/>
      <c r="V303" s="236"/>
      <c r="W303" s="237"/>
      <c r="X303" s="237"/>
      <c r="Y303" s="237"/>
      <c r="Z303" s="237"/>
      <c r="AA303" s="237"/>
      <c r="AB303" s="237"/>
      <c r="AC303" s="237"/>
      <c r="AD303" s="237"/>
      <c r="AE303" s="237"/>
      <c r="AF303" s="237"/>
      <c r="AG303" s="237"/>
      <c r="AH303" s="237"/>
      <c r="AI303" s="308"/>
      <c r="AJ303" s="308"/>
      <c r="AK303" s="308"/>
      <c r="AL303" s="308"/>
      <c r="AM303" s="308"/>
      <c r="AN303" s="98"/>
    </row>
    <row r="304" ht="14.25" customHeight="1">
      <c r="A304" s="179"/>
      <c r="B304" s="98"/>
      <c r="C304" s="98"/>
      <c r="D304" s="98"/>
      <c r="E304" s="98"/>
      <c r="F304" s="235"/>
      <c r="G304" s="235"/>
      <c r="H304" s="236"/>
      <c r="I304" s="236"/>
      <c r="J304" s="236"/>
      <c r="K304" s="236"/>
      <c r="L304" s="236"/>
      <c r="M304" s="236"/>
      <c r="N304" s="236"/>
      <c r="O304" s="236"/>
      <c r="P304" s="236"/>
      <c r="Q304" s="236"/>
      <c r="R304" s="236"/>
      <c r="S304" s="236"/>
      <c r="T304" s="236"/>
      <c r="U304" s="236"/>
      <c r="V304" s="236"/>
      <c r="W304" s="237"/>
      <c r="X304" s="237"/>
      <c r="Y304" s="237"/>
      <c r="Z304" s="237"/>
      <c r="AA304" s="237"/>
      <c r="AB304" s="237"/>
      <c r="AC304" s="237"/>
      <c r="AD304" s="237"/>
      <c r="AE304" s="237"/>
      <c r="AF304" s="237"/>
      <c r="AG304" s="237"/>
      <c r="AH304" s="237"/>
      <c r="AI304" s="308"/>
      <c r="AJ304" s="308"/>
      <c r="AK304" s="308"/>
      <c r="AL304" s="308"/>
      <c r="AM304" s="308"/>
      <c r="AN304" s="98"/>
    </row>
    <row r="305" ht="14.25" customHeight="1">
      <c r="A305" s="179"/>
      <c r="B305" s="98"/>
      <c r="C305" s="98"/>
      <c r="D305" s="98"/>
      <c r="E305" s="98"/>
      <c r="F305" s="235"/>
      <c r="G305" s="235"/>
      <c r="H305" s="236"/>
      <c r="I305" s="236"/>
      <c r="J305" s="236"/>
      <c r="K305" s="236"/>
      <c r="L305" s="236"/>
      <c r="M305" s="236"/>
      <c r="N305" s="236"/>
      <c r="O305" s="236"/>
      <c r="P305" s="236"/>
      <c r="Q305" s="236"/>
      <c r="R305" s="236"/>
      <c r="S305" s="236"/>
      <c r="T305" s="236"/>
      <c r="U305" s="236"/>
      <c r="V305" s="236"/>
      <c r="W305" s="237"/>
      <c r="X305" s="237"/>
      <c r="Y305" s="237"/>
      <c r="Z305" s="237"/>
      <c r="AA305" s="237"/>
      <c r="AB305" s="237"/>
      <c r="AC305" s="237"/>
      <c r="AD305" s="237"/>
      <c r="AE305" s="237"/>
      <c r="AF305" s="237"/>
      <c r="AG305" s="237"/>
      <c r="AH305" s="237"/>
      <c r="AI305" s="308"/>
      <c r="AJ305" s="308"/>
      <c r="AK305" s="308"/>
      <c r="AL305" s="308"/>
      <c r="AM305" s="308"/>
      <c r="AN305" s="98"/>
    </row>
    <row r="306" ht="14.25" customHeight="1">
      <c r="A306" s="179"/>
      <c r="B306" s="98"/>
      <c r="C306" s="98"/>
      <c r="D306" s="98"/>
      <c r="E306" s="98"/>
      <c r="F306" s="235"/>
      <c r="G306" s="235"/>
      <c r="H306" s="236"/>
      <c r="I306" s="236"/>
      <c r="J306" s="236"/>
      <c r="K306" s="236"/>
      <c r="L306" s="236"/>
      <c r="M306" s="236"/>
      <c r="N306" s="236"/>
      <c r="O306" s="236"/>
      <c r="P306" s="236"/>
      <c r="Q306" s="236"/>
      <c r="R306" s="236"/>
      <c r="S306" s="236"/>
      <c r="T306" s="236"/>
      <c r="U306" s="236"/>
      <c r="V306" s="236"/>
      <c r="W306" s="237"/>
      <c r="X306" s="237"/>
      <c r="Y306" s="237"/>
      <c r="Z306" s="237"/>
      <c r="AA306" s="237"/>
      <c r="AB306" s="237"/>
      <c r="AC306" s="237"/>
      <c r="AD306" s="237"/>
      <c r="AE306" s="237"/>
      <c r="AF306" s="237"/>
      <c r="AG306" s="237"/>
      <c r="AH306" s="237"/>
      <c r="AI306" s="308"/>
      <c r="AJ306" s="308"/>
      <c r="AK306" s="308"/>
      <c r="AL306" s="308"/>
      <c r="AM306" s="308"/>
      <c r="AN306" s="98"/>
    </row>
    <row r="307" ht="14.25" customHeight="1">
      <c r="A307" s="179"/>
      <c r="B307" s="98"/>
      <c r="C307" s="98"/>
      <c r="D307" s="98"/>
      <c r="E307" s="98"/>
      <c r="F307" s="235"/>
      <c r="G307" s="235"/>
      <c r="H307" s="236"/>
      <c r="I307" s="236"/>
      <c r="J307" s="236"/>
      <c r="K307" s="236"/>
      <c r="L307" s="236"/>
      <c r="M307" s="236"/>
      <c r="N307" s="236"/>
      <c r="O307" s="236"/>
      <c r="P307" s="236"/>
      <c r="Q307" s="236"/>
      <c r="R307" s="236"/>
      <c r="S307" s="236"/>
      <c r="T307" s="236"/>
      <c r="U307" s="236"/>
      <c r="V307" s="236"/>
      <c r="W307" s="237"/>
      <c r="X307" s="237"/>
      <c r="Y307" s="237"/>
      <c r="Z307" s="237"/>
      <c r="AA307" s="237"/>
      <c r="AB307" s="237"/>
      <c r="AC307" s="237"/>
      <c r="AD307" s="237"/>
      <c r="AE307" s="237"/>
      <c r="AF307" s="237"/>
      <c r="AG307" s="237"/>
      <c r="AH307" s="237"/>
      <c r="AI307" s="308"/>
      <c r="AJ307" s="308"/>
      <c r="AK307" s="308"/>
      <c r="AL307" s="308"/>
      <c r="AM307" s="308"/>
      <c r="AN307" s="98"/>
    </row>
    <row r="308" ht="14.25" customHeight="1">
      <c r="A308" s="179"/>
      <c r="B308" s="98"/>
      <c r="C308" s="98"/>
      <c r="D308" s="98"/>
      <c r="E308" s="98"/>
      <c r="F308" s="235"/>
      <c r="G308" s="235"/>
      <c r="H308" s="236"/>
      <c r="I308" s="236"/>
      <c r="J308" s="236"/>
      <c r="K308" s="236"/>
      <c r="L308" s="236"/>
      <c r="M308" s="236"/>
      <c r="N308" s="236"/>
      <c r="O308" s="236"/>
      <c r="P308" s="236"/>
      <c r="Q308" s="236"/>
      <c r="R308" s="236"/>
      <c r="S308" s="236"/>
      <c r="T308" s="236"/>
      <c r="U308" s="236"/>
      <c r="V308" s="236"/>
      <c r="W308" s="237"/>
      <c r="X308" s="237"/>
      <c r="Y308" s="237"/>
      <c r="Z308" s="237"/>
      <c r="AA308" s="237"/>
      <c r="AB308" s="237"/>
      <c r="AC308" s="237"/>
      <c r="AD308" s="237"/>
      <c r="AE308" s="237"/>
      <c r="AF308" s="237"/>
      <c r="AG308" s="237"/>
      <c r="AH308" s="237"/>
      <c r="AI308" s="308"/>
      <c r="AJ308" s="308"/>
      <c r="AK308" s="308"/>
      <c r="AL308" s="308"/>
      <c r="AM308" s="308"/>
      <c r="AN308" s="98"/>
    </row>
    <row r="309" ht="14.25" customHeight="1">
      <c r="A309" s="179"/>
      <c r="B309" s="98"/>
      <c r="C309" s="98"/>
      <c r="D309" s="98"/>
      <c r="E309" s="98"/>
      <c r="F309" s="235"/>
      <c r="G309" s="235"/>
      <c r="H309" s="236"/>
      <c r="I309" s="236"/>
      <c r="J309" s="236"/>
      <c r="K309" s="236"/>
      <c r="L309" s="236"/>
      <c r="M309" s="236"/>
      <c r="N309" s="236"/>
      <c r="O309" s="236"/>
      <c r="P309" s="236"/>
      <c r="Q309" s="236"/>
      <c r="R309" s="236"/>
      <c r="S309" s="236"/>
      <c r="T309" s="236"/>
      <c r="U309" s="236"/>
      <c r="V309" s="236"/>
      <c r="W309" s="237"/>
      <c r="X309" s="237"/>
      <c r="Y309" s="237"/>
      <c r="Z309" s="237"/>
      <c r="AA309" s="237"/>
      <c r="AB309" s="237"/>
      <c r="AC309" s="237"/>
      <c r="AD309" s="237"/>
      <c r="AE309" s="237"/>
      <c r="AF309" s="237"/>
      <c r="AG309" s="237"/>
      <c r="AH309" s="237"/>
      <c r="AI309" s="308"/>
      <c r="AJ309" s="308"/>
      <c r="AK309" s="308"/>
      <c r="AL309" s="308"/>
      <c r="AM309" s="308"/>
      <c r="AN309" s="98"/>
    </row>
    <row r="310" ht="14.25" customHeight="1">
      <c r="A310" s="179"/>
      <c r="B310" s="98"/>
      <c r="C310" s="98"/>
      <c r="D310" s="98"/>
      <c r="E310" s="98"/>
      <c r="F310" s="235"/>
      <c r="G310" s="235"/>
      <c r="H310" s="236"/>
      <c r="I310" s="236"/>
      <c r="J310" s="236"/>
      <c r="K310" s="236"/>
      <c r="L310" s="236"/>
      <c r="M310" s="236"/>
      <c r="N310" s="236"/>
      <c r="O310" s="236"/>
      <c r="P310" s="236"/>
      <c r="Q310" s="236"/>
      <c r="R310" s="236"/>
      <c r="S310" s="236"/>
      <c r="T310" s="236"/>
      <c r="U310" s="236"/>
      <c r="V310" s="236"/>
      <c r="W310" s="237"/>
      <c r="X310" s="237"/>
      <c r="Y310" s="237"/>
      <c r="Z310" s="237"/>
      <c r="AA310" s="237"/>
      <c r="AB310" s="237"/>
      <c r="AC310" s="237"/>
      <c r="AD310" s="237"/>
      <c r="AE310" s="237"/>
      <c r="AF310" s="237"/>
      <c r="AG310" s="237"/>
      <c r="AH310" s="237"/>
      <c r="AI310" s="308"/>
      <c r="AJ310" s="308"/>
      <c r="AK310" s="308"/>
      <c r="AL310" s="308"/>
      <c r="AM310" s="308"/>
      <c r="AN310" s="98"/>
    </row>
    <row r="311" ht="14.25" customHeight="1">
      <c r="A311" s="179"/>
      <c r="B311" s="98"/>
      <c r="C311" s="98"/>
      <c r="D311" s="98"/>
      <c r="E311" s="98"/>
      <c r="F311" s="235"/>
      <c r="G311" s="235"/>
      <c r="H311" s="236"/>
      <c r="I311" s="236"/>
      <c r="J311" s="236"/>
      <c r="K311" s="236"/>
      <c r="L311" s="236"/>
      <c r="M311" s="236"/>
      <c r="N311" s="236"/>
      <c r="O311" s="236"/>
      <c r="P311" s="236"/>
      <c r="Q311" s="236"/>
      <c r="R311" s="236"/>
      <c r="S311" s="236"/>
      <c r="T311" s="236"/>
      <c r="U311" s="236"/>
      <c r="V311" s="236"/>
      <c r="W311" s="237"/>
      <c r="X311" s="237"/>
      <c r="Y311" s="237"/>
      <c r="Z311" s="237"/>
      <c r="AA311" s="237"/>
      <c r="AB311" s="237"/>
      <c r="AC311" s="237"/>
      <c r="AD311" s="237"/>
      <c r="AE311" s="237"/>
      <c r="AF311" s="237"/>
      <c r="AG311" s="237"/>
      <c r="AH311" s="237"/>
      <c r="AI311" s="308"/>
      <c r="AJ311" s="308"/>
      <c r="AK311" s="308"/>
      <c r="AL311" s="308"/>
      <c r="AM311" s="308"/>
      <c r="AN311" s="98"/>
    </row>
    <row r="312" ht="14.25" customHeight="1">
      <c r="A312" s="179"/>
      <c r="B312" s="98"/>
      <c r="C312" s="98"/>
      <c r="D312" s="98"/>
      <c r="E312" s="98"/>
      <c r="F312" s="235"/>
      <c r="G312" s="235"/>
      <c r="H312" s="236"/>
      <c r="I312" s="236"/>
      <c r="J312" s="236"/>
      <c r="K312" s="236"/>
      <c r="L312" s="236"/>
      <c r="M312" s="236"/>
      <c r="N312" s="236"/>
      <c r="O312" s="236"/>
      <c r="P312" s="236"/>
      <c r="Q312" s="236"/>
      <c r="R312" s="236"/>
      <c r="S312" s="236"/>
      <c r="T312" s="236"/>
      <c r="U312" s="236"/>
      <c r="V312" s="236"/>
      <c r="W312" s="237"/>
      <c r="X312" s="237"/>
      <c r="Y312" s="237"/>
      <c r="Z312" s="237"/>
      <c r="AA312" s="237"/>
      <c r="AB312" s="237"/>
      <c r="AC312" s="237"/>
      <c r="AD312" s="237"/>
      <c r="AE312" s="237"/>
      <c r="AF312" s="237"/>
      <c r="AG312" s="237"/>
      <c r="AH312" s="237"/>
      <c r="AI312" s="308"/>
      <c r="AJ312" s="308"/>
      <c r="AK312" s="308"/>
      <c r="AL312" s="308"/>
      <c r="AM312" s="308"/>
      <c r="AN312" s="98"/>
    </row>
    <row r="313" ht="14.25" customHeight="1">
      <c r="A313" s="179"/>
      <c r="B313" s="98"/>
      <c r="C313" s="98"/>
      <c r="D313" s="98"/>
      <c r="E313" s="98"/>
      <c r="F313" s="235"/>
      <c r="G313" s="235"/>
      <c r="H313" s="236"/>
      <c r="I313" s="236"/>
      <c r="J313" s="236"/>
      <c r="K313" s="236"/>
      <c r="L313" s="236"/>
      <c r="M313" s="236"/>
      <c r="N313" s="236"/>
      <c r="O313" s="236"/>
      <c r="P313" s="236"/>
      <c r="Q313" s="236"/>
      <c r="R313" s="236"/>
      <c r="S313" s="236"/>
      <c r="T313" s="236"/>
      <c r="U313" s="236"/>
      <c r="V313" s="236"/>
      <c r="W313" s="237"/>
      <c r="X313" s="237"/>
      <c r="Y313" s="237"/>
      <c r="Z313" s="237"/>
      <c r="AA313" s="237"/>
      <c r="AB313" s="237"/>
      <c r="AC313" s="237"/>
      <c r="AD313" s="237"/>
      <c r="AE313" s="237"/>
      <c r="AF313" s="237"/>
      <c r="AG313" s="237"/>
      <c r="AH313" s="237"/>
      <c r="AI313" s="308"/>
      <c r="AJ313" s="308"/>
      <c r="AK313" s="308"/>
      <c r="AL313" s="308"/>
      <c r="AM313" s="308"/>
      <c r="AN313" s="98"/>
    </row>
    <row r="314" ht="14.25" customHeight="1">
      <c r="A314" s="179"/>
      <c r="B314" s="98"/>
      <c r="C314" s="98"/>
      <c r="D314" s="98"/>
      <c r="E314" s="98"/>
      <c r="F314" s="235"/>
      <c r="G314" s="235"/>
      <c r="H314" s="236"/>
      <c r="I314" s="236"/>
      <c r="J314" s="236"/>
      <c r="K314" s="236"/>
      <c r="L314" s="236"/>
      <c r="M314" s="236"/>
      <c r="N314" s="236"/>
      <c r="O314" s="236"/>
      <c r="P314" s="236"/>
      <c r="Q314" s="236"/>
      <c r="R314" s="236"/>
      <c r="S314" s="236"/>
      <c r="T314" s="236"/>
      <c r="U314" s="236"/>
      <c r="V314" s="236"/>
      <c r="W314" s="237"/>
      <c r="X314" s="237"/>
      <c r="Y314" s="237"/>
      <c r="Z314" s="237"/>
      <c r="AA314" s="237"/>
      <c r="AB314" s="237"/>
      <c r="AC314" s="237"/>
      <c r="AD314" s="237"/>
      <c r="AE314" s="237"/>
      <c r="AF314" s="237"/>
      <c r="AG314" s="237"/>
      <c r="AH314" s="237"/>
      <c r="AI314" s="308"/>
      <c r="AJ314" s="308"/>
      <c r="AK314" s="308"/>
      <c r="AL314" s="308"/>
      <c r="AM314" s="308"/>
      <c r="AN314" s="98"/>
    </row>
    <row r="315" ht="14.25" customHeight="1">
      <c r="A315" s="179"/>
      <c r="B315" s="98"/>
      <c r="C315" s="98"/>
      <c r="D315" s="98"/>
      <c r="E315" s="98"/>
      <c r="F315" s="235"/>
      <c r="G315" s="235"/>
      <c r="H315" s="236"/>
      <c r="I315" s="236"/>
      <c r="J315" s="236"/>
      <c r="K315" s="236"/>
      <c r="L315" s="236"/>
      <c r="M315" s="236"/>
      <c r="N315" s="236"/>
      <c r="O315" s="236"/>
      <c r="P315" s="236"/>
      <c r="Q315" s="236"/>
      <c r="R315" s="236"/>
      <c r="S315" s="236"/>
      <c r="T315" s="236"/>
      <c r="U315" s="236"/>
      <c r="V315" s="236"/>
      <c r="W315" s="237"/>
      <c r="X315" s="237"/>
      <c r="Y315" s="237"/>
      <c r="Z315" s="237"/>
      <c r="AA315" s="237"/>
      <c r="AB315" s="237"/>
      <c r="AC315" s="237"/>
      <c r="AD315" s="237"/>
      <c r="AE315" s="237"/>
      <c r="AF315" s="237"/>
      <c r="AG315" s="237"/>
      <c r="AH315" s="237"/>
      <c r="AI315" s="308"/>
      <c r="AJ315" s="308"/>
      <c r="AK315" s="308"/>
      <c r="AL315" s="308"/>
      <c r="AM315" s="308"/>
      <c r="AN315" s="98"/>
    </row>
    <row r="316" ht="14.25" customHeight="1">
      <c r="A316" s="179"/>
      <c r="B316" s="98"/>
      <c r="C316" s="98"/>
      <c r="D316" s="98"/>
      <c r="E316" s="98"/>
      <c r="F316" s="235"/>
      <c r="G316" s="235"/>
      <c r="H316" s="236"/>
      <c r="I316" s="236"/>
      <c r="J316" s="236"/>
      <c r="K316" s="236"/>
      <c r="L316" s="236"/>
      <c r="M316" s="236"/>
      <c r="N316" s="236"/>
      <c r="O316" s="236"/>
      <c r="P316" s="236"/>
      <c r="Q316" s="236"/>
      <c r="R316" s="236"/>
      <c r="S316" s="236"/>
      <c r="T316" s="236"/>
      <c r="U316" s="236"/>
      <c r="V316" s="236"/>
      <c r="W316" s="237"/>
      <c r="X316" s="237"/>
      <c r="Y316" s="237"/>
      <c r="Z316" s="237"/>
      <c r="AA316" s="237"/>
      <c r="AB316" s="237"/>
      <c r="AC316" s="237"/>
      <c r="AD316" s="237"/>
      <c r="AE316" s="237"/>
      <c r="AF316" s="237"/>
      <c r="AG316" s="237"/>
      <c r="AH316" s="237"/>
      <c r="AI316" s="308"/>
      <c r="AJ316" s="308"/>
      <c r="AK316" s="308"/>
      <c r="AL316" s="308"/>
      <c r="AM316" s="308"/>
      <c r="AN316" s="98"/>
    </row>
    <row r="317" ht="14.25" customHeight="1">
      <c r="A317" s="179"/>
      <c r="B317" s="98"/>
      <c r="C317" s="98"/>
      <c r="D317" s="98"/>
      <c r="E317" s="98"/>
      <c r="F317" s="235"/>
      <c r="G317" s="235"/>
      <c r="H317" s="236"/>
      <c r="I317" s="236"/>
      <c r="J317" s="236"/>
      <c r="K317" s="236"/>
      <c r="L317" s="236"/>
      <c r="M317" s="236"/>
      <c r="N317" s="236"/>
      <c r="O317" s="236"/>
      <c r="P317" s="236"/>
      <c r="Q317" s="236"/>
      <c r="R317" s="236"/>
      <c r="S317" s="236"/>
      <c r="T317" s="236"/>
      <c r="U317" s="236"/>
      <c r="V317" s="236"/>
      <c r="W317" s="237"/>
      <c r="X317" s="237"/>
      <c r="Y317" s="237"/>
      <c r="Z317" s="237"/>
      <c r="AA317" s="237"/>
      <c r="AB317" s="237"/>
      <c r="AC317" s="237"/>
      <c r="AD317" s="237"/>
      <c r="AE317" s="237"/>
      <c r="AF317" s="237"/>
      <c r="AG317" s="237"/>
      <c r="AH317" s="237"/>
      <c r="AI317" s="308"/>
      <c r="AJ317" s="308"/>
      <c r="AK317" s="308"/>
      <c r="AL317" s="308"/>
      <c r="AM317" s="308"/>
      <c r="AN317" s="98"/>
    </row>
    <row r="318" ht="14.25" customHeight="1">
      <c r="A318" s="179"/>
      <c r="B318" s="98"/>
      <c r="C318" s="98"/>
      <c r="D318" s="98"/>
      <c r="E318" s="98"/>
      <c r="F318" s="235"/>
      <c r="G318" s="235"/>
      <c r="H318" s="236"/>
      <c r="I318" s="236"/>
      <c r="J318" s="236"/>
      <c r="K318" s="236"/>
      <c r="L318" s="236"/>
      <c r="M318" s="236"/>
      <c r="N318" s="236"/>
      <c r="O318" s="236"/>
      <c r="P318" s="236"/>
      <c r="Q318" s="236"/>
      <c r="R318" s="236"/>
      <c r="S318" s="236"/>
      <c r="T318" s="236"/>
      <c r="U318" s="236"/>
      <c r="V318" s="236"/>
      <c r="W318" s="237"/>
      <c r="X318" s="237"/>
      <c r="Y318" s="237"/>
      <c r="Z318" s="237"/>
      <c r="AA318" s="237"/>
      <c r="AB318" s="237"/>
      <c r="AC318" s="237"/>
      <c r="AD318" s="237"/>
      <c r="AE318" s="237"/>
      <c r="AF318" s="237"/>
      <c r="AG318" s="237"/>
      <c r="AH318" s="237"/>
      <c r="AI318" s="308"/>
      <c r="AJ318" s="308"/>
      <c r="AK318" s="308"/>
      <c r="AL318" s="308"/>
      <c r="AM318" s="308"/>
      <c r="AN318" s="98"/>
    </row>
    <row r="319" ht="14.25" customHeight="1">
      <c r="A319" s="179"/>
      <c r="B319" s="98"/>
      <c r="C319" s="98"/>
      <c r="D319" s="98"/>
      <c r="E319" s="98"/>
      <c r="F319" s="235"/>
      <c r="G319" s="235"/>
      <c r="H319" s="236"/>
      <c r="I319" s="236"/>
      <c r="J319" s="236"/>
      <c r="K319" s="236"/>
      <c r="L319" s="236"/>
      <c r="M319" s="236"/>
      <c r="N319" s="236"/>
      <c r="O319" s="236"/>
      <c r="P319" s="236"/>
      <c r="Q319" s="236"/>
      <c r="R319" s="236"/>
      <c r="S319" s="236"/>
      <c r="T319" s="236"/>
      <c r="U319" s="236"/>
      <c r="V319" s="236"/>
      <c r="W319" s="237"/>
      <c r="X319" s="237"/>
      <c r="Y319" s="237"/>
      <c r="Z319" s="237"/>
      <c r="AA319" s="237"/>
      <c r="AB319" s="237"/>
      <c r="AC319" s="237"/>
      <c r="AD319" s="237"/>
      <c r="AE319" s="237"/>
      <c r="AF319" s="237"/>
      <c r="AG319" s="237"/>
      <c r="AH319" s="237"/>
      <c r="AI319" s="308"/>
      <c r="AJ319" s="308"/>
      <c r="AK319" s="308"/>
      <c r="AL319" s="308"/>
      <c r="AM319" s="308"/>
      <c r="AN319" s="98"/>
    </row>
    <row r="320" ht="14.25" customHeight="1">
      <c r="A320" s="179"/>
      <c r="B320" s="98"/>
      <c r="C320" s="98"/>
      <c r="D320" s="98"/>
      <c r="E320" s="98"/>
      <c r="F320" s="235"/>
      <c r="G320" s="235"/>
      <c r="H320" s="236"/>
      <c r="I320" s="236"/>
      <c r="J320" s="236"/>
      <c r="K320" s="236"/>
      <c r="L320" s="236"/>
      <c r="M320" s="236"/>
      <c r="N320" s="236"/>
      <c r="O320" s="236"/>
      <c r="P320" s="236"/>
      <c r="Q320" s="236"/>
      <c r="R320" s="236"/>
      <c r="S320" s="236"/>
      <c r="T320" s="236"/>
      <c r="U320" s="236"/>
      <c r="V320" s="236"/>
      <c r="W320" s="237"/>
      <c r="X320" s="237"/>
      <c r="Y320" s="237"/>
      <c r="Z320" s="237"/>
      <c r="AA320" s="237"/>
      <c r="AB320" s="237"/>
      <c r="AC320" s="237"/>
      <c r="AD320" s="237"/>
      <c r="AE320" s="237"/>
      <c r="AF320" s="237"/>
      <c r="AG320" s="237"/>
      <c r="AH320" s="237"/>
      <c r="AI320" s="308"/>
      <c r="AJ320" s="308"/>
      <c r="AK320" s="308"/>
      <c r="AL320" s="308"/>
      <c r="AM320" s="308"/>
      <c r="AN320" s="98"/>
    </row>
    <row r="321" ht="14.25" customHeight="1">
      <c r="A321" s="179"/>
      <c r="B321" s="98"/>
      <c r="C321" s="98"/>
      <c r="D321" s="98"/>
      <c r="E321" s="98"/>
      <c r="F321" s="235"/>
      <c r="G321" s="235"/>
      <c r="H321" s="236"/>
      <c r="I321" s="236"/>
      <c r="J321" s="236"/>
      <c r="K321" s="236"/>
      <c r="L321" s="236"/>
      <c r="M321" s="236"/>
      <c r="N321" s="236"/>
      <c r="O321" s="236"/>
      <c r="P321" s="236"/>
      <c r="Q321" s="236"/>
      <c r="R321" s="236"/>
      <c r="S321" s="236"/>
      <c r="T321" s="236"/>
      <c r="U321" s="236"/>
      <c r="V321" s="236"/>
      <c r="W321" s="237"/>
      <c r="X321" s="237"/>
      <c r="Y321" s="237"/>
      <c r="Z321" s="237"/>
      <c r="AA321" s="237"/>
      <c r="AB321" s="237"/>
      <c r="AC321" s="237"/>
      <c r="AD321" s="237"/>
      <c r="AE321" s="237"/>
      <c r="AF321" s="237"/>
      <c r="AG321" s="237"/>
      <c r="AH321" s="237"/>
      <c r="AI321" s="308"/>
      <c r="AJ321" s="308"/>
      <c r="AK321" s="308"/>
      <c r="AL321" s="308"/>
      <c r="AM321" s="308"/>
      <c r="AN321" s="98"/>
    </row>
    <row r="322" ht="14.25" customHeight="1">
      <c r="A322" s="179"/>
      <c r="B322" s="98"/>
      <c r="C322" s="98"/>
      <c r="D322" s="98"/>
      <c r="E322" s="98"/>
      <c r="F322" s="235"/>
      <c r="G322" s="235"/>
      <c r="H322" s="236"/>
      <c r="I322" s="236"/>
      <c r="J322" s="236"/>
      <c r="K322" s="236"/>
      <c r="L322" s="236"/>
      <c r="M322" s="236"/>
      <c r="N322" s="236"/>
      <c r="O322" s="236"/>
      <c r="P322" s="236"/>
      <c r="Q322" s="236"/>
      <c r="R322" s="236"/>
      <c r="S322" s="236"/>
      <c r="T322" s="236"/>
      <c r="U322" s="236"/>
      <c r="V322" s="236"/>
      <c r="W322" s="237"/>
      <c r="X322" s="237"/>
      <c r="Y322" s="237"/>
      <c r="Z322" s="237"/>
      <c r="AA322" s="237"/>
      <c r="AB322" s="237"/>
      <c r="AC322" s="237"/>
      <c r="AD322" s="237"/>
      <c r="AE322" s="237"/>
      <c r="AF322" s="237"/>
      <c r="AG322" s="237"/>
      <c r="AH322" s="237"/>
      <c r="AI322" s="308"/>
      <c r="AJ322" s="308"/>
      <c r="AK322" s="308"/>
      <c r="AL322" s="308"/>
      <c r="AM322" s="308"/>
      <c r="AN322" s="98"/>
    </row>
    <row r="323" ht="14.25" customHeight="1">
      <c r="A323" s="179"/>
      <c r="B323" s="98"/>
      <c r="C323" s="98"/>
      <c r="D323" s="98"/>
      <c r="E323" s="98"/>
      <c r="F323" s="235"/>
      <c r="G323" s="235"/>
      <c r="H323" s="236"/>
      <c r="I323" s="236"/>
      <c r="J323" s="236"/>
      <c r="K323" s="236"/>
      <c r="L323" s="236"/>
      <c r="M323" s="236"/>
      <c r="N323" s="236"/>
      <c r="O323" s="236"/>
      <c r="P323" s="236"/>
      <c r="Q323" s="236"/>
      <c r="R323" s="236"/>
      <c r="S323" s="236"/>
      <c r="T323" s="236"/>
      <c r="U323" s="236"/>
      <c r="V323" s="236"/>
      <c r="W323" s="237"/>
      <c r="X323" s="237"/>
      <c r="Y323" s="237"/>
      <c r="Z323" s="237"/>
      <c r="AA323" s="237"/>
      <c r="AB323" s="237"/>
      <c r="AC323" s="237"/>
      <c r="AD323" s="237"/>
      <c r="AE323" s="237"/>
      <c r="AF323" s="237"/>
      <c r="AG323" s="237"/>
      <c r="AH323" s="237"/>
      <c r="AI323" s="308"/>
      <c r="AJ323" s="308"/>
      <c r="AK323" s="308"/>
      <c r="AL323" s="308"/>
      <c r="AM323" s="308"/>
      <c r="AN323" s="98"/>
    </row>
    <row r="324" ht="14.25" customHeight="1">
      <c r="A324" s="179"/>
      <c r="B324" s="98"/>
      <c r="C324" s="98"/>
      <c r="D324" s="98"/>
      <c r="E324" s="98"/>
      <c r="F324" s="235"/>
      <c r="G324" s="235"/>
      <c r="H324" s="236"/>
      <c r="I324" s="236"/>
      <c r="J324" s="236"/>
      <c r="K324" s="236"/>
      <c r="L324" s="236"/>
      <c r="M324" s="236"/>
      <c r="N324" s="236"/>
      <c r="O324" s="236"/>
      <c r="P324" s="236"/>
      <c r="Q324" s="236"/>
      <c r="R324" s="236"/>
      <c r="S324" s="236"/>
      <c r="T324" s="236"/>
      <c r="U324" s="236"/>
      <c r="V324" s="236"/>
      <c r="W324" s="237"/>
      <c r="X324" s="237"/>
      <c r="Y324" s="237"/>
      <c r="Z324" s="237"/>
      <c r="AA324" s="237"/>
      <c r="AB324" s="237"/>
      <c r="AC324" s="237"/>
      <c r="AD324" s="237"/>
      <c r="AE324" s="237"/>
      <c r="AF324" s="237"/>
      <c r="AG324" s="237"/>
      <c r="AH324" s="237"/>
      <c r="AI324" s="308"/>
      <c r="AJ324" s="308"/>
      <c r="AK324" s="308"/>
      <c r="AL324" s="308"/>
      <c r="AM324" s="308"/>
      <c r="AN324" s="98"/>
    </row>
    <row r="325" ht="14.25" customHeight="1">
      <c r="A325" s="179"/>
      <c r="B325" s="98"/>
      <c r="C325" s="98"/>
      <c r="D325" s="98"/>
      <c r="E325" s="98"/>
      <c r="F325" s="235"/>
      <c r="G325" s="235"/>
      <c r="H325" s="236"/>
      <c r="I325" s="236"/>
      <c r="J325" s="236"/>
      <c r="K325" s="236"/>
      <c r="L325" s="236"/>
      <c r="M325" s="236"/>
      <c r="N325" s="236"/>
      <c r="O325" s="236"/>
      <c r="P325" s="236"/>
      <c r="Q325" s="236"/>
      <c r="R325" s="236"/>
      <c r="S325" s="236"/>
      <c r="T325" s="236"/>
      <c r="U325" s="236"/>
      <c r="V325" s="236"/>
      <c r="W325" s="237"/>
      <c r="X325" s="237"/>
      <c r="Y325" s="237"/>
      <c r="Z325" s="237"/>
      <c r="AA325" s="237"/>
      <c r="AB325" s="237"/>
      <c r="AC325" s="237"/>
      <c r="AD325" s="237"/>
      <c r="AE325" s="237"/>
      <c r="AF325" s="237"/>
      <c r="AG325" s="237"/>
      <c r="AH325" s="237"/>
      <c r="AI325" s="308"/>
      <c r="AJ325" s="308"/>
      <c r="AK325" s="308"/>
      <c r="AL325" s="308"/>
      <c r="AM325" s="308"/>
      <c r="AN325" s="98"/>
    </row>
    <row r="326" ht="14.25" customHeight="1">
      <c r="A326" s="179"/>
      <c r="B326" s="98"/>
      <c r="C326" s="98"/>
      <c r="D326" s="98"/>
      <c r="E326" s="98"/>
      <c r="F326" s="235"/>
      <c r="G326" s="235"/>
      <c r="H326" s="236"/>
      <c r="I326" s="236"/>
      <c r="J326" s="236"/>
      <c r="K326" s="236"/>
      <c r="L326" s="236"/>
      <c r="M326" s="236"/>
      <c r="N326" s="236"/>
      <c r="O326" s="236"/>
      <c r="P326" s="236"/>
      <c r="Q326" s="236"/>
      <c r="R326" s="236"/>
      <c r="S326" s="236"/>
      <c r="T326" s="236"/>
      <c r="U326" s="236"/>
      <c r="V326" s="236"/>
      <c r="W326" s="237"/>
      <c r="X326" s="237"/>
      <c r="Y326" s="237"/>
      <c r="Z326" s="237"/>
      <c r="AA326" s="237"/>
      <c r="AB326" s="237"/>
      <c r="AC326" s="237"/>
      <c r="AD326" s="237"/>
      <c r="AE326" s="237"/>
      <c r="AF326" s="237"/>
      <c r="AG326" s="237"/>
      <c r="AH326" s="237"/>
      <c r="AI326" s="308"/>
      <c r="AJ326" s="308"/>
      <c r="AK326" s="308"/>
      <c r="AL326" s="308"/>
      <c r="AM326" s="308"/>
      <c r="AN326" s="98"/>
    </row>
    <row r="327" ht="14.25" customHeight="1">
      <c r="A327" s="179"/>
      <c r="B327" s="98"/>
      <c r="C327" s="98"/>
      <c r="D327" s="98"/>
      <c r="E327" s="98"/>
      <c r="F327" s="235"/>
      <c r="G327" s="235"/>
      <c r="H327" s="236"/>
      <c r="I327" s="236"/>
      <c r="J327" s="236"/>
      <c r="K327" s="236"/>
      <c r="L327" s="236"/>
      <c r="M327" s="236"/>
      <c r="N327" s="236"/>
      <c r="O327" s="236"/>
      <c r="P327" s="236"/>
      <c r="Q327" s="236"/>
      <c r="R327" s="236"/>
      <c r="S327" s="236"/>
      <c r="T327" s="236"/>
      <c r="U327" s="236"/>
      <c r="V327" s="236"/>
      <c r="W327" s="237"/>
      <c r="X327" s="237"/>
      <c r="Y327" s="237"/>
      <c r="Z327" s="237"/>
      <c r="AA327" s="237"/>
      <c r="AB327" s="237"/>
      <c r="AC327" s="237"/>
      <c r="AD327" s="237"/>
      <c r="AE327" s="237"/>
      <c r="AF327" s="237"/>
      <c r="AG327" s="237"/>
      <c r="AH327" s="237"/>
      <c r="AI327" s="308"/>
      <c r="AJ327" s="308"/>
      <c r="AK327" s="308"/>
      <c r="AL327" s="308"/>
      <c r="AM327" s="308"/>
      <c r="AN327" s="98"/>
    </row>
    <row r="328" ht="14.25" customHeight="1">
      <c r="A328" s="179"/>
      <c r="B328" s="98"/>
      <c r="C328" s="98"/>
      <c r="D328" s="98"/>
      <c r="E328" s="98"/>
      <c r="F328" s="235"/>
      <c r="G328" s="235"/>
      <c r="H328" s="236"/>
      <c r="I328" s="236"/>
      <c r="J328" s="236"/>
      <c r="K328" s="236"/>
      <c r="L328" s="236"/>
      <c r="M328" s="236"/>
      <c r="N328" s="236"/>
      <c r="O328" s="236"/>
      <c r="P328" s="236"/>
      <c r="Q328" s="236"/>
      <c r="R328" s="236"/>
      <c r="S328" s="236"/>
      <c r="T328" s="236"/>
      <c r="U328" s="236"/>
      <c r="V328" s="236"/>
      <c r="W328" s="237"/>
      <c r="X328" s="237"/>
      <c r="Y328" s="237"/>
      <c r="Z328" s="237"/>
      <c r="AA328" s="237"/>
      <c r="AB328" s="237"/>
      <c r="AC328" s="237"/>
      <c r="AD328" s="237"/>
      <c r="AE328" s="237"/>
      <c r="AF328" s="237"/>
      <c r="AG328" s="237"/>
      <c r="AH328" s="237"/>
      <c r="AI328" s="308"/>
      <c r="AJ328" s="308"/>
      <c r="AK328" s="308"/>
      <c r="AL328" s="308"/>
      <c r="AM328" s="308"/>
      <c r="AN328" s="98"/>
    </row>
    <row r="329" ht="14.25" customHeight="1">
      <c r="A329" s="179"/>
      <c r="B329" s="98"/>
      <c r="C329" s="98"/>
      <c r="D329" s="98"/>
      <c r="E329" s="98"/>
      <c r="F329" s="235"/>
      <c r="G329" s="235"/>
      <c r="H329" s="236"/>
      <c r="I329" s="236"/>
      <c r="J329" s="236"/>
      <c r="K329" s="236"/>
      <c r="L329" s="236"/>
      <c r="M329" s="236"/>
      <c r="N329" s="236"/>
      <c r="O329" s="236"/>
      <c r="P329" s="236"/>
      <c r="Q329" s="236"/>
      <c r="R329" s="236"/>
      <c r="S329" s="236"/>
      <c r="T329" s="236"/>
      <c r="U329" s="236"/>
      <c r="V329" s="236"/>
      <c r="W329" s="237"/>
      <c r="X329" s="237"/>
      <c r="Y329" s="237"/>
      <c r="Z329" s="237"/>
      <c r="AA329" s="237"/>
      <c r="AB329" s="237"/>
      <c r="AC329" s="237"/>
      <c r="AD329" s="237"/>
      <c r="AE329" s="237"/>
      <c r="AF329" s="237"/>
      <c r="AG329" s="237"/>
      <c r="AH329" s="237"/>
      <c r="AI329" s="308"/>
      <c r="AJ329" s="308"/>
      <c r="AK329" s="308"/>
      <c r="AL329" s="308"/>
      <c r="AM329" s="308"/>
      <c r="AN329" s="98"/>
    </row>
    <row r="330" ht="14.25" customHeight="1">
      <c r="A330" s="179"/>
      <c r="B330" s="98"/>
      <c r="C330" s="98"/>
      <c r="D330" s="98"/>
      <c r="E330" s="98"/>
      <c r="F330" s="235"/>
      <c r="G330" s="235"/>
      <c r="H330" s="236"/>
      <c r="I330" s="236"/>
      <c r="J330" s="236"/>
      <c r="K330" s="236"/>
      <c r="L330" s="236"/>
      <c r="M330" s="236"/>
      <c r="N330" s="236"/>
      <c r="O330" s="236"/>
      <c r="P330" s="236"/>
      <c r="Q330" s="236"/>
      <c r="R330" s="236"/>
      <c r="S330" s="236"/>
      <c r="T330" s="236"/>
      <c r="U330" s="236"/>
      <c r="V330" s="236"/>
      <c r="W330" s="237"/>
      <c r="X330" s="237"/>
      <c r="Y330" s="237"/>
      <c r="Z330" s="237"/>
      <c r="AA330" s="237"/>
      <c r="AB330" s="237"/>
      <c r="AC330" s="237"/>
      <c r="AD330" s="237"/>
      <c r="AE330" s="237"/>
      <c r="AF330" s="237"/>
      <c r="AG330" s="237"/>
      <c r="AH330" s="237"/>
      <c r="AI330" s="308"/>
      <c r="AJ330" s="308"/>
      <c r="AK330" s="308"/>
      <c r="AL330" s="308"/>
      <c r="AM330" s="308"/>
      <c r="AN330" s="98"/>
    </row>
    <row r="331" ht="14.25" customHeight="1">
      <c r="A331" s="179"/>
      <c r="B331" s="98"/>
      <c r="C331" s="98"/>
      <c r="D331" s="98"/>
      <c r="E331" s="98"/>
      <c r="F331" s="235"/>
      <c r="G331" s="235"/>
      <c r="H331" s="236"/>
      <c r="I331" s="236"/>
      <c r="J331" s="236"/>
      <c r="K331" s="236"/>
      <c r="L331" s="236"/>
      <c r="M331" s="236"/>
      <c r="N331" s="236"/>
      <c r="O331" s="236"/>
      <c r="P331" s="236"/>
      <c r="Q331" s="236"/>
      <c r="R331" s="236"/>
      <c r="S331" s="236"/>
      <c r="T331" s="236"/>
      <c r="U331" s="236"/>
      <c r="V331" s="236"/>
      <c r="W331" s="237"/>
      <c r="X331" s="237"/>
      <c r="Y331" s="237"/>
      <c r="Z331" s="237"/>
      <c r="AA331" s="237"/>
      <c r="AB331" s="237"/>
      <c r="AC331" s="237"/>
      <c r="AD331" s="237"/>
      <c r="AE331" s="237"/>
      <c r="AF331" s="237"/>
      <c r="AG331" s="237"/>
      <c r="AH331" s="237"/>
      <c r="AI331" s="308"/>
      <c r="AJ331" s="308"/>
      <c r="AK331" s="308"/>
      <c r="AL331" s="308"/>
      <c r="AM331" s="308"/>
      <c r="AN331" s="98"/>
    </row>
    <row r="332" ht="14.25" customHeight="1">
      <c r="A332" s="179"/>
      <c r="B332" s="98"/>
      <c r="C332" s="98"/>
      <c r="D332" s="98"/>
      <c r="E332" s="98"/>
      <c r="F332" s="235"/>
      <c r="G332" s="235"/>
      <c r="H332" s="236"/>
      <c r="I332" s="236"/>
      <c r="J332" s="236"/>
      <c r="K332" s="236"/>
      <c r="L332" s="236"/>
      <c r="M332" s="236"/>
      <c r="N332" s="236"/>
      <c r="O332" s="236"/>
      <c r="P332" s="236"/>
      <c r="Q332" s="236"/>
      <c r="R332" s="236"/>
      <c r="S332" s="236"/>
      <c r="T332" s="236"/>
      <c r="U332" s="236"/>
      <c r="V332" s="236"/>
      <c r="W332" s="237"/>
      <c r="X332" s="237"/>
      <c r="Y332" s="237"/>
      <c r="Z332" s="237"/>
      <c r="AA332" s="237"/>
      <c r="AB332" s="237"/>
      <c r="AC332" s="237"/>
      <c r="AD332" s="237"/>
      <c r="AE332" s="237"/>
      <c r="AF332" s="237"/>
      <c r="AG332" s="237"/>
      <c r="AH332" s="237"/>
      <c r="AI332" s="308"/>
      <c r="AJ332" s="308"/>
      <c r="AK332" s="308"/>
      <c r="AL332" s="308"/>
      <c r="AM332" s="308"/>
      <c r="AN332" s="98"/>
    </row>
    <row r="333" ht="14.25" customHeight="1">
      <c r="A333" s="179"/>
      <c r="B333" s="98"/>
      <c r="C333" s="98"/>
      <c r="D333" s="98"/>
      <c r="E333" s="98"/>
      <c r="F333" s="235"/>
      <c r="G333" s="235"/>
      <c r="H333" s="236"/>
      <c r="I333" s="236"/>
      <c r="J333" s="236"/>
      <c r="K333" s="236"/>
      <c r="L333" s="236"/>
      <c r="M333" s="236"/>
      <c r="N333" s="236"/>
      <c r="O333" s="236"/>
      <c r="P333" s="236"/>
      <c r="Q333" s="236"/>
      <c r="R333" s="236"/>
      <c r="S333" s="236"/>
      <c r="T333" s="236"/>
      <c r="U333" s="236"/>
      <c r="V333" s="236"/>
      <c r="W333" s="237"/>
      <c r="X333" s="237"/>
      <c r="Y333" s="237"/>
      <c r="Z333" s="237"/>
      <c r="AA333" s="237"/>
      <c r="AB333" s="237"/>
      <c r="AC333" s="237"/>
      <c r="AD333" s="237"/>
      <c r="AE333" s="237"/>
      <c r="AF333" s="237"/>
      <c r="AG333" s="237"/>
      <c r="AH333" s="237"/>
      <c r="AI333" s="308"/>
      <c r="AJ333" s="308"/>
      <c r="AK333" s="308"/>
      <c r="AL333" s="308"/>
      <c r="AM333" s="308"/>
      <c r="AN333" s="98"/>
    </row>
    <row r="334" ht="14.25" customHeight="1">
      <c r="A334" s="179"/>
      <c r="B334" s="98"/>
      <c r="C334" s="98"/>
      <c r="D334" s="98"/>
      <c r="E334" s="98"/>
      <c r="F334" s="235"/>
      <c r="G334" s="235"/>
      <c r="H334" s="236"/>
      <c r="I334" s="236"/>
      <c r="J334" s="236"/>
      <c r="K334" s="236"/>
      <c r="L334" s="236"/>
      <c r="M334" s="236"/>
      <c r="N334" s="236"/>
      <c r="O334" s="236"/>
      <c r="P334" s="236"/>
      <c r="Q334" s="236"/>
      <c r="R334" s="236"/>
      <c r="S334" s="236"/>
      <c r="T334" s="236"/>
      <c r="U334" s="236"/>
      <c r="V334" s="236"/>
      <c r="W334" s="237"/>
      <c r="X334" s="237"/>
      <c r="Y334" s="237"/>
      <c r="Z334" s="237"/>
      <c r="AA334" s="237"/>
      <c r="AB334" s="237"/>
      <c r="AC334" s="237"/>
      <c r="AD334" s="237"/>
      <c r="AE334" s="237"/>
      <c r="AF334" s="237"/>
      <c r="AG334" s="237"/>
      <c r="AH334" s="237"/>
      <c r="AI334" s="308"/>
      <c r="AJ334" s="308"/>
      <c r="AK334" s="308"/>
      <c r="AL334" s="308"/>
      <c r="AM334" s="308"/>
      <c r="AN334" s="98"/>
    </row>
    <row r="335" ht="14.25" customHeight="1">
      <c r="A335" s="179"/>
      <c r="B335" s="98"/>
      <c r="C335" s="98"/>
      <c r="D335" s="98"/>
      <c r="E335" s="98"/>
      <c r="F335" s="235"/>
      <c r="G335" s="235"/>
      <c r="H335" s="236"/>
      <c r="I335" s="236"/>
      <c r="J335" s="236"/>
      <c r="K335" s="236"/>
      <c r="L335" s="236"/>
      <c r="M335" s="236"/>
      <c r="N335" s="236"/>
      <c r="O335" s="236"/>
      <c r="P335" s="236"/>
      <c r="Q335" s="236"/>
      <c r="R335" s="236"/>
      <c r="S335" s="236"/>
      <c r="T335" s="236"/>
      <c r="U335" s="236"/>
      <c r="V335" s="236"/>
      <c r="W335" s="237"/>
      <c r="X335" s="237"/>
      <c r="Y335" s="237"/>
      <c r="Z335" s="237"/>
      <c r="AA335" s="237"/>
      <c r="AB335" s="237"/>
      <c r="AC335" s="237"/>
      <c r="AD335" s="237"/>
      <c r="AE335" s="237"/>
      <c r="AF335" s="237"/>
      <c r="AG335" s="237"/>
      <c r="AH335" s="237"/>
      <c r="AI335" s="308"/>
      <c r="AJ335" s="308"/>
      <c r="AK335" s="308"/>
      <c r="AL335" s="308"/>
      <c r="AM335" s="308"/>
      <c r="AN335" s="98"/>
    </row>
    <row r="336" ht="14.25" customHeight="1">
      <c r="A336" s="179"/>
      <c r="B336" s="98"/>
      <c r="C336" s="98"/>
      <c r="D336" s="98"/>
      <c r="E336" s="98"/>
      <c r="F336" s="235"/>
      <c r="G336" s="235"/>
      <c r="H336" s="236"/>
      <c r="I336" s="236"/>
      <c r="J336" s="236"/>
      <c r="K336" s="236"/>
      <c r="L336" s="236"/>
      <c r="M336" s="236"/>
      <c r="N336" s="236"/>
      <c r="O336" s="236"/>
      <c r="P336" s="236"/>
      <c r="Q336" s="236"/>
      <c r="R336" s="236"/>
      <c r="S336" s="236"/>
      <c r="T336" s="236"/>
      <c r="U336" s="236"/>
      <c r="V336" s="236"/>
      <c r="W336" s="237"/>
      <c r="X336" s="237"/>
      <c r="Y336" s="237"/>
      <c r="Z336" s="237"/>
      <c r="AA336" s="237"/>
      <c r="AB336" s="237"/>
      <c r="AC336" s="237"/>
      <c r="AD336" s="237"/>
      <c r="AE336" s="237"/>
      <c r="AF336" s="237"/>
      <c r="AG336" s="237"/>
      <c r="AH336" s="237"/>
      <c r="AI336" s="308"/>
      <c r="AJ336" s="308"/>
      <c r="AK336" s="308"/>
      <c r="AL336" s="308"/>
      <c r="AM336" s="308"/>
      <c r="AN336" s="98"/>
    </row>
    <row r="337" ht="14.25" customHeight="1">
      <c r="A337" s="179"/>
      <c r="B337" s="98"/>
      <c r="C337" s="98"/>
      <c r="D337" s="98"/>
      <c r="E337" s="98"/>
      <c r="F337" s="235"/>
      <c r="G337" s="235"/>
      <c r="H337" s="236"/>
      <c r="I337" s="236"/>
      <c r="J337" s="236"/>
      <c r="K337" s="236"/>
      <c r="L337" s="236"/>
      <c r="M337" s="236"/>
      <c r="N337" s="236"/>
      <c r="O337" s="236"/>
      <c r="P337" s="236"/>
      <c r="Q337" s="236"/>
      <c r="R337" s="236"/>
      <c r="S337" s="236"/>
      <c r="T337" s="236"/>
      <c r="U337" s="236"/>
      <c r="V337" s="236"/>
      <c r="W337" s="237"/>
      <c r="X337" s="237"/>
      <c r="Y337" s="237"/>
      <c r="Z337" s="237"/>
      <c r="AA337" s="237"/>
      <c r="AB337" s="237"/>
      <c r="AC337" s="237"/>
      <c r="AD337" s="237"/>
      <c r="AE337" s="237"/>
      <c r="AF337" s="237"/>
      <c r="AG337" s="237"/>
      <c r="AH337" s="237"/>
      <c r="AI337" s="308"/>
      <c r="AJ337" s="308"/>
      <c r="AK337" s="308"/>
      <c r="AL337" s="308"/>
      <c r="AM337" s="308"/>
      <c r="AN337" s="98"/>
    </row>
    <row r="338" ht="14.25" customHeight="1">
      <c r="A338" s="179"/>
      <c r="B338" s="98"/>
      <c r="C338" s="98"/>
      <c r="D338" s="98"/>
      <c r="E338" s="98"/>
      <c r="F338" s="235"/>
      <c r="G338" s="235"/>
      <c r="H338" s="236"/>
      <c r="I338" s="236"/>
      <c r="J338" s="236"/>
      <c r="K338" s="236"/>
      <c r="L338" s="236"/>
      <c r="M338" s="236"/>
      <c r="N338" s="236"/>
      <c r="O338" s="236"/>
      <c r="P338" s="236"/>
      <c r="Q338" s="236"/>
      <c r="R338" s="236"/>
      <c r="S338" s="236"/>
      <c r="T338" s="236"/>
      <c r="U338" s="236"/>
      <c r="V338" s="236"/>
      <c r="W338" s="237"/>
      <c r="X338" s="237"/>
      <c r="Y338" s="237"/>
      <c r="Z338" s="237"/>
      <c r="AA338" s="237"/>
      <c r="AB338" s="237"/>
      <c r="AC338" s="237"/>
      <c r="AD338" s="237"/>
      <c r="AE338" s="237"/>
      <c r="AF338" s="237"/>
      <c r="AG338" s="237"/>
      <c r="AH338" s="237"/>
      <c r="AI338" s="308"/>
      <c r="AJ338" s="308"/>
      <c r="AK338" s="308"/>
      <c r="AL338" s="308"/>
      <c r="AM338" s="308"/>
      <c r="AN338" s="98"/>
    </row>
    <row r="339" ht="14.25" customHeight="1">
      <c r="A339" s="179"/>
      <c r="B339" s="98"/>
      <c r="C339" s="98"/>
      <c r="D339" s="98"/>
      <c r="E339" s="98"/>
      <c r="F339" s="235"/>
      <c r="G339" s="235"/>
      <c r="H339" s="236"/>
      <c r="I339" s="236"/>
      <c r="J339" s="236"/>
      <c r="K339" s="236"/>
      <c r="L339" s="236"/>
      <c r="M339" s="236"/>
      <c r="N339" s="236"/>
      <c r="O339" s="236"/>
      <c r="P339" s="236"/>
      <c r="Q339" s="236"/>
      <c r="R339" s="236"/>
      <c r="S339" s="236"/>
      <c r="T339" s="236"/>
      <c r="U339" s="236"/>
      <c r="V339" s="236"/>
      <c r="W339" s="237"/>
      <c r="X339" s="237"/>
      <c r="Y339" s="237"/>
      <c r="Z339" s="237"/>
      <c r="AA339" s="237"/>
      <c r="AB339" s="237"/>
      <c r="AC339" s="237"/>
      <c r="AD339" s="237"/>
      <c r="AE339" s="237"/>
      <c r="AF339" s="237"/>
      <c r="AG339" s="237"/>
      <c r="AH339" s="237"/>
      <c r="AI339" s="308"/>
      <c r="AJ339" s="308"/>
      <c r="AK339" s="308"/>
      <c r="AL339" s="308"/>
      <c r="AM339" s="308"/>
      <c r="AN339" s="98"/>
    </row>
    <row r="340" ht="14.25" customHeight="1">
      <c r="A340" s="179"/>
      <c r="B340" s="98"/>
      <c r="C340" s="98"/>
      <c r="D340" s="98"/>
      <c r="E340" s="98"/>
      <c r="F340" s="235"/>
      <c r="G340" s="235"/>
      <c r="H340" s="236"/>
      <c r="I340" s="236"/>
      <c r="J340" s="236"/>
      <c r="K340" s="236"/>
      <c r="L340" s="236"/>
      <c r="M340" s="236"/>
      <c r="N340" s="236"/>
      <c r="O340" s="236"/>
      <c r="P340" s="236"/>
      <c r="Q340" s="236"/>
      <c r="R340" s="236"/>
      <c r="S340" s="236"/>
      <c r="T340" s="236"/>
      <c r="U340" s="236"/>
      <c r="V340" s="236"/>
      <c r="W340" s="237"/>
      <c r="X340" s="237"/>
      <c r="Y340" s="237"/>
      <c r="Z340" s="237"/>
      <c r="AA340" s="237"/>
      <c r="AB340" s="237"/>
      <c r="AC340" s="237"/>
      <c r="AD340" s="237"/>
      <c r="AE340" s="237"/>
      <c r="AF340" s="237"/>
      <c r="AG340" s="237"/>
      <c r="AH340" s="237"/>
      <c r="AI340" s="308"/>
      <c r="AJ340" s="308"/>
      <c r="AK340" s="308"/>
      <c r="AL340" s="308"/>
      <c r="AM340" s="308"/>
      <c r="AN340" s="98"/>
    </row>
    <row r="341" ht="14.25" customHeight="1">
      <c r="A341" s="179"/>
      <c r="B341" s="98"/>
      <c r="C341" s="98"/>
      <c r="D341" s="98"/>
      <c r="E341" s="98"/>
      <c r="F341" s="235"/>
      <c r="G341" s="235"/>
      <c r="H341" s="236"/>
      <c r="I341" s="236"/>
      <c r="J341" s="236"/>
      <c r="K341" s="236"/>
      <c r="L341" s="236"/>
      <c r="M341" s="236"/>
      <c r="N341" s="236"/>
      <c r="O341" s="236"/>
      <c r="P341" s="236"/>
      <c r="Q341" s="236"/>
      <c r="R341" s="236"/>
      <c r="S341" s="236"/>
      <c r="T341" s="236"/>
      <c r="U341" s="236"/>
      <c r="V341" s="236"/>
      <c r="W341" s="237"/>
      <c r="X341" s="237"/>
      <c r="Y341" s="237"/>
      <c r="Z341" s="237"/>
      <c r="AA341" s="237"/>
      <c r="AB341" s="237"/>
      <c r="AC341" s="237"/>
      <c r="AD341" s="237"/>
      <c r="AE341" s="237"/>
      <c r="AF341" s="237"/>
      <c r="AG341" s="237"/>
      <c r="AH341" s="237"/>
      <c r="AI341" s="308"/>
      <c r="AJ341" s="308"/>
      <c r="AK341" s="308"/>
      <c r="AL341" s="308"/>
      <c r="AM341" s="308"/>
      <c r="AN341" s="98"/>
    </row>
    <row r="342" ht="14.25" customHeight="1">
      <c r="A342" s="179"/>
      <c r="B342" s="98"/>
      <c r="C342" s="98"/>
      <c r="D342" s="98"/>
      <c r="E342" s="98"/>
      <c r="F342" s="235"/>
      <c r="G342" s="235"/>
      <c r="H342" s="236"/>
      <c r="I342" s="236"/>
      <c r="J342" s="236"/>
      <c r="K342" s="236"/>
      <c r="L342" s="236"/>
      <c r="M342" s="236"/>
      <c r="N342" s="236"/>
      <c r="O342" s="236"/>
      <c r="P342" s="236"/>
      <c r="Q342" s="236"/>
      <c r="R342" s="236"/>
      <c r="S342" s="236"/>
      <c r="T342" s="236"/>
      <c r="U342" s="236"/>
      <c r="V342" s="236"/>
      <c r="W342" s="237"/>
      <c r="X342" s="237"/>
      <c r="Y342" s="237"/>
      <c r="Z342" s="237"/>
      <c r="AA342" s="237"/>
      <c r="AB342" s="237"/>
      <c r="AC342" s="237"/>
      <c r="AD342" s="237"/>
      <c r="AE342" s="237"/>
      <c r="AF342" s="237"/>
      <c r="AG342" s="237"/>
      <c r="AH342" s="237"/>
      <c r="AI342" s="308"/>
      <c r="AJ342" s="308"/>
      <c r="AK342" s="308"/>
      <c r="AL342" s="308"/>
      <c r="AM342" s="308"/>
      <c r="AN342" s="98"/>
    </row>
    <row r="343" ht="14.25" customHeight="1">
      <c r="A343" s="179"/>
      <c r="B343" s="98"/>
      <c r="C343" s="98"/>
      <c r="D343" s="98"/>
      <c r="E343" s="98"/>
      <c r="F343" s="235"/>
      <c r="G343" s="235"/>
      <c r="H343" s="236"/>
      <c r="I343" s="236"/>
      <c r="J343" s="236"/>
      <c r="K343" s="236"/>
      <c r="L343" s="236"/>
      <c r="M343" s="236"/>
      <c r="N343" s="236"/>
      <c r="O343" s="236"/>
      <c r="P343" s="236"/>
      <c r="Q343" s="236"/>
      <c r="R343" s="236"/>
      <c r="S343" s="236"/>
      <c r="T343" s="236"/>
      <c r="U343" s="236"/>
      <c r="V343" s="236"/>
      <c r="W343" s="237"/>
      <c r="X343" s="237"/>
      <c r="Y343" s="237"/>
      <c r="Z343" s="237"/>
      <c r="AA343" s="237"/>
      <c r="AB343" s="237"/>
      <c r="AC343" s="237"/>
      <c r="AD343" s="237"/>
      <c r="AE343" s="237"/>
      <c r="AF343" s="237"/>
      <c r="AG343" s="237"/>
      <c r="AH343" s="237"/>
      <c r="AI343" s="308"/>
      <c r="AJ343" s="308"/>
      <c r="AK343" s="308"/>
      <c r="AL343" s="308"/>
      <c r="AM343" s="308"/>
      <c r="AN343" s="98"/>
    </row>
    <row r="344" ht="14.25" customHeight="1">
      <c r="A344" s="179"/>
      <c r="B344" s="98"/>
      <c r="C344" s="98"/>
      <c r="D344" s="98"/>
      <c r="E344" s="98"/>
      <c r="F344" s="235"/>
      <c r="G344" s="235"/>
      <c r="H344" s="236"/>
      <c r="I344" s="236"/>
      <c r="J344" s="236"/>
      <c r="K344" s="236"/>
      <c r="L344" s="236"/>
      <c r="M344" s="236"/>
      <c r="N344" s="236"/>
      <c r="O344" s="236"/>
      <c r="P344" s="236"/>
      <c r="Q344" s="236"/>
      <c r="R344" s="236"/>
      <c r="S344" s="236"/>
      <c r="T344" s="236"/>
      <c r="U344" s="236"/>
      <c r="V344" s="236"/>
      <c r="W344" s="237"/>
      <c r="X344" s="237"/>
      <c r="Y344" s="237"/>
      <c r="Z344" s="237"/>
      <c r="AA344" s="237"/>
      <c r="AB344" s="237"/>
      <c r="AC344" s="237"/>
      <c r="AD344" s="237"/>
      <c r="AE344" s="237"/>
      <c r="AF344" s="237"/>
      <c r="AG344" s="237"/>
      <c r="AH344" s="237"/>
      <c r="AI344" s="308"/>
      <c r="AJ344" s="308"/>
      <c r="AK344" s="308"/>
      <c r="AL344" s="308"/>
      <c r="AM344" s="308"/>
      <c r="AN344" s="98"/>
    </row>
    <row r="345" ht="14.25" customHeight="1">
      <c r="A345" s="179"/>
      <c r="B345" s="98"/>
      <c r="C345" s="98"/>
      <c r="D345" s="98"/>
      <c r="E345" s="98"/>
      <c r="F345" s="235"/>
      <c r="G345" s="235"/>
      <c r="H345" s="236"/>
      <c r="I345" s="236"/>
      <c r="J345" s="236"/>
      <c r="K345" s="236"/>
      <c r="L345" s="236"/>
      <c r="M345" s="236"/>
      <c r="N345" s="236"/>
      <c r="O345" s="236"/>
      <c r="P345" s="236"/>
      <c r="Q345" s="236"/>
      <c r="R345" s="236"/>
      <c r="S345" s="236"/>
      <c r="T345" s="236"/>
      <c r="U345" s="236"/>
      <c r="V345" s="236"/>
      <c r="W345" s="237"/>
      <c r="X345" s="237"/>
      <c r="Y345" s="237"/>
      <c r="Z345" s="237"/>
      <c r="AA345" s="237"/>
      <c r="AB345" s="237"/>
      <c r="AC345" s="237"/>
      <c r="AD345" s="237"/>
      <c r="AE345" s="237"/>
      <c r="AF345" s="237"/>
      <c r="AG345" s="237"/>
      <c r="AH345" s="237"/>
      <c r="AI345" s="308"/>
      <c r="AJ345" s="308"/>
      <c r="AK345" s="308"/>
      <c r="AL345" s="308"/>
      <c r="AM345" s="308"/>
      <c r="AN345" s="98"/>
    </row>
    <row r="346" ht="14.25" customHeight="1">
      <c r="A346" s="179"/>
      <c r="B346" s="98"/>
      <c r="C346" s="98"/>
      <c r="D346" s="98"/>
      <c r="E346" s="98"/>
      <c r="F346" s="235"/>
      <c r="G346" s="235"/>
      <c r="H346" s="236"/>
      <c r="I346" s="236"/>
      <c r="J346" s="236"/>
      <c r="K346" s="236"/>
      <c r="L346" s="236"/>
      <c r="M346" s="236"/>
      <c r="N346" s="236"/>
      <c r="O346" s="236"/>
      <c r="P346" s="236"/>
      <c r="Q346" s="236"/>
      <c r="R346" s="236"/>
      <c r="S346" s="236"/>
      <c r="T346" s="236"/>
      <c r="U346" s="236"/>
      <c r="V346" s="236"/>
      <c r="W346" s="237"/>
      <c r="X346" s="237"/>
      <c r="Y346" s="237"/>
      <c r="Z346" s="237"/>
      <c r="AA346" s="237"/>
      <c r="AB346" s="237"/>
      <c r="AC346" s="237"/>
      <c r="AD346" s="237"/>
      <c r="AE346" s="237"/>
      <c r="AF346" s="237"/>
      <c r="AG346" s="237"/>
      <c r="AH346" s="237"/>
      <c r="AI346" s="308"/>
      <c r="AJ346" s="308"/>
      <c r="AK346" s="308"/>
      <c r="AL346" s="308"/>
      <c r="AM346" s="308"/>
      <c r="AN346" s="98"/>
    </row>
    <row r="347" ht="14.25" customHeight="1">
      <c r="A347" s="179"/>
      <c r="B347" s="98"/>
      <c r="C347" s="98"/>
      <c r="D347" s="98"/>
      <c r="E347" s="98"/>
      <c r="F347" s="235"/>
      <c r="G347" s="235"/>
      <c r="H347" s="236"/>
      <c r="I347" s="236"/>
      <c r="J347" s="236"/>
      <c r="K347" s="236"/>
      <c r="L347" s="236"/>
      <c r="M347" s="236"/>
      <c r="N347" s="236"/>
      <c r="O347" s="236"/>
      <c r="P347" s="236"/>
      <c r="Q347" s="236"/>
      <c r="R347" s="236"/>
      <c r="S347" s="236"/>
      <c r="T347" s="236"/>
      <c r="U347" s="236"/>
      <c r="V347" s="236"/>
      <c r="W347" s="237"/>
      <c r="X347" s="237"/>
      <c r="Y347" s="237"/>
      <c r="Z347" s="237"/>
      <c r="AA347" s="237"/>
      <c r="AB347" s="237"/>
      <c r="AC347" s="237"/>
      <c r="AD347" s="237"/>
      <c r="AE347" s="237"/>
      <c r="AF347" s="237"/>
      <c r="AG347" s="237"/>
      <c r="AH347" s="237"/>
      <c r="AI347" s="308"/>
      <c r="AJ347" s="308"/>
      <c r="AK347" s="308"/>
      <c r="AL347" s="308"/>
      <c r="AM347" s="308"/>
      <c r="AN347" s="98"/>
    </row>
    <row r="348" ht="14.25" customHeight="1">
      <c r="A348" s="179"/>
      <c r="B348" s="98"/>
      <c r="C348" s="98"/>
      <c r="D348" s="98"/>
      <c r="E348" s="98"/>
      <c r="F348" s="235"/>
      <c r="G348" s="235"/>
      <c r="H348" s="236"/>
      <c r="I348" s="236"/>
      <c r="J348" s="236"/>
      <c r="K348" s="236"/>
      <c r="L348" s="236"/>
      <c r="M348" s="236"/>
      <c r="N348" s="236"/>
      <c r="O348" s="236"/>
      <c r="P348" s="236"/>
      <c r="Q348" s="236"/>
      <c r="R348" s="236"/>
      <c r="S348" s="236"/>
      <c r="T348" s="236"/>
      <c r="U348" s="236"/>
      <c r="V348" s="236"/>
      <c r="W348" s="237"/>
      <c r="X348" s="237"/>
      <c r="Y348" s="237"/>
      <c r="Z348" s="237"/>
      <c r="AA348" s="237"/>
      <c r="AB348" s="237"/>
      <c r="AC348" s="237"/>
      <c r="AD348" s="237"/>
      <c r="AE348" s="237"/>
      <c r="AF348" s="237"/>
      <c r="AG348" s="237"/>
      <c r="AH348" s="237"/>
      <c r="AI348" s="308"/>
      <c r="AJ348" s="308"/>
      <c r="AK348" s="308"/>
      <c r="AL348" s="308"/>
      <c r="AM348" s="308"/>
      <c r="AN348" s="98"/>
    </row>
    <row r="349" ht="14.25" customHeight="1">
      <c r="A349" s="179"/>
      <c r="B349" s="98"/>
      <c r="C349" s="98"/>
      <c r="D349" s="98"/>
      <c r="E349" s="98"/>
      <c r="F349" s="235"/>
      <c r="G349" s="235"/>
      <c r="H349" s="236"/>
      <c r="I349" s="236"/>
      <c r="J349" s="236"/>
      <c r="K349" s="236"/>
      <c r="L349" s="236"/>
      <c r="M349" s="236"/>
      <c r="N349" s="236"/>
      <c r="O349" s="236"/>
      <c r="P349" s="236"/>
      <c r="Q349" s="236"/>
      <c r="R349" s="236"/>
      <c r="S349" s="236"/>
      <c r="T349" s="236"/>
      <c r="U349" s="236"/>
      <c r="V349" s="236"/>
      <c r="W349" s="237"/>
      <c r="X349" s="237"/>
      <c r="Y349" s="237"/>
      <c r="Z349" s="237"/>
      <c r="AA349" s="237"/>
      <c r="AB349" s="237"/>
      <c r="AC349" s="237"/>
      <c r="AD349" s="237"/>
      <c r="AE349" s="237"/>
      <c r="AF349" s="237"/>
      <c r="AG349" s="237"/>
      <c r="AH349" s="237"/>
      <c r="AI349" s="308"/>
      <c r="AJ349" s="308"/>
      <c r="AK349" s="308"/>
      <c r="AL349" s="308"/>
      <c r="AM349" s="308"/>
      <c r="AN349" s="98"/>
    </row>
    <row r="350" ht="14.25" customHeight="1">
      <c r="A350" s="179"/>
      <c r="B350" s="98"/>
      <c r="C350" s="98"/>
      <c r="D350" s="98"/>
      <c r="E350" s="98"/>
      <c r="F350" s="235"/>
      <c r="G350" s="235"/>
      <c r="H350" s="236"/>
      <c r="I350" s="236"/>
      <c r="J350" s="236"/>
      <c r="K350" s="236"/>
      <c r="L350" s="236"/>
      <c r="M350" s="236"/>
      <c r="N350" s="236"/>
      <c r="O350" s="236"/>
      <c r="P350" s="236"/>
      <c r="Q350" s="236"/>
      <c r="R350" s="236"/>
      <c r="S350" s="236"/>
      <c r="T350" s="236"/>
      <c r="U350" s="236"/>
      <c r="V350" s="236"/>
      <c r="W350" s="237"/>
      <c r="X350" s="237"/>
      <c r="Y350" s="237"/>
      <c r="Z350" s="237"/>
      <c r="AA350" s="237"/>
      <c r="AB350" s="237"/>
      <c r="AC350" s="237"/>
      <c r="AD350" s="237"/>
      <c r="AE350" s="237"/>
      <c r="AF350" s="237"/>
      <c r="AG350" s="237"/>
      <c r="AH350" s="237"/>
      <c r="AI350" s="308"/>
      <c r="AJ350" s="308"/>
      <c r="AK350" s="308"/>
      <c r="AL350" s="308"/>
      <c r="AM350" s="308"/>
      <c r="AN350" s="98"/>
    </row>
    <row r="351" ht="14.25" customHeight="1">
      <c r="A351" s="179"/>
      <c r="B351" s="98"/>
      <c r="C351" s="98"/>
      <c r="D351" s="98"/>
      <c r="E351" s="98"/>
      <c r="F351" s="235"/>
      <c r="G351" s="235"/>
      <c r="H351" s="236"/>
      <c r="I351" s="236"/>
      <c r="J351" s="236"/>
      <c r="K351" s="236"/>
      <c r="L351" s="236"/>
      <c r="M351" s="236"/>
      <c r="N351" s="236"/>
      <c r="O351" s="236"/>
      <c r="P351" s="236"/>
      <c r="Q351" s="236"/>
      <c r="R351" s="236"/>
      <c r="S351" s="236"/>
      <c r="T351" s="236"/>
      <c r="U351" s="236"/>
      <c r="V351" s="236"/>
      <c r="W351" s="237"/>
      <c r="X351" s="237"/>
      <c r="Y351" s="237"/>
      <c r="Z351" s="237"/>
      <c r="AA351" s="237"/>
      <c r="AB351" s="237"/>
      <c r="AC351" s="237"/>
      <c r="AD351" s="237"/>
      <c r="AE351" s="237"/>
      <c r="AF351" s="237"/>
      <c r="AG351" s="237"/>
      <c r="AH351" s="237"/>
      <c r="AI351" s="308"/>
      <c r="AJ351" s="308"/>
      <c r="AK351" s="308"/>
      <c r="AL351" s="308"/>
      <c r="AM351" s="308"/>
      <c r="AN351" s="98"/>
    </row>
    <row r="352" ht="14.25" customHeight="1">
      <c r="A352" s="179"/>
      <c r="B352" s="98"/>
      <c r="C352" s="98"/>
      <c r="D352" s="98"/>
      <c r="E352" s="98"/>
      <c r="F352" s="235"/>
      <c r="G352" s="235"/>
      <c r="H352" s="236"/>
      <c r="I352" s="236"/>
      <c r="J352" s="236"/>
      <c r="K352" s="236"/>
      <c r="L352" s="236"/>
      <c r="M352" s="236"/>
      <c r="N352" s="236"/>
      <c r="O352" s="236"/>
      <c r="P352" s="236"/>
      <c r="Q352" s="236"/>
      <c r="R352" s="236"/>
      <c r="S352" s="236"/>
      <c r="T352" s="236"/>
      <c r="U352" s="236"/>
      <c r="V352" s="236"/>
      <c r="W352" s="237"/>
      <c r="X352" s="237"/>
      <c r="Y352" s="237"/>
      <c r="Z352" s="237"/>
      <c r="AA352" s="237"/>
      <c r="AB352" s="237"/>
      <c r="AC352" s="237"/>
      <c r="AD352" s="237"/>
      <c r="AE352" s="237"/>
      <c r="AF352" s="237"/>
      <c r="AG352" s="237"/>
      <c r="AH352" s="237"/>
      <c r="AI352" s="308"/>
      <c r="AJ352" s="308"/>
      <c r="AK352" s="308"/>
      <c r="AL352" s="308"/>
      <c r="AM352" s="308"/>
      <c r="AN352" s="98"/>
    </row>
    <row r="353" ht="14.25" customHeight="1">
      <c r="A353" s="179"/>
      <c r="B353" s="98"/>
      <c r="C353" s="98"/>
      <c r="D353" s="98"/>
      <c r="E353" s="98"/>
      <c r="F353" s="235"/>
      <c r="G353" s="235"/>
      <c r="H353" s="236"/>
      <c r="I353" s="236"/>
      <c r="J353" s="236"/>
      <c r="K353" s="236"/>
      <c r="L353" s="236"/>
      <c r="M353" s="236"/>
      <c r="N353" s="236"/>
      <c r="O353" s="236"/>
      <c r="P353" s="236"/>
      <c r="Q353" s="236"/>
      <c r="R353" s="236"/>
      <c r="S353" s="236"/>
      <c r="T353" s="236"/>
      <c r="U353" s="236"/>
      <c r="V353" s="236"/>
      <c r="W353" s="237"/>
      <c r="X353" s="237"/>
      <c r="Y353" s="237"/>
      <c r="Z353" s="237"/>
      <c r="AA353" s="237"/>
      <c r="AB353" s="237"/>
      <c r="AC353" s="237"/>
      <c r="AD353" s="237"/>
      <c r="AE353" s="237"/>
      <c r="AF353" s="237"/>
      <c r="AG353" s="237"/>
      <c r="AH353" s="237"/>
      <c r="AI353" s="308"/>
      <c r="AJ353" s="308"/>
      <c r="AK353" s="308"/>
      <c r="AL353" s="308"/>
      <c r="AM353" s="308"/>
      <c r="AN353" s="98"/>
    </row>
    <row r="354" ht="14.25" customHeight="1">
      <c r="A354" s="179"/>
      <c r="B354" s="98"/>
      <c r="C354" s="98"/>
      <c r="D354" s="98"/>
      <c r="E354" s="98"/>
      <c r="F354" s="235"/>
      <c r="G354" s="235"/>
      <c r="H354" s="236"/>
      <c r="I354" s="236"/>
      <c r="J354" s="236"/>
      <c r="K354" s="236"/>
      <c r="L354" s="236"/>
      <c r="M354" s="236"/>
      <c r="N354" s="236"/>
      <c r="O354" s="236"/>
      <c r="P354" s="236"/>
      <c r="Q354" s="236"/>
      <c r="R354" s="236"/>
      <c r="S354" s="236"/>
      <c r="T354" s="236"/>
      <c r="U354" s="236"/>
      <c r="V354" s="236"/>
      <c r="W354" s="237"/>
      <c r="X354" s="237"/>
      <c r="Y354" s="237"/>
      <c r="Z354" s="237"/>
      <c r="AA354" s="237"/>
      <c r="AB354" s="237"/>
      <c r="AC354" s="237"/>
      <c r="AD354" s="237"/>
      <c r="AE354" s="237"/>
      <c r="AF354" s="237"/>
      <c r="AG354" s="237"/>
      <c r="AH354" s="237"/>
      <c r="AI354" s="308"/>
      <c r="AJ354" s="308"/>
      <c r="AK354" s="308"/>
      <c r="AL354" s="308"/>
      <c r="AM354" s="308"/>
      <c r="AN354" s="98"/>
    </row>
    <row r="355" ht="14.25" customHeight="1">
      <c r="A355" s="179"/>
      <c r="B355" s="98"/>
      <c r="C355" s="98"/>
      <c r="D355" s="98"/>
      <c r="E355" s="98"/>
      <c r="F355" s="235"/>
      <c r="G355" s="235"/>
      <c r="H355" s="236"/>
      <c r="I355" s="236"/>
      <c r="J355" s="236"/>
      <c r="K355" s="236"/>
      <c r="L355" s="236"/>
      <c r="M355" s="236"/>
      <c r="N355" s="236"/>
      <c r="O355" s="236"/>
      <c r="P355" s="236"/>
      <c r="Q355" s="236"/>
      <c r="R355" s="236"/>
      <c r="S355" s="236"/>
      <c r="T355" s="236"/>
      <c r="U355" s="236"/>
      <c r="V355" s="236"/>
      <c r="W355" s="237"/>
      <c r="X355" s="237"/>
      <c r="Y355" s="237"/>
      <c r="Z355" s="237"/>
      <c r="AA355" s="237"/>
      <c r="AB355" s="237"/>
      <c r="AC355" s="237"/>
      <c r="AD355" s="237"/>
      <c r="AE355" s="237"/>
      <c r="AF355" s="237"/>
      <c r="AG355" s="237"/>
      <c r="AH355" s="237"/>
      <c r="AI355" s="308"/>
      <c r="AJ355" s="308"/>
      <c r="AK355" s="308"/>
      <c r="AL355" s="308"/>
      <c r="AM355" s="308"/>
      <c r="AN355" s="98"/>
    </row>
    <row r="356" ht="14.25" customHeight="1">
      <c r="A356" s="179"/>
      <c r="B356" s="98"/>
      <c r="C356" s="98"/>
      <c r="D356" s="98"/>
      <c r="E356" s="98"/>
      <c r="F356" s="235"/>
      <c r="G356" s="235"/>
      <c r="H356" s="236"/>
      <c r="I356" s="236"/>
      <c r="J356" s="236"/>
      <c r="K356" s="236"/>
      <c r="L356" s="236"/>
      <c r="M356" s="236"/>
      <c r="N356" s="236"/>
      <c r="O356" s="236"/>
      <c r="P356" s="236"/>
      <c r="Q356" s="236"/>
      <c r="R356" s="236"/>
      <c r="S356" s="236"/>
      <c r="T356" s="236"/>
      <c r="U356" s="236"/>
      <c r="V356" s="236"/>
      <c r="W356" s="237"/>
      <c r="X356" s="237"/>
      <c r="Y356" s="237"/>
      <c r="Z356" s="237"/>
      <c r="AA356" s="237"/>
      <c r="AB356" s="237"/>
      <c r="AC356" s="237"/>
      <c r="AD356" s="237"/>
      <c r="AE356" s="237"/>
      <c r="AF356" s="237"/>
      <c r="AG356" s="237"/>
      <c r="AH356" s="237"/>
      <c r="AI356" s="308"/>
      <c r="AJ356" s="308"/>
      <c r="AK356" s="308"/>
      <c r="AL356" s="308"/>
      <c r="AM356" s="308"/>
      <c r="AN356" s="98"/>
    </row>
    <row r="357" ht="14.25" customHeight="1">
      <c r="A357" s="179"/>
      <c r="B357" s="98"/>
      <c r="C357" s="98"/>
      <c r="D357" s="98"/>
      <c r="E357" s="98"/>
      <c r="F357" s="235"/>
      <c r="G357" s="235"/>
      <c r="H357" s="236"/>
      <c r="I357" s="236"/>
      <c r="J357" s="236"/>
      <c r="K357" s="236"/>
      <c r="L357" s="236"/>
      <c r="M357" s="236"/>
      <c r="N357" s="236"/>
      <c r="O357" s="236"/>
      <c r="P357" s="236"/>
      <c r="Q357" s="236"/>
      <c r="R357" s="236"/>
      <c r="S357" s="236"/>
      <c r="T357" s="236"/>
      <c r="U357" s="236"/>
      <c r="V357" s="236"/>
      <c r="W357" s="237"/>
      <c r="X357" s="237"/>
      <c r="Y357" s="237"/>
      <c r="Z357" s="237"/>
      <c r="AA357" s="237"/>
      <c r="AB357" s="237"/>
      <c r="AC357" s="237"/>
      <c r="AD357" s="237"/>
      <c r="AE357" s="237"/>
      <c r="AF357" s="237"/>
      <c r="AG357" s="237"/>
      <c r="AH357" s="237"/>
      <c r="AI357" s="308"/>
      <c r="AJ357" s="308"/>
      <c r="AK357" s="308"/>
      <c r="AL357" s="308"/>
      <c r="AM357" s="308"/>
      <c r="AN357" s="98"/>
    </row>
    <row r="358" ht="14.25" customHeight="1">
      <c r="A358" s="179"/>
      <c r="B358" s="98"/>
      <c r="C358" s="98"/>
      <c r="D358" s="98"/>
      <c r="E358" s="98"/>
      <c r="F358" s="235"/>
      <c r="G358" s="235"/>
      <c r="H358" s="236"/>
      <c r="I358" s="236"/>
      <c r="J358" s="236"/>
      <c r="K358" s="236"/>
      <c r="L358" s="236"/>
      <c r="M358" s="236"/>
      <c r="N358" s="236"/>
      <c r="O358" s="236"/>
      <c r="P358" s="236"/>
      <c r="Q358" s="236"/>
      <c r="R358" s="236"/>
      <c r="S358" s="236"/>
      <c r="T358" s="236"/>
      <c r="U358" s="236"/>
      <c r="V358" s="236"/>
      <c r="W358" s="237"/>
      <c r="X358" s="237"/>
      <c r="Y358" s="237"/>
      <c r="Z358" s="237"/>
      <c r="AA358" s="237"/>
      <c r="AB358" s="237"/>
      <c r="AC358" s="237"/>
      <c r="AD358" s="237"/>
      <c r="AE358" s="237"/>
      <c r="AF358" s="237"/>
      <c r="AG358" s="237"/>
      <c r="AH358" s="237"/>
      <c r="AI358" s="308"/>
      <c r="AJ358" s="308"/>
      <c r="AK358" s="308"/>
      <c r="AL358" s="308"/>
      <c r="AM358" s="308"/>
      <c r="AN358" s="98"/>
    </row>
    <row r="359" ht="14.25" customHeight="1">
      <c r="A359" s="179"/>
      <c r="B359" s="98"/>
      <c r="C359" s="98"/>
      <c r="D359" s="98"/>
      <c r="E359" s="98"/>
      <c r="F359" s="235"/>
      <c r="G359" s="235"/>
      <c r="H359" s="236"/>
      <c r="I359" s="236"/>
      <c r="J359" s="236"/>
      <c r="K359" s="236"/>
      <c r="L359" s="236"/>
      <c r="M359" s="236"/>
      <c r="N359" s="236"/>
      <c r="O359" s="236"/>
      <c r="P359" s="236"/>
      <c r="Q359" s="236"/>
      <c r="R359" s="236"/>
      <c r="S359" s="236"/>
      <c r="T359" s="236"/>
      <c r="U359" s="236"/>
      <c r="V359" s="236"/>
      <c r="W359" s="237"/>
      <c r="X359" s="237"/>
      <c r="Y359" s="237"/>
      <c r="Z359" s="237"/>
      <c r="AA359" s="237"/>
      <c r="AB359" s="237"/>
      <c r="AC359" s="237"/>
      <c r="AD359" s="237"/>
      <c r="AE359" s="237"/>
      <c r="AF359" s="237"/>
      <c r="AG359" s="237"/>
      <c r="AH359" s="237"/>
      <c r="AI359" s="308"/>
      <c r="AJ359" s="308"/>
      <c r="AK359" s="308"/>
      <c r="AL359" s="308"/>
      <c r="AM359" s="308"/>
      <c r="AN359" s="98"/>
    </row>
    <row r="360" ht="14.25" customHeight="1">
      <c r="A360" s="179"/>
      <c r="B360" s="98"/>
      <c r="C360" s="98"/>
      <c r="D360" s="98"/>
      <c r="E360" s="98"/>
      <c r="F360" s="235"/>
      <c r="G360" s="235"/>
      <c r="H360" s="236"/>
      <c r="I360" s="236"/>
      <c r="J360" s="236"/>
      <c r="K360" s="236"/>
      <c r="L360" s="236"/>
      <c r="M360" s="236"/>
      <c r="N360" s="236"/>
      <c r="O360" s="236"/>
      <c r="P360" s="236"/>
      <c r="Q360" s="236"/>
      <c r="R360" s="236"/>
      <c r="S360" s="236"/>
      <c r="T360" s="236"/>
      <c r="U360" s="236"/>
      <c r="V360" s="236"/>
      <c r="W360" s="237"/>
      <c r="X360" s="237"/>
      <c r="Y360" s="237"/>
      <c r="Z360" s="237"/>
      <c r="AA360" s="237"/>
      <c r="AB360" s="237"/>
      <c r="AC360" s="237"/>
      <c r="AD360" s="237"/>
      <c r="AE360" s="237"/>
      <c r="AF360" s="237"/>
      <c r="AG360" s="237"/>
      <c r="AH360" s="237"/>
      <c r="AI360" s="308"/>
      <c r="AJ360" s="308"/>
      <c r="AK360" s="308"/>
      <c r="AL360" s="308"/>
      <c r="AM360" s="308"/>
      <c r="AN360" s="98"/>
    </row>
    <row r="361" ht="14.25" customHeight="1">
      <c r="A361" s="179"/>
      <c r="B361" s="98"/>
      <c r="C361" s="98"/>
      <c r="D361" s="98"/>
      <c r="E361" s="98"/>
      <c r="F361" s="235"/>
      <c r="G361" s="235"/>
      <c r="H361" s="236"/>
      <c r="I361" s="236"/>
      <c r="J361" s="236"/>
      <c r="K361" s="236"/>
      <c r="L361" s="236"/>
      <c r="M361" s="236"/>
      <c r="N361" s="236"/>
      <c r="O361" s="236"/>
      <c r="P361" s="236"/>
      <c r="Q361" s="236"/>
      <c r="R361" s="236"/>
      <c r="S361" s="236"/>
      <c r="T361" s="236"/>
      <c r="U361" s="236"/>
      <c r="V361" s="236"/>
      <c r="W361" s="237"/>
      <c r="X361" s="237"/>
      <c r="Y361" s="237"/>
      <c r="Z361" s="237"/>
      <c r="AA361" s="237"/>
      <c r="AB361" s="237"/>
      <c r="AC361" s="237"/>
      <c r="AD361" s="237"/>
      <c r="AE361" s="237"/>
      <c r="AF361" s="237"/>
      <c r="AG361" s="237"/>
      <c r="AH361" s="237"/>
      <c r="AI361" s="308"/>
      <c r="AJ361" s="308"/>
      <c r="AK361" s="308"/>
      <c r="AL361" s="308"/>
      <c r="AM361" s="308"/>
      <c r="AN361" s="98"/>
    </row>
    <row r="362" ht="14.25" customHeight="1">
      <c r="A362" s="179"/>
      <c r="B362" s="98"/>
      <c r="C362" s="98"/>
      <c r="D362" s="98"/>
      <c r="E362" s="98"/>
      <c r="F362" s="235"/>
      <c r="G362" s="235"/>
      <c r="H362" s="236"/>
      <c r="I362" s="236"/>
      <c r="J362" s="236"/>
      <c r="K362" s="236"/>
      <c r="L362" s="236"/>
      <c r="M362" s="236"/>
      <c r="N362" s="236"/>
      <c r="O362" s="236"/>
      <c r="P362" s="236"/>
      <c r="Q362" s="236"/>
      <c r="R362" s="236"/>
      <c r="S362" s="236"/>
      <c r="T362" s="236"/>
      <c r="U362" s="236"/>
      <c r="V362" s="236"/>
      <c r="W362" s="237"/>
      <c r="X362" s="237"/>
      <c r="Y362" s="237"/>
      <c r="Z362" s="237"/>
      <c r="AA362" s="237"/>
      <c r="AB362" s="237"/>
      <c r="AC362" s="237"/>
      <c r="AD362" s="237"/>
      <c r="AE362" s="237"/>
      <c r="AF362" s="237"/>
      <c r="AG362" s="237"/>
      <c r="AH362" s="237"/>
      <c r="AI362" s="308"/>
      <c r="AJ362" s="308"/>
      <c r="AK362" s="308"/>
      <c r="AL362" s="308"/>
      <c r="AM362" s="308"/>
      <c r="AN362" s="98"/>
    </row>
    <row r="363" ht="14.25" customHeight="1">
      <c r="A363" s="179"/>
      <c r="B363" s="98"/>
      <c r="C363" s="98"/>
      <c r="D363" s="98"/>
      <c r="E363" s="98"/>
      <c r="F363" s="235"/>
      <c r="G363" s="235"/>
      <c r="H363" s="236"/>
      <c r="I363" s="236"/>
      <c r="J363" s="236"/>
      <c r="K363" s="236"/>
      <c r="L363" s="236"/>
      <c r="M363" s="236"/>
      <c r="N363" s="236"/>
      <c r="O363" s="236"/>
      <c r="P363" s="236"/>
      <c r="Q363" s="236"/>
      <c r="R363" s="236"/>
      <c r="S363" s="236"/>
      <c r="T363" s="236"/>
      <c r="U363" s="236"/>
      <c r="V363" s="236"/>
      <c r="W363" s="237"/>
      <c r="X363" s="237"/>
      <c r="Y363" s="237"/>
      <c r="Z363" s="237"/>
      <c r="AA363" s="237"/>
      <c r="AB363" s="237"/>
      <c r="AC363" s="237"/>
      <c r="AD363" s="237"/>
      <c r="AE363" s="237"/>
      <c r="AF363" s="237"/>
      <c r="AG363" s="237"/>
      <c r="AH363" s="237"/>
      <c r="AI363" s="308"/>
      <c r="AJ363" s="308"/>
      <c r="AK363" s="308"/>
      <c r="AL363" s="308"/>
      <c r="AM363" s="308"/>
      <c r="AN363" s="98"/>
    </row>
    <row r="364" ht="14.25" customHeight="1">
      <c r="A364" s="179"/>
      <c r="B364" s="98"/>
      <c r="C364" s="98"/>
      <c r="D364" s="98"/>
      <c r="E364" s="98"/>
      <c r="F364" s="235"/>
      <c r="G364" s="235"/>
      <c r="H364" s="236"/>
      <c r="I364" s="236"/>
      <c r="J364" s="236"/>
      <c r="K364" s="236"/>
      <c r="L364" s="236"/>
      <c r="M364" s="236"/>
      <c r="N364" s="236"/>
      <c r="O364" s="236"/>
      <c r="P364" s="236"/>
      <c r="Q364" s="236"/>
      <c r="R364" s="236"/>
      <c r="S364" s="236"/>
      <c r="T364" s="236"/>
      <c r="U364" s="236"/>
      <c r="V364" s="236"/>
      <c r="W364" s="237"/>
      <c r="X364" s="237"/>
      <c r="Y364" s="237"/>
      <c r="Z364" s="237"/>
      <c r="AA364" s="237"/>
      <c r="AB364" s="237"/>
      <c r="AC364" s="237"/>
      <c r="AD364" s="237"/>
      <c r="AE364" s="237"/>
      <c r="AF364" s="237"/>
      <c r="AG364" s="237"/>
      <c r="AH364" s="237"/>
      <c r="AI364" s="308"/>
      <c r="AJ364" s="308"/>
      <c r="AK364" s="308"/>
      <c r="AL364" s="308"/>
      <c r="AM364" s="308"/>
      <c r="AN364" s="98"/>
    </row>
    <row r="365" ht="14.25" customHeight="1">
      <c r="A365" s="179"/>
      <c r="B365" s="98"/>
      <c r="C365" s="98"/>
      <c r="D365" s="98"/>
      <c r="E365" s="98"/>
      <c r="F365" s="235"/>
      <c r="G365" s="235"/>
      <c r="H365" s="236"/>
      <c r="I365" s="236"/>
      <c r="J365" s="236"/>
      <c r="K365" s="236"/>
      <c r="L365" s="236"/>
      <c r="M365" s="236"/>
      <c r="N365" s="236"/>
      <c r="O365" s="236"/>
      <c r="P365" s="236"/>
      <c r="Q365" s="236"/>
      <c r="R365" s="236"/>
      <c r="S365" s="236"/>
      <c r="T365" s="236"/>
      <c r="U365" s="236"/>
      <c r="V365" s="236"/>
      <c r="W365" s="237"/>
      <c r="X365" s="237"/>
      <c r="Y365" s="237"/>
      <c r="Z365" s="237"/>
      <c r="AA365" s="237"/>
      <c r="AB365" s="237"/>
      <c r="AC365" s="237"/>
      <c r="AD365" s="237"/>
      <c r="AE365" s="237"/>
      <c r="AF365" s="237"/>
      <c r="AG365" s="237"/>
      <c r="AH365" s="237"/>
      <c r="AI365" s="308"/>
      <c r="AJ365" s="308"/>
      <c r="AK365" s="308"/>
      <c r="AL365" s="308"/>
      <c r="AM365" s="308"/>
      <c r="AN365" s="98"/>
    </row>
    <row r="366" ht="14.25" customHeight="1">
      <c r="A366" s="179"/>
      <c r="B366" s="98"/>
      <c r="C366" s="98"/>
      <c r="D366" s="98"/>
      <c r="E366" s="98"/>
      <c r="F366" s="235"/>
      <c r="G366" s="235"/>
      <c r="H366" s="236"/>
      <c r="I366" s="236"/>
      <c r="J366" s="236"/>
      <c r="K366" s="236"/>
      <c r="L366" s="236"/>
      <c r="M366" s="236"/>
      <c r="N366" s="236"/>
      <c r="O366" s="236"/>
      <c r="P366" s="236"/>
      <c r="Q366" s="236"/>
      <c r="R366" s="236"/>
      <c r="S366" s="236"/>
      <c r="T366" s="236"/>
      <c r="U366" s="236"/>
      <c r="V366" s="236"/>
      <c r="W366" s="237"/>
      <c r="X366" s="237"/>
      <c r="Y366" s="237"/>
      <c r="Z366" s="237"/>
      <c r="AA366" s="237"/>
      <c r="AB366" s="237"/>
      <c r="AC366" s="237"/>
      <c r="AD366" s="237"/>
      <c r="AE366" s="237"/>
      <c r="AF366" s="237"/>
      <c r="AG366" s="237"/>
      <c r="AH366" s="237"/>
      <c r="AI366" s="308"/>
      <c r="AJ366" s="308"/>
      <c r="AK366" s="308"/>
      <c r="AL366" s="308"/>
      <c r="AM366" s="308"/>
      <c r="AN366" s="98"/>
    </row>
    <row r="367" ht="14.25" customHeight="1">
      <c r="A367" s="179"/>
      <c r="B367" s="98"/>
      <c r="C367" s="98"/>
      <c r="D367" s="98"/>
      <c r="E367" s="98"/>
      <c r="F367" s="235"/>
      <c r="G367" s="235"/>
      <c r="H367" s="236"/>
      <c r="I367" s="236"/>
      <c r="J367" s="236"/>
      <c r="K367" s="236"/>
      <c r="L367" s="236"/>
      <c r="M367" s="236"/>
      <c r="N367" s="236"/>
      <c r="O367" s="236"/>
      <c r="P367" s="236"/>
      <c r="Q367" s="236"/>
      <c r="R367" s="236"/>
      <c r="S367" s="236"/>
      <c r="T367" s="236"/>
      <c r="U367" s="236"/>
      <c r="V367" s="236"/>
      <c r="W367" s="237"/>
      <c r="X367" s="237"/>
      <c r="Y367" s="237"/>
      <c r="Z367" s="237"/>
      <c r="AA367" s="237"/>
      <c r="AB367" s="237"/>
      <c r="AC367" s="237"/>
      <c r="AD367" s="237"/>
      <c r="AE367" s="237"/>
      <c r="AF367" s="237"/>
      <c r="AG367" s="237"/>
      <c r="AH367" s="237"/>
      <c r="AI367" s="308"/>
      <c r="AJ367" s="308"/>
      <c r="AK367" s="308"/>
      <c r="AL367" s="308"/>
      <c r="AM367" s="308"/>
      <c r="AN367" s="98"/>
    </row>
    <row r="368" ht="14.25" customHeight="1">
      <c r="A368" s="179"/>
      <c r="B368" s="98"/>
      <c r="C368" s="98"/>
      <c r="D368" s="98"/>
      <c r="E368" s="98"/>
      <c r="F368" s="235"/>
      <c r="G368" s="235"/>
      <c r="H368" s="236"/>
      <c r="I368" s="236"/>
      <c r="J368" s="236"/>
      <c r="K368" s="236"/>
      <c r="L368" s="236"/>
      <c r="M368" s="236"/>
      <c r="N368" s="236"/>
      <c r="O368" s="236"/>
      <c r="P368" s="236"/>
      <c r="Q368" s="236"/>
      <c r="R368" s="236"/>
      <c r="S368" s="236"/>
      <c r="T368" s="236"/>
      <c r="U368" s="236"/>
      <c r="V368" s="236"/>
      <c r="W368" s="237"/>
      <c r="X368" s="237"/>
      <c r="Y368" s="237"/>
      <c r="Z368" s="237"/>
      <c r="AA368" s="237"/>
      <c r="AB368" s="237"/>
      <c r="AC368" s="237"/>
      <c r="AD368" s="237"/>
      <c r="AE368" s="237"/>
      <c r="AF368" s="237"/>
      <c r="AG368" s="237"/>
      <c r="AH368" s="237"/>
      <c r="AI368" s="308"/>
      <c r="AJ368" s="308"/>
      <c r="AK368" s="308"/>
      <c r="AL368" s="308"/>
      <c r="AM368" s="308"/>
      <c r="AN368" s="98"/>
    </row>
    <row r="369" ht="14.25" customHeight="1">
      <c r="A369" s="179"/>
      <c r="B369" s="98"/>
      <c r="C369" s="98"/>
      <c r="D369" s="98"/>
      <c r="E369" s="98"/>
      <c r="F369" s="235"/>
      <c r="G369" s="235"/>
      <c r="H369" s="236"/>
      <c r="I369" s="236"/>
      <c r="J369" s="236"/>
      <c r="K369" s="236"/>
      <c r="L369" s="236"/>
      <c r="M369" s="236"/>
      <c r="N369" s="236"/>
      <c r="O369" s="236"/>
      <c r="P369" s="236"/>
      <c r="Q369" s="236"/>
      <c r="R369" s="236"/>
      <c r="S369" s="236"/>
      <c r="T369" s="236"/>
      <c r="U369" s="236"/>
      <c r="V369" s="236"/>
      <c r="W369" s="237"/>
      <c r="X369" s="237"/>
      <c r="Y369" s="237"/>
      <c r="Z369" s="237"/>
      <c r="AA369" s="237"/>
      <c r="AB369" s="237"/>
      <c r="AC369" s="237"/>
      <c r="AD369" s="237"/>
      <c r="AE369" s="237"/>
      <c r="AF369" s="237"/>
      <c r="AG369" s="237"/>
      <c r="AH369" s="237"/>
      <c r="AI369" s="308"/>
      <c r="AJ369" s="308"/>
      <c r="AK369" s="308"/>
      <c r="AL369" s="308"/>
      <c r="AM369" s="308"/>
      <c r="AN369" s="98"/>
    </row>
    <row r="370" ht="14.25" customHeight="1">
      <c r="A370" s="179"/>
      <c r="B370" s="98"/>
      <c r="C370" s="98"/>
      <c r="D370" s="98"/>
      <c r="E370" s="98"/>
      <c r="F370" s="235"/>
      <c r="G370" s="235"/>
      <c r="H370" s="236"/>
      <c r="I370" s="236"/>
      <c r="J370" s="236"/>
      <c r="K370" s="236"/>
      <c r="L370" s="236"/>
      <c r="M370" s="236"/>
      <c r="N370" s="236"/>
      <c r="O370" s="236"/>
      <c r="P370" s="236"/>
      <c r="Q370" s="236"/>
      <c r="R370" s="236"/>
      <c r="S370" s="236"/>
      <c r="T370" s="236"/>
      <c r="U370" s="236"/>
      <c r="V370" s="236"/>
      <c r="W370" s="237"/>
      <c r="X370" s="237"/>
      <c r="Y370" s="237"/>
      <c r="Z370" s="237"/>
      <c r="AA370" s="237"/>
      <c r="AB370" s="237"/>
      <c r="AC370" s="237"/>
      <c r="AD370" s="237"/>
      <c r="AE370" s="237"/>
      <c r="AF370" s="237"/>
      <c r="AG370" s="237"/>
      <c r="AH370" s="237"/>
      <c r="AI370" s="308"/>
      <c r="AJ370" s="308"/>
      <c r="AK370" s="308"/>
      <c r="AL370" s="308"/>
      <c r="AM370" s="308"/>
      <c r="AN370" s="98"/>
    </row>
    <row r="371" ht="14.25" customHeight="1">
      <c r="A371" s="179"/>
      <c r="B371" s="98"/>
      <c r="C371" s="98"/>
      <c r="D371" s="98"/>
      <c r="E371" s="98"/>
      <c r="F371" s="235"/>
      <c r="G371" s="235"/>
      <c r="H371" s="236"/>
      <c r="I371" s="236"/>
      <c r="J371" s="236"/>
      <c r="K371" s="236"/>
      <c r="L371" s="236"/>
      <c r="M371" s="236"/>
      <c r="N371" s="236"/>
      <c r="O371" s="236"/>
      <c r="P371" s="236"/>
      <c r="Q371" s="236"/>
      <c r="R371" s="236"/>
      <c r="S371" s="236"/>
      <c r="T371" s="236"/>
      <c r="U371" s="236"/>
      <c r="V371" s="236"/>
      <c r="W371" s="237"/>
      <c r="X371" s="237"/>
      <c r="Y371" s="237"/>
      <c r="Z371" s="237"/>
      <c r="AA371" s="237"/>
      <c r="AB371" s="237"/>
      <c r="AC371" s="237"/>
      <c r="AD371" s="237"/>
      <c r="AE371" s="237"/>
      <c r="AF371" s="237"/>
      <c r="AG371" s="237"/>
      <c r="AH371" s="237"/>
      <c r="AI371" s="308"/>
      <c r="AJ371" s="308"/>
      <c r="AK371" s="308"/>
      <c r="AL371" s="308"/>
      <c r="AM371" s="308"/>
      <c r="AN371" s="98"/>
    </row>
    <row r="372" ht="14.25" customHeight="1">
      <c r="A372" s="179"/>
      <c r="B372" s="98"/>
      <c r="C372" s="98"/>
      <c r="D372" s="98"/>
      <c r="E372" s="98"/>
      <c r="F372" s="235"/>
      <c r="G372" s="235"/>
      <c r="H372" s="236"/>
      <c r="I372" s="236"/>
      <c r="J372" s="236"/>
      <c r="K372" s="236"/>
      <c r="L372" s="236"/>
      <c r="M372" s="236"/>
      <c r="N372" s="236"/>
      <c r="O372" s="236"/>
      <c r="P372" s="236"/>
      <c r="Q372" s="236"/>
      <c r="R372" s="236"/>
      <c r="S372" s="236"/>
      <c r="T372" s="236"/>
      <c r="U372" s="236"/>
      <c r="V372" s="236"/>
      <c r="W372" s="237"/>
      <c r="X372" s="237"/>
      <c r="Y372" s="237"/>
      <c r="Z372" s="237"/>
      <c r="AA372" s="237"/>
      <c r="AB372" s="237"/>
      <c r="AC372" s="237"/>
      <c r="AD372" s="237"/>
      <c r="AE372" s="237"/>
      <c r="AF372" s="237"/>
      <c r="AG372" s="237"/>
      <c r="AH372" s="237"/>
      <c r="AI372" s="308"/>
      <c r="AJ372" s="308"/>
      <c r="AK372" s="308"/>
      <c r="AL372" s="308"/>
      <c r="AM372" s="308"/>
      <c r="AN372" s="98"/>
    </row>
    <row r="373" ht="14.25" customHeight="1">
      <c r="A373" s="179"/>
      <c r="B373" s="98"/>
      <c r="C373" s="98"/>
      <c r="D373" s="98"/>
      <c r="E373" s="98"/>
      <c r="F373" s="235"/>
      <c r="G373" s="235"/>
      <c r="H373" s="236"/>
      <c r="I373" s="236"/>
      <c r="J373" s="236"/>
      <c r="K373" s="236"/>
      <c r="L373" s="236"/>
      <c r="M373" s="236"/>
      <c r="N373" s="236"/>
      <c r="O373" s="236"/>
      <c r="P373" s="236"/>
      <c r="Q373" s="236"/>
      <c r="R373" s="236"/>
      <c r="S373" s="236"/>
      <c r="T373" s="236"/>
      <c r="U373" s="236"/>
      <c r="V373" s="236"/>
      <c r="W373" s="237"/>
      <c r="X373" s="237"/>
      <c r="Y373" s="237"/>
      <c r="Z373" s="237"/>
      <c r="AA373" s="237"/>
      <c r="AB373" s="237"/>
      <c r="AC373" s="237"/>
      <c r="AD373" s="237"/>
      <c r="AE373" s="237"/>
      <c r="AF373" s="237"/>
      <c r="AG373" s="237"/>
      <c r="AH373" s="237"/>
      <c r="AI373" s="308"/>
      <c r="AJ373" s="308"/>
      <c r="AK373" s="308"/>
      <c r="AL373" s="308"/>
      <c r="AM373" s="308"/>
      <c r="AN373" s="98"/>
    </row>
    <row r="374" ht="14.25" customHeight="1">
      <c r="A374" s="179"/>
      <c r="B374" s="98"/>
      <c r="C374" s="98"/>
      <c r="D374" s="98"/>
      <c r="E374" s="98"/>
      <c r="F374" s="235"/>
      <c r="G374" s="235"/>
      <c r="H374" s="236"/>
      <c r="I374" s="236"/>
      <c r="J374" s="236"/>
      <c r="K374" s="236"/>
      <c r="L374" s="236"/>
      <c r="M374" s="236"/>
      <c r="N374" s="236"/>
      <c r="O374" s="236"/>
      <c r="P374" s="236"/>
      <c r="Q374" s="236"/>
      <c r="R374" s="236"/>
      <c r="S374" s="236"/>
      <c r="T374" s="236"/>
      <c r="U374" s="236"/>
      <c r="V374" s="236"/>
      <c r="W374" s="237"/>
      <c r="X374" s="237"/>
      <c r="Y374" s="237"/>
      <c r="Z374" s="237"/>
      <c r="AA374" s="237"/>
      <c r="AB374" s="237"/>
      <c r="AC374" s="237"/>
      <c r="AD374" s="237"/>
      <c r="AE374" s="237"/>
      <c r="AF374" s="237"/>
      <c r="AG374" s="237"/>
      <c r="AH374" s="237"/>
      <c r="AI374" s="308"/>
      <c r="AJ374" s="308"/>
      <c r="AK374" s="308"/>
      <c r="AL374" s="308"/>
      <c r="AM374" s="308"/>
      <c r="AN374" s="98"/>
    </row>
    <row r="375" ht="14.25" customHeight="1">
      <c r="A375" s="179"/>
      <c r="B375" s="98"/>
      <c r="C375" s="98"/>
      <c r="D375" s="98"/>
      <c r="E375" s="98"/>
      <c r="F375" s="235"/>
      <c r="G375" s="235"/>
      <c r="H375" s="236"/>
      <c r="I375" s="236"/>
      <c r="J375" s="236"/>
      <c r="K375" s="236"/>
      <c r="L375" s="236"/>
      <c r="M375" s="236"/>
      <c r="N375" s="236"/>
      <c r="O375" s="236"/>
      <c r="P375" s="236"/>
      <c r="Q375" s="236"/>
      <c r="R375" s="236"/>
      <c r="S375" s="236"/>
      <c r="T375" s="236"/>
      <c r="U375" s="236"/>
      <c r="V375" s="236"/>
      <c r="W375" s="237"/>
      <c r="X375" s="237"/>
      <c r="Y375" s="237"/>
      <c r="Z375" s="237"/>
      <c r="AA375" s="237"/>
      <c r="AB375" s="237"/>
      <c r="AC375" s="237"/>
      <c r="AD375" s="237"/>
      <c r="AE375" s="237"/>
      <c r="AF375" s="237"/>
      <c r="AG375" s="237"/>
      <c r="AH375" s="237"/>
      <c r="AI375" s="308"/>
      <c r="AJ375" s="308"/>
      <c r="AK375" s="308"/>
      <c r="AL375" s="308"/>
      <c r="AM375" s="308"/>
      <c r="AN375" s="98"/>
    </row>
    <row r="376" ht="14.25" customHeight="1">
      <c r="A376" s="179"/>
      <c r="B376" s="98"/>
      <c r="C376" s="98"/>
      <c r="D376" s="98"/>
      <c r="E376" s="98"/>
      <c r="F376" s="235"/>
      <c r="G376" s="235"/>
      <c r="H376" s="236"/>
      <c r="I376" s="236"/>
      <c r="J376" s="236"/>
      <c r="K376" s="236"/>
      <c r="L376" s="236"/>
      <c r="M376" s="236"/>
      <c r="N376" s="236"/>
      <c r="O376" s="236"/>
      <c r="P376" s="236"/>
      <c r="Q376" s="236"/>
      <c r="R376" s="236"/>
      <c r="S376" s="236"/>
      <c r="T376" s="236"/>
      <c r="U376" s="236"/>
      <c r="V376" s="236"/>
      <c r="W376" s="237"/>
      <c r="X376" s="237"/>
      <c r="Y376" s="237"/>
      <c r="Z376" s="237"/>
      <c r="AA376" s="237"/>
      <c r="AB376" s="237"/>
      <c r="AC376" s="237"/>
      <c r="AD376" s="237"/>
      <c r="AE376" s="237"/>
      <c r="AF376" s="237"/>
      <c r="AG376" s="237"/>
      <c r="AH376" s="237"/>
      <c r="AI376" s="308"/>
      <c r="AJ376" s="308"/>
      <c r="AK376" s="308"/>
      <c r="AL376" s="308"/>
      <c r="AM376" s="308"/>
      <c r="AN376" s="98"/>
    </row>
    <row r="377" ht="14.25" customHeight="1">
      <c r="A377" s="179"/>
      <c r="B377" s="98"/>
      <c r="C377" s="98"/>
      <c r="D377" s="98"/>
      <c r="E377" s="98"/>
      <c r="F377" s="235"/>
      <c r="G377" s="235"/>
      <c r="H377" s="236"/>
      <c r="I377" s="236"/>
      <c r="J377" s="236"/>
      <c r="K377" s="236"/>
      <c r="L377" s="236"/>
      <c r="M377" s="236"/>
      <c r="N377" s="236"/>
      <c r="O377" s="236"/>
      <c r="P377" s="236"/>
      <c r="Q377" s="236"/>
      <c r="R377" s="236"/>
      <c r="S377" s="236"/>
      <c r="T377" s="236"/>
      <c r="U377" s="236"/>
      <c r="V377" s="236"/>
      <c r="W377" s="237"/>
      <c r="X377" s="237"/>
      <c r="Y377" s="237"/>
      <c r="Z377" s="237"/>
      <c r="AA377" s="237"/>
      <c r="AB377" s="237"/>
      <c r="AC377" s="237"/>
      <c r="AD377" s="237"/>
      <c r="AE377" s="237"/>
      <c r="AF377" s="237"/>
      <c r="AG377" s="237"/>
      <c r="AH377" s="237"/>
      <c r="AI377" s="308"/>
      <c r="AJ377" s="308"/>
      <c r="AK377" s="308"/>
      <c r="AL377" s="308"/>
      <c r="AM377" s="308"/>
      <c r="AN377" s="98"/>
    </row>
    <row r="378" ht="14.25" customHeight="1">
      <c r="A378" s="179"/>
      <c r="B378" s="98"/>
      <c r="C378" s="98"/>
      <c r="D378" s="98"/>
      <c r="E378" s="98"/>
      <c r="F378" s="235"/>
      <c r="G378" s="235"/>
      <c r="H378" s="236"/>
      <c r="I378" s="236"/>
      <c r="J378" s="236"/>
      <c r="K378" s="236"/>
      <c r="L378" s="236"/>
      <c r="M378" s="236"/>
      <c r="N378" s="236"/>
      <c r="O378" s="236"/>
      <c r="P378" s="236"/>
      <c r="Q378" s="236"/>
      <c r="R378" s="236"/>
      <c r="S378" s="236"/>
      <c r="T378" s="236"/>
      <c r="U378" s="236"/>
      <c r="V378" s="236"/>
      <c r="W378" s="237"/>
      <c r="X378" s="237"/>
      <c r="Y378" s="237"/>
      <c r="Z378" s="237"/>
      <c r="AA378" s="237"/>
      <c r="AB378" s="237"/>
      <c r="AC378" s="237"/>
      <c r="AD378" s="237"/>
      <c r="AE378" s="237"/>
      <c r="AF378" s="237"/>
      <c r="AG378" s="237"/>
      <c r="AH378" s="237"/>
      <c r="AI378" s="308"/>
      <c r="AJ378" s="308"/>
      <c r="AK378" s="308"/>
      <c r="AL378" s="308"/>
      <c r="AM378" s="308"/>
      <c r="AN378" s="98"/>
    </row>
    <row r="379" ht="14.25" customHeight="1">
      <c r="A379" s="179"/>
      <c r="B379" s="98"/>
      <c r="C379" s="98"/>
      <c r="D379" s="98"/>
      <c r="E379" s="98"/>
      <c r="F379" s="235"/>
      <c r="G379" s="235"/>
      <c r="H379" s="236"/>
      <c r="I379" s="236"/>
      <c r="J379" s="236"/>
      <c r="K379" s="236"/>
      <c r="L379" s="236"/>
      <c r="M379" s="236"/>
      <c r="N379" s="236"/>
      <c r="O379" s="236"/>
      <c r="P379" s="236"/>
      <c r="Q379" s="236"/>
      <c r="R379" s="236"/>
      <c r="S379" s="236"/>
      <c r="T379" s="236"/>
      <c r="U379" s="236"/>
      <c r="V379" s="236"/>
      <c r="W379" s="237"/>
      <c r="X379" s="237"/>
      <c r="Y379" s="237"/>
      <c r="Z379" s="237"/>
      <c r="AA379" s="237"/>
      <c r="AB379" s="237"/>
      <c r="AC379" s="237"/>
      <c r="AD379" s="237"/>
      <c r="AE379" s="237"/>
      <c r="AF379" s="237"/>
      <c r="AG379" s="237"/>
      <c r="AH379" s="237"/>
      <c r="AI379" s="308"/>
      <c r="AJ379" s="308"/>
      <c r="AK379" s="308"/>
      <c r="AL379" s="308"/>
      <c r="AM379" s="308"/>
      <c r="AN379" s="98"/>
    </row>
    <row r="380" ht="14.25" customHeight="1">
      <c r="A380" s="179"/>
      <c r="B380" s="98"/>
      <c r="C380" s="98"/>
      <c r="D380" s="98"/>
      <c r="E380" s="98"/>
      <c r="F380" s="235"/>
      <c r="G380" s="235"/>
      <c r="H380" s="236"/>
      <c r="I380" s="236"/>
      <c r="J380" s="236"/>
      <c r="K380" s="236"/>
      <c r="L380" s="236"/>
      <c r="M380" s="236"/>
      <c r="N380" s="236"/>
      <c r="O380" s="236"/>
      <c r="P380" s="236"/>
      <c r="Q380" s="236"/>
      <c r="R380" s="236"/>
      <c r="S380" s="236"/>
      <c r="T380" s="236"/>
      <c r="U380" s="236"/>
      <c r="V380" s="236"/>
      <c r="W380" s="237"/>
      <c r="X380" s="237"/>
      <c r="Y380" s="237"/>
      <c r="Z380" s="237"/>
      <c r="AA380" s="237"/>
      <c r="AB380" s="237"/>
      <c r="AC380" s="237"/>
      <c r="AD380" s="237"/>
      <c r="AE380" s="237"/>
      <c r="AF380" s="237"/>
      <c r="AG380" s="237"/>
      <c r="AH380" s="237"/>
      <c r="AI380" s="308"/>
      <c r="AJ380" s="308"/>
      <c r="AK380" s="308"/>
      <c r="AL380" s="308"/>
      <c r="AM380" s="308"/>
      <c r="AN380" s="98"/>
    </row>
    <row r="381" ht="14.25" customHeight="1">
      <c r="A381" s="179"/>
      <c r="B381" s="98"/>
      <c r="C381" s="98"/>
      <c r="D381" s="98"/>
      <c r="E381" s="98"/>
      <c r="F381" s="235"/>
      <c r="G381" s="235"/>
      <c r="H381" s="236"/>
      <c r="I381" s="236"/>
      <c r="J381" s="236"/>
      <c r="K381" s="236"/>
      <c r="L381" s="236"/>
      <c r="M381" s="236"/>
      <c r="N381" s="236"/>
      <c r="O381" s="236"/>
      <c r="P381" s="236"/>
      <c r="Q381" s="236"/>
      <c r="R381" s="236"/>
      <c r="S381" s="236"/>
      <c r="T381" s="236"/>
      <c r="U381" s="236"/>
      <c r="V381" s="236"/>
      <c r="W381" s="237"/>
      <c r="X381" s="237"/>
      <c r="Y381" s="237"/>
      <c r="Z381" s="237"/>
      <c r="AA381" s="237"/>
      <c r="AB381" s="237"/>
      <c r="AC381" s="237"/>
      <c r="AD381" s="237"/>
      <c r="AE381" s="237"/>
      <c r="AF381" s="237"/>
      <c r="AG381" s="237"/>
      <c r="AH381" s="237"/>
      <c r="AI381" s="308"/>
      <c r="AJ381" s="308"/>
      <c r="AK381" s="308"/>
      <c r="AL381" s="308"/>
      <c r="AM381" s="308"/>
      <c r="AN381" s="98"/>
    </row>
    <row r="382" ht="14.25" customHeight="1">
      <c r="A382" s="179"/>
      <c r="B382" s="98"/>
      <c r="C382" s="98"/>
      <c r="D382" s="98"/>
      <c r="E382" s="98"/>
      <c r="F382" s="235"/>
      <c r="G382" s="235"/>
      <c r="H382" s="236"/>
      <c r="I382" s="236"/>
      <c r="J382" s="236"/>
      <c r="K382" s="236"/>
      <c r="L382" s="236"/>
      <c r="M382" s="236"/>
      <c r="N382" s="236"/>
      <c r="O382" s="236"/>
      <c r="P382" s="236"/>
      <c r="Q382" s="236"/>
      <c r="R382" s="236"/>
      <c r="S382" s="236"/>
      <c r="T382" s="236"/>
      <c r="U382" s="236"/>
      <c r="V382" s="236"/>
      <c r="W382" s="237"/>
      <c r="X382" s="237"/>
      <c r="Y382" s="237"/>
      <c r="Z382" s="237"/>
      <c r="AA382" s="237"/>
      <c r="AB382" s="237"/>
      <c r="AC382" s="237"/>
      <c r="AD382" s="237"/>
      <c r="AE382" s="237"/>
      <c r="AF382" s="237"/>
      <c r="AG382" s="237"/>
      <c r="AH382" s="237"/>
      <c r="AI382" s="308"/>
      <c r="AJ382" s="308"/>
      <c r="AK382" s="308"/>
      <c r="AL382" s="308"/>
      <c r="AM382" s="308"/>
      <c r="AN382" s="98"/>
    </row>
    <row r="383" ht="14.25" customHeight="1">
      <c r="A383" s="179"/>
      <c r="B383" s="98"/>
      <c r="C383" s="98"/>
      <c r="D383" s="98"/>
      <c r="E383" s="98"/>
      <c r="F383" s="235"/>
      <c r="G383" s="235"/>
      <c r="H383" s="236"/>
      <c r="I383" s="236"/>
      <c r="J383" s="236"/>
      <c r="K383" s="236"/>
      <c r="L383" s="236"/>
      <c r="M383" s="236"/>
      <c r="N383" s="236"/>
      <c r="O383" s="236"/>
      <c r="P383" s="236"/>
      <c r="Q383" s="236"/>
      <c r="R383" s="236"/>
      <c r="S383" s="236"/>
      <c r="T383" s="236"/>
      <c r="U383" s="236"/>
      <c r="V383" s="236"/>
      <c r="W383" s="237"/>
      <c r="X383" s="237"/>
      <c r="Y383" s="237"/>
      <c r="Z383" s="237"/>
      <c r="AA383" s="237"/>
      <c r="AB383" s="237"/>
      <c r="AC383" s="237"/>
      <c r="AD383" s="237"/>
      <c r="AE383" s="237"/>
      <c r="AF383" s="237"/>
      <c r="AG383" s="237"/>
      <c r="AH383" s="237"/>
      <c r="AI383" s="308"/>
      <c r="AJ383" s="308"/>
      <c r="AK383" s="308"/>
      <c r="AL383" s="308"/>
      <c r="AM383" s="308"/>
      <c r="AN383" s="98"/>
    </row>
    <row r="384" ht="14.25" customHeight="1">
      <c r="A384" s="179"/>
      <c r="B384" s="98"/>
      <c r="C384" s="98"/>
      <c r="D384" s="98"/>
      <c r="E384" s="98"/>
      <c r="F384" s="235"/>
      <c r="G384" s="235"/>
      <c r="H384" s="236"/>
      <c r="I384" s="236"/>
      <c r="J384" s="236"/>
      <c r="K384" s="236"/>
      <c r="L384" s="236"/>
      <c r="M384" s="236"/>
      <c r="N384" s="236"/>
      <c r="O384" s="236"/>
      <c r="P384" s="236"/>
      <c r="Q384" s="236"/>
      <c r="R384" s="236"/>
      <c r="S384" s="236"/>
      <c r="T384" s="236"/>
      <c r="U384" s="236"/>
      <c r="V384" s="236"/>
      <c r="W384" s="237"/>
      <c r="X384" s="237"/>
      <c r="Y384" s="237"/>
      <c r="Z384" s="237"/>
      <c r="AA384" s="237"/>
      <c r="AB384" s="237"/>
      <c r="AC384" s="237"/>
      <c r="AD384" s="237"/>
      <c r="AE384" s="237"/>
      <c r="AF384" s="237"/>
      <c r="AG384" s="237"/>
      <c r="AH384" s="237"/>
      <c r="AI384" s="308"/>
      <c r="AJ384" s="308"/>
      <c r="AK384" s="308"/>
      <c r="AL384" s="308"/>
      <c r="AM384" s="308"/>
      <c r="AN384" s="98"/>
    </row>
    <row r="385" ht="14.25" customHeight="1">
      <c r="A385" s="179"/>
      <c r="B385" s="98"/>
      <c r="C385" s="98"/>
      <c r="D385" s="98"/>
      <c r="E385" s="98"/>
      <c r="F385" s="235"/>
      <c r="G385" s="235"/>
      <c r="H385" s="236"/>
      <c r="I385" s="236"/>
      <c r="J385" s="236"/>
      <c r="K385" s="236"/>
      <c r="L385" s="236"/>
      <c r="M385" s="236"/>
      <c r="N385" s="236"/>
      <c r="O385" s="236"/>
      <c r="P385" s="236"/>
      <c r="Q385" s="236"/>
      <c r="R385" s="236"/>
      <c r="S385" s="236"/>
      <c r="T385" s="236"/>
      <c r="U385" s="236"/>
      <c r="V385" s="236"/>
      <c r="W385" s="237"/>
      <c r="X385" s="237"/>
      <c r="Y385" s="237"/>
      <c r="Z385" s="237"/>
      <c r="AA385" s="237"/>
      <c r="AB385" s="237"/>
      <c r="AC385" s="237"/>
      <c r="AD385" s="237"/>
      <c r="AE385" s="237"/>
      <c r="AF385" s="237"/>
      <c r="AG385" s="237"/>
      <c r="AH385" s="237"/>
      <c r="AI385" s="308"/>
      <c r="AJ385" s="308"/>
      <c r="AK385" s="308"/>
      <c r="AL385" s="308"/>
      <c r="AM385" s="308"/>
      <c r="AN385" s="98"/>
    </row>
    <row r="386" ht="14.25" customHeight="1">
      <c r="A386" s="179"/>
      <c r="B386" s="98"/>
      <c r="C386" s="98"/>
      <c r="D386" s="98"/>
      <c r="E386" s="98"/>
      <c r="F386" s="235"/>
      <c r="G386" s="235"/>
      <c r="H386" s="236"/>
      <c r="I386" s="236"/>
      <c r="J386" s="236"/>
      <c r="K386" s="236"/>
      <c r="L386" s="236"/>
      <c r="M386" s="236"/>
      <c r="N386" s="236"/>
      <c r="O386" s="236"/>
      <c r="P386" s="236"/>
      <c r="Q386" s="236"/>
      <c r="R386" s="236"/>
      <c r="S386" s="236"/>
      <c r="T386" s="236"/>
      <c r="U386" s="236"/>
      <c r="V386" s="236"/>
      <c r="W386" s="237"/>
      <c r="X386" s="237"/>
      <c r="Y386" s="237"/>
      <c r="Z386" s="237"/>
      <c r="AA386" s="237"/>
      <c r="AB386" s="237"/>
      <c r="AC386" s="237"/>
      <c r="AD386" s="237"/>
      <c r="AE386" s="237"/>
      <c r="AF386" s="237"/>
      <c r="AG386" s="237"/>
      <c r="AH386" s="237"/>
      <c r="AI386" s="308"/>
      <c r="AJ386" s="308"/>
      <c r="AK386" s="308"/>
      <c r="AL386" s="308"/>
      <c r="AM386" s="308"/>
      <c r="AN386" s="98"/>
    </row>
    <row r="387" ht="14.25" customHeight="1">
      <c r="A387" s="179"/>
      <c r="B387" s="98"/>
      <c r="C387" s="98"/>
      <c r="D387" s="98"/>
      <c r="E387" s="98"/>
      <c r="F387" s="235"/>
      <c r="G387" s="235"/>
      <c r="H387" s="236"/>
      <c r="I387" s="236"/>
      <c r="J387" s="236"/>
      <c r="K387" s="236"/>
      <c r="L387" s="236"/>
      <c r="M387" s="236"/>
      <c r="N387" s="236"/>
      <c r="O387" s="236"/>
      <c r="P387" s="236"/>
      <c r="Q387" s="236"/>
      <c r="R387" s="236"/>
      <c r="S387" s="236"/>
      <c r="T387" s="236"/>
      <c r="U387" s="236"/>
      <c r="V387" s="236"/>
      <c r="W387" s="237"/>
      <c r="X387" s="237"/>
      <c r="Y387" s="237"/>
      <c r="Z387" s="237"/>
      <c r="AA387" s="237"/>
      <c r="AB387" s="237"/>
      <c r="AC387" s="237"/>
      <c r="AD387" s="237"/>
      <c r="AE387" s="237"/>
      <c r="AF387" s="237"/>
      <c r="AG387" s="237"/>
      <c r="AH387" s="237"/>
      <c r="AI387" s="308"/>
      <c r="AJ387" s="308"/>
      <c r="AK387" s="308"/>
      <c r="AL387" s="308"/>
      <c r="AM387" s="308"/>
      <c r="AN387" s="98"/>
    </row>
    <row r="388" ht="14.25" customHeight="1">
      <c r="A388" s="179"/>
      <c r="B388" s="98"/>
      <c r="C388" s="98"/>
      <c r="D388" s="98"/>
      <c r="E388" s="98"/>
      <c r="F388" s="235"/>
      <c r="G388" s="235"/>
      <c r="H388" s="236"/>
      <c r="I388" s="236"/>
      <c r="J388" s="236"/>
      <c r="K388" s="236"/>
      <c r="L388" s="236"/>
      <c r="M388" s="236"/>
      <c r="N388" s="236"/>
      <c r="O388" s="236"/>
      <c r="P388" s="236"/>
      <c r="Q388" s="236"/>
      <c r="R388" s="236"/>
      <c r="S388" s="236"/>
      <c r="T388" s="236"/>
      <c r="U388" s="236"/>
      <c r="V388" s="236"/>
      <c r="W388" s="237"/>
      <c r="X388" s="237"/>
      <c r="Y388" s="237"/>
      <c r="Z388" s="237"/>
      <c r="AA388" s="237"/>
      <c r="AB388" s="237"/>
      <c r="AC388" s="237"/>
      <c r="AD388" s="237"/>
      <c r="AE388" s="237"/>
      <c r="AF388" s="237"/>
      <c r="AG388" s="237"/>
      <c r="AH388" s="237"/>
      <c r="AI388" s="308"/>
      <c r="AJ388" s="308"/>
      <c r="AK388" s="308"/>
      <c r="AL388" s="308"/>
      <c r="AM388" s="308"/>
      <c r="AN388" s="98"/>
    </row>
    <row r="389" ht="14.25" customHeight="1">
      <c r="A389" s="179"/>
      <c r="B389" s="98"/>
      <c r="C389" s="98"/>
      <c r="D389" s="98"/>
      <c r="E389" s="98"/>
      <c r="F389" s="235"/>
      <c r="G389" s="235"/>
      <c r="H389" s="236"/>
      <c r="I389" s="236"/>
      <c r="J389" s="236"/>
      <c r="K389" s="236"/>
      <c r="L389" s="236"/>
      <c r="M389" s="236"/>
      <c r="N389" s="236"/>
      <c r="O389" s="236"/>
      <c r="P389" s="236"/>
      <c r="Q389" s="236"/>
      <c r="R389" s="236"/>
      <c r="S389" s="236"/>
      <c r="T389" s="236"/>
      <c r="U389" s="236"/>
      <c r="V389" s="236"/>
      <c r="W389" s="237"/>
      <c r="X389" s="237"/>
      <c r="Y389" s="237"/>
      <c r="Z389" s="237"/>
      <c r="AA389" s="237"/>
      <c r="AB389" s="237"/>
      <c r="AC389" s="237"/>
      <c r="AD389" s="237"/>
      <c r="AE389" s="237"/>
      <c r="AF389" s="237"/>
      <c r="AG389" s="237"/>
      <c r="AH389" s="237"/>
      <c r="AI389" s="308"/>
      <c r="AJ389" s="308"/>
      <c r="AK389" s="308"/>
      <c r="AL389" s="308"/>
      <c r="AM389" s="308"/>
      <c r="AN389" s="98"/>
    </row>
    <row r="390" ht="14.25" customHeight="1">
      <c r="A390" s="179"/>
      <c r="B390" s="98"/>
      <c r="C390" s="98"/>
      <c r="D390" s="98"/>
      <c r="E390" s="98"/>
      <c r="F390" s="235"/>
      <c r="G390" s="235"/>
      <c r="H390" s="236"/>
      <c r="I390" s="236"/>
      <c r="J390" s="236"/>
      <c r="K390" s="236"/>
      <c r="L390" s="236"/>
      <c r="M390" s="236"/>
      <c r="N390" s="236"/>
      <c r="O390" s="236"/>
      <c r="P390" s="236"/>
      <c r="Q390" s="236"/>
      <c r="R390" s="236"/>
      <c r="S390" s="236"/>
      <c r="T390" s="236"/>
      <c r="U390" s="236"/>
      <c r="V390" s="236"/>
      <c r="W390" s="237"/>
      <c r="X390" s="237"/>
      <c r="Y390" s="237"/>
      <c r="Z390" s="237"/>
      <c r="AA390" s="237"/>
      <c r="AB390" s="237"/>
      <c r="AC390" s="237"/>
      <c r="AD390" s="237"/>
      <c r="AE390" s="237"/>
      <c r="AF390" s="237"/>
      <c r="AG390" s="237"/>
      <c r="AH390" s="237"/>
      <c r="AI390" s="308"/>
      <c r="AJ390" s="308"/>
      <c r="AK390" s="308"/>
      <c r="AL390" s="308"/>
      <c r="AM390" s="308"/>
      <c r="AN390" s="98"/>
    </row>
    <row r="391" ht="14.25" customHeight="1">
      <c r="A391" s="179"/>
      <c r="B391" s="98"/>
      <c r="C391" s="98"/>
      <c r="D391" s="98"/>
      <c r="E391" s="98"/>
      <c r="F391" s="235"/>
      <c r="G391" s="235"/>
      <c r="H391" s="236"/>
      <c r="I391" s="236"/>
      <c r="J391" s="236"/>
      <c r="K391" s="236"/>
      <c r="L391" s="236"/>
      <c r="M391" s="236"/>
      <c r="N391" s="236"/>
      <c r="O391" s="236"/>
      <c r="P391" s="236"/>
      <c r="Q391" s="236"/>
      <c r="R391" s="236"/>
      <c r="S391" s="236"/>
      <c r="T391" s="236"/>
      <c r="U391" s="236"/>
      <c r="V391" s="236"/>
      <c r="W391" s="237"/>
      <c r="X391" s="237"/>
      <c r="Y391" s="237"/>
      <c r="Z391" s="237"/>
      <c r="AA391" s="237"/>
      <c r="AB391" s="237"/>
      <c r="AC391" s="237"/>
      <c r="AD391" s="237"/>
      <c r="AE391" s="237"/>
      <c r="AF391" s="237"/>
      <c r="AG391" s="237"/>
      <c r="AH391" s="237"/>
      <c r="AI391" s="308"/>
      <c r="AJ391" s="308"/>
      <c r="AK391" s="308"/>
      <c r="AL391" s="308"/>
      <c r="AM391" s="308"/>
      <c r="AN391" s="98"/>
    </row>
    <row r="392" ht="14.25" customHeight="1">
      <c r="A392" s="179"/>
      <c r="B392" s="98"/>
      <c r="C392" s="98"/>
      <c r="D392" s="98"/>
      <c r="E392" s="98"/>
      <c r="F392" s="235"/>
      <c r="G392" s="235"/>
      <c r="H392" s="236"/>
      <c r="I392" s="236"/>
      <c r="J392" s="236"/>
      <c r="K392" s="236"/>
      <c r="L392" s="236"/>
      <c r="M392" s="236"/>
      <c r="N392" s="236"/>
      <c r="O392" s="236"/>
      <c r="P392" s="236"/>
      <c r="Q392" s="236"/>
      <c r="R392" s="236"/>
      <c r="S392" s="236"/>
      <c r="T392" s="236"/>
      <c r="U392" s="236"/>
      <c r="V392" s="236"/>
      <c r="W392" s="237"/>
      <c r="X392" s="237"/>
      <c r="Y392" s="237"/>
      <c r="Z392" s="237"/>
      <c r="AA392" s="237"/>
      <c r="AB392" s="237"/>
      <c r="AC392" s="237"/>
      <c r="AD392" s="237"/>
      <c r="AE392" s="237"/>
      <c r="AF392" s="237"/>
      <c r="AG392" s="237"/>
      <c r="AH392" s="237"/>
      <c r="AI392" s="308"/>
      <c r="AJ392" s="308"/>
      <c r="AK392" s="308"/>
      <c r="AL392" s="308"/>
      <c r="AM392" s="308"/>
      <c r="AN392" s="98"/>
    </row>
    <row r="393" ht="14.25" customHeight="1">
      <c r="A393" s="179"/>
      <c r="B393" s="98"/>
      <c r="C393" s="98"/>
      <c r="D393" s="98"/>
      <c r="E393" s="98"/>
      <c r="F393" s="235"/>
      <c r="G393" s="235"/>
      <c r="H393" s="236"/>
      <c r="I393" s="236"/>
      <c r="J393" s="236"/>
      <c r="K393" s="236"/>
      <c r="L393" s="236"/>
      <c r="M393" s="236"/>
      <c r="N393" s="236"/>
      <c r="O393" s="236"/>
      <c r="P393" s="236"/>
      <c r="Q393" s="236"/>
      <c r="R393" s="236"/>
      <c r="S393" s="236"/>
      <c r="T393" s="236"/>
      <c r="U393" s="236"/>
      <c r="V393" s="236"/>
      <c r="W393" s="237"/>
      <c r="X393" s="237"/>
      <c r="Y393" s="237"/>
      <c r="Z393" s="237"/>
      <c r="AA393" s="237"/>
      <c r="AB393" s="237"/>
      <c r="AC393" s="237"/>
      <c r="AD393" s="237"/>
      <c r="AE393" s="237"/>
      <c r="AF393" s="237"/>
      <c r="AG393" s="237"/>
      <c r="AH393" s="237"/>
      <c r="AI393" s="308"/>
      <c r="AJ393" s="308"/>
      <c r="AK393" s="308"/>
      <c r="AL393" s="308"/>
      <c r="AM393" s="308"/>
      <c r="AN393" s="98"/>
    </row>
    <row r="394" ht="14.25" customHeight="1">
      <c r="A394" s="179"/>
      <c r="B394" s="98"/>
      <c r="C394" s="98"/>
      <c r="D394" s="98"/>
      <c r="E394" s="98"/>
      <c r="F394" s="235"/>
      <c r="G394" s="235"/>
      <c r="H394" s="236"/>
      <c r="I394" s="236"/>
      <c r="J394" s="236"/>
      <c r="K394" s="236"/>
      <c r="L394" s="236"/>
      <c r="M394" s="236"/>
      <c r="N394" s="236"/>
      <c r="O394" s="236"/>
      <c r="P394" s="236"/>
      <c r="Q394" s="236"/>
      <c r="R394" s="236"/>
      <c r="S394" s="236"/>
      <c r="T394" s="236"/>
      <c r="U394" s="236"/>
      <c r="V394" s="236"/>
      <c r="W394" s="237"/>
      <c r="X394" s="237"/>
      <c r="Y394" s="237"/>
      <c r="Z394" s="237"/>
      <c r="AA394" s="237"/>
      <c r="AB394" s="237"/>
      <c r="AC394" s="237"/>
      <c r="AD394" s="237"/>
      <c r="AE394" s="237"/>
      <c r="AF394" s="237"/>
      <c r="AG394" s="237"/>
      <c r="AH394" s="237"/>
      <c r="AI394" s="308"/>
      <c r="AJ394" s="308"/>
      <c r="AK394" s="308"/>
      <c r="AL394" s="308"/>
      <c r="AM394" s="308"/>
      <c r="AN394" s="98"/>
    </row>
    <row r="395" ht="14.25" customHeight="1">
      <c r="A395" s="179"/>
      <c r="B395" s="98"/>
      <c r="C395" s="98"/>
      <c r="D395" s="98"/>
      <c r="E395" s="98"/>
      <c r="F395" s="235"/>
      <c r="G395" s="235"/>
      <c r="H395" s="236"/>
      <c r="I395" s="236"/>
      <c r="J395" s="236"/>
      <c r="K395" s="236"/>
      <c r="L395" s="236"/>
      <c r="M395" s="236"/>
      <c r="N395" s="236"/>
      <c r="O395" s="236"/>
      <c r="P395" s="236"/>
      <c r="Q395" s="236"/>
      <c r="R395" s="236"/>
      <c r="S395" s="236"/>
      <c r="T395" s="236"/>
      <c r="U395" s="236"/>
      <c r="V395" s="236"/>
      <c r="W395" s="237"/>
      <c r="X395" s="237"/>
      <c r="Y395" s="237"/>
      <c r="Z395" s="237"/>
      <c r="AA395" s="237"/>
      <c r="AB395" s="237"/>
      <c r="AC395" s="237"/>
      <c r="AD395" s="237"/>
      <c r="AE395" s="237"/>
      <c r="AF395" s="237"/>
      <c r="AG395" s="237"/>
      <c r="AH395" s="237"/>
      <c r="AI395" s="308"/>
      <c r="AJ395" s="308"/>
      <c r="AK395" s="308"/>
      <c r="AL395" s="308"/>
      <c r="AM395" s="308"/>
      <c r="AN395" s="98"/>
    </row>
    <row r="396" ht="14.25" customHeight="1">
      <c r="A396" s="179"/>
      <c r="B396" s="98"/>
      <c r="C396" s="98"/>
      <c r="D396" s="98"/>
      <c r="E396" s="98"/>
      <c r="F396" s="235"/>
      <c r="G396" s="235"/>
      <c r="H396" s="236"/>
      <c r="I396" s="236"/>
      <c r="J396" s="236"/>
      <c r="K396" s="236"/>
      <c r="L396" s="236"/>
      <c r="M396" s="236"/>
      <c r="N396" s="236"/>
      <c r="O396" s="236"/>
      <c r="P396" s="236"/>
      <c r="Q396" s="236"/>
      <c r="R396" s="236"/>
      <c r="S396" s="236"/>
      <c r="T396" s="236"/>
      <c r="U396" s="236"/>
      <c r="V396" s="236"/>
      <c r="W396" s="237"/>
      <c r="X396" s="237"/>
      <c r="Y396" s="237"/>
      <c r="Z396" s="237"/>
      <c r="AA396" s="237"/>
      <c r="AB396" s="237"/>
      <c r="AC396" s="237"/>
      <c r="AD396" s="237"/>
      <c r="AE396" s="237"/>
      <c r="AF396" s="237"/>
      <c r="AG396" s="237"/>
      <c r="AH396" s="237"/>
      <c r="AI396" s="308"/>
      <c r="AJ396" s="308"/>
      <c r="AK396" s="308"/>
      <c r="AL396" s="308"/>
      <c r="AM396" s="308"/>
      <c r="AN396" s="98"/>
    </row>
    <row r="397" ht="14.25" customHeight="1">
      <c r="A397" s="179"/>
      <c r="B397" s="98"/>
      <c r="C397" s="98"/>
      <c r="D397" s="98"/>
      <c r="E397" s="98"/>
      <c r="F397" s="235"/>
      <c r="G397" s="235"/>
      <c r="H397" s="236"/>
      <c r="I397" s="236"/>
      <c r="J397" s="236"/>
      <c r="K397" s="236"/>
      <c r="L397" s="236"/>
      <c r="M397" s="236"/>
      <c r="N397" s="236"/>
      <c r="O397" s="236"/>
      <c r="P397" s="236"/>
      <c r="Q397" s="236"/>
      <c r="R397" s="236"/>
      <c r="S397" s="236"/>
      <c r="T397" s="236"/>
      <c r="U397" s="236"/>
      <c r="V397" s="236"/>
      <c r="W397" s="237"/>
      <c r="X397" s="237"/>
      <c r="Y397" s="237"/>
      <c r="Z397" s="237"/>
      <c r="AA397" s="237"/>
      <c r="AB397" s="237"/>
      <c r="AC397" s="237"/>
      <c r="AD397" s="237"/>
      <c r="AE397" s="237"/>
      <c r="AF397" s="237"/>
      <c r="AG397" s="237"/>
      <c r="AH397" s="237"/>
      <c r="AI397" s="308"/>
      <c r="AJ397" s="308"/>
      <c r="AK397" s="308"/>
      <c r="AL397" s="308"/>
      <c r="AM397" s="308"/>
      <c r="AN397" s="98"/>
    </row>
    <row r="398" ht="14.25" customHeight="1">
      <c r="A398" s="179"/>
      <c r="B398" s="98"/>
      <c r="C398" s="98"/>
      <c r="D398" s="98"/>
      <c r="E398" s="98"/>
      <c r="F398" s="235"/>
      <c r="G398" s="235"/>
      <c r="H398" s="236"/>
      <c r="I398" s="236"/>
      <c r="J398" s="236"/>
      <c r="K398" s="236"/>
      <c r="L398" s="236"/>
      <c r="M398" s="236"/>
      <c r="N398" s="236"/>
      <c r="O398" s="236"/>
      <c r="P398" s="236"/>
      <c r="Q398" s="236"/>
      <c r="R398" s="236"/>
      <c r="S398" s="236"/>
      <c r="T398" s="236"/>
      <c r="U398" s="236"/>
      <c r="V398" s="236"/>
      <c r="W398" s="237"/>
      <c r="X398" s="237"/>
      <c r="Y398" s="237"/>
      <c r="Z398" s="237"/>
      <c r="AA398" s="237"/>
      <c r="AB398" s="237"/>
      <c r="AC398" s="237"/>
      <c r="AD398" s="237"/>
      <c r="AE398" s="237"/>
      <c r="AF398" s="237"/>
      <c r="AG398" s="237"/>
      <c r="AH398" s="237"/>
      <c r="AI398" s="308"/>
      <c r="AJ398" s="308"/>
      <c r="AK398" s="308"/>
      <c r="AL398" s="308"/>
      <c r="AM398" s="308"/>
      <c r="AN398" s="98"/>
    </row>
    <row r="399" ht="14.25" customHeight="1">
      <c r="A399" s="179"/>
      <c r="B399" s="98"/>
      <c r="C399" s="98"/>
      <c r="D399" s="98"/>
      <c r="E399" s="98"/>
      <c r="F399" s="235"/>
      <c r="G399" s="235"/>
      <c r="H399" s="236"/>
      <c r="I399" s="236"/>
      <c r="J399" s="236"/>
      <c r="K399" s="236"/>
      <c r="L399" s="236"/>
      <c r="M399" s="236"/>
      <c r="N399" s="236"/>
      <c r="O399" s="236"/>
      <c r="P399" s="236"/>
      <c r="Q399" s="236"/>
      <c r="R399" s="236"/>
      <c r="S399" s="236"/>
      <c r="T399" s="236"/>
      <c r="U399" s="236"/>
      <c r="V399" s="236"/>
      <c r="W399" s="237"/>
      <c r="X399" s="237"/>
      <c r="Y399" s="237"/>
      <c r="Z399" s="237"/>
      <c r="AA399" s="237"/>
      <c r="AB399" s="237"/>
      <c r="AC399" s="237"/>
      <c r="AD399" s="237"/>
      <c r="AE399" s="237"/>
      <c r="AF399" s="237"/>
      <c r="AG399" s="237"/>
      <c r="AH399" s="237"/>
      <c r="AI399" s="308"/>
      <c r="AJ399" s="308"/>
      <c r="AK399" s="308"/>
      <c r="AL399" s="308"/>
      <c r="AM399" s="308"/>
      <c r="AN399" s="98"/>
    </row>
    <row r="400" ht="14.25" customHeight="1">
      <c r="A400" s="179"/>
      <c r="B400" s="98"/>
      <c r="C400" s="98"/>
      <c r="D400" s="98"/>
      <c r="E400" s="98"/>
      <c r="F400" s="235"/>
      <c r="G400" s="235"/>
      <c r="H400" s="236"/>
      <c r="I400" s="236"/>
      <c r="J400" s="236"/>
      <c r="K400" s="236"/>
      <c r="L400" s="236"/>
      <c r="M400" s="236"/>
      <c r="N400" s="236"/>
      <c r="O400" s="236"/>
      <c r="P400" s="236"/>
      <c r="Q400" s="236"/>
      <c r="R400" s="236"/>
      <c r="S400" s="236"/>
      <c r="T400" s="236"/>
      <c r="U400" s="236"/>
      <c r="V400" s="236"/>
      <c r="W400" s="237"/>
      <c r="X400" s="237"/>
      <c r="Y400" s="237"/>
      <c r="Z400" s="237"/>
      <c r="AA400" s="237"/>
      <c r="AB400" s="237"/>
      <c r="AC400" s="237"/>
      <c r="AD400" s="237"/>
      <c r="AE400" s="237"/>
      <c r="AF400" s="237"/>
      <c r="AG400" s="237"/>
      <c r="AH400" s="237"/>
      <c r="AI400" s="308"/>
      <c r="AJ400" s="308"/>
      <c r="AK400" s="308"/>
      <c r="AL400" s="308"/>
      <c r="AM400" s="308"/>
      <c r="AN400" s="98"/>
    </row>
    <row r="401" ht="14.25" customHeight="1">
      <c r="A401" s="179"/>
      <c r="B401" s="98"/>
      <c r="C401" s="98"/>
      <c r="D401" s="98"/>
      <c r="E401" s="98"/>
      <c r="F401" s="235"/>
      <c r="G401" s="235"/>
      <c r="H401" s="236"/>
      <c r="I401" s="236"/>
      <c r="J401" s="236"/>
      <c r="K401" s="236"/>
      <c r="L401" s="236"/>
      <c r="M401" s="236"/>
      <c r="N401" s="236"/>
      <c r="O401" s="236"/>
      <c r="P401" s="236"/>
      <c r="Q401" s="236"/>
      <c r="R401" s="236"/>
      <c r="S401" s="236"/>
      <c r="T401" s="236"/>
      <c r="U401" s="236"/>
      <c r="V401" s="236"/>
      <c r="W401" s="237"/>
      <c r="X401" s="237"/>
      <c r="Y401" s="237"/>
      <c r="Z401" s="237"/>
      <c r="AA401" s="237"/>
      <c r="AB401" s="237"/>
      <c r="AC401" s="237"/>
      <c r="AD401" s="237"/>
      <c r="AE401" s="237"/>
      <c r="AF401" s="237"/>
      <c r="AG401" s="237"/>
      <c r="AH401" s="237"/>
      <c r="AI401" s="308"/>
      <c r="AJ401" s="308"/>
      <c r="AK401" s="308"/>
      <c r="AL401" s="308"/>
      <c r="AM401" s="308"/>
      <c r="AN401" s="98"/>
    </row>
    <row r="402" ht="14.25" customHeight="1">
      <c r="A402" s="179"/>
      <c r="B402" s="98"/>
      <c r="C402" s="98"/>
      <c r="D402" s="98"/>
      <c r="E402" s="98"/>
      <c r="F402" s="235"/>
      <c r="G402" s="235"/>
      <c r="H402" s="236"/>
      <c r="I402" s="236"/>
      <c r="J402" s="236"/>
      <c r="K402" s="236"/>
      <c r="L402" s="236"/>
      <c r="M402" s="236"/>
      <c r="N402" s="236"/>
      <c r="O402" s="236"/>
      <c r="P402" s="236"/>
      <c r="Q402" s="236"/>
      <c r="R402" s="236"/>
      <c r="S402" s="236"/>
      <c r="T402" s="236"/>
      <c r="U402" s="236"/>
      <c r="V402" s="236"/>
      <c r="W402" s="237"/>
      <c r="X402" s="237"/>
      <c r="Y402" s="237"/>
      <c r="Z402" s="237"/>
      <c r="AA402" s="237"/>
      <c r="AB402" s="237"/>
      <c r="AC402" s="237"/>
      <c r="AD402" s="237"/>
      <c r="AE402" s="237"/>
      <c r="AF402" s="237"/>
      <c r="AG402" s="237"/>
      <c r="AH402" s="237"/>
      <c r="AI402" s="308"/>
      <c r="AJ402" s="308"/>
      <c r="AK402" s="308"/>
      <c r="AL402" s="308"/>
      <c r="AM402" s="308"/>
      <c r="AN402" s="98"/>
    </row>
    <row r="403" ht="14.25" customHeight="1">
      <c r="A403" s="179"/>
      <c r="B403" s="98"/>
      <c r="C403" s="98"/>
      <c r="D403" s="98"/>
      <c r="E403" s="98"/>
      <c r="F403" s="235"/>
      <c r="G403" s="235"/>
      <c r="H403" s="236"/>
      <c r="I403" s="236"/>
      <c r="J403" s="236"/>
      <c r="K403" s="236"/>
      <c r="L403" s="236"/>
      <c r="M403" s="236"/>
      <c r="N403" s="236"/>
      <c r="O403" s="236"/>
      <c r="P403" s="236"/>
      <c r="Q403" s="236"/>
      <c r="R403" s="236"/>
      <c r="S403" s="236"/>
      <c r="T403" s="236"/>
      <c r="U403" s="236"/>
      <c r="V403" s="236"/>
      <c r="W403" s="237"/>
      <c r="X403" s="237"/>
      <c r="Y403" s="237"/>
      <c r="Z403" s="237"/>
      <c r="AA403" s="237"/>
      <c r="AB403" s="237"/>
      <c r="AC403" s="237"/>
      <c r="AD403" s="237"/>
      <c r="AE403" s="237"/>
      <c r="AF403" s="237"/>
      <c r="AG403" s="237"/>
      <c r="AH403" s="237"/>
      <c r="AI403" s="308"/>
      <c r="AJ403" s="308"/>
      <c r="AK403" s="308"/>
      <c r="AL403" s="308"/>
      <c r="AM403" s="308"/>
      <c r="AN403" s="98"/>
    </row>
    <row r="404" ht="14.25" customHeight="1">
      <c r="A404" s="179"/>
      <c r="B404" s="98"/>
      <c r="C404" s="98"/>
      <c r="D404" s="98"/>
      <c r="E404" s="98"/>
      <c r="F404" s="235"/>
      <c r="G404" s="235"/>
      <c r="H404" s="236"/>
      <c r="I404" s="236"/>
      <c r="J404" s="236"/>
      <c r="K404" s="236"/>
      <c r="L404" s="236"/>
      <c r="M404" s="236"/>
      <c r="N404" s="236"/>
      <c r="O404" s="236"/>
      <c r="P404" s="236"/>
      <c r="Q404" s="236"/>
      <c r="R404" s="236"/>
      <c r="S404" s="236"/>
      <c r="T404" s="236"/>
      <c r="U404" s="236"/>
      <c r="V404" s="236"/>
      <c r="W404" s="237"/>
      <c r="X404" s="237"/>
      <c r="Y404" s="237"/>
      <c r="Z404" s="237"/>
      <c r="AA404" s="237"/>
      <c r="AB404" s="237"/>
      <c r="AC404" s="237"/>
      <c r="AD404" s="237"/>
      <c r="AE404" s="237"/>
      <c r="AF404" s="237"/>
      <c r="AG404" s="237"/>
      <c r="AH404" s="237"/>
      <c r="AI404" s="308"/>
      <c r="AJ404" s="308"/>
      <c r="AK404" s="308"/>
      <c r="AL404" s="308"/>
      <c r="AM404" s="308"/>
      <c r="AN404" s="98"/>
    </row>
    <row r="405" ht="14.25" customHeight="1">
      <c r="A405" s="179"/>
      <c r="B405" s="98"/>
      <c r="C405" s="98"/>
      <c r="D405" s="98"/>
      <c r="E405" s="98"/>
      <c r="F405" s="235"/>
      <c r="G405" s="235"/>
      <c r="H405" s="236"/>
      <c r="I405" s="236"/>
      <c r="J405" s="236"/>
      <c r="K405" s="236"/>
      <c r="L405" s="236"/>
      <c r="M405" s="236"/>
      <c r="N405" s="236"/>
      <c r="O405" s="236"/>
      <c r="P405" s="236"/>
      <c r="Q405" s="236"/>
      <c r="R405" s="236"/>
      <c r="S405" s="236"/>
      <c r="T405" s="236"/>
      <c r="U405" s="236"/>
      <c r="V405" s="236"/>
      <c r="W405" s="237"/>
      <c r="X405" s="237"/>
      <c r="Y405" s="237"/>
      <c r="Z405" s="237"/>
      <c r="AA405" s="237"/>
      <c r="AB405" s="237"/>
      <c r="AC405" s="237"/>
      <c r="AD405" s="237"/>
      <c r="AE405" s="237"/>
      <c r="AF405" s="237"/>
      <c r="AG405" s="237"/>
      <c r="AH405" s="237"/>
      <c r="AI405" s="308"/>
      <c r="AJ405" s="308"/>
      <c r="AK405" s="308"/>
      <c r="AL405" s="308"/>
      <c r="AM405" s="308"/>
      <c r="AN405" s="98"/>
    </row>
    <row r="406" ht="14.25" customHeight="1">
      <c r="A406" s="179"/>
      <c r="B406" s="98"/>
      <c r="C406" s="98"/>
      <c r="D406" s="98"/>
      <c r="E406" s="98"/>
      <c r="F406" s="235"/>
      <c r="G406" s="235"/>
      <c r="H406" s="236"/>
      <c r="I406" s="236"/>
      <c r="J406" s="236"/>
      <c r="K406" s="236"/>
      <c r="L406" s="236"/>
      <c r="M406" s="236"/>
      <c r="N406" s="236"/>
      <c r="O406" s="236"/>
      <c r="P406" s="236"/>
      <c r="Q406" s="236"/>
      <c r="R406" s="236"/>
      <c r="S406" s="236"/>
      <c r="T406" s="236"/>
      <c r="U406" s="236"/>
      <c r="V406" s="236"/>
      <c r="W406" s="237"/>
      <c r="X406" s="237"/>
      <c r="Y406" s="237"/>
      <c r="Z406" s="237"/>
      <c r="AA406" s="237"/>
      <c r="AB406" s="237"/>
      <c r="AC406" s="237"/>
      <c r="AD406" s="237"/>
      <c r="AE406" s="237"/>
      <c r="AF406" s="237"/>
      <c r="AG406" s="237"/>
      <c r="AH406" s="237"/>
      <c r="AI406" s="308"/>
      <c r="AJ406" s="308"/>
      <c r="AK406" s="308"/>
      <c r="AL406" s="308"/>
      <c r="AM406" s="308"/>
      <c r="AN406" s="98"/>
    </row>
    <row r="407" ht="14.25" customHeight="1">
      <c r="A407" s="179"/>
      <c r="B407" s="98"/>
      <c r="C407" s="98"/>
      <c r="D407" s="98"/>
      <c r="E407" s="98"/>
      <c r="F407" s="235"/>
      <c r="G407" s="235"/>
      <c r="H407" s="236"/>
      <c r="I407" s="236"/>
      <c r="J407" s="236"/>
      <c r="K407" s="236"/>
      <c r="L407" s="236"/>
      <c r="M407" s="236"/>
      <c r="N407" s="236"/>
      <c r="O407" s="236"/>
      <c r="P407" s="236"/>
      <c r="Q407" s="236"/>
      <c r="R407" s="236"/>
      <c r="S407" s="236"/>
      <c r="T407" s="236"/>
      <c r="U407" s="236"/>
      <c r="V407" s="236"/>
      <c r="W407" s="237"/>
      <c r="X407" s="237"/>
      <c r="Y407" s="237"/>
      <c r="Z407" s="237"/>
      <c r="AA407" s="237"/>
      <c r="AB407" s="237"/>
      <c r="AC407" s="237"/>
      <c r="AD407" s="237"/>
      <c r="AE407" s="237"/>
      <c r="AF407" s="237"/>
      <c r="AG407" s="237"/>
      <c r="AH407" s="237"/>
      <c r="AI407" s="308"/>
      <c r="AJ407" s="308"/>
      <c r="AK407" s="308"/>
      <c r="AL407" s="308"/>
      <c r="AM407" s="308"/>
      <c r="AN407" s="98"/>
    </row>
    <row r="408" ht="14.25" customHeight="1">
      <c r="A408" s="179"/>
      <c r="B408" s="98"/>
      <c r="C408" s="98"/>
      <c r="D408" s="98"/>
      <c r="E408" s="98"/>
      <c r="F408" s="235"/>
      <c r="G408" s="235"/>
      <c r="H408" s="236"/>
      <c r="I408" s="236"/>
      <c r="J408" s="236"/>
      <c r="K408" s="236"/>
      <c r="L408" s="236"/>
      <c r="M408" s="236"/>
      <c r="N408" s="236"/>
      <c r="O408" s="236"/>
      <c r="P408" s="236"/>
      <c r="Q408" s="236"/>
      <c r="R408" s="236"/>
      <c r="S408" s="236"/>
      <c r="T408" s="236"/>
      <c r="U408" s="236"/>
      <c r="V408" s="236"/>
      <c r="W408" s="237"/>
      <c r="X408" s="237"/>
      <c r="Y408" s="237"/>
      <c r="Z408" s="237"/>
      <c r="AA408" s="237"/>
      <c r="AB408" s="237"/>
      <c r="AC408" s="237"/>
      <c r="AD408" s="237"/>
      <c r="AE408" s="237"/>
      <c r="AF408" s="237"/>
      <c r="AG408" s="237"/>
      <c r="AH408" s="237"/>
      <c r="AI408" s="308"/>
      <c r="AJ408" s="308"/>
      <c r="AK408" s="308"/>
      <c r="AL408" s="308"/>
      <c r="AM408" s="308"/>
      <c r="AN408" s="98"/>
    </row>
    <row r="409" ht="14.25" customHeight="1">
      <c r="A409" s="179"/>
      <c r="B409" s="98"/>
      <c r="C409" s="98"/>
      <c r="D409" s="98"/>
      <c r="E409" s="98"/>
      <c r="F409" s="235"/>
      <c r="G409" s="235"/>
      <c r="H409" s="236"/>
      <c r="I409" s="236"/>
      <c r="J409" s="236"/>
      <c r="K409" s="236"/>
      <c r="L409" s="236"/>
      <c r="M409" s="236"/>
      <c r="N409" s="236"/>
      <c r="O409" s="236"/>
      <c r="P409" s="236"/>
      <c r="Q409" s="236"/>
      <c r="R409" s="236"/>
      <c r="S409" s="236"/>
      <c r="T409" s="236"/>
      <c r="U409" s="236"/>
      <c r="V409" s="236"/>
      <c r="W409" s="237"/>
      <c r="X409" s="237"/>
      <c r="Y409" s="237"/>
      <c r="Z409" s="237"/>
      <c r="AA409" s="237"/>
      <c r="AB409" s="237"/>
      <c r="AC409" s="237"/>
      <c r="AD409" s="237"/>
      <c r="AE409" s="237"/>
      <c r="AF409" s="237"/>
      <c r="AG409" s="237"/>
      <c r="AH409" s="237"/>
      <c r="AI409" s="308"/>
      <c r="AJ409" s="308"/>
      <c r="AK409" s="308"/>
      <c r="AL409" s="308"/>
      <c r="AM409" s="308"/>
      <c r="AN409" s="98"/>
    </row>
    <row r="410" ht="14.25" customHeight="1">
      <c r="A410" s="179"/>
      <c r="B410" s="98"/>
      <c r="C410" s="98"/>
      <c r="D410" s="98"/>
      <c r="E410" s="98"/>
      <c r="F410" s="235"/>
      <c r="G410" s="235"/>
      <c r="H410" s="236"/>
      <c r="I410" s="236"/>
      <c r="J410" s="236"/>
      <c r="K410" s="236"/>
      <c r="L410" s="236"/>
      <c r="M410" s="236"/>
      <c r="N410" s="236"/>
      <c r="O410" s="236"/>
      <c r="P410" s="236"/>
      <c r="Q410" s="236"/>
      <c r="R410" s="236"/>
      <c r="S410" s="236"/>
      <c r="T410" s="236"/>
      <c r="U410" s="236"/>
      <c r="V410" s="236"/>
      <c r="W410" s="237"/>
      <c r="X410" s="237"/>
      <c r="Y410" s="237"/>
      <c r="Z410" s="237"/>
      <c r="AA410" s="237"/>
      <c r="AB410" s="237"/>
      <c r="AC410" s="237"/>
      <c r="AD410" s="237"/>
      <c r="AE410" s="237"/>
      <c r="AF410" s="237"/>
      <c r="AG410" s="237"/>
      <c r="AH410" s="237"/>
      <c r="AI410" s="308"/>
      <c r="AJ410" s="308"/>
      <c r="AK410" s="308"/>
      <c r="AL410" s="308"/>
      <c r="AM410" s="308"/>
      <c r="AN410" s="98"/>
    </row>
    <row r="411" ht="14.25" customHeight="1">
      <c r="A411" s="179"/>
      <c r="B411" s="98"/>
      <c r="C411" s="98"/>
      <c r="D411" s="98"/>
      <c r="E411" s="98"/>
      <c r="F411" s="235"/>
      <c r="G411" s="235"/>
      <c r="H411" s="236"/>
      <c r="I411" s="236"/>
      <c r="J411" s="236"/>
      <c r="K411" s="236"/>
      <c r="L411" s="236"/>
      <c r="M411" s="236"/>
      <c r="N411" s="236"/>
      <c r="O411" s="236"/>
      <c r="P411" s="236"/>
      <c r="Q411" s="236"/>
      <c r="R411" s="236"/>
      <c r="S411" s="236"/>
      <c r="T411" s="236"/>
      <c r="U411" s="236"/>
      <c r="V411" s="236"/>
      <c r="W411" s="237"/>
      <c r="X411" s="237"/>
      <c r="Y411" s="237"/>
      <c r="Z411" s="237"/>
      <c r="AA411" s="237"/>
      <c r="AB411" s="237"/>
      <c r="AC411" s="237"/>
      <c r="AD411" s="237"/>
      <c r="AE411" s="237"/>
      <c r="AF411" s="237"/>
      <c r="AG411" s="237"/>
      <c r="AH411" s="237"/>
      <c r="AI411" s="308"/>
      <c r="AJ411" s="308"/>
      <c r="AK411" s="308"/>
      <c r="AL411" s="308"/>
      <c r="AM411" s="308"/>
      <c r="AN411" s="98"/>
    </row>
    <row r="412" ht="14.25" customHeight="1">
      <c r="A412" s="179"/>
      <c r="B412" s="98"/>
      <c r="C412" s="98"/>
      <c r="D412" s="98"/>
      <c r="E412" s="98"/>
      <c r="F412" s="235"/>
      <c r="G412" s="235"/>
      <c r="H412" s="236"/>
      <c r="I412" s="236"/>
      <c r="J412" s="236"/>
      <c r="K412" s="236"/>
      <c r="L412" s="236"/>
      <c r="M412" s="236"/>
      <c r="N412" s="236"/>
      <c r="O412" s="236"/>
      <c r="P412" s="236"/>
      <c r="Q412" s="236"/>
      <c r="R412" s="236"/>
      <c r="S412" s="236"/>
      <c r="T412" s="236"/>
      <c r="U412" s="236"/>
      <c r="V412" s="236"/>
      <c r="W412" s="237"/>
      <c r="X412" s="237"/>
      <c r="Y412" s="237"/>
      <c r="Z412" s="237"/>
      <c r="AA412" s="237"/>
      <c r="AB412" s="237"/>
      <c r="AC412" s="237"/>
      <c r="AD412" s="237"/>
      <c r="AE412" s="237"/>
      <c r="AF412" s="237"/>
      <c r="AG412" s="237"/>
      <c r="AH412" s="237"/>
      <c r="AI412" s="308"/>
      <c r="AJ412" s="308"/>
      <c r="AK412" s="308"/>
      <c r="AL412" s="308"/>
      <c r="AM412" s="308"/>
      <c r="AN412" s="98"/>
    </row>
    <row r="413" ht="14.25" customHeight="1">
      <c r="A413" s="179"/>
      <c r="B413" s="98"/>
      <c r="C413" s="98"/>
      <c r="D413" s="98"/>
      <c r="E413" s="98"/>
      <c r="F413" s="235"/>
      <c r="G413" s="235"/>
      <c r="H413" s="236"/>
      <c r="I413" s="236"/>
      <c r="J413" s="236"/>
      <c r="K413" s="236"/>
      <c r="L413" s="236"/>
      <c r="M413" s="236"/>
      <c r="N413" s="236"/>
      <c r="O413" s="236"/>
      <c r="P413" s="236"/>
      <c r="Q413" s="236"/>
      <c r="R413" s="236"/>
      <c r="S413" s="236"/>
      <c r="T413" s="236"/>
      <c r="U413" s="236"/>
      <c r="V413" s="236"/>
      <c r="W413" s="237"/>
      <c r="X413" s="237"/>
      <c r="Y413" s="237"/>
      <c r="Z413" s="237"/>
      <c r="AA413" s="237"/>
      <c r="AB413" s="237"/>
      <c r="AC413" s="237"/>
      <c r="AD413" s="237"/>
      <c r="AE413" s="237"/>
      <c r="AF413" s="237"/>
      <c r="AG413" s="237"/>
      <c r="AH413" s="237"/>
      <c r="AI413" s="308"/>
      <c r="AJ413" s="308"/>
      <c r="AK413" s="308"/>
      <c r="AL413" s="308"/>
      <c r="AM413" s="308"/>
      <c r="AN413" s="98"/>
    </row>
    <row r="414" ht="14.25" customHeight="1">
      <c r="A414" s="179"/>
      <c r="B414" s="98"/>
      <c r="C414" s="98"/>
      <c r="D414" s="98"/>
      <c r="E414" s="98"/>
      <c r="F414" s="235"/>
      <c r="G414" s="235"/>
      <c r="H414" s="236"/>
      <c r="I414" s="236"/>
      <c r="J414" s="236"/>
      <c r="K414" s="236"/>
      <c r="L414" s="236"/>
      <c r="M414" s="236"/>
      <c r="N414" s="236"/>
      <c r="O414" s="236"/>
      <c r="P414" s="236"/>
      <c r="Q414" s="236"/>
      <c r="R414" s="236"/>
      <c r="S414" s="236"/>
      <c r="T414" s="236"/>
      <c r="U414" s="236"/>
      <c r="V414" s="236"/>
      <c r="W414" s="237"/>
      <c r="X414" s="237"/>
      <c r="Y414" s="237"/>
      <c r="Z414" s="237"/>
      <c r="AA414" s="237"/>
      <c r="AB414" s="237"/>
      <c r="AC414" s="237"/>
      <c r="AD414" s="237"/>
      <c r="AE414" s="237"/>
      <c r="AF414" s="237"/>
      <c r="AG414" s="237"/>
      <c r="AH414" s="237"/>
      <c r="AI414" s="308"/>
      <c r="AJ414" s="308"/>
      <c r="AK414" s="308"/>
      <c r="AL414" s="308"/>
      <c r="AM414" s="308"/>
      <c r="AN414" s="98"/>
    </row>
    <row r="415" ht="14.25" customHeight="1">
      <c r="A415" s="179"/>
      <c r="B415" s="98"/>
      <c r="C415" s="98"/>
      <c r="D415" s="98"/>
      <c r="E415" s="98"/>
      <c r="F415" s="235"/>
      <c r="G415" s="235"/>
      <c r="H415" s="236"/>
      <c r="I415" s="236"/>
      <c r="J415" s="236"/>
      <c r="K415" s="236"/>
      <c r="L415" s="236"/>
      <c r="M415" s="236"/>
      <c r="N415" s="236"/>
      <c r="O415" s="236"/>
      <c r="P415" s="236"/>
      <c r="Q415" s="236"/>
      <c r="R415" s="236"/>
      <c r="S415" s="236"/>
      <c r="T415" s="236"/>
      <c r="U415" s="236"/>
      <c r="V415" s="236"/>
      <c r="W415" s="237"/>
      <c r="X415" s="237"/>
      <c r="Y415" s="237"/>
      <c r="Z415" s="237"/>
      <c r="AA415" s="237"/>
      <c r="AB415" s="237"/>
      <c r="AC415" s="237"/>
      <c r="AD415" s="237"/>
      <c r="AE415" s="237"/>
      <c r="AF415" s="237"/>
      <c r="AG415" s="237"/>
      <c r="AH415" s="237"/>
      <c r="AI415" s="308"/>
      <c r="AJ415" s="308"/>
      <c r="AK415" s="308"/>
      <c r="AL415" s="308"/>
      <c r="AM415" s="308"/>
      <c r="AN415" s="98"/>
    </row>
    <row r="416" ht="14.25" customHeight="1">
      <c r="A416" s="179"/>
      <c r="B416" s="98"/>
      <c r="C416" s="98"/>
      <c r="D416" s="98"/>
      <c r="E416" s="98"/>
      <c r="F416" s="235"/>
      <c r="G416" s="235"/>
      <c r="H416" s="236"/>
      <c r="I416" s="236"/>
      <c r="J416" s="236"/>
      <c r="K416" s="236"/>
      <c r="L416" s="236"/>
      <c r="M416" s="236"/>
      <c r="N416" s="236"/>
      <c r="O416" s="236"/>
      <c r="P416" s="236"/>
      <c r="Q416" s="236"/>
      <c r="R416" s="236"/>
      <c r="S416" s="236"/>
      <c r="T416" s="236"/>
      <c r="U416" s="236"/>
      <c r="V416" s="236"/>
      <c r="W416" s="237"/>
      <c r="X416" s="237"/>
      <c r="Y416" s="237"/>
      <c r="Z416" s="237"/>
      <c r="AA416" s="237"/>
      <c r="AB416" s="237"/>
      <c r="AC416" s="237"/>
      <c r="AD416" s="237"/>
      <c r="AE416" s="237"/>
      <c r="AF416" s="237"/>
      <c r="AG416" s="237"/>
      <c r="AH416" s="237"/>
      <c r="AI416" s="308"/>
      <c r="AJ416" s="308"/>
      <c r="AK416" s="308"/>
      <c r="AL416" s="308"/>
      <c r="AM416" s="308"/>
      <c r="AN416" s="98"/>
    </row>
    <row r="417" ht="14.25" customHeight="1">
      <c r="A417" s="179"/>
      <c r="B417" s="98"/>
      <c r="C417" s="98"/>
      <c r="D417" s="98"/>
      <c r="E417" s="98"/>
      <c r="F417" s="235"/>
      <c r="G417" s="235"/>
      <c r="H417" s="236"/>
      <c r="I417" s="236"/>
      <c r="J417" s="236"/>
      <c r="K417" s="236"/>
      <c r="L417" s="236"/>
      <c r="M417" s="236"/>
      <c r="N417" s="236"/>
      <c r="O417" s="236"/>
      <c r="P417" s="236"/>
      <c r="Q417" s="236"/>
      <c r="R417" s="236"/>
      <c r="S417" s="236"/>
      <c r="T417" s="236"/>
      <c r="U417" s="236"/>
      <c r="V417" s="236"/>
      <c r="W417" s="237"/>
      <c r="X417" s="237"/>
      <c r="Y417" s="237"/>
      <c r="Z417" s="237"/>
      <c r="AA417" s="237"/>
      <c r="AB417" s="237"/>
      <c r="AC417" s="237"/>
      <c r="AD417" s="237"/>
      <c r="AE417" s="237"/>
      <c r="AF417" s="237"/>
      <c r="AG417" s="237"/>
      <c r="AH417" s="237"/>
      <c r="AI417" s="308"/>
      <c r="AJ417" s="308"/>
      <c r="AK417" s="308"/>
      <c r="AL417" s="308"/>
      <c r="AM417" s="308"/>
      <c r="AN417" s="98"/>
    </row>
    <row r="418" ht="14.25" customHeight="1">
      <c r="A418" s="179"/>
      <c r="B418" s="98"/>
      <c r="C418" s="98"/>
      <c r="D418" s="98"/>
      <c r="E418" s="98"/>
      <c r="F418" s="235"/>
      <c r="G418" s="235"/>
      <c r="H418" s="236"/>
      <c r="I418" s="236"/>
      <c r="J418" s="236"/>
      <c r="K418" s="236"/>
      <c r="L418" s="236"/>
      <c r="M418" s="236"/>
      <c r="N418" s="236"/>
      <c r="O418" s="236"/>
      <c r="P418" s="236"/>
      <c r="Q418" s="236"/>
      <c r="R418" s="236"/>
      <c r="S418" s="236"/>
      <c r="T418" s="236"/>
      <c r="U418" s="236"/>
      <c r="V418" s="236"/>
      <c r="W418" s="237"/>
      <c r="X418" s="237"/>
      <c r="Y418" s="237"/>
      <c r="Z418" s="237"/>
      <c r="AA418" s="237"/>
      <c r="AB418" s="237"/>
      <c r="AC418" s="237"/>
      <c r="AD418" s="237"/>
      <c r="AE418" s="237"/>
      <c r="AF418" s="237"/>
      <c r="AG418" s="237"/>
      <c r="AH418" s="237"/>
      <c r="AI418" s="308"/>
      <c r="AJ418" s="308"/>
      <c r="AK418" s="308"/>
      <c r="AL418" s="308"/>
      <c r="AM418" s="308"/>
      <c r="AN418" s="98"/>
    </row>
    <row r="419" ht="14.25" customHeight="1">
      <c r="A419" s="179"/>
      <c r="B419" s="98"/>
      <c r="C419" s="98"/>
      <c r="D419" s="98"/>
      <c r="E419" s="98"/>
      <c r="F419" s="235"/>
      <c r="G419" s="235"/>
      <c r="H419" s="236"/>
      <c r="I419" s="236"/>
      <c r="J419" s="236"/>
      <c r="K419" s="236"/>
      <c r="L419" s="236"/>
      <c r="M419" s="236"/>
      <c r="N419" s="236"/>
      <c r="O419" s="236"/>
      <c r="P419" s="236"/>
      <c r="Q419" s="236"/>
      <c r="R419" s="236"/>
      <c r="S419" s="236"/>
      <c r="T419" s="236"/>
      <c r="U419" s="236"/>
      <c r="V419" s="236"/>
      <c r="W419" s="237"/>
      <c r="X419" s="237"/>
      <c r="Y419" s="237"/>
      <c r="Z419" s="237"/>
      <c r="AA419" s="237"/>
      <c r="AB419" s="237"/>
      <c r="AC419" s="237"/>
      <c r="AD419" s="237"/>
      <c r="AE419" s="237"/>
      <c r="AF419" s="237"/>
      <c r="AG419" s="237"/>
      <c r="AH419" s="237"/>
      <c r="AI419" s="308"/>
      <c r="AJ419" s="308"/>
      <c r="AK419" s="308"/>
      <c r="AL419" s="308"/>
      <c r="AM419" s="308"/>
      <c r="AN419" s="98"/>
    </row>
    <row r="420" ht="14.25" customHeight="1">
      <c r="A420" s="179"/>
      <c r="B420" s="98"/>
      <c r="C420" s="98"/>
      <c r="D420" s="98"/>
      <c r="E420" s="98"/>
      <c r="F420" s="235"/>
      <c r="G420" s="235"/>
      <c r="H420" s="236"/>
      <c r="I420" s="236"/>
      <c r="J420" s="236"/>
      <c r="K420" s="236"/>
      <c r="L420" s="236"/>
      <c r="M420" s="236"/>
      <c r="N420" s="236"/>
      <c r="O420" s="236"/>
      <c r="P420" s="236"/>
      <c r="Q420" s="236"/>
      <c r="R420" s="236"/>
      <c r="S420" s="236"/>
      <c r="T420" s="236"/>
      <c r="U420" s="236"/>
      <c r="V420" s="236"/>
      <c r="W420" s="237"/>
      <c r="X420" s="237"/>
      <c r="Y420" s="237"/>
      <c r="Z420" s="237"/>
      <c r="AA420" s="237"/>
      <c r="AB420" s="237"/>
      <c r="AC420" s="237"/>
      <c r="AD420" s="237"/>
      <c r="AE420" s="237"/>
      <c r="AF420" s="237"/>
      <c r="AG420" s="237"/>
      <c r="AH420" s="237"/>
      <c r="AI420" s="308"/>
      <c r="AJ420" s="308"/>
      <c r="AK420" s="308"/>
      <c r="AL420" s="308"/>
      <c r="AM420" s="308"/>
      <c r="AN420" s="98"/>
    </row>
    <row r="421" ht="14.25" customHeight="1">
      <c r="A421" s="179"/>
      <c r="B421" s="98"/>
      <c r="C421" s="98"/>
      <c r="D421" s="98"/>
      <c r="E421" s="98"/>
      <c r="F421" s="235"/>
      <c r="G421" s="235"/>
      <c r="H421" s="236"/>
      <c r="I421" s="236"/>
      <c r="J421" s="236"/>
      <c r="K421" s="236"/>
      <c r="L421" s="236"/>
      <c r="M421" s="236"/>
      <c r="N421" s="236"/>
      <c r="O421" s="236"/>
      <c r="P421" s="236"/>
      <c r="Q421" s="236"/>
      <c r="R421" s="236"/>
      <c r="S421" s="236"/>
      <c r="T421" s="236"/>
      <c r="U421" s="236"/>
      <c r="V421" s="236"/>
      <c r="W421" s="237"/>
      <c r="X421" s="237"/>
      <c r="Y421" s="237"/>
      <c r="Z421" s="237"/>
      <c r="AA421" s="237"/>
      <c r="AB421" s="237"/>
      <c r="AC421" s="237"/>
      <c r="AD421" s="237"/>
      <c r="AE421" s="237"/>
      <c r="AF421" s="237"/>
      <c r="AG421" s="237"/>
      <c r="AH421" s="237"/>
      <c r="AI421" s="308"/>
      <c r="AJ421" s="308"/>
      <c r="AK421" s="308"/>
      <c r="AL421" s="308"/>
      <c r="AM421" s="308"/>
      <c r="AN421" s="98"/>
    </row>
    <row r="422" ht="14.25" customHeight="1">
      <c r="A422" s="179"/>
      <c r="B422" s="98"/>
      <c r="C422" s="98"/>
      <c r="D422" s="98"/>
      <c r="E422" s="98"/>
      <c r="F422" s="235"/>
      <c r="G422" s="235"/>
      <c r="H422" s="236"/>
      <c r="I422" s="236"/>
      <c r="J422" s="236"/>
      <c r="K422" s="236"/>
      <c r="L422" s="236"/>
      <c r="M422" s="236"/>
      <c r="N422" s="236"/>
      <c r="O422" s="236"/>
      <c r="P422" s="236"/>
      <c r="Q422" s="236"/>
      <c r="R422" s="236"/>
      <c r="S422" s="236"/>
      <c r="T422" s="236"/>
      <c r="U422" s="236"/>
      <c r="V422" s="236"/>
      <c r="W422" s="237"/>
      <c r="X422" s="237"/>
      <c r="Y422" s="237"/>
      <c r="Z422" s="237"/>
      <c r="AA422" s="237"/>
      <c r="AB422" s="237"/>
      <c r="AC422" s="237"/>
      <c r="AD422" s="237"/>
      <c r="AE422" s="237"/>
      <c r="AF422" s="237"/>
      <c r="AG422" s="237"/>
      <c r="AH422" s="237"/>
      <c r="AI422" s="308"/>
      <c r="AJ422" s="308"/>
      <c r="AK422" s="308"/>
      <c r="AL422" s="308"/>
      <c r="AM422" s="308"/>
      <c r="AN422" s="98"/>
    </row>
    <row r="423" ht="14.25" customHeight="1">
      <c r="A423" s="179"/>
      <c r="B423" s="98"/>
      <c r="C423" s="98"/>
      <c r="D423" s="98"/>
      <c r="E423" s="98"/>
      <c r="F423" s="235"/>
      <c r="G423" s="235"/>
      <c r="H423" s="236"/>
      <c r="I423" s="236"/>
      <c r="J423" s="236"/>
      <c r="K423" s="236"/>
      <c r="L423" s="236"/>
      <c r="M423" s="236"/>
      <c r="N423" s="236"/>
      <c r="O423" s="236"/>
      <c r="P423" s="236"/>
      <c r="Q423" s="236"/>
      <c r="R423" s="236"/>
      <c r="S423" s="236"/>
      <c r="T423" s="236"/>
      <c r="U423" s="236"/>
      <c r="V423" s="236"/>
      <c r="W423" s="237"/>
      <c r="X423" s="237"/>
      <c r="Y423" s="237"/>
      <c r="Z423" s="237"/>
      <c r="AA423" s="237"/>
      <c r="AB423" s="237"/>
      <c r="AC423" s="237"/>
      <c r="AD423" s="237"/>
      <c r="AE423" s="237"/>
      <c r="AF423" s="237"/>
      <c r="AG423" s="237"/>
      <c r="AH423" s="237"/>
      <c r="AI423" s="308"/>
      <c r="AJ423" s="308"/>
      <c r="AK423" s="308"/>
      <c r="AL423" s="308"/>
      <c r="AM423" s="308"/>
      <c r="AN423" s="98"/>
    </row>
    <row r="424" ht="14.25" customHeight="1">
      <c r="A424" s="179"/>
      <c r="B424" s="98"/>
      <c r="C424" s="98"/>
      <c r="D424" s="98"/>
      <c r="E424" s="98"/>
      <c r="F424" s="235"/>
      <c r="G424" s="235"/>
      <c r="H424" s="236"/>
      <c r="I424" s="236"/>
      <c r="J424" s="236"/>
      <c r="K424" s="236"/>
      <c r="L424" s="236"/>
      <c r="M424" s="236"/>
      <c r="N424" s="236"/>
      <c r="O424" s="236"/>
      <c r="P424" s="236"/>
      <c r="Q424" s="236"/>
      <c r="R424" s="236"/>
      <c r="S424" s="236"/>
      <c r="T424" s="236"/>
      <c r="U424" s="236"/>
      <c r="V424" s="236"/>
      <c r="W424" s="237"/>
      <c r="X424" s="237"/>
      <c r="Y424" s="237"/>
      <c r="Z424" s="237"/>
      <c r="AA424" s="237"/>
      <c r="AB424" s="237"/>
      <c r="AC424" s="237"/>
      <c r="AD424" s="237"/>
      <c r="AE424" s="237"/>
      <c r="AF424" s="237"/>
      <c r="AG424" s="237"/>
      <c r="AH424" s="237"/>
      <c r="AI424" s="308"/>
      <c r="AJ424" s="308"/>
      <c r="AK424" s="308"/>
      <c r="AL424" s="308"/>
      <c r="AM424" s="308"/>
      <c r="AN424" s="98"/>
    </row>
    <row r="425" ht="14.25" customHeight="1">
      <c r="A425" s="179"/>
      <c r="B425" s="98"/>
      <c r="C425" s="98"/>
      <c r="D425" s="98"/>
      <c r="E425" s="98"/>
      <c r="F425" s="235"/>
      <c r="G425" s="235"/>
      <c r="H425" s="236"/>
      <c r="I425" s="236"/>
      <c r="J425" s="236"/>
      <c r="K425" s="236"/>
      <c r="L425" s="236"/>
      <c r="M425" s="236"/>
      <c r="N425" s="236"/>
      <c r="O425" s="236"/>
      <c r="P425" s="236"/>
      <c r="Q425" s="236"/>
      <c r="R425" s="236"/>
      <c r="S425" s="236"/>
      <c r="T425" s="236"/>
      <c r="U425" s="236"/>
      <c r="V425" s="236"/>
      <c r="W425" s="237"/>
      <c r="X425" s="237"/>
      <c r="Y425" s="237"/>
      <c r="Z425" s="237"/>
      <c r="AA425" s="237"/>
      <c r="AB425" s="237"/>
      <c r="AC425" s="237"/>
      <c r="AD425" s="237"/>
      <c r="AE425" s="237"/>
      <c r="AF425" s="237"/>
      <c r="AG425" s="237"/>
      <c r="AH425" s="237"/>
      <c r="AI425" s="308"/>
      <c r="AJ425" s="308"/>
      <c r="AK425" s="308"/>
      <c r="AL425" s="308"/>
      <c r="AM425" s="308"/>
      <c r="AN425" s="98"/>
    </row>
    <row r="426" ht="14.25" customHeight="1">
      <c r="A426" s="179"/>
      <c r="B426" s="98"/>
      <c r="C426" s="98"/>
      <c r="D426" s="98"/>
      <c r="E426" s="98"/>
      <c r="F426" s="235"/>
      <c r="G426" s="235"/>
      <c r="H426" s="236"/>
      <c r="I426" s="236"/>
      <c r="J426" s="236"/>
      <c r="K426" s="236"/>
      <c r="L426" s="236"/>
      <c r="M426" s="236"/>
      <c r="N426" s="236"/>
      <c r="O426" s="236"/>
      <c r="P426" s="236"/>
      <c r="Q426" s="236"/>
      <c r="R426" s="236"/>
      <c r="S426" s="236"/>
      <c r="T426" s="236"/>
      <c r="U426" s="236"/>
      <c r="V426" s="236"/>
      <c r="W426" s="237"/>
      <c r="X426" s="237"/>
      <c r="Y426" s="237"/>
      <c r="Z426" s="237"/>
      <c r="AA426" s="237"/>
      <c r="AB426" s="237"/>
      <c r="AC426" s="237"/>
      <c r="AD426" s="237"/>
      <c r="AE426" s="237"/>
      <c r="AF426" s="237"/>
      <c r="AG426" s="237"/>
      <c r="AH426" s="237"/>
      <c r="AI426" s="308"/>
      <c r="AJ426" s="308"/>
      <c r="AK426" s="308"/>
      <c r="AL426" s="308"/>
      <c r="AM426" s="308"/>
      <c r="AN426" s="98"/>
    </row>
    <row r="427" ht="14.25" customHeight="1">
      <c r="A427" s="179"/>
      <c r="B427" s="98"/>
      <c r="C427" s="98"/>
      <c r="D427" s="98"/>
      <c r="E427" s="98"/>
      <c r="F427" s="235"/>
      <c r="G427" s="235"/>
      <c r="H427" s="236"/>
      <c r="I427" s="236"/>
      <c r="J427" s="236"/>
      <c r="K427" s="236"/>
      <c r="L427" s="236"/>
      <c r="M427" s="236"/>
      <c r="N427" s="236"/>
      <c r="O427" s="236"/>
      <c r="P427" s="236"/>
      <c r="Q427" s="236"/>
      <c r="R427" s="236"/>
      <c r="S427" s="236"/>
      <c r="T427" s="236"/>
      <c r="U427" s="236"/>
      <c r="V427" s="236"/>
      <c r="W427" s="237"/>
      <c r="X427" s="237"/>
      <c r="Y427" s="237"/>
      <c r="Z427" s="237"/>
      <c r="AA427" s="237"/>
      <c r="AB427" s="237"/>
      <c r="AC427" s="237"/>
      <c r="AD427" s="237"/>
      <c r="AE427" s="237"/>
      <c r="AF427" s="237"/>
      <c r="AG427" s="237"/>
      <c r="AH427" s="237"/>
      <c r="AI427" s="308"/>
      <c r="AJ427" s="308"/>
      <c r="AK427" s="308"/>
      <c r="AL427" s="308"/>
      <c r="AM427" s="308"/>
      <c r="AN427" s="98"/>
    </row>
    <row r="428" ht="14.25" customHeight="1">
      <c r="A428" s="179"/>
      <c r="B428" s="98"/>
      <c r="C428" s="98"/>
      <c r="D428" s="98"/>
      <c r="E428" s="98"/>
      <c r="F428" s="235"/>
      <c r="G428" s="235"/>
      <c r="H428" s="236"/>
      <c r="I428" s="236"/>
      <c r="J428" s="236"/>
      <c r="K428" s="236"/>
      <c r="L428" s="236"/>
      <c r="M428" s="236"/>
      <c r="N428" s="236"/>
      <c r="O428" s="236"/>
      <c r="P428" s="236"/>
      <c r="Q428" s="236"/>
      <c r="R428" s="236"/>
      <c r="S428" s="236"/>
      <c r="T428" s="236"/>
      <c r="U428" s="236"/>
      <c r="V428" s="236"/>
      <c r="W428" s="237"/>
      <c r="X428" s="237"/>
      <c r="Y428" s="237"/>
      <c r="Z428" s="237"/>
      <c r="AA428" s="237"/>
      <c r="AB428" s="237"/>
      <c r="AC428" s="237"/>
      <c r="AD428" s="237"/>
      <c r="AE428" s="237"/>
      <c r="AF428" s="237"/>
      <c r="AG428" s="237"/>
      <c r="AH428" s="237"/>
      <c r="AI428" s="308"/>
      <c r="AJ428" s="308"/>
      <c r="AK428" s="308"/>
      <c r="AL428" s="308"/>
      <c r="AM428" s="308"/>
      <c r="AN428" s="98"/>
    </row>
    <row r="429" ht="14.25" customHeight="1">
      <c r="A429" s="179"/>
      <c r="B429" s="98"/>
      <c r="C429" s="98"/>
      <c r="D429" s="98"/>
      <c r="E429" s="98"/>
      <c r="F429" s="235"/>
      <c r="G429" s="235"/>
      <c r="H429" s="236"/>
      <c r="I429" s="236"/>
      <c r="J429" s="236"/>
      <c r="K429" s="236"/>
      <c r="L429" s="236"/>
      <c r="M429" s="236"/>
      <c r="N429" s="236"/>
      <c r="O429" s="236"/>
      <c r="P429" s="236"/>
      <c r="Q429" s="236"/>
      <c r="R429" s="236"/>
      <c r="S429" s="236"/>
      <c r="T429" s="236"/>
      <c r="U429" s="236"/>
      <c r="V429" s="236"/>
      <c r="W429" s="237"/>
      <c r="X429" s="237"/>
      <c r="Y429" s="237"/>
      <c r="Z429" s="237"/>
      <c r="AA429" s="237"/>
      <c r="AB429" s="237"/>
      <c r="AC429" s="237"/>
      <c r="AD429" s="237"/>
      <c r="AE429" s="237"/>
      <c r="AF429" s="237"/>
      <c r="AG429" s="237"/>
      <c r="AH429" s="237"/>
      <c r="AI429" s="308"/>
      <c r="AJ429" s="308"/>
      <c r="AK429" s="308"/>
      <c r="AL429" s="308"/>
      <c r="AM429" s="308"/>
      <c r="AN429" s="98"/>
    </row>
    <row r="430" ht="14.25" customHeight="1">
      <c r="A430" s="179"/>
      <c r="B430" s="98"/>
      <c r="C430" s="98"/>
      <c r="D430" s="98"/>
      <c r="E430" s="98"/>
      <c r="F430" s="235"/>
      <c r="G430" s="235"/>
      <c r="H430" s="236"/>
      <c r="I430" s="236"/>
      <c r="J430" s="236"/>
      <c r="K430" s="236"/>
      <c r="L430" s="236"/>
      <c r="M430" s="236"/>
      <c r="N430" s="236"/>
      <c r="O430" s="236"/>
      <c r="P430" s="236"/>
      <c r="Q430" s="236"/>
      <c r="R430" s="236"/>
      <c r="S430" s="236"/>
      <c r="T430" s="236"/>
      <c r="U430" s="236"/>
      <c r="V430" s="236"/>
      <c r="W430" s="237"/>
      <c r="X430" s="237"/>
      <c r="Y430" s="237"/>
      <c r="Z430" s="237"/>
      <c r="AA430" s="237"/>
      <c r="AB430" s="237"/>
      <c r="AC430" s="237"/>
      <c r="AD430" s="237"/>
      <c r="AE430" s="237"/>
      <c r="AF430" s="237"/>
      <c r="AG430" s="237"/>
      <c r="AH430" s="237"/>
      <c r="AI430" s="308"/>
      <c r="AJ430" s="308"/>
      <c r="AK430" s="308"/>
      <c r="AL430" s="308"/>
      <c r="AM430" s="308"/>
      <c r="AN430" s="98"/>
    </row>
    <row r="431" ht="14.25" customHeight="1">
      <c r="A431" s="179"/>
      <c r="B431" s="98"/>
      <c r="C431" s="98"/>
      <c r="D431" s="98"/>
      <c r="E431" s="98"/>
      <c r="F431" s="235"/>
      <c r="G431" s="235"/>
      <c r="H431" s="236"/>
      <c r="I431" s="236"/>
      <c r="J431" s="236"/>
      <c r="K431" s="236"/>
      <c r="L431" s="236"/>
      <c r="M431" s="236"/>
      <c r="N431" s="236"/>
      <c r="O431" s="236"/>
      <c r="P431" s="236"/>
      <c r="Q431" s="236"/>
      <c r="R431" s="236"/>
      <c r="S431" s="236"/>
      <c r="T431" s="236"/>
      <c r="U431" s="236"/>
      <c r="V431" s="236"/>
      <c r="W431" s="237"/>
      <c r="X431" s="237"/>
      <c r="Y431" s="237"/>
      <c r="Z431" s="237"/>
      <c r="AA431" s="237"/>
      <c r="AB431" s="237"/>
      <c r="AC431" s="237"/>
      <c r="AD431" s="237"/>
      <c r="AE431" s="237"/>
      <c r="AF431" s="237"/>
      <c r="AG431" s="237"/>
      <c r="AH431" s="237"/>
      <c r="AI431" s="308"/>
      <c r="AJ431" s="308"/>
      <c r="AK431" s="308"/>
      <c r="AL431" s="308"/>
      <c r="AM431" s="308"/>
      <c r="AN431" s="98"/>
    </row>
    <row r="432" ht="14.25" customHeight="1">
      <c r="A432" s="179"/>
      <c r="B432" s="98"/>
      <c r="C432" s="98"/>
      <c r="D432" s="98"/>
      <c r="E432" s="98"/>
      <c r="F432" s="235"/>
      <c r="G432" s="235"/>
      <c r="H432" s="236"/>
      <c r="I432" s="236"/>
      <c r="J432" s="236"/>
      <c r="K432" s="236"/>
      <c r="L432" s="236"/>
      <c r="M432" s="236"/>
      <c r="N432" s="236"/>
      <c r="O432" s="236"/>
      <c r="P432" s="236"/>
      <c r="Q432" s="236"/>
      <c r="R432" s="236"/>
      <c r="S432" s="236"/>
      <c r="T432" s="236"/>
      <c r="U432" s="236"/>
      <c r="V432" s="236"/>
      <c r="W432" s="237"/>
      <c r="X432" s="237"/>
      <c r="Y432" s="237"/>
      <c r="Z432" s="237"/>
      <c r="AA432" s="237"/>
      <c r="AB432" s="237"/>
      <c r="AC432" s="237"/>
      <c r="AD432" s="237"/>
      <c r="AE432" s="237"/>
      <c r="AF432" s="237"/>
      <c r="AG432" s="237"/>
      <c r="AH432" s="237"/>
      <c r="AI432" s="308"/>
      <c r="AJ432" s="308"/>
      <c r="AK432" s="308"/>
      <c r="AL432" s="308"/>
      <c r="AM432" s="308"/>
      <c r="AN432" s="98"/>
    </row>
    <row r="433" ht="14.25" customHeight="1">
      <c r="A433" s="179"/>
      <c r="B433" s="98"/>
      <c r="C433" s="98"/>
      <c r="D433" s="98"/>
      <c r="E433" s="98"/>
      <c r="F433" s="235"/>
      <c r="G433" s="235"/>
      <c r="H433" s="236"/>
      <c r="I433" s="236"/>
      <c r="J433" s="236"/>
      <c r="K433" s="236"/>
      <c r="L433" s="236"/>
      <c r="M433" s="236"/>
      <c r="N433" s="236"/>
      <c r="O433" s="236"/>
      <c r="P433" s="236"/>
      <c r="Q433" s="236"/>
      <c r="R433" s="236"/>
      <c r="S433" s="236"/>
      <c r="T433" s="236"/>
      <c r="U433" s="236"/>
      <c r="V433" s="236"/>
      <c r="W433" s="237"/>
      <c r="X433" s="237"/>
      <c r="Y433" s="237"/>
      <c r="Z433" s="237"/>
      <c r="AA433" s="237"/>
      <c r="AB433" s="237"/>
      <c r="AC433" s="237"/>
      <c r="AD433" s="237"/>
      <c r="AE433" s="237"/>
      <c r="AF433" s="237"/>
      <c r="AG433" s="237"/>
      <c r="AH433" s="237"/>
      <c r="AI433" s="308"/>
      <c r="AJ433" s="308"/>
      <c r="AK433" s="308"/>
      <c r="AL433" s="308"/>
      <c r="AM433" s="308"/>
      <c r="AN433" s="98"/>
    </row>
    <row r="434" ht="14.25" customHeight="1">
      <c r="A434" s="179"/>
      <c r="B434" s="98"/>
      <c r="C434" s="98"/>
      <c r="D434" s="98"/>
      <c r="E434" s="98"/>
      <c r="F434" s="235"/>
      <c r="G434" s="235"/>
      <c r="H434" s="236"/>
      <c r="I434" s="236"/>
      <c r="J434" s="236"/>
      <c r="K434" s="236"/>
      <c r="L434" s="236"/>
      <c r="M434" s="236"/>
      <c r="N434" s="236"/>
      <c r="O434" s="236"/>
      <c r="P434" s="236"/>
      <c r="Q434" s="236"/>
      <c r="R434" s="236"/>
      <c r="S434" s="236"/>
      <c r="T434" s="236"/>
      <c r="U434" s="236"/>
      <c r="V434" s="236"/>
      <c r="W434" s="237"/>
      <c r="X434" s="237"/>
      <c r="Y434" s="237"/>
      <c r="Z434" s="237"/>
      <c r="AA434" s="237"/>
      <c r="AB434" s="237"/>
      <c r="AC434" s="237"/>
      <c r="AD434" s="237"/>
      <c r="AE434" s="237"/>
      <c r="AF434" s="237"/>
      <c r="AG434" s="237"/>
      <c r="AH434" s="237"/>
      <c r="AI434" s="308"/>
      <c r="AJ434" s="308"/>
      <c r="AK434" s="308"/>
      <c r="AL434" s="308"/>
      <c r="AM434" s="308"/>
      <c r="AN434" s="98"/>
    </row>
    <row r="435" ht="14.25" customHeight="1">
      <c r="A435" s="179"/>
      <c r="B435" s="98"/>
      <c r="C435" s="98"/>
      <c r="D435" s="98"/>
      <c r="E435" s="98"/>
      <c r="F435" s="235"/>
      <c r="G435" s="235"/>
      <c r="H435" s="236"/>
      <c r="I435" s="236"/>
      <c r="J435" s="236"/>
      <c r="K435" s="236"/>
      <c r="L435" s="236"/>
      <c r="M435" s="236"/>
      <c r="N435" s="236"/>
      <c r="O435" s="236"/>
      <c r="P435" s="236"/>
      <c r="Q435" s="236"/>
      <c r="R435" s="236"/>
      <c r="S435" s="236"/>
      <c r="T435" s="236"/>
      <c r="U435" s="236"/>
      <c r="V435" s="236"/>
      <c r="W435" s="237"/>
      <c r="X435" s="237"/>
      <c r="Y435" s="237"/>
      <c r="Z435" s="237"/>
      <c r="AA435" s="237"/>
      <c r="AB435" s="237"/>
      <c r="AC435" s="237"/>
      <c r="AD435" s="237"/>
      <c r="AE435" s="237"/>
      <c r="AF435" s="237"/>
      <c r="AG435" s="237"/>
      <c r="AH435" s="237"/>
      <c r="AI435" s="308"/>
      <c r="AJ435" s="308"/>
      <c r="AK435" s="308"/>
      <c r="AL435" s="308"/>
      <c r="AM435" s="308"/>
      <c r="AN435" s="98"/>
    </row>
    <row r="436" ht="14.25" customHeight="1">
      <c r="A436" s="179"/>
      <c r="B436" s="98"/>
      <c r="C436" s="98"/>
      <c r="D436" s="98"/>
      <c r="E436" s="98"/>
      <c r="F436" s="235"/>
      <c r="G436" s="235"/>
      <c r="H436" s="236"/>
      <c r="I436" s="236"/>
      <c r="J436" s="236"/>
      <c r="K436" s="236"/>
      <c r="L436" s="236"/>
      <c r="M436" s="236"/>
      <c r="N436" s="236"/>
      <c r="O436" s="236"/>
      <c r="P436" s="236"/>
      <c r="Q436" s="236"/>
      <c r="R436" s="236"/>
      <c r="S436" s="236"/>
      <c r="T436" s="236"/>
      <c r="U436" s="236"/>
      <c r="V436" s="236"/>
      <c r="W436" s="237"/>
      <c r="X436" s="237"/>
      <c r="Y436" s="237"/>
      <c r="Z436" s="237"/>
      <c r="AA436" s="237"/>
      <c r="AB436" s="237"/>
      <c r="AC436" s="237"/>
      <c r="AD436" s="237"/>
      <c r="AE436" s="237"/>
      <c r="AF436" s="237"/>
      <c r="AG436" s="237"/>
      <c r="AH436" s="237"/>
      <c r="AI436" s="308"/>
      <c r="AJ436" s="308"/>
      <c r="AK436" s="308"/>
      <c r="AL436" s="308"/>
      <c r="AM436" s="308"/>
      <c r="AN436" s="98"/>
    </row>
    <row r="437" ht="14.25" customHeight="1">
      <c r="A437" s="179"/>
      <c r="B437" s="98"/>
      <c r="C437" s="98"/>
      <c r="D437" s="98"/>
      <c r="E437" s="98"/>
      <c r="F437" s="235"/>
      <c r="G437" s="235"/>
      <c r="H437" s="236"/>
      <c r="I437" s="236"/>
      <c r="J437" s="236"/>
      <c r="K437" s="236"/>
      <c r="L437" s="236"/>
      <c r="M437" s="236"/>
      <c r="N437" s="236"/>
      <c r="O437" s="236"/>
      <c r="P437" s="236"/>
      <c r="Q437" s="236"/>
      <c r="R437" s="236"/>
      <c r="S437" s="236"/>
      <c r="T437" s="236"/>
      <c r="U437" s="236"/>
      <c r="V437" s="236"/>
      <c r="W437" s="237"/>
      <c r="X437" s="237"/>
      <c r="Y437" s="237"/>
      <c r="Z437" s="237"/>
      <c r="AA437" s="237"/>
      <c r="AB437" s="237"/>
      <c r="AC437" s="237"/>
      <c r="AD437" s="237"/>
      <c r="AE437" s="237"/>
      <c r="AF437" s="237"/>
      <c r="AG437" s="237"/>
      <c r="AH437" s="237"/>
      <c r="AI437" s="308"/>
      <c r="AJ437" s="308"/>
      <c r="AK437" s="308"/>
      <c r="AL437" s="308"/>
      <c r="AM437" s="308"/>
      <c r="AN437" s="98"/>
    </row>
    <row r="438" ht="14.25" customHeight="1">
      <c r="A438" s="179"/>
      <c r="B438" s="98"/>
      <c r="C438" s="98"/>
      <c r="D438" s="98"/>
      <c r="E438" s="98"/>
      <c r="F438" s="235"/>
      <c r="G438" s="235"/>
      <c r="H438" s="236"/>
      <c r="I438" s="236"/>
      <c r="J438" s="236"/>
      <c r="K438" s="236"/>
      <c r="L438" s="236"/>
      <c r="M438" s="236"/>
      <c r="N438" s="236"/>
      <c r="O438" s="236"/>
      <c r="P438" s="236"/>
      <c r="Q438" s="236"/>
      <c r="R438" s="236"/>
      <c r="S438" s="236"/>
      <c r="T438" s="236"/>
      <c r="U438" s="236"/>
      <c r="V438" s="236"/>
      <c r="W438" s="237"/>
      <c r="X438" s="237"/>
      <c r="Y438" s="237"/>
      <c r="Z438" s="237"/>
      <c r="AA438" s="237"/>
      <c r="AB438" s="237"/>
      <c r="AC438" s="237"/>
      <c r="AD438" s="237"/>
      <c r="AE438" s="237"/>
      <c r="AF438" s="237"/>
      <c r="AG438" s="237"/>
      <c r="AH438" s="237"/>
      <c r="AI438" s="308"/>
      <c r="AJ438" s="308"/>
      <c r="AK438" s="308"/>
      <c r="AL438" s="308"/>
      <c r="AM438" s="308"/>
      <c r="AN438" s="98"/>
    </row>
    <row r="439" ht="14.25" customHeight="1">
      <c r="A439" s="179"/>
      <c r="B439" s="98"/>
      <c r="C439" s="98"/>
      <c r="D439" s="98"/>
      <c r="E439" s="98"/>
      <c r="F439" s="235"/>
      <c r="G439" s="235"/>
      <c r="H439" s="236"/>
      <c r="I439" s="236"/>
      <c r="J439" s="236"/>
      <c r="K439" s="236"/>
      <c r="L439" s="236"/>
      <c r="M439" s="236"/>
      <c r="N439" s="236"/>
      <c r="O439" s="236"/>
      <c r="P439" s="236"/>
      <c r="Q439" s="236"/>
      <c r="R439" s="236"/>
      <c r="S439" s="236"/>
      <c r="T439" s="236"/>
      <c r="U439" s="236"/>
      <c r="V439" s="236"/>
      <c r="W439" s="237"/>
      <c r="X439" s="237"/>
      <c r="Y439" s="237"/>
      <c r="Z439" s="237"/>
      <c r="AA439" s="237"/>
      <c r="AB439" s="237"/>
      <c r="AC439" s="237"/>
      <c r="AD439" s="237"/>
      <c r="AE439" s="237"/>
      <c r="AF439" s="237"/>
      <c r="AG439" s="237"/>
      <c r="AH439" s="237"/>
      <c r="AI439" s="308"/>
      <c r="AJ439" s="308"/>
      <c r="AK439" s="308"/>
      <c r="AL439" s="308"/>
      <c r="AM439" s="308"/>
      <c r="AN439" s="98"/>
    </row>
    <row r="440" ht="14.25" customHeight="1">
      <c r="A440" s="179"/>
      <c r="B440" s="98"/>
      <c r="C440" s="98"/>
      <c r="D440" s="98"/>
      <c r="E440" s="98"/>
      <c r="F440" s="235"/>
      <c r="G440" s="235"/>
      <c r="H440" s="236"/>
      <c r="I440" s="236"/>
      <c r="J440" s="236"/>
      <c r="K440" s="236"/>
      <c r="L440" s="236"/>
      <c r="M440" s="236"/>
      <c r="N440" s="236"/>
      <c r="O440" s="236"/>
      <c r="P440" s="236"/>
      <c r="Q440" s="236"/>
      <c r="R440" s="236"/>
      <c r="S440" s="236"/>
      <c r="T440" s="236"/>
      <c r="U440" s="236"/>
      <c r="V440" s="236"/>
      <c r="W440" s="237"/>
      <c r="X440" s="237"/>
      <c r="Y440" s="237"/>
      <c r="Z440" s="237"/>
      <c r="AA440" s="237"/>
      <c r="AB440" s="237"/>
      <c r="AC440" s="237"/>
      <c r="AD440" s="237"/>
      <c r="AE440" s="237"/>
      <c r="AF440" s="237"/>
      <c r="AG440" s="237"/>
      <c r="AH440" s="237"/>
      <c r="AI440" s="308"/>
      <c r="AJ440" s="308"/>
      <c r="AK440" s="308"/>
      <c r="AL440" s="308"/>
      <c r="AM440" s="308"/>
      <c r="AN440" s="98"/>
    </row>
    <row r="441" ht="14.25" customHeight="1">
      <c r="A441" s="179"/>
      <c r="B441" s="98"/>
      <c r="C441" s="98"/>
      <c r="D441" s="98"/>
      <c r="E441" s="98"/>
      <c r="F441" s="235"/>
      <c r="G441" s="235"/>
      <c r="H441" s="236"/>
      <c r="I441" s="236"/>
      <c r="J441" s="236"/>
      <c r="K441" s="236"/>
      <c r="L441" s="236"/>
      <c r="M441" s="236"/>
      <c r="N441" s="236"/>
      <c r="O441" s="236"/>
      <c r="P441" s="236"/>
      <c r="Q441" s="236"/>
      <c r="R441" s="236"/>
      <c r="S441" s="236"/>
      <c r="T441" s="236"/>
      <c r="U441" s="236"/>
      <c r="V441" s="236"/>
      <c r="W441" s="237"/>
      <c r="X441" s="237"/>
      <c r="Y441" s="237"/>
      <c r="Z441" s="237"/>
      <c r="AA441" s="237"/>
      <c r="AB441" s="237"/>
      <c r="AC441" s="237"/>
      <c r="AD441" s="237"/>
      <c r="AE441" s="237"/>
      <c r="AF441" s="237"/>
      <c r="AG441" s="237"/>
      <c r="AH441" s="237"/>
      <c r="AI441" s="308"/>
      <c r="AJ441" s="308"/>
      <c r="AK441" s="308"/>
      <c r="AL441" s="308"/>
      <c r="AM441" s="308"/>
      <c r="AN441" s="98"/>
    </row>
    <row r="442" ht="14.25" customHeight="1">
      <c r="A442" s="179"/>
      <c r="B442" s="98"/>
      <c r="C442" s="98"/>
      <c r="D442" s="98"/>
      <c r="E442" s="98"/>
      <c r="F442" s="235"/>
      <c r="G442" s="235"/>
      <c r="H442" s="236"/>
      <c r="I442" s="236"/>
      <c r="J442" s="236"/>
      <c r="K442" s="236"/>
      <c r="L442" s="236"/>
      <c r="M442" s="236"/>
      <c r="N442" s="236"/>
      <c r="O442" s="236"/>
      <c r="P442" s="236"/>
      <c r="Q442" s="236"/>
      <c r="R442" s="236"/>
      <c r="S442" s="236"/>
      <c r="T442" s="236"/>
      <c r="U442" s="236"/>
      <c r="V442" s="236"/>
      <c r="W442" s="237"/>
      <c r="X442" s="237"/>
      <c r="Y442" s="237"/>
      <c r="Z442" s="237"/>
      <c r="AA442" s="237"/>
      <c r="AB442" s="237"/>
      <c r="AC442" s="237"/>
      <c r="AD442" s="237"/>
      <c r="AE442" s="237"/>
      <c r="AF442" s="237"/>
      <c r="AG442" s="237"/>
      <c r="AH442" s="237"/>
      <c r="AI442" s="308"/>
      <c r="AJ442" s="308"/>
      <c r="AK442" s="308"/>
      <c r="AL442" s="308"/>
      <c r="AM442" s="308"/>
      <c r="AN442" s="98"/>
    </row>
    <row r="443" ht="14.25" customHeight="1">
      <c r="A443" s="179"/>
      <c r="B443" s="98"/>
      <c r="C443" s="98"/>
      <c r="D443" s="98"/>
      <c r="E443" s="98"/>
      <c r="F443" s="235"/>
      <c r="G443" s="235"/>
      <c r="H443" s="236"/>
      <c r="I443" s="236"/>
      <c r="J443" s="236"/>
      <c r="K443" s="236"/>
      <c r="L443" s="236"/>
      <c r="M443" s="236"/>
      <c r="N443" s="236"/>
      <c r="O443" s="236"/>
      <c r="P443" s="236"/>
      <c r="Q443" s="236"/>
      <c r="R443" s="236"/>
      <c r="S443" s="236"/>
      <c r="T443" s="236"/>
      <c r="U443" s="236"/>
      <c r="V443" s="236"/>
      <c r="W443" s="237"/>
      <c r="X443" s="237"/>
      <c r="Y443" s="237"/>
      <c r="Z443" s="237"/>
      <c r="AA443" s="237"/>
      <c r="AB443" s="237"/>
      <c r="AC443" s="237"/>
      <c r="AD443" s="237"/>
      <c r="AE443" s="237"/>
      <c r="AF443" s="237"/>
      <c r="AG443" s="237"/>
      <c r="AH443" s="237"/>
      <c r="AI443" s="308"/>
      <c r="AJ443" s="308"/>
      <c r="AK443" s="308"/>
      <c r="AL443" s="308"/>
      <c r="AM443" s="308"/>
      <c r="AN443" s="98"/>
    </row>
    <row r="444" ht="14.25" customHeight="1">
      <c r="A444" s="179"/>
      <c r="B444" s="98"/>
      <c r="C444" s="98"/>
      <c r="D444" s="98"/>
      <c r="E444" s="98"/>
      <c r="F444" s="235"/>
      <c r="G444" s="235"/>
      <c r="H444" s="236"/>
      <c r="I444" s="236"/>
      <c r="J444" s="236"/>
      <c r="K444" s="236"/>
      <c r="L444" s="236"/>
      <c r="M444" s="236"/>
      <c r="N444" s="236"/>
      <c r="O444" s="236"/>
      <c r="P444" s="236"/>
      <c r="Q444" s="236"/>
      <c r="R444" s="236"/>
      <c r="S444" s="236"/>
      <c r="T444" s="236"/>
      <c r="U444" s="236"/>
      <c r="V444" s="236"/>
      <c r="W444" s="237"/>
      <c r="X444" s="237"/>
      <c r="Y444" s="237"/>
      <c r="Z444" s="237"/>
      <c r="AA444" s="237"/>
      <c r="AB444" s="237"/>
      <c r="AC444" s="237"/>
      <c r="AD444" s="237"/>
      <c r="AE444" s="237"/>
      <c r="AF444" s="237"/>
      <c r="AG444" s="237"/>
      <c r="AH444" s="237"/>
      <c r="AI444" s="308"/>
      <c r="AJ444" s="308"/>
      <c r="AK444" s="308"/>
      <c r="AL444" s="308"/>
      <c r="AM444" s="308"/>
      <c r="AN444" s="98"/>
    </row>
    <row r="445" ht="14.25" customHeight="1">
      <c r="A445" s="179"/>
      <c r="B445" s="98"/>
      <c r="C445" s="98"/>
      <c r="D445" s="98"/>
      <c r="E445" s="98"/>
      <c r="F445" s="235"/>
      <c r="G445" s="235"/>
      <c r="H445" s="236"/>
      <c r="I445" s="236"/>
      <c r="J445" s="236"/>
      <c r="K445" s="236"/>
      <c r="L445" s="236"/>
      <c r="M445" s="236"/>
      <c r="N445" s="236"/>
      <c r="O445" s="236"/>
      <c r="P445" s="236"/>
      <c r="Q445" s="236"/>
      <c r="R445" s="236"/>
      <c r="S445" s="236"/>
      <c r="T445" s="236"/>
      <c r="U445" s="236"/>
      <c r="V445" s="236"/>
      <c r="W445" s="237"/>
      <c r="X445" s="237"/>
      <c r="Y445" s="237"/>
      <c r="Z445" s="237"/>
      <c r="AA445" s="237"/>
      <c r="AB445" s="237"/>
      <c r="AC445" s="237"/>
      <c r="AD445" s="237"/>
      <c r="AE445" s="237"/>
      <c r="AF445" s="237"/>
      <c r="AG445" s="237"/>
      <c r="AH445" s="237"/>
      <c r="AI445" s="308"/>
      <c r="AJ445" s="308"/>
      <c r="AK445" s="308"/>
      <c r="AL445" s="308"/>
      <c r="AM445" s="308"/>
      <c r="AN445" s="98"/>
    </row>
    <row r="446" ht="14.25" customHeight="1">
      <c r="A446" s="179"/>
      <c r="B446" s="98"/>
      <c r="C446" s="98"/>
      <c r="D446" s="98"/>
      <c r="E446" s="98"/>
      <c r="F446" s="235"/>
      <c r="G446" s="235"/>
      <c r="H446" s="236"/>
      <c r="I446" s="236"/>
      <c r="J446" s="236"/>
      <c r="K446" s="236"/>
      <c r="L446" s="236"/>
      <c r="M446" s="236"/>
      <c r="N446" s="236"/>
      <c r="O446" s="236"/>
      <c r="P446" s="236"/>
      <c r="Q446" s="236"/>
      <c r="R446" s="236"/>
      <c r="S446" s="236"/>
      <c r="T446" s="236"/>
      <c r="U446" s="236"/>
      <c r="V446" s="236"/>
      <c r="W446" s="237"/>
      <c r="X446" s="237"/>
      <c r="Y446" s="237"/>
      <c r="Z446" s="237"/>
      <c r="AA446" s="237"/>
      <c r="AB446" s="237"/>
      <c r="AC446" s="237"/>
      <c r="AD446" s="237"/>
      <c r="AE446" s="237"/>
      <c r="AF446" s="237"/>
      <c r="AG446" s="237"/>
      <c r="AH446" s="237"/>
      <c r="AI446" s="308"/>
      <c r="AJ446" s="308"/>
      <c r="AK446" s="308"/>
      <c r="AL446" s="308"/>
      <c r="AM446" s="308"/>
      <c r="AN446" s="98"/>
    </row>
    <row r="447" ht="14.25" customHeight="1">
      <c r="A447" s="179"/>
      <c r="B447" s="98"/>
      <c r="C447" s="98"/>
      <c r="D447" s="98"/>
      <c r="E447" s="98"/>
      <c r="F447" s="235"/>
      <c r="G447" s="235"/>
      <c r="H447" s="236"/>
      <c r="I447" s="236"/>
      <c r="J447" s="236"/>
      <c r="K447" s="236"/>
      <c r="L447" s="236"/>
      <c r="M447" s="236"/>
      <c r="N447" s="236"/>
      <c r="O447" s="236"/>
      <c r="P447" s="236"/>
      <c r="Q447" s="236"/>
      <c r="R447" s="236"/>
      <c r="S447" s="236"/>
      <c r="T447" s="236"/>
      <c r="U447" s="236"/>
      <c r="V447" s="236"/>
      <c r="W447" s="237"/>
      <c r="X447" s="237"/>
      <c r="Y447" s="237"/>
      <c r="Z447" s="237"/>
      <c r="AA447" s="237"/>
      <c r="AB447" s="237"/>
      <c r="AC447" s="237"/>
      <c r="AD447" s="237"/>
      <c r="AE447" s="237"/>
      <c r="AF447" s="237"/>
      <c r="AG447" s="237"/>
      <c r="AH447" s="237"/>
      <c r="AI447" s="308"/>
      <c r="AJ447" s="308"/>
      <c r="AK447" s="308"/>
      <c r="AL447" s="308"/>
      <c r="AM447" s="308"/>
      <c r="AN447" s="98"/>
    </row>
    <row r="448" ht="14.25" customHeight="1">
      <c r="A448" s="179"/>
      <c r="B448" s="98"/>
      <c r="C448" s="98"/>
      <c r="D448" s="98"/>
      <c r="E448" s="98"/>
      <c r="F448" s="235"/>
      <c r="G448" s="235"/>
      <c r="H448" s="236"/>
      <c r="I448" s="236"/>
      <c r="J448" s="236"/>
      <c r="K448" s="236"/>
      <c r="L448" s="236"/>
      <c r="M448" s="236"/>
      <c r="N448" s="236"/>
      <c r="O448" s="236"/>
      <c r="P448" s="236"/>
      <c r="Q448" s="236"/>
      <c r="R448" s="236"/>
      <c r="S448" s="236"/>
      <c r="T448" s="236"/>
      <c r="U448" s="236"/>
      <c r="V448" s="236"/>
      <c r="W448" s="237"/>
      <c r="X448" s="237"/>
      <c r="Y448" s="237"/>
      <c r="Z448" s="237"/>
      <c r="AA448" s="237"/>
      <c r="AB448" s="237"/>
      <c r="AC448" s="237"/>
      <c r="AD448" s="237"/>
      <c r="AE448" s="237"/>
      <c r="AF448" s="237"/>
      <c r="AG448" s="237"/>
      <c r="AH448" s="237"/>
      <c r="AI448" s="308"/>
      <c r="AJ448" s="308"/>
      <c r="AK448" s="308"/>
      <c r="AL448" s="308"/>
      <c r="AM448" s="308"/>
      <c r="AN448" s="98"/>
    </row>
    <row r="449" ht="14.25" customHeight="1">
      <c r="A449" s="179"/>
      <c r="B449" s="98"/>
      <c r="C449" s="98"/>
      <c r="D449" s="98"/>
      <c r="E449" s="98"/>
      <c r="F449" s="235"/>
      <c r="G449" s="235"/>
      <c r="H449" s="236"/>
      <c r="I449" s="236"/>
      <c r="J449" s="236"/>
      <c r="K449" s="236"/>
      <c r="L449" s="236"/>
      <c r="M449" s="236"/>
      <c r="N449" s="236"/>
      <c r="O449" s="236"/>
      <c r="P449" s="236"/>
      <c r="Q449" s="236"/>
      <c r="R449" s="236"/>
      <c r="S449" s="236"/>
      <c r="T449" s="236"/>
      <c r="U449" s="236"/>
      <c r="V449" s="236"/>
      <c r="W449" s="237"/>
      <c r="X449" s="237"/>
      <c r="Y449" s="237"/>
      <c r="Z449" s="237"/>
      <c r="AA449" s="237"/>
      <c r="AB449" s="237"/>
      <c r="AC449" s="237"/>
      <c r="AD449" s="237"/>
      <c r="AE449" s="237"/>
      <c r="AF449" s="237"/>
      <c r="AG449" s="237"/>
      <c r="AH449" s="237"/>
      <c r="AI449" s="308"/>
      <c r="AJ449" s="308"/>
      <c r="AK449" s="308"/>
      <c r="AL449" s="308"/>
      <c r="AM449" s="308"/>
      <c r="AN449" s="98"/>
    </row>
    <row r="450" ht="14.25" customHeight="1">
      <c r="A450" s="179"/>
      <c r="B450" s="98"/>
      <c r="C450" s="98"/>
      <c r="D450" s="98"/>
      <c r="E450" s="98"/>
      <c r="F450" s="235"/>
      <c r="G450" s="235"/>
      <c r="H450" s="236"/>
      <c r="I450" s="236"/>
      <c r="J450" s="236"/>
      <c r="K450" s="236"/>
      <c r="L450" s="236"/>
      <c r="M450" s="236"/>
      <c r="N450" s="236"/>
      <c r="O450" s="236"/>
      <c r="P450" s="236"/>
      <c r="Q450" s="236"/>
      <c r="R450" s="236"/>
      <c r="S450" s="236"/>
      <c r="T450" s="236"/>
      <c r="U450" s="236"/>
      <c r="V450" s="236"/>
      <c r="W450" s="237"/>
      <c r="X450" s="237"/>
      <c r="Y450" s="237"/>
      <c r="Z450" s="237"/>
      <c r="AA450" s="237"/>
      <c r="AB450" s="237"/>
      <c r="AC450" s="237"/>
      <c r="AD450" s="237"/>
      <c r="AE450" s="237"/>
      <c r="AF450" s="237"/>
      <c r="AG450" s="237"/>
      <c r="AH450" s="237"/>
      <c r="AI450" s="308"/>
      <c r="AJ450" s="308"/>
      <c r="AK450" s="308"/>
      <c r="AL450" s="308"/>
      <c r="AM450" s="308"/>
      <c r="AN450" s="98"/>
    </row>
    <row r="451" ht="14.25" customHeight="1">
      <c r="A451" s="179"/>
      <c r="B451" s="98"/>
      <c r="C451" s="98"/>
      <c r="D451" s="98"/>
      <c r="E451" s="98"/>
      <c r="F451" s="235"/>
      <c r="G451" s="235"/>
      <c r="H451" s="236"/>
      <c r="I451" s="236"/>
      <c r="J451" s="236"/>
      <c r="K451" s="236"/>
      <c r="L451" s="236"/>
      <c r="M451" s="236"/>
      <c r="N451" s="236"/>
      <c r="O451" s="236"/>
      <c r="P451" s="236"/>
      <c r="Q451" s="236"/>
      <c r="R451" s="236"/>
      <c r="S451" s="236"/>
      <c r="T451" s="236"/>
      <c r="U451" s="236"/>
      <c r="V451" s="236"/>
      <c r="W451" s="237"/>
      <c r="X451" s="237"/>
      <c r="Y451" s="237"/>
      <c r="Z451" s="237"/>
      <c r="AA451" s="237"/>
      <c r="AB451" s="237"/>
      <c r="AC451" s="237"/>
      <c r="AD451" s="237"/>
      <c r="AE451" s="237"/>
      <c r="AF451" s="237"/>
      <c r="AG451" s="237"/>
      <c r="AH451" s="237"/>
      <c r="AI451" s="308"/>
      <c r="AJ451" s="308"/>
      <c r="AK451" s="308"/>
      <c r="AL451" s="308"/>
      <c r="AM451" s="308"/>
      <c r="AN451" s="98"/>
    </row>
    <row r="452" ht="14.25" customHeight="1">
      <c r="A452" s="179"/>
      <c r="B452" s="98"/>
      <c r="C452" s="98"/>
      <c r="D452" s="98"/>
      <c r="E452" s="98"/>
      <c r="F452" s="235"/>
      <c r="G452" s="235"/>
      <c r="H452" s="236"/>
      <c r="I452" s="236"/>
      <c r="J452" s="236"/>
      <c r="K452" s="236"/>
      <c r="L452" s="236"/>
      <c r="M452" s="236"/>
      <c r="N452" s="236"/>
      <c r="O452" s="236"/>
      <c r="P452" s="236"/>
      <c r="Q452" s="236"/>
      <c r="R452" s="236"/>
      <c r="S452" s="236"/>
      <c r="T452" s="236"/>
      <c r="U452" s="236"/>
      <c r="V452" s="236"/>
      <c r="W452" s="237"/>
      <c r="X452" s="237"/>
      <c r="Y452" s="237"/>
      <c r="Z452" s="237"/>
      <c r="AA452" s="237"/>
      <c r="AB452" s="237"/>
      <c r="AC452" s="237"/>
      <c r="AD452" s="237"/>
      <c r="AE452" s="237"/>
      <c r="AF452" s="237"/>
      <c r="AG452" s="237"/>
      <c r="AH452" s="237"/>
      <c r="AI452" s="308"/>
      <c r="AJ452" s="308"/>
      <c r="AK452" s="308"/>
      <c r="AL452" s="308"/>
      <c r="AM452" s="308"/>
      <c r="AN452" s="98"/>
    </row>
    <row r="453" ht="14.25" customHeight="1">
      <c r="A453" s="179"/>
      <c r="B453" s="98"/>
      <c r="C453" s="98"/>
      <c r="D453" s="98"/>
      <c r="E453" s="98"/>
      <c r="F453" s="235"/>
      <c r="G453" s="235"/>
      <c r="H453" s="236"/>
      <c r="I453" s="236"/>
      <c r="J453" s="236"/>
      <c r="K453" s="236"/>
      <c r="L453" s="236"/>
      <c r="M453" s="236"/>
      <c r="N453" s="236"/>
      <c r="O453" s="236"/>
      <c r="P453" s="236"/>
      <c r="Q453" s="236"/>
      <c r="R453" s="236"/>
      <c r="S453" s="236"/>
      <c r="T453" s="236"/>
      <c r="U453" s="236"/>
      <c r="V453" s="236"/>
      <c r="W453" s="237"/>
      <c r="X453" s="237"/>
      <c r="Y453" s="237"/>
      <c r="Z453" s="237"/>
      <c r="AA453" s="237"/>
      <c r="AB453" s="237"/>
      <c r="AC453" s="237"/>
      <c r="AD453" s="237"/>
      <c r="AE453" s="237"/>
      <c r="AF453" s="237"/>
      <c r="AG453" s="237"/>
      <c r="AH453" s="237"/>
      <c r="AI453" s="308"/>
      <c r="AJ453" s="308"/>
      <c r="AK453" s="308"/>
      <c r="AL453" s="308"/>
      <c r="AM453" s="308"/>
      <c r="AN453" s="98"/>
    </row>
    <row r="454" ht="14.25" customHeight="1">
      <c r="A454" s="179"/>
      <c r="B454" s="98"/>
      <c r="C454" s="98"/>
      <c r="D454" s="98"/>
      <c r="E454" s="98"/>
      <c r="F454" s="235"/>
      <c r="G454" s="235"/>
      <c r="H454" s="236"/>
      <c r="I454" s="236"/>
      <c r="J454" s="236"/>
      <c r="K454" s="236"/>
      <c r="L454" s="236"/>
      <c r="M454" s="236"/>
      <c r="N454" s="236"/>
      <c r="O454" s="236"/>
      <c r="P454" s="236"/>
      <c r="Q454" s="236"/>
      <c r="R454" s="236"/>
      <c r="S454" s="236"/>
      <c r="T454" s="236"/>
      <c r="U454" s="236"/>
      <c r="V454" s="236"/>
      <c r="W454" s="237"/>
      <c r="X454" s="237"/>
      <c r="Y454" s="237"/>
      <c r="Z454" s="237"/>
      <c r="AA454" s="237"/>
      <c r="AB454" s="237"/>
      <c r="AC454" s="237"/>
      <c r="AD454" s="237"/>
      <c r="AE454" s="237"/>
      <c r="AF454" s="237"/>
      <c r="AG454" s="237"/>
      <c r="AH454" s="237"/>
      <c r="AI454" s="308"/>
      <c r="AJ454" s="308"/>
      <c r="AK454" s="308"/>
      <c r="AL454" s="308"/>
      <c r="AM454" s="308"/>
      <c r="AN454" s="98"/>
    </row>
    <row r="455" ht="14.25" customHeight="1">
      <c r="A455" s="179"/>
      <c r="B455" s="98"/>
      <c r="C455" s="98"/>
      <c r="D455" s="98"/>
      <c r="E455" s="98"/>
      <c r="F455" s="235"/>
      <c r="G455" s="235"/>
      <c r="H455" s="236"/>
      <c r="I455" s="236"/>
      <c r="J455" s="236"/>
      <c r="K455" s="236"/>
      <c r="L455" s="236"/>
      <c r="M455" s="236"/>
      <c r="N455" s="236"/>
      <c r="O455" s="236"/>
      <c r="P455" s="236"/>
      <c r="Q455" s="236"/>
      <c r="R455" s="236"/>
      <c r="S455" s="236"/>
      <c r="T455" s="236"/>
      <c r="U455" s="236"/>
      <c r="V455" s="236"/>
      <c r="W455" s="237"/>
      <c r="X455" s="237"/>
      <c r="Y455" s="237"/>
      <c r="Z455" s="237"/>
      <c r="AA455" s="237"/>
      <c r="AB455" s="237"/>
      <c r="AC455" s="237"/>
      <c r="AD455" s="237"/>
      <c r="AE455" s="237"/>
      <c r="AF455" s="237"/>
      <c r="AG455" s="237"/>
      <c r="AH455" s="237"/>
      <c r="AI455" s="308"/>
      <c r="AJ455" s="308"/>
      <c r="AK455" s="308"/>
      <c r="AL455" s="308"/>
      <c r="AM455" s="308"/>
      <c r="AN455" s="98"/>
    </row>
    <row r="456" ht="14.25" customHeight="1">
      <c r="A456" s="179"/>
      <c r="B456" s="98"/>
      <c r="C456" s="98"/>
      <c r="D456" s="98"/>
      <c r="E456" s="98"/>
      <c r="F456" s="235"/>
      <c r="G456" s="235"/>
      <c r="H456" s="236"/>
      <c r="I456" s="236"/>
      <c r="J456" s="236"/>
      <c r="K456" s="236"/>
      <c r="L456" s="236"/>
      <c r="M456" s="236"/>
      <c r="N456" s="236"/>
      <c r="O456" s="236"/>
      <c r="P456" s="236"/>
      <c r="Q456" s="236"/>
      <c r="R456" s="236"/>
      <c r="S456" s="236"/>
      <c r="T456" s="236"/>
      <c r="U456" s="236"/>
      <c r="V456" s="236"/>
      <c r="W456" s="237"/>
      <c r="X456" s="237"/>
      <c r="Y456" s="237"/>
      <c r="Z456" s="237"/>
      <c r="AA456" s="237"/>
      <c r="AB456" s="237"/>
      <c r="AC456" s="237"/>
      <c r="AD456" s="237"/>
      <c r="AE456" s="237"/>
      <c r="AF456" s="237"/>
      <c r="AG456" s="237"/>
      <c r="AH456" s="237"/>
      <c r="AI456" s="308"/>
      <c r="AJ456" s="308"/>
      <c r="AK456" s="308"/>
      <c r="AL456" s="308"/>
      <c r="AM456" s="308"/>
      <c r="AN456" s="98"/>
    </row>
    <row r="457" ht="14.25" customHeight="1">
      <c r="A457" s="179"/>
      <c r="B457" s="98"/>
      <c r="C457" s="98"/>
      <c r="D457" s="98"/>
      <c r="E457" s="98"/>
      <c r="F457" s="235"/>
      <c r="G457" s="235"/>
      <c r="H457" s="236"/>
      <c r="I457" s="236"/>
      <c r="J457" s="236"/>
      <c r="K457" s="236"/>
      <c r="L457" s="236"/>
      <c r="M457" s="236"/>
      <c r="N457" s="236"/>
      <c r="O457" s="236"/>
      <c r="P457" s="236"/>
      <c r="Q457" s="236"/>
      <c r="R457" s="236"/>
      <c r="S457" s="236"/>
      <c r="T457" s="236"/>
      <c r="U457" s="236"/>
      <c r="V457" s="236"/>
      <c r="W457" s="237"/>
      <c r="X457" s="237"/>
      <c r="Y457" s="237"/>
      <c r="Z457" s="237"/>
      <c r="AA457" s="237"/>
      <c r="AB457" s="237"/>
      <c r="AC457" s="237"/>
      <c r="AD457" s="237"/>
      <c r="AE457" s="237"/>
      <c r="AF457" s="237"/>
      <c r="AG457" s="237"/>
      <c r="AH457" s="237"/>
      <c r="AI457" s="308"/>
      <c r="AJ457" s="308"/>
      <c r="AK457" s="308"/>
      <c r="AL457" s="308"/>
      <c r="AM457" s="308"/>
      <c r="AN457" s="98"/>
    </row>
    <row r="458" ht="14.25" customHeight="1">
      <c r="A458" s="179"/>
      <c r="B458" s="98"/>
      <c r="C458" s="98"/>
      <c r="D458" s="98"/>
      <c r="E458" s="98"/>
      <c r="F458" s="235"/>
      <c r="G458" s="235"/>
      <c r="H458" s="236"/>
      <c r="I458" s="236"/>
      <c r="J458" s="236"/>
      <c r="K458" s="236"/>
      <c r="L458" s="236"/>
      <c r="M458" s="236"/>
      <c r="N458" s="236"/>
      <c r="O458" s="236"/>
      <c r="P458" s="236"/>
      <c r="Q458" s="236"/>
      <c r="R458" s="236"/>
      <c r="S458" s="236"/>
      <c r="T458" s="236"/>
      <c r="U458" s="236"/>
      <c r="V458" s="236"/>
      <c r="W458" s="237"/>
      <c r="X458" s="237"/>
      <c r="Y458" s="237"/>
      <c r="Z458" s="237"/>
      <c r="AA458" s="237"/>
      <c r="AB458" s="237"/>
      <c r="AC458" s="237"/>
      <c r="AD458" s="237"/>
      <c r="AE458" s="237"/>
      <c r="AF458" s="237"/>
      <c r="AG458" s="237"/>
      <c r="AH458" s="237"/>
      <c r="AI458" s="308"/>
      <c r="AJ458" s="308"/>
      <c r="AK458" s="308"/>
      <c r="AL458" s="308"/>
      <c r="AM458" s="308"/>
      <c r="AN458" s="98"/>
    </row>
    <row r="459" ht="14.25" customHeight="1">
      <c r="A459" s="179"/>
      <c r="B459" s="98"/>
      <c r="C459" s="98"/>
      <c r="D459" s="98"/>
      <c r="E459" s="98"/>
      <c r="F459" s="235"/>
      <c r="G459" s="235"/>
      <c r="H459" s="236"/>
      <c r="I459" s="236"/>
      <c r="J459" s="236"/>
      <c r="K459" s="236"/>
      <c r="L459" s="236"/>
      <c r="M459" s="236"/>
      <c r="N459" s="236"/>
      <c r="O459" s="236"/>
      <c r="P459" s="236"/>
      <c r="Q459" s="236"/>
      <c r="R459" s="236"/>
      <c r="S459" s="236"/>
      <c r="T459" s="236"/>
      <c r="U459" s="236"/>
      <c r="V459" s="236"/>
      <c r="W459" s="237"/>
      <c r="X459" s="237"/>
      <c r="Y459" s="237"/>
      <c r="Z459" s="237"/>
      <c r="AA459" s="237"/>
      <c r="AB459" s="237"/>
      <c r="AC459" s="237"/>
      <c r="AD459" s="237"/>
      <c r="AE459" s="237"/>
      <c r="AF459" s="237"/>
      <c r="AG459" s="237"/>
      <c r="AH459" s="237"/>
      <c r="AI459" s="308"/>
      <c r="AJ459" s="308"/>
      <c r="AK459" s="308"/>
      <c r="AL459" s="308"/>
      <c r="AM459" s="308"/>
      <c r="AN459" s="98"/>
    </row>
    <row r="460" ht="14.25" customHeight="1">
      <c r="A460" s="179"/>
      <c r="B460" s="98"/>
      <c r="C460" s="98"/>
      <c r="D460" s="98"/>
      <c r="E460" s="98"/>
      <c r="F460" s="235"/>
      <c r="G460" s="235"/>
      <c r="H460" s="236"/>
      <c r="I460" s="236"/>
      <c r="J460" s="236"/>
      <c r="K460" s="236"/>
      <c r="L460" s="236"/>
      <c r="M460" s="236"/>
      <c r="N460" s="236"/>
      <c r="O460" s="236"/>
      <c r="P460" s="236"/>
      <c r="Q460" s="236"/>
      <c r="R460" s="236"/>
      <c r="S460" s="236"/>
      <c r="T460" s="236"/>
      <c r="U460" s="236"/>
      <c r="V460" s="236"/>
      <c r="W460" s="237"/>
      <c r="X460" s="237"/>
      <c r="Y460" s="237"/>
      <c r="Z460" s="237"/>
      <c r="AA460" s="237"/>
      <c r="AB460" s="237"/>
      <c r="AC460" s="237"/>
      <c r="AD460" s="237"/>
      <c r="AE460" s="237"/>
      <c r="AF460" s="237"/>
      <c r="AG460" s="237"/>
      <c r="AH460" s="237"/>
      <c r="AI460" s="308"/>
      <c r="AJ460" s="308"/>
      <c r="AK460" s="308"/>
      <c r="AL460" s="308"/>
      <c r="AM460" s="308"/>
      <c r="AN460" s="98"/>
    </row>
    <row r="461" ht="14.25" customHeight="1">
      <c r="A461" s="179"/>
      <c r="B461" s="98"/>
      <c r="C461" s="98"/>
      <c r="D461" s="98"/>
      <c r="E461" s="98"/>
      <c r="F461" s="235"/>
      <c r="G461" s="235"/>
      <c r="H461" s="236"/>
      <c r="I461" s="236"/>
      <c r="J461" s="236"/>
      <c r="K461" s="236"/>
      <c r="L461" s="236"/>
      <c r="M461" s="236"/>
      <c r="N461" s="236"/>
      <c r="O461" s="236"/>
      <c r="P461" s="236"/>
      <c r="Q461" s="236"/>
      <c r="R461" s="236"/>
      <c r="S461" s="236"/>
      <c r="T461" s="236"/>
      <c r="U461" s="236"/>
      <c r="V461" s="236"/>
      <c r="W461" s="237"/>
      <c r="X461" s="237"/>
      <c r="Y461" s="237"/>
      <c r="Z461" s="237"/>
      <c r="AA461" s="237"/>
      <c r="AB461" s="237"/>
      <c r="AC461" s="237"/>
      <c r="AD461" s="237"/>
      <c r="AE461" s="237"/>
      <c r="AF461" s="237"/>
      <c r="AG461" s="237"/>
      <c r="AH461" s="237"/>
      <c r="AI461" s="308"/>
      <c r="AJ461" s="308"/>
      <c r="AK461" s="308"/>
      <c r="AL461" s="308"/>
      <c r="AM461" s="308"/>
      <c r="AN461" s="98"/>
    </row>
    <row r="462" ht="14.25" customHeight="1">
      <c r="A462" s="179"/>
      <c r="B462" s="98"/>
      <c r="C462" s="98"/>
      <c r="D462" s="98"/>
      <c r="E462" s="98"/>
      <c r="F462" s="235"/>
      <c r="G462" s="235"/>
      <c r="H462" s="236"/>
      <c r="I462" s="236"/>
      <c r="J462" s="236"/>
      <c r="K462" s="236"/>
      <c r="L462" s="236"/>
      <c r="M462" s="236"/>
      <c r="N462" s="236"/>
      <c r="O462" s="236"/>
      <c r="P462" s="236"/>
      <c r="Q462" s="236"/>
      <c r="R462" s="236"/>
      <c r="S462" s="236"/>
      <c r="T462" s="236"/>
      <c r="U462" s="236"/>
      <c r="V462" s="236"/>
      <c r="W462" s="237"/>
      <c r="X462" s="237"/>
      <c r="Y462" s="237"/>
      <c r="Z462" s="237"/>
      <c r="AA462" s="237"/>
      <c r="AB462" s="237"/>
      <c r="AC462" s="237"/>
      <c r="AD462" s="237"/>
      <c r="AE462" s="237"/>
      <c r="AF462" s="237"/>
      <c r="AG462" s="237"/>
      <c r="AH462" s="237"/>
      <c r="AI462" s="308"/>
      <c r="AJ462" s="308"/>
      <c r="AK462" s="308"/>
      <c r="AL462" s="308"/>
      <c r="AM462" s="308"/>
      <c r="AN462" s="98"/>
    </row>
    <row r="463" ht="14.25" customHeight="1">
      <c r="A463" s="179"/>
      <c r="B463" s="98"/>
      <c r="C463" s="98"/>
      <c r="D463" s="98"/>
      <c r="E463" s="98"/>
      <c r="F463" s="235"/>
      <c r="G463" s="235"/>
      <c r="H463" s="236"/>
      <c r="I463" s="236"/>
      <c r="J463" s="236"/>
      <c r="K463" s="236"/>
      <c r="L463" s="236"/>
      <c r="M463" s="236"/>
      <c r="N463" s="236"/>
      <c r="O463" s="236"/>
      <c r="P463" s="236"/>
      <c r="Q463" s="236"/>
      <c r="R463" s="236"/>
      <c r="S463" s="236"/>
      <c r="T463" s="236"/>
      <c r="U463" s="236"/>
      <c r="V463" s="236"/>
      <c r="W463" s="237"/>
      <c r="X463" s="237"/>
      <c r="Y463" s="237"/>
      <c r="Z463" s="237"/>
      <c r="AA463" s="237"/>
      <c r="AB463" s="237"/>
      <c r="AC463" s="237"/>
      <c r="AD463" s="237"/>
      <c r="AE463" s="237"/>
      <c r="AF463" s="237"/>
      <c r="AG463" s="237"/>
      <c r="AH463" s="237"/>
      <c r="AI463" s="308"/>
      <c r="AJ463" s="308"/>
      <c r="AK463" s="308"/>
      <c r="AL463" s="308"/>
      <c r="AM463" s="308"/>
      <c r="AN463" s="98"/>
    </row>
    <row r="464" ht="14.25" customHeight="1">
      <c r="A464" s="179"/>
      <c r="B464" s="98"/>
      <c r="C464" s="98"/>
      <c r="D464" s="98"/>
      <c r="E464" s="98"/>
      <c r="F464" s="235"/>
      <c r="G464" s="235"/>
      <c r="H464" s="236"/>
      <c r="I464" s="236"/>
      <c r="J464" s="236"/>
      <c r="K464" s="236"/>
      <c r="L464" s="236"/>
      <c r="M464" s="236"/>
      <c r="N464" s="236"/>
      <c r="O464" s="236"/>
      <c r="P464" s="236"/>
      <c r="Q464" s="236"/>
      <c r="R464" s="236"/>
      <c r="S464" s="236"/>
      <c r="T464" s="236"/>
      <c r="U464" s="236"/>
      <c r="V464" s="236"/>
      <c r="W464" s="237"/>
      <c r="X464" s="237"/>
      <c r="Y464" s="237"/>
      <c r="Z464" s="237"/>
      <c r="AA464" s="237"/>
      <c r="AB464" s="237"/>
      <c r="AC464" s="237"/>
      <c r="AD464" s="237"/>
      <c r="AE464" s="237"/>
      <c r="AF464" s="237"/>
      <c r="AG464" s="237"/>
      <c r="AH464" s="237"/>
      <c r="AI464" s="308"/>
      <c r="AJ464" s="308"/>
      <c r="AK464" s="308"/>
      <c r="AL464" s="308"/>
      <c r="AM464" s="308"/>
      <c r="AN464" s="98"/>
    </row>
    <row r="465" ht="14.25" customHeight="1">
      <c r="A465" s="179"/>
      <c r="B465" s="98"/>
      <c r="C465" s="98"/>
      <c r="D465" s="98"/>
      <c r="E465" s="98"/>
      <c r="F465" s="235"/>
      <c r="G465" s="235"/>
      <c r="H465" s="236"/>
      <c r="I465" s="236"/>
      <c r="J465" s="236"/>
      <c r="K465" s="236"/>
      <c r="L465" s="236"/>
      <c r="M465" s="236"/>
      <c r="N465" s="236"/>
      <c r="O465" s="236"/>
      <c r="P465" s="236"/>
      <c r="Q465" s="236"/>
      <c r="R465" s="236"/>
      <c r="S465" s="236"/>
      <c r="T465" s="236"/>
      <c r="U465" s="236"/>
      <c r="V465" s="236"/>
      <c r="W465" s="237"/>
      <c r="X465" s="237"/>
      <c r="Y465" s="237"/>
      <c r="Z465" s="237"/>
      <c r="AA465" s="237"/>
      <c r="AB465" s="237"/>
      <c r="AC465" s="237"/>
      <c r="AD465" s="237"/>
      <c r="AE465" s="237"/>
      <c r="AF465" s="237"/>
      <c r="AG465" s="237"/>
      <c r="AH465" s="237"/>
      <c r="AI465" s="308"/>
      <c r="AJ465" s="308"/>
      <c r="AK465" s="308"/>
      <c r="AL465" s="308"/>
      <c r="AM465" s="308"/>
      <c r="AN465" s="98"/>
    </row>
    <row r="466" ht="14.25" customHeight="1">
      <c r="A466" s="179"/>
      <c r="B466" s="98"/>
      <c r="C466" s="98"/>
      <c r="D466" s="98"/>
      <c r="E466" s="98"/>
      <c r="F466" s="235"/>
      <c r="G466" s="235"/>
      <c r="H466" s="236"/>
      <c r="I466" s="236"/>
      <c r="J466" s="236"/>
      <c r="K466" s="236"/>
      <c r="L466" s="236"/>
      <c r="M466" s="236"/>
      <c r="N466" s="236"/>
      <c r="O466" s="236"/>
      <c r="P466" s="236"/>
      <c r="Q466" s="236"/>
      <c r="R466" s="236"/>
      <c r="S466" s="236"/>
      <c r="T466" s="236"/>
      <c r="U466" s="236"/>
      <c r="V466" s="236"/>
      <c r="W466" s="237"/>
      <c r="X466" s="237"/>
      <c r="Y466" s="237"/>
      <c r="Z466" s="237"/>
      <c r="AA466" s="237"/>
      <c r="AB466" s="237"/>
      <c r="AC466" s="237"/>
      <c r="AD466" s="237"/>
      <c r="AE466" s="237"/>
      <c r="AF466" s="237"/>
      <c r="AG466" s="237"/>
      <c r="AH466" s="237"/>
      <c r="AI466" s="308"/>
      <c r="AJ466" s="308"/>
      <c r="AK466" s="308"/>
      <c r="AL466" s="308"/>
      <c r="AM466" s="308"/>
      <c r="AN466" s="98"/>
    </row>
    <row r="467" ht="14.25" customHeight="1">
      <c r="A467" s="179"/>
      <c r="B467" s="98"/>
      <c r="C467" s="98"/>
      <c r="D467" s="98"/>
      <c r="E467" s="98"/>
      <c r="F467" s="235"/>
      <c r="G467" s="235"/>
      <c r="H467" s="236"/>
      <c r="I467" s="236"/>
      <c r="J467" s="236"/>
      <c r="K467" s="236"/>
      <c r="L467" s="236"/>
      <c r="M467" s="236"/>
      <c r="N467" s="236"/>
      <c r="O467" s="236"/>
      <c r="P467" s="236"/>
      <c r="Q467" s="236"/>
      <c r="R467" s="236"/>
      <c r="S467" s="236"/>
      <c r="T467" s="236"/>
      <c r="U467" s="236"/>
      <c r="V467" s="236"/>
      <c r="W467" s="237"/>
      <c r="X467" s="237"/>
      <c r="Y467" s="237"/>
      <c r="Z467" s="237"/>
      <c r="AA467" s="237"/>
      <c r="AB467" s="237"/>
      <c r="AC467" s="237"/>
      <c r="AD467" s="237"/>
      <c r="AE467" s="237"/>
      <c r="AF467" s="237"/>
      <c r="AG467" s="237"/>
      <c r="AH467" s="237"/>
      <c r="AI467" s="308"/>
      <c r="AJ467" s="308"/>
      <c r="AK467" s="308"/>
      <c r="AL467" s="308"/>
      <c r="AM467" s="308"/>
      <c r="AN467" s="98"/>
    </row>
    <row r="468" ht="14.25" customHeight="1">
      <c r="A468" s="179"/>
      <c r="B468" s="98"/>
      <c r="C468" s="98"/>
      <c r="D468" s="98"/>
      <c r="E468" s="98"/>
      <c r="F468" s="235"/>
      <c r="G468" s="235"/>
      <c r="H468" s="236"/>
      <c r="I468" s="236"/>
      <c r="J468" s="236"/>
      <c r="K468" s="236"/>
      <c r="L468" s="236"/>
      <c r="M468" s="236"/>
      <c r="N468" s="236"/>
      <c r="O468" s="236"/>
      <c r="P468" s="236"/>
      <c r="Q468" s="236"/>
      <c r="R468" s="236"/>
      <c r="S468" s="236"/>
      <c r="T468" s="236"/>
      <c r="U468" s="236"/>
      <c r="V468" s="236"/>
      <c r="W468" s="237"/>
      <c r="X468" s="237"/>
      <c r="Y468" s="237"/>
      <c r="Z468" s="237"/>
      <c r="AA468" s="237"/>
      <c r="AB468" s="237"/>
      <c r="AC468" s="237"/>
      <c r="AD468" s="237"/>
      <c r="AE468" s="237"/>
      <c r="AF468" s="237"/>
      <c r="AG468" s="237"/>
      <c r="AH468" s="237"/>
      <c r="AI468" s="308"/>
      <c r="AJ468" s="308"/>
      <c r="AK468" s="308"/>
      <c r="AL468" s="308"/>
      <c r="AM468" s="308"/>
      <c r="AN468" s="98"/>
    </row>
    <row r="469" ht="14.25" customHeight="1">
      <c r="A469" s="179"/>
      <c r="B469" s="98"/>
      <c r="C469" s="98"/>
      <c r="D469" s="98"/>
      <c r="E469" s="98"/>
      <c r="F469" s="235"/>
      <c r="G469" s="235"/>
      <c r="H469" s="236"/>
      <c r="I469" s="236"/>
      <c r="J469" s="236"/>
      <c r="K469" s="236"/>
      <c r="L469" s="236"/>
      <c r="M469" s="236"/>
      <c r="N469" s="236"/>
      <c r="O469" s="236"/>
      <c r="P469" s="236"/>
      <c r="Q469" s="236"/>
      <c r="R469" s="236"/>
      <c r="S469" s="236"/>
      <c r="T469" s="236"/>
      <c r="U469" s="236"/>
      <c r="V469" s="236"/>
      <c r="W469" s="237"/>
      <c r="X469" s="237"/>
      <c r="Y469" s="237"/>
      <c r="Z469" s="237"/>
      <c r="AA469" s="237"/>
      <c r="AB469" s="237"/>
      <c r="AC469" s="237"/>
      <c r="AD469" s="237"/>
      <c r="AE469" s="237"/>
      <c r="AF469" s="237"/>
      <c r="AG469" s="237"/>
      <c r="AH469" s="237"/>
      <c r="AI469" s="308"/>
      <c r="AJ469" s="308"/>
      <c r="AK469" s="308"/>
      <c r="AL469" s="308"/>
      <c r="AM469" s="308"/>
      <c r="AN469" s="98"/>
    </row>
    <row r="470" ht="14.25" customHeight="1">
      <c r="A470" s="179"/>
      <c r="B470" s="98"/>
      <c r="C470" s="98"/>
      <c r="D470" s="98"/>
      <c r="E470" s="98"/>
      <c r="F470" s="235"/>
      <c r="G470" s="235"/>
      <c r="H470" s="236"/>
      <c r="I470" s="236"/>
      <c r="J470" s="236"/>
      <c r="K470" s="236"/>
      <c r="L470" s="236"/>
      <c r="M470" s="236"/>
      <c r="N470" s="236"/>
      <c r="O470" s="236"/>
      <c r="P470" s="236"/>
      <c r="Q470" s="236"/>
      <c r="R470" s="236"/>
      <c r="S470" s="236"/>
      <c r="T470" s="236"/>
      <c r="U470" s="236"/>
      <c r="V470" s="236"/>
      <c r="W470" s="237"/>
      <c r="X470" s="237"/>
      <c r="Y470" s="237"/>
      <c r="Z470" s="237"/>
      <c r="AA470" s="237"/>
      <c r="AB470" s="237"/>
      <c r="AC470" s="237"/>
      <c r="AD470" s="237"/>
      <c r="AE470" s="237"/>
      <c r="AF470" s="237"/>
      <c r="AG470" s="237"/>
      <c r="AH470" s="237"/>
      <c r="AI470" s="308"/>
      <c r="AJ470" s="308"/>
      <c r="AK470" s="308"/>
      <c r="AL470" s="308"/>
      <c r="AM470" s="308"/>
      <c r="AN470" s="98"/>
    </row>
    <row r="471" ht="14.25" customHeight="1">
      <c r="A471" s="179"/>
      <c r="B471" s="98"/>
      <c r="C471" s="98"/>
      <c r="D471" s="98"/>
      <c r="E471" s="98"/>
      <c r="F471" s="235"/>
      <c r="G471" s="235"/>
      <c r="H471" s="236"/>
      <c r="I471" s="236"/>
      <c r="J471" s="236"/>
      <c r="K471" s="236"/>
      <c r="L471" s="236"/>
      <c r="M471" s="236"/>
      <c r="N471" s="236"/>
      <c r="O471" s="236"/>
      <c r="P471" s="236"/>
      <c r="Q471" s="236"/>
      <c r="R471" s="236"/>
      <c r="S471" s="236"/>
      <c r="T471" s="236"/>
      <c r="U471" s="236"/>
      <c r="V471" s="236"/>
      <c r="W471" s="237"/>
      <c r="X471" s="237"/>
      <c r="Y471" s="237"/>
      <c r="Z471" s="237"/>
      <c r="AA471" s="237"/>
      <c r="AB471" s="237"/>
      <c r="AC471" s="237"/>
      <c r="AD471" s="237"/>
      <c r="AE471" s="237"/>
      <c r="AF471" s="237"/>
      <c r="AG471" s="237"/>
      <c r="AH471" s="237"/>
      <c r="AI471" s="308"/>
      <c r="AJ471" s="308"/>
      <c r="AK471" s="308"/>
      <c r="AL471" s="308"/>
      <c r="AM471" s="308"/>
      <c r="AN471" s="98"/>
    </row>
    <row r="472" ht="14.25" customHeight="1">
      <c r="A472" s="179"/>
      <c r="B472" s="98"/>
      <c r="C472" s="98"/>
      <c r="D472" s="98"/>
      <c r="E472" s="98"/>
      <c r="F472" s="235"/>
      <c r="G472" s="235"/>
      <c r="H472" s="236"/>
      <c r="I472" s="236"/>
      <c r="J472" s="236"/>
      <c r="K472" s="236"/>
      <c r="L472" s="236"/>
      <c r="M472" s="236"/>
      <c r="N472" s="236"/>
      <c r="O472" s="236"/>
      <c r="P472" s="236"/>
      <c r="Q472" s="236"/>
      <c r="R472" s="236"/>
      <c r="S472" s="236"/>
      <c r="T472" s="236"/>
      <c r="U472" s="236"/>
      <c r="V472" s="236"/>
      <c r="W472" s="237"/>
      <c r="X472" s="237"/>
      <c r="Y472" s="237"/>
      <c r="Z472" s="237"/>
      <c r="AA472" s="237"/>
      <c r="AB472" s="237"/>
      <c r="AC472" s="237"/>
      <c r="AD472" s="237"/>
      <c r="AE472" s="237"/>
      <c r="AF472" s="237"/>
      <c r="AG472" s="237"/>
      <c r="AH472" s="237"/>
      <c r="AI472" s="308"/>
      <c r="AJ472" s="308"/>
      <c r="AK472" s="308"/>
      <c r="AL472" s="308"/>
      <c r="AM472" s="308"/>
      <c r="AN472" s="98"/>
    </row>
    <row r="473" ht="14.25" customHeight="1">
      <c r="A473" s="179"/>
      <c r="B473" s="98"/>
      <c r="C473" s="98"/>
      <c r="D473" s="98"/>
      <c r="E473" s="98"/>
      <c r="F473" s="235"/>
      <c r="G473" s="235"/>
      <c r="H473" s="236"/>
      <c r="I473" s="236"/>
      <c r="J473" s="236"/>
      <c r="K473" s="236"/>
      <c r="L473" s="236"/>
      <c r="M473" s="236"/>
      <c r="N473" s="236"/>
      <c r="O473" s="236"/>
      <c r="P473" s="236"/>
      <c r="Q473" s="236"/>
      <c r="R473" s="236"/>
      <c r="S473" s="236"/>
      <c r="T473" s="236"/>
      <c r="U473" s="236"/>
      <c r="V473" s="236"/>
      <c r="W473" s="237"/>
      <c r="X473" s="237"/>
      <c r="Y473" s="237"/>
      <c r="Z473" s="237"/>
      <c r="AA473" s="237"/>
      <c r="AB473" s="237"/>
      <c r="AC473" s="237"/>
      <c r="AD473" s="237"/>
      <c r="AE473" s="237"/>
      <c r="AF473" s="237"/>
      <c r="AG473" s="237"/>
      <c r="AH473" s="237"/>
      <c r="AI473" s="308"/>
      <c r="AJ473" s="308"/>
      <c r="AK473" s="308"/>
      <c r="AL473" s="308"/>
      <c r="AM473" s="308"/>
      <c r="AN473" s="98"/>
    </row>
    <row r="474" ht="14.25" customHeight="1">
      <c r="A474" s="179"/>
      <c r="B474" s="98"/>
      <c r="C474" s="98"/>
      <c r="D474" s="98"/>
      <c r="E474" s="98"/>
      <c r="F474" s="235"/>
      <c r="G474" s="235"/>
      <c r="H474" s="236"/>
      <c r="I474" s="236"/>
      <c r="J474" s="236"/>
      <c r="K474" s="236"/>
      <c r="L474" s="236"/>
      <c r="M474" s="236"/>
      <c r="N474" s="236"/>
      <c r="O474" s="236"/>
      <c r="P474" s="236"/>
      <c r="Q474" s="236"/>
      <c r="R474" s="236"/>
      <c r="S474" s="236"/>
      <c r="T474" s="236"/>
      <c r="U474" s="236"/>
      <c r="V474" s="236"/>
      <c r="W474" s="237"/>
      <c r="X474" s="237"/>
      <c r="Y474" s="237"/>
      <c r="Z474" s="237"/>
      <c r="AA474" s="237"/>
      <c r="AB474" s="237"/>
      <c r="AC474" s="237"/>
      <c r="AD474" s="237"/>
      <c r="AE474" s="237"/>
      <c r="AF474" s="237"/>
      <c r="AG474" s="237"/>
      <c r="AH474" s="237"/>
      <c r="AI474" s="308"/>
      <c r="AJ474" s="308"/>
      <c r="AK474" s="308"/>
      <c r="AL474" s="308"/>
      <c r="AM474" s="308"/>
      <c r="AN474" s="98"/>
    </row>
    <row r="475" ht="14.25" customHeight="1">
      <c r="A475" s="179"/>
      <c r="B475" s="98"/>
      <c r="C475" s="98"/>
      <c r="D475" s="98"/>
      <c r="E475" s="98"/>
      <c r="F475" s="235"/>
      <c r="G475" s="235"/>
      <c r="H475" s="236"/>
      <c r="I475" s="236"/>
      <c r="J475" s="236"/>
      <c r="K475" s="236"/>
      <c r="L475" s="236"/>
      <c r="M475" s="236"/>
      <c r="N475" s="236"/>
      <c r="O475" s="236"/>
      <c r="P475" s="236"/>
      <c r="Q475" s="236"/>
      <c r="R475" s="236"/>
      <c r="S475" s="236"/>
      <c r="T475" s="236"/>
      <c r="U475" s="236"/>
      <c r="V475" s="236"/>
      <c r="W475" s="237"/>
      <c r="X475" s="237"/>
      <c r="Y475" s="237"/>
      <c r="Z475" s="237"/>
      <c r="AA475" s="237"/>
      <c r="AB475" s="237"/>
      <c r="AC475" s="237"/>
      <c r="AD475" s="237"/>
      <c r="AE475" s="237"/>
      <c r="AF475" s="237"/>
      <c r="AG475" s="237"/>
      <c r="AH475" s="237"/>
      <c r="AI475" s="308"/>
      <c r="AJ475" s="308"/>
      <c r="AK475" s="308"/>
      <c r="AL475" s="308"/>
      <c r="AM475" s="308"/>
      <c r="AN475" s="98"/>
    </row>
    <row r="476" ht="14.25" customHeight="1">
      <c r="A476" s="179"/>
      <c r="B476" s="98"/>
      <c r="C476" s="98"/>
      <c r="D476" s="98"/>
      <c r="E476" s="98"/>
      <c r="F476" s="235"/>
      <c r="G476" s="235"/>
      <c r="H476" s="236"/>
      <c r="I476" s="236"/>
      <c r="J476" s="236"/>
      <c r="K476" s="236"/>
      <c r="L476" s="236"/>
      <c r="M476" s="236"/>
      <c r="N476" s="236"/>
      <c r="O476" s="236"/>
      <c r="P476" s="236"/>
      <c r="Q476" s="236"/>
      <c r="R476" s="236"/>
      <c r="S476" s="236"/>
      <c r="T476" s="236"/>
      <c r="U476" s="236"/>
      <c r="V476" s="236"/>
      <c r="W476" s="237"/>
      <c r="X476" s="237"/>
      <c r="Y476" s="237"/>
      <c r="Z476" s="237"/>
      <c r="AA476" s="237"/>
      <c r="AB476" s="237"/>
      <c r="AC476" s="237"/>
      <c r="AD476" s="237"/>
      <c r="AE476" s="237"/>
      <c r="AF476" s="237"/>
      <c r="AG476" s="237"/>
      <c r="AH476" s="237"/>
      <c r="AI476" s="308"/>
      <c r="AJ476" s="308"/>
      <c r="AK476" s="308"/>
      <c r="AL476" s="308"/>
      <c r="AM476" s="308"/>
      <c r="AN476" s="98"/>
    </row>
    <row r="477" ht="14.25" customHeight="1">
      <c r="A477" s="179"/>
      <c r="B477" s="98"/>
      <c r="C477" s="98"/>
      <c r="D477" s="98"/>
      <c r="E477" s="98"/>
      <c r="F477" s="235"/>
      <c r="G477" s="235"/>
      <c r="H477" s="236"/>
      <c r="I477" s="236"/>
      <c r="J477" s="236"/>
      <c r="K477" s="236"/>
      <c r="L477" s="236"/>
      <c r="M477" s="236"/>
      <c r="N477" s="236"/>
      <c r="O477" s="236"/>
      <c r="P477" s="236"/>
      <c r="Q477" s="236"/>
      <c r="R477" s="236"/>
      <c r="S477" s="236"/>
      <c r="T477" s="236"/>
      <c r="U477" s="236"/>
      <c r="V477" s="236"/>
      <c r="W477" s="237"/>
      <c r="X477" s="237"/>
      <c r="Y477" s="237"/>
      <c r="Z477" s="237"/>
      <c r="AA477" s="237"/>
      <c r="AB477" s="237"/>
      <c r="AC477" s="237"/>
      <c r="AD477" s="237"/>
      <c r="AE477" s="237"/>
      <c r="AF477" s="237"/>
      <c r="AG477" s="237"/>
      <c r="AH477" s="237"/>
      <c r="AI477" s="308"/>
      <c r="AJ477" s="308"/>
      <c r="AK477" s="308"/>
      <c r="AL477" s="308"/>
      <c r="AM477" s="308"/>
      <c r="AN477" s="98"/>
    </row>
    <row r="478" ht="14.25" customHeight="1">
      <c r="A478" s="179"/>
      <c r="B478" s="98"/>
      <c r="C478" s="98"/>
      <c r="D478" s="98"/>
      <c r="E478" s="98"/>
      <c r="F478" s="235"/>
      <c r="G478" s="235"/>
      <c r="H478" s="236"/>
      <c r="I478" s="236"/>
      <c r="J478" s="236"/>
      <c r="K478" s="236"/>
      <c r="L478" s="236"/>
      <c r="M478" s="236"/>
      <c r="N478" s="236"/>
      <c r="O478" s="236"/>
      <c r="P478" s="236"/>
      <c r="Q478" s="236"/>
      <c r="R478" s="236"/>
      <c r="S478" s="236"/>
      <c r="T478" s="236"/>
      <c r="U478" s="236"/>
      <c r="V478" s="236"/>
      <c r="W478" s="237"/>
      <c r="X478" s="237"/>
      <c r="Y478" s="237"/>
      <c r="Z478" s="237"/>
      <c r="AA478" s="237"/>
      <c r="AB478" s="237"/>
      <c r="AC478" s="237"/>
      <c r="AD478" s="237"/>
      <c r="AE478" s="237"/>
      <c r="AF478" s="237"/>
      <c r="AG478" s="237"/>
      <c r="AH478" s="237"/>
      <c r="AI478" s="308"/>
      <c r="AJ478" s="308"/>
      <c r="AK478" s="308"/>
      <c r="AL478" s="308"/>
      <c r="AM478" s="308"/>
      <c r="AN478" s="98"/>
    </row>
    <row r="479" ht="14.25" customHeight="1">
      <c r="A479" s="179"/>
      <c r="B479" s="98"/>
      <c r="C479" s="98"/>
      <c r="D479" s="98"/>
      <c r="E479" s="98"/>
      <c r="F479" s="235"/>
      <c r="G479" s="235"/>
      <c r="H479" s="236"/>
      <c r="I479" s="236"/>
      <c r="J479" s="236"/>
      <c r="K479" s="236"/>
      <c r="L479" s="236"/>
      <c r="M479" s="236"/>
      <c r="N479" s="236"/>
      <c r="O479" s="236"/>
      <c r="P479" s="236"/>
      <c r="Q479" s="236"/>
      <c r="R479" s="236"/>
      <c r="S479" s="236"/>
      <c r="T479" s="236"/>
      <c r="U479" s="236"/>
      <c r="V479" s="236"/>
      <c r="W479" s="237"/>
      <c r="X479" s="237"/>
      <c r="Y479" s="237"/>
      <c r="Z479" s="237"/>
      <c r="AA479" s="237"/>
      <c r="AB479" s="237"/>
      <c r="AC479" s="237"/>
      <c r="AD479" s="237"/>
      <c r="AE479" s="237"/>
      <c r="AF479" s="237"/>
      <c r="AG479" s="237"/>
      <c r="AH479" s="237"/>
      <c r="AI479" s="308"/>
      <c r="AJ479" s="308"/>
      <c r="AK479" s="308"/>
      <c r="AL479" s="308"/>
      <c r="AM479" s="308"/>
      <c r="AN479" s="98"/>
    </row>
    <row r="480" ht="14.25" customHeight="1">
      <c r="A480" s="179"/>
      <c r="B480" s="98"/>
      <c r="C480" s="98"/>
      <c r="D480" s="98"/>
      <c r="E480" s="98"/>
      <c r="F480" s="235"/>
      <c r="G480" s="235"/>
      <c r="H480" s="236"/>
      <c r="I480" s="236"/>
      <c r="J480" s="236"/>
      <c r="K480" s="236"/>
      <c r="L480" s="236"/>
      <c r="M480" s="236"/>
      <c r="N480" s="236"/>
      <c r="O480" s="236"/>
      <c r="P480" s="236"/>
      <c r="Q480" s="236"/>
      <c r="R480" s="236"/>
      <c r="S480" s="236"/>
      <c r="T480" s="236"/>
      <c r="U480" s="236"/>
      <c r="V480" s="236"/>
      <c r="W480" s="237"/>
      <c r="X480" s="237"/>
      <c r="Y480" s="237"/>
      <c r="Z480" s="237"/>
      <c r="AA480" s="237"/>
      <c r="AB480" s="237"/>
      <c r="AC480" s="237"/>
      <c r="AD480" s="237"/>
      <c r="AE480" s="237"/>
      <c r="AF480" s="237"/>
      <c r="AG480" s="237"/>
      <c r="AH480" s="237"/>
      <c r="AI480" s="308"/>
      <c r="AJ480" s="308"/>
      <c r="AK480" s="308"/>
      <c r="AL480" s="308"/>
      <c r="AM480" s="308"/>
      <c r="AN480" s="98"/>
    </row>
    <row r="481" ht="14.25" customHeight="1">
      <c r="A481" s="179"/>
      <c r="B481" s="98"/>
      <c r="C481" s="98"/>
      <c r="D481" s="98"/>
      <c r="E481" s="98"/>
      <c r="F481" s="235"/>
      <c r="G481" s="235"/>
      <c r="H481" s="236"/>
      <c r="I481" s="236"/>
      <c r="J481" s="236"/>
      <c r="K481" s="236"/>
      <c r="L481" s="236"/>
      <c r="M481" s="236"/>
      <c r="N481" s="236"/>
      <c r="O481" s="236"/>
      <c r="P481" s="236"/>
      <c r="Q481" s="236"/>
      <c r="R481" s="236"/>
      <c r="S481" s="236"/>
      <c r="T481" s="236"/>
      <c r="U481" s="236"/>
      <c r="V481" s="236"/>
      <c r="W481" s="237"/>
      <c r="X481" s="237"/>
      <c r="Y481" s="237"/>
      <c r="Z481" s="237"/>
      <c r="AA481" s="237"/>
      <c r="AB481" s="237"/>
      <c r="AC481" s="237"/>
      <c r="AD481" s="237"/>
      <c r="AE481" s="237"/>
      <c r="AF481" s="237"/>
      <c r="AG481" s="237"/>
      <c r="AH481" s="237"/>
      <c r="AI481" s="308"/>
      <c r="AJ481" s="308"/>
      <c r="AK481" s="308"/>
      <c r="AL481" s="308"/>
      <c r="AM481" s="308"/>
      <c r="AN481" s="98"/>
    </row>
    <row r="482" ht="14.25" customHeight="1">
      <c r="A482" s="179"/>
      <c r="B482" s="98"/>
      <c r="C482" s="98"/>
      <c r="D482" s="98"/>
      <c r="E482" s="98"/>
      <c r="F482" s="235"/>
      <c r="G482" s="235"/>
      <c r="H482" s="236"/>
      <c r="I482" s="236"/>
      <c r="J482" s="236"/>
      <c r="K482" s="236"/>
      <c r="L482" s="236"/>
      <c r="M482" s="236"/>
      <c r="N482" s="236"/>
      <c r="O482" s="236"/>
      <c r="P482" s="236"/>
      <c r="Q482" s="236"/>
      <c r="R482" s="236"/>
      <c r="S482" s="236"/>
      <c r="T482" s="236"/>
      <c r="U482" s="236"/>
      <c r="V482" s="236"/>
      <c r="W482" s="237"/>
      <c r="X482" s="237"/>
      <c r="Y482" s="237"/>
      <c r="Z482" s="237"/>
      <c r="AA482" s="237"/>
      <c r="AB482" s="237"/>
      <c r="AC482" s="237"/>
      <c r="AD482" s="237"/>
      <c r="AE482" s="237"/>
      <c r="AF482" s="237"/>
      <c r="AG482" s="237"/>
      <c r="AH482" s="237"/>
      <c r="AI482" s="308"/>
      <c r="AJ482" s="308"/>
      <c r="AK482" s="308"/>
      <c r="AL482" s="308"/>
      <c r="AM482" s="308"/>
      <c r="AN482" s="98"/>
    </row>
    <row r="483" ht="14.25" customHeight="1">
      <c r="A483" s="179"/>
      <c r="B483" s="98"/>
      <c r="C483" s="98"/>
      <c r="D483" s="98"/>
      <c r="E483" s="98"/>
      <c r="F483" s="235"/>
      <c r="G483" s="235"/>
      <c r="H483" s="236"/>
      <c r="I483" s="236"/>
      <c r="J483" s="236"/>
      <c r="K483" s="236"/>
      <c r="L483" s="236"/>
      <c r="M483" s="236"/>
      <c r="N483" s="236"/>
      <c r="O483" s="236"/>
      <c r="P483" s="236"/>
      <c r="Q483" s="236"/>
      <c r="R483" s="236"/>
      <c r="S483" s="236"/>
      <c r="T483" s="236"/>
      <c r="U483" s="236"/>
      <c r="V483" s="236"/>
      <c r="W483" s="237"/>
      <c r="X483" s="237"/>
      <c r="Y483" s="237"/>
      <c r="Z483" s="237"/>
      <c r="AA483" s="237"/>
      <c r="AB483" s="237"/>
      <c r="AC483" s="237"/>
      <c r="AD483" s="237"/>
      <c r="AE483" s="237"/>
      <c r="AF483" s="237"/>
      <c r="AG483" s="237"/>
      <c r="AH483" s="237"/>
      <c r="AI483" s="308"/>
      <c r="AJ483" s="308"/>
      <c r="AK483" s="308"/>
      <c r="AL483" s="308"/>
      <c r="AM483" s="308"/>
      <c r="AN483" s="98"/>
    </row>
    <row r="484" ht="14.25" customHeight="1">
      <c r="A484" s="179"/>
      <c r="B484" s="98"/>
      <c r="C484" s="98"/>
      <c r="D484" s="98"/>
      <c r="E484" s="98"/>
      <c r="F484" s="235"/>
      <c r="G484" s="235"/>
      <c r="H484" s="236"/>
      <c r="I484" s="236"/>
      <c r="J484" s="236"/>
      <c r="K484" s="236"/>
      <c r="L484" s="236"/>
      <c r="M484" s="236"/>
      <c r="N484" s="236"/>
      <c r="O484" s="236"/>
      <c r="P484" s="236"/>
      <c r="Q484" s="236"/>
      <c r="R484" s="236"/>
      <c r="S484" s="236"/>
      <c r="T484" s="236"/>
      <c r="U484" s="236"/>
      <c r="V484" s="236"/>
      <c r="W484" s="237"/>
      <c r="X484" s="237"/>
      <c r="Y484" s="237"/>
      <c r="Z484" s="237"/>
      <c r="AA484" s="237"/>
      <c r="AB484" s="237"/>
      <c r="AC484" s="237"/>
      <c r="AD484" s="237"/>
      <c r="AE484" s="237"/>
      <c r="AF484" s="237"/>
      <c r="AG484" s="237"/>
      <c r="AH484" s="237"/>
      <c r="AI484" s="308"/>
      <c r="AJ484" s="308"/>
      <c r="AK484" s="308"/>
      <c r="AL484" s="308"/>
      <c r="AM484" s="308"/>
      <c r="AN484" s="98"/>
    </row>
    <row r="485" ht="14.25" customHeight="1">
      <c r="A485" s="179"/>
      <c r="B485" s="98"/>
      <c r="C485" s="98"/>
      <c r="D485" s="98"/>
      <c r="E485" s="98"/>
      <c r="F485" s="235"/>
      <c r="G485" s="235"/>
      <c r="H485" s="236"/>
      <c r="I485" s="236"/>
      <c r="J485" s="236"/>
      <c r="K485" s="236"/>
      <c r="L485" s="236"/>
      <c r="M485" s="236"/>
      <c r="N485" s="236"/>
      <c r="O485" s="236"/>
      <c r="P485" s="236"/>
      <c r="Q485" s="236"/>
      <c r="R485" s="236"/>
      <c r="S485" s="236"/>
      <c r="T485" s="236"/>
      <c r="U485" s="236"/>
      <c r="V485" s="236"/>
      <c r="W485" s="237"/>
      <c r="X485" s="237"/>
      <c r="Y485" s="237"/>
      <c r="Z485" s="237"/>
      <c r="AA485" s="237"/>
      <c r="AB485" s="237"/>
      <c r="AC485" s="237"/>
      <c r="AD485" s="237"/>
      <c r="AE485" s="237"/>
      <c r="AF485" s="237"/>
      <c r="AG485" s="237"/>
      <c r="AH485" s="237"/>
      <c r="AI485" s="308"/>
      <c r="AJ485" s="308"/>
      <c r="AK485" s="308"/>
      <c r="AL485" s="308"/>
      <c r="AM485" s="308"/>
      <c r="AN485" s="98"/>
    </row>
    <row r="486" ht="14.25" customHeight="1">
      <c r="A486" s="179"/>
      <c r="B486" s="98"/>
      <c r="C486" s="98"/>
      <c r="D486" s="98"/>
      <c r="E486" s="98"/>
      <c r="F486" s="235"/>
      <c r="G486" s="235"/>
      <c r="H486" s="236"/>
      <c r="I486" s="236"/>
      <c r="J486" s="236"/>
      <c r="K486" s="236"/>
      <c r="L486" s="236"/>
      <c r="M486" s="236"/>
      <c r="N486" s="236"/>
      <c r="O486" s="236"/>
      <c r="P486" s="236"/>
      <c r="Q486" s="236"/>
      <c r="R486" s="236"/>
      <c r="S486" s="236"/>
      <c r="T486" s="236"/>
      <c r="U486" s="236"/>
      <c r="V486" s="236"/>
      <c r="W486" s="237"/>
      <c r="X486" s="237"/>
      <c r="Y486" s="237"/>
      <c r="Z486" s="237"/>
      <c r="AA486" s="237"/>
      <c r="AB486" s="237"/>
      <c r="AC486" s="237"/>
      <c r="AD486" s="237"/>
      <c r="AE486" s="237"/>
      <c r="AF486" s="237"/>
      <c r="AG486" s="237"/>
      <c r="AH486" s="237"/>
      <c r="AI486" s="308"/>
      <c r="AJ486" s="308"/>
      <c r="AK486" s="308"/>
      <c r="AL486" s="308"/>
      <c r="AM486" s="308"/>
      <c r="AN486" s="98"/>
    </row>
    <row r="487" ht="14.25" customHeight="1">
      <c r="A487" s="179"/>
      <c r="B487" s="98"/>
      <c r="C487" s="98"/>
      <c r="D487" s="98"/>
      <c r="E487" s="98"/>
      <c r="F487" s="235"/>
      <c r="G487" s="235"/>
      <c r="H487" s="236"/>
      <c r="I487" s="236"/>
      <c r="J487" s="236"/>
      <c r="K487" s="236"/>
      <c r="L487" s="236"/>
      <c r="M487" s="236"/>
      <c r="N487" s="236"/>
      <c r="O487" s="236"/>
      <c r="P487" s="236"/>
      <c r="Q487" s="236"/>
      <c r="R487" s="236"/>
      <c r="S487" s="236"/>
      <c r="T487" s="236"/>
      <c r="U487" s="236"/>
      <c r="V487" s="236"/>
      <c r="W487" s="237"/>
      <c r="X487" s="237"/>
      <c r="Y487" s="237"/>
      <c r="Z487" s="237"/>
      <c r="AA487" s="237"/>
      <c r="AB487" s="237"/>
      <c r="AC487" s="237"/>
      <c r="AD487" s="237"/>
      <c r="AE487" s="237"/>
      <c r="AF487" s="237"/>
      <c r="AG487" s="237"/>
      <c r="AH487" s="237"/>
      <c r="AI487" s="308"/>
      <c r="AJ487" s="308"/>
      <c r="AK487" s="308"/>
      <c r="AL487" s="308"/>
      <c r="AM487" s="308"/>
      <c r="AN487" s="98"/>
    </row>
    <row r="488" ht="14.25" customHeight="1">
      <c r="A488" s="179"/>
      <c r="B488" s="98"/>
      <c r="C488" s="98"/>
      <c r="D488" s="98"/>
      <c r="E488" s="98"/>
      <c r="F488" s="235"/>
      <c r="G488" s="235"/>
      <c r="H488" s="236"/>
      <c r="I488" s="236"/>
      <c r="J488" s="236"/>
      <c r="K488" s="236"/>
      <c r="L488" s="236"/>
      <c r="M488" s="236"/>
      <c r="N488" s="236"/>
      <c r="O488" s="236"/>
      <c r="P488" s="236"/>
      <c r="Q488" s="236"/>
      <c r="R488" s="236"/>
      <c r="S488" s="236"/>
      <c r="T488" s="236"/>
      <c r="U488" s="236"/>
      <c r="V488" s="236"/>
      <c r="W488" s="237"/>
      <c r="X488" s="237"/>
      <c r="Y488" s="237"/>
      <c r="Z488" s="237"/>
      <c r="AA488" s="237"/>
      <c r="AB488" s="237"/>
      <c r="AC488" s="237"/>
      <c r="AD488" s="237"/>
      <c r="AE488" s="237"/>
      <c r="AF488" s="237"/>
      <c r="AG488" s="237"/>
      <c r="AH488" s="237"/>
      <c r="AI488" s="308"/>
      <c r="AJ488" s="308"/>
      <c r="AK488" s="308"/>
      <c r="AL488" s="308"/>
      <c r="AM488" s="308"/>
      <c r="AN488" s="98"/>
    </row>
    <row r="489" ht="14.25" customHeight="1">
      <c r="A489" s="179"/>
      <c r="B489" s="98"/>
      <c r="C489" s="98"/>
      <c r="D489" s="98"/>
      <c r="E489" s="98"/>
      <c r="F489" s="235"/>
      <c r="G489" s="235"/>
      <c r="H489" s="236"/>
      <c r="I489" s="236"/>
      <c r="J489" s="236"/>
      <c r="K489" s="236"/>
      <c r="L489" s="236"/>
      <c r="M489" s="236"/>
      <c r="N489" s="236"/>
      <c r="O489" s="236"/>
      <c r="P489" s="236"/>
      <c r="Q489" s="236"/>
      <c r="R489" s="236"/>
      <c r="S489" s="236"/>
      <c r="T489" s="236"/>
      <c r="U489" s="236"/>
      <c r="V489" s="236"/>
      <c r="W489" s="237"/>
      <c r="X489" s="237"/>
      <c r="Y489" s="237"/>
      <c r="Z489" s="237"/>
      <c r="AA489" s="237"/>
      <c r="AB489" s="237"/>
      <c r="AC489" s="237"/>
      <c r="AD489" s="237"/>
      <c r="AE489" s="237"/>
      <c r="AF489" s="237"/>
      <c r="AG489" s="237"/>
      <c r="AH489" s="237"/>
      <c r="AI489" s="308"/>
      <c r="AJ489" s="308"/>
      <c r="AK489" s="308"/>
      <c r="AL489" s="308"/>
      <c r="AM489" s="308"/>
      <c r="AN489" s="98"/>
    </row>
    <row r="490" ht="14.25" customHeight="1">
      <c r="A490" s="179"/>
      <c r="B490" s="98"/>
      <c r="C490" s="98"/>
      <c r="D490" s="98"/>
      <c r="E490" s="98"/>
      <c r="F490" s="235"/>
      <c r="G490" s="235"/>
      <c r="H490" s="236"/>
      <c r="I490" s="236"/>
      <c r="J490" s="236"/>
      <c r="K490" s="236"/>
      <c r="L490" s="236"/>
      <c r="M490" s="236"/>
      <c r="N490" s="236"/>
      <c r="O490" s="236"/>
      <c r="P490" s="236"/>
      <c r="Q490" s="236"/>
      <c r="R490" s="236"/>
      <c r="S490" s="236"/>
      <c r="T490" s="236"/>
      <c r="U490" s="236"/>
      <c r="V490" s="236"/>
      <c r="W490" s="237"/>
      <c r="X490" s="237"/>
      <c r="Y490" s="237"/>
      <c r="Z490" s="237"/>
      <c r="AA490" s="237"/>
      <c r="AB490" s="237"/>
      <c r="AC490" s="237"/>
      <c r="AD490" s="237"/>
      <c r="AE490" s="237"/>
      <c r="AF490" s="237"/>
      <c r="AG490" s="237"/>
      <c r="AH490" s="237"/>
      <c r="AI490" s="308"/>
      <c r="AJ490" s="308"/>
      <c r="AK490" s="308"/>
      <c r="AL490" s="308"/>
      <c r="AM490" s="308"/>
      <c r="AN490" s="98"/>
    </row>
    <row r="491" ht="14.25" customHeight="1">
      <c r="A491" s="179"/>
      <c r="B491" s="98"/>
      <c r="C491" s="98"/>
      <c r="D491" s="98"/>
      <c r="E491" s="98"/>
      <c r="F491" s="235"/>
      <c r="G491" s="235"/>
      <c r="H491" s="236"/>
      <c r="I491" s="236"/>
      <c r="J491" s="236"/>
      <c r="K491" s="236"/>
      <c r="L491" s="236"/>
      <c r="M491" s="236"/>
      <c r="N491" s="236"/>
      <c r="O491" s="236"/>
      <c r="P491" s="236"/>
      <c r="Q491" s="236"/>
      <c r="R491" s="236"/>
      <c r="S491" s="236"/>
      <c r="T491" s="236"/>
      <c r="U491" s="236"/>
      <c r="V491" s="236"/>
      <c r="W491" s="237"/>
      <c r="X491" s="237"/>
      <c r="Y491" s="237"/>
      <c r="Z491" s="237"/>
      <c r="AA491" s="237"/>
      <c r="AB491" s="237"/>
      <c r="AC491" s="237"/>
      <c r="AD491" s="237"/>
      <c r="AE491" s="237"/>
      <c r="AF491" s="237"/>
      <c r="AG491" s="237"/>
      <c r="AH491" s="237"/>
      <c r="AI491" s="308"/>
      <c r="AJ491" s="308"/>
      <c r="AK491" s="308"/>
      <c r="AL491" s="308"/>
      <c r="AM491" s="308"/>
      <c r="AN491" s="98"/>
    </row>
    <row r="492" ht="14.25" customHeight="1">
      <c r="A492" s="179"/>
      <c r="B492" s="98"/>
      <c r="C492" s="98"/>
      <c r="D492" s="98"/>
      <c r="E492" s="98"/>
      <c r="F492" s="235"/>
      <c r="G492" s="235"/>
      <c r="H492" s="236"/>
      <c r="I492" s="236"/>
      <c r="J492" s="236"/>
      <c r="K492" s="236"/>
      <c r="L492" s="236"/>
      <c r="M492" s="236"/>
      <c r="N492" s="236"/>
      <c r="O492" s="236"/>
      <c r="P492" s="236"/>
      <c r="Q492" s="236"/>
      <c r="R492" s="236"/>
      <c r="S492" s="236"/>
      <c r="T492" s="236"/>
      <c r="U492" s="236"/>
      <c r="V492" s="236"/>
      <c r="W492" s="237"/>
      <c r="X492" s="237"/>
      <c r="Y492" s="237"/>
      <c r="Z492" s="237"/>
      <c r="AA492" s="237"/>
      <c r="AB492" s="237"/>
      <c r="AC492" s="237"/>
      <c r="AD492" s="237"/>
      <c r="AE492" s="237"/>
      <c r="AF492" s="237"/>
      <c r="AG492" s="237"/>
      <c r="AH492" s="237"/>
      <c r="AI492" s="308"/>
      <c r="AJ492" s="308"/>
      <c r="AK492" s="308"/>
      <c r="AL492" s="308"/>
      <c r="AM492" s="308"/>
      <c r="AN492" s="98"/>
    </row>
    <row r="493" ht="14.25" customHeight="1">
      <c r="A493" s="179"/>
      <c r="B493" s="98"/>
      <c r="C493" s="98"/>
      <c r="D493" s="98"/>
      <c r="E493" s="98"/>
      <c r="F493" s="235"/>
      <c r="G493" s="235"/>
      <c r="H493" s="236"/>
      <c r="I493" s="236"/>
      <c r="J493" s="236"/>
      <c r="K493" s="236"/>
      <c r="L493" s="236"/>
      <c r="M493" s="236"/>
      <c r="N493" s="236"/>
      <c r="O493" s="236"/>
      <c r="P493" s="236"/>
      <c r="Q493" s="236"/>
      <c r="R493" s="236"/>
      <c r="S493" s="236"/>
      <c r="T493" s="236"/>
      <c r="U493" s="236"/>
      <c r="V493" s="236"/>
      <c r="W493" s="237"/>
      <c r="X493" s="237"/>
      <c r="Y493" s="237"/>
      <c r="Z493" s="237"/>
      <c r="AA493" s="237"/>
      <c r="AB493" s="237"/>
      <c r="AC493" s="237"/>
      <c r="AD493" s="237"/>
      <c r="AE493" s="237"/>
      <c r="AF493" s="237"/>
      <c r="AG493" s="237"/>
      <c r="AH493" s="237"/>
      <c r="AI493" s="308"/>
      <c r="AJ493" s="308"/>
      <c r="AK493" s="308"/>
      <c r="AL493" s="308"/>
      <c r="AM493" s="308"/>
      <c r="AN493" s="98"/>
    </row>
    <row r="494" ht="14.25" customHeight="1">
      <c r="A494" s="179"/>
      <c r="B494" s="98"/>
      <c r="C494" s="98"/>
      <c r="D494" s="98"/>
      <c r="E494" s="98"/>
      <c r="F494" s="235"/>
      <c r="G494" s="235"/>
      <c r="H494" s="236"/>
      <c r="I494" s="236"/>
      <c r="J494" s="236"/>
      <c r="K494" s="236"/>
      <c r="L494" s="236"/>
      <c r="M494" s="236"/>
      <c r="N494" s="236"/>
      <c r="O494" s="236"/>
      <c r="P494" s="236"/>
      <c r="Q494" s="236"/>
      <c r="R494" s="236"/>
      <c r="S494" s="236"/>
      <c r="T494" s="236"/>
      <c r="U494" s="236"/>
      <c r="V494" s="236"/>
      <c r="W494" s="237"/>
      <c r="X494" s="237"/>
      <c r="Y494" s="237"/>
      <c r="Z494" s="237"/>
      <c r="AA494" s="237"/>
      <c r="AB494" s="237"/>
      <c r="AC494" s="237"/>
      <c r="AD494" s="237"/>
      <c r="AE494" s="237"/>
      <c r="AF494" s="237"/>
      <c r="AG494" s="237"/>
      <c r="AH494" s="237"/>
      <c r="AI494" s="308"/>
      <c r="AJ494" s="308"/>
      <c r="AK494" s="308"/>
      <c r="AL494" s="308"/>
      <c r="AM494" s="308"/>
      <c r="AN494" s="98"/>
    </row>
    <row r="495" ht="14.25" customHeight="1">
      <c r="A495" s="179"/>
      <c r="B495" s="98"/>
      <c r="C495" s="98"/>
      <c r="D495" s="98"/>
      <c r="E495" s="98"/>
      <c r="F495" s="235"/>
      <c r="G495" s="235"/>
      <c r="H495" s="236"/>
      <c r="I495" s="236"/>
      <c r="J495" s="236"/>
      <c r="K495" s="236"/>
      <c r="L495" s="236"/>
      <c r="M495" s="236"/>
      <c r="N495" s="236"/>
      <c r="O495" s="236"/>
      <c r="P495" s="236"/>
      <c r="Q495" s="236"/>
      <c r="R495" s="236"/>
      <c r="S495" s="236"/>
      <c r="T495" s="236"/>
      <c r="U495" s="236"/>
      <c r="V495" s="236"/>
      <c r="W495" s="237"/>
      <c r="X495" s="237"/>
      <c r="Y495" s="237"/>
      <c r="Z495" s="237"/>
      <c r="AA495" s="237"/>
      <c r="AB495" s="237"/>
      <c r="AC495" s="237"/>
      <c r="AD495" s="237"/>
      <c r="AE495" s="237"/>
      <c r="AF495" s="237"/>
      <c r="AG495" s="237"/>
      <c r="AH495" s="237"/>
      <c r="AI495" s="308"/>
      <c r="AJ495" s="308"/>
      <c r="AK495" s="308"/>
      <c r="AL495" s="308"/>
      <c r="AM495" s="308"/>
      <c r="AN495" s="98"/>
    </row>
    <row r="496" ht="14.25" customHeight="1">
      <c r="A496" s="179"/>
      <c r="B496" s="98"/>
      <c r="C496" s="98"/>
      <c r="D496" s="98"/>
      <c r="E496" s="98"/>
      <c r="F496" s="235"/>
      <c r="G496" s="235"/>
      <c r="H496" s="236"/>
      <c r="I496" s="236"/>
      <c r="J496" s="236"/>
      <c r="K496" s="236"/>
      <c r="L496" s="236"/>
      <c r="M496" s="236"/>
      <c r="N496" s="236"/>
      <c r="O496" s="236"/>
      <c r="P496" s="236"/>
      <c r="Q496" s="236"/>
      <c r="R496" s="236"/>
      <c r="S496" s="236"/>
      <c r="T496" s="236"/>
      <c r="U496" s="236"/>
      <c r="V496" s="236"/>
      <c r="W496" s="237"/>
      <c r="X496" s="237"/>
      <c r="Y496" s="237"/>
      <c r="Z496" s="237"/>
      <c r="AA496" s="237"/>
      <c r="AB496" s="237"/>
      <c r="AC496" s="237"/>
      <c r="AD496" s="237"/>
      <c r="AE496" s="237"/>
      <c r="AF496" s="237"/>
      <c r="AG496" s="237"/>
      <c r="AH496" s="237"/>
      <c r="AI496" s="308"/>
      <c r="AJ496" s="308"/>
      <c r="AK496" s="308"/>
      <c r="AL496" s="308"/>
      <c r="AM496" s="308"/>
      <c r="AN496" s="98"/>
    </row>
    <row r="497" ht="14.25" customHeight="1">
      <c r="A497" s="179"/>
      <c r="B497" s="98"/>
      <c r="C497" s="98"/>
      <c r="D497" s="98"/>
      <c r="E497" s="98"/>
      <c r="F497" s="235"/>
      <c r="G497" s="235"/>
      <c r="H497" s="236"/>
      <c r="I497" s="236"/>
      <c r="J497" s="236"/>
      <c r="K497" s="236"/>
      <c r="L497" s="236"/>
      <c r="M497" s="236"/>
      <c r="N497" s="236"/>
      <c r="O497" s="236"/>
      <c r="P497" s="236"/>
      <c r="Q497" s="236"/>
      <c r="R497" s="236"/>
      <c r="S497" s="236"/>
      <c r="T497" s="236"/>
      <c r="U497" s="236"/>
      <c r="V497" s="236"/>
      <c r="W497" s="237"/>
      <c r="X497" s="237"/>
      <c r="Y497" s="237"/>
      <c r="Z497" s="237"/>
      <c r="AA497" s="237"/>
      <c r="AB497" s="237"/>
      <c r="AC497" s="237"/>
      <c r="AD497" s="237"/>
      <c r="AE497" s="237"/>
      <c r="AF497" s="237"/>
      <c r="AG497" s="237"/>
      <c r="AH497" s="237"/>
      <c r="AI497" s="308"/>
      <c r="AJ497" s="308"/>
      <c r="AK497" s="308"/>
      <c r="AL497" s="308"/>
      <c r="AM497" s="308"/>
      <c r="AN497" s="98"/>
    </row>
    <row r="498" ht="14.25" customHeight="1">
      <c r="A498" s="179"/>
      <c r="B498" s="98"/>
      <c r="C498" s="98"/>
      <c r="D498" s="98"/>
      <c r="E498" s="98"/>
      <c r="F498" s="235"/>
      <c r="G498" s="235"/>
      <c r="H498" s="236"/>
      <c r="I498" s="236"/>
      <c r="J498" s="236"/>
      <c r="K498" s="236"/>
      <c r="L498" s="236"/>
      <c r="M498" s="236"/>
      <c r="N498" s="236"/>
      <c r="O498" s="236"/>
      <c r="P498" s="236"/>
      <c r="Q498" s="236"/>
      <c r="R498" s="236"/>
      <c r="S498" s="236"/>
      <c r="T498" s="236"/>
      <c r="U498" s="236"/>
      <c r="V498" s="236"/>
      <c r="W498" s="237"/>
      <c r="X498" s="237"/>
      <c r="Y498" s="237"/>
      <c r="Z498" s="237"/>
      <c r="AA498" s="237"/>
      <c r="AB498" s="237"/>
      <c r="AC498" s="237"/>
      <c r="AD498" s="237"/>
      <c r="AE498" s="237"/>
      <c r="AF498" s="237"/>
      <c r="AG498" s="237"/>
      <c r="AH498" s="237"/>
      <c r="AI498" s="308"/>
      <c r="AJ498" s="308"/>
      <c r="AK498" s="308"/>
      <c r="AL498" s="308"/>
      <c r="AM498" s="308"/>
      <c r="AN498" s="98"/>
    </row>
    <row r="499" ht="14.25" customHeight="1">
      <c r="A499" s="179"/>
      <c r="B499" s="98"/>
      <c r="C499" s="98"/>
      <c r="D499" s="98"/>
      <c r="E499" s="98"/>
      <c r="F499" s="235"/>
      <c r="G499" s="235"/>
      <c r="H499" s="236"/>
      <c r="I499" s="236"/>
      <c r="J499" s="236"/>
      <c r="K499" s="236"/>
      <c r="L499" s="236"/>
      <c r="M499" s="236"/>
      <c r="N499" s="236"/>
      <c r="O499" s="236"/>
      <c r="P499" s="236"/>
      <c r="Q499" s="236"/>
      <c r="R499" s="236"/>
      <c r="S499" s="236"/>
      <c r="T499" s="236"/>
      <c r="U499" s="236"/>
      <c r="V499" s="236"/>
      <c r="W499" s="237"/>
      <c r="X499" s="237"/>
      <c r="Y499" s="237"/>
      <c r="Z499" s="237"/>
      <c r="AA499" s="237"/>
      <c r="AB499" s="237"/>
      <c r="AC499" s="237"/>
      <c r="AD499" s="237"/>
      <c r="AE499" s="237"/>
      <c r="AF499" s="237"/>
      <c r="AG499" s="237"/>
      <c r="AH499" s="237"/>
      <c r="AI499" s="308"/>
      <c r="AJ499" s="308"/>
      <c r="AK499" s="308"/>
      <c r="AL499" s="308"/>
      <c r="AM499" s="308"/>
      <c r="AN499" s="98"/>
    </row>
    <row r="500" ht="14.25" customHeight="1">
      <c r="A500" s="179"/>
      <c r="B500" s="98"/>
      <c r="C500" s="98"/>
      <c r="D500" s="98"/>
      <c r="E500" s="98"/>
      <c r="F500" s="235"/>
      <c r="G500" s="235"/>
      <c r="H500" s="236"/>
      <c r="I500" s="236"/>
      <c r="J500" s="236"/>
      <c r="K500" s="236"/>
      <c r="L500" s="236"/>
      <c r="M500" s="236"/>
      <c r="N500" s="236"/>
      <c r="O500" s="236"/>
      <c r="P500" s="236"/>
      <c r="Q500" s="236"/>
      <c r="R500" s="236"/>
      <c r="S500" s="236"/>
      <c r="T500" s="236"/>
      <c r="U500" s="236"/>
      <c r="V500" s="236"/>
      <c r="W500" s="237"/>
      <c r="X500" s="237"/>
      <c r="Y500" s="237"/>
      <c r="Z500" s="237"/>
      <c r="AA500" s="237"/>
      <c r="AB500" s="237"/>
      <c r="AC500" s="237"/>
      <c r="AD500" s="237"/>
      <c r="AE500" s="237"/>
      <c r="AF500" s="237"/>
      <c r="AG500" s="237"/>
      <c r="AH500" s="237"/>
      <c r="AI500" s="308"/>
      <c r="AJ500" s="308"/>
      <c r="AK500" s="308"/>
      <c r="AL500" s="308"/>
      <c r="AM500" s="308"/>
      <c r="AN500" s="98"/>
    </row>
    <row r="501" ht="14.25" customHeight="1">
      <c r="A501" s="179"/>
      <c r="B501" s="98"/>
      <c r="C501" s="98"/>
      <c r="D501" s="98"/>
      <c r="E501" s="98"/>
      <c r="F501" s="235"/>
      <c r="G501" s="235"/>
      <c r="H501" s="236"/>
      <c r="I501" s="236"/>
      <c r="J501" s="236"/>
      <c r="K501" s="236"/>
      <c r="L501" s="236"/>
      <c r="M501" s="236"/>
      <c r="N501" s="236"/>
      <c r="O501" s="236"/>
      <c r="P501" s="236"/>
      <c r="Q501" s="236"/>
      <c r="R501" s="236"/>
      <c r="S501" s="236"/>
      <c r="T501" s="236"/>
      <c r="U501" s="236"/>
      <c r="V501" s="236"/>
      <c r="W501" s="237"/>
      <c r="X501" s="237"/>
      <c r="Y501" s="237"/>
      <c r="Z501" s="237"/>
      <c r="AA501" s="237"/>
      <c r="AB501" s="237"/>
      <c r="AC501" s="237"/>
      <c r="AD501" s="237"/>
      <c r="AE501" s="237"/>
      <c r="AF501" s="237"/>
      <c r="AG501" s="237"/>
      <c r="AH501" s="237"/>
      <c r="AI501" s="308"/>
      <c r="AJ501" s="308"/>
      <c r="AK501" s="308"/>
      <c r="AL501" s="308"/>
      <c r="AM501" s="308"/>
      <c r="AN501" s="98"/>
    </row>
    <row r="502" ht="14.25" customHeight="1">
      <c r="A502" s="179"/>
      <c r="B502" s="98"/>
      <c r="C502" s="98"/>
      <c r="D502" s="98"/>
      <c r="E502" s="98"/>
      <c r="F502" s="235"/>
      <c r="G502" s="235"/>
      <c r="H502" s="236"/>
      <c r="I502" s="236"/>
      <c r="J502" s="236"/>
      <c r="K502" s="236"/>
      <c r="L502" s="236"/>
      <c r="M502" s="236"/>
      <c r="N502" s="236"/>
      <c r="O502" s="236"/>
      <c r="P502" s="236"/>
      <c r="Q502" s="236"/>
      <c r="R502" s="236"/>
      <c r="S502" s="236"/>
      <c r="T502" s="236"/>
      <c r="U502" s="236"/>
      <c r="V502" s="236"/>
      <c r="W502" s="237"/>
      <c r="X502" s="237"/>
      <c r="Y502" s="237"/>
      <c r="Z502" s="237"/>
      <c r="AA502" s="237"/>
      <c r="AB502" s="237"/>
      <c r="AC502" s="237"/>
      <c r="AD502" s="237"/>
      <c r="AE502" s="237"/>
      <c r="AF502" s="237"/>
      <c r="AG502" s="237"/>
      <c r="AH502" s="237"/>
      <c r="AI502" s="308"/>
      <c r="AJ502" s="308"/>
      <c r="AK502" s="308"/>
      <c r="AL502" s="308"/>
      <c r="AM502" s="308"/>
      <c r="AN502" s="98"/>
    </row>
    <row r="503" ht="14.25" customHeight="1">
      <c r="A503" s="179"/>
      <c r="B503" s="98"/>
      <c r="C503" s="98"/>
      <c r="D503" s="98"/>
      <c r="E503" s="98"/>
      <c r="F503" s="235"/>
      <c r="G503" s="235"/>
      <c r="H503" s="236"/>
      <c r="I503" s="236"/>
      <c r="J503" s="236"/>
      <c r="K503" s="236"/>
      <c r="L503" s="236"/>
      <c r="M503" s="236"/>
      <c r="N503" s="236"/>
      <c r="O503" s="236"/>
      <c r="P503" s="236"/>
      <c r="Q503" s="236"/>
      <c r="R503" s="236"/>
      <c r="S503" s="236"/>
      <c r="T503" s="236"/>
      <c r="U503" s="236"/>
      <c r="V503" s="236"/>
      <c r="W503" s="237"/>
      <c r="X503" s="237"/>
      <c r="Y503" s="237"/>
      <c r="Z503" s="237"/>
      <c r="AA503" s="237"/>
      <c r="AB503" s="237"/>
      <c r="AC503" s="237"/>
      <c r="AD503" s="237"/>
      <c r="AE503" s="237"/>
      <c r="AF503" s="237"/>
      <c r="AG503" s="237"/>
      <c r="AH503" s="237"/>
      <c r="AI503" s="308"/>
      <c r="AJ503" s="308"/>
      <c r="AK503" s="308"/>
      <c r="AL503" s="308"/>
      <c r="AM503" s="308"/>
      <c r="AN503" s="98"/>
    </row>
    <row r="504" ht="14.25" customHeight="1">
      <c r="A504" s="179"/>
      <c r="B504" s="98"/>
      <c r="C504" s="98"/>
      <c r="D504" s="98"/>
      <c r="E504" s="98"/>
      <c r="F504" s="235"/>
      <c r="G504" s="235"/>
      <c r="H504" s="236"/>
      <c r="I504" s="236"/>
      <c r="J504" s="236"/>
      <c r="K504" s="236"/>
      <c r="L504" s="236"/>
      <c r="M504" s="236"/>
      <c r="N504" s="236"/>
      <c r="O504" s="236"/>
      <c r="P504" s="236"/>
      <c r="Q504" s="236"/>
      <c r="R504" s="236"/>
      <c r="S504" s="236"/>
      <c r="T504" s="236"/>
      <c r="U504" s="236"/>
      <c r="V504" s="236"/>
      <c r="W504" s="237"/>
      <c r="X504" s="237"/>
      <c r="Y504" s="237"/>
      <c r="Z504" s="237"/>
      <c r="AA504" s="237"/>
      <c r="AB504" s="237"/>
      <c r="AC504" s="237"/>
      <c r="AD504" s="237"/>
      <c r="AE504" s="237"/>
      <c r="AF504" s="237"/>
      <c r="AG504" s="237"/>
      <c r="AH504" s="237"/>
      <c r="AI504" s="308"/>
      <c r="AJ504" s="308"/>
      <c r="AK504" s="308"/>
      <c r="AL504" s="308"/>
      <c r="AM504" s="308"/>
      <c r="AN504" s="98"/>
    </row>
    <row r="505" ht="14.25" customHeight="1">
      <c r="A505" s="179"/>
      <c r="B505" s="98"/>
      <c r="C505" s="98"/>
      <c r="D505" s="98"/>
      <c r="E505" s="98"/>
      <c r="F505" s="235"/>
      <c r="G505" s="235"/>
      <c r="H505" s="236"/>
      <c r="I505" s="236"/>
      <c r="J505" s="236"/>
      <c r="K505" s="236"/>
      <c r="L505" s="236"/>
      <c r="M505" s="236"/>
      <c r="N505" s="236"/>
      <c r="O505" s="236"/>
      <c r="P505" s="236"/>
      <c r="Q505" s="236"/>
      <c r="R505" s="236"/>
      <c r="S505" s="236"/>
      <c r="T505" s="236"/>
      <c r="U505" s="236"/>
      <c r="V505" s="236"/>
      <c r="W505" s="237"/>
      <c r="X505" s="237"/>
      <c r="Y505" s="237"/>
      <c r="Z505" s="237"/>
      <c r="AA505" s="237"/>
      <c r="AB505" s="237"/>
      <c r="AC505" s="237"/>
      <c r="AD505" s="237"/>
      <c r="AE505" s="237"/>
      <c r="AF505" s="237"/>
      <c r="AG505" s="237"/>
      <c r="AH505" s="237"/>
      <c r="AI505" s="308"/>
      <c r="AJ505" s="308"/>
      <c r="AK505" s="308"/>
      <c r="AL505" s="308"/>
      <c r="AM505" s="308"/>
      <c r="AN505" s="98"/>
    </row>
    <row r="506" ht="14.25" customHeight="1">
      <c r="A506" s="179"/>
      <c r="B506" s="98"/>
      <c r="C506" s="98"/>
      <c r="D506" s="98"/>
      <c r="E506" s="98"/>
      <c r="F506" s="235"/>
      <c r="G506" s="235"/>
      <c r="H506" s="236"/>
      <c r="I506" s="236"/>
      <c r="J506" s="236"/>
      <c r="K506" s="236"/>
      <c r="L506" s="236"/>
      <c r="M506" s="236"/>
      <c r="N506" s="236"/>
      <c r="O506" s="236"/>
      <c r="P506" s="236"/>
      <c r="Q506" s="236"/>
      <c r="R506" s="236"/>
      <c r="S506" s="236"/>
      <c r="T506" s="236"/>
      <c r="U506" s="236"/>
      <c r="V506" s="236"/>
      <c r="W506" s="237"/>
      <c r="X506" s="237"/>
      <c r="Y506" s="237"/>
      <c r="Z506" s="237"/>
      <c r="AA506" s="237"/>
      <c r="AB506" s="237"/>
      <c r="AC506" s="237"/>
      <c r="AD506" s="237"/>
      <c r="AE506" s="237"/>
      <c r="AF506" s="237"/>
      <c r="AG506" s="237"/>
      <c r="AH506" s="237"/>
      <c r="AI506" s="308"/>
      <c r="AJ506" s="308"/>
      <c r="AK506" s="308"/>
      <c r="AL506" s="308"/>
      <c r="AM506" s="308"/>
      <c r="AN506" s="98"/>
    </row>
    <row r="507" ht="14.25" customHeight="1">
      <c r="A507" s="179"/>
      <c r="B507" s="98"/>
      <c r="C507" s="98"/>
      <c r="D507" s="98"/>
      <c r="E507" s="98"/>
      <c r="F507" s="235"/>
      <c r="G507" s="235"/>
      <c r="H507" s="236"/>
      <c r="I507" s="236"/>
      <c r="J507" s="236"/>
      <c r="K507" s="236"/>
      <c r="L507" s="236"/>
      <c r="M507" s="236"/>
      <c r="N507" s="236"/>
      <c r="O507" s="236"/>
      <c r="P507" s="236"/>
      <c r="Q507" s="236"/>
      <c r="R507" s="236"/>
      <c r="S507" s="236"/>
      <c r="T507" s="236"/>
      <c r="U507" s="236"/>
      <c r="V507" s="236"/>
      <c r="W507" s="237"/>
      <c r="X507" s="237"/>
      <c r="Y507" s="237"/>
      <c r="Z507" s="237"/>
      <c r="AA507" s="237"/>
      <c r="AB507" s="237"/>
      <c r="AC507" s="237"/>
      <c r="AD507" s="237"/>
      <c r="AE507" s="237"/>
      <c r="AF507" s="237"/>
      <c r="AG507" s="237"/>
      <c r="AH507" s="237"/>
      <c r="AI507" s="308"/>
      <c r="AJ507" s="308"/>
      <c r="AK507" s="308"/>
      <c r="AL507" s="308"/>
      <c r="AM507" s="308"/>
      <c r="AN507" s="98"/>
    </row>
    <row r="508" ht="14.25" customHeight="1">
      <c r="A508" s="179"/>
      <c r="B508" s="98"/>
      <c r="C508" s="98"/>
      <c r="D508" s="98"/>
      <c r="E508" s="98"/>
      <c r="F508" s="235"/>
      <c r="G508" s="235"/>
      <c r="H508" s="236"/>
      <c r="I508" s="236"/>
      <c r="J508" s="236"/>
      <c r="K508" s="236"/>
      <c r="L508" s="236"/>
      <c r="M508" s="236"/>
      <c r="N508" s="236"/>
      <c r="O508" s="236"/>
      <c r="P508" s="236"/>
      <c r="Q508" s="236"/>
      <c r="R508" s="236"/>
      <c r="S508" s="236"/>
      <c r="T508" s="236"/>
      <c r="U508" s="236"/>
      <c r="V508" s="236"/>
      <c r="W508" s="237"/>
      <c r="X508" s="237"/>
      <c r="Y508" s="237"/>
      <c r="Z508" s="237"/>
      <c r="AA508" s="237"/>
      <c r="AB508" s="237"/>
      <c r="AC508" s="237"/>
      <c r="AD508" s="237"/>
      <c r="AE508" s="237"/>
      <c r="AF508" s="237"/>
      <c r="AG508" s="237"/>
      <c r="AH508" s="237"/>
      <c r="AI508" s="308"/>
      <c r="AJ508" s="308"/>
      <c r="AK508" s="308"/>
      <c r="AL508" s="308"/>
      <c r="AM508" s="308"/>
      <c r="AN508" s="98"/>
    </row>
    <row r="509" ht="14.25" customHeight="1">
      <c r="A509" s="179"/>
      <c r="B509" s="98"/>
      <c r="C509" s="98"/>
      <c r="D509" s="98"/>
      <c r="E509" s="98"/>
      <c r="F509" s="235"/>
      <c r="G509" s="235"/>
      <c r="H509" s="236"/>
      <c r="I509" s="236"/>
      <c r="J509" s="236"/>
      <c r="K509" s="236"/>
      <c r="L509" s="236"/>
      <c r="M509" s="236"/>
      <c r="N509" s="236"/>
      <c r="O509" s="236"/>
      <c r="P509" s="236"/>
      <c r="Q509" s="236"/>
      <c r="R509" s="236"/>
      <c r="S509" s="236"/>
      <c r="T509" s="236"/>
      <c r="U509" s="236"/>
      <c r="V509" s="236"/>
      <c r="W509" s="237"/>
      <c r="X509" s="237"/>
      <c r="Y509" s="237"/>
      <c r="Z509" s="237"/>
      <c r="AA509" s="237"/>
      <c r="AB509" s="237"/>
      <c r="AC509" s="237"/>
      <c r="AD509" s="237"/>
      <c r="AE509" s="237"/>
      <c r="AF509" s="237"/>
      <c r="AG509" s="237"/>
      <c r="AH509" s="237"/>
      <c r="AI509" s="308"/>
      <c r="AJ509" s="308"/>
      <c r="AK509" s="308"/>
      <c r="AL509" s="308"/>
      <c r="AM509" s="308"/>
      <c r="AN509" s="98"/>
    </row>
    <row r="510" ht="14.25" customHeight="1">
      <c r="A510" s="179"/>
      <c r="B510" s="98"/>
      <c r="C510" s="98"/>
      <c r="D510" s="98"/>
      <c r="E510" s="98"/>
      <c r="F510" s="235"/>
      <c r="G510" s="235"/>
      <c r="H510" s="236"/>
      <c r="I510" s="236"/>
      <c r="J510" s="236"/>
      <c r="K510" s="236"/>
      <c r="L510" s="236"/>
      <c r="M510" s="236"/>
      <c r="N510" s="236"/>
      <c r="O510" s="236"/>
      <c r="P510" s="236"/>
      <c r="Q510" s="236"/>
      <c r="R510" s="236"/>
      <c r="S510" s="236"/>
      <c r="T510" s="236"/>
      <c r="U510" s="236"/>
      <c r="V510" s="236"/>
      <c r="W510" s="237"/>
      <c r="X510" s="237"/>
      <c r="Y510" s="237"/>
      <c r="Z510" s="237"/>
      <c r="AA510" s="237"/>
      <c r="AB510" s="237"/>
      <c r="AC510" s="237"/>
      <c r="AD510" s="237"/>
      <c r="AE510" s="237"/>
      <c r="AF510" s="237"/>
      <c r="AG510" s="237"/>
      <c r="AH510" s="237"/>
      <c r="AI510" s="308"/>
      <c r="AJ510" s="308"/>
      <c r="AK510" s="308"/>
      <c r="AL510" s="308"/>
      <c r="AM510" s="308"/>
      <c r="AN510" s="98"/>
    </row>
    <row r="511" ht="14.25" customHeight="1">
      <c r="A511" s="179"/>
      <c r="B511" s="98"/>
      <c r="C511" s="98"/>
      <c r="D511" s="98"/>
      <c r="E511" s="98"/>
      <c r="F511" s="235"/>
      <c r="G511" s="235"/>
      <c r="H511" s="236"/>
      <c r="I511" s="236"/>
      <c r="J511" s="236"/>
      <c r="K511" s="236"/>
      <c r="L511" s="236"/>
      <c r="M511" s="236"/>
      <c r="N511" s="236"/>
      <c r="O511" s="236"/>
      <c r="P511" s="236"/>
      <c r="Q511" s="236"/>
      <c r="R511" s="236"/>
      <c r="S511" s="236"/>
      <c r="T511" s="236"/>
      <c r="U511" s="236"/>
      <c r="V511" s="236"/>
      <c r="W511" s="237"/>
      <c r="X511" s="237"/>
      <c r="Y511" s="237"/>
      <c r="Z511" s="237"/>
      <c r="AA511" s="237"/>
      <c r="AB511" s="237"/>
      <c r="AC511" s="237"/>
      <c r="AD511" s="237"/>
      <c r="AE511" s="237"/>
      <c r="AF511" s="237"/>
      <c r="AG511" s="237"/>
      <c r="AH511" s="237"/>
      <c r="AI511" s="308"/>
      <c r="AJ511" s="308"/>
      <c r="AK511" s="308"/>
      <c r="AL511" s="308"/>
      <c r="AM511" s="308"/>
      <c r="AN511" s="98"/>
    </row>
    <row r="512" ht="14.25" customHeight="1">
      <c r="A512" s="179"/>
      <c r="B512" s="98"/>
      <c r="C512" s="98"/>
      <c r="D512" s="98"/>
      <c r="E512" s="98"/>
      <c r="F512" s="235"/>
      <c r="G512" s="235"/>
      <c r="H512" s="236"/>
      <c r="I512" s="236"/>
      <c r="J512" s="236"/>
      <c r="K512" s="236"/>
      <c r="L512" s="236"/>
      <c r="M512" s="236"/>
      <c r="N512" s="236"/>
      <c r="O512" s="236"/>
      <c r="P512" s="236"/>
      <c r="Q512" s="236"/>
      <c r="R512" s="236"/>
      <c r="S512" s="236"/>
      <c r="T512" s="236"/>
      <c r="U512" s="236"/>
      <c r="V512" s="236"/>
      <c r="W512" s="237"/>
      <c r="X512" s="237"/>
      <c r="Y512" s="237"/>
      <c r="Z512" s="237"/>
      <c r="AA512" s="237"/>
      <c r="AB512" s="237"/>
      <c r="AC512" s="237"/>
      <c r="AD512" s="237"/>
      <c r="AE512" s="237"/>
      <c r="AF512" s="237"/>
      <c r="AG512" s="237"/>
      <c r="AH512" s="237"/>
      <c r="AI512" s="308"/>
      <c r="AJ512" s="308"/>
      <c r="AK512" s="308"/>
      <c r="AL512" s="308"/>
      <c r="AM512" s="308"/>
      <c r="AN512" s="98"/>
    </row>
    <row r="513" ht="14.25" customHeight="1">
      <c r="A513" s="179"/>
      <c r="B513" s="98"/>
      <c r="C513" s="98"/>
      <c r="D513" s="98"/>
      <c r="E513" s="98"/>
      <c r="F513" s="235"/>
      <c r="G513" s="235"/>
      <c r="H513" s="236"/>
      <c r="I513" s="236"/>
      <c r="J513" s="236"/>
      <c r="K513" s="236"/>
      <c r="L513" s="236"/>
      <c r="M513" s="236"/>
      <c r="N513" s="236"/>
      <c r="O513" s="236"/>
      <c r="P513" s="236"/>
      <c r="Q513" s="236"/>
      <c r="R513" s="236"/>
      <c r="S513" s="236"/>
      <c r="T513" s="236"/>
      <c r="U513" s="236"/>
      <c r="V513" s="236"/>
      <c r="W513" s="237"/>
      <c r="X513" s="237"/>
      <c r="Y513" s="237"/>
      <c r="Z513" s="237"/>
      <c r="AA513" s="237"/>
      <c r="AB513" s="237"/>
      <c r="AC513" s="237"/>
      <c r="AD513" s="237"/>
      <c r="AE513" s="237"/>
      <c r="AF513" s="237"/>
      <c r="AG513" s="237"/>
      <c r="AH513" s="237"/>
      <c r="AI513" s="308"/>
      <c r="AJ513" s="308"/>
      <c r="AK513" s="308"/>
      <c r="AL513" s="308"/>
      <c r="AM513" s="308"/>
      <c r="AN513" s="98"/>
    </row>
    <row r="514" ht="14.25" customHeight="1">
      <c r="A514" s="179"/>
      <c r="B514" s="98"/>
      <c r="C514" s="98"/>
      <c r="D514" s="98"/>
      <c r="E514" s="98"/>
      <c r="F514" s="235"/>
      <c r="G514" s="235"/>
      <c r="H514" s="236"/>
      <c r="I514" s="236"/>
      <c r="J514" s="236"/>
      <c r="K514" s="236"/>
      <c r="L514" s="236"/>
      <c r="M514" s="236"/>
      <c r="N514" s="236"/>
      <c r="O514" s="236"/>
      <c r="P514" s="236"/>
      <c r="Q514" s="236"/>
      <c r="R514" s="236"/>
      <c r="S514" s="236"/>
      <c r="T514" s="236"/>
      <c r="U514" s="236"/>
      <c r="V514" s="236"/>
      <c r="W514" s="237"/>
      <c r="X514" s="237"/>
      <c r="Y514" s="237"/>
      <c r="Z514" s="237"/>
      <c r="AA514" s="237"/>
      <c r="AB514" s="237"/>
      <c r="AC514" s="237"/>
      <c r="AD514" s="237"/>
      <c r="AE514" s="237"/>
      <c r="AF514" s="237"/>
      <c r="AG514" s="237"/>
      <c r="AH514" s="237"/>
      <c r="AI514" s="308"/>
      <c r="AJ514" s="308"/>
      <c r="AK514" s="308"/>
      <c r="AL514" s="308"/>
      <c r="AM514" s="308"/>
      <c r="AN514" s="98"/>
    </row>
    <row r="515" ht="14.25" customHeight="1">
      <c r="A515" s="179"/>
      <c r="B515" s="98"/>
      <c r="C515" s="98"/>
      <c r="D515" s="98"/>
      <c r="E515" s="98"/>
      <c r="F515" s="235"/>
      <c r="G515" s="235"/>
      <c r="H515" s="236"/>
      <c r="I515" s="236"/>
      <c r="J515" s="236"/>
      <c r="K515" s="236"/>
      <c r="L515" s="236"/>
      <c r="M515" s="236"/>
      <c r="N515" s="236"/>
      <c r="O515" s="236"/>
      <c r="P515" s="236"/>
      <c r="Q515" s="236"/>
      <c r="R515" s="236"/>
      <c r="S515" s="236"/>
      <c r="T515" s="236"/>
      <c r="U515" s="236"/>
      <c r="V515" s="236"/>
      <c r="W515" s="237"/>
      <c r="X515" s="237"/>
      <c r="Y515" s="237"/>
      <c r="Z515" s="237"/>
      <c r="AA515" s="237"/>
      <c r="AB515" s="237"/>
      <c r="AC515" s="237"/>
      <c r="AD515" s="237"/>
      <c r="AE515" s="237"/>
      <c r="AF515" s="237"/>
      <c r="AG515" s="237"/>
      <c r="AH515" s="237"/>
      <c r="AI515" s="308"/>
      <c r="AJ515" s="308"/>
      <c r="AK515" s="308"/>
      <c r="AL515" s="308"/>
      <c r="AM515" s="308"/>
      <c r="AN515" s="98"/>
    </row>
    <row r="516" ht="14.25" customHeight="1">
      <c r="A516" s="179"/>
      <c r="B516" s="98"/>
      <c r="C516" s="98"/>
      <c r="D516" s="98"/>
      <c r="E516" s="98"/>
      <c r="F516" s="235"/>
      <c r="G516" s="235"/>
      <c r="H516" s="236"/>
      <c r="I516" s="236"/>
      <c r="J516" s="236"/>
      <c r="K516" s="236"/>
      <c r="L516" s="236"/>
      <c r="M516" s="236"/>
      <c r="N516" s="236"/>
      <c r="O516" s="236"/>
      <c r="P516" s="236"/>
      <c r="Q516" s="236"/>
      <c r="R516" s="236"/>
      <c r="S516" s="236"/>
      <c r="T516" s="236"/>
      <c r="U516" s="236"/>
      <c r="V516" s="236"/>
      <c r="W516" s="237"/>
      <c r="X516" s="237"/>
      <c r="Y516" s="237"/>
      <c r="Z516" s="237"/>
      <c r="AA516" s="237"/>
      <c r="AB516" s="237"/>
      <c r="AC516" s="237"/>
      <c r="AD516" s="237"/>
      <c r="AE516" s="237"/>
      <c r="AF516" s="237"/>
      <c r="AG516" s="237"/>
      <c r="AH516" s="237"/>
      <c r="AI516" s="308"/>
      <c r="AJ516" s="308"/>
      <c r="AK516" s="308"/>
      <c r="AL516" s="308"/>
      <c r="AM516" s="308"/>
      <c r="AN516" s="98"/>
    </row>
    <row r="517" ht="14.25" customHeight="1">
      <c r="A517" s="179"/>
      <c r="B517" s="98"/>
      <c r="C517" s="98"/>
      <c r="D517" s="98"/>
      <c r="E517" s="98"/>
      <c r="F517" s="235"/>
      <c r="G517" s="235"/>
      <c r="H517" s="236"/>
      <c r="I517" s="236"/>
      <c r="J517" s="236"/>
      <c r="K517" s="236"/>
      <c r="L517" s="236"/>
      <c r="M517" s="236"/>
      <c r="N517" s="236"/>
      <c r="O517" s="236"/>
      <c r="P517" s="236"/>
      <c r="Q517" s="236"/>
      <c r="R517" s="236"/>
      <c r="S517" s="236"/>
      <c r="T517" s="236"/>
      <c r="U517" s="236"/>
      <c r="V517" s="236"/>
      <c r="W517" s="237"/>
      <c r="X517" s="237"/>
      <c r="Y517" s="237"/>
      <c r="Z517" s="237"/>
      <c r="AA517" s="237"/>
      <c r="AB517" s="237"/>
      <c r="AC517" s="237"/>
      <c r="AD517" s="237"/>
      <c r="AE517" s="237"/>
      <c r="AF517" s="237"/>
      <c r="AG517" s="237"/>
      <c r="AH517" s="237"/>
      <c r="AI517" s="308"/>
      <c r="AJ517" s="308"/>
      <c r="AK517" s="308"/>
      <c r="AL517" s="308"/>
      <c r="AM517" s="308"/>
      <c r="AN517" s="98"/>
    </row>
    <row r="518" ht="14.25" customHeight="1">
      <c r="A518" s="179"/>
      <c r="B518" s="98"/>
      <c r="C518" s="98"/>
      <c r="D518" s="98"/>
      <c r="E518" s="98"/>
      <c r="F518" s="235"/>
      <c r="G518" s="235"/>
      <c r="H518" s="236"/>
      <c r="I518" s="236"/>
      <c r="J518" s="236"/>
      <c r="K518" s="236"/>
      <c r="L518" s="236"/>
      <c r="M518" s="236"/>
      <c r="N518" s="236"/>
      <c r="O518" s="236"/>
      <c r="P518" s="236"/>
      <c r="Q518" s="236"/>
      <c r="R518" s="236"/>
      <c r="S518" s="236"/>
      <c r="T518" s="236"/>
      <c r="U518" s="236"/>
      <c r="V518" s="236"/>
      <c r="W518" s="237"/>
      <c r="X518" s="237"/>
      <c r="Y518" s="237"/>
      <c r="Z518" s="237"/>
      <c r="AA518" s="237"/>
      <c r="AB518" s="237"/>
      <c r="AC518" s="237"/>
      <c r="AD518" s="237"/>
      <c r="AE518" s="237"/>
      <c r="AF518" s="237"/>
      <c r="AG518" s="237"/>
      <c r="AH518" s="237"/>
      <c r="AI518" s="308"/>
      <c r="AJ518" s="308"/>
      <c r="AK518" s="308"/>
      <c r="AL518" s="308"/>
      <c r="AM518" s="308"/>
      <c r="AN518" s="98"/>
    </row>
    <row r="519" ht="14.25" customHeight="1">
      <c r="A519" s="179"/>
      <c r="B519" s="98"/>
      <c r="C519" s="98"/>
      <c r="D519" s="98"/>
      <c r="E519" s="98"/>
      <c r="F519" s="235"/>
      <c r="G519" s="235"/>
      <c r="H519" s="236"/>
      <c r="I519" s="236"/>
      <c r="J519" s="236"/>
      <c r="K519" s="236"/>
      <c r="L519" s="236"/>
      <c r="M519" s="236"/>
      <c r="N519" s="236"/>
      <c r="O519" s="236"/>
      <c r="P519" s="236"/>
      <c r="Q519" s="236"/>
      <c r="R519" s="236"/>
      <c r="S519" s="236"/>
      <c r="T519" s="236"/>
      <c r="U519" s="236"/>
      <c r="V519" s="236"/>
      <c r="W519" s="237"/>
      <c r="X519" s="237"/>
      <c r="Y519" s="237"/>
      <c r="Z519" s="237"/>
      <c r="AA519" s="237"/>
      <c r="AB519" s="237"/>
      <c r="AC519" s="237"/>
      <c r="AD519" s="237"/>
      <c r="AE519" s="237"/>
      <c r="AF519" s="237"/>
      <c r="AG519" s="237"/>
      <c r="AH519" s="237"/>
      <c r="AI519" s="308"/>
      <c r="AJ519" s="308"/>
      <c r="AK519" s="308"/>
      <c r="AL519" s="308"/>
      <c r="AM519" s="308"/>
      <c r="AN519" s="98"/>
    </row>
    <row r="520" ht="14.25" customHeight="1">
      <c r="A520" s="179"/>
      <c r="B520" s="98"/>
      <c r="C520" s="98"/>
      <c r="D520" s="98"/>
      <c r="E520" s="98"/>
      <c r="F520" s="235"/>
      <c r="G520" s="235"/>
      <c r="H520" s="236"/>
      <c r="I520" s="236"/>
      <c r="J520" s="236"/>
      <c r="K520" s="236"/>
      <c r="L520" s="236"/>
      <c r="M520" s="236"/>
      <c r="N520" s="236"/>
      <c r="O520" s="236"/>
      <c r="P520" s="236"/>
      <c r="Q520" s="236"/>
      <c r="R520" s="236"/>
      <c r="S520" s="236"/>
      <c r="T520" s="236"/>
      <c r="U520" s="236"/>
      <c r="V520" s="236"/>
      <c r="W520" s="237"/>
      <c r="X520" s="237"/>
      <c r="Y520" s="237"/>
      <c r="Z520" s="237"/>
      <c r="AA520" s="237"/>
      <c r="AB520" s="237"/>
      <c r="AC520" s="237"/>
      <c r="AD520" s="237"/>
      <c r="AE520" s="237"/>
      <c r="AF520" s="237"/>
      <c r="AG520" s="237"/>
      <c r="AH520" s="237"/>
      <c r="AI520" s="308"/>
      <c r="AJ520" s="308"/>
      <c r="AK520" s="308"/>
      <c r="AL520" s="308"/>
      <c r="AM520" s="308"/>
      <c r="AN520" s="98"/>
    </row>
    <row r="521" ht="14.25" customHeight="1">
      <c r="A521" s="179"/>
      <c r="B521" s="98"/>
      <c r="C521" s="98"/>
      <c r="D521" s="98"/>
      <c r="E521" s="98"/>
      <c r="F521" s="235"/>
      <c r="G521" s="235"/>
      <c r="H521" s="236"/>
      <c r="I521" s="236"/>
      <c r="J521" s="236"/>
      <c r="K521" s="236"/>
      <c r="L521" s="236"/>
      <c r="M521" s="236"/>
      <c r="N521" s="236"/>
      <c r="O521" s="236"/>
      <c r="P521" s="236"/>
      <c r="Q521" s="236"/>
      <c r="R521" s="236"/>
      <c r="S521" s="236"/>
      <c r="T521" s="236"/>
      <c r="U521" s="236"/>
      <c r="V521" s="236"/>
      <c r="W521" s="237"/>
      <c r="X521" s="237"/>
      <c r="Y521" s="237"/>
      <c r="Z521" s="237"/>
      <c r="AA521" s="237"/>
      <c r="AB521" s="237"/>
      <c r="AC521" s="237"/>
      <c r="AD521" s="237"/>
      <c r="AE521" s="237"/>
      <c r="AF521" s="237"/>
      <c r="AG521" s="237"/>
      <c r="AH521" s="237"/>
      <c r="AI521" s="308"/>
      <c r="AJ521" s="308"/>
      <c r="AK521" s="308"/>
      <c r="AL521" s="308"/>
      <c r="AM521" s="308"/>
      <c r="AN521" s="98"/>
    </row>
    <row r="522" ht="14.25" customHeight="1">
      <c r="A522" s="179"/>
      <c r="B522" s="98"/>
      <c r="C522" s="98"/>
      <c r="D522" s="98"/>
      <c r="E522" s="98"/>
      <c r="F522" s="235"/>
      <c r="G522" s="235"/>
      <c r="H522" s="236"/>
      <c r="I522" s="236"/>
      <c r="J522" s="236"/>
      <c r="K522" s="236"/>
      <c r="L522" s="236"/>
      <c r="M522" s="236"/>
      <c r="N522" s="236"/>
      <c r="O522" s="236"/>
      <c r="P522" s="236"/>
      <c r="Q522" s="236"/>
      <c r="R522" s="236"/>
      <c r="S522" s="236"/>
      <c r="T522" s="236"/>
      <c r="U522" s="236"/>
      <c r="V522" s="236"/>
      <c r="W522" s="237"/>
      <c r="X522" s="237"/>
      <c r="Y522" s="237"/>
      <c r="Z522" s="237"/>
      <c r="AA522" s="237"/>
      <c r="AB522" s="237"/>
      <c r="AC522" s="237"/>
      <c r="AD522" s="237"/>
      <c r="AE522" s="237"/>
      <c r="AF522" s="237"/>
      <c r="AG522" s="237"/>
      <c r="AH522" s="237"/>
      <c r="AI522" s="308"/>
      <c r="AJ522" s="308"/>
      <c r="AK522" s="308"/>
      <c r="AL522" s="308"/>
      <c r="AM522" s="308"/>
      <c r="AN522" s="98"/>
    </row>
    <row r="523" ht="14.25" customHeight="1">
      <c r="A523" s="179"/>
      <c r="B523" s="98"/>
      <c r="C523" s="98"/>
      <c r="D523" s="98"/>
      <c r="E523" s="98"/>
      <c r="F523" s="235"/>
      <c r="G523" s="235"/>
      <c r="H523" s="236"/>
      <c r="I523" s="236"/>
      <c r="J523" s="236"/>
      <c r="K523" s="236"/>
      <c r="L523" s="236"/>
      <c r="M523" s="236"/>
      <c r="N523" s="236"/>
      <c r="O523" s="236"/>
      <c r="P523" s="236"/>
      <c r="Q523" s="236"/>
      <c r="R523" s="236"/>
      <c r="S523" s="236"/>
      <c r="T523" s="236"/>
      <c r="U523" s="236"/>
      <c r="V523" s="236"/>
      <c r="W523" s="237"/>
      <c r="X523" s="237"/>
      <c r="Y523" s="237"/>
      <c r="Z523" s="237"/>
      <c r="AA523" s="237"/>
      <c r="AB523" s="237"/>
      <c r="AC523" s="237"/>
      <c r="AD523" s="237"/>
      <c r="AE523" s="237"/>
      <c r="AF523" s="237"/>
      <c r="AG523" s="237"/>
      <c r="AH523" s="237"/>
      <c r="AI523" s="308"/>
      <c r="AJ523" s="308"/>
      <c r="AK523" s="308"/>
      <c r="AL523" s="308"/>
      <c r="AM523" s="308"/>
      <c r="AN523" s="98"/>
    </row>
    <row r="524" ht="14.25" customHeight="1">
      <c r="A524" s="179"/>
      <c r="B524" s="98"/>
      <c r="C524" s="98"/>
      <c r="D524" s="98"/>
      <c r="E524" s="98"/>
      <c r="F524" s="235"/>
      <c r="G524" s="235"/>
      <c r="H524" s="236"/>
      <c r="I524" s="236"/>
      <c r="J524" s="236"/>
      <c r="K524" s="236"/>
      <c r="L524" s="236"/>
      <c r="M524" s="236"/>
      <c r="N524" s="236"/>
      <c r="O524" s="236"/>
      <c r="P524" s="236"/>
      <c r="Q524" s="236"/>
      <c r="R524" s="236"/>
      <c r="S524" s="236"/>
      <c r="T524" s="236"/>
      <c r="U524" s="236"/>
      <c r="V524" s="236"/>
      <c r="W524" s="237"/>
      <c r="X524" s="237"/>
      <c r="Y524" s="237"/>
      <c r="Z524" s="237"/>
      <c r="AA524" s="237"/>
      <c r="AB524" s="237"/>
      <c r="AC524" s="237"/>
      <c r="AD524" s="237"/>
      <c r="AE524" s="237"/>
      <c r="AF524" s="237"/>
      <c r="AG524" s="237"/>
      <c r="AH524" s="237"/>
      <c r="AI524" s="308"/>
      <c r="AJ524" s="308"/>
      <c r="AK524" s="308"/>
      <c r="AL524" s="308"/>
      <c r="AM524" s="308"/>
      <c r="AN524" s="98"/>
    </row>
    <row r="525" ht="14.25" customHeight="1">
      <c r="A525" s="179"/>
      <c r="B525" s="98"/>
      <c r="C525" s="98"/>
      <c r="D525" s="98"/>
      <c r="E525" s="98"/>
      <c r="F525" s="235"/>
      <c r="G525" s="235"/>
      <c r="H525" s="236"/>
      <c r="I525" s="236"/>
      <c r="J525" s="236"/>
      <c r="K525" s="236"/>
      <c r="L525" s="236"/>
      <c r="M525" s="236"/>
      <c r="N525" s="236"/>
      <c r="O525" s="236"/>
      <c r="P525" s="236"/>
      <c r="Q525" s="236"/>
      <c r="R525" s="236"/>
      <c r="S525" s="236"/>
      <c r="T525" s="236"/>
      <c r="U525" s="236"/>
      <c r="V525" s="236"/>
      <c r="W525" s="237"/>
      <c r="X525" s="237"/>
      <c r="Y525" s="237"/>
      <c r="Z525" s="237"/>
      <c r="AA525" s="237"/>
      <c r="AB525" s="237"/>
      <c r="AC525" s="237"/>
      <c r="AD525" s="237"/>
      <c r="AE525" s="237"/>
      <c r="AF525" s="237"/>
      <c r="AG525" s="237"/>
      <c r="AH525" s="237"/>
      <c r="AI525" s="308"/>
      <c r="AJ525" s="308"/>
      <c r="AK525" s="308"/>
      <c r="AL525" s="308"/>
      <c r="AM525" s="308"/>
      <c r="AN525" s="98"/>
    </row>
    <row r="526" ht="14.25" customHeight="1">
      <c r="A526" s="179"/>
      <c r="B526" s="98"/>
      <c r="C526" s="98"/>
      <c r="D526" s="98"/>
      <c r="E526" s="98"/>
      <c r="F526" s="235"/>
      <c r="G526" s="235"/>
      <c r="H526" s="236"/>
      <c r="I526" s="236"/>
      <c r="J526" s="236"/>
      <c r="K526" s="236"/>
      <c r="L526" s="236"/>
      <c r="M526" s="236"/>
      <c r="N526" s="236"/>
      <c r="O526" s="236"/>
      <c r="P526" s="236"/>
      <c r="Q526" s="236"/>
      <c r="R526" s="236"/>
      <c r="S526" s="236"/>
      <c r="T526" s="236"/>
      <c r="U526" s="236"/>
      <c r="V526" s="236"/>
      <c r="W526" s="237"/>
      <c r="X526" s="237"/>
      <c r="Y526" s="237"/>
      <c r="Z526" s="237"/>
      <c r="AA526" s="237"/>
      <c r="AB526" s="237"/>
      <c r="AC526" s="237"/>
      <c r="AD526" s="237"/>
      <c r="AE526" s="237"/>
      <c r="AF526" s="237"/>
      <c r="AG526" s="237"/>
      <c r="AH526" s="237"/>
      <c r="AI526" s="308"/>
      <c r="AJ526" s="308"/>
      <c r="AK526" s="308"/>
      <c r="AL526" s="308"/>
      <c r="AM526" s="308"/>
      <c r="AN526" s="98"/>
    </row>
    <row r="527" ht="14.25" customHeight="1">
      <c r="A527" s="179"/>
      <c r="B527" s="98"/>
      <c r="C527" s="98"/>
      <c r="D527" s="98"/>
      <c r="E527" s="98"/>
      <c r="F527" s="235"/>
      <c r="G527" s="235"/>
      <c r="H527" s="236"/>
      <c r="I527" s="236"/>
      <c r="J527" s="236"/>
      <c r="K527" s="236"/>
      <c r="L527" s="236"/>
      <c r="M527" s="236"/>
      <c r="N527" s="236"/>
      <c r="O527" s="236"/>
      <c r="P527" s="236"/>
      <c r="Q527" s="236"/>
      <c r="R527" s="236"/>
      <c r="S527" s="236"/>
      <c r="T527" s="236"/>
      <c r="U527" s="236"/>
      <c r="V527" s="236"/>
      <c r="W527" s="237"/>
      <c r="X527" s="237"/>
      <c r="Y527" s="237"/>
      <c r="Z527" s="237"/>
      <c r="AA527" s="237"/>
      <c r="AB527" s="237"/>
      <c r="AC527" s="237"/>
      <c r="AD527" s="237"/>
      <c r="AE527" s="237"/>
      <c r="AF527" s="237"/>
      <c r="AG527" s="237"/>
      <c r="AH527" s="237"/>
      <c r="AI527" s="308"/>
      <c r="AJ527" s="308"/>
      <c r="AK527" s="308"/>
      <c r="AL527" s="308"/>
      <c r="AM527" s="308"/>
      <c r="AN527" s="98"/>
    </row>
    <row r="528" ht="14.25" customHeight="1">
      <c r="A528" s="179"/>
      <c r="B528" s="98"/>
      <c r="C528" s="98"/>
      <c r="D528" s="98"/>
      <c r="E528" s="98"/>
      <c r="F528" s="235"/>
      <c r="G528" s="235"/>
      <c r="H528" s="236"/>
      <c r="I528" s="236"/>
      <c r="J528" s="236"/>
      <c r="K528" s="236"/>
      <c r="L528" s="236"/>
      <c r="M528" s="236"/>
      <c r="N528" s="236"/>
      <c r="O528" s="236"/>
      <c r="P528" s="236"/>
      <c r="Q528" s="236"/>
      <c r="R528" s="236"/>
      <c r="S528" s="236"/>
      <c r="T528" s="236"/>
      <c r="U528" s="236"/>
      <c r="V528" s="236"/>
      <c r="W528" s="237"/>
      <c r="X528" s="237"/>
      <c r="Y528" s="237"/>
      <c r="Z528" s="237"/>
      <c r="AA528" s="237"/>
      <c r="AB528" s="237"/>
      <c r="AC528" s="237"/>
      <c r="AD528" s="237"/>
      <c r="AE528" s="237"/>
      <c r="AF528" s="237"/>
      <c r="AG528" s="237"/>
      <c r="AH528" s="237"/>
      <c r="AI528" s="308"/>
      <c r="AJ528" s="308"/>
      <c r="AK528" s="308"/>
      <c r="AL528" s="308"/>
      <c r="AM528" s="308"/>
      <c r="AN528" s="98"/>
    </row>
    <row r="529" ht="14.25" customHeight="1">
      <c r="A529" s="179"/>
      <c r="B529" s="98"/>
      <c r="C529" s="98"/>
      <c r="D529" s="98"/>
      <c r="E529" s="98"/>
      <c r="F529" s="235"/>
      <c r="G529" s="235"/>
      <c r="H529" s="236"/>
      <c r="I529" s="236"/>
      <c r="J529" s="236"/>
      <c r="K529" s="236"/>
      <c r="L529" s="236"/>
      <c r="M529" s="236"/>
      <c r="N529" s="236"/>
      <c r="O529" s="236"/>
      <c r="P529" s="236"/>
      <c r="Q529" s="236"/>
      <c r="R529" s="236"/>
      <c r="S529" s="236"/>
      <c r="T529" s="236"/>
      <c r="U529" s="236"/>
      <c r="V529" s="236"/>
      <c r="W529" s="237"/>
      <c r="X529" s="237"/>
      <c r="Y529" s="237"/>
      <c r="Z529" s="237"/>
      <c r="AA529" s="237"/>
      <c r="AB529" s="237"/>
      <c r="AC529" s="237"/>
      <c r="AD529" s="237"/>
      <c r="AE529" s="237"/>
      <c r="AF529" s="237"/>
      <c r="AG529" s="237"/>
      <c r="AH529" s="237"/>
      <c r="AI529" s="308"/>
      <c r="AJ529" s="308"/>
      <c r="AK529" s="308"/>
      <c r="AL529" s="308"/>
      <c r="AM529" s="308"/>
      <c r="AN529" s="98"/>
    </row>
    <row r="530" ht="14.25" customHeight="1">
      <c r="A530" s="179"/>
      <c r="B530" s="98"/>
      <c r="C530" s="98"/>
      <c r="D530" s="98"/>
      <c r="E530" s="98"/>
      <c r="F530" s="235"/>
      <c r="G530" s="235"/>
      <c r="H530" s="236"/>
      <c r="I530" s="236"/>
      <c r="J530" s="236"/>
      <c r="K530" s="236"/>
      <c r="L530" s="236"/>
      <c r="M530" s="236"/>
      <c r="N530" s="236"/>
      <c r="O530" s="236"/>
      <c r="P530" s="236"/>
      <c r="Q530" s="236"/>
      <c r="R530" s="236"/>
      <c r="S530" s="236"/>
      <c r="T530" s="236"/>
      <c r="U530" s="236"/>
      <c r="V530" s="236"/>
      <c r="W530" s="237"/>
      <c r="X530" s="237"/>
      <c r="Y530" s="237"/>
      <c r="Z530" s="237"/>
      <c r="AA530" s="237"/>
      <c r="AB530" s="237"/>
      <c r="AC530" s="237"/>
      <c r="AD530" s="237"/>
      <c r="AE530" s="237"/>
      <c r="AF530" s="237"/>
      <c r="AG530" s="237"/>
      <c r="AH530" s="237"/>
      <c r="AI530" s="308"/>
      <c r="AJ530" s="308"/>
      <c r="AK530" s="308"/>
      <c r="AL530" s="308"/>
      <c r="AM530" s="308"/>
      <c r="AN530" s="98"/>
    </row>
    <row r="531" ht="14.25" customHeight="1">
      <c r="A531" s="179"/>
      <c r="B531" s="98"/>
      <c r="C531" s="98"/>
      <c r="D531" s="98"/>
      <c r="E531" s="98"/>
      <c r="F531" s="235"/>
      <c r="G531" s="235"/>
      <c r="H531" s="236"/>
      <c r="I531" s="236"/>
      <c r="J531" s="236"/>
      <c r="K531" s="236"/>
      <c r="L531" s="236"/>
      <c r="M531" s="236"/>
      <c r="N531" s="236"/>
      <c r="O531" s="236"/>
      <c r="P531" s="236"/>
      <c r="Q531" s="236"/>
      <c r="R531" s="236"/>
      <c r="S531" s="236"/>
      <c r="T531" s="236"/>
      <c r="U531" s="236"/>
      <c r="V531" s="236"/>
      <c r="W531" s="237"/>
      <c r="X531" s="237"/>
      <c r="Y531" s="237"/>
      <c r="Z531" s="237"/>
      <c r="AA531" s="237"/>
      <c r="AB531" s="237"/>
      <c r="AC531" s="237"/>
      <c r="AD531" s="237"/>
      <c r="AE531" s="237"/>
      <c r="AF531" s="237"/>
      <c r="AG531" s="237"/>
      <c r="AH531" s="237"/>
      <c r="AI531" s="308"/>
      <c r="AJ531" s="308"/>
      <c r="AK531" s="308"/>
      <c r="AL531" s="308"/>
      <c r="AM531" s="308"/>
      <c r="AN531" s="98"/>
    </row>
    <row r="532" ht="14.25" customHeight="1">
      <c r="A532" s="179"/>
      <c r="B532" s="98"/>
      <c r="C532" s="98"/>
      <c r="D532" s="98"/>
      <c r="E532" s="98"/>
      <c r="F532" s="235"/>
      <c r="G532" s="235"/>
      <c r="H532" s="236"/>
      <c r="I532" s="236"/>
      <c r="J532" s="236"/>
      <c r="K532" s="236"/>
      <c r="L532" s="236"/>
      <c r="M532" s="236"/>
      <c r="N532" s="236"/>
      <c r="O532" s="236"/>
      <c r="P532" s="236"/>
      <c r="Q532" s="236"/>
      <c r="R532" s="236"/>
      <c r="S532" s="236"/>
      <c r="T532" s="236"/>
      <c r="U532" s="236"/>
      <c r="V532" s="236"/>
      <c r="W532" s="237"/>
      <c r="X532" s="237"/>
      <c r="Y532" s="237"/>
      <c r="Z532" s="237"/>
      <c r="AA532" s="237"/>
      <c r="AB532" s="237"/>
      <c r="AC532" s="237"/>
      <c r="AD532" s="237"/>
      <c r="AE532" s="237"/>
      <c r="AF532" s="237"/>
      <c r="AG532" s="237"/>
      <c r="AH532" s="237"/>
      <c r="AI532" s="308"/>
      <c r="AJ532" s="308"/>
      <c r="AK532" s="308"/>
      <c r="AL532" s="308"/>
      <c r="AM532" s="308"/>
      <c r="AN532" s="98"/>
    </row>
    <row r="533" ht="14.25" customHeight="1">
      <c r="A533" s="179"/>
      <c r="B533" s="98"/>
      <c r="C533" s="98"/>
      <c r="D533" s="98"/>
      <c r="E533" s="98"/>
      <c r="F533" s="235"/>
      <c r="G533" s="235"/>
      <c r="H533" s="236"/>
      <c r="I533" s="236"/>
      <c r="J533" s="236"/>
      <c r="K533" s="236"/>
      <c r="L533" s="236"/>
      <c r="M533" s="236"/>
      <c r="N533" s="236"/>
      <c r="O533" s="236"/>
      <c r="P533" s="236"/>
      <c r="Q533" s="236"/>
      <c r="R533" s="236"/>
      <c r="S533" s="236"/>
      <c r="T533" s="236"/>
      <c r="U533" s="236"/>
      <c r="V533" s="236"/>
      <c r="W533" s="237"/>
      <c r="X533" s="237"/>
      <c r="Y533" s="237"/>
      <c r="Z533" s="237"/>
      <c r="AA533" s="237"/>
      <c r="AB533" s="237"/>
      <c r="AC533" s="237"/>
      <c r="AD533" s="237"/>
      <c r="AE533" s="237"/>
      <c r="AF533" s="237"/>
      <c r="AG533" s="237"/>
      <c r="AH533" s="237"/>
      <c r="AI533" s="308"/>
      <c r="AJ533" s="308"/>
      <c r="AK533" s="308"/>
      <c r="AL533" s="308"/>
      <c r="AM533" s="308"/>
      <c r="AN533" s="98"/>
    </row>
    <row r="534" ht="14.25" customHeight="1">
      <c r="A534" s="179"/>
      <c r="B534" s="98"/>
      <c r="C534" s="98"/>
      <c r="D534" s="98"/>
      <c r="E534" s="98"/>
      <c r="F534" s="235"/>
      <c r="G534" s="235"/>
      <c r="H534" s="236"/>
      <c r="I534" s="236"/>
      <c r="J534" s="236"/>
      <c r="K534" s="236"/>
      <c r="L534" s="236"/>
      <c r="M534" s="236"/>
      <c r="N534" s="236"/>
      <c r="O534" s="236"/>
      <c r="P534" s="236"/>
      <c r="Q534" s="236"/>
      <c r="R534" s="236"/>
      <c r="S534" s="236"/>
      <c r="T534" s="236"/>
      <c r="U534" s="236"/>
      <c r="V534" s="236"/>
      <c r="W534" s="237"/>
      <c r="X534" s="237"/>
      <c r="Y534" s="237"/>
      <c r="Z534" s="237"/>
      <c r="AA534" s="237"/>
      <c r="AB534" s="237"/>
      <c r="AC534" s="237"/>
      <c r="AD534" s="237"/>
      <c r="AE534" s="237"/>
      <c r="AF534" s="237"/>
      <c r="AG534" s="237"/>
      <c r="AH534" s="237"/>
      <c r="AI534" s="308"/>
      <c r="AJ534" s="308"/>
      <c r="AK534" s="308"/>
      <c r="AL534" s="308"/>
      <c r="AM534" s="308"/>
      <c r="AN534" s="98"/>
    </row>
    <row r="535" ht="14.25" customHeight="1">
      <c r="A535" s="179"/>
      <c r="B535" s="98"/>
      <c r="C535" s="98"/>
      <c r="D535" s="98"/>
      <c r="E535" s="98"/>
      <c r="F535" s="235"/>
      <c r="G535" s="235"/>
      <c r="H535" s="236"/>
      <c r="I535" s="236"/>
      <c r="J535" s="236"/>
      <c r="K535" s="236"/>
      <c r="L535" s="236"/>
      <c r="M535" s="236"/>
      <c r="N535" s="236"/>
      <c r="O535" s="236"/>
      <c r="P535" s="236"/>
      <c r="Q535" s="236"/>
      <c r="R535" s="236"/>
      <c r="S535" s="236"/>
      <c r="T535" s="236"/>
      <c r="U535" s="236"/>
      <c r="V535" s="236"/>
      <c r="W535" s="237"/>
      <c r="X535" s="237"/>
      <c r="Y535" s="237"/>
      <c r="Z535" s="237"/>
      <c r="AA535" s="237"/>
      <c r="AB535" s="237"/>
      <c r="AC535" s="237"/>
      <c r="AD535" s="237"/>
      <c r="AE535" s="237"/>
      <c r="AF535" s="237"/>
      <c r="AG535" s="237"/>
      <c r="AH535" s="237"/>
      <c r="AI535" s="308"/>
      <c r="AJ535" s="308"/>
      <c r="AK535" s="308"/>
      <c r="AL535" s="308"/>
      <c r="AM535" s="308"/>
      <c r="AN535" s="98"/>
    </row>
    <row r="536" ht="14.25" customHeight="1">
      <c r="A536" s="179"/>
      <c r="B536" s="98"/>
      <c r="C536" s="98"/>
      <c r="D536" s="98"/>
      <c r="E536" s="98"/>
      <c r="F536" s="235"/>
      <c r="G536" s="235"/>
      <c r="H536" s="236"/>
      <c r="I536" s="236"/>
      <c r="J536" s="236"/>
      <c r="K536" s="236"/>
      <c r="L536" s="236"/>
      <c r="M536" s="236"/>
      <c r="N536" s="236"/>
      <c r="O536" s="236"/>
      <c r="P536" s="236"/>
      <c r="Q536" s="236"/>
      <c r="R536" s="236"/>
      <c r="S536" s="236"/>
      <c r="T536" s="236"/>
      <c r="U536" s="236"/>
      <c r="V536" s="236"/>
      <c r="W536" s="237"/>
      <c r="X536" s="237"/>
      <c r="Y536" s="237"/>
      <c r="Z536" s="237"/>
      <c r="AA536" s="237"/>
      <c r="AB536" s="237"/>
      <c r="AC536" s="237"/>
      <c r="AD536" s="237"/>
      <c r="AE536" s="237"/>
      <c r="AF536" s="237"/>
      <c r="AG536" s="237"/>
      <c r="AH536" s="237"/>
      <c r="AI536" s="308"/>
      <c r="AJ536" s="308"/>
      <c r="AK536" s="308"/>
      <c r="AL536" s="308"/>
      <c r="AM536" s="308"/>
      <c r="AN536" s="98"/>
    </row>
    <row r="537" ht="14.25" customHeight="1">
      <c r="A537" s="179"/>
      <c r="B537" s="98"/>
      <c r="C537" s="98"/>
      <c r="D537" s="98"/>
      <c r="E537" s="98"/>
      <c r="F537" s="235"/>
      <c r="G537" s="235"/>
      <c r="H537" s="236"/>
      <c r="I537" s="236"/>
      <c r="J537" s="236"/>
      <c r="K537" s="236"/>
      <c r="L537" s="236"/>
      <c r="M537" s="236"/>
      <c r="N537" s="236"/>
      <c r="O537" s="236"/>
      <c r="P537" s="236"/>
      <c r="Q537" s="236"/>
      <c r="R537" s="236"/>
      <c r="S537" s="236"/>
      <c r="T537" s="236"/>
      <c r="U537" s="236"/>
      <c r="V537" s="236"/>
      <c r="W537" s="237"/>
      <c r="X537" s="237"/>
      <c r="Y537" s="237"/>
      <c r="Z537" s="237"/>
      <c r="AA537" s="237"/>
      <c r="AB537" s="237"/>
      <c r="AC537" s="237"/>
      <c r="AD537" s="237"/>
      <c r="AE537" s="237"/>
      <c r="AF537" s="237"/>
      <c r="AG537" s="237"/>
      <c r="AH537" s="237"/>
      <c r="AI537" s="308"/>
      <c r="AJ537" s="308"/>
      <c r="AK537" s="308"/>
      <c r="AL537" s="308"/>
      <c r="AM537" s="308"/>
      <c r="AN537" s="98"/>
    </row>
    <row r="538" ht="14.25" customHeight="1">
      <c r="A538" s="179"/>
      <c r="B538" s="98"/>
      <c r="C538" s="98"/>
      <c r="D538" s="98"/>
      <c r="E538" s="98"/>
      <c r="F538" s="235"/>
      <c r="G538" s="235"/>
      <c r="H538" s="236"/>
      <c r="I538" s="236"/>
      <c r="J538" s="236"/>
      <c r="K538" s="236"/>
      <c r="L538" s="236"/>
      <c r="M538" s="236"/>
      <c r="N538" s="236"/>
      <c r="O538" s="236"/>
      <c r="P538" s="236"/>
      <c r="Q538" s="236"/>
      <c r="R538" s="236"/>
      <c r="S538" s="236"/>
      <c r="T538" s="236"/>
      <c r="U538" s="236"/>
      <c r="V538" s="236"/>
      <c r="W538" s="237"/>
      <c r="X538" s="237"/>
      <c r="Y538" s="237"/>
      <c r="Z538" s="237"/>
      <c r="AA538" s="237"/>
      <c r="AB538" s="237"/>
      <c r="AC538" s="237"/>
      <c r="AD538" s="237"/>
      <c r="AE538" s="237"/>
      <c r="AF538" s="237"/>
      <c r="AG538" s="237"/>
      <c r="AH538" s="237"/>
      <c r="AI538" s="308"/>
      <c r="AJ538" s="308"/>
      <c r="AK538" s="308"/>
      <c r="AL538" s="308"/>
      <c r="AM538" s="308"/>
      <c r="AN538" s="98"/>
    </row>
    <row r="539" ht="14.25" customHeight="1">
      <c r="A539" s="179"/>
      <c r="B539" s="98"/>
      <c r="C539" s="98"/>
      <c r="D539" s="98"/>
      <c r="E539" s="98"/>
      <c r="F539" s="235"/>
      <c r="G539" s="235"/>
      <c r="H539" s="236"/>
      <c r="I539" s="236"/>
      <c r="J539" s="236"/>
      <c r="K539" s="236"/>
      <c r="L539" s="236"/>
      <c r="M539" s="236"/>
      <c r="N539" s="236"/>
      <c r="O539" s="236"/>
      <c r="P539" s="236"/>
      <c r="Q539" s="236"/>
      <c r="R539" s="236"/>
      <c r="S539" s="236"/>
      <c r="T539" s="236"/>
      <c r="U539" s="236"/>
      <c r="V539" s="236"/>
      <c r="W539" s="237"/>
      <c r="X539" s="237"/>
      <c r="Y539" s="237"/>
      <c r="Z539" s="237"/>
      <c r="AA539" s="237"/>
      <c r="AB539" s="237"/>
      <c r="AC539" s="237"/>
      <c r="AD539" s="237"/>
      <c r="AE539" s="237"/>
      <c r="AF539" s="237"/>
      <c r="AG539" s="237"/>
      <c r="AH539" s="237"/>
      <c r="AI539" s="308"/>
      <c r="AJ539" s="308"/>
      <c r="AK539" s="308"/>
      <c r="AL539" s="308"/>
      <c r="AM539" s="308"/>
      <c r="AN539" s="98"/>
    </row>
    <row r="540" ht="14.25" customHeight="1">
      <c r="A540" s="179"/>
      <c r="B540" s="98"/>
      <c r="C540" s="98"/>
      <c r="D540" s="98"/>
      <c r="E540" s="98"/>
      <c r="F540" s="235"/>
      <c r="G540" s="235"/>
      <c r="H540" s="236"/>
      <c r="I540" s="236"/>
      <c r="J540" s="236"/>
      <c r="K540" s="236"/>
      <c r="L540" s="236"/>
      <c r="M540" s="236"/>
      <c r="N540" s="236"/>
      <c r="O540" s="236"/>
      <c r="P540" s="236"/>
      <c r="Q540" s="236"/>
      <c r="R540" s="236"/>
      <c r="S540" s="236"/>
      <c r="T540" s="236"/>
      <c r="U540" s="236"/>
      <c r="V540" s="236"/>
      <c r="W540" s="237"/>
      <c r="X540" s="237"/>
      <c r="Y540" s="237"/>
      <c r="Z540" s="237"/>
      <c r="AA540" s="237"/>
      <c r="AB540" s="237"/>
      <c r="AC540" s="237"/>
      <c r="AD540" s="237"/>
      <c r="AE540" s="237"/>
      <c r="AF540" s="237"/>
      <c r="AG540" s="237"/>
      <c r="AH540" s="237"/>
      <c r="AI540" s="308"/>
      <c r="AJ540" s="308"/>
      <c r="AK540" s="308"/>
      <c r="AL540" s="308"/>
      <c r="AM540" s="308"/>
      <c r="AN540" s="98"/>
    </row>
    <row r="541" ht="14.25" customHeight="1">
      <c r="A541" s="179"/>
      <c r="B541" s="98"/>
      <c r="C541" s="98"/>
      <c r="D541" s="98"/>
      <c r="E541" s="98"/>
      <c r="F541" s="235"/>
      <c r="G541" s="235"/>
      <c r="H541" s="236"/>
      <c r="I541" s="236"/>
      <c r="J541" s="236"/>
      <c r="K541" s="236"/>
      <c r="L541" s="236"/>
      <c r="M541" s="236"/>
      <c r="N541" s="236"/>
      <c r="O541" s="236"/>
      <c r="P541" s="236"/>
      <c r="Q541" s="236"/>
      <c r="R541" s="236"/>
      <c r="S541" s="236"/>
      <c r="T541" s="236"/>
      <c r="U541" s="236"/>
      <c r="V541" s="236"/>
      <c r="W541" s="237"/>
      <c r="X541" s="237"/>
      <c r="Y541" s="237"/>
      <c r="Z541" s="237"/>
      <c r="AA541" s="237"/>
      <c r="AB541" s="237"/>
      <c r="AC541" s="237"/>
      <c r="AD541" s="237"/>
      <c r="AE541" s="237"/>
      <c r="AF541" s="237"/>
      <c r="AG541" s="237"/>
      <c r="AH541" s="237"/>
      <c r="AI541" s="308"/>
      <c r="AJ541" s="308"/>
      <c r="AK541" s="308"/>
      <c r="AL541" s="308"/>
      <c r="AM541" s="308"/>
      <c r="AN541" s="98"/>
    </row>
    <row r="542" ht="14.25" customHeight="1">
      <c r="A542" s="179"/>
      <c r="B542" s="98"/>
      <c r="C542" s="98"/>
      <c r="D542" s="98"/>
      <c r="E542" s="98"/>
      <c r="F542" s="235"/>
      <c r="G542" s="235"/>
      <c r="H542" s="236"/>
      <c r="I542" s="236"/>
      <c r="J542" s="236"/>
      <c r="K542" s="236"/>
      <c r="L542" s="236"/>
      <c r="M542" s="236"/>
      <c r="N542" s="236"/>
      <c r="O542" s="236"/>
      <c r="P542" s="236"/>
      <c r="Q542" s="236"/>
      <c r="R542" s="236"/>
      <c r="S542" s="236"/>
      <c r="T542" s="236"/>
      <c r="U542" s="236"/>
      <c r="V542" s="236"/>
      <c r="W542" s="237"/>
      <c r="X542" s="237"/>
      <c r="Y542" s="237"/>
      <c r="Z542" s="237"/>
      <c r="AA542" s="237"/>
      <c r="AB542" s="237"/>
      <c r="AC542" s="237"/>
      <c r="AD542" s="237"/>
      <c r="AE542" s="237"/>
      <c r="AF542" s="237"/>
      <c r="AG542" s="237"/>
      <c r="AH542" s="237"/>
      <c r="AI542" s="308"/>
      <c r="AJ542" s="308"/>
      <c r="AK542" s="308"/>
      <c r="AL542" s="308"/>
      <c r="AM542" s="308"/>
      <c r="AN542" s="98"/>
    </row>
    <row r="543" ht="14.25" customHeight="1">
      <c r="A543" s="179"/>
      <c r="B543" s="98"/>
      <c r="C543" s="98"/>
      <c r="D543" s="98"/>
      <c r="E543" s="98"/>
      <c r="F543" s="235"/>
      <c r="G543" s="235"/>
      <c r="H543" s="236"/>
      <c r="I543" s="236"/>
      <c r="J543" s="236"/>
      <c r="K543" s="236"/>
      <c r="L543" s="236"/>
      <c r="M543" s="236"/>
      <c r="N543" s="236"/>
      <c r="O543" s="236"/>
      <c r="P543" s="236"/>
      <c r="Q543" s="236"/>
      <c r="R543" s="236"/>
      <c r="S543" s="236"/>
      <c r="T543" s="236"/>
      <c r="U543" s="236"/>
      <c r="V543" s="236"/>
      <c r="W543" s="237"/>
      <c r="X543" s="237"/>
      <c r="Y543" s="237"/>
      <c r="Z543" s="237"/>
      <c r="AA543" s="237"/>
      <c r="AB543" s="237"/>
      <c r="AC543" s="237"/>
      <c r="AD543" s="237"/>
      <c r="AE543" s="237"/>
      <c r="AF543" s="237"/>
      <c r="AG543" s="237"/>
      <c r="AH543" s="237"/>
      <c r="AI543" s="308"/>
      <c r="AJ543" s="308"/>
      <c r="AK543" s="308"/>
      <c r="AL543" s="308"/>
      <c r="AM543" s="308"/>
      <c r="AN543" s="98"/>
    </row>
    <row r="544" ht="14.25" customHeight="1">
      <c r="A544" s="179"/>
      <c r="B544" s="98"/>
      <c r="C544" s="98"/>
      <c r="D544" s="98"/>
      <c r="E544" s="98"/>
      <c r="F544" s="235"/>
      <c r="G544" s="235"/>
      <c r="H544" s="236"/>
      <c r="I544" s="236"/>
      <c r="J544" s="236"/>
      <c r="K544" s="236"/>
      <c r="L544" s="236"/>
      <c r="M544" s="236"/>
      <c r="N544" s="236"/>
      <c r="O544" s="236"/>
      <c r="P544" s="236"/>
      <c r="Q544" s="236"/>
      <c r="R544" s="236"/>
      <c r="S544" s="236"/>
      <c r="T544" s="236"/>
      <c r="U544" s="236"/>
      <c r="V544" s="236"/>
      <c r="W544" s="237"/>
      <c r="X544" s="237"/>
      <c r="Y544" s="237"/>
      <c r="Z544" s="237"/>
      <c r="AA544" s="237"/>
      <c r="AB544" s="237"/>
      <c r="AC544" s="237"/>
      <c r="AD544" s="237"/>
      <c r="AE544" s="237"/>
      <c r="AF544" s="237"/>
      <c r="AG544" s="237"/>
      <c r="AH544" s="237"/>
      <c r="AI544" s="308"/>
      <c r="AJ544" s="308"/>
      <c r="AK544" s="308"/>
      <c r="AL544" s="308"/>
      <c r="AM544" s="308"/>
      <c r="AN544" s="98"/>
    </row>
    <row r="545" ht="14.25" customHeight="1">
      <c r="A545" s="179"/>
      <c r="B545" s="98"/>
      <c r="C545" s="98"/>
      <c r="D545" s="98"/>
      <c r="E545" s="98"/>
      <c r="F545" s="235"/>
      <c r="G545" s="235"/>
      <c r="H545" s="236"/>
      <c r="I545" s="236"/>
      <c r="J545" s="236"/>
      <c r="K545" s="236"/>
      <c r="L545" s="236"/>
      <c r="M545" s="236"/>
      <c r="N545" s="236"/>
      <c r="O545" s="236"/>
      <c r="P545" s="236"/>
      <c r="Q545" s="236"/>
      <c r="R545" s="236"/>
      <c r="S545" s="236"/>
      <c r="T545" s="236"/>
      <c r="U545" s="236"/>
      <c r="V545" s="236"/>
      <c r="W545" s="237"/>
      <c r="X545" s="237"/>
      <c r="Y545" s="237"/>
      <c r="Z545" s="237"/>
      <c r="AA545" s="237"/>
      <c r="AB545" s="237"/>
      <c r="AC545" s="237"/>
      <c r="AD545" s="237"/>
      <c r="AE545" s="237"/>
      <c r="AF545" s="237"/>
      <c r="AG545" s="237"/>
      <c r="AH545" s="237"/>
      <c r="AI545" s="308"/>
      <c r="AJ545" s="308"/>
      <c r="AK545" s="308"/>
      <c r="AL545" s="308"/>
      <c r="AM545" s="308"/>
      <c r="AN545" s="98"/>
    </row>
    <row r="546" ht="14.25" customHeight="1">
      <c r="A546" s="179"/>
      <c r="B546" s="98"/>
      <c r="C546" s="98"/>
      <c r="D546" s="98"/>
      <c r="E546" s="98"/>
      <c r="F546" s="235"/>
      <c r="G546" s="235"/>
      <c r="H546" s="236"/>
      <c r="I546" s="236"/>
      <c r="J546" s="236"/>
      <c r="K546" s="236"/>
      <c r="L546" s="236"/>
      <c r="M546" s="236"/>
      <c r="N546" s="236"/>
      <c r="O546" s="236"/>
      <c r="P546" s="236"/>
      <c r="Q546" s="236"/>
      <c r="R546" s="236"/>
      <c r="S546" s="236"/>
      <c r="T546" s="236"/>
      <c r="U546" s="236"/>
      <c r="V546" s="236"/>
      <c r="W546" s="237"/>
      <c r="X546" s="237"/>
      <c r="Y546" s="237"/>
      <c r="Z546" s="237"/>
      <c r="AA546" s="237"/>
      <c r="AB546" s="237"/>
      <c r="AC546" s="237"/>
      <c r="AD546" s="237"/>
      <c r="AE546" s="237"/>
      <c r="AF546" s="237"/>
      <c r="AG546" s="237"/>
      <c r="AH546" s="237"/>
      <c r="AI546" s="308"/>
      <c r="AJ546" s="308"/>
      <c r="AK546" s="308"/>
      <c r="AL546" s="308"/>
      <c r="AM546" s="308"/>
      <c r="AN546" s="98"/>
    </row>
    <row r="547" ht="14.25" customHeight="1">
      <c r="A547" s="179"/>
      <c r="B547" s="98"/>
      <c r="C547" s="98"/>
      <c r="D547" s="98"/>
      <c r="E547" s="98"/>
      <c r="F547" s="235"/>
      <c r="G547" s="235"/>
      <c r="H547" s="236"/>
      <c r="I547" s="236"/>
      <c r="J547" s="236"/>
      <c r="K547" s="236"/>
      <c r="L547" s="236"/>
      <c r="M547" s="236"/>
      <c r="N547" s="236"/>
      <c r="O547" s="236"/>
      <c r="P547" s="236"/>
      <c r="Q547" s="236"/>
      <c r="R547" s="236"/>
      <c r="S547" s="236"/>
      <c r="T547" s="236"/>
      <c r="U547" s="236"/>
      <c r="V547" s="236"/>
      <c r="W547" s="237"/>
      <c r="X547" s="237"/>
      <c r="Y547" s="237"/>
      <c r="Z547" s="237"/>
      <c r="AA547" s="237"/>
      <c r="AB547" s="237"/>
      <c r="AC547" s="237"/>
      <c r="AD547" s="237"/>
      <c r="AE547" s="237"/>
      <c r="AF547" s="237"/>
      <c r="AG547" s="237"/>
      <c r="AH547" s="237"/>
      <c r="AI547" s="308"/>
      <c r="AJ547" s="308"/>
      <c r="AK547" s="308"/>
      <c r="AL547" s="308"/>
      <c r="AM547" s="308"/>
      <c r="AN547" s="98"/>
    </row>
    <row r="548" ht="14.25" customHeight="1">
      <c r="A548" s="179"/>
      <c r="B548" s="98"/>
      <c r="C548" s="98"/>
      <c r="D548" s="98"/>
      <c r="E548" s="98"/>
      <c r="F548" s="235"/>
      <c r="G548" s="235"/>
      <c r="H548" s="236"/>
      <c r="I548" s="236"/>
      <c r="J548" s="236"/>
      <c r="K548" s="236"/>
      <c r="L548" s="236"/>
      <c r="M548" s="236"/>
      <c r="N548" s="236"/>
      <c r="O548" s="236"/>
      <c r="P548" s="236"/>
      <c r="Q548" s="236"/>
      <c r="R548" s="236"/>
      <c r="S548" s="236"/>
      <c r="T548" s="236"/>
      <c r="U548" s="236"/>
      <c r="V548" s="236"/>
      <c r="W548" s="237"/>
      <c r="X548" s="237"/>
      <c r="Y548" s="237"/>
      <c r="Z548" s="237"/>
      <c r="AA548" s="237"/>
      <c r="AB548" s="237"/>
      <c r="AC548" s="237"/>
      <c r="AD548" s="237"/>
      <c r="AE548" s="237"/>
      <c r="AF548" s="237"/>
      <c r="AG548" s="237"/>
      <c r="AH548" s="237"/>
      <c r="AI548" s="308"/>
      <c r="AJ548" s="308"/>
      <c r="AK548" s="308"/>
      <c r="AL548" s="308"/>
      <c r="AM548" s="308"/>
      <c r="AN548" s="98"/>
    </row>
    <row r="549" ht="14.25" customHeight="1">
      <c r="A549" s="179"/>
      <c r="B549" s="98"/>
      <c r="C549" s="98"/>
      <c r="D549" s="98"/>
      <c r="E549" s="98"/>
      <c r="F549" s="235"/>
      <c r="G549" s="235"/>
      <c r="H549" s="236"/>
      <c r="I549" s="236"/>
      <c r="J549" s="236"/>
      <c r="K549" s="236"/>
      <c r="L549" s="236"/>
      <c r="M549" s="236"/>
      <c r="N549" s="236"/>
      <c r="O549" s="236"/>
      <c r="P549" s="236"/>
      <c r="Q549" s="236"/>
      <c r="R549" s="236"/>
      <c r="S549" s="236"/>
      <c r="T549" s="236"/>
      <c r="U549" s="236"/>
      <c r="V549" s="236"/>
      <c r="W549" s="237"/>
      <c r="X549" s="237"/>
      <c r="Y549" s="237"/>
      <c r="Z549" s="237"/>
      <c r="AA549" s="237"/>
      <c r="AB549" s="237"/>
      <c r="AC549" s="237"/>
      <c r="AD549" s="237"/>
      <c r="AE549" s="237"/>
      <c r="AF549" s="237"/>
      <c r="AG549" s="237"/>
      <c r="AH549" s="237"/>
      <c r="AI549" s="308"/>
      <c r="AJ549" s="308"/>
      <c r="AK549" s="308"/>
      <c r="AL549" s="308"/>
      <c r="AM549" s="308"/>
      <c r="AN549" s="98"/>
    </row>
    <row r="550" ht="14.25" customHeight="1">
      <c r="A550" s="179"/>
      <c r="B550" s="98"/>
      <c r="C550" s="98"/>
      <c r="D550" s="98"/>
      <c r="E550" s="98"/>
      <c r="F550" s="235"/>
      <c r="G550" s="235"/>
      <c r="H550" s="236"/>
      <c r="I550" s="236"/>
      <c r="J550" s="236"/>
      <c r="K550" s="236"/>
      <c r="L550" s="236"/>
      <c r="M550" s="236"/>
      <c r="N550" s="236"/>
      <c r="O550" s="236"/>
      <c r="P550" s="236"/>
      <c r="Q550" s="236"/>
      <c r="R550" s="236"/>
      <c r="S550" s="236"/>
      <c r="T550" s="236"/>
      <c r="U550" s="236"/>
      <c r="V550" s="236"/>
      <c r="W550" s="237"/>
      <c r="X550" s="237"/>
      <c r="Y550" s="237"/>
      <c r="Z550" s="237"/>
      <c r="AA550" s="237"/>
      <c r="AB550" s="237"/>
      <c r="AC550" s="237"/>
      <c r="AD550" s="237"/>
      <c r="AE550" s="237"/>
      <c r="AF550" s="237"/>
      <c r="AG550" s="237"/>
      <c r="AH550" s="237"/>
      <c r="AI550" s="308"/>
      <c r="AJ550" s="308"/>
      <c r="AK550" s="308"/>
      <c r="AL550" s="308"/>
      <c r="AM550" s="308"/>
      <c r="AN550" s="98"/>
    </row>
    <row r="551" ht="14.25" customHeight="1">
      <c r="A551" s="179"/>
      <c r="B551" s="98"/>
      <c r="C551" s="98"/>
      <c r="D551" s="98"/>
      <c r="E551" s="98"/>
      <c r="F551" s="235"/>
      <c r="G551" s="235"/>
      <c r="H551" s="236"/>
      <c r="I551" s="236"/>
      <c r="J551" s="236"/>
      <c r="K551" s="236"/>
      <c r="L551" s="236"/>
      <c r="M551" s="236"/>
      <c r="N551" s="236"/>
      <c r="O551" s="236"/>
      <c r="P551" s="236"/>
      <c r="Q551" s="236"/>
      <c r="R551" s="236"/>
      <c r="S551" s="236"/>
      <c r="T551" s="236"/>
      <c r="U551" s="236"/>
      <c r="V551" s="236"/>
      <c r="W551" s="237"/>
      <c r="X551" s="237"/>
      <c r="Y551" s="237"/>
      <c r="Z551" s="237"/>
      <c r="AA551" s="237"/>
      <c r="AB551" s="237"/>
      <c r="AC551" s="237"/>
      <c r="AD551" s="237"/>
      <c r="AE551" s="237"/>
      <c r="AF551" s="237"/>
      <c r="AG551" s="237"/>
      <c r="AH551" s="237"/>
      <c r="AI551" s="308"/>
      <c r="AJ551" s="308"/>
      <c r="AK551" s="308"/>
      <c r="AL551" s="308"/>
      <c r="AM551" s="308"/>
      <c r="AN551" s="98"/>
    </row>
    <row r="552" ht="14.25" customHeight="1">
      <c r="A552" s="179"/>
      <c r="B552" s="98"/>
      <c r="C552" s="98"/>
      <c r="D552" s="98"/>
      <c r="E552" s="98"/>
      <c r="F552" s="235"/>
      <c r="G552" s="235"/>
      <c r="H552" s="236"/>
      <c r="I552" s="236"/>
      <c r="J552" s="236"/>
      <c r="K552" s="236"/>
      <c r="L552" s="236"/>
      <c r="M552" s="236"/>
      <c r="N552" s="236"/>
      <c r="O552" s="236"/>
      <c r="P552" s="236"/>
      <c r="Q552" s="236"/>
      <c r="R552" s="236"/>
      <c r="S552" s="236"/>
      <c r="T552" s="236"/>
      <c r="U552" s="236"/>
      <c r="V552" s="236"/>
      <c r="W552" s="237"/>
      <c r="X552" s="237"/>
      <c r="Y552" s="237"/>
      <c r="Z552" s="237"/>
      <c r="AA552" s="237"/>
      <c r="AB552" s="237"/>
      <c r="AC552" s="237"/>
      <c r="AD552" s="237"/>
      <c r="AE552" s="237"/>
      <c r="AF552" s="237"/>
      <c r="AG552" s="237"/>
      <c r="AH552" s="237"/>
      <c r="AI552" s="308"/>
      <c r="AJ552" s="308"/>
      <c r="AK552" s="308"/>
      <c r="AL552" s="308"/>
      <c r="AM552" s="308"/>
      <c r="AN552" s="98"/>
    </row>
    <row r="553" ht="14.25" customHeight="1">
      <c r="A553" s="179"/>
      <c r="B553" s="98"/>
      <c r="C553" s="98"/>
      <c r="D553" s="98"/>
      <c r="E553" s="98"/>
      <c r="F553" s="235"/>
      <c r="G553" s="235"/>
      <c r="H553" s="236"/>
      <c r="I553" s="236"/>
      <c r="J553" s="236"/>
      <c r="K553" s="236"/>
      <c r="L553" s="236"/>
      <c r="M553" s="236"/>
      <c r="N553" s="236"/>
      <c r="O553" s="236"/>
      <c r="P553" s="236"/>
      <c r="Q553" s="236"/>
      <c r="R553" s="236"/>
      <c r="S553" s="236"/>
      <c r="T553" s="236"/>
      <c r="U553" s="236"/>
      <c r="V553" s="236"/>
      <c r="W553" s="237"/>
      <c r="X553" s="237"/>
      <c r="Y553" s="237"/>
      <c r="Z553" s="237"/>
      <c r="AA553" s="237"/>
      <c r="AB553" s="237"/>
      <c r="AC553" s="237"/>
      <c r="AD553" s="237"/>
      <c r="AE553" s="237"/>
      <c r="AF553" s="237"/>
      <c r="AG553" s="237"/>
      <c r="AH553" s="237"/>
      <c r="AI553" s="308"/>
      <c r="AJ553" s="308"/>
      <c r="AK553" s="308"/>
      <c r="AL553" s="308"/>
      <c r="AM553" s="308"/>
      <c r="AN553" s="98"/>
    </row>
    <row r="554" ht="14.25" customHeight="1">
      <c r="A554" s="179"/>
      <c r="B554" s="98"/>
      <c r="C554" s="98"/>
      <c r="D554" s="98"/>
      <c r="E554" s="98"/>
      <c r="F554" s="235"/>
      <c r="G554" s="235"/>
      <c r="H554" s="236"/>
      <c r="I554" s="236"/>
      <c r="J554" s="236"/>
      <c r="K554" s="236"/>
      <c r="L554" s="236"/>
      <c r="M554" s="236"/>
      <c r="N554" s="236"/>
      <c r="O554" s="236"/>
      <c r="P554" s="236"/>
      <c r="Q554" s="236"/>
      <c r="R554" s="236"/>
      <c r="S554" s="236"/>
      <c r="T554" s="236"/>
      <c r="U554" s="236"/>
      <c r="V554" s="236"/>
      <c r="W554" s="237"/>
      <c r="X554" s="237"/>
      <c r="Y554" s="237"/>
      <c r="Z554" s="237"/>
      <c r="AA554" s="237"/>
      <c r="AB554" s="237"/>
      <c r="AC554" s="237"/>
      <c r="AD554" s="237"/>
      <c r="AE554" s="237"/>
      <c r="AF554" s="237"/>
      <c r="AG554" s="237"/>
      <c r="AH554" s="237"/>
      <c r="AI554" s="308"/>
      <c r="AJ554" s="308"/>
      <c r="AK554" s="308"/>
      <c r="AL554" s="308"/>
      <c r="AM554" s="308"/>
      <c r="AN554" s="98"/>
    </row>
    <row r="555" ht="14.25" customHeight="1">
      <c r="A555" s="179"/>
      <c r="B555" s="98"/>
      <c r="C555" s="98"/>
      <c r="D555" s="98"/>
      <c r="E555" s="98"/>
      <c r="F555" s="235"/>
      <c r="G555" s="235"/>
      <c r="H555" s="236"/>
      <c r="I555" s="236"/>
      <c r="J555" s="236"/>
      <c r="K555" s="236"/>
      <c r="L555" s="236"/>
      <c r="M555" s="236"/>
      <c r="N555" s="236"/>
      <c r="O555" s="236"/>
      <c r="P555" s="236"/>
      <c r="Q555" s="236"/>
      <c r="R555" s="236"/>
      <c r="S555" s="236"/>
      <c r="T555" s="236"/>
      <c r="U555" s="236"/>
      <c r="V555" s="236"/>
      <c r="W555" s="237"/>
      <c r="X555" s="237"/>
      <c r="Y555" s="237"/>
      <c r="Z555" s="237"/>
      <c r="AA555" s="237"/>
      <c r="AB555" s="237"/>
      <c r="AC555" s="237"/>
      <c r="AD555" s="237"/>
      <c r="AE555" s="237"/>
      <c r="AF555" s="237"/>
      <c r="AG555" s="237"/>
      <c r="AH555" s="237"/>
      <c r="AI555" s="308"/>
      <c r="AJ555" s="308"/>
      <c r="AK555" s="308"/>
      <c r="AL555" s="308"/>
      <c r="AM555" s="308"/>
      <c r="AN555" s="98"/>
    </row>
    <row r="556" ht="14.25" customHeight="1">
      <c r="A556" s="179"/>
      <c r="B556" s="98"/>
      <c r="C556" s="98"/>
      <c r="D556" s="98"/>
      <c r="E556" s="98"/>
      <c r="F556" s="235"/>
      <c r="G556" s="235"/>
      <c r="H556" s="236"/>
      <c r="I556" s="236"/>
      <c r="J556" s="236"/>
      <c r="K556" s="236"/>
      <c r="L556" s="236"/>
      <c r="M556" s="236"/>
      <c r="N556" s="236"/>
      <c r="O556" s="236"/>
      <c r="P556" s="236"/>
      <c r="Q556" s="236"/>
      <c r="R556" s="236"/>
      <c r="S556" s="236"/>
      <c r="T556" s="236"/>
      <c r="U556" s="236"/>
      <c r="V556" s="236"/>
      <c r="W556" s="237"/>
      <c r="X556" s="237"/>
      <c r="Y556" s="237"/>
      <c r="Z556" s="237"/>
      <c r="AA556" s="237"/>
      <c r="AB556" s="237"/>
      <c r="AC556" s="237"/>
      <c r="AD556" s="237"/>
      <c r="AE556" s="237"/>
      <c r="AF556" s="237"/>
      <c r="AG556" s="237"/>
      <c r="AH556" s="237"/>
      <c r="AI556" s="308"/>
      <c r="AJ556" s="308"/>
      <c r="AK556" s="308"/>
      <c r="AL556" s="308"/>
      <c r="AM556" s="308"/>
      <c r="AN556" s="98"/>
    </row>
    <row r="557" ht="14.25" customHeight="1">
      <c r="A557" s="179"/>
      <c r="B557" s="98"/>
      <c r="C557" s="98"/>
      <c r="D557" s="98"/>
      <c r="E557" s="98"/>
      <c r="F557" s="235"/>
      <c r="G557" s="235"/>
      <c r="H557" s="236"/>
      <c r="I557" s="236"/>
      <c r="J557" s="236"/>
      <c r="K557" s="236"/>
      <c r="L557" s="236"/>
      <c r="M557" s="236"/>
      <c r="N557" s="236"/>
      <c r="O557" s="236"/>
      <c r="P557" s="236"/>
      <c r="Q557" s="236"/>
      <c r="R557" s="236"/>
      <c r="S557" s="236"/>
      <c r="T557" s="236"/>
      <c r="U557" s="236"/>
      <c r="V557" s="236"/>
      <c r="W557" s="237"/>
      <c r="X557" s="237"/>
      <c r="Y557" s="237"/>
      <c r="Z557" s="237"/>
      <c r="AA557" s="237"/>
      <c r="AB557" s="237"/>
      <c r="AC557" s="237"/>
      <c r="AD557" s="237"/>
      <c r="AE557" s="237"/>
      <c r="AF557" s="237"/>
      <c r="AG557" s="237"/>
      <c r="AH557" s="237"/>
      <c r="AI557" s="308"/>
      <c r="AJ557" s="308"/>
      <c r="AK557" s="308"/>
      <c r="AL557" s="308"/>
      <c r="AM557" s="308"/>
      <c r="AN557" s="98"/>
    </row>
    <row r="558" ht="14.25" customHeight="1">
      <c r="A558" s="179"/>
      <c r="B558" s="98"/>
      <c r="C558" s="98"/>
      <c r="D558" s="98"/>
      <c r="E558" s="98"/>
      <c r="F558" s="235"/>
      <c r="G558" s="235"/>
      <c r="H558" s="236"/>
      <c r="I558" s="236"/>
      <c r="J558" s="236"/>
      <c r="K558" s="236"/>
      <c r="L558" s="236"/>
      <c r="M558" s="236"/>
      <c r="N558" s="236"/>
      <c r="O558" s="236"/>
      <c r="P558" s="236"/>
      <c r="Q558" s="236"/>
      <c r="R558" s="236"/>
      <c r="S558" s="236"/>
      <c r="T558" s="236"/>
      <c r="U558" s="236"/>
      <c r="V558" s="236"/>
      <c r="W558" s="237"/>
      <c r="X558" s="237"/>
      <c r="Y558" s="237"/>
      <c r="Z558" s="237"/>
      <c r="AA558" s="237"/>
      <c r="AB558" s="237"/>
      <c r="AC558" s="237"/>
      <c r="AD558" s="237"/>
      <c r="AE558" s="237"/>
      <c r="AF558" s="237"/>
      <c r="AG558" s="237"/>
      <c r="AH558" s="237"/>
      <c r="AI558" s="308"/>
      <c r="AJ558" s="308"/>
      <c r="AK558" s="308"/>
      <c r="AL558" s="308"/>
      <c r="AM558" s="308"/>
      <c r="AN558" s="98"/>
    </row>
    <row r="559" ht="14.25" customHeight="1">
      <c r="A559" s="179"/>
      <c r="B559" s="98"/>
      <c r="C559" s="98"/>
      <c r="D559" s="98"/>
      <c r="E559" s="98"/>
      <c r="F559" s="235"/>
      <c r="G559" s="235"/>
      <c r="H559" s="236"/>
      <c r="I559" s="236"/>
      <c r="J559" s="236"/>
      <c r="K559" s="236"/>
      <c r="L559" s="236"/>
      <c r="M559" s="236"/>
      <c r="N559" s="236"/>
      <c r="O559" s="236"/>
      <c r="P559" s="236"/>
      <c r="Q559" s="236"/>
      <c r="R559" s="236"/>
      <c r="S559" s="236"/>
      <c r="T559" s="236"/>
      <c r="U559" s="236"/>
      <c r="V559" s="236"/>
      <c r="W559" s="237"/>
      <c r="X559" s="237"/>
      <c r="Y559" s="237"/>
      <c r="Z559" s="237"/>
      <c r="AA559" s="237"/>
      <c r="AB559" s="237"/>
      <c r="AC559" s="237"/>
      <c r="AD559" s="237"/>
      <c r="AE559" s="237"/>
      <c r="AF559" s="237"/>
      <c r="AG559" s="237"/>
      <c r="AH559" s="237"/>
      <c r="AI559" s="308"/>
      <c r="AJ559" s="308"/>
      <c r="AK559" s="308"/>
      <c r="AL559" s="308"/>
      <c r="AM559" s="308"/>
      <c r="AN559" s="98"/>
    </row>
    <row r="560" ht="14.25" customHeight="1">
      <c r="A560" s="179"/>
      <c r="B560" s="98"/>
      <c r="C560" s="98"/>
      <c r="D560" s="98"/>
      <c r="E560" s="98"/>
      <c r="F560" s="235"/>
      <c r="G560" s="235"/>
      <c r="H560" s="236"/>
      <c r="I560" s="236"/>
      <c r="J560" s="236"/>
      <c r="K560" s="236"/>
      <c r="L560" s="236"/>
      <c r="M560" s="236"/>
      <c r="N560" s="236"/>
      <c r="O560" s="236"/>
      <c r="P560" s="236"/>
      <c r="Q560" s="236"/>
      <c r="R560" s="236"/>
      <c r="S560" s="236"/>
      <c r="T560" s="236"/>
      <c r="U560" s="236"/>
      <c r="V560" s="236"/>
      <c r="W560" s="237"/>
      <c r="X560" s="237"/>
      <c r="Y560" s="237"/>
      <c r="Z560" s="237"/>
      <c r="AA560" s="237"/>
      <c r="AB560" s="237"/>
      <c r="AC560" s="237"/>
      <c r="AD560" s="237"/>
      <c r="AE560" s="237"/>
      <c r="AF560" s="237"/>
      <c r="AG560" s="237"/>
      <c r="AH560" s="237"/>
      <c r="AI560" s="308"/>
      <c r="AJ560" s="308"/>
      <c r="AK560" s="308"/>
      <c r="AL560" s="308"/>
      <c r="AM560" s="308"/>
      <c r="AN560" s="98"/>
    </row>
    <row r="561" ht="14.25" customHeight="1">
      <c r="A561" s="179"/>
      <c r="B561" s="98"/>
      <c r="C561" s="98"/>
      <c r="D561" s="98"/>
      <c r="E561" s="98"/>
      <c r="F561" s="235"/>
      <c r="G561" s="235"/>
      <c r="H561" s="236"/>
      <c r="I561" s="236"/>
      <c r="J561" s="236"/>
      <c r="K561" s="236"/>
      <c r="L561" s="236"/>
      <c r="M561" s="236"/>
      <c r="N561" s="236"/>
      <c r="O561" s="236"/>
      <c r="P561" s="236"/>
      <c r="Q561" s="236"/>
      <c r="R561" s="236"/>
      <c r="S561" s="236"/>
      <c r="T561" s="236"/>
      <c r="U561" s="236"/>
      <c r="V561" s="236"/>
      <c r="W561" s="237"/>
      <c r="X561" s="237"/>
      <c r="Y561" s="237"/>
      <c r="Z561" s="237"/>
      <c r="AA561" s="237"/>
      <c r="AB561" s="237"/>
      <c r="AC561" s="237"/>
      <c r="AD561" s="237"/>
      <c r="AE561" s="237"/>
      <c r="AF561" s="237"/>
      <c r="AG561" s="237"/>
      <c r="AH561" s="237"/>
      <c r="AI561" s="308"/>
      <c r="AJ561" s="308"/>
      <c r="AK561" s="308"/>
      <c r="AL561" s="308"/>
      <c r="AM561" s="308"/>
      <c r="AN561" s="98"/>
    </row>
    <row r="562" ht="14.25" customHeight="1">
      <c r="A562" s="179"/>
      <c r="B562" s="98"/>
      <c r="C562" s="98"/>
      <c r="D562" s="98"/>
      <c r="E562" s="98"/>
      <c r="F562" s="235"/>
      <c r="G562" s="235"/>
      <c r="H562" s="236"/>
      <c r="I562" s="236"/>
      <c r="J562" s="236"/>
      <c r="K562" s="236"/>
      <c r="L562" s="236"/>
      <c r="M562" s="236"/>
      <c r="N562" s="236"/>
      <c r="O562" s="236"/>
      <c r="P562" s="236"/>
      <c r="Q562" s="236"/>
      <c r="R562" s="236"/>
      <c r="S562" s="236"/>
      <c r="T562" s="236"/>
      <c r="U562" s="236"/>
      <c r="V562" s="236"/>
      <c r="W562" s="237"/>
      <c r="X562" s="237"/>
      <c r="Y562" s="237"/>
      <c r="Z562" s="237"/>
      <c r="AA562" s="237"/>
      <c r="AB562" s="237"/>
      <c r="AC562" s="237"/>
      <c r="AD562" s="237"/>
      <c r="AE562" s="237"/>
      <c r="AF562" s="237"/>
      <c r="AG562" s="237"/>
      <c r="AH562" s="237"/>
      <c r="AI562" s="308"/>
      <c r="AJ562" s="308"/>
      <c r="AK562" s="308"/>
      <c r="AL562" s="308"/>
      <c r="AM562" s="308"/>
      <c r="AN562" s="98"/>
    </row>
    <row r="563" ht="14.25" customHeight="1">
      <c r="A563" s="179"/>
      <c r="B563" s="98"/>
      <c r="C563" s="98"/>
      <c r="D563" s="98"/>
      <c r="E563" s="98"/>
      <c r="F563" s="235"/>
      <c r="G563" s="235"/>
      <c r="H563" s="236"/>
      <c r="I563" s="236"/>
      <c r="J563" s="236"/>
      <c r="K563" s="236"/>
      <c r="L563" s="236"/>
      <c r="M563" s="236"/>
      <c r="N563" s="236"/>
      <c r="O563" s="236"/>
      <c r="P563" s="236"/>
      <c r="Q563" s="236"/>
      <c r="R563" s="236"/>
      <c r="S563" s="236"/>
      <c r="T563" s="236"/>
      <c r="U563" s="236"/>
      <c r="V563" s="236"/>
      <c r="W563" s="237"/>
      <c r="X563" s="237"/>
      <c r="Y563" s="237"/>
      <c r="Z563" s="237"/>
      <c r="AA563" s="237"/>
      <c r="AB563" s="237"/>
      <c r="AC563" s="237"/>
      <c r="AD563" s="237"/>
      <c r="AE563" s="237"/>
      <c r="AF563" s="237"/>
      <c r="AG563" s="237"/>
      <c r="AH563" s="237"/>
      <c r="AI563" s="308"/>
      <c r="AJ563" s="308"/>
      <c r="AK563" s="308"/>
      <c r="AL563" s="308"/>
      <c r="AM563" s="308"/>
      <c r="AN563" s="98"/>
    </row>
    <row r="564" ht="14.25" customHeight="1">
      <c r="A564" s="179"/>
      <c r="B564" s="98"/>
      <c r="C564" s="98"/>
      <c r="D564" s="98"/>
      <c r="E564" s="98"/>
      <c r="F564" s="235"/>
      <c r="G564" s="235"/>
      <c r="H564" s="236"/>
      <c r="I564" s="236"/>
      <c r="J564" s="236"/>
      <c r="K564" s="236"/>
      <c r="L564" s="236"/>
      <c r="M564" s="236"/>
      <c r="N564" s="236"/>
      <c r="O564" s="236"/>
      <c r="P564" s="236"/>
      <c r="Q564" s="236"/>
      <c r="R564" s="236"/>
      <c r="S564" s="236"/>
      <c r="T564" s="236"/>
      <c r="U564" s="236"/>
      <c r="V564" s="236"/>
      <c r="W564" s="237"/>
      <c r="X564" s="237"/>
      <c r="Y564" s="237"/>
      <c r="Z564" s="237"/>
      <c r="AA564" s="237"/>
      <c r="AB564" s="237"/>
      <c r="AC564" s="237"/>
      <c r="AD564" s="237"/>
      <c r="AE564" s="237"/>
      <c r="AF564" s="237"/>
      <c r="AG564" s="237"/>
      <c r="AH564" s="237"/>
      <c r="AI564" s="308"/>
      <c r="AJ564" s="308"/>
      <c r="AK564" s="308"/>
      <c r="AL564" s="308"/>
      <c r="AM564" s="308"/>
      <c r="AN564" s="98"/>
    </row>
    <row r="565" ht="14.25" customHeight="1">
      <c r="A565" s="179"/>
      <c r="B565" s="98"/>
      <c r="C565" s="98"/>
      <c r="D565" s="98"/>
      <c r="E565" s="98"/>
      <c r="F565" s="235"/>
      <c r="G565" s="235"/>
      <c r="H565" s="236"/>
      <c r="I565" s="236"/>
      <c r="J565" s="236"/>
      <c r="K565" s="236"/>
      <c r="L565" s="236"/>
      <c r="M565" s="236"/>
      <c r="N565" s="236"/>
      <c r="O565" s="236"/>
      <c r="P565" s="236"/>
      <c r="Q565" s="236"/>
      <c r="R565" s="236"/>
      <c r="S565" s="236"/>
      <c r="T565" s="236"/>
      <c r="U565" s="236"/>
      <c r="V565" s="236"/>
      <c r="W565" s="237"/>
      <c r="X565" s="237"/>
      <c r="Y565" s="237"/>
      <c r="Z565" s="237"/>
      <c r="AA565" s="237"/>
      <c r="AB565" s="237"/>
      <c r="AC565" s="237"/>
      <c r="AD565" s="237"/>
      <c r="AE565" s="237"/>
      <c r="AF565" s="237"/>
      <c r="AG565" s="237"/>
      <c r="AH565" s="237"/>
      <c r="AI565" s="308"/>
      <c r="AJ565" s="308"/>
      <c r="AK565" s="308"/>
      <c r="AL565" s="308"/>
      <c r="AM565" s="308"/>
      <c r="AN565" s="98"/>
    </row>
    <row r="566" ht="14.25" customHeight="1">
      <c r="A566" s="179"/>
      <c r="B566" s="98"/>
      <c r="C566" s="98"/>
      <c r="D566" s="98"/>
      <c r="E566" s="98"/>
      <c r="F566" s="235"/>
      <c r="G566" s="235"/>
      <c r="H566" s="236"/>
      <c r="I566" s="236"/>
      <c r="J566" s="236"/>
      <c r="K566" s="236"/>
      <c r="L566" s="236"/>
      <c r="M566" s="236"/>
      <c r="N566" s="236"/>
      <c r="O566" s="236"/>
      <c r="P566" s="236"/>
      <c r="Q566" s="236"/>
      <c r="R566" s="236"/>
      <c r="S566" s="236"/>
      <c r="T566" s="236"/>
      <c r="U566" s="236"/>
      <c r="V566" s="236"/>
      <c r="W566" s="237"/>
      <c r="X566" s="237"/>
      <c r="Y566" s="237"/>
      <c r="Z566" s="237"/>
      <c r="AA566" s="237"/>
      <c r="AB566" s="237"/>
      <c r="AC566" s="237"/>
      <c r="AD566" s="237"/>
      <c r="AE566" s="237"/>
      <c r="AF566" s="237"/>
      <c r="AG566" s="237"/>
      <c r="AH566" s="237"/>
      <c r="AI566" s="308"/>
      <c r="AJ566" s="308"/>
      <c r="AK566" s="308"/>
      <c r="AL566" s="308"/>
      <c r="AM566" s="308"/>
      <c r="AN566" s="98"/>
    </row>
    <row r="567" ht="14.25" customHeight="1">
      <c r="A567" s="179"/>
      <c r="B567" s="98"/>
      <c r="C567" s="98"/>
      <c r="D567" s="98"/>
      <c r="E567" s="98"/>
      <c r="F567" s="235"/>
      <c r="G567" s="235"/>
      <c r="H567" s="236"/>
      <c r="I567" s="236"/>
      <c r="J567" s="236"/>
      <c r="K567" s="236"/>
      <c r="L567" s="236"/>
      <c r="M567" s="236"/>
      <c r="N567" s="236"/>
      <c r="O567" s="236"/>
      <c r="P567" s="236"/>
      <c r="Q567" s="236"/>
      <c r="R567" s="236"/>
      <c r="S567" s="236"/>
      <c r="T567" s="236"/>
      <c r="U567" s="236"/>
      <c r="V567" s="236"/>
      <c r="W567" s="237"/>
      <c r="X567" s="237"/>
      <c r="Y567" s="237"/>
      <c r="Z567" s="237"/>
      <c r="AA567" s="237"/>
      <c r="AB567" s="237"/>
      <c r="AC567" s="237"/>
      <c r="AD567" s="237"/>
      <c r="AE567" s="237"/>
      <c r="AF567" s="237"/>
      <c r="AG567" s="237"/>
      <c r="AH567" s="237"/>
      <c r="AI567" s="308"/>
      <c r="AJ567" s="308"/>
      <c r="AK567" s="308"/>
      <c r="AL567" s="308"/>
      <c r="AM567" s="308"/>
      <c r="AN567" s="98"/>
    </row>
    <row r="568" ht="14.25" customHeight="1">
      <c r="A568" s="179"/>
      <c r="B568" s="98"/>
      <c r="C568" s="98"/>
      <c r="D568" s="98"/>
      <c r="E568" s="98"/>
      <c r="F568" s="235"/>
      <c r="G568" s="235"/>
      <c r="H568" s="236"/>
      <c r="I568" s="236"/>
      <c r="J568" s="236"/>
      <c r="K568" s="236"/>
      <c r="L568" s="236"/>
      <c r="M568" s="236"/>
      <c r="N568" s="236"/>
      <c r="O568" s="236"/>
      <c r="P568" s="236"/>
      <c r="Q568" s="236"/>
      <c r="R568" s="236"/>
      <c r="S568" s="236"/>
      <c r="T568" s="236"/>
      <c r="U568" s="236"/>
      <c r="V568" s="236"/>
      <c r="W568" s="237"/>
      <c r="X568" s="237"/>
      <c r="Y568" s="237"/>
      <c r="Z568" s="237"/>
      <c r="AA568" s="237"/>
      <c r="AB568" s="237"/>
      <c r="AC568" s="237"/>
      <c r="AD568" s="237"/>
      <c r="AE568" s="237"/>
      <c r="AF568" s="237"/>
      <c r="AG568" s="237"/>
      <c r="AH568" s="237"/>
      <c r="AI568" s="308"/>
      <c r="AJ568" s="308"/>
      <c r="AK568" s="308"/>
      <c r="AL568" s="308"/>
      <c r="AM568" s="308"/>
      <c r="AN568" s="98"/>
    </row>
    <row r="569" ht="14.25" customHeight="1">
      <c r="A569" s="179"/>
      <c r="B569" s="98"/>
      <c r="C569" s="98"/>
      <c r="D569" s="98"/>
      <c r="E569" s="98"/>
      <c r="F569" s="235"/>
      <c r="G569" s="235"/>
      <c r="H569" s="236"/>
      <c r="I569" s="236"/>
      <c r="J569" s="236"/>
      <c r="K569" s="236"/>
      <c r="L569" s="236"/>
      <c r="M569" s="236"/>
      <c r="N569" s="236"/>
      <c r="O569" s="236"/>
      <c r="P569" s="236"/>
      <c r="Q569" s="236"/>
      <c r="R569" s="236"/>
      <c r="S569" s="236"/>
      <c r="T569" s="236"/>
      <c r="U569" s="236"/>
      <c r="V569" s="236"/>
      <c r="W569" s="237"/>
      <c r="X569" s="237"/>
      <c r="Y569" s="237"/>
      <c r="Z569" s="237"/>
      <c r="AA569" s="237"/>
      <c r="AB569" s="237"/>
      <c r="AC569" s="237"/>
      <c r="AD569" s="237"/>
      <c r="AE569" s="237"/>
      <c r="AF569" s="237"/>
      <c r="AG569" s="237"/>
      <c r="AH569" s="237"/>
      <c r="AI569" s="308"/>
      <c r="AJ569" s="308"/>
      <c r="AK569" s="308"/>
      <c r="AL569" s="308"/>
      <c r="AM569" s="308"/>
      <c r="AN569" s="98"/>
    </row>
    <row r="570" ht="14.25" customHeight="1">
      <c r="A570" s="179"/>
      <c r="B570" s="98"/>
      <c r="C570" s="98"/>
      <c r="D570" s="98"/>
      <c r="E570" s="98"/>
      <c r="F570" s="235"/>
      <c r="G570" s="235"/>
      <c r="H570" s="236"/>
      <c r="I570" s="236"/>
      <c r="J570" s="236"/>
      <c r="K570" s="236"/>
      <c r="L570" s="236"/>
      <c r="M570" s="236"/>
      <c r="N570" s="236"/>
      <c r="O570" s="236"/>
      <c r="P570" s="236"/>
      <c r="Q570" s="236"/>
      <c r="R570" s="236"/>
      <c r="S570" s="236"/>
      <c r="T570" s="236"/>
      <c r="U570" s="236"/>
      <c r="V570" s="236"/>
      <c r="W570" s="237"/>
      <c r="X570" s="237"/>
      <c r="Y570" s="237"/>
      <c r="Z570" s="237"/>
      <c r="AA570" s="237"/>
      <c r="AB570" s="237"/>
      <c r="AC570" s="237"/>
      <c r="AD570" s="237"/>
      <c r="AE570" s="237"/>
      <c r="AF570" s="237"/>
      <c r="AG570" s="237"/>
      <c r="AH570" s="237"/>
      <c r="AI570" s="308"/>
      <c r="AJ570" s="308"/>
      <c r="AK570" s="308"/>
      <c r="AL570" s="308"/>
      <c r="AM570" s="308"/>
      <c r="AN570" s="98"/>
    </row>
    <row r="571" ht="14.25" customHeight="1">
      <c r="A571" s="179"/>
      <c r="B571" s="98"/>
      <c r="C571" s="98"/>
      <c r="D571" s="98"/>
      <c r="E571" s="98"/>
      <c r="F571" s="235"/>
      <c r="G571" s="235"/>
      <c r="H571" s="236"/>
      <c r="I571" s="236"/>
      <c r="J571" s="236"/>
      <c r="K571" s="236"/>
      <c r="L571" s="236"/>
      <c r="M571" s="236"/>
      <c r="N571" s="236"/>
      <c r="O571" s="236"/>
      <c r="P571" s="236"/>
      <c r="Q571" s="236"/>
      <c r="R571" s="236"/>
      <c r="S571" s="236"/>
      <c r="T571" s="236"/>
      <c r="U571" s="236"/>
      <c r="V571" s="236"/>
      <c r="W571" s="237"/>
      <c r="X571" s="237"/>
      <c r="Y571" s="237"/>
      <c r="Z571" s="237"/>
      <c r="AA571" s="237"/>
      <c r="AB571" s="237"/>
      <c r="AC571" s="237"/>
      <c r="AD571" s="237"/>
      <c r="AE571" s="237"/>
      <c r="AF571" s="237"/>
      <c r="AG571" s="237"/>
      <c r="AH571" s="237"/>
      <c r="AI571" s="308"/>
      <c r="AJ571" s="308"/>
      <c r="AK571" s="308"/>
      <c r="AL571" s="308"/>
      <c r="AM571" s="308"/>
      <c r="AN571" s="98"/>
    </row>
    <row r="572" ht="14.25" customHeight="1">
      <c r="A572" s="179"/>
      <c r="B572" s="98"/>
      <c r="C572" s="98"/>
      <c r="D572" s="98"/>
      <c r="E572" s="98"/>
      <c r="F572" s="235"/>
      <c r="G572" s="235"/>
      <c r="H572" s="236"/>
      <c r="I572" s="236"/>
      <c r="J572" s="236"/>
      <c r="K572" s="236"/>
      <c r="L572" s="236"/>
      <c r="M572" s="236"/>
      <c r="N572" s="236"/>
      <c r="O572" s="236"/>
      <c r="P572" s="236"/>
      <c r="Q572" s="236"/>
      <c r="R572" s="236"/>
      <c r="S572" s="236"/>
      <c r="T572" s="236"/>
      <c r="U572" s="236"/>
      <c r="V572" s="236"/>
      <c r="W572" s="237"/>
      <c r="X572" s="237"/>
      <c r="Y572" s="237"/>
      <c r="Z572" s="237"/>
      <c r="AA572" s="237"/>
      <c r="AB572" s="237"/>
      <c r="AC572" s="237"/>
      <c r="AD572" s="237"/>
      <c r="AE572" s="237"/>
      <c r="AF572" s="237"/>
      <c r="AG572" s="237"/>
      <c r="AH572" s="237"/>
      <c r="AI572" s="308"/>
      <c r="AJ572" s="308"/>
      <c r="AK572" s="308"/>
      <c r="AL572" s="308"/>
      <c r="AM572" s="308"/>
      <c r="AN572" s="98"/>
    </row>
    <row r="573" ht="14.25" customHeight="1">
      <c r="A573" s="179"/>
      <c r="B573" s="98"/>
      <c r="C573" s="98"/>
      <c r="D573" s="98"/>
      <c r="E573" s="98"/>
      <c r="F573" s="235"/>
      <c r="G573" s="235"/>
      <c r="H573" s="236"/>
      <c r="I573" s="236"/>
      <c r="J573" s="236"/>
      <c r="K573" s="236"/>
      <c r="L573" s="236"/>
      <c r="M573" s="236"/>
      <c r="N573" s="236"/>
      <c r="O573" s="236"/>
      <c r="P573" s="236"/>
      <c r="Q573" s="236"/>
      <c r="R573" s="236"/>
      <c r="S573" s="236"/>
      <c r="T573" s="236"/>
      <c r="U573" s="236"/>
      <c r="V573" s="236"/>
      <c r="W573" s="237"/>
      <c r="X573" s="237"/>
      <c r="Y573" s="237"/>
      <c r="Z573" s="237"/>
      <c r="AA573" s="237"/>
      <c r="AB573" s="237"/>
      <c r="AC573" s="237"/>
      <c r="AD573" s="237"/>
      <c r="AE573" s="237"/>
      <c r="AF573" s="237"/>
      <c r="AG573" s="237"/>
      <c r="AH573" s="237"/>
      <c r="AI573" s="308"/>
      <c r="AJ573" s="308"/>
      <c r="AK573" s="308"/>
      <c r="AL573" s="308"/>
      <c r="AM573" s="308"/>
      <c r="AN573" s="98"/>
    </row>
    <row r="574" ht="14.25" customHeight="1">
      <c r="A574" s="179"/>
      <c r="B574" s="98"/>
      <c r="C574" s="98"/>
      <c r="D574" s="98"/>
      <c r="E574" s="98"/>
      <c r="F574" s="235"/>
      <c r="G574" s="235"/>
      <c r="H574" s="236"/>
      <c r="I574" s="236"/>
      <c r="J574" s="236"/>
      <c r="K574" s="236"/>
      <c r="L574" s="236"/>
      <c r="M574" s="236"/>
      <c r="N574" s="236"/>
      <c r="O574" s="236"/>
      <c r="P574" s="236"/>
      <c r="Q574" s="236"/>
      <c r="R574" s="236"/>
      <c r="S574" s="236"/>
      <c r="T574" s="236"/>
      <c r="U574" s="236"/>
      <c r="V574" s="236"/>
      <c r="W574" s="237"/>
      <c r="X574" s="237"/>
      <c r="Y574" s="237"/>
      <c r="Z574" s="237"/>
      <c r="AA574" s="237"/>
      <c r="AB574" s="237"/>
      <c r="AC574" s="237"/>
      <c r="AD574" s="237"/>
      <c r="AE574" s="237"/>
      <c r="AF574" s="237"/>
      <c r="AG574" s="237"/>
      <c r="AH574" s="237"/>
      <c r="AI574" s="308"/>
      <c r="AJ574" s="308"/>
      <c r="AK574" s="308"/>
      <c r="AL574" s="308"/>
      <c r="AM574" s="308"/>
      <c r="AN574" s="98"/>
    </row>
    <row r="575" ht="14.25" customHeight="1">
      <c r="A575" s="179"/>
      <c r="B575" s="98"/>
      <c r="C575" s="98"/>
      <c r="D575" s="98"/>
      <c r="E575" s="98"/>
      <c r="F575" s="235"/>
      <c r="G575" s="235"/>
      <c r="H575" s="236"/>
      <c r="I575" s="236"/>
      <c r="J575" s="236"/>
      <c r="K575" s="236"/>
      <c r="L575" s="236"/>
      <c r="M575" s="236"/>
      <c r="N575" s="236"/>
      <c r="O575" s="236"/>
      <c r="P575" s="236"/>
      <c r="Q575" s="236"/>
      <c r="R575" s="236"/>
      <c r="S575" s="236"/>
      <c r="T575" s="236"/>
      <c r="U575" s="236"/>
      <c r="V575" s="236"/>
      <c r="W575" s="237"/>
      <c r="X575" s="237"/>
      <c r="Y575" s="237"/>
      <c r="Z575" s="237"/>
      <c r="AA575" s="237"/>
      <c r="AB575" s="237"/>
      <c r="AC575" s="237"/>
      <c r="AD575" s="237"/>
      <c r="AE575" s="237"/>
      <c r="AF575" s="237"/>
      <c r="AG575" s="237"/>
      <c r="AH575" s="237"/>
      <c r="AI575" s="308"/>
      <c r="AJ575" s="308"/>
      <c r="AK575" s="308"/>
      <c r="AL575" s="308"/>
      <c r="AM575" s="308"/>
      <c r="AN575" s="98"/>
    </row>
    <row r="576" ht="14.25" customHeight="1">
      <c r="A576" s="179"/>
      <c r="B576" s="98"/>
      <c r="C576" s="98"/>
      <c r="D576" s="98"/>
      <c r="E576" s="98"/>
      <c r="F576" s="235"/>
      <c r="G576" s="235"/>
      <c r="H576" s="236"/>
      <c r="I576" s="236"/>
      <c r="J576" s="236"/>
      <c r="K576" s="236"/>
      <c r="L576" s="236"/>
      <c r="M576" s="236"/>
      <c r="N576" s="236"/>
      <c r="O576" s="236"/>
      <c r="P576" s="236"/>
      <c r="Q576" s="236"/>
      <c r="R576" s="236"/>
      <c r="S576" s="236"/>
      <c r="T576" s="236"/>
      <c r="U576" s="236"/>
      <c r="V576" s="236"/>
      <c r="W576" s="237"/>
      <c r="X576" s="237"/>
      <c r="Y576" s="237"/>
      <c r="Z576" s="237"/>
      <c r="AA576" s="237"/>
      <c r="AB576" s="237"/>
      <c r="AC576" s="237"/>
      <c r="AD576" s="237"/>
      <c r="AE576" s="237"/>
      <c r="AF576" s="237"/>
      <c r="AG576" s="237"/>
      <c r="AH576" s="237"/>
      <c r="AI576" s="308"/>
      <c r="AJ576" s="308"/>
      <c r="AK576" s="308"/>
      <c r="AL576" s="308"/>
      <c r="AM576" s="308"/>
      <c r="AN576" s="98"/>
    </row>
    <row r="577" ht="14.25" customHeight="1">
      <c r="A577" s="179"/>
      <c r="B577" s="98"/>
      <c r="C577" s="98"/>
      <c r="D577" s="98"/>
      <c r="E577" s="98"/>
      <c r="F577" s="235"/>
      <c r="G577" s="235"/>
      <c r="H577" s="236"/>
      <c r="I577" s="236"/>
      <c r="J577" s="236"/>
      <c r="K577" s="236"/>
      <c r="L577" s="236"/>
      <c r="M577" s="236"/>
      <c r="N577" s="236"/>
      <c r="O577" s="236"/>
      <c r="P577" s="236"/>
      <c r="Q577" s="236"/>
      <c r="R577" s="236"/>
      <c r="S577" s="236"/>
      <c r="T577" s="236"/>
      <c r="U577" s="236"/>
      <c r="V577" s="236"/>
      <c r="W577" s="237"/>
      <c r="X577" s="237"/>
      <c r="Y577" s="237"/>
      <c r="Z577" s="237"/>
      <c r="AA577" s="237"/>
      <c r="AB577" s="237"/>
      <c r="AC577" s="237"/>
      <c r="AD577" s="237"/>
      <c r="AE577" s="237"/>
      <c r="AF577" s="237"/>
      <c r="AG577" s="237"/>
      <c r="AH577" s="237"/>
      <c r="AI577" s="308"/>
      <c r="AJ577" s="308"/>
      <c r="AK577" s="308"/>
      <c r="AL577" s="308"/>
      <c r="AM577" s="308"/>
      <c r="AN577" s="98"/>
    </row>
    <row r="578" ht="14.25" customHeight="1">
      <c r="A578" s="179"/>
      <c r="B578" s="98"/>
      <c r="C578" s="98"/>
      <c r="D578" s="98"/>
      <c r="E578" s="98"/>
      <c r="F578" s="235"/>
      <c r="G578" s="235"/>
      <c r="H578" s="236"/>
      <c r="I578" s="236"/>
      <c r="J578" s="236"/>
      <c r="K578" s="236"/>
      <c r="L578" s="236"/>
      <c r="M578" s="236"/>
      <c r="N578" s="236"/>
      <c r="O578" s="236"/>
      <c r="P578" s="236"/>
      <c r="Q578" s="236"/>
      <c r="R578" s="236"/>
      <c r="S578" s="236"/>
      <c r="T578" s="236"/>
      <c r="U578" s="236"/>
      <c r="V578" s="236"/>
      <c r="W578" s="237"/>
      <c r="X578" s="237"/>
      <c r="Y578" s="237"/>
      <c r="Z578" s="237"/>
      <c r="AA578" s="237"/>
      <c r="AB578" s="237"/>
      <c r="AC578" s="237"/>
      <c r="AD578" s="237"/>
      <c r="AE578" s="237"/>
      <c r="AF578" s="237"/>
      <c r="AG578" s="237"/>
      <c r="AH578" s="237"/>
      <c r="AI578" s="308"/>
      <c r="AJ578" s="308"/>
      <c r="AK578" s="308"/>
      <c r="AL578" s="308"/>
      <c r="AM578" s="308"/>
      <c r="AN578" s="98"/>
    </row>
    <row r="579" ht="14.25" customHeight="1">
      <c r="A579" s="179"/>
      <c r="B579" s="98"/>
      <c r="C579" s="98"/>
      <c r="D579" s="98"/>
      <c r="E579" s="98"/>
      <c r="F579" s="235"/>
      <c r="G579" s="235"/>
      <c r="H579" s="236"/>
      <c r="I579" s="236"/>
      <c r="J579" s="236"/>
      <c r="K579" s="236"/>
      <c r="L579" s="236"/>
      <c r="M579" s="236"/>
      <c r="N579" s="236"/>
      <c r="O579" s="236"/>
      <c r="P579" s="236"/>
      <c r="Q579" s="236"/>
      <c r="R579" s="236"/>
      <c r="S579" s="236"/>
      <c r="T579" s="236"/>
      <c r="U579" s="236"/>
      <c r="V579" s="236"/>
      <c r="W579" s="237"/>
      <c r="X579" s="237"/>
      <c r="Y579" s="237"/>
      <c r="Z579" s="237"/>
      <c r="AA579" s="237"/>
      <c r="AB579" s="237"/>
      <c r="AC579" s="237"/>
      <c r="AD579" s="237"/>
      <c r="AE579" s="237"/>
      <c r="AF579" s="237"/>
      <c r="AG579" s="237"/>
      <c r="AH579" s="237"/>
      <c r="AI579" s="308"/>
      <c r="AJ579" s="308"/>
      <c r="AK579" s="308"/>
      <c r="AL579" s="308"/>
      <c r="AM579" s="308"/>
      <c r="AN579" s="98"/>
    </row>
    <row r="580" ht="14.25" customHeight="1">
      <c r="A580" s="179"/>
      <c r="B580" s="98"/>
      <c r="C580" s="98"/>
      <c r="D580" s="98"/>
      <c r="E580" s="98"/>
      <c r="F580" s="235"/>
      <c r="G580" s="235"/>
      <c r="H580" s="236"/>
      <c r="I580" s="236"/>
      <c r="J580" s="236"/>
      <c r="K580" s="236"/>
      <c r="L580" s="236"/>
      <c r="M580" s="236"/>
      <c r="N580" s="236"/>
      <c r="O580" s="236"/>
      <c r="P580" s="236"/>
      <c r="Q580" s="236"/>
      <c r="R580" s="236"/>
      <c r="S580" s="236"/>
      <c r="T580" s="236"/>
      <c r="U580" s="236"/>
      <c r="V580" s="236"/>
      <c r="W580" s="237"/>
      <c r="X580" s="237"/>
      <c r="Y580" s="237"/>
      <c r="Z580" s="237"/>
      <c r="AA580" s="237"/>
      <c r="AB580" s="237"/>
      <c r="AC580" s="237"/>
      <c r="AD580" s="237"/>
      <c r="AE580" s="237"/>
      <c r="AF580" s="237"/>
      <c r="AG580" s="237"/>
      <c r="AH580" s="237"/>
      <c r="AI580" s="308"/>
      <c r="AJ580" s="308"/>
      <c r="AK580" s="308"/>
      <c r="AL580" s="308"/>
      <c r="AM580" s="308"/>
      <c r="AN580" s="98"/>
    </row>
    <row r="581" ht="14.25" customHeight="1">
      <c r="A581" s="179"/>
      <c r="B581" s="98"/>
      <c r="C581" s="98"/>
      <c r="D581" s="98"/>
      <c r="E581" s="98"/>
      <c r="F581" s="235"/>
      <c r="G581" s="235"/>
      <c r="H581" s="236"/>
      <c r="I581" s="236"/>
      <c r="J581" s="236"/>
      <c r="K581" s="236"/>
      <c r="L581" s="236"/>
      <c r="M581" s="236"/>
      <c r="N581" s="236"/>
      <c r="O581" s="236"/>
      <c r="P581" s="236"/>
      <c r="Q581" s="236"/>
      <c r="R581" s="236"/>
      <c r="S581" s="236"/>
      <c r="T581" s="236"/>
      <c r="U581" s="236"/>
      <c r="V581" s="236"/>
      <c r="W581" s="237"/>
      <c r="X581" s="237"/>
      <c r="Y581" s="237"/>
      <c r="Z581" s="237"/>
      <c r="AA581" s="237"/>
      <c r="AB581" s="237"/>
      <c r="AC581" s="237"/>
      <c r="AD581" s="237"/>
      <c r="AE581" s="237"/>
      <c r="AF581" s="237"/>
      <c r="AG581" s="237"/>
      <c r="AH581" s="237"/>
      <c r="AI581" s="308"/>
      <c r="AJ581" s="308"/>
      <c r="AK581" s="308"/>
      <c r="AL581" s="308"/>
      <c r="AM581" s="308"/>
      <c r="AN581" s="98"/>
    </row>
    <row r="582" ht="14.25" customHeight="1">
      <c r="A582" s="179"/>
      <c r="B582" s="98"/>
      <c r="C582" s="98"/>
      <c r="D582" s="98"/>
      <c r="E582" s="98"/>
      <c r="F582" s="235"/>
      <c r="G582" s="235"/>
      <c r="H582" s="236"/>
      <c r="I582" s="236"/>
      <c r="J582" s="236"/>
      <c r="K582" s="236"/>
      <c r="L582" s="236"/>
      <c r="M582" s="236"/>
      <c r="N582" s="236"/>
      <c r="O582" s="236"/>
      <c r="P582" s="236"/>
      <c r="Q582" s="236"/>
      <c r="R582" s="236"/>
      <c r="S582" s="236"/>
      <c r="T582" s="236"/>
      <c r="U582" s="236"/>
      <c r="V582" s="236"/>
      <c r="W582" s="237"/>
      <c r="X582" s="237"/>
      <c r="Y582" s="237"/>
      <c r="Z582" s="237"/>
      <c r="AA582" s="237"/>
      <c r="AB582" s="237"/>
      <c r="AC582" s="237"/>
      <c r="AD582" s="237"/>
      <c r="AE582" s="237"/>
      <c r="AF582" s="237"/>
      <c r="AG582" s="237"/>
      <c r="AH582" s="237"/>
      <c r="AI582" s="308"/>
      <c r="AJ582" s="308"/>
      <c r="AK582" s="308"/>
      <c r="AL582" s="308"/>
      <c r="AM582" s="308"/>
      <c r="AN582" s="98"/>
    </row>
    <row r="583" ht="14.25" customHeight="1">
      <c r="A583" s="179"/>
      <c r="B583" s="98"/>
      <c r="C583" s="98"/>
      <c r="D583" s="98"/>
      <c r="E583" s="98"/>
      <c r="F583" s="235"/>
      <c r="G583" s="235"/>
      <c r="H583" s="236"/>
      <c r="I583" s="236"/>
      <c r="J583" s="236"/>
      <c r="K583" s="236"/>
      <c r="L583" s="236"/>
      <c r="M583" s="236"/>
      <c r="N583" s="236"/>
      <c r="O583" s="236"/>
      <c r="P583" s="236"/>
      <c r="Q583" s="236"/>
      <c r="R583" s="236"/>
      <c r="S583" s="236"/>
      <c r="T583" s="236"/>
      <c r="U583" s="236"/>
      <c r="V583" s="236"/>
      <c r="W583" s="237"/>
      <c r="X583" s="237"/>
      <c r="Y583" s="237"/>
      <c r="Z583" s="237"/>
      <c r="AA583" s="237"/>
      <c r="AB583" s="237"/>
      <c r="AC583" s="237"/>
      <c r="AD583" s="237"/>
      <c r="AE583" s="237"/>
      <c r="AF583" s="237"/>
      <c r="AG583" s="237"/>
      <c r="AH583" s="237"/>
      <c r="AI583" s="308"/>
      <c r="AJ583" s="308"/>
      <c r="AK583" s="308"/>
      <c r="AL583" s="308"/>
      <c r="AM583" s="308"/>
      <c r="AN583" s="98"/>
    </row>
    <row r="584" ht="14.25" customHeight="1">
      <c r="A584" s="179"/>
      <c r="B584" s="98"/>
      <c r="C584" s="98"/>
      <c r="D584" s="98"/>
      <c r="E584" s="98"/>
      <c r="F584" s="235"/>
      <c r="G584" s="235"/>
      <c r="H584" s="236"/>
      <c r="I584" s="236"/>
      <c r="J584" s="236"/>
      <c r="K584" s="236"/>
      <c r="L584" s="236"/>
      <c r="M584" s="236"/>
      <c r="N584" s="236"/>
      <c r="O584" s="236"/>
      <c r="P584" s="236"/>
      <c r="Q584" s="236"/>
      <c r="R584" s="236"/>
      <c r="S584" s="236"/>
      <c r="T584" s="236"/>
      <c r="U584" s="236"/>
      <c r="V584" s="236"/>
      <c r="W584" s="237"/>
      <c r="X584" s="237"/>
      <c r="Y584" s="237"/>
      <c r="Z584" s="237"/>
      <c r="AA584" s="237"/>
      <c r="AB584" s="237"/>
      <c r="AC584" s="237"/>
      <c r="AD584" s="237"/>
      <c r="AE584" s="237"/>
      <c r="AF584" s="237"/>
      <c r="AG584" s="237"/>
      <c r="AH584" s="237"/>
      <c r="AI584" s="308"/>
      <c r="AJ584" s="308"/>
      <c r="AK584" s="308"/>
      <c r="AL584" s="308"/>
      <c r="AM584" s="308"/>
      <c r="AN584" s="98"/>
    </row>
    <row r="585" ht="14.25" customHeight="1">
      <c r="A585" s="179"/>
      <c r="B585" s="98"/>
      <c r="C585" s="98"/>
      <c r="D585" s="98"/>
      <c r="E585" s="98"/>
      <c r="F585" s="235"/>
      <c r="G585" s="235"/>
      <c r="H585" s="236"/>
      <c r="I585" s="236"/>
      <c r="J585" s="236"/>
      <c r="K585" s="236"/>
      <c r="L585" s="236"/>
      <c r="M585" s="236"/>
      <c r="N585" s="236"/>
      <c r="O585" s="236"/>
      <c r="P585" s="236"/>
      <c r="Q585" s="236"/>
      <c r="R585" s="236"/>
      <c r="S585" s="236"/>
      <c r="T585" s="236"/>
      <c r="U585" s="236"/>
      <c r="V585" s="236"/>
      <c r="W585" s="237"/>
      <c r="X585" s="237"/>
      <c r="Y585" s="237"/>
      <c r="Z585" s="237"/>
      <c r="AA585" s="237"/>
      <c r="AB585" s="237"/>
      <c r="AC585" s="237"/>
      <c r="AD585" s="237"/>
      <c r="AE585" s="237"/>
      <c r="AF585" s="237"/>
      <c r="AG585" s="237"/>
      <c r="AH585" s="237"/>
      <c r="AI585" s="308"/>
      <c r="AJ585" s="308"/>
      <c r="AK585" s="308"/>
      <c r="AL585" s="308"/>
      <c r="AM585" s="308"/>
      <c r="AN585" s="98"/>
    </row>
    <row r="586" ht="14.25" customHeight="1">
      <c r="A586" s="179"/>
      <c r="B586" s="98"/>
      <c r="C586" s="98"/>
      <c r="D586" s="98"/>
      <c r="E586" s="98"/>
      <c r="F586" s="235"/>
      <c r="G586" s="235"/>
      <c r="H586" s="236"/>
      <c r="I586" s="236"/>
      <c r="J586" s="236"/>
      <c r="K586" s="236"/>
      <c r="L586" s="236"/>
      <c r="M586" s="236"/>
      <c r="N586" s="236"/>
      <c r="O586" s="236"/>
      <c r="P586" s="236"/>
      <c r="Q586" s="236"/>
      <c r="R586" s="236"/>
      <c r="S586" s="236"/>
      <c r="T586" s="236"/>
      <c r="U586" s="236"/>
      <c r="V586" s="236"/>
      <c r="W586" s="237"/>
      <c r="X586" s="237"/>
      <c r="Y586" s="237"/>
      <c r="Z586" s="237"/>
      <c r="AA586" s="237"/>
      <c r="AB586" s="237"/>
      <c r="AC586" s="237"/>
      <c r="AD586" s="237"/>
      <c r="AE586" s="237"/>
      <c r="AF586" s="237"/>
      <c r="AG586" s="237"/>
      <c r="AH586" s="237"/>
      <c r="AI586" s="308"/>
      <c r="AJ586" s="308"/>
      <c r="AK586" s="308"/>
      <c r="AL586" s="308"/>
      <c r="AM586" s="308"/>
      <c r="AN586" s="98"/>
    </row>
    <row r="587" ht="14.25" customHeight="1">
      <c r="A587" s="179"/>
      <c r="B587" s="98"/>
      <c r="C587" s="98"/>
      <c r="D587" s="98"/>
      <c r="E587" s="98"/>
      <c r="F587" s="235"/>
      <c r="G587" s="235"/>
      <c r="H587" s="236"/>
      <c r="I587" s="236"/>
      <c r="J587" s="236"/>
      <c r="K587" s="236"/>
      <c r="L587" s="236"/>
      <c r="M587" s="236"/>
      <c r="N587" s="236"/>
      <c r="O587" s="236"/>
      <c r="P587" s="236"/>
      <c r="Q587" s="236"/>
      <c r="R587" s="236"/>
      <c r="S587" s="236"/>
      <c r="T587" s="236"/>
      <c r="U587" s="236"/>
      <c r="V587" s="236"/>
      <c r="W587" s="237"/>
      <c r="X587" s="237"/>
      <c r="Y587" s="237"/>
      <c r="Z587" s="237"/>
      <c r="AA587" s="237"/>
      <c r="AB587" s="237"/>
      <c r="AC587" s="237"/>
      <c r="AD587" s="237"/>
      <c r="AE587" s="237"/>
      <c r="AF587" s="237"/>
      <c r="AG587" s="237"/>
      <c r="AH587" s="237"/>
      <c r="AI587" s="308"/>
      <c r="AJ587" s="308"/>
      <c r="AK587" s="308"/>
      <c r="AL587" s="308"/>
      <c r="AM587" s="308"/>
      <c r="AN587" s="98"/>
    </row>
    <row r="588" ht="14.25" customHeight="1">
      <c r="A588" s="179"/>
      <c r="B588" s="98"/>
      <c r="C588" s="98"/>
      <c r="D588" s="98"/>
      <c r="E588" s="98"/>
      <c r="F588" s="235"/>
      <c r="G588" s="235"/>
      <c r="H588" s="236"/>
      <c r="I588" s="236"/>
      <c r="J588" s="236"/>
      <c r="K588" s="236"/>
      <c r="L588" s="236"/>
      <c r="M588" s="236"/>
      <c r="N588" s="236"/>
      <c r="O588" s="236"/>
      <c r="P588" s="236"/>
      <c r="Q588" s="236"/>
      <c r="R588" s="236"/>
      <c r="S588" s="236"/>
      <c r="T588" s="236"/>
      <c r="U588" s="236"/>
      <c r="V588" s="236"/>
      <c r="W588" s="237"/>
      <c r="X588" s="237"/>
      <c r="Y588" s="237"/>
      <c r="Z588" s="237"/>
      <c r="AA588" s="237"/>
      <c r="AB588" s="237"/>
      <c r="AC588" s="237"/>
      <c r="AD588" s="237"/>
      <c r="AE588" s="237"/>
      <c r="AF588" s="237"/>
      <c r="AG588" s="237"/>
      <c r="AH588" s="237"/>
      <c r="AI588" s="308"/>
      <c r="AJ588" s="308"/>
      <c r="AK588" s="308"/>
      <c r="AL588" s="308"/>
      <c r="AM588" s="308"/>
      <c r="AN588" s="98"/>
    </row>
    <row r="589" ht="14.25" customHeight="1">
      <c r="A589" s="179"/>
      <c r="B589" s="98"/>
      <c r="C589" s="98"/>
      <c r="D589" s="98"/>
      <c r="E589" s="98"/>
      <c r="F589" s="235"/>
      <c r="G589" s="235"/>
      <c r="H589" s="236"/>
      <c r="I589" s="236"/>
      <c r="J589" s="236"/>
      <c r="K589" s="236"/>
      <c r="L589" s="236"/>
      <c r="M589" s="236"/>
      <c r="N589" s="236"/>
      <c r="O589" s="236"/>
      <c r="P589" s="236"/>
      <c r="Q589" s="236"/>
      <c r="R589" s="236"/>
      <c r="S589" s="236"/>
      <c r="T589" s="236"/>
      <c r="U589" s="236"/>
      <c r="V589" s="236"/>
      <c r="W589" s="237"/>
      <c r="X589" s="237"/>
      <c r="Y589" s="237"/>
      <c r="Z589" s="237"/>
      <c r="AA589" s="237"/>
      <c r="AB589" s="237"/>
      <c r="AC589" s="237"/>
      <c r="AD589" s="237"/>
      <c r="AE589" s="237"/>
      <c r="AF589" s="237"/>
      <c r="AG589" s="237"/>
      <c r="AH589" s="237"/>
      <c r="AI589" s="308"/>
      <c r="AJ589" s="308"/>
      <c r="AK589" s="308"/>
      <c r="AL589" s="308"/>
      <c r="AM589" s="308"/>
      <c r="AN589" s="98"/>
    </row>
    <row r="590" ht="14.25" customHeight="1">
      <c r="A590" s="179"/>
      <c r="B590" s="98"/>
      <c r="C590" s="98"/>
      <c r="D590" s="98"/>
      <c r="E590" s="98"/>
      <c r="F590" s="235"/>
      <c r="G590" s="235"/>
      <c r="H590" s="236"/>
      <c r="I590" s="236"/>
      <c r="J590" s="236"/>
      <c r="K590" s="236"/>
      <c r="L590" s="236"/>
      <c r="M590" s="236"/>
      <c r="N590" s="236"/>
      <c r="O590" s="236"/>
      <c r="P590" s="236"/>
      <c r="Q590" s="236"/>
      <c r="R590" s="236"/>
      <c r="S590" s="236"/>
      <c r="T590" s="236"/>
      <c r="U590" s="236"/>
      <c r="V590" s="236"/>
      <c r="W590" s="237"/>
      <c r="X590" s="237"/>
      <c r="Y590" s="237"/>
      <c r="Z590" s="237"/>
      <c r="AA590" s="237"/>
      <c r="AB590" s="237"/>
      <c r="AC590" s="237"/>
      <c r="AD590" s="237"/>
      <c r="AE590" s="237"/>
      <c r="AF590" s="237"/>
      <c r="AG590" s="237"/>
      <c r="AH590" s="237"/>
      <c r="AI590" s="308"/>
      <c r="AJ590" s="308"/>
      <c r="AK590" s="308"/>
      <c r="AL590" s="308"/>
      <c r="AM590" s="308"/>
      <c r="AN590" s="98"/>
    </row>
    <row r="591" ht="14.25" customHeight="1">
      <c r="A591" s="179"/>
      <c r="B591" s="98"/>
      <c r="C591" s="98"/>
      <c r="D591" s="98"/>
      <c r="E591" s="98"/>
      <c r="F591" s="235"/>
      <c r="G591" s="235"/>
      <c r="H591" s="236"/>
      <c r="I591" s="236"/>
      <c r="J591" s="236"/>
      <c r="K591" s="236"/>
      <c r="L591" s="236"/>
      <c r="M591" s="236"/>
      <c r="N591" s="236"/>
      <c r="O591" s="236"/>
      <c r="P591" s="236"/>
      <c r="Q591" s="236"/>
      <c r="R591" s="236"/>
      <c r="S591" s="236"/>
      <c r="T591" s="236"/>
      <c r="U591" s="236"/>
      <c r="V591" s="236"/>
      <c r="W591" s="237"/>
      <c r="X591" s="237"/>
      <c r="Y591" s="237"/>
      <c r="Z591" s="237"/>
      <c r="AA591" s="237"/>
      <c r="AB591" s="237"/>
      <c r="AC591" s="237"/>
      <c r="AD591" s="237"/>
      <c r="AE591" s="237"/>
      <c r="AF591" s="237"/>
      <c r="AG591" s="237"/>
      <c r="AH591" s="237"/>
      <c r="AI591" s="308"/>
      <c r="AJ591" s="308"/>
      <c r="AK591" s="308"/>
      <c r="AL591" s="308"/>
      <c r="AM591" s="308"/>
      <c r="AN591" s="98"/>
    </row>
    <row r="592" ht="14.25" customHeight="1">
      <c r="A592" s="179"/>
      <c r="B592" s="98"/>
      <c r="C592" s="98"/>
      <c r="D592" s="98"/>
      <c r="E592" s="98"/>
      <c r="F592" s="235"/>
      <c r="G592" s="235"/>
      <c r="H592" s="236"/>
      <c r="I592" s="236"/>
      <c r="J592" s="236"/>
      <c r="K592" s="236"/>
      <c r="L592" s="236"/>
      <c r="M592" s="236"/>
      <c r="N592" s="236"/>
      <c r="O592" s="236"/>
      <c r="P592" s="236"/>
      <c r="Q592" s="236"/>
      <c r="R592" s="236"/>
      <c r="S592" s="236"/>
      <c r="T592" s="236"/>
      <c r="U592" s="236"/>
      <c r="V592" s="236"/>
      <c r="W592" s="237"/>
      <c r="X592" s="237"/>
      <c r="Y592" s="237"/>
      <c r="Z592" s="237"/>
      <c r="AA592" s="237"/>
      <c r="AB592" s="237"/>
      <c r="AC592" s="237"/>
      <c r="AD592" s="237"/>
      <c r="AE592" s="237"/>
      <c r="AF592" s="237"/>
      <c r="AG592" s="237"/>
      <c r="AH592" s="237"/>
      <c r="AI592" s="308"/>
      <c r="AJ592" s="308"/>
      <c r="AK592" s="308"/>
      <c r="AL592" s="308"/>
      <c r="AM592" s="308"/>
      <c r="AN592" s="98"/>
    </row>
    <row r="593" ht="14.25" customHeight="1">
      <c r="A593" s="179"/>
      <c r="B593" s="98"/>
      <c r="C593" s="98"/>
      <c r="D593" s="98"/>
      <c r="E593" s="98"/>
      <c r="F593" s="235"/>
      <c r="G593" s="235"/>
      <c r="H593" s="236"/>
      <c r="I593" s="236"/>
      <c r="J593" s="236"/>
      <c r="K593" s="236"/>
      <c r="L593" s="236"/>
      <c r="M593" s="236"/>
      <c r="N593" s="236"/>
      <c r="O593" s="236"/>
      <c r="P593" s="236"/>
      <c r="Q593" s="236"/>
      <c r="R593" s="236"/>
      <c r="S593" s="236"/>
      <c r="T593" s="236"/>
      <c r="U593" s="236"/>
      <c r="V593" s="236"/>
      <c r="W593" s="237"/>
      <c r="X593" s="237"/>
      <c r="Y593" s="237"/>
      <c r="Z593" s="237"/>
      <c r="AA593" s="237"/>
      <c r="AB593" s="237"/>
      <c r="AC593" s="237"/>
      <c r="AD593" s="237"/>
      <c r="AE593" s="237"/>
      <c r="AF593" s="237"/>
      <c r="AG593" s="237"/>
      <c r="AH593" s="237"/>
      <c r="AI593" s="308"/>
      <c r="AJ593" s="308"/>
      <c r="AK593" s="308"/>
      <c r="AL593" s="308"/>
      <c r="AM593" s="308"/>
      <c r="AN593" s="98"/>
    </row>
    <row r="594" ht="14.25" customHeight="1">
      <c r="A594" s="179"/>
      <c r="B594" s="98"/>
      <c r="C594" s="98"/>
      <c r="D594" s="98"/>
      <c r="E594" s="98"/>
      <c r="F594" s="235"/>
      <c r="G594" s="235"/>
      <c r="H594" s="236"/>
      <c r="I594" s="236"/>
      <c r="J594" s="236"/>
      <c r="K594" s="236"/>
      <c r="L594" s="236"/>
      <c r="M594" s="236"/>
      <c r="N594" s="236"/>
      <c r="O594" s="236"/>
      <c r="P594" s="236"/>
      <c r="Q594" s="236"/>
      <c r="R594" s="236"/>
      <c r="S594" s="236"/>
      <c r="T594" s="236"/>
      <c r="U594" s="236"/>
      <c r="V594" s="236"/>
      <c r="W594" s="237"/>
      <c r="X594" s="237"/>
      <c r="Y594" s="237"/>
      <c r="Z594" s="237"/>
      <c r="AA594" s="237"/>
      <c r="AB594" s="237"/>
      <c r="AC594" s="237"/>
      <c r="AD594" s="237"/>
      <c r="AE594" s="237"/>
      <c r="AF594" s="237"/>
      <c r="AG594" s="237"/>
      <c r="AH594" s="237"/>
      <c r="AI594" s="308"/>
      <c r="AJ594" s="308"/>
      <c r="AK594" s="308"/>
      <c r="AL594" s="308"/>
      <c r="AM594" s="308"/>
      <c r="AN594" s="98"/>
    </row>
    <row r="595" ht="14.25" customHeight="1">
      <c r="A595" s="179"/>
      <c r="B595" s="98"/>
      <c r="C595" s="98"/>
      <c r="D595" s="98"/>
      <c r="E595" s="98"/>
      <c r="F595" s="235"/>
      <c r="G595" s="235"/>
      <c r="H595" s="236"/>
      <c r="I595" s="236"/>
      <c r="J595" s="236"/>
      <c r="K595" s="236"/>
      <c r="L595" s="236"/>
      <c r="M595" s="236"/>
      <c r="N595" s="236"/>
      <c r="O595" s="236"/>
      <c r="P595" s="236"/>
      <c r="Q595" s="236"/>
      <c r="R595" s="236"/>
      <c r="S595" s="236"/>
      <c r="T595" s="236"/>
      <c r="U595" s="236"/>
      <c r="V595" s="236"/>
      <c r="W595" s="237"/>
      <c r="X595" s="237"/>
      <c r="Y595" s="237"/>
      <c r="Z595" s="237"/>
      <c r="AA595" s="237"/>
      <c r="AB595" s="237"/>
      <c r="AC595" s="237"/>
      <c r="AD595" s="237"/>
      <c r="AE595" s="237"/>
      <c r="AF595" s="237"/>
      <c r="AG595" s="237"/>
      <c r="AH595" s="237"/>
      <c r="AI595" s="308"/>
      <c r="AJ595" s="308"/>
      <c r="AK595" s="308"/>
      <c r="AL595" s="308"/>
      <c r="AM595" s="308"/>
      <c r="AN595" s="98"/>
    </row>
    <row r="596" ht="14.25" customHeight="1">
      <c r="A596" s="179"/>
      <c r="B596" s="98"/>
      <c r="C596" s="98"/>
      <c r="D596" s="98"/>
      <c r="E596" s="98"/>
      <c r="F596" s="235"/>
      <c r="G596" s="235"/>
      <c r="H596" s="236"/>
      <c r="I596" s="236"/>
      <c r="J596" s="236"/>
      <c r="K596" s="236"/>
      <c r="L596" s="236"/>
      <c r="M596" s="236"/>
      <c r="N596" s="236"/>
      <c r="O596" s="236"/>
      <c r="P596" s="236"/>
      <c r="Q596" s="236"/>
      <c r="R596" s="236"/>
      <c r="S596" s="236"/>
      <c r="T596" s="236"/>
      <c r="U596" s="236"/>
      <c r="V596" s="236"/>
      <c r="W596" s="237"/>
      <c r="X596" s="237"/>
      <c r="Y596" s="237"/>
      <c r="Z596" s="237"/>
      <c r="AA596" s="237"/>
      <c r="AB596" s="237"/>
      <c r="AC596" s="237"/>
      <c r="AD596" s="237"/>
      <c r="AE596" s="237"/>
      <c r="AF596" s="237"/>
      <c r="AG596" s="237"/>
      <c r="AH596" s="237"/>
      <c r="AI596" s="308"/>
      <c r="AJ596" s="308"/>
      <c r="AK596" s="308"/>
      <c r="AL596" s="308"/>
      <c r="AM596" s="308"/>
      <c r="AN596" s="98"/>
    </row>
    <row r="597" ht="14.25" customHeight="1">
      <c r="A597" s="179"/>
      <c r="B597" s="98"/>
      <c r="C597" s="98"/>
      <c r="D597" s="98"/>
      <c r="E597" s="98"/>
      <c r="F597" s="235"/>
      <c r="G597" s="235"/>
      <c r="H597" s="236"/>
      <c r="I597" s="236"/>
      <c r="J597" s="236"/>
      <c r="K597" s="236"/>
      <c r="L597" s="236"/>
      <c r="M597" s="236"/>
      <c r="N597" s="236"/>
      <c r="O597" s="236"/>
      <c r="P597" s="236"/>
      <c r="Q597" s="236"/>
      <c r="R597" s="236"/>
      <c r="S597" s="236"/>
      <c r="T597" s="236"/>
      <c r="U597" s="236"/>
      <c r="V597" s="236"/>
      <c r="W597" s="237"/>
      <c r="X597" s="237"/>
      <c r="Y597" s="237"/>
      <c r="Z597" s="237"/>
      <c r="AA597" s="237"/>
      <c r="AB597" s="237"/>
      <c r="AC597" s="237"/>
      <c r="AD597" s="237"/>
      <c r="AE597" s="237"/>
      <c r="AF597" s="237"/>
      <c r="AG597" s="237"/>
      <c r="AH597" s="237"/>
      <c r="AI597" s="308"/>
      <c r="AJ597" s="308"/>
      <c r="AK597" s="308"/>
      <c r="AL597" s="308"/>
      <c r="AM597" s="308"/>
      <c r="AN597" s="98"/>
    </row>
    <row r="598" ht="14.25" customHeight="1">
      <c r="A598" s="179"/>
      <c r="B598" s="98"/>
      <c r="C598" s="98"/>
      <c r="D598" s="98"/>
      <c r="E598" s="98"/>
      <c r="F598" s="235"/>
      <c r="G598" s="235"/>
      <c r="H598" s="236"/>
      <c r="I598" s="236"/>
      <c r="J598" s="236"/>
      <c r="K598" s="236"/>
      <c r="L598" s="236"/>
      <c r="M598" s="236"/>
      <c r="N598" s="236"/>
      <c r="O598" s="236"/>
      <c r="P598" s="236"/>
      <c r="Q598" s="236"/>
      <c r="R598" s="236"/>
      <c r="S598" s="236"/>
      <c r="T598" s="236"/>
      <c r="U598" s="236"/>
      <c r="V598" s="236"/>
      <c r="W598" s="237"/>
      <c r="X598" s="237"/>
      <c r="Y598" s="237"/>
      <c r="Z598" s="237"/>
      <c r="AA598" s="237"/>
      <c r="AB598" s="237"/>
      <c r="AC598" s="237"/>
      <c r="AD598" s="237"/>
      <c r="AE598" s="237"/>
      <c r="AF598" s="237"/>
      <c r="AG598" s="237"/>
      <c r="AH598" s="237"/>
      <c r="AI598" s="308"/>
      <c r="AJ598" s="308"/>
      <c r="AK598" s="308"/>
      <c r="AL598" s="308"/>
      <c r="AM598" s="308"/>
      <c r="AN598" s="98"/>
    </row>
    <row r="599" ht="14.25" customHeight="1">
      <c r="A599" s="179"/>
      <c r="B599" s="98"/>
      <c r="C599" s="98"/>
      <c r="D599" s="98"/>
      <c r="E599" s="98"/>
      <c r="F599" s="235"/>
      <c r="G599" s="235"/>
      <c r="H599" s="236"/>
      <c r="I599" s="236"/>
      <c r="J599" s="236"/>
      <c r="K599" s="236"/>
      <c r="L599" s="236"/>
      <c r="M599" s="236"/>
      <c r="N599" s="236"/>
      <c r="O599" s="236"/>
      <c r="P599" s="236"/>
      <c r="Q599" s="236"/>
      <c r="R599" s="236"/>
      <c r="S599" s="236"/>
      <c r="T599" s="236"/>
      <c r="U599" s="236"/>
      <c r="V599" s="236"/>
      <c r="W599" s="237"/>
      <c r="X599" s="237"/>
      <c r="Y599" s="237"/>
      <c r="Z599" s="237"/>
      <c r="AA599" s="237"/>
      <c r="AB599" s="237"/>
      <c r="AC599" s="237"/>
      <c r="AD599" s="237"/>
      <c r="AE599" s="237"/>
      <c r="AF599" s="237"/>
      <c r="AG599" s="237"/>
      <c r="AH599" s="237"/>
      <c r="AI599" s="308"/>
      <c r="AJ599" s="308"/>
      <c r="AK599" s="308"/>
      <c r="AL599" s="308"/>
      <c r="AM599" s="308"/>
      <c r="AN599" s="98"/>
    </row>
    <row r="600" ht="14.25" customHeight="1">
      <c r="A600" s="179"/>
      <c r="B600" s="98"/>
      <c r="C600" s="98"/>
      <c r="D600" s="98"/>
      <c r="E600" s="98"/>
      <c r="F600" s="235"/>
      <c r="G600" s="235"/>
      <c r="H600" s="236"/>
      <c r="I600" s="236"/>
      <c r="J600" s="236"/>
      <c r="K600" s="236"/>
      <c r="L600" s="236"/>
      <c r="M600" s="236"/>
      <c r="N600" s="236"/>
      <c r="O600" s="236"/>
      <c r="P600" s="236"/>
      <c r="Q600" s="236"/>
      <c r="R600" s="236"/>
      <c r="S600" s="236"/>
      <c r="T600" s="236"/>
      <c r="U600" s="236"/>
      <c r="V600" s="236"/>
      <c r="W600" s="237"/>
      <c r="X600" s="237"/>
      <c r="Y600" s="237"/>
      <c r="Z600" s="237"/>
      <c r="AA600" s="237"/>
      <c r="AB600" s="237"/>
      <c r="AC600" s="237"/>
      <c r="AD600" s="237"/>
      <c r="AE600" s="237"/>
      <c r="AF600" s="237"/>
      <c r="AG600" s="237"/>
      <c r="AH600" s="237"/>
      <c r="AI600" s="308"/>
      <c r="AJ600" s="308"/>
      <c r="AK600" s="308"/>
      <c r="AL600" s="308"/>
      <c r="AM600" s="308"/>
      <c r="AN600" s="98"/>
    </row>
    <row r="601" ht="14.25" customHeight="1">
      <c r="A601" s="179"/>
      <c r="B601" s="98"/>
      <c r="C601" s="98"/>
      <c r="D601" s="98"/>
      <c r="E601" s="98"/>
      <c r="F601" s="235"/>
      <c r="G601" s="235"/>
      <c r="H601" s="236"/>
      <c r="I601" s="236"/>
      <c r="J601" s="236"/>
      <c r="K601" s="236"/>
      <c r="L601" s="236"/>
      <c r="M601" s="236"/>
      <c r="N601" s="236"/>
      <c r="O601" s="236"/>
      <c r="P601" s="236"/>
      <c r="Q601" s="236"/>
      <c r="R601" s="236"/>
      <c r="S601" s="236"/>
      <c r="T601" s="236"/>
      <c r="U601" s="236"/>
      <c r="V601" s="236"/>
      <c r="W601" s="237"/>
      <c r="X601" s="237"/>
      <c r="Y601" s="237"/>
      <c r="Z601" s="237"/>
      <c r="AA601" s="237"/>
      <c r="AB601" s="237"/>
      <c r="AC601" s="237"/>
      <c r="AD601" s="237"/>
      <c r="AE601" s="237"/>
      <c r="AF601" s="237"/>
      <c r="AG601" s="237"/>
      <c r="AH601" s="237"/>
      <c r="AI601" s="308"/>
      <c r="AJ601" s="308"/>
      <c r="AK601" s="308"/>
      <c r="AL601" s="308"/>
      <c r="AM601" s="308"/>
      <c r="AN601" s="98"/>
    </row>
    <row r="602" ht="14.25" customHeight="1">
      <c r="A602" s="179"/>
      <c r="B602" s="98"/>
      <c r="C602" s="98"/>
      <c r="D602" s="98"/>
      <c r="E602" s="98"/>
      <c r="F602" s="235"/>
      <c r="G602" s="235"/>
      <c r="H602" s="236"/>
      <c r="I602" s="236"/>
      <c r="J602" s="236"/>
      <c r="K602" s="236"/>
      <c r="L602" s="236"/>
      <c r="M602" s="236"/>
      <c r="N602" s="236"/>
      <c r="O602" s="236"/>
      <c r="P602" s="236"/>
      <c r="Q602" s="236"/>
      <c r="R602" s="236"/>
      <c r="S602" s="236"/>
      <c r="T602" s="236"/>
      <c r="U602" s="236"/>
      <c r="V602" s="236"/>
      <c r="W602" s="237"/>
      <c r="X602" s="237"/>
      <c r="Y602" s="237"/>
      <c r="Z602" s="237"/>
      <c r="AA602" s="237"/>
      <c r="AB602" s="237"/>
      <c r="AC602" s="237"/>
      <c r="AD602" s="237"/>
      <c r="AE602" s="237"/>
      <c r="AF602" s="237"/>
      <c r="AG602" s="237"/>
      <c r="AH602" s="237"/>
      <c r="AI602" s="308"/>
      <c r="AJ602" s="308"/>
      <c r="AK602" s="308"/>
      <c r="AL602" s="308"/>
      <c r="AM602" s="308"/>
      <c r="AN602" s="98"/>
    </row>
    <row r="603" ht="14.25" customHeight="1">
      <c r="A603" s="179"/>
      <c r="B603" s="98"/>
      <c r="C603" s="98"/>
      <c r="D603" s="98"/>
      <c r="E603" s="98"/>
      <c r="F603" s="235"/>
      <c r="G603" s="235"/>
      <c r="H603" s="236"/>
      <c r="I603" s="236"/>
      <c r="J603" s="236"/>
      <c r="K603" s="236"/>
      <c r="L603" s="236"/>
      <c r="M603" s="236"/>
      <c r="N603" s="236"/>
      <c r="O603" s="236"/>
      <c r="P603" s="236"/>
      <c r="Q603" s="236"/>
      <c r="R603" s="236"/>
      <c r="S603" s="236"/>
      <c r="T603" s="236"/>
      <c r="U603" s="236"/>
      <c r="V603" s="236"/>
      <c r="W603" s="237"/>
      <c r="X603" s="237"/>
      <c r="Y603" s="237"/>
      <c r="Z603" s="237"/>
      <c r="AA603" s="237"/>
      <c r="AB603" s="237"/>
      <c r="AC603" s="237"/>
      <c r="AD603" s="237"/>
      <c r="AE603" s="237"/>
      <c r="AF603" s="237"/>
      <c r="AG603" s="237"/>
      <c r="AH603" s="237"/>
      <c r="AI603" s="308"/>
      <c r="AJ603" s="308"/>
      <c r="AK603" s="308"/>
      <c r="AL603" s="308"/>
      <c r="AM603" s="308"/>
      <c r="AN603" s="98"/>
    </row>
    <row r="604" ht="14.25" customHeight="1">
      <c r="A604" s="179"/>
      <c r="B604" s="98"/>
      <c r="C604" s="98"/>
      <c r="D604" s="98"/>
      <c r="E604" s="98"/>
      <c r="F604" s="235"/>
      <c r="G604" s="235"/>
      <c r="H604" s="236"/>
      <c r="I604" s="236"/>
      <c r="J604" s="236"/>
      <c r="K604" s="236"/>
      <c r="L604" s="236"/>
      <c r="M604" s="236"/>
      <c r="N604" s="236"/>
      <c r="O604" s="236"/>
      <c r="P604" s="236"/>
      <c r="Q604" s="236"/>
      <c r="R604" s="236"/>
      <c r="S604" s="236"/>
      <c r="T604" s="236"/>
      <c r="U604" s="236"/>
      <c r="V604" s="236"/>
      <c r="W604" s="237"/>
      <c r="X604" s="237"/>
      <c r="Y604" s="237"/>
      <c r="Z604" s="237"/>
      <c r="AA604" s="237"/>
      <c r="AB604" s="237"/>
      <c r="AC604" s="237"/>
      <c r="AD604" s="237"/>
      <c r="AE604" s="237"/>
      <c r="AF604" s="237"/>
      <c r="AG604" s="237"/>
      <c r="AH604" s="237"/>
      <c r="AI604" s="308"/>
      <c r="AJ604" s="308"/>
      <c r="AK604" s="308"/>
      <c r="AL604" s="308"/>
      <c r="AM604" s="308"/>
      <c r="AN604" s="98"/>
    </row>
    <row r="605" ht="14.25" customHeight="1">
      <c r="A605" s="179"/>
      <c r="B605" s="98"/>
      <c r="C605" s="98"/>
      <c r="D605" s="98"/>
      <c r="E605" s="98"/>
      <c r="F605" s="235"/>
      <c r="G605" s="235"/>
      <c r="H605" s="236"/>
      <c r="I605" s="236"/>
      <c r="J605" s="236"/>
      <c r="K605" s="236"/>
      <c r="L605" s="236"/>
      <c r="M605" s="236"/>
      <c r="N605" s="236"/>
      <c r="O605" s="236"/>
      <c r="P605" s="236"/>
      <c r="Q605" s="236"/>
      <c r="R605" s="236"/>
      <c r="S605" s="236"/>
      <c r="T605" s="236"/>
      <c r="U605" s="236"/>
      <c r="V605" s="236"/>
      <c r="W605" s="237"/>
      <c r="X605" s="237"/>
      <c r="Y605" s="237"/>
      <c r="Z605" s="237"/>
      <c r="AA605" s="237"/>
      <c r="AB605" s="237"/>
      <c r="AC605" s="237"/>
      <c r="AD605" s="237"/>
      <c r="AE605" s="237"/>
      <c r="AF605" s="237"/>
      <c r="AG605" s="237"/>
      <c r="AH605" s="237"/>
      <c r="AI605" s="308"/>
      <c r="AJ605" s="308"/>
      <c r="AK605" s="308"/>
      <c r="AL605" s="308"/>
      <c r="AM605" s="308"/>
      <c r="AN605" s="98"/>
    </row>
    <row r="606" ht="14.25" customHeight="1">
      <c r="A606" s="179"/>
      <c r="B606" s="98"/>
      <c r="C606" s="98"/>
      <c r="D606" s="98"/>
      <c r="E606" s="98"/>
      <c r="F606" s="235"/>
      <c r="G606" s="235"/>
      <c r="H606" s="236"/>
      <c r="I606" s="236"/>
      <c r="J606" s="236"/>
      <c r="K606" s="236"/>
      <c r="L606" s="236"/>
      <c r="M606" s="236"/>
      <c r="N606" s="236"/>
      <c r="O606" s="236"/>
      <c r="P606" s="236"/>
      <c r="Q606" s="236"/>
      <c r="R606" s="236"/>
      <c r="S606" s="236"/>
      <c r="T606" s="236"/>
      <c r="U606" s="236"/>
      <c r="V606" s="236"/>
      <c r="W606" s="237"/>
      <c r="X606" s="237"/>
      <c r="Y606" s="237"/>
      <c r="Z606" s="237"/>
      <c r="AA606" s="237"/>
      <c r="AB606" s="237"/>
      <c r="AC606" s="237"/>
      <c r="AD606" s="237"/>
      <c r="AE606" s="237"/>
      <c r="AF606" s="237"/>
      <c r="AG606" s="237"/>
      <c r="AH606" s="237"/>
      <c r="AI606" s="308"/>
      <c r="AJ606" s="308"/>
      <c r="AK606" s="308"/>
      <c r="AL606" s="308"/>
      <c r="AM606" s="308"/>
      <c r="AN606" s="98"/>
    </row>
    <row r="607" ht="14.25" customHeight="1">
      <c r="A607" s="179"/>
      <c r="B607" s="98"/>
      <c r="C607" s="98"/>
      <c r="D607" s="98"/>
      <c r="E607" s="98"/>
      <c r="F607" s="235"/>
      <c r="G607" s="235"/>
      <c r="H607" s="236"/>
      <c r="I607" s="236"/>
      <c r="J607" s="236"/>
      <c r="K607" s="236"/>
      <c r="L607" s="236"/>
      <c r="M607" s="236"/>
      <c r="N607" s="236"/>
      <c r="O607" s="236"/>
      <c r="P607" s="236"/>
      <c r="Q607" s="236"/>
      <c r="R607" s="236"/>
      <c r="S607" s="236"/>
      <c r="T607" s="236"/>
      <c r="U607" s="236"/>
      <c r="V607" s="236"/>
      <c r="W607" s="237"/>
      <c r="X607" s="237"/>
      <c r="Y607" s="237"/>
      <c r="Z607" s="237"/>
      <c r="AA607" s="237"/>
      <c r="AB607" s="237"/>
      <c r="AC607" s="237"/>
      <c r="AD607" s="237"/>
      <c r="AE607" s="237"/>
      <c r="AF607" s="237"/>
      <c r="AG607" s="237"/>
      <c r="AH607" s="237"/>
      <c r="AI607" s="308"/>
      <c r="AJ607" s="308"/>
      <c r="AK607" s="308"/>
      <c r="AL607" s="308"/>
      <c r="AM607" s="308"/>
      <c r="AN607" s="98"/>
    </row>
    <row r="608" ht="14.25" customHeight="1">
      <c r="A608" s="179"/>
      <c r="B608" s="98"/>
      <c r="C608" s="98"/>
      <c r="D608" s="98"/>
      <c r="E608" s="98"/>
      <c r="F608" s="235"/>
      <c r="G608" s="235"/>
      <c r="H608" s="236"/>
      <c r="I608" s="236"/>
      <c r="J608" s="236"/>
      <c r="K608" s="236"/>
      <c r="L608" s="236"/>
      <c r="M608" s="236"/>
      <c r="N608" s="236"/>
      <c r="O608" s="236"/>
      <c r="P608" s="236"/>
      <c r="Q608" s="236"/>
      <c r="R608" s="236"/>
      <c r="S608" s="236"/>
      <c r="T608" s="236"/>
      <c r="U608" s="236"/>
      <c r="V608" s="236"/>
      <c r="W608" s="237"/>
      <c r="X608" s="237"/>
      <c r="Y608" s="237"/>
      <c r="Z608" s="237"/>
      <c r="AA608" s="237"/>
      <c r="AB608" s="237"/>
      <c r="AC608" s="237"/>
      <c r="AD608" s="237"/>
      <c r="AE608" s="237"/>
      <c r="AF608" s="237"/>
      <c r="AG608" s="237"/>
      <c r="AH608" s="237"/>
      <c r="AI608" s="308"/>
      <c r="AJ608" s="308"/>
      <c r="AK608" s="308"/>
      <c r="AL608" s="308"/>
      <c r="AM608" s="308"/>
      <c r="AN608" s="98"/>
    </row>
    <row r="609" ht="14.25" customHeight="1">
      <c r="A609" s="179"/>
      <c r="B609" s="98"/>
      <c r="C609" s="98"/>
      <c r="D609" s="98"/>
      <c r="E609" s="98"/>
      <c r="F609" s="235"/>
      <c r="G609" s="235"/>
      <c r="H609" s="236"/>
      <c r="I609" s="236"/>
      <c r="J609" s="236"/>
      <c r="K609" s="236"/>
      <c r="L609" s="236"/>
      <c r="M609" s="236"/>
      <c r="N609" s="236"/>
      <c r="O609" s="236"/>
      <c r="P609" s="236"/>
      <c r="Q609" s="236"/>
      <c r="R609" s="236"/>
      <c r="S609" s="236"/>
      <c r="T609" s="236"/>
      <c r="U609" s="236"/>
      <c r="V609" s="236"/>
      <c r="W609" s="237"/>
      <c r="X609" s="237"/>
      <c r="Y609" s="237"/>
      <c r="Z609" s="237"/>
      <c r="AA609" s="237"/>
      <c r="AB609" s="237"/>
      <c r="AC609" s="237"/>
      <c r="AD609" s="237"/>
      <c r="AE609" s="237"/>
      <c r="AF609" s="237"/>
      <c r="AG609" s="237"/>
      <c r="AH609" s="237"/>
      <c r="AI609" s="308"/>
      <c r="AJ609" s="308"/>
      <c r="AK609" s="308"/>
      <c r="AL609" s="308"/>
      <c r="AM609" s="308"/>
      <c r="AN609" s="98"/>
    </row>
    <row r="610" ht="14.25" customHeight="1">
      <c r="A610" s="179"/>
      <c r="B610" s="98"/>
      <c r="C610" s="98"/>
      <c r="D610" s="98"/>
      <c r="E610" s="98"/>
      <c r="F610" s="235"/>
      <c r="G610" s="235"/>
      <c r="H610" s="236"/>
      <c r="I610" s="236"/>
      <c r="J610" s="236"/>
      <c r="K610" s="236"/>
      <c r="L610" s="236"/>
      <c r="M610" s="236"/>
      <c r="N610" s="236"/>
      <c r="O610" s="236"/>
      <c r="P610" s="236"/>
      <c r="Q610" s="236"/>
      <c r="R610" s="236"/>
      <c r="S610" s="236"/>
      <c r="T610" s="236"/>
      <c r="U610" s="236"/>
      <c r="V610" s="236"/>
      <c r="W610" s="237"/>
      <c r="X610" s="237"/>
      <c r="Y610" s="237"/>
      <c r="Z610" s="237"/>
      <c r="AA610" s="237"/>
      <c r="AB610" s="237"/>
      <c r="AC610" s="237"/>
      <c r="AD610" s="237"/>
      <c r="AE610" s="237"/>
      <c r="AF610" s="237"/>
      <c r="AG610" s="237"/>
      <c r="AH610" s="237"/>
      <c r="AI610" s="308"/>
      <c r="AJ610" s="308"/>
      <c r="AK610" s="308"/>
      <c r="AL610" s="308"/>
      <c r="AM610" s="308"/>
      <c r="AN610" s="98"/>
    </row>
    <row r="611" ht="14.25" customHeight="1">
      <c r="A611" s="179"/>
      <c r="B611" s="98"/>
      <c r="C611" s="98"/>
      <c r="D611" s="98"/>
      <c r="E611" s="98"/>
      <c r="F611" s="235"/>
      <c r="G611" s="235"/>
      <c r="H611" s="236"/>
      <c r="I611" s="236"/>
      <c r="J611" s="236"/>
      <c r="K611" s="236"/>
      <c r="L611" s="236"/>
      <c r="M611" s="236"/>
      <c r="N611" s="236"/>
      <c r="O611" s="236"/>
      <c r="P611" s="236"/>
      <c r="Q611" s="236"/>
      <c r="R611" s="236"/>
      <c r="S611" s="236"/>
      <c r="T611" s="236"/>
      <c r="U611" s="236"/>
      <c r="V611" s="236"/>
      <c r="W611" s="237"/>
      <c r="X611" s="237"/>
      <c r="Y611" s="237"/>
      <c r="Z611" s="237"/>
      <c r="AA611" s="237"/>
      <c r="AB611" s="237"/>
      <c r="AC611" s="237"/>
      <c r="AD611" s="237"/>
      <c r="AE611" s="237"/>
      <c r="AF611" s="237"/>
      <c r="AG611" s="237"/>
      <c r="AH611" s="237"/>
      <c r="AI611" s="308"/>
      <c r="AJ611" s="308"/>
      <c r="AK611" s="308"/>
      <c r="AL611" s="308"/>
      <c r="AM611" s="308"/>
      <c r="AN611" s="98"/>
    </row>
    <row r="612" ht="14.25" customHeight="1">
      <c r="A612" s="179"/>
      <c r="B612" s="98"/>
      <c r="C612" s="98"/>
      <c r="D612" s="98"/>
      <c r="E612" s="98"/>
      <c r="F612" s="235"/>
      <c r="G612" s="235"/>
      <c r="H612" s="236"/>
      <c r="I612" s="236"/>
      <c r="J612" s="236"/>
      <c r="K612" s="236"/>
      <c r="L612" s="236"/>
      <c r="M612" s="236"/>
      <c r="N612" s="236"/>
      <c r="O612" s="236"/>
      <c r="P612" s="236"/>
      <c r="Q612" s="236"/>
      <c r="R612" s="236"/>
      <c r="S612" s="236"/>
      <c r="T612" s="236"/>
      <c r="U612" s="236"/>
      <c r="V612" s="236"/>
      <c r="W612" s="237"/>
      <c r="X612" s="237"/>
      <c r="Y612" s="237"/>
      <c r="Z612" s="237"/>
      <c r="AA612" s="237"/>
      <c r="AB612" s="237"/>
      <c r="AC612" s="237"/>
      <c r="AD612" s="237"/>
      <c r="AE612" s="237"/>
      <c r="AF612" s="237"/>
      <c r="AG612" s="237"/>
      <c r="AH612" s="237"/>
      <c r="AI612" s="308"/>
      <c r="AJ612" s="308"/>
      <c r="AK612" s="308"/>
      <c r="AL612" s="308"/>
      <c r="AM612" s="308"/>
      <c r="AN612" s="98"/>
    </row>
    <row r="613" ht="14.25" customHeight="1">
      <c r="A613" s="179"/>
      <c r="B613" s="98"/>
      <c r="C613" s="98"/>
      <c r="D613" s="98"/>
      <c r="E613" s="98"/>
      <c r="F613" s="235"/>
      <c r="G613" s="235"/>
      <c r="H613" s="236"/>
      <c r="I613" s="236"/>
      <c r="J613" s="236"/>
      <c r="K613" s="236"/>
      <c r="L613" s="236"/>
      <c r="M613" s="236"/>
      <c r="N613" s="236"/>
      <c r="O613" s="236"/>
      <c r="P613" s="236"/>
      <c r="Q613" s="236"/>
      <c r="R613" s="236"/>
      <c r="S613" s="236"/>
      <c r="T613" s="236"/>
      <c r="U613" s="236"/>
      <c r="V613" s="236"/>
      <c r="W613" s="237"/>
      <c r="X613" s="237"/>
      <c r="Y613" s="237"/>
      <c r="Z613" s="237"/>
      <c r="AA613" s="237"/>
      <c r="AB613" s="237"/>
      <c r="AC613" s="237"/>
      <c r="AD613" s="237"/>
      <c r="AE613" s="237"/>
      <c r="AF613" s="237"/>
      <c r="AG613" s="237"/>
      <c r="AH613" s="237"/>
      <c r="AI613" s="308"/>
      <c r="AJ613" s="308"/>
      <c r="AK613" s="308"/>
      <c r="AL613" s="308"/>
      <c r="AM613" s="308"/>
      <c r="AN613" s="98"/>
    </row>
    <row r="614" ht="14.25" customHeight="1">
      <c r="A614" s="179"/>
      <c r="B614" s="98"/>
      <c r="C614" s="98"/>
      <c r="D614" s="98"/>
      <c r="E614" s="98"/>
      <c r="F614" s="235"/>
      <c r="G614" s="235"/>
      <c r="H614" s="236"/>
      <c r="I614" s="236"/>
      <c r="J614" s="236"/>
      <c r="K614" s="236"/>
      <c r="L614" s="236"/>
      <c r="M614" s="236"/>
      <c r="N614" s="236"/>
      <c r="O614" s="236"/>
      <c r="P614" s="236"/>
      <c r="Q614" s="236"/>
      <c r="R614" s="236"/>
      <c r="S614" s="236"/>
      <c r="T614" s="236"/>
      <c r="U614" s="236"/>
      <c r="V614" s="236"/>
      <c r="W614" s="237"/>
      <c r="X614" s="237"/>
      <c r="Y614" s="237"/>
      <c r="Z614" s="237"/>
      <c r="AA614" s="237"/>
      <c r="AB614" s="237"/>
      <c r="AC614" s="237"/>
      <c r="AD614" s="237"/>
      <c r="AE614" s="237"/>
      <c r="AF614" s="237"/>
      <c r="AG614" s="237"/>
      <c r="AH614" s="237"/>
      <c r="AI614" s="308"/>
      <c r="AJ614" s="308"/>
      <c r="AK614" s="308"/>
      <c r="AL614" s="308"/>
      <c r="AM614" s="308"/>
      <c r="AN614" s="98"/>
    </row>
    <row r="615" ht="14.25" customHeight="1">
      <c r="A615" s="179"/>
      <c r="B615" s="98"/>
      <c r="C615" s="98"/>
      <c r="D615" s="98"/>
      <c r="E615" s="98"/>
      <c r="F615" s="235"/>
      <c r="G615" s="235"/>
      <c r="H615" s="236"/>
      <c r="I615" s="236"/>
      <c r="J615" s="236"/>
      <c r="K615" s="236"/>
      <c r="L615" s="236"/>
      <c r="M615" s="236"/>
      <c r="N615" s="236"/>
      <c r="O615" s="236"/>
      <c r="P615" s="236"/>
      <c r="Q615" s="236"/>
      <c r="R615" s="236"/>
      <c r="S615" s="236"/>
      <c r="T615" s="236"/>
      <c r="U615" s="236"/>
      <c r="V615" s="236"/>
      <c r="W615" s="237"/>
      <c r="X615" s="237"/>
      <c r="Y615" s="237"/>
      <c r="Z615" s="237"/>
      <c r="AA615" s="237"/>
      <c r="AB615" s="237"/>
      <c r="AC615" s="237"/>
      <c r="AD615" s="237"/>
      <c r="AE615" s="237"/>
      <c r="AF615" s="237"/>
      <c r="AG615" s="237"/>
      <c r="AH615" s="237"/>
      <c r="AI615" s="308"/>
      <c r="AJ615" s="308"/>
      <c r="AK615" s="308"/>
      <c r="AL615" s="308"/>
      <c r="AM615" s="308"/>
      <c r="AN615" s="98"/>
    </row>
    <row r="616" ht="14.25" customHeight="1">
      <c r="A616" s="179"/>
      <c r="B616" s="98"/>
      <c r="C616" s="98"/>
      <c r="D616" s="98"/>
      <c r="E616" s="98"/>
      <c r="F616" s="235"/>
      <c r="G616" s="235"/>
      <c r="H616" s="236"/>
      <c r="I616" s="236"/>
      <c r="J616" s="236"/>
      <c r="K616" s="236"/>
      <c r="L616" s="236"/>
      <c r="M616" s="236"/>
      <c r="N616" s="236"/>
      <c r="O616" s="236"/>
      <c r="P616" s="236"/>
      <c r="Q616" s="236"/>
      <c r="R616" s="236"/>
      <c r="S616" s="236"/>
      <c r="T616" s="236"/>
      <c r="U616" s="236"/>
      <c r="V616" s="236"/>
      <c r="W616" s="237"/>
      <c r="X616" s="237"/>
      <c r="Y616" s="237"/>
      <c r="Z616" s="237"/>
      <c r="AA616" s="237"/>
      <c r="AB616" s="237"/>
      <c r="AC616" s="237"/>
      <c r="AD616" s="237"/>
      <c r="AE616" s="237"/>
      <c r="AF616" s="237"/>
      <c r="AG616" s="237"/>
      <c r="AH616" s="237"/>
      <c r="AI616" s="308"/>
      <c r="AJ616" s="308"/>
      <c r="AK616" s="308"/>
      <c r="AL616" s="308"/>
      <c r="AM616" s="308"/>
      <c r="AN616" s="98"/>
    </row>
    <row r="617" ht="14.25" customHeight="1">
      <c r="A617" s="179"/>
      <c r="B617" s="98"/>
      <c r="C617" s="98"/>
      <c r="D617" s="98"/>
      <c r="E617" s="98"/>
      <c r="F617" s="235"/>
      <c r="G617" s="235"/>
      <c r="H617" s="236"/>
      <c r="I617" s="236"/>
      <c r="J617" s="236"/>
      <c r="K617" s="236"/>
      <c r="L617" s="236"/>
      <c r="M617" s="236"/>
      <c r="N617" s="236"/>
      <c r="O617" s="236"/>
      <c r="P617" s="236"/>
      <c r="Q617" s="236"/>
      <c r="R617" s="236"/>
      <c r="S617" s="236"/>
      <c r="T617" s="236"/>
      <c r="U617" s="236"/>
      <c r="V617" s="236"/>
      <c r="W617" s="237"/>
      <c r="X617" s="237"/>
      <c r="Y617" s="237"/>
      <c r="Z617" s="237"/>
      <c r="AA617" s="237"/>
      <c r="AB617" s="237"/>
      <c r="AC617" s="237"/>
      <c r="AD617" s="237"/>
      <c r="AE617" s="237"/>
      <c r="AF617" s="237"/>
      <c r="AG617" s="237"/>
      <c r="AH617" s="237"/>
      <c r="AI617" s="308"/>
      <c r="AJ617" s="308"/>
      <c r="AK617" s="308"/>
      <c r="AL617" s="308"/>
      <c r="AM617" s="308"/>
      <c r="AN617" s="98"/>
    </row>
    <row r="618" ht="14.25" customHeight="1">
      <c r="A618" s="179"/>
      <c r="B618" s="98"/>
      <c r="C618" s="98"/>
      <c r="D618" s="98"/>
      <c r="E618" s="98"/>
      <c r="F618" s="235"/>
      <c r="G618" s="235"/>
      <c r="H618" s="236"/>
      <c r="I618" s="236"/>
      <c r="J618" s="236"/>
      <c r="K618" s="236"/>
      <c r="L618" s="236"/>
      <c r="M618" s="236"/>
      <c r="N618" s="236"/>
      <c r="O618" s="236"/>
      <c r="P618" s="236"/>
      <c r="Q618" s="236"/>
      <c r="R618" s="236"/>
      <c r="S618" s="236"/>
      <c r="T618" s="236"/>
      <c r="U618" s="236"/>
      <c r="V618" s="236"/>
      <c r="W618" s="237"/>
      <c r="X618" s="237"/>
      <c r="Y618" s="237"/>
      <c r="Z618" s="237"/>
      <c r="AA618" s="237"/>
      <c r="AB618" s="237"/>
      <c r="AC618" s="237"/>
      <c r="AD618" s="237"/>
      <c r="AE618" s="237"/>
      <c r="AF618" s="237"/>
      <c r="AG618" s="237"/>
      <c r="AH618" s="237"/>
      <c r="AI618" s="308"/>
      <c r="AJ618" s="308"/>
      <c r="AK618" s="308"/>
      <c r="AL618" s="308"/>
      <c r="AM618" s="308"/>
      <c r="AN618" s="98"/>
    </row>
    <row r="619" ht="14.25" customHeight="1">
      <c r="A619" s="179"/>
      <c r="B619" s="98"/>
      <c r="C619" s="98"/>
      <c r="D619" s="98"/>
      <c r="E619" s="98"/>
      <c r="F619" s="235"/>
      <c r="G619" s="235"/>
      <c r="H619" s="236"/>
      <c r="I619" s="236"/>
      <c r="J619" s="236"/>
      <c r="K619" s="236"/>
      <c r="L619" s="236"/>
      <c r="M619" s="236"/>
      <c r="N619" s="236"/>
      <c r="O619" s="236"/>
      <c r="P619" s="236"/>
      <c r="Q619" s="236"/>
      <c r="R619" s="236"/>
      <c r="S619" s="236"/>
      <c r="T619" s="236"/>
      <c r="U619" s="236"/>
      <c r="V619" s="236"/>
      <c r="W619" s="237"/>
      <c r="X619" s="237"/>
      <c r="Y619" s="237"/>
      <c r="Z619" s="237"/>
      <c r="AA619" s="237"/>
      <c r="AB619" s="237"/>
      <c r="AC619" s="237"/>
      <c r="AD619" s="237"/>
      <c r="AE619" s="237"/>
      <c r="AF619" s="237"/>
      <c r="AG619" s="237"/>
      <c r="AH619" s="237"/>
      <c r="AI619" s="308"/>
      <c r="AJ619" s="308"/>
      <c r="AK619" s="308"/>
      <c r="AL619" s="308"/>
      <c r="AM619" s="308"/>
      <c r="AN619" s="98"/>
    </row>
    <row r="620" ht="14.25" customHeight="1">
      <c r="A620" s="179"/>
      <c r="B620" s="98"/>
      <c r="C620" s="98"/>
      <c r="D620" s="98"/>
      <c r="E620" s="98"/>
      <c r="F620" s="235"/>
      <c r="G620" s="235"/>
      <c r="H620" s="236"/>
      <c r="I620" s="236"/>
      <c r="J620" s="236"/>
      <c r="K620" s="236"/>
      <c r="L620" s="236"/>
      <c r="M620" s="236"/>
      <c r="N620" s="236"/>
      <c r="O620" s="236"/>
      <c r="P620" s="236"/>
      <c r="Q620" s="236"/>
      <c r="R620" s="236"/>
      <c r="S620" s="236"/>
      <c r="T620" s="236"/>
      <c r="U620" s="236"/>
      <c r="V620" s="236"/>
      <c r="W620" s="237"/>
      <c r="X620" s="237"/>
      <c r="Y620" s="237"/>
      <c r="Z620" s="237"/>
      <c r="AA620" s="237"/>
      <c r="AB620" s="237"/>
      <c r="AC620" s="237"/>
      <c r="AD620" s="237"/>
      <c r="AE620" s="237"/>
      <c r="AF620" s="237"/>
      <c r="AG620" s="237"/>
      <c r="AH620" s="237"/>
      <c r="AI620" s="308"/>
      <c r="AJ620" s="308"/>
      <c r="AK620" s="308"/>
      <c r="AL620" s="308"/>
      <c r="AM620" s="308"/>
      <c r="AN620" s="98"/>
    </row>
    <row r="621" ht="14.25" customHeight="1">
      <c r="A621" s="179"/>
      <c r="B621" s="98"/>
      <c r="C621" s="98"/>
      <c r="D621" s="98"/>
      <c r="E621" s="98"/>
      <c r="F621" s="235"/>
      <c r="G621" s="235"/>
      <c r="H621" s="236"/>
      <c r="I621" s="236"/>
      <c r="J621" s="236"/>
      <c r="K621" s="236"/>
      <c r="L621" s="236"/>
      <c r="M621" s="236"/>
      <c r="N621" s="236"/>
      <c r="O621" s="236"/>
      <c r="P621" s="236"/>
      <c r="Q621" s="236"/>
      <c r="R621" s="236"/>
      <c r="S621" s="236"/>
      <c r="T621" s="236"/>
      <c r="U621" s="236"/>
      <c r="V621" s="236"/>
      <c r="W621" s="237"/>
      <c r="X621" s="237"/>
      <c r="Y621" s="237"/>
      <c r="Z621" s="237"/>
      <c r="AA621" s="237"/>
      <c r="AB621" s="237"/>
      <c r="AC621" s="237"/>
      <c r="AD621" s="237"/>
      <c r="AE621" s="237"/>
      <c r="AF621" s="237"/>
      <c r="AG621" s="237"/>
      <c r="AH621" s="237"/>
      <c r="AI621" s="308"/>
      <c r="AJ621" s="308"/>
      <c r="AK621" s="308"/>
      <c r="AL621" s="308"/>
      <c r="AM621" s="308"/>
      <c r="AN621" s="98"/>
    </row>
    <row r="622" ht="14.25" customHeight="1">
      <c r="A622" s="179"/>
      <c r="B622" s="98"/>
      <c r="C622" s="98"/>
      <c r="D622" s="98"/>
      <c r="E622" s="98"/>
      <c r="F622" s="235"/>
      <c r="G622" s="235"/>
      <c r="H622" s="236"/>
      <c r="I622" s="236"/>
      <c r="J622" s="236"/>
      <c r="K622" s="236"/>
      <c r="L622" s="236"/>
      <c r="M622" s="236"/>
      <c r="N622" s="236"/>
      <c r="O622" s="236"/>
      <c r="P622" s="236"/>
      <c r="Q622" s="236"/>
      <c r="R622" s="236"/>
      <c r="S622" s="236"/>
      <c r="T622" s="236"/>
      <c r="U622" s="236"/>
      <c r="V622" s="236"/>
      <c r="W622" s="237"/>
      <c r="X622" s="237"/>
      <c r="Y622" s="237"/>
      <c r="Z622" s="237"/>
      <c r="AA622" s="237"/>
      <c r="AB622" s="237"/>
      <c r="AC622" s="237"/>
      <c r="AD622" s="237"/>
      <c r="AE622" s="237"/>
      <c r="AF622" s="237"/>
      <c r="AG622" s="237"/>
      <c r="AH622" s="237"/>
      <c r="AI622" s="308"/>
      <c r="AJ622" s="308"/>
      <c r="AK622" s="308"/>
      <c r="AL622" s="308"/>
      <c r="AM622" s="308"/>
      <c r="AN622" s="98"/>
    </row>
    <row r="623" ht="14.25" customHeight="1">
      <c r="A623" s="179"/>
      <c r="B623" s="98"/>
      <c r="C623" s="98"/>
      <c r="D623" s="98"/>
      <c r="E623" s="98"/>
      <c r="F623" s="235"/>
      <c r="G623" s="235"/>
      <c r="H623" s="236"/>
      <c r="I623" s="236"/>
      <c r="J623" s="236"/>
      <c r="K623" s="236"/>
      <c r="L623" s="236"/>
      <c r="M623" s="236"/>
      <c r="N623" s="236"/>
      <c r="O623" s="236"/>
      <c r="P623" s="236"/>
      <c r="Q623" s="236"/>
      <c r="R623" s="236"/>
      <c r="S623" s="236"/>
      <c r="T623" s="236"/>
      <c r="U623" s="236"/>
      <c r="V623" s="236"/>
      <c r="W623" s="237"/>
      <c r="X623" s="237"/>
      <c r="Y623" s="237"/>
      <c r="Z623" s="237"/>
      <c r="AA623" s="237"/>
      <c r="AB623" s="237"/>
      <c r="AC623" s="237"/>
      <c r="AD623" s="237"/>
      <c r="AE623" s="237"/>
      <c r="AF623" s="237"/>
      <c r="AG623" s="237"/>
      <c r="AH623" s="237"/>
      <c r="AI623" s="308"/>
      <c r="AJ623" s="308"/>
      <c r="AK623" s="308"/>
      <c r="AL623" s="308"/>
      <c r="AM623" s="308"/>
      <c r="AN623" s="98"/>
    </row>
    <row r="624" ht="14.25" customHeight="1">
      <c r="A624" s="179"/>
      <c r="B624" s="98"/>
      <c r="C624" s="98"/>
      <c r="D624" s="98"/>
      <c r="E624" s="98"/>
      <c r="F624" s="235"/>
      <c r="G624" s="235"/>
      <c r="H624" s="236"/>
      <c r="I624" s="236"/>
      <c r="J624" s="236"/>
      <c r="K624" s="236"/>
      <c r="L624" s="236"/>
      <c r="M624" s="236"/>
      <c r="N624" s="236"/>
      <c r="O624" s="236"/>
      <c r="P624" s="236"/>
      <c r="Q624" s="236"/>
      <c r="R624" s="236"/>
      <c r="S624" s="236"/>
      <c r="T624" s="236"/>
      <c r="U624" s="236"/>
      <c r="V624" s="236"/>
      <c r="W624" s="237"/>
      <c r="X624" s="237"/>
      <c r="Y624" s="237"/>
      <c r="Z624" s="237"/>
      <c r="AA624" s="237"/>
      <c r="AB624" s="237"/>
      <c r="AC624" s="237"/>
      <c r="AD624" s="237"/>
      <c r="AE624" s="237"/>
      <c r="AF624" s="237"/>
      <c r="AG624" s="237"/>
      <c r="AH624" s="237"/>
      <c r="AI624" s="308"/>
      <c r="AJ624" s="308"/>
      <c r="AK624" s="308"/>
      <c r="AL624" s="308"/>
      <c r="AM624" s="308"/>
      <c r="AN624" s="98"/>
    </row>
    <row r="625" ht="14.25" customHeight="1">
      <c r="A625" s="179"/>
      <c r="B625" s="98"/>
      <c r="C625" s="98"/>
      <c r="D625" s="98"/>
      <c r="E625" s="98"/>
      <c r="F625" s="235"/>
      <c r="G625" s="235"/>
      <c r="H625" s="236"/>
      <c r="I625" s="236"/>
      <c r="J625" s="236"/>
      <c r="K625" s="236"/>
      <c r="L625" s="236"/>
      <c r="M625" s="236"/>
      <c r="N625" s="236"/>
      <c r="O625" s="236"/>
      <c r="P625" s="236"/>
      <c r="Q625" s="236"/>
      <c r="R625" s="236"/>
      <c r="S625" s="236"/>
      <c r="T625" s="236"/>
      <c r="U625" s="236"/>
      <c r="V625" s="236"/>
      <c r="W625" s="237"/>
      <c r="X625" s="237"/>
      <c r="Y625" s="237"/>
      <c r="Z625" s="237"/>
      <c r="AA625" s="237"/>
      <c r="AB625" s="237"/>
      <c r="AC625" s="237"/>
      <c r="AD625" s="237"/>
      <c r="AE625" s="237"/>
      <c r="AF625" s="237"/>
      <c r="AG625" s="237"/>
      <c r="AH625" s="237"/>
      <c r="AI625" s="308"/>
      <c r="AJ625" s="308"/>
      <c r="AK625" s="308"/>
      <c r="AL625" s="308"/>
      <c r="AM625" s="308"/>
      <c r="AN625" s="98"/>
    </row>
    <row r="626" ht="14.25" customHeight="1">
      <c r="A626" s="179"/>
      <c r="B626" s="98"/>
      <c r="C626" s="98"/>
      <c r="D626" s="98"/>
      <c r="E626" s="98"/>
      <c r="F626" s="235"/>
      <c r="G626" s="235"/>
      <c r="H626" s="236"/>
      <c r="I626" s="236"/>
      <c r="J626" s="236"/>
      <c r="K626" s="236"/>
      <c r="L626" s="236"/>
      <c r="M626" s="236"/>
      <c r="N626" s="236"/>
      <c r="O626" s="236"/>
      <c r="P626" s="236"/>
      <c r="Q626" s="236"/>
      <c r="R626" s="236"/>
      <c r="S626" s="236"/>
      <c r="T626" s="236"/>
      <c r="U626" s="236"/>
      <c r="V626" s="236"/>
      <c r="W626" s="237"/>
      <c r="X626" s="237"/>
      <c r="Y626" s="237"/>
      <c r="Z626" s="237"/>
      <c r="AA626" s="237"/>
      <c r="AB626" s="237"/>
      <c r="AC626" s="237"/>
      <c r="AD626" s="237"/>
      <c r="AE626" s="237"/>
      <c r="AF626" s="237"/>
      <c r="AG626" s="237"/>
      <c r="AH626" s="237"/>
      <c r="AI626" s="308"/>
      <c r="AJ626" s="308"/>
      <c r="AK626" s="308"/>
      <c r="AL626" s="308"/>
      <c r="AM626" s="308"/>
      <c r="AN626" s="98"/>
    </row>
    <row r="627" ht="14.25" customHeight="1">
      <c r="A627" s="179"/>
      <c r="B627" s="98"/>
      <c r="C627" s="98"/>
      <c r="D627" s="98"/>
      <c r="E627" s="98"/>
      <c r="F627" s="235"/>
      <c r="G627" s="235"/>
      <c r="H627" s="236"/>
      <c r="I627" s="236"/>
      <c r="J627" s="236"/>
      <c r="K627" s="236"/>
      <c r="L627" s="236"/>
      <c r="M627" s="236"/>
      <c r="N627" s="236"/>
      <c r="O627" s="236"/>
      <c r="P627" s="236"/>
      <c r="Q627" s="236"/>
      <c r="R627" s="236"/>
      <c r="S627" s="236"/>
      <c r="T627" s="236"/>
      <c r="U627" s="236"/>
      <c r="V627" s="236"/>
      <c r="W627" s="237"/>
      <c r="X627" s="237"/>
      <c r="Y627" s="237"/>
      <c r="Z627" s="237"/>
      <c r="AA627" s="237"/>
      <c r="AB627" s="237"/>
      <c r="AC627" s="237"/>
      <c r="AD627" s="237"/>
      <c r="AE627" s="237"/>
      <c r="AF627" s="237"/>
      <c r="AG627" s="237"/>
      <c r="AH627" s="237"/>
      <c r="AI627" s="308"/>
      <c r="AJ627" s="308"/>
      <c r="AK627" s="308"/>
      <c r="AL627" s="308"/>
      <c r="AM627" s="308"/>
      <c r="AN627" s="98"/>
    </row>
    <row r="628" ht="14.25" customHeight="1">
      <c r="A628" s="179"/>
      <c r="B628" s="98"/>
      <c r="C628" s="98"/>
      <c r="D628" s="98"/>
      <c r="E628" s="98"/>
      <c r="F628" s="235"/>
      <c r="G628" s="235"/>
      <c r="H628" s="236"/>
      <c r="I628" s="236"/>
      <c r="J628" s="236"/>
      <c r="K628" s="236"/>
      <c r="L628" s="236"/>
      <c r="M628" s="236"/>
      <c r="N628" s="236"/>
      <c r="O628" s="236"/>
      <c r="P628" s="236"/>
      <c r="Q628" s="236"/>
      <c r="R628" s="236"/>
      <c r="S628" s="236"/>
      <c r="T628" s="236"/>
      <c r="U628" s="236"/>
      <c r="V628" s="236"/>
      <c r="W628" s="237"/>
      <c r="X628" s="237"/>
      <c r="Y628" s="237"/>
      <c r="Z628" s="237"/>
      <c r="AA628" s="237"/>
      <c r="AB628" s="237"/>
      <c r="AC628" s="237"/>
      <c r="AD628" s="237"/>
      <c r="AE628" s="237"/>
      <c r="AF628" s="237"/>
      <c r="AG628" s="237"/>
      <c r="AH628" s="237"/>
      <c r="AI628" s="308"/>
      <c r="AJ628" s="308"/>
      <c r="AK628" s="308"/>
      <c r="AL628" s="308"/>
      <c r="AM628" s="308"/>
      <c r="AN628" s="98"/>
    </row>
    <row r="629" ht="14.25" customHeight="1">
      <c r="A629" s="179"/>
      <c r="B629" s="98"/>
      <c r="C629" s="98"/>
      <c r="D629" s="98"/>
      <c r="E629" s="98"/>
      <c r="F629" s="235"/>
      <c r="G629" s="235"/>
      <c r="H629" s="236"/>
      <c r="I629" s="236"/>
      <c r="J629" s="236"/>
      <c r="K629" s="236"/>
      <c r="L629" s="236"/>
      <c r="M629" s="236"/>
      <c r="N629" s="236"/>
      <c r="O629" s="236"/>
      <c r="P629" s="236"/>
      <c r="Q629" s="236"/>
      <c r="R629" s="236"/>
      <c r="S629" s="236"/>
      <c r="T629" s="236"/>
      <c r="U629" s="236"/>
      <c r="V629" s="236"/>
      <c r="W629" s="237"/>
      <c r="X629" s="237"/>
      <c r="Y629" s="237"/>
      <c r="Z629" s="237"/>
      <c r="AA629" s="237"/>
      <c r="AB629" s="237"/>
      <c r="AC629" s="237"/>
      <c r="AD629" s="237"/>
      <c r="AE629" s="237"/>
      <c r="AF629" s="237"/>
      <c r="AG629" s="237"/>
      <c r="AH629" s="237"/>
      <c r="AI629" s="308"/>
      <c r="AJ629" s="308"/>
      <c r="AK629" s="308"/>
      <c r="AL629" s="308"/>
      <c r="AM629" s="308"/>
      <c r="AN629" s="98"/>
    </row>
    <row r="630" ht="14.25" customHeight="1">
      <c r="A630" s="179"/>
      <c r="B630" s="98"/>
      <c r="C630" s="98"/>
      <c r="D630" s="98"/>
      <c r="E630" s="98"/>
      <c r="F630" s="235"/>
      <c r="G630" s="235"/>
      <c r="H630" s="236"/>
      <c r="I630" s="236"/>
      <c r="J630" s="236"/>
      <c r="K630" s="236"/>
      <c r="L630" s="236"/>
      <c r="M630" s="236"/>
      <c r="N630" s="236"/>
      <c r="O630" s="236"/>
      <c r="P630" s="236"/>
      <c r="Q630" s="236"/>
      <c r="R630" s="236"/>
      <c r="S630" s="236"/>
      <c r="T630" s="236"/>
      <c r="U630" s="236"/>
      <c r="V630" s="236"/>
      <c r="W630" s="237"/>
      <c r="X630" s="237"/>
      <c r="Y630" s="237"/>
      <c r="Z630" s="237"/>
      <c r="AA630" s="237"/>
      <c r="AB630" s="237"/>
      <c r="AC630" s="237"/>
      <c r="AD630" s="237"/>
      <c r="AE630" s="237"/>
      <c r="AF630" s="237"/>
      <c r="AG630" s="237"/>
      <c r="AH630" s="237"/>
      <c r="AI630" s="308"/>
      <c r="AJ630" s="308"/>
      <c r="AK630" s="308"/>
      <c r="AL630" s="308"/>
      <c r="AM630" s="308"/>
      <c r="AN630" s="98"/>
    </row>
    <row r="631" ht="14.25" customHeight="1">
      <c r="A631" s="179"/>
      <c r="B631" s="98"/>
      <c r="C631" s="98"/>
      <c r="D631" s="98"/>
      <c r="E631" s="98"/>
      <c r="F631" s="235"/>
      <c r="G631" s="235"/>
      <c r="H631" s="236"/>
      <c r="I631" s="236"/>
      <c r="J631" s="236"/>
      <c r="K631" s="236"/>
      <c r="L631" s="236"/>
      <c r="M631" s="236"/>
      <c r="N631" s="236"/>
      <c r="O631" s="236"/>
      <c r="P631" s="236"/>
      <c r="Q631" s="236"/>
      <c r="R631" s="236"/>
      <c r="S631" s="236"/>
      <c r="T631" s="236"/>
      <c r="U631" s="236"/>
      <c r="V631" s="236"/>
      <c r="W631" s="237"/>
      <c r="X631" s="237"/>
      <c r="Y631" s="237"/>
      <c r="Z631" s="237"/>
      <c r="AA631" s="237"/>
      <c r="AB631" s="237"/>
      <c r="AC631" s="237"/>
      <c r="AD631" s="237"/>
      <c r="AE631" s="237"/>
      <c r="AF631" s="237"/>
      <c r="AG631" s="237"/>
      <c r="AH631" s="237"/>
      <c r="AI631" s="308"/>
      <c r="AJ631" s="308"/>
      <c r="AK631" s="308"/>
      <c r="AL631" s="308"/>
      <c r="AM631" s="308"/>
      <c r="AN631" s="98"/>
    </row>
    <row r="632" ht="14.25" customHeight="1">
      <c r="A632" s="179"/>
      <c r="B632" s="98"/>
      <c r="C632" s="98"/>
      <c r="D632" s="98"/>
      <c r="E632" s="98"/>
      <c r="F632" s="235"/>
      <c r="G632" s="235"/>
      <c r="H632" s="236"/>
      <c r="I632" s="236"/>
      <c r="J632" s="236"/>
      <c r="K632" s="236"/>
      <c r="L632" s="236"/>
      <c r="M632" s="236"/>
      <c r="N632" s="236"/>
      <c r="O632" s="236"/>
      <c r="P632" s="236"/>
      <c r="Q632" s="236"/>
      <c r="R632" s="236"/>
      <c r="S632" s="236"/>
      <c r="T632" s="236"/>
      <c r="U632" s="236"/>
      <c r="V632" s="236"/>
      <c r="W632" s="237"/>
      <c r="X632" s="237"/>
      <c r="Y632" s="237"/>
      <c r="Z632" s="237"/>
      <c r="AA632" s="237"/>
      <c r="AB632" s="237"/>
      <c r="AC632" s="237"/>
      <c r="AD632" s="237"/>
      <c r="AE632" s="237"/>
      <c r="AF632" s="237"/>
      <c r="AG632" s="237"/>
      <c r="AH632" s="237"/>
      <c r="AI632" s="308"/>
      <c r="AJ632" s="308"/>
      <c r="AK632" s="308"/>
      <c r="AL632" s="308"/>
      <c r="AM632" s="308"/>
      <c r="AN632" s="98"/>
    </row>
    <row r="633" ht="14.25" customHeight="1">
      <c r="A633" s="179"/>
      <c r="B633" s="98"/>
      <c r="C633" s="98"/>
      <c r="D633" s="98"/>
      <c r="E633" s="98"/>
      <c r="F633" s="235"/>
      <c r="G633" s="235"/>
      <c r="H633" s="236"/>
      <c r="I633" s="236"/>
      <c r="J633" s="236"/>
      <c r="K633" s="236"/>
      <c r="L633" s="236"/>
      <c r="M633" s="236"/>
      <c r="N633" s="236"/>
      <c r="O633" s="236"/>
      <c r="P633" s="236"/>
      <c r="Q633" s="236"/>
      <c r="R633" s="236"/>
      <c r="S633" s="236"/>
      <c r="T633" s="236"/>
      <c r="U633" s="236"/>
      <c r="V633" s="236"/>
      <c r="W633" s="237"/>
      <c r="X633" s="237"/>
      <c r="Y633" s="237"/>
      <c r="Z633" s="237"/>
      <c r="AA633" s="237"/>
      <c r="AB633" s="237"/>
      <c r="AC633" s="237"/>
      <c r="AD633" s="237"/>
      <c r="AE633" s="237"/>
      <c r="AF633" s="237"/>
      <c r="AG633" s="237"/>
      <c r="AH633" s="237"/>
      <c r="AI633" s="308"/>
      <c r="AJ633" s="308"/>
      <c r="AK633" s="308"/>
      <c r="AL633" s="308"/>
      <c r="AM633" s="308"/>
      <c r="AN633" s="98"/>
    </row>
    <row r="634" ht="14.25" customHeight="1">
      <c r="A634" s="179"/>
      <c r="B634" s="98"/>
      <c r="C634" s="98"/>
      <c r="D634" s="98"/>
      <c r="E634" s="98"/>
      <c r="F634" s="235"/>
      <c r="G634" s="235"/>
      <c r="H634" s="236"/>
      <c r="I634" s="236"/>
      <c r="J634" s="236"/>
      <c r="K634" s="236"/>
      <c r="L634" s="236"/>
      <c r="M634" s="236"/>
      <c r="N634" s="236"/>
      <c r="O634" s="236"/>
      <c r="P634" s="236"/>
      <c r="Q634" s="236"/>
      <c r="R634" s="236"/>
      <c r="S634" s="236"/>
      <c r="T634" s="236"/>
      <c r="U634" s="236"/>
      <c r="V634" s="236"/>
      <c r="W634" s="237"/>
      <c r="X634" s="237"/>
      <c r="Y634" s="237"/>
      <c r="Z634" s="237"/>
      <c r="AA634" s="237"/>
      <c r="AB634" s="237"/>
      <c r="AC634" s="237"/>
      <c r="AD634" s="237"/>
      <c r="AE634" s="237"/>
      <c r="AF634" s="237"/>
      <c r="AG634" s="237"/>
      <c r="AH634" s="237"/>
      <c r="AI634" s="308"/>
      <c r="AJ634" s="308"/>
      <c r="AK634" s="308"/>
      <c r="AL634" s="308"/>
      <c r="AM634" s="308"/>
      <c r="AN634" s="98"/>
    </row>
    <row r="635" ht="14.25" customHeight="1">
      <c r="A635" s="179"/>
      <c r="B635" s="98"/>
      <c r="C635" s="98"/>
      <c r="D635" s="98"/>
      <c r="E635" s="98"/>
      <c r="F635" s="235"/>
      <c r="G635" s="235"/>
      <c r="H635" s="236"/>
      <c r="I635" s="236"/>
      <c r="J635" s="236"/>
      <c r="K635" s="236"/>
      <c r="L635" s="236"/>
      <c r="M635" s="236"/>
      <c r="N635" s="236"/>
      <c r="O635" s="236"/>
      <c r="P635" s="236"/>
      <c r="Q635" s="236"/>
      <c r="R635" s="236"/>
      <c r="S635" s="236"/>
      <c r="T635" s="236"/>
      <c r="U635" s="236"/>
      <c r="V635" s="236"/>
      <c r="W635" s="237"/>
      <c r="X635" s="237"/>
      <c r="Y635" s="237"/>
      <c r="Z635" s="237"/>
      <c r="AA635" s="237"/>
      <c r="AB635" s="237"/>
      <c r="AC635" s="237"/>
      <c r="AD635" s="237"/>
      <c r="AE635" s="237"/>
      <c r="AF635" s="237"/>
      <c r="AG635" s="237"/>
      <c r="AH635" s="237"/>
      <c r="AI635" s="308"/>
      <c r="AJ635" s="308"/>
      <c r="AK635" s="308"/>
      <c r="AL635" s="308"/>
      <c r="AM635" s="308"/>
      <c r="AN635" s="98"/>
    </row>
    <row r="636" ht="14.25" customHeight="1">
      <c r="A636" s="179"/>
      <c r="B636" s="98"/>
      <c r="C636" s="98"/>
      <c r="D636" s="98"/>
      <c r="E636" s="98"/>
      <c r="F636" s="235"/>
      <c r="G636" s="235"/>
      <c r="H636" s="236"/>
      <c r="I636" s="236"/>
      <c r="J636" s="236"/>
      <c r="K636" s="236"/>
      <c r="L636" s="236"/>
      <c r="M636" s="236"/>
      <c r="N636" s="236"/>
      <c r="O636" s="236"/>
      <c r="P636" s="236"/>
      <c r="Q636" s="236"/>
      <c r="R636" s="236"/>
      <c r="S636" s="236"/>
      <c r="T636" s="236"/>
      <c r="U636" s="236"/>
      <c r="V636" s="236"/>
      <c r="W636" s="237"/>
      <c r="X636" s="237"/>
      <c r="Y636" s="237"/>
      <c r="Z636" s="237"/>
      <c r="AA636" s="237"/>
      <c r="AB636" s="237"/>
      <c r="AC636" s="237"/>
      <c r="AD636" s="237"/>
      <c r="AE636" s="237"/>
      <c r="AF636" s="237"/>
      <c r="AG636" s="237"/>
      <c r="AH636" s="237"/>
      <c r="AI636" s="308"/>
      <c r="AJ636" s="308"/>
      <c r="AK636" s="308"/>
      <c r="AL636" s="308"/>
      <c r="AM636" s="308"/>
      <c r="AN636" s="98"/>
    </row>
    <row r="637" ht="14.25" customHeight="1">
      <c r="A637" s="179"/>
      <c r="B637" s="98"/>
      <c r="C637" s="98"/>
      <c r="D637" s="98"/>
      <c r="E637" s="98"/>
      <c r="F637" s="235"/>
      <c r="G637" s="235"/>
      <c r="H637" s="236"/>
      <c r="I637" s="236"/>
      <c r="J637" s="236"/>
      <c r="K637" s="236"/>
      <c r="L637" s="236"/>
      <c r="M637" s="236"/>
      <c r="N637" s="236"/>
      <c r="O637" s="236"/>
      <c r="P637" s="236"/>
      <c r="Q637" s="236"/>
      <c r="R637" s="236"/>
      <c r="S637" s="236"/>
      <c r="T637" s="236"/>
      <c r="U637" s="236"/>
      <c r="V637" s="236"/>
      <c r="W637" s="237"/>
      <c r="X637" s="237"/>
      <c r="Y637" s="237"/>
      <c r="Z637" s="237"/>
      <c r="AA637" s="237"/>
      <c r="AB637" s="237"/>
      <c r="AC637" s="237"/>
      <c r="AD637" s="237"/>
      <c r="AE637" s="237"/>
      <c r="AF637" s="237"/>
      <c r="AG637" s="237"/>
      <c r="AH637" s="237"/>
      <c r="AI637" s="308"/>
      <c r="AJ637" s="308"/>
      <c r="AK637" s="308"/>
      <c r="AL637" s="308"/>
      <c r="AM637" s="308"/>
      <c r="AN637" s="98"/>
    </row>
    <row r="638" ht="14.25" customHeight="1">
      <c r="A638" s="179"/>
      <c r="B638" s="98"/>
      <c r="C638" s="98"/>
      <c r="D638" s="98"/>
      <c r="E638" s="98"/>
      <c r="F638" s="235"/>
      <c r="G638" s="235"/>
      <c r="H638" s="236"/>
      <c r="I638" s="236"/>
      <c r="J638" s="236"/>
      <c r="K638" s="236"/>
      <c r="L638" s="236"/>
      <c r="M638" s="236"/>
      <c r="N638" s="236"/>
      <c r="O638" s="236"/>
      <c r="P638" s="236"/>
      <c r="Q638" s="236"/>
      <c r="R638" s="236"/>
      <c r="S638" s="236"/>
      <c r="T638" s="236"/>
      <c r="U638" s="236"/>
      <c r="V638" s="236"/>
      <c r="W638" s="237"/>
      <c r="X638" s="237"/>
      <c r="Y638" s="237"/>
      <c r="Z638" s="237"/>
      <c r="AA638" s="237"/>
      <c r="AB638" s="237"/>
      <c r="AC638" s="237"/>
      <c r="AD638" s="237"/>
      <c r="AE638" s="237"/>
      <c r="AF638" s="237"/>
      <c r="AG638" s="237"/>
      <c r="AH638" s="237"/>
      <c r="AI638" s="308"/>
      <c r="AJ638" s="308"/>
      <c r="AK638" s="308"/>
      <c r="AL638" s="308"/>
      <c r="AM638" s="308"/>
      <c r="AN638" s="98"/>
    </row>
    <row r="639" ht="14.25" customHeight="1">
      <c r="A639" s="179"/>
      <c r="B639" s="98"/>
      <c r="C639" s="98"/>
      <c r="D639" s="98"/>
      <c r="E639" s="98"/>
      <c r="F639" s="235"/>
      <c r="G639" s="235"/>
      <c r="H639" s="236"/>
      <c r="I639" s="236"/>
      <c r="J639" s="236"/>
      <c r="K639" s="236"/>
      <c r="L639" s="236"/>
      <c r="M639" s="236"/>
      <c r="N639" s="236"/>
      <c r="O639" s="236"/>
      <c r="P639" s="236"/>
      <c r="Q639" s="236"/>
      <c r="R639" s="236"/>
      <c r="S639" s="236"/>
      <c r="T639" s="236"/>
      <c r="U639" s="236"/>
      <c r="V639" s="236"/>
      <c r="W639" s="237"/>
      <c r="X639" s="237"/>
      <c r="Y639" s="237"/>
      <c r="Z639" s="237"/>
      <c r="AA639" s="237"/>
      <c r="AB639" s="237"/>
      <c r="AC639" s="237"/>
      <c r="AD639" s="237"/>
      <c r="AE639" s="237"/>
      <c r="AF639" s="237"/>
      <c r="AG639" s="237"/>
      <c r="AH639" s="237"/>
      <c r="AI639" s="308"/>
      <c r="AJ639" s="308"/>
      <c r="AK639" s="308"/>
      <c r="AL639" s="308"/>
      <c r="AM639" s="308"/>
      <c r="AN639" s="98"/>
    </row>
    <row r="640" ht="14.25" customHeight="1">
      <c r="A640" s="179"/>
      <c r="B640" s="98"/>
      <c r="C640" s="98"/>
      <c r="D640" s="98"/>
      <c r="E640" s="98"/>
      <c r="F640" s="235"/>
      <c r="G640" s="235"/>
      <c r="H640" s="236"/>
      <c r="I640" s="236"/>
      <c r="J640" s="236"/>
      <c r="K640" s="236"/>
      <c r="L640" s="236"/>
      <c r="M640" s="236"/>
      <c r="N640" s="236"/>
      <c r="O640" s="236"/>
      <c r="P640" s="236"/>
      <c r="Q640" s="236"/>
      <c r="R640" s="236"/>
      <c r="S640" s="236"/>
      <c r="T640" s="236"/>
      <c r="U640" s="236"/>
      <c r="V640" s="236"/>
      <c r="W640" s="237"/>
      <c r="X640" s="237"/>
      <c r="Y640" s="237"/>
      <c r="Z640" s="237"/>
      <c r="AA640" s="237"/>
      <c r="AB640" s="237"/>
      <c r="AC640" s="237"/>
      <c r="AD640" s="237"/>
      <c r="AE640" s="237"/>
      <c r="AF640" s="237"/>
      <c r="AG640" s="237"/>
      <c r="AH640" s="237"/>
      <c r="AI640" s="308"/>
      <c r="AJ640" s="308"/>
      <c r="AK640" s="308"/>
      <c r="AL640" s="308"/>
      <c r="AM640" s="308"/>
      <c r="AN640" s="98"/>
    </row>
    <row r="641" ht="14.25" customHeight="1">
      <c r="A641" s="179"/>
      <c r="B641" s="98"/>
      <c r="C641" s="98"/>
      <c r="D641" s="98"/>
      <c r="E641" s="98"/>
      <c r="F641" s="235"/>
      <c r="G641" s="235"/>
      <c r="H641" s="236"/>
      <c r="I641" s="236"/>
      <c r="J641" s="236"/>
      <c r="K641" s="236"/>
      <c r="L641" s="236"/>
      <c r="M641" s="236"/>
      <c r="N641" s="236"/>
      <c r="O641" s="236"/>
      <c r="P641" s="236"/>
      <c r="Q641" s="236"/>
      <c r="R641" s="236"/>
      <c r="S641" s="236"/>
      <c r="T641" s="236"/>
      <c r="U641" s="236"/>
      <c r="V641" s="236"/>
      <c r="W641" s="237"/>
      <c r="X641" s="237"/>
      <c r="Y641" s="237"/>
      <c r="Z641" s="237"/>
      <c r="AA641" s="237"/>
      <c r="AB641" s="237"/>
      <c r="AC641" s="237"/>
      <c r="AD641" s="237"/>
      <c r="AE641" s="237"/>
      <c r="AF641" s="237"/>
      <c r="AG641" s="237"/>
      <c r="AH641" s="237"/>
      <c r="AI641" s="308"/>
      <c r="AJ641" s="308"/>
      <c r="AK641" s="308"/>
      <c r="AL641" s="308"/>
      <c r="AM641" s="308"/>
      <c r="AN641" s="98"/>
    </row>
    <row r="642" ht="14.25" customHeight="1">
      <c r="A642" s="179"/>
      <c r="B642" s="98"/>
      <c r="C642" s="98"/>
      <c r="D642" s="98"/>
      <c r="E642" s="98"/>
      <c r="F642" s="235"/>
      <c r="G642" s="235"/>
      <c r="H642" s="236"/>
      <c r="I642" s="236"/>
      <c r="J642" s="236"/>
      <c r="K642" s="236"/>
      <c r="L642" s="236"/>
      <c r="M642" s="236"/>
      <c r="N642" s="236"/>
      <c r="O642" s="236"/>
      <c r="P642" s="236"/>
      <c r="Q642" s="236"/>
      <c r="R642" s="236"/>
      <c r="S642" s="236"/>
      <c r="T642" s="236"/>
      <c r="U642" s="236"/>
      <c r="V642" s="236"/>
      <c r="W642" s="237"/>
      <c r="X642" s="237"/>
      <c r="Y642" s="237"/>
      <c r="Z642" s="237"/>
      <c r="AA642" s="237"/>
      <c r="AB642" s="237"/>
      <c r="AC642" s="237"/>
      <c r="AD642" s="237"/>
      <c r="AE642" s="237"/>
      <c r="AF642" s="237"/>
      <c r="AG642" s="237"/>
      <c r="AH642" s="237"/>
      <c r="AI642" s="308"/>
      <c r="AJ642" s="308"/>
      <c r="AK642" s="308"/>
      <c r="AL642" s="308"/>
      <c r="AM642" s="308"/>
      <c r="AN642" s="98"/>
    </row>
    <row r="643" ht="14.25" customHeight="1">
      <c r="A643" s="179"/>
      <c r="B643" s="98"/>
      <c r="C643" s="98"/>
      <c r="D643" s="98"/>
      <c r="E643" s="98"/>
      <c r="F643" s="235"/>
      <c r="G643" s="235"/>
      <c r="H643" s="236"/>
      <c r="I643" s="236"/>
      <c r="J643" s="236"/>
      <c r="K643" s="236"/>
      <c r="L643" s="236"/>
      <c r="M643" s="236"/>
      <c r="N643" s="236"/>
      <c r="O643" s="236"/>
      <c r="P643" s="236"/>
      <c r="Q643" s="236"/>
      <c r="R643" s="236"/>
      <c r="S643" s="236"/>
      <c r="T643" s="236"/>
      <c r="U643" s="236"/>
      <c r="V643" s="236"/>
      <c r="W643" s="237"/>
      <c r="X643" s="237"/>
      <c r="Y643" s="237"/>
      <c r="Z643" s="237"/>
      <c r="AA643" s="237"/>
      <c r="AB643" s="237"/>
      <c r="AC643" s="237"/>
      <c r="AD643" s="237"/>
      <c r="AE643" s="237"/>
      <c r="AF643" s="237"/>
      <c r="AG643" s="237"/>
      <c r="AH643" s="237"/>
      <c r="AI643" s="308"/>
      <c r="AJ643" s="308"/>
      <c r="AK643" s="308"/>
      <c r="AL643" s="308"/>
      <c r="AM643" s="308"/>
      <c r="AN643" s="98"/>
    </row>
    <row r="644" ht="14.25" customHeight="1">
      <c r="A644" s="179"/>
      <c r="B644" s="98"/>
      <c r="C644" s="98"/>
      <c r="D644" s="98"/>
      <c r="E644" s="98"/>
      <c r="F644" s="235"/>
      <c r="G644" s="235"/>
      <c r="H644" s="236"/>
      <c r="I644" s="236"/>
      <c r="J644" s="236"/>
      <c r="K644" s="236"/>
      <c r="L644" s="236"/>
      <c r="M644" s="236"/>
      <c r="N644" s="236"/>
      <c r="O644" s="236"/>
      <c r="P644" s="236"/>
      <c r="Q644" s="236"/>
      <c r="R644" s="236"/>
      <c r="S644" s="236"/>
      <c r="T644" s="236"/>
      <c r="U644" s="236"/>
      <c r="V644" s="236"/>
      <c r="W644" s="237"/>
      <c r="X644" s="237"/>
      <c r="Y644" s="237"/>
      <c r="Z644" s="237"/>
      <c r="AA644" s="237"/>
      <c r="AB644" s="237"/>
      <c r="AC644" s="237"/>
      <c r="AD644" s="237"/>
      <c r="AE644" s="237"/>
      <c r="AF644" s="237"/>
      <c r="AG644" s="237"/>
      <c r="AH644" s="237"/>
      <c r="AI644" s="308"/>
      <c r="AJ644" s="308"/>
      <c r="AK644" s="308"/>
      <c r="AL644" s="308"/>
      <c r="AM644" s="308"/>
      <c r="AN644" s="98"/>
    </row>
    <row r="645" ht="14.25" customHeight="1">
      <c r="A645" s="179"/>
      <c r="B645" s="98"/>
      <c r="C645" s="98"/>
      <c r="D645" s="98"/>
      <c r="E645" s="98"/>
      <c r="F645" s="235"/>
      <c r="G645" s="235"/>
      <c r="H645" s="236"/>
      <c r="I645" s="236"/>
      <c r="J645" s="236"/>
      <c r="K645" s="236"/>
      <c r="L645" s="236"/>
      <c r="M645" s="236"/>
      <c r="N645" s="236"/>
      <c r="O645" s="236"/>
      <c r="P645" s="236"/>
      <c r="Q645" s="236"/>
      <c r="R645" s="236"/>
      <c r="S645" s="236"/>
      <c r="T645" s="236"/>
      <c r="U645" s="236"/>
      <c r="V645" s="236"/>
      <c r="W645" s="237"/>
      <c r="X645" s="237"/>
      <c r="Y645" s="237"/>
      <c r="Z645" s="237"/>
      <c r="AA645" s="237"/>
      <c r="AB645" s="237"/>
      <c r="AC645" s="237"/>
      <c r="AD645" s="237"/>
      <c r="AE645" s="237"/>
      <c r="AF645" s="237"/>
      <c r="AG645" s="237"/>
      <c r="AH645" s="237"/>
      <c r="AI645" s="308"/>
      <c r="AJ645" s="308"/>
      <c r="AK645" s="308"/>
      <c r="AL645" s="308"/>
      <c r="AM645" s="308"/>
      <c r="AN645" s="98"/>
    </row>
    <row r="646" ht="14.25" customHeight="1">
      <c r="A646" s="179"/>
      <c r="B646" s="98"/>
      <c r="C646" s="98"/>
      <c r="D646" s="98"/>
      <c r="E646" s="98"/>
      <c r="F646" s="235"/>
      <c r="G646" s="235"/>
      <c r="H646" s="236"/>
      <c r="I646" s="236"/>
      <c r="J646" s="236"/>
      <c r="K646" s="236"/>
      <c r="L646" s="236"/>
      <c r="M646" s="236"/>
      <c r="N646" s="236"/>
      <c r="O646" s="236"/>
      <c r="P646" s="236"/>
      <c r="Q646" s="236"/>
      <c r="R646" s="236"/>
      <c r="S646" s="236"/>
      <c r="T646" s="236"/>
      <c r="U646" s="236"/>
      <c r="V646" s="236"/>
      <c r="W646" s="237"/>
      <c r="X646" s="237"/>
      <c r="Y646" s="237"/>
      <c r="Z646" s="237"/>
      <c r="AA646" s="237"/>
      <c r="AB646" s="237"/>
      <c r="AC646" s="237"/>
      <c r="AD646" s="237"/>
      <c r="AE646" s="237"/>
      <c r="AF646" s="237"/>
      <c r="AG646" s="237"/>
      <c r="AH646" s="237"/>
      <c r="AI646" s="308"/>
      <c r="AJ646" s="308"/>
      <c r="AK646" s="308"/>
      <c r="AL646" s="308"/>
      <c r="AM646" s="308"/>
      <c r="AN646" s="98"/>
    </row>
    <row r="647" ht="14.25" customHeight="1">
      <c r="A647" s="179"/>
      <c r="B647" s="98"/>
      <c r="C647" s="98"/>
      <c r="D647" s="98"/>
      <c r="E647" s="98"/>
      <c r="F647" s="235"/>
      <c r="G647" s="235"/>
      <c r="H647" s="236"/>
      <c r="I647" s="236"/>
      <c r="J647" s="236"/>
      <c r="K647" s="236"/>
      <c r="L647" s="236"/>
      <c r="M647" s="236"/>
      <c r="N647" s="236"/>
      <c r="O647" s="236"/>
      <c r="P647" s="236"/>
      <c r="Q647" s="236"/>
      <c r="R647" s="236"/>
      <c r="S647" s="236"/>
      <c r="T647" s="236"/>
      <c r="U647" s="236"/>
      <c r="V647" s="236"/>
      <c r="W647" s="237"/>
      <c r="X647" s="237"/>
      <c r="Y647" s="237"/>
      <c r="Z647" s="237"/>
      <c r="AA647" s="237"/>
      <c r="AB647" s="237"/>
      <c r="AC647" s="237"/>
      <c r="AD647" s="237"/>
      <c r="AE647" s="237"/>
      <c r="AF647" s="237"/>
      <c r="AG647" s="237"/>
      <c r="AH647" s="237"/>
      <c r="AI647" s="308"/>
      <c r="AJ647" s="308"/>
      <c r="AK647" s="308"/>
      <c r="AL647" s="308"/>
      <c r="AM647" s="308"/>
      <c r="AN647" s="98"/>
    </row>
    <row r="648" ht="14.25" customHeight="1">
      <c r="A648" s="179"/>
      <c r="B648" s="98"/>
      <c r="C648" s="98"/>
      <c r="D648" s="98"/>
      <c r="E648" s="98"/>
      <c r="F648" s="235"/>
      <c r="G648" s="235"/>
      <c r="H648" s="236"/>
      <c r="I648" s="236"/>
      <c r="J648" s="236"/>
      <c r="K648" s="236"/>
      <c r="L648" s="236"/>
      <c r="M648" s="236"/>
      <c r="N648" s="236"/>
      <c r="O648" s="236"/>
      <c r="P648" s="236"/>
      <c r="Q648" s="236"/>
      <c r="R648" s="236"/>
      <c r="S648" s="236"/>
      <c r="T648" s="236"/>
      <c r="U648" s="236"/>
      <c r="V648" s="236"/>
      <c r="W648" s="237"/>
      <c r="X648" s="237"/>
      <c r="Y648" s="237"/>
      <c r="Z648" s="237"/>
      <c r="AA648" s="237"/>
      <c r="AB648" s="237"/>
      <c r="AC648" s="237"/>
      <c r="AD648" s="237"/>
      <c r="AE648" s="237"/>
      <c r="AF648" s="237"/>
      <c r="AG648" s="237"/>
      <c r="AH648" s="237"/>
      <c r="AI648" s="308"/>
      <c r="AJ648" s="308"/>
      <c r="AK648" s="308"/>
      <c r="AL648" s="308"/>
      <c r="AM648" s="308"/>
      <c r="AN648" s="98"/>
    </row>
    <row r="649" ht="14.25" customHeight="1">
      <c r="A649" s="179"/>
      <c r="B649" s="98"/>
      <c r="C649" s="98"/>
      <c r="D649" s="98"/>
      <c r="E649" s="98"/>
      <c r="F649" s="235"/>
      <c r="G649" s="235"/>
      <c r="H649" s="236"/>
      <c r="I649" s="236"/>
      <c r="J649" s="236"/>
      <c r="K649" s="236"/>
      <c r="L649" s="236"/>
      <c r="M649" s="236"/>
      <c r="N649" s="236"/>
      <c r="O649" s="236"/>
      <c r="P649" s="236"/>
      <c r="Q649" s="236"/>
      <c r="R649" s="236"/>
      <c r="S649" s="236"/>
      <c r="T649" s="236"/>
      <c r="U649" s="236"/>
      <c r="V649" s="236"/>
      <c r="W649" s="237"/>
      <c r="X649" s="237"/>
      <c r="Y649" s="237"/>
      <c r="Z649" s="237"/>
      <c r="AA649" s="237"/>
      <c r="AB649" s="237"/>
      <c r="AC649" s="237"/>
      <c r="AD649" s="237"/>
      <c r="AE649" s="237"/>
      <c r="AF649" s="237"/>
      <c r="AG649" s="237"/>
      <c r="AH649" s="237"/>
      <c r="AI649" s="308"/>
      <c r="AJ649" s="308"/>
      <c r="AK649" s="308"/>
      <c r="AL649" s="308"/>
      <c r="AM649" s="308"/>
      <c r="AN649" s="98"/>
    </row>
    <row r="650" ht="14.25" customHeight="1">
      <c r="A650" s="179"/>
      <c r="B650" s="98"/>
      <c r="C650" s="98"/>
      <c r="D650" s="98"/>
      <c r="E650" s="98"/>
      <c r="F650" s="235"/>
      <c r="G650" s="235"/>
      <c r="H650" s="236"/>
      <c r="I650" s="236"/>
      <c r="J650" s="236"/>
      <c r="K650" s="236"/>
      <c r="L650" s="236"/>
      <c r="M650" s="236"/>
      <c r="N650" s="236"/>
      <c r="O650" s="236"/>
      <c r="P650" s="236"/>
      <c r="Q650" s="236"/>
      <c r="R650" s="236"/>
      <c r="S650" s="236"/>
      <c r="T650" s="236"/>
      <c r="U650" s="236"/>
      <c r="V650" s="236"/>
      <c r="W650" s="237"/>
      <c r="X650" s="237"/>
      <c r="Y650" s="237"/>
      <c r="Z650" s="237"/>
      <c r="AA650" s="237"/>
      <c r="AB650" s="237"/>
      <c r="AC650" s="237"/>
      <c r="AD650" s="237"/>
      <c r="AE650" s="237"/>
      <c r="AF650" s="237"/>
      <c r="AG650" s="237"/>
      <c r="AH650" s="237"/>
      <c r="AI650" s="308"/>
      <c r="AJ650" s="308"/>
      <c r="AK650" s="308"/>
      <c r="AL650" s="308"/>
      <c r="AM650" s="308"/>
      <c r="AN650" s="98"/>
    </row>
    <row r="651" ht="14.25" customHeight="1">
      <c r="A651" s="179"/>
      <c r="B651" s="98"/>
      <c r="C651" s="98"/>
      <c r="D651" s="98"/>
      <c r="E651" s="98"/>
      <c r="F651" s="235"/>
      <c r="G651" s="235"/>
      <c r="H651" s="236"/>
      <c r="I651" s="236"/>
      <c r="J651" s="236"/>
      <c r="K651" s="236"/>
      <c r="L651" s="236"/>
      <c r="M651" s="236"/>
      <c r="N651" s="236"/>
      <c r="O651" s="236"/>
      <c r="P651" s="236"/>
      <c r="Q651" s="236"/>
      <c r="R651" s="236"/>
      <c r="S651" s="236"/>
      <c r="T651" s="236"/>
      <c r="U651" s="236"/>
      <c r="V651" s="236"/>
      <c r="W651" s="237"/>
      <c r="X651" s="237"/>
      <c r="Y651" s="237"/>
      <c r="Z651" s="237"/>
      <c r="AA651" s="237"/>
      <c r="AB651" s="237"/>
      <c r="AC651" s="237"/>
      <c r="AD651" s="237"/>
      <c r="AE651" s="237"/>
      <c r="AF651" s="237"/>
      <c r="AG651" s="237"/>
      <c r="AH651" s="237"/>
      <c r="AI651" s="308"/>
      <c r="AJ651" s="308"/>
      <c r="AK651" s="308"/>
      <c r="AL651" s="308"/>
      <c r="AM651" s="308"/>
      <c r="AN651" s="98"/>
    </row>
    <row r="652" ht="14.25" customHeight="1">
      <c r="A652" s="179"/>
      <c r="B652" s="98"/>
      <c r="C652" s="98"/>
      <c r="D652" s="98"/>
      <c r="E652" s="98"/>
      <c r="F652" s="235"/>
      <c r="G652" s="235"/>
      <c r="H652" s="236"/>
      <c r="I652" s="236"/>
      <c r="J652" s="236"/>
      <c r="K652" s="236"/>
      <c r="L652" s="236"/>
      <c r="M652" s="236"/>
      <c r="N652" s="236"/>
      <c r="O652" s="236"/>
      <c r="P652" s="236"/>
      <c r="Q652" s="236"/>
      <c r="R652" s="236"/>
      <c r="S652" s="236"/>
      <c r="T652" s="236"/>
      <c r="U652" s="236"/>
      <c r="V652" s="236"/>
      <c r="W652" s="237"/>
      <c r="X652" s="237"/>
      <c r="Y652" s="237"/>
      <c r="Z652" s="237"/>
      <c r="AA652" s="237"/>
      <c r="AB652" s="237"/>
      <c r="AC652" s="237"/>
      <c r="AD652" s="237"/>
      <c r="AE652" s="237"/>
      <c r="AF652" s="237"/>
      <c r="AG652" s="237"/>
      <c r="AH652" s="237"/>
      <c r="AI652" s="308"/>
      <c r="AJ652" s="308"/>
      <c r="AK652" s="308"/>
      <c r="AL652" s="308"/>
      <c r="AM652" s="308"/>
      <c r="AN652" s="98"/>
    </row>
    <row r="653" ht="14.25" customHeight="1">
      <c r="A653" s="179"/>
      <c r="B653" s="98"/>
      <c r="C653" s="98"/>
      <c r="D653" s="98"/>
      <c r="E653" s="98"/>
      <c r="F653" s="235"/>
      <c r="G653" s="235"/>
      <c r="H653" s="236"/>
      <c r="I653" s="236"/>
      <c r="J653" s="236"/>
      <c r="K653" s="236"/>
      <c r="L653" s="236"/>
      <c r="M653" s="236"/>
      <c r="N653" s="236"/>
      <c r="O653" s="236"/>
      <c r="P653" s="236"/>
      <c r="Q653" s="236"/>
      <c r="R653" s="236"/>
      <c r="S653" s="236"/>
      <c r="T653" s="236"/>
      <c r="U653" s="236"/>
      <c r="V653" s="236"/>
      <c r="W653" s="237"/>
      <c r="X653" s="237"/>
      <c r="Y653" s="237"/>
      <c r="Z653" s="237"/>
      <c r="AA653" s="237"/>
      <c r="AB653" s="237"/>
      <c r="AC653" s="237"/>
      <c r="AD653" s="237"/>
      <c r="AE653" s="237"/>
      <c r="AF653" s="237"/>
      <c r="AG653" s="237"/>
      <c r="AH653" s="237"/>
      <c r="AI653" s="308"/>
      <c r="AJ653" s="308"/>
      <c r="AK653" s="308"/>
      <c r="AL653" s="308"/>
      <c r="AM653" s="308"/>
      <c r="AN653" s="98"/>
    </row>
    <row r="654" ht="14.25" customHeight="1">
      <c r="A654" s="179"/>
      <c r="B654" s="98"/>
      <c r="C654" s="98"/>
      <c r="D654" s="98"/>
      <c r="E654" s="98"/>
      <c r="F654" s="235"/>
      <c r="G654" s="235"/>
      <c r="H654" s="236"/>
      <c r="I654" s="236"/>
      <c r="J654" s="236"/>
      <c r="K654" s="236"/>
      <c r="L654" s="236"/>
      <c r="M654" s="236"/>
      <c r="N654" s="236"/>
      <c r="O654" s="236"/>
      <c r="P654" s="236"/>
      <c r="Q654" s="236"/>
      <c r="R654" s="236"/>
      <c r="S654" s="236"/>
      <c r="T654" s="236"/>
      <c r="U654" s="236"/>
      <c r="V654" s="236"/>
      <c r="W654" s="237"/>
      <c r="X654" s="237"/>
      <c r="Y654" s="237"/>
      <c r="Z654" s="237"/>
      <c r="AA654" s="237"/>
      <c r="AB654" s="237"/>
      <c r="AC654" s="237"/>
      <c r="AD654" s="237"/>
      <c r="AE654" s="237"/>
      <c r="AF654" s="237"/>
      <c r="AG654" s="237"/>
      <c r="AH654" s="237"/>
      <c r="AI654" s="308"/>
      <c r="AJ654" s="308"/>
      <c r="AK654" s="308"/>
      <c r="AL654" s="308"/>
      <c r="AM654" s="308"/>
      <c r="AN654" s="98"/>
    </row>
    <row r="655" ht="14.25" customHeight="1">
      <c r="A655" s="179"/>
      <c r="B655" s="98"/>
      <c r="C655" s="98"/>
      <c r="D655" s="98"/>
      <c r="E655" s="98"/>
      <c r="F655" s="235"/>
      <c r="G655" s="235"/>
      <c r="H655" s="236"/>
      <c r="I655" s="236"/>
      <c r="J655" s="236"/>
      <c r="K655" s="236"/>
      <c r="L655" s="236"/>
      <c r="M655" s="236"/>
      <c r="N655" s="236"/>
      <c r="O655" s="236"/>
      <c r="P655" s="236"/>
      <c r="Q655" s="236"/>
      <c r="R655" s="236"/>
      <c r="S655" s="236"/>
      <c r="T655" s="236"/>
      <c r="U655" s="236"/>
      <c r="V655" s="236"/>
      <c r="W655" s="237"/>
      <c r="X655" s="237"/>
      <c r="Y655" s="237"/>
      <c r="Z655" s="237"/>
      <c r="AA655" s="237"/>
      <c r="AB655" s="237"/>
      <c r="AC655" s="237"/>
      <c r="AD655" s="237"/>
      <c r="AE655" s="237"/>
      <c r="AF655" s="237"/>
      <c r="AG655" s="237"/>
      <c r="AH655" s="237"/>
      <c r="AI655" s="308"/>
      <c r="AJ655" s="308"/>
      <c r="AK655" s="308"/>
      <c r="AL655" s="308"/>
      <c r="AM655" s="308"/>
      <c r="AN655" s="98"/>
    </row>
    <row r="656" ht="14.25" customHeight="1">
      <c r="A656" s="179"/>
      <c r="B656" s="98"/>
      <c r="C656" s="98"/>
      <c r="D656" s="98"/>
      <c r="E656" s="98"/>
      <c r="F656" s="235"/>
      <c r="G656" s="235"/>
      <c r="H656" s="236"/>
      <c r="I656" s="236"/>
      <c r="J656" s="236"/>
      <c r="K656" s="236"/>
      <c r="L656" s="236"/>
      <c r="M656" s="236"/>
      <c r="N656" s="236"/>
      <c r="O656" s="236"/>
      <c r="P656" s="236"/>
      <c r="Q656" s="236"/>
      <c r="R656" s="236"/>
      <c r="S656" s="236"/>
      <c r="T656" s="236"/>
      <c r="U656" s="236"/>
      <c r="V656" s="236"/>
      <c r="W656" s="237"/>
      <c r="X656" s="237"/>
      <c r="Y656" s="237"/>
      <c r="Z656" s="237"/>
      <c r="AA656" s="237"/>
      <c r="AB656" s="237"/>
      <c r="AC656" s="237"/>
      <c r="AD656" s="237"/>
      <c r="AE656" s="237"/>
      <c r="AF656" s="237"/>
      <c r="AG656" s="237"/>
      <c r="AH656" s="237"/>
      <c r="AI656" s="308"/>
      <c r="AJ656" s="308"/>
      <c r="AK656" s="308"/>
      <c r="AL656" s="308"/>
      <c r="AM656" s="308"/>
      <c r="AN656" s="98"/>
    </row>
    <row r="657" ht="14.25" customHeight="1">
      <c r="A657" s="179"/>
      <c r="B657" s="98"/>
      <c r="C657" s="98"/>
      <c r="D657" s="98"/>
      <c r="E657" s="98"/>
      <c r="F657" s="235"/>
      <c r="G657" s="235"/>
      <c r="H657" s="236"/>
      <c r="I657" s="236"/>
      <c r="J657" s="236"/>
      <c r="K657" s="236"/>
      <c r="L657" s="236"/>
      <c r="M657" s="236"/>
      <c r="N657" s="236"/>
      <c r="O657" s="236"/>
      <c r="P657" s="236"/>
      <c r="Q657" s="236"/>
      <c r="R657" s="236"/>
      <c r="S657" s="236"/>
      <c r="T657" s="236"/>
      <c r="U657" s="236"/>
      <c r="V657" s="236"/>
      <c r="W657" s="237"/>
      <c r="X657" s="237"/>
      <c r="Y657" s="237"/>
      <c r="Z657" s="237"/>
      <c r="AA657" s="237"/>
      <c r="AB657" s="237"/>
      <c r="AC657" s="237"/>
      <c r="AD657" s="237"/>
      <c r="AE657" s="237"/>
      <c r="AF657" s="237"/>
      <c r="AG657" s="237"/>
      <c r="AH657" s="237"/>
      <c r="AI657" s="308"/>
      <c r="AJ657" s="308"/>
      <c r="AK657" s="308"/>
      <c r="AL657" s="308"/>
      <c r="AM657" s="308"/>
      <c r="AN657" s="98"/>
    </row>
    <row r="658" ht="14.25" customHeight="1">
      <c r="A658" s="179"/>
      <c r="B658" s="98"/>
      <c r="C658" s="98"/>
      <c r="D658" s="98"/>
      <c r="E658" s="98"/>
      <c r="F658" s="235"/>
      <c r="G658" s="235"/>
      <c r="H658" s="236"/>
      <c r="I658" s="236"/>
      <c r="J658" s="236"/>
      <c r="K658" s="236"/>
      <c r="L658" s="236"/>
      <c r="M658" s="236"/>
      <c r="N658" s="236"/>
      <c r="O658" s="236"/>
      <c r="P658" s="236"/>
      <c r="Q658" s="236"/>
      <c r="R658" s="236"/>
      <c r="S658" s="236"/>
      <c r="T658" s="236"/>
      <c r="U658" s="236"/>
      <c r="V658" s="236"/>
      <c r="W658" s="237"/>
      <c r="X658" s="237"/>
      <c r="Y658" s="237"/>
      <c r="Z658" s="237"/>
      <c r="AA658" s="237"/>
      <c r="AB658" s="237"/>
      <c r="AC658" s="237"/>
      <c r="AD658" s="237"/>
      <c r="AE658" s="237"/>
      <c r="AF658" s="237"/>
      <c r="AG658" s="237"/>
      <c r="AH658" s="237"/>
      <c r="AI658" s="308"/>
      <c r="AJ658" s="308"/>
      <c r="AK658" s="308"/>
      <c r="AL658" s="308"/>
      <c r="AM658" s="308"/>
      <c r="AN658" s="98"/>
    </row>
    <row r="659" ht="14.25" customHeight="1">
      <c r="A659" s="179"/>
      <c r="B659" s="98"/>
      <c r="C659" s="98"/>
      <c r="D659" s="98"/>
      <c r="E659" s="98"/>
      <c r="F659" s="235"/>
      <c r="G659" s="235"/>
      <c r="H659" s="236"/>
      <c r="I659" s="236"/>
      <c r="J659" s="236"/>
      <c r="K659" s="236"/>
      <c r="L659" s="236"/>
      <c r="M659" s="236"/>
      <c r="N659" s="236"/>
      <c r="O659" s="236"/>
      <c r="P659" s="236"/>
      <c r="Q659" s="236"/>
      <c r="R659" s="236"/>
      <c r="S659" s="236"/>
      <c r="T659" s="236"/>
      <c r="U659" s="236"/>
      <c r="V659" s="236"/>
      <c r="W659" s="237"/>
      <c r="X659" s="237"/>
      <c r="Y659" s="237"/>
      <c r="Z659" s="237"/>
      <c r="AA659" s="237"/>
      <c r="AB659" s="237"/>
      <c r="AC659" s="237"/>
      <c r="AD659" s="237"/>
      <c r="AE659" s="237"/>
      <c r="AF659" s="237"/>
      <c r="AG659" s="237"/>
      <c r="AH659" s="237"/>
      <c r="AI659" s="308"/>
      <c r="AJ659" s="308"/>
      <c r="AK659" s="308"/>
      <c r="AL659" s="308"/>
      <c r="AM659" s="308"/>
      <c r="AN659" s="98"/>
    </row>
    <row r="660" ht="14.25" customHeight="1">
      <c r="A660" s="179"/>
      <c r="B660" s="98"/>
      <c r="C660" s="98"/>
      <c r="D660" s="98"/>
      <c r="E660" s="98"/>
      <c r="F660" s="235"/>
      <c r="G660" s="235"/>
      <c r="H660" s="236"/>
      <c r="I660" s="236"/>
      <c r="J660" s="236"/>
      <c r="K660" s="236"/>
      <c r="L660" s="236"/>
      <c r="M660" s="236"/>
      <c r="N660" s="236"/>
      <c r="O660" s="236"/>
      <c r="P660" s="236"/>
      <c r="Q660" s="236"/>
      <c r="R660" s="236"/>
      <c r="S660" s="236"/>
      <c r="T660" s="236"/>
      <c r="U660" s="236"/>
      <c r="V660" s="236"/>
      <c r="W660" s="237"/>
      <c r="X660" s="237"/>
      <c r="Y660" s="237"/>
      <c r="Z660" s="237"/>
      <c r="AA660" s="237"/>
      <c r="AB660" s="237"/>
      <c r="AC660" s="237"/>
      <c r="AD660" s="237"/>
      <c r="AE660" s="237"/>
      <c r="AF660" s="237"/>
      <c r="AG660" s="237"/>
      <c r="AH660" s="237"/>
      <c r="AI660" s="308"/>
      <c r="AJ660" s="308"/>
      <c r="AK660" s="308"/>
      <c r="AL660" s="308"/>
      <c r="AM660" s="308"/>
      <c r="AN660" s="98"/>
    </row>
    <row r="661" ht="14.25" customHeight="1">
      <c r="A661" s="179"/>
      <c r="B661" s="98"/>
      <c r="C661" s="98"/>
      <c r="D661" s="98"/>
      <c r="E661" s="98"/>
      <c r="F661" s="235"/>
      <c r="G661" s="235"/>
      <c r="H661" s="236"/>
      <c r="I661" s="236"/>
      <c r="J661" s="236"/>
      <c r="K661" s="236"/>
      <c r="L661" s="236"/>
      <c r="M661" s="236"/>
      <c r="N661" s="236"/>
      <c r="O661" s="236"/>
      <c r="P661" s="236"/>
      <c r="Q661" s="236"/>
      <c r="R661" s="236"/>
      <c r="S661" s="236"/>
      <c r="T661" s="236"/>
      <c r="U661" s="236"/>
      <c r="V661" s="236"/>
      <c r="W661" s="237"/>
      <c r="X661" s="237"/>
      <c r="Y661" s="237"/>
      <c r="Z661" s="237"/>
      <c r="AA661" s="237"/>
      <c r="AB661" s="237"/>
      <c r="AC661" s="237"/>
      <c r="AD661" s="237"/>
      <c r="AE661" s="237"/>
      <c r="AF661" s="237"/>
      <c r="AG661" s="237"/>
      <c r="AH661" s="237"/>
      <c r="AI661" s="308"/>
      <c r="AJ661" s="308"/>
      <c r="AK661" s="308"/>
      <c r="AL661" s="308"/>
      <c r="AM661" s="308"/>
      <c r="AN661" s="98"/>
    </row>
    <row r="662" ht="14.25" customHeight="1">
      <c r="A662" s="179"/>
      <c r="B662" s="98"/>
      <c r="C662" s="98"/>
      <c r="D662" s="98"/>
      <c r="E662" s="98"/>
      <c r="F662" s="235"/>
      <c r="G662" s="235"/>
      <c r="H662" s="236"/>
      <c r="I662" s="236"/>
      <c r="J662" s="236"/>
      <c r="K662" s="236"/>
      <c r="L662" s="236"/>
      <c r="M662" s="236"/>
      <c r="N662" s="236"/>
      <c r="O662" s="236"/>
      <c r="P662" s="236"/>
      <c r="Q662" s="236"/>
      <c r="R662" s="236"/>
      <c r="S662" s="236"/>
      <c r="T662" s="236"/>
      <c r="U662" s="236"/>
      <c r="V662" s="236"/>
      <c r="W662" s="237"/>
      <c r="X662" s="237"/>
      <c r="Y662" s="237"/>
      <c r="Z662" s="237"/>
      <c r="AA662" s="237"/>
      <c r="AB662" s="237"/>
      <c r="AC662" s="237"/>
      <c r="AD662" s="237"/>
      <c r="AE662" s="237"/>
      <c r="AF662" s="237"/>
      <c r="AG662" s="237"/>
      <c r="AH662" s="237"/>
      <c r="AI662" s="308"/>
      <c r="AJ662" s="308"/>
      <c r="AK662" s="308"/>
      <c r="AL662" s="308"/>
      <c r="AM662" s="308"/>
      <c r="AN662" s="98"/>
    </row>
    <row r="663" ht="14.25" customHeight="1">
      <c r="A663" s="179"/>
      <c r="B663" s="98"/>
      <c r="C663" s="98"/>
      <c r="D663" s="98"/>
      <c r="E663" s="98"/>
      <c r="F663" s="235"/>
      <c r="G663" s="235"/>
      <c r="H663" s="236"/>
      <c r="I663" s="236"/>
      <c r="J663" s="236"/>
      <c r="K663" s="236"/>
      <c r="L663" s="236"/>
      <c r="M663" s="236"/>
      <c r="N663" s="236"/>
      <c r="O663" s="236"/>
      <c r="P663" s="236"/>
      <c r="Q663" s="236"/>
      <c r="R663" s="236"/>
      <c r="S663" s="236"/>
      <c r="T663" s="236"/>
      <c r="U663" s="236"/>
      <c r="V663" s="236"/>
      <c r="W663" s="237"/>
      <c r="X663" s="237"/>
      <c r="Y663" s="237"/>
      <c r="Z663" s="237"/>
      <c r="AA663" s="237"/>
      <c r="AB663" s="237"/>
      <c r="AC663" s="237"/>
      <c r="AD663" s="237"/>
      <c r="AE663" s="237"/>
      <c r="AF663" s="237"/>
      <c r="AG663" s="237"/>
      <c r="AH663" s="237"/>
      <c r="AI663" s="308"/>
      <c r="AJ663" s="308"/>
      <c r="AK663" s="308"/>
      <c r="AL663" s="308"/>
      <c r="AM663" s="308"/>
      <c r="AN663" s="98"/>
    </row>
    <row r="664" ht="14.25" customHeight="1">
      <c r="A664" s="179"/>
      <c r="B664" s="98"/>
      <c r="C664" s="98"/>
      <c r="D664" s="98"/>
      <c r="E664" s="98"/>
      <c r="F664" s="235"/>
      <c r="G664" s="235"/>
      <c r="H664" s="236"/>
      <c r="I664" s="236"/>
      <c r="J664" s="236"/>
      <c r="K664" s="236"/>
      <c r="L664" s="236"/>
      <c r="M664" s="236"/>
      <c r="N664" s="236"/>
      <c r="O664" s="236"/>
      <c r="P664" s="236"/>
      <c r="Q664" s="236"/>
      <c r="R664" s="236"/>
      <c r="S664" s="236"/>
      <c r="T664" s="236"/>
      <c r="U664" s="236"/>
      <c r="V664" s="236"/>
      <c r="W664" s="237"/>
      <c r="X664" s="237"/>
      <c r="Y664" s="237"/>
      <c r="Z664" s="237"/>
      <c r="AA664" s="237"/>
      <c r="AB664" s="237"/>
      <c r="AC664" s="237"/>
      <c r="AD664" s="237"/>
      <c r="AE664" s="237"/>
      <c r="AF664" s="237"/>
      <c r="AG664" s="237"/>
      <c r="AH664" s="237"/>
      <c r="AI664" s="308"/>
      <c r="AJ664" s="308"/>
      <c r="AK664" s="308"/>
      <c r="AL664" s="308"/>
      <c r="AM664" s="308"/>
      <c r="AN664" s="98"/>
    </row>
    <row r="665" ht="14.25" customHeight="1">
      <c r="A665" s="179"/>
      <c r="B665" s="98"/>
      <c r="C665" s="98"/>
      <c r="D665" s="98"/>
      <c r="E665" s="98"/>
      <c r="F665" s="235"/>
      <c r="G665" s="235"/>
      <c r="H665" s="236"/>
      <c r="I665" s="236"/>
      <c r="J665" s="236"/>
      <c r="K665" s="236"/>
      <c r="L665" s="236"/>
      <c r="M665" s="236"/>
      <c r="N665" s="236"/>
      <c r="O665" s="236"/>
      <c r="P665" s="236"/>
      <c r="Q665" s="236"/>
      <c r="R665" s="236"/>
      <c r="S665" s="236"/>
      <c r="T665" s="236"/>
      <c r="U665" s="236"/>
      <c r="V665" s="236"/>
      <c r="W665" s="237"/>
      <c r="X665" s="237"/>
      <c r="Y665" s="237"/>
      <c r="Z665" s="237"/>
      <c r="AA665" s="237"/>
      <c r="AB665" s="237"/>
      <c r="AC665" s="237"/>
      <c r="AD665" s="237"/>
      <c r="AE665" s="237"/>
      <c r="AF665" s="237"/>
      <c r="AG665" s="237"/>
      <c r="AH665" s="237"/>
      <c r="AI665" s="308"/>
      <c r="AJ665" s="308"/>
      <c r="AK665" s="308"/>
      <c r="AL665" s="308"/>
      <c r="AM665" s="308"/>
      <c r="AN665" s="98"/>
    </row>
    <row r="666" ht="14.25" customHeight="1">
      <c r="A666" s="179"/>
      <c r="B666" s="98"/>
      <c r="C666" s="98"/>
      <c r="D666" s="98"/>
      <c r="E666" s="98"/>
      <c r="F666" s="235"/>
      <c r="G666" s="235"/>
      <c r="H666" s="236"/>
      <c r="I666" s="236"/>
      <c r="J666" s="236"/>
      <c r="K666" s="236"/>
      <c r="L666" s="236"/>
      <c r="M666" s="236"/>
      <c r="N666" s="236"/>
      <c r="O666" s="236"/>
      <c r="P666" s="236"/>
      <c r="Q666" s="236"/>
      <c r="R666" s="236"/>
      <c r="S666" s="236"/>
      <c r="T666" s="236"/>
      <c r="U666" s="236"/>
      <c r="V666" s="236"/>
      <c r="W666" s="237"/>
      <c r="X666" s="237"/>
      <c r="Y666" s="237"/>
      <c r="Z666" s="237"/>
      <c r="AA666" s="237"/>
      <c r="AB666" s="237"/>
      <c r="AC666" s="237"/>
      <c r="AD666" s="237"/>
      <c r="AE666" s="237"/>
      <c r="AF666" s="237"/>
      <c r="AG666" s="237"/>
      <c r="AH666" s="237"/>
      <c r="AI666" s="308"/>
      <c r="AJ666" s="308"/>
      <c r="AK666" s="308"/>
      <c r="AL666" s="308"/>
      <c r="AM666" s="308"/>
      <c r="AN666" s="98"/>
    </row>
    <row r="667" ht="14.25" customHeight="1">
      <c r="A667" s="179"/>
      <c r="B667" s="98"/>
      <c r="C667" s="98"/>
      <c r="D667" s="98"/>
      <c r="E667" s="98"/>
      <c r="F667" s="235"/>
      <c r="G667" s="235"/>
      <c r="H667" s="236"/>
      <c r="I667" s="236"/>
      <c r="J667" s="236"/>
      <c r="K667" s="236"/>
      <c r="L667" s="236"/>
      <c r="M667" s="236"/>
      <c r="N667" s="236"/>
      <c r="O667" s="236"/>
      <c r="P667" s="236"/>
      <c r="Q667" s="236"/>
      <c r="R667" s="236"/>
      <c r="S667" s="236"/>
      <c r="T667" s="236"/>
      <c r="U667" s="236"/>
      <c r="V667" s="236"/>
      <c r="W667" s="237"/>
      <c r="X667" s="237"/>
      <c r="Y667" s="237"/>
      <c r="Z667" s="237"/>
      <c r="AA667" s="237"/>
      <c r="AB667" s="237"/>
      <c r="AC667" s="237"/>
      <c r="AD667" s="237"/>
      <c r="AE667" s="237"/>
      <c r="AF667" s="237"/>
      <c r="AG667" s="237"/>
      <c r="AH667" s="237"/>
      <c r="AI667" s="308"/>
      <c r="AJ667" s="308"/>
      <c r="AK667" s="308"/>
      <c r="AL667" s="308"/>
      <c r="AM667" s="308"/>
      <c r="AN667" s="98"/>
    </row>
    <row r="668" ht="14.25" customHeight="1">
      <c r="A668" s="179"/>
      <c r="B668" s="98"/>
      <c r="C668" s="98"/>
      <c r="D668" s="98"/>
      <c r="E668" s="98"/>
      <c r="F668" s="235"/>
      <c r="G668" s="235"/>
      <c r="H668" s="236"/>
      <c r="I668" s="236"/>
      <c r="J668" s="236"/>
      <c r="K668" s="236"/>
      <c r="L668" s="236"/>
      <c r="M668" s="236"/>
      <c r="N668" s="236"/>
      <c r="O668" s="236"/>
      <c r="P668" s="236"/>
      <c r="Q668" s="236"/>
      <c r="R668" s="236"/>
      <c r="S668" s="236"/>
      <c r="T668" s="236"/>
      <c r="U668" s="236"/>
      <c r="V668" s="236"/>
      <c r="W668" s="237"/>
      <c r="X668" s="237"/>
      <c r="Y668" s="237"/>
      <c r="Z668" s="237"/>
      <c r="AA668" s="237"/>
      <c r="AB668" s="237"/>
      <c r="AC668" s="237"/>
      <c r="AD668" s="237"/>
      <c r="AE668" s="237"/>
      <c r="AF668" s="237"/>
      <c r="AG668" s="237"/>
      <c r="AH668" s="237"/>
      <c r="AI668" s="308"/>
      <c r="AJ668" s="308"/>
      <c r="AK668" s="308"/>
      <c r="AL668" s="308"/>
      <c r="AM668" s="308"/>
      <c r="AN668" s="98"/>
    </row>
    <row r="669" ht="14.25" customHeight="1">
      <c r="A669" s="179"/>
      <c r="B669" s="98"/>
      <c r="C669" s="98"/>
      <c r="D669" s="98"/>
      <c r="E669" s="98"/>
      <c r="F669" s="235"/>
      <c r="G669" s="235"/>
      <c r="H669" s="236"/>
      <c r="I669" s="236"/>
      <c r="J669" s="236"/>
      <c r="K669" s="236"/>
      <c r="L669" s="236"/>
      <c r="M669" s="236"/>
      <c r="N669" s="236"/>
      <c r="O669" s="236"/>
      <c r="P669" s="236"/>
      <c r="Q669" s="236"/>
      <c r="R669" s="236"/>
      <c r="S669" s="236"/>
      <c r="T669" s="236"/>
      <c r="U669" s="236"/>
      <c r="V669" s="236"/>
      <c r="W669" s="237"/>
      <c r="X669" s="237"/>
      <c r="Y669" s="237"/>
      <c r="Z669" s="237"/>
      <c r="AA669" s="237"/>
      <c r="AB669" s="237"/>
      <c r="AC669" s="237"/>
      <c r="AD669" s="237"/>
      <c r="AE669" s="237"/>
      <c r="AF669" s="237"/>
      <c r="AG669" s="237"/>
      <c r="AH669" s="237"/>
      <c r="AI669" s="308"/>
      <c r="AJ669" s="308"/>
      <c r="AK669" s="308"/>
      <c r="AL669" s="308"/>
      <c r="AM669" s="308"/>
      <c r="AN669" s="98"/>
    </row>
    <row r="670" ht="14.25" customHeight="1">
      <c r="A670" s="179"/>
      <c r="B670" s="98"/>
      <c r="C670" s="98"/>
      <c r="D670" s="98"/>
      <c r="E670" s="98"/>
      <c r="F670" s="235"/>
      <c r="G670" s="235"/>
      <c r="H670" s="236"/>
      <c r="I670" s="236"/>
      <c r="J670" s="236"/>
      <c r="K670" s="236"/>
      <c r="L670" s="236"/>
      <c r="M670" s="236"/>
      <c r="N670" s="236"/>
      <c r="O670" s="236"/>
      <c r="P670" s="236"/>
      <c r="Q670" s="236"/>
      <c r="R670" s="236"/>
      <c r="S670" s="236"/>
      <c r="T670" s="236"/>
      <c r="U670" s="236"/>
      <c r="V670" s="236"/>
      <c r="W670" s="237"/>
      <c r="X670" s="237"/>
      <c r="Y670" s="237"/>
      <c r="Z670" s="237"/>
      <c r="AA670" s="237"/>
      <c r="AB670" s="237"/>
      <c r="AC670" s="237"/>
      <c r="AD670" s="237"/>
      <c r="AE670" s="237"/>
      <c r="AF670" s="237"/>
      <c r="AG670" s="237"/>
      <c r="AH670" s="237"/>
      <c r="AI670" s="308"/>
      <c r="AJ670" s="308"/>
      <c r="AK670" s="308"/>
      <c r="AL670" s="308"/>
      <c r="AM670" s="308"/>
      <c r="AN670" s="98"/>
    </row>
    <row r="671" ht="14.25" customHeight="1">
      <c r="A671" s="179"/>
      <c r="B671" s="98"/>
      <c r="C671" s="98"/>
      <c r="D671" s="98"/>
      <c r="E671" s="98"/>
      <c r="F671" s="235"/>
      <c r="G671" s="235"/>
      <c r="H671" s="236"/>
      <c r="I671" s="236"/>
      <c r="J671" s="236"/>
      <c r="K671" s="236"/>
      <c r="L671" s="236"/>
      <c r="M671" s="236"/>
      <c r="N671" s="236"/>
      <c r="O671" s="236"/>
      <c r="P671" s="236"/>
      <c r="Q671" s="236"/>
      <c r="R671" s="236"/>
      <c r="S671" s="236"/>
      <c r="T671" s="236"/>
      <c r="U671" s="236"/>
      <c r="V671" s="236"/>
      <c r="W671" s="237"/>
      <c r="X671" s="237"/>
      <c r="Y671" s="237"/>
      <c r="Z671" s="237"/>
      <c r="AA671" s="237"/>
      <c r="AB671" s="237"/>
      <c r="AC671" s="237"/>
      <c r="AD671" s="237"/>
      <c r="AE671" s="237"/>
      <c r="AF671" s="237"/>
      <c r="AG671" s="237"/>
      <c r="AH671" s="237"/>
      <c r="AI671" s="308"/>
      <c r="AJ671" s="308"/>
      <c r="AK671" s="308"/>
      <c r="AL671" s="308"/>
      <c r="AM671" s="308"/>
      <c r="AN671" s="98"/>
    </row>
    <row r="672" ht="14.25" customHeight="1">
      <c r="A672" s="179"/>
      <c r="B672" s="98"/>
      <c r="C672" s="98"/>
      <c r="D672" s="98"/>
      <c r="E672" s="98"/>
      <c r="F672" s="235"/>
      <c r="G672" s="235"/>
      <c r="H672" s="236"/>
      <c r="I672" s="236"/>
      <c r="J672" s="236"/>
      <c r="K672" s="236"/>
      <c r="L672" s="236"/>
      <c r="M672" s="236"/>
      <c r="N672" s="236"/>
      <c r="O672" s="236"/>
      <c r="P672" s="236"/>
      <c r="Q672" s="236"/>
      <c r="R672" s="236"/>
      <c r="S672" s="236"/>
      <c r="T672" s="236"/>
      <c r="U672" s="236"/>
      <c r="V672" s="236"/>
      <c r="W672" s="237"/>
      <c r="X672" s="237"/>
      <c r="Y672" s="237"/>
      <c r="Z672" s="237"/>
      <c r="AA672" s="237"/>
      <c r="AB672" s="237"/>
      <c r="AC672" s="237"/>
      <c r="AD672" s="237"/>
      <c r="AE672" s="237"/>
      <c r="AF672" s="237"/>
      <c r="AG672" s="237"/>
      <c r="AH672" s="237"/>
      <c r="AI672" s="308"/>
      <c r="AJ672" s="308"/>
      <c r="AK672" s="308"/>
      <c r="AL672" s="308"/>
      <c r="AM672" s="308"/>
      <c r="AN672" s="98"/>
    </row>
    <row r="673" ht="14.25" customHeight="1">
      <c r="A673" s="179"/>
      <c r="B673" s="98"/>
      <c r="C673" s="98"/>
      <c r="D673" s="98"/>
      <c r="E673" s="98"/>
      <c r="F673" s="235"/>
      <c r="G673" s="235"/>
      <c r="H673" s="236"/>
      <c r="I673" s="236"/>
      <c r="J673" s="236"/>
      <c r="K673" s="236"/>
      <c r="L673" s="236"/>
      <c r="M673" s="236"/>
      <c r="N673" s="236"/>
      <c r="O673" s="236"/>
      <c r="P673" s="236"/>
      <c r="Q673" s="236"/>
      <c r="R673" s="236"/>
      <c r="S673" s="236"/>
      <c r="T673" s="236"/>
      <c r="U673" s="236"/>
      <c r="V673" s="236"/>
      <c r="W673" s="237"/>
      <c r="X673" s="237"/>
      <c r="Y673" s="237"/>
      <c r="Z673" s="237"/>
      <c r="AA673" s="237"/>
      <c r="AB673" s="237"/>
      <c r="AC673" s="237"/>
      <c r="AD673" s="237"/>
      <c r="AE673" s="237"/>
      <c r="AF673" s="237"/>
      <c r="AG673" s="237"/>
      <c r="AH673" s="237"/>
      <c r="AI673" s="308"/>
      <c r="AJ673" s="308"/>
      <c r="AK673" s="308"/>
      <c r="AL673" s="308"/>
      <c r="AM673" s="308"/>
      <c r="AN673" s="98"/>
    </row>
    <row r="674" ht="14.25" customHeight="1">
      <c r="A674" s="179"/>
      <c r="B674" s="98"/>
      <c r="C674" s="98"/>
      <c r="D674" s="98"/>
      <c r="E674" s="98"/>
      <c r="F674" s="235"/>
      <c r="G674" s="235"/>
      <c r="H674" s="236"/>
      <c r="I674" s="236"/>
      <c r="J674" s="236"/>
      <c r="K674" s="236"/>
      <c r="L674" s="236"/>
      <c r="M674" s="236"/>
      <c r="N674" s="236"/>
      <c r="O674" s="236"/>
      <c r="P674" s="236"/>
      <c r="Q674" s="236"/>
      <c r="R674" s="236"/>
      <c r="S674" s="236"/>
      <c r="T674" s="236"/>
      <c r="U674" s="236"/>
      <c r="V674" s="236"/>
      <c r="W674" s="237"/>
      <c r="X674" s="237"/>
      <c r="Y674" s="237"/>
      <c r="Z674" s="237"/>
      <c r="AA674" s="237"/>
      <c r="AB674" s="237"/>
      <c r="AC674" s="237"/>
      <c r="AD674" s="237"/>
      <c r="AE674" s="237"/>
      <c r="AF674" s="237"/>
      <c r="AG674" s="237"/>
      <c r="AH674" s="237"/>
      <c r="AI674" s="308"/>
      <c r="AJ674" s="308"/>
      <c r="AK674" s="308"/>
      <c r="AL674" s="308"/>
      <c r="AM674" s="308"/>
      <c r="AN674" s="98"/>
    </row>
    <row r="675" ht="14.25" customHeight="1">
      <c r="A675" s="179"/>
      <c r="B675" s="98"/>
      <c r="C675" s="98"/>
      <c r="D675" s="98"/>
      <c r="E675" s="98"/>
      <c r="F675" s="235"/>
      <c r="G675" s="235"/>
      <c r="H675" s="236"/>
      <c r="I675" s="236"/>
      <c r="J675" s="236"/>
      <c r="K675" s="236"/>
      <c r="L675" s="236"/>
      <c r="M675" s="236"/>
      <c r="N675" s="236"/>
      <c r="O675" s="236"/>
      <c r="P675" s="236"/>
      <c r="Q675" s="236"/>
      <c r="R675" s="236"/>
      <c r="S675" s="236"/>
      <c r="T675" s="236"/>
      <c r="U675" s="236"/>
      <c r="V675" s="236"/>
      <c r="W675" s="237"/>
      <c r="X675" s="237"/>
      <c r="Y675" s="237"/>
      <c r="Z675" s="237"/>
      <c r="AA675" s="237"/>
      <c r="AB675" s="237"/>
      <c r="AC675" s="237"/>
      <c r="AD675" s="237"/>
      <c r="AE675" s="237"/>
      <c r="AF675" s="237"/>
      <c r="AG675" s="237"/>
      <c r="AH675" s="237"/>
      <c r="AI675" s="308"/>
      <c r="AJ675" s="308"/>
      <c r="AK675" s="308"/>
      <c r="AL675" s="308"/>
      <c r="AM675" s="308"/>
      <c r="AN675" s="98"/>
    </row>
    <row r="676" ht="14.25" customHeight="1">
      <c r="A676" s="179"/>
      <c r="B676" s="98"/>
      <c r="C676" s="98"/>
      <c r="D676" s="98"/>
      <c r="E676" s="98"/>
      <c r="F676" s="235"/>
      <c r="G676" s="235"/>
      <c r="H676" s="236"/>
      <c r="I676" s="236"/>
      <c r="J676" s="236"/>
      <c r="K676" s="236"/>
      <c r="L676" s="236"/>
      <c r="M676" s="236"/>
      <c r="N676" s="236"/>
      <c r="O676" s="236"/>
      <c r="P676" s="236"/>
      <c r="Q676" s="236"/>
      <c r="R676" s="236"/>
      <c r="S676" s="236"/>
      <c r="T676" s="236"/>
      <c r="U676" s="236"/>
      <c r="V676" s="236"/>
      <c r="W676" s="237"/>
      <c r="X676" s="237"/>
      <c r="Y676" s="237"/>
      <c r="Z676" s="237"/>
      <c r="AA676" s="237"/>
      <c r="AB676" s="237"/>
      <c r="AC676" s="237"/>
      <c r="AD676" s="237"/>
      <c r="AE676" s="237"/>
      <c r="AF676" s="237"/>
      <c r="AG676" s="237"/>
      <c r="AH676" s="237"/>
      <c r="AI676" s="308"/>
      <c r="AJ676" s="308"/>
      <c r="AK676" s="308"/>
      <c r="AL676" s="308"/>
      <c r="AM676" s="308"/>
      <c r="AN676" s="98"/>
    </row>
    <row r="677" ht="14.25" customHeight="1">
      <c r="A677" s="179"/>
      <c r="B677" s="98"/>
      <c r="C677" s="98"/>
      <c r="D677" s="98"/>
      <c r="E677" s="98"/>
      <c r="F677" s="235"/>
      <c r="G677" s="235"/>
      <c r="H677" s="236"/>
      <c r="I677" s="236"/>
      <c r="J677" s="236"/>
      <c r="K677" s="236"/>
      <c r="L677" s="236"/>
      <c r="M677" s="236"/>
      <c r="N677" s="236"/>
      <c r="O677" s="236"/>
      <c r="P677" s="236"/>
      <c r="Q677" s="236"/>
      <c r="R677" s="236"/>
      <c r="S677" s="236"/>
      <c r="T677" s="236"/>
      <c r="U677" s="236"/>
      <c r="V677" s="236"/>
      <c r="W677" s="237"/>
      <c r="X677" s="237"/>
      <c r="Y677" s="237"/>
      <c r="Z677" s="237"/>
      <c r="AA677" s="237"/>
      <c r="AB677" s="237"/>
      <c r="AC677" s="237"/>
      <c r="AD677" s="237"/>
      <c r="AE677" s="237"/>
      <c r="AF677" s="237"/>
      <c r="AG677" s="237"/>
      <c r="AH677" s="237"/>
      <c r="AI677" s="308"/>
      <c r="AJ677" s="308"/>
      <c r="AK677" s="308"/>
      <c r="AL677" s="308"/>
      <c r="AM677" s="308"/>
      <c r="AN677" s="98"/>
    </row>
    <row r="678" ht="14.25" customHeight="1">
      <c r="A678" s="179"/>
      <c r="B678" s="98"/>
      <c r="C678" s="98"/>
      <c r="D678" s="98"/>
      <c r="E678" s="98"/>
      <c r="F678" s="235"/>
      <c r="G678" s="235"/>
      <c r="H678" s="236"/>
      <c r="I678" s="236"/>
      <c r="J678" s="236"/>
      <c r="K678" s="236"/>
      <c r="L678" s="236"/>
      <c r="M678" s="236"/>
      <c r="N678" s="236"/>
      <c r="O678" s="236"/>
      <c r="P678" s="236"/>
      <c r="Q678" s="236"/>
      <c r="R678" s="236"/>
      <c r="S678" s="236"/>
      <c r="T678" s="236"/>
      <c r="U678" s="236"/>
      <c r="V678" s="236"/>
      <c r="W678" s="237"/>
      <c r="X678" s="237"/>
      <c r="Y678" s="237"/>
      <c r="Z678" s="237"/>
      <c r="AA678" s="237"/>
      <c r="AB678" s="237"/>
      <c r="AC678" s="237"/>
      <c r="AD678" s="237"/>
      <c r="AE678" s="237"/>
      <c r="AF678" s="237"/>
      <c r="AG678" s="237"/>
      <c r="AH678" s="237"/>
      <c r="AI678" s="308"/>
      <c r="AJ678" s="308"/>
      <c r="AK678" s="308"/>
      <c r="AL678" s="308"/>
      <c r="AM678" s="308"/>
      <c r="AN678" s="98"/>
    </row>
    <row r="679" ht="14.25" customHeight="1">
      <c r="A679" s="179"/>
      <c r="B679" s="98"/>
      <c r="C679" s="98"/>
      <c r="D679" s="98"/>
      <c r="E679" s="98"/>
      <c r="F679" s="235"/>
      <c r="G679" s="235"/>
      <c r="H679" s="236"/>
      <c r="I679" s="236"/>
      <c r="J679" s="236"/>
      <c r="K679" s="236"/>
      <c r="L679" s="236"/>
      <c r="M679" s="236"/>
      <c r="N679" s="236"/>
      <c r="O679" s="236"/>
      <c r="P679" s="236"/>
      <c r="Q679" s="236"/>
      <c r="R679" s="236"/>
      <c r="S679" s="236"/>
      <c r="T679" s="236"/>
      <c r="U679" s="236"/>
      <c r="V679" s="236"/>
      <c r="W679" s="237"/>
      <c r="X679" s="237"/>
      <c r="Y679" s="237"/>
      <c r="Z679" s="237"/>
      <c r="AA679" s="237"/>
      <c r="AB679" s="237"/>
      <c r="AC679" s="237"/>
      <c r="AD679" s="237"/>
      <c r="AE679" s="237"/>
      <c r="AF679" s="237"/>
      <c r="AG679" s="237"/>
      <c r="AH679" s="237"/>
      <c r="AI679" s="308"/>
      <c r="AJ679" s="308"/>
      <c r="AK679" s="308"/>
      <c r="AL679" s="308"/>
      <c r="AM679" s="308"/>
      <c r="AN679" s="98"/>
    </row>
    <row r="680" ht="14.25" customHeight="1">
      <c r="A680" s="179"/>
      <c r="B680" s="98"/>
      <c r="C680" s="98"/>
      <c r="D680" s="98"/>
      <c r="E680" s="98"/>
      <c r="F680" s="235"/>
      <c r="G680" s="235"/>
      <c r="H680" s="236"/>
      <c r="I680" s="236"/>
      <c r="J680" s="236"/>
      <c r="K680" s="236"/>
      <c r="L680" s="236"/>
      <c r="M680" s="236"/>
      <c r="N680" s="236"/>
      <c r="O680" s="236"/>
      <c r="P680" s="236"/>
      <c r="Q680" s="236"/>
      <c r="R680" s="236"/>
      <c r="S680" s="236"/>
      <c r="T680" s="236"/>
      <c r="U680" s="236"/>
      <c r="V680" s="236"/>
      <c r="W680" s="237"/>
      <c r="X680" s="237"/>
      <c r="Y680" s="237"/>
      <c r="Z680" s="237"/>
      <c r="AA680" s="237"/>
      <c r="AB680" s="237"/>
      <c r="AC680" s="237"/>
      <c r="AD680" s="237"/>
      <c r="AE680" s="237"/>
      <c r="AF680" s="237"/>
      <c r="AG680" s="237"/>
      <c r="AH680" s="237"/>
      <c r="AI680" s="308"/>
      <c r="AJ680" s="308"/>
      <c r="AK680" s="308"/>
      <c r="AL680" s="308"/>
      <c r="AM680" s="308"/>
      <c r="AN680" s="98"/>
    </row>
    <row r="681" ht="14.25" customHeight="1">
      <c r="A681" s="179"/>
      <c r="B681" s="98"/>
      <c r="C681" s="98"/>
      <c r="D681" s="98"/>
      <c r="E681" s="98"/>
      <c r="F681" s="235"/>
      <c r="G681" s="235"/>
      <c r="H681" s="236"/>
      <c r="I681" s="236"/>
      <c r="J681" s="236"/>
      <c r="K681" s="236"/>
      <c r="L681" s="236"/>
      <c r="M681" s="236"/>
      <c r="N681" s="236"/>
      <c r="O681" s="236"/>
      <c r="P681" s="236"/>
      <c r="Q681" s="236"/>
      <c r="R681" s="236"/>
      <c r="S681" s="236"/>
      <c r="T681" s="236"/>
      <c r="U681" s="236"/>
      <c r="V681" s="236"/>
      <c r="W681" s="237"/>
      <c r="X681" s="237"/>
      <c r="Y681" s="237"/>
      <c r="Z681" s="237"/>
      <c r="AA681" s="237"/>
      <c r="AB681" s="237"/>
      <c r="AC681" s="237"/>
      <c r="AD681" s="237"/>
      <c r="AE681" s="237"/>
      <c r="AF681" s="237"/>
      <c r="AG681" s="237"/>
      <c r="AH681" s="237"/>
      <c r="AI681" s="308"/>
      <c r="AJ681" s="308"/>
      <c r="AK681" s="308"/>
      <c r="AL681" s="308"/>
      <c r="AM681" s="308"/>
      <c r="AN681" s="98"/>
    </row>
    <row r="682" ht="14.25" customHeight="1">
      <c r="A682" s="179"/>
      <c r="B682" s="98"/>
      <c r="C682" s="98"/>
      <c r="D682" s="98"/>
      <c r="E682" s="98"/>
      <c r="F682" s="235"/>
      <c r="G682" s="235"/>
      <c r="H682" s="236"/>
      <c r="I682" s="236"/>
      <c r="J682" s="236"/>
      <c r="K682" s="236"/>
      <c r="L682" s="236"/>
      <c r="M682" s="236"/>
      <c r="N682" s="236"/>
      <c r="O682" s="236"/>
      <c r="P682" s="236"/>
      <c r="Q682" s="236"/>
      <c r="R682" s="236"/>
      <c r="S682" s="236"/>
      <c r="T682" s="236"/>
      <c r="U682" s="236"/>
      <c r="V682" s="236"/>
      <c r="W682" s="237"/>
      <c r="X682" s="237"/>
      <c r="Y682" s="237"/>
      <c r="Z682" s="237"/>
      <c r="AA682" s="237"/>
      <c r="AB682" s="237"/>
      <c r="AC682" s="237"/>
      <c r="AD682" s="237"/>
      <c r="AE682" s="237"/>
      <c r="AF682" s="237"/>
      <c r="AG682" s="237"/>
      <c r="AH682" s="237"/>
      <c r="AI682" s="308"/>
      <c r="AJ682" s="308"/>
      <c r="AK682" s="308"/>
      <c r="AL682" s="308"/>
      <c r="AM682" s="308"/>
      <c r="AN682" s="98"/>
    </row>
    <row r="683" ht="14.25" customHeight="1">
      <c r="A683" s="179"/>
      <c r="B683" s="98"/>
      <c r="C683" s="98"/>
      <c r="D683" s="98"/>
      <c r="E683" s="98"/>
      <c r="F683" s="235"/>
      <c r="G683" s="235"/>
      <c r="H683" s="236"/>
      <c r="I683" s="236"/>
      <c r="J683" s="236"/>
      <c r="K683" s="236"/>
      <c r="L683" s="236"/>
      <c r="M683" s="236"/>
      <c r="N683" s="236"/>
      <c r="O683" s="236"/>
      <c r="P683" s="236"/>
      <c r="Q683" s="236"/>
      <c r="R683" s="236"/>
      <c r="S683" s="236"/>
      <c r="T683" s="236"/>
      <c r="U683" s="236"/>
      <c r="V683" s="236"/>
      <c r="W683" s="237"/>
      <c r="X683" s="237"/>
      <c r="Y683" s="237"/>
      <c r="Z683" s="237"/>
      <c r="AA683" s="237"/>
      <c r="AB683" s="237"/>
      <c r="AC683" s="237"/>
      <c r="AD683" s="237"/>
      <c r="AE683" s="237"/>
      <c r="AF683" s="237"/>
      <c r="AG683" s="237"/>
      <c r="AH683" s="237"/>
      <c r="AI683" s="308"/>
      <c r="AJ683" s="308"/>
      <c r="AK683" s="308"/>
      <c r="AL683" s="308"/>
      <c r="AM683" s="308"/>
      <c r="AN683" s="98"/>
    </row>
    <row r="684" ht="14.25" customHeight="1">
      <c r="A684" s="179"/>
      <c r="B684" s="98"/>
      <c r="C684" s="98"/>
      <c r="D684" s="98"/>
      <c r="E684" s="98"/>
      <c r="F684" s="235"/>
      <c r="G684" s="235"/>
      <c r="H684" s="236"/>
      <c r="I684" s="236"/>
      <c r="J684" s="236"/>
      <c r="K684" s="236"/>
      <c r="L684" s="236"/>
      <c r="M684" s="236"/>
      <c r="N684" s="236"/>
      <c r="O684" s="236"/>
      <c r="P684" s="236"/>
      <c r="Q684" s="236"/>
      <c r="R684" s="236"/>
      <c r="S684" s="236"/>
      <c r="T684" s="236"/>
      <c r="U684" s="236"/>
      <c r="V684" s="236"/>
      <c r="W684" s="237"/>
      <c r="X684" s="237"/>
      <c r="Y684" s="237"/>
      <c r="Z684" s="237"/>
      <c r="AA684" s="237"/>
      <c r="AB684" s="237"/>
      <c r="AC684" s="237"/>
      <c r="AD684" s="237"/>
      <c r="AE684" s="237"/>
      <c r="AF684" s="237"/>
      <c r="AG684" s="237"/>
      <c r="AH684" s="237"/>
      <c r="AI684" s="308"/>
      <c r="AJ684" s="308"/>
      <c r="AK684" s="308"/>
      <c r="AL684" s="308"/>
      <c r="AM684" s="308"/>
      <c r="AN684" s="98"/>
    </row>
    <row r="685" ht="14.25" customHeight="1">
      <c r="A685" s="179"/>
      <c r="B685" s="98"/>
      <c r="C685" s="98"/>
      <c r="D685" s="98"/>
      <c r="E685" s="98"/>
      <c r="F685" s="235"/>
      <c r="G685" s="235"/>
      <c r="H685" s="236"/>
      <c r="I685" s="236"/>
      <c r="J685" s="236"/>
      <c r="K685" s="236"/>
      <c r="L685" s="236"/>
      <c r="M685" s="236"/>
      <c r="N685" s="236"/>
      <c r="O685" s="236"/>
      <c r="P685" s="236"/>
      <c r="Q685" s="236"/>
      <c r="R685" s="236"/>
      <c r="S685" s="236"/>
      <c r="T685" s="236"/>
      <c r="U685" s="236"/>
      <c r="V685" s="236"/>
      <c r="W685" s="237"/>
      <c r="X685" s="237"/>
      <c r="Y685" s="237"/>
      <c r="Z685" s="237"/>
      <c r="AA685" s="237"/>
      <c r="AB685" s="237"/>
      <c r="AC685" s="237"/>
      <c r="AD685" s="237"/>
      <c r="AE685" s="237"/>
      <c r="AF685" s="237"/>
      <c r="AG685" s="237"/>
      <c r="AH685" s="237"/>
      <c r="AI685" s="308"/>
      <c r="AJ685" s="308"/>
      <c r="AK685" s="308"/>
      <c r="AL685" s="308"/>
      <c r="AM685" s="308"/>
      <c r="AN685" s="98"/>
    </row>
    <row r="686" ht="14.25" customHeight="1">
      <c r="A686" s="179"/>
      <c r="B686" s="98"/>
      <c r="C686" s="98"/>
      <c r="D686" s="98"/>
      <c r="E686" s="98"/>
      <c r="F686" s="235"/>
      <c r="G686" s="235"/>
      <c r="H686" s="236"/>
      <c r="I686" s="236"/>
      <c r="J686" s="236"/>
      <c r="K686" s="236"/>
      <c r="L686" s="236"/>
      <c r="M686" s="236"/>
      <c r="N686" s="236"/>
      <c r="O686" s="236"/>
      <c r="P686" s="236"/>
      <c r="Q686" s="236"/>
      <c r="R686" s="236"/>
      <c r="S686" s="236"/>
      <c r="T686" s="236"/>
      <c r="U686" s="236"/>
      <c r="V686" s="236"/>
      <c r="W686" s="237"/>
      <c r="X686" s="237"/>
      <c r="Y686" s="237"/>
      <c r="Z686" s="237"/>
      <c r="AA686" s="237"/>
      <c r="AB686" s="237"/>
      <c r="AC686" s="237"/>
      <c r="AD686" s="237"/>
      <c r="AE686" s="237"/>
      <c r="AF686" s="237"/>
      <c r="AG686" s="237"/>
      <c r="AH686" s="237"/>
      <c r="AI686" s="308"/>
      <c r="AJ686" s="308"/>
      <c r="AK686" s="308"/>
      <c r="AL686" s="308"/>
      <c r="AM686" s="308"/>
      <c r="AN686" s="98"/>
    </row>
    <row r="687" ht="14.25" customHeight="1">
      <c r="A687" s="179"/>
      <c r="B687" s="98"/>
      <c r="C687" s="98"/>
      <c r="D687" s="98"/>
      <c r="E687" s="98"/>
      <c r="F687" s="235"/>
      <c r="G687" s="235"/>
      <c r="H687" s="236"/>
      <c r="I687" s="236"/>
      <c r="J687" s="236"/>
      <c r="K687" s="236"/>
      <c r="L687" s="236"/>
      <c r="M687" s="236"/>
      <c r="N687" s="236"/>
      <c r="O687" s="236"/>
      <c r="P687" s="236"/>
      <c r="Q687" s="236"/>
      <c r="R687" s="236"/>
      <c r="S687" s="236"/>
      <c r="T687" s="236"/>
      <c r="U687" s="236"/>
      <c r="V687" s="236"/>
      <c r="W687" s="237"/>
      <c r="X687" s="237"/>
      <c r="Y687" s="237"/>
      <c r="Z687" s="237"/>
      <c r="AA687" s="237"/>
      <c r="AB687" s="237"/>
      <c r="AC687" s="237"/>
      <c r="AD687" s="237"/>
      <c r="AE687" s="237"/>
      <c r="AF687" s="237"/>
      <c r="AG687" s="237"/>
      <c r="AH687" s="237"/>
      <c r="AI687" s="308"/>
      <c r="AJ687" s="308"/>
      <c r="AK687" s="308"/>
      <c r="AL687" s="308"/>
      <c r="AM687" s="308"/>
      <c r="AN687" s="98"/>
    </row>
    <row r="688" ht="14.25" customHeight="1">
      <c r="A688" s="179"/>
      <c r="B688" s="98"/>
      <c r="C688" s="98"/>
      <c r="D688" s="98"/>
      <c r="E688" s="98"/>
      <c r="F688" s="235"/>
      <c r="G688" s="235"/>
      <c r="H688" s="236"/>
      <c r="I688" s="236"/>
      <c r="J688" s="236"/>
      <c r="K688" s="236"/>
      <c r="L688" s="236"/>
      <c r="M688" s="236"/>
      <c r="N688" s="236"/>
      <c r="O688" s="236"/>
      <c r="P688" s="236"/>
      <c r="Q688" s="236"/>
      <c r="R688" s="236"/>
      <c r="S688" s="236"/>
      <c r="T688" s="236"/>
      <c r="U688" s="236"/>
      <c r="V688" s="236"/>
      <c r="W688" s="237"/>
      <c r="X688" s="237"/>
      <c r="Y688" s="237"/>
      <c r="Z688" s="237"/>
      <c r="AA688" s="237"/>
      <c r="AB688" s="237"/>
      <c r="AC688" s="237"/>
      <c r="AD688" s="237"/>
      <c r="AE688" s="237"/>
      <c r="AF688" s="237"/>
      <c r="AG688" s="237"/>
      <c r="AH688" s="237"/>
      <c r="AI688" s="308"/>
      <c r="AJ688" s="308"/>
      <c r="AK688" s="308"/>
      <c r="AL688" s="308"/>
      <c r="AM688" s="308"/>
      <c r="AN688" s="98"/>
    </row>
    <row r="689" ht="14.25" customHeight="1">
      <c r="A689" s="179"/>
      <c r="B689" s="98"/>
      <c r="C689" s="98"/>
      <c r="D689" s="98"/>
      <c r="E689" s="98"/>
      <c r="F689" s="235"/>
      <c r="G689" s="235"/>
      <c r="H689" s="236"/>
      <c r="I689" s="236"/>
      <c r="J689" s="236"/>
      <c r="K689" s="236"/>
      <c r="L689" s="236"/>
      <c r="M689" s="236"/>
      <c r="N689" s="236"/>
      <c r="O689" s="236"/>
      <c r="P689" s="236"/>
      <c r="Q689" s="236"/>
      <c r="R689" s="236"/>
      <c r="S689" s="236"/>
      <c r="T689" s="236"/>
      <c r="U689" s="236"/>
      <c r="V689" s="236"/>
      <c r="W689" s="237"/>
      <c r="X689" s="237"/>
      <c r="Y689" s="237"/>
      <c r="Z689" s="237"/>
      <c r="AA689" s="237"/>
      <c r="AB689" s="237"/>
      <c r="AC689" s="237"/>
      <c r="AD689" s="237"/>
      <c r="AE689" s="237"/>
      <c r="AF689" s="237"/>
      <c r="AG689" s="237"/>
      <c r="AH689" s="237"/>
      <c r="AI689" s="308"/>
      <c r="AJ689" s="308"/>
      <c r="AK689" s="308"/>
      <c r="AL689" s="308"/>
      <c r="AM689" s="308"/>
      <c r="AN689" s="98"/>
    </row>
    <row r="690" ht="14.25" customHeight="1">
      <c r="A690" s="179"/>
      <c r="B690" s="98"/>
      <c r="C690" s="98"/>
      <c r="D690" s="98"/>
      <c r="E690" s="98"/>
      <c r="F690" s="235"/>
      <c r="G690" s="235"/>
      <c r="H690" s="236"/>
      <c r="I690" s="236"/>
      <c r="J690" s="236"/>
      <c r="K690" s="236"/>
      <c r="L690" s="236"/>
      <c r="M690" s="236"/>
      <c r="N690" s="236"/>
      <c r="O690" s="236"/>
      <c r="P690" s="236"/>
      <c r="Q690" s="236"/>
      <c r="R690" s="236"/>
      <c r="S690" s="236"/>
      <c r="T690" s="236"/>
      <c r="U690" s="236"/>
      <c r="V690" s="236"/>
      <c r="W690" s="237"/>
      <c r="X690" s="237"/>
      <c r="Y690" s="237"/>
      <c r="Z690" s="237"/>
      <c r="AA690" s="237"/>
      <c r="AB690" s="237"/>
      <c r="AC690" s="237"/>
      <c r="AD690" s="237"/>
      <c r="AE690" s="237"/>
      <c r="AF690" s="237"/>
      <c r="AG690" s="237"/>
      <c r="AH690" s="237"/>
      <c r="AI690" s="308"/>
      <c r="AJ690" s="308"/>
      <c r="AK690" s="308"/>
      <c r="AL690" s="308"/>
      <c r="AM690" s="308"/>
      <c r="AN690" s="98"/>
    </row>
    <row r="691" ht="14.25" customHeight="1">
      <c r="A691" s="179"/>
      <c r="B691" s="98"/>
      <c r="C691" s="98"/>
      <c r="D691" s="98"/>
      <c r="E691" s="98"/>
      <c r="F691" s="235"/>
      <c r="G691" s="235"/>
      <c r="H691" s="236"/>
      <c r="I691" s="236"/>
      <c r="J691" s="236"/>
      <c r="K691" s="236"/>
      <c r="L691" s="236"/>
      <c r="M691" s="236"/>
      <c r="N691" s="236"/>
      <c r="O691" s="236"/>
      <c r="P691" s="236"/>
      <c r="Q691" s="236"/>
      <c r="R691" s="236"/>
      <c r="S691" s="236"/>
      <c r="T691" s="236"/>
      <c r="U691" s="236"/>
      <c r="V691" s="236"/>
      <c r="W691" s="237"/>
      <c r="X691" s="237"/>
      <c r="Y691" s="237"/>
      <c r="Z691" s="237"/>
      <c r="AA691" s="237"/>
      <c r="AB691" s="237"/>
      <c r="AC691" s="237"/>
      <c r="AD691" s="237"/>
      <c r="AE691" s="237"/>
      <c r="AF691" s="237"/>
      <c r="AG691" s="237"/>
      <c r="AH691" s="237"/>
      <c r="AI691" s="308"/>
      <c r="AJ691" s="308"/>
      <c r="AK691" s="308"/>
      <c r="AL691" s="308"/>
      <c r="AM691" s="308"/>
      <c r="AN691" s="98"/>
    </row>
    <row r="692" ht="14.25" customHeight="1">
      <c r="A692" s="179"/>
      <c r="B692" s="98"/>
      <c r="C692" s="98"/>
      <c r="D692" s="98"/>
      <c r="E692" s="98"/>
      <c r="F692" s="235"/>
      <c r="G692" s="235"/>
      <c r="H692" s="236"/>
      <c r="I692" s="236"/>
      <c r="J692" s="236"/>
      <c r="K692" s="236"/>
      <c r="L692" s="236"/>
      <c r="M692" s="236"/>
      <c r="N692" s="236"/>
      <c r="O692" s="236"/>
      <c r="P692" s="236"/>
      <c r="Q692" s="236"/>
      <c r="R692" s="236"/>
      <c r="S692" s="236"/>
      <c r="T692" s="236"/>
      <c r="U692" s="236"/>
      <c r="V692" s="236"/>
      <c r="W692" s="237"/>
      <c r="X692" s="237"/>
      <c r="Y692" s="237"/>
      <c r="Z692" s="237"/>
      <c r="AA692" s="237"/>
      <c r="AB692" s="237"/>
      <c r="AC692" s="237"/>
      <c r="AD692" s="237"/>
      <c r="AE692" s="237"/>
      <c r="AF692" s="237"/>
      <c r="AG692" s="237"/>
      <c r="AH692" s="237"/>
      <c r="AI692" s="308"/>
      <c r="AJ692" s="308"/>
      <c r="AK692" s="308"/>
      <c r="AL692" s="308"/>
      <c r="AM692" s="308"/>
      <c r="AN692" s="98"/>
    </row>
    <row r="693" ht="14.25" customHeight="1">
      <c r="A693" s="179"/>
      <c r="B693" s="98"/>
      <c r="C693" s="98"/>
      <c r="D693" s="98"/>
      <c r="E693" s="98"/>
      <c r="F693" s="235"/>
      <c r="G693" s="235"/>
      <c r="H693" s="236"/>
      <c r="I693" s="236"/>
      <c r="J693" s="236"/>
      <c r="K693" s="236"/>
      <c r="L693" s="236"/>
      <c r="M693" s="236"/>
      <c r="N693" s="236"/>
      <c r="O693" s="236"/>
      <c r="P693" s="236"/>
      <c r="Q693" s="236"/>
      <c r="R693" s="236"/>
      <c r="S693" s="236"/>
      <c r="T693" s="236"/>
      <c r="U693" s="236"/>
      <c r="V693" s="236"/>
      <c r="W693" s="237"/>
      <c r="X693" s="237"/>
      <c r="Y693" s="237"/>
      <c r="Z693" s="237"/>
      <c r="AA693" s="237"/>
      <c r="AB693" s="237"/>
      <c r="AC693" s="237"/>
      <c r="AD693" s="237"/>
      <c r="AE693" s="237"/>
      <c r="AF693" s="237"/>
      <c r="AG693" s="237"/>
      <c r="AH693" s="237"/>
      <c r="AI693" s="308"/>
      <c r="AJ693" s="308"/>
      <c r="AK693" s="308"/>
      <c r="AL693" s="308"/>
      <c r="AM693" s="308"/>
      <c r="AN693" s="98"/>
    </row>
    <row r="694" ht="14.25" customHeight="1">
      <c r="A694" s="179"/>
      <c r="B694" s="98"/>
      <c r="C694" s="98"/>
      <c r="D694" s="98"/>
      <c r="E694" s="98"/>
      <c r="F694" s="235"/>
      <c r="G694" s="235"/>
      <c r="H694" s="236"/>
      <c r="I694" s="236"/>
      <c r="J694" s="236"/>
      <c r="K694" s="236"/>
      <c r="L694" s="236"/>
      <c r="M694" s="236"/>
      <c r="N694" s="236"/>
      <c r="O694" s="236"/>
      <c r="P694" s="236"/>
      <c r="Q694" s="236"/>
      <c r="R694" s="236"/>
      <c r="S694" s="236"/>
      <c r="T694" s="236"/>
      <c r="U694" s="236"/>
      <c r="V694" s="236"/>
      <c r="W694" s="237"/>
      <c r="X694" s="237"/>
      <c r="Y694" s="237"/>
      <c r="Z694" s="237"/>
      <c r="AA694" s="237"/>
      <c r="AB694" s="237"/>
      <c r="AC694" s="237"/>
      <c r="AD694" s="237"/>
      <c r="AE694" s="237"/>
      <c r="AF694" s="237"/>
      <c r="AG694" s="237"/>
      <c r="AH694" s="237"/>
      <c r="AI694" s="308"/>
      <c r="AJ694" s="308"/>
      <c r="AK694" s="308"/>
      <c r="AL694" s="308"/>
      <c r="AM694" s="308"/>
      <c r="AN694" s="98"/>
    </row>
    <row r="695" ht="14.25" customHeight="1">
      <c r="A695" s="179"/>
      <c r="B695" s="98"/>
      <c r="C695" s="98"/>
      <c r="D695" s="98"/>
      <c r="E695" s="98"/>
      <c r="F695" s="235"/>
      <c r="G695" s="235"/>
      <c r="H695" s="236"/>
      <c r="I695" s="236"/>
      <c r="J695" s="236"/>
      <c r="K695" s="236"/>
      <c r="L695" s="236"/>
      <c r="M695" s="236"/>
      <c r="N695" s="236"/>
      <c r="O695" s="236"/>
      <c r="P695" s="236"/>
      <c r="Q695" s="236"/>
      <c r="R695" s="236"/>
      <c r="S695" s="236"/>
      <c r="T695" s="236"/>
      <c r="U695" s="236"/>
      <c r="V695" s="236"/>
      <c r="W695" s="237"/>
      <c r="X695" s="237"/>
      <c r="Y695" s="237"/>
      <c r="Z695" s="237"/>
      <c r="AA695" s="237"/>
      <c r="AB695" s="237"/>
      <c r="AC695" s="237"/>
      <c r="AD695" s="237"/>
      <c r="AE695" s="237"/>
      <c r="AF695" s="237"/>
      <c r="AG695" s="237"/>
      <c r="AH695" s="237"/>
      <c r="AI695" s="308"/>
      <c r="AJ695" s="308"/>
      <c r="AK695" s="308"/>
      <c r="AL695" s="308"/>
      <c r="AM695" s="308"/>
      <c r="AN695" s="98"/>
    </row>
    <row r="696" ht="14.25" customHeight="1">
      <c r="A696" s="179"/>
      <c r="B696" s="98"/>
      <c r="C696" s="98"/>
      <c r="D696" s="98"/>
      <c r="E696" s="98"/>
      <c r="F696" s="235"/>
      <c r="G696" s="235"/>
      <c r="H696" s="236"/>
      <c r="I696" s="236"/>
      <c r="J696" s="236"/>
      <c r="K696" s="236"/>
      <c r="L696" s="236"/>
      <c r="M696" s="236"/>
      <c r="N696" s="236"/>
      <c r="O696" s="236"/>
      <c r="P696" s="236"/>
      <c r="Q696" s="236"/>
      <c r="R696" s="236"/>
      <c r="S696" s="236"/>
      <c r="T696" s="236"/>
      <c r="U696" s="236"/>
      <c r="V696" s="236"/>
      <c r="W696" s="237"/>
      <c r="X696" s="237"/>
      <c r="Y696" s="237"/>
      <c r="Z696" s="237"/>
      <c r="AA696" s="237"/>
      <c r="AB696" s="237"/>
      <c r="AC696" s="237"/>
      <c r="AD696" s="237"/>
      <c r="AE696" s="237"/>
      <c r="AF696" s="237"/>
      <c r="AG696" s="237"/>
      <c r="AH696" s="237"/>
      <c r="AI696" s="308"/>
      <c r="AJ696" s="308"/>
      <c r="AK696" s="308"/>
      <c r="AL696" s="308"/>
      <c r="AM696" s="308"/>
      <c r="AN696" s="98"/>
    </row>
    <row r="697" ht="14.25" customHeight="1">
      <c r="A697" s="179"/>
      <c r="B697" s="98"/>
      <c r="C697" s="98"/>
      <c r="D697" s="98"/>
      <c r="E697" s="98"/>
      <c r="F697" s="235"/>
      <c r="G697" s="235"/>
      <c r="H697" s="236"/>
      <c r="I697" s="236"/>
      <c r="J697" s="236"/>
      <c r="K697" s="236"/>
      <c r="L697" s="236"/>
      <c r="M697" s="236"/>
      <c r="N697" s="236"/>
      <c r="O697" s="236"/>
      <c r="P697" s="236"/>
      <c r="Q697" s="236"/>
      <c r="R697" s="236"/>
      <c r="S697" s="236"/>
      <c r="T697" s="236"/>
      <c r="U697" s="236"/>
      <c r="V697" s="236"/>
      <c r="W697" s="237"/>
      <c r="X697" s="237"/>
      <c r="Y697" s="237"/>
      <c r="Z697" s="237"/>
      <c r="AA697" s="237"/>
      <c r="AB697" s="237"/>
      <c r="AC697" s="237"/>
      <c r="AD697" s="237"/>
      <c r="AE697" s="237"/>
      <c r="AF697" s="237"/>
      <c r="AG697" s="237"/>
      <c r="AH697" s="237"/>
      <c r="AI697" s="308"/>
      <c r="AJ697" s="308"/>
      <c r="AK697" s="308"/>
      <c r="AL697" s="308"/>
      <c r="AM697" s="308"/>
      <c r="AN697" s="98"/>
    </row>
    <row r="698" ht="14.25" customHeight="1">
      <c r="A698" s="179"/>
      <c r="B698" s="98"/>
      <c r="C698" s="98"/>
      <c r="D698" s="98"/>
      <c r="E698" s="98"/>
      <c r="F698" s="235"/>
      <c r="G698" s="235"/>
      <c r="H698" s="236"/>
      <c r="I698" s="236"/>
      <c r="J698" s="236"/>
      <c r="K698" s="236"/>
      <c r="L698" s="236"/>
      <c r="M698" s="236"/>
      <c r="N698" s="236"/>
      <c r="O698" s="236"/>
      <c r="P698" s="236"/>
      <c r="Q698" s="236"/>
      <c r="R698" s="236"/>
      <c r="S698" s="236"/>
      <c r="T698" s="236"/>
      <c r="U698" s="236"/>
      <c r="V698" s="236"/>
      <c r="W698" s="237"/>
      <c r="X698" s="237"/>
      <c r="Y698" s="237"/>
      <c r="Z698" s="237"/>
      <c r="AA698" s="237"/>
      <c r="AB698" s="237"/>
      <c r="AC698" s="237"/>
      <c r="AD698" s="237"/>
      <c r="AE698" s="237"/>
      <c r="AF698" s="237"/>
      <c r="AG698" s="237"/>
      <c r="AH698" s="237"/>
      <c r="AI698" s="308"/>
      <c r="AJ698" s="308"/>
      <c r="AK698" s="308"/>
      <c r="AL698" s="308"/>
      <c r="AM698" s="308"/>
      <c r="AN698" s="98"/>
    </row>
    <row r="699" ht="14.25" customHeight="1">
      <c r="A699" s="179"/>
      <c r="B699" s="98"/>
      <c r="C699" s="98"/>
      <c r="D699" s="98"/>
      <c r="E699" s="98"/>
      <c r="F699" s="235"/>
      <c r="G699" s="235"/>
      <c r="H699" s="236"/>
      <c r="I699" s="236"/>
      <c r="J699" s="236"/>
      <c r="K699" s="236"/>
      <c r="L699" s="236"/>
      <c r="M699" s="236"/>
      <c r="N699" s="236"/>
      <c r="O699" s="236"/>
      <c r="P699" s="236"/>
      <c r="Q699" s="236"/>
      <c r="R699" s="236"/>
      <c r="S699" s="236"/>
      <c r="T699" s="236"/>
      <c r="U699" s="236"/>
      <c r="V699" s="236"/>
      <c r="W699" s="237"/>
      <c r="X699" s="237"/>
      <c r="Y699" s="237"/>
      <c r="Z699" s="237"/>
      <c r="AA699" s="237"/>
      <c r="AB699" s="237"/>
      <c r="AC699" s="237"/>
      <c r="AD699" s="237"/>
      <c r="AE699" s="237"/>
      <c r="AF699" s="237"/>
      <c r="AG699" s="237"/>
      <c r="AH699" s="237"/>
      <c r="AI699" s="308"/>
      <c r="AJ699" s="308"/>
      <c r="AK699" s="308"/>
      <c r="AL699" s="308"/>
      <c r="AM699" s="308"/>
      <c r="AN699" s="98"/>
    </row>
    <row r="700" ht="14.25" customHeight="1">
      <c r="A700" s="179"/>
      <c r="B700" s="98"/>
      <c r="C700" s="98"/>
      <c r="D700" s="98"/>
      <c r="E700" s="98"/>
      <c r="F700" s="235"/>
      <c r="G700" s="235"/>
      <c r="H700" s="236"/>
      <c r="I700" s="236"/>
      <c r="J700" s="236"/>
      <c r="K700" s="236"/>
      <c r="L700" s="236"/>
      <c r="M700" s="236"/>
      <c r="N700" s="236"/>
      <c r="O700" s="236"/>
      <c r="P700" s="236"/>
      <c r="Q700" s="236"/>
      <c r="R700" s="236"/>
      <c r="S700" s="236"/>
      <c r="T700" s="236"/>
      <c r="U700" s="236"/>
      <c r="V700" s="236"/>
      <c r="W700" s="237"/>
      <c r="X700" s="237"/>
      <c r="Y700" s="237"/>
      <c r="Z700" s="237"/>
      <c r="AA700" s="237"/>
      <c r="AB700" s="237"/>
      <c r="AC700" s="237"/>
      <c r="AD700" s="237"/>
      <c r="AE700" s="237"/>
      <c r="AF700" s="237"/>
      <c r="AG700" s="237"/>
      <c r="AH700" s="237"/>
      <c r="AI700" s="308"/>
      <c r="AJ700" s="308"/>
      <c r="AK700" s="308"/>
      <c r="AL700" s="308"/>
      <c r="AM700" s="308"/>
      <c r="AN700" s="98"/>
    </row>
    <row r="701" ht="14.25" customHeight="1">
      <c r="A701" s="179"/>
      <c r="B701" s="98"/>
      <c r="C701" s="98"/>
      <c r="D701" s="98"/>
      <c r="E701" s="98"/>
      <c r="F701" s="235"/>
      <c r="G701" s="235"/>
      <c r="H701" s="236"/>
      <c r="I701" s="236"/>
      <c r="J701" s="236"/>
      <c r="K701" s="236"/>
      <c r="L701" s="236"/>
      <c r="M701" s="236"/>
      <c r="N701" s="236"/>
      <c r="O701" s="236"/>
      <c r="P701" s="236"/>
      <c r="Q701" s="236"/>
      <c r="R701" s="236"/>
      <c r="S701" s="236"/>
      <c r="T701" s="236"/>
      <c r="U701" s="236"/>
      <c r="V701" s="236"/>
      <c r="W701" s="237"/>
      <c r="X701" s="237"/>
      <c r="Y701" s="237"/>
      <c r="Z701" s="237"/>
      <c r="AA701" s="237"/>
      <c r="AB701" s="237"/>
      <c r="AC701" s="237"/>
      <c r="AD701" s="237"/>
      <c r="AE701" s="237"/>
      <c r="AF701" s="237"/>
      <c r="AG701" s="237"/>
      <c r="AH701" s="237"/>
      <c r="AI701" s="308"/>
      <c r="AJ701" s="308"/>
      <c r="AK701" s="308"/>
      <c r="AL701" s="308"/>
      <c r="AM701" s="308"/>
      <c r="AN701" s="98"/>
    </row>
    <row r="702" ht="14.25" customHeight="1">
      <c r="A702" s="179"/>
      <c r="B702" s="98"/>
      <c r="C702" s="98"/>
      <c r="D702" s="98"/>
      <c r="E702" s="98"/>
      <c r="F702" s="235"/>
      <c r="G702" s="235"/>
      <c r="H702" s="236"/>
      <c r="I702" s="236"/>
      <c r="J702" s="236"/>
      <c r="K702" s="236"/>
      <c r="L702" s="236"/>
      <c r="M702" s="236"/>
      <c r="N702" s="236"/>
      <c r="O702" s="236"/>
      <c r="P702" s="236"/>
      <c r="Q702" s="236"/>
      <c r="R702" s="236"/>
      <c r="S702" s="236"/>
      <c r="T702" s="236"/>
      <c r="U702" s="236"/>
      <c r="V702" s="236"/>
      <c r="W702" s="237"/>
      <c r="X702" s="237"/>
      <c r="Y702" s="237"/>
      <c r="Z702" s="237"/>
      <c r="AA702" s="237"/>
      <c r="AB702" s="237"/>
      <c r="AC702" s="237"/>
      <c r="AD702" s="237"/>
      <c r="AE702" s="237"/>
      <c r="AF702" s="237"/>
      <c r="AG702" s="237"/>
      <c r="AH702" s="237"/>
      <c r="AI702" s="308"/>
      <c r="AJ702" s="308"/>
      <c r="AK702" s="308"/>
      <c r="AL702" s="308"/>
      <c r="AM702" s="308"/>
      <c r="AN702" s="98"/>
    </row>
    <row r="703" ht="14.25" customHeight="1">
      <c r="A703" s="179"/>
      <c r="B703" s="98"/>
      <c r="C703" s="98"/>
      <c r="D703" s="98"/>
      <c r="E703" s="98"/>
      <c r="F703" s="235"/>
      <c r="G703" s="235"/>
      <c r="H703" s="236"/>
      <c r="I703" s="236"/>
      <c r="J703" s="236"/>
      <c r="K703" s="236"/>
      <c r="L703" s="236"/>
      <c r="M703" s="236"/>
      <c r="N703" s="236"/>
      <c r="O703" s="236"/>
      <c r="P703" s="236"/>
      <c r="Q703" s="236"/>
      <c r="R703" s="236"/>
      <c r="S703" s="236"/>
      <c r="T703" s="236"/>
      <c r="U703" s="236"/>
      <c r="V703" s="236"/>
      <c r="W703" s="237"/>
      <c r="X703" s="237"/>
      <c r="Y703" s="237"/>
      <c r="Z703" s="237"/>
      <c r="AA703" s="237"/>
      <c r="AB703" s="237"/>
      <c r="AC703" s="237"/>
      <c r="AD703" s="237"/>
      <c r="AE703" s="237"/>
      <c r="AF703" s="237"/>
      <c r="AG703" s="237"/>
      <c r="AH703" s="237"/>
      <c r="AI703" s="308"/>
      <c r="AJ703" s="308"/>
      <c r="AK703" s="308"/>
      <c r="AL703" s="308"/>
      <c r="AM703" s="308"/>
      <c r="AN703" s="98"/>
    </row>
    <row r="704" ht="14.25" customHeight="1">
      <c r="A704" s="179"/>
      <c r="B704" s="98"/>
      <c r="C704" s="98"/>
      <c r="D704" s="98"/>
      <c r="E704" s="98"/>
      <c r="F704" s="235"/>
      <c r="G704" s="235"/>
      <c r="H704" s="236"/>
      <c r="I704" s="236"/>
      <c r="J704" s="236"/>
      <c r="K704" s="236"/>
      <c r="L704" s="236"/>
      <c r="M704" s="236"/>
      <c r="N704" s="236"/>
      <c r="O704" s="236"/>
      <c r="P704" s="236"/>
      <c r="Q704" s="236"/>
      <c r="R704" s="236"/>
      <c r="S704" s="236"/>
      <c r="T704" s="236"/>
      <c r="U704" s="236"/>
      <c r="V704" s="236"/>
      <c r="W704" s="237"/>
      <c r="X704" s="237"/>
      <c r="Y704" s="237"/>
      <c r="Z704" s="237"/>
      <c r="AA704" s="237"/>
      <c r="AB704" s="237"/>
      <c r="AC704" s="237"/>
      <c r="AD704" s="237"/>
      <c r="AE704" s="237"/>
      <c r="AF704" s="237"/>
      <c r="AG704" s="237"/>
      <c r="AH704" s="237"/>
      <c r="AI704" s="308"/>
      <c r="AJ704" s="308"/>
      <c r="AK704" s="308"/>
      <c r="AL704" s="308"/>
      <c r="AM704" s="308"/>
      <c r="AN704" s="98"/>
    </row>
    <row r="705" ht="14.25" customHeight="1">
      <c r="A705" s="179"/>
      <c r="B705" s="98"/>
      <c r="C705" s="98"/>
      <c r="D705" s="98"/>
      <c r="E705" s="98"/>
      <c r="F705" s="235"/>
      <c r="G705" s="235"/>
      <c r="H705" s="236"/>
      <c r="I705" s="236"/>
      <c r="J705" s="236"/>
      <c r="K705" s="236"/>
      <c r="L705" s="236"/>
      <c r="M705" s="236"/>
      <c r="N705" s="236"/>
      <c r="O705" s="236"/>
      <c r="P705" s="236"/>
      <c r="Q705" s="236"/>
      <c r="R705" s="236"/>
      <c r="S705" s="236"/>
      <c r="T705" s="236"/>
      <c r="U705" s="236"/>
      <c r="V705" s="236"/>
      <c r="W705" s="237"/>
      <c r="X705" s="237"/>
      <c r="Y705" s="237"/>
      <c r="Z705" s="237"/>
      <c r="AA705" s="237"/>
      <c r="AB705" s="237"/>
      <c r="AC705" s="237"/>
      <c r="AD705" s="237"/>
      <c r="AE705" s="237"/>
      <c r="AF705" s="237"/>
      <c r="AG705" s="237"/>
      <c r="AH705" s="237"/>
      <c r="AI705" s="308"/>
      <c r="AJ705" s="308"/>
      <c r="AK705" s="308"/>
      <c r="AL705" s="308"/>
      <c r="AM705" s="308"/>
      <c r="AN705" s="98"/>
    </row>
    <row r="706" ht="14.25" customHeight="1">
      <c r="A706" s="179"/>
      <c r="B706" s="98"/>
      <c r="C706" s="98"/>
      <c r="D706" s="98"/>
      <c r="E706" s="98"/>
      <c r="F706" s="235"/>
      <c r="G706" s="235"/>
      <c r="H706" s="236"/>
      <c r="I706" s="236"/>
      <c r="J706" s="236"/>
      <c r="K706" s="236"/>
      <c r="L706" s="236"/>
      <c r="M706" s="236"/>
      <c r="N706" s="236"/>
      <c r="O706" s="236"/>
      <c r="P706" s="236"/>
      <c r="Q706" s="236"/>
      <c r="R706" s="236"/>
      <c r="S706" s="236"/>
      <c r="T706" s="236"/>
      <c r="U706" s="236"/>
      <c r="V706" s="236"/>
      <c r="W706" s="237"/>
      <c r="X706" s="237"/>
      <c r="Y706" s="237"/>
      <c r="Z706" s="237"/>
      <c r="AA706" s="237"/>
      <c r="AB706" s="237"/>
      <c r="AC706" s="237"/>
      <c r="AD706" s="237"/>
      <c r="AE706" s="237"/>
      <c r="AF706" s="237"/>
      <c r="AG706" s="237"/>
      <c r="AH706" s="237"/>
      <c r="AI706" s="308"/>
      <c r="AJ706" s="308"/>
      <c r="AK706" s="308"/>
      <c r="AL706" s="308"/>
      <c r="AM706" s="308"/>
      <c r="AN706" s="98"/>
    </row>
    <row r="707" ht="14.25" customHeight="1">
      <c r="A707" s="179"/>
      <c r="B707" s="98"/>
      <c r="C707" s="98"/>
      <c r="D707" s="98"/>
      <c r="E707" s="98"/>
      <c r="F707" s="235"/>
      <c r="G707" s="235"/>
      <c r="H707" s="236"/>
      <c r="I707" s="236"/>
      <c r="J707" s="236"/>
      <c r="K707" s="236"/>
      <c r="L707" s="236"/>
      <c r="M707" s="236"/>
      <c r="N707" s="236"/>
      <c r="O707" s="236"/>
      <c r="P707" s="236"/>
      <c r="Q707" s="236"/>
      <c r="R707" s="236"/>
      <c r="S707" s="236"/>
      <c r="T707" s="236"/>
      <c r="U707" s="236"/>
      <c r="V707" s="236"/>
      <c r="W707" s="237"/>
      <c r="X707" s="237"/>
      <c r="Y707" s="237"/>
      <c r="Z707" s="237"/>
      <c r="AA707" s="237"/>
      <c r="AB707" s="237"/>
      <c r="AC707" s="237"/>
      <c r="AD707" s="237"/>
      <c r="AE707" s="237"/>
      <c r="AF707" s="237"/>
      <c r="AG707" s="237"/>
      <c r="AH707" s="237"/>
      <c r="AI707" s="308"/>
      <c r="AJ707" s="308"/>
      <c r="AK707" s="308"/>
      <c r="AL707" s="308"/>
      <c r="AM707" s="308"/>
      <c r="AN707" s="98"/>
    </row>
    <row r="708" ht="14.25" customHeight="1">
      <c r="A708" s="179"/>
      <c r="B708" s="98"/>
      <c r="C708" s="98"/>
      <c r="D708" s="98"/>
      <c r="E708" s="98"/>
      <c r="F708" s="235"/>
      <c r="G708" s="235"/>
      <c r="H708" s="236"/>
      <c r="I708" s="236"/>
      <c r="J708" s="236"/>
      <c r="K708" s="236"/>
      <c r="L708" s="236"/>
      <c r="M708" s="236"/>
      <c r="N708" s="236"/>
      <c r="O708" s="236"/>
      <c r="P708" s="236"/>
      <c r="Q708" s="236"/>
      <c r="R708" s="236"/>
      <c r="S708" s="236"/>
      <c r="T708" s="236"/>
      <c r="U708" s="236"/>
      <c r="V708" s="236"/>
      <c r="W708" s="237"/>
      <c r="X708" s="237"/>
      <c r="Y708" s="237"/>
      <c r="Z708" s="237"/>
      <c r="AA708" s="237"/>
      <c r="AB708" s="237"/>
      <c r="AC708" s="237"/>
      <c r="AD708" s="237"/>
      <c r="AE708" s="237"/>
      <c r="AF708" s="237"/>
      <c r="AG708" s="237"/>
      <c r="AH708" s="237"/>
      <c r="AI708" s="308"/>
      <c r="AJ708" s="308"/>
      <c r="AK708" s="308"/>
      <c r="AL708" s="308"/>
      <c r="AM708" s="308"/>
      <c r="AN708" s="98"/>
    </row>
    <row r="709" ht="14.25" customHeight="1">
      <c r="A709" s="179"/>
      <c r="B709" s="98"/>
      <c r="C709" s="98"/>
      <c r="D709" s="98"/>
      <c r="E709" s="98"/>
      <c r="F709" s="235"/>
      <c r="G709" s="235"/>
      <c r="H709" s="236"/>
      <c r="I709" s="236"/>
      <c r="J709" s="236"/>
      <c r="K709" s="236"/>
      <c r="L709" s="236"/>
      <c r="M709" s="236"/>
      <c r="N709" s="236"/>
      <c r="O709" s="236"/>
      <c r="P709" s="236"/>
      <c r="Q709" s="236"/>
      <c r="R709" s="236"/>
      <c r="S709" s="236"/>
      <c r="T709" s="236"/>
      <c r="U709" s="236"/>
      <c r="V709" s="236"/>
      <c r="W709" s="237"/>
      <c r="X709" s="237"/>
      <c r="Y709" s="237"/>
      <c r="Z709" s="237"/>
      <c r="AA709" s="237"/>
      <c r="AB709" s="237"/>
      <c r="AC709" s="237"/>
      <c r="AD709" s="237"/>
      <c r="AE709" s="237"/>
      <c r="AF709" s="237"/>
      <c r="AG709" s="237"/>
      <c r="AH709" s="237"/>
      <c r="AI709" s="308"/>
      <c r="AJ709" s="308"/>
      <c r="AK709" s="308"/>
      <c r="AL709" s="308"/>
      <c r="AM709" s="308"/>
      <c r="AN709" s="98"/>
    </row>
    <row r="710" ht="14.25" customHeight="1">
      <c r="A710" s="179"/>
      <c r="B710" s="98"/>
      <c r="C710" s="98"/>
      <c r="D710" s="98"/>
      <c r="E710" s="98"/>
      <c r="F710" s="235"/>
      <c r="G710" s="235"/>
      <c r="H710" s="236"/>
      <c r="I710" s="236"/>
      <c r="J710" s="236"/>
      <c r="K710" s="236"/>
      <c r="L710" s="236"/>
      <c r="M710" s="236"/>
      <c r="N710" s="236"/>
      <c r="O710" s="236"/>
      <c r="P710" s="236"/>
      <c r="Q710" s="236"/>
      <c r="R710" s="236"/>
      <c r="S710" s="236"/>
      <c r="T710" s="236"/>
      <c r="U710" s="236"/>
      <c r="V710" s="236"/>
      <c r="W710" s="237"/>
      <c r="X710" s="237"/>
      <c r="Y710" s="237"/>
      <c r="Z710" s="237"/>
      <c r="AA710" s="237"/>
      <c r="AB710" s="237"/>
      <c r="AC710" s="237"/>
      <c r="AD710" s="237"/>
      <c r="AE710" s="237"/>
      <c r="AF710" s="237"/>
      <c r="AG710" s="237"/>
      <c r="AH710" s="237"/>
      <c r="AI710" s="308"/>
      <c r="AJ710" s="308"/>
      <c r="AK710" s="308"/>
      <c r="AL710" s="308"/>
      <c r="AM710" s="308"/>
      <c r="AN710" s="98"/>
    </row>
    <row r="711" ht="14.25" customHeight="1">
      <c r="A711" s="179"/>
      <c r="B711" s="98"/>
      <c r="C711" s="98"/>
      <c r="D711" s="98"/>
      <c r="E711" s="98"/>
      <c r="F711" s="235"/>
      <c r="G711" s="235"/>
      <c r="H711" s="236"/>
      <c r="I711" s="236"/>
      <c r="J711" s="236"/>
      <c r="K711" s="236"/>
      <c r="L711" s="236"/>
      <c r="M711" s="236"/>
      <c r="N711" s="236"/>
      <c r="O711" s="236"/>
      <c r="P711" s="236"/>
      <c r="Q711" s="236"/>
      <c r="R711" s="236"/>
      <c r="S711" s="236"/>
      <c r="T711" s="236"/>
      <c r="U711" s="236"/>
      <c r="V711" s="236"/>
      <c r="W711" s="237"/>
      <c r="X711" s="237"/>
      <c r="Y711" s="237"/>
      <c r="Z711" s="237"/>
      <c r="AA711" s="237"/>
      <c r="AB711" s="237"/>
      <c r="AC711" s="237"/>
      <c r="AD711" s="237"/>
      <c r="AE711" s="237"/>
      <c r="AF711" s="237"/>
      <c r="AG711" s="237"/>
      <c r="AH711" s="237"/>
      <c r="AI711" s="308"/>
      <c r="AJ711" s="308"/>
      <c r="AK711" s="308"/>
      <c r="AL711" s="308"/>
      <c r="AM711" s="308"/>
      <c r="AN711" s="98"/>
    </row>
    <row r="712" ht="14.25" customHeight="1">
      <c r="A712" s="179"/>
      <c r="B712" s="98"/>
      <c r="C712" s="98"/>
      <c r="D712" s="98"/>
      <c r="E712" s="98"/>
      <c r="F712" s="235"/>
      <c r="G712" s="235"/>
      <c r="H712" s="236"/>
      <c r="I712" s="236"/>
      <c r="J712" s="236"/>
      <c r="K712" s="236"/>
      <c r="L712" s="236"/>
      <c r="M712" s="236"/>
      <c r="N712" s="236"/>
      <c r="O712" s="236"/>
      <c r="P712" s="236"/>
      <c r="Q712" s="236"/>
      <c r="R712" s="236"/>
      <c r="S712" s="236"/>
      <c r="T712" s="236"/>
      <c r="U712" s="236"/>
      <c r="V712" s="236"/>
      <c r="W712" s="237"/>
      <c r="X712" s="237"/>
      <c r="Y712" s="237"/>
      <c r="Z712" s="237"/>
      <c r="AA712" s="237"/>
      <c r="AB712" s="237"/>
      <c r="AC712" s="237"/>
      <c r="AD712" s="237"/>
      <c r="AE712" s="237"/>
      <c r="AF712" s="237"/>
      <c r="AG712" s="237"/>
      <c r="AH712" s="237"/>
      <c r="AI712" s="308"/>
      <c r="AJ712" s="308"/>
      <c r="AK712" s="308"/>
      <c r="AL712" s="308"/>
      <c r="AM712" s="308"/>
      <c r="AN712" s="98"/>
    </row>
    <row r="713" ht="14.25" customHeight="1">
      <c r="A713" s="179"/>
      <c r="B713" s="98"/>
      <c r="C713" s="98"/>
      <c r="D713" s="98"/>
      <c r="E713" s="98"/>
      <c r="F713" s="235"/>
      <c r="G713" s="235"/>
      <c r="H713" s="236"/>
      <c r="I713" s="236"/>
      <c r="J713" s="236"/>
      <c r="K713" s="236"/>
      <c r="L713" s="236"/>
      <c r="M713" s="236"/>
      <c r="N713" s="236"/>
      <c r="O713" s="236"/>
      <c r="P713" s="236"/>
      <c r="Q713" s="236"/>
      <c r="R713" s="236"/>
      <c r="S713" s="236"/>
      <c r="T713" s="236"/>
      <c r="U713" s="236"/>
      <c r="V713" s="236"/>
      <c r="W713" s="237"/>
      <c r="X713" s="237"/>
      <c r="Y713" s="237"/>
      <c r="Z713" s="237"/>
      <c r="AA713" s="237"/>
      <c r="AB713" s="237"/>
      <c r="AC713" s="237"/>
      <c r="AD713" s="237"/>
      <c r="AE713" s="237"/>
      <c r="AF713" s="237"/>
      <c r="AG713" s="237"/>
      <c r="AH713" s="237"/>
      <c r="AI713" s="308"/>
      <c r="AJ713" s="308"/>
      <c r="AK713" s="308"/>
      <c r="AL713" s="308"/>
      <c r="AM713" s="308"/>
      <c r="AN713" s="98"/>
    </row>
    <row r="714" ht="14.25" customHeight="1">
      <c r="A714" s="179"/>
      <c r="B714" s="98"/>
      <c r="C714" s="98"/>
      <c r="D714" s="98"/>
      <c r="E714" s="98"/>
      <c r="F714" s="235"/>
      <c r="G714" s="235"/>
      <c r="H714" s="236"/>
      <c r="I714" s="236"/>
      <c r="J714" s="236"/>
      <c r="K714" s="236"/>
      <c r="L714" s="236"/>
      <c r="M714" s="236"/>
      <c r="N714" s="236"/>
      <c r="O714" s="236"/>
      <c r="P714" s="236"/>
      <c r="Q714" s="236"/>
      <c r="R714" s="236"/>
      <c r="S714" s="236"/>
      <c r="T714" s="236"/>
      <c r="U714" s="236"/>
      <c r="V714" s="236"/>
      <c r="W714" s="237"/>
      <c r="X714" s="237"/>
      <c r="Y714" s="237"/>
      <c r="Z714" s="237"/>
      <c r="AA714" s="237"/>
      <c r="AB714" s="237"/>
      <c r="AC714" s="237"/>
      <c r="AD714" s="237"/>
      <c r="AE714" s="237"/>
      <c r="AF714" s="237"/>
      <c r="AG714" s="237"/>
      <c r="AH714" s="237"/>
      <c r="AI714" s="308"/>
      <c r="AJ714" s="308"/>
      <c r="AK714" s="308"/>
      <c r="AL714" s="308"/>
      <c r="AM714" s="308"/>
      <c r="AN714" s="98"/>
    </row>
    <row r="715" ht="14.25" customHeight="1">
      <c r="A715" s="179"/>
      <c r="B715" s="98"/>
      <c r="C715" s="98"/>
      <c r="D715" s="98"/>
      <c r="E715" s="98"/>
      <c r="F715" s="235"/>
      <c r="G715" s="235"/>
      <c r="H715" s="236"/>
      <c r="I715" s="236"/>
      <c r="J715" s="236"/>
      <c r="K715" s="236"/>
      <c r="L715" s="236"/>
      <c r="M715" s="236"/>
      <c r="N715" s="236"/>
      <c r="O715" s="236"/>
      <c r="P715" s="236"/>
      <c r="Q715" s="236"/>
      <c r="R715" s="236"/>
      <c r="S715" s="236"/>
      <c r="T715" s="236"/>
      <c r="U715" s="236"/>
      <c r="V715" s="236"/>
      <c r="W715" s="237"/>
      <c r="X715" s="237"/>
      <c r="Y715" s="237"/>
      <c r="Z715" s="237"/>
      <c r="AA715" s="237"/>
      <c r="AB715" s="237"/>
      <c r="AC715" s="237"/>
      <c r="AD715" s="237"/>
      <c r="AE715" s="237"/>
      <c r="AF715" s="237"/>
      <c r="AG715" s="237"/>
      <c r="AH715" s="237"/>
      <c r="AI715" s="308"/>
      <c r="AJ715" s="308"/>
      <c r="AK715" s="308"/>
      <c r="AL715" s="308"/>
      <c r="AM715" s="308"/>
      <c r="AN715" s="98"/>
    </row>
    <row r="716" ht="14.25" customHeight="1">
      <c r="A716" s="179"/>
      <c r="B716" s="98"/>
      <c r="C716" s="98"/>
      <c r="D716" s="98"/>
      <c r="E716" s="98"/>
      <c r="F716" s="235"/>
      <c r="G716" s="235"/>
      <c r="H716" s="236"/>
      <c r="I716" s="236"/>
      <c r="J716" s="236"/>
      <c r="K716" s="236"/>
      <c r="L716" s="236"/>
      <c r="M716" s="236"/>
      <c r="N716" s="236"/>
      <c r="O716" s="236"/>
      <c r="P716" s="236"/>
      <c r="Q716" s="236"/>
      <c r="R716" s="236"/>
      <c r="S716" s="236"/>
      <c r="T716" s="236"/>
      <c r="U716" s="236"/>
      <c r="V716" s="236"/>
      <c r="W716" s="237"/>
      <c r="X716" s="237"/>
      <c r="Y716" s="237"/>
      <c r="Z716" s="237"/>
      <c r="AA716" s="237"/>
      <c r="AB716" s="237"/>
      <c r="AC716" s="237"/>
      <c r="AD716" s="237"/>
      <c r="AE716" s="237"/>
      <c r="AF716" s="237"/>
      <c r="AG716" s="237"/>
      <c r="AH716" s="237"/>
      <c r="AI716" s="308"/>
      <c r="AJ716" s="308"/>
      <c r="AK716" s="308"/>
      <c r="AL716" s="308"/>
      <c r="AM716" s="308"/>
      <c r="AN716" s="98"/>
    </row>
    <row r="717" ht="14.25" customHeight="1">
      <c r="A717" s="179"/>
      <c r="B717" s="98"/>
      <c r="C717" s="98"/>
      <c r="D717" s="98"/>
      <c r="E717" s="98"/>
      <c r="F717" s="235"/>
      <c r="G717" s="235"/>
      <c r="H717" s="236"/>
      <c r="I717" s="236"/>
      <c r="J717" s="236"/>
      <c r="K717" s="236"/>
      <c r="L717" s="236"/>
      <c r="M717" s="236"/>
      <c r="N717" s="236"/>
      <c r="O717" s="236"/>
      <c r="P717" s="236"/>
      <c r="Q717" s="236"/>
      <c r="R717" s="236"/>
      <c r="S717" s="236"/>
      <c r="T717" s="236"/>
      <c r="U717" s="236"/>
      <c r="V717" s="236"/>
      <c r="W717" s="237"/>
      <c r="X717" s="237"/>
      <c r="Y717" s="237"/>
      <c r="Z717" s="237"/>
      <c r="AA717" s="237"/>
      <c r="AB717" s="237"/>
      <c r="AC717" s="237"/>
      <c r="AD717" s="237"/>
      <c r="AE717" s="237"/>
      <c r="AF717" s="237"/>
      <c r="AG717" s="237"/>
      <c r="AH717" s="237"/>
      <c r="AI717" s="308"/>
      <c r="AJ717" s="308"/>
      <c r="AK717" s="308"/>
      <c r="AL717" s="308"/>
      <c r="AM717" s="308"/>
      <c r="AN717" s="98"/>
    </row>
    <row r="718" ht="14.25" customHeight="1">
      <c r="A718" s="179"/>
      <c r="B718" s="98"/>
      <c r="C718" s="98"/>
      <c r="D718" s="98"/>
      <c r="E718" s="98"/>
      <c r="F718" s="235"/>
      <c r="G718" s="235"/>
      <c r="H718" s="236"/>
      <c r="I718" s="236"/>
      <c r="J718" s="236"/>
      <c r="K718" s="236"/>
      <c r="L718" s="236"/>
      <c r="M718" s="236"/>
      <c r="N718" s="236"/>
      <c r="O718" s="236"/>
      <c r="P718" s="236"/>
      <c r="Q718" s="236"/>
      <c r="R718" s="236"/>
      <c r="S718" s="236"/>
      <c r="T718" s="236"/>
      <c r="U718" s="236"/>
      <c r="V718" s="236"/>
      <c r="W718" s="237"/>
      <c r="X718" s="237"/>
      <c r="Y718" s="237"/>
      <c r="Z718" s="237"/>
      <c r="AA718" s="237"/>
      <c r="AB718" s="237"/>
      <c r="AC718" s="237"/>
      <c r="AD718" s="237"/>
      <c r="AE718" s="237"/>
      <c r="AF718" s="237"/>
      <c r="AG718" s="237"/>
      <c r="AH718" s="237"/>
      <c r="AI718" s="308"/>
      <c r="AJ718" s="308"/>
      <c r="AK718" s="308"/>
      <c r="AL718" s="308"/>
      <c r="AM718" s="308"/>
      <c r="AN718" s="98"/>
    </row>
    <row r="719" ht="14.25" customHeight="1">
      <c r="A719" s="179"/>
      <c r="B719" s="98"/>
      <c r="C719" s="98"/>
      <c r="D719" s="98"/>
      <c r="E719" s="98"/>
      <c r="F719" s="235"/>
      <c r="G719" s="235"/>
      <c r="H719" s="236"/>
      <c r="I719" s="236"/>
      <c r="J719" s="236"/>
      <c r="K719" s="236"/>
      <c r="L719" s="236"/>
      <c r="M719" s="236"/>
      <c r="N719" s="236"/>
      <c r="O719" s="236"/>
      <c r="P719" s="236"/>
      <c r="Q719" s="236"/>
      <c r="R719" s="236"/>
      <c r="S719" s="236"/>
      <c r="T719" s="236"/>
      <c r="U719" s="236"/>
      <c r="V719" s="236"/>
      <c r="W719" s="237"/>
      <c r="X719" s="237"/>
      <c r="Y719" s="237"/>
      <c r="Z719" s="237"/>
      <c r="AA719" s="237"/>
      <c r="AB719" s="237"/>
      <c r="AC719" s="237"/>
      <c r="AD719" s="237"/>
      <c r="AE719" s="237"/>
      <c r="AF719" s="237"/>
      <c r="AG719" s="237"/>
      <c r="AH719" s="237"/>
      <c r="AI719" s="308"/>
      <c r="AJ719" s="308"/>
      <c r="AK719" s="308"/>
      <c r="AL719" s="308"/>
      <c r="AM719" s="308"/>
      <c r="AN719" s="98"/>
    </row>
    <row r="720" ht="14.25" customHeight="1">
      <c r="A720" s="179"/>
      <c r="B720" s="98"/>
      <c r="C720" s="98"/>
      <c r="D720" s="98"/>
      <c r="E720" s="98"/>
      <c r="F720" s="235"/>
      <c r="G720" s="235"/>
      <c r="H720" s="236"/>
      <c r="I720" s="236"/>
      <c r="J720" s="236"/>
      <c r="K720" s="236"/>
      <c r="L720" s="236"/>
      <c r="M720" s="236"/>
      <c r="N720" s="236"/>
      <c r="O720" s="236"/>
      <c r="P720" s="236"/>
      <c r="Q720" s="236"/>
      <c r="R720" s="236"/>
      <c r="S720" s="236"/>
      <c r="T720" s="236"/>
      <c r="U720" s="236"/>
      <c r="V720" s="236"/>
      <c r="W720" s="237"/>
      <c r="X720" s="237"/>
      <c r="Y720" s="237"/>
      <c r="Z720" s="237"/>
      <c r="AA720" s="237"/>
      <c r="AB720" s="237"/>
      <c r="AC720" s="237"/>
      <c r="AD720" s="237"/>
      <c r="AE720" s="237"/>
      <c r="AF720" s="237"/>
      <c r="AG720" s="237"/>
      <c r="AH720" s="237"/>
      <c r="AI720" s="308"/>
      <c r="AJ720" s="308"/>
      <c r="AK720" s="308"/>
      <c r="AL720" s="308"/>
      <c r="AM720" s="308"/>
      <c r="AN720" s="98"/>
    </row>
    <row r="721" ht="14.25" customHeight="1">
      <c r="A721" s="179"/>
      <c r="B721" s="98"/>
      <c r="C721" s="98"/>
      <c r="D721" s="98"/>
      <c r="E721" s="98"/>
      <c r="F721" s="235"/>
      <c r="G721" s="235"/>
      <c r="H721" s="236"/>
      <c r="I721" s="236"/>
      <c r="J721" s="236"/>
      <c r="K721" s="236"/>
      <c r="L721" s="236"/>
      <c r="M721" s="236"/>
      <c r="N721" s="236"/>
      <c r="O721" s="236"/>
      <c r="P721" s="236"/>
      <c r="Q721" s="236"/>
      <c r="R721" s="236"/>
      <c r="S721" s="236"/>
      <c r="T721" s="236"/>
      <c r="U721" s="236"/>
      <c r="V721" s="236"/>
      <c r="W721" s="237"/>
      <c r="X721" s="237"/>
      <c r="Y721" s="237"/>
      <c r="Z721" s="237"/>
      <c r="AA721" s="237"/>
      <c r="AB721" s="237"/>
      <c r="AC721" s="237"/>
      <c r="AD721" s="237"/>
      <c r="AE721" s="237"/>
      <c r="AF721" s="237"/>
      <c r="AG721" s="237"/>
      <c r="AH721" s="237"/>
      <c r="AI721" s="308"/>
      <c r="AJ721" s="308"/>
      <c r="AK721" s="308"/>
      <c r="AL721" s="308"/>
      <c r="AM721" s="308"/>
      <c r="AN721" s="98"/>
    </row>
    <row r="722" ht="14.25" customHeight="1">
      <c r="A722" s="179"/>
      <c r="B722" s="98"/>
      <c r="C722" s="98"/>
      <c r="D722" s="98"/>
      <c r="E722" s="98"/>
      <c r="F722" s="235"/>
      <c r="G722" s="235"/>
      <c r="H722" s="236"/>
      <c r="I722" s="236"/>
      <c r="J722" s="236"/>
      <c r="K722" s="236"/>
      <c r="L722" s="236"/>
      <c r="M722" s="236"/>
      <c r="N722" s="236"/>
      <c r="O722" s="236"/>
      <c r="P722" s="236"/>
      <c r="Q722" s="236"/>
      <c r="R722" s="236"/>
      <c r="S722" s="236"/>
      <c r="T722" s="236"/>
      <c r="U722" s="236"/>
      <c r="V722" s="236"/>
      <c r="W722" s="237"/>
      <c r="X722" s="237"/>
      <c r="Y722" s="237"/>
      <c r="Z722" s="237"/>
      <c r="AA722" s="237"/>
      <c r="AB722" s="237"/>
      <c r="AC722" s="237"/>
      <c r="AD722" s="237"/>
      <c r="AE722" s="237"/>
      <c r="AF722" s="237"/>
      <c r="AG722" s="237"/>
      <c r="AH722" s="237"/>
      <c r="AI722" s="308"/>
      <c r="AJ722" s="308"/>
      <c r="AK722" s="308"/>
      <c r="AL722" s="308"/>
      <c r="AM722" s="308"/>
      <c r="AN722" s="98"/>
    </row>
    <row r="723" ht="14.25" customHeight="1">
      <c r="A723" s="179"/>
      <c r="B723" s="98"/>
      <c r="C723" s="98"/>
      <c r="D723" s="98"/>
      <c r="E723" s="98"/>
      <c r="F723" s="235"/>
      <c r="G723" s="235"/>
      <c r="H723" s="236"/>
      <c r="I723" s="236"/>
      <c r="J723" s="236"/>
      <c r="K723" s="236"/>
      <c r="L723" s="236"/>
      <c r="M723" s="236"/>
      <c r="N723" s="236"/>
      <c r="O723" s="236"/>
      <c r="P723" s="236"/>
      <c r="Q723" s="236"/>
      <c r="R723" s="236"/>
      <c r="S723" s="236"/>
      <c r="T723" s="236"/>
      <c r="U723" s="236"/>
      <c r="V723" s="236"/>
      <c r="W723" s="237"/>
      <c r="X723" s="237"/>
      <c r="Y723" s="237"/>
      <c r="Z723" s="237"/>
      <c r="AA723" s="237"/>
      <c r="AB723" s="237"/>
      <c r="AC723" s="237"/>
      <c r="AD723" s="237"/>
      <c r="AE723" s="237"/>
      <c r="AF723" s="237"/>
      <c r="AG723" s="237"/>
      <c r="AH723" s="237"/>
      <c r="AI723" s="308"/>
      <c r="AJ723" s="308"/>
      <c r="AK723" s="308"/>
      <c r="AL723" s="308"/>
      <c r="AM723" s="308"/>
      <c r="AN723" s="98"/>
    </row>
    <row r="724" ht="14.25" customHeight="1">
      <c r="A724" s="179"/>
      <c r="B724" s="98"/>
      <c r="C724" s="98"/>
      <c r="D724" s="98"/>
      <c r="E724" s="98"/>
      <c r="F724" s="235"/>
      <c r="G724" s="235"/>
      <c r="H724" s="236"/>
      <c r="I724" s="236"/>
      <c r="J724" s="236"/>
      <c r="K724" s="236"/>
      <c r="L724" s="236"/>
      <c r="M724" s="236"/>
      <c r="N724" s="236"/>
      <c r="O724" s="236"/>
      <c r="P724" s="236"/>
      <c r="Q724" s="236"/>
      <c r="R724" s="236"/>
      <c r="S724" s="236"/>
      <c r="T724" s="236"/>
      <c r="U724" s="236"/>
      <c r="V724" s="236"/>
      <c r="W724" s="237"/>
      <c r="X724" s="237"/>
      <c r="Y724" s="237"/>
      <c r="Z724" s="237"/>
      <c r="AA724" s="237"/>
      <c r="AB724" s="237"/>
      <c r="AC724" s="237"/>
      <c r="AD724" s="237"/>
      <c r="AE724" s="237"/>
      <c r="AF724" s="237"/>
      <c r="AG724" s="237"/>
      <c r="AH724" s="237"/>
      <c r="AI724" s="308"/>
      <c r="AJ724" s="308"/>
      <c r="AK724" s="308"/>
      <c r="AL724" s="308"/>
      <c r="AM724" s="308"/>
      <c r="AN724" s="98"/>
    </row>
    <row r="725" ht="14.25" customHeight="1">
      <c r="A725" s="179"/>
      <c r="B725" s="98"/>
      <c r="C725" s="98"/>
      <c r="D725" s="98"/>
      <c r="E725" s="98"/>
      <c r="F725" s="235"/>
      <c r="G725" s="235"/>
      <c r="H725" s="236"/>
      <c r="I725" s="236"/>
      <c r="J725" s="236"/>
      <c r="K725" s="236"/>
      <c r="L725" s="236"/>
      <c r="M725" s="236"/>
      <c r="N725" s="236"/>
      <c r="O725" s="236"/>
      <c r="P725" s="236"/>
      <c r="Q725" s="236"/>
      <c r="R725" s="236"/>
      <c r="S725" s="236"/>
      <c r="T725" s="236"/>
      <c r="U725" s="236"/>
      <c r="V725" s="236"/>
      <c r="W725" s="237"/>
      <c r="X725" s="237"/>
      <c r="Y725" s="237"/>
      <c r="Z725" s="237"/>
      <c r="AA725" s="237"/>
      <c r="AB725" s="237"/>
      <c r="AC725" s="237"/>
      <c r="AD725" s="237"/>
      <c r="AE725" s="237"/>
      <c r="AF725" s="237"/>
      <c r="AG725" s="237"/>
      <c r="AH725" s="237"/>
      <c r="AI725" s="308"/>
      <c r="AJ725" s="308"/>
      <c r="AK725" s="308"/>
      <c r="AL725" s="308"/>
      <c r="AM725" s="308"/>
      <c r="AN725" s="98"/>
    </row>
    <row r="726" ht="14.25" customHeight="1">
      <c r="A726" s="179"/>
      <c r="B726" s="98"/>
      <c r="C726" s="98"/>
      <c r="D726" s="98"/>
      <c r="E726" s="98"/>
      <c r="F726" s="235"/>
      <c r="G726" s="235"/>
      <c r="H726" s="236"/>
      <c r="I726" s="236"/>
      <c r="J726" s="236"/>
      <c r="K726" s="236"/>
      <c r="L726" s="236"/>
      <c r="M726" s="236"/>
      <c r="N726" s="236"/>
      <c r="O726" s="236"/>
      <c r="P726" s="236"/>
      <c r="Q726" s="236"/>
      <c r="R726" s="236"/>
      <c r="S726" s="236"/>
      <c r="T726" s="236"/>
      <c r="U726" s="236"/>
      <c r="V726" s="236"/>
      <c r="W726" s="237"/>
      <c r="X726" s="237"/>
      <c r="Y726" s="237"/>
      <c r="Z726" s="237"/>
      <c r="AA726" s="237"/>
      <c r="AB726" s="237"/>
      <c r="AC726" s="237"/>
      <c r="AD726" s="237"/>
      <c r="AE726" s="237"/>
      <c r="AF726" s="237"/>
      <c r="AG726" s="237"/>
      <c r="AH726" s="237"/>
      <c r="AI726" s="308"/>
      <c r="AJ726" s="308"/>
      <c r="AK726" s="308"/>
      <c r="AL726" s="308"/>
      <c r="AM726" s="308"/>
      <c r="AN726" s="98"/>
    </row>
    <row r="727" ht="14.25" customHeight="1">
      <c r="A727" s="179"/>
      <c r="B727" s="98"/>
      <c r="C727" s="98"/>
      <c r="D727" s="98"/>
      <c r="E727" s="98"/>
      <c r="F727" s="235"/>
      <c r="G727" s="235"/>
      <c r="H727" s="236"/>
      <c r="I727" s="236"/>
      <c r="J727" s="236"/>
      <c r="K727" s="236"/>
      <c r="L727" s="236"/>
      <c r="M727" s="236"/>
      <c r="N727" s="236"/>
      <c r="O727" s="236"/>
      <c r="P727" s="236"/>
      <c r="Q727" s="236"/>
      <c r="R727" s="236"/>
      <c r="S727" s="236"/>
      <c r="T727" s="236"/>
      <c r="U727" s="236"/>
      <c r="V727" s="236"/>
      <c r="W727" s="237"/>
      <c r="X727" s="237"/>
      <c r="Y727" s="237"/>
      <c r="Z727" s="237"/>
      <c r="AA727" s="237"/>
      <c r="AB727" s="237"/>
      <c r="AC727" s="237"/>
      <c r="AD727" s="237"/>
      <c r="AE727" s="237"/>
      <c r="AF727" s="237"/>
      <c r="AG727" s="237"/>
      <c r="AH727" s="237"/>
      <c r="AI727" s="308"/>
      <c r="AJ727" s="308"/>
      <c r="AK727" s="308"/>
      <c r="AL727" s="308"/>
      <c r="AM727" s="308"/>
      <c r="AN727" s="98"/>
    </row>
    <row r="728" ht="14.25" customHeight="1">
      <c r="A728" s="179"/>
      <c r="B728" s="98"/>
      <c r="C728" s="98"/>
      <c r="D728" s="98"/>
      <c r="E728" s="98"/>
      <c r="F728" s="235"/>
      <c r="G728" s="235"/>
      <c r="H728" s="236"/>
      <c r="I728" s="236"/>
      <c r="J728" s="236"/>
      <c r="K728" s="236"/>
      <c r="L728" s="236"/>
      <c r="M728" s="236"/>
      <c r="N728" s="236"/>
      <c r="O728" s="236"/>
      <c r="P728" s="236"/>
      <c r="Q728" s="236"/>
      <c r="R728" s="236"/>
      <c r="S728" s="236"/>
      <c r="T728" s="236"/>
      <c r="U728" s="236"/>
      <c r="V728" s="236"/>
      <c r="W728" s="237"/>
      <c r="X728" s="237"/>
      <c r="Y728" s="237"/>
      <c r="Z728" s="237"/>
      <c r="AA728" s="237"/>
      <c r="AB728" s="237"/>
      <c r="AC728" s="237"/>
      <c r="AD728" s="237"/>
      <c r="AE728" s="237"/>
      <c r="AF728" s="237"/>
      <c r="AG728" s="237"/>
      <c r="AH728" s="237"/>
      <c r="AI728" s="308"/>
      <c r="AJ728" s="308"/>
      <c r="AK728" s="308"/>
      <c r="AL728" s="308"/>
      <c r="AM728" s="308"/>
      <c r="AN728" s="98"/>
    </row>
    <row r="729" ht="14.25" customHeight="1">
      <c r="A729" s="179"/>
      <c r="B729" s="98"/>
      <c r="C729" s="98"/>
      <c r="D729" s="98"/>
      <c r="E729" s="98"/>
      <c r="F729" s="235"/>
      <c r="G729" s="235"/>
      <c r="H729" s="236"/>
      <c r="I729" s="236"/>
      <c r="J729" s="236"/>
      <c r="K729" s="236"/>
      <c r="L729" s="236"/>
      <c r="M729" s="236"/>
      <c r="N729" s="236"/>
      <c r="O729" s="236"/>
      <c r="P729" s="236"/>
      <c r="Q729" s="236"/>
      <c r="R729" s="236"/>
      <c r="S729" s="236"/>
      <c r="T729" s="236"/>
      <c r="U729" s="236"/>
      <c r="V729" s="236"/>
      <c r="W729" s="237"/>
      <c r="X729" s="237"/>
      <c r="Y729" s="237"/>
      <c r="Z729" s="237"/>
      <c r="AA729" s="237"/>
      <c r="AB729" s="237"/>
      <c r="AC729" s="237"/>
      <c r="AD729" s="237"/>
      <c r="AE729" s="237"/>
      <c r="AF729" s="237"/>
      <c r="AG729" s="237"/>
      <c r="AH729" s="237"/>
      <c r="AI729" s="308"/>
      <c r="AJ729" s="308"/>
      <c r="AK729" s="308"/>
      <c r="AL729" s="308"/>
      <c r="AM729" s="308"/>
      <c r="AN729" s="98"/>
    </row>
    <row r="730" ht="14.25" customHeight="1">
      <c r="A730" s="179"/>
      <c r="B730" s="98"/>
      <c r="C730" s="98"/>
      <c r="D730" s="98"/>
      <c r="E730" s="98"/>
      <c r="F730" s="235"/>
      <c r="G730" s="235"/>
      <c r="H730" s="236"/>
      <c r="I730" s="236"/>
      <c r="J730" s="236"/>
      <c r="K730" s="236"/>
      <c r="L730" s="236"/>
      <c r="M730" s="236"/>
      <c r="N730" s="236"/>
      <c r="O730" s="236"/>
      <c r="P730" s="236"/>
      <c r="Q730" s="236"/>
      <c r="R730" s="236"/>
      <c r="S730" s="236"/>
      <c r="T730" s="236"/>
      <c r="U730" s="236"/>
      <c r="V730" s="236"/>
      <c r="W730" s="237"/>
      <c r="X730" s="237"/>
      <c r="Y730" s="237"/>
      <c r="Z730" s="237"/>
      <c r="AA730" s="237"/>
      <c r="AB730" s="237"/>
      <c r="AC730" s="237"/>
      <c r="AD730" s="237"/>
      <c r="AE730" s="237"/>
      <c r="AF730" s="237"/>
      <c r="AG730" s="237"/>
      <c r="AH730" s="237"/>
      <c r="AI730" s="308"/>
      <c r="AJ730" s="308"/>
      <c r="AK730" s="308"/>
      <c r="AL730" s="308"/>
      <c r="AM730" s="308"/>
      <c r="AN730" s="98"/>
    </row>
    <row r="731" ht="14.25" customHeight="1">
      <c r="A731" s="179"/>
      <c r="B731" s="98"/>
      <c r="C731" s="98"/>
      <c r="D731" s="98"/>
      <c r="E731" s="98"/>
      <c r="F731" s="235"/>
      <c r="G731" s="235"/>
      <c r="H731" s="236"/>
      <c r="I731" s="236"/>
      <c r="J731" s="236"/>
      <c r="K731" s="236"/>
      <c r="L731" s="236"/>
      <c r="M731" s="236"/>
      <c r="N731" s="236"/>
      <c r="O731" s="236"/>
      <c r="P731" s="236"/>
      <c r="Q731" s="236"/>
      <c r="R731" s="236"/>
      <c r="S731" s="236"/>
      <c r="T731" s="236"/>
      <c r="U731" s="236"/>
      <c r="V731" s="236"/>
      <c r="W731" s="237"/>
      <c r="X731" s="237"/>
      <c r="Y731" s="237"/>
      <c r="Z731" s="237"/>
      <c r="AA731" s="237"/>
      <c r="AB731" s="237"/>
      <c r="AC731" s="237"/>
      <c r="AD731" s="237"/>
      <c r="AE731" s="237"/>
      <c r="AF731" s="237"/>
      <c r="AG731" s="237"/>
      <c r="AH731" s="237"/>
      <c r="AI731" s="308"/>
      <c r="AJ731" s="308"/>
      <c r="AK731" s="308"/>
      <c r="AL731" s="308"/>
      <c r="AM731" s="308"/>
      <c r="AN731" s="98"/>
    </row>
    <row r="732" ht="14.25" customHeight="1">
      <c r="A732" s="179"/>
      <c r="B732" s="98"/>
      <c r="C732" s="98"/>
      <c r="D732" s="98"/>
      <c r="E732" s="98"/>
      <c r="F732" s="235"/>
      <c r="G732" s="235"/>
      <c r="H732" s="236"/>
      <c r="I732" s="236"/>
      <c r="J732" s="236"/>
      <c r="K732" s="236"/>
      <c r="L732" s="236"/>
      <c r="M732" s="236"/>
      <c r="N732" s="236"/>
      <c r="O732" s="236"/>
      <c r="P732" s="236"/>
      <c r="Q732" s="236"/>
      <c r="R732" s="236"/>
      <c r="S732" s="236"/>
      <c r="T732" s="236"/>
      <c r="U732" s="236"/>
      <c r="V732" s="236"/>
      <c r="W732" s="237"/>
      <c r="X732" s="237"/>
      <c r="Y732" s="237"/>
      <c r="Z732" s="237"/>
      <c r="AA732" s="237"/>
      <c r="AB732" s="237"/>
      <c r="AC732" s="237"/>
      <c r="AD732" s="237"/>
      <c r="AE732" s="237"/>
      <c r="AF732" s="237"/>
      <c r="AG732" s="237"/>
      <c r="AH732" s="237"/>
      <c r="AI732" s="308"/>
      <c r="AJ732" s="308"/>
      <c r="AK732" s="308"/>
      <c r="AL732" s="308"/>
      <c r="AM732" s="308"/>
      <c r="AN732" s="98"/>
    </row>
    <row r="733" ht="14.25" customHeight="1">
      <c r="A733" s="179"/>
      <c r="B733" s="98"/>
      <c r="C733" s="98"/>
      <c r="D733" s="98"/>
      <c r="E733" s="98"/>
      <c r="F733" s="235"/>
      <c r="G733" s="235"/>
      <c r="H733" s="236"/>
      <c r="I733" s="236"/>
      <c r="J733" s="236"/>
      <c r="K733" s="236"/>
      <c r="L733" s="236"/>
      <c r="M733" s="236"/>
      <c r="N733" s="236"/>
      <c r="O733" s="236"/>
      <c r="P733" s="236"/>
      <c r="Q733" s="236"/>
      <c r="R733" s="236"/>
      <c r="S733" s="236"/>
      <c r="T733" s="236"/>
      <c r="U733" s="236"/>
      <c r="V733" s="236"/>
      <c r="W733" s="237"/>
      <c r="X733" s="237"/>
      <c r="Y733" s="237"/>
      <c r="Z733" s="237"/>
      <c r="AA733" s="237"/>
      <c r="AB733" s="237"/>
      <c r="AC733" s="237"/>
      <c r="AD733" s="237"/>
      <c r="AE733" s="237"/>
      <c r="AF733" s="237"/>
      <c r="AG733" s="237"/>
      <c r="AH733" s="237"/>
      <c r="AI733" s="308"/>
      <c r="AJ733" s="308"/>
      <c r="AK733" s="308"/>
      <c r="AL733" s="308"/>
      <c r="AM733" s="308"/>
      <c r="AN733" s="98"/>
    </row>
    <row r="734" ht="14.25" customHeight="1">
      <c r="A734" s="179"/>
      <c r="B734" s="98"/>
      <c r="C734" s="98"/>
      <c r="D734" s="98"/>
      <c r="E734" s="98"/>
      <c r="F734" s="235"/>
      <c r="G734" s="235"/>
      <c r="H734" s="236"/>
      <c r="I734" s="236"/>
      <c r="J734" s="236"/>
      <c r="K734" s="236"/>
      <c r="L734" s="236"/>
      <c r="M734" s="236"/>
      <c r="N734" s="236"/>
      <c r="O734" s="236"/>
      <c r="P734" s="236"/>
      <c r="Q734" s="236"/>
      <c r="R734" s="236"/>
      <c r="S734" s="236"/>
      <c r="T734" s="236"/>
      <c r="U734" s="236"/>
      <c r="V734" s="236"/>
      <c r="W734" s="237"/>
      <c r="X734" s="237"/>
      <c r="Y734" s="237"/>
      <c r="Z734" s="237"/>
      <c r="AA734" s="237"/>
      <c r="AB734" s="237"/>
      <c r="AC734" s="237"/>
      <c r="AD734" s="237"/>
      <c r="AE734" s="237"/>
      <c r="AF734" s="237"/>
      <c r="AG734" s="237"/>
      <c r="AH734" s="237"/>
      <c r="AI734" s="308"/>
      <c r="AJ734" s="308"/>
      <c r="AK734" s="308"/>
      <c r="AL734" s="308"/>
      <c r="AM734" s="308"/>
      <c r="AN734" s="98"/>
    </row>
    <row r="735" ht="14.25" customHeight="1">
      <c r="A735" s="179"/>
      <c r="B735" s="98"/>
      <c r="C735" s="98"/>
      <c r="D735" s="98"/>
      <c r="E735" s="98"/>
      <c r="F735" s="235"/>
      <c r="G735" s="235"/>
      <c r="H735" s="236"/>
      <c r="I735" s="236"/>
      <c r="J735" s="236"/>
      <c r="K735" s="236"/>
      <c r="L735" s="236"/>
      <c r="M735" s="236"/>
      <c r="N735" s="236"/>
      <c r="O735" s="236"/>
      <c r="P735" s="236"/>
      <c r="Q735" s="236"/>
      <c r="R735" s="236"/>
      <c r="S735" s="236"/>
      <c r="T735" s="236"/>
      <c r="U735" s="236"/>
      <c r="V735" s="236"/>
      <c r="W735" s="237"/>
      <c r="X735" s="237"/>
      <c r="Y735" s="237"/>
      <c r="Z735" s="237"/>
      <c r="AA735" s="237"/>
      <c r="AB735" s="237"/>
      <c r="AC735" s="237"/>
      <c r="AD735" s="237"/>
      <c r="AE735" s="237"/>
      <c r="AF735" s="237"/>
      <c r="AG735" s="237"/>
      <c r="AH735" s="237"/>
      <c r="AI735" s="308"/>
      <c r="AJ735" s="308"/>
      <c r="AK735" s="308"/>
      <c r="AL735" s="308"/>
      <c r="AM735" s="308"/>
      <c r="AN735" s="98"/>
    </row>
    <row r="736" ht="14.25" customHeight="1">
      <c r="A736" s="179"/>
      <c r="B736" s="98"/>
      <c r="C736" s="98"/>
      <c r="D736" s="98"/>
      <c r="E736" s="98"/>
      <c r="F736" s="235"/>
      <c r="G736" s="235"/>
      <c r="H736" s="236"/>
      <c r="I736" s="236"/>
      <c r="J736" s="236"/>
      <c r="K736" s="236"/>
      <c r="L736" s="236"/>
      <c r="M736" s="236"/>
      <c r="N736" s="236"/>
      <c r="O736" s="236"/>
      <c r="P736" s="236"/>
      <c r="Q736" s="236"/>
      <c r="R736" s="236"/>
      <c r="S736" s="236"/>
      <c r="T736" s="236"/>
      <c r="U736" s="236"/>
      <c r="V736" s="236"/>
      <c r="W736" s="237"/>
      <c r="X736" s="237"/>
      <c r="Y736" s="237"/>
      <c r="Z736" s="237"/>
      <c r="AA736" s="237"/>
      <c r="AB736" s="237"/>
      <c r="AC736" s="237"/>
      <c r="AD736" s="237"/>
      <c r="AE736" s="237"/>
      <c r="AF736" s="237"/>
      <c r="AG736" s="237"/>
      <c r="AH736" s="237"/>
      <c r="AI736" s="308"/>
      <c r="AJ736" s="308"/>
      <c r="AK736" s="308"/>
      <c r="AL736" s="308"/>
      <c r="AM736" s="308"/>
      <c r="AN736" s="98"/>
    </row>
    <row r="737" ht="14.25" customHeight="1">
      <c r="A737" s="179"/>
      <c r="B737" s="98"/>
      <c r="C737" s="98"/>
      <c r="D737" s="98"/>
      <c r="E737" s="98"/>
      <c r="F737" s="235"/>
      <c r="G737" s="235"/>
      <c r="H737" s="236"/>
      <c r="I737" s="236"/>
      <c r="J737" s="236"/>
      <c r="K737" s="236"/>
      <c r="L737" s="236"/>
      <c r="M737" s="236"/>
      <c r="N737" s="236"/>
      <c r="O737" s="236"/>
      <c r="P737" s="236"/>
      <c r="Q737" s="236"/>
      <c r="R737" s="236"/>
      <c r="S737" s="236"/>
      <c r="T737" s="236"/>
      <c r="U737" s="236"/>
      <c r="V737" s="236"/>
      <c r="W737" s="237"/>
      <c r="X737" s="237"/>
      <c r="Y737" s="237"/>
      <c r="Z737" s="237"/>
      <c r="AA737" s="237"/>
      <c r="AB737" s="237"/>
      <c r="AC737" s="237"/>
      <c r="AD737" s="237"/>
      <c r="AE737" s="237"/>
      <c r="AF737" s="237"/>
      <c r="AG737" s="237"/>
      <c r="AH737" s="237"/>
      <c r="AI737" s="308"/>
      <c r="AJ737" s="308"/>
      <c r="AK737" s="308"/>
      <c r="AL737" s="308"/>
      <c r="AM737" s="308"/>
      <c r="AN737" s="98"/>
    </row>
    <row r="738" ht="14.25" customHeight="1">
      <c r="A738" s="179"/>
      <c r="B738" s="98"/>
      <c r="C738" s="98"/>
      <c r="D738" s="98"/>
      <c r="E738" s="98"/>
      <c r="F738" s="235"/>
      <c r="G738" s="235"/>
      <c r="H738" s="236"/>
      <c r="I738" s="236"/>
      <c r="J738" s="236"/>
      <c r="K738" s="236"/>
      <c r="L738" s="236"/>
      <c r="M738" s="236"/>
      <c r="N738" s="236"/>
      <c r="O738" s="236"/>
      <c r="P738" s="236"/>
      <c r="Q738" s="236"/>
      <c r="R738" s="236"/>
      <c r="S738" s="236"/>
      <c r="T738" s="236"/>
      <c r="U738" s="236"/>
      <c r="V738" s="236"/>
      <c r="W738" s="237"/>
      <c r="X738" s="237"/>
      <c r="Y738" s="237"/>
      <c r="Z738" s="237"/>
      <c r="AA738" s="237"/>
      <c r="AB738" s="237"/>
      <c r="AC738" s="237"/>
      <c r="AD738" s="237"/>
      <c r="AE738" s="237"/>
      <c r="AF738" s="237"/>
      <c r="AG738" s="237"/>
      <c r="AH738" s="237"/>
      <c r="AI738" s="308"/>
      <c r="AJ738" s="308"/>
      <c r="AK738" s="308"/>
      <c r="AL738" s="308"/>
      <c r="AM738" s="308"/>
      <c r="AN738" s="98"/>
    </row>
    <row r="739" ht="14.25" customHeight="1">
      <c r="A739" s="179"/>
      <c r="B739" s="98"/>
      <c r="C739" s="98"/>
      <c r="D739" s="98"/>
      <c r="E739" s="98"/>
      <c r="F739" s="235"/>
      <c r="G739" s="235"/>
      <c r="H739" s="236"/>
      <c r="I739" s="236"/>
      <c r="J739" s="236"/>
      <c r="K739" s="236"/>
      <c r="L739" s="236"/>
      <c r="M739" s="236"/>
      <c r="N739" s="236"/>
      <c r="O739" s="236"/>
      <c r="P739" s="236"/>
      <c r="Q739" s="236"/>
      <c r="R739" s="236"/>
      <c r="S739" s="236"/>
      <c r="T739" s="236"/>
      <c r="U739" s="236"/>
      <c r="V739" s="236"/>
      <c r="W739" s="237"/>
      <c r="X739" s="237"/>
      <c r="Y739" s="237"/>
      <c r="Z739" s="237"/>
      <c r="AA739" s="237"/>
      <c r="AB739" s="237"/>
      <c r="AC739" s="237"/>
      <c r="AD739" s="237"/>
      <c r="AE739" s="237"/>
      <c r="AF739" s="237"/>
      <c r="AG739" s="237"/>
      <c r="AH739" s="237"/>
      <c r="AI739" s="308"/>
      <c r="AJ739" s="308"/>
      <c r="AK739" s="308"/>
      <c r="AL739" s="308"/>
      <c r="AM739" s="308"/>
      <c r="AN739" s="98"/>
    </row>
    <row r="740" ht="14.25" customHeight="1">
      <c r="A740" s="179"/>
      <c r="B740" s="98"/>
      <c r="C740" s="98"/>
      <c r="D740" s="98"/>
      <c r="E740" s="98"/>
      <c r="F740" s="235"/>
      <c r="G740" s="235"/>
      <c r="H740" s="236"/>
      <c r="I740" s="236"/>
      <c r="J740" s="236"/>
      <c r="K740" s="236"/>
      <c r="L740" s="236"/>
      <c r="M740" s="236"/>
      <c r="N740" s="236"/>
      <c r="O740" s="236"/>
      <c r="P740" s="236"/>
      <c r="Q740" s="236"/>
      <c r="R740" s="236"/>
      <c r="S740" s="236"/>
      <c r="T740" s="236"/>
      <c r="U740" s="236"/>
      <c r="V740" s="236"/>
      <c r="W740" s="237"/>
      <c r="X740" s="237"/>
      <c r="Y740" s="237"/>
      <c r="Z740" s="237"/>
      <c r="AA740" s="237"/>
      <c r="AB740" s="237"/>
      <c r="AC740" s="237"/>
      <c r="AD740" s="237"/>
      <c r="AE740" s="237"/>
      <c r="AF740" s="237"/>
      <c r="AG740" s="237"/>
      <c r="AH740" s="237"/>
      <c r="AI740" s="308"/>
      <c r="AJ740" s="308"/>
      <c r="AK740" s="308"/>
      <c r="AL740" s="308"/>
      <c r="AM740" s="308"/>
      <c r="AN740" s="98"/>
    </row>
    <row r="741" ht="14.25" customHeight="1">
      <c r="A741" s="179"/>
      <c r="B741" s="98"/>
      <c r="C741" s="98"/>
      <c r="D741" s="98"/>
      <c r="E741" s="98"/>
      <c r="F741" s="235"/>
      <c r="G741" s="235"/>
      <c r="H741" s="236"/>
      <c r="I741" s="236"/>
      <c r="J741" s="236"/>
      <c r="K741" s="236"/>
      <c r="L741" s="236"/>
      <c r="M741" s="236"/>
      <c r="N741" s="236"/>
      <c r="O741" s="236"/>
      <c r="P741" s="236"/>
      <c r="Q741" s="236"/>
      <c r="R741" s="236"/>
      <c r="S741" s="236"/>
      <c r="T741" s="236"/>
      <c r="U741" s="236"/>
      <c r="V741" s="236"/>
      <c r="W741" s="237"/>
      <c r="X741" s="237"/>
      <c r="Y741" s="237"/>
      <c r="Z741" s="237"/>
      <c r="AA741" s="237"/>
      <c r="AB741" s="237"/>
      <c r="AC741" s="237"/>
      <c r="AD741" s="237"/>
      <c r="AE741" s="237"/>
      <c r="AF741" s="237"/>
      <c r="AG741" s="237"/>
      <c r="AH741" s="237"/>
      <c r="AI741" s="308"/>
      <c r="AJ741" s="308"/>
      <c r="AK741" s="308"/>
      <c r="AL741" s="308"/>
      <c r="AM741" s="308"/>
      <c r="AN741" s="98"/>
    </row>
    <row r="742" ht="14.25" customHeight="1">
      <c r="A742" s="179"/>
      <c r="B742" s="98"/>
      <c r="C742" s="98"/>
      <c r="D742" s="98"/>
      <c r="E742" s="98"/>
      <c r="F742" s="235"/>
      <c r="G742" s="235"/>
      <c r="H742" s="236"/>
      <c r="I742" s="236"/>
      <c r="J742" s="236"/>
      <c r="K742" s="236"/>
      <c r="L742" s="236"/>
      <c r="M742" s="236"/>
      <c r="N742" s="236"/>
      <c r="O742" s="236"/>
      <c r="P742" s="236"/>
      <c r="Q742" s="236"/>
      <c r="R742" s="236"/>
      <c r="S742" s="236"/>
      <c r="T742" s="236"/>
      <c r="U742" s="236"/>
      <c r="V742" s="236"/>
      <c r="W742" s="237"/>
      <c r="X742" s="237"/>
      <c r="Y742" s="237"/>
      <c r="Z742" s="237"/>
      <c r="AA742" s="237"/>
      <c r="AB742" s="237"/>
      <c r="AC742" s="237"/>
      <c r="AD742" s="237"/>
      <c r="AE742" s="237"/>
      <c r="AF742" s="237"/>
      <c r="AG742" s="237"/>
      <c r="AH742" s="237"/>
      <c r="AI742" s="308"/>
      <c r="AJ742" s="308"/>
      <c r="AK742" s="308"/>
      <c r="AL742" s="308"/>
      <c r="AM742" s="308"/>
      <c r="AN742" s="98"/>
    </row>
    <row r="743" ht="14.25" customHeight="1">
      <c r="A743" s="179"/>
      <c r="B743" s="98"/>
      <c r="C743" s="98"/>
      <c r="D743" s="98"/>
      <c r="E743" s="98"/>
      <c r="F743" s="235"/>
      <c r="G743" s="235"/>
      <c r="H743" s="236"/>
      <c r="I743" s="236"/>
      <c r="J743" s="236"/>
      <c r="K743" s="236"/>
      <c r="L743" s="236"/>
      <c r="M743" s="236"/>
      <c r="N743" s="236"/>
      <c r="O743" s="236"/>
      <c r="P743" s="236"/>
      <c r="Q743" s="236"/>
      <c r="R743" s="236"/>
      <c r="S743" s="236"/>
      <c r="T743" s="236"/>
      <c r="U743" s="236"/>
      <c r="V743" s="236"/>
      <c r="W743" s="237"/>
      <c r="X743" s="237"/>
      <c r="Y743" s="237"/>
      <c r="Z743" s="237"/>
      <c r="AA743" s="237"/>
      <c r="AB743" s="237"/>
      <c r="AC743" s="237"/>
      <c r="AD743" s="237"/>
      <c r="AE743" s="237"/>
      <c r="AF743" s="237"/>
      <c r="AG743" s="237"/>
      <c r="AH743" s="237"/>
      <c r="AI743" s="308"/>
      <c r="AJ743" s="308"/>
      <c r="AK743" s="308"/>
      <c r="AL743" s="308"/>
      <c r="AM743" s="308"/>
      <c r="AN743" s="98"/>
    </row>
    <row r="744" ht="14.25" customHeight="1">
      <c r="A744" s="179"/>
      <c r="B744" s="98"/>
      <c r="C744" s="98"/>
      <c r="D744" s="98"/>
      <c r="E744" s="98"/>
      <c r="F744" s="235"/>
      <c r="G744" s="235"/>
      <c r="H744" s="236"/>
      <c r="I744" s="236"/>
      <c r="J744" s="236"/>
      <c r="K744" s="236"/>
      <c r="L744" s="236"/>
      <c r="M744" s="236"/>
      <c r="N744" s="236"/>
      <c r="O744" s="236"/>
      <c r="P744" s="236"/>
      <c r="Q744" s="236"/>
      <c r="R744" s="236"/>
      <c r="S744" s="236"/>
      <c r="T744" s="236"/>
      <c r="U744" s="236"/>
      <c r="V744" s="236"/>
      <c r="W744" s="237"/>
      <c r="X744" s="237"/>
      <c r="Y744" s="237"/>
      <c r="Z744" s="237"/>
      <c r="AA744" s="237"/>
      <c r="AB744" s="237"/>
      <c r="AC744" s="237"/>
      <c r="AD744" s="237"/>
      <c r="AE744" s="237"/>
      <c r="AF744" s="237"/>
      <c r="AG744" s="237"/>
      <c r="AH744" s="237"/>
      <c r="AI744" s="308"/>
      <c r="AJ744" s="308"/>
      <c r="AK744" s="308"/>
      <c r="AL744" s="308"/>
      <c r="AM744" s="308"/>
      <c r="AN744" s="98"/>
    </row>
    <row r="745" ht="14.25" customHeight="1">
      <c r="A745" s="179"/>
      <c r="B745" s="98"/>
      <c r="C745" s="98"/>
      <c r="D745" s="98"/>
      <c r="E745" s="98"/>
      <c r="F745" s="235"/>
      <c r="G745" s="235"/>
      <c r="H745" s="236"/>
      <c r="I745" s="236"/>
      <c r="J745" s="236"/>
      <c r="K745" s="236"/>
      <c r="L745" s="236"/>
      <c r="M745" s="236"/>
      <c r="N745" s="236"/>
      <c r="O745" s="236"/>
      <c r="P745" s="236"/>
      <c r="Q745" s="236"/>
      <c r="R745" s="236"/>
      <c r="S745" s="236"/>
      <c r="T745" s="236"/>
      <c r="U745" s="236"/>
      <c r="V745" s="236"/>
      <c r="W745" s="237"/>
      <c r="X745" s="237"/>
      <c r="Y745" s="237"/>
      <c r="Z745" s="237"/>
      <c r="AA745" s="237"/>
      <c r="AB745" s="237"/>
      <c r="AC745" s="237"/>
      <c r="AD745" s="237"/>
      <c r="AE745" s="237"/>
      <c r="AF745" s="237"/>
      <c r="AG745" s="237"/>
      <c r="AH745" s="237"/>
      <c r="AI745" s="308"/>
      <c r="AJ745" s="308"/>
      <c r="AK745" s="308"/>
      <c r="AL745" s="308"/>
      <c r="AM745" s="308"/>
      <c r="AN745" s="98"/>
    </row>
    <row r="746" ht="14.25" customHeight="1">
      <c r="A746" s="179"/>
      <c r="B746" s="98"/>
      <c r="C746" s="98"/>
      <c r="D746" s="98"/>
      <c r="E746" s="98"/>
      <c r="F746" s="235"/>
      <c r="G746" s="235"/>
      <c r="H746" s="236"/>
      <c r="I746" s="236"/>
      <c r="J746" s="236"/>
      <c r="K746" s="236"/>
      <c r="L746" s="236"/>
      <c r="M746" s="236"/>
      <c r="N746" s="236"/>
      <c r="O746" s="236"/>
      <c r="P746" s="236"/>
      <c r="Q746" s="236"/>
      <c r="R746" s="236"/>
      <c r="S746" s="236"/>
      <c r="T746" s="236"/>
      <c r="U746" s="236"/>
      <c r="V746" s="236"/>
      <c r="W746" s="237"/>
      <c r="X746" s="237"/>
      <c r="Y746" s="237"/>
      <c r="Z746" s="237"/>
      <c r="AA746" s="237"/>
      <c r="AB746" s="237"/>
      <c r="AC746" s="237"/>
      <c r="AD746" s="237"/>
      <c r="AE746" s="237"/>
      <c r="AF746" s="237"/>
      <c r="AG746" s="237"/>
      <c r="AH746" s="237"/>
      <c r="AI746" s="308"/>
      <c r="AJ746" s="308"/>
      <c r="AK746" s="308"/>
      <c r="AL746" s="308"/>
      <c r="AM746" s="308"/>
      <c r="AN746" s="98"/>
    </row>
    <row r="747" ht="14.25" customHeight="1">
      <c r="A747" s="179"/>
      <c r="B747" s="98"/>
      <c r="C747" s="98"/>
      <c r="D747" s="98"/>
      <c r="E747" s="98"/>
      <c r="F747" s="235"/>
      <c r="G747" s="235"/>
      <c r="H747" s="236"/>
      <c r="I747" s="236"/>
      <c r="J747" s="236"/>
      <c r="K747" s="236"/>
      <c r="L747" s="236"/>
      <c r="M747" s="236"/>
      <c r="N747" s="236"/>
      <c r="O747" s="236"/>
      <c r="P747" s="236"/>
      <c r="Q747" s="236"/>
      <c r="R747" s="236"/>
      <c r="S747" s="236"/>
      <c r="T747" s="236"/>
      <c r="U747" s="236"/>
      <c r="V747" s="236"/>
      <c r="W747" s="237"/>
      <c r="X747" s="237"/>
      <c r="Y747" s="237"/>
      <c r="Z747" s="237"/>
      <c r="AA747" s="237"/>
      <c r="AB747" s="237"/>
      <c r="AC747" s="237"/>
      <c r="AD747" s="237"/>
      <c r="AE747" s="237"/>
      <c r="AF747" s="237"/>
      <c r="AG747" s="237"/>
      <c r="AH747" s="237"/>
      <c r="AI747" s="308"/>
      <c r="AJ747" s="308"/>
      <c r="AK747" s="308"/>
      <c r="AL747" s="308"/>
      <c r="AM747" s="308"/>
      <c r="AN747" s="98"/>
    </row>
    <row r="748" ht="14.25" customHeight="1">
      <c r="A748" s="179"/>
      <c r="B748" s="98"/>
      <c r="C748" s="98"/>
      <c r="D748" s="98"/>
      <c r="E748" s="98"/>
      <c r="F748" s="235"/>
      <c r="G748" s="235"/>
      <c r="H748" s="236"/>
      <c r="I748" s="236"/>
      <c r="J748" s="236"/>
      <c r="K748" s="236"/>
      <c r="L748" s="236"/>
      <c r="M748" s="236"/>
      <c r="N748" s="236"/>
      <c r="O748" s="236"/>
      <c r="P748" s="236"/>
      <c r="Q748" s="236"/>
      <c r="R748" s="236"/>
      <c r="S748" s="236"/>
      <c r="T748" s="236"/>
      <c r="U748" s="236"/>
      <c r="V748" s="236"/>
      <c r="W748" s="237"/>
      <c r="X748" s="237"/>
      <c r="Y748" s="237"/>
      <c r="Z748" s="237"/>
      <c r="AA748" s="237"/>
      <c r="AB748" s="237"/>
      <c r="AC748" s="237"/>
      <c r="AD748" s="237"/>
      <c r="AE748" s="237"/>
      <c r="AF748" s="237"/>
      <c r="AG748" s="237"/>
      <c r="AH748" s="237"/>
      <c r="AI748" s="308"/>
      <c r="AJ748" s="308"/>
      <c r="AK748" s="308"/>
      <c r="AL748" s="308"/>
      <c r="AM748" s="308"/>
      <c r="AN748" s="98"/>
    </row>
    <row r="749" ht="14.25" customHeight="1">
      <c r="A749" s="179"/>
      <c r="B749" s="98"/>
      <c r="C749" s="98"/>
      <c r="D749" s="98"/>
      <c r="E749" s="98"/>
      <c r="F749" s="235"/>
      <c r="G749" s="235"/>
      <c r="H749" s="236"/>
      <c r="I749" s="236"/>
      <c r="J749" s="236"/>
      <c r="K749" s="236"/>
      <c r="L749" s="236"/>
      <c r="M749" s="236"/>
      <c r="N749" s="236"/>
      <c r="O749" s="236"/>
      <c r="P749" s="236"/>
      <c r="Q749" s="236"/>
      <c r="R749" s="236"/>
      <c r="S749" s="236"/>
      <c r="T749" s="236"/>
      <c r="U749" s="236"/>
      <c r="V749" s="236"/>
      <c r="W749" s="237"/>
      <c r="X749" s="237"/>
      <c r="Y749" s="237"/>
      <c r="Z749" s="237"/>
      <c r="AA749" s="237"/>
      <c r="AB749" s="237"/>
      <c r="AC749" s="237"/>
      <c r="AD749" s="237"/>
      <c r="AE749" s="237"/>
      <c r="AF749" s="237"/>
      <c r="AG749" s="237"/>
      <c r="AH749" s="237"/>
      <c r="AI749" s="308"/>
      <c r="AJ749" s="308"/>
      <c r="AK749" s="308"/>
      <c r="AL749" s="308"/>
      <c r="AM749" s="308"/>
      <c r="AN749" s="98"/>
    </row>
    <row r="750" ht="14.25" customHeight="1">
      <c r="A750" s="179"/>
      <c r="B750" s="98"/>
      <c r="C750" s="98"/>
      <c r="D750" s="98"/>
      <c r="E750" s="98"/>
      <c r="F750" s="235"/>
      <c r="G750" s="235"/>
      <c r="H750" s="236"/>
      <c r="I750" s="236"/>
      <c r="J750" s="236"/>
      <c r="K750" s="236"/>
      <c r="L750" s="236"/>
      <c r="M750" s="236"/>
      <c r="N750" s="236"/>
      <c r="O750" s="236"/>
      <c r="P750" s="236"/>
      <c r="Q750" s="236"/>
      <c r="R750" s="236"/>
      <c r="S750" s="236"/>
      <c r="T750" s="236"/>
      <c r="U750" s="236"/>
      <c r="V750" s="236"/>
      <c r="W750" s="237"/>
      <c r="X750" s="237"/>
      <c r="Y750" s="237"/>
      <c r="Z750" s="237"/>
      <c r="AA750" s="237"/>
      <c r="AB750" s="237"/>
      <c r="AC750" s="237"/>
      <c r="AD750" s="237"/>
      <c r="AE750" s="237"/>
      <c r="AF750" s="237"/>
      <c r="AG750" s="237"/>
      <c r="AH750" s="237"/>
      <c r="AI750" s="308"/>
      <c r="AJ750" s="308"/>
      <c r="AK750" s="308"/>
      <c r="AL750" s="308"/>
      <c r="AM750" s="308"/>
      <c r="AN750" s="98"/>
    </row>
    <row r="751" ht="14.25" customHeight="1">
      <c r="A751" s="179"/>
      <c r="B751" s="98"/>
      <c r="C751" s="98"/>
      <c r="D751" s="98"/>
      <c r="E751" s="98"/>
      <c r="F751" s="235"/>
      <c r="G751" s="235"/>
      <c r="H751" s="236"/>
      <c r="I751" s="236"/>
      <c r="J751" s="236"/>
      <c r="K751" s="236"/>
      <c r="L751" s="236"/>
      <c r="M751" s="236"/>
      <c r="N751" s="236"/>
      <c r="O751" s="236"/>
      <c r="P751" s="236"/>
      <c r="Q751" s="236"/>
      <c r="R751" s="236"/>
      <c r="S751" s="236"/>
      <c r="T751" s="236"/>
      <c r="U751" s="236"/>
      <c r="V751" s="236"/>
      <c r="W751" s="237"/>
      <c r="X751" s="237"/>
      <c r="Y751" s="237"/>
      <c r="Z751" s="237"/>
      <c r="AA751" s="237"/>
      <c r="AB751" s="237"/>
      <c r="AC751" s="237"/>
      <c r="AD751" s="237"/>
      <c r="AE751" s="237"/>
      <c r="AF751" s="237"/>
      <c r="AG751" s="237"/>
      <c r="AH751" s="237"/>
      <c r="AI751" s="308"/>
      <c r="AJ751" s="308"/>
      <c r="AK751" s="308"/>
      <c r="AL751" s="308"/>
      <c r="AM751" s="308"/>
      <c r="AN751" s="98"/>
    </row>
    <row r="752" ht="14.25" customHeight="1">
      <c r="A752" s="179"/>
      <c r="B752" s="98"/>
      <c r="C752" s="98"/>
      <c r="D752" s="98"/>
      <c r="E752" s="98"/>
      <c r="F752" s="235"/>
      <c r="G752" s="235"/>
      <c r="H752" s="236"/>
      <c r="I752" s="236"/>
      <c r="J752" s="236"/>
      <c r="K752" s="236"/>
      <c r="L752" s="236"/>
      <c r="M752" s="236"/>
      <c r="N752" s="236"/>
      <c r="O752" s="236"/>
      <c r="P752" s="236"/>
      <c r="Q752" s="236"/>
      <c r="R752" s="236"/>
      <c r="S752" s="236"/>
      <c r="T752" s="236"/>
      <c r="U752" s="236"/>
      <c r="V752" s="236"/>
      <c r="W752" s="237"/>
      <c r="X752" s="237"/>
      <c r="Y752" s="237"/>
      <c r="Z752" s="237"/>
      <c r="AA752" s="237"/>
      <c r="AB752" s="237"/>
      <c r="AC752" s="237"/>
      <c r="AD752" s="237"/>
      <c r="AE752" s="237"/>
      <c r="AF752" s="237"/>
      <c r="AG752" s="237"/>
      <c r="AH752" s="237"/>
      <c r="AI752" s="308"/>
      <c r="AJ752" s="308"/>
      <c r="AK752" s="308"/>
      <c r="AL752" s="308"/>
      <c r="AM752" s="308"/>
      <c r="AN752" s="98"/>
    </row>
    <row r="753" ht="14.25" customHeight="1">
      <c r="A753" s="179"/>
      <c r="B753" s="98"/>
      <c r="C753" s="98"/>
      <c r="D753" s="98"/>
      <c r="E753" s="98"/>
      <c r="F753" s="235"/>
      <c r="G753" s="235"/>
      <c r="H753" s="236"/>
      <c r="I753" s="236"/>
      <c r="J753" s="236"/>
      <c r="K753" s="236"/>
      <c r="L753" s="236"/>
      <c r="M753" s="236"/>
      <c r="N753" s="236"/>
      <c r="O753" s="236"/>
      <c r="P753" s="236"/>
      <c r="Q753" s="236"/>
      <c r="R753" s="236"/>
      <c r="S753" s="236"/>
      <c r="T753" s="236"/>
      <c r="U753" s="236"/>
      <c r="V753" s="236"/>
      <c r="W753" s="237"/>
      <c r="X753" s="237"/>
      <c r="Y753" s="237"/>
      <c r="Z753" s="237"/>
      <c r="AA753" s="237"/>
      <c r="AB753" s="237"/>
      <c r="AC753" s="237"/>
      <c r="AD753" s="237"/>
      <c r="AE753" s="237"/>
      <c r="AF753" s="237"/>
      <c r="AG753" s="237"/>
      <c r="AH753" s="237"/>
      <c r="AI753" s="308"/>
      <c r="AJ753" s="308"/>
      <c r="AK753" s="308"/>
      <c r="AL753" s="308"/>
      <c r="AM753" s="308"/>
      <c r="AN753" s="98"/>
    </row>
    <row r="754" ht="14.25" customHeight="1">
      <c r="A754" s="179"/>
      <c r="B754" s="98"/>
      <c r="C754" s="98"/>
      <c r="D754" s="98"/>
      <c r="E754" s="98"/>
      <c r="F754" s="235"/>
      <c r="G754" s="235"/>
      <c r="H754" s="236"/>
      <c r="I754" s="236"/>
      <c r="J754" s="236"/>
      <c r="K754" s="236"/>
      <c r="L754" s="236"/>
      <c r="M754" s="236"/>
      <c r="N754" s="236"/>
      <c r="O754" s="236"/>
      <c r="P754" s="236"/>
      <c r="Q754" s="236"/>
      <c r="R754" s="236"/>
      <c r="S754" s="236"/>
      <c r="T754" s="236"/>
      <c r="U754" s="236"/>
      <c r="V754" s="236"/>
      <c r="W754" s="237"/>
      <c r="X754" s="237"/>
      <c r="Y754" s="237"/>
      <c r="Z754" s="237"/>
      <c r="AA754" s="237"/>
      <c r="AB754" s="237"/>
      <c r="AC754" s="237"/>
      <c r="AD754" s="237"/>
      <c r="AE754" s="237"/>
      <c r="AF754" s="237"/>
      <c r="AG754" s="237"/>
      <c r="AH754" s="237"/>
      <c r="AI754" s="308"/>
      <c r="AJ754" s="308"/>
      <c r="AK754" s="308"/>
      <c r="AL754" s="308"/>
      <c r="AM754" s="308"/>
      <c r="AN754" s="98"/>
    </row>
    <row r="755" ht="14.25" customHeight="1">
      <c r="A755" s="179"/>
      <c r="B755" s="98"/>
      <c r="C755" s="98"/>
      <c r="D755" s="98"/>
      <c r="E755" s="98"/>
      <c r="F755" s="235"/>
      <c r="G755" s="235"/>
      <c r="H755" s="236"/>
      <c r="I755" s="236"/>
      <c r="J755" s="236"/>
      <c r="K755" s="236"/>
      <c r="L755" s="236"/>
      <c r="M755" s="236"/>
      <c r="N755" s="236"/>
      <c r="O755" s="236"/>
      <c r="P755" s="236"/>
      <c r="Q755" s="236"/>
      <c r="R755" s="236"/>
      <c r="S755" s="236"/>
      <c r="T755" s="236"/>
      <c r="U755" s="236"/>
      <c r="V755" s="236"/>
      <c r="W755" s="237"/>
      <c r="X755" s="237"/>
      <c r="Y755" s="237"/>
      <c r="Z755" s="237"/>
      <c r="AA755" s="237"/>
      <c r="AB755" s="237"/>
      <c r="AC755" s="237"/>
      <c r="AD755" s="237"/>
      <c r="AE755" s="237"/>
      <c r="AF755" s="237"/>
      <c r="AG755" s="237"/>
      <c r="AH755" s="237"/>
      <c r="AI755" s="308"/>
      <c r="AJ755" s="308"/>
      <c r="AK755" s="308"/>
      <c r="AL755" s="308"/>
      <c r="AM755" s="308"/>
      <c r="AN755" s="98"/>
    </row>
    <row r="756" ht="14.25" customHeight="1">
      <c r="A756" s="179"/>
      <c r="B756" s="98"/>
      <c r="C756" s="98"/>
      <c r="D756" s="98"/>
      <c r="E756" s="98"/>
      <c r="F756" s="235"/>
      <c r="G756" s="235"/>
      <c r="H756" s="236"/>
      <c r="I756" s="236"/>
      <c r="J756" s="236"/>
      <c r="K756" s="236"/>
      <c r="L756" s="236"/>
      <c r="M756" s="236"/>
      <c r="N756" s="236"/>
      <c r="O756" s="236"/>
      <c r="P756" s="236"/>
      <c r="Q756" s="236"/>
      <c r="R756" s="236"/>
      <c r="S756" s="236"/>
      <c r="T756" s="236"/>
      <c r="U756" s="236"/>
      <c r="V756" s="236"/>
      <c r="W756" s="237"/>
      <c r="X756" s="237"/>
      <c r="Y756" s="237"/>
      <c r="Z756" s="237"/>
      <c r="AA756" s="237"/>
      <c r="AB756" s="237"/>
      <c r="AC756" s="237"/>
      <c r="AD756" s="237"/>
      <c r="AE756" s="237"/>
      <c r="AF756" s="237"/>
      <c r="AG756" s="237"/>
      <c r="AH756" s="237"/>
      <c r="AI756" s="308"/>
      <c r="AJ756" s="308"/>
      <c r="AK756" s="308"/>
      <c r="AL756" s="308"/>
      <c r="AM756" s="308"/>
      <c r="AN756" s="98"/>
    </row>
    <row r="757" ht="14.25" customHeight="1">
      <c r="A757" s="179"/>
      <c r="B757" s="98"/>
      <c r="C757" s="98"/>
      <c r="D757" s="98"/>
      <c r="E757" s="98"/>
      <c r="F757" s="235"/>
      <c r="G757" s="235"/>
      <c r="H757" s="236"/>
      <c r="I757" s="236"/>
      <c r="J757" s="236"/>
      <c r="K757" s="236"/>
      <c r="L757" s="236"/>
      <c r="M757" s="236"/>
      <c r="N757" s="236"/>
      <c r="O757" s="236"/>
      <c r="P757" s="236"/>
      <c r="Q757" s="236"/>
      <c r="R757" s="236"/>
      <c r="S757" s="236"/>
      <c r="T757" s="236"/>
      <c r="U757" s="236"/>
      <c r="V757" s="236"/>
      <c r="W757" s="237"/>
      <c r="X757" s="237"/>
      <c r="Y757" s="237"/>
      <c r="Z757" s="237"/>
      <c r="AA757" s="237"/>
      <c r="AB757" s="237"/>
      <c r="AC757" s="237"/>
      <c r="AD757" s="237"/>
      <c r="AE757" s="237"/>
      <c r="AF757" s="237"/>
      <c r="AG757" s="237"/>
      <c r="AH757" s="237"/>
      <c r="AI757" s="308"/>
      <c r="AJ757" s="308"/>
      <c r="AK757" s="308"/>
      <c r="AL757" s="308"/>
      <c r="AM757" s="308"/>
      <c r="AN757" s="98"/>
    </row>
    <row r="758" ht="14.25" customHeight="1">
      <c r="A758" s="179"/>
      <c r="B758" s="98"/>
      <c r="C758" s="98"/>
      <c r="D758" s="98"/>
      <c r="E758" s="98"/>
      <c r="F758" s="235"/>
      <c r="G758" s="235"/>
      <c r="H758" s="236"/>
      <c r="I758" s="236"/>
      <c r="J758" s="236"/>
      <c r="K758" s="236"/>
      <c r="L758" s="236"/>
      <c r="M758" s="236"/>
      <c r="N758" s="236"/>
      <c r="O758" s="236"/>
      <c r="P758" s="236"/>
      <c r="Q758" s="236"/>
      <c r="R758" s="236"/>
      <c r="S758" s="236"/>
      <c r="T758" s="236"/>
      <c r="U758" s="236"/>
      <c r="V758" s="236"/>
      <c r="W758" s="237"/>
      <c r="X758" s="237"/>
      <c r="Y758" s="237"/>
      <c r="Z758" s="237"/>
      <c r="AA758" s="237"/>
      <c r="AB758" s="237"/>
      <c r="AC758" s="237"/>
      <c r="AD758" s="237"/>
      <c r="AE758" s="237"/>
      <c r="AF758" s="237"/>
      <c r="AG758" s="237"/>
      <c r="AH758" s="237"/>
      <c r="AI758" s="308"/>
      <c r="AJ758" s="308"/>
      <c r="AK758" s="308"/>
      <c r="AL758" s="308"/>
      <c r="AM758" s="308"/>
      <c r="AN758" s="98"/>
    </row>
    <row r="759" ht="14.25" customHeight="1">
      <c r="A759" s="179"/>
      <c r="B759" s="98"/>
      <c r="C759" s="98"/>
      <c r="D759" s="98"/>
      <c r="E759" s="98"/>
      <c r="F759" s="235"/>
      <c r="G759" s="235"/>
      <c r="H759" s="236"/>
      <c r="I759" s="236"/>
      <c r="J759" s="236"/>
      <c r="K759" s="236"/>
      <c r="L759" s="236"/>
      <c r="M759" s="236"/>
      <c r="N759" s="236"/>
      <c r="O759" s="236"/>
      <c r="P759" s="236"/>
      <c r="Q759" s="236"/>
      <c r="R759" s="236"/>
      <c r="S759" s="236"/>
      <c r="T759" s="236"/>
      <c r="U759" s="236"/>
      <c r="V759" s="236"/>
      <c r="W759" s="237"/>
      <c r="X759" s="237"/>
      <c r="Y759" s="237"/>
      <c r="Z759" s="237"/>
      <c r="AA759" s="237"/>
      <c r="AB759" s="237"/>
      <c r="AC759" s="237"/>
      <c r="AD759" s="237"/>
      <c r="AE759" s="237"/>
      <c r="AF759" s="237"/>
      <c r="AG759" s="237"/>
      <c r="AH759" s="237"/>
      <c r="AI759" s="308"/>
      <c r="AJ759" s="308"/>
      <c r="AK759" s="308"/>
      <c r="AL759" s="308"/>
      <c r="AM759" s="308"/>
      <c r="AN759" s="98"/>
    </row>
    <row r="760" ht="14.25" customHeight="1">
      <c r="A760" s="179"/>
      <c r="B760" s="98"/>
      <c r="C760" s="98"/>
      <c r="D760" s="98"/>
      <c r="E760" s="98"/>
      <c r="F760" s="235"/>
      <c r="G760" s="235"/>
      <c r="H760" s="236"/>
      <c r="I760" s="236"/>
      <c r="J760" s="236"/>
      <c r="K760" s="236"/>
      <c r="L760" s="236"/>
      <c r="M760" s="236"/>
      <c r="N760" s="236"/>
      <c r="O760" s="236"/>
      <c r="P760" s="236"/>
      <c r="Q760" s="236"/>
      <c r="R760" s="236"/>
      <c r="S760" s="236"/>
      <c r="T760" s="236"/>
      <c r="U760" s="236"/>
      <c r="V760" s="236"/>
      <c r="W760" s="237"/>
      <c r="X760" s="237"/>
      <c r="Y760" s="237"/>
      <c r="Z760" s="237"/>
      <c r="AA760" s="237"/>
      <c r="AB760" s="237"/>
      <c r="AC760" s="237"/>
      <c r="AD760" s="237"/>
      <c r="AE760" s="237"/>
      <c r="AF760" s="237"/>
      <c r="AG760" s="237"/>
      <c r="AH760" s="237"/>
      <c r="AI760" s="308"/>
      <c r="AJ760" s="308"/>
      <c r="AK760" s="308"/>
      <c r="AL760" s="308"/>
      <c r="AM760" s="308"/>
      <c r="AN760" s="98"/>
    </row>
    <row r="761" ht="14.25" customHeight="1">
      <c r="A761" s="179"/>
      <c r="B761" s="98"/>
      <c r="C761" s="98"/>
      <c r="D761" s="98"/>
      <c r="E761" s="98"/>
      <c r="F761" s="235"/>
      <c r="G761" s="235"/>
      <c r="H761" s="236"/>
      <c r="I761" s="236"/>
      <c r="J761" s="236"/>
      <c r="K761" s="236"/>
      <c r="L761" s="236"/>
      <c r="M761" s="236"/>
      <c r="N761" s="236"/>
      <c r="O761" s="236"/>
      <c r="P761" s="236"/>
      <c r="Q761" s="236"/>
      <c r="R761" s="236"/>
      <c r="S761" s="236"/>
      <c r="T761" s="236"/>
      <c r="U761" s="236"/>
      <c r="V761" s="236"/>
      <c r="W761" s="237"/>
      <c r="X761" s="237"/>
      <c r="Y761" s="237"/>
      <c r="Z761" s="237"/>
      <c r="AA761" s="237"/>
      <c r="AB761" s="237"/>
      <c r="AC761" s="237"/>
      <c r="AD761" s="237"/>
      <c r="AE761" s="237"/>
      <c r="AF761" s="237"/>
      <c r="AG761" s="237"/>
      <c r="AH761" s="237"/>
      <c r="AI761" s="308"/>
      <c r="AJ761" s="308"/>
      <c r="AK761" s="308"/>
      <c r="AL761" s="308"/>
      <c r="AM761" s="308"/>
      <c r="AN761" s="98"/>
    </row>
    <row r="762" ht="14.25" customHeight="1">
      <c r="A762" s="179"/>
      <c r="B762" s="98"/>
      <c r="C762" s="98"/>
      <c r="D762" s="98"/>
      <c r="E762" s="98"/>
      <c r="F762" s="235"/>
      <c r="G762" s="235"/>
      <c r="H762" s="236"/>
      <c r="I762" s="236"/>
      <c r="J762" s="236"/>
      <c r="K762" s="236"/>
      <c r="L762" s="236"/>
      <c r="M762" s="236"/>
      <c r="N762" s="236"/>
      <c r="O762" s="236"/>
      <c r="P762" s="236"/>
      <c r="Q762" s="236"/>
      <c r="R762" s="236"/>
      <c r="S762" s="236"/>
      <c r="T762" s="236"/>
      <c r="U762" s="236"/>
      <c r="V762" s="236"/>
      <c r="W762" s="237"/>
      <c r="X762" s="237"/>
      <c r="Y762" s="237"/>
      <c r="Z762" s="237"/>
      <c r="AA762" s="237"/>
      <c r="AB762" s="237"/>
      <c r="AC762" s="237"/>
      <c r="AD762" s="237"/>
      <c r="AE762" s="237"/>
      <c r="AF762" s="237"/>
      <c r="AG762" s="237"/>
      <c r="AH762" s="237"/>
      <c r="AI762" s="308"/>
      <c r="AJ762" s="308"/>
      <c r="AK762" s="308"/>
      <c r="AL762" s="308"/>
      <c r="AM762" s="308"/>
      <c r="AN762" s="98"/>
    </row>
    <row r="763" ht="14.25" customHeight="1">
      <c r="A763" s="179"/>
      <c r="B763" s="98"/>
      <c r="C763" s="98"/>
      <c r="D763" s="98"/>
      <c r="E763" s="98"/>
      <c r="F763" s="235"/>
      <c r="G763" s="235"/>
      <c r="H763" s="236"/>
      <c r="I763" s="236"/>
      <c r="J763" s="236"/>
      <c r="K763" s="236"/>
      <c r="L763" s="236"/>
      <c r="M763" s="236"/>
      <c r="N763" s="236"/>
      <c r="O763" s="236"/>
      <c r="P763" s="236"/>
      <c r="Q763" s="236"/>
      <c r="R763" s="236"/>
      <c r="S763" s="236"/>
      <c r="T763" s="236"/>
      <c r="U763" s="236"/>
      <c r="V763" s="236"/>
      <c r="W763" s="237"/>
      <c r="X763" s="237"/>
      <c r="Y763" s="237"/>
      <c r="Z763" s="237"/>
      <c r="AA763" s="237"/>
      <c r="AB763" s="237"/>
      <c r="AC763" s="237"/>
      <c r="AD763" s="237"/>
      <c r="AE763" s="237"/>
      <c r="AF763" s="237"/>
      <c r="AG763" s="237"/>
      <c r="AH763" s="237"/>
      <c r="AI763" s="308"/>
      <c r="AJ763" s="308"/>
      <c r="AK763" s="308"/>
      <c r="AL763" s="308"/>
      <c r="AM763" s="308"/>
      <c r="AN763" s="98"/>
    </row>
    <row r="764" ht="14.25" customHeight="1">
      <c r="A764" s="179"/>
      <c r="B764" s="98"/>
      <c r="C764" s="98"/>
      <c r="D764" s="98"/>
      <c r="E764" s="98"/>
      <c r="F764" s="235"/>
      <c r="G764" s="235"/>
      <c r="H764" s="236"/>
      <c r="I764" s="236"/>
      <c r="J764" s="236"/>
      <c r="K764" s="236"/>
      <c r="L764" s="236"/>
      <c r="M764" s="236"/>
      <c r="N764" s="236"/>
      <c r="O764" s="236"/>
      <c r="P764" s="236"/>
      <c r="Q764" s="236"/>
      <c r="R764" s="236"/>
      <c r="S764" s="236"/>
      <c r="T764" s="236"/>
      <c r="U764" s="236"/>
      <c r="V764" s="236"/>
      <c r="W764" s="237"/>
      <c r="X764" s="237"/>
      <c r="Y764" s="237"/>
      <c r="Z764" s="237"/>
      <c r="AA764" s="237"/>
      <c r="AB764" s="237"/>
      <c r="AC764" s="237"/>
      <c r="AD764" s="237"/>
      <c r="AE764" s="237"/>
      <c r="AF764" s="237"/>
      <c r="AG764" s="237"/>
      <c r="AH764" s="237"/>
      <c r="AI764" s="308"/>
      <c r="AJ764" s="308"/>
      <c r="AK764" s="308"/>
      <c r="AL764" s="308"/>
      <c r="AM764" s="308"/>
      <c r="AN764" s="98"/>
    </row>
    <row r="765" ht="14.25" customHeight="1">
      <c r="A765" s="179"/>
      <c r="B765" s="98"/>
      <c r="C765" s="98"/>
      <c r="D765" s="98"/>
      <c r="E765" s="98"/>
      <c r="F765" s="235"/>
      <c r="G765" s="235"/>
      <c r="H765" s="236"/>
      <c r="I765" s="236"/>
      <c r="J765" s="236"/>
      <c r="K765" s="236"/>
      <c r="L765" s="236"/>
      <c r="M765" s="236"/>
      <c r="N765" s="236"/>
      <c r="O765" s="236"/>
      <c r="P765" s="236"/>
      <c r="Q765" s="236"/>
      <c r="R765" s="236"/>
      <c r="S765" s="236"/>
      <c r="T765" s="236"/>
      <c r="U765" s="236"/>
      <c r="V765" s="236"/>
      <c r="W765" s="237"/>
      <c r="X765" s="237"/>
      <c r="Y765" s="237"/>
      <c r="Z765" s="237"/>
      <c r="AA765" s="237"/>
      <c r="AB765" s="237"/>
      <c r="AC765" s="237"/>
      <c r="AD765" s="237"/>
      <c r="AE765" s="237"/>
      <c r="AF765" s="237"/>
      <c r="AG765" s="237"/>
      <c r="AH765" s="237"/>
      <c r="AI765" s="308"/>
      <c r="AJ765" s="308"/>
      <c r="AK765" s="308"/>
      <c r="AL765" s="308"/>
      <c r="AM765" s="308"/>
      <c r="AN765" s="98"/>
    </row>
    <row r="766" ht="14.25" customHeight="1">
      <c r="A766" s="179"/>
      <c r="B766" s="98"/>
      <c r="C766" s="98"/>
      <c r="D766" s="98"/>
      <c r="E766" s="98"/>
      <c r="F766" s="235"/>
      <c r="G766" s="235"/>
      <c r="H766" s="236"/>
      <c r="I766" s="236"/>
      <c r="J766" s="236"/>
      <c r="K766" s="236"/>
      <c r="L766" s="236"/>
      <c r="M766" s="236"/>
      <c r="N766" s="236"/>
      <c r="O766" s="236"/>
      <c r="P766" s="236"/>
      <c r="Q766" s="236"/>
      <c r="R766" s="236"/>
      <c r="S766" s="236"/>
      <c r="T766" s="236"/>
      <c r="U766" s="236"/>
      <c r="V766" s="236"/>
      <c r="W766" s="237"/>
      <c r="X766" s="237"/>
      <c r="Y766" s="237"/>
      <c r="Z766" s="237"/>
      <c r="AA766" s="237"/>
      <c r="AB766" s="237"/>
      <c r="AC766" s="237"/>
      <c r="AD766" s="237"/>
      <c r="AE766" s="237"/>
      <c r="AF766" s="237"/>
      <c r="AG766" s="237"/>
      <c r="AH766" s="237"/>
      <c r="AI766" s="308"/>
      <c r="AJ766" s="308"/>
      <c r="AK766" s="308"/>
      <c r="AL766" s="308"/>
      <c r="AM766" s="308"/>
      <c r="AN766" s="98"/>
    </row>
    <row r="767" ht="14.25" customHeight="1">
      <c r="A767" s="179"/>
      <c r="B767" s="98"/>
      <c r="C767" s="98"/>
      <c r="D767" s="98"/>
      <c r="E767" s="98"/>
      <c r="F767" s="235"/>
      <c r="G767" s="235"/>
      <c r="H767" s="236"/>
      <c r="I767" s="236"/>
      <c r="J767" s="236"/>
      <c r="K767" s="236"/>
      <c r="L767" s="236"/>
      <c r="M767" s="236"/>
      <c r="N767" s="236"/>
      <c r="O767" s="236"/>
      <c r="P767" s="236"/>
      <c r="Q767" s="236"/>
      <c r="R767" s="236"/>
      <c r="S767" s="236"/>
      <c r="T767" s="236"/>
      <c r="U767" s="236"/>
      <c r="V767" s="236"/>
      <c r="W767" s="237"/>
      <c r="X767" s="237"/>
      <c r="Y767" s="237"/>
      <c r="Z767" s="237"/>
      <c r="AA767" s="237"/>
      <c r="AB767" s="237"/>
      <c r="AC767" s="237"/>
      <c r="AD767" s="237"/>
      <c r="AE767" s="237"/>
      <c r="AF767" s="237"/>
      <c r="AG767" s="237"/>
      <c r="AH767" s="237"/>
      <c r="AI767" s="308"/>
      <c r="AJ767" s="308"/>
      <c r="AK767" s="308"/>
      <c r="AL767" s="308"/>
      <c r="AM767" s="308"/>
      <c r="AN767" s="98"/>
    </row>
    <row r="768" ht="14.25" customHeight="1">
      <c r="A768" s="179"/>
      <c r="B768" s="98"/>
      <c r="C768" s="98"/>
      <c r="D768" s="98"/>
      <c r="E768" s="98"/>
      <c r="F768" s="235"/>
      <c r="G768" s="235"/>
      <c r="H768" s="236"/>
      <c r="I768" s="236"/>
      <c r="J768" s="236"/>
      <c r="K768" s="236"/>
      <c r="L768" s="236"/>
      <c r="M768" s="236"/>
      <c r="N768" s="236"/>
      <c r="O768" s="236"/>
      <c r="P768" s="236"/>
      <c r="Q768" s="236"/>
      <c r="R768" s="236"/>
      <c r="S768" s="236"/>
      <c r="T768" s="236"/>
      <c r="U768" s="236"/>
      <c r="V768" s="236"/>
      <c r="W768" s="237"/>
      <c r="X768" s="237"/>
      <c r="Y768" s="237"/>
      <c r="Z768" s="237"/>
      <c r="AA768" s="237"/>
      <c r="AB768" s="237"/>
      <c r="AC768" s="237"/>
      <c r="AD768" s="237"/>
      <c r="AE768" s="237"/>
      <c r="AF768" s="237"/>
      <c r="AG768" s="237"/>
      <c r="AH768" s="237"/>
      <c r="AI768" s="308"/>
      <c r="AJ768" s="308"/>
      <c r="AK768" s="308"/>
      <c r="AL768" s="308"/>
      <c r="AM768" s="308"/>
      <c r="AN768" s="98"/>
    </row>
    <row r="769" ht="14.25" customHeight="1">
      <c r="A769" s="179"/>
      <c r="B769" s="98"/>
      <c r="C769" s="98"/>
      <c r="D769" s="98"/>
      <c r="E769" s="98"/>
      <c r="F769" s="235"/>
      <c r="G769" s="235"/>
      <c r="H769" s="236"/>
      <c r="I769" s="236"/>
      <c r="J769" s="236"/>
      <c r="K769" s="236"/>
      <c r="L769" s="236"/>
      <c r="M769" s="236"/>
      <c r="N769" s="236"/>
      <c r="O769" s="236"/>
      <c r="P769" s="236"/>
      <c r="Q769" s="236"/>
      <c r="R769" s="236"/>
      <c r="S769" s="236"/>
      <c r="T769" s="236"/>
      <c r="U769" s="236"/>
      <c r="V769" s="236"/>
      <c r="W769" s="237"/>
      <c r="X769" s="237"/>
      <c r="Y769" s="237"/>
      <c r="Z769" s="237"/>
      <c r="AA769" s="237"/>
      <c r="AB769" s="237"/>
      <c r="AC769" s="237"/>
      <c r="AD769" s="237"/>
      <c r="AE769" s="237"/>
      <c r="AF769" s="237"/>
      <c r="AG769" s="237"/>
      <c r="AH769" s="237"/>
      <c r="AI769" s="308"/>
      <c r="AJ769" s="308"/>
      <c r="AK769" s="308"/>
      <c r="AL769" s="308"/>
      <c r="AM769" s="308"/>
      <c r="AN769" s="98"/>
    </row>
    <row r="770" ht="14.25" customHeight="1">
      <c r="A770" s="179"/>
      <c r="B770" s="98"/>
      <c r="C770" s="98"/>
      <c r="D770" s="98"/>
      <c r="E770" s="98"/>
      <c r="F770" s="235"/>
      <c r="G770" s="235"/>
      <c r="H770" s="236"/>
      <c r="I770" s="236"/>
      <c r="J770" s="236"/>
      <c r="K770" s="236"/>
      <c r="L770" s="236"/>
      <c r="M770" s="236"/>
      <c r="N770" s="236"/>
      <c r="O770" s="236"/>
      <c r="P770" s="236"/>
      <c r="Q770" s="236"/>
      <c r="R770" s="236"/>
      <c r="S770" s="236"/>
      <c r="T770" s="236"/>
      <c r="U770" s="236"/>
      <c r="V770" s="236"/>
      <c r="W770" s="237"/>
      <c r="X770" s="237"/>
      <c r="Y770" s="237"/>
      <c r="Z770" s="237"/>
      <c r="AA770" s="237"/>
      <c r="AB770" s="237"/>
      <c r="AC770" s="237"/>
      <c r="AD770" s="237"/>
      <c r="AE770" s="237"/>
      <c r="AF770" s="237"/>
      <c r="AG770" s="237"/>
      <c r="AH770" s="237"/>
      <c r="AI770" s="308"/>
      <c r="AJ770" s="308"/>
      <c r="AK770" s="308"/>
      <c r="AL770" s="308"/>
      <c r="AM770" s="308"/>
      <c r="AN770" s="98"/>
    </row>
    <row r="771" ht="14.25" customHeight="1">
      <c r="A771" s="179"/>
      <c r="B771" s="98"/>
      <c r="C771" s="98"/>
      <c r="D771" s="98"/>
      <c r="E771" s="98"/>
      <c r="F771" s="235"/>
      <c r="G771" s="235"/>
      <c r="H771" s="236"/>
      <c r="I771" s="236"/>
      <c r="J771" s="236"/>
      <c r="K771" s="236"/>
      <c r="L771" s="236"/>
      <c r="M771" s="236"/>
      <c r="N771" s="236"/>
      <c r="O771" s="236"/>
      <c r="P771" s="236"/>
      <c r="Q771" s="236"/>
      <c r="R771" s="236"/>
      <c r="S771" s="236"/>
      <c r="T771" s="236"/>
      <c r="U771" s="236"/>
      <c r="V771" s="236"/>
      <c r="W771" s="237"/>
      <c r="X771" s="237"/>
      <c r="Y771" s="237"/>
      <c r="Z771" s="237"/>
      <c r="AA771" s="237"/>
      <c r="AB771" s="237"/>
      <c r="AC771" s="237"/>
      <c r="AD771" s="237"/>
      <c r="AE771" s="237"/>
      <c r="AF771" s="237"/>
      <c r="AG771" s="237"/>
      <c r="AH771" s="237"/>
      <c r="AI771" s="308"/>
      <c r="AJ771" s="308"/>
      <c r="AK771" s="308"/>
      <c r="AL771" s="308"/>
      <c r="AM771" s="308"/>
      <c r="AN771" s="98"/>
    </row>
    <row r="772" ht="14.25" customHeight="1">
      <c r="A772" s="179"/>
      <c r="B772" s="98"/>
      <c r="C772" s="98"/>
      <c r="D772" s="98"/>
      <c r="E772" s="98"/>
      <c r="F772" s="235"/>
      <c r="G772" s="235"/>
      <c r="H772" s="236"/>
      <c r="I772" s="236"/>
      <c r="J772" s="236"/>
      <c r="K772" s="236"/>
      <c r="L772" s="236"/>
      <c r="M772" s="236"/>
      <c r="N772" s="236"/>
      <c r="O772" s="236"/>
      <c r="P772" s="236"/>
      <c r="Q772" s="236"/>
      <c r="R772" s="236"/>
      <c r="S772" s="236"/>
      <c r="T772" s="236"/>
      <c r="U772" s="236"/>
      <c r="V772" s="236"/>
      <c r="W772" s="237"/>
      <c r="X772" s="237"/>
      <c r="Y772" s="237"/>
      <c r="Z772" s="237"/>
      <c r="AA772" s="237"/>
      <c r="AB772" s="237"/>
      <c r="AC772" s="237"/>
      <c r="AD772" s="237"/>
      <c r="AE772" s="237"/>
      <c r="AF772" s="237"/>
      <c r="AG772" s="237"/>
      <c r="AH772" s="237"/>
      <c r="AI772" s="308"/>
      <c r="AJ772" s="308"/>
      <c r="AK772" s="308"/>
      <c r="AL772" s="308"/>
      <c r="AM772" s="308"/>
      <c r="AN772" s="98"/>
    </row>
    <row r="773" ht="14.25" customHeight="1">
      <c r="A773" s="179"/>
      <c r="B773" s="98"/>
      <c r="C773" s="98"/>
      <c r="D773" s="98"/>
      <c r="E773" s="98"/>
      <c r="F773" s="235"/>
      <c r="G773" s="235"/>
      <c r="H773" s="236"/>
      <c r="I773" s="236"/>
      <c r="J773" s="236"/>
      <c r="K773" s="236"/>
      <c r="L773" s="236"/>
      <c r="M773" s="236"/>
      <c r="N773" s="236"/>
      <c r="O773" s="236"/>
      <c r="P773" s="236"/>
      <c r="Q773" s="236"/>
      <c r="R773" s="236"/>
      <c r="S773" s="236"/>
      <c r="T773" s="236"/>
      <c r="U773" s="236"/>
      <c r="V773" s="236"/>
      <c r="W773" s="237"/>
      <c r="X773" s="237"/>
      <c r="Y773" s="237"/>
      <c r="Z773" s="237"/>
      <c r="AA773" s="237"/>
      <c r="AB773" s="237"/>
      <c r="AC773" s="237"/>
      <c r="AD773" s="237"/>
      <c r="AE773" s="237"/>
      <c r="AF773" s="237"/>
      <c r="AG773" s="237"/>
      <c r="AH773" s="237"/>
      <c r="AI773" s="308"/>
      <c r="AJ773" s="308"/>
      <c r="AK773" s="308"/>
      <c r="AL773" s="308"/>
      <c r="AM773" s="308"/>
      <c r="AN773" s="98"/>
    </row>
    <row r="774" ht="14.25" customHeight="1">
      <c r="A774" s="179"/>
      <c r="B774" s="98"/>
      <c r="C774" s="98"/>
      <c r="D774" s="98"/>
      <c r="E774" s="98"/>
      <c r="F774" s="235"/>
      <c r="G774" s="235"/>
      <c r="H774" s="236"/>
      <c r="I774" s="236"/>
      <c r="J774" s="236"/>
      <c r="K774" s="236"/>
      <c r="L774" s="236"/>
      <c r="M774" s="236"/>
      <c r="N774" s="236"/>
      <c r="O774" s="236"/>
      <c r="P774" s="236"/>
      <c r="Q774" s="236"/>
      <c r="R774" s="236"/>
      <c r="S774" s="236"/>
      <c r="T774" s="236"/>
      <c r="U774" s="236"/>
      <c r="V774" s="236"/>
      <c r="W774" s="237"/>
      <c r="X774" s="237"/>
      <c r="Y774" s="237"/>
      <c r="Z774" s="237"/>
      <c r="AA774" s="237"/>
      <c r="AB774" s="237"/>
      <c r="AC774" s="237"/>
      <c r="AD774" s="237"/>
      <c r="AE774" s="237"/>
      <c r="AF774" s="237"/>
      <c r="AG774" s="237"/>
      <c r="AH774" s="237"/>
      <c r="AI774" s="308"/>
      <c r="AJ774" s="308"/>
      <c r="AK774" s="308"/>
      <c r="AL774" s="308"/>
      <c r="AM774" s="308"/>
      <c r="AN774" s="98"/>
    </row>
    <row r="775" ht="14.25" customHeight="1">
      <c r="A775" s="179"/>
      <c r="B775" s="98"/>
      <c r="C775" s="98"/>
      <c r="D775" s="98"/>
      <c r="E775" s="98"/>
      <c r="F775" s="235"/>
      <c r="G775" s="235"/>
      <c r="H775" s="236"/>
      <c r="I775" s="236"/>
      <c r="J775" s="236"/>
      <c r="K775" s="236"/>
      <c r="L775" s="236"/>
      <c r="M775" s="236"/>
      <c r="N775" s="236"/>
      <c r="O775" s="236"/>
      <c r="P775" s="236"/>
      <c r="Q775" s="236"/>
      <c r="R775" s="236"/>
      <c r="S775" s="236"/>
      <c r="T775" s="236"/>
      <c r="U775" s="236"/>
      <c r="V775" s="236"/>
      <c r="W775" s="237"/>
      <c r="X775" s="237"/>
      <c r="Y775" s="237"/>
      <c r="Z775" s="237"/>
      <c r="AA775" s="237"/>
      <c r="AB775" s="237"/>
      <c r="AC775" s="237"/>
      <c r="AD775" s="237"/>
      <c r="AE775" s="237"/>
      <c r="AF775" s="237"/>
      <c r="AG775" s="237"/>
      <c r="AH775" s="237"/>
      <c r="AI775" s="308"/>
      <c r="AJ775" s="308"/>
      <c r="AK775" s="308"/>
      <c r="AL775" s="308"/>
      <c r="AM775" s="308"/>
      <c r="AN775" s="98"/>
    </row>
    <row r="776" ht="14.25" customHeight="1">
      <c r="A776" s="179"/>
      <c r="B776" s="98"/>
      <c r="C776" s="98"/>
      <c r="D776" s="98"/>
      <c r="E776" s="98"/>
      <c r="F776" s="235"/>
      <c r="G776" s="235"/>
      <c r="H776" s="236"/>
      <c r="I776" s="236"/>
      <c r="J776" s="236"/>
      <c r="K776" s="236"/>
      <c r="L776" s="236"/>
      <c r="M776" s="236"/>
      <c r="N776" s="236"/>
      <c r="O776" s="236"/>
      <c r="P776" s="236"/>
      <c r="Q776" s="236"/>
      <c r="R776" s="236"/>
      <c r="S776" s="236"/>
      <c r="T776" s="236"/>
      <c r="U776" s="236"/>
      <c r="V776" s="236"/>
      <c r="W776" s="237"/>
      <c r="X776" s="237"/>
      <c r="Y776" s="237"/>
      <c r="Z776" s="237"/>
      <c r="AA776" s="237"/>
      <c r="AB776" s="237"/>
      <c r="AC776" s="237"/>
      <c r="AD776" s="237"/>
      <c r="AE776" s="237"/>
      <c r="AF776" s="237"/>
      <c r="AG776" s="237"/>
      <c r="AH776" s="237"/>
      <c r="AI776" s="308"/>
      <c r="AJ776" s="308"/>
      <c r="AK776" s="308"/>
      <c r="AL776" s="308"/>
      <c r="AM776" s="308"/>
      <c r="AN776" s="98"/>
    </row>
    <row r="777" ht="14.25" customHeight="1">
      <c r="A777" s="179"/>
      <c r="B777" s="98"/>
      <c r="C777" s="98"/>
      <c r="D777" s="98"/>
      <c r="E777" s="98"/>
      <c r="F777" s="235"/>
      <c r="G777" s="235"/>
      <c r="H777" s="236"/>
      <c r="I777" s="236"/>
      <c r="J777" s="236"/>
      <c r="K777" s="236"/>
      <c r="L777" s="236"/>
      <c r="M777" s="236"/>
      <c r="N777" s="236"/>
      <c r="O777" s="236"/>
      <c r="P777" s="236"/>
      <c r="Q777" s="236"/>
      <c r="R777" s="236"/>
      <c r="S777" s="236"/>
      <c r="T777" s="236"/>
      <c r="U777" s="236"/>
      <c r="V777" s="236"/>
      <c r="W777" s="237"/>
      <c r="X777" s="237"/>
      <c r="Y777" s="237"/>
      <c r="Z777" s="237"/>
      <c r="AA777" s="237"/>
      <c r="AB777" s="237"/>
      <c r="AC777" s="237"/>
      <c r="AD777" s="237"/>
      <c r="AE777" s="237"/>
      <c r="AF777" s="237"/>
      <c r="AG777" s="237"/>
      <c r="AH777" s="237"/>
      <c r="AI777" s="308"/>
      <c r="AJ777" s="308"/>
      <c r="AK777" s="308"/>
      <c r="AL777" s="308"/>
      <c r="AM777" s="308"/>
      <c r="AN777" s="98"/>
    </row>
    <row r="778" ht="14.25" customHeight="1">
      <c r="A778" s="179"/>
      <c r="B778" s="98"/>
      <c r="C778" s="98"/>
      <c r="D778" s="98"/>
      <c r="E778" s="98"/>
      <c r="F778" s="235"/>
      <c r="G778" s="235"/>
      <c r="H778" s="236"/>
      <c r="I778" s="236"/>
      <c r="J778" s="236"/>
      <c r="K778" s="236"/>
      <c r="L778" s="236"/>
      <c r="M778" s="236"/>
      <c r="N778" s="236"/>
      <c r="O778" s="236"/>
      <c r="P778" s="236"/>
      <c r="Q778" s="236"/>
      <c r="R778" s="236"/>
      <c r="S778" s="236"/>
      <c r="T778" s="236"/>
      <c r="U778" s="236"/>
      <c r="V778" s="236"/>
      <c r="W778" s="237"/>
      <c r="X778" s="237"/>
      <c r="Y778" s="237"/>
      <c r="Z778" s="237"/>
      <c r="AA778" s="237"/>
      <c r="AB778" s="237"/>
      <c r="AC778" s="237"/>
      <c r="AD778" s="237"/>
      <c r="AE778" s="237"/>
      <c r="AF778" s="237"/>
      <c r="AG778" s="237"/>
      <c r="AH778" s="237"/>
      <c r="AI778" s="308"/>
      <c r="AJ778" s="308"/>
      <c r="AK778" s="308"/>
      <c r="AL778" s="308"/>
      <c r="AM778" s="308"/>
      <c r="AN778" s="98"/>
    </row>
    <row r="779" ht="14.25" customHeight="1">
      <c r="A779" s="179"/>
      <c r="B779" s="98"/>
      <c r="C779" s="98"/>
      <c r="D779" s="98"/>
      <c r="E779" s="98"/>
      <c r="F779" s="235"/>
      <c r="G779" s="235"/>
      <c r="H779" s="236"/>
      <c r="I779" s="236"/>
      <c r="J779" s="236"/>
      <c r="K779" s="236"/>
      <c r="L779" s="236"/>
      <c r="M779" s="236"/>
      <c r="N779" s="236"/>
      <c r="O779" s="236"/>
      <c r="P779" s="236"/>
      <c r="Q779" s="236"/>
      <c r="R779" s="236"/>
      <c r="S779" s="236"/>
      <c r="T779" s="236"/>
      <c r="U779" s="236"/>
      <c r="V779" s="236"/>
      <c r="W779" s="237"/>
      <c r="X779" s="237"/>
      <c r="Y779" s="237"/>
      <c r="Z779" s="237"/>
      <c r="AA779" s="237"/>
      <c r="AB779" s="237"/>
      <c r="AC779" s="237"/>
      <c r="AD779" s="237"/>
      <c r="AE779" s="237"/>
      <c r="AF779" s="237"/>
      <c r="AG779" s="237"/>
      <c r="AH779" s="237"/>
      <c r="AI779" s="308"/>
      <c r="AJ779" s="308"/>
      <c r="AK779" s="308"/>
      <c r="AL779" s="308"/>
      <c r="AM779" s="308"/>
      <c r="AN779" s="98"/>
    </row>
    <row r="780" ht="14.25" customHeight="1">
      <c r="A780" s="179"/>
      <c r="B780" s="98"/>
      <c r="C780" s="98"/>
      <c r="D780" s="98"/>
      <c r="E780" s="98"/>
      <c r="F780" s="235"/>
      <c r="G780" s="235"/>
      <c r="H780" s="236"/>
      <c r="I780" s="236"/>
      <c r="J780" s="236"/>
      <c r="K780" s="236"/>
      <c r="L780" s="236"/>
      <c r="M780" s="236"/>
      <c r="N780" s="236"/>
      <c r="O780" s="236"/>
      <c r="P780" s="236"/>
      <c r="Q780" s="236"/>
      <c r="R780" s="236"/>
      <c r="S780" s="236"/>
      <c r="T780" s="236"/>
      <c r="U780" s="236"/>
      <c r="V780" s="236"/>
      <c r="W780" s="237"/>
      <c r="X780" s="237"/>
      <c r="Y780" s="237"/>
      <c r="Z780" s="237"/>
      <c r="AA780" s="237"/>
      <c r="AB780" s="237"/>
      <c r="AC780" s="237"/>
      <c r="AD780" s="237"/>
      <c r="AE780" s="237"/>
      <c r="AF780" s="237"/>
      <c r="AG780" s="237"/>
      <c r="AH780" s="237"/>
      <c r="AI780" s="308"/>
      <c r="AJ780" s="308"/>
      <c r="AK780" s="308"/>
      <c r="AL780" s="308"/>
      <c r="AM780" s="308"/>
      <c r="AN780" s="98"/>
    </row>
    <row r="781" ht="14.25" customHeight="1">
      <c r="A781" s="179"/>
      <c r="B781" s="98"/>
      <c r="C781" s="98"/>
      <c r="D781" s="98"/>
      <c r="E781" s="98"/>
      <c r="F781" s="235"/>
      <c r="G781" s="235"/>
      <c r="H781" s="236"/>
      <c r="I781" s="236"/>
      <c r="J781" s="236"/>
      <c r="K781" s="236"/>
      <c r="L781" s="236"/>
      <c r="M781" s="236"/>
      <c r="N781" s="236"/>
      <c r="O781" s="236"/>
      <c r="P781" s="236"/>
      <c r="Q781" s="236"/>
      <c r="R781" s="236"/>
      <c r="S781" s="236"/>
      <c r="T781" s="236"/>
      <c r="U781" s="236"/>
      <c r="V781" s="236"/>
      <c r="W781" s="237"/>
      <c r="X781" s="237"/>
      <c r="Y781" s="237"/>
      <c r="Z781" s="237"/>
      <c r="AA781" s="237"/>
      <c r="AB781" s="237"/>
      <c r="AC781" s="237"/>
      <c r="AD781" s="237"/>
      <c r="AE781" s="237"/>
      <c r="AF781" s="237"/>
      <c r="AG781" s="237"/>
      <c r="AH781" s="237"/>
      <c r="AI781" s="308"/>
      <c r="AJ781" s="308"/>
      <c r="AK781" s="308"/>
      <c r="AL781" s="308"/>
      <c r="AM781" s="308"/>
      <c r="AN781" s="98"/>
    </row>
    <row r="782" ht="14.25" customHeight="1">
      <c r="A782" s="179"/>
      <c r="B782" s="98"/>
      <c r="C782" s="98"/>
      <c r="D782" s="98"/>
      <c r="E782" s="98"/>
      <c r="F782" s="235"/>
      <c r="G782" s="235"/>
      <c r="H782" s="236"/>
      <c r="I782" s="236"/>
      <c r="J782" s="236"/>
      <c r="K782" s="236"/>
      <c r="L782" s="236"/>
      <c r="M782" s="236"/>
      <c r="N782" s="236"/>
      <c r="O782" s="236"/>
      <c r="P782" s="236"/>
      <c r="Q782" s="236"/>
      <c r="R782" s="236"/>
      <c r="S782" s="236"/>
      <c r="T782" s="236"/>
      <c r="U782" s="236"/>
      <c r="V782" s="236"/>
      <c r="W782" s="237"/>
      <c r="X782" s="237"/>
      <c r="Y782" s="237"/>
      <c r="Z782" s="237"/>
      <c r="AA782" s="237"/>
      <c r="AB782" s="237"/>
      <c r="AC782" s="237"/>
      <c r="AD782" s="237"/>
      <c r="AE782" s="237"/>
      <c r="AF782" s="237"/>
      <c r="AG782" s="237"/>
      <c r="AH782" s="237"/>
      <c r="AI782" s="308"/>
      <c r="AJ782" s="308"/>
      <c r="AK782" s="308"/>
      <c r="AL782" s="308"/>
      <c r="AM782" s="308"/>
      <c r="AN782" s="98"/>
    </row>
    <row r="783" ht="14.25" customHeight="1">
      <c r="A783" s="179"/>
      <c r="B783" s="98"/>
      <c r="C783" s="98"/>
      <c r="D783" s="98"/>
      <c r="E783" s="98"/>
      <c r="F783" s="235"/>
      <c r="G783" s="235"/>
      <c r="H783" s="236"/>
      <c r="I783" s="236"/>
      <c r="J783" s="236"/>
      <c r="K783" s="236"/>
      <c r="L783" s="236"/>
      <c r="M783" s="236"/>
      <c r="N783" s="236"/>
      <c r="O783" s="236"/>
      <c r="P783" s="236"/>
      <c r="Q783" s="236"/>
      <c r="R783" s="236"/>
      <c r="S783" s="236"/>
      <c r="T783" s="236"/>
      <c r="U783" s="236"/>
      <c r="V783" s="236"/>
      <c r="W783" s="237"/>
      <c r="X783" s="237"/>
      <c r="Y783" s="237"/>
      <c r="Z783" s="237"/>
      <c r="AA783" s="237"/>
      <c r="AB783" s="237"/>
      <c r="AC783" s="237"/>
      <c r="AD783" s="237"/>
      <c r="AE783" s="237"/>
      <c r="AF783" s="237"/>
      <c r="AG783" s="237"/>
      <c r="AH783" s="237"/>
      <c r="AI783" s="308"/>
      <c r="AJ783" s="308"/>
      <c r="AK783" s="308"/>
      <c r="AL783" s="308"/>
      <c r="AM783" s="308"/>
      <c r="AN783" s="98"/>
    </row>
    <row r="784" ht="14.25" customHeight="1">
      <c r="A784" s="179"/>
      <c r="B784" s="98"/>
      <c r="C784" s="98"/>
      <c r="D784" s="98"/>
      <c r="E784" s="98"/>
      <c r="F784" s="235"/>
      <c r="G784" s="235"/>
      <c r="H784" s="236"/>
      <c r="I784" s="236"/>
      <c r="J784" s="236"/>
      <c r="K784" s="236"/>
      <c r="L784" s="236"/>
      <c r="M784" s="236"/>
      <c r="N784" s="236"/>
      <c r="O784" s="236"/>
      <c r="P784" s="236"/>
      <c r="Q784" s="236"/>
      <c r="R784" s="236"/>
      <c r="S784" s="236"/>
      <c r="T784" s="236"/>
      <c r="U784" s="236"/>
      <c r="V784" s="236"/>
      <c r="W784" s="237"/>
      <c r="X784" s="237"/>
      <c r="Y784" s="237"/>
      <c r="Z784" s="237"/>
      <c r="AA784" s="237"/>
      <c r="AB784" s="237"/>
      <c r="AC784" s="237"/>
      <c r="AD784" s="237"/>
      <c r="AE784" s="237"/>
      <c r="AF784" s="237"/>
      <c r="AG784" s="237"/>
      <c r="AH784" s="237"/>
      <c r="AI784" s="308"/>
      <c r="AJ784" s="308"/>
      <c r="AK784" s="308"/>
      <c r="AL784" s="308"/>
      <c r="AM784" s="308"/>
      <c r="AN784" s="98"/>
    </row>
    <row r="785" ht="14.25" customHeight="1">
      <c r="A785" s="179"/>
      <c r="B785" s="98"/>
      <c r="C785" s="98"/>
      <c r="D785" s="98"/>
      <c r="E785" s="98"/>
      <c r="F785" s="235"/>
      <c r="G785" s="235"/>
      <c r="H785" s="236"/>
      <c r="I785" s="236"/>
      <c r="J785" s="236"/>
      <c r="K785" s="236"/>
      <c r="L785" s="236"/>
      <c r="M785" s="236"/>
      <c r="N785" s="236"/>
      <c r="O785" s="236"/>
      <c r="P785" s="236"/>
      <c r="Q785" s="236"/>
      <c r="R785" s="236"/>
      <c r="S785" s="236"/>
      <c r="T785" s="236"/>
      <c r="U785" s="236"/>
      <c r="V785" s="236"/>
      <c r="W785" s="237"/>
      <c r="X785" s="237"/>
      <c r="Y785" s="237"/>
      <c r="Z785" s="237"/>
      <c r="AA785" s="237"/>
      <c r="AB785" s="237"/>
      <c r="AC785" s="237"/>
      <c r="AD785" s="237"/>
      <c r="AE785" s="237"/>
      <c r="AF785" s="237"/>
      <c r="AG785" s="237"/>
      <c r="AH785" s="237"/>
      <c r="AI785" s="308"/>
      <c r="AJ785" s="308"/>
      <c r="AK785" s="308"/>
      <c r="AL785" s="308"/>
      <c r="AM785" s="308"/>
      <c r="AN785" s="98"/>
    </row>
    <row r="786" ht="14.25" customHeight="1">
      <c r="A786" s="179"/>
      <c r="B786" s="98"/>
      <c r="C786" s="98"/>
      <c r="D786" s="98"/>
      <c r="E786" s="98"/>
      <c r="F786" s="235"/>
      <c r="G786" s="235"/>
      <c r="H786" s="236"/>
      <c r="I786" s="236"/>
      <c r="J786" s="236"/>
      <c r="K786" s="236"/>
      <c r="L786" s="236"/>
      <c r="M786" s="236"/>
      <c r="N786" s="236"/>
      <c r="O786" s="236"/>
      <c r="P786" s="236"/>
      <c r="Q786" s="236"/>
      <c r="R786" s="236"/>
      <c r="S786" s="236"/>
      <c r="T786" s="236"/>
      <c r="U786" s="236"/>
      <c r="V786" s="236"/>
      <c r="W786" s="237"/>
      <c r="X786" s="237"/>
      <c r="Y786" s="237"/>
      <c r="Z786" s="237"/>
      <c r="AA786" s="237"/>
      <c r="AB786" s="237"/>
      <c r="AC786" s="237"/>
      <c r="AD786" s="237"/>
      <c r="AE786" s="237"/>
      <c r="AF786" s="237"/>
      <c r="AG786" s="237"/>
      <c r="AH786" s="237"/>
      <c r="AI786" s="308"/>
      <c r="AJ786" s="308"/>
      <c r="AK786" s="308"/>
      <c r="AL786" s="308"/>
      <c r="AM786" s="308"/>
      <c r="AN786" s="98"/>
    </row>
    <row r="787" ht="14.25" customHeight="1">
      <c r="A787" s="179"/>
      <c r="B787" s="98"/>
      <c r="C787" s="98"/>
      <c r="D787" s="98"/>
      <c r="E787" s="98"/>
      <c r="F787" s="235"/>
      <c r="G787" s="235"/>
      <c r="H787" s="236"/>
      <c r="I787" s="236"/>
      <c r="J787" s="236"/>
      <c r="K787" s="236"/>
      <c r="L787" s="236"/>
      <c r="M787" s="236"/>
      <c r="N787" s="236"/>
      <c r="O787" s="236"/>
      <c r="P787" s="236"/>
      <c r="Q787" s="236"/>
      <c r="R787" s="236"/>
      <c r="S787" s="236"/>
      <c r="T787" s="236"/>
      <c r="U787" s="236"/>
      <c r="V787" s="236"/>
      <c r="W787" s="237"/>
      <c r="X787" s="237"/>
      <c r="Y787" s="237"/>
      <c r="Z787" s="237"/>
      <c r="AA787" s="237"/>
      <c r="AB787" s="237"/>
      <c r="AC787" s="237"/>
      <c r="AD787" s="237"/>
      <c r="AE787" s="237"/>
      <c r="AF787" s="237"/>
      <c r="AG787" s="237"/>
      <c r="AH787" s="237"/>
      <c r="AI787" s="308"/>
      <c r="AJ787" s="308"/>
      <c r="AK787" s="308"/>
      <c r="AL787" s="308"/>
      <c r="AM787" s="308"/>
      <c r="AN787" s="98"/>
    </row>
    <row r="788" ht="14.25" customHeight="1">
      <c r="A788" s="179"/>
      <c r="B788" s="98"/>
      <c r="C788" s="98"/>
      <c r="D788" s="98"/>
      <c r="E788" s="98"/>
      <c r="F788" s="235"/>
      <c r="G788" s="235"/>
      <c r="H788" s="236"/>
      <c r="I788" s="236"/>
      <c r="J788" s="236"/>
      <c r="K788" s="236"/>
      <c r="L788" s="236"/>
      <c r="M788" s="236"/>
      <c r="N788" s="236"/>
      <c r="O788" s="236"/>
      <c r="P788" s="236"/>
      <c r="Q788" s="236"/>
      <c r="R788" s="236"/>
      <c r="S788" s="236"/>
      <c r="T788" s="236"/>
      <c r="U788" s="236"/>
      <c r="V788" s="236"/>
      <c r="W788" s="237"/>
      <c r="X788" s="237"/>
      <c r="Y788" s="237"/>
      <c r="Z788" s="237"/>
      <c r="AA788" s="237"/>
      <c r="AB788" s="237"/>
      <c r="AC788" s="237"/>
      <c r="AD788" s="237"/>
      <c r="AE788" s="237"/>
      <c r="AF788" s="237"/>
      <c r="AG788" s="237"/>
      <c r="AH788" s="237"/>
      <c r="AI788" s="308"/>
      <c r="AJ788" s="308"/>
      <c r="AK788" s="308"/>
      <c r="AL788" s="308"/>
      <c r="AM788" s="308"/>
      <c r="AN788" s="98"/>
    </row>
    <row r="789" ht="14.25" customHeight="1">
      <c r="A789" s="179"/>
      <c r="B789" s="98"/>
      <c r="C789" s="98"/>
      <c r="D789" s="98"/>
      <c r="E789" s="98"/>
      <c r="F789" s="235"/>
      <c r="G789" s="235"/>
      <c r="H789" s="236"/>
      <c r="I789" s="236"/>
      <c r="J789" s="236"/>
      <c r="K789" s="236"/>
      <c r="L789" s="236"/>
      <c r="M789" s="236"/>
      <c r="N789" s="236"/>
      <c r="O789" s="236"/>
      <c r="P789" s="236"/>
      <c r="Q789" s="236"/>
      <c r="R789" s="236"/>
      <c r="S789" s="236"/>
      <c r="T789" s="236"/>
      <c r="U789" s="236"/>
      <c r="V789" s="236"/>
      <c r="W789" s="237"/>
      <c r="X789" s="237"/>
      <c r="Y789" s="237"/>
      <c r="Z789" s="237"/>
      <c r="AA789" s="237"/>
      <c r="AB789" s="237"/>
      <c r="AC789" s="237"/>
      <c r="AD789" s="237"/>
      <c r="AE789" s="237"/>
      <c r="AF789" s="237"/>
      <c r="AG789" s="237"/>
      <c r="AH789" s="237"/>
      <c r="AI789" s="308"/>
      <c r="AJ789" s="308"/>
      <c r="AK789" s="308"/>
      <c r="AL789" s="308"/>
      <c r="AM789" s="308"/>
      <c r="AN789" s="98"/>
    </row>
    <row r="790" ht="14.25" customHeight="1">
      <c r="A790" s="179"/>
      <c r="B790" s="98"/>
      <c r="C790" s="98"/>
      <c r="D790" s="98"/>
      <c r="E790" s="98"/>
      <c r="F790" s="235"/>
      <c r="G790" s="235"/>
      <c r="H790" s="236"/>
      <c r="I790" s="236"/>
      <c r="J790" s="236"/>
      <c r="K790" s="236"/>
      <c r="L790" s="236"/>
      <c r="M790" s="236"/>
      <c r="N790" s="236"/>
      <c r="O790" s="236"/>
      <c r="P790" s="236"/>
      <c r="Q790" s="236"/>
      <c r="R790" s="236"/>
      <c r="S790" s="236"/>
      <c r="T790" s="236"/>
      <c r="U790" s="236"/>
      <c r="V790" s="236"/>
      <c r="W790" s="237"/>
      <c r="X790" s="237"/>
      <c r="Y790" s="237"/>
      <c r="Z790" s="237"/>
      <c r="AA790" s="237"/>
      <c r="AB790" s="237"/>
      <c r="AC790" s="237"/>
      <c r="AD790" s="237"/>
      <c r="AE790" s="237"/>
      <c r="AF790" s="237"/>
      <c r="AG790" s="237"/>
      <c r="AH790" s="237"/>
      <c r="AI790" s="308"/>
      <c r="AJ790" s="308"/>
      <c r="AK790" s="308"/>
      <c r="AL790" s="308"/>
      <c r="AM790" s="308"/>
      <c r="AN790" s="98"/>
    </row>
    <row r="791" ht="14.25" customHeight="1">
      <c r="A791" s="179"/>
      <c r="B791" s="98"/>
      <c r="C791" s="98"/>
      <c r="D791" s="98"/>
      <c r="E791" s="98"/>
      <c r="F791" s="235"/>
      <c r="G791" s="235"/>
      <c r="H791" s="236"/>
      <c r="I791" s="236"/>
      <c r="J791" s="236"/>
      <c r="K791" s="236"/>
      <c r="L791" s="236"/>
      <c r="M791" s="236"/>
      <c r="N791" s="236"/>
      <c r="O791" s="236"/>
      <c r="P791" s="236"/>
      <c r="Q791" s="236"/>
      <c r="R791" s="236"/>
      <c r="S791" s="236"/>
      <c r="T791" s="236"/>
      <c r="U791" s="236"/>
      <c r="V791" s="236"/>
      <c r="W791" s="237"/>
      <c r="X791" s="237"/>
      <c r="Y791" s="237"/>
      <c r="Z791" s="237"/>
      <c r="AA791" s="237"/>
      <c r="AB791" s="237"/>
      <c r="AC791" s="237"/>
      <c r="AD791" s="237"/>
      <c r="AE791" s="237"/>
      <c r="AF791" s="237"/>
      <c r="AG791" s="237"/>
      <c r="AH791" s="237"/>
      <c r="AI791" s="308"/>
      <c r="AJ791" s="308"/>
      <c r="AK791" s="308"/>
      <c r="AL791" s="308"/>
      <c r="AM791" s="308"/>
      <c r="AN791" s="98"/>
    </row>
    <row r="792" ht="14.25" customHeight="1">
      <c r="A792" s="179"/>
      <c r="B792" s="98"/>
      <c r="C792" s="98"/>
      <c r="D792" s="98"/>
      <c r="E792" s="98"/>
      <c r="F792" s="235"/>
      <c r="G792" s="235"/>
      <c r="H792" s="236"/>
      <c r="I792" s="236"/>
      <c r="J792" s="236"/>
      <c r="K792" s="236"/>
      <c r="L792" s="236"/>
      <c r="M792" s="236"/>
      <c r="N792" s="236"/>
      <c r="O792" s="236"/>
      <c r="P792" s="236"/>
      <c r="Q792" s="236"/>
      <c r="R792" s="236"/>
      <c r="S792" s="236"/>
      <c r="T792" s="236"/>
      <c r="U792" s="236"/>
      <c r="V792" s="236"/>
      <c r="W792" s="237"/>
      <c r="X792" s="237"/>
      <c r="Y792" s="237"/>
      <c r="Z792" s="237"/>
      <c r="AA792" s="237"/>
      <c r="AB792" s="237"/>
      <c r="AC792" s="237"/>
      <c r="AD792" s="237"/>
      <c r="AE792" s="237"/>
      <c r="AF792" s="237"/>
      <c r="AG792" s="237"/>
      <c r="AH792" s="237"/>
      <c r="AI792" s="308"/>
      <c r="AJ792" s="308"/>
      <c r="AK792" s="308"/>
      <c r="AL792" s="308"/>
      <c r="AM792" s="308"/>
      <c r="AN792" s="98"/>
    </row>
    <row r="793" ht="14.25" customHeight="1">
      <c r="A793" s="179"/>
      <c r="B793" s="98"/>
      <c r="C793" s="98"/>
      <c r="D793" s="98"/>
      <c r="E793" s="98"/>
      <c r="F793" s="235"/>
      <c r="G793" s="235"/>
      <c r="H793" s="236"/>
      <c r="I793" s="236"/>
      <c r="J793" s="236"/>
      <c r="K793" s="236"/>
      <c r="L793" s="236"/>
      <c r="M793" s="236"/>
      <c r="N793" s="236"/>
      <c r="O793" s="236"/>
      <c r="P793" s="236"/>
      <c r="Q793" s="236"/>
      <c r="R793" s="236"/>
      <c r="S793" s="236"/>
      <c r="T793" s="236"/>
      <c r="U793" s="236"/>
      <c r="V793" s="236"/>
      <c r="W793" s="237"/>
      <c r="X793" s="237"/>
      <c r="Y793" s="237"/>
      <c r="Z793" s="237"/>
      <c r="AA793" s="237"/>
      <c r="AB793" s="237"/>
      <c r="AC793" s="237"/>
      <c r="AD793" s="237"/>
      <c r="AE793" s="237"/>
      <c r="AF793" s="237"/>
      <c r="AG793" s="237"/>
      <c r="AH793" s="237"/>
      <c r="AI793" s="308"/>
      <c r="AJ793" s="308"/>
      <c r="AK793" s="308"/>
      <c r="AL793" s="308"/>
      <c r="AM793" s="308"/>
      <c r="AN793" s="98"/>
    </row>
    <row r="794" ht="14.25" customHeight="1">
      <c r="A794" s="179"/>
      <c r="B794" s="98"/>
      <c r="C794" s="98"/>
      <c r="D794" s="98"/>
      <c r="E794" s="98"/>
      <c r="F794" s="235"/>
      <c r="G794" s="235"/>
      <c r="H794" s="236"/>
      <c r="I794" s="236"/>
      <c r="J794" s="236"/>
      <c r="K794" s="236"/>
      <c r="L794" s="236"/>
      <c r="M794" s="236"/>
      <c r="N794" s="236"/>
      <c r="O794" s="236"/>
      <c r="P794" s="236"/>
      <c r="Q794" s="236"/>
      <c r="R794" s="236"/>
      <c r="S794" s="236"/>
      <c r="T794" s="236"/>
      <c r="U794" s="236"/>
      <c r="V794" s="236"/>
      <c r="W794" s="237"/>
      <c r="X794" s="237"/>
      <c r="Y794" s="237"/>
      <c r="Z794" s="237"/>
      <c r="AA794" s="237"/>
      <c r="AB794" s="237"/>
      <c r="AC794" s="237"/>
      <c r="AD794" s="237"/>
      <c r="AE794" s="237"/>
      <c r="AF794" s="237"/>
      <c r="AG794" s="237"/>
      <c r="AH794" s="237"/>
      <c r="AI794" s="308"/>
      <c r="AJ794" s="308"/>
      <c r="AK794" s="308"/>
      <c r="AL794" s="308"/>
      <c r="AM794" s="308"/>
      <c r="AN794" s="98"/>
    </row>
    <row r="795" ht="14.25" customHeight="1">
      <c r="A795" s="179"/>
      <c r="B795" s="98"/>
      <c r="C795" s="98"/>
      <c r="D795" s="98"/>
      <c r="E795" s="98"/>
      <c r="F795" s="235"/>
      <c r="G795" s="235"/>
      <c r="H795" s="236"/>
      <c r="I795" s="236"/>
      <c r="J795" s="236"/>
      <c r="K795" s="236"/>
      <c r="L795" s="236"/>
      <c r="M795" s="236"/>
      <c r="N795" s="236"/>
      <c r="O795" s="236"/>
      <c r="P795" s="236"/>
      <c r="Q795" s="236"/>
      <c r="R795" s="236"/>
      <c r="S795" s="236"/>
      <c r="T795" s="236"/>
      <c r="U795" s="236"/>
      <c r="V795" s="236"/>
      <c r="W795" s="237"/>
      <c r="X795" s="237"/>
      <c r="Y795" s="237"/>
      <c r="Z795" s="237"/>
      <c r="AA795" s="237"/>
      <c r="AB795" s="237"/>
      <c r="AC795" s="237"/>
      <c r="AD795" s="237"/>
      <c r="AE795" s="237"/>
      <c r="AF795" s="237"/>
      <c r="AG795" s="237"/>
      <c r="AH795" s="237"/>
      <c r="AI795" s="308"/>
      <c r="AJ795" s="308"/>
      <c r="AK795" s="308"/>
      <c r="AL795" s="308"/>
      <c r="AM795" s="308"/>
      <c r="AN795" s="98"/>
    </row>
    <row r="796" ht="14.25" customHeight="1">
      <c r="A796" s="179"/>
      <c r="B796" s="98"/>
      <c r="C796" s="98"/>
      <c r="D796" s="98"/>
      <c r="E796" s="98"/>
      <c r="F796" s="235"/>
      <c r="G796" s="235"/>
      <c r="H796" s="236"/>
      <c r="I796" s="236"/>
      <c r="J796" s="236"/>
      <c r="K796" s="236"/>
      <c r="L796" s="236"/>
      <c r="M796" s="236"/>
      <c r="N796" s="236"/>
      <c r="O796" s="236"/>
      <c r="P796" s="236"/>
      <c r="Q796" s="236"/>
      <c r="R796" s="236"/>
      <c r="S796" s="236"/>
      <c r="T796" s="236"/>
      <c r="U796" s="236"/>
      <c r="V796" s="236"/>
      <c r="W796" s="237"/>
      <c r="X796" s="237"/>
      <c r="Y796" s="237"/>
      <c r="Z796" s="237"/>
      <c r="AA796" s="237"/>
      <c r="AB796" s="237"/>
      <c r="AC796" s="237"/>
      <c r="AD796" s="237"/>
      <c r="AE796" s="237"/>
      <c r="AF796" s="237"/>
      <c r="AG796" s="237"/>
      <c r="AH796" s="237"/>
      <c r="AI796" s="308"/>
      <c r="AJ796" s="308"/>
      <c r="AK796" s="308"/>
      <c r="AL796" s="308"/>
      <c r="AM796" s="308"/>
      <c r="AN796" s="98"/>
    </row>
    <row r="797" ht="14.25" customHeight="1">
      <c r="A797" s="179"/>
      <c r="B797" s="98"/>
      <c r="C797" s="98"/>
      <c r="D797" s="98"/>
      <c r="E797" s="98"/>
      <c r="F797" s="235"/>
      <c r="G797" s="235"/>
      <c r="H797" s="236"/>
      <c r="I797" s="236"/>
      <c r="J797" s="236"/>
      <c r="K797" s="236"/>
      <c r="L797" s="236"/>
      <c r="M797" s="236"/>
      <c r="N797" s="236"/>
      <c r="O797" s="236"/>
      <c r="P797" s="236"/>
      <c r="Q797" s="236"/>
      <c r="R797" s="236"/>
      <c r="S797" s="236"/>
      <c r="T797" s="236"/>
      <c r="U797" s="236"/>
      <c r="V797" s="236"/>
      <c r="W797" s="237"/>
      <c r="X797" s="237"/>
      <c r="Y797" s="237"/>
      <c r="Z797" s="237"/>
      <c r="AA797" s="237"/>
      <c r="AB797" s="237"/>
      <c r="AC797" s="237"/>
      <c r="AD797" s="237"/>
      <c r="AE797" s="237"/>
      <c r="AF797" s="237"/>
      <c r="AG797" s="237"/>
      <c r="AH797" s="237"/>
      <c r="AI797" s="308"/>
      <c r="AJ797" s="308"/>
      <c r="AK797" s="308"/>
      <c r="AL797" s="308"/>
      <c r="AM797" s="308"/>
      <c r="AN797" s="98"/>
    </row>
    <row r="798" ht="14.25" customHeight="1">
      <c r="A798" s="179"/>
      <c r="B798" s="98"/>
      <c r="C798" s="98"/>
      <c r="D798" s="98"/>
      <c r="E798" s="98"/>
      <c r="F798" s="235"/>
      <c r="G798" s="235"/>
      <c r="H798" s="236"/>
      <c r="I798" s="236"/>
      <c r="J798" s="236"/>
      <c r="K798" s="236"/>
      <c r="L798" s="236"/>
      <c r="M798" s="236"/>
      <c r="N798" s="236"/>
      <c r="O798" s="236"/>
      <c r="P798" s="236"/>
      <c r="Q798" s="236"/>
      <c r="R798" s="236"/>
      <c r="S798" s="236"/>
      <c r="T798" s="236"/>
      <c r="U798" s="236"/>
      <c r="V798" s="236"/>
      <c r="W798" s="237"/>
      <c r="X798" s="237"/>
      <c r="Y798" s="237"/>
      <c r="Z798" s="237"/>
      <c r="AA798" s="237"/>
      <c r="AB798" s="237"/>
      <c r="AC798" s="237"/>
      <c r="AD798" s="237"/>
      <c r="AE798" s="237"/>
      <c r="AF798" s="237"/>
      <c r="AG798" s="237"/>
      <c r="AH798" s="237"/>
      <c r="AI798" s="308"/>
      <c r="AJ798" s="308"/>
      <c r="AK798" s="308"/>
      <c r="AL798" s="308"/>
      <c r="AM798" s="308"/>
      <c r="AN798" s="98"/>
    </row>
    <row r="799" ht="14.25" customHeight="1">
      <c r="A799" s="179"/>
      <c r="B799" s="98"/>
      <c r="C799" s="98"/>
      <c r="D799" s="98"/>
      <c r="E799" s="98"/>
      <c r="F799" s="235"/>
      <c r="G799" s="235"/>
      <c r="H799" s="236"/>
      <c r="I799" s="236"/>
      <c r="J799" s="236"/>
      <c r="K799" s="236"/>
      <c r="L799" s="236"/>
      <c r="M799" s="236"/>
      <c r="N799" s="236"/>
      <c r="O799" s="236"/>
      <c r="P799" s="236"/>
      <c r="Q799" s="236"/>
      <c r="R799" s="236"/>
      <c r="S799" s="236"/>
      <c r="T799" s="236"/>
      <c r="U799" s="236"/>
      <c r="V799" s="236"/>
      <c r="W799" s="237"/>
      <c r="X799" s="237"/>
      <c r="Y799" s="237"/>
      <c r="Z799" s="237"/>
      <c r="AA799" s="237"/>
      <c r="AB799" s="237"/>
      <c r="AC799" s="237"/>
      <c r="AD799" s="237"/>
      <c r="AE799" s="237"/>
      <c r="AF799" s="237"/>
      <c r="AG799" s="237"/>
      <c r="AH799" s="237"/>
      <c r="AI799" s="308"/>
      <c r="AJ799" s="308"/>
      <c r="AK799" s="308"/>
      <c r="AL799" s="308"/>
      <c r="AM799" s="308"/>
      <c r="AN799" s="98"/>
    </row>
    <row r="800" ht="14.25" customHeight="1">
      <c r="A800" s="179"/>
      <c r="B800" s="98"/>
      <c r="C800" s="98"/>
      <c r="D800" s="98"/>
      <c r="E800" s="98"/>
      <c r="F800" s="235"/>
      <c r="G800" s="235"/>
      <c r="H800" s="236"/>
      <c r="I800" s="236"/>
      <c r="J800" s="236"/>
      <c r="K800" s="236"/>
      <c r="L800" s="236"/>
      <c r="M800" s="236"/>
      <c r="N800" s="236"/>
      <c r="O800" s="236"/>
      <c r="P800" s="236"/>
      <c r="Q800" s="236"/>
      <c r="R800" s="236"/>
      <c r="S800" s="236"/>
      <c r="T800" s="236"/>
      <c r="U800" s="236"/>
      <c r="V800" s="236"/>
      <c r="W800" s="237"/>
      <c r="X800" s="237"/>
      <c r="Y800" s="237"/>
      <c r="Z800" s="237"/>
      <c r="AA800" s="237"/>
      <c r="AB800" s="237"/>
      <c r="AC800" s="237"/>
      <c r="AD800" s="237"/>
      <c r="AE800" s="237"/>
      <c r="AF800" s="237"/>
      <c r="AG800" s="237"/>
      <c r="AH800" s="237"/>
      <c r="AI800" s="308"/>
      <c r="AJ800" s="308"/>
      <c r="AK800" s="308"/>
      <c r="AL800" s="308"/>
      <c r="AM800" s="308"/>
      <c r="AN800" s="98"/>
    </row>
    <row r="801" ht="14.25" customHeight="1">
      <c r="A801" s="179"/>
      <c r="B801" s="98"/>
      <c r="C801" s="98"/>
      <c r="D801" s="98"/>
      <c r="E801" s="98"/>
      <c r="F801" s="235"/>
      <c r="G801" s="235"/>
      <c r="H801" s="236"/>
      <c r="I801" s="236"/>
      <c r="J801" s="236"/>
      <c r="K801" s="236"/>
      <c r="L801" s="236"/>
      <c r="M801" s="236"/>
      <c r="N801" s="236"/>
      <c r="O801" s="236"/>
      <c r="P801" s="236"/>
      <c r="Q801" s="236"/>
      <c r="R801" s="236"/>
      <c r="S801" s="236"/>
      <c r="T801" s="236"/>
      <c r="U801" s="236"/>
      <c r="V801" s="236"/>
      <c r="W801" s="237"/>
      <c r="X801" s="237"/>
      <c r="Y801" s="237"/>
      <c r="Z801" s="237"/>
      <c r="AA801" s="237"/>
      <c r="AB801" s="237"/>
      <c r="AC801" s="237"/>
      <c r="AD801" s="237"/>
      <c r="AE801" s="237"/>
      <c r="AF801" s="237"/>
      <c r="AG801" s="237"/>
      <c r="AH801" s="237"/>
      <c r="AI801" s="308"/>
      <c r="AJ801" s="308"/>
      <c r="AK801" s="308"/>
      <c r="AL801" s="308"/>
      <c r="AM801" s="308"/>
      <c r="AN801" s="98"/>
    </row>
    <row r="802" ht="14.25" customHeight="1">
      <c r="A802" s="179"/>
      <c r="B802" s="98"/>
      <c r="C802" s="98"/>
      <c r="D802" s="98"/>
      <c r="E802" s="98"/>
      <c r="F802" s="235"/>
      <c r="G802" s="235"/>
      <c r="H802" s="236"/>
      <c r="I802" s="236"/>
      <c r="J802" s="236"/>
      <c r="K802" s="236"/>
      <c r="L802" s="236"/>
      <c r="M802" s="236"/>
      <c r="N802" s="236"/>
      <c r="O802" s="236"/>
      <c r="P802" s="236"/>
      <c r="Q802" s="236"/>
      <c r="R802" s="236"/>
      <c r="S802" s="236"/>
      <c r="T802" s="236"/>
      <c r="U802" s="236"/>
      <c r="V802" s="236"/>
      <c r="W802" s="237"/>
      <c r="X802" s="237"/>
      <c r="Y802" s="237"/>
      <c r="Z802" s="237"/>
      <c r="AA802" s="237"/>
      <c r="AB802" s="237"/>
      <c r="AC802" s="237"/>
      <c r="AD802" s="237"/>
      <c r="AE802" s="237"/>
      <c r="AF802" s="237"/>
      <c r="AG802" s="237"/>
      <c r="AH802" s="237"/>
      <c r="AI802" s="308"/>
      <c r="AJ802" s="308"/>
      <c r="AK802" s="308"/>
      <c r="AL802" s="308"/>
      <c r="AM802" s="308"/>
      <c r="AN802" s="98"/>
    </row>
    <row r="803" ht="14.25" customHeight="1">
      <c r="A803" s="179"/>
      <c r="B803" s="98"/>
      <c r="C803" s="98"/>
      <c r="D803" s="98"/>
      <c r="E803" s="98"/>
      <c r="F803" s="235"/>
      <c r="G803" s="235"/>
      <c r="H803" s="236"/>
      <c r="I803" s="236"/>
      <c r="J803" s="236"/>
      <c r="K803" s="236"/>
      <c r="L803" s="236"/>
      <c r="M803" s="236"/>
      <c r="N803" s="236"/>
      <c r="O803" s="236"/>
      <c r="P803" s="236"/>
      <c r="Q803" s="236"/>
      <c r="R803" s="236"/>
      <c r="S803" s="236"/>
      <c r="T803" s="236"/>
      <c r="U803" s="236"/>
      <c r="V803" s="236"/>
      <c r="W803" s="237"/>
      <c r="X803" s="237"/>
      <c r="Y803" s="237"/>
      <c r="Z803" s="237"/>
      <c r="AA803" s="237"/>
      <c r="AB803" s="237"/>
      <c r="AC803" s="237"/>
      <c r="AD803" s="237"/>
      <c r="AE803" s="237"/>
      <c r="AF803" s="237"/>
      <c r="AG803" s="237"/>
      <c r="AH803" s="237"/>
      <c r="AI803" s="308"/>
      <c r="AJ803" s="308"/>
      <c r="AK803" s="308"/>
      <c r="AL803" s="308"/>
      <c r="AM803" s="308"/>
      <c r="AN803" s="98"/>
    </row>
    <row r="804" ht="14.25" customHeight="1">
      <c r="A804" s="179"/>
      <c r="B804" s="98"/>
      <c r="C804" s="98"/>
      <c r="D804" s="98"/>
      <c r="E804" s="98"/>
      <c r="F804" s="235"/>
      <c r="G804" s="235"/>
      <c r="H804" s="236"/>
      <c r="I804" s="236"/>
      <c r="J804" s="236"/>
      <c r="K804" s="236"/>
      <c r="L804" s="236"/>
      <c r="M804" s="236"/>
      <c r="N804" s="236"/>
      <c r="O804" s="236"/>
      <c r="P804" s="236"/>
      <c r="Q804" s="236"/>
      <c r="R804" s="236"/>
      <c r="S804" s="236"/>
      <c r="T804" s="236"/>
      <c r="U804" s="236"/>
      <c r="V804" s="236"/>
      <c r="W804" s="237"/>
      <c r="X804" s="237"/>
      <c r="Y804" s="237"/>
      <c r="Z804" s="237"/>
      <c r="AA804" s="237"/>
      <c r="AB804" s="237"/>
      <c r="AC804" s="237"/>
      <c r="AD804" s="237"/>
      <c r="AE804" s="237"/>
      <c r="AF804" s="237"/>
      <c r="AG804" s="237"/>
      <c r="AH804" s="237"/>
      <c r="AI804" s="308"/>
      <c r="AJ804" s="308"/>
      <c r="AK804" s="308"/>
      <c r="AL804" s="308"/>
      <c r="AM804" s="308"/>
      <c r="AN804" s="98"/>
    </row>
    <row r="805" ht="14.25" customHeight="1">
      <c r="A805" s="179"/>
      <c r="B805" s="98"/>
      <c r="C805" s="98"/>
      <c r="D805" s="98"/>
      <c r="E805" s="98"/>
      <c r="F805" s="235"/>
      <c r="G805" s="235"/>
      <c r="H805" s="236"/>
      <c r="I805" s="236"/>
      <c r="J805" s="236"/>
      <c r="K805" s="236"/>
      <c r="L805" s="236"/>
      <c r="M805" s="236"/>
      <c r="N805" s="236"/>
      <c r="O805" s="236"/>
      <c r="P805" s="236"/>
      <c r="Q805" s="236"/>
      <c r="R805" s="236"/>
      <c r="S805" s="236"/>
      <c r="T805" s="236"/>
      <c r="U805" s="236"/>
      <c r="V805" s="236"/>
      <c r="W805" s="237"/>
      <c r="X805" s="237"/>
      <c r="Y805" s="237"/>
      <c r="Z805" s="237"/>
      <c r="AA805" s="237"/>
      <c r="AB805" s="237"/>
      <c r="AC805" s="237"/>
      <c r="AD805" s="237"/>
      <c r="AE805" s="237"/>
      <c r="AF805" s="237"/>
      <c r="AG805" s="237"/>
      <c r="AH805" s="237"/>
      <c r="AI805" s="308"/>
      <c r="AJ805" s="308"/>
      <c r="AK805" s="308"/>
      <c r="AL805" s="308"/>
      <c r="AM805" s="308"/>
      <c r="AN805" s="98"/>
    </row>
    <row r="806" ht="14.25" customHeight="1">
      <c r="A806" s="179"/>
      <c r="B806" s="98"/>
      <c r="C806" s="98"/>
      <c r="D806" s="98"/>
      <c r="E806" s="98"/>
      <c r="F806" s="235"/>
      <c r="G806" s="235"/>
      <c r="H806" s="236"/>
      <c r="I806" s="236"/>
      <c r="J806" s="236"/>
      <c r="K806" s="236"/>
      <c r="L806" s="236"/>
      <c r="M806" s="236"/>
      <c r="N806" s="236"/>
      <c r="O806" s="236"/>
      <c r="P806" s="236"/>
      <c r="Q806" s="236"/>
      <c r="R806" s="236"/>
      <c r="S806" s="236"/>
      <c r="T806" s="236"/>
      <c r="U806" s="236"/>
      <c r="V806" s="236"/>
      <c r="W806" s="237"/>
      <c r="X806" s="237"/>
      <c r="Y806" s="237"/>
      <c r="Z806" s="237"/>
      <c r="AA806" s="237"/>
      <c r="AB806" s="237"/>
      <c r="AC806" s="237"/>
      <c r="AD806" s="237"/>
      <c r="AE806" s="237"/>
      <c r="AF806" s="237"/>
      <c r="AG806" s="237"/>
      <c r="AH806" s="237"/>
      <c r="AI806" s="308"/>
      <c r="AJ806" s="308"/>
      <c r="AK806" s="308"/>
      <c r="AL806" s="308"/>
      <c r="AM806" s="308"/>
      <c r="AN806" s="98"/>
    </row>
    <row r="807" ht="14.25" customHeight="1">
      <c r="A807" s="179"/>
      <c r="B807" s="98"/>
      <c r="C807" s="98"/>
      <c r="D807" s="98"/>
      <c r="E807" s="98"/>
      <c r="F807" s="235"/>
      <c r="G807" s="235"/>
      <c r="H807" s="236"/>
      <c r="I807" s="236"/>
      <c r="J807" s="236"/>
      <c r="K807" s="236"/>
      <c r="L807" s="236"/>
      <c r="M807" s="236"/>
      <c r="N807" s="236"/>
      <c r="O807" s="236"/>
      <c r="P807" s="236"/>
      <c r="Q807" s="236"/>
      <c r="R807" s="236"/>
      <c r="S807" s="236"/>
      <c r="T807" s="236"/>
      <c r="U807" s="236"/>
      <c r="V807" s="236"/>
      <c r="W807" s="237"/>
      <c r="X807" s="237"/>
      <c r="Y807" s="237"/>
      <c r="Z807" s="237"/>
      <c r="AA807" s="237"/>
      <c r="AB807" s="237"/>
      <c r="AC807" s="237"/>
      <c r="AD807" s="237"/>
      <c r="AE807" s="237"/>
      <c r="AF807" s="237"/>
      <c r="AG807" s="237"/>
      <c r="AH807" s="237"/>
      <c r="AI807" s="308"/>
      <c r="AJ807" s="308"/>
      <c r="AK807" s="308"/>
      <c r="AL807" s="308"/>
      <c r="AM807" s="308"/>
      <c r="AN807" s="98"/>
    </row>
    <row r="808" ht="14.25" customHeight="1">
      <c r="A808" s="179"/>
      <c r="B808" s="98"/>
      <c r="C808" s="98"/>
      <c r="D808" s="98"/>
      <c r="E808" s="98"/>
      <c r="F808" s="235"/>
      <c r="G808" s="235"/>
      <c r="H808" s="236"/>
      <c r="I808" s="236"/>
      <c r="J808" s="236"/>
      <c r="K808" s="236"/>
      <c r="L808" s="236"/>
      <c r="M808" s="236"/>
      <c r="N808" s="236"/>
      <c r="O808" s="236"/>
      <c r="P808" s="236"/>
      <c r="Q808" s="236"/>
      <c r="R808" s="236"/>
      <c r="S808" s="236"/>
      <c r="T808" s="236"/>
      <c r="U808" s="236"/>
      <c r="V808" s="236"/>
      <c r="W808" s="237"/>
      <c r="X808" s="237"/>
      <c r="Y808" s="237"/>
      <c r="Z808" s="237"/>
      <c r="AA808" s="237"/>
      <c r="AB808" s="237"/>
      <c r="AC808" s="237"/>
      <c r="AD808" s="237"/>
      <c r="AE808" s="237"/>
      <c r="AF808" s="237"/>
      <c r="AG808" s="237"/>
      <c r="AH808" s="237"/>
      <c r="AI808" s="308"/>
      <c r="AJ808" s="308"/>
      <c r="AK808" s="308"/>
      <c r="AL808" s="308"/>
      <c r="AM808" s="308"/>
      <c r="AN808" s="98"/>
    </row>
    <row r="809" ht="14.25" customHeight="1">
      <c r="A809" s="179"/>
      <c r="B809" s="98"/>
      <c r="C809" s="98"/>
      <c r="D809" s="98"/>
      <c r="E809" s="98"/>
      <c r="F809" s="235"/>
      <c r="G809" s="235"/>
      <c r="H809" s="236"/>
      <c r="I809" s="236"/>
      <c r="J809" s="236"/>
      <c r="K809" s="236"/>
      <c r="L809" s="236"/>
      <c r="M809" s="236"/>
      <c r="N809" s="236"/>
      <c r="O809" s="236"/>
      <c r="P809" s="236"/>
      <c r="Q809" s="236"/>
      <c r="R809" s="236"/>
      <c r="S809" s="236"/>
      <c r="T809" s="236"/>
      <c r="U809" s="236"/>
      <c r="V809" s="236"/>
      <c r="W809" s="237"/>
      <c r="X809" s="237"/>
      <c r="Y809" s="237"/>
      <c r="Z809" s="237"/>
      <c r="AA809" s="237"/>
      <c r="AB809" s="237"/>
      <c r="AC809" s="237"/>
      <c r="AD809" s="237"/>
      <c r="AE809" s="237"/>
      <c r="AF809" s="237"/>
      <c r="AG809" s="237"/>
      <c r="AH809" s="237"/>
      <c r="AI809" s="308"/>
      <c r="AJ809" s="308"/>
      <c r="AK809" s="308"/>
      <c r="AL809" s="308"/>
      <c r="AM809" s="308"/>
      <c r="AN809" s="98"/>
    </row>
    <row r="810" ht="14.25" customHeight="1">
      <c r="A810" s="179"/>
      <c r="B810" s="98"/>
      <c r="C810" s="98"/>
      <c r="D810" s="98"/>
      <c r="E810" s="98"/>
      <c r="F810" s="235"/>
      <c r="G810" s="235"/>
      <c r="H810" s="236"/>
      <c r="I810" s="236"/>
      <c r="J810" s="236"/>
      <c r="K810" s="236"/>
      <c r="L810" s="236"/>
      <c r="M810" s="236"/>
      <c r="N810" s="236"/>
      <c r="O810" s="236"/>
      <c r="P810" s="236"/>
      <c r="Q810" s="236"/>
      <c r="R810" s="236"/>
      <c r="S810" s="236"/>
      <c r="T810" s="236"/>
      <c r="U810" s="236"/>
      <c r="V810" s="236"/>
      <c r="W810" s="237"/>
      <c r="X810" s="237"/>
      <c r="Y810" s="237"/>
      <c r="Z810" s="237"/>
      <c r="AA810" s="237"/>
      <c r="AB810" s="237"/>
      <c r="AC810" s="237"/>
      <c r="AD810" s="237"/>
      <c r="AE810" s="237"/>
      <c r="AF810" s="237"/>
      <c r="AG810" s="237"/>
      <c r="AH810" s="237"/>
      <c r="AI810" s="308"/>
      <c r="AJ810" s="308"/>
      <c r="AK810" s="308"/>
      <c r="AL810" s="308"/>
      <c r="AM810" s="308"/>
      <c r="AN810" s="98"/>
    </row>
    <row r="811" ht="14.25" customHeight="1">
      <c r="A811" s="179"/>
      <c r="B811" s="98"/>
      <c r="C811" s="98"/>
      <c r="D811" s="98"/>
      <c r="E811" s="98"/>
      <c r="F811" s="235"/>
      <c r="G811" s="235"/>
      <c r="H811" s="236"/>
      <c r="I811" s="236"/>
      <c r="J811" s="236"/>
      <c r="K811" s="236"/>
      <c r="L811" s="236"/>
      <c r="M811" s="236"/>
      <c r="N811" s="236"/>
      <c r="O811" s="236"/>
      <c r="P811" s="236"/>
      <c r="Q811" s="236"/>
      <c r="R811" s="236"/>
      <c r="S811" s="236"/>
      <c r="T811" s="236"/>
      <c r="U811" s="236"/>
      <c r="V811" s="236"/>
      <c r="W811" s="237"/>
      <c r="X811" s="237"/>
      <c r="Y811" s="237"/>
      <c r="Z811" s="237"/>
      <c r="AA811" s="237"/>
      <c r="AB811" s="237"/>
      <c r="AC811" s="237"/>
      <c r="AD811" s="237"/>
      <c r="AE811" s="237"/>
      <c r="AF811" s="237"/>
      <c r="AG811" s="237"/>
      <c r="AH811" s="237"/>
      <c r="AI811" s="308"/>
      <c r="AJ811" s="308"/>
      <c r="AK811" s="308"/>
      <c r="AL811" s="308"/>
      <c r="AM811" s="308"/>
      <c r="AN811" s="98"/>
    </row>
    <row r="812" ht="14.25" customHeight="1">
      <c r="A812" s="179"/>
      <c r="B812" s="98"/>
      <c r="C812" s="98"/>
      <c r="D812" s="98"/>
      <c r="E812" s="98"/>
      <c r="F812" s="235"/>
      <c r="G812" s="235"/>
      <c r="H812" s="236"/>
      <c r="I812" s="236"/>
      <c r="J812" s="236"/>
      <c r="K812" s="236"/>
      <c r="L812" s="236"/>
      <c r="M812" s="236"/>
      <c r="N812" s="236"/>
      <c r="O812" s="236"/>
      <c r="P812" s="236"/>
      <c r="Q812" s="236"/>
      <c r="R812" s="236"/>
      <c r="S812" s="236"/>
      <c r="T812" s="236"/>
      <c r="U812" s="236"/>
      <c r="V812" s="236"/>
      <c r="W812" s="237"/>
      <c r="X812" s="237"/>
      <c r="Y812" s="237"/>
      <c r="Z812" s="237"/>
      <c r="AA812" s="237"/>
      <c r="AB812" s="237"/>
      <c r="AC812" s="237"/>
      <c r="AD812" s="237"/>
      <c r="AE812" s="237"/>
      <c r="AF812" s="237"/>
      <c r="AG812" s="237"/>
      <c r="AH812" s="237"/>
      <c r="AI812" s="308"/>
      <c r="AJ812" s="308"/>
      <c r="AK812" s="308"/>
      <c r="AL812" s="308"/>
      <c r="AM812" s="308"/>
      <c r="AN812" s="98"/>
    </row>
    <row r="813" ht="14.25" customHeight="1">
      <c r="A813" s="179"/>
      <c r="B813" s="98"/>
      <c r="C813" s="98"/>
      <c r="D813" s="98"/>
      <c r="E813" s="98"/>
      <c r="F813" s="235"/>
      <c r="G813" s="235"/>
      <c r="H813" s="236"/>
      <c r="I813" s="236"/>
      <c r="J813" s="236"/>
      <c r="K813" s="236"/>
      <c r="L813" s="236"/>
      <c r="M813" s="236"/>
      <c r="N813" s="236"/>
      <c r="O813" s="236"/>
      <c r="P813" s="236"/>
      <c r="Q813" s="236"/>
      <c r="R813" s="236"/>
      <c r="S813" s="236"/>
      <c r="T813" s="236"/>
      <c r="U813" s="236"/>
      <c r="V813" s="236"/>
      <c r="W813" s="237"/>
      <c r="X813" s="237"/>
      <c r="Y813" s="237"/>
      <c r="Z813" s="237"/>
      <c r="AA813" s="237"/>
      <c r="AB813" s="237"/>
      <c r="AC813" s="237"/>
      <c r="AD813" s="237"/>
      <c r="AE813" s="237"/>
      <c r="AF813" s="237"/>
      <c r="AG813" s="237"/>
      <c r="AH813" s="237"/>
      <c r="AI813" s="308"/>
      <c r="AJ813" s="308"/>
      <c r="AK813" s="308"/>
      <c r="AL813" s="308"/>
      <c r="AM813" s="308"/>
      <c r="AN813" s="98"/>
    </row>
    <row r="814" ht="14.25" customHeight="1">
      <c r="A814" s="179"/>
      <c r="B814" s="98"/>
      <c r="C814" s="98"/>
      <c r="D814" s="98"/>
      <c r="E814" s="98"/>
      <c r="F814" s="235"/>
      <c r="G814" s="235"/>
      <c r="H814" s="236"/>
      <c r="I814" s="236"/>
      <c r="J814" s="236"/>
      <c r="K814" s="236"/>
      <c r="L814" s="236"/>
      <c r="M814" s="236"/>
      <c r="N814" s="236"/>
      <c r="O814" s="236"/>
      <c r="P814" s="236"/>
      <c r="Q814" s="236"/>
      <c r="R814" s="236"/>
      <c r="S814" s="236"/>
      <c r="T814" s="236"/>
      <c r="U814" s="236"/>
      <c r="V814" s="236"/>
      <c r="W814" s="237"/>
      <c r="X814" s="237"/>
      <c r="Y814" s="237"/>
      <c r="Z814" s="237"/>
      <c r="AA814" s="237"/>
      <c r="AB814" s="237"/>
      <c r="AC814" s="237"/>
      <c r="AD814" s="237"/>
      <c r="AE814" s="237"/>
      <c r="AF814" s="237"/>
      <c r="AG814" s="237"/>
      <c r="AH814" s="237"/>
      <c r="AI814" s="308"/>
      <c r="AJ814" s="308"/>
      <c r="AK814" s="308"/>
      <c r="AL814" s="308"/>
      <c r="AM814" s="308"/>
      <c r="AN814" s="98"/>
    </row>
    <row r="815" ht="14.25" customHeight="1">
      <c r="A815" s="179"/>
      <c r="B815" s="98"/>
      <c r="C815" s="98"/>
      <c r="D815" s="98"/>
      <c r="E815" s="98"/>
      <c r="F815" s="235"/>
      <c r="G815" s="235"/>
      <c r="H815" s="236"/>
      <c r="I815" s="236"/>
      <c r="J815" s="236"/>
      <c r="K815" s="236"/>
      <c r="L815" s="236"/>
      <c r="M815" s="236"/>
      <c r="N815" s="236"/>
      <c r="O815" s="236"/>
      <c r="P815" s="236"/>
      <c r="Q815" s="236"/>
      <c r="R815" s="236"/>
      <c r="S815" s="236"/>
      <c r="T815" s="236"/>
      <c r="U815" s="236"/>
      <c r="V815" s="236"/>
      <c r="W815" s="237"/>
      <c r="X815" s="237"/>
      <c r="Y815" s="237"/>
      <c r="Z815" s="237"/>
      <c r="AA815" s="237"/>
      <c r="AB815" s="237"/>
      <c r="AC815" s="237"/>
      <c r="AD815" s="237"/>
      <c r="AE815" s="237"/>
      <c r="AF815" s="237"/>
      <c r="AG815" s="237"/>
      <c r="AH815" s="237"/>
      <c r="AI815" s="308"/>
      <c r="AJ815" s="308"/>
      <c r="AK815" s="308"/>
      <c r="AL815" s="308"/>
      <c r="AM815" s="308"/>
      <c r="AN815" s="98"/>
    </row>
    <row r="816" ht="14.25" customHeight="1">
      <c r="A816" s="179"/>
      <c r="B816" s="98"/>
      <c r="C816" s="98"/>
      <c r="D816" s="98"/>
      <c r="E816" s="98"/>
      <c r="F816" s="235"/>
      <c r="G816" s="235"/>
      <c r="H816" s="236"/>
      <c r="I816" s="236"/>
      <c r="J816" s="236"/>
      <c r="K816" s="236"/>
      <c r="L816" s="236"/>
      <c r="M816" s="236"/>
      <c r="N816" s="236"/>
      <c r="O816" s="236"/>
      <c r="P816" s="236"/>
      <c r="Q816" s="236"/>
      <c r="R816" s="236"/>
      <c r="S816" s="236"/>
      <c r="T816" s="236"/>
      <c r="U816" s="236"/>
      <c r="V816" s="236"/>
      <c r="W816" s="237"/>
      <c r="X816" s="237"/>
      <c r="Y816" s="237"/>
      <c r="Z816" s="237"/>
      <c r="AA816" s="237"/>
      <c r="AB816" s="237"/>
      <c r="AC816" s="237"/>
      <c r="AD816" s="237"/>
      <c r="AE816" s="237"/>
      <c r="AF816" s="237"/>
      <c r="AG816" s="237"/>
      <c r="AH816" s="237"/>
      <c r="AI816" s="308"/>
      <c r="AJ816" s="308"/>
      <c r="AK816" s="308"/>
      <c r="AL816" s="308"/>
      <c r="AM816" s="308"/>
      <c r="AN816" s="98"/>
    </row>
    <row r="817" ht="14.25" customHeight="1">
      <c r="A817" s="179"/>
      <c r="B817" s="98"/>
      <c r="C817" s="98"/>
      <c r="D817" s="98"/>
      <c r="E817" s="98"/>
      <c r="F817" s="235"/>
      <c r="G817" s="235"/>
      <c r="H817" s="236"/>
      <c r="I817" s="236"/>
      <c r="J817" s="236"/>
      <c r="K817" s="236"/>
      <c r="L817" s="236"/>
      <c r="M817" s="236"/>
      <c r="N817" s="236"/>
      <c r="O817" s="236"/>
      <c r="P817" s="236"/>
      <c r="Q817" s="236"/>
      <c r="R817" s="236"/>
      <c r="S817" s="236"/>
      <c r="T817" s="236"/>
      <c r="U817" s="236"/>
      <c r="V817" s="236"/>
      <c r="W817" s="237"/>
      <c r="X817" s="237"/>
      <c r="Y817" s="237"/>
      <c r="Z817" s="237"/>
      <c r="AA817" s="237"/>
      <c r="AB817" s="237"/>
      <c r="AC817" s="237"/>
      <c r="AD817" s="237"/>
      <c r="AE817" s="237"/>
      <c r="AF817" s="237"/>
      <c r="AG817" s="237"/>
      <c r="AH817" s="237"/>
      <c r="AI817" s="308"/>
      <c r="AJ817" s="308"/>
      <c r="AK817" s="308"/>
      <c r="AL817" s="308"/>
      <c r="AM817" s="308"/>
      <c r="AN817" s="98"/>
    </row>
    <row r="818" ht="14.25" customHeight="1">
      <c r="A818" s="179"/>
      <c r="B818" s="98"/>
      <c r="C818" s="98"/>
      <c r="D818" s="98"/>
      <c r="E818" s="98"/>
      <c r="F818" s="235"/>
      <c r="G818" s="235"/>
      <c r="H818" s="236"/>
      <c r="I818" s="236"/>
      <c r="J818" s="236"/>
      <c r="K818" s="236"/>
      <c r="L818" s="236"/>
      <c r="M818" s="236"/>
      <c r="N818" s="236"/>
      <c r="O818" s="236"/>
      <c r="P818" s="236"/>
      <c r="Q818" s="236"/>
      <c r="R818" s="236"/>
      <c r="S818" s="236"/>
      <c r="T818" s="236"/>
      <c r="U818" s="236"/>
      <c r="V818" s="236"/>
      <c r="W818" s="237"/>
      <c r="X818" s="237"/>
      <c r="Y818" s="237"/>
      <c r="Z818" s="237"/>
      <c r="AA818" s="237"/>
      <c r="AB818" s="237"/>
      <c r="AC818" s="237"/>
      <c r="AD818" s="237"/>
      <c r="AE818" s="237"/>
      <c r="AF818" s="237"/>
      <c r="AG818" s="237"/>
      <c r="AH818" s="237"/>
      <c r="AI818" s="308"/>
      <c r="AJ818" s="308"/>
      <c r="AK818" s="308"/>
      <c r="AL818" s="308"/>
      <c r="AM818" s="308"/>
      <c r="AN818" s="98"/>
    </row>
    <row r="819" ht="14.25" customHeight="1">
      <c r="A819" s="179"/>
      <c r="B819" s="98"/>
      <c r="C819" s="98"/>
      <c r="D819" s="98"/>
      <c r="E819" s="98"/>
      <c r="F819" s="235"/>
      <c r="G819" s="235"/>
      <c r="H819" s="236"/>
      <c r="I819" s="236"/>
      <c r="J819" s="236"/>
      <c r="K819" s="236"/>
      <c r="L819" s="236"/>
      <c r="M819" s="236"/>
      <c r="N819" s="236"/>
      <c r="O819" s="236"/>
      <c r="P819" s="236"/>
      <c r="Q819" s="236"/>
      <c r="R819" s="236"/>
      <c r="S819" s="236"/>
      <c r="T819" s="236"/>
      <c r="U819" s="236"/>
      <c r="V819" s="236"/>
      <c r="W819" s="237"/>
      <c r="X819" s="237"/>
      <c r="Y819" s="237"/>
      <c r="Z819" s="237"/>
      <c r="AA819" s="237"/>
      <c r="AB819" s="237"/>
      <c r="AC819" s="237"/>
      <c r="AD819" s="237"/>
      <c r="AE819" s="237"/>
      <c r="AF819" s="237"/>
      <c r="AG819" s="237"/>
      <c r="AH819" s="237"/>
      <c r="AI819" s="308"/>
      <c r="AJ819" s="308"/>
      <c r="AK819" s="308"/>
      <c r="AL819" s="308"/>
      <c r="AM819" s="308"/>
      <c r="AN819" s="98"/>
    </row>
    <row r="820" ht="14.25" customHeight="1">
      <c r="A820" s="179"/>
      <c r="B820" s="98"/>
      <c r="C820" s="98"/>
      <c r="D820" s="98"/>
      <c r="E820" s="98"/>
      <c r="F820" s="235"/>
      <c r="G820" s="235"/>
      <c r="H820" s="236"/>
      <c r="I820" s="236"/>
      <c r="J820" s="236"/>
      <c r="K820" s="236"/>
      <c r="L820" s="236"/>
      <c r="M820" s="236"/>
      <c r="N820" s="236"/>
      <c r="O820" s="236"/>
      <c r="P820" s="236"/>
      <c r="Q820" s="236"/>
      <c r="R820" s="236"/>
      <c r="S820" s="236"/>
      <c r="T820" s="236"/>
      <c r="U820" s="236"/>
      <c r="V820" s="236"/>
      <c r="W820" s="237"/>
      <c r="X820" s="237"/>
      <c r="Y820" s="237"/>
      <c r="Z820" s="237"/>
      <c r="AA820" s="237"/>
      <c r="AB820" s="237"/>
      <c r="AC820" s="237"/>
      <c r="AD820" s="237"/>
      <c r="AE820" s="237"/>
      <c r="AF820" s="237"/>
      <c r="AG820" s="237"/>
      <c r="AH820" s="237"/>
      <c r="AI820" s="308"/>
      <c r="AJ820" s="308"/>
      <c r="AK820" s="308"/>
      <c r="AL820" s="308"/>
      <c r="AM820" s="308"/>
      <c r="AN820" s="98"/>
    </row>
    <row r="821" ht="14.25" customHeight="1">
      <c r="A821" s="179"/>
      <c r="B821" s="98"/>
      <c r="C821" s="98"/>
      <c r="D821" s="98"/>
      <c r="E821" s="98"/>
      <c r="F821" s="235"/>
      <c r="G821" s="235"/>
      <c r="H821" s="236"/>
      <c r="I821" s="236"/>
      <c r="J821" s="236"/>
      <c r="K821" s="236"/>
      <c r="L821" s="236"/>
      <c r="M821" s="236"/>
      <c r="N821" s="236"/>
      <c r="O821" s="236"/>
      <c r="P821" s="236"/>
      <c r="Q821" s="236"/>
      <c r="R821" s="236"/>
      <c r="S821" s="236"/>
      <c r="T821" s="236"/>
      <c r="U821" s="236"/>
      <c r="V821" s="236"/>
      <c r="W821" s="237"/>
      <c r="X821" s="237"/>
      <c r="Y821" s="237"/>
      <c r="Z821" s="237"/>
      <c r="AA821" s="237"/>
      <c r="AB821" s="237"/>
      <c r="AC821" s="237"/>
      <c r="AD821" s="237"/>
      <c r="AE821" s="237"/>
      <c r="AF821" s="237"/>
      <c r="AG821" s="237"/>
      <c r="AH821" s="237"/>
      <c r="AI821" s="308"/>
      <c r="AJ821" s="308"/>
      <c r="AK821" s="308"/>
      <c r="AL821" s="308"/>
      <c r="AM821" s="308"/>
      <c r="AN821" s="98"/>
    </row>
    <row r="822" ht="14.25" customHeight="1">
      <c r="A822" s="179"/>
      <c r="B822" s="98"/>
      <c r="C822" s="98"/>
      <c r="D822" s="98"/>
      <c r="E822" s="98"/>
      <c r="F822" s="235"/>
      <c r="G822" s="235"/>
      <c r="H822" s="236"/>
      <c r="I822" s="236"/>
      <c r="J822" s="236"/>
      <c r="K822" s="236"/>
      <c r="L822" s="236"/>
      <c r="M822" s="236"/>
      <c r="N822" s="236"/>
      <c r="O822" s="236"/>
      <c r="P822" s="236"/>
      <c r="Q822" s="236"/>
      <c r="R822" s="236"/>
      <c r="S822" s="236"/>
      <c r="T822" s="236"/>
      <c r="U822" s="236"/>
      <c r="V822" s="236"/>
      <c r="W822" s="237"/>
      <c r="X822" s="237"/>
      <c r="Y822" s="237"/>
      <c r="Z822" s="237"/>
      <c r="AA822" s="237"/>
      <c r="AB822" s="237"/>
      <c r="AC822" s="237"/>
      <c r="AD822" s="237"/>
      <c r="AE822" s="237"/>
      <c r="AF822" s="237"/>
      <c r="AG822" s="237"/>
      <c r="AH822" s="237"/>
      <c r="AI822" s="308"/>
      <c r="AJ822" s="308"/>
      <c r="AK822" s="308"/>
      <c r="AL822" s="308"/>
      <c r="AM822" s="308"/>
      <c r="AN822" s="98"/>
    </row>
    <row r="823" ht="14.25" customHeight="1">
      <c r="A823" s="179"/>
      <c r="B823" s="98"/>
      <c r="C823" s="98"/>
      <c r="D823" s="98"/>
      <c r="E823" s="98"/>
      <c r="F823" s="235"/>
      <c r="G823" s="235"/>
      <c r="H823" s="236"/>
      <c r="I823" s="236"/>
      <c r="J823" s="236"/>
      <c r="K823" s="236"/>
      <c r="L823" s="236"/>
      <c r="M823" s="236"/>
      <c r="N823" s="236"/>
      <c r="O823" s="236"/>
      <c r="P823" s="236"/>
      <c r="Q823" s="236"/>
      <c r="R823" s="236"/>
      <c r="S823" s="236"/>
      <c r="T823" s="236"/>
      <c r="U823" s="236"/>
      <c r="V823" s="236"/>
      <c r="W823" s="237"/>
      <c r="X823" s="237"/>
      <c r="Y823" s="237"/>
      <c r="Z823" s="237"/>
      <c r="AA823" s="237"/>
      <c r="AB823" s="237"/>
      <c r="AC823" s="237"/>
      <c r="AD823" s="237"/>
      <c r="AE823" s="237"/>
      <c r="AF823" s="237"/>
      <c r="AG823" s="237"/>
      <c r="AH823" s="237"/>
      <c r="AI823" s="308"/>
      <c r="AJ823" s="308"/>
      <c r="AK823" s="308"/>
      <c r="AL823" s="308"/>
      <c r="AM823" s="308"/>
      <c r="AN823" s="98"/>
    </row>
    <row r="824" ht="14.25" customHeight="1">
      <c r="A824" s="179"/>
      <c r="B824" s="98"/>
      <c r="C824" s="98"/>
      <c r="D824" s="98"/>
      <c r="E824" s="98"/>
      <c r="F824" s="235"/>
      <c r="G824" s="235"/>
      <c r="H824" s="236"/>
      <c r="I824" s="236"/>
      <c r="J824" s="236"/>
      <c r="K824" s="236"/>
      <c r="L824" s="236"/>
      <c r="M824" s="236"/>
      <c r="N824" s="236"/>
      <c r="O824" s="236"/>
      <c r="P824" s="236"/>
      <c r="Q824" s="236"/>
      <c r="R824" s="236"/>
      <c r="S824" s="236"/>
      <c r="T824" s="236"/>
      <c r="U824" s="236"/>
      <c r="V824" s="236"/>
      <c r="W824" s="237"/>
      <c r="X824" s="237"/>
      <c r="Y824" s="237"/>
      <c r="Z824" s="237"/>
      <c r="AA824" s="237"/>
      <c r="AB824" s="237"/>
      <c r="AC824" s="237"/>
      <c r="AD824" s="237"/>
      <c r="AE824" s="237"/>
      <c r="AF824" s="237"/>
      <c r="AG824" s="237"/>
      <c r="AH824" s="237"/>
      <c r="AI824" s="308"/>
      <c r="AJ824" s="308"/>
      <c r="AK824" s="308"/>
      <c r="AL824" s="308"/>
      <c r="AM824" s="308"/>
      <c r="AN824" s="98"/>
    </row>
    <row r="825" ht="14.25" customHeight="1">
      <c r="A825" s="179"/>
      <c r="B825" s="98"/>
      <c r="C825" s="98"/>
      <c r="D825" s="98"/>
      <c r="E825" s="98"/>
      <c r="F825" s="235"/>
      <c r="G825" s="235"/>
      <c r="H825" s="236"/>
      <c r="I825" s="236"/>
      <c r="J825" s="236"/>
      <c r="K825" s="236"/>
      <c r="L825" s="236"/>
      <c r="M825" s="236"/>
      <c r="N825" s="236"/>
      <c r="O825" s="236"/>
      <c r="P825" s="236"/>
      <c r="Q825" s="236"/>
      <c r="R825" s="236"/>
      <c r="S825" s="236"/>
      <c r="T825" s="236"/>
      <c r="U825" s="236"/>
      <c r="V825" s="236"/>
      <c r="W825" s="237"/>
      <c r="X825" s="237"/>
      <c r="Y825" s="237"/>
      <c r="Z825" s="237"/>
      <c r="AA825" s="237"/>
      <c r="AB825" s="237"/>
      <c r="AC825" s="237"/>
      <c r="AD825" s="237"/>
      <c r="AE825" s="237"/>
      <c r="AF825" s="237"/>
      <c r="AG825" s="237"/>
      <c r="AH825" s="237"/>
      <c r="AI825" s="308"/>
      <c r="AJ825" s="308"/>
      <c r="AK825" s="308"/>
      <c r="AL825" s="308"/>
      <c r="AM825" s="308"/>
      <c r="AN825" s="98"/>
    </row>
    <row r="826" ht="14.25" customHeight="1">
      <c r="A826" s="179"/>
      <c r="B826" s="98"/>
      <c r="C826" s="98"/>
      <c r="D826" s="98"/>
      <c r="E826" s="98"/>
      <c r="F826" s="235"/>
      <c r="G826" s="235"/>
      <c r="H826" s="236"/>
      <c r="I826" s="236"/>
      <c r="J826" s="236"/>
      <c r="K826" s="236"/>
      <c r="L826" s="236"/>
      <c r="M826" s="236"/>
      <c r="N826" s="236"/>
      <c r="O826" s="236"/>
      <c r="P826" s="236"/>
      <c r="Q826" s="236"/>
      <c r="R826" s="236"/>
      <c r="S826" s="236"/>
      <c r="T826" s="236"/>
      <c r="U826" s="236"/>
      <c r="V826" s="236"/>
      <c r="W826" s="237"/>
      <c r="X826" s="237"/>
      <c r="Y826" s="237"/>
      <c r="Z826" s="237"/>
      <c r="AA826" s="237"/>
      <c r="AB826" s="237"/>
      <c r="AC826" s="237"/>
      <c r="AD826" s="237"/>
      <c r="AE826" s="237"/>
      <c r="AF826" s="237"/>
      <c r="AG826" s="237"/>
      <c r="AH826" s="237"/>
      <c r="AI826" s="308"/>
      <c r="AJ826" s="308"/>
      <c r="AK826" s="308"/>
      <c r="AL826" s="308"/>
      <c r="AM826" s="308"/>
      <c r="AN826" s="98"/>
    </row>
    <row r="827" ht="14.25" customHeight="1">
      <c r="A827" s="179"/>
      <c r="B827" s="98"/>
      <c r="C827" s="98"/>
      <c r="D827" s="98"/>
      <c r="E827" s="98"/>
      <c r="F827" s="235"/>
      <c r="G827" s="235"/>
      <c r="H827" s="236"/>
      <c r="I827" s="236"/>
      <c r="J827" s="236"/>
      <c r="K827" s="236"/>
      <c r="L827" s="236"/>
      <c r="M827" s="236"/>
      <c r="N827" s="236"/>
      <c r="O827" s="236"/>
      <c r="P827" s="236"/>
      <c r="Q827" s="236"/>
      <c r="R827" s="236"/>
      <c r="S827" s="236"/>
      <c r="T827" s="236"/>
      <c r="U827" s="236"/>
      <c r="V827" s="236"/>
      <c r="W827" s="237"/>
      <c r="X827" s="237"/>
      <c r="Y827" s="237"/>
      <c r="Z827" s="237"/>
      <c r="AA827" s="237"/>
      <c r="AB827" s="237"/>
      <c r="AC827" s="237"/>
      <c r="AD827" s="237"/>
      <c r="AE827" s="237"/>
      <c r="AF827" s="237"/>
      <c r="AG827" s="237"/>
      <c r="AH827" s="237"/>
      <c r="AI827" s="308"/>
      <c r="AJ827" s="308"/>
      <c r="AK827" s="308"/>
      <c r="AL827" s="308"/>
      <c r="AM827" s="308"/>
      <c r="AN827" s="98"/>
    </row>
    <row r="828" ht="14.25" customHeight="1">
      <c r="A828" s="179"/>
      <c r="B828" s="98"/>
      <c r="C828" s="98"/>
      <c r="D828" s="98"/>
      <c r="E828" s="98"/>
      <c r="F828" s="235"/>
      <c r="G828" s="235"/>
      <c r="H828" s="236"/>
      <c r="I828" s="236"/>
      <c r="J828" s="236"/>
      <c r="K828" s="236"/>
      <c r="L828" s="236"/>
      <c r="M828" s="236"/>
      <c r="N828" s="236"/>
      <c r="O828" s="236"/>
      <c r="P828" s="236"/>
      <c r="Q828" s="236"/>
      <c r="R828" s="236"/>
      <c r="S828" s="236"/>
      <c r="T828" s="236"/>
      <c r="U828" s="236"/>
      <c r="V828" s="236"/>
      <c r="W828" s="237"/>
      <c r="X828" s="237"/>
      <c r="Y828" s="237"/>
      <c r="Z828" s="237"/>
      <c r="AA828" s="237"/>
      <c r="AB828" s="237"/>
      <c r="AC828" s="237"/>
      <c r="AD828" s="237"/>
      <c r="AE828" s="237"/>
      <c r="AF828" s="237"/>
      <c r="AG828" s="237"/>
      <c r="AH828" s="237"/>
      <c r="AI828" s="308"/>
      <c r="AJ828" s="308"/>
      <c r="AK828" s="308"/>
      <c r="AL828" s="308"/>
      <c r="AM828" s="308"/>
      <c r="AN828" s="98"/>
    </row>
    <row r="829" ht="14.25" customHeight="1">
      <c r="A829" s="179"/>
      <c r="B829" s="98"/>
      <c r="C829" s="98"/>
      <c r="D829" s="98"/>
      <c r="E829" s="98"/>
      <c r="F829" s="235"/>
      <c r="G829" s="235"/>
      <c r="H829" s="236"/>
      <c r="I829" s="236"/>
      <c r="J829" s="236"/>
      <c r="K829" s="236"/>
      <c r="L829" s="236"/>
      <c r="M829" s="236"/>
      <c r="N829" s="236"/>
      <c r="O829" s="236"/>
      <c r="P829" s="236"/>
      <c r="Q829" s="236"/>
      <c r="R829" s="236"/>
      <c r="S829" s="236"/>
      <c r="T829" s="236"/>
      <c r="U829" s="236"/>
      <c r="V829" s="236"/>
      <c r="W829" s="237"/>
      <c r="X829" s="237"/>
      <c r="Y829" s="237"/>
      <c r="Z829" s="237"/>
      <c r="AA829" s="237"/>
      <c r="AB829" s="237"/>
      <c r="AC829" s="237"/>
      <c r="AD829" s="237"/>
      <c r="AE829" s="237"/>
      <c r="AF829" s="237"/>
      <c r="AG829" s="237"/>
      <c r="AH829" s="237"/>
      <c r="AI829" s="308"/>
      <c r="AJ829" s="308"/>
      <c r="AK829" s="308"/>
      <c r="AL829" s="308"/>
      <c r="AM829" s="308"/>
      <c r="AN829" s="98"/>
    </row>
    <row r="830" ht="14.25" customHeight="1">
      <c r="A830" s="179"/>
      <c r="B830" s="98"/>
      <c r="C830" s="98"/>
      <c r="D830" s="98"/>
      <c r="E830" s="98"/>
      <c r="F830" s="235"/>
      <c r="G830" s="235"/>
      <c r="H830" s="236"/>
      <c r="I830" s="236"/>
      <c r="J830" s="236"/>
      <c r="K830" s="236"/>
      <c r="L830" s="236"/>
      <c r="M830" s="236"/>
      <c r="N830" s="236"/>
      <c r="O830" s="236"/>
      <c r="P830" s="236"/>
      <c r="Q830" s="236"/>
      <c r="R830" s="236"/>
      <c r="S830" s="236"/>
      <c r="T830" s="236"/>
      <c r="U830" s="236"/>
      <c r="V830" s="236"/>
      <c r="W830" s="237"/>
      <c r="X830" s="237"/>
      <c r="Y830" s="237"/>
      <c r="Z830" s="237"/>
      <c r="AA830" s="237"/>
      <c r="AB830" s="237"/>
      <c r="AC830" s="237"/>
      <c r="AD830" s="237"/>
      <c r="AE830" s="237"/>
      <c r="AF830" s="237"/>
      <c r="AG830" s="237"/>
      <c r="AH830" s="237"/>
      <c r="AI830" s="308"/>
      <c r="AJ830" s="308"/>
      <c r="AK830" s="308"/>
      <c r="AL830" s="308"/>
      <c r="AM830" s="308"/>
      <c r="AN830" s="98"/>
    </row>
    <row r="831" ht="14.25" customHeight="1">
      <c r="A831" s="179"/>
      <c r="B831" s="98"/>
      <c r="C831" s="98"/>
      <c r="D831" s="98"/>
      <c r="E831" s="98"/>
      <c r="F831" s="235"/>
      <c r="G831" s="235"/>
      <c r="H831" s="236"/>
      <c r="I831" s="236"/>
      <c r="J831" s="236"/>
      <c r="K831" s="236"/>
      <c r="L831" s="236"/>
      <c r="M831" s="236"/>
      <c r="N831" s="236"/>
      <c r="O831" s="236"/>
      <c r="P831" s="236"/>
      <c r="Q831" s="236"/>
      <c r="R831" s="236"/>
      <c r="S831" s="236"/>
      <c r="T831" s="236"/>
      <c r="U831" s="236"/>
      <c r="V831" s="236"/>
      <c r="W831" s="237"/>
      <c r="X831" s="237"/>
      <c r="Y831" s="237"/>
      <c r="Z831" s="237"/>
      <c r="AA831" s="237"/>
      <c r="AB831" s="237"/>
      <c r="AC831" s="237"/>
      <c r="AD831" s="237"/>
      <c r="AE831" s="237"/>
      <c r="AF831" s="237"/>
      <c r="AG831" s="237"/>
      <c r="AH831" s="237"/>
      <c r="AI831" s="308"/>
      <c r="AJ831" s="308"/>
      <c r="AK831" s="308"/>
      <c r="AL831" s="308"/>
      <c r="AM831" s="308"/>
      <c r="AN831" s="98"/>
    </row>
    <row r="832" ht="14.25" customHeight="1">
      <c r="A832" s="179"/>
      <c r="B832" s="98"/>
      <c r="C832" s="98"/>
      <c r="D832" s="98"/>
      <c r="E832" s="98"/>
      <c r="F832" s="235"/>
      <c r="G832" s="235"/>
      <c r="H832" s="236"/>
      <c r="I832" s="236"/>
      <c r="J832" s="236"/>
      <c r="K832" s="236"/>
      <c r="L832" s="236"/>
      <c r="M832" s="236"/>
      <c r="N832" s="236"/>
      <c r="O832" s="236"/>
      <c r="P832" s="236"/>
      <c r="Q832" s="236"/>
      <c r="R832" s="236"/>
      <c r="S832" s="236"/>
      <c r="T832" s="236"/>
      <c r="U832" s="236"/>
      <c r="V832" s="236"/>
      <c r="W832" s="237"/>
      <c r="X832" s="237"/>
      <c r="Y832" s="237"/>
      <c r="Z832" s="237"/>
      <c r="AA832" s="237"/>
      <c r="AB832" s="237"/>
      <c r="AC832" s="237"/>
      <c r="AD832" s="237"/>
      <c r="AE832" s="237"/>
      <c r="AF832" s="237"/>
      <c r="AG832" s="237"/>
      <c r="AH832" s="237"/>
      <c r="AI832" s="308"/>
      <c r="AJ832" s="308"/>
      <c r="AK832" s="308"/>
      <c r="AL832" s="308"/>
      <c r="AM832" s="308"/>
      <c r="AN832" s="98"/>
    </row>
    <row r="833" ht="14.25" customHeight="1">
      <c r="A833" s="179"/>
      <c r="B833" s="98"/>
      <c r="C833" s="98"/>
      <c r="D833" s="98"/>
      <c r="E833" s="98"/>
      <c r="F833" s="235"/>
      <c r="G833" s="235"/>
      <c r="H833" s="236"/>
      <c r="I833" s="236"/>
      <c r="J833" s="236"/>
      <c r="K833" s="236"/>
      <c r="L833" s="236"/>
      <c r="M833" s="236"/>
      <c r="N833" s="236"/>
      <c r="O833" s="236"/>
      <c r="P833" s="236"/>
      <c r="Q833" s="236"/>
      <c r="R833" s="236"/>
      <c r="S833" s="236"/>
      <c r="T833" s="236"/>
      <c r="U833" s="236"/>
      <c r="V833" s="236"/>
      <c r="W833" s="237"/>
      <c r="X833" s="237"/>
      <c r="Y833" s="237"/>
      <c r="Z833" s="237"/>
      <c r="AA833" s="237"/>
      <c r="AB833" s="237"/>
      <c r="AC833" s="237"/>
      <c r="AD833" s="237"/>
      <c r="AE833" s="237"/>
      <c r="AF833" s="237"/>
      <c r="AG833" s="237"/>
      <c r="AH833" s="237"/>
      <c r="AI833" s="308"/>
      <c r="AJ833" s="308"/>
      <c r="AK833" s="308"/>
      <c r="AL833" s="308"/>
      <c r="AM833" s="308"/>
      <c r="AN833" s="98"/>
    </row>
    <row r="834" ht="14.25" customHeight="1">
      <c r="A834" s="179"/>
      <c r="B834" s="98"/>
      <c r="C834" s="98"/>
      <c r="D834" s="98"/>
      <c r="E834" s="98"/>
      <c r="F834" s="235"/>
      <c r="G834" s="235"/>
      <c r="H834" s="236"/>
      <c r="I834" s="236"/>
      <c r="J834" s="236"/>
      <c r="K834" s="236"/>
      <c r="L834" s="236"/>
      <c r="M834" s="236"/>
      <c r="N834" s="236"/>
      <c r="O834" s="236"/>
      <c r="P834" s="236"/>
      <c r="Q834" s="236"/>
      <c r="R834" s="236"/>
      <c r="S834" s="236"/>
      <c r="T834" s="236"/>
      <c r="U834" s="236"/>
      <c r="V834" s="236"/>
      <c r="W834" s="237"/>
      <c r="X834" s="237"/>
      <c r="Y834" s="237"/>
      <c r="Z834" s="237"/>
      <c r="AA834" s="237"/>
      <c r="AB834" s="237"/>
      <c r="AC834" s="237"/>
      <c r="AD834" s="237"/>
      <c r="AE834" s="237"/>
      <c r="AF834" s="237"/>
      <c r="AG834" s="237"/>
      <c r="AH834" s="237"/>
      <c r="AI834" s="308"/>
      <c r="AJ834" s="308"/>
      <c r="AK834" s="308"/>
      <c r="AL834" s="308"/>
      <c r="AM834" s="308"/>
      <c r="AN834" s="98"/>
    </row>
    <row r="835" ht="14.25" customHeight="1">
      <c r="A835" s="179"/>
      <c r="B835" s="98"/>
      <c r="C835" s="98"/>
      <c r="D835" s="98"/>
      <c r="E835" s="98"/>
      <c r="F835" s="235"/>
      <c r="G835" s="235"/>
      <c r="H835" s="236"/>
      <c r="I835" s="236"/>
      <c r="J835" s="236"/>
      <c r="K835" s="236"/>
      <c r="L835" s="236"/>
      <c r="M835" s="236"/>
      <c r="N835" s="236"/>
      <c r="O835" s="236"/>
      <c r="P835" s="236"/>
      <c r="Q835" s="236"/>
      <c r="R835" s="236"/>
      <c r="S835" s="236"/>
      <c r="T835" s="236"/>
      <c r="U835" s="236"/>
      <c r="V835" s="236"/>
      <c r="W835" s="237"/>
      <c r="X835" s="237"/>
      <c r="Y835" s="237"/>
      <c r="Z835" s="237"/>
      <c r="AA835" s="237"/>
      <c r="AB835" s="237"/>
      <c r="AC835" s="237"/>
      <c r="AD835" s="237"/>
      <c r="AE835" s="237"/>
      <c r="AF835" s="237"/>
      <c r="AG835" s="237"/>
      <c r="AH835" s="237"/>
      <c r="AI835" s="308"/>
      <c r="AJ835" s="308"/>
      <c r="AK835" s="308"/>
      <c r="AL835" s="308"/>
      <c r="AM835" s="308"/>
      <c r="AN835" s="98"/>
    </row>
    <row r="836" ht="14.25" customHeight="1">
      <c r="A836" s="179"/>
      <c r="B836" s="98"/>
      <c r="C836" s="98"/>
      <c r="D836" s="98"/>
      <c r="E836" s="98"/>
      <c r="F836" s="235"/>
      <c r="G836" s="235"/>
      <c r="H836" s="236"/>
      <c r="I836" s="236"/>
      <c r="J836" s="236"/>
      <c r="K836" s="236"/>
      <c r="L836" s="236"/>
      <c r="M836" s="236"/>
      <c r="N836" s="236"/>
      <c r="O836" s="236"/>
      <c r="P836" s="236"/>
      <c r="Q836" s="236"/>
      <c r="R836" s="236"/>
      <c r="S836" s="236"/>
      <c r="T836" s="236"/>
      <c r="U836" s="236"/>
      <c r="V836" s="236"/>
      <c r="W836" s="237"/>
      <c r="X836" s="237"/>
      <c r="Y836" s="237"/>
      <c r="Z836" s="237"/>
      <c r="AA836" s="237"/>
      <c r="AB836" s="237"/>
      <c r="AC836" s="237"/>
      <c r="AD836" s="237"/>
      <c r="AE836" s="237"/>
      <c r="AF836" s="237"/>
      <c r="AG836" s="237"/>
      <c r="AH836" s="237"/>
      <c r="AI836" s="308"/>
      <c r="AJ836" s="308"/>
      <c r="AK836" s="308"/>
      <c r="AL836" s="308"/>
      <c r="AM836" s="308"/>
      <c r="AN836" s="98"/>
    </row>
    <row r="837" ht="14.25" customHeight="1">
      <c r="A837" s="179"/>
      <c r="B837" s="98"/>
      <c r="C837" s="98"/>
      <c r="D837" s="98"/>
      <c r="E837" s="98"/>
      <c r="F837" s="235"/>
      <c r="G837" s="235"/>
      <c r="H837" s="236"/>
      <c r="I837" s="236"/>
      <c r="J837" s="236"/>
      <c r="K837" s="236"/>
      <c r="L837" s="236"/>
      <c r="M837" s="236"/>
      <c r="N837" s="236"/>
      <c r="O837" s="236"/>
      <c r="P837" s="236"/>
      <c r="Q837" s="236"/>
      <c r="R837" s="236"/>
      <c r="S837" s="236"/>
      <c r="T837" s="236"/>
      <c r="U837" s="236"/>
      <c r="V837" s="236"/>
      <c r="W837" s="237"/>
      <c r="X837" s="237"/>
      <c r="Y837" s="237"/>
      <c r="Z837" s="237"/>
      <c r="AA837" s="237"/>
      <c r="AB837" s="237"/>
      <c r="AC837" s="237"/>
      <c r="AD837" s="237"/>
      <c r="AE837" s="237"/>
      <c r="AF837" s="237"/>
      <c r="AG837" s="237"/>
      <c r="AH837" s="237"/>
      <c r="AI837" s="308"/>
      <c r="AJ837" s="308"/>
      <c r="AK837" s="308"/>
      <c r="AL837" s="308"/>
      <c r="AM837" s="308"/>
      <c r="AN837" s="98"/>
    </row>
    <row r="838" ht="14.25" customHeight="1">
      <c r="A838" s="179"/>
      <c r="B838" s="98"/>
      <c r="C838" s="98"/>
      <c r="D838" s="98"/>
      <c r="E838" s="98"/>
      <c r="F838" s="235"/>
      <c r="G838" s="235"/>
      <c r="H838" s="236"/>
      <c r="I838" s="236"/>
      <c r="J838" s="236"/>
      <c r="K838" s="236"/>
      <c r="L838" s="236"/>
      <c r="M838" s="236"/>
      <c r="N838" s="236"/>
      <c r="O838" s="236"/>
      <c r="P838" s="236"/>
      <c r="Q838" s="236"/>
      <c r="R838" s="236"/>
      <c r="S838" s="236"/>
      <c r="T838" s="236"/>
      <c r="U838" s="236"/>
      <c r="V838" s="236"/>
      <c r="W838" s="237"/>
      <c r="X838" s="237"/>
      <c r="Y838" s="237"/>
      <c r="Z838" s="237"/>
      <c r="AA838" s="237"/>
      <c r="AB838" s="237"/>
      <c r="AC838" s="237"/>
      <c r="AD838" s="237"/>
      <c r="AE838" s="237"/>
      <c r="AF838" s="237"/>
      <c r="AG838" s="237"/>
      <c r="AH838" s="237"/>
      <c r="AI838" s="308"/>
      <c r="AJ838" s="308"/>
      <c r="AK838" s="308"/>
      <c r="AL838" s="308"/>
      <c r="AM838" s="308"/>
      <c r="AN838" s="98"/>
    </row>
    <row r="839" ht="14.25" customHeight="1">
      <c r="A839" s="179"/>
      <c r="B839" s="98"/>
      <c r="C839" s="98"/>
      <c r="D839" s="98"/>
      <c r="E839" s="98"/>
      <c r="F839" s="235"/>
      <c r="G839" s="235"/>
      <c r="H839" s="236"/>
      <c r="I839" s="236"/>
      <c r="J839" s="236"/>
      <c r="K839" s="236"/>
      <c r="L839" s="236"/>
      <c r="M839" s="236"/>
      <c r="N839" s="236"/>
      <c r="O839" s="236"/>
      <c r="P839" s="236"/>
      <c r="Q839" s="236"/>
      <c r="R839" s="236"/>
      <c r="S839" s="236"/>
      <c r="T839" s="236"/>
      <c r="U839" s="236"/>
      <c r="V839" s="236"/>
      <c r="W839" s="237"/>
      <c r="X839" s="237"/>
      <c r="Y839" s="237"/>
      <c r="Z839" s="237"/>
      <c r="AA839" s="237"/>
      <c r="AB839" s="237"/>
      <c r="AC839" s="237"/>
      <c r="AD839" s="237"/>
      <c r="AE839" s="237"/>
      <c r="AF839" s="237"/>
      <c r="AG839" s="237"/>
      <c r="AH839" s="237"/>
      <c r="AI839" s="308"/>
      <c r="AJ839" s="308"/>
      <c r="AK839" s="308"/>
      <c r="AL839" s="308"/>
      <c r="AM839" s="308"/>
      <c r="AN839" s="98"/>
    </row>
    <row r="840" ht="14.25" customHeight="1">
      <c r="A840" s="179"/>
      <c r="B840" s="98"/>
      <c r="C840" s="98"/>
      <c r="D840" s="98"/>
      <c r="E840" s="98"/>
      <c r="F840" s="235"/>
      <c r="G840" s="235"/>
      <c r="H840" s="236"/>
      <c r="I840" s="236"/>
      <c r="J840" s="236"/>
      <c r="K840" s="236"/>
      <c r="L840" s="236"/>
      <c r="M840" s="236"/>
      <c r="N840" s="236"/>
      <c r="O840" s="236"/>
      <c r="P840" s="236"/>
      <c r="Q840" s="236"/>
      <c r="R840" s="236"/>
      <c r="S840" s="236"/>
      <c r="T840" s="236"/>
      <c r="U840" s="236"/>
      <c r="V840" s="236"/>
      <c r="W840" s="237"/>
      <c r="X840" s="237"/>
      <c r="Y840" s="237"/>
      <c r="Z840" s="237"/>
      <c r="AA840" s="237"/>
      <c r="AB840" s="237"/>
      <c r="AC840" s="237"/>
      <c r="AD840" s="237"/>
      <c r="AE840" s="237"/>
      <c r="AF840" s="237"/>
      <c r="AG840" s="237"/>
      <c r="AH840" s="237"/>
      <c r="AI840" s="308"/>
      <c r="AJ840" s="308"/>
      <c r="AK840" s="308"/>
      <c r="AL840" s="308"/>
      <c r="AM840" s="308"/>
      <c r="AN840" s="98"/>
    </row>
    <row r="841" ht="14.25" customHeight="1">
      <c r="A841" s="179"/>
      <c r="B841" s="98"/>
      <c r="C841" s="98"/>
      <c r="D841" s="98"/>
      <c r="E841" s="98"/>
      <c r="F841" s="235"/>
      <c r="G841" s="235"/>
      <c r="H841" s="236"/>
      <c r="I841" s="236"/>
      <c r="J841" s="236"/>
      <c r="K841" s="236"/>
      <c r="L841" s="236"/>
      <c r="M841" s="236"/>
      <c r="N841" s="236"/>
      <c r="O841" s="236"/>
      <c r="P841" s="236"/>
      <c r="Q841" s="236"/>
      <c r="R841" s="236"/>
      <c r="S841" s="236"/>
      <c r="T841" s="236"/>
      <c r="U841" s="236"/>
      <c r="V841" s="236"/>
      <c r="W841" s="237"/>
      <c r="X841" s="237"/>
      <c r="Y841" s="237"/>
      <c r="Z841" s="237"/>
      <c r="AA841" s="237"/>
      <c r="AB841" s="237"/>
      <c r="AC841" s="237"/>
      <c r="AD841" s="237"/>
      <c r="AE841" s="237"/>
      <c r="AF841" s="237"/>
      <c r="AG841" s="237"/>
      <c r="AH841" s="237"/>
      <c r="AI841" s="308"/>
      <c r="AJ841" s="308"/>
      <c r="AK841" s="308"/>
      <c r="AL841" s="308"/>
      <c r="AM841" s="308"/>
      <c r="AN841" s="98"/>
    </row>
    <row r="842" ht="14.25" customHeight="1">
      <c r="A842" s="179"/>
      <c r="B842" s="98"/>
      <c r="C842" s="98"/>
      <c r="D842" s="98"/>
      <c r="E842" s="98"/>
      <c r="F842" s="235"/>
      <c r="G842" s="235"/>
      <c r="H842" s="236"/>
      <c r="I842" s="236"/>
      <c r="J842" s="236"/>
      <c r="K842" s="236"/>
      <c r="L842" s="236"/>
      <c r="M842" s="236"/>
      <c r="N842" s="236"/>
      <c r="O842" s="236"/>
      <c r="P842" s="236"/>
      <c r="Q842" s="236"/>
      <c r="R842" s="236"/>
      <c r="S842" s="236"/>
      <c r="T842" s="236"/>
      <c r="U842" s="236"/>
      <c r="V842" s="236"/>
      <c r="W842" s="237"/>
      <c r="X842" s="237"/>
      <c r="Y842" s="237"/>
      <c r="Z842" s="237"/>
      <c r="AA842" s="237"/>
      <c r="AB842" s="237"/>
      <c r="AC842" s="237"/>
      <c r="AD842" s="237"/>
      <c r="AE842" s="237"/>
      <c r="AF842" s="237"/>
      <c r="AG842" s="237"/>
      <c r="AH842" s="237"/>
      <c r="AI842" s="308"/>
      <c r="AJ842" s="308"/>
      <c r="AK842" s="308"/>
      <c r="AL842" s="308"/>
      <c r="AM842" s="308"/>
      <c r="AN842" s="98"/>
    </row>
    <row r="843" ht="14.25" customHeight="1">
      <c r="A843" s="179"/>
      <c r="B843" s="98"/>
      <c r="C843" s="98"/>
      <c r="D843" s="98"/>
      <c r="E843" s="98"/>
      <c r="F843" s="235"/>
      <c r="G843" s="235"/>
      <c r="H843" s="236"/>
      <c r="I843" s="236"/>
      <c r="J843" s="236"/>
      <c r="K843" s="236"/>
      <c r="L843" s="236"/>
      <c r="M843" s="236"/>
      <c r="N843" s="236"/>
      <c r="O843" s="236"/>
      <c r="P843" s="236"/>
      <c r="Q843" s="236"/>
      <c r="R843" s="236"/>
      <c r="S843" s="236"/>
      <c r="T843" s="236"/>
      <c r="U843" s="236"/>
      <c r="V843" s="236"/>
      <c r="W843" s="237"/>
      <c r="X843" s="237"/>
      <c r="Y843" s="237"/>
      <c r="Z843" s="237"/>
      <c r="AA843" s="237"/>
      <c r="AB843" s="237"/>
      <c r="AC843" s="237"/>
      <c r="AD843" s="237"/>
      <c r="AE843" s="237"/>
      <c r="AF843" s="237"/>
      <c r="AG843" s="237"/>
      <c r="AH843" s="237"/>
      <c r="AI843" s="308"/>
      <c r="AJ843" s="308"/>
      <c r="AK843" s="308"/>
      <c r="AL843" s="308"/>
      <c r="AM843" s="308"/>
      <c r="AN843" s="98"/>
    </row>
    <row r="844" ht="14.25" customHeight="1">
      <c r="A844" s="179"/>
      <c r="B844" s="98"/>
      <c r="C844" s="98"/>
      <c r="D844" s="98"/>
      <c r="E844" s="98"/>
      <c r="F844" s="235"/>
      <c r="G844" s="235"/>
      <c r="H844" s="236"/>
      <c r="I844" s="236"/>
      <c r="J844" s="236"/>
      <c r="K844" s="236"/>
      <c r="L844" s="236"/>
      <c r="M844" s="236"/>
      <c r="N844" s="236"/>
      <c r="O844" s="236"/>
      <c r="P844" s="236"/>
      <c r="Q844" s="236"/>
      <c r="R844" s="236"/>
      <c r="S844" s="236"/>
      <c r="T844" s="236"/>
      <c r="U844" s="236"/>
      <c r="V844" s="236"/>
      <c r="W844" s="237"/>
      <c r="X844" s="237"/>
      <c r="Y844" s="237"/>
      <c r="Z844" s="237"/>
      <c r="AA844" s="237"/>
      <c r="AB844" s="237"/>
      <c r="AC844" s="237"/>
      <c r="AD844" s="237"/>
      <c r="AE844" s="237"/>
      <c r="AF844" s="237"/>
      <c r="AG844" s="237"/>
      <c r="AH844" s="237"/>
      <c r="AI844" s="308"/>
      <c r="AJ844" s="308"/>
      <c r="AK844" s="308"/>
      <c r="AL844" s="308"/>
      <c r="AM844" s="308"/>
      <c r="AN844" s="98"/>
    </row>
    <row r="845" ht="14.25" customHeight="1">
      <c r="A845" s="179"/>
      <c r="B845" s="98"/>
      <c r="C845" s="98"/>
      <c r="D845" s="98"/>
      <c r="E845" s="98"/>
      <c r="F845" s="235"/>
      <c r="G845" s="235"/>
      <c r="H845" s="236"/>
      <c r="I845" s="236"/>
      <c r="J845" s="236"/>
      <c r="K845" s="236"/>
      <c r="L845" s="236"/>
      <c r="M845" s="236"/>
      <c r="N845" s="236"/>
      <c r="O845" s="236"/>
      <c r="P845" s="236"/>
      <c r="Q845" s="236"/>
      <c r="R845" s="236"/>
      <c r="S845" s="236"/>
      <c r="T845" s="236"/>
      <c r="U845" s="236"/>
      <c r="V845" s="236"/>
      <c r="W845" s="237"/>
      <c r="X845" s="237"/>
      <c r="Y845" s="237"/>
      <c r="Z845" s="237"/>
      <c r="AA845" s="237"/>
      <c r="AB845" s="237"/>
      <c r="AC845" s="237"/>
      <c r="AD845" s="237"/>
      <c r="AE845" s="237"/>
      <c r="AF845" s="237"/>
      <c r="AG845" s="237"/>
      <c r="AH845" s="237"/>
      <c r="AI845" s="308"/>
      <c r="AJ845" s="308"/>
      <c r="AK845" s="308"/>
      <c r="AL845" s="308"/>
      <c r="AM845" s="308"/>
      <c r="AN845" s="98"/>
    </row>
    <row r="846" ht="14.25" customHeight="1">
      <c r="A846" s="179"/>
      <c r="B846" s="98"/>
      <c r="C846" s="98"/>
      <c r="D846" s="98"/>
      <c r="E846" s="98"/>
      <c r="F846" s="235"/>
      <c r="G846" s="235"/>
      <c r="H846" s="236"/>
      <c r="I846" s="236"/>
      <c r="J846" s="236"/>
      <c r="K846" s="236"/>
      <c r="L846" s="236"/>
      <c r="M846" s="236"/>
      <c r="N846" s="236"/>
      <c r="O846" s="236"/>
      <c r="P846" s="236"/>
      <c r="Q846" s="236"/>
      <c r="R846" s="236"/>
      <c r="S846" s="236"/>
      <c r="T846" s="236"/>
      <c r="U846" s="236"/>
      <c r="V846" s="236"/>
      <c r="W846" s="237"/>
      <c r="X846" s="237"/>
      <c r="Y846" s="237"/>
      <c r="Z846" s="237"/>
      <c r="AA846" s="237"/>
      <c r="AB846" s="237"/>
      <c r="AC846" s="237"/>
      <c r="AD846" s="237"/>
      <c r="AE846" s="237"/>
      <c r="AF846" s="237"/>
      <c r="AG846" s="237"/>
      <c r="AH846" s="237"/>
      <c r="AI846" s="308"/>
      <c r="AJ846" s="308"/>
      <c r="AK846" s="308"/>
      <c r="AL846" s="308"/>
      <c r="AM846" s="308"/>
      <c r="AN846" s="98"/>
    </row>
    <row r="847" ht="14.25" customHeight="1">
      <c r="A847" s="179"/>
      <c r="B847" s="98"/>
      <c r="C847" s="98"/>
      <c r="D847" s="98"/>
      <c r="E847" s="98"/>
      <c r="F847" s="235"/>
      <c r="G847" s="235"/>
      <c r="H847" s="236"/>
      <c r="I847" s="236"/>
      <c r="J847" s="236"/>
      <c r="K847" s="236"/>
      <c r="L847" s="236"/>
      <c r="M847" s="236"/>
      <c r="N847" s="236"/>
      <c r="O847" s="236"/>
      <c r="P847" s="236"/>
      <c r="Q847" s="236"/>
      <c r="R847" s="236"/>
      <c r="S847" s="236"/>
      <c r="T847" s="236"/>
      <c r="U847" s="236"/>
      <c r="V847" s="236"/>
      <c r="W847" s="237"/>
      <c r="X847" s="237"/>
      <c r="Y847" s="237"/>
      <c r="Z847" s="237"/>
      <c r="AA847" s="237"/>
      <c r="AB847" s="237"/>
      <c r="AC847" s="237"/>
      <c r="AD847" s="237"/>
      <c r="AE847" s="237"/>
      <c r="AF847" s="237"/>
      <c r="AG847" s="237"/>
      <c r="AH847" s="237"/>
      <c r="AI847" s="308"/>
      <c r="AJ847" s="308"/>
      <c r="AK847" s="308"/>
      <c r="AL847" s="308"/>
      <c r="AM847" s="308"/>
      <c r="AN847" s="98"/>
    </row>
    <row r="848" ht="14.25" customHeight="1">
      <c r="A848" s="179"/>
      <c r="B848" s="98"/>
      <c r="C848" s="98"/>
      <c r="D848" s="98"/>
      <c r="E848" s="98"/>
      <c r="F848" s="235"/>
      <c r="G848" s="235"/>
      <c r="H848" s="236"/>
      <c r="I848" s="236"/>
      <c r="J848" s="236"/>
      <c r="K848" s="236"/>
      <c r="L848" s="236"/>
      <c r="M848" s="236"/>
      <c r="N848" s="236"/>
      <c r="O848" s="236"/>
      <c r="P848" s="236"/>
      <c r="Q848" s="236"/>
      <c r="R848" s="236"/>
      <c r="S848" s="236"/>
      <c r="T848" s="236"/>
      <c r="U848" s="236"/>
      <c r="V848" s="236"/>
      <c r="W848" s="237"/>
      <c r="X848" s="237"/>
      <c r="Y848" s="237"/>
      <c r="Z848" s="237"/>
      <c r="AA848" s="237"/>
      <c r="AB848" s="237"/>
      <c r="AC848" s="237"/>
      <c r="AD848" s="237"/>
      <c r="AE848" s="237"/>
      <c r="AF848" s="237"/>
      <c r="AG848" s="237"/>
      <c r="AH848" s="237"/>
      <c r="AI848" s="308"/>
      <c r="AJ848" s="308"/>
      <c r="AK848" s="308"/>
      <c r="AL848" s="308"/>
      <c r="AM848" s="308"/>
      <c r="AN848" s="98"/>
    </row>
    <row r="849" ht="14.25" customHeight="1">
      <c r="A849" s="179"/>
      <c r="B849" s="98"/>
      <c r="C849" s="98"/>
      <c r="D849" s="98"/>
      <c r="E849" s="98"/>
      <c r="F849" s="235"/>
      <c r="G849" s="235"/>
      <c r="H849" s="236"/>
      <c r="I849" s="236"/>
      <c r="J849" s="236"/>
      <c r="K849" s="236"/>
      <c r="L849" s="236"/>
      <c r="M849" s="236"/>
      <c r="N849" s="236"/>
      <c r="O849" s="236"/>
      <c r="P849" s="236"/>
      <c r="Q849" s="236"/>
      <c r="R849" s="236"/>
      <c r="S849" s="236"/>
      <c r="T849" s="236"/>
      <c r="U849" s="236"/>
      <c r="V849" s="236"/>
      <c r="W849" s="237"/>
      <c r="X849" s="237"/>
      <c r="Y849" s="237"/>
      <c r="Z849" s="237"/>
      <c r="AA849" s="237"/>
      <c r="AB849" s="237"/>
      <c r="AC849" s="237"/>
      <c r="AD849" s="237"/>
      <c r="AE849" s="237"/>
      <c r="AF849" s="237"/>
      <c r="AG849" s="237"/>
      <c r="AH849" s="237"/>
      <c r="AI849" s="308"/>
      <c r="AJ849" s="308"/>
      <c r="AK849" s="308"/>
      <c r="AL849" s="308"/>
      <c r="AM849" s="308"/>
      <c r="AN849" s="98"/>
    </row>
    <row r="850" ht="14.25" customHeight="1">
      <c r="A850" s="179"/>
      <c r="B850" s="98"/>
      <c r="C850" s="98"/>
      <c r="D850" s="98"/>
      <c r="E850" s="98"/>
      <c r="F850" s="235"/>
      <c r="G850" s="235"/>
      <c r="H850" s="236"/>
      <c r="I850" s="236"/>
      <c r="J850" s="236"/>
      <c r="K850" s="236"/>
      <c r="L850" s="236"/>
      <c r="M850" s="236"/>
      <c r="N850" s="236"/>
      <c r="O850" s="236"/>
      <c r="P850" s="236"/>
      <c r="Q850" s="236"/>
      <c r="R850" s="236"/>
      <c r="S850" s="236"/>
      <c r="T850" s="236"/>
      <c r="U850" s="236"/>
      <c r="V850" s="236"/>
      <c r="W850" s="237"/>
      <c r="X850" s="237"/>
      <c r="Y850" s="237"/>
      <c r="Z850" s="237"/>
      <c r="AA850" s="237"/>
      <c r="AB850" s="237"/>
      <c r="AC850" s="237"/>
      <c r="AD850" s="237"/>
      <c r="AE850" s="237"/>
      <c r="AF850" s="237"/>
      <c r="AG850" s="237"/>
      <c r="AH850" s="237"/>
      <c r="AI850" s="308"/>
      <c r="AJ850" s="308"/>
      <c r="AK850" s="308"/>
      <c r="AL850" s="308"/>
      <c r="AM850" s="308"/>
      <c r="AN850" s="98"/>
    </row>
    <row r="851" ht="14.25" customHeight="1">
      <c r="A851" s="179"/>
      <c r="B851" s="98"/>
      <c r="C851" s="98"/>
      <c r="D851" s="98"/>
      <c r="E851" s="98"/>
      <c r="F851" s="235"/>
      <c r="G851" s="235"/>
      <c r="H851" s="236"/>
      <c r="I851" s="236"/>
      <c r="J851" s="236"/>
      <c r="K851" s="236"/>
      <c r="L851" s="236"/>
      <c r="M851" s="236"/>
      <c r="N851" s="236"/>
      <c r="O851" s="236"/>
      <c r="P851" s="236"/>
      <c r="Q851" s="236"/>
      <c r="R851" s="236"/>
      <c r="S851" s="236"/>
      <c r="T851" s="236"/>
      <c r="U851" s="236"/>
      <c r="V851" s="236"/>
      <c r="W851" s="237"/>
      <c r="X851" s="237"/>
      <c r="Y851" s="237"/>
      <c r="Z851" s="237"/>
      <c r="AA851" s="237"/>
      <c r="AB851" s="237"/>
      <c r="AC851" s="237"/>
      <c r="AD851" s="237"/>
      <c r="AE851" s="237"/>
      <c r="AF851" s="237"/>
      <c r="AG851" s="237"/>
      <c r="AH851" s="237"/>
      <c r="AI851" s="308"/>
      <c r="AJ851" s="308"/>
      <c r="AK851" s="308"/>
      <c r="AL851" s="308"/>
      <c r="AM851" s="308"/>
      <c r="AN851" s="98"/>
    </row>
    <row r="852" ht="14.25" customHeight="1">
      <c r="A852" s="179"/>
      <c r="B852" s="98"/>
      <c r="C852" s="98"/>
      <c r="D852" s="98"/>
      <c r="E852" s="98"/>
      <c r="F852" s="235"/>
      <c r="G852" s="235"/>
      <c r="H852" s="236"/>
      <c r="I852" s="236"/>
      <c r="J852" s="236"/>
      <c r="K852" s="236"/>
      <c r="L852" s="236"/>
      <c r="M852" s="236"/>
      <c r="N852" s="236"/>
      <c r="O852" s="236"/>
      <c r="P852" s="236"/>
      <c r="Q852" s="236"/>
      <c r="R852" s="236"/>
      <c r="S852" s="236"/>
      <c r="T852" s="236"/>
      <c r="U852" s="236"/>
      <c r="V852" s="236"/>
      <c r="W852" s="237"/>
      <c r="X852" s="237"/>
      <c r="Y852" s="237"/>
      <c r="Z852" s="237"/>
      <c r="AA852" s="237"/>
      <c r="AB852" s="237"/>
      <c r="AC852" s="237"/>
      <c r="AD852" s="237"/>
      <c r="AE852" s="237"/>
      <c r="AF852" s="237"/>
      <c r="AG852" s="237"/>
      <c r="AH852" s="237"/>
      <c r="AI852" s="308"/>
      <c r="AJ852" s="308"/>
      <c r="AK852" s="308"/>
      <c r="AL852" s="308"/>
      <c r="AM852" s="308"/>
      <c r="AN852" s="98"/>
    </row>
    <row r="853" ht="14.25" customHeight="1">
      <c r="A853" s="179"/>
      <c r="B853" s="98"/>
      <c r="C853" s="98"/>
      <c r="D853" s="98"/>
      <c r="E853" s="98"/>
      <c r="F853" s="235"/>
      <c r="G853" s="235"/>
      <c r="H853" s="236"/>
      <c r="I853" s="236"/>
      <c r="J853" s="236"/>
      <c r="K853" s="236"/>
      <c r="L853" s="236"/>
      <c r="M853" s="236"/>
      <c r="N853" s="236"/>
      <c r="O853" s="236"/>
      <c r="P853" s="236"/>
      <c r="Q853" s="236"/>
      <c r="R853" s="236"/>
      <c r="S853" s="236"/>
      <c r="T853" s="236"/>
      <c r="U853" s="236"/>
      <c r="V853" s="236"/>
      <c r="W853" s="237"/>
      <c r="X853" s="237"/>
      <c r="Y853" s="237"/>
      <c r="Z853" s="237"/>
      <c r="AA853" s="237"/>
      <c r="AB853" s="237"/>
      <c r="AC853" s="237"/>
      <c r="AD853" s="237"/>
      <c r="AE853" s="237"/>
      <c r="AF853" s="237"/>
      <c r="AG853" s="237"/>
      <c r="AH853" s="237"/>
      <c r="AI853" s="308"/>
      <c r="AJ853" s="308"/>
      <c r="AK853" s="308"/>
      <c r="AL853" s="308"/>
      <c r="AM853" s="308"/>
      <c r="AN853" s="98"/>
    </row>
    <row r="854" ht="14.25" customHeight="1">
      <c r="A854" s="179"/>
      <c r="B854" s="98"/>
      <c r="C854" s="98"/>
      <c r="D854" s="98"/>
      <c r="E854" s="98"/>
      <c r="F854" s="235"/>
      <c r="G854" s="235"/>
      <c r="H854" s="236"/>
      <c r="I854" s="236"/>
      <c r="J854" s="236"/>
      <c r="K854" s="236"/>
      <c r="L854" s="236"/>
      <c r="M854" s="236"/>
      <c r="N854" s="236"/>
      <c r="O854" s="236"/>
      <c r="P854" s="236"/>
      <c r="Q854" s="236"/>
      <c r="R854" s="236"/>
      <c r="S854" s="236"/>
      <c r="T854" s="236"/>
      <c r="U854" s="236"/>
      <c r="V854" s="236"/>
      <c r="W854" s="237"/>
      <c r="X854" s="237"/>
      <c r="Y854" s="237"/>
      <c r="Z854" s="237"/>
      <c r="AA854" s="237"/>
      <c r="AB854" s="237"/>
      <c r="AC854" s="237"/>
      <c r="AD854" s="237"/>
      <c r="AE854" s="237"/>
      <c r="AF854" s="237"/>
      <c r="AG854" s="237"/>
      <c r="AH854" s="237"/>
      <c r="AI854" s="308"/>
      <c r="AJ854" s="308"/>
      <c r="AK854" s="308"/>
      <c r="AL854" s="308"/>
      <c r="AM854" s="308"/>
      <c r="AN854" s="98"/>
    </row>
    <row r="855" ht="14.25" customHeight="1">
      <c r="A855" s="179"/>
      <c r="B855" s="98"/>
      <c r="C855" s="98"/>
      <c r="D855" s="98"/>
      <c r="E855" s="98"/>
      <c r="F855" s="235"/>
      <c r="G855" s="235"/>
      <c r="H855" s="236"/>
      <c r="I855" s="236"/>
      <c r="J855" s="236"/>
      <c r="K855" s="236"/>
      <c r="L855" s="236"/>
      <c r="M855" s="236"/>
      <c r="N855" s="236"/>
      <c r="O855" s="236"/>
      <c r="P855" s="236"/>
      <c r="Q855" s="236"/>
      <c r="R855" s="236"/>
      <c r="S855" s="236"/>
      <c r="T855" s="236"/>
      <c r="U855" s="236"/>
      <c r="V855" s="236"/>
      <c r="W855" s="237"/>
      <c r="X855" s="237"/>
      <c r="Y855" s="237"/>
      <c r="Z855" s="237"/>
      <c r="AA855" s="237"/>
      <c r="AB855" s="237"/>
      <c r="AC855" s="237"/>
      <c r="AD855" s="237"/>
      <c r="AE855" s="237"/>
      <c r="AF855" s="237"/>
      <c r="AG855" s="237"/>
      <c r="AH855" s="237"/>
      <c r="AI855" s="308"/>
      <c r="AJ855" s="308"/>
      <c r="AK855" s="308"/>
      <c r="AL855" s="308"/>
      <c r="AM855" s="308"/>
      <c r="AN855" s="98"/>
    </row>
    <row r="856" ht="14.25" customHeight="1">
      <c r="A856" s="179"/>
      <c r="B856" s="98"/>
      <c r="C856" s="98"/>
      <c r="D856" s="98"/>
      <c r="E856" s="98"/>
      <c r="F856" s="235"/>
      <c r="G856" s="235"/>
      <c r="H856" s="236"/>
      <c r="I856" s="236"/>
      <c r="J856" s="236"/>
      <c r="K856" s="236"/>
      <c r="L856" s="236"/>
      <c r="M856" s="236"/>
      <c r="N856" s="236"/>
      <c r="O856" s="236"/>
      <c r="P856" s="236"/>
      <c r="Q856" s="236"/>
      <c r="R856" s="236"/>
      <c r="S856" s="236"/>
      <c r="T856" s="236"/>
      <c r="U856" s="236"/>
      <c r="V856" s="236"/>
      <c r="W856" s="237"/>
      <c r="X856" s="237"/>
      <c r="Y856" s="237"/>
      <c r="Z856" s="237"/>
      <c r="AA856" s="237"/>
      <c r="AB856" s="237"/>
      <c r="AC856" s="237"/>
      <c r="AD856" s="237"/>
      <c r="AE856" s="237"/>
      <c r="AF856" s="237"/>
      <c r="AG856" s="237"/>
      <c r="AH856" s="237"/>
      <c r="AI856" s="308"/>
      <c r="AJ856" s="308"/>
      <c r="AK856" s="308"/>
      <c r="AL856" s="308"/>
      <c r="AM856" s="308"/>
      <c r="AN856" s="98"/>
    </row>
    <row r="857" ht="14.25" customHeight="1">
      <c r="A857" s="179"/>
      <c r="B857" s="98"/>
      <c r="C857" s="98"/>
      <c r="D857" s="98"/>
      <c r="E857" s="98"/>
      <c r="F857" s="235"/>
      <c r="G857" s="235"/>
      <c r="H857" s="236"/>
      <c r="I857" s="236"/>
      <c r="J857" s="236"/>
      <c r="K857" s="236"/>
      <c r="L857" s="236"/>
      <c r="M857" s="236"/>
      <c r="N857" s="236"/>
      <c r="O857" s="236"/>
      <c r="P857" s="236"/>
      <c r="Q857" s="236"/>
      <c r="R857" s="236"/>
      <c r="S857" s="236"/>
      <c r="T857" s="236"/>
      <c r="U857" s="236"/>
      <c r="V857" s="236"/>
      <c r="W857" s="237"/>
      <c r="X857" s="237"/>
      <c r="Y857" s="237"/>
      <c r="Z857" s="237"/>
      <c r="AA857" s="237"/>
      <c r="AB857" s="237"/>
      <c r="AC857" s="237"/>
      <c r="AD857" s="237"/>
      <c r="AE857" s="237"/>
      <c r="AF857" s="237"/>
      <c r="AG857" s="237"/>
      <c r="AH857" s="237"/>
      <c r="AI857" s="308"/>
      <c r="AJ857" s="308"/>
      <c r="AK857" s="308"/>
      <c r="AL857" s="308"/>
      <c r="AM857" s="308"/>
      <c r="AN857" s="98"/>
    </row>
    <row r="858" ht="14.25" customHeight="1">
      <c r="A858" s="179"/>
      <c r="B858" s="98"/>
      <c r="C858" s="98"/>
      <c r="D858" s="98"/>
      <c r="E858" s="98"/>
      <c r="F858" s="235"/>
      <c r="G858" s="235"/>
      <c r="H858" s="236"/>
      <c r="I858" s="236"/>
      <c r="J858" s="236"/>
      <c r="K858" s="236"/>
      <c r="L858" s="236"/>
      <c r="M858" s="236"/>
      <c r="N858" s="236"/>
      <c r="O858" s="236"/>
      <c r="P858" s="236"/>
      <c r="Q858" s="236"/>
      <c r="R858" s="236"/>
      <c r="S858" s="236"/>
      <c r="T858" s="236"/>
      <c r="U858" s="236"/>
      <c r="V858" s="236"/>
      <c r="W858" s="237"/>
      <c r="X858" s="237"/>
      <c r="Y858" s="237"/>
      <c r="Z858" s="237"/>
      <c r="AA858" s="237"/>
      <c r="AB858" s="237"/>
      <c r="AC858" s="237"/>
      <c r="AD858" s="237"/>
      <c r="AE858" s="237"/>
      <c r="AF858" s="237"/>
      <c r="AG858" s="237"/>
      <c r="AH858" s="237"/>
      <c r="AI858" s="308"/>
      <c r="AJ858" s="308"/>
      <c r="AK858" s="308"/>
      <c r="AL858" s="308"/>
      <c r="AM858" s="308"/>
      <c r="AN858" s="98"/>
    </row>
    <row r="859" ht="14.25" customHeight="1">
      <c r="A859" s="179"/>
      <c r="B859" s="98"/>
      <c r="C859" s="98"/>
      <c r="D859" s="98"/>
      <c r="E859" s="98"/>
      <c r="F859" s="235"/>
      <c r="G859" s="235"/>
      <c r="H859" s="236"/>
      <c r="I859" s="236"/>
      <c r="J859" s="236"/>
      <c r="K859" s="236"/>
      <c r="L859" s="236"/>
      <c r="M859" s="236"/>
      <c r="N859" s="236"/>
      <c r="O859" s="236"/>
      <c r="P859" s="236"/>
      <c r="Q859" s="236"/>
      <c r="R859" s="236"/>
      <c r="S859" s="236"/>
      <c r="T859" s="236"/>
      <c r="U859" s="236"/>
      <c r="V859" s="236"/>
      <c r="W859" s="237"/>
      <c r="X859" s="237"/>
      <c r="Y859" s="237"/>
      <c r="Z859" s="237"/>
      <c r="AA859" s="237"/>
      <c r="AB859" s="237"/>
      <c r="AC859" s="237"/>
      <c r="AD859" s="237"/>
      <c r="AE859" s="237"/>
      <c r="AF859" s="237"/>
      <c r="AG859" s="237"/>
      <c r="AH859" s="237"/>
      <c r="AI859" s="308"/>
      <c r="AJ859" s="308"/>
      <c r="AK859" s="308"/>
      <c r="AL859" s="308"/>
      <c r="AM859" s="308"/>
      <c r="AN859" s="98"/>
    </row>
    <row r="860" ht="14.25" customHeight="1">
      <c r="A860" s="179"/>
      <c r="B860" s="98"/>
      <c r="C860" s="98"/>
      <c r="D860" s="98"/>
      <c r="E860" s="98"/>
      <c r="F860" s="235"/>
      <c r="G860" s="235"/>
      <c r="H860" s="236"/>
      <c r="I860" s="236"/>
      <c r="J860" s="236"/>
      <c r="K860" s="236"/>
      <c r="L860" s="236"/>
      <c r="M860" s="236"/>
      <c r="N860" s="236"/>
      <c r="O860" s="236"/>
      <c r="P860" s="236"/>
      <c r="Q860" s="236"/>
      <c r="R860" s="236"/>
      <c r="S860" s="236"/>
      <c r="T860" s="236"/>
      <c r="U860" s="236"/>
      <c r="V860" s="236"/>
      <c r="W860" s="237"/>
      <c r="X860" s="237"/>
      <c r="Y860" s="237"/>
      <c r="Z860" s="237"/>
      <c r="AA860" s="237"/>
      <c r="AB860" s="237"/>
      <c r="AC860" s="237"/>
      <c r="AD860" s="237"/>
      <c r="AE860" s="237"/>
      <c r="AF860" s="237"/>
      <c r="AG860" s="237"/>
      <c r="AH860" s="237"/>
      <c r="AI860" s="308"/>
      <c r="AJ860" s="308"/>
      <c r="AK860" s="308"/>
      <c r="AL860" s="308"/>
      <c r="AM860" s="308"/>
      <c r="AN860" s="98"/>
    </row>
    <row r="861" ht="14.25" customHeight="1">
      <c r="A861" s="179"/>
      <c r="B861" s="98"/>
      <c r="C861" s="98"/>
      <c r="D861" s="98"/>
      <c r="E861" s="98"/>
      <c r="F861" s="235"/>
      <c r="G861" s="235"/>
      <c r="H861" s="236"/>
      <c r="I861" s="236"/>
      <c r="J861" s="236"/>
      <c r="K861" s="236"/>
      <c r="L861" s="236"/>
      <c r="M861" s="236"/>
      <c r="N861" s="236"/>
      <c r="O861" s="236"/>
      <c r="P861" s="236"/>
      <c r="Q861" s="236"/>
      <c r="R861" s="236"/>
      <c r="S861" s="236"/>
      <c r="T861" s="236"/>
      <c r="U861" s="236"/>
      <c r="V861" s="236"/>
      <c r="W861" s="237"/>
      <c r="X861" s="237"/>
      <c r="Y861" s="237"/>
      <c r="Z861" s="237"/>
      <c r="AA861" s="237"/>
      <c r="AB861" s="237"/>
      <c r="AC861" s="237"/>
      <c r="AD861" s="237"/>
      <c r="AE861" s="237"/>
      <c r="AF861" s="237"/>
      <c r="AG861" s="237"/>
      <c r="AH861" s="237"/>
      <c r="AI861" s="308"/>
      <c r="AJ861" s="308"/>
      <c r="AK861" s="308"/>
      <c r="AL861" s="308"/>
      <c r="AM861" s="308"/>
      <c r="AN861" s="98"/>
    </row>
    <row r="862" ht="14.25" customHeight="1">
      <c r="A862" s="179"/>
      <c r="B862" s="98"/>
      <c r="C862" s="98"/>
      <c r="D862" s="98"/>
      <c r="E862" s="98"/>
      <c r="F862" s="235"/>
      <c r="G862" s="235"/>
      <c r="H862" s="236"/>
      <c r="I862" s="236"/>
      <c r="J862" s="236"/>
      <c r="K862" s="236"/>
      <c r="L862" s="236"/>
      <c r="M862" s="236"/>
      <c r="N862" s="236"/>
      <c r="O862" s="236"/>
      <c r="P862" s="236"/>
      <c r="Q862" s="236"/>
      <c r="R862" s="236"/>
      <c r="S862" s="236"/>
      <c r="T862" s="236"/>
      <c r="U862" s="236"/>
      <c r="V862" s="236"/>
      <c r="W862" s="237"/>
      <c r="X862" s="237"/>
      <c r="Y862" s="237"/>
      <c r="Z862" s="237"/>
      <c r="AA862" s="237"/>
      <c r="AB862" s="237"/>
      <c r="AC862" s="237"/>
      <c r="AD862" s="237"/>
      <c r="AE862" s="237"/>
      <c r="AF862" s="237"/>
      <c r="AG862" s="237"/>
      <c r="AH862" s="237"/>
      <c r="AI862" s="308"/>
      <c r="AJ862" s="308"/>
      <c r="AK862" s="308"/>
      <c r="AL862" s="308"/>
      <c r="AM862" s="308"/>
      <c r="AN862" s="98"/>
    </row>
    <row r="863" ht="14.25" customHeight="1">
      <c r="A863" s="179"/>
      <c r="B863" s="98"/>
      <c r="C863" s="98"/>
      <c r="D863" s="98"/>
      <c r="E863" s="98"/>
      <c r="F863" s="235"/>
      <c r="G863" s="235"/>
      <c r="H863" s="236"/>
      <c r="I863" s="236"/>
      <c r="J863" s="236"/>
      <c r="K863" s="236"/>
      <c r="L863" s="236"/>
      <c r="M863" s="236"/>
      <c r="N863" s="236"/>
      <c r="O863" s="236"/>
      <c r="P863" s="236"/>
      <c r="Q863" s="236"/>
      <c r="R863" s="236"/>
      <c r="S863" s="236"/>
      <c r="T863" s="236"/>
      <c r="U863" s="236"/>
      <c r="V863" s="236"/>
      <c r="W863" s="237"/>
      <c r="X863" s="237"/>
      <c r="Y863" s="237"/>
      <c r="Z863" s="237"/>
      <c r="AA863" s="237"/>
      <c r="AB863" s="237"/>
      <c r="AC863" s="237"/>
      <c r="AD863" s="237"/>
      <c r="AE863" s="237"/>
      <c r="AF863" s="237"/>
      <c r="AG863" s="237"/>
      <c r="AH863" s="237"/>
      <c r="AI863" s="308"/>
      <c r="AJ863" s="308"/>
      <c r="AK863" s="308"/>
      <c r="AL863" s="308"/>
      <c r="AM863" s="308"/>
      <c r="AN863" s="98"/>
    </row>
    <row r="864" ht="14.25" customHeight="1">
      <c r="A864" s="179"/>
      <c r="B864" s="98"/>
      <c r="C864" s="98"/>
      <c r="D864" s="98"/>
      <c r="E864" s="98"/>
      <c r="F864" s="235"/>
      <c r="G864" s="235"/>
      <c r="H864" s="236"/>
      <c r="I864" s="236"/>
      <c r="J864" s="236"/>
      <c r="K864" s="236"/>
      <c r="L864" s="236"/>
      <c r="M864" s="236"/>
      <c r="N864" s="236"/>
      <c r="O864" s="236"/>
      <c r="P864" s="236"/>
      <c r="Q864" s="236"/>
      <c r="R864" s="236"/>
      <c r="S864" s="236"/>
      <c r="T864" s="236"/>
      <c r="U864" s="236"/>
      <c r="V864" s="236"/>
      <c r="W864" s="237"/>
      <c r="X864" s="237"/>
      <c r="Y864" s="237"/>
      <c r="Z864" s="237"/>
      <c r="AA864" s="237"/>
      <c r="AB864" s="237"/>
      <c r="AC864" s="237"/>
      <c r="AD864" s="237"/>
      <c r="AE864" s="237"/>
      <c r="AF864" s="237"/>
      <c r="AG864" s="237"/>
      <c r="AH864" s="237"/>
      <c r="AI864" s="308"/>
      <c r="AJ864" s="308"/>
      <c r="AK864" s="308"/>
      <c r="AL864" s="308"/>
      <c r="AM864" s="308"/>
      <c r="AN864" s="98"/>
    </row>
    <row r="865" ht="14.25" customHeight="1">
      <c r="A865" s="179"/>
      <c r="B865" s="98"/>
      <c r="C865" s="98"/>
      <c r="D865" s="98"/>
      <c r="E865" s="98"/>
      <c r="F865" s="235"/>
      <c r="G865" s="235"/>
      <c r="H865" s="236"/>
      <c r="I865" s="236"/>
      <c r="J865" s="236"/>
      <c r="K865" s="236"/>
      <c r="L865" s="236"/>
      <c r="M865" s="236"/>
      <c r="N865" s="236"/>
      <c r="O865" s="236"/>
      <c r="P865" s="236"/>
      <c r="Q865" s="236"/>
      <c r="R865" s="236"/>
      <c r="S865" s="236"/>
      <c r="T865" s="236"/>
      <c r="U865" s="236"/>
      <c r="V865" s="236"/>
      <c r="W865" s="237"/>
      <c r="X865" s="237"/>
      <c r="Y865" s="237"/>
      <c r="Z865" s="237"/>
      <c r="AA865" s="237"/>
      <c r="AB865" s="237"/>
      <c r="AC865" s="237"/>
      <c r="AD865" s="237"/>
      <c r="AE865" s="237"/>
      <c r="AF865" s="237"/>
      <c r="AG865" s="237"/>
      <c r="AH865" s="237"/>
      <c r="AI865" s="308"/>
      <c r="AJ865" s="308"/>
      <c r="AK865" s="308"/>
      <c r="AL865" s="308"/>
      <c r="AM865" s="308"/>
      <c r="AN865" s="98"/>
    </row>
    <row r="866" ht="14.25" customHeight="1">
      <c r="A866" s="179"/>
      <c r="B866" s="98"/>
      <c r="C866" s="98"/>
      <c r="D866" s="98"/>
      <c r="E866" s="98"/>
      <c r="F866" s="235"/>
      <c r="G866" s="235"/>
      <c r="H866" s="236"/>
      <c r="I866" s="236"/>
      <c r="J866" s="236"/>
      <c r="K866" s="236"/>
      <c r="L866" s="236"/>
      <c r="M866" s="236"/>
      <c r="N866" s="236"/>
      <c r="O866" s="236"/>
      <c r="P866" s="236"/>
      <c r="Q866" s="236"/>
      <c r="R866" s="236"/>
      <c r="S866" s="236"/>
      <c r="T866" s="236"/>
      <c r="U866" s="236"/>
      <c r="V866" s="236"/>
      <c r="W866" s="237"/>
      <c r="X866" s="237"/>
      <c r="Y866" s="237"/>
      <c r="Z866" s="237"/>
      <c r="AA866" s="237"/>
      <c r="AB866" s="237"/>
      <c r="AC866" s="237"/>
      <c r="AD866" s="237"/>
      <c r="AE866" s="237"/>
      <c r="AF866" s="237"/>
      <c r="AG866" s="237"/>
      <c r="AH866" s="237"/>
      <c r="AI866" s="308"/>
      <c r="AJ866" s="308"/>
      <c r="AK866" s="308"/>
      <c r="AL866" s="308"/>
      <c r="AM866" s="308"/>
      <c r="AN866" s="98"/>
    </row>
    <row r="867" ht="14.25" customHeight="1">
      <c r="A867" s="179"/>
      <c r="B867" s="98"/>
      <c r="C867" s="98"/>
      <c r="D867" s="98"/>
      <c r="E867" s="98"/>
      <c r="F867" s="235"/>
      <c r="G867" s="235"/>
      <c r="H867" s="236"/>
      <c r="I867" s="236"/>
      <c r="J867" s="236"/>
      <c r="K867" s="236"/>
      <c r="L867" s="236"/>
      <c r="M867" s="236"/>
      <c r="N867" s="236"/>
      <c r="O867" s="236"/>
      <c r="P867" s="236"/>
      <c r="Q867" s="236"/>
      <c r="R867" s="236"/>
      <c r="S867" s="236"/>
      <c r="T867" s="236"/>
      <c r="U867" s="236"/>
      <c r="V867" s="236"/>
      <c r="W867" s="237"/>
      <c r="X867" s="237"/>
      <c r="Y867" s="237"/>
      <c r="Z867" s="237"/>
      <c r="AA867" s="237"/>
      <c r="AB867" s="237"/>
      <c r="AC867" s="237"/>
      <c r="AD867" s="237"/>
      <c r="AE867" s="237"/>
      <c r="AF867" s="237"/>
      <c r="AG867" s="237"/>
      <c r="AH867" s="237"/>
      <c r="AI867" s="308"/>
      <c r="AJ867" s="308"/>
      <c r="AK867" s="308"/>
      <c r="AL867" s="308"/>
      <c r="AM867" s="308"/>
      <c r="AN867" s="98"/>
    </row>
    <row r="868" ht="14.25" customHeight="1">
      <c r="A868" s="179"/>
      <c r="B868" s="98"/>
      <c r="C868" s="98"/>
      <c r="D868" s="98"/>
      <c r="E868" s="98"/>
      <c r="F868" s="235"/>
      <c r="G868" s="235"/>
      <c r="H868" s="236"/>
      <c r="I868" s="236"/>
      <c r="J868" s="236"/>
      <c r="K868" s="236"/>
      <c r="L868" s="236"/>
      <c r="M868" s="236"/>
      <c r="N868" s="236"/>
      <c r="O868" s="236"/>
      <c r="P868" s="236"/>
      <c r="Q868" s="236"/>
      <c r="R868" s="236"/>
      <c r="S868" s="236"/>
      <c r="T868" s="236"/>
      <c r="U868" s="236"/>
      <c r="V868" s="236"/>
      <c r="W868" s="237"/>
      <c r="X868" s="237"/>
      <c r="Y868" s="237"/>
      <c r="Z868" s="237"/>
      <c r="AA868" s="237"/>
      <c r="AB868" s="237"/>
      <c r="AC868" s="237"/>
      <c r="AD868" s="237"/>
      <c r="AE868" s="237"/>
      <c r="AF868" s="237"/>
      <c r="AG868" s="237"/>
      <c r="AH868" s="237"/>
      <c r="AI868" s="308"/>
      <c r="AJ868" s="308"/>
      <c r="AK868" s="308"/>
      <c r="AL868" s="308"/>
      <c r="AM868" s="308"/>
      <c r="AN868" s="98"/>
    </row>
    <row r="869" ht="14.25" customHeight="1">
      <c r="A869" s="179"/>
      <c r="B869" s="98"/>
      <c r="C869" s="98"/>
      <c r="D869" s="98"/>
      <c r="E869" s="98"/>
      <c r="F869" s="235"/>
      <c r="G869" s="235"/>
      <c r="H869" s="236"/>
      <c r="I869" s="236"/>
      <c r="J869" s="236"/>
      <c r="K869" s="236"/>
      <c r="L869" s="236"/>
      <c r="M869" s="236"/>
      <c r="N869" s="236"/>
      <c r="O869" s="236"/>
      <c r="P869" s="236"/>
      <c r="Q869" s="236"/>
      <c r="R869" s="236"/>
      <c r="S869" s="236"/>
      <c r="T869" s="236"/>
      <c r="U869" s="236"/>
      <c r="V869" s="236"/>
      <c r="W869" s="237"/>
      <c r="X869" s="237"/>
      <c r="Y869" s="237"/>
      <c r="Z869" s="237"/>
      <c r="AA869" s="237"/>
      <c r="AB869" s="237"/>
      <c r="AC869" s="237"/>
      <c r="AD869" s="237"/>
      <c r="AE869" s="237"/>
      <c r="AF869" s="237"/>
      <c r="AG869" s="237"/>
      <c r="AH869" s="237"/>
      <c r="AI869" s="308"/>
      <c r="AJ869" s="308"/>
      <c r="AK869" s="308"/>
      <c r="AL869" s="308"/>
      <c r="AM869" s="308"/>
      <c r="AN869" s="98"/>
    </row>
    <row r="870" ht="14.25" customHeight="1">
      <c r="A870" s="179"/>
      <c r="B870" s="98"/>
      <c r="C870" s="98"/>
      <c r="D870" s="98"/>
      <c r="E870" s="98"/>
      <c r="F870" s="235"/>
      <c r="G870" s="235"/>
      <c r="H870" s="236"/>
      <c r="I870" s="236"/>
      <c r="J870" s="236"/>
      <c r="K870" s="236"/>
      <c r="L870" s="236"/>
      <c r="M870" s="236"/>
      <c r="N870" s="236"/>
      <c r="O870" s="236"/>
      <c r="P870" s="236"/>
      <c r="Q870" s="236"/>
      <c r="R870" s="236"/>
      <c r="S870" s="236"/>
      <c r="T870" s="236"/>
      <c r="U870" s="236"/>
      <c r="V870" s="236"/>
      <c r="W870" s="237"/>
      <c r="X870" s="237"/>
      <c r="Y870" s="237"/>
      <c r="Z870" s="237"/>
      <c r="AA870" s="237"/>
      <c r="AB870" s="237"/>
      <c r="AC870" s="237"/>
      <c r="AD870" s="237"/>
      <c r="AE870" s="237"/>
      <c r="AF870" s="237"/>
      <c r="AG870" s="237"/>
      <c r="AH870" s="237"/>
      <c r="AI870" s="308"/>
      <c r="AJ870" s="308"/>
      <c r="AK870" s="308"/>
      <c r="AL870" s="308"/>
      <c r="AM870" s="308"/>
      <c r="AN870" s="98"/>
    </row>
    <row r="871" ht="14.25" customHeight="1">
      <c r="A871" s="179"/>
      <c r="B871" s="98"/>
      <c r="C871" s="98"/>
      <c r="D871" s="98"/>
      <c r="E871" s="98"/>
      <c r="F871" s="235"/>
      <c r="G871" s="235"/>
      <c r="H871" s="236"/>
      <c r="I871" s="236"/>
      <c r="J871" s="236"/>
      <c r="K871" s="236"/>
      <c r="L871" s="236"/>
      <c r="M871" s="236"/>
      <c r="N871" s="236"/>
      <c r="O871" s="236"/>
      <c r="P871" s="236"/>
      <c r="Q871" s="236"/>
      <c r="R871" s="236"/>
      <c r="S871" s="236"/>
      <c r="T871" s="236"/>
      <c r="U871" s="236"/>
      <c r="V871" s="236"/>
      <c r="W871" s="237"/>
      <c r="X871" s="237"/>
      <c r="Y871" s="237"/>
      <c r="Z871" s="237"/>
      <c r="AA871" s="237"/>
      <c r="AB871" s="237"/>
      <c r="AC871" s="237"/>
      <c r="AD871" s="237"/>
      <c r="AE871" s="237"/>
      <c r="AF871" s="237"/>
      <c r="AG871" s="237"/>
      <c r="AH871" s="237"/>
      <c r="AI871" s="308"/>
      <c r="AJ871" s="308"/>
      <c r="AK871" s="308"/>
      <c r="AL871" s="308"/>
      <c r="AM871" s="308"/>
      <c r="AN871" s="98"/>
    </row>
    <row r="872" ht="14.25" customHeight="1">
      <c r="A872" s="179"/>
      <c r="B872" s="98"/>
      <c r="C872" s="98"/>
      <c r="D872" s="98"/>
      <c r="E872" s="98"/>
      <c r="F872" s="235"/>
      <c r="G872" s="235"/>
      <c r="H872" s="236"/>
      <c r="I872" s="236"/>
      <c r="J872" s="236"/>
      <c r="K872" s="236"/>
      <c r="L872" s="236"/>
      <c r="M872" s="236"/>
      <c r="N872" s="236"/>
      <c r="O872" s="236"/>
      <c r="P872" s="236"/>
      <c r="Q872" s="236"/>
      <c r="R872" s="236"/>
      <c r="S872" s="236"/>
      <c r="T872" s="236"/>
      <c r="U872" s="236"/>
      <c r="V872" s="236"/>
      <c r="W872" s="237"/>
      <c r="X872" s="237"/>
      <c r="Y872" s="237"/>
      <c r="Z872" s="237"/>
      <c r="AA872" s="237"/>
      <c r="AB872" s="237"/>
      <c r="AC872" s="237"/>
      <c r="AD872" s="237"/>
      <c r="AE872" s="237"/>
      <c r="AF872" s="237"/>
      <c r="AG872" s="237"/>
      <c r="AH872" s="237"/>
      <c r="AI872" s="308"/>
      <c r="AJ872" s="308"/>
      <c r="AK872" s="308"/>
      <c r="AL872" s="308"/>
      <c r="AM872" s="308"/>
      <c r="AN872" s="98"/>
    </row>
    <row r="873" ht="14.25" customHeight="1">
      <c r="A873" s="179"/>
      <c r="B873" s="98"/>
      <c r="C873" s="98"/>
      <c r="D873" s="98"/>
      <c r="E873" s="98"/>
      <c r="F873" s="235"/>
      <c r="G873" s="235"/>
      <c r="H873" s="236"/>
      <c r="I873" s="236"/>
      <c r="J873" s="236"/>
      <c r="K873" s="236"/>
      <c r="L873" s="236"/>
      <c r="M873" s="236"/>
      <c r="N873" s="236"/>
      <c r="O873" s="236"/>
      <c r="P873" s="236"/>
      <c r="Q873" s="236"/>
      <c r="R873" s="236"/>
      <c r="S873" s="236"/>
      <c r="T873" s="236"/>
      <c r="U873" s="236"/>
      <c r="V873" s="236"/>
      <c r="W873" s="237"/>
      <c r="X873" s="237"/>
      <c r="Y873" s="237"/>
      <c r="Z873" s="237"/>
      <c r="AA873" s="237"/>
      <c r="AB873" s="237"/>
      <c r="AC873" s="237"/>
      <c r="AD873" s="237"/>
      <c r="AE873" s="237"/>
      <c r="AF873" s="237"/>
      <c r="AG873" s="237"/>
      <c r="AH873" s="237"/>
      <c r="AI873" s="308"/>
      <c r="AJ873" s="308"/>
      <c r="AK873" s="308"/>
      <c r="AL873" s="308"/>
      <c r="AM873" s="308"/>
      <c r="AN873" s="98"/>
    </row>
    <row r="874" ht="14.25" customHeight="1">
      <c r="A874" s="179"/>
      <c r="B874" s="98"/>
      <c r="C874" s="98"/>
      <c r="D874" s="98"/>
      <c r="E874" s="98"/>
      <c r="F874" s="235"/>
      <c r="G874" s="235"/>
      <c r="H874" s="236"/>
      <c r="I874" s="236"/>
      <c r="J874" s="236"/>
      <c r="K874" s="236"/>
      <c r="L874" s="236"/>
      <c r="M874" s="236"/>
      <c r="N874" s="236"/>
      <c r="O874" s="236"/>
      <c r="P874" s="236"/>
      <c r="Q874" s="236"/>
      <c r="R874" s="236"/>
      <c r="S874" s="236"/>
      <c r="T874" s="236"/>
      <c r="U874" s="236"/>
      <c r="V874" s="236"/>
      <c r="W874" s="237"/>
      <c r="X874" s="237"/>
      <c r="Y874" s="237"/>
      <c r="Z874" s="237"/>
      <c r="AA874" s="237"/>
      <c r="AB874" s="237"/>
      <c r="AC874" s="237"/>
      <c r="AD874" s="237"/>
      <c r="AE874" s="237"/>
      <c r="AF874" s="237"/>
      <c r="AG874" s="237"/>
      <c r="AH874" s="237"/>
      <c r="AI874" s="308"/>
      <c r="AJ874" s="308"/>
      <c r="AK874" s="308"/>
      <c r="AL874" s="308"/>
      <c r="AM874" s="308"/>
      <c r="AN874" s="98"/>
    </row>
    <row r="875" ht="14.25" customHeight="1">
      <c r="A875" s="179"/>
      <c r="B875" s="98"/>
      <c r="C875" s="98"/>
      <c r="D875" s="98"/>
      <c r="E875" s="98"/>
      <c r="F875" s="235"/>
      <c r="G875" s="235"/>
      <c r="H875" s="236"/>
      <c r="I875" s="236"/>
      <c r="J875" s="236"/>
      <c r="K875" s="236"/>
      <c r="L875" s="236"/>
      <c r="M875" s="236"/>
      <c r="N875" s="236"/>
      <c r="O875" s="236"/>
      <c r="P875" s="236"/>
      <c r="Q875" s="236"/>
      <c r="R875" s="236"/>
      <c r="S875" s="236"/>
      <c r="T875" s="236"/>
      <c r="U875" s="236"/>
      <c r="V875" s="236"/>
      <c r="W875" s="237"/>
      <c r="X875" s="237"/>
      <c r="Y875" s="237"/>
      <c r="Z875" s="237"/>
      <c r="AA875" s="237"/>
      <c r="AB875" s="237"/>
      <c r="AC875" s="237"/>
      <c r="AD875" s="237"/>
      <c r="AE875" s="237"/>
      <c r="AF875" s="237"/>
      <c r="AG875" s="237"/>
      <c r="AH875" s="237"/>
      <c r="AI875" s="308"/>
      <c r="AJ875" s="308"/>
      <c r="AK875" s="308"/>
      <c r="AL875" s="308"/>
      <c r="AM875" s="308"/>
      <c r="AN875" s="98"/>
    </row>
    <row r="876" ht="14.25" customHeight="1">
      <c r="A876" s="179"/>
      <c r="B876" s="98"/>
      <c r="C876" s="98"/>
      <c r="D876" s="98"/>
      <c r="E876" s="98"/>
      <c r="F876" s="235"/>
      <c r="G876" s="235"/>
      <c r="H876" s="236"/>
      <c r="I876" s="236"/>
      <c r="J876" s="236"/>
      <c r="K876" s="236"/>
      <c r="L876" s="236"/>
      <c r="M876" s="236"/>
      <c r="N876" s="236"/>
      <c r="O876" s="236"/>
      <c r="P876" s="236"/>
      <c r="Q876" s="236"/>
      <c r="R876" s="236"/>
      <c r="S876" s="236"/>
      <c r="T876" s="236"/>
      <c r="U876" s="236"/>
      <c r="V876" s="236"/>
      <c r="W876" s="237"/>
      <c r="X876" s="237"/>
      <c r="Y876" s="237"/>
      <c r="Z876" s="237"/>
      <c r="AA876" s="237"/>
      <c r="AB876" s="237"/>
      <c r="AC876" s="237"/>
      <c r="AD876" s="237"/>
      <c r="AE876" s="237"/>
      <c r="AF876" s="237"/>
      <c r="AG876" s="237"/>
      <c r="AH876" s="237"/>
      <c r="AI876" s="308"/>
      <c r="AJ876" s="308"/>
      <c r="AK876" s="308"/>
      <c r="AL876" s="308"/>
      <c r="AM876" s="308"/>
      <c r="AN876" s="98"/>
    </row>
    <row r="877" ht="14.25" customHeight="1">
      <c r="A877" s="179"/>
      <c r="B877" s="98"/>
      <c r="C877" s="98"/>
      <c r="D877" s="98"/>
      <c r="E877" s="98"/>
      <c r="F877" s="235"/>
      <c r="G877" s="235"/>
      <c r="H877" s="236"/>
      <c r="I877" s="236"/>
      <c r="J877" s="236"/>
      <c r="K877" s="236"/>
      <c r="L877" s="236"/>
      <c r="M877" s="236"/>
      <c r="N877" s="236"/>
      <c r="O877" s="236"/>
      <c r="P877" s="236"/>
      <c r="Q877" s="236"/>
      <c r="R877" s="236"/>
      <c r="S877" s="236"/>
      <c r="T877" s="236"/>
      <c r="U877" s="236"/>
      <c r="V877" s="236"/>
      <c r="W877" s="237"/>
      <c r="X877" s="237"/>
      <c r="Y877" s="237"/>
      <c r="Z877" s="237"/>
      <c r="AA877" s="237"/>
      <c r="AB877" s="237"/>
      <c r="AC877" s="237"/>
      <c r="AD877" s="237"/>
      <c r="AE877" s="237"/>
      <c r="AF877" s="237"/>
      <c r="AG877" s="237"/>
      <c r="AH877" s="237"/>
      <c r="AI877" s="308"/>
      <c r="AJ877" s="308"/>
      <c r="AK877" s="308"/>
      <c r="AL877" s="308"/>
      <c r="AM877" s="308"/>
      <c r="AN877" s="98"/>
    </row>
    <row r="878" ht="14.25" customHeight="1">
      <c r="A878" s="179"/>
      <c r="B878" s="98"/>
      <c r="C878" s="98"/>
      <c r="D878" s="98"/>
      <c r="E878" s="98"/>
      <c r="F878" s="235"/>
      <c r="G878" s="235"/>
      <c r="H878" s="236"/>
      <c r="I878" s="236"/>
      <c r="J878" s="236"/>
      <c r="K878" s="236"/>
      <c r="L878" s="236"/>
      <c r="M878" s="236"/>
      <c r="N878" s="236"/>
      <c r="O878" s="236"/>
      <c r="P878" s="236"/>
      <c r="Q878" s="236"/>
      <c r="R878" s="236"/>
      <c r="S878" s="236"/>
      <c r="T878" s="236"/>
      <c r="U878" s="236"/>
      <c r="V878" s="236"/>
      <c r="W878" s="237"/>
      <c r="X878" s="237"/>
      <c r="Y878" s="237"/>
      <c r="Z878" s="237"/>
      <c r="AA878" s="237"/>
      <c r="AB878" s="237"/>
      <c r="AC878" s="237"/>
      <c r="AD878" s="237"/>
      <c r="AE878" s="237"/>
      <c r="AF878" s="237"/>
      <c r="AG878" s="237"/>
      <c r="AH878" s="237"/>
      <c r="AI878" s="308"/>
      <c r="AJ878" s="308"/>
      <c r="AK878" s="308"/>
      <c r="AL878" s="308"/>
      <c r="AM878" s="308"/>
      <c r="AN878" s="98"/>
    </row>
    <row r="879" ht="14.25" customHeight="1">
      <c r="A879" s="179"/>
      <c r="B879" s="98"/>
      <c r="C879" s="98"/>
      <c r="D879" s="98"/>
      <c r="E879" s="98"/>
      <c r="F879" s="235"/>
      <c r="G879" s="235"/>
      <c r="H879" s="236"/>
      <c r="I879" s="236"/>
      <c r="J879" s="236"/>
      <c r="K879" s="236"/>
      <c r="L879" s="236"/>
      <c r="M879" s="236"/>
      <c r="N879" s="236"/>
      <c r="O879" s="236"/>
      <c r="P879" s="236"/>
      <c r="Q879" s="236"/>
      <c r="R879" s="236"/>
      <c r="S879" s="236"/>
      <c r="T879" s="236"/>
      <c r="U879" s="236"/>
      <c r="V879" s="236"/>
      <c r="W879" s="237"/>
      <c r="X879" s="237"/>
      <c r="Y879" s="237"/>
      <c r="Z879" s="237"/>
      <c r="AA879" s="237"/>
      <c r="AB879" s="237"/>
      <c r="AC879" s="237"/>
      <c r="AD879" s="237"/>
      <c r="AE879" s="237"/>
      <c r="AF879" s="237"/>
      <c r="AG879" s="237"/>
      <c r="AH879" s="237"/>
      <c r="AI879" s="308"/>
      <c r="AJ879" s="308"/>
      <c r="AK879" s="308"/>
      <c r="AL879" s="308"/>
      <c r="AM879" s="308"/>
      <c r="AN879" s="98"/>
    </row>
    <row r="880" ht="14.25" customHeight="1">
      <c r="A880" s="179"/>
      <c r="B880" s="98"/>
      <c r="C880" s="98"/>
      <c r="D880" s="98"/>
      <c r="E880" s="98"/>
      <c r="F880" s="235"/>
      <c r="G880" s="235"/>
      <c r="H880" s="236"/>
      <c r="I880" s="236"/>
      <c r="J880" s="236"/>
      <c r="K880" s="236"/>
      <c r="L880" s="236"/>
      <c r="M880" s="236"/>
      <c r="N880" s="236"/>
      <c r="O880" s="236"/>
      <c r="P880" s="236"/>
      <c r="Q880" s="236"/>
      <c r="R880" s="236"/>
      <c r="S880" s="236"/>
      <c r="T880" s="236"/>
      <c r="U880" s="236"/>
      <c r="V880" s="236"/>
      <c r="W880" s="237"/>
      <c r="X880" s="237"/>
      <c r="Y880" s="237"/>
      <c r="Z880" s="237"/>
      <c r="AA880" s="237"/>
      <c r="AB880" s="237"/>
      <c r="AC880" s="237"/>
      <c r="AD880" s="237"/>
      <c r="AE880" s="237"/>
      <c r="AF880" s="237"/>
      <c r="AG880" s="237"/>
      <c r="AH880" s="237"/>
      <c r="AI880" s="308"/>
      <c r="AJ880" s="308"/>
      <c r="AK880" s="308"/>
      <c r="AL880" s="308"/>
      <c r="AM880" s="308"/>
      <c r="AN880" s="98"/>
    </row>
    <row r="881" ht="14.25" customHeight="1">
      <c r="A881" s="179"/>
      <c r="B881" s="98"/>
      <c r="C881" s="98"/>
      <c r="D881" s="98"/>
      <c r="E881" s="98"/>
      <c r="F881" s="235"/>
      <c r="G881" s="235"/>
      <c r="H881" s="236"/>
      <c r="I881" s="236"/>
      <c r="J881" s="236"/>
      <c r="K881" s="236"/>
      <c r="L881" s="236"/>
      <c r="M881" s="236"/>
      <c r="N881" s="236"/>
      <c r="O881" s="236"/>
      <c r="P881" s="236"/>
      <c r="Q881" s="236"/>
      <c r="R881" s="236"/>
      <c r="S881" s="236"/>
      <c r="T881" s="236"/>
      <c r="U881" s="236"/>
      <c r="V881" s="236"/>
      <c r="W881" s="237"/>
      <c r="X881" s="237"/>
      <c r="Y881" s="237"/>
      <c r="Z881" s="237"/>
      <c r="AA881" s="237"/>
      <c r="AB881" s="237"/>
      <c r="AC881" s="237"/>
      <c r="AD881" s="237"/>
      <c r="AE881" s="237"/>
      <c r="AF881" s="237"/>
      <c r="AG881" s="237"/>
      <c r="AH881" s="237"/>
      <c r="AI881" s="308"/>
      <c r="AJ881" s="308"/>
      <c r="AK881" s="308"/>
      <c r="AL881" s="308"/>
      <c r="AM881" s="308"/>
      <c r="AN881" s="98"/>
    </row>
    <row r="882" ht="14.25" customHeight="1">
      <c r="A882" s="179"/>
      <c r="B882" s="98"/>
      <c r="C882" s="98"/>
      <c r="D882" s="98"/>
      <c r="E882" s="98"/>
      <c r="F882" s="235"/>
      <c r="G882" s="235"/>
      <c r="H882" s="236"/>
      <c r="I882" s="236"/>
      <c r="J882" s="236"/>
      <c r="K882" s="236"/>
      <c r="L882" s="236"/>
      <c r="M882" s="236"/>
      <c r="N882" s="236"/>
      <c r="O882" s="236"/>
      <c r="P882" s="236"/>
      <c r="Q882" s="236"/>
      <c r="R882" s="236"/>
      <c r="S882" s="236"/>
      <c r="T882" s="236"/>
      <c r="U882" s="236"/>
      <c r="V882" s="236"/>
      <c r="W882" s="237"/>
      <c r="X882" s="237"/>
      <c r="Y882" s="237"/>
      <c r="Z882" s="237"/>
      <c r="AA882" s="237"/>
      <c r="AB882" s="237"/>
      <c r="AC882" s="237"/>
      <c r="AD882" s="237"/>
      <c r="AE882" s="237"/>
      <c r="AF882" s="237"/>
      <c r="AG882" s="237"/>
      <c r="AH882" s="237"/>
      <c r="AI882" s="308"/>
      <c r="AJ882" s="308"/>
      <c r="AK882" s="308"/>
      <c r="AL882" s="308"/>
      <c r="AM882" s="308"/>
      <c r="AN882" s="98"/>
    </row>
    <row r="883" ht="14.25" customHeight="1">
      <c r="A883" s="179"/>
      <c r="B883" s="98"/>
      <c r="C883" s="98"/>
      <c r="D883" s="98"/>
      <c r="E883" s="98"/>
      <c r="F883" s="235"/>
      <c r="G883" s="235"/>
      <c r="H883" s="236"/>
      <c r="I883" s="236"/>
      <c r="J883" s="236"/>
      <c r="K883" s="236"/>
      <c r="L883" s="236"/>
      <c r="M883" s="236"/>
      <c r="N883" s="236"/>
      <c r="O883" s="236"/>
      <c r="P883" s="236"/>
      <c r="Q883" s="236"/>
      <c r="R883" s="236"/>
      <c r="S883" s="236"/>
      <c r="T883" s="236"/>
      <c r="U883" s="236"/>
      <c r="V883" s="236"/>
      <c r="W883" s="237"/>
      <c r="X883" s="237"/>
      <c r="Y883" s="237"/>
      <c r="Z883" s="237"/>
      <c r="AA883" s="237"/>
      <c r="AB883" s="237"/>
      <c r="AC883" s="237"/>
      <c r="AD883" s="237"/>
      <c r="AE883" s="237"/>
      <c r="AF883" s="237"/>
      <c r="AG883" s="237"/>
      <c r="AH883" s="237"/>
      <c r="AI883" s="308"/>
      <c r="AJ883" s="308"/>
      <c r="AK883" s="308"/>
      <c r="AL883" s="308"/>
      <c r="AM883" s="308"/>
      <c r="AN883" s="98"/>
    </row>
    <row r="884" ht="14.25" customHeight="1">
      <c r="A884" s="179"/>
      <c r="B884" s="98"/>
      <c r="C884" s="98"/>
      <c r="D884" s="98"/>
      <c r="E884" s="98"/>
      <c r="F884" s="235"/>
      <c r="G884" s="235"/>
      <c r="H884" s="236"/>
      <c r="I884" s="236"/>
      <c r="J884" s="236"/>
      <c r="K884" s="236"/>
      <c r="L884" s="236"/>
      <c r="M884" s="236"/>
      <c r="N884" s="236"/>
      <c r="O884" s="236"/>
      <c r="P884" s="236"/>
      <c r="Q884" s="236"/>
      <c r="R884" s="236"/>
      <c r="S884" s="236"/>
      <c r="T884" s="236"/>
      <c r="U884" s="236"/>
      <c r="V884" s="236"/>
      <c r="W884" s="237"/>
      <c r="X884" s="237"/>
      <c r="Y884" s="237"/>
      <c r="Z884" s="237"/>
      <c r="AA884" s="237"/>
      <c r="AB884" s="237"/>
      <c r="AC884" s="237"/>
      <c r="AD884" s="237"/>
      <c r="AE884" s="237"/>
      <c r="AF884" s="237"/>
      <c r="AG884" s="237"/>
      <c r="AH884" s="237"/>
      <c r="AI884" s="308"/>
      <c r="AJ884" s="308"/>
      <c r="AK884" s="308"/>
      <c r="AL884" s="308"/>
      <c r="AM884" s="308"/>
      <c r="AN884" s="98"/>
    </row>
    <row r="885" ht="14.25" customHeight="1">
      <c r="A885" s="179"/>
      <c r="B885" s="98"/>
      <c r="C885" s="98"/>
      <c r="D885" s="98"/>
      <c r="E885" s="98"/>
      <c r="F885" s="235"/>
      <c r="G885" s="235"/>
      <c r="H885" s="236"/>
      <c r="I885" s="236"/>
      <c r="J885" s="236"/>
      <c r="K885" s="236"/>
      <c r="L885" s="236"/>
      <c r="M885" s="236"/>
      <c r="N885" s="236"/>
      <c r="O885" s="236"/>
      <c r="P885" s="236"/>
      <c r="Q885" s="236"/>
      <c r="R885" s="236"/>
      <c r="S885" s="236"/>
      <c r="T885" s="236"/>
      <c r="U885" s="236"/>
      <c r="V885" s="236"/>
      <c r="W885" s="237"/>
      <c r="X885" s="237"/>
      <c r="Y885" s="237"/>
      <c r="Z885" s="237"/>
      <c r="AA885" s="237"/>
      <c r="AB885" s="237"/>
      <c r="AC885" s="237"/>
      <c r="AD885" s="237"/>
      <c r="AE885" s="237"/>
      <c r="AF885" s="237"/>
      <c r="AG885" s="237"/>
      <c r="AH885" s="237"/>
      <c r="AI885" s="308"/>
      <c r="AJ885" s="308"/>
      <c r="AK885" s="308"/>
      <c r="AL885" s="308"/>
      <c r="AM885" s="308"/>
      <c r="AN885" s="98"/>
    </row>
    <row r="886" ht="14.25" customHeight="1">
      <c r="A886" s="179"/>
      <c r="B886" s="98"/>
      <c r="C886" s="98"/>
      <c r="D886" s="98"/>
      <c r="E886" s="98"/>
      <c r="F886" s="235"/>
      <c r="G886" s="235"/>
      <c r="H886" s="236"/>
      <c r="I886" s="236"/>
      <c r="J886" s="236"/>
      <c r="K886" s="236"/>
      <c r="L886" s="236"/>
      <c r="M886" s="236"/>
      <c r="N886" s="236"/>
      <c r="O886" s="236"/>
      <c r="P886" s="236"/>
      <c r="Q886" s="236"/>
      <c r="R886" s="236"/>
      <c r="S886" s="236"/>
      <c r="T886" s="236"/>
      <c r="U886" s="236"/>
      <c r="V886" s="236"/>
      <c r="W886" s="237"/>
      <c r="X886" s="237"/>
      <c r="Y886" s="237"/>
      <c r="Z886" s="237"/>
      <c r="AA886" s="237"/>
      <c r="AB886" s="237"/>
      <c r="AC886" s="237"/>
      <c r="AD886" s="237"/>
      <c r="AE886" s="237"/>
      <c r="AF886" s="237"/>
      <c r="AG886" s="237"/>
      <c r="AH886" s="237"/>
      <c r="AI886" s="308"/>
      <c r="AJ886" s="308"/>
      <c r="AK886" s="308"/>
      <c r="AL886" s="308"/>
      <c r="AM886" s="308"/>
      <c r="AN886" s="98"/>
    </row>
    <row r="887" ht="14.25" customHeight="1">
      <c r="A887" s="179"/>
      <c r="B887" s="98"/>
      <c r="C887" s="98"/>
      <c r="D887" s="98"/>
      <c r="E887" s="98"/>
      <c r="F887" s="235"/>
      <c r="G887" s="235"/>
      <c r="H887" s="236"/>
      <c r="I887" s="236"/>
      <c r="J887" s="236"/>
      <c r="K887" s="236"/>
      <c r="L887" s="236"/>
      <c r="M887" s="236"/>
      <c r="N887" s="236"/>
      <c r="O887" s="236"/>
      <c r="P887" s="236"/>
      <c r="Q887" s="236"/>
      <c r="R887" s="236"/>
      <c r="S887" s="236"/>
      <c r="T887" s="236"/>
      <c r="U887" s="236"/>
      <c r="V887" s="236"/>
      <c r="W887" s="237"/>
      <c r="X887" s="237"/>
      <c r="Y887" s="237"/>
      <c r="Z887" s="237"/>
      <c r="AA887" s="237"/>
      <c r="AB887" s="237"/>
      <c r="AC887" s="237"/>
      <c r="AD887" s="237"/>
      <c r="AE887" s="237"/>
      <c r="AF887" s="237"/>
      <c r="AG887" s="237"/>
      <c r="AH887" s="237"/>
      <c r="AI887" s="308"/>
      <c r="AJ887" s="308"/>
      <c r="AK887" s="308"/>
      <c r="AL887" s="308"/>
      <c r="AM887" s="308"/>
      <c r="AN887" s="98"/>
    </row>
    <row r="888" ht="14.25" customHeight="1">
      <c r="A888" s="179"/>
      <c r="B888" s="98"/>
      <c r="C888" s="98"/>
      <c r="D888" s="98"/>
      <c r="E888" s="98"/>
      <c r="F888" s="235"/>
      <c r="G888" s="235"/>
      <c r="H888" s="236"/>
      <c r="I888" s="236"/>
      <c r="J888" s="236"/>
      <c r="K888" s="236"/>
      <c r="L888" s="236"/>
      <c r="M888" s="236"/>
      <c r="N888" s="236"/>
      <c r="O888" s="236"/>
      <c r="P888" s="236"/>
      <c r="Q888" s="236"/>
      <c r="R888" s="236"/>
      <c r="S888" s="236"/>
      <c r="T888" s="236"/>
      <c r="U888" s="236"/>
      <c r="V888" s="236"/>
      <c r="W888" s="237"/>
      <c r="X888" s="237"/>
      <c r="Y888" s="237"/>
      <c r="Z888" s="237"/>
      <c r="AA888" s="237"/>
      <c r="AB888" s="237"/>
      <c r="AC888" s="237"/>
      <c r="AD888" s="237"/>
      <c r="AE888" s="237"/>
      <c r="AF888" s="237"/>
      <c r="AG888" s="237"/>
      <c r="AH888" s="237"/>
      <c r="AI888" s="308"/>
      <c r="AJ888" s="308"/>
      <c r="AK888" s="308"/>
      <c r="AL888" s="308"/>
      <c r="AM888" s="308"/>
      <c r="AN888" s="98"/>
    </row>
    <row r="889" ht="14.25" customHeight="1">
      <c r="A889" s="179"/>
      <c r="B889" s="98"/>
      <c r="C889" s="98"/>
      <c r="D889" s="98"/>
      <c r="E889" s="98"/>
      <c r="F889" s="235"/>
      <c r="G889" s="235"/>
      <c r="H889" s="236"/>
      <c r="I889" s="236"/>
      <c r="J889" s="236"/>
      <c r="K889" s="236"/>
      <c r="L889" s="236"/>
      <c r="M889" s="236"/>
      <c r="N889" s="236"/>
      <c r="O889" s="236"/>
      <c r="P889" s="236"/>
      <c r="Q889" s="236"/>
      <c r="R889" s="236"/>
      <c r="S889" s="236"/>
      <c r="T889" s="236"/>
      <c r="U889" s="236"/>
      <c r="V889" s="236"/>
      <c r="W889" s="237"/>
      <c r="X889" s="237"/>
      <c r="Y889" s="237"/>
      <c r="Z889" s="237"/>
      <c r="AA889" s="237"/>
      <c r="AB889" s="237"/>
      <c r="AC889" s="237"/>
      <c r="AD889" s="237"/>
      <c r="AE889" s="237"/>
      <c r="AF889" s="237"/>
      <c r="AG889" s="237"/>
      <c r="AH889" s="237"/>
      <c r="AI889" s="308"/>
      <c r="AJ889" s="308"/>
      <c r="AK889" s="308"/>
      <c r="AL889" s="308"/>
      <c r="AM889" s="308"/>
      <c r="AN889" s="98"/>
    </row>
    <row r="890" ht="14.25" customHeight="1">
      <c r="A890" s="179"/>
      <c r="B890" s="98"/>
      <c r="C890" s="98"/>
      <c r="D890" s="98"/>
      <c r="E890" s="98"/>
      <c r="F890" s="235"/>
      <c r="G890" s="235"/>
      <c r="H890" s="236"/>
      <c r="I890" s="236"/>
      <c r="J890" s="236"/>
      <c r="K890" s="236"/>
      <c r="L890" s="236"/>
      <c r="M890" s="236"/>
      <c r="N890" s="236"/>
      <c r="O890" s="236"/>
      <c r="P890" s="236"/>
      <c r="Q890" s="236"/>
      <c r="R890" s="236"/>
      <c r="S890" s="236"/>
      <c r="T890" s="236"/>
      <c r="U890" s="236"/>
      <c r="V890" s="236"/>
      <c r="W890" s="237"/>
      <c r="X890" s="237"/>
      <c r="Y890" s="237"/>
      <c r="Z890" s="237"/>
      <c r="AA890" s="237"/>
      <c r="AB890" s="237"/>
      <c r="AC890" s="237"/>
      <c r="AD890" s="237"/>
      <c r="AE890" s="237"/>
      <c r="AF890" s="237"/>
      <c r="AG890" s="237"/>
      <c r="AH890" s="237"/>
      <c r="AI890" s="308"/>
      <c r="AJ890" s="308"/>
      <c r="AK890" s="308"/>
      <c r="AL890" s="308"/>
      <c r="AM890" s="308"/>
      <c r="AN890" s="98"/>
    </row>
    <row r="891" ht="14.25" customHeight="1">
      <c r="A891" s="179"/>
      <c r="B891" s="98"/>
      <c r="C891" s="98"/>
      <c r="D891" s="98"/>
      <c r="E891" s="98"/>
      <c r="F891" s="235"/>
      <c r="G891" s="235"/>
      <c r="H891" s="236"/>
      <c r="I891" s="236"/>
      <c r="J891" s="236"/>
      <c r="K891" s="236"/>
      <c r="L891" s="236"/>
      <c r="M891" s="236"/>
      <c r="N891" s="236"/>
      <c r="O891" s="236"/>
      <c r="P891" s="236"/>
      <c r="Q891" s="236"/>
      <c r="R891" s="236"/>
      <c r="S891" s="236"/>
      <c r="T891" s="236"/>
      <c r="U891" s="236"/>
      <c r="V891" s="236"/>
      <c r="W891" s="237"/>
      <c r="X891" s="237"/>
      <c r="Y891" s="237"/>
      <c r="Z891" s="237"/>
      <c r="AA891" s="237"/>
      <c r="AB891" s="237"/>
      <c r="AC891" s="237"/>
      <c r="AD891" s="237"/>
      <c r="AE891" s="237"/>
      <c r="AF891" s="237"/>
      <c r="AG891" s="237"/>
      <c r="AH891" s="237"/>
      <c r="AI891" s="308"/>
      <c r="AJ891" s="308"/>
      <c r="AK891" s="308"/>
      <c r="AL891" s="308"/>
      <c r="AM891" s="308"/>
      <c r="AN891" s="98"/>
    </row>
    <row r="892" ht="14.25" customHeight="1">
      <c r="A892" s="179"/>
      <c r="B892" s="98"/>
      <c r="C892" s="98"/>
      <c r="D892" s="98"/>
      <c r="E892" s="98"/>
      <c r="F892" s="235"/>
      <c r="G892" s="235"/>
      <c r="H892" s="236"/>
      <c r="I892" s="236"/>
      <c r="J892" s="236"/>
      <c r="K892" s="236"/>
      <c r="L892" s="236"/>
      <c r="M892" s="236"/>
      <c r="N892" s="236"/>
      <c r="O892" s="236"/>
      <c r="P892" s="236"/>
      <c r="Q892" s="236"/>
      <c r="R892" s="236"/>
      <c r="S892" s="236"/>
      <c r="T892" s="236"/>
      <c r="U892" s="236"/>
      <c r="V892" s="236"/>
      <c r="W892" s="237"/>
      <c r="X892" s="237"/>
      <c r="Y892" s="237"/>
      <c r="Z892" s="237"/>
      <c r="AA892" s="237"/>
      <c r="AB892" s="237"/>
      <c r="AC892" s="237"/>
      <c r="AD892" s="237"/>
      <c r="AE892" s="237"/>
      <c r="AF892" s="237"/>
      <c r="AG892" s="237"/>
      <c r="AH892" s="237"/>
      <c r="AI892" s="308"/>
      <c r="AJ892" s="308"/>
      <c r="AK892" s="308"/>
      <c r="AL892" s="308"/>
      <c r="AM892" s="308"/>
      <c r="AN892" s="98"/>
    </row>
    <row r="893" ht="14.25" customHeight="1">
      <c r="A893" s="179"/>
      <c r="B893" s="98"/>
      <c r="C893" s="98"/>
      <c r="D893" s="98"/>
      <c r="E893" s="98"/>
      <c r="F893" s="235"/>
      <c r="G893" s="235"/>
      <c r="H893" s="236"/>
      <c r="I893" s="236"/>
      <c r="J893" s="236"/>
      <c r="K893" s="236"/>
      <c r="L893" s="236"/>
      <c r="M893" s="236"/>
      <c r="N893" s="236"/>
      <c r="O893" s="236"/>
      <c r="P893" s="236"/>
      <c r="Q893" s="236"/>
      <c r="R893" s="236"/>
      <c r="S893" s="236"/>
      <c r="T893" s="236"/>
      <c r="U893" s="236"/>
      <c r="V893" s="236"/>
      <c r="W893" s="237"/>
      <c r="X893" s="237"/>
      <c r="Y893" s="237"/>
      <c r="Z893" s="237"/>
      <c r="AA893" s="237"/>
      <c r="AB893" s="237"/>
      <c r="AC893" s="237"/>
      <c r="AD893" s="237"/>
      <c r="AE893" s="237"/>
      <c r="AF893" s="237"/>
      <c r="AG893" s="237"/>
      <c r="AH893" s="237"/>
      <c r="AI893" s="308"/>
      <c r="AJ893" s="308"/>
      <c r="AK893" s="308"/>
      <c r="AL893" s="308"/>
      <c r="AM893" s="308"/>
      <c r="AN893" s="98"/>
    </row>
    <row r="894" ht="14.25" customHeight="1">
      <c r="A894" s="179"/>
      <c r="B894" s="98"/>
      <c r="C894" s="98"/>
      <c r="D894" s="98"/>
      <c r="E894" s="98"/>
      <c r="F894" s="235"/>
      <c r="G894" s="235"/>
      <c r="H894" s="236"/>
      <c r="I894" s="236"/>
      <c r="J894" s="236"/>
      <c r="K894" s="236"/>
      <c r="L894" s="236"/>
      <c r="M894" s="236"/>
      <c r="N894" s="236"/>
      <c r="O894" s="236"/>
      <c r="P894" s="236"/>
      <c r="Q894" s="236"/>
      <c r="R894" s="236"/>
      <c r="S894" s="236"/>
      <c r="T894" s="236"/>
      <c r="U894" s="236"/>
      <c r="V894" s="236"/>
      <c r="W894" s="237"/>
      <c r="X894" s="237"/>
      <c r="Y894" s="237"/>
      <c r="Z894" s="237"/>
      <c r="AA894" s="237"/>
      <c r="AB894" s="237"/>
      <c r="AC894" s="237"/>
      <c r="AD894" s="237"/>
      <c r="AE894" s="237"/>
      <c r="AF894" s="237"/>
      <c r="AG894" s="237"/>
      <c r="AH894" s="237"/>
      <c r="AI894" s="308"/>
      <c r="AJ894" s="308"/>
      <c r="AK894" s="308"/>
      <c r="AL894" s="308"/>
      <c r="AM894" s="308"/>
      <c r="AN894" s="98"/>
    </row>
    <row r="895" ht="14.25" customHeight="1">
      <c r="A895" s="179"/>
      <c r="B895" s="98"/>
      <c r="C895" s="98"/>
      <c r="D895" s="98"/>
      <c r="E895" s="98"/>
      <c r="F895" s="235"/>
      <c r="G895" s="235"/>
      <c r="H895" s="236"/>
      <c r="I895" s="236"/>
      <c r="J895" s="236"/>
      <c r="K895" s="236"/>
      <c r="L895" s="236"/>
      <c r="M895" s="236"/>
      <c r="N895" s="236"/>
      <c r="O895" s="236"/>
      <c r="P895" s="236"/>
      <c r="Q895" s="236"/>
      <c r="R895" s="236"/>
      <c r="S895" s="236"/>
      <c r="T895" s="236"/>
      <c r="U895" s="236"/>
      <c r="V895" s="236"/>
      <c r="W895" s="237"/>
      <c r="X895" s="237"/>
      <c r="Y895" s="237"/>
      <c r="Z895" s="237"/>
      <c r="AA895" s="237"/>
      <c r="AB895" s="237"/>
      <c r="AC895" s="237"/>
      <c r="AD895" s="237"/>
      <c r="AE895" s="237"/>
      <c r="AF895" s="237"/>
      <c r="AG895" s="237"/>
      <c r="AH895" s="237"/>
      <c r="AI895" s="308"/>
      <c r="AJ895" s="308"/>
      <c r="AK895" s="308"/>
      <c r="AL895" s="308"/>
      <c r="AM895" s="308"/>
      <c r="AN895" s="98"/>
    </row>
    <row r="896" ht="14.25" customHeight="1">
      <c r="A896" s="179"/>
      <c r="B896" s="98"/>
      <c r="C896" s="98"/>
      <c r="D896" s="98"/>
      <c r="E896" s="98"/>
      <c r="F896" s="235"/>
      <c r="G896" s="235"/>
      <c r="H896" s="236"/>
      <c r="I896" s="236"/>
      <c r="J896" s="236"/>
      <c r="K896" s="236"/>
      <c r="L896" s="236"/>
      <c r="M896" s="236"/>
      <c r="N896" s="236"/>
      <c r="O896" s="236"/>
      <c r="P896" s="236"/>
      <c r="Q896" s="236"/>
      <c r="R896" s="236"/>
      <c r="S896" s="236"/>
      <c r="T896" s="236"/>
      <c r="U896" s="236"/>
      <c r="V896" s="236"/>
      <c r="W896" s="237"/>
      <c r="X896" s="237"/>
      <c r="Y896" s="237"/>
      <c r="Z896" s="237"/>
      <c r="AA896" s="237"/>
      <c r="AB896" s="237"/>
      <c r="AC896" s="237"/>
      <c r="AD896" s="237"/>
      <c r="AE896" s="237"/>
      <c r="AF896" s="237"/>
      <c r="AG896" s="237"/>
      <c r="AH896" s="237"/>
      <c r="AI896" s="308"/>
      <c r="AJ896" s="308"/>
      <c r="AK896" s="308"/>
      <c r="AL896" s="308"/>
      <c r="AM896" s="308"/>
      <c r="AN896" s="98"/>
    </row>
    <row r="897" ht="14.25" customHeight="1">
      <c r="A897" s="179"/>
      <c r="B897" s="98"/>
      <c r="C897" s="98"/>
      <c r="D897" s="98"/>
      <c r="E897" s="98"/>
      <c r="F897" s="235"/>
      <c r="G897" s="235"/>
      <c r="H897" s="236"/>
      <c r="I897" s="236"/>
      <c r="J897" s="236"/>
      <c r="K897" s="236"/>
      <c r="L897" s="236"/>
      <c r="M897" s="236"/>
      <c r="N897" s="236"/>
      <c r="O897" s="236"/>
      <c r="P897" s="236"/>
      <c r="Q897" s="236"/>
      <c r="R897" s="236"/>
      <c r="S897" s="236"/>
      <c r="T897" s="236"/>
      <c r="U897" s="236"/>
      <c r="V897" s="236"/>
      <c r="W897" s="237"/>
      <c r="X897" s="237"/>
      <c r="Y897" s="237"/>
      <c r="Z897" s="237"/>
      <c r="AA897" s="237"/>
      <c r="AB897" s="237"/>
      <c r="AC897" s="237"/>
      <c r="AD897" s="237"/>
      <c r="AE897" s="237"/>
      <c r="AF897" s="237"/>
      <c r="AG897" s="237"/>
      <c r="AH897" s="237"/>
      <c r="AI897" s="308"/>
      <c r="AJ897" s="308"/>
      <c r="AK897" s="308"/>
      <c r="AL897" s="308"/>
      <c r="AM897" s="308"/>
      <c r="AN897" s="98"/>
    </row>
    <row r="898" ht="14.25" customHeight="1">
      <c r="A898" s="179"/>
      <c r="B898" s="98"/>
      <c r="C898" s="98"/>
      <c r="D898" s="98"/>
      <c r="E898" s="98"/>
      <c r="F898" s="235"/>
      <c r="G898" s="235"/>
      <c r="H898" s="236"/>
      <c r="I898" s="236"/>
      <c r="J898" s="236"/>
      <c r="K898" s="236"/>
      <c r="L898" s="236"/>
      <c r="M898" s="236"/>
      <c r="N898" s="236"/>
      <c r="O898" s="236"/>
      <c r="P898" s="236"/>
      <c r="Q898" s="236"/>
      <c r="R898" s="236"/>
      <c r="S898" s="236"/>
      <c r="T898" s="236"/>
      <c r="U898" s="236"/>
      <c r="V898" s="236"/>
      <c r="W898" s="237"/>
      <c r="X898" s="237"/>
      <c r="Y898" s="237"/>
      <c r="Z898" s="237"/>
      <c r="AA898" s="237"/>
      <c r="AB898" s="237"/>
      <c r="AC898" s="237"/>
      <c r="AD898" s="237"/>
      <c r="AE898" s="237"/>
      <c r="AF898" s="237"/>
      <c r="AG898" s="237"/>
      <c r="AH898" s="237"/>
      <c r="AI898" s="308"/>
      <c r="AJ898" s="308"/>
      <c r="AK898" s="308"/>
      <c r="AL898" s="308"/>
      <c r="AM898" s="308"/>
      <c r="AN898" s="98"/>
    </row>
    <row r="899" ht="14.25" customHeight="1">
      <c r="A899" s="179"/>
      <c r="B899" s="98"/>
      <c r="C899" s="98"/>
      <c r="D899" s="98"/>
      <c r="E899" s="98"/>
      <c r="F899" s="235"/>
      <c r="G899" s="235"/>
      <c r="H899" s="236"/>
      <c r="I899" s="236"/>
      <c r="J899" s="236"/>
      <c r="K899" s="236"/>
      <c r="L899" s="236"/>
      <c r="M899" s="236"/>
      <c r="N899" s="236"/>
      <c r="O899" s="236"/>
      <c r="P899" s="236"/>
      <c r="Q899" s="236"/>
      <c r="R899" s="236"/>
      <c r="S899" s="236"/>
      <c r="T899" s="236"/>
      <c r="U899" s="236"/>
      <c r="V899" s="236"/>
      <c r="W899" s="237"/>
      <c r="X899" s="237"/>
      <c r="Y899" s="237"/>
      <c r="Z899" s="237"/>
      <c r="AA899" s="237"/>
      <c r="AB899" s="237"/>
      <c r="AC899" s="237"/>
      <c r="AD899" s="237"/>
      <c r="AE899" s="237"/>
      <c r="AF899" s="237"/>
      <c r="AG899" s="237"/>
      <c r="AH899" s="237"/>
      <c r="AI899" s="308"/>
      <c r="AJ899" s="308"/>
      <c r="AK899" s="308"/>
      <c r="AL899" s="308"/>
      <c r="AM899" s="308"/>
      <c r="AN899" s="98"/>
    </row>
    <row r="900" ht="14.25" customHeight="1">
      <c r="A900" s="179"/>
      <c r="B900" s="98"/>
      <c r="C900" s="98"/>
      <c r="D900" s="98"/>
      <c r="E900" s="98"/>
      <c r="F900" s="235"/>
      <c r="G900" s="235"/>
      <c r="H900" s="236"/>
      <c r="I900" s="236"/>
      <c r="J900" s="236"/>
      <c r="K900" s="236"/>
      <c r="L900" s="236"/>
      <c r="M900" s="236"/>
      <c r="N900" s="236"/>
      <c r="O900" s="236"/>
      <c r="P900" s="236"/>
      <c r="Q900" s="236"/>
      <c r="R900" s="236"/>
      <c r="S900" s="236"/>
      <c r="T900" s="236"/>
      <c r="U900" s="236"/>
      <c r="V900" s="236"/>
      <c r="W900" s="237"/>
      <c r="X900" s="237"/>
      <c r="Y900" s="237"/>
      <c r="Z900" s="237"/>
      <c r="AA900" s="237"/>
      <c r="AB900" s="237"/>
      <c r="AC900" s="237"/>
      <c r="AD900" s="237"/>
      <c r="AE900" s="237"/>
      <c r="AF900" s="237"/>
      <c r="AG900" s="237"/>
      <c r="AH900" s="237"/>
      <c r="AI900" s="308"/>
      <c r="AJ900" s="308"/>
      <c r="AK900" s="308"/>
      <c r="AL900" s="308"/>
      <c r="AM900" s="308"/>
      <c r="AN900" s="98"/>
    </row>
    <row r="901" ht="14.25" customHeight="1">
      <c r="A901" s="179"/>
      <c r="B901" s="98"/>
      <c r="C901" s="98"/>
      <c r="D901" s="98"/>
      <c r="E901" s="98"/>
      <c r="F901" s="235"/>
      <c r="G901" s="235"/>
      <c r="H901" s="236"/>
      <c r="I901" s="236"/>
      <c r="J901" s="236"/>
      <c r="K901" s="236"/>
      <c r="L901" s="236"/>
      <c r="M901" s="236"/>
      <c r="N901" s="236"/>
      <c r="O901" s="236"/>
      <c r="P901" s="236"/>
      <c r="Q901" s="236"/>
      <c r="R901" s="236"/>
      <c r="S901" s="236"/>
      <c r="T901" s="236"/>
      <c r="U901" s="236"/>
      <c r="V901" s="236"/>
      <c r="W901" s="237"/>
      <c r="X901" s="237"/>
      <c r="Y901" s="237"/>
      <c r="Z901" s="237"/>
      <c r="AA901" s="237"/>
      <c r="AB901" s="237"/>
      <c r="AC901" s="237"/>
      <c r="AD901" s="237"/>
      <c r="AE901" s="237"/>
      <c r="AF901" s="237"/>
      <c r="AG901" s="237"/>
      <c r="AH901" s="237"/>
      <c r="AI901" s="308"/>
      <c r="AJ901" s="308"/>
      <c r="AK901" s="308"/>
      <c r="AL901" s="308"/>
      <c r="AM901" s="308"/>
      <c r="AN901" s="98"/>
    </row>
    <row r="902" ht="14.25" customHeight="1">
      <c r="A902" s="179"/>
      <c r="B902" s="98"/>
      <c r="C902" s="98"/>
      <c r="D902" s="98"/>
      <c r="E902" s="98"/>
      <c r="F902" s="235"/>
      <c r="G902" s="235"/>
      <c r="H902" s="236"/>
      <c r="I902" s="236"/>
      <c r="J902" s="236"/>
      <c r="K902" s="236"/>
      <c r="L902" s="236"/>
      <c r="M902" s="236"/>
      <c r="N902" s="236"/>
      <c r="O902" s="236"/>
      <c r="P902" s="236"/>
      <c r="Q902" s="236"/>
      <c r="R902" s="236"/>
      <c r="S902" s="236"/>
      <c r="T902" s="236"/>
      <c r="U902" s="236"/>
      <c r="V902" s="236"/>
      <c r="W902" s="237"/>
      <c r="X902" s="237"/>
      <c r="Y902" s="237"/>
      <c r="Z902" s="237"/>
      <c r="AA902" s="237"/>
      <c r="AB902" s="237"/>
      <c r="AC902" s="237"/>
      <c r="AD902" s="237"/>
      <c r="AE902" s="237"/>
      <c r="AF902" s="237"/>
      <c r="AG902" s="237"/>
      <c r="AH902" s="237"/>
      <c r="AI902" s="308"/>
      <c r="AJ902" s="308"/>
      <c r="AK902" s="308"/>
      <c r="AL902" s="308"/>
      <c r="AM902" s="308"/>
      <c r="AN902" s="98"/>
    </row>
    <row r="903" ht="14.25" customHeight="1">
      <c r="A903" s="179"/>
      <c r="B903" s="98"/>
      <c r="C903" s="98"/>
      <c r="D903" s="98"/>
      <c r="E903" s="98"/>
      <c r="F903" s="235"/>
      <c r="G903" s="235"/>
      <c r="H903" s="236"/>
      <c r="I903" s="236"/>
      <c r="J903" s="236"/>
      <c r="K903" s="236"/>
      <c r="L903" s="236"/>
      <c r="M903" s="236"/>
      <c r="N903" s="236"/>
      <c r="O903" s="236"/>
      <c r="P903" s="236"/>
      <c r="Q903" s="236"/>
      <c r="R903" s="236"/>
      <c r="S903" s="236"/>
      <c r="T903" s="236"/>
      <c r="U903" s="236"/>
      <c r="V903" s="236"/>
      <c r="W903" s="237"/>
      <c r="X903" s="237"/>
      <c r="Y903" s="237"/>
      <c r="Z903" s="237"/>
      <c r="AA903" s="237"/>
      <c r="AB903" s="237"/>
      <c r="AC903" s="237"/>
      <c r="AD903" s="237"/>
      <c r="AE903" s="237"/>
      <c r="AF903" s="237"/>
      <c r="AG903" s="237"/>
      <c r="AH903" s="237"/>
      <c r="AI903" s="308"/>
      <c r="AJ903" s="308"/>
      <c r="AK903" s="308"/>
      <c r="AL903" s="308"/>
      <c r="AM903" s="308"/>
      <c r="AN903" s="98"/>
    </row>
    <row r="904" ht="14.25" customHeight="1">
      <c r="A904" s="179"/>
      <c r="B904" s="98"/>
      <c r="C904" s="98"/>
      <c r="D904" s="98"/>
      <c r="E904" s="98"/>
      <c r="F904" s="235"/>
      <c r="G904" s="235"/>
      <c r="H904" s="236"/>
      <c r="I904" s="236"/>
      <c r="J904" s="236"/>
      <c r="K904" s="236"/>
      <c r="L904" s="236"/>
      <c r="M904" s="236"/>
      <c r="N904" s="236"/>
      <c r="O904" s="236"/>
      <c r="P904" s="236"/>
      <c r="Q904" s="236"/>
      <c r="R904" s="236"/>
      <c r="S904" s="236"/>
      <c r="T904" s="236"/>
      <c r="U904" s="236"/>
      <c r="V904" s="236"/>
      <c r="W904" s="237"/>
      <c r="X904" s="237"/>
      <c r="Y904" s="237"/>
      <c r="Z904" s="237"/>
      <c r="AA904" s="237"/>
      <c r="AB904" s="237"/>
      <c r="AC904" s="237"/>
      <c r="AD904" s="237"/>
      <c r="AE904" s="237"/>
      <c r="AF904" s="237"/>
      <c r="AG904" s="237"/>
      <c r="AH904" s="237"/>
      <c r="AI904" s="308"/>
      <c r="AJ904" s="308"/>
      <c r="AK904" s="308"/>
      <c r="AL904" s="308"/>
      <c r="AM904" s="308"/>
      <c r="AN904" s="98"/>
    </row>
    <row r="905" ht="14.25" customHeight="1">
      <c r="A905" s="179"/>
      <c r="B905" s="98"/>
      <c r="C905" s="98"/>
      <c r="D905" s="98"/>
      <c r="E905" s="98"/>
      <c r="F905" s="235"/>
      <c r="G905" s="235"/>
      <c r="H905" s="236"/>
      <c r="I905" s="236"/>
      <c r="J905" s="236"/>
      <c r="K905" s="236"/>
      <c r="L905" s="236"/>
      <c r="M905" s="236"/>
      <c r="N905" s="236"/>
      <c r="O905" s="236"/>
      <c r="P905" s="236"/>
      <c r="Q905" s="236"/>
      <c r="R905" s="236"/>
      <c r="S905" s="236"/>
      <c r="T905" s="236"/>
      <c r="U905" s="236"/>
      <c r="V905" s="236"/>
      <c r="W905" s="237"/>
      <c r="X905" s="237"/>
      <c r="Y905" s="237"/>
      <c r="Z905" s="237"/>
      <c r="AA905" s="237"/>
      <c r="AB905" s="237"/>
      <c r="AC905" s="237"/>
      <c r="AD905" s="237"/>
      <c r="AE905" s="237"/>
      <c r="AF905" s="237"/>
      <c r="AG905" s="237"/>
      <c r="AH905" s="237"/>
      <c r="AI905" s="308"/>
      <c r="AJ905" s="308"/>
      <c r="AK905" s="308"/>
      <c r="AL905" s="308"/>
      <c r="AM905" s="308"/>
      <c r="AN905" s="98"/>
    </row>
    <row r="906" ht="14.25" customHeight="1">
      <c r="A906" s="179"/>
      <c r="B906" s="98"/>
      <c r="C906" s="98"/>
      <c r="D906" s="98"/>
      <c r="E906" s="98"/>
      <c r="F906" s="235"/>
      <c r="G906" s="235"/>
      <c r="H906" s="236"/>
      <c r="I906" s="236"/>
      <c r="J906" s="236"/>
      <c r="K906" s="236"/>
      <c r="L906" s="236"/>
      <c r="M906" s="236"/>
      <c r="N906" s="236"/>
      <c r="O906" s="236"/>
      <c r="P906" s="236"/>
      <c r="Q906" s="236"/>
      <c r="R906" s="236"/>
      <c r="S906" s="236"/>
      <c r="T906" s="236"/>
      <c r="U906" s="236"/>
      <c r="V906" s="236"/>
      <c r="W906" s="237"/>
      <c r="X906" s="237"/>
      <c r="Y906" s="237"/>
      <c r="Z906" s="237"/>
      <c r="AA906" s="237"/>
      <c r="AB906" s="237"/>
      <c r="AC906" s="237"/>
      <c r="AD906" s="237"/>
      <c r="AE906" s="237"/>
      <c r="AF906" s="237"/>
      <c r="AG906" s="237"/>
      <c r="AH906" s="237"/>
      <c r="AI906" s="308"/>
      <c r="AJ906" s="308"/>
      <c r="AK906" s="308"/>
      <c r="AL906" s="308"/>
      <c r="AM906" s="308"/>
      <c r="AN906" s="98"/>
    </row>
    <row r="907" ht="14.25" customHeight="1">
      <c r="A907" s="179"/>
      <c r="B907" s="98"/>
      <c r="C907" s="98"/>
      <c r="D907" s="98"/>
      <c r="E907" s="98"/>
      <c r="F907" s="235"/>
      <c r="G907" s="235"/>
      <c r="H907" s="236"/>
      <c r="I907" s="236"/>
      <c r="J907" s="236"/>
      <c r="K907" s="236"/>
      <c r="L907" s="236"/>
      <c r="M907" s="236"/>
      <c r="N907" s="236"/>
      <c r="O907" s="236"/>
      <c r="P907" s="236"/>
      <c r="Q907" s="236"/>
      <c r="R907" s="236"/>
      <c r="S907" s="236"/>
      <c r="T907" s="236"/>
      <c r="U907" s="236"/>
      <c r="V907" s="236"/>
      <c r="W907" s="237"/>
      <c r="X907" s="237"/>
      <c r="Y907" s="237"/>
      <c r="Z907" s="237"/>
      <c r="AA907" s="237"/>
      <c r="AB907" s="237"/>
      <c r="AC907" s="237"/>
      <c r="AD907" s="237"/>
      <c r="AE907" s="237"/>
      <c r="AF907" s="237"/>
      <c r="AG907" s="237"/>
      <c r="AH907" s="237"/>
      <c r="AI907" s="308"/>
      <c r="AJ907" s="308"/>
      <c r="AK907" s="308"/>
      <c r="AL907" s="308"/>
      <c r="AM907" s="308"/>
      <c r="AN907" s="98"/>
    </row>
    <row r="908" ht="14.25" customHeight="1">
      <c r="A908" s="179"/>
      <c r="B908" s="98"/>
      <c r="C908" s="98"/>
      <c r="D908" s="98"/>
      <c r="E908" s="98"/>
      <c r="F908" s="235"/>
      <c r="G908" s="235"/>
      <c r="H908" s="236"/>
      <c r="I908" s="236"/>
      <c r="J908" s="236"/>
      <c r="K908" s="236"/>
      <c r="L908" s="236"/>
      <c r="M908" s="236"/>
      <c r="N908" s="236"/>
      <c r="O908" s="236"/>
      <c r="P908" s="236"/>
      <c r="Q908" s="236"/>
      <c r="R908" s="236"/>
      <c r="S908" s="236"/>
      <c r="T908" s="236"/>
      <c r="U908" s="236"/>
      <c r="V908" s="236"/>
      <c r="W908" s="237"/>
      <c r="X908" s="237"/>
      <c r="Y908" s="237"/>
      <c r="Z908" s="237"/>
      <c r="AA908" s="237"/>
      <c r="AB908" s="237"/>
      <c r="AC908" s="237"/>
      <c r="AD908" s="237"/>
      <c r="AE908" s="237"/>
      <c r="AF908" s="237"/>
      <c r="AG908" s="237"/>
      <c r="AH908" s="237"/>
      <c r="AI908" s="308"/>
      <c r="AJ908" s="308"/>
      <c r="AK908" s="308"/>
      <c r="AL908" s="308"/>
      <c r="AM908" s="308"/>
      <c r="AN908" s="98"/>
    </row>
    <row r="909" ht="14.25" customHeight="1">
      <c r="A909" s="179"/>
      <c r="B909" s="98"/>
      <c r="C909" s="98"/>
      <c r="D909" s="98"/>
      <c r="E909" s="98"/>
      <c r="F909" s="235"/>
      <c r="G909" s="235"/>
      <c r="H909" s="236"/>
      <c r="I909" s="236"/>
      <c r="J909" s="236"/>
      <c r="K909" s="236"/>
      <c r="L909" s="236"/>
      <c r="M909" s="236"/>
      <c r="N909" s="236"/>
      <c r="O909" s="236"/>
      <c r="P909" s="236"/>
      <c r="Q909" s="236"/>
      <c r="R909" s="236"/>
      <c r="S909" s="236"/>
      <c r="T909" s="236"/>
      <c r="U909" s="236"/>
      <c r="V909" s="236"/>
      <c r="W909" s="237"/>
      <c r="X909" s="237"/>
      <c r="Y909" s="237"/>
      <c r="Z909" s="237"/>
      <c r="AA909" s="237"/>
      <c r="AB909" s="237"/>
      <c r="AC909" s="237"/>
      <c r="AD909" s="237"/>
      <c r="AE909" s="237"/>
      <c r="AF909" s="237"/>
      <c r="AG909" s="237"/>
      <c r="AH909" s="237"/>
      <c r="AI909" s="308"/>
      <c r="AJ909" s="308"/>
      <c r="AK909" s="308"/>
      <c r="AL909" s="308"/>
      <c r="AM909" s="308"/>
      <c r="AN909" s="98"/>
    </row>
    <row r="910" ht="14.25" customHeight="1">
      <c r="A910" s="179"/>
      <c r="B910" s="98"/>
      <c r="C910" s="98"/>
      <c r="D910" s="98"/>
      <c r="E910" s="98"/>
      <c r="F910" s="235"/>
      <c r="G910" s="235"/>
      <c r="H910" s="236"/>
      <c r="I910" s="236"/>
      <c r="J910" s="236"/>
      <c r="K910" s="236"/>
      <c r="L910" s="236"/>
      <c r="M910" s="236"/>
      <c r="N910" s="236"/>
      <c r="O910" s="236"/>
      <c r="P910" s="236"/>
      <c r="Q910" s="236"/>
      <c r="R910" s="236"/>
      <c r="S910" s="236"/>
      <c r="T910" s="236"/>
      <c r="U910" s="236"/>
      <c r="V910" s="236"/>
      <c r="W910" s="237"/>
      <c r="X910" s="237"/>
      <c r="Y910" s="237"/>
      <c r="Z910" s="237"/>
      <c r="AA910" s="237"/>
      <c r="AB910" s="237"/>
      <c r="AC910" s="237"/>
      <c r="AD910" s="237"/>
      <c r="AE910" s="237"/>
      <c r="AF910" s="237"/>
      <c r="AG910" s="237"/>
      <c r="AH910" s="237"/>
      <c r="AI910" s="308"/>
      <c r="AJ910" s="308"/>
      <c r="AK910" s="308"/>
      <c r="AL910" s="308"/>
      <c r="AM910" s="308"/>
      <c r="AN910" s="98"/>
    </row>
    <row r="911" ht="14.25" customHeight="1">
      <c r="A911" s="179"/>
      <c r="B911" s="98"/>
      <c r="C911" s="98"/>
      <c r="D911" s="98"/>
      <c r="E911" s="98"/>
      <c r="F911" s="235"/>
      <c r="G911" s="235"/>
      <c r="H911" s="236"/>
      <c r="I911" s="236"/>
      <c r="J911" s="236"/>
      <c r="K911" s="236"/>
      <c r="L911" s="236"/>
      <c r="M911" s="236"/>
      <c r="N911" s="236"/>
      <c r="O911" s="236"/>
      <c r="P911" s="236"/>
      <c r="Q911" s="236"/>
      <c r="R911" s="236"/>
      <c r="S911" s="236"/>
      <c r="T911" s="236"/>
      <c r="U911" s="236"/>
      <c r="V911" s="236"/>
      <c r="W911" s="237"/>
      <c r="X911" s="237"/>
      <c r="Y911" s="237"/>
      <c r="Z911" s="237"/>
      <c r="AA911" s="237"/>
      <c r="AB911" s="237"/>
      <c r="AC911" s="237"/>
      <c r="AD911" s="237"/>
      <c r="AE911" s="237"/>
      <c r="AF911" s="237"/>
      <c r="AG911" s="237"/>
      <c r="AH911" s="237"/>
      <c r="AI911" s="308"/>
      <c r="AJ911" s="308"/>
      <c r="AK911" s="308"/>
      <c r="AL911" s="308"/>
      <c r="AM911" s="308"/>
      <c r="AN911" s="98"/>
    </row>
    <row r="912" ht="14.25" customHeight="1">
      <c r="A912" s="179"/>
      <c r="B912" s="98"/>
      <c r="C912" s="98"/>
      <c r="D912" s="98"/>
      <c r="E912" s="98"/>
      <c r="F912" s="235"/>
      <c r="G912" s="235"/>
      <c r="H912" s="236"/>
      <c r="I912" s="236"/>
      <c r="J912" s="236"/>
      <c r="K912" s="236"/>
      <c r="L912" s="236"/>
      <c r="M912" s="236"/>
      <c r="N912" s="236"/>
      <c r="O912" s="236"/>
      <c r="P912" s="236"/>
      <c r="Q912" s="236"/>
      <c r="R912" s="236"/>
      <c r="S912" s="236"/>
      <c r="T912" s="236"/>
      <c r="U912" s="236"/>
      <c r="V912" s="236"/>
      <c r="W912" s="237"/>
      <c r="X912" s="237"/>
      <c r="Y912" s="237"/>
      <c r="Z912" s="237"/>
      <c r="AA912" s="237"/>
      <c r="AB912" s="237"/>
      <c r="AC912" s="237"/>
      <c r="AD912" s="237"/>
      <c r="AE912" s="237"/>
      <c r="AF912" s="237"/>
      <c r="AG912" s="237"/>
      <c r="AH912" s="237"/>
      <c r="AI912" s="308"/>
      <c r="AJ912" s="308"/>
      <c r="AK912" s="308"/>
      <c r="AL912" s="308"/>
      <c r="AM912" s="308"/>
      <c r="AN912" s="98"/>
    </row>
    <row r="913" ht="14.25" customHeight="1">
      <c r="A913" s="179"/>
      <c r="B913" s="98"/>
      <c r="C913" s="98"/>
      <c r="D913" s="98"/>
      <c r="E913" s="98"/>
      <c r="F913" s="235"/>
      <c r="G913" s="235"/>
      <c r="H913" s="236"/>
      <c r="I913" s="236"/>
      <c r="J913" s="236"/>
      <c r="K913" s="236"/>
      <c r="L913" s="236"/>
      <c r="M913" s="236"/>
      <c r="N913" s="236"/>
      <c r="O913" s="236"/>
      <c r="P913" s="236"/>
      <c r="Q913" s="236"/>
      <c r="R913" s="236"/>
      <c r="S913" s="236"/>
      <c r="T913" s="236"/>
      <c r="U913" s="236"/>
      <c r="V913" s="236"/>
      <c r="W913" s="237"/>
      <c r="X913" s="237"/>
      <c r="Y913" s="237"/>
      <c r="Z913" s="237"/>
      <c r="AA913" s="237"/>
      <c r="AB913" s="237"/>
      <c r="AC913" s="237"/>
      <c r="AD913" s="237"/>
      <c r="AE913" s="237"/>
      <c r="AF913" s="237"/>
      <c r="AG913" s="237"/>
      <c r="AH913" s="237"/>
      <c r="AI913" s="308"/>
      <c r="AJ913" s="308"/>
      <c r="AK913" s="308"/>
      <c r="AL913" s="308"/>
      <c r="AM913" s="308"/>
      <c r="AN913" s="98"/>
    </row>
    <row r="914" ht="14.25" customHeight="1">
      <c r="A914" s="179"/>
      <c r="B914" s="98"/>
      <c r="C914" s="98"/>
      <c r="D914" s="98"/>
      <c r="E914" s="98"/>
      <c r="F914" s="235"/>
      <c r="G914" s="235"/>
      <c r="H914" s="236"/>
      <c r="I914" s="236"/>
      <c r="J914" s="236"/>
      <c r="K914" s="236"/>
      <c r="L914" s="236"/>
      <c r="M914" s="236"/>
      <c r="N914" s="236"/>
      <c r="O914" s="236"/>
      <c r="P914" s="236"/>
      <c r="Q914" s="236"/>
      <c r="R914" s="236"/>
      <c r="S914" s="236"/>
      <c r="T914" s="236"/>
      <c r="U914" s="236"/>
      <c r="V914" s="236"/>
      <c r="W914" s="237"/>
      <c r="X914" s="237"/>
      <c r="Y914" s="237"/>
      <c r="Z914" s="237"/>
      <c r="AA914" s="237"/>
      <c r="AB914" s="237"/>
      <c r="AC914" s="237"/>
      <c r="AD914" s="237"/>
      <c r="AE914" s="237"/>
      <c r="AF914" s="237"/>
      <c r="AG914" s="237"/>
      <c r="AH914" s="237"/>
      <c r="AI914" s="308"/>
      <c r="AJ914" s="308"/>
      <c r="AK914" s="308"/>
      <c r="AL914" s="308"/>
      <c r="AM914" s="308"/>
      <c r="AN914" s="98"/>
    </row>
    <row r="915" ht="14.25" customHeight="1">
      <c r="A915" s="179"/>
      <c r="B915" s="98"/>
      <c r="C915" s="98"/>
      <c r="D915" s="98"/>
      <c r="E915" s="98"/>
      <c r="F915" s="235"/>
      <c r="G915" s="235"/>
      <c r="H915" s="236"/>
      <c r="I915" s="236"/>
      <c r="J915" s="236"/>
      <c r="K915" s="236"/>
      <c r="L915" s="236"/>
      <c r="M915" s="236"/>
      <c r="N915" s="236"/>
      <c r="O915" s="236"/>
      <c r="P915" s="236"/>
      <c r="Q915" s="236"/>
      <c r="R915" s="236"/>
      <c r="S915" s="236"/>
      <c r="T915" s="236"/>
      <c r="U915" s="236"/>
      <c r="V915" s="236"/>
      <c r="W915" s="237"/>
      <c r="X915" s="237"/>
      <c r="Y915" s="237"/>
      <c r="Z915" s="237"/>
      <c r="AA915" s="237"/>
      <c r="AB915" s="237"/>
      <c r="AC915" s="237"/>
      <c r="AD915" s="237"/>
      <c r="AE915" s="237"/>
      <c r="AF915" s="237"/>
      <c r="AG915" s="237"/>
      <c r="AH915" s="237"/>
      <c r="AI915" s="308"/>
      <c r="AJ915" s="308"/>
      <c r="AK915" s="308"/>
      <c r="AL915" s="308"/>
      <c r="AM915" s="308"/>
      <c r="AN915" s="98"/>
    </row>
    <row r="916" ht="14.25" customHeight="1">
      <c r="A916" s="179"/>
      <c r="B916" s="98"/>
      <c r="C916" s="98"/>
      <c r="D916" s="98"/>
      <c r="E916" s="98"/>
      <c r="F916" s="235"/>
      <c r="G916" s="235"/>
      <c r="H916" s="236"/>
      <c r="I916" s="236"/>
      <c r="J916" s="236"/>
      <c r="K916" s="236"/>
      <c r="L916" s="236"/>
      <c r="M916" s="236"/>
      <c r="N916" s="236"/>
      <c r="O916" s="236"/>
      <c r="P916" s="236"/>
      <c r="Q916" s="236"/>
      <c r="R916" s="236"/>
      <c r="S916" s="236"/>
      <c r="T916" s="236"/>
      <c r="U916" s="236"/>
      <c r="V916" s="236"/>
      <c r="W916" s="237"/>
      <c r="X916" s="237"/>
      <c r="Y916" s="237"/>
      <c r="Z916" s="237"/>
      <c r="AA916" s="237"/>
      <c r="AB916" s="237"/>
      <c r="AC916" s="237"/>
      <c r="AD916" s="237"/>
      <c r="AE916" s="237"/>
      <c r="AF916" s="237"/>
      <c r="AG916" s="237"/>
      <c r="AH916" s="237"/>
      <c r="AI916" s="308"/>
      <c r="AJ916" s="308"/>
      <c r="AK916" s="308"/>
      <c r="AL916" s="308"/>
      <c r="AM916" s="308"/>
      <c r="AN916" s="98"/>
    </row>
    <row r="917" ht="14.25" customHeight="1">
      <c r="A917" s="179"/>
      <c r="B917" s="98"/>
      <c r="C917" s="98"/>
      <c r="D917" s="98"/>
      <c r="E917" s="98"/>
      <c r="F917" s="235"/>
      <c r="G917" s="235"/>
      <c r="H917" s="236"/>
      <c r="I917" s="236"/>
      <c r="J917" s="236"/>
      <c r="K917" s="236"/>
      <c r="L917" s="236"/>
      <c r="M917" s="236"/>
      <c r="N917" s="236"/>
      <c r="O917" s="236"/>
      <c r="P917" s="236"/>
      <c r="Q917" s="236"/>
      <c r="R917" s="236"/>
      <c r="S917" s="236"/>
      <c r="T917" s="236"/>
      <c r="U917" s="236"/>
      <c r="V917" s="236"/>
      <c r="W917" s="237"/>
      <c r="X917" s="237"/>
      <c r="Y917" s="237"/>
      <c r="Z917" s="237"/>
      <c r="AA917" s="237"/>
      <c r="AB917" s="237"/>
      <c r="AC917" s="237"/>
      <c r="AD917" s="237"/>
      <c r="AE917" s="237"/>
      <c r="AF917" s="237"/>
      <c r="AG917" s="237"/>
      <c r="AH917" s="237"/>
      <c r="AI917" s="308"/>
      <c r="AJ917" s="308"/>
      <c r="AK917" s="308"/>
      <c r="AL917" s="308"/>
      <c r="AM917" s="308"/>
      <c r="AN917" s="98"/>
    </row>
    <row r="918" ht="14.25" customHeight="1">
      <c r="A918" s="179"/>
      <c r="B918" s="98"/>
      <c r="C918" s="98"/>
      <c r="D918" s="98"/>
      <c r="E918" s="98"/>
      <c r="F918" s="235"/>
      <c r="G918" s="235"/>
      <c r="H918" s="236"/>
      <c r="I918" s="236"/>
      <c r="J918" s="236"/>
      <c r="K918" s="236"/>
      <c r="L918" s="236"/>
      <c r="M918" s="236"/>
      <c r="N918" s="236"/>
      <c r="O918" s="236"/>
      <c r="P918" s="236"/>
      <c r="Q918" s="236"/>
      <c r="R918" s="236"/>
      <c r="S918" s="236"/>
      <c r="T918" s="236"/>
      <c r="U918" s="236"/>
      <c r="V918" s="236"/>
      <c r="W918" s="237"/>
      <c r="X918" s="237"/>
      <c r="Y918" s="237"/>
      <c r="Z918" s="237"/>
      <c r="AA918" s="237"/>
      <c r="AB918" s="237"/>
      <c r="AC918" s="237"/>
      <c r="AD918" s="237"/>
      <c r="AE918" s="237"/>
      <c r="AF918" s="237"/>
      <c r="AG918" s="237"/>
      <c r="AH918" s="237"/>
      <c r="AI918" s="308"/>
      <c r="AJ918" s="308"/>
      <c r="AK918" s="308"/>
      <c r="AL918" s="308"/>
      <c r="AM918" s="308"/>
      <c r="AN918" s="98"/>
    </row>
    <row r="919" ht="14.25" customHeight="1">
      <c r="A919" s="179"/>
      <c r="B919" s="98"/>
      <c r="C919" s="98"/>
      <c r="D919" s="98"/>
      <c r="E919" s="98"/>
      <c r="F919" s="235"/>
      <c r="G919" s="235"/>
      <c r="H919" s="236"/>
      <c r="I919" s="236"/>
      <c r="J919" s="236"/>
      <c r="K919" s="236"/>
      <c r="L919" s="236"/>
      <c r="M919" s="236"/>
      <c r="N919" s="236"/>
      <c r="O919" s="236"/>
      <c r="P919" s="236"/>
      <c r="Q919" s="236"/>
      <c r="R919" s="236"/>
      <c r="S919" s="236"/>
      <c r="T919" s="236"/>
      <c r="U919" s="236"/>
      <c r="V919" s="236"/>
      <c r="W919" s="237"/>
      <c r="X919" s="237"/>
      <c r="Y919" s="237"/>
      <c r="Z919" s="237"/>
      <c r="AA919" s="237"/>
      <c r="AB919" s="237"/>
      <c r="AC919" s="237"/>
      <c r="AD919" s="237"/>
      <c r="AE919" s="237"/>
      <c r="AF919" s="237"/>
      <c r="AG919" s="237"/>
      <c r="AH919" s="237"/>
      <c r="AI919" s="308"/>
      <c r="AJ919" s="308"/>
      <c r="AK919" s="308"/>
      <c r="AL919" s="308"/>
      <c r="AM919" s="308"/>
      <c r="AN919" s="98"/>
    </row>
    <row r="920" ht="14.25" customHeight="1">
      <c r="A920" s="179"/>
      <c r="B920" s="98"/>
      <c r="C920" s="98"/>
      <c r="D920" s="98"/>
      <c r="E920" s="98"/>
      <c r="F920" s="235"/>
      <c r="G920" s="235"/>
      <c r="H920" s="236"/>
      <c r="I920" s="236"/>
      <c r="J920" s="236"/>
      <c r="K920" s="236"/>
      <c r="L920" s="236"/>
      <c r="M920" s="236"/>
      <c r="N920" s="236"/>
      <c r="O920" s="236"/>
      <c r="P920" s="236"/>
      <c r="Q920" s="236"/>
      <c r="R920" s="236"/>
      <c r="S920" s="236"/>
      <c r="T920" s="236"/>
      <c r="U920" s="236"/>
      <c r="V920" s="236"/>
      <c r="W920" s="237"/>
      <c r="X920" s="237"/>
      <c r="Y920" s="237"/>
      <c r="Z920" s="237"/>
      <c r="AA920" s="237"/>
      <c r="AB920" s="237"/>
      <c r="AC920" s="237"/>
      <c r="AD920" s="237"/>
      <c r="AE920" s="237"/>
      <c r="AF920" s="237"/>
      <c r="AG920" s="237"/>
      <c r="AH920" s="237"/>
      <c r="AI920" s="308"/>
      <c r="AJ920" s="308"/>
      <c r="AK920" s="308"/>
      <c r="AL920" s="308"/>
      <c r="AM920" s="308"/>
      <c r="AN920" s="98"/>
    </row>
    <row r="921" ht="14.25" customHeight="1">
      <c r="A921" s="179"/>
      <c r="B921" s="98"/>
      <c r="C921" s="98"/>
      <c r="D921" s="98"/>
      <c r="E921" s="98"/>
      <c r="F921" s="235"/>
      <c r="G921" s="235"/>
      <c r="H921" s="236"/>
      <c r="I921" s="236"/>
      <c r="J921" s="236"/>
      <c r="K921" s="236"/>
      <c r="L921" s="236"/>
      <c r="M921" s="236"/>
      <c r="N921" s="236"/>
      <c r="O921" s="236"/>
      <c r="P921" s="236"/>
      <c r="Q921" s="236"/>
      <c r="R921" s="236"/>
      <c r="S921" s="236"/>
      <c r="T921" s="236"/>
      <c r="U921" s="236"/>
      <c r="V921" s="236"/>
      <c r="W921" s="237"/>
      <c r="X921" s="237"/>
      <c r="Y921" s="237"/>
      <c r="Z921" s="237"/>
      <c r="AA921" s="237"/>
      <c r="AB921" s="237"/>
      <c r="AC921" s="237"/>
      <c r="AD921" s="237"/>
      <c r="AE921" s="237"/>
      <c r="AF921" s="237"/>
      <c r="AG921" s="237"/>
      <c r="AH921" s="237"/>
      <c r="AI921" s="308"/>
      <c r="AJ921" s="308"/>
      <c r="AK921" s="308"/>
      <c r="AL921" s="308"/>
      <c r="AM921" s="308"/>
      <c r="AN921" s="98"/>
    </row>
    <row r="922" ht="14.25" customHeight="1">
      <c r="A922" s="179"/>
      <c r="B922" s="98"/>
      <c r="C922" s="98"/>
      <c r="D922" s="98"/>
      <c r="E922" s="98"/>
      <c r="F922" s="235"/>
      <c r="G922" s="235"/>
      <c r="H922" s="236"/>
      <c r="I922" s="236"/>
      <c r="J922" s="236"/>
      <c r="K922" s="236"/>
      <c r="L922" s="236"/>
      <c r="M922" s="236"/>
      <c r="N922" s="236"/>
      <c r="O922" s="236"/>
      <c r="P922" s="236"/>
      <c r="Q922" s="236"/>
      <c r="R922" s="236"/>
      <c r="S922" s="236"/>
      <c r="T922" s="236"/>
      <c r="U922" s="236"/>
      <c r="V922" s="236"/>
      <c r="W922" s="237"/>
      <c r="X922" s="237"/>
      <c r="Y922" s="237"/>
      <c r="Z922" s="237"/>
      <c r="AA922" s="237"/>
      <c r="AB922" s="237"/>
      <c r="AC922" s="237"/>
      <c r="AD922" s="237"/>
      <c r="AE922" s="237"/>
      <c r="AF922" s="237"/>
      <c r="AG922" s="237"/>
      <c r="AH922" s="237"/>
      <c r="AI922" s="308"/>
      <c r="AJ922" s="308"/>
      <c r="AK922" s="308"/>
      <c r="AL922" s="308"/>
      <c r="AM922" s="308"/>
      <c r="AN922" s="98"/>
    </row>
    <row r="923" ht="14.25" customHeight="1">
      <c r="A923" s="179"/>
      <c r="B923" s="98"/>
      <c r="C923" s="98"/>
      <c r="D923" s="98"/>
      <c r="E923" s="98"/>
      <c r="F923" s="235"/>
      <c r="G923" s="235"/>
      <c r="H923" s="236"/>
      <c r="I923" s="236"/>
      <c r="J923" s="236"/>
      <c r="K923" s="236"/>
      <c r="L923" s="236"/>
      <c r="M923" s="236"/>
      <c r="N923" s="236"/>
      <c r="O923" s="236"/>
      <c r="P923" s="236"/>
      <c r="Q923" s="236"/>
      <c r="R923" s="236"/>
      <c r="S923" s="236"/>
      <c r="T923" s="236"/>
      <c r="U923" s="236"/>
      <c r="V923" s="236"/>
      <c r="W923" s="237"/>
      <c r="X923" s="237"/>
      <c r="Y923" s="237"/>
      <c r="Z923" s="237"/>
      <c r="AA923" s="237"/>
      <c r="AB923" s="237"/>
      <c r="AC923" s="237"/>
      <c r="AD923" s="237"/>
      <c r="AE923" s="237"/>
      <c r="AF923" s="237"/>
      <c r="AG923" s="237"/>
      <c r="AH923" s="237"/>
      <c r="AI923" s="308"/>
      <c r="AJ923" s="308"/>
      <c r="AK923" s="308"/>
      <c r="AL923" s="308"/>
      <c r="AM923" s="308"/>
      <c r="AN923" s="98"/>
    </row>
    <row r="924" ht="14.25" customHeight="1">
      <c r="A924" s="179"/>
      <c r="B924" s="98"/>
      <c r="C924" s="98"/>
      <c r="D924" s="98"/>
      <c r="E924" s="98"/>
      <c r="F924" s="235"/>
      <c r="G924" s="235"/>
      <c r="H924" s="236"/>
      <c r="I924" s="236"/>
      <c r="J924" s="236"/>
      <c r="K924" s="236"/>
      <c r="L924" s="236"/>
      <c r="M924" s="236"/>
      <c r="N924" s="236"/>
      <c r="O924" s="236"/>
      <c r="P924" s="236"/>
      <c r="Q924" s="236"/>
      <c r="R924" s="236"/>
      <c r="S924" s="236"/>
      <c r="T924" s="236"/>
      <c r="U924" s="236"/>
      <c r="V924" s="236"/>
      <c r="W924" s="237"/>
      <c r="X924" s="237"/>
      <c r="Y924" s="237"/>
      <c r="Z924" s="237"/>
      <c r="AA924" s="237"/>
      <c r="AB924" s="237"/>
      <c r="AC924" s="237"/>
      <c r="AD924" s="237"/>
      <c r="AE924" s="237"/>
      <c r="AF924" s="237"/>
      <c r="AG924" s="237"/>
      <c r="AH924" s="237"/>
      <c r="AI924" s="308"/>
      <c r="AJ924" s="308"/>
      <c r="AK924" s="308"/>
      <c r="AL924" s="308"/>
      <c r="AM924" s="308"/>
      <c r="AN924" s="98"/>
    </row>
    <row r="925" ht="14.25" customHeight="1">
      <c r="A925" s="179"/>
      <c r="B925" s="98"/>
      <c r="C925" s="98"/>
      <c r="D925" s="98"/>
      <c r="E925" s="98"/>
      <c r="F925" s="235"/>
      <c r="G925" s="235"/>
      <c r="H925" s="236"/>
      <c r="I925" s="236"/>
      <c r="J925" s="236"/>
      <c r="K925" s="236"/>
      <c r="L925" s="236"/>
      <c r="M925" s="236"/>
      <c r="N925" s="236"/>
      <c r="O925" s="236"/>
      <c r="P925" s="236"/>
      <c r="Q925" s="236"/>
      <c r="R925" s="236"/>
      <c r="S925" s="236"/>
      <c r="T925" s="236"/>
      <c r="U925" s="236"/>
      <c r="V925" s="236"/>
      <c r="W925" s="237"/>
      <c r="X925" s="237"/>
      <c r="Y925" s="237"/>
      <c r="Z925" s="237"/>
      <c r="AA925" s="237"/>
      <c r="AB925" s="237"/>
      <c r="AC925" s="237"/>
      <c r="AD925" s="237"/>
      <c r="AE925" s="237"/>
      <c r="AF925" s="237"/>
      <c r="AG925" s="237"/>
      <c r="AH925" s="237"/>
      <c r="AI925" s="308"/>
      <c r="AJ925" s="308"/>
      <c r="AK925" s="308"/>
      <c r="AL925" s="308"/>
      <c r="AM925" s="308"/>
      <c r="AN925" s="98"/>
    </row>
    <row r="926" ht="14.25" customHeight="1">
      <c r="A926" s="179"/>
      <c r="B926" s="98"/>
      <c r="C926" s="98"/>
      <c r="D926" s="98"/>
      <c r="E926" s="98"/>
      <c r="F926" s="235"/>
      <c r="G926" s="235"/>
      <c r="H926" s="236"/>
      <c r="I926" s="236"/>
      <c r="J926" s="236"/>
      <c r="K926" s="236"/>
      <c r="L926" s="236"/>
      <c r="M926" s="236"/>
      <c r="N926" s="236"/>
      <c r="O926" s="236"/>
      <c r="P926" s="236"/>
      <c r="Q926" s="236"/>
      <c r="R926" s="236"/>
      <c r="S926" s="236"/>
      <c r="T926" s="236"/>
      <c r="U926" s="236"/>
      <c r="V926" s="236"/>
      <c r="W926" s="237"/>
      <c r="X926" s="237"/>
      <c r="Y926" s="237"/>
      <c r="Z926" s="237"/>
      <c r="AA926" s="237"/>
      <c r="AB926" s="237"/>
      <c r="AC926" s="237"/>
      <c r="AD926" s="237"/>
      <c r="AE926" s="237"/>
      <c r="AF926" s="237"/>
      <c r="AG926" s="237"/>
      <c r="AH926" s="237"/>
      <c r="AI926" s="308"/>
      <c r="AJ926" s="308"/>
      <c r="AK926" s="308"/>
      <c r="AL926" s="308"/>
      <c r="AM926" s="308"/>
      <c r="AN926" s="98"/>
    </row>
    <row r="927" ht="14.25" customHeight="1">
      <c r="A927" s="179"/>
      <c r="B927" s="98"/>
      <c r="C927" s="98"/>
      <c r="D927" s="98"/>
      <c r="E927" s="98"/>
      <c r="F927" s="235"/>
      <c r="G927" s="235"/>
      <c r="H927" s="236"/>
      <c r="I927" s="236"/>
      <c r="J927" s="236"/>
      <c r="K927" s="236"/>
      <c r="L927" s="236"/>
      <c r="M927" s="236"/>
      <c r="N927" s="236"/>
      <c r="O927" s="236"/>
      <c r="P927" s="236"/>
      <c r="Q927" s="236"/>
      <c r="R927" s="236"/>
      <c r="S927" s="236"/>
      <c r="T927" s="236"/>
      <c r="U927" s="236"/>
      <c r="V927" s="236"/>
      <c r="W927" s="237"/>
      <c r="X927" s="237"/>
      <c r="Y927" s="237"/>
      <c r="Z927" s="237"/>
      <c r="AA927" s="237"/>
      <c r="AB927" s="237"/>
      <c r="AC927" s="237"/>
      <c r="AD927" s="237"/>
      <c r="AE927" s="237"/>
      <c r="AF927" s="237"/>
      <c r="AG927" s="237"/>
      <c r="AH927" s="237"/>
      <c r="AI927" s="308"/>
      <c r="AJ927" s="308"/>
      <c r="AK927" s="308"/>
      <c r="AL927" s="308"/>
      <c r="AM927" s="308"/>
      <c r="AN927" s="98"/>
    </row>
    <row r="928" ht="14.25" customHeight="1">
      <c r="A928" s="179"/>
      <c r="B928" s="98"/>
      <c r="C928" s="98"/>
      <c r="D928" s="98"/>
      <c r="E928" s="98"/>
      <c r="F928" s="235"/>
      <c r="G928" s="235"/>
      <c r="H928" s="236"/>
      <c r="I928" s="236"/>
      <c r="J928" s="236"/>
      <c r="K928" s="236"/>
      <c r="L928" s="236"/>
      <c r="M928" s="236"/>
      <c r="N928" s="236"/>
      <c r="O928" s="236"/>
      <c r="P928" s="236"/>
      <c r="Q928" s="236"/>
      <c r="R928" s="236"/>
      <c r="S928" s="236"/>
      <c r="T928" s="236"/>
      <c r="U928" s="236"/>
      <c r="V928" s="236"/>
      <c r="W928" s="237"/>
      <c r="X928" s="237"/>
      <c r="Y928" s="237"/>
      <c r="Z928" s="237"/>
      <c r="AA928" s="237"/>
      <c r="AB928" s="237"/>
      <c r="AC928" s="237"/>
      <c r="AD928" s="237"/>
      <c r="AE928" s="237"/>
      <c r="AF928" s="237"/>
      <c r="AG928" s="237"/>
      <c r="AH928" s="237"/>
      <c r="AI928" s="308"/>
      <c r="AJ928" s="308"/>
      <c r="AK928" s="308"/>
      <c r="AL928" s="308"/>
      <c r="AM928" s="308"/>
      <c r="AN928" s="98"/>
    </row>
    <row r="929" ht="14.25" customHeight="1">
      <c r="A929" s="179"/>
      <c r="B929" s="98"/>
      <c r="C929" s="98"/>
      <c r="D929" s="98"/>
      <c r="E929" s="98"/>
      <c r="F929" s="235"/>
      <c r="G929" s="235"/>
      <c r="H929" s="236"/>
      <c r="I929" s="236"/>
      <c r="J929" s="236"/>
      <c r="K929" s="236"/>
      <c r="L929" s="236"/>
      <c r="M929" s="236"/>
      <c r="N929" s="236"/>
      <c r="O929" s="236"/>
      <c r="P929" s="236"/>
      <c r="Q929" s="236"/>
      <c r="R929" s="236"/>
      <c r="S929" s="236"/>
      <c r="T929" s="236"/>
      <c r="U929" s="236"/>
      <c r="V929" s="236"/>
      <c r="W929" s="237"/>
      <c r="X929" s="237"/>
      <c r="Y929" s="237"/>
      <c r="Z929" s="237"/>
      <c r="AA929" s="237"/>
      <c r="AB929" s="237"/>
      <c r="AC929" s="237"/>
      <c r="AD929" s="237"/>
      <c r="AE929" s="237"/>
      <c r="AF929" s="237"/>
      <c r="AG929" s="237"/>
      <c r="AH929" s="237"/>
      <c r="AI929" s="308"/>
      <c r="AJ929" s="308"/>
      <c r="AK929" s="308"/>
      <c r="AL929" s="308"/>
      <c r="AM929" s="308"/>
      <c r="AN929" s="98"/>
    </row>
    <row r="930" ht="14.25" customHeight="1">
      <c r="A930" s="179"/>
      <c r="B930" s="98"/>
      <c r="C930" s="98"/>
      <c r="D930" s="98"/>
      <c r="E930" s="98"/>
      <c r="F930" s="235"/>
      <c r="G930" s="235"/>
      <c r="H930" s="236"/>
      <c r="I930" s="236"/>
      <c r="J930" s="236"/>
      <c r="K930" s="236"/>
      <c r="L930" s="236"/>
      <c r="M930" s="236"/>
      <c r="N930" s="236"/>
      <c r="O930" s="236"/>
      <c r="P930" s="236"/>
      <c r="Q930" s="236"/>
      <c r="R930" s="236"/>
      <c r="S930" s="236"/>
      <c r="T930" s="236"/>
      <c r="U930" s="236"/>
      <c r="V930" s="236"/>
      <c r="W930" s="237"/>
      <c r="X930" s="237"/>
      <c r="Y930" s="237"/>
      <c r="Z930" s="237"/>
      <c r="AA930" s="237"/>
      <c r="AB930" s="237"/>
      <c r="AC930" s="237"/>
      <c r="AD930" s="237"/>
      <c r="AE930" s="237"/>
      <c r="AF930" s="237"/>
      <c r="AG930" s="237"/>
      <c r="AH930" s="237"/>
      <c r="AI930" s="308"/>
      <c r="AJ930" s="308"/>
      <c r="AK930" s="308"/>
      <c r="AL930" s="308"/>
      <c r="AM930" s="308"/>
      <c r="AN930" s="98"/>
    </row>
    <row r="931" ht="14.25" customHeight="1">
      <c r="A931" s="179"/>
      <c r="B931" s="98"/>
      <c r="C931" s="98"/>
      <c r="D931" s="98"/>
      <c r="E931" s="98"/>
      <c r="F931" s="235"/>
      <c r="G931" s="235"/>
      <c r="H931" s="236"/>
      <c r="I931" s="236"/>
      <c r="J931" s="236"/>
      <c r="K931" s="236"/>
      <c r="L931" s="236"/>
      <c r="M931" s="236"/>
      <c r="N931" s="236"/>
      <c r="O931" s="236"/>
      <c r="P931" s="236"/>
      <c r="Q931" s="236"/>
      <c r="R931" s="236"/>
      <c r="S931" s="236"/>
      <c r="T931" s="236"/>
      <c r="U931" s="236"/>
      <c r="V931" s="236"/>
      <c r="W931" s="237"/>
      <c r="X931" s="237"/>
      <c r="Y931" s="237"/>
      <c r="Z931" s="237"/>
      <c r="AA931" s="237"/>
      <c r="AB931" s="237"/>
      <c r="AC931" s="237"/>
      <c r="AD931" s="237"/>
      <c r="AE931" s="237"/>
      <c r="AF931" s="237"/>
      <c r="AG931" s="237"/>
      <c r="AH931" s="237"/>
      <c r="AI931" s="308"/>
      <c r="AJ931" s="308"/>
      <c r="AK931" s="308"/>
      <c r="AL931" s="308"/>
      <c r="AM931" s="308"/>
      <c r="AN931" s="98"/>
    </row>
    <row r="932" ht="14.25" customHeight="1">
      <c r="A932" s="179"/>
      <c r="B932" s="98"/>
      <c r="C932" s="98"/>
      <c r="D932" s="98"/>
      <c r="E932" s="98"/>
      <c r="F932" s="235"/>
      <c r="G932" s="235"/>
      <c r="H932" s="236"/>
      <c r="I932" s="236"/>
      <c r="J932" s="236"/>
      <c r="K932" s="236"/>
      <c r="L932" s="236"/>
      <c r="M932" s="236"/>
      <c r="N932" s="236"/>
      <c r="O932" s="236"/>
      <c r="P932" s="236"/>
      <c r="Q932" s="236"/>
      <c r="R932" s="236"/>
      <c r="S932" s="236"/>
      <c r="T932" s="236"/>
      <c r="U932" s="236"/>
      <c r="V932" s="236"/>
      <c r="W932" s="237"/>
      <c r="X932" s="237"/>
      <c r="Y932" s="237"/>
      <c r="Z932" s="237"/>
      <c r="AA932" s="237"/>
      <c r="AB932" s="237"/>
      <c r="AC932" s="237"/>
      <c r="AD932" s="237"/>
      <c r="AE932" s="237"/>
      <c r="AF932" s="237"/>
      <c r="AG932" s="237"/>
      <c r="AH932" s="237"/>
      <c r="AI932" s="308"/>
      <c r="AJ932" s="308"/>
      <c r="AK932" s="308"/>
      <c r="AL932" s="308"/>
      <c r="AM932" s="308"/>
      <c r="AN932" s="98"/>
    </row>
    <row r="933" ht="14.25" customHeight="1">
      <c r="A933" s="179"/>
      <c r="B933" s="98"/>
      <c r="C933" s="98"/>
      <c r="D933" s="98"/>
      <c r="E933" s="98"/>
      <c r="F933" s="235"/>
      <c r="G933" s="235"/>
      <c r="H933" s="236"/>
      <c r="I933" s="236"/>
      <c r="J933" s="236"/>
      <c r="K933" s="236"/>
      <c r="L933" s="236"/>
      <c r="M933" s="236"/>
      <c r="N933" s="236"/>
      <c r="O933" s="236"/>
      <c r="P933" s="236"/>
      <c r="Q933" s="236"/>
      <c r="R933" s="236"/>
      <c r="S933" s="236"/>
      <c r="T933" s="236"/>
      <c r="U933" s="236"/>
      <c r="V933" s="236"/>
      <c r="W933" s="237"/>
      <c r="X933" s="237"/>
      <c r="Y933" s="237"/>
      <c r="Z933" s="237"/>
      <c r="AA933" s="237"/>
      <c r="AB933" s="237"/>
      <c r="AC933" s="237"/>
      <c r="AD933" s="237"/>
      <c r="AE933" s="237"/>
      <c r="AF933" s="237"/>
      <c r="AG933" s="237"/>
      <c r="AH933" s="237"/>
      <c r="AI933" s="308"/>
      <c r="AJ933" s="308"/>
      <c r="AK933" s="308"/>
      <c r="AL933" s="308"/>
      <c r="AM933" s="308"/>
      <c r="AN933" s="98"/>
    </row>
    <row r="934" ht="14.25" customHeight="1">
      <c r="A934" s="179"/>
      <c r="B934" s="98"/>
      <c r="C934" s="98"/>
      <c r="D934" s="98"/>
      <c r="E934" s="98"/>
      <c r="F934" s="235"/>
      <c r="G934" s="235"/>
      <c r="H934" s="236"/>
      <c r="I934" s="236"/>
      <c r="J934" s="236"/>
      <c r="K934" s="236"/>
      <c r="L934" s="236"/>
      <c r="M934" s="236"/>
      <c r="N934" s="236"/>
      <c r="O934" s="236"/>
      <c r="P934" s="236"/>
      <c r="Q934" s="236"/>
      <c r="R934" s="236"/>
      <c r="S934" s="236"/>
      <c r="T934" s="236"/>
      <c r="U934" s="236"/>
      <c r="V934" s="236"/>
      <c r="W934" s="237"/>
      <c r="X934" s="237"/>
      <c r="Y934" s="237"/>
      <c r="Z934" s="237"/>
      <c r="AA934" s="237"/>
      <c r="AB934" s="237"/>
      <c r="AC934" s="237"/>
      <c r="AD934" s="237"/>
      <c r="AE934" s="237"/>
      <c r="AF934" s="237"/>
      <c r="AG934" s="237"/>
      <c r="AH934" s="237"/>
      <c r="AI934" s="308"/>
      <c r="AJ934" s="308"/>
      <c r="AK934" s="308"/>
      <c r="AL934" s="308"/>
      <c r="AM934" s="308"/>
      <c r="AN934" s="98"/>
    </row>
    <row r="935" ht="14.25" customHeight="1">
      <c r="A935" s="179"/>
      <c r="B935" s="98"/>
      <c r="C935" s="98"/>
      <c r="D935" s="98"/>
      <c r="E935" s="98"/>
      <c r="F935" s="235"/>
      <c r="G935" s="235"/>
      <c r="H935" s="236"/>
      <c r="I935" s="236"/>
      <c r="J935" s="236"/>
      <c r="K935" s="236"/>
      <c r="L935" s="236"/>
      <c r="M935" s="236"/>
      <c r="N935" s="236"/>
      <c r="O935" s="236"/>
      <c r="P935" s="236"/>
      <c r="Q935" s="236"/>
      <c r="R935" s="236"/>
      <c r="S935" s="236"/>
      <c r="T935" s="236"/>
      <c r="U935" s="236"/>
      <c r="V935" s="236"/>
      <c r="W935" s="237"/>
      <c r="X935" s="237"/>
      <c r="Y935" s="237"/>
      <c r="Z935" s="237"/>
      <c r="AA935" s="237"/>
      <c r="AB935" s="237"/>
      <c r="AC935" s="237"/>
      <c r="AD935" s="237"/>
      <c r="AE935" s="237"/>
      <c r="AF935" s="237"/>
      <c r="AG935" s="237"/>
      <c r="AH935" s="237"/>
      <c r="AI935" s="308"/>
      <c r="AJ935" s="308"/>
      <c r="AK935" s="308"/>
      <c r="AL935" s="308"/>
      <c r="AM935" s="308"/>
      <c r="AN935" s="98"/>
    </row>
    <row r="936" ht="14.25" customHeight="1">
      <c r="A936" s="179"/>
      <c r="B936" s="98"/>
      <c r="C936" s="98"/>
      <c r="D936" s="98"/>
      <c r="E936" s="98"/>
      <c r="F936" s="235"/>
      <c r="G936" s="235"/>
      <c r="H936" s="236"/>
      <c r="I936" s="236"/>
      <c r="J936" s="236"/>
      <c r="K936" s="236"/>
      <c r="L936" s="236"/>
      <c r="M936" s="236"/>
      <c r="N936" s="236"/>
      <c r="O936" s="236"/>
      <c r="P936" s="236"/>
      <c r="Q936" s="236"/>
      <c r="R936" s="236"/>
      <c r="S936" s="236"/>
      <c r="T936" s="236"/>
      <c r="U936" s="236"/>
      <c r="V936" s="236"/>
      <c r="W936" s="237"/>
      <c r="X936" s="237"/>
      <c r="Y936" s="237"/>
      <c r="Z936" s="237"/>
      <c r="AA936" s="237"/>
      <c r="AB936" s="237"/>
      <c r="AC936" s="237"/>
      <c r="AD936" s="237"/>
      <c r="AE936" s="237"/>
      <c r="AF936" s="237"/>
      <c r="AG936" s="237"/>
      <c r="AH936" s="237"/>
      <c r="AI936" s="308"/>
      <c r="AJ936" s="308"/>
      <c r="AK936" s="308"/>
      <c r="AL936" s="308"/>
      <c r="AM936" s="308"/>
      <c r="AN936" s="98"/>
    </row>
    <row r="937" ht="14.25" customHeight="1">
      <c r="A937" s="179"/>
      <c r="B937" s="98"/>
      <c r="C937" s="98"/>
      <c r="D937" s="98"/>
      <c r="E937" s="98"/>
      <c r="F937" s="235"/>
      <c r="G937" s="235"/>
      <c r="H937" s="236"/>
      <c r="I937" s="236"/>
      <c r="J937" s="236"/>
      <c r="K937" s="236"/>
      <c r="L937" s="236"/>
      <c r="M937" s="236"/>
      <c r="N937" s="236"/>
      <c r="O937" s="236"/>
      <c r="P937" s="236"/>
      <c r="Q937" s="236"/>
      <c r="R937" s="236"/>
      <c r="S937" s="236"/>
      <c r="T937" s="236"/>
      <c r="U937" s="236"/>
      <c r="V937" s="236"/>
      <c r="W937" s="237"/>
      <c r="X937" s="237"/>
      <c r="Y937" s="237"/>
      <c r="Z937" s="237"/>
      <c r="AA937" s="237"/>
      <c r="AB937" s="237"/>
      <c r="AC937" s="237"/>
      <c r="AD937" s="237"/>
      <c r="AE937" s="237"/>
      <c r="AF937" s="237"/>
      <c r="AG937" s="237"/>
      <c r="AH937" s="237"/>
      <c r="AI937" s="308"/>
      <c r="AJ937" s="308"/>
      <c r="AK937" s="308"/>
      <c r="AL937" s="308"/>
      <c r="AM937" s="308"/>
      <c r="AN937" s="98"/>
    </row>
    <row r="938" ht="14.25" customHeight="1">
      <c r="A938" s="179"/>
      <c r="B938" s="98"/>
      <c r="C938" s="98"/>
      <c r="D938" s="98"/>
      <c r="E938" s="98"/>
      <c r="F938" s="235"/>
      <c r="G938" s="235"/>
      <c r="H938" s="236"/>
      <c r="I938" s="236"/>
      <c r="J938" s="236"/>
      <c r="K938" s="236"/>
      <c r="L938" s="236"/>
      <c r="M938" s="236"/>
      <c r="N938" s="236"/>
      <c r="O938" s="236"/>
      <c r="P938" s="236"/>
      <c r="Q938" s="236"/>
      <c r="R938" s="236"/>
      <c r="S938" s="236"/>
      <c r="T938" s="236"/>
      <c r="U938" s="236"/>
      <c r="V938" s="236"/>
      <c r="W938" s="237"/>
      <c r="X938" s="237"/>
      <c r="Y938" s="237"/>
      <c r="Z938" s="237"/>
      <c r="AA938" s="237"/>
      <c r="AB938" s="237"/>
      <c r="AC938" s="237"/>
      <c r="AD938" s="237"/>
      <c r="AE938" s="237"/>
      <c r="AF938" s="237"/>
      <c r="AG938" s="237"/>
      <c r="AH938" s="237"/>
      <c r="AI938" s="308"/>
      <c r="AJ938" s="308"/>
      <c r="AK938" s="308"/>
      <c r="AL938" s="308"/>
      <c r="AM938" s="308"/>
      <c r="AN938" s="98"/>
    </row>
    <row r="939" ht="14.25" customHeight="1">
      <c r="A939" s="179"/>
      <c r="B939" s="98"/>
      <c r="C939" s="98"/>
      <c r="D939" s="98"/>
      <c r="E939" s="98"/>
      <c r="F939" s="235"/>
      <c r="G939" s="235"/>
      <c r="H939" s="236"/>
      <c r="I939" s="236"/>
      <c r="J939" s="236"/>
      <c r="K939" s="236"/>
      <c r="L939" s="236"/>
      <c r="M939" s="236"/>
      <c r="N939" s="236"/>
      <c r="O939" s="236"/>
      <c r="P939" s="236"/>
      <c r="Q939" s="236"/>
      <c r="R939" s="236"/>
      <c r="S939" s="236"/>
      <c r="T939" s="236"/>
      <c r="U939" s="236"/>
      <c r="V939" s="236"/>
      <c r="W939" s="237"/>
      <c r="X939" s="237"/>
      <c r="Y939" s="237"/>
      <c r="Z939" s="237"/>
      <c r="AA939" s="237"/>
      <c r="AB939" s="237"/>
      <c r="AC939" s="237"/>
      <c r="AD939" s="237"/>
      <c r="AE939" s="237"/>
      <c r="AF939" s="237"/>
      <c r="AG939" s="237"/>
      <c r="AH939" s="237"/>
      <c r="AI939" s="308"/>
      <c r="AJ939" s="308"/>
      <c r="AK939" s="308"/>
      <c r="AL939" s="308"/>
      <c r="AM939" s="308"/>
      <c r="AN939" s="98"/>
    </row>
    <row r="940" ht="14.25" customHeight="1">
      <c r="A940" s="179"/>
      <c r="B940" s="98"/>
      <c r="C940" s="98"/>
      <c r="D940" s="98"/>
      <c r="E940" s="98"/>
      <c r="F940" s="235"/>
      <c r="G940" s="235"/>
      <c r="H940" s="236"/>
      <c r="I940" s="236"/>
      <c r="J940" s="236"/>
      <c r="K940" s="236"/>
      <c r="L940" s="236"/>
      <c r="M940" s="236"/>
      <c r="N940" s="236"/>
      <c r="O940" s="236"/>
      <c r="P940" s="236"/>
      <c r="Q940" s="236"/>
      <c r="R940" s="236"/>
      <c r="S940" s="236"/>
      <c r="T940" s="236"/>
      <c r="U940" s="236"/>
      <c r="V940" s="236"/>
      <c r="W940" s="237"/>
      <c r="X940" s="237"/>
      <c r="Y940" s="237"/>
      <c r="Z940" s="237"/>
      <c r="AA940" s="237"/>
      <c r="AB940" s="237"/>
      <c r="AC940" s="237"/>
      <c r="AD940" s="237"/>
      <c r="AE940" s="237"/>
      <c r="AF940" s="237"/>
      <c r="AG940" s="237"/>
      <c r="AH940" s="237"/>
      <c r="AI940" s="308"/>
      <c r="AJ940" s="308"/>
      <c r="AK940" s="308"/>
      <c r="AL940" s="308"/>
      <c r="AM940" s="308"/>
      <c r="AN940" s="98"/>
    </row>
    <row r="941" ht="14.25" customHeight="1">
      <c r="A941" s="179"/>
      <c r="B941" s="98"/>
      <c r="C941" s="98"/>
      <c r="D941" s="98"/>
      <c r="E941" s="98"/>
      <c r="F941" s="235"/>
      <c r="G941" s="235"/>
      <c r="H941" s="236"/>
      <c r="I941" s="236"/>
      <c r="J941" s="236"/>
      <c r="K941" s="236"/>
      <c r="L941" s="236"/>
      <c r="M941" s="236"/>
      <c r="N941" s="236"/>
      <c r="O941" s="236"/>
      <c r="P941" s="236"/>
      <c r="Q941" s="236"/>
      <c r="R941" s="236"/>
      <c r="S941" s="236"/>
      <c r="T941" s="236"/>
      <c r="U941" s="236"/>
      <c r="V941" s="236"/>
      <c r="W941" s="237"/>
      <c r="X941" s="237"/>
      <c r="Y941" s="237"/>
      <c r="Z941" s="237"/>
      <c r="AA941" s="237"/>
      <c r="AB941" s="237"/>
      <c r="AC941" s="237"/>
      <c r="AD941" s="237"/>
      <c r="AE941" s="237"/>
      <c r="AF941" s="237"/>
      <c r="AG941" s="237"/>
      <c r="AH941" s="237"/>
      <c r="AI941" s="308"/>
      <c r="AJ941" s="308"/>
      <c r="AK941" s="308"/>
      <c r="AL941" s="308"/>
      <c r="AM941" s="308"/>
      <c r="AN941" s="98"/>
    </row>
    <row r="942" ht="14.25" customHeight="1">
      <c r="A942" s="179"/>
      <c r="B942" s="98"/>
      <c r="C942" s="98"/>
      <c r="D942" s="98"/>
      <c r="E942" s="98"/>
      <c r="F942" s="235"/>
      <c r="G942" s="235"/>
      <c r="H942" s="236"/>
      <c r="I942" s="236"/>
      <c r="J942" s="236"/>
      <c r="K942" s="236"/>
      <c r="L942" s="236"/>
      <c r="M942" s="236"/>
      <c r="N942" s="236"/>
      <c r="O942" s="236"/>
      <c r="P942" s="236"/>
      <c r="Q942" s="236"/>
      <c r="R942" s="236"/>
      <c r="S942" s="236"/>
      <c r="T942" s="236"/>
      <c r="U942" s="236"/>
      <c r="V942" s="236"/>
      <c r="W942" s="237"/>
      <c r="X942" s="237"/>
      <c r="Y942" s="237"/>
      <c r="Z942" s="237"/>
      <c r="AA942" s="237"/>
      <c r="AB942" s="237"/>
      <c r="AC942" s="237"/>
      <c r="AD942" s="237"/>
      <c r="AE942" s="237"/>
      <c r="AF942" s="237"/>
      <c r="AG942" s="237"/>
      <c r="AH942" s="237"/>
      <c r="AI942" s="308"/>
      <c r="AJ942" s="308"/>
      <c r="AK942" s="308"/>
      <c r="AL942" s="308"/>
      <c r="AM942" s="308"/>
      <c r="AN942" s="98"/>
    </row>
    <row r="943" ht="14.25" customHeight="1">
      <c r="A943" s="179"/>
      <c r="B943" s="98"/>
      <c r="C943" s="98"/>
      <c r="D943" s="98"/>
      <c r="E943" s="98"/>
      <c r="F943" s="235"/>
      <c r="G943" s="235"/>
      <c r="H943" s="236"/>
      <c r="I943" s="236"/>
      <c r="J943" s="236"/>
      <c r="K943" s="236"/>
      <c r="L943" s="236"/>
      <c r="M943" s="236"/>
      <c r="N943" s="236"/>
      <c r="O943" s="236"/>
      <c r="P943" s="236"/>
      <c r="Q943" s="236"/>
      <c r="R943" s="236"/>
      <c r="S943" s="236"/>
      <c r="T943" s="236"/>
      <c r="U943" s="236"/>
      <c r="V943" s="236"/>
      <c r="W943" s="237"/>
      <c r="X943" s="237"/>
      <c r="Y943" s="237"/>
      <c r="Z943" s="237"/>
      <c r="AA943" s="237"/>
      <c r="AB943" s="237"/>
      <c r="AC943" s="237"/>
      <c r="AD943" s="237"/>
      <c r="AE943" s="237"/>
      <c r="AF943" s="237"/>
      <c r="AG943" s="237"/>
      <c r="AH943" s="237"/>
      <c r="AI943" s="308"/>
      <c r="AJ943" s="308"/>
      <c r="AK943" s="308"/>
      <c r="AL943" s="308"/>
      <c r="AM943" s="308"/>
      <c r="AN943" s="98"/>
    </row>
    <row r="944" ht="14.25" customHeight="1">
      <c r="A944" s="179"/>
      <c r="B944" s="98"/>
      <c r="C944" s="98"/>
      <c r="D944" s="98"/>
      <c r="E944" s="98"/>
      <c r="F944" s="235"/>
      <c r="G944" s="235"/>
      <c r="H944" s="236"/>
      <c r="I944" s="236"/>
      <c r="J944" s="236"/>
      <c r="K944" s="236"/>
      <c r="L944" s="236"/>
      <c r="M944" s="236"/>
      <c r="N944" s="236"/>
      <c r="O944" s="236"/>
      <c r="P944" s="236"/>
      <c r="Q944" s="236"/>
      <c r="R944" s="236"/>
      <c r="S944" s="236"/>
      <c r="T944" s="236"/>
      <c r="U944" s="236"/>
      <c r="V944" s="236"/>
      <c r="W944" s="237"/>
      <c r="X944" s="237"/>
      <c r="Y944" s="237"/>
      <c r="Z944" s="237"/>
      <c r="AA944" s="237"/>
      <c r="AB944" s="237"/>
      <c r="AC944" s="237"/>
      <c r="AD944" s="237"/>
      <c r="AE944" s="237"/>
      <c r="AF944" s="237"/>
      <c r="AG944" s="237"/>
      <c r="AH944" s="237"/>
      <c r="AI944" s="308"/>
      <c r="AJ944" s="308"/>
      <c r="AK944" s="308"/>
      <c r="AL944" s="308"/>
      <c r="AM944" s="308"/>
      <c r="AN944" s="98"/>
    </row>
    <row r="945" ht="14.25" customHeight="1">
      <c r="A945" s="179"/>
      <c r="B945" s="98"/>
      <c r="C945" s="98"/>
      <c r="D945" s="98"/>
      <c r="E945" s="98"/>
      <c r="F945" s="235"/>
      <c r="G945" s="235"/>
      <c r="H945" s="236"/>
      <c r="I945" s="236"/>
      <c r="J945" s="236"/>
      <c r="K945" s="236"/>
      <c r="L945" s="236"/>
      <c r="M945" s="236"/>
      <c r="N945" s="236"/>
      <c r="O945" s="236"/>
      <c r="P945" s="236"/>
      <c r="Q945" s="236"/>
      <c r="R945" s="236"/>
      <c r="S945" s="236"/>
      <c r="T945" s="236"/>
      <c r="U945" s="236"/>
      <c r="V945" s="236"/>
      <c r="W945" s="237"/>
      <c r="X945" s="237"/>
      <c r="Y945" s="237"/>
      <c r="Z945" s="237"/>
      <c r="AA945" s="237"/>
      <c r="AB945" s="237"/>
      <c r="AC945" s="237"/>
      <c r="AD945" s="237"/>
      <c r="AE945" s="237"/>
      <c r="AF945" s="237"/>
      <c r="AG945" s="237"/>
      <c r="AH945" s="237"/>
      <c r="AI945" s="308"/>
      <c r="AJ945" s="308"/>
      <c r="AK945" s="308"/>
      <c r="AL945" s="308"/>
      <c r="AM945" s="308"/>
      <c r="AN945" s="98"/>
    </row>
    <row r="946" ht="14.25" customHeight="1">
      <c r="A946" s="179"/>
      <c r="B946" s="98"/>
      <c r="C946" s="98"/>
      <c r="D946" s="98"/>
      <c r="E946" s="98"/>
      <c r="F946" s="235"/>
      <c r="G946" s="235"/>
      <c r="H946" s="236"/>
      <c r="I946" s="236"/>
      <c r="J946" s="236"/>
      <c r="K946" s="236"/>
      <c r="L946" s="236"/>
      <c r="M946" s="236"/>
      <c r="N946" s="236"/>
      <c r="O946" s="236"/>
      <c r="P946" s="236"/>
      <c r="Q946" s="236"/>
      <c r="R946" s="236"/>
      <c r="S946" s="236"/>
      <c r="T946" s="236"/>
      <c r="U946" s="236"/>
      <c r="V946" s="236"/>
      <c r="W946" s="237"/>
      <c r="X946" s="237"/>
      <c r="Y946" s="237"/>
      <c r="Z946" s="237"/>
      <c r="AA946" s="237"/>
      <c r="AB946" s="237"/>
      <c r="AC946" s="237"/>
      <c r="AD946" s="237"/>
      <c r="AE946" s="237"/>
      <c r="AF946" s="237"/>
      <c r="AG946" s="237"/>
      <c r="AH946" s="237"/>
      <c r="AI946" s="308"/>
      <c r="AJ946" s="308"/>
      <c r="AK946" s="308"/>
      <c r="AL946" s="308"/>
      <c r="AM946" s="308"/>
      <c r="AN946" s="98"/>
    </row>
    <row r="947" ht="14.25" customHeight="1">
      <c r="A947" s="179"/>
      <c r="B947" s="98"/>
      <c r="C947" s="98"/>
      <c r="D947" s="98"/>
      <c r="E947" s="98"/>
      <c r="F947" s="235"/>
      <c r="G947" s="235"/>
      <c r="H947" s="236"/>
      <c r="I947" s="236"/>
      <c r="J947" s="236"/>
      <c r="K947" s="236"/>
      <c r="L947" s="236"/>
      <c r="M947" s="236"/>
      <c r="N947" s="236"/>
      <c r="O947" s="236"/>
      <c r="P947" s="236"/>
      <c r="Q947" s="236"/>
      <c r="R947" s="236"/>
      <c r="S947" s="236"/>
      <c r="T947" s="236"/>
      <c r="U947" s="236"/>
      <c r="V947" s="236"/>
      <c r="W947" s="237"/>
      <c r="X947" s="237"/>
      <c r="Y947" s="237"/>
      <c r="Z947" s="237"/>
      <c r="AA947" s="237"/>
      <c r="AB947" s="237"/>
      <c r="AC947" s="237"/>
      <c r="AD947" s="237"/>
      <c r="AE947" s="237"/>
      <c r="AF947" s="237"/>
      <c r="AG947" s="237"/>
      <c r="AH947" s="237"/>
      <c r="AI947" s="308"/>
      <c r="AJ947" s="308"/>
      <c r="AK947" s="308"/>
      <c r="AL947" s="308"/>
      <c r="AM947" s="308"/>
      <c r="AN947" s="98"/>
    </row>
    <row r="948" ht="14.25" customHeight="1">
      <c r="A948" s="179"/>
      <c r="B948" s="98"/>
      <c r="C948" s="98"/>
      <c r="D948" s="98"/>
      <c r="E948" s="98"/>
      <c r="F948" s="235"/>
      <c r="G948" s="235"/>
      <c r="H948" s="236"/>
      <c r="I948" s="236"/>
      <c r="J948" s="236"/>
      <c r="K948" s="236"/>
      <c r="L948" s="236"/>
      <c r="M948" s="236"/>
      <c r="N948" s="236"/>
      <c r="O948" s="236"/>
      <c r="P948" s="236"/>
      <c r="Q948" s="236"/>
      <c r="R948" s="236"/>
      <c r="S948" s="236"/>
      <c r="T948" s="236"/>
      <c r="U948" s="236"/>
      <c r="V948" s="236"/>
      <c r="W948" s="237"/>
      <c r="X948" s="237"/>
      <c r="Y948" s="237"/>
      <c r="Z948" s="237"/>
      <c r="AA948" s="237"/>
      <c r="AB948" s="237"/>
      <c r="AC948" s="237"/>
      <c r="AD948" s="237"/>
      <c r="AE948" s="237"/>
      <c r="AF948" s="237"/>
      <c r="AG948" s="237"/>
      <c r="AH948" s="237"/>
      <c r="AI948" s="308"/>
      <c r="AJ948" s="308"/>
      <c r="AK948" s="308"/>
      <c r="AL948" s="308"/>
      <c r="AM948" s="308"/>
      <c r="AN948" s="98"/>
    </row>
    <row r="949" ht="14.25" customHeight="1">
      <c r="A949" s="179"/>
      <c r="B949" s="98"/>
      <c r="C949" s="98"/>
      <c r="D949" s="98"/>
      <c r="E949" s="98"/>
      <c r="F949" s="235"/>
      <c r="G949" s="235"/>
      <c r="H949" s="236"/>
      <c r="I949" s="236"/>
      <c r="J949" s="236"/>
      <c r="K949" s="236"/>
      <c r="L949" s="236"/>
      <c r="M949" s="236"/>
      <c r="N949" s="236"/>
      <c r="O949" s="236"/>
      <c r="P949" s="236"/>
      <c r="Q949" s="236"/>
      <c r="R949" s="236"/>
      <c r="S949" s="236"/>
      <c r="T949" s="236"/>
      <c r="U949" s="236"/>
      <c r="V949" s="236"/>
      <c r="W949" s="237"/>
      <c r="X949" s="237"/>
      <c r="Y949" s="237"/>
      <c r="Z949" s="237"/>
      <c r="AA949" s="237"/>
      <c r="AB949" s="237"/>
      <c r="AC949" s="237"/>
      <c r="AD949" s="237"/>
      <c r="AE949" s="237"/>
      <c r="AF949" s="237"/>
      <c r="AG949" s="237"/>
      <c r="AH949" s="237"/>
      <c r="AI949" s="308"/>
      <c r="AJ949" s="308"/>
      <c r="AK949" s="308"/>
      <c r="AL949" s="308"/>
      <c r="AM949" s="308"/>
      <c r="AN949" s="98"/>
    </row>
    <row r="950" ht="14.25" customHeight="1">
      <c r="A950" s="179"/>
      <c r="B950" s="98"/>
      <c r="C950" s="98"/>
      <c r="D950" s="98"/>
      <c r="E950" s="98"/>
      <c r="F950" s="235"/>
      <c r="G950" s="235"/>
      <c r="H950" s="236"/>
      <c r="I950" s="236"/>
      <c r="J950" s="236"/>
      <c r="K950" s="236"/>
      <c r="L950" s="236"/>
      <c r="M950" s="236"/>
      <c r="N950" s="236"/>
      <c r="O950" s="236"/>
      <c r="P950" s="236"/>
      <c r="Q950" s="236"/>
      <c r="R950" s="236"/>
      <c r="S950" s="236"/>
      <c r="T950" s="236"/>
      <c r="U950" s="236"/>
      <c r="V950" s="236"/>
      <c r="W950" s="237"/>
      <c r="X950" s="237"/>
      <c r="Y950" s="237"/>
      <c r="Z950" s="237"/>
      <c r="AA950" s="237"/>
      <c r="AB950" s="237"/>
      <c r="AC950" s="237"/>
      <c r="AD950" s="237"/>
      <c r="AE950" s="237"/>
      <c r="AF950" s="237"/>
      <c r="AG950" s="237"/>
      <c r="AH950" s="237"/>
      <c r="AI950" s="308"/>
      <c r="AJ950" s="308"/>
      <c r="AK950" s="308"/>
      <c r="AL950" s="308"/>
      <c r="AM950" s="308"/>
      <c r="AN950" s="98"/>
    </row>
    <row r="951" ht="14.25" customHeight="1">
      <c r="A951" s="179"/>
      <c r="B951" s="98"/>
      <c r="C951" s="98"/>
      <c r="D951" s="98"/>
      <c r="E951" s="98"/>
      <c r="F951" s="235"/>
      <c r="G951" s="235"/>
      <c r="H951" s="236"/>
      <c r="I951" s="236"/>
      <c r="J951" s="236"/>
      <c r="K951" s="236"/>
      <c r="L951" s="236"/>
      <c r="M951" s="236"/>
      <c r="N951" s="236"/>
      <c r="O951" s="236"/>
      <c r="P951" s="236"/>
      <c r="Q951" s="236"/>
      <c r="R951" s="236"/>
      <c r="S951" s="236"/>
      <c r="T951" s="236"/>
      <c r="U951" s="236"/>
      <c r="V951" s="236"/>
      <c r="W951" s="237"/>
      <c r="X951" s="237"/>
      <c r="Y951" s="237"/>
      <c r="Z951" s="237"/>
      <c r="AA951" s="237"/>
      <c r="AB951" s="237"/>
      <c r="AC951" s="237"/>
      <c r="AD951" s="237"/>
      <c r="AE951" s="237"/>
      <c r="AF951" s="237"/>
      <c r="AG951" s="237"/>
      <c r="AH951" s="237"/>
      <c r="AI951" s="308"/>
      <c r="AJ951" s="308"/>
      <c r="AK951" s="308"/>
      <c r="AL951" s="308"/>
      <c r="AM951" s="308"/>
      <c r="AN951" s="98"/>
    </row>
    <row r="952" ht="14.25" customHeight="1">
      <c r="A952" s="179"/>
      <c r="B952" s="98"/>
      <c r="C952" s="98"/>
      <c r="D952" s="98"/>
      <c r="E952" s="98"/>
      <c r="F952" s="235"/>
      <c r="G952" s="235"/>
      <c r="H952" s="236"/>
      <c r="I952" s="236"/>
      <c r="J952" s="236"/>
      <c r="K952" s="236"/>
      <c r="L952" s="236"/>
      <c r="M952" s="236"/>
      <c r="N952" s="236"/>
      <c r="O952" s="236"/>
      <c r="P952" s="236"/>
      <c r="Q952" s="236"/>
      <c r="R952" s="236"/>
      <c r="S952" s="236"/>
      <c r="T952" s="236"/>
      <c r="U952" s="236"/>
      <c r="V952" s="236"/>
      <c r="W952" s="237"/>
      <c r="X952" s="237"/>
      <c r="Y952" s="237"/>
      <c r="Z952" s="237"/>
      <c r="AA952" s="237"/>
      <c r="AB952" s="237"/>
      <c r="AC952" s="237"/>
      <c r="AD952" s="237"/>
      <c r="AE952" s="237"/>
      <c r="AF952" s="237"/>
      <c r="AG952" s="237"/>
      <c r="AH952" s="237"/>
      <c r="AI952" s="308"/>
      <c r="AJ952" s="308"/>
      <c r="AK952" s="308"/>
      <c r="AL952" s="308"/>
      <c r="AM952" s="308"/>
      <c r="AN952" s="98"/>
    </row>
    <row r="953" ht="14.25" customHeight="1">
      <c r="A953" s="179"/>
      <c r="B953" s="98"/>
      <c r="C953" s="98"/>
      <c r="D953" s="98"/>
      <c r="E953" s="98"/>
      <c r="F953" s="235"/>
      <c r="G953" s="235"/>
      <c r="H953" s="236"/>
      <c r="I953" s="236"/>
      <c r="J953" s="236"/>
      <c r="K953" s="236"/>
      <c r="L953" s="236"/>
      <c r="M953" s="236"/>
      <c r="N953" s="236"/>
      <c r="O953" s="236"/>
      <c r="P953" s="236"/>
      <c r="Q953" s="236"/>
      <c r="R953" s="236"/>
      <c r="S953" s="236"/>
      <c r="T953" s="236"/>
      <c r="U953" s="236"/>
      <c r="V953" s="236"/>
      <c r="W953" s="237"/>
      <c r="X953" s="237"/>
      <c r="Y953" s="237"/>
      <c r="Z953" s="237"/>
      <c r="AA953" s="237"/>
      <c r="AB953" s="237"/>
      <c r="AC953" s="237"/>
      <c r="AD953" s="237"/>
      <c r="AE953" s="237"/>
      <c r="AF953" s="237"/>
      <c r="AG953" s="237"/>
      <c r="AH953" s="237"/>
      <c r="AI953" s="308"/>
      <c r="AJ953" s="308"/>
      <c r="AK953" s="308"/>
      <c r="AL953" s="308"/>
      <c r="AM953" s="308"/>
      <c r="AN953" s="98"/>
    </row>
    <row r="954" ht="14.25" customHeight="1">
      <c r="A954" s="179"/>
      <c r="B954" s="98"/>
      <c r="C954" s="98"/>
      <c r="D954" s="98"/>
      <c r="E954" s="98"/>
      <c r="F954" s="235"/>
      <c r="G954" s="235"/>
      <c r="H954" s="236"/>
      <c r="I954" s="236"/>
      <c r="J954" s="236"/>
      <c r="K954" s="236"/>
      <c r="L954" s="236"/>
      <c r="M954" s="236"/>
      <c r="N954" s="236"/>
      <c r="O954" s="236"/>
      <c r="P954" s="236"/>
      <c r="Q954" s="236"/>
      <c r="R954" s="236"/>
      <c r="S954" s="236"/>
      <c r="T954" s="236"/>
      <c r="U954" s="236"/>
      <c r="V954" s="236"/>
      <c r="W954" s="237"/>
      <c r="X954" s="237"/>
      <c r="Y954" s="237"/>
      <c r="Z954" s="237"/>
      <c r="AA954" s="237"/>
      <c r="AB954" s="237"/>
      <c r="AC954" s="237"/>
      <c r="AD954" s="237"/>
      <c r="AE954" s="237"/>
      <c r="AF954" s="237"/>
      <c r="AG954" s="237"/>
      <c r="AH954" s="237"/>
      <c r="AI954" s="308"/>
      <c r="AJ954" s="308"/>
      <c r="AK954" s="308"/>
      <c r="AL954" s="308"/>
      <c r="AM954" s="308"/>
      <c r="AN954" s="98"/>
    </row>
    <row r="955" ht="14.25" customHeight="1">
      <c r="A955" s="179"/>
      <c r="B955" s="98"/>
      <c r="C955" s="98"/>
      <c r="D955" s="98"/>
      <c r="E955" s="98"/>
      <c r="F955" s="235"/>
      <c r="G955" s="235"/>
      <c r="H955" s="236"/>
      <c r="I955" s="236"/>
      <c r="J955" s="236"/>
      <c r="K955" s="236"/>
      <c r="L955" s="236"/>
      <c r="M955" s="236"/>
      <c r="N955" s="236"/>
      <c r="O955" s="236"/>
      <c r="P955" s="236"/>
      <c r="Q955" s="236"/>
      <c r="R955" s="236"/>
      <c r="S955" s="236"/>
      <c r="T955" s="236"/>
      <c r="U955" s="236"/>
      <c r="V955" s="236"/>
      <c r="W955" s="237"/>
      <c r="X955" s="237"/>
      <c r="Y955" s="237"/>
      <c r="Z955" s="237"/>
      <c r="AA955" s="237"/>
      <c r="AB955" s="237"/>
      <c r="AC955" s="237"/>
      <c r="AD955" s="237"/>
      <c r="AE955" s="237"/>
      <c r="AF955" s="237"/>
      <c r="AG955" s="237"/>
      <c r="AH955" s="237"/>
      <c r="AI955" s="308"/>
      <c r="AJ955" s="308"/>
      <c r="AK955" s="308"/>
      <c r="AL955" s="308"/>
      <c r="AM955" s="308"/>
      <c r="AN955" s="98"/>
    </row>
    <row r="956" ht="14.25" customHeight="1">
      <c r="A956" s="179"/>
      <c r="B956" s="98"/>
      <c r="C956" s="98"/>
      <c r="D956" s="98"/>
      <c r="E956" s="98"/>
      <c r="F956" s="235"/>
      <c r="G956" s="235"/>
      <c r="H956" s="236"/>
      <c r="I956" s="236"/>
      <c r="J956" s="236"/>
      <c r="K956" s="236"/>
      <c r="L956" s="236"/>
      <c r="M956" s="236"/>
      <c r="N956" s="236"/>
      <c r="O956" s="236"/>
      <c r="P956" s="236"/>
      <c r="Q956" s="236"/>
      <c r="R956" s="236"/>
      <c r="S956" s="236"/>
      <c r="T956" s="236"/>
      <c r="U956" s="236"/>
      <c r="V956" s="236"/>
      <c r="W956" s="237"/>
      <c r="X956" s="237"/>
      <c r="Y956" s="237"/>
      <c r="Z956" s="237"/>
      <c r="AA956" s="237"/>
      <c r="AB956" s="237"/>
      <c r="AC956" s="237"/>
      <c r="AD956" s="237"/>
      <c r="AE956" s="237"/>
      <c r="AF956" s="237"/>
      <c r="AG956" s="237"/>
      <c r="AH956" s="237"/>
      <c r="AI956" s="308"/>
      <c r="AJ956" s="308"/>
      <c r="AK956" s="308"/>
      <c r="AL956" s="308"/>
      <c r="AM956" s="308"/>
      <c r="AN956" s="98"/>
    </row>
    <row r="957" ht="14.25" customHeight="1">
      <c r="A957" s="179"/>
      <c r="B957" s="98"/>
      <c r="C957" s="98"/>
      <c r="D957" s="98"/>
      <c r="E957" s="98"/>
      <c r="F957" s="235"/>
      <c r="G957" s="235"/>
      <c r="H957" s="236"/>
      <c r="I957" s="236"/>
      <c r="J957" s="236"/>
      <c r="K957" s="236"/>
      <c r="L957" s="236"/>
      <c r="M957" s="236"/>
      <c r="N957" s="236"/>
      <c r="O957" s="236"/>
      <c r="P957" s="236"/>
      <c r="Q957" s="236"/>
      <c r="R957" s="236"/>
      <c r="S957" s="236"/>
      <c r="T957" s="236"/>
      <c r="U957" s="236"/>
      <c r="V957" s="236"/>
      <c r="W957" s="237"/>
      <c r="X957" s="237"/>
      <c r="Y957" s="237"/>
      <c r="Z957" s="237"/>
      <c r="AA957" s="237"/>
      <c r="AB957" s="237"/>
      <c r="AC957" s="237"/>
      <c r="AD957" s="237"/>
      <c r="AE957" s="237"/>
      <c r="AF957" s="237"/>
      <c r="AG957" s="237"/>
      <c r="AH957" s="237"/>
      <c r="AI957" s="308"/>
      <c r="AJ957" s="308"/>
      <c r="AK957" s="308"/>
      <c r="AL957" s="308"/>
      <c r="AM957" s="308"/>
      <c r="AN957" s="98"/>
    </row>
    <row r="958" ht="14.25" customHeight="1">
      <c r="A958" s="179"/>
      <c r="B958" s="98"/>
      <c r="C958" s="98"/>
      <c r="D958" s="98"/>
      <c r="E958" s="98"/>
      <c r="F958" s="235"/>
      <c r="G958" s="235"/>
      <c r="H958" s="236"/>
      <c r="I958" s="236"/>
      <c r="J958" s="236"/>
      <c r="K958" s="236"/>
      <c r="L958" s="236"/>
      <c r="M958" s="236"/>
      <c r="N958" s="236"/>
      <c r="O958" s="236"/>
      <c r="P958" s="236"/>
      <c r="Q958" s="236"/>
      <c r="R958" s="236"/>
      <c r="S958" s="236"/>
      <c r="T958" s="236"/>
      <c r="U958" s="236"/>
      <c r="V958" s="236"/>
      <c r="W958" s="237"/>
      <c r="X958" s="237"/>
      <c r="Y958" s="237"/>
      <c r="Z958" s="237"/>
      <c r="AA958" s="237"/>
      <c r="AB958" s="237"/>
      <c r="AC958" s="237"/>
      <c r="AD958" s="237"/>
      <c r="AE958" s="237"/>
      <c r="AF958" s="237"/>
      <c r="AG958" s="237"/>
      <c r="AH958" s="237"/>
      <c r="AI958" s="308"/>
      <c r="AJ958" s="308"/>
      <c r="AK958" s="308"/>
      <c r="AL958" s="308"/>
      <c r="AM958" s="308"/>
      <c r="AN958" s="98"/>
    </row>
    <row r="959" ht="14.25" customHeight="1">
      <c r="A959" s="179"/>
      <c r="B959" s="98"/>
      <c r="C959" s="98"/>
      <c r="D959" s="98"/>
      <c r="E959" s="98"/>
      <c r="F959" s="235"/>
      <c r="G959" s="235"/>
      <c r="H959" s="236"/>
      <c r="I959" s="236"/>
      <c r="J959" s="236"/>
      <c r="K959" s="236"/>
      <c r="L959" s="236"/>
      <c r="M959" s="236"/>
      <c r="N959" s="236"/>
      <c r="O959" s="236"/>
      <c r="P959" s="236"/>
      <c r="Q959" s="236"/>
      <c r="R959" s="236"/>
      <c r="S959" s="236"/>
      <c r="T959" s="236"/>
      <c r="U959" s="236"/>
      <c r="V959" s="236"/>
      <c r="W959" s="237"/>
      <c r="X959" s="237"/>
      <c r="Y959" s="237"/>
      <c r="Z959" s="237"/>
      <c r="AA959" s="237"/>
      <c r="AB959" s="237"/>
      <c r="AC959" s="237"/>
      <c r="AD959" s="237"/>
      <c r="AE959" s="237"/>
      <c r="AF959" s="237"/>
      <c r="AG959" s="237"/>
      <c r="AH959" s="237"/>
      <c r="AI959" s="308"/>
      <c r="AJ959" s="308"/>
      <c r="AK959" s="308"/>
      <c r="AL959" s="308"/>
      <c r="AM959" s="308"/>
      <c r="AN959" s="98"/>
    </row>
    <row r="960" ht="14.25" customHeight="1">
      <c r="A960" s="179"/>
      <c r="B960" s="98"/>
      <c r="C960" s="98"/>
      <c r="D960" s="98"/>
      <c r="E960" s="98"/>
      <c r="F960" s="235"/>
      <c r="G960" s="235"/>
      <c r="H960" s="236"/>
      <c r="I960" s="236"/>
      <c r="J960" s="236"/>
      <c r="K960" s="236"/>
      <c r="L960" s="236"/>
      <c r="M960" s="236"/>
      <c r="N960" s="236"/>
      <c r="O960" s="236"/>
      <c r="P960" s="236"/>
      <c r="Q960" s="236"/>
      <c r="R960" s="236"/>
      <c r="S960" s="236"/>
      <c r="T960" s="236"/>
      <c r="U960" s="236"/>
      <c r="V960" s="236"/>
      <c r="W960" s="237"/>
      <c r="X960" s="237"/>
      <c r="Y960" s="237"/>
      <c r="Z960" s="237"/>
      <c r="AA960" s="237"/>
      <c r="AB960" s="237"/>
      <c r="AC960" s="237"/>
      <c r="AD960" s="237"/>
      <c r="AE960" s="237"/>
      <c r="AF960" s="237"/>
      <c r="AG960" s="237"/>
      <c r="AH960" s="237"/>
      <c r="AI960" s="308"/>
      <c r="AJ960" s="308"/>
      <c r="AK960" s="308"/>
      <c r="AL960" s="308"/>
      <c r="AM960" s="308"/>
      <c r="AN960" s="98"/>
    </row>
    <row r="961" ht="14.25" customHeight="1">
      <c r="A961" s="179"/>
      <c r="B961" s="98"/>
      <c r="C961" s="98"/>
      <c r="D961" s="98"/>
      <c r="E961" s="98"/>
      <c r="F961" s="235"/>
      <c r="G961" s="235"/>
      <c r="H961" s="236"/>
      <c r="I961" s="236"/>
      <c r="J961" s="236"/>
      <c r="K961" s="236"/>
      <c r="L961" s="236"/>
      <c r="M961" s="236"/>
      <c r="N961" s="236"/>
      <c r="O961" s="236"/>
      <c r="P961" s="236"/>
      <c r="Q961" s="236"/>
      <c r="R961" s="236"/>
      <c r="S961" s="236"/>
      <c r="T961" s="236"/>
      <c r="U961" s="236"/>
      <c r="V961" s="236"/>
      <c r="W961" s="237"/>
      <c r="X961" s="237"/>
      <c r="Y961" s="237"/>
      <c r="Z961" s="237"/>
      <c r="AA961" s="237"/>
      <c r="AB961" s="237"/>
      <c r="AC961" s="237"/>
      <c r="AD961" s="237"/>
      <c r="AE961" s="237"/>
      <c r="AF961" s="237"/>
      <c r="AG961" s="237"/>
      <c r="AH961" s="237"/>
      <c r="AI961" s="308"/>
      <c r="AJ961" s="308"/>
      <c r="AK961" s="308"/>
      <c r="AL961" s="308"/>
      <c r="AM961" s="308"/>
      <c r="AN961" s="98"/>
    </row>
    <row r="962" ht="14.25" customHeight="1">
      <c r="A962" s="179"/>
      <c r="B962" s="98"/>
      <c r="C962" s="98"/>
      <c r="D962" s="98"/>
      <c r="E962" s="98"/>
      <c r="F962" s="235"/>
      <c r="G962" s="235"/>
      <c r="H962" s="236"/>
      <c r="I962" s="236"/>
      <c r="J962" s="236"/>
      <c r="K962" s="236"/>
      <c r="L962" s="236"/>
      <c r="M962" s="236"/>
      <c r="N962" s="236"/>
      <c r="O962" s="236"/>
      <c r="P962" s="236"/>
      <c r="Q962" s="236"/>
      <c r="R962" s="236"/>
      <c r="S962" s="236"/>
      <c r="T962" s="236"/>
      <c r="U962" s="236"/>
      <c r="V962" s="236"/>
      <c r="W962" s="237"/>
      <c r="X962" s="237"/>
      <c r="Y962" s="237"/>
      <c r="Z962" s="237"/>
      <c r="AA962" s="237"/>
      <c r="AB962" s="237"/>
      <c r="AC962" s="237"/>
      <c r="AD962" s="237"/>
      <c r="AE962" s="237"/>
      <c r="AF962" s="237"/>
      <c r="AG962" s="237"/>
      <c r="AH962" s="237"/>
      <c r="AI962" s="308"/>
      <c r="AJ962" s="308"/>
      <c r="AK962" s="308"/>
      <c r="AL962" s="308"/>
      <c r="AM962" s="308"/>
      <c r="AN962" s="98"/>
    </row>
    <row r="963" ht="14.25" customHeight="1">
      <c r="A963" s="179"/>
      <c r="B963" s="98"/>
      <c r="C963" s="98"/>
      <c r="D963" s="98"/>
      <c r="E963" s="98"/>
      <c r="F963" s="235"/>
      <c r="G963" s="235"/>
      <c r="H963" s="236"/>
      <c r="I963" s="236"/>
      <c r="J963" s="236"/>
      <c r="K963" s="236"/>
      <c r="L963" s="236"/>
      <c r="M963" s="236"/>
      <c r="N963" s="236"/>
      <c r="O963" s="236"/>
      <c r="P963" s="236"/>
      <c r="Q963" s="236"/>
      <c r="R963" s="236"/>
      <c r="S963" s="236"/>
      <c r="T963" s="236"/>
      <c r="U963" s="236"/>
      <c r="V963" s="236"/>
      <c r="W963" s="237"/>
      <c r="X963" s="237"/>
      <c r="Y963" s="237"/>
      <c r="Z963" s="237"/>
      <c r="AA963" s="237"/>
      <c r="AB963" s="237"/>
      <c r="AC963" s="237"/>
      <c r="AD963" s="237"/>
      <c r="AE963" s="237"/>
      <c r="AF963" s="237"/>
      <c r="AG963" s="237"/>
      <c r="AH963" s="237"/>
      <c r="AI963" s="308"/>
      <c r="AJ963" s="308"/>
      <c r="AK963" s="308"/>
      <c r="AL963" s="308"/>
      <c r="AM963" s="308"/>
      <c r="AN963" s="98"/>
    </row>
    <row r="964" ht="14.25" customHeight="1">
      <c r="A964" s="179"/>
      <c r="B964" s="98"/>
      <c r="C964" s="98"/>
      <c r="D964" s="98"/>
      <c r="E964" s="98"/>
      <c r="F964" s="235"/>
      <c r="G964" s="235"/>
      <c r="H964" s="236"/>
      <c r="I964" s="236"/>
      <c r="J964" s="236"/>
      <c r="K964" s="236"/>
      <c r="L964" s="236"/>
      <c r="M964" s="236"/>
      <c r="N964" s="236"/>
      <c r="O964" s="236"/>
      <c r="P964" s="236"/>
      <c r="Q964" s="236"/>
      <c r="R964" s="236"/>
      <c r="S964" s="236"/>
      <c r="T964" s="236"/>
      <c r="U964" s="236"/>
      <c r="V964" s="236"/>
      <c r="W964" s="237"/>
      <c r="X964" s="237"/>
      <c r="Y964" s="237"/>
      <c r="Z964" s="237"/>
      <c r="AA964" s="237"/>
      <c r="AB964" s="237"/>
      <c r="AC964" s="237"/>
      <c r="AD964" s="237"/>
      <c r="AE964" s="237"/>
      <c r="AF964" s="237"/>
      <c r="AG964" s="237"/>
      <c r="AH964" s="237"/>
      <c r="AI964" s="308"/>
      <c r="AJ964" s="308"/>
      <c r="AK964" s="308"/>
      <c r="AL964" s="308"/>
      <c r="AM964" s="308"/>
      <c r="AN964" s="98"/>
    </row>
    <row r="965" ht="14.25" customHeight="1">
      <c r="A965" s="179"/>
      <c r="B965" s="98"/>
      <c r="C965" s="98"/>
      <c r="D965" s="98"/>
      <c r="E965" s="98"/>
      <c r="F965" s="235"/>
      <c r="G965" s="235"/>
      <c r="H965" s="236"/>
      <c r="I965" s="236"/>
      <c r="J965" s="236"/>
      <c r="K965" s="236"/>
      <c r="L965" s="236"/>
      <c r="M965" s="236"/>
      <c r="N965" s="236"/>
      <c r="O965" s="236"/>
      <c r="P965" s="236"/>
      <c r="Q965" s="236"/>
      <c r="R965" s="236"/>
      <c r="S965" s="236"/>
      <c r="T965" s="236"/>
      <c r="U965" s="236"/>
      <c r="V965" s="236"/>
      <c r="W965" s="237"/>
      <c r="X965" s="237"/>
      <c r="Y965" s="237"/>
      <c r="Z965" s="237"/>
      <c r="AA965" s="237"/>
      <c r="AB965" s="237"/>
      <c r="AC965" s="237"/>
      <c r="AD965" s="237"/>
      <c r="AE965" s="237"/>
      <c r="AF965" s="237"/>
      <c r="AG965" s="237"/>
      <c r="AH965" s="237"/>
      <c r="AI965" s="308"/>
      <c r="AJ965" s="308"/>
      <c r="AK965" s="308"/>
      <c r="AL965" s="308"/>
      <c r="AM965" s="308"/>
      <c r="AN965" s="98"/>
    </row>
    <row r="966" ht="14.25" customHeight="1">
      <c r="A966" s="179"/>
      <c r="B966" s="98"/>
      <c r="C966" s="98"/>
      <c r="D966" s="98"/>
      <c r="E966" s="98"/>
      <c r="F966" s="235"/>
      <c r="G966" s="235"/>
      <c r="H966" s="236"/>
      <c r="I966" s="236"/>
      <c r="J966" s="236"/>
      <c r="K966" s="236"/>
      <c r="L966" s="236"/>
      <c r="M966" s="236"/>
      <c r="N966" s="236"/>
      <c r="O966" s="236"/>
      <c r="P966" s="236"/>
      <c r="Q966" s="236"/>
      <c r="R966" s="236"/>
      <c r="S966" s="236"/>
      <c r="T966" s="236"/>
      <c r="U966" s="236"/>
      <c r="V966" s="236"/>
      <c r="W966" s="237"/>
      <c r="X966" s="237"/>
      <c r="Y966" s="237"/>
      <c r="Z966" s="237"/>
      <c r="AA966" s="237"/>
      <c r="AB966" s="237"/>
      <c r="AC966" s="237"/>
      <c r="AD966" s="237"/>
      <c r="AE966" s="237"/>
      <c r="AF966" s="237"/>
      <c r="AG966" s="237"/>
      <c r="AH966" s="237"/>
      <c r="AI966" s="308"/>
      <c r="AJ966" s="308"/>
      <c r="AK966" s="308"/>
      <c r="AL966" s="308"/>
      <c r="AM966" s="308"/>
      <c r="AN966" s="98"/>
    </row>
    <row r="967" ht="14.25" customHeight="1">
      <c r="A967" s="179"/>
      <c r="B967" s="98"/>
      <c r="C967" s="98"/>
      <c r="D967" s="98"/>
      <c r="E967" s="98"/>
      <c r="F967" s="235"/>
      <c r="G967" s="235"/>
      <c r="H967" s="236"/>
      <c r="I967" s="236"/>
      <c r="J967" s="236"/>
      <c r="K967" s="236"/>
      <c r="L967" s="236"/>
      <c r="M967" s="236"/>
      <c r="N967" s="236"/>
      <c r="O967" s="236"/>
      <c r="P967" s="236"/>
      <c r="Q967" s="236"/>
      <c r="R967" s="236"/>
      <c r="S967" s="236"/>
      <c r="T967" s="236"/>
      <c r="U967" s="236"/>
      <c r="V967" s="236"/>
      <c r="W967" s="237"/>
      <c r="X967" s="237"/>
      <c r="Y967" s="237"/>
      <c r="Z967" s="237"/>
      <c r="AA967" s="237"/>
      <c r="AB967" s="237"/>
      <c r="AC967" s="237"/>
      <c r="AD967" s="237"/>
      <c r="AE967" s="237"/>
      <c r="AF967" s="237"/>
      <c r="AG967" s="237"/>
      <c r="AH967" s="237"/>
      <c r="AI967" s="308"/>
      <c r="AJ967" s="308"/>
      <c r="AK967" s="308"/>
      <c r="AL967" s="308"/>
      <c r="AM967" s="308"/>
      <c r="AN967" s="98"/>
    </row>
    <row r="968" ht="14.25" customHeight="1">
      <c r="A968" s="179"/>
      <c r="B968" s="98"/>
      <c r="C968" s="98"/>
      <c r="D968" s="98"/>
      <c r="E968" s="98"/>
      <c r="F968" s="235"/>
      <c r="G968" s="235"/>
      <c r="H968" s="236"/>
      <c r="I968" s="236"/>
      <c r="J968" s="236"/>
      <c r="K968" s="236"/>
      <c r="L968" s="236"/>
      <c r="M968" s="236"/>
      <c r="N968" s="236"/>
      <c r="O968" s="236"/>
      <c r="P968" s="236"/>
      <c r="Q968" s="236"/>
      <c r="R968" s="236"/>
      <c r="S968" s="236"/>
      <c r="T968" s="236"/>
      <c r="U968" s="236"/>
      <c r="V968" s="236"/>
      <c r="W968" s="237"/>
      <c r="X968" s="237"/>
      <c r="Y968" s="237"/>
      <c r="Z968" s="237"/>
      <c r="AA968" s="237"/>
      <c r="AB968" s="237"/>
      <c r="AC968" s="237"/>
      <c r="AD968" s="237"/>
      <c r="AE968" s="237"/>
      <c r="AF968" s="237"/>
      <c r="AG968" s="237"/>
      <c r="AH968" s="237"/>
      <c r="AI968" s="308"/>
      <c r="AJ968" s="308"/>
      <c r="AK968" s="308"/>
      <c r="AL968" s="308"/>
      <c r="AM968" s="308"/>
      <c r="AN968" s="98"/>
    </row>
    <row r="969" ht="14.25" customHeight="1">
      <c r="A969" s="179"/>
      <c r="B969" s="98"/>
      <c r="C969" s="98"/>
      <c r="D969" s="98"/>
      <c r="E969" s="98"/>
      <c r="F969" s="235"/>
      <c r="G969" s="235"/>
      <c r="H969" s="236"/>
      <c r="I969" s="236"/>
      <c r="J969" s="236"/>
      <c r="K969" s="236"/>
      <c r="L969" s="236"/>
      <c r="M969" s="236"/>
      <c r="N969" s="236"/>
      <c r="O969" s="236"/>
      <c r="P969" s="236"/>
      <c r="Q969" s="236"/>
      <c r="R969" s="236"/>
      <c r="S969" s="236"/>
      <c r="T969" s="236"/>
      <c r="U969" s="236"/>
      <c r="V969" s="236"/>
      <c r="W969" s="237"/>
      <c r="X969" s="237"/>
      <c r="Y969" s="237"/>
      <c r="Z969" s="237"/>
      <c r="AA969" s="237"/>
      <c r="AB969" s="237"/>
      <c r="AC969" s="237"/>
      <c r="AD969" s="237"/>
      <c r="AE969" s="237"/>
      <c r="AF969" s="237"/>
      <c r="AG969" s="237"/>
      <c r="AH969" s="237"/>
      <c r="AI969" s="308"/>
      <c r="AJ969" s="308"/>
      <c r="AK969" s="308"/>
      <c r="AL969" s="308"/>
      <c r="AM969" s="308"/>
      <c r="AN969" s="98"/>
    </row>
    <row r="970" ht="14.25" customHeight="1">
      <c r="A970" s="179"/>
      <c r="B970" s="98"/>
      <c r="C970" s="98"/>
      <c r="D970" s="98"/>
      <c r="E970" s="98"/>
      <c r="F970" s="235"/>
      <c r="G970" s="235"/>
      <c r="H970" s="236"/>
      <c r="I970" s="236"/>
      <c r="J970" s="236"/>
      <c r="K970" s="236"/>
      <c r="L970" s="236"/>
      <c r="M970" s="236"/>
      <c r="N970" s="236"/>
      <c r="O970" s="236"/>
      <c r="P970" s="236"/>
      <c r="Q970" s="236"/>
      <c r="R970" s="236"/>
      <c r="S970" s="236"/>
      <c r="T970" s="236"/>
      <c r="U970" s="236"/>
      <c r="V970" s="236"/>
      <c r="W970" s="237"/>
      <c r="X970" s="237"/>
      <c r="Y970" s="237"/>
      <c r="Z970" s="237"/>
      <c r="AA970" s="237"/>
      <c r="AB970" s="237"/>
      <c r="AC970" s="237"/>
      <c r="AD970" s="237"/>
      <c r="AE970" s="237"/>
      <c r="AF970" s="237"/>
      <c r="AG970" s="237"/>
      <c r="AH970" s="237"/>
      <c r="AI970" s="308"/>
      <c r="AJ970" s="308"/>
      <c r="AK970" s="308"/>
      <c r="AL970" s="308"/>
      <c r="AM970" s="308"/>
      <c r="AN970" s="98"/>
    </row>
    <row r="971" ht="14.25" customHeight="1">
      <c r="A971" s="179"/>
      <c r="B971" s="98"/>
      <c r="C971" s="98"/>
      <c r="D971" s="98"/>
      <c r="E971" s="98"/>
      <c r="F971" s="235"/>
      <c r="G971" s="235"/>
      <c r="H971" s="236"/>
      <c r="I971" s="236"/>
      <c r="J971" s="236"/>
      <c r="K971" s="236"/>
      <c r="L971" s="236"/>
      <c r="M971" s="236"/>
      <c r="N971" s="236"/>
      <c r="O971" s="236"/>
      <c r="P971" s="236"/>
      <c r="Q971" s="236"/>
      <c r="R971" s="236"/>
      <c r="S971" s="236"/>
      <c r="T971" s="236"/>
      <c r="U971" s="236"/>
      <c r="V971" s="236"/>
      <c r="W971" s="237"/>
      <c r="X971" s="237"/>
      <c r="Y971" s="237"/>
      <c r="Z971" s="237"/>
      <c r="AA971" s="237"/>
      <c r="AB971" s="237"/>
      <c r="AC971" s="237"/>
      <c r="AD971" s="237"/>
      <c r="AE971" s="237"/>
      <c r="AF971" s="237"/>
      <c r="AG971" s="237"/>
      <c r="AH971" s="237"/>
      <c r="AI971" s="308"/>
      <c r="AJ971" s="308"/>
      <c r="AK971" s="308"/>
      <c r="AL971" s="308"/>
      <c r="AM971" s="308"/>
      <c r="AN971" s="98"/>
    </row>
    <row r="972" ht="14.25" customHeight="1">
      <c r="A972" s="179"/>
      <c r="B972" s="98"/>
      <c r="C972" s="98"/>
      <c r="D972" s="98"/>
      <c r="E972" s="98"/>
      <c r="F972" s="235"/>
      <c r="G972" s="235"/>
      <c r="H972" s="236"/>
      <c r="I972" s="236"/>
      <c r="J972" s="236"/>
      <c r="K972" s="236"/>
      <c r="L972" s="236"/>
      <c r="M972" s="236"/>
      <c r="N972" s="236"/>
      <c r="O972" s="236"/>
      <c r="P972" s="236"/>
      <c r="Q972" s="236"/>
      <c r="R972" s="236"/>
      <c r="S972" s="236"/>
      <c r="T972" s="236"/>
      <c r="U972" s="236"/>
      <c r="V972" s="236"/>
      <c r="W972" s="237"/>
      <c r="X972" s="237"/>
      <c r="Y972" s="237"/>
      <c r="Z972" s="237"/>
      <c r="AA972" s="237"/>
      <c r="AB972" s="237"/>
      <c r="AC972" s="237"/>
      <c r="AD972" s="237"/>
      <c r="AE972" s="237"/>
      <c r="AF972" s="237"/>
      <c r="AG972" s="237"/>
      <c r="AH972" s="237"/>
      <c r="AI972" s="308"/>
      <c r="AJ972" s="308"/>
      <c r="AK972" s="308"/>
      <c r="AL972" s="308"/>
      <c r="AM972" s="308"/>
      <c r="AN972" s="98"/>
    </row>
    <row r="973" ht="14.25" customHeight="1">
      <c r="A973" s="179"/>
      <c r="B973" s="98"/>
      <c r="C973" s="98"/>
      <c r="D973" s="98"/>
      <c r="E973" s="98"/>
      <c r="F973" s="235"/>
      <c r="G973" s="235"/>
      <c r="H973" s="236"/>
      <c r="I973" s="236"/>
      <c r="J973" s="236"/>
      <c r="K973" s="236"/>
      <c r="L973" s="236"/>
      <c r="M973" s="236"/>
      <c r="N973" s="236"/>
      <c r="O973" s="236"/>
      <c r="P973" s="236"/>
      <c r="Q973" s="236"/>
      <c r="R973" s="236"/>
      <c r="S973" s="236"/>
      <c r="T973" s="236"/>
      <c r="U973" s="236"/>
      <c r="V973" s="236"/>
      <c r="W973" s="237"/>
      <c r="X973" s="237"/>
      <c r="Y973" s="237"/>
      <c r="Z973" s="237"/>
      <c r="AA973" s="237"/>
      <c r="AB973" s="237"/>
      <c r="AC973" s="237"/>
      <c r="AD973" s="237"/>
      <c r="AE973" s="237"/>
      <c r="AF973" s="237"/>
      <c r="AG973" s="237"/>
      <c r="AH973" s="237"/>
      <c r="AI973" s="308"/>
      <c r="AJ973" s="308"/>
      <c r="AK973" s="308"/>
      <c r="AL973" s="308"/>
      <c r="AM973" s="308"/>
      <c r="AN973" s="98"/>
    </row>
    <row r="974" ht="14.25" customHeight="1">
      <c r="A974" s="179"/>
      <c r="B974" s="98"/>
      <c r="C974" s="98"/>
      <c r="D974" s="98"/>
      <c r="E974" s="98"/>
      <c r="F974" s="235"/>
      <c r="G974" s="235"/>
      <c r="H974" s="236"/>
      <c r="I974" s="236"/>
      <c r="J974" s="236"/>
      <c r="K974" s="236"/>
      <c r="L974" s="236"/>
      <c r="M974" s="236"/>
      <c r="N974" s="236"/>
      <c r="O974" s="236"/>
      <c r="P974" s="236"/>
      <c r="Q974" s="236"/>
      <c r="R974" s="236"/>
      <c r="S974" s="236"/>
      <c r="T974" s="236"/>
      <c r="U974" s="236"/>
      <c r="V974" s="236"/>
      <c r="W974" s="237"/>
      <c r="X974" s="237"/>
      <c r="Y974" s="237"/>
      <c r="Z974" s="237"/>
      <c r="AA974" s="237"/>
      <c r="AB974" s="237"/>
      <c r="AC974" s="237"/>
      <c r="AD974" s="237"/>
      <c r="AE974" s="237"/>
      <c r="AF974" s="237"/>
      <c r="AG974" s="237"/>
      <c r="AH974" s="237"/>
      <c r="AI974" s="308"/>
      <c r="AJ974" s="308"/>
      <c r="AK974" s="308"/>
      <c r="AL974" s="308"/>
      <c r="AM974" s="308"/>
      <c r="AN974" s="98"/>
    </row>
    <row r="975" ht="14.25" customHeight="1">
      <c r="A975" s="179"/>
      <c r="B975" s="98"/>
      <c r="C975" s="98"/>
      <c r="D975" s="98"/>
      <c r="E975" s="98"/>
      <c r="F975" s="235"/>
      <c r="G975" s="235"/>
      <c r="H975" s="236"/>
      <c r="I975" s="236"/>
      <c r="J975" s="236"/>
      <c r="K975" s="236"/>
      <c r="L975" s="236"/>
      <c r="M975" s="236"/>
      <c r="N975" s="236"/>
      <c r="O975" s="236"/>
      <c r="P975" s="236"/>
      <c r="Q975" s="236"/>
      <c r="R975" s="236"/>
      <c r="S975" s="236"/>
      <c r="T975" s="236"/>
      <c r="U975" s="236"/>
      <c r="V975" s="236"/>
      <c r="W975" s="237"/>
      <c r="X975" s="237"/>
      <c r="Y975" s="237"/>
      <c r="Z975" s="237"/>
      <c r="AA975" s="237"/>
      <c r="AB975" s="237"/>
      <c r="AC975" s="237"/>
      <c r="AD975" s="237"/>
      <c r="AE975" s="237"/>
      <c r="AF975" s="237"/>
      <c r="AG975" s="237"/>
      <c r="AH975" s="237"/>
      <c r="AI975" s="308"/>
      <c r="AJ975" s="308"/>
      <c r="AK975" s="308"/>
      <c r="AL975" s="308"/>
      <c r="AM975" s="308"/>
      <c r="AN975" s="98"/>
    </row>
    <row r="976" ht="14.25" customHeight="1">
      <c r="A976" s="179"/>
      <c r="B976" s="98"/>
      <c r="C976" s="98"/>
      <c r="D976" s="98"/>
      <c r="E976" s="98"/>
      <c r="F976" s="235"/>
      <c r="G976" s="235"/>
      <c r="H976" s="236"/>
      <c r="I976" s="236"/>
      <c r="J976" s="236"/>
      <c r="K976" s="236"/>
      <c r="L976" s="236"/>
      <c r="M976" s="236"/>
      <c r="N976" s="236"/>
      <c r="O976" s="236"/>
      <c r="P976" s="236"/>
      <c r="Q976" s="236"/>
      <c r="R976" s="236"/>
      <c r="S976" s="236"/>
      <c r="T976" s="236"/>
      <c r="U976" s="236"/>
      <c r="V976" s="236"/>
      <c r="W976" s="237"/>
      <c r="X976" s="237"/>
      <c r="Y976" s="237"/>
      <c r="Z976" s="237"/>
      <c r="AA976" s="237"/>
      <c r="AB976" s="237"/>
      <c r="AC976" s="237"/>
      <c r="AD976" s="237"/>
      <c r="AE976" s="237"/>
      <c r="AF976" s="237"/>
      <c r="AG976" s="237"/>
      <c r="AH976" s="237"/>
      <c r="AI976" s="308"/>
      <c r="AJ976" s="308"/>
      <c r="AK976" s="308"/>
      <c r="AL976" s="308"/>
      <c r="AM976" s="308"/>
      <c r="AN976" s="98"/>
    </row>
    <row r="977" ht="14.25" customHeight="1">
      <c r="A977" s="179"/>
      <c r="B977" s="98"/>
      <c r="C977" s="98"/>
      <c r="D977" s="98"/>
      <c r="E977" s="98"/>
      <c r="F977" s="235"/>
      <c r="G977" s="235"/>
      <c r="H977" s="236"/>
      <c r="I977" s="236"/>
      <c r="J977" s="236"/>
      <c r="K977" s="236"/>
      <c r="L977" s="236"/>
      <c r="M977" s="236"/>
      <c r="N977" s="236"/>
      <c r="O977" s="236"/>
      <c r="P977" s="236"/>
      <c r="Q977" s="236"/>
      <c r="R977" s="236"/>
      <c r="S977" s="236"/>
      <c r="T977" s="236"/>
      <c r="U977" s="236"/>
      <c r="V977" s="236"/>
      <c r="W977" s="237"/>
      <c r="X977" s="237"/>
      <c r="Y977" s="237"/>
      <c r="Z977" s="237"/>
      <c r="AA977" s="237"/>
      <c r="AB977" s="237"/>
      <c r="AC977" s="237"/>
      <c r="AD977" s="237"/>
      <c r="AE977" s="237"/>
      <c r="AF977" s="237"/>
      <c r="AG977" s="237"/>
      <c r="AH977" s="237"/>
      <c r="AI977" s="308"/>
      <c r="AJ977" s="308"/>
      <c r="AK977" s="308"/>
      <c r="AL977" s="308"/>
      <c r="AM977" s="308"/>
      <c r="AN977" s="98"/>
    </row>
    <row r="978" ht="14.25" customHeight="1">
      <c r="A978" s="179"/>
      <c r="B978" s="98"/>
      <c r="C978" s="98"/>
      <c r="D978" s="98"/>
      <c r="E978" s="98"/>
      <c r="F978" s="235"/>
      <c r="G978" s="235"/>
      <c r="H978" s="236"/>
      <c r="I978" s="236"/>
      <c r="J978" s="236"/>
      <c r="K978" s="236"/>
      <c r="L978" s="236"/>
      <c r="M978" s="236"/>
      <c r="N978" s="236"/>
      <c r="O978" s="236"/>
      <c r="P978" s="236"/>
      <c r="Q978" s="236"/>
      <c r="R978" s="236"/>
      <c r="S978" s="236"/>
      <c r="T978" s="236"/>
      <c r="U978" s="236"/>
      <c r="V978" s="236"/>
      <c r="W978" s="237"/>
      <c r="X978" s="237"/>
      <c r="Y978" s="237"/>
      <c r="Z978" s="237"/>
      <c r="AA978" s="237"/>
      <c r="AB978" s="237"/>
      <c r="AC978" s="237"/>
      <c r="AD978" s="237"/>
      <c r="AE978" s="237"/>
      <c r="AF978" s="237"/>
      <c r="AG978" s="237"/>
      <c r="AH978" s="237"/>
      <c r="AI978" s="308"/>
      <c r="AJ978" s="308"/>
      <c r="AK978" s="308"/>
      <c r="AL978" s="308"/>
      <c r="AM978" s="308"/>
      <c r="AN978" s="98"/>
    </row>
    <row r="979" ht="14.25" customHeight="1">
      <c r="A979" s="179"/>
      <c r="B979" s="98"/>
      <c r="C979" s="98"/>
      <c r="D979" s="98"/>
      <c r="E979" s="98"/>
      <c r="F979" s="235"/>
      <c r="G979" s="235"/>
      <c r="H979" s="236"/>
      <c r="I979" s="236"/>
      <c r="J979" s="236"/>
      <c r="K979" s="236"/>
      <c r="L979" s="236"/>
      <c r="M979" s="236"/>
      <c r="N979" s="236"/>
      <c r="O979" s="236"/>
      <c r="P979" s="236"/>
      <c r="Q979" s="236"/>
      <c r="R979" s="236"/>
      <c r="S979" s="236"/>
      <c r="T979" s="236"/>
      <c r="U979" s="236"/>
      <c r="V979" s="236"/>
      <c r="W979" s="237"/>
      <c r="X979" s="237"/>
      <c r="Y979" s="237"/>
      <c r="Z979" s="237"/>
      <c r="AA979" s="237"/>
      <c r="AB979" s="237"/>
      <c r="AC979" s="237"/>
      <c r="AD979" s="237"/>
      <c r="AE979" s="237"/>
      <c r="AF979" s="237"/>
      <c r="AG979" s="237"/>
      <c r="AH979" s="237"/>
      <c r="AI979" s="308"/>
      <c r="AJ979" s="308"/>
      <c r="AK979" s="308"/>
      <c r="AL979" s="308"/>
      <c r="AM979" s="308"/>
      <c r="AN979" s="98"/>
    </row>
    <row r="980" ht="14.25" customHeight="1">
      <c r="A980" s="179"/>
      <c r="B980" s="98"/>
      <c r="C980" s="98"/>
      <c r="D980" s="98"/>
      <c r="E980" s="98"/>
      <c r="F980" s="235"/>
      <c r="G980" s="235"/>
      <c r="H980" s="236"/>
      <c r="I980" s="236"/>
      <c r="J980" s="236"/>
      <c r="K980" s="236"/>
      <c r="L980" s="236"/>
      <c r="M980" s="236"/>
      <c r="N980" s="236"/>
      <c r="O980" s="236"/>
      <c r="P980" s="236"/>
      <c r="Q980" s="236"/>
      <c r="R980" s="236"/>
      <c r="S980" s="236"/>
      <c r="T980" s="236"/>
      <c r="U980" s="236"/>
      <c r="V980" s="236"/>
      <c r="W980" s="237"/>
      <c r="X980" s="237"/>
      <c r="Y980" s="237"/>
      <c r="Z980" s="237"/>
      <c r="AA980" s="237"/>
      <c r="AB980" s="237"/>
      <c r="AC980" s="237"/>
      <c r="AD980" s="237"/>
      <c r="AE980" s="237"/>
      <c r="AF980" s="237"/>
      <c r="AG980" s="237"/>
      <c r="AH980" s="237"/>
      <c r="AI980" s="308"/>
      <c r="AJ980" s="308"/>
      <c r="AK980" s="308"/>
      <c r="AL980" s="308"/>
      <c r="AM980" s="308"/>
      <c r="AN980" s="98"/>
    </row>
    <row r="981" ht="14.25" customHeight="1">
      <c r="A981" s="179"/>
      <c r="B981" s="98"/>
      <c r="C981" s="98"/>
      <c r="D981" s="98"/>
      <c r="E981" s="98"/>
      <c r="F981" s="235"/>
      <c r="G981" s="235"/>
      <c r="H981" s="236"/>
      <c r="I981" s="236"/>
      <c r="J981" s="236"/>
      <c r="K981" s="236"/>
      <c r="L981" s="236"/>
      <c r="M981" s="236"/>
      <c r="N981" s="236"/>
      <c r="O981" s="236"/>
      <c r="P981" s="236"/>
      <c r="Q981" s="236"/>
      <c r="R981" s="236"/>
      <c r="S981" s="236"/>
      <c r="T981" s="236"/>
      <c r="U981" s="236"/>
      <c r="V981" s="236"/>
      <c r="W981" s="237"/>
      <c r="X981" s="237"/>
      <c r="Y981" s="237"/>
      <c r="Z981" s="237"/>
      <c r="AA981" s="237"/>
      <c r="AB981" s="237"/>
      <c r="AC981" s="237"/>
      <c r="AD981" s="237"/>
      <c r="AE981" s="237"/>
      <c r="AF981" s="237"/>
      <c r="AG981" s="237"/>
      <c r="AH981" s="237"/>
      <c r="AI981" s="308"/>
      <c r="AJ981" s="308"/>
      <c r="AK981" s="308"/>
      <c r="AL981" s="308"/>
      <c r="AM981" s="308"/>
      <c r="AN981" s="98"/>
    </row>
    <row r="982" ht="14.25" customHeight="1">
      <c r="A982" s="179"/>
      <c r="B982" s="98"/>
      <c r="C982" s="98"/>
      <c r="D982" s="98"/>
      <c r="E982" s="98"/>
      <c r="F982" s="235"/>
      <c r="G982" s="235"/>
      <c r="H982" s="236"/>
      <c r="I982" s="236"/>
      <c r="J982" s="236"/>
      <c r="K982" s="236"/>
      <c r="L982" s="236"/>
      <c r="M982" s="236"/>
      <c r="N982" s="236"/>
      <c r="O982" s="236"/>
      <c r="P982" s="236"/>
      <c r="Q982" s="236"/>
      <c r="R982" s="236"/>
      <c r="S982" s="236"/>
      <c r="T982" s="236"/>
      <c r="U982" s="236"/>
      <c r="V982" s="236"/>
      <c r="W982" s="237"/>
      <c r="X982" s="237"/>
      <c r="Y982" s="237"/>
      <c r="Z982" s="237"/>
      <c r="AA982" s="237"/>
      <c r="AB982" s="237"/>
      <c r="AC982" s="237"/>
      <c r="AD982" s="237"/>
      <c r="AE982" s="237"/>
      <c r="AF982" s="237"/>
      <c r="AG982" s="237"/>
      <c r="AH982" s="237"/>
      <c r="AI982" s="308"/>
      <c r="AJ982" s="308"/>
      <c r="AK982" s="308"/>
      <c r="AL982" s="308"/>
      <c r="AM982" s="308"/>
      <c r="AN982" s="98"/>
    </row>
    <row r="983" ht="14.25" customHeight="1">
      <c r="A983" s="179"/>
      <c r="B983" s="98"/>
      <c r="C983" s="98"/>
      <c r="D983" s="98"/>
      <c r="E983" s="98"/>
      <c r="F983" s="235"/>
      <c r="G983" s="235"/>
      <c r="H983" s="236"/>
      <c r="I983" s="236"/>
      <c r="J983" s="236"/>
      <c r="K983" s="236"/>
      <c r="L983" s="236"/>
      <c r="M983" s="236"/>
      <c r="N983" s="236"/>
      <c r="O983" s="236"/>
      <c r="P983" s="236"/>
      <c r="Q983" s="236"/>
      <c r="R983" s="236"/>
      <c r="S983" s="236"/>
      <c r="T983" s="236"/>
      <c r="U983" s="236"/>
      <c r="V983" s="236"/>
      <c r="W983" s="237"/>
      <c r="X983" s="237"/>
      <c r="Y983" s="237"/>
      <c r="Z983" s="237"/>
      <c r="AA983" s="237"/>
      <c r="AB983" s="237"/>
      <c r="AC983" s="237"/>
      <c r="AD983" s="237"/>
      <c r="AE983" s="237"/>
      <c r="AF983" s="237"/>
      <c r="AG983" s="237"/>
      <c r="AH983" s="237"/>
      <c r="AI983" s="308"/>
      <c r="AJ983" s="308"/>
      <c r="AK983" s="308"/>
      <c r="AL983" s="308"/>
      <c r="AM983" s="308"/>
      <c r="AN983" s="98"/>
    </row>
    <row r="984" ht="14.25" customHeight="1">
      <c r="A984" s="179"/>
      <c r="B984" s="98"/>
      <c r="C984" s="98"/>
      <c r="D984" s="98"/>
      <c r="E984" s="98"/>
      <c r="F984" s="235"/>
      <c r="G984" s="235"/>
      <c r="H984" s="236"/>
      <c r="I984" s="236"/>
      <c r="J984" s="236"/>
      <c r="K984" s="236"/>
      <c r="L984" s="236"/>
      <c r="M984" s="236"/>
      <c r="N984" s="236"/>
      <c r="O984" s="236"/>
      <c r="P984" s="236"/>
      <c r="Q984" s="236"/>
      <c r="R984" s="236"/>
      <c r="S984" s="236"/>
      <c r="T984" s="236"/>
      <c r="U984" s="236"/>
      <c r="V984" s="236"/>
      <c r="W984" s="237"/>
      <c r="X984" s="237"/>
      <c r="Y984" s="237"/>
      <c r="Z984" s="237"/>
      <c r="AA984" s="237"/>
      <c r="AB984" s="237"/>
      <c r="AC984" s="237"/>
      <c r="AD984" s="237"/>
      <c r="AE984" s="237"/>
      <c r="AF984" s="237"/>
      <c r="AG984" s="237"/>
      <c r="AH984" s="237"/>
      <c r="AI984" s="308"/>
      <c r="AJ984" s="308"/>
      <c r="AK984" s="308"/>
      <c r="AL984" s="308"/>
      <c r="AM984" s="308"/>
      <c r="AN984" s="98"/>
    </row>
    <row r="985" ht="14.25" customHeight="1">
      <c r="A985" s="179"/>
      <c r="B985" s="98"/>
      <c r="C985" s="98"/>
      <c r="D985" s="98"/>
      <c r="E985" s="98"/>
      <c r="F985" s="235"/>
      <c r="G985" s="235"/>
      <c r="H985" s="236"/>
      <c r="I985" s="236"/>
      <c r="J985" s="236"/>
      <c r="K985" s="236"/>
      <c r="L985" s="236"/>
      <c r="M985" s="236"/>
      <c r="N985" s="236"/>
      <c r="O985" s="236"/>
      <c r="P985" s="236"/>
      <c r="Q985" s="236"/>
      <c r="R985" s="236"/>
      <c r="S985" s="236"/>
      <c r="T985" s="236"/>
      <c r="U985" s="236"/>
      <c r="V985" s="236"/>
      <c r="W985" s="237"/>
      <c r="X985" s="237"/>
      <c r="Y985" s="237"/>
      <c r="Z985" s="237"/>
      <c r="AA985" s="237"/>
      <c r="AB985" s="237"/>
      <c r="AC985" s="237"/>
      <c r="AD985" s="237"/>
      <c r="AE985" s="237"/>
      <c r="AF985" s="237"/>
      <c r="AG985" s="237"/>
      <c r="AH985" s="237"/>
      <c r="AI985" s="308"/>
      <c r="AJ985" s="308"/>
      <c r="AK985" s="308"/>
      <c r="AL985" s="308"/>
      <c r="AM985" s="308"/>
      <c r="AN985" s="98"/>
    </row>
    <row r="986" ht="14.25" customHeight="1">
      <c r="A986" s="179"/>
      <c r="B986" s="98"/>
      <c r="C986" s="98"/>
      <c r="D986" s="98"/>
      <c r="E986" s="98"/>
      <c r="F986" s="235"/>
      <c r="G986" s="235"/>
      <c r="H986" s="236"/>
      <c r="I986" s="236"/>
      <c r="J986" s="236"/>
      <c r="K986" s="236"/>
      <c r="L986" s="236"/>
      <c r="M986" s="236"/>
      <c r="N986" s="236"/>
      <c r="O986" s="236"/>
      <c r="P986" s="236"/>
      <c r="Q986" s="236"/>
      <c r="R986" s="236"/>
      <c r="S986" s="236"/>
      <c r="T986" s="236"/>
      <c r="U986" s="236"/>
      <c r="V986" s="236"/>
      <c r="W986" s="237"/>
      <c r="X986" s="237"/>
      <c r="Y986" s="237"/>
      <c r="Z986" s="237"/>
      <c r="AA986" s="237"/>
      <c r="AB986" s="237"/>
      <c r="AC986" s="237"/>
      <c r="AD986" s="237"/>
      <c r="AE986" s="237"/>
      <c r="AF986" s="237"/>
      <c r="AG986" s="237"/>
      <c r="AH986" s="237"/>
      <c r="AI986" s="308"/>
      <c r="AJ986" s="308"/>
      <c r="AK986" s="308"/>
      <c r="AL986" s="308"/>
      <c r="AM986" s="308"/>
      <c r="AN986" s="98"/>
    </row>
    <row r="987" ht="14.25" customHeight="1">
      <c r="A987" s="179"/>
      <c r="B987" s="98"/>
      <c r="C987" s="98"/>
      <c r="D987" s="98"/>
      <c r="E987" s="98"/>
      <c r="F987" s="235"/>
      <c r="G987" s="235"/>
      <c r="H987" s="236"/>
      <c r="I987" s="236"/>
      <c r="J987" s="236"/>
      <c r="K987" s="236"/>
      <c r="L987" s="236"/>
      <c r="M987" s="236"/>
      <c r="N987" s="236"/>
      <c r="O987" s="236"/>
      <c r="P987" s="236"/>
      <c r="Q987" s="236"/>
      <c r="R987" s="236"/>
      <c r="S987" s="236"/>
      <c r="T987" s="236"/>
      <c r="U987" s="236"/>
      <c r="V987" s="236"/>
      <c r="W987" s="237"/>
      <c r="X987" s="237"/>
      <c r="Y987" s="237"/>
      <c r="Z987" s="237"/>
      <c r="AA987" s="237"/>
      <c r="AB987" s="237"/>
      <c r="AC987" s="237"/>
      <c r="AD987" s="237"/>
      <c r="AE987" s="237"/>
      <c r="AF987" s="237"/>
      <c r="AG987" s="237"/>
      <c r="AH987" s="237"/>
      <c r="AI987" s="308"/>
      <c r="AJ987" s="308"/>
      <c r="AK987" s="308"/>
      <c r="AL987" s="308"/>
      <c r="AM987" s="308"/>
      <c r="AN987" s="98"/>
    </row>
    <row r="988" ht="14.25" customHeight="1">
      <c r="A988" s="179"/>
      <c r="B988" s="98"/>
      <c r="C988" s="98"/>
      <c r="D988" s="98"/>
      <c r="E988" s="98"/>
      <c r="F988" s="235"/>
      <c r="G988" s="235"/>
      <c r="H988" s="236"/>
      <c r="I988" s="236"/>
      <c r="J988" s="236"/>
      <c r="K988" s="236"/>
      <c r="L988" s="236"/>
      <c r="M988" s="236"/>
      <c r="N988" s="236"/>
      <c r="O988" s="236"/>
      <c r="P988" s="236"/>
      <c r="Q988" s="236"/>
      <c r="R988" s="236"/>
      <c r="S988" s="236"/>
      <c r="T988" s="236"/>
      <c r="U988" s="236"/>
      <c r="V988" s="236"/>
      <c r="W988" s="237"/>
      <c r="X988" s="237"/>
      <c r="Y988" s="237"/>
      <c r="Z988" s="237"/>
      <c r="AA988" s="237"/>
      <c r="AB988" s="237"/>
      <c r="AC988" s="237"/>
      <c r="AD988" s="237"/>
      <c r="AE988" s="237"/>
      <c r="AF988" s="237"/>
      <c r="AG988" s="237"/>
      <c r="AH988" s="237"/>
      <c r="AI988" s="308"/>
      <c r="AJ988" s="308"/>
      <c r="AK988" s="308"/>
      <c r="AL988" s="308"/>
      <c r="AM988" s="308"/>
      <c r="AN988" s="98"/>
    </row>
    <row r="989" ht="14.25" customHeight="1">
      <c r="A989" s="179"/>
      <c r="B989" s="98"/>
      <c r="C989" s="98"/>
      <c r="D989" s="98"/>
      <c r="E989" s="98"/>
      <c r="F989" s="235"/>
      <c r="G989" s="235"/>
      <c r="H989" s="236"/>
      <c r="I989" s="236"/>
      <c r="J989" s="236"/>
      <c r="K989" s="236"/>
      <c r="L989" s="236"/>
      <c r="M989" s="236"/>
      <c r="N989" s="236"/>
      <c r="O989" s="236"/>
      <c r="P989" s="236"/>
      <c r="Q989" s="236"/>
      <c r="R989" s="236"/>
      <c r="S989" s="236"/>
      <c r="T989" s="236"/>
      <c r="U989" s="236"/>
      <c r="V989" s="236"/>
      <c r="W989" s="237"/>
      <c r="X989" s="237"/>
      <c r="Y989" s="237"/>
      <c r="Z989" s="237"/>
      <c r="AA989" s="237"/>
      <c r="AB989" s="237"/>
      <c r="AC989" s="237"/>
      <c r="AD989" s="237"/>
      <c r="AE989" s="237"/>
      <c r="AF989" s="237"/>
      <c r="AG989" s="237"/>
      <c r="AH989" s="237"/>
      <c r="AI989" s="308"/>
      <c r="AJ989" s="308"/>
      <c r="AK989" s="308"/>
      <c r="AL989" s="308"/>
      <c r="AM989" s="308"/>
      <c r="AN989" s="98"/>
    </row>
    <row r="990" ht="14.25" customHeight="1">
      <c r="A990" s="179"/>
      <c r="B990" s="98"/>
      <c r="C990" s="98"/>
      <c r="D990" s="98"/>
      <c r="E990" s="98"/>
      <c r="F990" s="235"/>
      <c r="G990" s="235"/>
      <c r="H990" s="236"/>
      <c r="I990" s="236"/>
      <c r="J990" s="236"/>
      <c r="K990" s="236"/>
      <c r="L990" s="236"/>
      <c r="M990" s="236"/>
      <c r="N990" s="236"/>
      <c r="O990" s="236"/>
      <c r="P990" s="236"/>
      <c r="Q990" s="236"/>
      <c r="R990" s="236"/>
      <c r="S990" s="236"/>
      <c r="T990" s="236"/>
      <c r="U990" s="236"/>
      <c r="V990" s="236"/>
      <c r="W990" s="237"/>
      <c r="X990" s="237"/>
      <c r="Y990" s="237"/>
      <c r="Z990" s="237"/>
      <c r="AA990" s="237"/>
      <c r="AB990" s="237"/>
      <c r="AC990" s="237"/>
      <c r="AD990" s="237"/>
      <c r="AE990" s="237"/>
      <c r="AF990" s="237"/>
      <c r="AG990" s="237"/>
      <c r="AH990" s="237"/>
      <c r="AI990" s="308"/>
      <c r="AJ990" s="308"/>
      <c r="AK990" s="308"/>
      <c r="AL990" s="308"/>
      <c r="AM990" s="308"/>
      <c r="AN990" s="98"/>
    </row>
    <row r="991" ht="14.25" customHeight="1">
      <c r="A991" s="179"/>
      <c r="B991" s="98"/>
      <c r="C991" s="98"/>
      <c r="D991" s="98"/>
      <c r="E991" s="98"/>
      <c r="F991" s="235"/>
      <c r="G991" s="235"/>
      <c r="H991" s="236"/>
      <c r="I991" s="236"/>
      <c r="J991" s="236"/>
      <c r="K991" s="236"/>
      <c r="L991" s="236"/>
      <c r="M991" s="236"/>
      <c r="N991" s="236"/>
      <c r="O991" s="236"/>
      <c r="P991" s="236"/>
      <c r="Q991" s="236"/>
      <c r="R991" s="236"/>
      <c r="S991" s="236"/>
      <c r="T991" s="236"/>
      <c r="U991" s="236"/>
      <c r="V991" s="236"/>
      <c r="W991" s="237"/>
      <c r="X991" s="237"/>
      <c r="Y991" s="237"/>
      <c r="Z991" s="237"/>
      <c r="AA991" s="237"/>
      <c r="AB991" s="237"/>
      <c r="AC991" s="237"/>
      <c r="AD991" s="237"/>
      <c r="AE991" s="237"/>
      <c r="AF991" s="237"/>
      <c r="AG991" s="237"/>
      <c r="AH991" s="237"/>
      <c r="AI991" s="308"/>
      <c r="AJ991" s="308"/>
      <c r="AK991" s="308"/>
      <c r="AL991" s="308"/>
      <c r="AM991" s="308"/>
      <c r="AN991" s="98"/>
    </row>
    <row r="992" ht="14.25" customHeight="1">
      <c r="A992" s="179"/>
      <c r="B992" s="98"/>
      <c r="C992" s="98"/>
      <c r="D992" s="98"/>
      <c r="E992" s="98"/>
      <c r="F992" s="235"/>
      <c r="G992" s="235"/>
      <c r="H992" s="236"/>
      <c r="I992" s="236"/>
      <c r="J992" s="236"/>
      <c r="K992" s="236"/>
      <c r="L992" s="236"/>
      <c r="M992" s="236"/>
      <c r="N992" s="236"/>
      <c r="O992" s="236"/>
      <c r="P992" s="236"/>
      <c r="Q992" s="236"/>
      <c r="R992" s="236"/>
      <c r="S992" s="236"/>
      <c r="T992" s="236"/>
      <c r="U992" s="236"/>
      <c r="V992" s="236"/>
      <c r="W992" s="237"/>
      <c r="X992" s="237"/>
      <c r="Y992" s="237"/>
      <c r="Z992" s="237"/>
      <c r="AA992" s="237"/>
      <c r="AB992" s="237"/>
      <c r="AC992" s="237"/>
      <c r="AD992" s="237"/>
      <c r="AE992" s="237"/>
      <c r="AF992" s="237"/>
      <c r="AG992" s="237"/>
      <c r="AH992" s="237"/>
      <c r="AI992" s="308"/>
      <c r="AJ992" s="308"/>
      <c r="AK992" s="308"/>
      <c r="AL992" s="308"/>
      <c r="AM992" s="308"/>
      <c r="AN992" s="98"/>
    </row>
    <row r="993" ht="14.25" customHeight="1">
      <c r="A993" s="179"/>
      <c r="B993" s="98"/>
      <c r="C993" s="98"/>
      <c r="D993" s="98"/>
      <c r="E993" s="98"/>
      <c r="F993" s="235"/>
      <c r="G993" s="235"/>
      <c r="H993" s="236"/>
      <c r="I993" s="236"/>
      <c r="J993" s="236"/>
      <c r="K993" s="236"/>
      <c r="L993" s="236"/>
      <c r="M993" s="236"/>
      <c r="N993" s="236"/>
      <c r="O993" s="236"/>
      <c r="P993" s="236"/>
      <c r="Q993" s="236"/>
      <c r="R993" s="236"/>
      <c r="S993" s="236"/>
      <c r="T993" s="236"/>
      <c r="U993" s="236"/>
      <c r="V993" s="236"/>
      <c r="W993" s="237"/>
      <c r="X993" s="237"/>
      <c r="Y993" s="237"/>
      <c r="Z993" s="237"/>
      <c r="AA993" s="237"/>
      <c r="AB993" s="237"/>
      <c r="AC993" s="237"/>
      <c r="AD993" s="237"/>
      <c r="AE993" s="237"/>
      <c r="AF993" s="237"/>
      <c r="AG993" s="237"/>
      <c r="AH993" s="237"/>
      <c r="AI993" s="308"/>
      <c r="AJ993" s="308"/>
      <c r="AK993" s="308"/>
      <c r="AL993" s="308"/>
      <c r="AM993" s="308"/>
      <c r="AN993" s="98"/>
    </row>
    <row r="994" ht="14.25" customHeight="1">
      <c r="A994" s="179"/>
      <c r="B994" s="98"/>
      <c r="C994" s="98"/>
      <c r="D994" s="98"/>
      <c r="E994" s="98"/>
      <c r="F994" s="235"/>
      <c r="G994" s="235"/>
      <c r="H994" s="236"/>
      <c r="I994" s="236"/>
      <c r="J994" s="236"/>
      <c r="K994" s="236"/>
      <c r="L994" s="236"/>
      <c r="M994" s="236"/>
      <c r="N994" s="236"/>
      <c r="O994" s="236"/>
      <c r="P994" s="236"/>
      <c r="Q994" s="236"/>
      <c r="R994" s="236"/>
      <c r="S994" s="236"/>
      <c r="T994" s="236"/>
      <c r="U994" s="236"/>
      <c r="V994" s="236"/>
      <c r="W994" s="237"/>
      <c r="X994" s="237"/>
      <c r="Y994" s="237"/>
      <c r="Z994" s="237"/>
      <c r="AA994" s="237"/>
      <c r="AB994" s="237"/>
      <c r="AC994" s="237"/>
      <c r="AD994" s="237"/>
      <c r="AE994" s="237"/>
      <c r="AF994" s="237"/>
      <c r="AG994" s="237"/>
      <c r="AH994" s="237"/>
      <c r="AI994" s="308"/>
      <c r="AJ994" s="308"/>
      <c r="AK994" s="308"/>
      <c r="AL994" s="308"/>
      <c r="AM994" s="308"/>
      <c r="AN994" s="98"/>
    </row>
    <row r="995" ht="14.25" customHeight="1">
      <c r="A995" s="179"/>
      <c r="B995" s="98"/>
      <c r="C995" s="98"/>
      <c r="D995" s="98"/>
      <c r="E995" s="98"/>
      <c r="F995" s="235"/>
      <c r="G995" s="235"/>
      <c r="H995" s="236"/>
      <c r="I995" s="236"/>
      <c r="J995" s="236"/>
      <c r="K995" s="236"/>
      <c r="L995" s="236"/>
      <c r="M995" s="236"/>
      <c r="N995" s="236"/>
      <c r="O995" s="236"/>
      <c r="P995" s="236"/>
      <c r="Q995" s="236"/>
      <c r="R995" s="236"/>
      <c r="S995" s="236"/>
      <c r="T995" s="236"/>
      <c r="U995" s="236"/>
      <c r="V995" s="236"/>
      <c r="W995" s="237"/>
      <c r="X995" s="237"/>
      <c r="Y995" s="237"/>
      <c r="Z995" s="237"/>
      <c r="AA995" s="237"/>
      <c r="AB995" s="237"/>
      <c r="AC995" s="237"/>
      <c r="AD995" s="237"/>
      <c r="AE995" s="237"/>
      <c r="AF995" s="237"/>
      <c r="AG995" s="237"/>
      <c r="AH995" s="237"/>
      <c r="AI995" s="308"/>
      <c r="AJ995" s="308"/>
      <c r="AK995" s="308"/>
      <c r="AL995" s="308"/>
      <c r="AM995" s="308"/>
      <c r="AN995" s="98"/>
    </row>
    <row r="996" ht="14.25" customHeight="1">
      <c r="A996" s="179"/>
      <c r="B996" s="98"/>
      <c r="C996" s="98"/>
      <c r="D996" s="98"/>
      <c r="E996" s="98"/>
      <c r="F996" s="235"/>
      <c r="G996" s="235"/>
      <c r="H996" s="236"/>
      <c r="I996" s="236"/>
      <c r="J996" s="236"/>
      <c r="K996" s="236"/>
      <c r="L996" s="236"/>
      <c r="M996" s="236"/>
      <c r="N996" s="236"/>
      <c r="O996" s="236"/>
      <c r="P996" s="236"/>
      <c r="Q996" s="236"/>
      <c r="R996" s="236"/>
      <c r="S996" s="236"/>
      <c r="T996" s="236"/>
      <c r="U996" s="236"/>
      <c r="V996" s="236"/>
      <c r="W996" s="237"/>
      <c r="X996" s="237"/>
      <c r="Y996" s="237"/>
      <c r="Z996" s="237"/>
      <c r="AA996" s="237"/>
      <c r="AB996" s="237"/>
      <c r="AC996" s="237"/>
      <c r="AD996" s="237"/>
      <c r="AE996" s="237"/>
      <c r="AF996" s="237"/>
      <c r="AG996" s="237"/>
      <c r="AH996" s="237"/>
      <c r="AI996" s="308"/>
      <c r="AJ996" s="308"/>
      <c r="AK996" s="308"/>
      <c r="AL996" s="308"/>
      <c r="AM996" s="308"/>
      <c r="AN996" s="98"/>
    </row>
    <row r="997" ht="14.25" customHeight="1">
      <c r="A997" s="179"/>
      <c r="B997" s="98"/>
      <c r="C997" s="98"/>
      <c r="D997" s="98"/>
      <c r="E997" s="98"/>
      <c r="F997" s="235"/>
      <c r="G997" s="235"/>
      <c r="H997" s="236"/>
      <c r="I997" s="236"/>
      <c r="J997" s="236"/>
      <c r="K997" s="236"/>
      <c r="L997" s="236"/>
      <c r="M997" s="236"/>
      <c r="N997" s="236"/>
      <c r="O997" s="236"/>
      <c r="P997" s="236"/>
      <c r="Q997" s="236"/>
      <c r="R997" s="236"/>
      <c r="S997" s="236"/>
      <c r="T997" s="236"/>
      <c r="U997" s="236"/>
      <c r="V997" s="236"/>
      <c r="W997" s="237"/>
      <c r="X997" s="237"/>
      <c r="Y997" s="237"/>
      <c r="Z997" s="237"/>
      <c r="AA997" s="237"/>
      <c r="AB997" s="237"/>
      <c r="AC997" s="237"/>
      <c r="AD997" s="237"/>
      <c r="AE997" s="237"/>
      <c r="AF997" s="237"/>
      <c r="AG997" s="237"/>
      <c r="AH997" s="237"/>
      <c r="AI997" s="308"/>
      <c r="AJ997" s="308"/>
      <c r="AK997" s="308"/>
      <c r="AL997" s="308"/>
      <c r="AM997" s="308"/>
      <c r="AN997" s="98"/>
    </row>
    <row r="998" ht="14.25" customHeight="1">
      <c r="A998" s="179"/>
      <c r="B998" s="98"/>
      <c r="C998" s="98"/>
      <c r="D998" s="98"/>
      <c r="E998" s="98"/>
      <c r="F998" s="235"/>
      <c r="G998" s="235"/>
      <c r="H998" s="236"/>
      <c r="I998" s="236"/>
      <c r="J998" s="236"/>
      <c r="K998" s="236"/>
      <c r="L998" s="236"/>
      <c r="M998" s="236"/>
      <c r="N998" s="236"/>
      <c r="O998" s="236"/>
      <c r="P998" s="236"/>
      <c r="Q998" s="236"/>
      <c r="R998" s="236"/>
      <c r="S998" s="236"/>
      <c r="T998" s="236"/>
      <c r="U998" s="236"/>
      <c r="V998" s="236"/>
      <c r="W998" s="237"/>
      <c r="X998" s="237"/>
      <c r="Y998" s="237"/>
      <c r="Z998" s="237"/>
      <c r="AA998" s="237"/>
      <c r="AB998" s="237"/>
      <c r="AC998" s="237"/>
      <c r="AD998" s="237"/>
      <c r="AE998" s="237"/>
      <c r="AF998" s="237"/>
      <c r="AG998" s="237"/>
      <c r="AH998" s="237"/>
      <c r="AI998" s="308"/>
      <c r="AJ998" s="308"/>
      <c r="AK998" s="308"/>
      <c r="AL998" s="308"/>
      <c r="AM998" s="308"/>
      <c r="AN998" s="98"/>
    </row>
    <row r="999" ht="14.25" customHeight="1">
      <c r="A999" s="179"/>
      <c r="B999" s="98"/>
      <c r="C999" s="98"/>
      <c r="D999" s="98"/>
      <c r="E999" s="98"/>
      <c r="F999" s="235"/>
      <c r="G999" s="235"/>
      <c r="H999" s="236"/>
      <c r="I999" s="236"/>
      <c r="J999" s="236"/>
      <c r="K999" s="236"/>
      <c r="L999" s="236"/>
      <c r="M999" s="236"/>
      <c r="N999" s="236"/>
      <c r="O999" s="236"/>
      <c r="P999" s="236"/>
      <c r="Q999" s="236"/>
      <c r="R999" s="236"/>
      <c r="S999" s="236"/>
      <c r="T999" s="236"/>
      <c r="U999" s="236"/>
      <c r="V999" s="236"/>
      <c r="W999" s="237"/>
      <c r="X999" s="237"/>
      <c r="Y999" s="237"/>
      <c r="Z999" s="237"/>
      <c r="AA999" s="237"/>
      <c r="AB999" s="237"/>
      <c r="AC999" s="237"/>
      <c r="AD999" s="237"/>
      <c r="AE999" s="237"/>
      <c r="AF999" s="237"/>
      <c r="AG999" s="237"/>
      <c r="AH999" s="237"/>
      <c r="AI999" s="308"/>
      <c r="AJ999" s="308"/>
      <c r="AK999" s="308"/>
      <c r="AL999" s="308"/>
      <c r="AM999" s="308"/>
      <c r="AN999" s="98"/>
    </row>
    <row r="1000" ht="14.25" customHeight="1">
      <c r="A1000" s="179"/>
      <c r="B1000" s="98"/>
      <c r="C1000" s="98"/>
      <c r="D1000" s="98"/>
      <c r="E1000" s="98"/>
      <c r="F1000" s="235"/>
      <c r="G1000" s="235"/>
      <c r="H1000" s="236"/>
      <c r="I1000" s="236"/>
      <c r="J1000" s="236"/>
      <c r="K1000" s="236"/>
      <c r="L1000" s="236"/>
      <c r="M1000" s="236"/>
      <c r="N1000" s="236"/>
      <c r="O1000" s="236"/>
      <c r="P1000" s="236"/>
      <c r="Q1000" s="236"/>
      <c r="R1000" s="236"/>
      <c r="S1000" s="236"/>
      <c r="T1000" s="236"/>
      <c r="U1000" s="236"/>
      <c r="V1000" s="236"/>
      <c r="W1000" s="237"/>
      <c r="X1000" s="237"/>
      <c r="Y1000" s="237"/>
      <c r="Z1000" s="237"/>
      <c r="AA1000" s="237"/>
      <c r="AB1000" s="237"/>
      <c r="AC1000" s="237"/>
      <c r="AD1000" s="237"/>
      <c r="AE1000" s="237"/>
      <c r="AF1000" s="237"/>
      <c r="AG1000" s="237"/>
      <c r="AH1000" s="237"/>
      <c r="AI1000" s="308"/>
      <c r="AJ1000" s="308"/>
      <c r="AK1000" s="308"/>
      <c r="AL1000" s="308"/>
      <c r="AM1000" s="308"/>
      <c r="AN1000" s="98"/>
    </row>
  </sheetData>
  <mergeCells count="1">
    <mergeCell ref="A1:E1"/>
  </mergeCells>
  <conditionalFormatting sqref="H174:AM217">
    <cfRule type="colorScale" priority="1">
      <colorScale>
        <cfvo type="formula" val="0"/>
        <cfvo type="formula" val="0.5"/>
        <cfvo type="formula" val="1"/>
        <color rgb="FFFF9999"/>
        <color rgb="FFFFF2CC"/>
        <color rgb="FF91EF98"/>
      </colorScale>
    </cfRule>
  </conditionalFormatting>
  <printOptions/>
  <pageMargins bottom="0.75" footer="0.0" header="0.0" left="0.7" right="0.7" top="0.75"/>
  <pageSetup paperSize="9"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F2DE"/>
    <pageSetUpPr/>
  </sheetPr>
  <sheetViews>
    <sheetView showGridLines="0" workbookViewId="0">
      <pane ySplit="1.0" topLeftCell="A2" activePane="bottomLeft" state="frozen"/>
      <selection activeCell="B3" sqref="B3" pane="bottomLeft"/>
    </sheetView>
  </sheetViews>
  <sheetFormatPr customHeight="1" defaultColWidth="14.43" defaultRowHeight="15.0" outlineLevelCol="1" outlineLevelRow="3"/>
  <cols>
    <col customWidth="1" min="1" max="4" width="2.43"/>
    <col customWidth="1" min="5" max="5" width="78.43"/>
    <col customWidth="1" min="6" max="6" width="17.43"/>
    <col customWidth="1" min="7" max="7" width="14.57"/>
    <col customWidth="1" hidden="1" min="8" max="22" width="10.57" outlineLevel="1"/>
    <col customWidth="1" min="23" max="23" width="10.57"/>
    <col customWidth="1" hidden="1" min="24" max="27" width="10.57" outlineLevel="1"/>
    <col customWidth="1" min="28" max="37" width="10.57"/>
    <col customWidth="1" min="38" max="38" width="20.43"/>
    <col customWidth="1" min="39" max="39" width="38.43"/>
    <col customWidth="1" hidden="1" min="40" max="40" width="10.57"/>
    <col customWidth="1" min="41" max="41" width="6.43"/>
  </cols>
  <sheetData>
    <row r="1" ht="14.25" customHeight="1">
      <c r="A1" s="147" t="s">
        <v>49</v>
      </c>
      <c r="B1" s="148"/>
      <c r="C1" s="148"/>
      <c r="D1" s="148"/>
      <c r="E1" s="149"/>
      <c r="F1" s="114" t="s">
        <v>50</v>
      </c>
      <c r="G1" s="114" t="s">
        <v>51</v>
      </c>
      <c r="H1" s="114">
        <v>2000.0</v>
      </c>
      <c r="I1" s="114">
        <v>2001.0</v>
      </c>
      <c r="J1" s="114">
        <v>2002.0</v>
      </c>
      <c r="K1" s="114">
        <v>2003.0</v>
      </c>
      <c r="L1" s="114">
        <v>2004.0</v>
      </c>
      <c r="M1" s="114">
        <v>2005.0</v>
      </c>
      <c r="N1" s="114">
        <v>2006.0</v>
      </c>
      <c r="O1" s="114">
        <v>2007.0</v>
      </c>
      <c r="P1" s="114">
        <v>2008.0</v>
      </c>
      <c r="Q1" s="114">
        <v>2009.0</v>
      </c>
      <c r="R1" s="114">
        <v>2010.0</v>
      </c>
      <c r="S1" s="114">
        <v>2011.0</v>
      </c>
      <c r="T1" s="114">
        <v>2012.0</v>
      </c>
      <c r="U1" s="114">
        <v>2013.0</v>
      </c>
      <c r="V1" s="114">
        <v>2014.0</v>
      </c>
      <c r="W1" s="114">
        <f>ReferenceYear</f>
        <v>2015</v>
      </c>
      <c r="X1" s="114">
        <v>2016.0</v>
      </c>
      <c r="Y1" s="114">
        <v>2017.0</v>
      </c>
      <c r="Z1" s="114">
        <v>2018.0</v>
      </c>
      <c r="AA1" s="114">
        <v>2019.0</v>
      </c>
      <c r="AB1" s="114">
        <f>IFERROR(IF(W1+5&lt;=TargetYear,W1+5,""),"")</f>
        <v>2020</v>
      </c>
      <c r="AC1" s="114">
        <f>IFERROR(IF(AB1+5&lt;=TargetYear,AB1+5,""),"")</f>
        <v>2025</v>
      </c>
      <c r="AD1" s="114">
        <f>IFERROR(IF(AC1+5&lt;=TargetYear,AC1+5,""),"")</f>
        <v>2030</v>
      </c>
      <c r="AE1" s="114">
        <f>IFERROR(IF(AD1+5&lt;=TargetYear,AD1+5,""),"")</f>
        <v>2035</v>
      </c>
      <c r="AF1" s="114">
        <f>IFERROR(IF(AE1+5&lt;=TargetYear,AE1+5,""),"")</f>
        <v>2040</v>
      </c>
      <c r="AG1" s="114">
        <f>IFERROR(IF(AF1+5&lt;=TargetYear,AF1+5,""),"")</f>
        <v>2045</v>
      </c>
      <c r="AH1" s="114">
        <f>IFERROR(IF(AG1+5&lt;=TargetYear,AG1+5,""),"")</f>
        <v>2050</v>
      </c>
      <c r="AI1" s="114" t="s">
        <v>52</v>
      </c>
      <c r="AJ1" s="114" t="s">
        <v>53</v>
      </c>
      <c r="AK1" s="114" t="s">
        <v>54</v>
      </c>
      <c r="AL1" s="114" t="s">
        <v>55</v>
      </c>
      <c r="AM1" s="114" t="s">
        <v>56</v>
      </c>
      <c r="AN1" s="115" t="s">
        <v>127</v>
      </c>
      <c r="AO1" s="150"/>
    </row>
    <row r="2" ht="14.25" customHeight="1">
      <c r="A2" s="226" t="s">
        <v>255</v>
      </c>
      <c r="B2" s="227"/>
      <c r="C2" s="227"/>
      <c r="D2" s="227"/>
      <c r="E2" s="227"/>
      <c r="F2" s="227"/>
      <c r="G2" s="227"/>
      <c r="H2" s="855"/>
      <c r="I2" s="855"/>
      <c r="J2" s="855"/>
      <c r="K2" s="855"/>
      <c r="L2" s="855"/>
      <c r="M2" s="855"/>
      <c r="N2" s="855"/>
      <c r="O2" s="855"/>
      <c r="P2" s="855"/>
      <c r="Q2" s="855"/>
      <c r="R2" s="855"/>
      <c r="S2" s="855"/>
      <c r="T2" s="855"/>
      <c r="U2" s="855"/>
      <c r="V2" s="855"/>
      <c r="W2" s="856"/>
      <c r="X2" s="856"/>
      <c r="Y2" s="856"/>
      <c r="Z2" s="856"/>
      <c r="AA2" s="856"/>
      <c r="AB2" s="856"/>
      <c r="AC2" s="856"/>
      <c r="AD2" s="856"/>
      <c r="AE2" s="856"/>
      <c r="AF2" s="856"/>
      <c r="AG2" s="856"/>
      <c r="AH2" s="856"/>
      <c r="AI2" s="857"/>
      <c r="AJ2" s="857"/>
      <c r="AK2" s="857"/>
      <c r="AL2" s="857"/>
      <c r="AM2" s="857"/>
      <c r="AN2" s="100" t="b">
        <f t="shared" ref="AN2:AN68" si="1">_xlfn.ISFORMULA(H2)</f>
        <v>0</v>
      </c>
      <c r="AO2" s="176"/>
    </row>
    <row r="3" ht="9.75" customHeight="1">
      <c r="A3" s="166"/>
      <c r="B3" s="167"/>
      <c r="C3" s="167"/>
      <c r="D3" s="167"/>
      <c r="E3" s="167"/>
      <c r="F3" s="168"/>
      <c r="G3" s="168"/>
      <c r="H3" s="169"/>
      <c r="I3" s="169"/>
      <c r="J3" s="169"/>
      <c r="K3" s="169"/>
      <c r="L3" s="169"/>
      <c r="M3" s="169"/>
      <c r="N3" s="169"/>
      <c r="O3" s="169"/>
      <c r="P3" s="169"/>
      <c r="Q3" s="169"/>
      <c r="R3" s="169"/>
      <c r="S3" s="169"/>
      <c r="T3" s="169"/>
      <c r="U3" s="169"/>
      <c r="V3" s="169"/>
      <c r="W3" s="169"/>
      <c r="X3" s="169"/>
      <c r="Y3" s="169"/>
      <c r="Z3" s="169"/>
      <c r="AA3" s="169"/>
      <c r="AB3" s="169"/>
      <c r="AC3" s="169"/>
      <c r="AD3" s="169"/>
      <c r="AE3" s="169"/>
      <c r="AF3" s="169"/>
      <c r="AG3" s="169"/>
      <c r="AH3" s="169"/>
      <c r="AI3" s="448"/>
      <c r="AJ3" s="448"/>
      <c r="AK3" s="448"/>
      <c r="AL3" s="448"/>
      <c r="AM3" s="448"/>
      <c r="AN3" s="100" t="b">
        <f t="shared" si="1"/>
        <v>0</v>
      </c>
      <c r="AO3" s="102"/>
    </row>
    <row r="4" ht="14.25" customHeight="1">
      <c r="A4" s="829" t="s">
        <v>2907</v>
      </c>
      <c r="B4" s="830"/>
      <c r="C4" s="830"/>
      <c r="D4" s="830"/>
      <c r="E4" s="830"/>
      <c r="F4" s="830"/>
      <c r="G4" s="830"/>
      <c r="H4" s="831"/>
      <c r="I4" s="831"/>
      <c r="J4" s="831"/>
      <c r="K4" s="831"/>
      <c r="L4" s="831"/>
      <c r="M4" s="831"/>
      <c r="N4" s="831"/>
      <c r="O4" s="831"/>
      <c r="P4" s="831"/>
      <c r="Q4" s="831"/>
      <c r="R4" s="831"/>
      <c r="S4" s="831"/>
      <c r="T4" s="831"/>
      <c r="U4" s="831"/>
      <c r="V4" s="831"/>
      <c r="W4" s="831"/>
      <c r="X4" s="831"/>
      <c r="Y4" s="831"/>
      <c r="Z4" s="831"/>
      <c r="AA4" s="831"/>
      <c r="AB4" s="831"/>
      <c r="AC4" s="831"/>
      <c r="AD4" s="831"/>
      <c r="AE4" s="831"/>
      <c r="AF4" s="831"/>
      <c r="AG4" s="831"/>
      <c r="AH4" s="831"/>
      <c r="AI4" s="832"/>
      <c r="AJ4" s="832"/>
      <c r="AK4" s="832"/>
      <c r="AL4" s="832"/>
      <c r="AM4" s="832"/>
      <c r="AN4" s="100" t="b">
        <f t="shared" si="1"/>
        <v>0</v>
      </c>
      <c r="AO4" s="102"/>
    </row>
    <row r="5" ht="14.25" customHeight="1" outlineLevel="1">
      <c r="A5" s="858" t="s">
        <v>2999</v>
      </c>
      <c r="B5" s="195"/>
      <c r="C5" s="162"/>
      <c r="D5" s="162"/>
      <c r="E5" s="162"/>
      <c r="F5" s="162"/>
      <c r="G5" s="162"/>
      <c r="H5" s="178"/>
      <c r="I5" s="178"/>
      <c r="J5" s="178"/>
      <c r="K5" s="178"/>
      <c r="L5" s="178"/>
      <c r="M5" s="178"/>
      <c r="N5" s="178"/>
      <c r="O5" s="178"/>
      <c r="P5" s="178"/>
      <c r="Q5" s="178"/>
      <c r="R5" s="178"/>
      <c r="S5" s="178"/>
      <c r="T5" s="178"/>
      <c r="U5" s="178"/>
      <c r="V5" s="178"/>
      <c r="W5" s="178"/>
      <c r="X5" s="178"/>
      <c r="Y5" s="178"/>
      <c r="Z5" s="178"/>
      <c r="AA5" s="178"/>
      <c r="AB5" s="178"/>
      <c r="AC5" s="178"/>
      <c r="AD5" s="178"/>
      <c r="AE5" s="178"/>
      <c r="AF5" s="178"/>
      <c r="AG5" s="178"/>
      <c r="AH5" s="178"/>
      <c r="AI5" s="244"/>
      <c r="AJ5" s="244"/>
      <c r="AK5" s="244"/>
      <c r="AL5" s="244"/>
      <c r="AM5" s="244"/>
      <c r="AN5" s="100" t="b">
        <f t="shared" si="1"/>
        <v>0</v>
      </c>
      <c r="AO5" s="176"/>
    </row>
    <row r="6" ht="14.25" customHeight="1" outlineLevel="3">
      <c r="A6" s="833"/>
      <c r="B6" s="842"/>
      <c r="C6" s="842"/>
      <c r="D6" s="847"/>
      <c r="E6" s="853" t="s">
        <v>3000</v>
      </c>
      <c r="F6" s="249" t="s">
        <v>135</v>
      </c>
      <c r="G6" s="249" t="s">
        <v>3001</v>
      </c>
      <c r="H6" s="274">
        <f t="shared" ref="H6:AH6" si="2">SUM(H11:H12)</f>
        <v>0</v>
      </c>
      <c r="I6" s="274">
        <f t="shared" si="2"/>
        <v>0</v>
      </c>
      <c r="J6" s="274">
        <f t="shared" si="2"/>
        <v>0</v>
      </c>
      <c r="K6" s="274">
        <f t="shared" si="2"/>
        <v>0</v>
      </c>
      <c r="L6" s="274">
        <f t="shared" si="2"/>
        <v>0</v>
      </c>
      <c r="M6" s="274">
        <f t="shared" si="2"/>
        <v>0</v>
      </c>
      <c r="N6" s="274">
        <f t="shared" si="2"/>
        <v>0</v>
      </c>
      <c r="O6" s="274">
        <f t="shared" si="2"/>
        <v>0</v>
      </c>
      <c r="P6" s="274">
        <f t="shared" si="2"/>
        <v>0</v>
      </c>
      <c r="Q6" s="274">
        <f t="shared" si="2"/>
        <v>0</v>
      </c>
      <c r="R6" s="274">
        <f t="shared" si="2"/>
        <v>0</v>
      </c>
      <c r="S6" s="274">
        <f t="shared" si="2"/>
        <v>0</v>
      </c>
      <c r="T6" s="274">
        <f t="shared" si="2"/>
        <v>0</v>
      </c>
      <c r="U6" s="274">
        <f t="shared" si="2"/>
        <v>0</v>
      </c>
      <c r="V6" s="274">
        <f t="shared" si="2"/>
        <v>0</v>
      </c>
      <c r="W6" s="274">
        <f t="shared" si="2"/>
        <v>15.95443445</v>
      </c>
      <c r="X6" s="274">
        <f t="shared" si="2"/>
        <v>15.95357157</v>
      </c>
      <c r="Y6" s="274">
        <f t="shared" si="2"/>
        <v>15.95098985</v>
      </c>
      <c r="Z6" s="274">
        <f t="shared" si="2"/>
        <v>15.94671009</v>
      </c>
      <c r="AA6" s="274">
        <f t="shared" si="2"/>
        <v>15.94076674</v>
      </c>
      <c r="AB6" s="274">
        <f t="shared" si="2"/>
        <v>15.93320767</v>
      </c>
      <c r="AC6" s="274">
        <f t="shared" si="2"/>
        <v>15.87373153</v>
      </c>
      <c r="AD6" s="274">
        <f t="shared" si="2"/>
        <v>15.78778602</v>
      </c>
      <c r="AE6" s="274">
        <f t="shared" si="2"/>
        <v>15.69239371</v>
      </c>
      <c r="AF6" s="274">
        <f t="shared" si="2"/>
        <v>15.6064482</v>
      </c>
      <c r="AG6" s="274">
        <f t="shared" si="2"/>
        <v>15.54697206</v>
      </c>
      <c r="AH6" s="274">
        <f t="shared" si="2"/>
        <v>15.52574527</v>
      </c>
      <c r="AI6" s="493"/>
      <c r="AJ6" s="493"/>
      <c r="AK6" s="493"/>
      <c r="AL6" s="493"/>
      <c r="AM6" s="494"/>
      <c r="AN6" s="100" t="b">
        <f t="shared" si="1"/>
        <v>1</v>
      </c>
      <c r="AO6" s="176"/>
    </row>
    <row r="7" ht="14.25" customHeight="1" outlineLevel="3">
      <c r="A7" s="833"/>
      <c r="B7" s="842"/>
      <c r="C7" s="842"/>
      <c r="D7" s="847"/>
      <c r="E7" s="834" t="s">
        <v>3002</v>
      </c>
      <c r="F7" s="249" t="s">
        <v>135</v>
      </c>
      <c r="G7" s="249" t="s">
        <v>3003</v>
      </c>
      <c r="H7" s="260"/>
      <c r="I7" s="181"/>
      <c r="J7" s="181"/>
      <c r="K7" s="181"/>
      <c r="L7" s="181"/>
      <c r="M7" s="181"/>
      <c r="N7" s="181"/>
      <c r="O7" s="181"/>
      <c r="P7" s="181"/>
      <c r="Q7" s="181"/>
      <c r="R7" s="181"/>
      <c r="S7" s="181"/>
      <c r="T7" s="181"/>
      <c r="U7" s="181"/>
      <c r="V7" s="181"/>
      <c r="W7" s="859">
        <v>7.39964628731774</v>
      </c>
      <c r="X7" s="181">
        <v>7.40006600722068</v>
      </c>
      <c r="Y7" s="181">
        <v>7.40132178759164</v>
      </c>
      <c r="Z7" s="181">
        <v>7.40340351762546</v>
      </c>
      <c r="AA7" s="181">
        <v>7.40629443645594</v>
      </c>
      <c r="AB7" s="859">
        <v>7.40997126810449</v>
      </c>
      <c r="AC7" s="859">
        <v>7.43890122139233</v>
      </c>
      <c r="AD7" s="859">
        <v>7.48070621513002</v>
      </c>
      <c r="AE7" s="859">
        <v>7.5271062576032</v>
      </c>
      <c r="AF7" s="859">
        <v>7.56891125134089</v>
      </c>
      <c r="AG7" s="859">
        <v>7.59784120462873</v>
      </c>
      <c r="AH7" s="859">
        <v>7.60816618541548</v>
      </c>
      <c r="AI7" s="493"/>
      <c r="AJ7" s="493"/>
      <c r="AK7" s="493"/>
      <c r="AL7" s="493"/>
      <c r="AM7" s="494" t="s">
        <v>3004</v>
      </c>
      <c r="AN7" s="100" t="b">
        <f t="shared" si="1"/>
        <v>0</v>
      </c>
      <c r="AO7" s="176"/>
    </row>
    <row r="8" ht="14.25" customHeight="1" outlineLevel="3">
      <c r="A8" s="833"/>
      <c r="B8" s="842"/>
      <c r="C8" s="842"/>
      <c r="D8" s="847"/>
      <c r="E8" s="187" t="s">
        <v>3005</v>
      </c>
      <c r="F8" s="123" t="s">
        <v>135</v>
      </c>
      <c r="G8" s="123" t="s">
        <v>3006</v>
      </c>
      <c r="H8" s="260"/>
      <c r="I8" s="181"/>
      <c r="J8" s="181"/>
      <c r="K8" s="181"/>
      <c r="L8" s="181"/>
      <c r="M8" s="181"/>
      <c r="N8" s="181"/>
      <c r="O8" s="181"/>
      <c r="P8" s="181"/>
      <c r="Q8" s="181"/>
      <c r="R8" s="181"/>
      <c r="S8" s="181"/>
      <c r="T8" s="181"/>
      <c r="U8" s="181"/>
      <c r="V8" s="181"/>
      <c r="W8" s="859">
        <v>2.646756</v>
      </c>
      <c r="X8" s="181">
        <v>2.65700157058239</v>
      </c>
      <c r="Y8" s="181">
        <v>2.68765579101952</v>
      </c>
      <c r="Z8" s="181">
        <v>2.73847185155282</v>
      </c>
      <c r="AA8" s="181">
        <v>2.80904061114224</v>
      </c>
      <c r="AB8" s="859">
        <v>2.89879389162933</v>
      </c>
      <c r="AC8" s="859">
        <v>3.60498837103824</v>
      </c>
      <c r="AD8" s="859">
        <v>4.62546896067287</v>
      </c>
      <c r="AE8" s="859">
        <v>5.75811696438298</v>
      </c>
      <c r="AF8" s="859">
        <v>6.77859755401761</v>
      </c>
      <c r="AG8" s="859">
        <v>7.48479203342652</v>
      </c>
      <c r="AH8" s="859">
        <v>7.73682992505585</v>
      </c>
      <c r="AI8" s="493"/>
      <c r="AJ8" s="493"/>
      <c r="AK8" s="493"/>
      <c r="AL8" s="493"/>
      <c r="AM8" s="494" t="s">
        <v>3007</v>
      </c>
      <c r="AN8" s="100" t="b">
        <f t="shared" si="1"/>
        <v>0</v>
      </c>
      <c r="AO8" s="176"/>
    </row>
    <row r="9" ht="14.25" customHeight="1" outlineLevel="3">
      <c r="A9" s="833"/>
      <c r="B9" s="842"/>
      <c r="C9" s="842"/>
      <c r="D9" s="847"/>
      <c r="E9" s="860" t="s">
        <v>3008</v>
      </c>
      <c r="F9" s="123" t="s">
        <v>135</v>
      </c>
      <c r="G9" s="123" t="s">
        <v>3009</v>
      </c>
      <c r="H9" s="260"/>
      <c r="I9" s="181"/>
      <c r="J9" s="181"/>
      <c r="K9" s="181"/>
      <c r="L9" s="181"/>
      <c r="M9" s="181"/>
      <c r="N9" s="181"/>
      <c r="O9" s="181"/>
      <c r="P9" s="181"/>
      <c r="Q9" s="181"/>
      <c r="R9" s="181"/>
      <c r="S9" s="181"/>
      <c r="T9" s="181"/>
      <c r="U9" s="181"/>
      <c r="V9" s="181"/>
      <c r="W9" s="859">
        <v>5.243331</v>
      </c>
      <c r="X9" s="181">
        <v>5.24065027595684</v>
      </c>
      <c r="Y9" s="181">
        <v>5.23262968744112</v>
      </c>
      <c r="Z9" s="181">
        <v>5.21933381151553</v>
      </c>
      <c r="AA9" s="181">
        <v>5.20086969875518</v>
      </c>
      <c r="AB9" s="859">
        <v>5.17738601133929</v>
      </c>
      <c r="AC9" s="859">
        <v>4.99261225912361</v>
      </c>
      <c r="AD9" s="859">
        <v>4.72560645108065</v>
      </c>
      <c r="AE9" s="859">
        <v>4.42925236210464</v>
      </c>
      <c r="AF9" s="859">
        <v>4.16224655406168</v>
      </c>
      <c r="AG9" s="859">
        <v>3.977472801846</v>
      </c>
      <c r="AH9" s="859">
        <v>3.91152781318529</v>
      </c>
      <c r="AI9" s="493"/>
      <c r="AJ9" s="493"/>
      <c r="AK9" s="493"/>
      <c r="AL9" s="493"/>
      <c r="AM9" s="494"/>
      <c r="AN9" s="100" t="b">
        <f t="shared" si="1"/>
        <v>0</v>
      </c>
      <c r="AO9" s="176"/>
    </row>
    <row r="10" ht="14.25" customHeight="1" outlineLevel="1">
      <c r="A10" s="833" t="s">
        <v>3010</v>
      </c>
      <c r="B10" s="195"/>
      <c r="C10" s="100"/>
      <c r="D10" s="100"/>
      <c r="E10" s="162"/>
      <c r="F10" s="162"/>
      <c r="G10" s="162"/>
      <c r="H10" s="178"/>
      <c r="I10" s="178"/>
      <c r="J10" s="178"/>
      <c r="K10" s="178"/>
      <c r="L10" s="178"/>
      <c r="M10" s="178"/>
      <c r="N10" s="178"/>
      <c r="O10" s="178"/>
      <c r="P10" s="178"/>
      <c r="Q10" s="178"/>
      <c r="R10" s="178"/>
      <c r="S10" s="178"/>
      <c r="T10" s="178"/>
      <c r="U10" s="178"/>
      <c r="V10" s="178"/>
      <c r="W10" s="836"/>
      <c r="X10" s="178"/>
      <c r="Y10" s="178"/>
      <c r="Z10" s="178"/>
      <c r="AA10" s="178"/>
      <c r="AB10" s="836"/>
      <c r="AC10" s="836"/>
      <c r="AD10" s="836"/>
      <c r="AE10" s="836"/>
      <c r="AF10" s="836"/>
      <c r="AG10" s="836"/>
      <c r="AH10" s="836"/>
      <c r="AI10" s="244"/>
      <c r="AJ10" s="244"/>
      <c r="AK10" s="244"/>
      <c r="AL10" s="244"/>
      <c r="AM10" s="244"/>
      <c r="AN10" s="100" t="b">
        <f t="shared" si="1"/>
        <v>0</v>
      </c>
      <c r="AO10" s="176"/>
    </row>
    <row r="11" ht="14.25" customHeight="1" outlineLevel="3">
      <c r="A11" s="833"/>
      <c r="B11" s="842"/>
      <c r="C11" s="842"/>
      <c r="D11" s="847"/>
      <c r="E11" s="834" t="s">
        <v>3011</v>
      </c>
      <c r="F11" s="249" t="s">
        <v>135</v>
      </c>
      <c r="G11" s="249" t="s">
        <v>3012</v>
      </c>
      <c r="H11" s="260"/>
      <c r="I11" s="181"/>
      <c r="J11" s="181"/>
      <c r="K11" s="181"/>
      <c r="L11" s="181"/>
      <c r="M11" s="181"/>
      <c r="N11" s="181"/>
      <c r="O11" s="181"/>
      <c r="P11" s="181"/>
      <c r="Q11" s="181"/>
      <c r="R11" s="181"/>
      <c r="S11" s="181"/>
      <c r="T11" s="181"/>
      <c r="U11" s="181"/>
      <c r="V11" s="181"/>
      <c r="W11" s="859">
        <v>5.1363036677857</v>
      </c>
      <c r="X11" s="181">
        <v>5.13699909429641</v>
      </c>
      <c r="Y11" s="181">
        <v>5.1390797746632</v>
      </c>
      <c r="Z11" s="181">
        <v>5.14252895647115</v>
      </c>
      <c r="AA11" s="181">
        <v>5.14731886893645</v>
      </c>
      <c r="AB11" s="859">
        <v>5.15341094650034</v>
      </c>
      <c r="AC11" s="859">
        <v>5.20134447628782</v>
      </c>
      <c r="AD11" s="859">
        <v>5.27061043370756</v>
      </c>
      <c r="AE11" s="859">
        <v>5.34748984640137</v>
      </c>
      <c r="AF11" s="859">
        <v>5.41675580382111</v>
      </c>
      <c r="AG11" s="859">
        <v>5.46468933360859</v>
      </c>
      <c r="AH11" s="859">
        <v>5.48179661232323</v>
      </c>
      <c r="AI11" s="493"/>
      <c r="AJ11" s="493"/>
      <c r="AK11" s="493"/>
      <c r="AL11" s="493"/>
      <c r="AM11" s="494"/>
      <c r="AN11" s="100" t="b">
        <f t="shared" si="1"/>
        <v>0</v>
      </c>
      <c r="AO11" s="176"/>
    </row>
    <row r="12" ht="14.25" customHeight="1" outlineLevel="3">
      <c r="A12" s="833"/>
      <c r="B12" s="842"/>
      <c r="C12" s="842"/>
      <c r="D12" s="847"/>
      <c r="E12" s="187" t="s">
        <v>3013</v>
      </c>
      <c r="F12" s="123" t="s">
        <v>135</v>
      </c>
      <c r="G12" s="123" t="s">
        <v>3014</v>
      </c>
      <c r="H12" s="260"/>
      <c r="I12" s="181"/>
      <c r="J12" s="181"/>
      <c r="K12" s="181"/>
      <c r="L12" s="181"/>
      <c r="M12" s="181"/>
      <c r="N12" s="181"/>
      <c r="O12" s="181"/>
      <c r="P12" s="181"/>
      <c r="Q12" s="181"/>
      <c r="R12" s="181"/>
      <c r="S12" s="181"/>
      <c r="T12" s="181"/>
      <c r="U12" s="181"/>
      <c r="V12" s="181"/>
      <c r="W12" s="859">
        <v>10.8181307856365</v>
      </c>
      <c r="X12" s="181">
        <v>10.8165724708228</v>
      </c>
      <c r="Y12" s="181">
        <v>10.8119100730163</v>
      </c>
      <c r="Z12" s="181">
        <v>10.8041811311026</v>
      </c>
      <c r="AA12" s="181">
        <v>10.7934478739775</v>
      </c>
      <c r="AB12" s="859">
        <v>10.7797967195163</v>
      </c>
      <c r="AC12" s="859">
        <v>10.6723870530872</v>
      </c>
      <c r="AD12" s="859">
        <v>10.5171755880787</v>
      </c>
      <c r="AE12" s="859">
        <v>10.3449038586793</v>
      </c>
      <c r="AF12" s="859">
        <v>10.1896923936707</v>
      </c>
      <c r="AG12" s="859">
        <v>10.0822827272417</v>
      </c>
      <c r="AH12" s="859">
        <v>10.0439486611214</v>
      </c>
      <c r="AI12" s="493"/>
      <c r="AJ12" s="493"/>
      <c r="AK12" s="493"/>
      <c r="AL12" s="493"/>
      <c r="AM12" s="494"/>
      <c r="AN12" s="100" t="b">
        <f t="shared" si="1"/>
        <v>0</v>
      </c>
      <c r="AO12" s="176"/>
    </row>
    <row r="13" ht="14.25" customHeight="1" outlineLevel="1">
      <c r="A13" s="833" t="s">
        <v>3015</v>
      </c>
      <c r="B13" s="195"/>
      <c r="C13" s="100"/>
      <c r="D13" s="100"/>
      <c r="E13" s="162"/>
      <c r="F13" s="162"/>
      <c r="G13" s="162"/>
      <c r="H13" s="178"/>
      <c r="I13" s="178"/>
      <c r="J13" s="178"/>
      <c r="K13" s="178"/>
      <c r="L13" s="178"/>
      <c r="M13" s="178"/>
      <c r="N13" s="178"/>
      <c r="O13" s="178"/>
      <c r="P13" s="178"/>
      <c r="Q13" s="178"/>
      <c r="R13" s="178"/>
      <c r="S13" s="178"/>
      <c r="T13" s="178"/>
      <c r="U13" s="178"/>
      <c r="V13" s="178"/>
      <c r="W13" s="836"/>
      <c r="X13" s="178"/>
      <c r="Y13" s="178"/>
      <c r="Z13" s="178"/>
      <c r="AA13" s="178"/>
      <c r="AB13" s="836"/>
      <c r="AC13" s="836"/>
      <c r="AD13" s="836"/>
      <c r="AE13" s="836"/>
      <c r="AF13" s="836"/>
      <c r="AG13" s="836"/>
      <c r="AH13" s="836"/>
      <c r="AI13" s="244"/>
      <c r="AJ13" s="244"/>
      <c r="AK13" s="244"/>
      <c r="AL13" s="244"/>
      <c r="AM13" s="244"/>
      <c r="AN13" s="100" t="b">
        <f t="shared" si="1"/>
        <v>0</v>
      </c>
      <c r="AO13" s="176"/>
    </row>
    <row r="14" ht="14.25" customHeight="1" outlineLevel="3">
      <c r="A14" s="833"/>
      <c r="B14" s="842"/>
      <c r="C14" s="842"/>
      <c r="D14" s="847"/>
      <c r="E14" s="834" t="s">
        <v>3016</v>
      </c>
      <c r="F14" s="249" t="s">
        <v>135</v>
      </c>
      <c r="G14" s="249" t="s">
        <v>3017</v>
      </c>
      <c r="H14" s="260"/>
      <c r="I14" s="181"/>
      <c r="J14" s="181"/>
      <c r="K14" s="181"/>
      <c r="L14" s="181"/>
      <c r="M14" s="181"/>
      <c r="N14" s="181"/>
      <c r="O14" s="181"/>
      <c r="P14" s="181"/>
      <c r="Q14" s="181"/>
      <c r="R14" s="181"/>
      <c r="S14" s="181"/>
      <c r="T14" s="181"/>
      <c r="U14" s="181"/>
      <c r="V14" s="181"/>
      <c r="W14" s="859">
        <v>0.0</v>
      </c>
      <c r="X14" s="181">
        <v>0.00106084143504118</v>
      </c>
      <c r="Y14" s="181">
        <v>0.00423482446869448</v>
      </c>
      <c r="Z14" s="181">
        <v>0.00949639405584471</v>
      </c>
      <c r="AA14" s="181">
        <v>0.0168031871319289</v>
      </c>
      <c r="AB14" s="859">
        <v>0.0260963736954233</v>
      </c>
      <c r="AC14" s="859">
        <v>0.0992167879202945</v>
      </c>
      <c r="AD14" s="859">
        <v>0.204878847874348</v>
      </c>
      <c r="AE14" s="859">
        <v>0.322154886723558</v>
      </c>
      <c r="AF14" s="859">
        <v>0.427816946677611</v>
      </c>
      <c r="AG14" s="859">
        <v>0.500937360902482</v>
      </c>
      <c r="AH14" s="859">
        <v>0.527033734597905</v>
      </c>
      <c r="AI14" s="493"/>
      <c r="AJ14" s="493"/>
      <c r="AK14" s="493"/>
      <c r="AL14" s="493"/>
      <c r="AM14" s="494"/>
      <c r="AN14" s="100" t="b">
        <f t="shared" si="1"/>
        <v>0</v>
      </c>
      <c r="AO14" s="176"/>
    </row>
    <row r="15" ht="14.25" customHeight="1" outlineLevel="3">
      <c r="A15" s="833"/>
      <c r="B15" s="842"/>
      <c r="C15" s="842"/>
      <c r="D15" s="847"/>
      <c r="E15" s="834" t="s">
        <v>3018</v>
      </c>
      <c r="F15" s="249" t="s">
        <v>135</v>
      </c>
      <c r="G15" s="249" t="s">
        <v>3019</v>
      </c>
      <c r="H15" s="260"/>
      <c r="I15" s="181"/>
      <c r="J15" s="181"/>
      <c r="K15" s="181"/>
      <c r="L15" s="181"/>
      <c r="M15" s="181"/>
      <c r="N15" s="181"/>
      <c r="O15" s="181"/>
      <c r="P15" s="181"/>
      <c r="Q15" s="181"/>
      <c r="R15" s="181"/>
      <c r="S15" s="181"/>
      <c r="T15" s="181"/>
      <c r="U15" s="181"/>
      <c r="V15" s="181"/>
      <c r="W15" s="859">
        <v>0.0</v>
      </c>
      <c r="X15" s="181">
        <v>0.00433170263742266</v>
      </c>
      <c r="Y15" s="181">
        <v>0.0172919342270542</v>
      </c>
      <c r="Z15" s="181">
        <v>0.0387763466046275</v>
      </c>
      <c r="AA15" s="181">
        <v>0.0686119599143083</v>
      </c>
      <c r="AB15" s="859">
        <v>0.106558555340784</v>
      </c>
      <c r="AC15" s="859">
        <v>0.405128992622973</v>
      </c>
      <c r="AD15" s="859">
        <v>0.836575775016719</v>
      </c>
      <c r="AE15" s="859">
        <v>1.3154455759214</v>
      </c>
      <c r="AF15" s="859">
        <v>1.74689235831514</v>
      </c>
      <c r="AG15" s="859">
        <v>2.04546279559733</v>
      </c>
      <c r="AH15" s="859">
        <v>2.15202135093812</v>
      </c>
      <c r="AI15" s="493"/>
      <c r="AJ15" s="493"/>
      <c r="AK15" s="493"/>
      <c r="AL15" s="493"/>
      <c r="AM15" s="494"/>
      <c r="AN15" s="100" t="b">
        <f t="shared" si="1"/>
        <v>0</v>
      </c>
      <c r="AO15" s="176"/>
    </row>
    <row r="16" ht="14.25" customHeight="1" outlineLevel="3">
      <c r="A16" s="833"/>
      <c r="B16" s="842"/>
      <c r="C16" s="842"/>
      <c r="D16" s="847"/>
      <c r="E16" s="834" t="s">
        <v>3020</v>
      </c>
      <c r="F16" s="249" t="s">
        <v>135</v>
      </c>
      <c r="G16" s="249" t="s">
        <v>3021</v>
      </c>
      <c r="H16" s="260"/>
      <c r="I16" s="181"/>
      <c r="J16" s="181"/>
      <c r="K16" s="181"/>
      <c r="L16" s="181"/>
      <c r="M16" s="181"/>
      <c r="N16" s="181"/>
      <c r="O16" s="181"/>
      <c r="P16" s="181"/>
      <c r="Q16" s="181"/>
      <c r="R16" s="181"/>
      <c r="S16" s="181"/>
      <c r="T16" s="181"/>
      <c r="U16" s="181"/>
      <c r="V16" s="181"/>
      <c r="W16" s="859">
        <v>0.0</v>
      </c>
      <c r="X16" s="181">
        <v>0.00373363363143499</v>
      </c>
      <c r="Y16" s="181">
        <v>0.0149044735030808</v>
      </c>
      <c r="Z16" s="181">
        <v>0.0334225785806384</v>
      </c>
      <c r="AA16" s="181">
        <v>0.0591388519704925</v>
      </c>
      <c r="AB16" s="859">
        <v>0.0918462413602322</v>
      </c>
      <c r="AC16" s="859">
        <v>0.349193690919306</v>
      </c>
      <c r="AD16" s="859">
        <v>0.721071530132701</v>
      </c>
      <c r="AE16" s="859">
        <v>1.13382479216181</v>
      </c>
      <c r="AF16" s="859">
        <v>1.5057026313752</v>
      </c>
      <c r="AG16" s="859">
        <v>1.76305008093428</v>
      </c>
      <c r="AH16" s="859">
        <v>1.85489632229451</v>
      </c>
      <c r="AI16" s="493"/>
      <c r="AJ16" s="493"/>
      <c r="AK16" s="493"/>
      <c r="AL16" s="493"/>
      <c r="AM16" s="494"/>
      <c r="AN16" s="100" t="b">
        <f t="shared" si="1"/>
        <v>0</v>
      </c>
      <c r="AO16" s="176"/>
    </row>
    <row r="17" ht="14.25" customHeight="1" outlineLevel="3">
      <c r="A17" s="833"/>
      <c r="B17" s="842"/>
      <c r="C17" s="842"/>
      <c r="D17" s="847"/>
      <c r="E17" s="834" t="s">
        <v>3022</v>
      </c>
      <c r="F17" s="249" t="s">
        <v>135</v>
      </c>
      <c r="G17" s="249" t="s">
        <v>3023</v>
      </c>
      <c r="H17" s="260"/>
      <c r="I17" s="181"/>
      <c r="J17" s="181"/>
      <c r="K17" s="181"/>
      <c r="L17" s="181"/>
      <c r="M17" s="181"/>
      <c r="N17" s="181"/>
      <c r="O17" s="181"/>
      <c r="P17" s="181"/>
      <c r="Q17" s="181"/>
      <c r="R17" s="181"/>
      <c r="S17" s="181"/>
      <c r="T17" s="181"/>
      <c r="U17" s="181"/>
      <c r="V17" s="181"/>
      <c r="W17" s="859">
        <v>0.0</v>
      </c>
      <c r="X17" s="181">
        <v>0.00550134037720909</v>
      </c>
      <c r="Y17" s="181">
        <v>0.021961067950855</v>
      </c>
      <c r="Z17" s="181">
        <v>0.0492466586726779</v>
      </c>
      <c r="AA17" s="181">
        <v>0.0871384250098528</v>
      </c>
      <c r="AB17" s="859">
        <v>0.135331284739831</v>
      </c>
      <c r="AC17" s="859">
        <v>0.514521118287312</v>
      </c>
      <c r="AD17" s="859">
        <v>1.06246630365024</v>
      </c>
      <c r="AE17" s="859">
        <v>1.67063957676081</v>
      </c>
      <c r="AF17" s="859">
        <v>2.21858476212374</v>
      </c>
      <c r="AG17" s="859">
        <v>2.59777459567122</v>
      </c>
      <c r="AH17" s="859">
        <v>2.73310588041105</v>
      </c>
      <c r="AI17" s="493"/>
      <c r="AJ17" s="493"/>
      <c r="AK17" s="493"/>
      <c r="AL17" s="493"/>
      <c r="AM17" s="494"/>
      <c r="AN17" s="100" t="b">
        <f t="shared" si="1"/>
        <v>0</v>
      </c>
      <c r="AO17" s="176"/>
    </row>
    <row r="18" ht="14.25" customHeight="1" outlineLevel="3">
      <c r="A18" s="833"/>
      <c r="B18" s="842"/>
      <c r="C18" s="842"/>
      <c r="D18" s="847"/>
      <c r="E18" s="834" t="s">
        <v>3024</v>
      </c>
      <c r="F18" s="249" t="s">
        <v>135</v>
      </c>
      <c r="G18" s="249" t="s">
        <v>3025</v>
      </c>
      <c r="H18" s="260"/>
      <c r="I18" s="181"/>
      <c r="J18" s="181"/>
      <c r="K18" s="181"/>
      <c r="L18" s="181"/>
      <c r="M18" s="181"/>
      <c r="N18" s="181"/>
      <c r="O18" s="181"/>
      <c r="P18" s="181"/>
      <c r="Q18" s="181"/>
      <c r="R18" s="181"/>
      <c r="S18" s="181"/>
      <c r="T18" s="181"/>
      <c r="U18" s="181"/>
      <c r="V18" s="181"/>
      <c r="W18" s="859">
        <v>0.0</v>
      </c>
      <c r="X18" s="181">
        <v>9.45583262447783E-4</v>
      </c>
      <c r="Y18" s="181">
        <v>0.00377471976935589</v>
      </c>
      <c r="Z18" s="181">
        <v>0.00846463097707602</v>
      </c>
      <c r="AA18" s="181">
        <v>0.0149775564781867</v>
      </c>
      <c r="AB18" s="859">
        <v>0.0232610580260912</v>
      </c>
      <c r="AC18" s="859">
        <v>0.0884370942841422</v>
      </c>
      <c r="AD18" s="859">
        <v>0.182619195461617</v>
      </c>
      <c r="AE18" s="859">
        <v>0.287153441352648</v>
      </c>
      <c r="AF18" s="859">
        <v>0.381335542530124</v>
      </c>
      <c r="AG18" s="859">
        <v>0.446511578788175</v>
      </c>
      <c r="AH18" s="859">
        <v>0.469772636814266</v>
      </c>
      <c r="AI18" s="493"/>
      <c r="AJ18" s="493"/>
      <c r="AK18" s="493"/>
      <c r="AL18" s="493"/>
      <c r="AM18" s="494"/>
      <c r="AN18" s="100" t="b">
        <f t="shared" si="1"/>
        <v>0</v>
      </c>
      <c r="AO18" s="176"/>
    </row>
    <row r="19" ht="14.25" customHeight="1" outlineLevel="3">
      <c r="A19" s="833"/>
      <c r="B19" s="842"/>
      <c r="C19" s="842"/>
      <c r="D19" s="847"/>
      <c r="E19" s="187" t="s">
        <v>3026</v>
      </c>
      <c r="F19" s="123" t="s">
        <v>135</v>
      </c>
      <c r="G19" s="123" t="s">
        <v>3027</v>
      </c>
      <c r="H19" s="260"/>
      <c r="I19" s="181"/>
      <c r="J19" s="181"/>
      <c r="K19" s="181"/>
      <c r="L19" s="181"/>
      <c r="M19" s="181"/>
      <c r="N19" s="181"/>
      <c r="O19" s="181"/>
      <c r="P19" s="181"/>
      <c r="Q19" s="181"/>
      <c r="R19" s="181"/>
      <c r="S19" s="181"/>
      <c r="T19" s="181"/>
      <c r="U19" s="181"/>
      <c r="V19" s="181"/>
      <c r="W19" s="859">
        <v>2.646756</v>
      </c>
      <c r="X19" s="181">
        <v>2.64142846923883</v>
      </c>
      <c r="Y19" s="181">
        <v>2.62548877110048</v>
      </c>
      <c r="Z19" s="181">
        <v>2.59906524266196</v>
      </c>
      <c r="AA19" s="181">
        <v>2.56237063063747</v>
      </c>
      <c r="AB19" s="859">
        <v>2.51570037846697</v>
      </c>
      <c r="AC19" s="859">
        <v>2.14849068700421</v>
      </c>
      <c r="AD19" s="859">
        <v>1.61785730853724</v>
      </c>
      <c r="AE19" s="859">
        <v>1.02889869146276</v>
      </c>
      <c r="AF19" s="859">
        <v>0.498265312995793</v>
      </c>
      <c r="AG19" s="859">
        <v>0.131055621533033</v>
      </c>
      <c r="AH19" s="859">
        <v>0.0</v>
      </c>
      <c r="AI19" s="493"/>
      <c r="AJ19" s="493"/>
      <c r="AK19" s="493"/>
      <c r="AL19" s="493"/>
      <c r="AM19" s="494"/>
      <c r="AN19" s="100" t="b">
        <f t="shared" si="1"/>
        <v>0</v>
      </c>
      <c r="AO19" s="176"/>
    </row>
    <row r="20" ht="9.75" customHeight="1">
      <c r="A20" s="166"/>
      <c r="B20" s="167"/>
      <c r="C20" s="167"/>
      <c r="D20" s="167"/>
      <c r="E20" s="167"/>
      <c r="F20" s="168"/>
      <c r="G20" s="168"/>
      <c r="H20" s="169"/>
      <c r="I20" s="169"/>
      <c r="J20" s="169"/>
      <c r="K20" s="169"/>
      <c r="L20" s="169"/>
      <c r="M20" s="169"/>
      <c r="N20" s="169"/>
      <c r="O20" s="169"/>
      <c r="P20" s="169"/>
      <c r="Q20" s="169"/>
      <c r="R20" s="169"/>
      <c r="S20" s="169"/>
      <c r="T20" s="169"/>
      <c r="U20" s="169"/>
      <c r="V20" s="169"/>
      <c r="W20" s="837"/>
      <c r="X20" s="169"/>
      <c r="Y20" s="169"/>
      <c r="Z20" s="169"/>
      <c r="AA20" s="169"/>
      <c r="AB20" s="169"/>
      <c r="AC20" s="169"/>
      <c r="AD20" s="169"/>
      <c r="AE20" s="169"/>
      <c r="AF20" s="169"/>
      <c r="AG20" s="169"/>
      <c r="AH20" s="169"/>
      <c r="AI20" s="448"/>
      <c r="AJ20" s="448"/>
      <c r="AK20" s="448"/>
      <c r="AL20" s="448"/>
      <c r="AM20" s="448"/>
      <c r="AN20" s="100" t="b">
        <f t="shared" si="1"/>
        <v>0</v>
      </c>
      <c r="AO20" s="102"/>
    </row>
    <row r="21" ht="14.25" customHeight="1">
      <c r="A21" s="829" t="s">
        <v>222</v>
      </c>
      <c r="B21" s="838"/>
      <c r="C21" s="838"/>
      <c r="D21" s="838"/>
      <c r="E21" s="838"/>
      <c r="F21" s="838"/>
      <c r="G21" s="838"/>
      <c r="H21" s="839"/>
      <c r="I21" s="839"/>
      <c r="J21" s="839"/>
      <c r="K21" s="839"/>
      <c r="L21" s="839"/>
      <c r="M21" s="839"/>
      <c r="N21" s="839"/>
      <c r="O21" s="839"/>
      <c r="P21" s="839"/>
      <c r="Q21" s="839"/>
      <c r="R21" s="839"/>
      <c r="S21" s="839"/>
      <c r="T21" s="839"/>
      <c r="U21" s="839"/>
      <c r="V21" s="839"/>
      <c r="W21" s="840"/>
      <c r="X21" s="839"/>
      <c r="Y21" s="839"/>
      <c r="Z21" s="839"/>
      <c r="AA21" s="839"/>
      <c r="AB21" s="839"/>
      <c r="AC21" s="839"/>
      <c r="AD21" s="839"/>
      <c r="AE21" s="839"/>
      <c r="AF21" s="839"/>
      <c r="AG21" s="839"/>
      <c r="AH21" s="839"/>
      <c r="AI21" s="832"/>
      <c r="AJ21" s="832"/>
      <c r="AK21" s="832"/>
      <c r="AL21" s="832"/>
      <c r="AM21" s="832"/>
      <c r="AN21" s="100" t="b">
        <f t="shared" si="1"/>
        <v>0</v>
      </c>
      <c r="AO21" s="102"/>
    </row>
    <row r="22" ht="14.25" customHeight="1" outlineLevel="1">
      <c r="A22" s="833" t="s">
        <v>2885</v>
      </c>
      <c r="B22" s="100"/>
      <c r="C22" s="100"/>
      <c r="D22" s="195"/>
      <c r="E22" s="162"/>
      <c r="F22" s="162"/>
      <c r="G22" s="162"/>
      <c r="H22" s="178"/>
      <c r="I22" s="178"/>
      <c r="J22" s="178"/>
      <c r="K22" s="178"/>
      <c r="L22" s="178"/>
      <c r="M22" s="178"/>
      <c r="N22" s="178"/>
      <c r="O22" s="178"/>
      <c r="P22" s="178"/>
      <c r="Q22" s="178"/>
      <c r="R22" s="178"/>
      <c r="S22" s="178"/>
      <c r="T22" s="178"/>
      <c r="U22" s="178"/>
      <c r="V22" s="178"/>
      <c r="W22" s="836"/>
      <c r="X22" s="178"/>
      <c r="Y22" s="178"/>
      <c r="Z22" s="178"/>
      <c r="AA22" s="178"/>
      <c r="AB22" s="836"/>
      <c r="AC22" s="836"/>
      <c r="AD22" s="836"/>
      <c r="AE22" s="836"/>
      <c r="AF22" s="836"/>
      <c r="AG22" s="836"/>
      <c r="AH22" s="836"/>
      <c r="AI22" s="244"/>
      <c r="AJ22" s="244"/>
      <c r="AK22" s="244"/>
      <c r="AL22" s="244"/>
      <c r="AM22" s="244"/>
      <c r="AN22" s="100" t="b">
        <f t="shared" si="1"/>
        <v>0</v>
      </c>
      <c r="AO22" s="176"/>
    </row>
    <row r="23" ht="14.25" customHeight="1" outlineLevel="1">
      <c r="A23" s="99"/>
      <c r="B23" s="100"/>
      <c r="C23" s="852"/>
      <c r="D23" s="100"/>
      <c r="E23" s="853" t="s">
        <v>3028</v>
      </c>
      <c r="F23" s="249" t="s">
        <v>135</v>
      </c>
      <c r="G23" s="249" t="s">
        <v>3029</v>
      </c>
      <c r="H23" s="274">
        <f t="shared" ref="H23:AH23" si="3">SUM(H24:H28)</f>
        <v>0</v>
      </c>
      <c r="I23" s="274">
        <f t="shared" si="3"/>
        <v>0</v>
      </c>
      <c r="J23" s="274">
        <f t="shared" si="3"/>
        <v>0</v>
      </c>
      <c r="K23" s="274">
        <f t="shared" si="3"/>
        <v>0</v>
      </c>
      <c r="L23" s="274">
        <f t="shared" si="3"/>
        <v>0</v>
      </c>
      <c r="M23" s="274">
        <f t="shared" si="3"/>
        <v>0</v>
      </c>
      <c r="N23" s="274">
        <f t="shared" si="3"/>
        <v>0</v>
      </c>
      <c r="O23" s="274">
        <f t="shared" si="3"/>
        <v>0</v>
      </c>
      <c r="P23" s="274">
        <f t="shared" si="3"/>
        <v>0</v>
      </c>
      <c r="Q23" s="274">
        <f t="shared" si="3"/>
        <v>0</v>
      </c>
      <c r="R23" s="274">
        <f t="shared" si="3"/>
        <v>0</v>
      </c>
      <c r="S23" s="274">
        <f t="shared" si="3"/>
        <v>0</v>
      </c>
      <c r="T23" s="274">
        <f t="shared" si="3"/>
        <v>0</v>
      </c>
      <c r="U23" s="274">
        <f t="shared" si="3"/>
        <v>0</v>
      </c>
      <c r="V23" s="274">
        <f t="shared" si="3"/>
        <v>0</v>
      </c>
      <c r="W23" s="274">
        <f t="shared" si="3"/>
        <v>8.307873</v>
      </c>
      <c r="X23" s="274">
        <f t="shared" si="3"/>
        <v>0</v>
      </c>
      <c r="Y23" s="274">
        <f t="shared" si="3"/>
        <v>0</v>
      </c>
      <c r="Z23" s="274">
        <f t="shared" si="3"/>
        <v>0</v>
      </c>
      <c r="AA23" s="274">
        <f t="shared" si="3"/>
        <v>0</v>
      </c>
      <c r="AB23" s="274">
        <f t="shared" si="3"/>
        <v>8.113328151</v>
      </c>
      <c r="AC23" s="274">
        <f t="shared" si="3"/>
        <v>7.441136309</v>
      </c>
      <c r="AD23" s="274">
        <f t="shared" si="3"/>
        <v>6.768944467</v>
      </c>
      <c r="AE23" s="274">
        <f t="shared" si="3"/>
        <v>6.096752625</v>
      </c>
      <c r="AF23" s="274">
        <f t="shared" si="3"/>
        <v>5.424560783</v>
      </c>
      <c r="AG23" s="274">
        <f t="shared" si="3"/>
        <v>4.752368942</v>
      </c>
      <c r="AH23" s="274">
        <f t="shared" si="3"/>
        <v>4.0801771</v>
      </c>
      <c r="AI23" s="275"/>
      <c r="AJ23" s="275"/>
      <c r="AK23" s="275"/>
      <c r="AL23" s="275"/>
      <c r="AM23" s="205"/>
      <c r="AN23" s="100" t="b">
        <f t="shared" si="1"/>
        <v>1</v>
      </c>
      <c r="AO23" s="102"/>
    </row>
    <row r="24" ht="14.25" customHeight="1" outlineLevel="1">
      <c r="A24" s="269"/>
      <c r="B24" s="100"/>
      <c r="C24" s="852"/>
      <c r="D24" s="100"/>
      <c r="E24" s="853" t="s">
        <v>2889</v>
      </c>
      <c r="F24" s="249" t="s">
        <v>135</v>
      </c>
      <c r="G24" s="249" t="s">
        <v>3030</v>
      </c>
      <c r="H24" s="260"/>
      <c r="I24" s="181"/>
      <c r="J24" s="181"/>
      <c r="K24" s="181"/>
      <c r="L24" s="181"/>
      <c r="M24" s="181"/>
      <c r="N24" s="181"/>
      <c r="O24" s="181"/>
      <c r="P24" s="181"/>
      <c r="Q24" s="181"/>
      <c r="R24" s="181"/>
      <c r="S24" s="181"/>
      <c r="T24" s="181"/>
      <c r="U24" s="181"/>
      <c r="V24" s="181"/>
      <c r="W24" s="859">
        <v>0.102696</v>
      </c>
      <c r="X24" s="181"/>
      <c r="Y24" s="181"/>
      <c r="Z24" s="181"/>
      <c r="AA24" s="181"/>
      <c r="AB24" s="859">
        <v>0.095184061903902</v>
      </c>
      <c r="AC24" s="859">
        <v>0.079320051586585</v>
      </c>
      <c r="AD24" s="859">
        <v>0.063456041269268</v>
      </c>
      <c r="AE24" s="859">
        <v>0.047592030951951</v>
      </c>
      <c r="AF24" s="859">
        <v>0.031728020634634</v>
      </c>
      <c r="AG24" s="859">
        <v>0.015864010317317</v>
      </c>
      <c r="AH24" s="859">
        <v>0.0</v>
      </c>
      <c r="AI24" s="204"/>
      <c r="AJ24" s="275"/>
      <c r="AK24" s="275"/>
      <c r="AL24" s="275"/>
      <c r="AM24" s="205"/>
      <c r="AN24" s="100" t="b">
        <f t="shared" si="1"/>
        <v>0</v>
      </c>
      <c r="AO24" s="102"/>
    </row>
    <row r="25" ht="14.25" customHeight="1" outlineLevel="1">
      <c r="A25" s="269"/>
      <c r="B25" s="100"/>
      <c r="C25" s="852"/>
      <c r="D25" s="100"/>
      <c r="E25" s="853" t="s">
        <v>2892</v>
      </c>
      <c r="F25" s="249" t="s">
        <v>135</v>
      </c>
      <c r="G25" s="249" t="s">
        <v>3031</v>
      </c>
      <c r="H25" s="260"/>
      <c r="I25" s="181"/>
      <c r="J25" s="181"/>
      <c r="K25" s="181"/>
      <c r="L25" s="181"/>
      <c r="M25" s="181"/>
      <c r="N25" s="181"/>
      <c r="O25" s="181"/>
      <c r="P25" s="181"/>
      <c r="Q25" s="181"/>
      <c r="R25" s="181"/>
      <c r="S25" s="181"/>
      <c r="T25" s="181"/>
      <c r="U25" s="181"/>
      <c r="V25" s="181"/>
      <c r="W25" s="859">
        <v>0.596337</v>
      </c>
      <c r="X25" s="181"/>
      <c r="Y25" s="181"/>
      <c r="Z25" s="181"/>
      <c r="AA25" s="181"/>
      <c r="AB25" s="859">
        <v>0.573739459393544</v>
      </c>
      <c r="AC25" s="859">
        <v>0.50979571198351</v>
      </c>
      <c r="AD25" s="859">
        <v>0.445851964573475</v>
      </c>
      <c r="AE25" s="859">
        <v>0.381908217163441</v>
      </c>
      <c r="AF25" s="859">
        <v>0.317964469753406</v>
      </c>
      <c r="AG25" s="859">
        <v>0.254020722343371</v>
      </c>
      <c r="AH25" s="859">
        <v>0.190076974933337</v>
      </c>
      <c r="AI25" s="204"/>
      <c r="AJ25" s="275"/>
      <c r="AK25" s="275"/>
      <c r="AL25" s="275"/>
      <c r="AM25" s="205" t="s">
        <v>3032</v>
      </c>
      <c r="AN25" s="100" t="b">
        <f t="shared" si="1"/>
        <v>0</v>
      </c>
      <c r="AO25" s="102"/>
    </row>
    <row r="26" ht="14.25" customHeight="1" outlineLevel="1">
      <c r="A26" s="269"/>
      <c r="B26" s="100"/>
      <c r="C26" s="100"/>
      <c r="D26" s="852"/>
      <c r="E26" s="853" t="s">
        <v>2894</v>
      </c>
      <c r="F26" s="249" t="s">
        <v>135</v>
      </c>
      <c r="G26" s="249" t="s">
        <v>3033</v>
      </c>
      <c r="H26" s="260"/>
      <c r="I26" s="181"/>
      <c r="J26" s="181"/>
      <c r="K26" s="181"/>
      <c r="L26" s="181"/>
      <c r="M26" s="181"/>
      <c r="N26" s="181"/>
      <c r="O26" s="181"/>
      <c r="P26" s="181"/>
      <c r="Q26" s="181"/>
      <c r="R26" s="181"/>
      <c r="S26" s="181"/>
      <c r="T26" s="181"/>
      <c r="U26" s="181"/>
      <c r="V26" s="181"/>
      <c r="W26" s="859">
        <v>3.511503</v>
      </c>
      <c r="X26" s="181"/>
      <c r="Y26" s="181"/>
      <c r="Z26" s="181"/>
      <c r="AA26" s="181"/>
      <c r="AB26" s="859">
        <v>3.43604871060471</v>
      </c>
      <c r="AC26" s="859">
        <v>2.86337392550392</v>
      </c>
      <c r="AD26" s="859">
        <v>2.29069914040314</v>
      </c>
      <c r="AE26" s="859">
        <v>1.71802435530235</v>
      </c>
      <c r="AF26" s="859">
        <v>1.14534957020157</v>
      </c>
      <c r="AG26" s="859">
        <v>0.572674785100785</v>
      </c>
      <c r="AH26" s="859">
        <v>0.0</v>
      </c>
      <c r="AI26" s="204"/>
      <c r="AJ26" s="275"/>
      <c r="AK26" s="275"/>
      <c r="AL26" s="275"/>
      <c r="AM26" s="205"/>
      <c r="AN26" s="100" t="b">
        <f t="shared" si="1"/>
        <v>0</v>
      </c>
      <c r="AO26" s="102"/>
    </row>
    <row r="27" ht="14.25" customHeight="1" outlineLevel="1">
      <c r="A27" s="269"/>
      <c r="B27" s="100"/>
      <c r="C27" s="100"/>
      <c r="D27" s="852"/>
      <c r="E27" s="853" t="s">
        <v>2896</v>
      </c>
      <c r="F27" s="249" t="s">
        <v>135</v>
      </c>
      <c r="G27" s="249" t="s">
        <v>3034</v>
      </c>
      <c r="H27" s="260"/>
      <c r="I27" s="181"/>
      <c r="J27" s="181"/>
      <c r="K27" s="181"/>
      <c r="L27" s="181"/>
      <c r="M27" s="181"/>
      <c r="N27" s="181"/>
      <c r="O27" s="181"/>
      <c r="P27" s="181"/>
      <c r="Q27" s="181"/>
      <c r="R27" s="181"/>
      <c r="S27" s="181"/>
      <c r="T27" s="181"/>
      <c r="U27" s="181"/>
      <c r="V27" s="181"/>
      <c r="W27" s="859">
        <v>2.52072</v>
      </c>
      <c r="X27" s="181"/>
      <c r="Y27" s="181"/>
      <c r="Z27" s="181"/>
      <c r="AA27" s="181"/>
      <c r="AB27" s="859">
        <v>2.46007966704691</v>
      </c>
      <c r="AC27" s="859">
        <v>2.49440755503722</v>
      </c>
      <c r="AD27" s="859">
        <v>2.52873544302753</v>
      </c>
      <c r="AE27" s="859">
        <v>2.56306333101783</v>
      </c>
      <c r="AF27" s="859">
        <v>2.59739121900814</v>
      </c>
      <c r="AG27" s="859">
        <v>2.63171910699845</v>
      </c>
      <c r="AH27" s="859">
        <v>2.66604699498876</v>
      </c>
      <c r="AI27" s="204"/>
      <c r="AJ27" s="275"/>
      <c r="AK27" s="275"/>
      <c r="AL27" s="275"/>
      <c r="AM27" s="205"/>
      <c r="AN27" s="100" t="b">
        <f t="shared" si="1"/>
        <v>0</v>
      </c>
      <c r="AO27" s="102"/>
    </row>
    <row r="28" ht="14.25" customHeight="1" outlineLevel="1">
      <c r="A28" s="269"/>
      <c r="B28" s="100"/>
      <c r="C28" s="100"/>
      <c r="D28" s="852"/>
      <c r="E28" s="860" t="s">
        <v>2899</v>
      </c>
      <c r="F28" s="123" t="s">
        <v>135</v>
      </c>
      <c r="G28" s="123" t="s">
        <v>3035</v>
      </c>
      <c r="H28" s="260"/>
      <c r="I28" s="181"/>
      <c r="J28" s="181"/>
      <c r="K28" s="181"/>
      <c r="L28" s="181"/>
      <c r="M28" s="181"/>
      <c r="N28" s="181"/>
      <c r="O28" s="181"/>
      <c r="P28" s="181"/>
      <c r="Q28" s="181"/>
      <c r="R28" s="181"/>
      <c r="S28" s="181"/>
      <c r="T28" s="181"/>
      <c r="U28" s="181"/>
      <c r="V28" s="181"/>
      <c r="W28" s="859">
        <v>1.576617</v>
      </c>
      <c r="X28" s="181"/>
      <c r="Y28" s="181"/>
      <c r="Z28" s="181"/>
      <c r="AA28" s="181"/>
      <c r="AB28" s="859">
        <v>1.54827625157545</v>
      </c>
      <c r="AC28" s="859">
        <v>1.49423906464064</v>
      </c>
      <c r="AD28" s="859">
        <v>1.44020187770584</v>
      </c>
      <c r="AE28" s="859">
        <v>1.38616469077103</v>
      </c>
      <c r="AF28" s="859">
        <v>1.33212750383622</v>
      </c>
      <c r="AG28" s="859">
        <v>1.27809031690142</v>
      </c>
      <c r="AH28" s="859">
        <v>1.22405312996661</v>
      </c>
      <c r="AI28" s="204"/>
      <c r="AJ28" s="275"/>
      <c r="AK28" s="275"/>
      <c r="AL28" s="275"/>
      <c r="AM28" s="205"/>
      <c r="AN28" s="100" t="b">
        <f t="shared" si="1"/>
        <v>0</v>
      </c>
      <c r="AO28" s="102"/>
    </row>
    <row r="29" ht="9.75" customHeight="1">
      <c r="A29" s="166"/>
      <c r="B29" s="167"/>
      <c r="C29" s="167"/>
      <c r="D29" s="167"/>
      <c r="E29" s="167"/>
      <c r="F29" s="168"/>
      <c r="G29" s="168"/>
      <c r="H29" s="169"/>
      <c r="I29" s="169"/>
      <c r="J29" s="169"/>
      <c r="K29" s="169"/>
      <c r="L29" s="169"/>
      <c r="M29" s="169"/>
      <c r="N29" s="169"/>
      <c r="O29" s="169"/>
      <c r="P29" s="169"/>
      <c r="Q29" s="169"/>
      <c r="R29" s="169"/>
      <c r="S29" s="169"/>
      <c r="T29" s="169"/>
      <c r="U29" s="169"/>
      <c r="V29" s="169"/>
      <c r="W29" s="169"/>
      <c r="X29" s="169"/>
      <c r="Y29" s="169"/>
      <c r="Z29" s="169"/>
      <c r="AA29" s="169"/>
      <c r="AB29" s="837"/>
      <c r="AC29" s="837"/>
      <c r="AD29" s="837"/>
      <c r="AE29" s="837"/>
      <c r="AF29" s="837"/>
      <c r="AG29" s="837"/>
      <c r="AH29" s="837"/>
      <c r="AI29" s="448"/>
      <c r="AJ29" s="448"/>
      <c r="AK29" s="448"/>
      <c r="AL29" s="448"/>
      <c r="AM29" s="448"/>
      <c r="AN29" s="100" t="b">
        <f t="shared" si="1"/>
        <v>0</v>
      </c>
      <c r="AO29" s="102"/>
    </row>
    <row r="30" ht="14.25" customHeight="1">
      <c r="A30" s="829" t="s">
        <v>22</v>
      </c>
      <c r="B30" s="830"/>
      <c r="C30" s="830"/>
      <c r="D30" s="830"/>
      <c r="E30" s="830"/>
      <c r="F30" s="830"/>
      <c r="G30" s="830"/>
      <c r="H30" s="831"/>
      <c r="I30" s="831"/>
      <c r="J30" s="831"/>
      <c r="K30" s="831"/>
      <c r="L30" s="831"/>
      <c r="M30" s="831"/>
      <c r="N30" s="831"/>
      <c r="O30" s="831"/>
      <c r="P30" s="831"/>
      <c r="Q30" s="831"/>
      <c r="R30" s="831"/>
      <c r="S30" s="831"/>
      <c r="T30" s="831"/>
      <c r="U30" s="831"/>
      <c r="V30" s="831"/>
      <c r="W30" s="831"/>
      <c r="X30" s="831"/>
      <c r="Y30" s="831"/>
      <c r="Z30" s="831"/>
      <c r="AA30" s="831"/>
      <c r="AB30" s="845"/>
      <c r="AC30" s="845"/>
      <c r="AD30" s="845"/>
      <c r="AE30" s="845"/>
      <c r="AF30" s="845"/>
      <c r="AG30" s="845"/>
      <c r="AH30" s="845"/>
      <c r="AI30" s="832"/>
      <c r="AJ30" s="832"/>
      <c r="AK30" s="832"/>
      <c r="AL30" s="832"/>
      <c r="AM30" s="832"/>
      <c r="AN30" s="100" t="b">
        <f t="shared" si="1"/>
        <v>0</v>
      </c>
      <c r="AO30" s="102"/>
    </row>
    <row r="31" ht="14.25" customHeight="1" outlineLevel="1">
      <c r="A31" s="833" t="s">
        <v>3036</v>
      </c>
      <c r="B31" s="846"/>
      <c r="C31" s="846"/>
      <c r="D31" s="195"/>
      <c r="E31" s="162"/>
      <c r="F31" s="162"/>
      <c r="G31" s="162"/>
      <c r="H31" s="178"/>
      <c r="I31" s="178"/>
      <c r="J31" s="178"/>
      <c r="K31" s="178"/>
      <c r="L31" s="178"/>
      <c r="M31" s="178"/>
      <c r="N31" s="178"/>
      <c r="O31" s="178"/>
      <c r="P31" s="178"/>
      <c r="Q31" s="178"/>
      <c r="R31" s="178"/>
      <c r="S31" s="178"/>
      <c r="T31" s="178"/>
      <c r="U31" s="178"/>
      <c r="V31" s="178"/>
      <c r="W31" s="178"/>
      <c r="X31" s="178"/>
      <c r="Y31" s="178"/>
      <c r="Z31" s="178"/>
      <c r="AA31" s="178"/>
      <c r="AB31" s="836"/>
      <c r="AC31" s="836"/>
      <c r="AD31" s="836"/>
      <c r="AE31" s="836"/>
      <c r="AF31" s="836"/>
      <c r="AG31" s="836"/>
      <c r="AH31" s="836"/>
      <c r="AI31" s="244"/>
      <c r="AJ31" s="244"/>
      <c r="AK31" s="244"/>
      <c r="AL31" s="244"/>
      <c r="AM31" s="244"/>
      <c r="AN31" s="100" t="b">
        <f t="shared" si="1"/>
        <v>0</v>
      </c>
      <c r="AO31" s="176"/>
    </row>
    <row r="32" ht="14.25" customHeight="1" outlineLevel="3">
      <c r="A32" s="833"/>
      <c r="B32" s="842"/>
      <c r="C32" s="842"/>
      <c r="D32" s="847"/>
      <c r="E32" s="834" t="s">
        <v>3037</v>
      </c>
      <c r="F32" s="249" t="s">
        <v>211</v>
      </c>
      <c r="G32" s="249" t="s">
        <v>3038</v>
      </c>
      <c r="H32" s="260"/>
      <c r="I32" s="181"/>
      <c r="J32" s="181"/>
      <c r="K32" s="181"/>
      <c r="L32" s="181"/>
      <c r="M32" s="181"/>
      <c r="N32" s="181"/>
      <c r="O32" s="181"/>
      <c r="P32" s="181"/>
      <c r="Q32" s="181"/>
      <c r="R32" s="181"/>
      <c r="S32" s="181"/>
      <c r="T32" s="181"/>
      <c r="U32" s="181"/>
      <c r="V32" s="181"/>
      <c r="W32" s="859">
        <v>0.17345879</v>
      </c>
      <c r="X32" s="181">
        <v>0.173441622261856</v>
      </c>
      <c r="Y32" s="181">
        <v>0.173390257271958</v>
      </c>
      <c r="Z32" s="181">
        <v>0.173305108591002</v>
      </c>
      <c r="AA32" s="181">
        <v>0.1731868617861</v>
      </c>
      <c r="AB32" s="859">
        <v>0.173036468910998</v>
      </c>
      <c r="AC32" s="859">
        <v>0.171853151515096</v>
      </c>
      <c r="AD32" s="859">
        <v>0.170143208334988</v>
      </c>
      <c r="AE32" s="859">
        <v>0.168245314588572</v>
      </c>
      <c r="AF32" s="859">
        <v>0.166535371408465</v>
      </c>
      <c r="AG32" s="859">
        <v>0.165352054012563</v>
      </c>
      <c r="AH32" s="859">
        <v>0.16492973292356</v>
      </c>
      <c r="AI32" s="493"/>
      <c r="AJ32" s="493"/>
      <c r="AK32" s="493"/>
      <c r="AL32" s="493"/>
      <c r="AM32" s="494"/>
      <c r="AN32" s="100" t="b">
        <f t="shared" si="1"/>
        <v>0</v>
      </c>
      <c r="AO32" s="176"/>
    </row>
    <row r="33" ht="14.25" customHeight="1" outlineLevel="3">
      <c r="A33" s="833"/>
      <c r="B33" s="842"/>
      <c r="C33" s="842"/>
      <c r="D33" s="847"/>
      <c r="E33" s="861" t="s">
        <v>3039</v>
      </c>
      <c r="F33" s="249" t="s">
        <v>211</v>
      </c>
      <c r="G33" s="249" t="s">
        <v>3040</v>
      </c>
      <c r="H33" s="260"/>
      <c r="I33" s="181"/>
      <c r="J33" s="181"/>
      <c r="K33" s="181"/>
      <c r="L33" s="181"/>
      <c r="M33" s="181"/>
      <c r="N33" s="181"/>
      <c r="O33" s="181"/>
      <c r="P33" s="181"/>
      <c r="Q33" s="181"/>
      <c r="R33" s="181"/>
      <c r="S33" s="181"/>
      <c r="T33" s="181"/>
      <c r="U33" s="181"/>
      <c r="V33" s="181"/>
      <c r="W33" s="859">
        <v>0.17345879</v>
      </c>
      <c r="X33" s="181">
        <v>0.173441622261856</v>
      </c>
      <c r="Y33" s="181">
        <v>0.173390257271958</v>
      </c>
      <c r="Z33" s="181">
        <v>0.173305108591002</v>
      </c>
      <c r="AA33" s="181">
        <v>0.1731868617861</v>
      </c>
      <c r="AB33" s="859">
        <v>0.173036468910998</v>
      </c>
      <c r="AC33" s="859">
        <v>0.171853151515096</v>
      </c>
      <c r="AD33" s="859">
        <v>0.170143208334988</v>
      </c>
      <c r="AE33" s="859">
        <v>0.168245314588572</v>
      </c>
      <c r="AF33" s="859">
        <v>0.166535371408465</v>
      </c>
      <c r="AG33" s="859">
        <v>0.165352054012563</v>
      </c>
      <c r="AH33" s="859">
        <v>0.16492973292356</v>
      </c>
      <c r="AI33" s="493"/>
      <c r="AJ33" s="493"/>
      <c r="AK33" s="493"/>
      <c r="AL33" s="493"/>
      <c r="AM33" s="494"/>
      <c r="AN33" s="100" t="b">
        <f t="shared" si="1"/>
        <v>0</v>
      </c>
      <c r="AO33" s="176"/>
    </row>
    <row r="34" ht="14.25" customHeight="1" outlineLevel="3">
      <c r="A34" s="833"/>
      <c r="B34" s="842"/>
      <c r="C34" s="842"/>
      <c r="D34" s="847"/>
      <c r="E34" s="187" t="s">
        <v>3041</v>
      </c>
      <c r="F34" s="123" t="s">
        <v>211</v>
      </c>
      <c r="G34" s="123" t="s">
        <v>3042</v>
      </c>
      <c r="H34" s="260"/>
      <c r="I34" s="181"/>
      <c r="J34" s="181"/>
      <c r="K34" s="181"/>
      <c r="L34" s="181"/>
      <c r="M34" s="181"/>
      <c r="N34" s="181"/>
      <c r="O34" s="181"/>
      <c r="P34" s="181"/>
      <c r="Q34" s="181"/>
      <c r="R34" s="181"/>
      <c r="S34" s="181"/>
      <c r="T34" s="181"/>
      <c r="U34" s="181"/>
      <c r="V34" s="181"/>
      <c r="W34" s="859">
        <v>0.0</v>
      </c>
      <c r="X34" s="181">
        <v>0.0</v>
      </c>
      <c r="Y34" s="181">
        <v>0.0</v>
      </c>
      <c r="Z34" s="181">
        <v>0.0</v>
      </c>
      <c r="AA34" s="181">
        <v>0.0</v>
      </c>
      <c r="AB34" s="859">
        <v>0.0</v>
      </c>
      <c r="AC34" s="859">
        <v>0.0</v>
      </c>
      <c r="AD34" s="859">
        <v>0.0</v>
      </c>
      <c r="AE34" s="859">
        <v>0.0</v>
      </c>
      <c r="AF34" s="859">
        <v>0.0</v>
      </c>
      <c r="AG34" s="859">
        <v>0.0</v>
      </c>
      <c r="AH34" s="859">
        <v>0.0</v>
      </c>
      <c r="AI34" s="493"/>
      <c r="AJ34" s="493"/>
      <c r="AK34" s="493"/>
      <c r="AL34" s="493"/>
      <c r="AM34" s="494"/>
      <c r="AN34" s="100" t="b">
        <f t="shared" si="1"/>
        <v>0</v>
      </c>
      <c r="AO34" s="176"/>
    </row>
    <row r="35" ht="14.25" customHeight="1" outlineLevel="1">
      <c r="A35" s="833" t="s">
        <v>3043</v>
      </c>
      <c r="B35" s="841"/>
      <c r="C35" s="841"/>
      <c r="D35" s="847"/>
      <c r="E35" s="162"/>
      <c r="F35" s="162"/>
      <c r="G35" s="162"/>
      <c r="H35" s="178"/>
      <c r="I35" s="178"/>
      <c r="J35" s="178"/>
      <c r="K35" s="178"/>
      <c r="L35" s="178"/>
      <c r="M35" s="178"/>
      <c r="N35" s="178"/>
      <c r="O35" s="178"/>
      <c r="P35" s="178"/>
      <c r="Q35" s="178"/>
      <c r="R35" s="178"/>
      <c r="S35" s="178"/>
      <c r="T35" s="178"/>
      <c r="U35" s="178"/>
      <c r="V35" s="178"/>
      <c r="W35" s="836"/>
      <c r="X35" s="178"/>
      <c r="Y35" s="178"/>
      <c r="Z35" s="178"/>
      <c r="AA35" s="178"/>
      <c r="AB35" s="836"/>
      <c r="AC35" s="836"/>
      <c r="AD35" s="836"/>
      <c r="AE35" s="836"/>
      <c r="AF35" s="836"/>
      <c r="AG35" s="836"/>
      <c r="AH35" s="836"/>
      <c r="AI35" s="244"/>
      <c r="AJ35" s="244"/>
      <c r="AK35" s="244"/>
      <c r="AL35" s="244"/>
      <c r="AM35" s="244"/>
      <c r="AN35" s="100" t="b">
        <f t="shared" si="1"/>
        <v>0</v>
      </c>
      <c r="AO35" s="176"/>
    </row>
    <row r="36" ht="14.25" customHeight="1" outlineLevel="3">
      <c r="A36" s="833"/>
      <c r="B36" s="842"/>
      <c r="C36" s="842"/>
      <c r="D36" s="847"/>
      <c r="E36" s="834" t="s">
        <v>3044</v>
      </c>
      <c r="F36" s="249" t="s">
        <v>211</v>
      </c>
      <c r="G36" s="249" t="s">
        <v>3045</v>
      </c>
      <c r="H36" s="260"/>
      <c r="I36" s="181"/>
      <c r="J36" s="181"/>
      <c r="K36" s="181"/>
      <c r="L36" s="181"/>
      <c r="M36" s="181"/>
      <c r="N36" s="181"/>
      <c r="O36" s="181"/>
      <c r="P36" s="181"/>
      <c r="Q36" s="181"/>
      <c r="R36" s="181"/>
      <c r="S36" s="181"/>
      <c r="T36" s="181"/>
      <c r="U36" s="181"/>
      <c r="V36" s="181"/>
      <c r="W36" s="859">
        <v>5.720131</v>
      </c>
      <c r="X36" s="181">
        <v>5.71339145061973</v>
      </c>
      <c r="Y36" s="181">
        <v>5.69322706536775</v>
      </c>
      <c r="Z36" s="181">
        <v>5.65980019601763</v>
      </c>
      <c r="AA36" s="181">
        <v>5.6133799760667</v>
      </c>
      <c r="AB36" s="859">
        <v>5.55434015383136</v>
      </c>
      <c r="AC36" s="859">
        <v>5.08980452570045</v>
      </c>
      <c r="AD36" s="859">
        <v>4.41853109391418</v>
      </c>
      <c r="AE36" s="859">
        <v>3.6734737942662</v>
      </c>
      <c r="AF36" s="859">
        <v>3.00220036247993</v>
      </c>
      <c r="AG36" s="859">
        <v>2.53766473434902</v>
      </c>
      <c r="AH36" s="859">
        <v>2.37187388818038</v>
      </c>
      <c r="AI36" s="493"/>
      <c r="AJ36" s="493"/>
      <c r="AK36" s="493"/>
      <c r="AL36" s="493"/>
      <c r="AM36" s="494"/>
      <c r="AN36" s="100" t="b">
        <f t="shared" si="1"/>
        <v>0</v>
      </c>
      <c r="AO36" s="176"/>
    </row>
    <row r="37" ht="14.25" customHeight="1" outlineLevel="3">
      <c r="A37" s="833"/>
      <c r="B37" s="842"/>
      <c r="C37" s="842"/>
      <c r="D37" s="847"/>
      <c r="E37" s="861" t="s">
        <v>3046</v>
      </c>
      <c r="F37" s="249" t="s">
        <v>211</v>
      </c>
      <c r="G37" s="249" t="s">
        <v>3047</v>
      </c>
      <c r="H37" s="260"/>
      <c r="I37" s="181"/>
      <c r="J37" s="181"/>
      <c r="K37" s="181"/>
      <c r="L37" s="181"/>
      <c r="M37" s="181"/>
      <c r="N37" s="181"/>
      <c r="O37" s="181"/>
      <c r="P37" s="181"/>
      <c r="Q37" s="181"/>
      <c r="R37" s="181"/>
      <c r="S37" s="181"/>
      <c r="T37" s="181"/>
      <c r="U37" s="181"/>
      <c r="V37" s="181"/>
      <c r="W37" s="859">
        <v>4.47525175</v>
      </c>
      <c r="X37" s="181">
        <v>4.47065730771882</v>
      </c>
      <c r="Y37" s="181">
        <v>4.45691097262302</v>
      </c>
      <c r="Z37" s="181">
        <v>4.4341234221201</v>
      </c>
      <c r="AA37" s="181">
        <v>4.40247812816783</v>
      </c>
      <c r="AB37" s="859">
        <v>4.36222988006599</v>
      </c>
      <c r="AC37" s="859">
        <v>4.04554963772665</v>
      </c>
      <c r="AD37" s="859">
        <v>3.58793342880558</v>
      </c>
      <c r="AE37" s="859">
        <v>3.08001775577411</v>
      </c>
      <c r="AF37" s="859">
        <v>2.62240154685304</v>
      </c>
      <c r="AG37" s="859">
        <v>2.3057213045137</v>
      </c>
      <c r="AH37" s="859">
        <v>2.19269943457969</v>
      </c>
      <c r="AI37" s="493"/>
      <c r="AJ37" s="493"/>
      <c r="AK37" s="493"/>
      <c r="AL37" s="493"/>
      <c r="AM37" s="494"/>
      <c r="AN37" s="100" t="b">
        <f t="shared" si="1"/>
        <v>0</v>
      </c>
      <c r="AO37" s="176"/>
    </row>
    <row r="38" ht="14.25" customHeight="1" outlineLevel="3">
      <c r="A38" s="833"/>
      <c r="B38" s="842"/>
      <c r="C38" s="842"/>
      <c r="D38" s="847"/>
      <c r="E38" s="187" t="s">
        <v>3048</v>
      </c>
      <c r="F38" s="123" t="s">
        <v>211</v>
      </c>
      <c r="G38" s="123" t="s">
        <v>3049</v>
      </c>
      <c r="H38" s="260"/>
      <c r="I38" s="181"/>
      <c r="J38" s="181"/>
      <c r="K38" s="181"/>
      <c r="L38" s="181"/>
      <c r="M38" s="181"/>
      <c r="N38" s="181"/>
      <c r="O38" s="181"/>
      <c r="P38" s="181"/>
      <c r="Q38" s="181"/>
      <c r="R38" s="181"/>
      <c r="S38" s="181"/>
      <c r="T38" s="181"/>
      <c r="U38" s="181"/>
      <c r="V38" s="181"/>
      <c r="W38" s="859">
        <v>1.24487925</v>
      </c>
      <c r="X38" s="181">
        <v>1.24273414290092</v>
      </c>
      <c r="Y38" s="181">
        <v>1.23631609274472</v>
      </c>
      <c r="Z38" s="181">
        <v>1.22567677389753</v>
      </c>
      <c r="AA38" s="181">
        <v>1.21090184789887</v>
      </c>
      <c r="AB38" s="859">
        <v>1.19211027376538</v>
      </c>
      <c r="AC38" s="859">
        <v>1.0442548879738</v>
      </c>
      <c r="AD38" s="859">
        <v>0.830597665108594</v>
      </c>
      <c r="AE38" s="859">
        <v>0.593456038492097</v>
      </c>
      <c r="AF38" s="859">
        <v>0.379798815626892</v>
      </c>
      <c r="AG38" s="859">
        <v>0.231943429835314</v>
      </c>
      <c r="AH38" s="859">
        <v>0.179174453600691</v>
      </c>
      <c r="AI38" s="493"/>
      <c r="AJ38" s="493"/>
      <c r="AK38" s="493"/>
      <c r="AL38" s="493"/>
      <c r="AM38" s="494"/>
      <c r="AN38" s="100" t="b">
        <f t="shared" si="1"/>
        <v>0</v>
      </c>
      <c r="AO38" s="176"/>
    </row>
    <row r="39" ht="14.25" customHeight="1" outlineLevel="3">
      <c r="A39" s="833"/>
      <c r="B39" s="842"/>
      <c r="C39" s="842"/>
      <c r="D39" s="847"/>
      <c r="E39" s="187" t="s">
        <v>3050</v>
      </c>
      <c r="F39" s="123" t="s">
        <v>211</v>
      </c>
      <c r="G39" s="123" t="s">
        <v>3051</v>
      </c>
      <c r="H39" s="260"/>
      <c r="I39" s="181"/>
      <c r="J39" s="181"/>
      <c r="K39" s="181"/>
      <c r="L39" s="181"/>
      <c r="M39" s="181"/>
      <c r="N39" s="181"/>
      <c r="O39" s="181"/>
      <c r="P39" s="181"/>
      <c r="Q39" s="181"/>
      <c r="R39" s="181"/>
      <c r="S39" s="181"/>
      <c r="T39" s="181"/>
      <c r="U39" s="181"/>
      <c r="V39" s="181"/>
      <c r="W39" s="859">
        <v>0.0</v>
      </c>
      <c r="X39" s="181">
        <v>0.0</v>
      </c>
      <c r="Y39" s="181">
        <v>0.0</v>
      </c>
      <c r="Z39" s="181">
        <v>0.0</v>
      </c>
      <c r="AA39" s="181">
        <v>0.0</v>
      </c>
      <c r="AB39" s="859">
        <v>0.0</v>
      </c>
      <c r="AC39" s="859">
        <v>0.0</v>
      </c>
      <c r="AD39" s="859">
        <v>0.0</v>
      </c>
      <c r="AE39" s="859">
        <v>0.0</v>
      </c>
      <c r="AF39" s="859">
        <v>0.0</v>
      </c>
      <c r="AG39" s="859">
        <v>0.0</v>
      </c>
      <c r="AH39" s="859">
        <v>0.0</v>
      </c>
      <c r="AI39" s="493"/>
      <c r="AJ39" s="493"/>
      <c r="AK39" s="493"/>
      <c r="AL39" s="493"/>
      <c r="AM39" s="494"/>
      <c r="AN39" s="100" t="b">
        <f t="shared" si="1"/>
        <v>0</v>
      </c>
      <c r="AO39" s="176"/>
    </row>
    <row r="40" ht="14.25" customHeight="1" outlineLevel="1">
      <c r="A40" s="833" t="s">
        <v>3052</v>
      </c>
      <c r="B40" s="841"/>
      <c r="C40" s="841"/>
      <c r="D40" s="847"/>
      <c r="E40" s="162"/>
      <c r="F40" s="162"/>
      <c r="G40" s="162"/>
      <c r="H40" s="178"/>
      <c r="I40" s="178"/>
      <c r="J40" s="178"/>
      <c r="K40" s="178"/>
      <c r="L40" s="178"/>
      <c r="M40" s="178"/>
      <c r="N40" s="178"/>
      <c r="O40" s="178"/>
      <c r="P40" s="178"/>
      <c r="Q40" s="178"/>
      <c r="R40" s="178"/>
      <c r="S40" s="178"/>
      <c r="T40" s="178"/>
      <c r="U40" s="178"/>
      <c r="V40" s="178"/>
      <c r="W40" s="836"/>
      <c r="X40" s="178"/>
      <c r="Y40" s="178"/>
      <c r="Z40" s="178"/>
      <c r="AA40" s="178"/>
      <c r="AB40" s="836"/>
      <c r="AC40" s="836"/>
      <c r="AD40" s="836"/>
      <c r="AE40" s="836"/>
      <c r="AF40" s="836"/>
      <c r="AG40" s="836"/>
      <c r="AH40" s="836"/>
      <c r="AI40" s="244"/>
      <c r="AJ40" s="244"/>
      <c r="AK40" s="244"/>
      <c r="AL40" s="244"/>
      <c r="AM40" s="244"/>
      <c r="AN40" s="100" t="b">
        <f t="shared" si="1"/>
        <v>0</v>
      </c>
      <c r="AO40" s="176"/>
    </row>
    <row r="41" ht="14.25" customHeight="1" outlineLevel="3">
      <c r="A41" s="833"/>
      <c r="B41" s="842"/>
      <c r="C41" s="842"/>
      <c r="D41" s="847"/>
      <c r="E41" s="834" t="s">
        <v>3053</v>
      </c>
      <c r="F41" s="249" t="s">
        <v>211</v>
      </c>
      <c r="G41" s="249" t="s">
        <v>3054</v>
      </c>
      <c r="H41" s="260"/>
      <c r="I41" s="181"/>
      <c r="J41" s="181"/>
      <c r="K41" s="181"/>
      <c r="L41" s="181"/>
      <c r="M41" s="181"/>
      <c r="N41" s="181"/>
      <c r="O41" s="181"/>
      <c r="P41" s="181"/>
      <c r="Q41" s="181"/>
      <c r="R41" s="181"/>
      <c r="S41" s="181"/>
      <c r="T41" s="181"/>
      <c r="U41" s="181"/>
      <c r="V41" s="181"/>
      <c r="W41" s="859">
        <v>4.03891618</v>
      </c>
      <c r="X41" s="181">
        <v>4.03524723802379</v>
      </c>
      <c r="Y41" s="181">
        <v>4.02426995225866</v>
      </c>
      <c r="Z41" s="181">
        <v>4.00607270535505</v>
      </c>
      <c r="AA41" s="181">
        <v>3.98080201084521</v>
      </c>
      <c r="AB41" s="859">
        <v>3.94866133350241</v>
      </c>
      <c r="AC41" s="859">
        <v>3.69577287326155</v>
      </c>
      <c r="AD41" s="859">
        <v>3.33033846030154</v>
      </c>
      <c r="AE41" s="859">
        <v>2.92473686186808</v>
      </c>
      <c r="AF41" s="859">
        <v>2.55930244890808</v>
      </c>
      <c r="AG41" s="859">
        <v>2.30641398866721</v>
      </c>
      <c r="AH41" s="859">
        <v>2.21615914216962</v>
      </c>
      <c r="AI41" s="493"/>
      <c r="AJ41" s="493"/>
      <c r="AK41" s="493"/>
      <c r="AL41" s="493"/>
      <c r="AM41" s="494"/>
      <c r="AN41" s="100" t="b">
        <f t="shared" si="1"/>
        <v>0</v>
      </c>
      <c r="AO41" s="176"/>
    </row>
    <row r="42" ht="14.25" customHeight="1" outlineLevel="3">
      <c r="A42" s="833"/>
      <c r="B42" s="842"/>
      <c r="C42" s="842"/>
      <c r="D42" s="847"/>
      <c r="E42" s="187" t="s">
        <v>3055</v>
      </c>
      <c r="F42" s="249" t="s">
        <v>211</v>
      </c>
      <c r="G42" s="249" t="s">
        <v>3056</v>
      </c>
      <c r="H42" s="260"/>
      <c r="I42" s="181"/>
      <c r="J42" s="181"/>
      <c r="K42" s="181"/>
      <c r="L42" s="181"/>
      <c r="M42" s="181"/>
      <c r="N42" s="181"/>
      <c r="O42" s="181"/>
      <c r="P42" s="181"/>
      <c r="Q42" s="181"/>
      <c r="R42" s="181"/>
      <c r="S42" s="181"/>
      <c r="T42" s="181"/>
      <c r="U42" s="181"/>
      <c r="V42" s="181"/>
      <c r="W42" s="859">
        <v>0.70704374</v>
      </c>
      <c r="X42" s="181">
        <v>0.706100594382696</v>
      </c>
      <c r="Y42" s="181">
        <v>0.703278751184732</v>
      </c>
      <c r="Z42" s="181">
        <v>0.698600930228323</v>
      </c>
      <c r="AA42" s="181">
        <v>0.692104794577296</v>
      </c>
      <c r="AB42" s="859">
        <v>0.683842647296245</v>
      </c>
      <c r="AC42" s="859">
        <v>0.618834630137687</v>
      </c>
      <c r="AD42" s="859">
        <v>0.524895323593588</v>
      </c>
      <c r="AE42" s="859">
        <v>0.420630559414997</v>
      </c>
      <c r="AF42" s="859">
        <v>0.326691252870898</v>
      </c>
      <c r="AG42" s="859">
        <v>0.26168323571234</v>
      </c>
      <c r="AH42" s="859">
        <v>0.238482143008585</v>
      </c>
      <c r="AI42" s="493"/>
      <c r="AJ42" s="493"/>
      <c r="AK42" s="493"/>
      <c r="AL42" s="493"/>
      <c r="AM42" s="494"/>
      <c r="AN42" s="100" t="b">
        <f t="shared" si="1"/>
        <v>0</v>
      </c>
      <c r="AO42" s="176"/>
    </row>
    <row r="43" ht="14.25" customHeight="1" outlineLevel="3">
      <c r="A43" s="833"/>
      <c r="B43" s="842"/>
      <c r="C43" s="842"/>
      <c r="D43" s="847"/>
      <c r="E43" s="187" t="s">
        <v>3057</v>
      </c>
      <c r="F43" s="123" t="s">
        <v>211</v>
      </c>
      <c r="G43" s="249" t="s">
        <v>3058</v>
      </c>
      <c r="H43" s="260"/>
      <c r="I43" s="181"/>
      <c r="J43" s="181"/>
      <c r="K43" s="181"/>
      <c r="L43" s="181"/>
      <c r="M43" s="181"/>
      <c r="N43" s="181"/>
      <c r="O43" s="181"/>
      <c r="P43" s="181"/>
      <c r="Q43" s="181"/>
      <c r="R43" s="181"/>
      <c r="S43" s="181"/>
      <c r="T43" s="181"/>
      <c r="U43" s="181"/>
      <c r="V43" s="181"/>
      <c r="W43" s="859">
        <v>3.33187244</v>
      </c>
      <c r="X43" s="181">
        <v>3.3291466436411</v>
      </c>
      <c r="Y43" s="181">
        <v>3.32099120107393</v>
      </c>
      <c r="Z43" s="181">
        <v>3.30747177512672</v>
      </c>
      <c r="AA43" s="181">
        <v>3.28869721626791</v>
      </c>
      <c r="AB43" s="859">
        <v>3.26481868620617</v>
      </c>
      <c r="AC43" s="859">
        <v>3.07693824312386</v>
      </c>
      <c r="AD43" s="859">
        <v>2.80544313670795</v>
      </c>
      <c r="AE43" s="859">
        <v>2.50410630245308</v>
      </c>
      <c r="AF43" s="859">
        <v>2.23261119603718</v>
      </c>
      <c r="AG43" s="859">
        <v>2.04473075295487</v>
      </c>
      <c r="AH43" s="859">
        <v>1.97767699916104</v>
      </c>
      <c r="AI43" s="493"/>
      <c r="AJ43" s="493"/>
      <c r="AK43" s="493"/>
      <c r="AL43" s="493"/>
      <c r="AM43" s="494"/>
      <c r="AN43" s="100" t="b">
        <f t="shared" si="1"/>
        <v>0</v>
      </c>
      <c r="AO43" s="176"/>
    </row>
    <row r="44" ht="14.25" customHeight="1" outlineLevel="3">
      <c r="A44" s="833"/>
      <c r="B44" s="842"/>
      <c r="C44" s="842"/>
      <c r="D44" s="847"/>
      <c r="E44" s="187" t="s">
        <v>3059</v>
      </c>
      <c r="F44" s="123" t="s">
        <v>211</v>
      </c>
      <c r="G44" s="123" t="s">
        <v>3060</v>
      </c>
      <c r="H44" s="260"/>
      <c r="I44" s="181"/>
      <c r="J44" s="181"/>
      <c r="K44" s="181"/>
      <c r="L44" s="181"/>
      <c r="M44" s="181"/>
      <c r="N44" s="181"/>
      <c r="O44" s="181"/>
      <c r="P44" s="181"/>
      <c r="Q44" s="181"/>
      <c r="R44" s="181"/>
      <c r="S44" s="181"/>
      <c r="T44" s="181"/>
      <c r="U44" s="181"/>
      <c r="V44" s="181"/>
      <c r="W44" s="859">
        <v>0.0</v>
      </c>
      <c r="X44" s="181">
        <v>0.0</v>
      </c>
      <c r="Y44" s="181">
        <v>0.0</v>
      </c>
      <c r="Z44" s="181">
        <v>0.0</v>
      </c>
      <c r="AA44" s="181">
        <v>0.0</v>
      </c>
      <c r="AB44" s="859">
        <v>0.0</v>
      </c>
      <c r="AC44" s="859">
        <v>0.0</v>
      </c>
      <c r="AD44" s="859">
        <v>0.0</v>
      </c>
      <c r="AE44" s="859">
        <v>0.0</v>
      </c>
      <c r="AF44" s="859">
        <v>0.0</v>
      </c>
      <c r="AG44" s="859">
        <v>0.0</v>
      </c>
      <c r="AH44" s="859">
        <v>0.0</v>
      </c>
      <c r="AI44" s="493"/>
      <c r="AJ44" s="493"/>
      <c r="AK44" s="493"/>
      <c r="AL44" s="493"/>
      <c r="AM44" s="494"/>
      <c r="AN44" s="100" t="b">
        <f t="shared" si="1"/>
        <v>0</v>
      </c>
      <c r="AO44" s="176"/>
    </row>
    <row r="45" ht="14.25" customHeight="1" outlineLevel="1">
      <c r="A45" s="833" t="s">
        <v>3061</v>
      </c>
      <c r="B45" s="841"/>
      <c r="C45" s="841"/>
      <c r="D45" s="847"/>
      <c r="E45" s="162"/>
      <c r="F45" s="162"/>
      <c r="G45" s="162"/>
      <c r="H45" s="178"/>
      <c r="I45" s="178"/>
      <c r="J45" s="178"/>
      <c r="K45" s="178"/>
      <c r="L45" s="178"/>
      <c r="M45" s="178"/>
      <c r="N45" s="178"/>
      <c r="O45" s="178"/>
      <c r="P45" s="178"/>
      <c r="Q45" s="178"/>
      <c r="R45" s="178"/>
      <c r="S45" s="178"/>
      <c r="T45" s="178"/>
      <c r="U45" s="178"/>
      <c r="V45" s="178"/>
      <c r="W45" s="836"/>
      <c r="X45" s="178"/>
      <c r="Y45" s="178"/>
      <c r="Z45" s="178"/>
      <c r="AA45" s="178"/>
      <c r="AB45" s="836"/>
      <c r="AC45" s="836"/>
      <c r="AD45" s="836"/>
      <c r="AE45" s="836"/>
      <c r="AF45" s="836"/>
      <c r="AG45" s="836"/>
      <c r="AH45" s="836"/>
      <c r="AI45" s="244"/>
      <c r="AJ45" s="244"/>
      <c r="AK45" s="244"/>
      <c r="AL45" s="244"/>
      <c r="AM45" s="244"/>
      <c r="AN45" s="100" t="b">
        <f t="shared" si="1"/>
        <v>0</v>
      </c>
      <c r="AO45" s="176"/>
    </row>
    <row r="46" ht="14.25" customHeight="1" outlineLevel="3">
      <c r="A46" s="833"/>
      <c r="B46" s="842"/>
      <c r="C46" s="842"/>
      <c r="D46" s="847"/>
      <c r="E46" s="187" t="s">
        <v>3062</v>
      </c>
      <c r="F46" s="123" t="s">
        <v>211</v>
      </c>
      <c r="G46" s="123" t="s">
        <v>3063</v>
      </c>
      <c r="H46" s="260"/>
      <c r="I46" s="181"/>
      <c r="J46" s="181"/>
      <c r="K46" s="181"/>
      <c r="L46" s="181"/>
      <c r="M46" s="181"/>
      <c r="N46" s="181"/>
      <c r="O46" s="181"/>
      <c r="P46" s="181"/>
      <c r="Q46" s="181"/>
      <c r="R46" s="181"/>
      <c r="S46" s="181"/>
      <c r="T46" s="181"/>
      <c r="U46" s="181"/>
      <c r="V46" s="181"/>
      <c r="W46" s="859">
        <v>0.0</v>
      </c>
      <c r="X46" s="181">
        <v>0.0</v>
      </c>
      <c r="Y46" s="181">
        <v>0.0</v>
      </c>
      <c r="Z46" s="181">
        <v>0.0</v>
      </c>
      <c r="AA46" s="181">
        <v>0.0</v>
      </c>
      <c r="AB46" s="859">
        <v>0.0</v>
      </c>
      <c r="AC46" s="859">
        <v>0.0</v>
      </c>
      <c r="AD46" s="859">
        <v>0.0</v>
      </c>
      <c r="AE46" s="859">
        <v>0.0</v>
      </c>
      <c r="AF46" s="859">
        <v>0.0</v>
      </c>
      <c r="AG46" s="859">
        <v>0.0</v>
      </c>
      <c r="AH46" s="859">
        <v>0.0</v>
      </c>
      <c r="AI46" s="493"/>
      <c r="AJ46" s="493"/>
      <c r="AK46" s="493"/>
      <c r="AL46" s="493"/>
      <c r="AM46" s="494"/>
      <c r="AN46" s="100" t="b">
        <f t="shared" si="1"/>
        <v>0</v>
      </c>
      <c r="AO46" s="176"/>
    </row>
    <row r="47" ht="9.75" customHeight="1">
      <c r="A47" s="166"/>
      <c r="B47" s="167"/>
      <c r="C47" s="167"/>
      <c r="D47" s="167"/>
      <c r="E47" s="167"/>
      <c r="F47" s="168"/>
      <c r="G47" s="168"/>
      <c r="H47" s="169"/>
      <c r="I47" s="169"/>
      <c r="J47" s="169"/>
      <c r="K47" s="169"/>
      <c r="L47" s="169"/>
      <c r="M47" s="169"/>
      <c r="N47" s="169"/>
      <c r="O47" s="169"/>
      <c r="P47" s="169"/>
      <c r="Q47" s="169"/>
      <c r="R47" s="169"/>
      <c r="S47" s="169"/>
      <c r="T47" s="169"/>
      <c r="U47" s="169"/>
      <c r="V47" s="169"/>
      <c r="W47" s="169"/>
      <c r="X47" s="169"/>
      <c r="Y47" s="169"/>
      <c r="Z47" s="169"/>
      <c r="AA47" s="169"/>
      <c r="AB47" s="837"/>
      <c r="AC47" s="837"/>
      <c r="AD47" s="837"/>
      <c r="AE47" s="837"/>
      <c r="AF47" s="837"/>
      <c r="AG47" s="837"/>
      <c r="AH47" s="837"/>
      <c r="AI47" s="448"/>
      <c r="AJ47" s="448"/>
      <c r="AK47" s="448"/>
      <c r="AL47" s="448"/>
      <c r="AM47" s="448"/>
      <c r="AN47" s="100" t="b">
        <f t="shared" si="1"/>
        <v>0</v>
      </c>
      <c r="AO47" s="102"/>
    </row>
    <row r="48" ht="14.25" customHeight="1">
      <c r="A48" s="829" t="s">
        <v>37</v>
      </c>
      <c r="B48" s="830"/>
      <c r="C48" s="830"/>
      <c r="D48" s="830"/>
      <c r="E48" s="830"/>
      <c r="F48" s="830"/>
      <c r="G48" s="830"/>
      <c r="H48" s="830"/>
      <c r="I48" s="830"/>
      <c r="J48" s="830"/>
      <c r="K48" s="830"/>
      <c r="L48" s="830"/>
      <c r="M48" s="830"/>
      <c r="N48" s="830"/>
      <c r="O48" s="830"/>
      <c r="P48" s="830"/>
      <c r="Q48" s="830"/>
      <c r="R48" s="830"/>
      <c r="S48" s="830"/>
      <c r="T48" s="830"/>
      <c r="U48" s="830"/>
      <c r="V48" s="830"/>
      <c r="W48" s="830"/>
      <c r="X48" s="830"/>
      <c r="Y48" s="830"/>
      <c r="Z48" s="830"/>
      <c r="AA48" s="830"/>
      <c r="AB48" s="830"/>
      <c r="AC48" s="830"/>
      <c r="AD48" s="830"/>
      <c r="AE48" s="830"/>
      <c r="AF48" s="830"/>
      <c r="AG48" s="830"/>
      <c r="AH48" s="830"/>
      <c r="AI48" s="832"/>
      <c r="AJ48" s="832"/>
      <c r="AK48" s="832"/>
      <c r="AL48" s="832"/>
      <c r="AM48" s="832"/>
      <c r="AN48" s="100" t="b">
        <f t="shared" si="1"/>
        <v>0</v>
      </c>
      <c r="AO48" s="102"/>
    </row>
    <row r="49" ht="14.25" customHeight="1" outlineLevel="1">
      <c r="A49" s="833" t="s">
        <v>3064</v>
      </c>
      <c r="B49" s="846"/>
      <c r="C49" s="846"/>
      <c r="D49" s="195"/>
      <c r="E49" s="162"/>
      <c r="F49" s="162"/>
      <c r="G49" s="162"/>
      <c r="H49" s="178"/>
      <c r="I49" s="178"/>
      <c r="J49" s="178"/>
      <c r="K49" s="178"/>
      <c r="L49" s="178"/>
      <c r="M49" s="178"/>
      <c r="N49" s="178"/>
      <c r="O49" s="178"/>
      <c r="P49" s="178"/>
      <c r="Q49" s="178"/>
      <c r="R49" s="178"/>
      <c r="S49" s="178"/>
      <c r="T49" s="178"/>
      <c r="U49" s="178"/>
      <c r="V49" s="178"/>
      <c r="W49" s="178"/>
      <c r="X49" s="178"/>
      <c r="Y49" s="178"/>
      <c r="Z49" s="178"/>
      <c r="AA49" s="178"/>
      <c r="AB49" s="836"/>
      <c r="AC49" s="836"/>
      <c r="AD49" s="836"/>
      <c r="AE49" s="836"/>
      <c r="AF49" s="836"/>
      <c r="AG49" s="836"/>
      <c r="AH49" s="836"/>
      <c r="AI49" s="244"/>
      <c r="AJ49" s="244"/>
      <c r="AK49" s="244"/>
      <c r="AL49" s="244"/>
      <c r="AM49" s="244"/>
      <c r="AN49" s="100" t="b">
        <f t="shared" si="1"/>
        <v>0</v>
      </c>
      <c r="AO49" s="176"/>
    </row>
    <row r="50" ht="14.25" customHeight="1" outlineLevel="3">
      <c r="A50" s="833"/>
      <c r="B50" s="842"/>
      <c r="C50" s="842"/>
      <c r="D50" s="847"/>
      <c r="E50" s="834" t="s">
        <v>3065</v>
      </c>
      <c r="F50" s="249" t="s">
        <v>211</v>
      </c>
      <c r="G50" s="249" t="s">
        <v>3066</v>
      </c>
      <c r="H50" s="260"/>
      <c r="I50" s="181"/>
      <c r="J50" s="181"/>
      <c r="K50" s="181"/>
      <c r="L50" s="181"/>
      <c r="M50" s="181"/>
      <c r="N50" s="181"/>
      <c r="O50" s="181"/>
      <c r="P50" s="181"/>
      <c r="Q50" s="181"/>
      <c r="R50" s="181"/>
      <c r="S50" s="181"/>
      <c r="T50" s="181"/>
      <c r="U50" s="181"/>
      <c r="V50" s="181"/>
      <c r="W50" s="859">
        <v>-1.33719062</v>
      </c>
      <c r="X50" s="181">
        <v>-1.33602987715844</v>
      </c>
      <c r="Y50" s="181">
        <v>-1.33255699425261</v>
      </c>
      <c r="Z50" s="181">
        <v>-1.32679993289366</v>
      </c>
      <c r="AA50" s="181">
        <v>-1.31880504555454</v>
      </c>
      <c r="AB50" s="859">
        <v>-1.30863670236719</v>
      </c>
      <c r="AC50" s="859">
        <v>-1.22863040304676</v>
      </c>
      <c r="AD50" s="859">
        <v>-1.11301795083198</v>
      </c>
      <c r="AE50" s="859">
        <v>-0.984697809777674</v>
      </c>
      <c r="AF50" s="859">
        <v>-0.869085357562898</v>
      </c>
      <c r="AG50" s="859">
        <v>-0.789079058242464</v>
      </c>
      <c r="AH50" s="859">
        <v>-0.760525140609654</v>
      </c>
      <c r="AI50" s="493"/>
      <c r="AJ50" s="493"/>
      <c r="AK50" s="493"/>
      <c r="AL50" s="493"/>
      <c r="AM50" s="494" t="s">
        <v>3067</v>
      </c>
      <c r="AN50" s="100" t="b">
        <f t="shared" si="1"/>
        <v>0</v>
      </c>
      <c r="AO50" s="176"/>
    </row>
    <row r="51" ht="14.25" customHeight="1" outlineLevel="3">
      <c r="A51" s="833"/>
      <c r="B51" s="842"/>
      <c r="C51" s="842"/>
      <c r="D51" s="847"/>
      <c r="E51" s="861" t="s">
        <v>3068</v>
      </c>
      <c r="F51" s="249" t="s">
        <v>211</v>
      </c>
      <c r="G51" s="249" t="s">
        <v>3069</v>
      </c>
      <c r="H51" s="260"/>
      <c r="I51" s="181"/>
      <c r="J51" s="181"/>
      <c r="K51" s="181"/>
      <c r="L51" s="181"/>
      <c r="M51" s="181"/>
      <c r="N51" s="181"/>
      <c r="O51" s="181"/>
      <c r="P51" s="181"/>
      <c r="Q51" s="181"/>
      <c r="R51" s="181"/>
      <c r="S51" s="181"/>
      <c r="T51" s="181"/>
      <c r="U51" s="181"/>
      <c r="V51" s="181"/>
      <c r="W51" s="859">
        <v>-3.19789733</v>
      </c>
      <c r="X51" s="181">
        <v>-3.19828771178548</v>
      </c>
      <c r="Y51" s="181">
        <v>-3.19945571401732</v>
      </c>
      <c r="Z51" s="181">
        <v>-3.20139193262832</v>
      </c>
      <c r="AA51" s="181">
        <v>-3.2040807783247</v>
      </c>
      <c r="AB51" s="859">
        <v>-3.20750060210194</v>
      </c>
      <c r="AC51" s="859">
        <v>-3.23440837259158</v>
      </c>
      <c r="AD51" s="859">
        <v>-3.27329122752129</v>
      </c>
      <c r="AE51" s="859">
        <v>-3.31644794060532</v>
      </c>
      <c r="AF51" s="859">
        <v>-3.35533079553503</v>
      </c>
      <c r="AG51" s="859">
        <v>-3.38223856602467</v>
      </c>
      <c r="AH51" s="859">
        <v>-3.39184183812662</v>
      </c>
      <c r="AI51" s="493"/>
      <c r="AJ51" s="493"/>
      <c r="AK51" s="493"/>
      <c r="AL51" s="493"/>
      <c r="AM51" s="494" t="s">
        <v>3067</v>
      </c>
      <c r="AN51" s="100" t="b">
        <f t="shared" si="1"/>
        <v>0</v>
      </c>
      <c r="AO51" s="176"/>
    </row>
    <row r="52" ht="14.25" customHeight="1" outlineLevel="3">
      <c r="A52" s="833"/>
      <c r="B52" s="842"/>
      <c r="C52" s="842"/>
      <c r="D52" s="847"/>
      <c r="E52" s="187" t="s">
        <v>3070</v>
      </c>
      <c r="F52" s="123" t="s">
        <v>211</v>
      </c>
      <c r="G52" s="123" t="s">
        <v>3071</v>
      </c>
      <c r="H52" s="260"/>
      <c r="I52" s="181"/>
      <c r="J52" s="181"/>
      <c r="K52" s="181"/>
      <c r="L52" s="181"/>
      <c r="M52" s="181"/>
      <c r="N52" s="181"/>
      <c r="O52" s="181"/>
      <c r="P52" s="181"/>
      <c r="Q52" s="181"/>
      <c r="R52" s="181"/>
      <c r="S52" s="181"/>
      <c r="T52" s="181"/>
      <c r="U52" s="181"/>
      <c r="V52" s="181"/>
      <c r="W52" s="859">
        <v>1.86070671</v>
      </c>
      <c r="X52" s="181">
        <v>1.86225783462704</v>
      </c>
      <c r="Y52" s="181">
        <v>1.8668987197647</v>
      </c>
      <c r="Z52" s="181">
        <v>1.87459199973466</v>
      </c>
      <c r="AA52" s="181">
        <v>1.88527573277016</v>
      </c>
      <c r="AB52" s="859">
        <v>1.89886389973475</v>
      </c>
      <c r="AC52" s="859">
        <v>2.00577796954482</v>
      </c>
      <c r="AD52" s="859">
        <v>2.16027327668931</v>
      </c>
      <c r="AE52" s="859">
        <v>2.33175013082765</v>
      </c>
      <c r="AF52" s="859">
        <v>2.48624543797214</v>
      </c>
      <c r="AG52" s="859">
        <v>2.59315950778221</v>
      </c>
      <c r="AH52" s="859">
        <v>2.63131669751696</v>
      </c>
      <c r="AI52" s="493"/>
      <c r="AJ52" s="493"/>
      <c r="AK52" s="493"/>
      <c r="AL52" s="493"/>
      <c r="AM52" s="494" t="s">
        <v>3067</v>
      </c>
      <c r="AN52" s="100" t="b">
        <f t="shared" si="1"/>
        <v>0</v>
      </c>
      <c r="AO52" s="176"/>
    </row>
    <row r="53" ht="14.25" customHeight="1" outlineLevel="1">
      <c r="A53" s="833" t="s">
        <v>3072</v>
      </c>
      <c r="B53" s="841"/>
      <c r="C53" s="841"/>
      <c r="D53" s="847"/>
      <c r="E53" s="162"/>
      <c r="F53" s="162"/>
      <c r="G53" s="162"/>
      <c r="H53" s="178"/>
      <c r="I53" s="178"/>
      <c r="J53" s="178"/>
      <c r="K53" s="178"/>
      <c r="L53" s="178"/>
      <c r="M53" s="178"/>
      <c r="N53" s="178"/>
      <c r="O53" s="178"/>
      <c r="P53" s="178"/>
      <c r="Q53" s="178"/>
      <c r="R53" s="178"/>
      <c r="S53" s="178"/>
      <c r="T53" s="178"/>
      <c r="U53" s="178"/>
      <c r="V53" s="178"/>
      <c r="W53" s="836"/>
      <c r="X53" s="178"/>
      <c r="Y53" s="178"/>
      <c r="Z53" s="178"/>
      <c r="AA53" s="178"/>
      <c r="AB53" s="836"/>
      <c r="AC53" s="836"/>
      <c r="AD53" s="836"/>
      <c r="AE53" s="836"/>
      <c r="AF53" s="836"/>
      <c r="AG53" s="836"/>
      <c r="AH53" s="836"/>
      <c r="AI53" s="244"/>
      <c r="AJ53" s="244"/>
      <c r="AK53" s="244"/>
      <c r="AL53" s="244"/>
      <c r="AM53" s="244"/>
      <c r="AN53" s="100" t="b">
        <f t="shared" si="1"/>
        <v>0</v>
      </c>
      <c r="AO53" s="176"/>
    </row>
    <row r="54" ht="14.25" customHeight="1" outlineLevel="3">
      <c r="A54" s="833"/>
      <c r="B54" s="842"/>
      <c r="C54" s="842"/>
      <c r="D54" s="847"/>
      <c r="E54" s="834" t="s">
        <v>3073</v>
      </c>
      <c r="F54" s="249" t="s">
        <v>211</v>
      </c>
      <c r="G54" s="249" t="s">
        <v>3074</v>
      </c>
      <c r="H54" s="260"/>
      <c r="I54" s="181"/>
      <c r="J54" s="181"/>
      <c r="K54" s="181"/>
      <c r="L54" s="181"/>
      <c r="M54" s="181"/>
      <c r="N54" s="181"/>
      <c r="O54" s="181"/>
      <c r="P54" s="181"/>
      <c r="Q54" s="181"/>
      <c r="R54" s="181"/>
      <c r="S54" s="181"/>
      <c r="T54" s="181"/>
      <c r="U54" s="181"/>
      <c r="V54" s="181"/>
      <c r="W54" s="859">
        <v>0.0</v>
      </c>
      <c r="X54" s="181">
        <v>0.0</v>
      </c>
      <c r="Y54" s="181">
        <v>0.0</v>
      </c>
      <c r="Z54" s="181">
        <v>0.0</v>
      </c>
      <c r="AA54" s="181">
        <v>0.0</v>
      </c>
      <c r="AB54" s="859">
        <v>0.0</v>
      </c>
      <c r="AC54" s="859">
        <v>0.0</v>
      </c>
      <c r="AD54" s="859">
        <v>0.0</v>
      </c>
      <c r="AE54" s="859">
        <v>0.0</v>
      </c>
      <c r="AF54" s="859">
        <v>0.0</v>
      </c>
      <c r="AG54" s="859">
        <v>0.0</v>
      </c>
      <c r="AH54" s="859">
        <v>0.0</v>
      </c>
      <c r="AI54" s="493"/>
      <c r="AJ54" s="493"/>
      <c r="AK54" s="493"/>
      <c r="AL54" s="493"/>
      <c r="AM54" s="494" t="s">
        <v>3067</v>
      </c>
      <c r="AN54" s="100" t="b">
        <f t="shared" si="1"/>
        <v>0</v>
      </c>
      <c r="AO54" s="176"/>
    </row>
    <row r="55" ht="14.25" customHeight="1" outlineLevel="3">
      <c r="A55" s="833"/>
      <c r="B55" s="842"/>
      <c r="C55" s="842"/>
      <c r="D55" s="847"/>
      <c r="E55" s="861" t="s">
        <v>3075</v>
      </c>
      <c r="F55" s="249" t="s">
        <v>211</v>
      </c>
      <c r="G55" s="249" t="s">
        <v>3076</v>
      </c>
      <c r="H55" s="260"/>
      <c r="I55" s="181"/>
      <c r="J55" s="181"/>
      <c r="K55" s="181"/>
      <c r="L55" s="181"/>
      <c r="M55" s="181"/>
      <c r="N55" s="181"/>
      <c r="O55" s="181"/>
      <c r="P55" s="181"/>
      <c r="Q55" s="181"/>
      <c r="R55" s="181"/>
      <c r="S55" s="181"/>
      <c r="T55" s="181"/>
      <c r="U55" s="181"/>
      <c r="V55" s="181"/>
      <c r="W55" s="859">
        <v>0.0</v>
      </c>
      <c r="X55" s="181">
        <v>0.0</v>
      </c>
      <c r="Y55" s="181">
        <v>0.0</v>
      </c>
      <c r="Z55" s="181">
        <v>0.0</v>
      </c>
      <c r="AA55" s="181">
        <v>0.0</v>
      </c>
      <c r="AB55" s="859">
        <v>0.0</v>
      </c>
      <c r="AC55" s="859">
        <v>0.0</v>
      </c>
      <c r="AD55" s="859">
        <v>0.0</v>
      </c>
      <c r="AE55" s="859">
        <v>0.0</v>
      </c>
      <c r="AF55" s="859">
        <v>0.0</v>
      </c>
      <c r="AG55" s="859">
        <v>0.0</v>
      </c>
      <c r="AH55" s="859">
        <v>0.0</v>
      </c>
      <c r="AI55" s="493"/>
      <c r="AJ55" s="493"/>
      <c r="AK55" s="493"/>
      <c r="AL55" s="493"/>
      <c r="AM55" s="494" t="s">
        <v>3067</v>
      </c>
      <c r="AN55" s="100" t="b">
        <f t="shared" si="1"/>
        <v>0</v>
      </c>
      <c r="AO55" s="176"/>
    </row>
    <row r="56" ht="14.25" customHeight="1" outlineLevel="3">
      <c r="A56" s="833"/>
      <c r="B56" s="842"/>
      <c r="C56" s="842"/>
      <c r="D56" s="847"/>
      <c r="E56" s="187" t="s">
        <v>3077</v>
      </c>
      <c r="F56" s="123" t="s">
        <v>211</v>
      </c>
      <c r="G56" s="123" t="s">
        <v>3078</v>
      </c>
      <c r="H56" s="260"/>
      <c r="I56" s="181"/>
      <c r="J56" s="181"/>
      <c r="K56" s="181"/>
      <c r="L56" s="181"/>
      <c r="M56" s="181"/>
      <c r="N56" s="181"/>
      <c r="O56" s="181"/>
      <c r="P56" s="181"/>
      <c r="Q56" s="181"/>
      <c r="R56" s="181"/>
      <c r="S56" s="181"/>
      <c r="T56" s="181"/>
      <c r="U56" s="181"/>
      <c r="V56" s="181"/>
      <c r="W56" s="859">
        <v>0.0</v>
      </c>
      <c r="X56" s="181">
        <v>0.0</v>
      </c>
      <c r="Y56" s="181">
        <v>0.0</v>
      </c>
      <c r="Z56" s="181">
        <v>0.0</v>
      </c>
      <c r="AA56" s="181">
        <v>0.0</v>
      </c>
      <c r="AB56" s="859">
        <v>0.0</v>
      </c>
      <c r="AC56" s="859">
        <v>0.0</v>
      </c>
      <c r="AD56" s="859">
        <v>0.0</v>
      </c>
      <c r="AE56" s="859">
        <v>0.0</v>
      </c>
      <c r="AF56" s="859">
        <v>0.0</v>
      </c>
      <c r="AG56" s="859">
        <v>0.0</v>
      </c>
      <c r="AH56" s="859">
        <v>0.0</v>
      </c>
      <c r="AI56" s="493"/>
      <c r="AJ56" s="493"/>
      <c r="AK56" s="493"/>
      <c r="AL56" s="493"/>
      <c r="AM56" s="494" t="s">
        <v>3067</v>
      </c>
      <c r="AN56" s="100" t="b">
        <f t="shared" si="1"/>
        <v>0</v>
      </c>
      <c r="AO56" s="176"/>
    </row>
    <row r="57" ht="14.25" customHeight="1" outlineLevel="1">
      <c r="A57" s="833" t="s">
        <v>3079</v>
      </c>
      <c r="B57" s="841"/>
      <c r="C57" s="841"/>
      <c r="D57" s="847"/>
      <c r="E57" s="162"/>
      <c r="F57" s="162"/>
      <c r="G57" s="162"/>
      <c r="H57" s="178"/>
      <c r="I57" s="178"/>
      <c r="J57" s="178"/>
      <c r="K57" s="178"/>
      <c r="L57" s="178"/>
      <c r="M57" s="178"/>
      <c r="N57" s="178"/>
      <c r="O57" s="178"/>
      <c r="P57" s="178"/>
      <c r="Q57" s="178"/>
      <c r="R57" s="178"/>
      <c r="S57" s="178"/>
      <c r="T57" s="178"/>
      <c r="U57" s="178"/>
      <c r="V57" s="178"/>
      <c r="W57" s="836"/>
      <c r="X57" s="178"/>
      <c r="Y57" s="178"/>
      <c r="Z57" s="178"/>
      <c r="AA57" s="178"/>
      <c r="AB57" s="836"/>
      <c r="AC57" s="836"/>
      <c r="AD57" s="836"/>
      <c r="AE57" s="836"/>
      <c r="AF57" s="836"/>
      <c r="AG57" s="836"/>
      <c r="AH57" s="836"/>
      <c r="AI57" s="244"/>
      <c r="AJ57" s="244"/>
      <c r="AK57" s="244"/>
      <c r="AL57" s="244"/>
      <c r="AM57" s="244"/>
      <c r="AN57" s="100" t="b">
        <f t="shared" si="1"/>
        <v>0</v>
      </c>
      <c r="AO57" s="176"/>
    </row>
    <row r="58" ht="14.25" customHeight="1" outlineLevel="3">
      <c r="A58" s="833"/>
      <c r="B58" s="842"/>
      <c r="C58" s="842"/>
      <c r="D58" s="847"/>
      <c r="E58" s="834" t="s">
        <v>3080</v>
      </c>
      <c r="F58" s="249" t="s">
        <v>211</v>
      </c>
      <c r="G58" s="249" t="s">
        <v>3081</v>
      </c>
      <c r="H58" s="260"/>
      <c r="I58" s="181"/>
      <c r="J58" s="181"/>
      <c r="K58" s="181"/>
      <c r="L58" s="181"/>
      <c r="M58" s="181"/>
      <c r="N58" s="181"/>
      <c r="O58" s="181"/>
      <c r="P58" s="181"/>
      <c r="Q58" s="181"/>
      <c r="R58" s="181"/>
      <c r="S58" s="181"/>
      <c r="T58" s="181"/>
      <c r="U58" s="181"/>
      <c r="V58" s="181"/>
      <c r="W58" s="859">
        <v>0.15495404</v>
      </c>
      <c r="X58" s="181">
        <v>0.15495404</v>
      </c>
      <c r="Y58" s="181">
        <v>0.15495404</v>
      </c>
      <c r="Z58" s="181">
        <v>0.15495404</v>
      </c>
      <c r="AA58" s="181">
        <v>0.15495404</v>
      </c>
      <c r="AB58" s="859">
        <v>0.15495404</v>
      </c>
      <c r="AC58" s="859">
        <v>0.15495404</v>
      </c>
      <c r="AD58" s="859">
        <v>0.15495404</v>
      </c>
      <c r="AE58" s="859">
        <v>0.15495404</v>
      </c>
      <c r="AF58" s="859">
        <v>0.15495404</v>
      </c>
      <c r="AG58" s="859">
        <v>0.15495404</v>
      </c>
      <c r="AH58" s="859">
        <v>0.15495404</v>
      </c>
      <c r="AI58" s="493"/>
      <c r="AJ58" s="493"/>
      <c r="AK58" s="493"/>
      <c r="AL58" s="493"/>
      <c r="AM58" s="494" t="s">
        <v>3067</v>
      </c>
      <c r="AN58" s="100" t="b">
        <f t="shared" si="1"/>
        <v>0</v>
      </c>
      <c r="AO58" s="176"/>
    </row>
    <row r="59" ht="14.25" customHeight="1" outlineLevel="3">
      <c r="A59" s="833"/>
      <c r="B59" s="842"/>
      <c r="C59" s="842"/>
      <c r="D59" s="847"/>
      <c r="E59" s="861" t="s">
        <v>3082</v>
      </c>
      <c r="F59" s="249" t="s">
        <v>211</v>
      </c>
      <c r="G59" s="249" t="s">
        <v>3083</v>
      </c>
      <c r="H59" s="260"/>
      <c r="I59" s="181"/>
      <c r="J59" s="181"/>
      <c r="K59" s="181"/>
      <c r="L59" s="181"/>
      <c r="M59" s="181"/>
      <c r="N59" s="181"/>
      <c r="O59" s="181"/>
      <c r="P59" s="181"/>
      <c r="Q59" s="181"/>
      <c r="R59" s="181"/>
      <c r="S59" s="181"/>
      <c r="T59" s="181"/>
      <c r="U59" s="181"/>
      <c r="V59" s="181"/>
      <c r="W59" s="859">
        <v>2.086E-5</v>
      </c>
      <c r="X59" s="181">
        <v>2.086E-5</v>
      </c>
      <c r="Y59" s="181">
        <v>2.086E-5</v>
      </c>
      <c r="Z59" s="181">
        <v>2.086E-5</v>
      </c>
      <c r="AA59" s="181">
        <v>2.086E-5</v>
      </c>
      <c r="AB59" s="859">
        <v>2.086E-5</v>
      </c>
      <c r="AC59" s="859">
        <v>2.086E-5</v>
      </c>
      <c r="AD59" s="859">
        <v>2.086E-5</v>
      </c>
      <c r="AE59" s="859">
        <v>2.086E-5</v>
      </c>
      <c r="AF59" s="859">
        <v>2.086E-5</v>
      </c>
      <c r="AG59" s="859">
        <v>2.086E-5</v>
      </c>
      <c r="AH59" s="859">
        <v>2.086E-5</v>
      </c>
      <c r="AI59" s="493"/>
      <c r="AJ59" s="493"/>
      <c r="AK59" s="493"/>
      <c r="AL59" s="493"/>
      <c r="AM59" s="494" t="s">
        <v>3067</v>
      </c>
      <c r="AN59" s="100" t="b">
        <f t="shared" si="1"/>
        <v>0</v>
      </c>
      <c r="AO59" s="176"/>
    </row>
    <row r="60" ht="14.25" customHeight="1" outlineLevel="3">
      <c r="A60" s="833"/>
      <c r="B60" s="842"/>
      <c r="C60" s="842"/>
      <c r="D60" s="847"/>
      <c r="E60" s="187" t="s">
        <v>3084</v>
      </c>
      <c r="F60" s="123" t="s">
        <v>211</v>
      </c>
      <c r="G60" s="123" t="s">
        <v>3085</v>
      </c>
      <c r="H60" s="260"/>
      <c r="I60" s="181"/>
      <c r="J60" s="181"/>
      <c r="K60" s="181"/>
      <c r="L60" s="181"/>
      <c r="M60" s="181"/>
      <c r="N60" s="181"/>
      <c r="O60" s="181"/>
      <c r="P60" s="181"/>
      <c r="Q60" s="181"/>
      <c r="R60" s="181"/>
      <c r="S60" s="181"/>
      <c r="T60" s="181"/>
      <c r="U60" s="181"/>
      <c r="V60" s="181"/>
      <c r="W60" s="859">
        <v>0.15493318</v>
      </c>
      <c r="X60" s="181">
        <v>0.15493318</v>
      </c>
      <c r="Y60" s="181">
        <v>0.15493318</v>
      </c>
      <c r="Z60" s="181">
        <v>0.15493318</v>
      </c>
      <c r="AA60" s="181">
        <v>0.15493318</v>
      </c>
      <c r="AB60" s="859">
        <v>0.15493318</v>
      </c>
      <c r="AC60" s="859">
        <v>0.15493318</v>
      </c>
      <c r="AD60" s="859">
        <v>0.15493318</v>
      </c>
      <c r="AE60" s="859">
        <v>0.15493318</v>
      </c>
      <c r="AF60" s="859">
        <v>0.15493318</v>
      </c>
      <c r="AG60" s="859">
        <v>0.15493318</v>
      </c>
      <c r="AH60" s="859">
        <v>0.15493318</v>
      </c>
      <c r="AI60" s="493"/>
      <c r="AJ60" s="493"/>
      <c r="AK60" s="493"/>
      <c r="AL60" s="493"/>
      <c r="AM60" s="494" t="s">
        <v>3067</v>
      </c>
      <c r="AN60" s="100" t="b">
        <f t="shared" si="1"/>
        <v>0</v>
      </c>
      <c r="AO60" s="176"/>
    </row>
    <row r="61" ht="14.25" customHeight="1" outlineLevel="1">
      <c r="A61" s="833" t="s">
        <v>3061</v>
      </c>
      <c r="B61" s="841"/>
      <c r="C61" s="841"/>
      <c r="D61" s="847"/>
      <c r="E61" s="162"/>
      <c r="F61" s="162"/>
      <c r="G61" s="162"/>
      <c r="H61" s="178"/>
      <c r="I61" s="178"/>
      <c r="J61" s="178"/>
      <c r="K61" s="178"/>
      <c r="L61" s="178"/>
      <c r="M61" s="178"/>
      <c r="N61" s="178"/>
      <c r="O61" s="178"/>
      <c r="P61" s="178"/>
      <c r="Q61" s="178"/>
      <c r="R61" s="178"/>
      <c r="S61" s="178"/>
      <c r="T61" s="178"/>
      <c r="U61" s="178"/>
      <c r="V61" s="178"/>
      <c r="W61" s="836"/>
      <c r="X61" s="178"/>
      <c r="Y61" s="178"/>
      <c r="Z61" s="178"/>
      <c r="AA61" s="178"/>
      <c r="AB61" s="836"/>
      <c r="AC61" s="836"/>
      <c r="AD61" s="836"/>
      <c r="AE61" s="836"/>
      <c r="AF61" s="836"/>
      <c r="AG61" s="836"/>
      <c r="AH61" s="836"/>
      <c r="AI61" s="244"/>
      <c r="AJ61" s="244"/>
      <c r="AK61" s="244"/>
      <c r="AL61" s="244"/>
      <c r="AM61" s="244"/>
      <c r="AN61" s="100" t="b">
        <f t="shared" si="1"/>
        <v>0</v>
      </c>
      <c r="AO61" s="176"/>
    </row>
    <row r="62" ht="14.25" customHeight="1" outlineLevel="3">
      <c r="A62" s="833"/>
      <c r="B62" s="842"/>
      <c r="C62" s="842"/>
      <c r="D62" s="847"/>
      <c r="E62" s="834" t="s">
        <v>3086</v>
      </c>
      <c r="F62" s="249" t="s">
        <v>211</v>
      </c>
      <c r="G62" s="249" t="s">
        <v>3087</v>
      </c>
      <c r="H62" s="260"/>
      <c r="I62" s="181"/>
      <c r="J62" s="181"/>
      <c r="K62" s="181"/>
      <c r="L62" s="181"/>
      <c r="M62" s="181"/>
      <c r="N62" s="181"/>
      <c r="O62" s="181"/>
      <c r="P62" s="181"/>
      <c r="Q62" s="181"/>
      <c r="R62" s="181"/>
      <c r="S62" s="181"/>
      <c r="T62" s="181"/>
      <c r="U62" s="181"/>
      <c r="V62" s="181"/>
      <c r="W62" s="859">
        <v>0.0</v>
      </c>
      <c r="X62" s="181">
        <v>0.0</v>
      </c>
      <c r="Y62" s="181">
        <v>0.0</v>
      </c>
      <c r="Z62" s="181">
        <v>0.0</v>
      </c>
      <c r="AA62" s="181">
        <v>0.0</v>
      </c>
      <c r="AB62" s="859">
        <v>0.0</v>
      </c>
      <c r="AC62" s="859">
        <v>0.0</v>
      </c>
      <c r="AD62" s="859">
        <v>0.0</v>
      </c>
      <c r="AE62" s="859">
        <v>0.0</v>
      </c>
      <c r="AF62" s="859">
        <v>0.0</v>
      </c>
      <c r="AG62" s="859">
        <v>0.0</v>
      </c>
      <c r="AH62" s="859">
        <v>0.0</v>
      </c>
      <c r="AI62" s="493"/>
      <c r="AJ62" s="493"/>
      <c r="AK62" s="493"/>
      <c r="AL62" s="493"/>
      <c r="AM62" s="494" t="s">
        <v>3067</v>
      </c>
      <c r="AN62" s="100" t="b">
        <f t="shared" si="1"/>
        <v>0</v>
      </c>
      <c r="AO62" s="176"/>
    </row>
    <row r="63" ht="14.25" customHeight="1" outlineLevel="3">
      <c r="A63" s="833"/>
      <c r="B63" s="842"/>
      <c r="C63" s="842"/>
      <c r="D63" s="847"/>
      <c r="E63" s="861" t="s">
        <v>3088</v>
      </c>
      <c r="F63" s="249" t="s">
        <v>211</v>
      </c>
      <c r="G63" s="249" t="s">
        <v>3089</v>
      </c>
      <c r="H63" s="260"/>
      <c r="I63" s="181"/>
      <c r="J63" s="181"/>
      <c r="K63" s="181"/>
      <c r="L63" s="181"/>
      <c r="M63" s="181"/>
      <c r="N63" s="181"/>
      <c r="O63" s="181"/>
      <c r="P63" s="181"/>
      <c r="Q63" s="181"/>
      <c r="R63" s="181"/>
      <c r="S63" s="181"/>
      <c r="T63" s="181"/>
      <c r="U63" s="181"/>
      <c r="V63" s="181"/>
      <c r="W63" s="859">
        <v>0.0</v>
      </c>
      <c r="X63" s="181">
        <v>0.0</v>
      </c>
      <c r="Y63" s="181">
        <v>0.0</v>
      </c>
      <c r="Z63" s="181">
        <v>0.0</v>
      </c>
      <c r="AA63" s="181">
        <v>0.0</v>
      </c>
      <c r="AB63" s="859">
        <v>0.0</v>
      </c>
      <c r="AC63" s="859">
        <v>0.0</v>
      </c>
      <c r="AD63" s="859">
        <v>0.0</v>
      </c>
      <c r="AE63" s="859">
        <v>0.0</v>
      </c>
      <c r="AF63" s="859">
        <v>0.0</v>
      </c>
      <c r="AG63" s="859">
        <v>0.0</v>
      </c>
      <c r="AH63" s="859">
        <v>0.0</v>
      </c>
      <c r="AI63" s="493"/>
      <c r="AJ63" s="493"/>
      <c r="AK63" s="493"/>
      <c r="AL63" s="493"/>
      <c r="AM63" s="494" t="s">
        <v>3067</v>
      </c>
      <c r="AN63" s="100" t="b">
        <f t="shared" si="1"/>
        <v>0</v>
      </c>
      <c r="AO63" s="176"/>
    </row>
    <row r="64" ht="14.25" customHeight="1" outlineLevel="3">
      <c r="A64" s="833"/>
      <c r="B64" s="842"/>
      <c r="C64" s="842"/>
      <c r="D64" s="847"/>
      <c r="E64" s="187" t="s">
        <v>3090</v>
      </c>
      <c r="F64" s="123" t="s">
        <v>211</v>
      </c>
      <c r="G64" s="123" t="s">
        <v>3091</v>
      </c>
      <c r="H64" s="260"/>
      <c r="I64" s="181"/>
      <c r="J64" s="181"/>
      <c r="K64" s="181"/>
      <c r="L64" s="181"/>
      <c r="M64" s="181"/>
      <c r="N64" s="181"/>
      <c r="O64" s="181"/>
      <c r="P64" s="181"/>
      <c r="Q64" s="181"/>
      <c r="R64" s="181"/>
      <c r="S64" s="181"/>
      <c r="T64" s="181"/>
      <c r="U64" s="181"/>
      <c r="V64" s="181"/>
      <c r="W64" s="859">
        <v>0.0</v>
      </c>
      <c r="X64" s="181">
        <v>0.0</v>
      </c>
      <c r="Y64" s="181">
        <v>0.0</v>
      </c>
      <c r="Z64" s="181">
        <v>0.0</v>
      </c>
      <c r="AA64" s="181">
        <v>0.0</v>
      </c>
      <c r="AB64" s="859">
        <v>0.0</v>
      </c>
      <c r="AC64" s="859">
        <v>0.0</v>
      </c>
      <c r="AD64" s="859">
        <v>0.0</v>
      </c>
      <c r="AE64" s="859">
        <v>0.0</v>
      </c>
      <c r="AF64" s="859">
        <v>0.0</v>
      </c>
      <c r="AG64" s="859">
        <v>0.0</v>
      </c>
      <c r="AH64" s="859">
        <v>0.0</v>
      </c>
      <c r="AI64" s="493"/>
      <c r="AJ64" s="493"/>
      <c r="AK64" s="493"/>
      <c r="AL64" s="493"/>
      <c r="AM64" s="494" t="s">
        <v>3067</v>
      </c>
      <c r="AN64" s="100" t="b">
        <f t="shared" si="1"/>
        <v>0</v>
      </c>
      <c r="AO64" s="176"/>
    </row>
    <row r="65" ht="9.75" customHeight="1">
      <c r="A65" s="166"/>
      <c r="B65" s="167"/>
      <c r="C65" s="167"/>
      <c r="D65" s="167"/>
      <c r="E65" s="167"/>
      <c r="F65" s="168"/>
      <c r="G65" s="168"/>
      <c r="H65" s="169"/>
      <c r="I65" s="169"/>
      <c r="J65" s="169"/>
      <c r="K65" s="169"/>
      <c r="L65" s="169"/>
      <c r="M65" s="169"/>
      <c r="N65" s="169"/>
      <c r="O65" s="169"/>
      <c r="P65" s="169"/>
      <c r="Q65" s="169"/>
      <c r="R65" s="169"/>
      <c r="S65" s="169"/>
      <c r="T65" s="169"/>
      <c r="U65" s="169"/>
      <c r="V65" s="169"/>
      <c r="W65" s="169"/>
      <c r="X65" s="169"/>
      <c r="Y65" s="169"/>
      <c r="Z65" s="169"/>
      <c r="AA65" s="169"/>
      <c r="AB65" s="837"/>
      <c r="AC65" s="837"/>
      <c r="AD65" s="837"/>
      <c r="AE65" s="837"/>
      <c r="AF65" s="837"/>
      <c r="AG65" s="837"/>
      <c r="AH65" s="837"/>
      <c r="AI65" s="448"/>
      <c r="AJ65" s="448"/>
      <c r="AK65" s="448"/>
      <c r="AL65" s="448"/>
      <c r="AM65" s="448"/>
      <c r="AN65" s="100" t="b">
        <f t="shared" si="1"/>
        <v>0</v>
      </c>
      <c r="AO65" s="102"/>
    </row>
    <row r="66" ht="14.25" customHeight="1">
      <c r="A66" s="829" t="s">
        <v>3092</v>
      </c>
      <c r="B66" s="830"/>
      <c r="C66" s="830"/>
      <c r="D66" s="830"/>
      <c r="E66" s="830"/>
      <c r="F66" s="830"/>
      <c r="G66" s="830"/>
      <c r="H66" s="830"/>
      <c r="I66" s="830"/>
      <c r="J66" s="830"/>
      <c r="K66" s="830"/>
      <c r="L66" s="830"/>
      <c r="M66" s="830"/>
      <c r="N66" s="830"/>
      <c r="O66" s="830"/>
      <c r="P66" s="830"/>
      <c r="Q66" s="830"/>
      <c r="R66" s="830"/>
      <c r="S66" s="830"/>
      <c r="T66" s="830"/>
      <c r="U66" s="830"/>
      <c r="V66" s="830"/>
      <c r="W66" s="830"/>
      <c r="X66" s="830"/>
      <c r="Y66" s="830"/>
      <c r="Z66" s="830"/>
      <c r="AA66" s="830"/>
      <c r="AB66" s="830"/>
      <c r="AC66" s="830"/>
      <c r="AD66" s="830"/>
      <c r="AE66" s="830"/>
      <c r="AF66" s="830"/>
      <c r="AG66" s="830"/>
      <c r="AH66" s="830"/>
      <c r="AI66" s="832"/>
      <c r="AJ66" s="832"/>
      <c r="AK66" s="832"/>
      <c r="AL66" s="832"/>
      <c r="AM66" s="832"/>
      <c r="AN66" s="100" t="b">
        <f t="shared" si="1"/>
        <v>0</v>
      </c>
      <c r="AO66" s="102"/>
    </row>
    <row r="67" ht="14.25" customHeight="1" outlineLevel="1">
      <c r="A67" s="833" t="s">
        <v>3093</v>
      </c>
      <c r="B67" s="846"/>
      <c r="C67" s="846"/>
      <c r="D67" s="195"/>
      <c r="E67" s="162"/>
      <c r="F67" s="162"/>
      <c r="G67" s="162"/>
      <c r="H67" s="178"/>
      <c r="I67" s="178"/>
      <c r="J67" s="178"/>
      <c r="K67" s="178"/>
      <c r="L67" s="178"/>
      <c r="M67" s="178"/>
      <c r="N67" s="178"/>
      <c r="O67" s="178"/>
      <c r="P67" s="178"/>
      <c r="Q67" s="178"/>
      <c r="R67" s="178"/>
      <c r="S67" s="178"/>
      <c r="T67" s="178"/>
      <c r="U67" s="178"/>
      <c r="V67" s="178"/>
      <c r="W67" s="178"/>
      <c r="X67" s="178"/>
      <c r="Y67" s="178"/>
      <c r="Z67" s="178"/>
      <c r="AA67" s="178"/>
      <c r="AB67" s="836"/>
      <c r="AC67" s="836"/>
      <c r="AD67" s="836"/>
      <c r="AE67" s="836"/>
      <c r="AF67" s="836"/>
      <c r="AG67" s="836"/>
      <c r="AH67" s="836"/>
      <c r="AI67" s="244"/>
      <c r="AJ67" s="244"/>
      <c r="AK67" s="244"/>
      <c r="AL67" s="244"/>
      <c r="AM67" s="244"/>
      <c r="AN67" s="100" t="b">
        <f t="shared" si="1"/>
        <v>0</v>
      </c>
      <c r="AO67" s="176"/>
    </row>
    <row r="68" ht="14.25" customHeight="1" outlineLevel="3">
      <c r="A68" s="833"/>
      <c r="B68" s="842"/>
      <c r="C68" s="842"/>
      <c r="D68" s="847"/>
      <c r="E68" s="860" t="s">
        <v>213</v>
      </c>
      <c r="F68" s="123" t="s">
        <v>211</v>
      </c>
      <c r="G68" s="123" t="s">
        <v>214</v>
      </c>
      <c r="H68" s="274">
        <f>(solghgco2agr-solghgco2enc)+solghgch4agr+solghgn2oagr+solghgothagr+solghgco2luf+solghgch4luf+solghgn2oluf+solghgothluf</f>
        <v>0</v>
      </c>
      <c r="I68" s="274">
        <f>(solghgco2agr-solghgco2enc)+solghgch4agr+solghgn2oagr+solghgothagr+solghgco2luf+solghgch4luf+solghgn2oluf+solghgothluf</f>
        <v>0</v>
      </c>
      <c r="J68" s="274">
        <f>(solghgco2agr-solghgco2enc)+solghgch4agr+solghgn2oagr+solghgothagr+solghgco2luf+solghgch4luf+solghgn2oluf+solghgothluf</f>
        <v>0</v>
      </c>
      <c r="K68" s="274">
        <f>(solghgco2agr-solghgco2enc)+solghgch4agr+solghgn2oagr+solghgothagr+solghgco2luf+solghgch4luf+solghgn2oluf+solghgothluf</f>
        <v>0</v>
      </c>
      <c r="L68" s="274">
        <f>(solghgco2agr-solghgco2enc)+solghgch4agr+solghgn2oagr+solghgothagr+solghgco2luf+solghgch4luf+solghgn2oluf+solghgothluf</f>
        <v>0</v>
      </c>
      <c r="M68" s="274">
        <f>(solghgco2agr-solghgco2enc)+solghgch4agr+solghgn2oagr+solghgothagr+solghgco2luf+solghgch4luf+solghgn2oluf+solghgothluf</f>
        <v>0</v>
      </c>
      <c r="N68" s="274">
        <f>(solghgco2agr-solghgco2enc)+solghgch4agr+solghgn2oagr+solghgothagr+solghgco2luf+solghgch4luf+solghgn2oluf+solghgothluf</f>
        <v>0</v>
      </c>
      <c r="O68" s="274">
        <f>(solghgco2agr-solghgco2enc)+solghgch4agr+solghgn2oagr+solghgothagr+solghgco2luf+solghgch4luf+solghgn2oluf+solghgothluf</f>
        <v>0</v>
      </c>
      <c r="P68" s="274">
        <f>(solghgco2agr-solghgco2enc)+solghgch4agr+solghgn2oagr+solghgothagr+solghgco2luf+solghgch4luf+solghgn2oluf+solghgothluf</f>
        <v>0</v>
      </c>
      <c r="Q68" s="274">
        <f>(solghgco2agr-solghgco2enc)+solghgch4agr+solghgn2oagr+solghgothagr+solghgco2luf+solghgch4luf+solghgn2oluf+solghgothluf</f>
        <v>0</v>
      </c>
      <c r="R68" s="274">
        <f>(solghgco2agr-solghgco2enc)+solghgch4agr+solghgn2oagr+solghgothagr+solghgco2luf+solghgch4luf+solghgn2oluf+solghgothluf</f>
        <v>0</v>
      </c>
      <c r="S68" s="274">
        <f>(solghgco2agr-solghgco2enc)+solghgch4agr+solghgn2oagr+solghgothagr+solghgco2luf+solghgch4luf+solghgn2oluf+solghgothluf</f>
        <v>0</v>
      </c>
      <c r="T68" s="274">
        <f>(solghgco2agr-solghgco2enc)+solghgch4agr+solghgn2oagr+solghgothagr+solghgco2luf+solghgch4luf+solghgn2oluf+solghgothluf</f>
        <v>0</v>
      </c>
      <c r="U68" s="274">
        <f>(solghgco2agr-solghgco2enc)+solghgch4agr+solghgn2oagr+solghgothagr+solghgco2luf+solghgch4luf+solghgn2oluf+solghgothluf</f>
        <v>0</v>
      </c>
      <c r="V68" s="274">
        <f>(solghgco2agr-solghgco2enc)+solghgch4agr+solghgn2oagr+solghgothagr+solghgco2luf+solghgch4luf+solghgn2oluf+solghgothluf</f>
        <v>0</v>
      </c>
      <c r="W68" s="274">
        <f>(solghgco2agr-solghgco2enc)+solghgch4agr+solghgn2oagr+solghgothagr+solghgco2luf+solghgch4luf+solghgn2oluf+solghgothluf</f>
        <v>8.75026939</v>
      </c>
      <c r="X68" s="274">
        <f>(solghgco2agr-solghgco2enc)+solghgch4agr+solghgn2oagr+solghgothagr+solghgco2luf+solghgch4luf+solghgn2oluf+solghgothluf</f>
        <v>8.741004474</v>
      </c>
      <c r="Y68" s="274">
        <f>(solghgco2agr-solghgco2enc)+solghgch4agr+solghgn2oagr+solghgothagr+solghgco2luf+solghgch4luf+solghgn2oluf+solghgothluf</f>
        <v>8.713284321</v>
      </c>
      <c r="Z68" s="274">
        <f>(solghgco2agr-solghgco2enc)+solghgch4agr+solghgn2oagr+solghgothagr+solghgco2luf+solghgch4luf+solghgn2oluf+solghgothluf</f>
        <v>8.667332117</v>
      </c>
      <c r="AA68" s="274">
        <f>(solghgco2agr-solghgco2enc)+solghgch4agr+solghgn2oagr+solghgothagr+solghgco2luf+solghgch4luf+solghgn2oluf+solghgothluf</f>
        <v>8.603517843</v>
      </c>
      <c r="AB68" s="274">
        <f>(solghgco2agr-solghgco2enc)+solghgch4agr+solghgn2oagr+solghgothagr+solghgco2luf+solghgch4luf+solghgn2oluf+solghgothluf</f>
        <v>8.522355294</v>
      </c>
      <c r="AC68" s="274">
        <f>(solghgco2agr-solghgco2enc)+solghgch4agr+solghgn2oagr+solghgothagr+solghgco2luf+solghgch4luf+solghgn2oluf+solghgothluf</f>
        <v>7.883754187</v>
      </c>
      <c r="AD68" s="274">
        <f>(solghgco2agr-solghgco2enc)+solghgch4agr+solghgn2oagr+solghgothagr+solghgco2luf+solghgch4luf+solghgn2oluf+solghgothluf</f>
        <v>6.960948852</v>
      </c>
      <c r="AE68" s="274">
        <f>(solghgco2agr-solghgco2enc)+solghgch4agr+solghgn2oagr+solghgothagr+solghgco2luf+solghgch4luf+solghgn2oluf+solghgothluf</f>
        <v>5.936712201</v>
      </c>
      <c r="AF68" s="274">
        <f>(solghgco2agr-solghgco2enc)+solghgch4agr+solghgn2oagr+solghgothagr+solghgco2luf+solghgch4luf+solghgn2oluf+solghgothluf</f>
        <v>5.013906865</v>
      </c>
      <c r="AG68" s="274">
        <f>(solghgco2agr-solghgco2enc)+solghgch4agr+solghgn2oagr+solghgothagr+solghgco2luf+solghgch4luf+solghgn2oluf+solghgothluf</f>
        <v>4.375305759</v>
      </c>
      <c r="AH68" s="274">
        <f>(solghgco2agr-solghgco2enc)+solghgch4agr+solghgn2oagr+solghgothagr+solghgco2luf+solghgch4luf+solghgn2oluf+solghgothluf</f>
        <v>4.147391663</v>
      </c>
      <c r="AI68" s="493"/>
      <c r="AJ68" s="493"/>
      <c r="AK68" s="493"/>
      <c r="AL68" s="493"/>
      <c r="AM68" s="494" t="s">
        <v>3067</v>
      </c>
      <c r="AN68" s="100" t="b">
        <f t="shared" si="1"/>
        <v>1</v>
      </c>
      <c r="AO68" s="176"/>
    </row>
    <row r="69" ht="14.25" customHeight="1">
      <c r="A69" s="247"/>
      <c r="B69" s="100"/>
      <c r="C69" s="100"/>
      <c r="D69" s="100"/>
      <c r="E69" s="100"/>
      <c r="F69" s="206"/>
      <c r="G69" s="206"/>
      <c r="H69" s="207"/>
      <c r="I69" s="207"/>
      <c r="J69" s="207"/>
      <c r="K69" s="207"/>
      <c r="L69" s="207"/>
      <c r="M69" s="207"/>
      <c r="N69" s="207"/>
      <c r="O69" s="207"/>
      <c r="P69" s="207"/>
      <c r="Q69" s="207"/>
      <c r="R69" s="207"/>
      <c r="S69" s="207"/>
      <c r="T69" s="207"/>
      <c r="U69" s="207"/>
      <c r="V69" s="207"/>
      <c r="W69" s="208"/>
      <c r="X69" s="208"/>
      <c r="Y69" s="208"/>
      <c r="Z69" s="208"/>
      <c r="AA69" s="208"/>
      <c r="AB69" s="208"/>
      <c r="AC69" s="208"/>
      <c r="AD69" s="208"/>
      <c r="AE69" s="208"/>
      <c r="AF69" s="208"/>
      <c r="AG69" s="208"/>
      <c r="AH69" s="208"/>
      <c r="AI69" s="271"/>
      <c r="AJ69" s="271"/>
      <c r="AK69" s="271"/>
      <c r="AL69" s="271"/>
      <c r="AM69" s="271"/>
      <c r="AN69" s="100"/>
      <c r="AO69" s="102"/>
    </row>
    <row r="70" ht="14.25" customHeight="1">
      <c r="A70" s="247"/>
      <c r="B70" s="100"/>
      <c r="C70" s="100"/>
      <c r="D70" s="100"/>
      <c r="E70" s="100"/>
      <c r="F70" s="206"/>
      <c r="G70" s="206"/>
      <c r="H70" s="207"/>
      <c r="I70" s="207"/>
      <c r="J70" s="207"/>
      <c r="K70" s="207"/>
      <c r="L70" s="207"/>
      <c r="M70" s="207"/>
      <c r="N70" s="207"/>
      <c r="O70" s="207"/>
      <c r="P70" s="207"/>
      <c r="Q70" s="207"/>
      <c r="R70" s="207"/>
      <c r="S70" s="207"/>
      <c r="T70" s="207"/>
      <c r="U70" s="207"/>
      <c r="V70" s="207"/>
      <c r="W70" s="208"/>
      <c r="X70" s="208"/>
      <c r="Y70" s="208"/>
      <c r="Z70" s="208"/>
      <c r="AA70" s="208"/>
      <c r="AB70" s="208"/>
      <c r="AC70" s="208"/>
      <c r="AD70" s="208"/>
      <c r="AE70" s="208"/>
      <c r="AF70" s="208"/>
      <c r="AG70" s="208"/>
      <c r="AH70" s="208"/>
      <c r="AI70" s="271"/>
      <c r="AJ70" s="271"/>
      <c r="AK70" s="271"/>
      <c r="AL70" s="271"/>
      <c r="AM70" s="271"/>
      <c r="AN70" s="100"/>
      <c r="AO70" s="102"/>
    </row>
    <row r="71" ht="14.25" customHeight="1">
      <c r="A71" s="247"/>
      <c r="B71" s="100"/>
      <c r="C71" s="100"/>
      <c r="D71" s="100"/>
      <c r="E71" s="100"/>
      <c r="F71" s="206"/>
      <c r="G71" s="206"/>
      <c r="H71" s="207"/>
      <c r="I71" s="207"/>
      <c r="J71" s="207"/>
      <c r="K71" s="207"/>
      <c r="L71" s="207"/>
      <c r="M71" s="207"/>
      <c r="N71" s="207"/>
      <c r="O71" s="207"/>
      <c r="P71" s="207"/>
      <c r="Q71" s="207"/>
      <c r="R71" s="207"/>
      <c r="S71" s="207"/>
      <c r="T71" s="207"/>
      <c r="U71" s="207"/>
      <c r="V71" s="207"/>
      <c r="W71" s="208"/>
      <c r="X71" s="208"/>
      <c r="Y71" s="208"/>
      <c r="Z71" s="208"/>
      <c r="AA71" s="208"/>
      <c r="AB71" s="208"/>
      <c r="AC71" s="208"/>
      <c r="AD71" s="208"/>
      <c r="AE71" s="208"/>
      <c r="AF71" s="208"/>
      <c r="AG71" s="208"/>
      <c r="AH71" s="208"/>
      <c r="AI71" s="271"/>
      <c r="AJ71" s="271"/>
      <c r="AK71" s="271"/>
      <c r="AL71" s="271"/>
      <c r="AM71" s="271"/>
      <c r="AN71" s="100"/>
      <c r="AO71" s="102"/>
    </row>
    <row r="72" ht="14.25" customHeight="1">
      <c r="A72" s="247"/>
      <c r="B72" s="100"/>
      <c r="C72" s="100"/>
      <c r="D72" s="100"/>
      <c r="E72" s="862" t="s">
        <v>3094</v>
      </c>
      <c r="F72" s="206"/>
      <c r="G72" s="206"/>
      <c r="H72" s="207"/>
      <c r="I72" s="207"/>
      <c r="J72" s="207"/>
      <c r="K72" s="207"/>
      <c r="L72" s="207"/>
      <c r="M72" s="207"/>
      <c r="N72" s="207"/>
      <c r="O72" s="207"/>
      <c r="P72" s="207"/>
      <c r="Q72" s="207"/>
      <c r="R72" s="207"/>
      <c r="S72" s="207"/>
      <c r="T72" s="207"/>
      <c r="U72" s="207"/>
      <c r="V72" s="207"/>
      <c r="W72" s="208"/>
      <c r="X72" s="208"/>
      <c r="Y72" s="208"/>
      <c r="Z72" s="208"/>
      <c r="AA72" s="208"/>
      <c r="AB72" s="208"/>
      <c r="AC72" s="208"/>
      <c r="AD72" s="208"/>
      <c r="AE72" s="208"/>
      <c r="AF72" s="208"/>
      <c r="AG72" s="208"/>
      <c r="AH72" s="208"/>
      <c r="AI72" s="271"/>
      <c r="AJ72" s="271"/>
      <c r="AK72" s="271"/>
      <c r="AL72" s="271"/>
      <c r="AM72" s="271"/>
      <c r="AN72" s="100"/>
      <c r="AO72" s="102"/>
    </row>
    <row r="73" ht="60.0" customHeight="1">
      <c r="A73" s="247"/>
      <c r="B73" s="100"/>
      <c r="C73" s="100"/>
      <c r="D73" s="100"/>
      <c r="E73" s="210"/>
      <c r="F73" s="206"/>
      <c r="G73" s="206"/>
      <c r="H73" s="207"/>
      <c r="I73" s="207"/>
      <c r="J73" s="207"/>
      <c r="K73" s="207"/>
      <c r="L73" s="207"/>
      <c r="M73" s="207"/>
      <c r="N73" s="207"/>
      <c r="O73" s="207"/>
      <c r="P73" s="207"/>
      <c r="Q73" s="207"/>
      <c r="R73" s="207"/>
      <c r="S73" s="207"/>
      <c r="T73" s="207"/>
      <c r="U73" s="207"/>
      <c r="V73" s="207"/>
      <c r="W73" s="208"/>
      <c r="X73" s="208"/>
      <c r="Y73" s="208"/>
      <c r="Z73" s="208"/>
      <c r="AA73" s="208"/>
      <c r="AB73" s="208"/>
      <c r="AC73" s="208"/>
      <c r="AD73" s="208"/>
      <c r="AE73" s="208"/>
      <c r="AF73" s="208"/>
      <c r="AG73" s="208"/>
      <c r="AH73" s="208"/>
      <c r="AI73" s="271"/>
      <c r="AJ73" s="271"/>
      <c r="AK73" s="271"/>
      <c r="AL73" s="271"/>
      <c r="AM73" s="271"/>
      <c r="AN73" s="100"/>
      <c r="AO73" s="102"/>
    </row>
    <row r="74" ht="14.25" customHeight="1">
      <c r="A74" s="247"/>
      <c r="B74" s="100"/>
      <c r="C74" s="100"/>
      <c r="D74" s="100"/>
      <c r="E74" s="100"/>
      <c r="F74" s="206"/>
      <c r="G74" s="206"/>
      <c r="H74" s="207"/>
      <c r="I74" s="207"/>
      <c r="J74" s="207"/>
      <c r="K74" s="207"/>
      <c r="L74" s="207"/>
      <c r="M74" s="207"/>
      <c r="N74" s="207"/>
      <c r="O74" s="207"/>
      <c r="P74" s="207"/>
      <c r="Q74" s="207"/>
      <c r="R74" s="207"/>
      <c r="S74" s="207"/>
      <c r="T74" s="207"/>
      <c r="U74" s="207"/>
      <c r="V74" s="207"/>
      <c r="W74" s="208"/>
      <c r="X74" s="208"/>
      <c r="Y74" s="208"/>
      <c r="Z74" s="208"/>
      <c r="AA74" s="208"/>
      <c r="AB74" s="208"/>
      <c r="AC74" s="208"/>
      <c r="AD74" s="208"/>
      <c r="AE74" s="208"/>
      <c r="AF74" s="208"/>
      <c r="AG74" s="208"/>
      <c r="AH74" s="208"/>
      <c r="AI74" s="271"/>
      <c r="AJ74" s="271"/>
      <c r="AK74" s="271"/>
      <c r="AL74" s="271"/>
      <c r="AM74" s="271"/>
      <c r="AN74" s="100"/>
      <c r="AO74" s="102"/>
    </row>
    <row r="75" ht="14.25" customHeight="1">
      <c r="A75" s="247"/>
      <c r="B75" s="100"/>
      <c r="C75" s="100"/>
      <c r="D75" s="100"/>
      <c r="E75" s="100"/>
      <c r="F75" s="206"/>
      <c r="G75" s="206"/>
      <c r="H75" s="207"/>
      <c r="I75" s="207"/>
      <c r="J75" s="207"/>
      <c r="K75" s="207"/>
      <c r="L75" s="207"/>
      <c r="M75" s="207"/>
      <c r="N75" s="207"/>
      <c r="O75" s="207"/>
      <c r="P75" s="207"/>
      <c r="Q75" s="207"/>
      <c r="R75" s="207"/>
      <c r="S75" s="207"/>
      <c r="T75" s="207"/>
      <c r="U75" s="207"/>
      <c r="V75" s="207"/>
      <c r="W75" s="208"/>
      <c r="X75" s="208"/>
      <c r="Y75" s="208"/>
      <c r="Z75" s="208"/>
      <c r="AA75" s="208"/>
      <c r="AB75" s="208"/>
      <c r="AC75" s="208"/>
      <c r="AD75" s="208"/>
      <c r="AE75" s="208"/>
      <c r="AF75" s="208"/>
      <c r="AG75" s="208"/>
      <c r="AH75" s="208"/>
      <c r="AI75" s="271"/>
      <c r="AJ75" s="271"/>
      <c r="AK75" s="271"/>
      <c r="AL75" s="271"/>
      <c r="AM75" s="271"/>
      <c r="AN75" s="100"/>
      <c r="AO75" s="102"/>
    </row>
    <row r="76" ht="14.25" customHeight="1">
      <c r="A76" s="247"/>
      <c r="B76" s="100"/>
      <c r="C76" s="100"/>
      <c r="D76" s="100"/>
      <c r="E76" s="100"/>
      <c r="F76" s="206"/>
      <c r="G76" s="206"/>
      <c r="H76" s="207"/>
      <c r="I76" s="207"/>
      <c r="J76" s="207"/>
      <c r="K76" s="207"/>
      <c r="L76" s="207"/>
      <c r="M76" s="207"/>
      <c r="N76" s="207"/>
      <c r="O76" s="207"/>
      <c r="P76" s="207"/>
      <c r="Q76" s="207"/>
      <c r="R76" s="207"/>
      <c r="S76" s="207"/>
      <c r="T76" s="207"/>
      <c r="U76" s="207"/>
      <c r="V76" s="207"/>
      <c r="W76" s="208"/>
      <c r="X76" s="208"/>
      <c r="Y76" s="208"/>
      <c r="Z76" s="208"/>
      <c r="AA76" s="208"/>
      <c r="AB76" s="208"/>
      <c r="AC76" s="208"/>
      <c r="AD76" s="208"/>
      <c r="AE76" s="208"/>
      <c r="AF76" s="208"/>
      <c r="AG76" s="208"/>
      <c r="AH76" s="208"/>
      <c r="AI76" s="271"/>
      <c r="AJ76" s="271"/>
      <c r="AK76" s="271"/>
      <c r="AL76" s="271"/>
      <c r="AM76" s="271"/>
      <c r="AN76" s="100"/>
      <c r="AO76" s="102"/>
    </row>
    <row r="77" ht="14.25" customHeight="1">
      <c r="A77" s="136" t="s">
        <v>201</v>
      </c>
      <c r="B77" s="137"/>
      <c r="C77" s="137"/>
      <c r="D77" s="138"/>
      <c r="E77" s="137"/>
      <c r="F77" s="137"/>
      <c r="G77" s="137"/>
      <c r="H77" s="62">
        <v>2000.0</v>
      </c>
      <c r="I77" s="62">
        <v>2001.0</v>
      </c>
      <c r="J77" s="62">
        <v>2002.0</v>
      </c>
      <c r="K77" s="62">
        <v>2003.0</v>
      </c>
      <c r="L77" s="62">
        <v>2004.0</v>
      </c>
      <c r="M77" s="62">
        <v>2005.0</v>
      </c>
      <c r="N77" s="62">
        <v>2006.0</v>
      </c>
      <c r="O77" s="62">
        <v>2007.0</v>
      </c>
      <c r="P77" s="62">
        <v>2008.0</v>
      </c>
      <c r="Q77" s="62">
        <v>2009.0</v>
      </c>
      <c r="R77" s="62">
        <v>2010.0</v>
      </c>
      <c r="S77" s="62">
        <v>2011.0</v>
      </c>
      <c r="T77" s="62">
        <v>2012.0</v>
      </c>
      <c r="U77" s="62">
        <v>2013.0</v>
      </c>
      <c r="V77" s="62">
        <v>2014.0</v>
      </c>
      <c r="W77" s="62">
        <v>2015.0</v>
      </c>
      <c r="X77" s="62">
        <v>2016.0</v>
      </c>
      <c r="Y77" s="62">
        <v>2017.0</v>
      </c>
      <c r="Z77" s="62">
        <v>2018.0</v>
      </c>
      <c r="AA77" s="62">
        <v>2019.0</v>
      </c>
      <c r="AB77" s="62">
        <v>2020.0</v>
      </c>
      <c r="AC77" s="62">
        <v>2025.0</v>
      </c>
      <c r="AD77" s="62">
        <v>2030.0</v>
      </c>
      <c r="AE77" s="62">
        <v>2035.0</v>
      </c>
      <c r="AF77" s="62">
        <v>2040.0</v>
      </c>
      <c r="AG77" s="62">
        <v>2045.0</v>
      </c>
      <c r="AH77" s="62">
        <v>2050.0</v>
      </c>
      <c r="AI77" s="212" t="s">
        <v>243</v>
      </c>
      <c r="AJ77" s="212" t="s">
        <v>244</v>
      </c>
      <c r="AK77" s="212" t="s">
        <v>245</v>
      </c>
      <c r="AL77" s="212" t="s">
        <v>246</v>
      </c>
      <c r="AM77" s="212" t="s">
        <v>247</v>
      </c>
      <c r="AN77" s="100"/>
      <c r="AO77" s="102"/>
    </row>
    <row r="78" ht="14.25" customHeight="1">
      <c r="A78" s="226" t="s">
        <v>255</v>
      </c>
      <c r="B78" s="227"/>
      <c r="C78" s="227"/>
      <c r="D78" s="227"/>
      <c r="E78" s="227"/>
      <c r="F78" s="227"/>
      <c r="G78" s="227"/>
      <c r="H78" s="141">
        <f t="shared" ref="H78:AH78" si="4">(COUNTA(H2:H68)-COUNTIF($AN$2:$AN$68,1))/(COUNTA($G$2:$G$68)-COUNTIF($AN$2:$AN$68,1))</f>
        <v>0.06976744186</v>
      </c>
      <c r="I78" s="141">
        <f t="shared" si="4"/>
        <v>0.06976744186</v>
      </c>
      <c r="J78" s="141">
        <f t="shared" si="4"/>
        <v>0.06976744186</v>
      </c>
      <c r="K78" s="141">
        <f t="shared" si="4"/>
        <v>0.06976744186</v>
      </c>
      <c r="L78" s="141">
        <f t="shared" si="4"/>
        <v>0.06976744186</v>
      </c>
      <c r="M78" s="141">
        <f t="shared" si="4"/>
        <v>0.06976744186</v>
      </c>
      <c r="N78" s="141">
        <f t="shared" si="4"/>
        <v>0.06976744186</v>
      </c>
      <c r="O78" s="141">
        <f t="shared" si="4"/>
        <v>0.06976744186</v>
      </c>
      <c r="P78" s="141">
        <f t="shared" si="4"/>
        <v>0.06976744186</v>
      </c>
      <c r="Q78" s="141">
        <f t="shared" si="4"/>
        <v>0.06976744186</v>
      </c>
      <c r="R78" s="141">
        <f t="shared" si="4"/>
        <v>0.06976744186</v>
      </c>
      <c r="S78" s="141">
        <f t="shared" si="4"/>
        <v>0.06976744186</v>
      </c>
      <c r="T78" s="141">
        <f t="shared" si="4"/>
        <v>0.06976744186</v>
      </c>
      <c r="U78" s="141">
        <f t="shared" si="4"/>
        <v>0.06976744186</v>
      </c>
      <c r="V78" s="141">
        <f t="shared" si="4"/>
        <v>0.06976744186</v>
      </c>
      <c r="W78" s="141">
        <f t="shared" si="4"/>
        <v>1</v>
      </c>
      <c r="X78" s="141">
        <f t="shared" si="4"/>
        <v>0.8837209302</v>
      </c>
      <c r="Y78" s="141">
        <f t="shared" si="4"/>
        <v>0.8837209302</v>
      </c>
      <c r="Z78" s="141">
        <f t="shared" si="4"/>
        <v>0.8837209302</v>
      </c>
      <c r="AA78" s="141">
        <f t="shared" si="4"/>
        <v>0.8837209302</v>
      </c>
      <c r="AB78" s="141">
        <f t="shared" si="4"/>
        <v>1</v>
      </c>
      <c r="AC78" s="141">
        <f t="shared" si="4"/>
        <v>1</v>
      </c>
      <c r="AD78" s="141">
        <f t="shared" si="4"/>
        <v>1</v>
      </c>
      <c r="AE78" s="141">
        <f t="shared" si="4"/>
        <v>1</v>
      </c>
      <c r="AF78" s="141">
        <f t="shared" si="4"/>
        <v>1</v>
      </c>
      <c r="AG78" s="141">
        <f t="shared" si="4"/>
        <v>1</v>
      </c>
      <c r="AH78" s="141">
        <f t="shared" si="4"/>
        <v>1</v>
      </c>
      <c r="AI78" s="141">
        <f>AVERAGE(H78:AA78)</f>
        <v>0.2790697674</v>
      </c>
      <c r="AJ78" s="141">
        <f>W78</f>
        <v>1</v>
      </c>
      <c r="AK78" s="141">
        <f>AVERAGE(AB78:AH78)</f>
        <v>1</v>
      </c>
      <c r="AL78" s="141">
        <f>AVERAGE(W78,AB78,AC78,AD78,AE78,AF78,AG78,AH78)</f>
        <v>1</v>
      </c>
      <c r="AM78" s="272">
        <f>AVERAGE(H78:AH78)</f>
        <v>0.4659776055</v>
      </c>
      <c r="AN78" s="100"/>
      <c r="AO78" s="102"/>
    </row>
    <row r="79" ht="14.25" customHeight="1">
      <c r="A79" s="247"/>
      <c r="B79" s="100"/>
      <c r="C79" s="100"/>
      <c r="D79" s="100"/>
      <c r="E79" s="100"/>
      <c r="F79" s="206"/>
      <c r="G79" s="206"/>
      <c r="H79" s="207"/>
      <c r="I79" s="207"/>
      <c r="J79" s="207"/>
      <c r="K79" s="207"/>
      <c r="L79" s="207"/>
      <c r="M79" s="207"/>
      <c r="N79" s="207"/>
      <c r="O79" s="207"/>
      <c r="P79" s="207"/>
      <c r="Q79" s="207"/>
      <c r="R79" s="207"/>
      <c r="S79" s="207"/>
      <c r="T79" s="207"/>
      <c r="U79" s="207"/>
      <c r="V79" s="207"/>
      <c r="W79" s="208"/>
      <c r="X79" s="208"/>
      <c r="Y79" s="208"/>
      <c r="Z79" s="208"/>
      <c r="AA79" s="208"/>
      <c r="AB79" s="208"/>
      <c r="AC79" s="208"/>
      <c r="AD79" s="208"/>
      <c r="AE79" s="208"/>
      <c r="AF79" s="208"/>
      <c r="AG79" s="208"/>
      <c r="AH79" s="208"/>
      <c r="AI79" s="271"/>
      <c r="AJ79" s="271"/>
      <c r="AK79" s="271"/>
      <c r="AL79" s="271"/>
      <c r="AM79" s="271"/>
      <c r="AN79" s="100"/>
      <c r="AO79" s="102"/>
    </row>
    <row r="80" ht="14.25" customHeight="1">
      <c r="A80" s="306"/>
      <c r="B80" s="230"/>
      <c r="C80" s="230"/>
      <c r="D80" s="230"/>
      <c r="E80" s="230"/>
      <c r="F80" s="231"/>
      <c r="G80" s="231"/>
      <c r="H80" s="232"/>
      <c r="I80" s="232"/>
      <c r="J80" s="232"/>
      <c r="K80" s="232"/>
      <c r="L80" s="232"/>
      <c r="M80" s="232"/>
      <c r="N80" s="232"/>
      <c r="O80" s="232"/>
      <c r="P80" s="232"/>
      <c r="Q80" s="232"/>
      <c r="R80" s="232"/>
      <c r="S80" s="232"/>
      <c r="T80" s="232"/>
      <c r="U80" s="232"/>
      <c r="V80" s="232"/>
      <c r="W80" s="233"/>
      <c r="X80" s="233"/>
      <c r="Y80" s="233"/>
      <c r="Z80" s="233"/>
      <c r="AA80" s="233"/>
      <c r="AB80" s="233"/>
      <c r="AC80" s="233"/>
      <c r="AD80" s="233"/>
      <c r="AE80" s="233"/>
      <c r="AF80" s="233"/>
      <c r="AG80" s="233"/>
      <c r="AH80" s="233"/>
      <c r="AI80" s="307"/>
      <c r="AJ80" s="307"/>
      <c r="AK80" s="307"/>
      <c r="AL80" s="307"/>
      <c r="AM80" s="307"/>
      <c r="AN80" s="230"/>
      <c r="AO80" s="234"/>
    </row>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1:E1"/>
  </mergeCells>
  <conditionalFormatting sqref="H8:AH8 H14:AH19">
    <cfRule type="expression" dxfId="0" priority="1">
      <formula>ABS(H$8-SUM(H$14:H$19))&gt;10^-8</formula>
    </cfRule>
  </conditionalFormatting>
  <conditionalFormatting sqref="H32:AH34">
    <cfRule type="expression" dxfId="0" priority="2">
      <formula>ABS(H$32-SUM(H$33:H$34))&gt;10^-5</formula>
    </cfRule>
  </conditionalFormatting>
  <conditionalFormatting sqref="H36:AH39">
    <cfRule type="expression" dxfId="0" priority="3">
      <formula>ABS(H$36-SUM(H$37:H$39))&gt;10^-5</formula>
    </cfRule>
  </conditionalFormatting>
  <conditionalFormatting sqref="H41:AH44">
    <cfRule type="expression" dxfId="0" priority="4">
      <formula>ABS(H$41-SUM(H$42:H$44))&gt;10^-5</formula>
    </cfRule>
  </conditionalFormatting>
  <conditionalFormatting sqref="H50:AH52">
    <cfRule type="expression" dxfId="0" priority="5">
      <formula>ABS(H$50-SUM(H$51:H$52))&gt;10^-5</formula>
    </cfRule>
  </conditionalFormatting>
  <conditionalFormatting sqref="H54:AH56">
    <cfRule type="expression" dxfId="0" priority="6">
      <formula>ABS(H$54-SUM(H$55:H$56))&gt;10^-5</formula>
    </cfRule>
  </conditionalFormatting>
  <conditionalFormatting sqref="H58:AH60">
    <cfRule type="expression" dxfId="0" priority="7">
      <formula>ABS(H$58-SUM(H$59:H$60))&gt;10^-5</formula>
    </cfRule>
  </conditionalFormatting>
  <conditionalFormatting sqref="H62:AH64">
    <cfRule type="expression" dxfId="0" priority="8">
      <formula>ABS(H$62-SUM(H$63:H$64))&gt;10^-5</formula>
    </cfRule>
  </conditionalFormatting>
  <conditionalFormatting sqref="H78:AM78">
    <cfRule type="colorScale" priority="9">
      <colorScale>
        <cfvo type="formula" val="0"/>
        <cfvo type="formula" val="0.5"/>
        <cfvo type="formula" val="1"/>
        <color rgb="FFFF9999"/>
        <color rgb="FFFFF2CC"/>
        <color rgb="FF91EF98"/>
      </colorScale>
    </cfRule>
  </conditionalFormatting>
  <printOptions/>
  <pageMargins bottom="0.75" footer="0.0" header="0.0" left="0.7" right="0.7" top="0.75"/>
  <pageSetup paperSize="9"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B3B69"/>
    <pageSetUpPr/>
  </sheetPr>
  <sheetViews>
    <sheetView showGridLines="0"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4.43" defaultRowHeight="15.0" outlineLevelCol="1" outlineLevelRow="4"/>
  <cols>
    <col customWidth="1" min="1" max="4" width="1.43"/>
    <col customWidth="1" min="5" max="5" width="47.43"/>
    <col customWidth="1" min="6" max="6" width="4.43"/>
    <col customWidth="1" min="7" max="7" width="8.43"/>
    <col customWidth="1" hidden="1" min="8" max="22" width="10.57" outlineLevel="1"/>
    <col customWidth="1" min="23" max="23" width="8.43"/>
    <col customWidth="1" hidden="1" min="24" max="27" width="8.43" outlineLevel="1"/>
    <col customWidth="1" min="28" max="34" width="8.43"/>
    <col customWidth="1" min="35" max="37" width="10.57"/>
    <col customWidth="1" min="38" max="38" width="55.43"/>
    <col customWidth="1" min="39" max="39" width="62.43"/>
    <col customWidth="1" min="40" max="40" width="6.43"/>
  </cols>
  <sheetData>
    <row r="1" ht="14.25" customHeight="1">
      <c r="A1" s="147" t="s">
        <v>49</v>
      </c>
      <c r="B1" s="148"/>
      <c r="C1" s="148"/>
      <c r="D1" s="148"/>
      <c r="E1" s="149"/>
      <c r="F1" s="114" t="s">
        <v>50</v>
      </c>
      <c r="G1" s="114" t="s">
        <v>51</v>
      </c>
      <c r="H1" s="114">
        <v>2000.0</v>
      </c>
      <c r="I1" s="114">
        <v>2001.0</v>
      </c>
      <c r="J1" s="114">
        <v>2002.0</v>
      </c>
      <c r="K1" s="114">
        <v>2003.0</v>
      </c>
      <c r="L1" s="114">
        <v>2004.0</v>
      </c>
      <c r="M1" s="114">
        <v>2005.0</v>
      </c>
      <c r="N1" s="114">
        <v>2006.0</v>
      </c>
      <c r="O1" s="114">
        <v>2007.0</v>
      </c>
      <c r="P1" s="114">
        <v>2008.0</v>
      </c>
      <c r="Q1" s="114">
        <v>2009.0</v>
      </c>
      <c r="R1" s="114">
        <v>2010.0</v>
      </c>
      <c r="S1" s="114">
        <v>2011.0</v>
      </c>
      <c r="T1" s="114">
        <v>2012.0</v>
      </c>
      <c r="U1" s="114">
        <v>2013.0</v>
      </c>
      <c r="V1" s="114">
        <v>2014.0</v>
      </c>
      <c r="W1" s="114">
        <f>ReferenceYear</f>
        <v>2015</v>
      </c>
      <c r="X1" s="114">
        <v>2016.0</v>
      </c>
      <c r="Y1" s="114">
        <v>2017.0</v>
      </c>
      <c r="Z1" s="114">
        <v>2018.0</v>
      </c>
      <c r="AA1" s="114">
        <v>2019.0</v>
      </c>
      <c r="AB1" s="114">
        <f>IFERROR(IF(W1+5&lt;=TargetYear,W1+5,""),"")</f>
        <v>2020</v>
      </c>
      <c r="AC1" s="114">
        <f>IFERROR(IF(AB1+5&lt;=TargetYear,AB1+5,""),"")</f>
        <v>2025</v>
      </c>
      <c r="AD1" s="114">
        <f>IFERROR(IF(AC1+5&lt;=TargetYear,AC1+5,""),"")</f>
        <v>2030</v>
      </c>
      <c r="AE1" s="114">
        <f>IFERROR(IF(AD1+5&lt;=TargetYear,AD1+5,""),"")</f>
        <v>2035</v>
      </c>
      <c r="AF1" s="114">
        <f>IFERROR(IF(AE1+5&lt;=TargetYear,AE1+5,""),"")</f>
        <v>2040</v>
      </c>
      <c r="AG1" s="114">
        <f>IFERROR(IF(AF1+5&lt;=TargetYear,AF1+5,""),"")</f>
        <v>2045</v>
      </c>
      <c r="AH1" s="114">
        <f>IFERROR(IF(AG1+5&lt;=TargetYear,AG1+5,""),"")</f>
        <v>2050</v>
      </c>
      <c r="AI1" s="114" t="s">
        <v>52</v>
      </c>
      <c r="AJ1" s="114" t="s">
        <v>53</v>
      </c>
      <c r="AK1" s="114" t="s">
        <v>54</v>
      </c>
      <c r="AL1" s="114" t="s">
        <v>55</v>
      </c>
      <c r="AM1" s="114" t="s">
        <v>56</v>
      </c>
      <c r="AN1" s="150"/>
    </row>
    <row r="2" ht="14.25" customHeight="1">
      <c r="A2" s="191" t="s">
        <v>221</v>
      </c>
      <c r="B2" s="192"/>
      <c r="C2" s="192"/>
      <c r="D2" s="192"/>
      <c r="E2" s="192"/>
      <c r="F2" s="192"/>
      <c r="G2" s="192"/>
      <c r="H2" s="193"/>
      <c r="I2" s="193"/>
      <c r="J2" s="193"/>
      <c r="K2" s="193"/>
      <c r="L2" s="193"/>
      <c r="M2" s="193"/>
      <c r="N2" s="193"/>
      <c r="O2" s="193"/>
      <c r="P2" s="193"/>
      <c r="Q2" s="193"/>
      <c r="R2" s="193"/>
      <c r="S2" s="193"/>
      <c r="T2" s="193"/>
      <c r="U2" s="193"/>
      <c r="V2" s="193"/>
      <c r="W2" s="193"/>
      <c r="X2" s="193"/>
      <c r="Y2" s="193"/>
      <c r="Z2" s="193"/>
      <c r="AA2" s="193"/>
      <c r="AB2" s="193"/>
      <c r="AC2" s="193"/>
      <c r="AD2" s="193"/>
      <c r="AE2" s="193"/>
      <c r="AF2" s="193"/>
      <c r="AG2" s="193"/>
      <c r="AH2" s="193"/>
      <c r="AI2" s="194"/>
      <c r="AJ2" s="194"/>
      <c r="AK2" s="194"/>
      <c r="AL2" s="194"/>
      <c r="AM2" s="194"/>
      <c r="AN2" s="176"/>
    </row>
    <row r="3" ht="9.75" customHeight="1">
      <c r="A3" s="166"/>
      <c r="B3" s="167"/>
      <c r="C3" s="167"/>
      <c r="D3" s="167"/>
      <c r="E3" s="167"/>
      <c r="F3" s="168"/>
      <c r="G3" s="168"/>
      <c r="H3" s="169"/>
      <c r="I3" s="169"/>
      <c r="J3" s="169"/>
      <c r="K3" s="169"/>
      <c r="L3" s="169"/>
      <c r="M3" s="169"/>
      <c r="N3" s="169"/>
      <c r="O3" s="169"/>
      <c r="P3" s="169"/>
      <c r="Q3" s="169"/>
      <c r="R3" s="169"/>
      <c r="S3" s="169"/>
      <c r="T3" s="169"/>
      <c r="U3" s="169"/>
      <c r="V3" s="169"/>
      <c r="W3" s="169"/>
      <c r="X3" s="169"/>
      <c r="Y3" s="169"/>
      <c r="Z3" s="169"/>
      <c r="AA3" s="169"/>
      <c r="AB3" s="169"/>
      <c r="AC3" s="169"/>
      <c r="AD3" s="169"/>
      <c r="AE3" s="169"/>
      <c r="AF3" s="169"/>
      <c r="AG3" s="169"/>
      <c r="AH3" s="169"/>
      <c r="AI3" s="448"/>
      <c r="AJ3" s="448"/>
      <c r="AK3" s="448"/>
      <c r="AL3" s="448"/>
      <c r="AM3" s="448"/>
      <c r="AN3" s="102"/>
    </row>
    <row r="4" ht="14.25" customHeight="1">
      <c r="A4" s="196" t="s">
        <v>43</v>
      </c>
      <c r="B4" s="197"/>
      <c r="C4" s="197"/>
      <c r="D4" s="197"/>
      <c r="E4" s="197"/>
      <c r="F4" s="197"/>
      <c r="G4" s="197"/>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9"/>
      <c r="AJ4" s="199"/>
      <c r="AK4" s="199"/>
      <c r="AL4" s="199"/>
      <c r="AM4" s="199"/>
      <c r="AN4" s="176"/>
    </row>
    <row r="5" ht="14.25" customHeight="1" outlineLevel="1">
      <c r="A5" s="492" t="s">
        <v>3095</v>
      </c>
      <c r="B5" s="863"/>
      <c r="C5" s="863"/>
      <c r="D5" s="863"/>
      <c r="E5" s="162"/>
      <c r="F5" s="864"/>
      <c r="G5" s="864"/>
      <c r="H5" s="178"/>
      <c r="I5" s="178"/>
      <c r="J5" s="178"/>
      <c r="K5" s="178"/>
      <c r="L5" s="178"/>
      <c r="M5" s="178"/>
      <c r="N5" s="178"/>
      <c r="O5" s="178"/>
      <c r="P5" s="178"/>
      <c r="Q5" s="178"/>
      <c r="R5" s="178"/>
      <c r="S5" s="178"/>
      <c r="T5" s="178"/>
      <c r="U5" s="178"/>
      <c r="V5" s="178"/>
      <c r="W5" s="178"/>
      <c r="X5" s="178"/>
      <c r="Y5" s="178"/>
      <c r="Z5" s="178"/>
      <c r="AA5" s="178"/>
      <c r="AB5" s="178"/>
      <c r="AC5" s="178"/>
      <c r="AD5" s="178"/>
      <c r="AE5" s="178"/>
      <c r="AF5" s="178"/>
      <c r="AG5" s="178"/>
      <c r="AH5" s="178"/>
      <c r="AI5" s="244"/>
      <c r="AJ5" s="244"/>
      <c r="AK5" s="244"/>
      <c r="AL5" s="244"/>
      <c r="AM5" s="244"/>
      <c r="AN5" s="176"/>
    </row>
    <row r="6" ht="14.25" customHeight="1" outlineLevel="2">
      <c r="A6" s="865"/>
      <c r="B6" s="866"/>
      <c r="C6" s="866"/>
      <c r="D6" s="867"/>
      <c r="E6" s="122" t="s">
        <v>3096</v>
      </c>
      <c r="F6" s="123" t="s">
        <v>135</v>
      </c>
      <c r="G6" s="123" t="s">
        <v>3097</v>
      </c>
      <c r="H6" s="181">
        <v>0.0</v>
      </c>
      <c r="I6" s="181">
        <v>0.0</v>
      </c>
      <c r="J6" s="181">
        <v>0.0</v>
      </c>
      <c r="K6" s="181">
        <v>0.0</v>
      </c>
      <c r="L6" s="181">
        <v>0.0</v>
      </c>
      <c r="M6" s="181">
        <v>0.0</v>
      </c>
      <c r="N6" s="181">
        <v>0.0</v>
      </c>
      <c r="O6" s="181">
        <v>0.0</v>
      </c>
      <c r="P6" s="181">
        <v>0.0</v>
      </c>
      <c r="Q6" s="181">
        <v>0.0</v>
      </c>
      <c r="R6" s="181">
        <v>0.0</v>
      </c>
      <c r="S6" s="181">
        <v>0.0</v>
      </c>
      <c r="T6" s="181">
        <v>0.0</v>
      </c>
      <c r="U6" s="181">
        <v>0.0</v>
      </c>
      <c r="V6" s="181">
        <v>0.0</v>
      </c>
      <c r="W6" s="182">
        <v>0.0</v>
      </c>
      <c r="X6" s="254">
        <v>0.0</v>
      </c>
      <c r="Y6" s="254">
        <v>0.0</v>
      </c>
      <c r="Z6" s="254">
        <v>0.0</v>
      </c>
      <c r="AA6" s="254">
        <v>0.0</v>
      </c>
      <c r="AB6" s="182">
        <v>0.0</v>
      </c>
      <c r="AC6" s="182">
        <v>0.0</v>
      </c>
      <c r="AD6" s="182">
        <v>0.0</v>
      </c>
      <c r="AE6" s="182">
        <v>0.0</v>
      </c>
      <c r="AF6" s="182">
        <v>0.0</v>
      </c>
      <c r="AG6" s="182">
        <v>0.0</v>
      </c>
      <c r="AH6" s="182">
        <v>0.0</v>
      </c>
      <c r="AI6" s="493"/>
      <c r="AJ6" s="493"/>
      <c r="AK6" s="493"/>
      <c r="AL6" s="493"/>
      <c r="AM6" s="494"/>
      <c r="AN6" s="176"/>
    </row>
    <row r="7" ht="14.25" customHeight="1" outlineLevel="2">
      <c r="A7" s="865"/>
      <c r="B7" s="866"/>
      <c r="C7" s="866"/>
      <c r="D7" s="867"/>
      <c r="E7" s="122" t="s">
        <v>3098</v>
      </c>
      <c r="F7" s="123" t="s">
        <v>135</v>
      </c>
      <c r="G7" s="123" t="s">
        <v>3099</v>
      </c>
      <c r="H7" s="181">
        <v>0.0</v>
      </c>
      <c r="I7" s="181">
        <v>0.0</v>
      </c>
      <c r="J7" s="181">
        <v>0.0</v>
      </c>
      <c r="K7" s="181">
        <v>0.0</v>
      </c>
      <c r="L7" s="181">
        <v>0.0</v>
      </c>
      <c r="M7" s="181">
        <v>0.0</v>
      </c>
      <c r="N7" s="181">
        <v>0.0</v>
      </c>
      <c r="O7" s="181">
        <v>0.0</v>
      </c>
      <c r="P7" s="181">
        <v>0.0</v>
      </c>
      <c r="Q7" s="181">
        <v>0.0</v>
      </c>
      <c r="R7" s="181">
        <v>0.0</v>
      </c>
      <c r="S7" s="181">
        <v>0.0</v>
      </c>
      <c r="T7" s="181">
        <v>0.0</v>
      </c>
      <c r="U7" s="181">
        <v>0.0</v>
      </c>
      <c r="V7" s="181">
        <v>0.0</v>
      </c>
      <c r="W7" s="182">
        <v>0.0</v>
      </c>
      <c r="X7" s="254">
        <v>0.0</v>
      </c>
      <c r="Y7" s="254">
        <v>0.0</v>
      </c>
      <c r="Z7" s="254">
        <v>0.0</v>
      </c>
      <c r="AA7" s="254">
        <v>0.0</v>
      </c>
      <c r="AB7" s="182">
        <v>0.0</v>
      </c>
      <c r="AC7" s="182">
        <v>0.0</v>
      </c>
      <c r="AD7" s="182">
        <v>0.0</v>
      </c>
      <c r="AE7" s="182">
        <v>0.0</v>
      </c>
      <c r="AF7" s="182">
        <v>0.0</v>
      </c>
      <c r="AG7" s="182">
        <v>0.0</v>
      </c>
      <c r="AH7" s="182">
        <v>0.0</v>
      </c>
      <c r="AI7" s="493"/>
      <c r="AJ7" s="493"/>
      <c r="AK7" s="493"/>
      <c r="AL7" s="493"/>
      <c r="AM7" s="494"/>
      <c r="AN7" s="176"/>
    </row>
    <row r="8" ht="14.25" customHeight="1" outlineLevel="2">
      <c r="A8" s="865"/>
      <c r="B8" s="866"/>
      <c r="C8" s="866"/>
      <c r="D8" s="867"/>
      <c r="E8" s="122" t="s">
        <v>3100</v>
      </c>
      <c r="F8" s="123" t="s">
        <v>135</v>
      </c>
      <c r="G8" s="123" t="s">
        <v>3101</v>
      </c>
      <c r="H8" s="181">
        <v>0.0</v>
      </c>
      <c r="I8" s="181">
        <v>0.0</v>
      </c>
      <c r="J8" s="181">
        <v>0.0</v>
      </c>
      <c r="K8" s="181">
        <v>0.0</v>
      </c>
      <c r="L8" s="181">
        <v>0.0</v>
      </c>
      <c r="M8" s="181">
        <v>0.0</v>
      </c>
      <c r="N8" s="181">
        <v>0.0</v>
      </c>
      <c r="O8" s="181">
        <v>0.0</v>
      </c>
      <c r="P8" s="181">
        <v>0.0</v>
      </c>
      <c r="Q8" s="181">
        <v>0.0</v>
      </c>
      <c r="R8" s="181">
        <v>0.0</v>
      </c>
      <c r="S8" s="181">
        <v>0.0</v>
      </c>
      <c r="T8" s="181">
        <v>0.0</v>
      </c>
      <c r="U8" s="181">
        <v>0.0</v>
      </c>
      <c r="V8" s="181">
        <v>0.0</v>
      </c>
      <c r="W8" s="182">
        <v>0.0</v>
      </c>
      <c r="X8" s="254">
        <v>0.0</v>
      </c>
      <c r="Y8" s="254">
        <v>0.0</v>
      </c>
      <c r="Z8" s="254">
        <v>0.0</v>
      </c>
      <c r="AA8" s="254">
        <v>0.0</v>
      </c>
      <c r="AB8" s="182">
        <v>0.0</v>
      </c>
      <c r="AC8" s="182">
        <v>0.0</v>
      </c>
      <c r="AD8" s="182">
        <v>0.0</v>
      </c>
      <c r="AE8" s="182">
        <v>0.0</v>
      </c>
      <c r="AF8" s="182">
        <v>0.0</v>
      </c>
      <c r="AG8" s="182">
        <v>0.0</v>
      </c>
      <c r="AH8" s="182">
        <v>0.0</v>
      </c>
      <c r="AI8" s="493"/>
      <c r="AJ8" s="493"/>
      <c r="AK8" s="493"/>
      <c r="AL8" s="493"/>
      <c r="AM8" s="494"/>
      <c r="AN8" s="176"/>
    </row>
    <row r="9" ht="14.25" customHeight="1" outlineLevel="2">
      <c r="A9" s="865"/>
      <c r="B9" s="866"/>
      <c r="C9" s="866"/>
      <c r="D9" s="867"/>
      <c r="E9" s="122" t="s">
        <v>3102</v>
      </c>
      <c r="F9" s="123" t="s">
        <v>135</v>
      </c>
      <c r="G9" s="123" t="s">
        <v>3103</v>
      </c>
      <c r="H9" s="181">
        <v>0.0</v>
      </c>
      <c r="I9" s="181">
        <v>0.0</v>
      </c>
      <c r="J9" s="181">
        <v>0.0</v>
      </c>
      <c r="K9" s="181">
        <v>0.0</v>
      </c>
      <c r="L9" s="181">
        <v>0.0</v>
      </c>
      <c r="M9" s="181">
        <v>0.0</v>
      </c>
      <c r="N9" s="181">
        <v>0.0</v>
      </c>
      <c r="O9" s="181">
        <v>0.0</v>
      </c>
      <c r="P9" s="181">
        <v>0.0</v>
      </c>
      <c r="Q9" s="181">
        <v>0.0</v>
      </c>
      <c r="R9" s="181">
        <v>0.0</v>
      </c>
      <c r="S9" s="181">
        <v>0.0</v>
      </c>
      <c r="T9" s="181">
        <v>0.0</v>
      </c>
      <c r="U9" s="181">
        <v>0.0</v>
      </c>
      <c r="V9" s="181">
        <v>0.0</v>
      </c>
      <c r="W9" s="182">
        <v>0.0</v>
      </c>
      <c r="X9" s="254">
        <v>0.0</v>
      </c>
      <c r="Y9" s="254">
        <v>0.0</v>
      </c>
      <c r="Z9" s="254">
        <v>0.0</v>
      </c>
      <c r="AA9" s="254">
        <v>0.0</v>
      </c>
      <c r="AB9" s="182">
        <v>0.0</v>
      </c>
      <c r="AC9" s="182">
        <v>0.0</v>
      </c>
      <c r="AD9" s="182">
        <v>0.0</v>
      </c>
      <c r="AE9" s="182">
        <v>0.0</v>
      </c>
      <c r="AF9" s="182">
        <v>0.0</v>
      </c>
      <c r="AG9" s="182">
        <v>0.0</v>
      </c>
      <c r="AH9" s="182">
        <v>0.0</v>
      </c>
      <c r="AI9" s="493"/>
      <c r="AJ9" s="493"/>
      <c r="AK9" s="493"/>
      <c r="AL9" s="493"/>
      <c r="AM9" s="494"/>
      <c r="AN9" s="176"/>
    </row>
    <row r="10" ht="14.25" customHeight="1" outlineLevel="2">
      <c r="A10" s="865"/>
      <c r="B10" s="863"/>
      <c r="C10" s="863"/>
      <c r="D10" s="868"/>
      <c r="E10" s="122" t="s">
        <v>3104</v>
      </c>
      <c r="F10" s="123" t="s">
        <v>261</v>
      </c>
      <c r="G10" s="123" t="s">
        <v>3105</v>
      </c>
      <c r="H10" s="254">
        <v>0.301995516684384</v>
      </c>
      <c r="I10" s="254">
        <v>0.26386269778441</v>
      </c>
      <c r="J10" s="254">
        <v>0.270934273412086</v>
      </c>
      <c r="K10" s="254">
        <v>0.294254211265968</v>
      </c>
      <c r="L10" s="254">
        <v>0.279954741372574</v>
      </c>
      <c r="M10" s="254">
        <v>0.327314365675864</v>
      </c>
      <c r="N10" s="254">
        <v>0.275855137452207</v>
      </c>
      <c r="O10" s="254">
        <v>0.201617732029563</v>
      </c>
      <c r="P10" s="254">
        <v>0.272924771621585</v>
      </c>
      <c r="Q10" s="254">
        <v>0.282798137758147</v>
      </c>
      <c r="R10" s="254">
        <v>0.353804320393585</v>
      </c>
      <c r="S10" s="254">
        <v>0.442092820981735</v>
      </c>
      <c r="T10" s="254">
        <v>0.363436182776406</v>
      </c>
      <c r="U10" s="254">
        <v>0.395866030975155</v>
      </c>
      <c r="V10" s="254">
        <v>0.415862688270036</v>
      </c>
      <c r="W10" s="256">
        <v>0.423539706847517</v>
      </c>
      <c r="X10" s="254"/>
      <c r="Y10" s="254"/>
      <c r="Z10" s="254"/>
      <c r="AA10" s="254"/>
      <c r="AB10" s="256">
        <v>0.423539706847517</v>
      </c>
      <c r="AC10" s="256">
        <v>0.423539706847517</v>
      </c>
      <c r="AD10" s="256">
        <v>0.423539706847517</v>
      </c>
      <c r="AE10" s="256">
        <v>0.423539706847517</v>
      </c>
      <c r="AF10" s="256">
        <v>0.423539706847517</v>
      </c>
      <c r="AG10" s="256">
        <v>0.423539706847517</v>
      </c>
      <c r="AH10" s="256">
        <v>0.423539706847517</v>
      </c>
      <c r="AI10" s="493"/>
      <c r="AJ10" s="493"/>
      <c r="AK10" s="493"/>
      <c r="AL10" s="493"/>
      <c r="AM10" s="494"/>
      <c r="AN10" s="176"/>
    </row>
    <row r="11" ht="14.25" customHeight="1" outlineLevel="1">
      <c r="A11" s="492" t="s">
        <v>3106</v>
      </c>
      <c r="B11" s="863"/>
      <c r="C11" s="868"/>
      <c r="D11" s="868"/>
      <c r="E11" s="127"/>
      <c r="F11" s="869"/>
      <c r="G11" s="869"/>
      <c r="H11" s="208"/>
      <c r="I11" s="208"/>
      <c r="J11" s="208"/>
      <c r="K11" s="208"/>
      <c r="L11" s="208"/>
      <c r="M11" s="208"/>
      <c r="N11" s="208"/>
      <c r="O11" s="208"/>
      <c r="P11" s="208"/>
      <c r="Q11" s="208"/>
      <c r="R11" s="208"/>
      <c r="S11" s="208"/>
      <c r="T11" s="208"/>
      <c r="U11" s="208"/>
      <c r="V11" s="208"/>
      <c r="W11" s="208"/>
      <c r="X11" s="208"/>
      <c r="Y11" s="208"/>
      <c r="Z11" s="208"/>
      <c r="AA11" s="208"/>
      <c r="AB11" s="208"/>
      <c r="AC11" s="208"/>
      <c r="AD11" s="208"/>
      <c r="AE11" s="208"/>
      <c r="AF11" s="208"/>
      <c r="AG11" s="208"/>
      <c r="AH11" s="208"/>
      <c r="AI11" s="271"/>
      <c r="AJ11" s="271"/>
      <c r="AK11" s="271"/>
      <c r="AL11" s="271"/>
      <c r="AM11" s="271"/>
      <c r="AN11" s="176"/>
    </row>
    <row r="12" ht="14.25" customHeight="1" outlineLevel="2">
      <c r="A12" s="865"/>
      <c r="B12" s="863"/>
      <c r="C12" s="863"/>
      <c r="D12" s="868"/>
      <c r="E12" s="122" t="s">
        <v>3000</v>
      </c>
      <c r="F12" s="123" t="s">
        <v>135</v>
      </c>
      <c r="G12" s="123" t="s">
        <v>3107</v>
      </c>
      <c r="H12" s="181">
        <f>solprodomboi</f>
        <v>0</v>
      </c>
      <c r="I12" s="181">
        <f>solprodomboi</f>
        <v>0</v>
      </c>
      <c r="J12" s="181">
        <f>solprodomboi</f>
        <v>0</v>
      </c>
      <c r="K12" s="181">
        <f>solprodomboi</f>
        <v>0</v>
      </c>
      <c r="L12" s="181">
        <f>solprodomboi</f>
        <v>0</v>
      </c>
      <c r="M12" s="181">
        <f>solprodomboi</f>
        <v>0</v>
      </c>
      <c r="N12" s="181">
        <f>solprodomboi</f>
        <v>0</v>
      </c>
      <c r="O12" s="181">
        <f>solprodomboi</f>
        <v>0</v>
      </c>
      <c r="P12" s="181">
        <f>solprodomboi</f>
        <v>0</v>
      </c>
      <c r="Q12" s="181">
        <f>solprodomboi</f>
        <v>0</v>
      </c>
      <c r="R12" s="181">
        <f>solprodomboi</f>
        <v>0</v>
      </c>
      <c r="S12" s="181">
        <f>solprodomboi</f>
        <v>0</v>
      </c>
      <c r="T12" s="181">
        <f>solprodomboi</f>
        <v>0</v>
      </c>
      <c r="U12" s="181">
        <f>solprodomboi</f>
        <v>0</v>
      </c>
      <c r="V12" s="181">
        <f>solprodomboi</f>
        <v>0</v>
      </c>
      <c r="W12" s="202">
        <f>solprodomboi</f>
        <v>15.95443445</v>
      </c>
      <c r="X12" s="181">
        <f>solprodomboi</f>
        <v>15.95357157</v>
      </c>
      <c r="Y12" s="181">
        <f>solprodomboi</f>
        <v>15.95098985</v>
      </c>
      <c r="Z12" s="181">
        <f>solprodomboi</f>
        <v>15.94671009</v>
      </c>
      <c r="AA12" s="181">
        <f>solprodomboi</f>
        <v>15.94076674</v>
      </c>
      <c r="AB12" s="202">
        <f>solprodomboi</f>
        <v>15.93320767</v>
      </c>
      <c r="AC12" s="202">
        <f>solprodomboi</f>
        <v>15.87373153</v>
      </c>
      <c r="AD12" s="202">
        <f>solprodomboi</f>
        <v>15.78778602</v>
      </c>
      <c r="AE12" s="202">
        <f>solprodomboi</f>
        <v>15.69239371</v>
      </c>
      <c r="AF12" s="202">
        <f>solprodomboi</f>
        <v>15.6064482</v>
      </c>
      <c r="AG12" s="202">
        <f>solprodomboi</f>
        <v>15.54697206</v>
      </c>
      <c r="AH12" s="202">
        <f>solprodomboi</f>
        <v>15.52574527</v>
      </c>
      <c r="AI12" s="204"/>
      <c r="AJ12" s="275"/>
      <c r="AK12" s="493"/>
      <c r="AL12" s="493"/>
      <c r="AM12" s="494"/>
      <c r="AN12" s="176"/>
    </row>
    <row r="13" ht="14.25" customHeight="1" outlineLevel="2">
      <c r="A13" s="865"/>
      <c r="B13" s="863"/>
      <c r="C13" s="863"/>
      <c r="D13" s="868"/>
      <c r="E13" s="122" t="s">
        <v>3008</v>
      </c>
      <c r="F13" s="123" t="s">
        <v>135</v>
      </c>
      <c r="G13" s="123" t="s">
        <v>3108</v>
      </c>
      <c r="H13" s="181" t="str">
        <f>solprodomblq</f>
        <v/>
      </c>
      <c r="I13" s="181" t="str">
        <f>solprodomblq</f>
        <v/>
      </c>
      <c r="J13" s="181" t="str">
        <f>solprodomblq</f>
        <v/>
      </c>
      <c r="K13" s="181" t="str">
        <f>solprodomblq</f>
        <v/>
      </c>
      <c r="L13" s="181" t="str">
        <f>solprodomblq</f>
        <v/>
      </c>
      <c r="M13" s="181" t="str">
        <f>solprodomblq</f>
        <v/>
      </c>
      <c r="N13" s="181" t="str">
        <f>solprodomblq</f>
        <v/>
      </c>
      <c r="O13" s="181" t="str">
        <f>solprodomblq</f>
        <v/>
      </c>
      <c r="P13" s="181" t="str">
        <f>solprodomblq</f>
        <v/>
      </c>
      <c r="Q13" s="181" t="str">
        <f>solprodomblq</f>
        <v/>
      </c>
      <c r="R13" s="181" t="str">
        <f>solprodomblq</f>
        <v/>
      </c>
      <c r="S13" s="181" t="str">
        <f>solprodomblq</f>
        <v/>
      </c>
      <c r="T13" s="181" t="str">
        <f>solprodomblq</f>
        <v/>
      </c>
      <c r="U13" s="181" t="str">
        <f>solprodomblq</f>
        <v/>
      </c>
      <c r="V13" s="181" t="str">
        <f>solprodomblq</f>
        <v/>
      </c>
      <c r="W13" s="202">
        <f>solprodomblq</f>
        <v>5.243331</v>
      </c>
      <c r="X13" s="181">
        <f>solprodomblq</f>
        <v>5.240650276</v>
      </c>
      <c r="Y13" s="181">
        <f>solprodomblq</f>
        <v>5.232629687</v>
      </c>
      <c r="Z13" s="181">
        <f>solprodomblq</f>
        <v>5.219333812</v>
      </c>
      <c r="AA13" s="181">
        <f>solprodomblq</f>
        <v>5.200869699</v>
      </c>
      <c r="AB13" s="202">
        <f>solprodomblq</f>
        <v>5.177386011</v>
      </c>
      <c r="AC13" s="202">
        <f>solprodomblq</f>
        <v>4.992612259</v>
      </c>
      <c r="AD13" s="202">
        <f>solprodomblq</f>
        <v>4.725606451</v>
      </c>
      <c r="AE13" s="202">
        <f>solprodomblq</f>
        <v>4.429252362</v>
      </c>
      <c r="AF13" s="202">
        <f>solprodomblq</f>
        <v>4.162246554</v>
      </c>
      <c r="AG13" s="202">
        <f>solprodomblq</f>
        <v>3.977472802</v>
      </c>
      <c r="AH13" s="202">
        <f>solprodomblq</f>
        <v>3.911527813</v>
      </c>
      <c r="AI13" s="493"/>
      <c r="AJ13" s="493"/>
      <c r="AK13" s="493"/>
      <c r="AL13" s="493"/>
      <c r="AM13" s="494"/>
      <c r="AN13" s="176"/>
    </row>
    <row r="14" ht="14.25" customHeight="1" outlineLevel="2">
      <c r="A14" s="865"/>
      <c r="B14" s="863"/>
      <c r="C14" s="863"/>
      <c r="D14" s="868"/>
      <c r="E14" s="122" t="s">
        <v>3109</v>
      </c>
      <c r="F14" s="123" t="s">
        <v>135</v>
      </c>
      <c r="G14" s="123" t="s">
        <v>3110</v>
      </c>
      <c r="H14" s="181">
        <v>0.335277777777796</v>
      </c>
      <c r="I14" s="181">
        <v>0.517535</v>
      </c>
      <c r="J14" s="181">
        <v>0.5302290287</v>
      </c>
      <c r="K14" s="181">
        <v>0.598945</v>
      </c>
      <c r="L14" s="181">
        <v>0.8406814117</v>
      </c>
      <c r="M14" s="181">
        <v>1.07972222222227</v>
      </c>
      <c r="N14" s="181">
        <v>0.928074</v>
      </c>
      <c r="O14" s="181">
        <v>0.945608551</v>
      </c>
      <c r="P14" s="181">
        <v>0.9966126138</v>
      </c>
      <c r="Q14" s="181">
        <v>1.457239</v>
      </c>
      <c r="R14" s="181">
        <v>1.48225229973069</v>
      </c>
      <c r="S14" s="181">
        <v>1.49221900745588</v>
      </c>
      <c r="T14" s="181">
        <v>1.85555555555558</v>
      </c>
      <c r="U14" s="181">
        <v>2.19805555555558</v>
      </c>
      <c r="V14" s="181">
        <v>2.40890965356296</v>
      </c>
      <c r="W14" s="182">
        <v>2.646756</v>
      </c>
      <c r="X14" s="181">
        <v>2.65700157058239</v>
      </c>
      <c r="Y14" s="181">
        <v>2.68765579101952</v>
      </c>
      <c r="Z14" s="181">
        <v>2.73847185155282</v>
      </c>
      <c r="AA14" s="181">
        <v>2.80904061114224</v>
      </c>
      <c r="AB14" s="182">
        <v>2.89879389162933</v>
      </c>
      <c r="AC14" s="182">
        <v>3.60498837103824</v>
      </c>
      <c r="AD14" s="182">
        <v>4.62546896067287</v>
      </c>
      <c r="AE14" s="182">
        <v>5.75811696438298</v>
      </c>
      <c r="AF14" s="182">
        <v>6.77859755401761</v>
      </c>
      <c r="AG14" s="182">
        <v>7.48479203342652</v>
      </c>
      <c r="AH14" s="184">
        <v>7.73682992505585</v>
      </c>
      <c r="AI14" s="493"/>
      <c r="AJ14" s="493"/>
      <c r="AK14" s="493"/>
      <c r="AL14" s="493"/>
      <c r="AM14" s="494"/>
      <c r="AN14" s="176"/>
    </row>
    <row r="15" ht="14.25" customHeight="1" outlineLevel="1">
      <c r="A15" s="492" t="s">
        <v>3111</v>
      </c>
      <c r="B15" s="863"/>
      <c r="C15" s="868"/>
      <c r="D15" s="868"/>
      <c r="E15" s="127"/>
      <c r="F15" s="869"/>
      <c r="G15" s="869"/>
      <c r="H15" s="208"/>
      <c r="I15" s="208"/>
      <c r="J15" s="208"/>
      <c r="K15" s="208"/>
      <c r="L15" s="208"/>
      <c r="M15" s="208"/>
      <c r="N15" s="208"/>
      <c r="O15" s="208"/>
      <c r="P15" s="208"/>
      <c r="Q15" s="208"/>
      <c r="R15" s="208"/>
      <c r="S15" s="208"/>
      <c r="T15" s="208"/>
      <c r="U15" s="208"/>
      <c r="V15" s="208"/>
      <c r="W15" s="208"/>
      <c r="X15" s="208"/>
      <c r="Y15" s="208"/>
      <c r="Z15" s="208"/>
      <c r="AA15" s="208"/>
      <c r="AB15" s="208"/>
      <c r="AC15" s="208"/>
      <c r="AD15" s="208"/>
      <c r="AE15" s="208"/>
      <c r="AF15" s="208"/>
      <c r="AG15" s="208"/>
      <c r="AH15" s="208"/>
      <c r="AI15" s="271"/>
      <c r="AJ15" s="271"/>
      <c r="AK15" s="271"/>
      <c r="AL15" s="271"/>
      <c r="AM15" s="271"/>
      <c r="AN15" s="176"/>
    </row>
    <row r="16" ht="14.25" customHeight="1" outlineLevel="2">
      <c r="A16" s="363"/>
      <c r="B16" s="162"/>
      <c r="C16" s="162"/>
      <c r="D16" s="100"/>
      <c r="E16" s="122" t="s">
        <v>3112</v>
      </c>
      <c r="F16" s="433" t="s">
        <v>135</v>
      </c>
      <c r="G16" s="123" t="s">
        <v>3113</v>
      </c>
      <c r="H16" s="181"/>
      <c r="I16" s="181"/>
      <c r="J16" s="181"/>
      <c r="K16" s="181"/>
      <c r="L16" s="181"/>
      <c r="M16" s="181"/>
      <c r="N16" s="181"/>
      <c r="O16" s="181"/>
      <c r="P16" s="181"/>
      <c r="Q16" s="181"/>
      <c r="R16" s="181"/>
      <c r="S16" s="181"/>
      <c r="T16" s="181"/>
      <c r="U16" s="181"/>
      <c r="V16" s="181"/>
      <c r="W16" s="182"/>
      <c r="X16" s="181"/>
      <c r="Y16" s="181"/>
      <c r="Z16" s="181"/>
      <c r="AA16" s="181"/>
      <c r="AB16" s="182"/>
      <c r="AC16" s="182"/>
      <c r="AD16" s="182"/>
      <c r="AE16" s="182"/>
      <c r="AF16" s="182"/>
      <c r="AG16" s="182"/>
      <c r="AH16" s="184"/>
      <c r="AI16" s="493"/>
      <c r="AJ16" s="493"/>
      <c r="AK16" s="493"/>
      <c r="AL16" s="493"/>
      <c r="AM16" s="494"/>
      <c r="AN16" s="176"/>
    </row>
    <row r="17" ht="14.25" customHeight="1" outlineLevel="2">
      <c r="A17" s="363"/>
      <c r="B17" s="162"/>
      <c r="C17" s="162"/>
      <c r="D17" s="100"/>
      <c r="E17" s="412" t="s">
        <v>3114</v>
      </c>
      <c r="F17" s="123" t="s">
        <v>261</v>
      </c>
      <c r="G17" s="123" t="s">
        <v>3115</v>
      </c>
      <c r="H17" s="254"/>
      <c r="I17" s="254"/>
      <c r="J17" s="254"/>
      <c r="K17" s="254"/>
      <c r="L17" s="254"/>
      <c r="M17" s="254"/>
      <c r="N17" s="254"/>
      <c r="O17" s="254"/>
      <c r="P17" s="254"/>
      <c r="Q17" s="254"/>
      <c r="R17" s="254"/>
      <c r="S17" s="254"/>
      <c r="T17" s="254"/>
      <c r="U17" s="254"/>
      <c r="V17" s="254"/>
      <c r="W17" s="279"/>
      <c r="X17" s="254"/>
      <c r="Y17" s="254"/>
      <c r="Z17" s="254"/>
      <c r="AA17" s="254"/>
      <c r="AB17" s="279"/>
      <c r="AC17" s="279"/>
      <c r="AD17" s="279"/>
      <c r="AE17" s="279"/>
      <c r="AF17" s="279"/>
      <c r="AG17" s="279"/>
      <c r="AH17" s="279"/>
      <c r="AI17" s="493"/>
      <c r="AJ17" s="493"/>
      <c r="AK17" s="493"/>
      <c r="AL17" s="493"/>
      <c r="AM17" s="494"/>
      <c r="AN17" s="176"/>
    </row>
    <row r="18" ht="14.25" customHeight="1" outlineLevel="2">
      <c r="A18" s="363"/>
      <c r="B18" s="162"/>
      <c r="C18" s="162"/>
      <c r="D18" s="100"/>
      <c r="E18" s="122" t="s">
        <v>3116</v>
      </c>
      <c r="F18" s="433" t="s">
        <v>135</v>
      </c>
      <c r="G18" s="123" t="s">
        <v>3117</v>
      </c>
      <c r="H18" s="181"/>
      <c r="I18" s="181"/>
      <c r="J18" s="181"/>
      <c r="K18" s="181"/>
      <c r="L18" s="181"/>
      <c r="M18" s="181"/>
      <c r="N18" s="181"/>
      <c r="O18" s="181"/>
      <c r="P18" s="181"/>
      <c r="Q18" s="181"/>
      <c r="R18" s="181"/>
      <c r="S18" s="181"/>
      <c r="T18" s="181"/>
      <c r="U18" s="181"/>
      <c r="V18" s="181"/>
      <c r="W18" s="182"/>
      <c r="X18" s="181"/>
      <c r="Y18" s="181"/>
      <c r="Z18" s="181"/>
      <c r="AA18" s="181"/>
      <c r="AB18" s="182"/>
      <c r="AC18" s="182"/>
      <c r="AD18" s="182"/>
      <c r="AE18" s="182"/>
      <c r="AF18" s="182"/>
      <c r="AG18" s="182"/>
      <c r="AH18" s="184"/>
      <c r="AI18" s="493"/>
      <c r="AJ18" s="493"/>
      <c r="AK18" s="493"/>
      <c r="AL18" s="493"/>
      <c r="AM18" s="494"/>
      <c r="AN18" s="176"/>
    </row>
    <row r="19" ht="14.25" customHeight="1" outlineLevel="2">
      <c r="A19" s="363"/>
      <c r="B19" s="162"/>
      <c r="C19" s="162"/>
      <c r="D19" s="100"/>
      <c r="E19" s="412" t="s">
        <v>3118</v>
      </c>
      <c r="F19" s="123" t="s">
        <v>261</v>
      </c>
      <c r="G19" s="123" t="s">
        <v>3119</v>
      </c>
      <c r="H19" s="254"/>
      <c r="I19" s="254"/>
      <c r="J19" s="254"/>
      <c r="K19" s="254"/>
      <c r="L19" s="254"/>
      <c r="M19" s="254"/>
      <c r="N19" s="254"/>
      <c r="O19" s="254"/>
      <c r="P19" s="254"/>
      <c r="Q19" s="254"/>
      <c r="R19" s="254"/>
      <c r="S19" s="254"/>
      <c r="T19" s="254"/>
      <c r="U19" s="254"/>
      <c r="V19" s="254"/>
      <c r="W19" s="279"/>
      <c r="X19" s="254"/>
      <c r="Y19" s="254"/>
      <c r="Z19" s="254"/>
      <c r="AA19" s="254"/>
      <c r="AB19" s="279"/>
      <c r="AC19" s="279"/>
      <c r="AD19" s="279"/>
      <c r="AE19" s="279"/>
      <c r="AF19" s="279"/>
      <c r="AG19" s="279"/>
      <c r="AH19" s="279"/>
      <c r="AI19" s="493"/>
      <c r="AJ19" s="493"/>
      <c r="AK19" s="493"/>
      <c r="AL19" s="493"/>
      <c r="AM19" s="494"/>
      <c r="AN19" s="176"/>
    </row>
    <row r="20" ht="14.25" customHeight="1" outlineLevel="1">
      <c r="A20" s="492" t="s">
        <v>3120</v>
      </c>
      <c r="B20" s="863"/>
      <c r="C20" s="868"/>
      <c r="D20" s="868"/>
      <c r="E20" s="100"/>
      <c r="F20" s="869"/>
      <c r="G20" s="869"/>
      <c r="H20" s="208"/>
      <c r="I20" s="208"/>
      <c r="J20" s="208"/>
      <c r="K20" s="208"/>
      <c r="L20" s="208"/>
      <c r="M20" s="208"/>
      <c r="N20" s="208"/>
      <c r="O20" s="208"/>
      <c r="P20" s="208"/>
      <c r="Q20" s="208"/>
      <c r="R20" s="208"/>
      <c r="S20" s="208"/>
      <c r="T20" s="208"/>
      <c r="U20" s="208"/>
      <c r="V20" s="208"/>
      <c r="W20" s="870"/>
      <c r="X20" s="870"/>
      <c r="Y20" s="870"/>
      <c r="Z20" s="870"/>
      <c r="AA20" s="870"/>
      <c r="AB20" s="870"/>
      <c r="AC20" s="870"/>
      <c r="AD20" s="870"/>
      <c r="AE20" s="870"/>
      <c r="AF20" s="870"/>
      <c r="AG20" s="870"/>
      <c r="AH20" s="870"/>
      <c r="AI20" s="271"/>
      <c r="AJ20" s="271"/>
      <c r="AK20" s="271"/>
      <c r="AL20" s="271"/>
      <c r="AM20" s="271"/>
      <c r="AN20" s="176"/>
    </row>
    <row r="21" ht="14.25" customHeight="1" outlineLevel="2">
      <c r="A21" s="871"/>
      <c r="B21" s="872" t="s">
        <v>3121</v>
      </c>
      <c r="C21" s="873"/>
      <c r="D21" s="874"/>
      <c r="E21" s="100"/>
      <c r="F21" s="869"/>
      <c r="G21" s="869"/>
      <c r="H21" s="208"/>
      <c r="I21" s="208"/>
      <c r="J21" s="208"/>
      <c r="K21" s="208"/>
      <c r="L21" s="208"/>
      <c r="M21" s="208"/>
      <c r="N21" s="208"/>
      <c r="O21" s="208"/>
      <c r="P21" s="208"/>
      <c r="Q21" s="208"/>
      <c r="R21" s="208"/>
      <c r="S21" s="208"/>
      <c r="T21" s="208"/>
      <c r="U21" s="208"/>
      <c r="V21" s="208"/>
      <c r="W21" s="870"/>
      <c r="X21" s="870"/>
      <c r="Y21" s="870"/>
      <c r="Z21" s="870"/>
      <c r="AA21" s="870"/>
      <c r="AB21" s="870"/>
      <c r="AC21" s="870"/>
      <c r="AD21" s="870"/>
      <c r="AE21" s="870"/>
      <c r="AF21" s="870"/>
      <c r="AG21" s="870"/>
      <c r="AH21" s="870"/>
      <c r="AI21" s="271"/>
      <c r="AJ21" s="271"/>
      <c r="AK21" s="271"/>
      <c r="AL21" s="271"/>
      <c r="AM21" s="271"/>
      <c r="AN21" s="176"/>
    </row>
    <row r="22" ht="14.25" customHeight="1" outlineLevel="3">
      <c r="A22" s="871"/>
      <c r="B22" s="872"/>
      <c r="C22" s="873"/>
      <c r="D22" s="874"/>
      <c r="E22" s="122" t="s">
        <v>3122</v>
      </c>
      <c r="F22" s="123" t="s">
        <v>135</v>
      </c>
      <c r="G22" s="123" t="s">
        <v>3123</v>
      </c>
      <c r="H22" s="181"/>
      <c r="I22" s="181"/>
      <c r="J22" s="181"/>
      <c r="K22" s="181"/>
      <c r="L22" s="181"/>
      <c r="M22" s="181"/>
      <c r="N22" s="181"/>
      <c r="O22" s="181"/>
      <c r="P22" s="181"/>
      <c r="Q22" s="181"/>
      <c r="R22" s="181"/>
      <c r="S22" s="181"/>
      <c r="T22" s="181"/>
      <c r="U22" s="181"/>
      <c r="V22" s="181"/>
      <c r="W22" s="286">
        <v>3.05600000000001</v>
      </c>
      <c r="X22" s="181">
        <v>3.091</v>
      </c>
      <c r="Y22" s="181">
        <v>3.195</v>
      </c>
      <c r="Z22" s="181">
        <v>3.88</v>
      </c>
      <c r="AA22" s="181">
        <v>4.256</v>
      </c>
      <c r="AB22" s="286">
        <v>5.476</v>
      </c>
      <c r="AC22" s="286">
        <v>10.1178</v>
      </c>
      <c r="AD22" s="286">
        <v>16.5564</v>
      </c>
      <c r="AE22" s="286">
        <v>25.7544</v>
      </c>
      <c r="AF22" s="286">
        <v>36.792</v>
      </c>
      <c r="AG22" s="286">
        <v>41.391</v>
      </c>
      <c r="AH22" s="286">
        <v>45.99</v>
      </c>
      <c r="AI22" s="493"/>
      <c r="AJ22" s="493"/>
      <c r="AK22" s="493"/>
      <c r="AL22" s="493"/>
      <c r="AM22" s="494"/>
      <c r="AN22" s="176"/>
    </row>
    <row r="23" ht="14.25" customHeight="1" outlineLevel="3">
      <c r="A23" s="871"/>
      <c r="B23" s="872"/>
      <c r="C23" s="873"/>
      <c r="D23" s="874"/>
      <c r="E23" s="122" t="s">
        <v>3124</v>
      </c>
      <c r="F23" s="123" t="s">
        <v>3125</v>
      </c>
      <c r="G23" s="123" t="s">
        <v>3126</v>
      </c>
      <c r="H23" s="181">
        <v>0.0</v>
      </c>
      <c r="I23" s="181">
        <v>0.0</v>
      </c>
      <c r="J23" s="181">
        <v>0.0</v>
      </c>
      <c r="K23" s="181">
        <v>0.0</v>
      </c>
      <c r="L23" s="181">
        <v>0.0</v>
      </c>
      <c r="M23" s="181">
        <v>0.002</v>
      </c>
      <c r="N23" s="181">
        <v>0.003</v>
      </c>
      <c r="O23" s="181">
        <v>0.023</v>
      </c>
      <c r="P23" s="181">
        <v>0.085</v>
      </c>
      <c r="Q23" s="181">
        <v>0.386</v>
      </c>
      <c r="R23" s="181">
        <v>0.904</v>
      </c>
      <c r="S23" s="181">
        <v>1.391</v>
      </c>
      <c r="T23" s="181">
        <v>2.581</v>
      </c>
      <c r="U23" s="181">
        <v>2.912</v>
      </c>
      <c r="V23" s="181">
        <v>3.024</v>
      </c>
      <c r="W23" s="182">
        <v>3.2</v>
      </c>
      <c r="X23" s="181">
        <v>3.423</v>
      </c>
      <c r="Y23" s="181">
        <v>3.61</v>
      </c>
      <c r="Z23" s="181">
        <v>3.986</v>
      </c>
      <c r="AA23" s="181">
        <v>4.55</v>
      </c>
      <c r="AB23" s="182">
        <v>6.272</v>
      </c>
      <c r="AC23" s="182">
        <v>11.0</v>
      </c>
      <c r="AD23" s="182">
        <v>18.0</v>
      </c>
      <c r="AE23" s="182">
        <v>28.0</v>
      </c>
      <c r="AF23" s="182">
        <v>40.0</v>
      </c>
      <c r="AG23" s="182">
        <v>45.0</v>
      </c>
      <c r="AH23" s="184">
        <v>50.0</v>
      </c>
      <c r="AI23" s="493"/>
      <c r="AJ23" s="493"/>
      <c r="AK23" s="493"/>
      <c r="AL23" s="493"/>
      <c r="AM23" s="494"/>
      <c r="AN23" s="176"/>
    </row>
    <row r="24" ht="14.25" customHeight="1" outlineLevel="3">
      <c r="A24" s="871"/>
      <c r="B24" s="872"/>
      <c r="C24" s="873"/>
      <c r="D24" s="874"/>
      <c r="E24" s="122" t="s">
        <v>3127</v>
      </c>
      <c r="F24" s="123" t="s">
        <v>261</v>
      </c>
      <c r="G24" s="123" t="s">
        <v>3128</v>
      </c>
      <c r="H24" s="254">
        <v>0.0</v>
      </c>
      <c r="I24" s="254">
        <v>0.0</v>
      </c>
      <c r="J24" s="254">
        <v>0.0</v>
      </c>
      <c r="K24" s="254">
        <v>0.0</v>
      </c>
      <c r="L24" s="254">
        <v>0.0</v>
      </c>
      <c r="M24" s="254">
        <v>0.0570776255707763</v>
      </c>
      <c r="N24" s="254">
        <v>0.076103500761035</v>
      </c>
      <c r="O24" s="254">
        <v>0.0297796307325789</v>
      </c>
      <c r="P24" s="254">
        <v>0.0562520090003214</v>
      </c>
      <c r="Q24" s="254">
        <v>0.0490926727707195</v>
      </c>
      <c r="R24" s="254">
        <v>0.0707156423000768</v>
      </c>
      <c r="S24" s="254">
        <v>0.0959363685007009</v>
      </c>
      <c r="T24" s="254">
        <v>0.0947444862943367</v>
      </c>
      <c r="U24" s="254">
        <v>0.103649204676602</v>
      </c>
      <c r="V24" s="254">
        <v>0.108945785315648</v>
      </c>
      <c r="W24" s="256">
        <v>0.109018264840183</v>
      </c>
      <c r="X24" s="254">
        <v>0.102934610879899</v>
      </c>
      <c r="Y24" s="254">
        <v>0.104573799314436</v>
      </c>
      <c r="Z24" s="254">
        <v>0.111749570987039</v>
      </c>
      <c r="AA24" s="254">
        <v>0.0994637475178163</v>
      </c>
      <c r="AB24" s="256">
        <v>0.0764823979591837</v>
      </c>
      <c r="AC24" s="256">
        <v>0.105</v>
      </c>
      <c r="AD24" s="256">
        <v>0.105</v>
      </c>
      <c r="AE24" s="256">
        <v>0.105</v>
      </c>
      <c r="AF24" s="256">
        <v>0.105</v>
      </c>
      <c r="AG24" s="256">
        <v>0.105</v>
      </c>
      <c r="AH24" s="256">
        <v>0.105</v>
      </c>
      <c r="AI24" s="493"/>
      <c r="AJ24" s="493"/>
      <c r="AK24" s="493"/>
      <c r="AL24" s="493"/>
      <c r="AM24" s="494"/>
      <c r="AN24" s="176"/>
    </row>
    <row r="25" ht="14.25" customHeight="1" outlineLevel="2">
      <c r="A25" s="871"/>
      <c r="B25" s="872" t="s">
        <v>3129</v>
      </c>
      <c r="C25" s="873"/>
      <c r="D25" s="874"/>
      <c r="E25" s="100"/>
      <c r="F25" s="869"/>
      <c r="G25" s="869"/>
      <c r="H25" s="208"/>
      <c r="I25" s="208"/>
      <c r="J25" s="208"/>
      <c r="K25" s="208"/>
      <c r="L25" s="208"/>
      <c r="M25" s="208"/>
      <c r="N25" s="208"/>
      <c r="O25" s="208"/>
      <c r="P25" s="208"/>
      <c r="Q25" s="208"/>
      <c r="R25" s="208"/>
      <c r="S25" s="208"/>
      <c r="T25" s="208"/>
      <c r="U25" s="208"/>
      <c r="V25" s="208"/>
      <c r="W25" s="870"/>
      <c r="X25" s="870"/>
      <c r="Y25" s="870"/>
      <c r="Z25" s="870"/>
      <c r="AA25" s="870"/>
      <c r="AB25" s="870"/>
      <c r="AC25" s="870"/>
      <c r="AD25" s="870"/>
      <c r="AE25" s="870"/>
      <c r="AF25" s="870"/>
      <c r="AG25" s="870"/>
      <c r="AH25" s="870"/>
      <c r="AI25" s="271"/>
      <c r="AJ25" s="271"/>
      <c r="AK25" s="271"/>
      <c r="AL25" s="271"/>
      <c r="AM25" s="271"/>
      <c r="AN25" s="102"/>
    </row>
    <row r="26" ht="14.25" customHeight="1" outlineLevel="3">
      <c r="A26" s="871"/>
      <c r="B26" s="874"/>
      <c r="C26" s="872" t="s">
        <v>3130</v>
      </c>
      <c r="D26" s="873"/>
      <c r="E26" s="100"/>
      <c r="F26" s="869"/>
      <c r="G26" s="869"/>
      <c r="H26" s="208"/>
      <c r="I26" s="208"/>
      <c r="J26" s="208"/>
      <c r="K26" s="208"/>
      <c r="L26" s="208"/>
      <c r="M26" s="208"/>
      <c r="N26" s="208"/>
      <c r="O26" s="208"/>
      <c r="P26" s="208"/>
      <c r="Q26" s="208"/>
      <c r="R26" s="208"/>
      <c r="S26" s="208"/>
      <c r="T26" s="208"/>
      <c r="U26" s="208"/>
      <c r="V26" s="208"/>
      <c r="W26" s="870"/>
      <c r="X26" s="870"/>
      <c r="Y26" s="870"/>
      <c r="Z26" s="870"/>
      <c r="AA26" s="870"/>
      <c r="AB26" s="870"/>
      <c r="AC26" s="870"/>
      <c r="AD26" s="870"/>
      <c r="AE26" s="870"/>
      <c r="AF26" s="870"/>
      <c r="AG26" s="870"/>
      <c r="AH26" s="870"/>
      <c r="AI26" s="271"/>
      <c r="AJ26" s="271"/>
      <c r="AK26" s="271"/>
      <c r="AL26" s="271"/>
      <c r="AM26" s="271"/>
      <c r="AN26" s="102"/>
    </row>
    <row r="27" ht="14.25" customHeight="1" outlineLevel="3">
      <c r="A27" s="871"/>
      <c r="B27" s="872"/>
      <c r="C27" s="873"/>
      <c r="D27" s="874"/>
      <c r="E27" s="122" t="s">
        <v>3131</v>
      </c>
      <c r="F27" s="123" t="s">
        <v>135</v>
      </c>
      <c r="G27" s="123" t="s">
        <v>3132</v>
      </c>
      <c r="H27" s="181"/>
      <c r="I27" s="181"/>
      <c r="J27" s="181"/>
      <c r="K27" s="181"/>
      <c r="L27" s="181"/>
      <c r="M27" s="181"/>
      <c r="N27" s="181"/>
      <c r="O27" s="181"/>
      <c r="P27" s="181"/>
      <c r="Q27" s="181"/>
      <c r="R27" s="181"/>
      <c r="S27" s="181"/>
      <c r="T27" s="181"/>
      <c r="U27" s="181"/>
      <c r="V27" s="181"/>
      <c r="W27" s="286">
        <v>2.961</v>
      </c>
      <c r="X27" s="875">
        <f>X28*8.76*X29</f>
        <v>3.039672131</v>
      </c>
      <c r="Y27" s="181">
        <v>3.64299999999999</v>
      </c>
      <c r="Z27" s="875">
        <f t="shared" ref="Z27:AA27" si="1">Z28*8.76*Z29</f>
        <v>3.162</v>
      </c>
      <c r="AA27" s="875">
        <f t="shared" si="1"/>
        <v>3.483</v>
      </c>
      <c r="AB27" s="286">
        <v>4.125</v>
      </c>
      <c r="AC27" s="286">
        <f t="shared" ref="AC27:AH27" si="2">AC28*AC29*8760/1000</f>
        <v>6.620742333</v>
      </c>
      <c r="AD27" s="286">
        <f t="shared" si="2"/>
        <v>10.32525239</v>
      </c>
      <c r="AE27" s="286">
        <f t="shared" si="2"/>
        <v>14.71107203</v>
      </c>
      <c r="AF27" s="286">
        <f t="shared" si="2"/>
        <v>14.74956493</v>
      </c>
      <c r="AG27" s="286">
        <f t="shared" si="2"/>
        <v>28.5138</v>
      </c>
      <c r="AH27" s="286">
        <f t="shared" si="2"/>
        <v>32.5872</v>
      </c>
      <c r="AI27" s="493"/>
      <c r="AJ27" s="493"/>
      <c r="AK27" s="493"/>
      <c r="AL27" s="493"/>
      <c r="AM27" s="494"/>
      <c r="AN27" s="176"/>
    </row>
    <row r="28" ht="14.25" customHeight="1" outlineLevel="3">
      <c r="A28" s="871"/>
      <c r="B28" s="872"/>
      <c r="C28" s="874"/>
      <c r="D28" s="873"/>
      <c r="E28" s="122" t="s">
        <v>3133</v>
      </c>
      <c r="F28" s="123" t="s">
        <v>3125</v>
      </c>
      <c r="G28" s="123" t="s">
        <v>3134</v>
      </c>
      <c r="H28" s="181">
        <v>0.014</v>
      </c>
      <c r="I28" s="181">
        <v>0.026</v>
      </c>
      <c r="J28" s="181">
        <v>0.031</v>
      </c>
      <c r="K28" s="181">
        <v>0.067</v>
      </c>
      <c r="L28" s="181">
        <v>0.096</v>
      </c>
      <c r="M28" s="181">
        <v>0.167</v>
      </c>
      <c r="N28" s="181">
        <v>0.212</v>
      </c>
      <c r="O28" s="181">
        <v>0.276</v>
      </c>
      <c r="P28" s="181">
        <v>0.324</v>
      </c>
      <c r="Q28" s="181">
        <v>0.577</v>
      </c>
      <c r="R28" s="181">
        <v>0.716</v>
      </c>
      <c r="S28" s="181">
        <v>0.873</v>
      </c>
      <c r="T28" s="181">
        <v>0.989</v>
      </c>
      <c r="U28" s="181">
        <v>1.084</v>
      </c>
      <c r="V28" s="181">
        <v>1.222</v>
      </c>
      <c r="W28" s="182">
        <v>1.517</v>
      </c>
      <c r="X28" s="181">
        <v>1.671</v>
      </c>
      <c r="Y28" s="181">
        <v>1.972</v>
      </c>
      <c r="Z28" s="181">
        <v>2.075</v>
      </c>
      <c r="AA28" s="181">
        <v>2.278</v>
      </c>
      <c r="AB28" s="182">
        <v>2.459</v>
      </c>
      <c r="AC28" s="182">
        <v>3.8</v>
      </c>
      <c r="AD28" s="182">
        <v>5.2</v>
      </c>
      <c r="AE28" s="182">
        <v>6.6</v>
      </c>
      <c r="AF28" s="182">
        <v>8.2</v>
      </c>
      <c r="AG28" s="182">
        <v>10.5</v>
      </c>
      <c r="AH28" s="184">
        <v>12.0</v>
      </c>
      <c r="AI28" s="493"/>
      <c r="AJ28" s="493"/>
      <c r="AK28" s="493"/>
      <c r="AL28" s="493"/>
      <c r="AM28" s="494"/>
      <c r="AN28" s="176"/>
    </row>
    <row r="29" ht="14.25" customHeight="1" outlineLevel="3">
      <c r="A29" s="871"/>
      <c r="B29" s="872"/>
      <c r="C29" s="874"/>
      <c r="D29" s="873"/>
      <c r="E29" s="122" t="s">
        <v>3135</v>
      </c>
      <c r="F29" s="123" t="s">
        <v>261</v>
      </c>
      <c r="G29" s="123" t="s">
        <v>3136</v>
      </c>
      <c r="H29" s="254">
        <v>0.130106687483737</v>
      </c>
      <c r="I29" s="254">
        <v>0.162451703547594</v>
      </c>
      <c r="J29" s="254">
        <v>0.209898365002209</v>
      </c>
      <c r="K29" s="254">
        <v>0.149935255230696</v>
      </c>
      <c r="L29" s="254">
        <v>0.168393290831815</v>
      </c>
      <c r="M29" s="254">
        <v>0.15516911382714</v>
      </c>
      <c r="N29" s="254">
        <v>0.191694667011286</v>
      </c>
      <c r="O29" s="254">
        <v>0.203080537356892</v>
      </c>
      <c r="P29" s="254">
        <v>0.312366480019789</v>
      </c>
      <c r="Q29" s="254">
        <v>0.197051352057169</v>
      </c>
      <c r="R29" s="254">
        <v>0.176334787377873</v>
      </c>
      <c r="S29" s="254">
        <v>0.210396104337638</v>
      </c>
      <c r="T29" s="254">
        <v>0.219283705459508</v>
      </c>
      <c r="U29" s="254">
        <v>0.22378220357546</v>
      </c>
      <c r="V29" s="254">
        <v>0.224106749172328</v>
      </c>
      <c r="W29" s="256">
        <v>0.22281720410688</v>
      </c>
      <c r="X29" s="254">
        <v>0.207656813596125</v>
      </c>
      <c r="Y29" s="254">
        <v>0.210886196708253</v>
      </c>
      <c r="Z29" s="254">
        <v>0.173956098366067</v>
      </c>
      <c r="AA29" s="254">
        <v>0.1745402720483</v>
      </c>
      <c r="AB29" s="256">
        <v>0.2035</v>
      </c>
      <c r="AC29" s="256">
        <f>AVERAGE(W29:AB29)</f>
        <v>0.1988927641</v>
      </c>
      <c r="AD29" s="256">
        <f>(AC29+AE29)/2</f>
        <v>0.2266695731</v>
      </c>
      <c r="AE29" s="256">
        <f>(AC29+AG29)/2</f>
        <v>0.2544463821</v>
      </c>
      <c r="AF29" s="256">
        <f>AVERAGE(Z29:AE29)</f>
        <v>0.2053341816</v>
      </c>
      <c r="AG29" s="256">
        <f>AH29</f>
        <v>0.31</v>
      </c>
      <c r="AH29" s="256">
        <v>0.31</v>
      </c>
      <c r="AI29" s="493"/>
      <c r="AJ29" s="493"/>
      <c r="AK29" s="493"/>
      <c r="AL29" s="493"/>
      <c r="AM29" s="494"/>
      <c r="AN29" s="176"/>
    </row>
    <row r="30" ht="14.25" customHeight="1" outlineLevel="3">
      <c r="A30" s="871"/>
      <c r="B30" s="874"/>
      <c r="C30" s="872" t="s">
        <v>3137</v>
      </c>
      <c r="D30" s="873"/>
      <c r="E30" s="127"/>
      <c r="F30" s="869"/>
      <c r="G30" s="869"/>
      <c r="H30" s="208"/>
      <c r="I30" s="208"/>
      <c r="J30" s="208"/>
      <c r="K30" s="208"/>
      <c r="L30" s="208"/>
      <c r="M30" s="208"/>
      <c r="N30" s="208"/>
      <c r="O30" s="208"/>
      <c r="P30" s="208"/>
      <c r="Q30" s="208"/>
      <c r="R30" s="208"/>
      <c r="S30" s="208"/>
      <c r="T30" s="208"/>
      <c r="U30" s="208"/>
      <c r="V30" s="208"/>
      <c r="W30" s="870"/>
      <c r="X30" s="870"/>
      <c r="Y30" s="870"/>
      <c r="Z30" s="870"/>
      <c r="AA30" s="870"/>
      <c r="AB30" s="870"/>
      <c r="AC30" s="870"/>
      <c r="AD30" s="870"/>
      <c r="AE30" s="870"/>
      <c r="AF30" s="870"/>
      <c r="AG30" s="870"/>
      <c r="AH30" s="870"/>
      <c r="AI30" s="271"/>
      <c r="AJ30" s="271"/>
      <c r="AK30" s="271"/>
      <c r="AL30" s="271"/>
      <c r="AM30" s="271"/>
      <c r="AN30" s="102"/>
    </row>
    <row r="31" ht="14.25" customHeight="1" outlineLevel="3">
      <c r="A31" s="871"/>
      <c r="B31" s="872"/>
      <c r="C31" s="873"/>
      <c r="D31" s="874"/>
      <c r="E31" s="122" t="s">
        <v>3138</v>
      </c>
      <c r="F31" s="123" t="s">
        <v>135</v>
      </c>
      <c r="G31" s="123" t="s">
        <v>3139</v>
      </c>
      <c r="H31" s="181"/>
      <c r="I31" s="181"/>
      <c r="J31" s="181"/>
      <c r="K31" s="181"/>
      <c r="L31" s="181"/>
      <c r="M31" s="181"/>
      <c r="N31" s="181"/>
      <c r="O31" s="181"/>
      <c r="P31" s="181"/>
      <c r="Q31" s="181"/>
      <c r="R31" s="181"/>
      <c r="S31" s="181"/>
      <c r="T31" s="181"/>
      <c r="U31" s="181"/>
      <c r="V31" s="181"/>
      <c r="W31" s="286">
        <v>2.558</v>
      </c>
      <c r="X31" s="875">
        <f t="shared" ref="X31:AA31" si="3">X32*8.76*X33</f>
        <v>2.333606557</v>
      </c>
      <c r="Y31" s="181">
        <f t="shared" si="3"/>
        <v>2.645</v>
      </c>
      <c r="Z31" s="875">
        <f t="shared" si="3"/>
        <v>3.311</v>
      </c>
      <c r="AA31" s="875">
        <f t="shared" si="3"/>
        <v>4.645</v>
      </c>
      <c r="AB31" s="286">
        <v>6.733</v>
      </c>
      <c r="AC31" s="286">
        <f t="shared" ref="AC31:AH31" si="4">AC32*AC33*8760/1000</f>
        <v>7.318601588</v>
      </c>
      <c r="AD31" s="286">
        <f t="shared" si="4"/>
        <v>14.50900437</v>
      </c>
      <c r="AE31" s="286">
        <f t="shared" si="4"/>
        <v>20.51561844</v>
      </c>
      <c r="AF31" s="286">
        <f t="shared" si="4"/>
        <v>26.12633769</v>
      </c>
      <c r="AG31" s="286">
        <f t="shared" si="4"/>
        <v>28.7328</v>
      </c>
      <c r="AH31" s="286">
        <f t="shared" si="4"/>
        <v>28.7328</v>
      </c>
      <c r="AI31" s="493"/>
      <c r="AJ31" s="493"/>
      <c r="AK31" s="493"/>
      <c r="AL31" s="493"/>
      <c r="AM31" s="494"/>
      <c r="AN31" s="176"/>
    </row>
    <row r="32" ht="14.25" customHeight="1" outlineLevel="3">
      <c r="A32" s="871"/>
      <c r="B32" s="872"/>
      <c r="C32" s="874"/>
      <c r="D32" s="873"/>
      <c r="E32" s="122" t="s">
        <v>3140</v>
      </c>
      <c r="F32" s="433" t="s">
        <v>3125</v>
      </c>
      <c r="G32" s="123" t="s">
        <v>3141</v>
      </c>
      <c r="H32" s="181">
        <v>0.0</v>
      </c>
      <c r="I32" s="181">
        <v>0.0</v>
      </c>
      <c r="J32" s="181">
        <v>0.0</v>
      </c>
      <c r="K32" s="181">
        <v>0.0</v>
      </c>
      <c r="L32" s="181">
        <v>0.0</v>
      </c>
      <c r="M32" s="181">
        <v>0.0</v>
      </c>
      <c r="N32" s="181">
        <v>0.0</v>
      </c>
      <c r="O32" s="181">
        <v>0.0</v>
      </c>
      <c r="P32" s="181">
        <v>0.0</v>
      </c>
      <c r="Q32" s="181">
        <v>0.03</v>
      </c>
      <c r="R32" s="181">
        <v>0.197</v>
      </c>
      <c r="S32" s="181">
        <v>0.197</v>
      </c>
      <c r="T32" s="181">
        <v>0.381</v>
      </c>
      <c r="U32" s="181">
        <v>0.708</v>
      </c>
      <c r="V32" s="181">
        <v>0.708</v>
      </c>
      <c r="W32" s="182">
        <v>0.712</v>
      </c>
      <c r="X32" s="181">
        <v>0.712</v>
      </c>
      <c r="Y32" s="181">
        <v>0.877</v>
      </c>
      <c r="Z32" s="181">
        <v>1.186</v>
      </c>
      <c r="AA32" s="181">
        <v>1.556</v>
      </c>
      <c r="AB32" s="182">
        <v>2.254</v>
      </c>
      <c r="AC32" s="182">
        <v>2.254</v>
      </c>
      <c r="AD32" s="182">
        <v>4.353</v>
      </c>
      <c r="AE32" s="182">
        <v>6.0</v>
      </c>
      <c r="AF32" s="182">
        <v>8.0</v>
      </c>
      <c r="AG32" s="182">
        <v>8.0</v>
      </c>
      <c r="AH32" s="184">
        <v>8.0</v>
      </c>
      <c r="AI32" s="493"/>
      <c r="AJ32" s="493"/>
      <c r="AK32" s="493"/>
      <c r="AL32" s="493"/>
      <c r="AM32" s="494"/>
      <c r="AN32" s="176"/>
    </row>
    <row r="33" ht="14.25" customHeight="1" outlineLevel="3">
      <c r="A33" s="871"/>
      <c r="B33" s="872"/>
      <c r="C33" s="874"/>
      <c r="D33" s="873"/>
      <c r="E33" s="122" t="s">
        <v>3142</v>
      </c>
      <c r="F33" s="433" t="s">
        <v>261</v>
      </c>
      <c r="G33" s="123" t="s">
        <v>3143</v>
      </c>
      <c r="H33" s="254">
        <v>0.0</v>
      </c>
      <c r="I33" s="254">
        <v>0.0</v>
      </c>
      <c r="J33" s="254">
        <v>0.0</v>
      </c>
      <c r="K33" s="254">
        <v>0.0</v>
      </c>
      <c r="L33" s="254">
        <v>0.0</v>
      </c>
      <c r="M33" s="254">
        <v>0.0</v>
      </c>
      <c r="N33" s="254">
        <v>0.0</v>
      </c>
      <c r="O33" s="254">
        <v>0.0</v>
      </c>
      <c r="P33" s="254">
        <v>0.0</v>
      </c>
      <c r="Q33" s="254">
        <v>0.323439878234399</v>
      </c>
      <c r="R33" s="254">
        <v>0.0892381151055791</v>
      </c>
      <c r="S33" s="254">
        <v>0.410843010453608</v>
      </c>
      <c r="T33" s="254">
        <v>0.255176436278798</v>
      </c>
      <c r="U33" s="254">
        <v>0.252495936846993</v>
      </c>
      <c r="V33" s="254">
        <v>0.378260196579212</v>
      </c>
      <c r="W33" s="256">
        <v>0.410125185983274</v>
      </c>
      <c r="X33" s="254">
        <v>0.37414809357156</v>
      </c>
      <c r="Y33" s="254">
        <v>0.344288072142995</v>
      </c>
      <c r="Z33" s="254">
        <v>0.318691430463474</v>
      </c>
      <c r="AA33" s="254">
        <v>0.340778368607012</v>
      </c>
      <c r="AB33" s="256">
        <v>0.4359</v>
      </c>
      <c r="AC33" s="256">
        <f>AVERAGE(W33:AB33)</f>
        <v>0.3706551918</v>
      </c>
      <c r="AD33" s="256">
        <f>(AC33+AE33)/2</f>
        <v>0.3804913938</v>
      </c>
      <c r="AE33" s="256">
        <f>(AC33+AG33)/2</f>
        <v>0.3903275959</v>
      </c>
      <c r="AF33" s="256">
        <f>AVERAGE(Z33:AE33)</f>
        <v>0.3728073301</v>
      </c>
      <c r="AG33" s="256">
        <f>AH33</f>
        <v>0.41</v>
      </c>
      <c r="AH33" s="257">
        <v>0.41</v>
      </c>
      <c r="AI33" s="493"/>
      <c r="AJ33" s="493"/>
      <c r="AK33" s="493"/>
      <c r="AL33" s="493"/>
      <c r="AM33" s="494"/>
      <c r="AN33" s="176"/>
    </row>
    <row r="34" ht="14.25" customHeight="1" outlineLevel="2">
      <c r="A34" s="871"/>
      <c r="B34" s="872" t="s">
        <v>3144</v>
      </c>
      <c r="C34" s="874"/>
      <c r="D34" s="873"/>
      <c r="E34" s="127"/>
      <c r="F34" s="869"/>
      <c r="G34" s="869"/>
      <c r="H34" s="208"/>
      <c r="I34" s="208"/>
      <c r="J34" s="208"/>
      <c r="K34" s="208"/>
      <c r="L34" s="208"/>
      <c r="M34" s="208"/>
      <c r="N34" s="208"/>
      <c r="O34" s="208"/>
      <c r="P34" s="208"/>
      <c r="Q34" s="208"/>
      <c r="R34" s="208"/>
      <c r="S34" s="208"/>
      <c r="T34" s="208"/>
      <c r="U34" s="208"/>
      <c r="V34" s="208"/>
      <c r="W34" s="870"/>
      <c r="X34" s="870"/>
      <c r="Y34" s="870"/>
      <c r="Z34" s="870"/>
      <c r="AA34" s="870"/>
      <c r="AB34" s="870"/>
      <c r="AC34" s="870"/>
      <c r="AD34" s="870"/>
      <c r="AE34" s="870"/>
      <c r="AF34" s="870"/>
      <c r="AG34" s="870"/>
      <c r="AH34" s="870"/>
      <c r="AI34" s="271"/>
      <c r="AJ34" s="271"/>
      <c r="AK34" s="271"/>
      <c r="AL34" s="271"/>
      <c r="AM34" s="271"/>
      <c r="AN34" s="102"/>
    </row>
    <row r="35" ht="14.25" customHeight="1" outlineLevel="3">
      <c r="A35" s="871"/>
      <c r="B35" s="872"/>
      <c r="C35" s="873"/>
      <c r="D35" s="874"/>
      <c r="E35" s="122" t="s">
        <v>3145</v>
      </c>
      <c r="F35" s="123" t="s">
        <v>135</v>
      </c>
      <c r="G35" s="123" t="s">
        <v>3146</v>
      </c>
      <c r="H35" s="181"/>
      <c r="I35" s="181"/>
      <c r="J35" s="181"/>
      <c r="K35" s="181"/>
      <c r="L35" s="181"/>
      <c r="M35" s="181"/>
      <c r="N35" s="181"/>
      <c r="O35" s="181"/>
      <c r="P35" s="181"/>
      <c r="Q35" s="181"/>
      <c r="R35" s="181"/>
      <c r="S35" s="181"/>
      <c r="T35" s="181"/>
      <c r="U35" s="181"/>
      <c r="V35" s="181"/>
      <c r="W35" s="286">
        <v>0.0</v>
      </c>
      <c r="X35" s="181">
        <v>0.0</v>
      </c>
      <c r="Y35" s="181">
        <v>0.0</v>
      </c>
      <c r="Z35" s="181">
        <v>0.0</v>
      </c>
      <c r="AA35" s="181">
        <v>0.0</v>
      </c>
      <c r="AB35" s="286">
        <v>0.0</v>
      </c>
      <c r="AC35" s="286">
        <v>0.0</v>
      </c>
      <c r="AD35" s="286">
        <v>0.0</v>
      </c>
      <c r="AE35" s="286">
        <v>0.0</v>
      </c>
      <c r="AF35" s="286">
        <v>0.0</v>
      </c>
      <c r="AG35" s="286">
        <v>0.0</v>
      </c>
      <c r="AH35" s="286">
        <v>0.0</v>
      </c>
      <c r="AI35" s="493"/>
      <c r="AJ35" s="493"/>
      <c r="AK35" s="493"/>
      <c r="AL35" s="493"/>
      <c r="AM35" s="494"/>
      <c r="AN35" s="176"/>
    </row>
    <row r="36" ht="14.25" customHeight="1" outlineLevel="3">
      <c r="A36" s="871"/>
      <c r="B36" s="872"/>
      <c r="C36" s="874"/>
      <c r="D36" s="873"/>
      <c r="E36" s="122" t="s">
        <v>3147</v>
      </c>
      <c r="F36" s="123" t="s">
        <v>3125</v>
      </c>
      <c r="G36" s="123" t="s">
        <v>3148</v>
      </c>
      <c r="H36" s="181">
        <v>0.0</v>
      </c>
      <c r="I36" s="181">
        <v>0.0</v>
      </c>
      <c r="J36" s="181">
        <v>0.0</v>
      </c>
      <c r="K36" s="181">
        <v>0.0</v>
      </c>
      <c r="L36" s="181">
        <v>0.0</v>
      </c>
      <c r="M36" s="181">
        <v>0.0</v>
      </c>
      <c r="N36" s="181">
        <v>0.0</v>
      </c>
      <c r="O36" s="181">
        <v>0.0</v>
      </c>
      <c r="P36" s="181">
        <v>0.0</v>
      </c>
      <c r="Q36" s="181">
        <v>0.0</v>
      </c>
      <c r="R36" s="181">
        <v>0.0</v>
      </c>
      <c r="S36" s="181">
        <v>0.0</v>
      </c>
      <c r="T36" s="181">
        <v>0.0</v>
      </c>
      <c r="U36" s="181">
        <v>0.0</v>
      </c>
      <c r="V36" s="181">
        <v>0.0</v>
      </c>
      <c r="W36" s="182">
        <v>0.0</v>
      </c>
      <c r="X36" s="181">
        <v>0.0</v>
      </c>
      <c r="Y36" s="181">
        <v>0.0</v>
      </c>
      <c r="Z36" s="181">
        <v>0.0</v>
      </c>
      <c r="AA36" s="181">
        <v>0.0</v>
      </c>
      <c r="AB36" s="182">
        <v>0.0</v>
      </c>
      <c r="AC36" s="182">
        <v>0.0</v>
      </c>
      <c r="AD36" s="182">
        <v>0.0</v>
      </c>
      <c r="AE36" s="182">
        <v>0.0</v>
      </c>
      <c r="AF36" s="182">
        <v>0.0</v>
      </c>
      <c r="AG36" s="182">
        <v>0.0</v>
      </c>
      <c r="AH36" s="184">
        <v>0.0</v>
      </c>
      <c r="AI36" s="493"/>
      <c r="AJ36" s="493"/>
      <c r="AK36" s="493"/>
      <c r="AL36" s="493"/>
      <c r="AM36" s="494"/>
      <c r="AN36" s="176"/>
    </row>
    <row r="37" ht="14.25" customHeight="1" outlineLevel="3">
      <c r="A37" s="871"/>
      <c r="B37" s="872"/>
      <c r="C37" s="874"/>
      <c r="D37" s="873"/>
      <c r="E37" s="122" t="s">
        <v>3149</v>
      </c>
      <c r="F37" s="123" t="s">
        <v>261</v>
      </c>
      <c r="G37" s="123" t="s">
        <v>3150</v>
      </c>
      <c r="H37" s="254"/>
      <c r="I37" s="254"/>
      <c r="J37" s="254"/>
      <c r="K37" s="254"/>
      <c r="L37" s="254"/>
      <c r="M37" s="254"/>
      <c r="N37" s="254"/>
      <c r="O37" s="254"/>
      <c r="P37" s="254"/>
      <c r="Q37" s="254"/>
      <c r="R37" s="254"/>
      <c r="S37" s="254"/>
      <c r="T37" s="254"/>
      <c r="U37" s="254"/>
      <c r="V37" s="254"/>
      <c r="W37" s="256"/>
      <c r="X37" s="254"/>
      <c r="Y37" s="254"/>
      <c r="Z37" s="254"/>
      <c r="AA37" s="254"/>
      <c r="AB37" s="256"/>
      <c r="AC37" s="256"/>
      <c r="AD37" s="256"/>
      <c r="AE37" s="256"/>
      <c r="AF37" s="256"/>
      <c r="AG37" s="256"/>
      <c r="AH37" s="256"/>
      <c r="AI37" s="493"/>
      <c r="AJ37" s="493"/>
      <c r="AK37" s="493"/>
      <c r="AL37" s="493"/>
      <c r="AM37" s="494"/>
      <c r="AN37" s="176"/>
    </row>
    <row r="38" ht="14.25" customHeight="1" outlineLevel="2">
      <c r="A38" s="871"/>
      <c r="B38" s="872" t="s">
        <v>3151</v>
      </c>
      <c r="C38" s="872"/>
      <c r="D38" s="873"/>
      <c r="E38" s="284"/>
      <c r="F38" s="864"/>
      <c r="G38" s="869"/>
      <c r="H38" s="208"/>
      <c r="I38" s="208"/>
      <c r="J38" s="208"/>
      <c r="K38" s="208"/>
      <c r="L38" s="208"/>
      <c r="M38" s="208"/>
      <c r="N38" s="208"/>
      <c r="O38" s="208"/>
      <c r="P38" s="208"/>
      <c r="Q38" s="208"/>
      <c r="R38" s="208"/>
      <c r="S38" s="208"/>
      <c r="T38" s="208"/>
      <c r="U38" s="208"/>
      <c r="V38" s="208"/>
      <c r="W38" s="870"/>
      <c r="X38" s="870"/>
      <c r="Y38" s="870"/>
      <c r="Z38" s="870"/>
      <c r="AA38" s="870"/>
      <c r="AB38" s="870"/>
      <c r="AC38" s="870"/>
      <c r="AD38" s="870"/>
      <c r="AE38" s="870"/>
      <c r="AF38" s="870"/>
      <c r="AG38" s="870"/>
      <c r="AH38" s="870"/>
      <c r="AI38" s="271"/>
      <c r="AJ38" s="271"/>
      <c r="AK38" s="271"/>
      <c r="AL38" s="271"/>
      <c r="AM38" s="271"/>
      <c r="AN38" s="102"/>
    </row>
    <row r="39" ht="14.25" customHeight="1" outlineLevel="3">
      <c r="A39" s="871"/>
      <c r="B39" s="872"/>
      <c r="C39" s="874"/>
      <c r="D39" s="873"/>
      <c r="E39" s="122" t="s">
        <v>3152</v>
      </c>
      <c r="F39" s="123" t="s">
        <v>3125</v>
      </c>
      <c r="G39" s="123" t="s">
        <v>3153</v>
      </c>
      <c r="H39" s="181">
        <v>0.097</v>
      </c>
      <c r="I39" s="181">
        <v>0.105</v>
      </c>
      <c r="J39" s="181">
        <v>0.105</v>
      </c>
      <c r="K39" s="181">
        <v>0.105</v>
      </c>
      <c r="L39" s="181">
        <v>0.108</v>
      </c>
      <c r="M39" s="181">
        <v>0.108</v>
      </c>
      <c r="N39" s="181">
        <v>0.108</v>
      </c>
      <c r="O39" s="181">
        <v>0.109</v>
      </c>
      <c r="P39" s="181">
        <v>0.109</v>
      </c>
      <c r="Q39" s="181">
        <v>0.109</v>
      </c>
      <c r="R39" s="181">
        <v>0.112</v>
      </c>
      <c r="S39" s="181">
        <v>0.11</v>
      </c>
      <c r="T39" s="181">
        <v>0.11</v>
      </c>
      <c r="U39" s="181">
        <v>0.112</v>
      </c>
      <c r="V39" s="181">
        <v>0.114</v>
      </c>
      <c r="W39" s="182">
        <v>0.106</v>
      </c>
      <c r="X39" s="181">
        <v>0.107</v>
      </c>
      <c r="Y39" s="181">
        <v>0.109</v>
      </c>
      <c r="Z39" s="181">
        <v>0.114</v>
      </c>
      <c r="AA39" s="181">
        <v>0.114</v>
      </c>
      <c r="AB39" s="182">
        <v>0.116</v>
      </c>
      <c r="AC39" s="182">
        <v>0.129</v>
      </c>
      <c r="AD39" s="182">
        <v>0.129</v>
      </c>
      <c r="AE39" s="182">
        <v>0.129</v>
      </c>
      <c r="AF39" s="182">
        <v>0.129</v>
      </c>
      <c r="AG39" s="182">
        <v>0.129</v>
      </c>
      <c r="AH39" s="184">
        <v>0.129</v>
      </c>
      <c r="AI39" s="493"/>
      <c r="AJ39" s="493"/>
      <c r="AK39" s="493"/>
      <c r="AL39" s="493"/>
      <c r="AM39" s="494"/>
      <c r="AN39" s="176"/>
    </row>
    <row r="40" ht="14.25" customHeight="1" outlineLevel="3">
      <c r="A40" s="871"/>
      <c r="B40" s="872"/>
      <c r="C40" s="874"/>
      <c r="D40" s="873"/>
      <c r="E40" s="122" t="s">
        <v>3154</v>
      </c>
      <c r="F40" s="123" t="s">
        <v>135</v>
      </c>
      <c r="G40" s="123" t="s">
        <v>3155</v>
      </c>
      <c r="H40" s="181">
        <v>0.92075</v>
      </c>
      <c r="I40" s="181">
        <v>0.88237</v>
      </c>
      <c r="J40" s="181">
        <v>0.72003</v>
      </c>
      <c r="K40" s="181">
        <v>0.49314</v>
      </c>
      <c r="L40" s="181">
        <v>0.63275</v>
      </c>
      <c r="M40" s="181">
        <v>0.57642</v>
      </c>
      <c r="N40" s="181">
        <v>0.71663</v>
      </c>
      <c r="O40" s="181">
        <v>0.77634</v>
      </c>
      <c r="P40" s="181">
        <v>0.81841</v>
      </c>
      <c r="Q40" s="181">
        <v>0.64885</v>
      </c>
      <c r="R40" s="181">
        <v>0.63118</v>
      </c>
      <c r="S40" s="181">
        <v>0.39204</v>
      </c>
      <c r="T40" s="181">
        <v>0.7369</v>
      </c>
      <c r="U40" s="181">
        <v>0.76279</v>
      </c>
      <c r="V40" s="181">
        <v>0.58428</v>
      </c>
      <c r="W40" s="182">
        <v>0.6368</v>
      </c>
      <c r="X40" s="181">
        <v>0.74</v>
      </c>
      <c r="Y40" s="181">
        <v>0.5402</v>
      </c>
      <c r="Z40" s="181">
        <v>0.571</v>
      </c>
      <c r="AA40" s="181">
        <v>0.571</v>
      </c>
      <c r="AB40" s="182">
        <v>0.57</v>
      </c>
      <c r="AC40" s="182">
        <v>0.6</v>
      </c>
      <c r="AD40" s="182">
        <v>0.6</v>
      </c>
      <c r="AE40" s="182">
        <v>0.6</v>
      </c>
      <c r="AF40" s="182">
        <v>0.6</v>
      </c>
      <c r="AG40" s="182">
        <v>0.6</v>
      </c>
      <c r="AH40" s="184">
        <v>0.6</v>
      </c>
      <c r="AI40" s="493"/>
      <c r="AJ40" s="493"/>
      <c r="AK40" s="493"/>
      <c r="AL40" s="493"/>
      <c r="AM40" s="494"/>
      <c r="AN40" s="176"/>
    </row>
    <row r="41" ht="14.25" customHeight="1" outlineLevel="2">
      <c r="A41" s="871"/>
      <c r="B41" s="872" t="s">
        <v>3156</v>
      </c>
      <c r="C41" s="874"/>
      <c r="D41" s="873"/>
      <c r="E41" s="127"/>
      <c r="F41" s="869"/>
      <c r="G41" s="869"/>
      <c r="H41" s="208"/>
      <c r="I41" s="208"/>
      <c r="J41" s="208"/>
      <c r="K41" s="208"/>
      <c r="L41" s="208"/>
      <c r="M41" s="208"/>
      <c r="N41" s="208"/>
      <c r="O41" s="208"/>
      <c r="P41" s="208"/>
      <c r="Q41" s="208"/>
      <c r="R41" s="208"/>
      <c r="S41" s="208"/>
      <c r="T41" s="208"/>
      <c r="U41" s="208"/>
      <c r="V41" s="208"/>
      <c r="W41" s="870"/>
      <c r="X41" s="870"/>
      <c r="Y41" s="870"/>
      <c r="Z41" s="870"/>
      <c r="AA41" s="870"/>
      <c r="AB41" s="870"/>
      <c r="AC41" s="870"/>
      <c r="AD41" s="870"/>
      <c r="AE41" s="870"/>
      <c r="AF41" s="870"/>
      <c r="AG41" s="870"/>
      <c r="AH41" s="870"/>
      <c r="AI41" s="271"/>
      <c r="AJ41" s="271"/>
      <c r="AK41" s="271"/>
      <c r="AL41" s="271"/>
      <c r="AM41" s="271"/>
      <c r="AN41" s="102"/>
    </row>
    <row r="42" ht="14.25" customHeight="1" outlineLevel="3">
      <c r="A42" s="871"/>
      <c r="B42" s="872"/>
      <c r="C42" s="873"/>
      <c r="D42" s="874"/>
      <c r="E42" s="122" t="s">
        <v>3157</v>
      </c>
      <c r="F42" s="123" t="s">
        <v>135</v>
      </c>
      <c r="G42" s="123" t="s">
        <v>3158</v>
      </c>
      <c r="H42" s="181"/>
      <c r="I42" s="181"/>
      <c r="J42" s="181"/>
      <c r="K42" s="181"/>
      <c r="L42" s="181"/>
      <c r="M42" s="181"/>
      <c r="N42" s="181"/>
      <c r="O42" s="181"/>
      <c r="P42" s="181"/>
      <c r="Q42" s="181"/>
      <c r="R42" s="181"/>
      <c r="S42" s="181"/>
      <c r="T42" s="181"/>
      <c r="U42" s="181"/>
      <c r="V42" s="181"/>
      <c r="W42" s="286"/>
      <c r="X42" s="181"/>
      <c r="Y42" s="181"/>
      <c r="Z42" s="181"/>
      <c r="AA42" s="181"/>
      <c r="AB42" s="286"/>
      <c r="AC42" s="286"/>
      <c r="AD42" s="286"/>
      <c r="AE42" s="286"/>
      <c r="AF42" s="286"/>
      <c r="AG42" s="286"/>
      <c r="AH42" s="286"/>
      <c r="AI42" s="493"/>
      <c r="AJ42" s="493"/>
      <c r="AK42" s="493"/>
      <c r="AL42" s="493"/>
      <c r="AM42" s="494"/>
      <c r="AN42" s="176"/>
    </row>
    <row r="43" ht="14.25" customHeight="1" outlineLevel="3">
      <c r="A43" s="871"/>
      <c r="B43" s="872"/>
      <c r="C43" s="874"/>
      <c r="D43" s="873"/>
      <c r="E43" s="122" t="s">
        <v>3159</v>
      </c>
      <c r="F43" s="123" t="s">
        <v>3125</v>
      </c>
      <c r="G43" s="123" t="s">
        <v>3160</v>
      </c>
      <c r="H43" s="181">
        <v>0.0</v>
      </c>
      <c r="I43" s="181">
        <v>0.0</v>
      </c>
      <c r="J43" s="181">
        <v>0.0</v>
      </c>
      <c r="K43" s="181">
        <v>0.0</v>
      </c>
      <c r="L43" s="181">
        <v>0.0</v>
      </c>
      <c r="M43" s="181">
        <v>0.0</v>
      </c>
      <c r="N43" s="181">
        <v>0.0</v>
      </c>
      <c r="O43" s="181">
        <v>0.0</v>
      </c>
      <c r="P43" s="181">
        <v>0.0</v>
      </c>
      <c r="Q43" s="181">
        <v>0.0</v>
      </c>
      <c r="R43" s="181">
        <v>0.0</v>
      </c>
      <c r="S43" s="181">
        <v>0.0</v>
      </c>
      <c r="T43" s="181">
        <v>0.0</v>
      </c>
      <c r="U43" s="181">
        <v>0.0</v>
      </c>
      <c r="V43" s="181">
        <v>0.0</v>
      </c>
      <c r="W43" s="182">
        <v>0.0</v>
      </c>
      <c r="X43" s="181">
        <v>0.0</v>
      </c>
      <c r="Y43" s="181">
        <v>0.0</v>
      </c>
      <c r="Z43" s="181">
        <v>0.0</v>
      </c>
      <c r="AA43" s="181">
        <v>0.0</v>
      </c>
      <c r="AB43" s="182">
        <v>0.0</v>
      </c>
      <c r="AC43" s="182">
        <v>0.0</v>
      </c>
      <c r="AD43" s="182">
        <v>0.0</v>
      </c>
      <c r="AE43" s="182">
        <v>0.0</v>
      </c>
      <c r="AF43" s="182">
        <v>0.0</v>
      </c>
      <c r="AG43" s="182">
        <v>0.0</v>
      </c>
      <c r="AH43" s="184">
        <v>0.0</v>
      </c>
      <c r="AI43" s="493"/>
      <c r="AJ43" s="493"/>
      <c r="AK43" s="493"/>
      <c r="AL43" s="493"/>
      <c r="AM43" s="494"/>
      <c r="AN43" s="176"/>
    </row>
    <row r="44" ht="14.25" customHeight="1" outlineLevel="3">
      <c r="A44" s="871"/>
      <c r="B44" s="872"/>
      <c r="C44" s="872"/>
      <c r="D44" s="874"/>
      <c r="E44" s="122" t="s">
        <v>3161</v>
      </c>
      <c r="F44" s="123" t="s">
        <v>261</v>
      </c>
      <c r="G44" s="123" t="s">
        <v>3162</v>
      </c>
      <c r="H44" s="254"/>
      <c r="I44" s="254"/>
      <c r="J44" s="254"/>
      <c r="K44" s="254"/>
      <c r="L44" s="254"/>
      <c r="M44" s="254"/>
      <c r="N44" s="254"/>
      <c r="O44" s="254"/>
      <c r="P44" s="254"/>
      <c r="Q44" s="254"/>
      <c r="R44" s="254"/>
      <c r="S44" s="254"/>
      <c r="T44" s="254"/>
      <c r="U44" s="254"/>
      <c r="V44" s="254"/>
      <c r="W44" s="256"/>
      <c r="X44" s="254"/>
      <c r="Y44" s="254"/>
      <c r="Z44" s="254"/>
      <c r="AA44" s="254"/>
      <c r="AB44" s="256"/>
      <c r="AC44" s="256"/>
      <c r="AD44" s="256"/>
      <c r="AE44" s="256"/>
      <c r="AF44" s="256"/>
      <c r="AG44" s="256"/>
      <c r="AH44" s="256"/>
      <c r="AI44" s="493"/>
      <c r="AJ44" s="493"/>
      <c r="AK44" s="493"/>
      <c r="AL44" s="493"/>
      <c r="AM44" s="494"/>
      <c r="AN44" s="176"/>
    </row>
    <row r="45" ht="14.25" customHeight="1" outlineLevel="1">
      <c r="A45" s="492" t="s">
        <v>3163</v>
      </c>
      <c r="B45" s="872"/>
      <c r="C45" s="874"/>
      <c r="D45" s="874"/>
      <c r="E45" s="100"/>
      <c r="F45" s="869"/>
      <c r="G45" s="869"/>
      <c r="H45" s="208"/>
      <c r="I45" s="208"/>
      <c r="J45" s="208"/>
      <c r="K45" s="208"/>
      <c r="L45" s="208"/>
      <c r="M45" s="208"/>
      <c r="N45" s="208"/>
      <c r="O45" s="208"/>
      <c r="P45" s="208"/>
      <c r="Q45" s="208"/>
      <c r="R45" s="208"/>
      <c r="S45" s="208"/>
      <c r="T45" s="208"/>
      <c r="U45" s="208"/>
      <c r="V45" s="208"/>
      <c r="W45" s="208"/>
      <c r="X45" s="208"/>
      <c r="Y45" s="208"/>
      <c r="Z45" s="208"/>
      <c r="AA45" s="208"/>
      <c r="AB45" s="208"/>
      <c r="AC45" s="208"/>
      <c r="AD45" s="208"/>
      <c r="AE45" s="208"/>
      <c r="AF45" s="208"/>
      <c r="AG45" s="208"/>
      <c r="AH45" s="208"/>
      <c r="AI45" s="271"/>
      <c r="AJ45" s="271"/>
      <c r="AK45" s="271"/>
      <c r="AL45" s="271"/>
      <c r="AM45" s="271"/>
      <c r="AN45" s="102"/>
    </row>
    <row r="46" ht="14.25" customHeight="1" outlineLevel="2">
      <c r="A46" s="865"/>
      <c r="B46" s="872" t="s">
        <v>3164</v>
      </c>
      <c r="C46" s="873"/>
      <c r="D46" s="874"/>
      <c r="E46" s="100"/>
      <c r="F46" s="869"/>
      <c r="G46" s="869"/>
      <c r="H46" s="178"/>
      <c r="I46" s="208"/>
      <c r="J46" s="208"/>
      <c r="K46" s="208"/>
      <c r="L46" s="208"/>
      <c r="M46" s="208"/>
      <c r="N46" s="208"/>
      <c r="O46" s="208"/>
      <c r="P46" s="208"/>
      <c r="Q46" s="208"/>
      <c r="R46" s="208"/>
      <c r="S46" s="208"/>
      <c r="T46" s="208"/>
      <c r="U46" s="208"/>
      <c r="V46" s="208"/>
      <c r="W46" s="208"/>
      <c r="X46" s="208"/>
      <c r="Y46" s="208"/>
      <c r="Z46" s="208"/>
      <c r="AA46" s="208"/>
      <c r="AB46" s="208"/>
      <c r="AC46" s="208"/>
      <c r="AD46" s="208"/>
      <c r="AE46" s="208"/>
      <c r="AF46" s="208"/>
      <c r="AG46" s="208"/>
      <c r="AH46" s="208"/>
      <c r="AI46" s="271"/>
      <c r="AJ46" s="271"/>
      <c r="AK46" s="271"/>
      <c r="AL46" s="271"/>
      <c r="AM46" s="271"/>
      <c r="AN46" s="102"/>
    </row>
    <row r="47" ht="14.25" customHeight="1" outlineLevel="3">
      <c r="A47" s="865"/>
      <c r="B47" s="872"/>
      <c r="C47" s="873"/>
      <c r="D47" s="874"/>
      <c r="E47" s="122" t="s">
        <v>3165</v>
      </c>
      <c r="F47" s="123" t="s">
        <v>135</v>
      </c>
      <c r="G47" s="123" t="s">
        <v>3166</v>
      </c>
      <c r="H47" s="260">
        <v>48.157</v>
      </c>
      <c r="I47" s="181">
        <v>46.349</v>
      </c>
      <c r="J47" s="181">
        <v>47.36</v>
      </c>
      <c r="K47" s="181">
        <v>47.379</v>
      </c>
      <c r="L47" s="181">
        <v>47.312</v>
      </c>
      <c r="M47" s="181">
        <v>47.595</v>
      </c>
      <c r="N47" s="181">
        <v>46.645</v>
      </c>
      <c r="O47" s="181">
        <v>48.227</v>
      </c>
      <c r="P47" s="181">
        <v>45.568</v>
      </c>
      <c r="Q47" s="181">
        <v>47.222</v>
      </c>
      <c r="R47" s="181">
        <v>47.944</v>
      </c>
      <c r="S47" s="181">
        <v>48.234</v>
      </c>
      <c r="T47" s="181">
        <v>40.295</v>
      </c>
      <c r="U47" s="181">
        <v>42.644</v>
      </c>
      <c r="V47" s="181">
        <v>33.703</v>
      </c>
      <c r="W47" s="182">
        <v>26.103</v>
      </c>
      <c r="X47" s="181">
        <v>43.523</v>
      </c>
      <c r="Y47" s="181">
        <v>42.227</v>
      </c>
      <c r="Z47" s="181">
        <v>28.597</v>
      </c>
      <c r="AA47" s="181">
        <v>43.524</v>
      </c>
      <c r="AB47" s="182">
        <f>AA47</f>
        <v>43.524</v>
      </c>
      <c r="AC47" s="182">
        <v>16.8</v>
      </c>
      <c r="AD47" s="182">
        <v>16.8</v>
      </c>
      <c r="AE47" s="182">
        <v>0.0</v>
      </c>
      <c r="AF47" s="182">
        <v>0.0</v>
      </c>
      <c r="AG47" s="182">
        <v>0.0</v>
      </c>
      <c r="AH47" s="184">
        <v>0.0</v>
      </c>
      <c r="AI47" s="493"/>
      <c r="AJ47" s="493"/>
      <c r="AK47" s="493"/>
      <c r="AL47" s="493"/>
      <c r="AM47" s="494"/>
      <c r="AN47" s="176"/>
    </row>
    <row r="48" ht="14.25" customHeight="1" outlineLevel="3">
      <c r="A48" s="865"/>
      <c r="B48" s="872"/>
      <c r="C48" s="873"/>
      <c r="D48" s="874"/>
      <c r="E48" s="412" t="s">
        <v>3167</v>
      </c>
      <c r="F48" s="123" t="s">
        <v>261</v>
      </c>
      <c r="G48" s="123" t="s">
        <v>3168</v>
      </c>
      <c r="H48" s="254">
        <v>0.33</v>
      </c>
      <c r="I48" s="254">
        <v>0.33</v>
      </c>
      <c r="J48" s="254">
        <v>0.33</v>
      </c>
      <c r="K48" s="254">
        <v>0.33</v>
      </c>
      <c r="L48" s="254">
        <v>0.33</v>
      </c>
      <c r="M48" s="254">
        <v>0.33</v>
      </c>
      <c r="N48" s="254">
        <v>0.33</v>
      </c>
      <c r="O48" s="254">
        <v>0.33</v>
      </c>
      <c r="P48" s="254">
        <v>0.33</v>
      </c>
      <c r="Q48" s="254">
        <v>0.33</v>
      </c>
      <c r="R48" s="254">
        <v>0.33</v>
      </c>
      <c r="S48" s="254">
        <v>0.33</v>
      </c>
      <c r="T48" s="254">
        <v>0.33</v>
      </c>
      <c r="U48" s="254">
        <v>0.33</v>
      </c>
      <c r="V48" s="254">
        <v>0.33</v>
      </c>
      <c r="W48" s="364">
        <v>0.33</v>
      </c>
      <c r="X48" s="254">
        <v>0.33</v>
      </c>
      <c r="Y48" s="254">
        <v>0.33</v>
      </c>
      <c r="Z48" s="254">
        <v>0.33</v>
      </c>
      <c r="AA48" s="254">
        <v>0.33</v>
      </c>
      <c r="AB48" s="364">
        <v>0.33</v>
      </c>
      <c r="AC48" s="364">
        <v>0.33</v>
      </c>
      <c r="AD48" s="364">
        <v>0.33</v>
      </c>
      <c r="AE48" s="364">
        <v>0.33</v>
      </c>
      <c r="AF48" s="364">
        <v>0.33</v>
      </c>
      <c r="AG48" s="364">
        <v>0.33</v>
      </c>
      <c r="AH48" s="364">
        <v>0.33</v>
      </c>
      <c r="AI48" s="493"/>
      <c r="AJ48" s="493"/>
      <c r="AK48" s="493"/>
      <c r="AL48" s="493"/>
      <c r="AM48" s="494"/>
      <c r="AN48" s="176"/>
    </row>
    <row r="49" ht="14.25" customHeight="1" outlineLevel="2">
      <c r="A49" s="865"/>
      <c r="B49" s="872" t="s">
        <v>3169</v>
      </c>
      <c r="C49" s="873"/>
      <c r="D49" s="874"/>
      <c r="E49" s="127"/>
      <c r="F49" s="869"/>
      <c r="G49" s="869"/>
      <c r="H49" s="208"/>
      <c r="I49" s="208"/>
      <c r="J49" s="208"/>
      <c r="K49" s="208"/>
      <c r="L49" s="208"/>
      <c r="M49" s="208"/>
      <c r="N49" s="208"/>
      <c r="O49" s="208"/>
      <c r="P49" s="208"/>
      <c r="Q49" s="208"/>
      <c r="R49" s="208"/>
      <c r="S49" s="208"/>
      <c r="T49" s="208"/>
      <c r="U49" s="208"/>
      <c r="V49" s="208"/>
      <c r="W49" s="208"/>
      <c r="X49" s="208"/>
      <c r="Y49" s="208"/>
      <c r="Z49" s="208"/>
      <c r="AA49" s="208"/>
      <c r="AB49" s="208"/>
      <c r="AC49" s="208"/>
      <c r="AD49" s="208"/>
      <c r="AE49" s="208"/>
      <c r="AF49" s="208"/>
      <c r="AG49" s="208"/>
      <c r="AH49" s="208"/>
      <c r="AI49" s="271"/>
      <c r="AJ49" s="271"/>
      <c r="AK49" s="271"/>
      <c r="AL49" s="271"/>
      <c r="AM49" s="271"/>
      <c r="AN49" s="176"/>
    </row>
    <row r="50" ht="14.25" customHeight="1" outlineLevel="3">
      <c r="A50" s="865"/>
      <c r="B50" s="872"/>
      <c r="C50" s="873"/>
      <c r="D50" s="874"/>
      <c r="E50" s="122" t="s">
        <v>3170</v>
      </c>
      <c r="F50" s="123" t="s">
        <v>135</v>
      </c>
      <c r="G50" s="123" t="s">
        <v>3171</v>
      </c>
      <c r="H50" s="181">
        <v>11.3482098653623</v>
      </c>
      <c r="I50" s="181">
        <v>9.77505188880478</v>
      </c>
      <c r="J50" s="181">
        <v>9.77115562752292</v>
      </c>
      <c r="K50" s="181">
        <v>9.28355942107137</v>
      </c>
      <c r="L50" s="181">
        <v>7.77844556731666</v>
      </c>
      <c r="M50" s="181">
        <v>8.00476807691439</v>
      </c>
      <c r="N50" s="181">
        <v>6.80964095894096</v>
      </c>
      <c r="O50" s="181">
        <v>6.1376282327496</v>
      </c>
      <c r="P50" s="181">
        <v>5.76107900601932</v>
      </c>
      <c r="Q50" s="181">
        <v>4.93258403067114</v>
      </c>
      <c r="R50" s="181">
        <v>4.17938653416188</v>
      </c>
      <c r="S50" s="181">
        <v>3.46450861938844</v>
      </c>
      <c r="T50" s="181">
        <v>3.441391688602</v>
      </c>
      <c r="U50" s="181">
        <v>2.93199874380496</v>
      </c>
      <c r="V50" s="181">
        <v>2.16549433987021</v>
      </c>
      <c r="W50" s="876">
        <v>4.0</v>
      </c>
      <c r="X50" s="875">
        <v>2.64</v>
      </c>
      <c r="Y50" s="875">
        <v>2.425</v>
      </c>
      <c r="Z50" s="875">
        <v>2.345</v>
      </c>
      <c r="AA50" s="875">
        <v>2.532</v>
      </c>
      <c r="AB50" s="182">
        <v>1.834</v>
      </c>
      <c r="AC50" s="182">
        <v>1.8</v>
      </c>
      <c r="AD50" s="182">
        <v>1.8</v>
      </c>
      <c r="AE50" s="876">
        <v>0.9</v>
      </c>
      <c r="AF50" s="876">
        <v>0.0</v>
      </c>
      <c r="AG50" s="876">
        <v>0.0</v>
      </c>
      <c r="AH50" s="876">
        <v>0.0</v>
      </c>
      <c r="AI50" s="493"/>
      <c r="AJ50" s="493"/>
      <c r="AK50" s="493"/>
      <c r="AL50" s="493"/>
      <c r="AM50" s="494"/>
      <c r="AN50" s="176"/>
    </row>
    <row r="51" ht="14.25" customHeight="1" outlineLevel="3">
      <c r="A51" s="865"/>
      <c r="B51" s="872"/>
      <c r="C51" s="873"/>
      <c r="D51" s="874"/>
      <c r="E51" s="412" t="s">
        <v>3172</v>
      </c>
      <c r="F51" s="123" t="s">
        <v>261</v>
      </c>
      <c r="G51" s="123" t="s">
        <v>3173</v>
      </c>
      <c r="H51" s="254">
        <v>0.377670534317567</v>
      </c>
      <c r="I51" s="254">
        <v>0.377737836036647</v>
      </c>
      <c r="J51" s="254">
        <v>0.373402713849905</v>
      </c>
      <c r="K51" s="254">
        <v>0.371405265255327</v>
      </c>
      <c r="L51" s="254">
        <v>0.380271041425306</v>
      </c>
      <c r="M51" s="254">
        <v>0.379154108283636</v>
      </c>
      <c r="N51" s="254">
        <v>0.375836213222666</v>
      </c>
      <c r="O51" s="254">
        <v>0.39238471173424</v>
      </c>
      <c r="P51" s="254">
        <v>0.411587256364957</v>
      </c>
      <c r="Q51" s="254">
        <v>0.397542124151233</v>
      </c>
      <c r="R51" s="254">
        <v>0.398691513948163</v>
      </c>
      <c r="S51" s="254">
        <v>0.393442125508854</v>
      </c>
      <c r="T51" s="254">
        <v>0.399060522929045</v>
      </c>
      <c r="U51" s="254">
        <v>0.391365579888058</v>
      </c>
      <c r="V51" s="254">
        <v>0.39073812004705</v>
      </c>
      <c r="W51" s="279">
        <v>0.393501693065523</v>
      </c>
      <c r="X51" s="254">
        <v>0.393501693065523</v>
      </c>
      <c r="Y51" s="877">
        <v>0.402772577949756</v>
      </c>
      <c r="Z51" s="878">
        <v>0.407775775328733</v>
      </c>
      <c r="AA51" s="878">
        <v>0.412574884043822</v>
      </c>
      <c r="AB51" s="877">
        <v>0.409918625174923</v>
      </c>
      <c r="AC51" s="877">
        <v>0.409918625174923</v>
      </c>
      <c r="AD51" s="877">
        <v>0.409918625174923</v>
      </c>
      <c r="AE51" s="877">
        <v>0.409918625174923</v>
      </c>
      <c r="AF51" s="877">
        <v>0.409918625174923</v>
      </c>
      <c r="AG51" s="877">
        <v>0.409918625174923</v>
      </c>
      <c r="AH51" s="877">
        <v>0.409918625174923</v>
      </c>
      <c r="AI51" s="493"/>
      <c r="AJ51" s="493"/>
      <c r="AK51" s="493"/>
      <c r="AL51" s="493"/>
      <c r="AM51" s="494"/>
      <c r="AN51" s="176"/>
    </row>
    <row r="52" ht="14.25" customHeight="1" outlineLevel="2">
      <c r="A52" s="865"/>
      <c r="B52" s="872" t="s">
        <v>3174</v>
      </c>
      <c r="C52" s="873"/>
      <c r="D52" s="874"/>
      <c r="E52" s="127"/>
      <c r="F52" s="869"/>
      <c r="G52" s="869"/>
      <c r="H52" s="208"/>
      <c r="I52" s="208"/>
      <c r="J52" s="208"/>
      <c r="K52" s="208"/>
      <c r="L52" s="208"/>
      <c r="M52" s="208"/>
      <c r="N52" s="208"/>
      <c r="O52" s="208"/>
      <c r="P52" s="208"/>
      <c r="Q52" s="208"/>
      <c r="R52" s="208"/>
      <c r="S52" s="208"/>
      <c r="T52" s="208"/>
      <c r="U52" s="208"/>
      <c r="V52" s="208"/>
      <c r="W52" s="208"/>
      <c r="X52" s="208"/>
      <c r="Y52" s="208"/>
      <c r="Z52" s="208"/>
      <c r="AA52" s="208"/>
      <c r="AB52" s="208"/>
      <c r="AC52" s="208"/>
      <c r="AD52" s="208"/>
      <c r="AE52" s="208"/>
      <c r="AF52" s="208"/>
      <c r="AG52" s="208"/>
      <c r="AH52" s="208"/>
      <c r="AI52" s="271"/>
      <c r="AJ52" s="271"/>
      <c r="AK52" s="271"/>
      <c r="AL52" s="271"/>
      <c r="AM52" s="271"/>
      <c r="AN52" s="176"/>
    </row>
    <row r="53" ht="14.25" customHeight="1" outlineLevel="3">
      <c r="A53" s="865"/>
      <c r="B53" s="872"/>
      <c r="C53" s="873"/>
      <c r="D53" s="874"/>
      <c r="E53" s="122" t="s">
        <v>3175</v>
      </c>
      <c r="F53" s="123" t="s">
        <v>135</v>
      </c>
      <c r="G53" s="123" t="s">
        <v>3176</v>
      </c>
      <c r="H53" s="181">
        <v>0.389451597327059</v>
      </c>
      <c r="I53" s="181">
        <v>1.08680129868591</v>
      </c>
      <c r="J53" s="181">
        <v>0.629974432585728</v>
      </c>
      <c r="K53" s="181">
        <v>0.832370830256839</v>
      </c>
      <c r="L53" s="181">
        <v>1.36898965629836</v>
      </c>
      <c r="M53" s="181">
        <v>1.66134642084684</v>
      </c>
      <c r="N53" s="181">
        <v>1.44894265572756</v>
      </c>
      <c r="O53" s="181">
        <v>0.815690145533072</v>
      </c>
      <c r="P53" s="181">
        <v>0.329226645531062</v>
      </c>
      <c r="Q53" s="181">
        <v>0.46023380100106</v>
      </c>
      <c r="R53" s="181">
        <v>0.184599675685971</v>
      </c>
      <c r="S53" s="181">
        <v>0.154179637006165</v>
      </c>
      <c r="T53" s="181">
        <v>0.0743123571237456</v>
      </c>
      <c r="U53" s="181">
        <v>0.0584658288807356</v>
      </c>
      <c r="V53" s="181">
        <v>0.0128013064287246</v>
      </c>
      <c r="W53" s="182">
        <v>0.013062545699715</v>
      </c>
      <c r="X53" s="181">
        <v>0.198</v>
      </c>
      <c r="Y53" s="181">
        <v>0.176</v>
      </c>
      <c r="Z53" s="181">
        <v>0.161</v>
      </c>
      <c r="AA53" s="181">
        <v>0.027</v>
      </c>
      <c r="AB53" s="182">
        <v>0.088</v>
      </c>
      <c r="AC53" s="182">
        <v>0.0</v>
      </c>
      <c r="AD53" s="182">
        <v>0.0</v>
      </c>
      <c r="AE53" s="182">
        <v>0.0</v>
      </c>
      <c r="AF53" s="182">
        <v>0.0</v>
      </c>
      <c r="AG53" s="182">
        <v>0.0</v>
      </c>
      <c r="AH53" s="182">
        <v>0.0</v>
      </c>
      <c r="AI53" s="493"/>
      <c r="AJ53" s="493"/>
      <c r="AK53" s="493"/>
      <c r="AL53" s="493"/>
      <c r="AM53" s="494"/>
      <c r="AN53" s="176"/>
    </row>
    <row r="54" ht="14.25" customHeight="1" outlineLevel="3">
      <c r="A54" s="865"/>
      <c r="B54" s="872"/>
      <c r="C54" s="873"/>
      <c r="D54" s="874"/>
      <c r="E54" s="412" t="s">
        <v>3177</v>
      </c>
      <c r="F54" s="123" t="s">
        <v>261</v>
      </c>
      <c r="G54" s="123" t="s">
        <v>3178</v>
      </c>
      <c r="H54" s="254">
        <v>0.382680325245261</v>
      </c>
      <c r="I54" s="254">
        <v>0.391711134054636</v>
      </c>
      <c r="J54" s="254">
        <v>0.377095995432634</v>
      </c>
      <c r="K54" s="254">
        <v>0.361238235663813</v>
      </c>
      <c r="L54" s="254">
        <v>0.357887658075293</v>
      </c>
      <c r="M54" s="254">
        <v>0.36093855166242</v>
      </c>
      <c r="N54" s="254">
        <v>0.364522978809036</v>
      </c>
      <c r="O54" s="254">
        <v>0.3643016479629</v>
      </c>
      <c r="P54" s="254">
        <v>0.367917059648139</v>
      </c>
      <c r="Q54" s="254">
        <v>0.40317011459729</v>
      </c>
      <c r="R54" s="254">
        <v>0.368416001304731</v>
      </c>
      <c r="S54" s="254">
        <v>0.373782967984283</v>
      </c>
      <c r="T54" s="254">
        <v>0.373037668669672</v>
      </c>
      <c r="U54" s="254">
        <v>0.381871434081378</v>
      </c>
      <c r="V54" s="254">
        <v>0.356000271749877</v>
      </c>
      <c r="W54" s="279">
        <v>0.36252428583338</v>
      </c>
      <c r="X54" s="254">
        <v>0.36252428583338</v>
      </c>
      <c r="Y54" s="254">
        <v>0.36252428583338</v>
      </c>
      <c r="Z54" s="254">
        <v>0.36252428583338</v>
      </c>
      <c r="AA54" s="254">
        <v>0.36252428583338</v>
      </c>
      <c r="AB54" s="279">
        <f>+AA54</f>
        <v>0.3625242858</v>
      </c>
      <c r="AC54" s="279">
        <v>0.36252428583338</v>
      </c>
      <c r="AD54" s="279">
        <v>0.36252428583338</v>
      </c>
      <c r="AE54" s="279">
        <v>0.36252428583338</v>
      </c>
      <c r="AF54" s="279">
        <v>0.36252428583338</v>
      </c>
      <c r="AG54" s="279">
        <v>0.36252428583338</v>
      </c>
      <c r="AH54" s="279">
        <v>0.36252428583338</v>
      </c>
      <c r="AI54" s="493"/>
      <c r="AJ54" s="493"/>
      <c r="AK54" s="493"/>
      <c r="AL54" s="493"/>
      <c r="AM54" s="494"/>
      <c r="AN54" s="176"/>
    </row>
    <row r="55" ht="14.25" customHeight="1" outlineLevel="2">
      <c r="A55" s="865"/>
      <c r="B55" s="872" t="s">
        <v>3179</v>
      </c>
      <c r="C55" s="873"/>
      <c r="D55" s="874"/>
      <c r="E55" s="127"/>
      <c r="F55" s="869"/>
      <c r="G55" s="869"/>
      <c r="H55" s="208"/>
      <c r="I55" s="208"/>
      <c r="J55" s="208"/>
      <c r="K55" s="208"/>
      <c r="L55" s="208"/>
      <c r="M55" s="208"/>
      <c r="N55" s="208"/>
      <c r="O55" s="208"/>
      <c r="P55" s="208"/>
      <c r="Q55" s="208"/>
      <c r="R55" s="208"/>
      <c r="S55" s="208"/>
      <c r="T55" s="208"/>
      <c r="U55" s="208"/>
      <c r="V55" s="208"/>
      <c r="W55" s="208"/>
      <c r="X55" s="208"/>
      <c r="Y55" s="208"/>
      <c r="Z55" s="208"/>
      <c r="AA55" s="208"/>
      <c r="AB55" s="208"/>
      <c r="AC55" s="208"/>
      <c r="AD55" s="208"/>
      <c r="AE55" s="208"/>
      <c r="AF55" s="208"/>
      <c r="AG55" s="208"/>
      <c r="AH55" s="208"/>
      <c r="AI55" s="271"/>
      <c r="AJ55" s="271"/>
      <c r="AK55" s="271"/>
      <c r="AL55" s="271"/>
      <c r="AM55" s="271"/>
      <c r="AN55" s="176"/>
    </row>
    <row r="56" ht="14.25" customHeight="1" outlineLevel="3">
      <c r="A56" s="865"/>
      <c r="B56" s="872"/>
      <c r="C56" s="873"/>
      <c r="D56" s="874"/>
      <c r="E56" s="122" t="s">
        <v>3180</v>
      </c>
      <c r="F56" s="123" t="s">
        <v>135</v>
      </c>
      <c r="G56" s="123" t="s">
        <v>3181</v>
      </c>
      <c r="H56" s="181">
        <v>12.5337811220837</v>
      </c>
      <c r="I56" s="181">
        <v>11.1564724851935</v>
      </c>
      <c r="J56" s="181">
        <v>12.1132537533789</v>
      </c>
      <c r="K56" s="181">
        <v>15.3331199444326</v>
      </c>
      <c r="L56" s="181">
        <v>16.1618980946907</v>
      </c>
      <c r="M56" s="181">
        <v>16.3733029467173</v>
      </c>
      <c r="N56" s="181">
        <v>13.8140618848182</v>
      </c>
      <c r="O56" s="181">
        <v>15.7107155807339</v>
      </c>
      <c r="P56" s="181">
        <v>14.2715340699268</v>
      </c>
      <c r="Q56" s="181">
        <v>18.4075924309862</v>
      </c>
      <c r="R56" s="181">
        <v>19.411943077031</v>
      </c>
      <c r="S56" s="181">
        <v>13.5899657489004</v>
      </c>
      <c r="T56" s="181">
        <v>10.8204105052463</v>
      </c>
      <c r="U56" s="181">
        <v>9.89668937543221</v>
      </c>
      <c r="V56" s="181">
        <v>9.64628617853379</v>
      </c>
      <c r="W56" s="876">
        <v>12.8185359608713</v>
      </c>
      <c r="X56" s="879">
        <v>12.660019907668</v>
      </c>
      <c r="Y56" s="879">
        <v>13.6491987421089</v>
      </c>
      <c r="Z56" s="879">
        <v>13.937427321775</v>
      </c>
      <c r="AA56" s="879">
        <v>15.2631628008831</v>
      </c>
      <c r="AB56" s="876">
        <v>15.496490698708</v>
      </c>
      <c r="AC56" s="880">
        <v>13.990716919489</v>
      </c>
      <c r="AD56" s="880">
        <v>12.48494314027</v>
      </c>
      <c r="AE56" s="880">
        <v>10.2262824714416</v>
      </c>
      <c r="AF56" s="880">
        <v>6.4618480233941</v>
      </c>
      <c r="AG56" s="880">
        <v>0.438752906518173</v>
      </c>
      <c r="AH56" s="880">
        <v>0.0</v>
      </c>
      <c r="AI56" s="493"/>
      <c r="AJ56" s="493"/>
      <c r="AK56" s="493"/>
      <c r="AL56" s="493"/>
      <c r="AM56" s="494"/>
      <c r="AN56" s="176"/>
    </row>
    <row r="57" ht="14.25" customHeight="1" outlineLevel="3">
      <c r="A57" s="865"/>
      <c r="B57" s="872"/>
      <c r="C57" s="873"/>
      <c r="D57" s="874"/>
      <c r="E57" s="412" t="s">
        <v>3182</v>
      </c>
      <c r="F57" s="123" t="s">
        <v>261</v>
      </c>
      <c r="G57" s="123" t="s">
        <v>3183</v>
      </c>
      <c r="H57" s="254">
        <v>0.478695170242529</v>
      </c>
      <c r="I57" s="254">
        <v>0.478744542309607</v>
      </c>
      <c r="J57" s="254">
        <v>0.466274731026154</v>
      </c>
      <c r="K57" s="254">
        <v>0.455333256103275</v>
      </c>
      <c r="L57" s="254">
        <v>0.479481928676312</v>
      </c>
      <c r="M57" s="254">
        <v>0.476159315758582</v>
      </c>
      <c r="N57" s="254">
        <v>0.494459134457063</v>
      </c>
      <c r="O57" s="254">
        <v>0.495391922091268</v>
      </c>
      <c r="P57" s="254">
        <v>0.510259150798112</v>
      </c>
      <c r="Q57" s="254">
        <v>0.488851377348369</v>
      </c>
      <c r="R57" s="254">
        <v>0.466637886484787</v>
      </c>
      <c r="S57" s="254">
        <v>0.463565524589125</v>
      </c>
      <c r="T57" s="254">
        <v>0.506601217026451</v>
      </c>
      <c r="U57" s="254">
        <v>0.521830075466251</v>
      </c>
      <c r="V57" s="254">
        <v>0.53181246891519</v>
      </c>
      <c r="W57" s="279">
        <v>0.570579106327876</v>
      </c>
      <c r="X57" s="254">
        <v>0.570579106327876</v>
      </c>
      <c r="Y57" s="254">
        <v>0.570579106327876</v>
      </c>
      <c r="Z57" s="254">
        <v>0.570579106327876</v>
      </c>
      <c r="AA57" s="254">
        <v>0.570579106327876</v>
      </c>
      <c r="AB57" s="279">
        <v>0.570579106327876</v>
      </c>
      <c r="AC57" s="279">
        <v>0.570579106327876</v>
      </c>
      <c r="AD57" s="279">
        <v>0.570579106327876</v>
      </c>
      <c r="AE57" s="279">
        <v>0.570579106327876</v>
      </c>
      <c r="AF57" s="279">
        <v>0.570579106327876</v>
      </c>
      <c r="AG57" s="279">
        <v>0.570579106327876</v>
      </c>
      <c r="AH57" s="279">
        <v>0.570579106327876</v>
      </c>
      <c r="AI57" s="493"/>
      <c r="AJ57" s="493"/>
      <c r="AK57" s="493"/>
      <c r="AL57" s="493"/>
      <c r="AM57" s="494"/>
      <c r="AN57" s="176"/>
    </row>
    <row r="58" ht="14.25" customHeight="1" outlineLevel="2">
      <c r="A58" s="865"/>
      <c r="B58" s="872" t="s">
        <v>3184</v>
      </c>
      <c r="C58" s="873"/>
      <c r="D58" s="874"/>
      <c r="E58" s="127"/>
      <c r="F58" s="869"/>
      <c r="G58" s="869"/>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71"/>
      <c r="AJ58" s="271"/>
      <c r="AK58" s="271"/>
      <c r="AL58" s="271"/>
      <c r="AM58" s="271"/>
      <c r="AN58" s="176"/>
    </row>
    <row r="59" ht="14.25" customHeight="1" outlineLevel="3">
      <c r="A59" s="865"/>
      <c r="B59" s="872"/>
      <c r="C59" s="873"/>
      <c r="D59" s="874"/>
      <c r="E59" s="122" t="s">
        <v>3185</v>
      </c>
      <c r="F59" s="123" t="s">
        <v>135</v>
      </c>
      <c r="G59" s="123" t="s">
        <v>3186</v>
      </c>
      <c r="H59" s="181">
        <v>0.684448072712581</v>
      </c>
      <c r="I59" s="181">
        <v>0.686307226608736</v>
      </c>
      <c r="J59" s="181">
        <v>0.710688176611726</v>
      </c>
      <c r="K59" s="181">
        <v>0.855162216532335</v>
      </c>
      <c r="L59" s="181">
        <v>0.847144148624497</v>
      </c>
      <c r="M59" s="181">
        <v>1.16599051544768</v>
      </c>
      <c r="N59" s="181">
        <v>1.796419185614</v>
      </c>
      <c r="O59" s="181">
        <v>2.54380582779773</v>
      </c>
      <c r="P59" s="181">
        <v>2.81209013755587</v>
      </c>
      <c r="Q59" s="181">
        <v>2.81089050714611</v>
      </c>
      <c r="R59" s="181">
        <v>3.66139593403636</v>
      </c>
      <c r="S59" s="181">
        <v>3.76253783617547</v>
      </c>
      <c r="T59" s="181">
        <v>4.32004026885254</v>
      </c>
      <c r="U59" s="181">
        <v>3.25245757111123</v>
      </c>
      <c r="V59" s="181">
        <v>2.53205948329119</v>
      </c>
      <c r="W59" s="876">
        <v>2.22115786744701</v>
      </c>
      <c r="X59" s="879">
        <v>2.08409947510411</v>
      </c>
      <c r="Y59" s="879">
        <v>2.40741422996096</v>
      </c>
      <c r="Z59" s="879">
        <v>2.10459057466455</v>
      </c>
      <c r="AA59" s="879">
        <v>1.92345698704071</v>
      </c>
      <c r="AB59" s="876">
        <v>1.96598568424161</v>
      </c>
      <c r="AC59" s="876">
        <v>2.0</v>
      </c>
      <c r="AD59" s="876">
        <v>2.0</v>
      </c>
      <c r="AE59" s="876">
        <v>2.0</v>
      </c>
      <c r="AF59" s="182">
        <f>AE59/2</f>
        <v>1</v>
      </c>
      <c r="AG59" s="182">
        <v>0.0</v>
      </c>
      <c r="AH59" s="182">
        <v>0.0</v>
      </c>
      <c r="AI59" s="493"/>
      <c r="AJ59" s="493"/>
      <c r="AK59" s="493"/>
      <c r="AL59" s="493"/>
      <c r="AM59" s="494"/>
      <c r="AN59" s="176"/>
    </row>
    <row r="60" ht="14.25" customHeight="1" outlineLevel="3">
      <c r="A60" s="865"/>
      <c r="B60" s="872"/>
      <c r="C60" s="873"/>
      <c r="D60" s="874"/>
      <c r="E60" s="412" t="s">
        <v>3187</v>
      </c>
      <c r="F60" s="123" t="s">
        <v>261</v>
      </c>
      <c r="G60" s="123" t="s">
        <v>3188</v>
      </c>
      <c r="H60" s="254">
        <v>0.181945942345173</v>
      </c>
      <c r="I60" s="254">
        <v>0.181929768707308</v>
      </c>
      <c r="J60" s="254">
        <v>0.188957783999534</v>
      </c>
      <c r="K60" s="254">
        <v>0.199717213612185</v>
      </c>
      <c r="L60" s="254">
        <v>0.212602064446336</v>
      </c>
      <c r="M60" s="254">
        <v>0.232662775095163</v>
      </c>
      <c r="N60" s="254">
        <v>0.244609258816237</v>
      </c>
      <c r="O60" s="254">
        <v>0.242738424557044</v>
      </c>
      <c r="P60" s="254">
        <v>0.233575150704797</v>
      </c>
      <c r="Q60" s="254">
        <v>0.265497929740393</v>
      </c>
      <c r="R60" s="254">
        <v>0.266433448916979</v>
      </c>
      <c r="S60" s="254">
        <v>0.25391839020708</v>
      </c>
      <c r="T60" s="254">
        <v>0.292409481871093</v>
      </c>
      <c r="U60" s="254">
        <v>0.32027296948499</v>
      </c>
      <c r="V60" s="254">
        <v>0.315380523030089</v>
      </c>
      <c r="W60" s="279">
        <v>0.359230335315972</v>
      </c>
      <c r="X60" s="254">
        <v>0.353657777638466</v>
      </c>
      <c r="Y60" s="254">
        <v>0.353773567642249</v>
      </c>
      <c r="Z60" s="254">
        <v>0.354725577566669</v>
      </c>
      <c r="AA60" s="254">
        <v>0.353030378846812</v>
      </c>
      <c r="AB60" s="279">
        <v>0.350655507844927</v>
      </c>
      <c r="AC60" s="279">
        <f t="shared" ref="AC60:AH60" si="5">AB60</f>
        <v>0.3506555078</v>
      </c>
      <c r="AD60" s="279">
        <f t="shared" si="5"/>
        <v>0.3506555078</v>
      </c>
      <c r="AE60" s="279">
        <f t="shared" si="5"/>
        <v>0.3506555078</v>
      </c>
      <c r="AF60" s="279">
        <f t="shared" si="5"/>
        <v>0.3506555078</v>
      </c>
      <c r="AG60" s="279">
        <f t="shared" si="5"/>
        <v>0.3506555078</v>
      </c>
      <c r="AH60" s="279">
        <f t="shared" si="5"/>
        <v>0.3506555078</v>
      </c>
      <c r="AI60" s="493"/>
      <c r="AJ60" s="493"/>
      <c r="AK60" s="493"/>
      <c r="AL60" s="493"/>
      <c r="AM60" s="494"/>
      <c r="AN60" s="176"/>
    </row>
    <row r="61" ht="14.25" customHeight="1" outlineLevel="3">
      <c r="A61" s="865"/>
      <c r="B61" s="872" t="s">
        <v>3189</v>
      </c>
      <c r="C61" s="872"/>
      <c r="D61" s="873"/>
      <c r="E61" s="874"/>
      <c r="F61" s="127"/>
      <c r="G61" s="869"/>
      <c r="H61" s="869"/>
      <c r="I61" s="208"/>
      <c r="J61" s="208"/>
      <c r="K61" s="208"/>
      <c r="L61" s="208"/>
      <c r="M61" s="208"/>
      <c r="N61" s="208"/>
      <c r="O61" s="208"/>
      <c r="P61" s="208"/>
      <c r="Q61" s="208"/>
      <c r="R61" s="208"/>
      <c r="S61" s="208"/>
      <c r="T61" s="208"/>
      <c r="U61" s="208"/>
      <c r="V61" s="208"/>
      <c r="W61" s="208"/>
      <c r="X61" s="208"/>
      <c r="Y61" s="208"/>
      <c r="Z61" s="208"/>
      <c r="AA61" s="208"/>
      <c r="AB61" s="208"/>
      <c r="AC61" s="208"/>
      <c r="AD61" s="208"/>
      <c r="AE61" s="208"/>
      <c r="AF61" s="208"/>
      <c r="AG61" s="208"/>
      <c r="AH61" s="208"/>
      <c r="AI61" s="271"/>
      <c r="AJ61" s="271"/>
      <c r="AK61" s="271"/>
      <c r="AL61" s="271"/>
      <c r="AM61" s="271"/>
      <c r="AN61" s="176"/>
    </row>
    <row r="62" ht="14.25" customHeight="1" outlineLevel="3">
      <c r="A62" s="865"/>
      <c r="B62" s="872"/>
      <c r="C62" s="872"/>
      <c r="D62" s="873"/>
      <c r="E62" s="122" t="s">
        <v>3190</v>
      </c>
      <c r="F62" s="123" t="s">
        <v>135</v>
      </c>
      <c r="G62" s="123" t="s">
        <v>3191</v>
      </c>
      <c r="H62" s="181"/>
      <c r="I62" s="181"/>
      <c r="J62" s="181"/>
      <c r="K62" s="181"/>
      <c r="L62" s="181"/>
      <c r="M62" s="181"/>
      <c r="N62" s="181"/>
      <c r="O62" s="181"/>
      <c r="P62" s="181"/>
      <c r="Q62" s="181"/>
      <c r="R62" s="181"/>
      <c r="S62" s="181"/>
      <c r="T62" s="181"/>
      <c r="U62" s="181"/>
      <c r="V62" s="181"/>
      <c r="W62" s="879">
        <v>0.931378468699714</v>
      </c>
      <c r="X62" s="879">
        <v>0.928092160279644</v>
      </c>
      <c r="Y62" s="879">
        <v>0.961341869000348</v>
      </c>
      <c r="Z62" s="879">
        <v>0.94867991597008</v>
      </c>
      <c r="AA62" s="879">
        <v>0.942783892039955</v>
      </c>
      <c r="AB62" s="879">
        <v>0.815101144307252</v>
      </c>
      <c r="AC62" s="876">
        <v>0.8</v>
      </c>
      <c r="AD62" s="876">
        <v>0.8</v>
      </c>
      <c r="AE62" s="876">
        <v>0.8</v>
      </c>
      <c r="AF62" s="182">
        <f>AE62/2</f>
        <v>0.4</v>
      </c>
      <c r="AG62" s="182">
        <v>0.0</v>
      </c>
      <c r="AH62" s="182">
        <v>0.0</v>
      </c>
      <c r="AI62" s="493"/>
      <c r="AJ62" s="493"/>
      <c r="AK62" s="493"/>
      <c r="AL62" s="493"/>
      <c r="AM62" s="494"/>
      <c r="AN62" s="176"/>
    </row>
    <row r="63" ht="14.25" customHeight="1" outlineLevel="3">
      <c r="A63" s="865"/>
      <c r="B63" s="872"/>
      <c r="C63" s="872"/>
      <c r="D63" s="873"/>
      <c r="E63" s="412" t="s">
        <v>3192</v>
      </c>
      <c r="F63" s="123" t="s">
        <v>261</v>
      </c>
      <c r="G63" s="123" t="s">
        <v>3193</v>
      </c>
      <c r="H63" s="254"/>
      <c r="I63" s="254"/>
      <c r="J63" s="254"/>
      <c r="K63" s="254"/>
      <c r="L63" s="254"/>
      <c r="M63" s="254"/>
      <c r="N63" s="254"/>
      <c r="O63" s="254"/>
      <c r="P63" s="254"/>
      <c r="Q63" s="254"/>
      <c r="R63" s="254"/>
      <c r="S63" s="254"/>
      <c r="T63" s="254"/>
      <c r="U63" s="254"/>
      <c r="V63" s="254"/>
      <c r="W63" s="877">
        <v>0.202281043229853</v>
      </c>
      <c r="X63" s="877">
        <v>0.199302165130351</v>
      </c>
      <c r="Y63" s="877">
        <v>0.199302165130351</v>
      </c>
      <c r="Z63" s="877">
        <v>0.199302165130351</v>
      </c>
      <c r="AA63" s="877">
        <v>0.199302165130351</v>
      </c>
      <c r="AB63" s="877">
        <v>0.199302165130351</v>
      </c>
      <c r="AC63" s="877">
        <v>0.199302165130351</v>
      </c>
      <c r="AD63" s="877">
        <v>0.199302165130351</v>
      </c>
      <c r="AE63" s="877">
        <v>0.199302165130351</v>
      </c>
      <c r="AF63" s="877">
        <v>0.199302165130351</v>
      </c>
      <c r="AG63" s="877">
        <v>0.199302165130351</v>
      </c>
      <c r="AH63" s="877">
        <v>0.199302165130351</v>
      </c>
      <c r="AI63" s="493"/>
      <c r="AJ63" s="493"/>
      <c r="AK63" s="493"/>
      <c r="AL63" s="493"/>
      <c r="AM63" s="494"/>
      <c r="AN63" s="176"/>
    </row>
    <row r="64" ht="14.25" customHeight="1" outlineLevel="3">
      <c r="A64" s="865"/>
      <c r="B64" s="872" t="s">
        <v>1805</v>
      </c>
      <c r="C64" s="872"/>
      <c r="D64" s="873"/>
      <c r="E64" s="874"/>
      <c r="F64" s="127"/>
      <c r="G64" s="869"/>
      <c r="H64" s="869"/>
      <c r="I64" s="208"/>
      <c r="J64" s="208"/>
      <c r="K64" s="208"/>
      <c r="L64" s="208"/>
      <c r="M64" s="208"/>
      <c r="N64" s="208"/>
      <c r="O64" s="208"/>
      <c r="P64" s="208"/>
      <c r="Q64" s="208"/>
      <c r="R64" s="208"/>
      <c r="S64" s="208"/>
      <c r="T64" s="208"/>
      <c r="U64" s="208"/>
      <c r="V64" s="208"/>
      <c r="W64" s="208"/>
      <c r="X64" s="208"/>
      <c r="Y64" s="208"/>
      <c r="Z64" s="208"/>
      <c r="AA64" s="208"/>
      <c r="AB64" s="208"/>
      <c r="AC64" s="208"/>
      <c r="AD64" s="208"/>
      <c r="AE64" s="208"/>
      <c r="AF64" s="208"/>
      <c r="AG64" s="208"/>
      <c r="AH64" s="208"/>
      <c r="AI64" s="271"/>
      <c r="AJ64" s="271"/>
      <c r="AK64" s="271"/>
      <c r="AL64" s="271"/>
      <c r="AM64" s="271"/>
      <c r="AN64" s="176"/>
    </row>
    <row r="65" ht="14.25" customHeight="1" outlineLevel="3">
      <c r="A65" s="865"/>
      <c r="B65" s="872"/>
      <c r="C65" s="872"/>
      <c r="D65" s="873"/>
      <c r="E65" s="122" t="s">
        <v>3194</v>
      </c>
      <c r="F65" s="123" t="s">
        <v>135</v>
      </c>
      <c r="G65" s="123" t="s">
        <v>3195</v>
      </c>
      <c r="H65" s="181"/>
      <c r="I65" s="181"/>
      <c r="J65" s="181"/>
      <c r="K65" s="181"/>
      <c r="L65" s="181"/>
      <c r="M65" s="181"/>
      <c r="N65" s="181"/>
      <c r="O65" s="181"/>
      <c r="P65" s="181"/>
      <c r="Q65" s="181"/>
      <c r="R65" s="181"/>
      <c r="S65" s="181"/>
      <c r="T65" s="181"/>
      <c r="U65" s="181"/>
      <c r="V65" s="181"/>
      <c r="W65" s="182"/>
      <c r="X65" s="181"/>
      <c r="Y65" s="181"/>
      <c r="Z65" s="181"/>
      <c r="AA65" s="181"/>
      <c r="AB65" s="182"/>
      <c r="AC65" s="182"/>
      <c r="AD65" s="182"/>
      <c r="AE65" s="182"/>
      <c r="AF65" s="182"/>
      <c r="AG65" s="182"/>
      <c r="AH65" s="182"/>
      <c r="AI65" s="493"/>
      <c r="AJ65" s="493"/>
      <c r="AK65" s="493"/>
      <c r="AL65" s="493"/>
      <c r="AM65" s="494"/>
      <c r="AN65" s="176"/>
    </row>
    <row r="66" ht="14.25" customHeight="1" outlineLevel="3">
      <c r="A66" s="865"/>
      <c r="B66" s="872"/>
      <c r="C66" s="872"/>
      <c r="D66" s="873"/>
      <c r="E66" s="412" t="s">
        <v>3196</v>
      </c>
      <c r="F66" s="123" t="s">
        <v>261</v>
      </c>
      <c r="G66" s="123" t="s">
        <v>3197</v>
      </c>
      <c r="H66" s="254"/>
      <c r="I66" s="254"/>
      <c r="J66" s="254"/>
      <c r="K66" s="254"/>
      <c r="L66" s="254"/>
      <c r="M66" s="254"/>
      <c r="N66" s="254"/>
      <c r="O66" s="254"/>
      <c r="P66" s="254"/>
      <c r="Q66" s="254"/>
      <c r="R66" s="254"/>
      <c r="S66" s="254"/>
      <c r="T66" s="254"/>
      <c r="U66" s="254"/>
      <c r="V66" s="254"/>
      <c r="W66" s="279"/>
      <c r="X66" s="254"/>
      <c r="Y66" s="254"/>
      <c r="Z66" s="254"/>
      <c r="AA66" s="254"/>
      <c r="AB66" s="279"/>
      <c r="AC66" s="279"/>
      <c r="AD66" s="279"/>
      <c r="AE66" s="279"/>
      <c r="AF66" s="279"/>
      <c r="AG66" s="279"/>
      <c r="AH66" s="279"/>
      <c r="AI66" s="493"/>
      <c r="AJ66" s="493"/>
      <c r="AK66" s="493"/>
      <c r="AL66" s="493"/>
      <c r="AM66" s="494"/>
      <c r="AN66" s="176"/>
    </row>
    <row r="67" ht="14.25" customHeight="1" outlineLevel="1">
      <c r="A67" s="492" t="s">
        <v>3198</v>
      </c>
      <c r="B67" s="162"/>
      <c r="C67" s="100"/>
      <c r="D67" s="100"/>
      <c r="E67" s="100"/>
      <c r="F67" s="869"/>
      <c r="G67" s="869"/>
      <c r="H67" s="208"/>
      <c r="I67" s="208"/>
      <c r="J67" s="208"/>
      <c r="K67" s="208"/>
      <c r="L67" s="208"/>
      <c r="M67" s="208"/>
      <c r="N67" s="208"/>
      <c r="O67" s="208"/>
      <c r="P67" s="208"/>
      <c r="Q67" s="208"/>
      <c r="R67" s="208"/>
      <c r="S67" s="208"/>
      <c r="T67" s="208"/>
      <c r="U67" s="208"/>
      <c r="V67" s="208"/>
      <c r="W67" s="208"/>
      <c r="X67" s="208"/>
      <c r="Y67" s="208"/>
      <c r="Z67" s="208"/>
      <c r="AA67" s="208"/>
      <c r="AB67" s="208"/>
      <c r="AC67" s="208"/>
      <c r="AD67" s="208"/>
      <c r="AE67" s="208"/>
      <c r="AF67" s="208"/>
      <c r="AG67" s="208"/>
      <c r="AH67" s="208"/>
      <c r="AI67" s="271"/>
      <c r="AJ67" s="271"/>
      <c r="AK67" s="271"/>
      <c r="AL67" s="271"/>
      <c r="AM67" s="271"/>
      <c r="AN67" s="176"/>
    </row>
    <row r="68" ht="14.25" customHeight="1" outlineLevel="2">
      <c r="A68" s="865"/>
      <c r="B68" s="872" t="s">
        <v>3199</v>
      </c>
      <c r="C68" s="873"/>
      <c r="D68" s="100"/>
      <c r="E68" s="100"/>
      <c r="F68" s="869"/>
      <c r="G68" s="869"/>
      <c r="H68" s="208"/>
      <c r="I68" s="208"/>
      <c r="J68" s="208"/>
      <c r="K68" s="208"/>
      <c r="L68" s="208"/>
      <c r="M68" s="208"/>
      <c r="N68" s="208"/>
      <c r="O68" s="208"/>
      <c r="P68" s="208"/>
      <c r="Q68" s="208"/>
      <c r="R68" s="208"/>
      <c r="S68" s="208"/>
      <c r="T68" s="208"/>
      <c r="U68" s="208"/>
      <c r="V68" s="208"/>
      <c r="W68" s="453">
        <f>W69/(W71/W72)</f>
        <v>0.3</v>
      </c>
      <c r="X68" s="208"/>
      <c r="Y68" s="208"/>
      <c r="Z68" s="208"/>
      <c r="AA68" s="208"/>
      <c r="AB68" s="453">
        <f t="shared" ref="AB68:AH68" si="6">AB69/(AB71/AB72)</f>
        <v>0.3</v>
      </c>
      <c r="AC68" s="453">
        <f t="shared" si="6"/>
        <v>0.3</v>
      </c>
      <c r="AD68" s="453" t="str">
        <f t="shared" si="6"/>
        <v>#DIV/0!</v>
      </c>
      <c r="AE68" s="453" t="str">
        <f t="shared" si="6"/>
        <v>#DIV/0!</v>
      </c>
      <c r="AF68" s="453" t="str">
        <f t="shared" si="6"/>
        <v>#DIV/0!</v>
      </c>
      <c r="AG68" s="453" t="str">
        <f t="shared" si="6"/>
        <v>#DIV/0!</v>
      </c>
      <c r="AH68" s="453" t="str">
        <f t="shared" si="6"/>
        <v>#DIV/0!</v>
      </c>
      <c r="AI68" s="271"/>
      <c r="AJ68" s="271"/>
      <c r="AK68" s="271"/>
      <c r="AL68" s="271"/>
      <c r="AM68" s="271"/>
      <c r="AN68" s="176"/>
    </row>
    <row r="69" ht="14.25" customHeight="1" outlineLevel="3">
      <c r="A69" s="865"/>
      <c r="B69" s="872"/>
      <c r="C69" s="873"/>
      <c r="D69" s="100"/>
      <c r="E69" s="122" t="s">
        <v>3200</v>
      </c>
      <c r="F69" s="433" t="s">
        <v>135</v>
      </c>
      <c r="G69" s="123" t="s">
        <v>3201</v>
      </c>
      <c r="H69" s="181">
        <v>0.0450461775855638</v>
      </c>
      <c r="I69" s="181">
        <v>0.0470868161336963</v>
      </c>
      <c r="J69" s="181">
        <v>0.0245799539634537</v>
      </c>
      <c r="K69" s="181">
        <v>0.0463107632351312</v>
      </c>
      <c r="L69" s="181">
        <v>0.0616470113371818</v>
      </c>
      <c r="M69" s="181">
        <v>0.0526157122240482</v>
      </c>
      <c r="N69" s="181">
        <v>0.0622155033221078</v>
      </c>
      <c r="O69" s="181">
        <v>0.0526846994640729</v>
      </c>
      <c r="P69" s="181">
        <v>0.0573405535899938</v>
      </c>
      <c r="Q69" s="181">
        <v>0.0566594754819531</v>
      </c>
      <c r="R69" s="181">
        <v>0.0448234698657094</v>
      </c>
      <c r="S69" s="181">
        <v>0.0471077094912432</v>
      </c>
      <c r="T69" s="181">
        <v>0.0407617914339129</v>
      </c>
      <c r="U69" s="181">
        <v>0.0325843348081879</v>
      </c>
      <c r="V69" s="181">
        <v>0.0353513549304221</v>
      </c>
      <c r="W69" s="182">
        <v>0.040677007936394</v>
      </c>
      <c r="X69" s="875">
        <v>0.040677007936394</v>
      </c>
      <c r="Y69" s="875">
        <v>0.086410580221829</v>
      </c>
      <c r="Z69" s="875">
        <v>0.0878604221718597</v>
      </c>
      <c r="AA69" s="875">
        <v>0.0882470466918678</v>
      </c>
      <c r="AB69" s="875">
        <v>0.090760106071921</v>
      </c>
      <c r="AC69" s="182">
        <v>0.0787747459516673</v>
      </c>
      <c r="AD69" s="182">
        <v>0.0</v>
      </c>
      <c r="AE69" s="182">
        <v>0.0</v>
      </c>
      <c r="AF69" s="182">
        <v>0.0</v>
      </c>
      <c r="AG69" s="182">
        <v>0.0</v>
      </c>
      <c r="AH69" s="182">
        <v>0.0</v>
      </c>
      <c r="AI69" s="493"/>
      <c r="AJ69" s="493"/>
      <c r="AK69" s="493"/>
      <c r="AL69" s="493"/>
      <c r="AM69" s="494"/>
      <c r="AN69" s="176"/>
    </row>
    <row r="70" ht="14.25" customHeight="1" outlineLevel="3">
      <c r="A70" s="865"/>
      <c r="B70" s="872"/>
      <c r="C70" s="873"/>
      <c r="D70" s="100"/>
      <c r="E70" s="412" t="s">
        <v>3202</v>
      </c>
      <c r="F70" s="123" t="s">
        <v>261</v>
      </c>
      <c r="G70" s="123" t="s">
        <v>3203</v>
      </c>
      <c r="H70" s="254"/>
      <c r="I70" s="254"/>
      <c r="J70" s="254"/>
      <c r="K70" s="254"/>
      <c r="L70" s="254"/>
      <c r="M70" s="254"/>
      <c r="N70" s="254"/>
      <c r="O70" s="254"/>
      <c r="P70" s="254"/>
      <c r="Q70" s="254"/>
      <c r="R70" s="254"/>
      <c r="S70" s="254"/>
      <c r="T70" s="254"/>
      <c r="U70" s="254"/>
      <c r="V70" s="254"/>
      <c r="W70" s="279">
        <v>0.3</v>
      </c>
      <c r="X70" s="881">
        <v>0.3</v>
      </c>
      <c r="Y70" s="881">
        <v>0.3</v>
      </c>
      <c r="Z70" s="881">
        <v>0.3</v>
      </c>
      <c r="AA70" s="881">
        <v>0.3</v>
      </c>
      <c r="AB70" s="279">
        <v>0.3</v>
      </c>
      <c r="AC70" s="279">
        <v>0.3</v>
      </c>
      <c r="AD70" s="279">
        <v>0.3</v>
      </c>
      <c r="AE70" s="279">
        <v>0.3</v>
      </c>
      <c r="AF70" s="279">
        <v>0.3</v>
      </c>
      <c r="AG70" s="279">
        <v>0.3</v>
      </c>
      <c r="AH70" s="279">
        <v>0.3</v>
      </c>
      <c r="AI70" s="493"/>
      <c r="AJ70" s="493"/>
      <c r="AK70" s="493"/>
      <c r="AL70" s="493"/>
      <c r="AM70" s="494"/>
      <c r="AN70" s="176"/>
    </row>
    <row r="71" ht="14.25" customHeight="1" outlineLevel="3">
      <c r="A71" s="865"/>
      <c r="B71" s="872"/>
      <c r="C71" s="873"/>
      <c r="D71" s="100"/>
      <c r="E71" s="122" t="s">
        <v>3204</v>
      </c>
      <c r="F71" s="433" t="s">
        <v>135</v>
      </c>
      <c r="G71" s="123" t="s">
        <v>3205</v>
      </c>
      <c r="H71" s="181">
        <v>0.0320616797625831</v>
      </c>
      <c r="I71" s="181">
        <v>0.0366247252535472</v>
      </c>
      <c r="J71" s="181">
        <v>0.0251903243675764</v>
      </c>
      <c r="K71" s="181">
        <v>0.0305941379514176</v>
      </c>
      <c r="L71" s="181">
        <v>0.0456351434055257</v>
      </c>
      <c r="M71" s="181">
        <v>0.0339906436536297</v>
      </c>
      <c r="N71" s="181">
        <v>0.0422996885426166</v>
      </c>
      <c r="O71" s="181">
        <v>0.0350253468449129</v>
      </c>
      <c r="P71" s="181">
        <v>0.0274999030418038</v>
      </c>
      <c r="Q71" s="181">
        <v>0.0396001646619037</v>
      </c>
      <c r="R71" s="181">
        <v>0.0382323228024923</v>
      </c>
      <c r="S71" s="181">
        <v>0.03931541890295</v>
      </c>
      <c r="T71" s="181">
        <v>0.0266896252684488</v>
      </c>
      <c r="U71" s="181">
        <v>0.0258444940671906</v>
      </c>
      <c r="V71" s="181">
        <v>0.0296872456663755</v>
      </c>
      <c r="W71" s="182">
        <v>0.032231284640795</v>
      </c>
      <c r="X71" s="181">
        <v>0.032231284640795</v>
      </c>
      <c r="Y71" s="882">
        <f t="shared" ref="Y71:AC71" si="7">Y72/Y70*Y69</f>
        <v>0.07080648774</v>
      </c>
      <c r="Z71" s="882">
        <f t="shared" si="7"/>
        <v>0.07437097467</v>
      </c>
      <c r="AA71" s="882">
        <f t="shared" si="7"/>
        <v>0.07708515575</v>
      </c>
      <c r="AB71" s="882">
        <f t="shared" si="7"/>
        <v>0.08173524144</v>
      </c>
      <c r="AC71" s="882">
        <f t="shared" si="7"/>
        <v>0.07307237145</v>
      </c>
      <c r="AD71" s="182">
        <v>0.0</v>
      </c>
      <c r="AE71" s="182">
        <v>0.0</v>
      </c>
      <c r="AF71" s="182">
        <v>0.0</v>
      </c>
      <c r="AG71" s="182">
        <v>0.0</v>
      </c>
      <c r="AH71" s="182">
        <v>0.0</v>
      </c>
      <c r="AI71" s="493"/>
      <c r="AJ71" s="493"/>
      <c r="AK71" s="493"/>
      <c r="AL71" s="493"/>
      <c r="AM71" s="494"/>
      <c r="AN71" s="176"/>
    </row>
    <row r="72" ht="14.25" customHeight="1" outlineLevel="3">
      <c r="A72" s="865"/>
      <c r="B72" s="872"/>
      <c r="C72" s="873"/>
      <c r="D72" s="100"/>
      <c r="E72" s="412" t="s">
        <v>3206</v>
      </c>
      <c r="F72" s="123" t="s">
        <v>261</v>
      </c>
      <c r="G72" s="123" t="s">
        <v>3207</v>
      </c>
      <c r="H72" s="254"/>
      <c r="I72" s="254"/>
      <c r="J72" s="254"/>
      <c r="K72" s="254"/>
      <c r="L72" s="254"/>
      <c r="M72" s="254"/>
      <c r="N72" s="254"/>
      <c r="O72" s="254"/>
      <c r="P72" s="254"/>
      <c r="Q72" s="254"/>
      <c r="R72" s="254"/>
      <c r="S72" s="254"/>
      <c r="T72" s="254"/>
      <c r="U72" s="254"/>
      <c r="V72" s="254"/>
      <c r="W72" s="279">
        <v>0.237711323491599</v>
      </c>
      <c r="X72" s="881">
        <v>0.237711323491599</v>
      </c>
      <c r="Y72" s="881">
        <v>0.245825757317019</v>
      </c>
      <c r="Z72" s="881">
        <v>0.253940191142439</v>
      </c>
      <c r="AA72" s="881">
        <v>0.262054624967859</v>
      </c>
      <c r="AB72" s="279">
        <v>0.270169058793279</v>
      </c>
      <c r="AC72" s="279">
        <v>0.278283492618699</v>
      </c>
      <c r="AD72" s="279">
        <v>0.3594278308729</v>
      </c>
      <c r="AE72" s="279">
        <v>0.4</v>
      </c>
      <c r="AF72" s="279">
        <v>0.4</v>
      </c>
      <c r="AG72" s="279">
        <v>0.4</v>
      </c>
      <c r="AH72" s="279">
        <v>0.4</v>
      </c>
      <c r="AI72" s="493"/>
      <c r="AJ72" s="493"/>
      <c r="AK72" s="493"/>
      <c r="AL72" s="493"/>
      <c r="AM72" s="494"/>
      <c r="AN72" s="176"/>
    </row>
    <row r="73" ht="14.25" customHeight="1" outlineLevel="2">
      <c r="A73" s="865"/>
      <c r="B73" s="872" t="s">
        <v>3208</v>
      </c>
      <c r="C73" s="873"/>
      <c r="D73" s="100"/>
      <c r="E73" s="100"/>
      <c r="F73" s="869"/>
      <c r="G73" s="869"/>
      <c r="H73" s="208"/>
      <c r="I73" s="208"/>
      <c r="J73" s="208"/>
      <c r="K73" s="208"/>
      <c r="L73" s="208"/>
      <c r="M73" s="208"/>
      <c r="N73" s="208"/>
      <c r="O73" s="208"/>
      <c r="P73" s="208"/>
      <c r="Q73" s="208"/>
      <c r="R73" s="208"/>
      <c r="S73" s="208"/>
      <c r="T73" s="208"/>
      <c r="U73" s="208"/>
      <c r="V73" s="208"/>
      <c r="W73" s="208"/>
      <c r="X73" s="208"/>
      <c r="Y73" s="208"/>
      <c r="Z73" s="208"/>
      <c r="AA73" s="208"/>
      <c r="AB73" s="208"/>
      <c r="AC73" s="208"/>
      <c r="AD73" s="208"/>
      <c r="AE73" s="208"/>
      <c r="AF73" s="208"/>
      <c r="AG73" s="208"/>
      <c r="AH73" s="208"/>
      <c r="AI73" s="271"/>
      <c r="AJ73" s="271"/>
      <c r="AK73" s="271"/>
      <c r="AL73" s="271"/>
      <c r="AM73" s="271"/>
      <c r="AN73" s="176"/>
    </row>
    <row r="74" ht="14.25" customHeight="1" outlineLevel="3">
      <c r="A74" s="865"/>
      <c r="B74" s="872"/>
      <c r="C74" s="873"/>
      <c r="D74" s="100"/>
      <c r="E74" s="122" t="s">
        <v>3209</v>
      </c>
      <c r="F74" s="433" t="s">
        <v>135</v>
      </c>
      <c r="G74" s="123" t="s">
        <v>3210</v>
      </c>
      <c r="H74" s="181">
        <v>0.329639693137954</v>
      </c>
      <c r="I74" s="181">
        <v>0.406842860726411</v>
      </c>
      <c r="J74" s="181">
        <v>0.225428191108017</v>
      </c>
      <c r="K74" s="181">
        <v>0.160688183284276</v>
      </c>
      <c r="L74" s="181">
        <v>0.233258205196384</v>
      </c>
      <c r="M74" s="181">
        <v>0.138652702681411</v>
      </c>
      <c r="N74" s="181">
        <v>0.0966969865226054</v>
      </c>
      <c r="O74" s="181">
        <v>0.140127189168708</v>
      </c>
      <c r="P74" s="181">
        <v>0.108258351167756</v>
      </c>
      <c r="Q74" s="181">
        <v>0.13107242650565</v>
      </c>
      <c r="R74" s="181">
        <v>0.272567817192432</v>
      </c>
      <c r="S74" s="181">
        <v>0.197463012648877</v>
      </c>
      <c r="T74" s="181">
        <v>0.185519142940999</v>
      </c>
      <c r="U74" s="181">
        <v>0.114619332968852</v>
      </c>
      <c r="V74" s="181">
        <v>0.102137193962546</v>
      </c>
      <c r="W74" s="182">
        <v>0.138266186682545</v>
      </c>
      <c r="X74" s="875">
        <v>0.138266186682545</v>
      </c>
      <c r="Y74" s="875">
        <v>0.0353761435807488</v>
      </c>
      <c r="Z74" s="875">
        <v>0.033829645500716</v>
      </c>
      <c r="AA74" s="875">
        <v>0.06756263487143</v>
      </c>
      <c r="AB74" s="875">
        <v>0.0628264845013298</v>
      </c>
      <c r="AC74" s="182">
        <v>0.0267737480105667</v>
      </c>
      <c r="AD74" s="182">
        <v>0.0</v>
      </c>
      <c r="AE74" s="182">
        <v>0.0</v>
      </c>
      <c r="AF74" s="182">
        <v>0.0</v>
      </c>
      <c r="AG74" s="182">
        <v>0.0</v>
      </c>
      <c r="AH74" s="182">
        <v>0.0</v>
      </c>
      <c r="AI74" s="493"/>
      <c r="AJ74" s="493"/>
      <c r="AK74" s="493"/>
      <c r="AL74" s="493"/>
      <c r="AM74" s="494"/>
      <c r="AN74" s="176"/>
    </row>
    <row r="75" ht="14.25" customHeight="1" outlineLevel="3">
      <c r="A75" s="865"/>
      <c r="B75" s="872"/>
      <c r="C75" s="873"/>
      <c r="D75" s="100"/>
      <c r="E75" s="412" t="s">
        <v>3211</v>
      </c>
      <c r="F75" s="123" t="s">
        <v>261</v>
      </c>
      <c r="G75" s="123" t="s">
        <v>3212</v>
      </c>
      <c r="H75" s="254"/>
      <c r="I75" s="254"/>
      <c r="J75" s="254"/>
      <c r="K75" s="254"/>
      <c r="L75" s="254"/>
      <c r="M75" s="254"/>
      <c r="N75" s="254"/>
      <c r="O75" s="254"/>
      <c r="P75" s="254"/>
      <c r="Q75" s="254"/>
      <c r="R75" s="254"/>
      <c r="S75" s="254"/>
      <c r="T75" s="254"/>
      <c r="U75" s="254"/>
      <c r="V75" s="254"/>
      <c r="W75" s="279">
        <v>0.3</v>
      </c>
      <c r="X75" s="881">
        <v>0.3</v>
      </c>
      <c r="Y75" s="881">
        <v>0.3</v>
      </c>
      <c r="Z75" s="881">
        <v>0.3</v>
      </c>
      <c r="AA75" s="881">
        <v>0.3</v>
      </c>
      <c r="AB75" s="279">
        <v>0.3</v>
      </c>
      <c r="AC75" s="279">
        <v>0.3</v>
      </c>
      <c r="AD75" s="279">
        <v>0.3</v>
      </c>
      <c r="AE75" s="279">
        <v>0.3</v>
      </c>
      <c r="AF75" s="279">
        <v>0.3</v>
      </c>
      <c r="AG75" s="279">
        <v>0.3</v>
      </c>
      <c r="AH75" s="279">
        <v>0.3</v>
      </c>
      <c r="AI75" s="493"/>
      <c r="AJ75" s="493"/>
      <c r="AK75" s="493"/>
      <c r="AL75" s="493"/>
      <c r="AM75" s="494"/>
      <c r="AN75" s="176"/>
    </row>
    <row r="76" ht="14.25" customHeight="1" outlineLevel="3">
      <c r="A76" s="865"/>
      <c r="B76" s="872"/>
      <c r="C76" s="873"/>
      <c r="D76" s="100"/>
      <c r="E76" s="122" t="s">
        <v>3213</v>
      </c>
      <c r="F76" s="433" t="s">
        <v>135</v>
      </c>
      <c r="G76" s="123" t="s">
        <v>3214</v>
      </c>
      <c r="H76" s="181">
        <v>0.119153251665951</v>
      </c>
      <c r="I76" s="181">
        <v>0.160834147220968</v>
      </c>
      <c r="J76" s="181">
        <v>0.113600766923107</v>
      </c>
      <c r="K76" s="181">
        <v>0.0502350484277119</v>
      </c>
      <c r="L76" s="181">
        <v>0.0842145185343815</v>
      </c>
      <c r="M76" s="181">
        <v>0.0424428730172673</v>
      </c>
      <c r="N76" s="181">
        <v>0.0308807613664897</v>
      </c>
      <c r="O76" s="181">
        <v>0.034441471306098</v>
      </c>
      <c r="P76" s="181">
        <v>0.0776555621202603</v>
      </c>
      <c r="Q76" s="181">
        <v>0.116949601198276</v>
      </c>
      <c r="R76" s="181">
        <v>0.192101511506014</v>
      </c>
      <c r="S76" s="181">
        <v>0.109118132042001</v>
      </c>
      <c r="T76" s="181">
        <v>0.129654167647779</v>
      </c>
      <c r="U76" s="181">
        <v>0.0868932552186299</v>
      </c>
      <c r="V76" s="181">
        <v>0.0810661842690182</v>
      </c>
      <c r="W76" s="182">
        <v>0.107076623086448</v>
      </c>
      <c r="X76" s="181">
        <v>0.107076623086448</v>
      </c>
      <c r="Y76" s="882">
        <f t="shared" ref="Y76:AC76" si="8">Y77/Y75*Y74</f>
        <v>0.0283847301</v>
      </c>
      <c r="Z76" s="882">
        <f t="shared" si="8"/>
        <v>0.02808925318</v>
      </c>
      <c r="AA76" s="882">
        <f t="shared" si="8"/>
        <v>0.05798632146</v>
      </c>
      <c r="AB76" s="882">
        <f t="shared" si="8"/>
        <v>0.05567718814</v>
      </c>
      <c r="AC76" s="882">
        <f t="shared" si="8"/>
        <v>0.02447525305</v>
      </c>
      <c r="AD76" s="182">
        <v>0.0</v>
      </c>
      <c r="AE76" s="182">
        <v>0.0</v>
      </c>
      <c r="AF76" s="182">
        <v>0.0</v>
      </c>
      <c r="AG76" s="182">
        <v>0.0</v>
      </c>
      <c r="AH76" s="182">
        <v>0.0</v>
      </c>
      <c r="AI76" s="493"/>
      <c r="AJ76" s="493"/>
      <c r="AK76" s="493"/>
      <c r="AL76" s="493"/>
      <c r="AM76" s="494"/>
      <c r="AN76" s="176"/>
    </row>
    <row r="77" ht="14.25" customHeight="1" outlineLevel="3">
      <c r="A77" s="865"/>
      <c r="B77" s="872"/>
      <c r="C77" s="873"/>
      <c r="D77" s="100"/>
      <c r="E77" s="412" t="s">
        <v>3215</v>
      </c>
      <c r="F77" s="123" t="s">
        <v>261</v>
      </c>
      <c r="G77" s="123" t="s">
        <v>3216</v>
      </c>
      <c r="H77" s="254"/>
      <c r="I77" s="254"/>
      <c r="J77" s="254"/>
      <c r="K77" s="254"/>
      <c r="L77" s="254"/>
      <c r="M77" s="254"/>
      <c r="N77" s="254"/>
      <c r="O77" s="254"/>
      <c r="P77" s="254"/>
      <c r="Q77" s="254"/>
      <c r="R77" s="254"/>
      <c r="S77" s="254"/>
      <c r="T77" s="254"/>
      <c r="U77" s="254"/>
      <c r="V77" s="254"/>
      <c r="W77" s="279">
        <v>0.232327134324517</v>
      </c>
      <c r="X77" s="881">
        <v>0.232327134324517</v>
      </c>
      <c r="Y77" s="881">
        <v>0.240710777608291</v>
      </c>
      <c r="Z77" s="881">
        <v>0.249094420892065</v>
      </c>
      <c r="AA77" s="881">
        <v>0.25747806417584</v>
      </c>
      <c r="AB77" s="279">
        <v>0.265861707459614</v>
      </c>
      <c r="AC77" s="279">
        <v>0.274245350743388</v>
      </c>
      <c r="AD77" s="279">
        <v>0.358081783581129</v>
      </c>
      <c r="AE77" s="279">
        <v>0.4</v>
      </c>
      <c r="AF77" s="279">
        <v>0.4</v>
      </c>
      <c r="AG77" s="279">
        <v>0.4</v>
      </c>
      <c r="AH77" s="279">
        <v>0.4</v>
      </c>
      <c r="AI77" s="493"/>
      <c r="AJ77" s="493"/>
      <c r="AK77" s="493"/>
      <c r="AL77" s="493"/>
      <c r="AM77" s="494"/>
      <c r="AN77" s="176"/>
    </row>
    <row r="78" ht="14.25" customHeight="1" outlineLevel="2">
      <c r="A78" s="865"/>
      <c r="B78" s="872" t="s">
        <v>3217</v>
      </c>
      <c r="C78" s="873"/>
      <c r="D78" s="100"/>
      <c r="E78" s="100"/>
      <c r="F78" s="869"/>
      <c r="G78" s="869"/>
      <c r="H78" s="208"/>
      <c r="I78" s="208"/>
      <c r="J78" s="208"/>
      <c r="K78" s="208"/>
      <c r="L78" s="208"/>
      <c r="M78" s="208"/>
      <c r="N78" s="208"/>
      <c r="O78" s="208"/>
      <c r="P78" s="208"/>
      <c r="Q78" s="208"/>
      <c r="R78" s="208"/>
      <c r="S78" s="208"/>
      <c r="T78" s="208"/>
      <c r="U78" s="208"/>
      <c r="V78" s="208"/>
      <c r="W78" s="208"/>
      <c r="X78" s="208"/>
      <c r="Y78" s="208"/>
      <c r="Z78" s="208"/>
      <c r="AA78" s="208"/>
      <c r="AB78" s="208"/>
      <c r="AC78" s="208"/>
      <c r="AD78" s="208"/>
      <c r="AE78" s="208"/>
      <c r="AF78" s="208"/>
      <c r="AG78" s="208"/>
      <c r="AH78" s="208"/>
      <c r="AI78" s="271"/>
      <c r="AJ78" s="271"/>
      <c r="AK78" s="271"/>
      <c r="AL78" s="271"/>
      <c r="AM78" s="271"/>
      <c r="AN78" s="176"/>
    </row>
    <row r="79" ht="14.25" customHeight="1" outlineLevel="3">
      <c r="A79" s="865"/>
      <c r="B79" s="872"/>
      <c r="C79" s="873"/>
      <c r="D79" s="100"/>
      <c r="E79" s="122" t="s">
        <v>3218</v>
      </c>
      <c r="F79" s="433" t="s">
        <v>135</v>
      </c>
      <c r="G79" s="123" t="s">
        <v>3219</v>
      </c>
      <c r="H79" s="181">
        <v>4.50673396319787</v>
      </c>
      <c r="I79" s="181">
        <v>4.60866087343964</v>
      </c>
      <c r="J79" s="181">
        <v>5.47870293149821</v>
      </c>
      <c r="K79" s="181">
        <v>5.82658609945256</v>
      </c>
      <c r="L79" s="181">
        <v>5.83333817419641</v>
      </c>
      <c r="M79" s="181">
        <v>6.21441125617256</v>
      </c>
      <c r="N79" s="181">
        <v>8.89803233898714</v>
      </c>
      <c r="O79" s="181">
        <v>9.28572790076123</v>
      </c>
      <c r="P79" s="181">
        <v>9.99291554774689</v>
      </c>
      <c r="Q79" s="181">
        <v>10.7263132006342</v>
      </c>
      <c r="R79" s="181">
        <v>11.9683465466585</v>
      </c>
      <c r="S79" s="181">
        <v>11.584658804213</v>
      </c>
      <c r="T79" s="181">
        <v>12.90272101584</v>
      </c>
      <c r="U79" s="181">
        <v>11.6152443586242</v>
      </c>
      <c r="V79" s="181">
        <v>10.4923917277718</v>
      </c>
      <c r="W79" s="876">
        <v>11.4152178384557</v>
      </c>
      <c r="X79" s="879">
        <v>11.8711078502285</v>
      </c>
      <c r="Y79" s="879">
        <v>11.8148742931734</v>
      </c>
      <c r="Z79" s="879">
        <v>12.3920695083344</v>
      </c>
      <c r="AA79" s="879">
        <v>12.7290823632239</v>
      </c>
      <c r="AB79" s="876">
        <v>13.160206300646</v>
      </c>
      <c r="AC79" s="880">
        <v>12.945595808601</v>
      </c>
      <c r="AD79" s="880">
        <v>12.0944360507282</v>
      </c>
      <c r="AE79" s="880">
        <v>10.5477091417152</v>
      </c>
      <c r="AF79" s="880">
        <v>8.90440751128203</v>
      </c>
      <c r="AG79" s="880">
        <v>6.67284397573114</v>
      </c>
      <c r="AH79" s="880">
        <v>5.50705069009804</v>
      </c>
      <c r="AI79" s="493"/>
      <c r="AJ79" s="493"/>
      <c r="AK79" s="493"/>
      <c r="AL79" s="493"/>
      <c r="AM79" s="494"/>
      <c r="AN79" s="176"/>
    </row>
    <row r="80" ht="14.25" customHeight="1" outlineLevel="3">
      <c r="A80" s="865"/>
      <c r="B80" s="872"/>
      <c r="C80" s="873"/>
      <c r="D80" s="100"/>
      <c r="E80" s="412" t="s">
        <v>3220</v>
      </c>
      <c r="F80" s="123" t="s">
        <v>261</v>
      </c>
      <c r="G80" s="123" t="s">
        <v>3221</v>
      </c>
      <c r="H80" s="254"/>
      <c r="I80" s="254"/>
      <c r="J80" s="254"/>
      <c r="K80" s="254"/>
      <c r="L80" s="254"/>
      <c r="M80" s="254"/>
      <c r="N80" s="254"/>
      <c r="O80" s="254"/>
      <c r="P80" s="254"/>
      <c r="Q80" s="254"/>
      <c r="R80" s="254"/>
      <c r="S80" s="254"/>
      <c r="T80" s="254"/>
      <c r="U80" s="254"/>
      <c r="V80" s="254"/>
      <c r="W80" s="279">
        <v>0.501693831017699</v>
      </c>
      <c r="X80" s="881">
        <v>0.519077662347857</v>
      </c>
      <c r="Y80" s="881">
        <v>0.548594308737741</v>
      </c>
      <c r="Z80" s="881">
        <v>0.539806992566822</v>
      </c>
      <c r="AA80" s="881">
        <v>0.579174986209996</v>
      </c>
      <c r="AB80" s="279">
        <v>0.59173985925742</v>
      </c>
      <c r="AC80" s="279">
        <f>Y80</f>
        <v>0.5485943087</v>
      </c>
      <c r="AD80" s="279">
        <f t="shared" ref="AD80:AH80" si="9">AC80</f>
        <v>0.5485943087</v>
      </c>
      <c r="AE80" s="279">
        <f t="shared" si="9"/>
        <v>0.5485943087</v>
      </c>
      <c r="AF80" s="279">
        <f t="shared" si="9"/>
        <v>0.5485943087</v>
      </c>
      <c r="AG80" s="279">
        <f t="shared" si="9"/>
        <v>0.5485943087</v>
      </c>
      <c r="AH80" s="279">
        <f t="shared" si="9"/>
        <v>0.5485943087</v>
      </c>
      <c r="AI80" s="493"/>
      <c r="AJ80" s="493"/>
      <c r="AK80" s="493"/>
      <c r="AL80" s="493"/>
      <c r="AM80" s="494"/>
      <c r="AN80" s="176"/>
    </row>
    <row r="81" ht="14.25" customHeight="1" outlineLevel="3">
      <c r="A81" s="865"/>
      <c r="B81" s="872"/>
      <c r="C81" s="873"/>
      <c r="D81" s="100"/>
      <c r="E81" s="122" t="s">
        <v>3222</v>
      </c>
      <c r="F81" s="433" t="s">
        <v>135</v>
      </c>
      <c r="G81" s="123" t="s">
        <v>3223</v>
      </c>
      <c r="H81" s="181">
        <v>5.27259886412145</v>
      </c>
      <c r="I81" s="181">
        <v>5.20435495556401</v>
      </c>
      <c r="J81" s="181">
        <v>5.12547221844357</v>
      </c>
      <c r="K81" s="181">
        <v>4.97699057198533</v>
      </c>
      <c r="L81" s="181">
        <v>5.1313022498441</v>
      </c>
      <c r="M81" s="181">
        <v>4.99895240603568</v>
      </c>
      <c r="N81" s="181">
        <v>7.93309872928819</v>
      </c>
      <c r="O81" s="181">
        <v>6.9781617739483</v>
      </c>
      <c r="P81" s="181">
        <v>7.43027092098517</v>
      </c>
      <c r="Q81" s="181">
        <v>7.2375461107985</v>
      </c>
      <c r="R81" s="181">
        <v>9.27404929450869</v>
      </c>
      <c r="S81" s="181">
        <v>8.84868957454506</v>
      </c>
      <c r="T81" s="181">
        <v>9.16102979500883</v>
      </c>
      <c r="U81" s="181">
        <v>8.85985975099511</v>
      </c>
      <c r="V81" s="181">
        <v>7.86664346179271</v>
      </c>
      <c r="W81" s="876">
        <v>6.308944</v>
      </c>
      <c r="X81" s="879">
        <v>6.068666</v>
      </c>
      <c r="Y81" s="879">
        <v>5.145194</v>
      </c>
      <c r="Z81" s="879">
        <v>5.702639</v>
      </c>
      <c r="AA81" s="879">
        <v>4.711027</v>
      </c>
      <c r="AB81" s="876">
        <v>4.654972</v>
      </c>
      <c r="AC81" s="182">
        <f t="shared" ref="AC81:AH81" si="10">+AC79*AC82/AC80</f>
        <v>5.637605634</v>
      </c>
      <c r="AD81" s="182">
        <f t="shared" si="10"/>
        <v>5.266938797</v>
      </c>
      <c r="AE81" s="182">
        <f t="shared" si="10"/>
        <v>4.593363285</v>
      </c>
      <c r="AF81" s="182">
        <f t="shared" si="10"/>
        <v>3.877730982</v>
      </c>
      <c r="AG81" s="182">
        <f t="shared" si="10"/>
        <v>2.90591977</v>
      </c>
      <c r="AH81" s="182">
        <f t="shared" si="10"/>
        <v>2.398234925</v>
      </c>
      <c r="AI81" s="493"/>
      <c r="AJ81" s="493"/>
      <c r="AK81" s="493"/>
      <c r="AL81" s="493"/>
      <c r="AM81" s="494"/>
      <c r="AN81" s="176"/>
    </row>
    <row r="82" ht="14.25" customHeight="1" outlineLevel="3">
      <c r="A82" s="865"/>
      <c r="B82" s="872"/>
      <c r="C82" s="873"/>
      <c r="D82" s="100"/>
      <c r="E82" s="412" t="s">
        <v>3224</v>
      </c>
      <c r="F82" s="123" t="s">
        <v>261</v>
      </c>
      <c r="G82" s="123" t="s">
        <v>3225</v>
      </c>
      <c r="H82" s="254"/>
      <c r="I82" s="254"/>
      <c r="J82" s="254"/>
      <c r="K82" s="254"/>
      <c r="L82" s="254"/>
      <c r="M82" s="254"/>
      <c r="N82" s="254"/>
      <c r="O82" s="254"/>
      <c r="P82" s="254"/>
      <c r="Q82" s="254"/>
      <c r="R82" s="254"/>
      <c r="S82" s="254"/>
      <c r="T82" s="254"/>
      <c r="U82" s="254"/>
      <c r="V82" s="254"/>
      <c r="W82" s="279">
        <v>0.277275329286604</v>
      </c>
      <c r="X82" s="881">
        <v>0.265359307706845</v>
      </c>
      <c r="Y82" s="881">
        <v>0.238904289263786</v>
      </c>
      <c r="Z82" s="881">
        <v>0.248410840999069</v>
      </c>
      <c r="AA82" s="881">
        <v>0.214352371985821</v>
      </c>
      <c r="AB82" s="279">
        <v>0.20930769725031</v>
      </c>
      <c r="AC82" s="279">
        <f>Y82</f>
        <v>0.2389042893</v>
      </c>
      <c r="AD82" s="279">
        <f t="shared" ref="AD82:AH82" si="11">AC82</f>
        <v>0.2389042893</v>
      </c>
      <c r="AE82" s="279">
        <f t="shared" si="11"/>
        <v>0.2389042893</v>
      </c>
      <c r="AF82" s="279">
        <f t="shared" si="11"/>
        <v>0.2389042893</v>
      </c>
      <c r="AG82" s="279">
        <f t="shared" si="11"/>
        <v>0.2389042893</v>
      </c>
      <c r="AH82" s="279">
        <f t="shared" si="11"/>
        <v>0.2389042893</v>
      </c>
      <c r="AI82" s="493"/>
      <c r="AJ82" s="493"/>
      <c r="AK82" s="493"/>
      <c r="AL82" s="493"/>
      <c r="AM82" s="494"/>
      <c r="AN82" s="176"/>
    </row>
    <row r="83" ht="14.25" customHeight="1" outlineLevel="2">
      <c r="A83" s="865"/>
      <c r="B83" s="872" t="s">
        <v>3226</v>
      </c>
      <c r="C83" s="873"/>
      <c r="D83" s="100"/>
      <c r="E83" s="100"/>
      <c r="F83" s="869"/>
      <c r="G83" s="869"/>
      <c r="H83" s="208"/>
      <c r="I83" s="208"/>
      <c r="J83" s="208"/>
      <c r="K83" s="208"/>
      <c r="L83" s="208"/>
      <c r="M83" s="208"/>
      <c r="N83" s="208"/>
      <c r="O83" s="208"/>
      <c r="P83" s="208"/>
      <c r="Q83" s="208"/>
      <c r="R83" s="208"/>
      <c r="S83" s="208"/>
      <c r="T83" s="208"/>
      <c r="U83" s="208"/>
      <c r="V83" s="208"/>
      <c r="W83" s="208"/>
      <c r="X83" s="208"/>
      <c r="Y83" s="208"/>
      <c r="Z83" s="208"/>
      <c r="AA83" s="208"/>
      <c r="AB83" s="208"/>
      <c r="AC83" s="208"/>
      <c r="AD83" s="208"/>
      <c r="AE83" s="208"/>
      <c r="AF83" s="208"/>
      <c r="AG83" s="208"/>
      <c r="AH83" s="208"/>
      <c r="AI83" s="271"/>
      <c r="AJ83" s="271"/>
      <c r="AK83" s="271"/>
      <c r="AL83" s="271"/>
      <c r="AM83" s="271"/>
      <c r="AN83" s="176"/>
    </row>
    <row r="84" ht="14.25" customHeight="1" outlineLevel="3">
      <c r="A84" s="865"/>
      <c r="B84" s="872"/>
      <c r="C84" s="873"/>
      <c r="D84" s="100"/>
      <c r="E84" s="122" t="s">
        <v>3227</v>
      </c>
      <c r="F84" s="433" t="s">
        <v>135</v>
      </c>
      <c r="G84" s="123" t="s">
        <v>3228</v>
      </c>
      <c r="H84" s="181"/>
      <c r="I84" s="181"/>
      <c r="J84" s="181"/>
      <c r="K84" s="181"/>
      <c r="L84" s="181"/>
      <c r="M84" s="181"/>
      <c r="N84" s="181"/>
      <c r="O84" s="181"/>
      <c r="P84" s="181"/>
      <c r="Q84" s="181"/>
      <c r="R84" s="181"/>
      <c r="S84" s="181"/>
      <c r="T84" s="181"/>
      <c r="U84" s="181"/>
      <c r="V84" s="181"/>
      <c r="W84" s="182"/>
      <c r="X84" s="181"/>
      <c r="Y84" s="181"/>
      <c r="Z84" s="181"/>
      <c r="AA84" s="181"/>
      <c r="AB84" s="182">
        <v>0.0</v>
      </c>
      <c r="AC84" s="182">
        <v>0.0</v>
      </c>
      <c r="AD84" s="182">
        <v>0.0</v>
      </c>
      <c r="AE84" s="182">
        <v>0.0</v>
      </c>
      <c r="AF84" s="182">
        <v>0.0</v>
      </c>
      <c r="AG84" s="182">
        <v>0.0</v>
      </c>
      <c r="AH84" s="182">
        <v>0.0</v>
      </c>
      <c r="AI84" s="493"/>
      <c r="AJ84" s="493"/>
      <c r="AK84" s="493"/>
      <c r="AL84" s="493"/>
      <c r="AM84" s="494"/>
      <c r="AN84" s="176"/>
    </row>
    <row r="85" ht="14.25" customHeight="1" outlineLevel="3">
      <c r="A85" s="865"/>
      <c r="B85" s="872"/>
      <c r="C85" s="873"/>
      <c r="D85" s="100"/>
      <c r="E85" s="412" t="s">
        <v>3229</v>
      </c>
      <c r="F85" s="123" t="s">
        <v>261</v>
      </c>
      <c r="G85" s="123" t="s">
        <v>3230</v>
      </c>
      <c r="H85" s="254"/>
      <c r="I85" s="254"/>
      <c r="J85" s="254"/>
      <c r="K85" s="254"/>
      <c r="L85" s="254"/>
      <c r="M85" s="254"/>
      <c r="N85" s="254"/>
      <c r="O85" s="254"/>
      <c r="P85" s="254"/>
      <c r="Q85" s="254"/>
      <c r="R85" s="254"/>
      <c r="S85" s="254"/>
      <c r="T85" s="254"/>
      <c r="U85" s="254"/>
      <c r="V85" s="254"/>
      <c r="W85" s="279">
        <v>0.3</v>
      </c>
      <c r="X85" s="254">
        <v>0.3</v>
      </c>
      <c r="Y85" s="254"/>
      <c r="Z85" s="254"/>
      <c r="AA85" s="254"/>
      <c r="AB85" s="279">
        <v>0.3</v>
      </c>
      <c r="AC85" s="279">
        <v>0.3</v>
      </c>
      <c r="AD85" s="279">
        <v>0.3</v>
      </c>
      <c r="AE85" s="279">
        <v>0.3</v>
      </c>
      <c r="AF85" s="279">
        <v>0.3</v>
      </c>
      <c r="AG85" s="279">
        <v>0.3</v>
      </c>
      <c r="AH85" s="279">
        <v>0.3</v>
      </c>
      <c r="AI85" s="493"/>
      <c r="AJ85" s="493"/>
      <c r="AK85" s="493"/>
      <c r="AL85" s="493"/>
      <c r="AM85" s="494"/>
      <c r="AN85" s="176"/>
    </row>
    <row r="86" ht="14.25" customHeight="1" outlineLevel="3">
      <c r="A86" s="865"/>
      <c r="B86" s="872"/>
      <c r="C86" s="873"/>
      <c r="D86" s="100"/>
      <c r="E86" s="122" t="s">
        <v>3231</v>
      </c>
      <c r="F86" s="433" t="s">
        <v>135</v>
      </c>
      <c r="G86" s="123" t="s">
        <v>3232</v>
      </c>
      <c r="H86" s="181"/>
      <c r="I86" s="181"/>
      <c r="J86" s="181"/>
      <c r="K86" s="181"/>
      <c r="L86" s="181"/>
      <c r="M86" s="181"/>
      <c r="N86" s="181"/>
      <c r="O86" s="181"/>
      <c r="P86" s="181"/>
      <c r="Q86" s="181"/>
      <c r="R86" s="181"/>
      <c r="S86" s="181"/>
      <c r="T86" s="181"/>
      <c r="U86" s="181"/>
      <c r="V86" s="181"/>
      <c r="W86" s="182"/>
      <c r="X86" s="181"/>
      <c r="Y86" s="181"/>
      <c r="Z86" s="181"/>
      <c r="AA86" s="181"/>
      <c r="AB86" s="182"/>
      <c r="AC86" s="182"/>
      <c r="AD86" s="182"/>
      <c r="AE86" s="182"/>
      <c r="AF86" s="182"/>
      <c r="AG86" s="182"/>
      <c r="AH86" s="182"/>
      <c r="AI86" s="493"/>
      <c r="AJ86" s="493"/>
      <c r="AK86" s="493"/>
      <c r="AL86" s="493"/>
      <c r="AM86" s="494"/>
      <c r="AN86" s="176"/>
    </row>
    <row r="87" ht="14.25" customHeight="1" outlineLevel="3">
      <c r="A87" s="865"/>
      <c r="B87" s="872"/>
      <c r="C87" s="873"/>
      <c r="D87" s="100"/>
      <c r="E87" s="412" t="s">
        <v>3233</v>
      </c>
      <c r="F87" s="123" t="s">
        <v>261</v>
      </c>
      <c r="G87" s="123" t="s">
        <v>3234</v>
      </c>
      <c r="H87" s="254"/>
      <c r="I87" s="254"/>
      <c r="J87" s="254"/>
      <c r="K87" s="254"/>
      <c r="L87" s="254"/>
      <c r="M87" s="254"/>
      <c r="N87" s="254"/>
      <c r="O87" s="254"/>
      <c r="P87" s="254"/>
      <c r="Q87" s="254"/>
      <c r="R87" s="254"/>
      <c r="S87" s="254"/>
      <c r="T87" s="254"/>
      <c r="U87" s="254"/>
      <c r="V87" s="254"/>
      <c r="W87" s="279">
        <v>0.4</v>
      </c>
      <c r="X87" s="254">
        <v>0.4</v>
      </c>
      <c r="Y87" s="254"/>
      <c r="Z87" s="254"/>
      <c r="AA87" s="254"/>
      <c r="AB87" s="279"/>
      <c r="AC87" s="279">
        <v>0.4</v>
      </c>
      <c r="AD87" s="279">
        <v>0.4</v>
      </c>
      <c r="AE87" s="279">
        <v>0.4</v>
      </c>
      <c r="AF87" s="279">
        <v>0.4</v>
      </c>
      <c r="AG87" s="279">
        <v>0.4</v>
      </c>
      <c r="AH87" s="279">
        <v>0.4</v>
      </c>
      <c r="AI87" s="493"/>
      <c r="AJ87" s="493"/>
      <c r="AK87" s="493"/>
      <c r="AL87" s="493"/>
      <c r="AM87" s="494"/>
      <c r="AN87" s="176"/>
    </row>
    <row r="88" ht="14.25" customHeight="1" outlineLevel="2">
      <c r="A88" s="865"/>
      <c r="B88" s="872" t="s">
        <v>3235</v>
      </c>
      <c r="C88" s="873"/>
      <c r="D88" s="100"/>
      <c r="E88" s="100"/>
      <c r="F88" s="869"/>
      <c r="G88" s="869"/>
      <c r="H88" s="208"/>
      <c r="I88" s="208"/>
      <c r="J88" s="208"/>
      <c r="K88" s="208"/>
      <c r="L88" s="208"/>
      <c r="M88" s="208"/>
      <c r="N88" s="208"/>
      <c r="O88" s="208"/>
      <c r="P88" s="208"/>
      <c r="Q88" s="208"/>
      <c r="R88" s="208"/>
      <c r="S88" s="208"/>
      <c r="T88" s="208"/>
      <c r="U88" s="208"/>
      <c r="V88" s="208"/>
      <c r="W88" s="208"/>
      <c r="X88" s="208"/>
      <c r="Y88" s="208"/>
      <c r="Z88" s="208"/>
      <c r="AA88" s="208"/>
      <c r="AB88" s="208"/>
      <c r="AC88" s="208"/>
      <c r="AD88" s="208"/>
      <c r="AE88" s="208"/>
      <c r="AF88" s="208"/>
      <c r="AG88" s="208"/>
      <c r="AH88" s="208"/>
      <c r="AI88" s="271"/>
      <c r="AJ88" s="271"/>
      <c r="AK88" s="271"/>
      <c r="AL88" s="271"/>
      <c r="AM88" s="271"/>
      <c r="AN88" s="176"/>
    </row>
    <row r="89" ht="14.25" customHeight="1" outlineLevel="3">
      <c r="A89" s="865"/>
      <c r="B89" s="872"/>
      <c r="C89" s="873"/>
      <c r="D89" s="100"/>
      <c r="E89" s="122" t="s">
        <v>3236</v>
      </c>
      <c r="F89" s="433" t="s">
        <v>135</v>
      </c>
      <c r="G89" s="123" t="s">
        <v>3237</v>
      </c>
      <c r="H89" s="181">
        <v>0.385734209267101</v>
      </c>
      <c r="I89" s="181">
        <v>0.556618952108015</v>
      </c>
      <c r="J89" s="181">
        <v>0.490457923937369</v>
      </c>
      <c r="K89" s="181">
        <v>0.426446949908088</v>
      </c>
      <c r="L89" s="181">
        <v>0.707711483020682</v>
      </c>
      <c r="M89" s="181">
        <v>0.502550897514015</v>
      </c>
      <c r="N89" s="181">
        <v>0.594172265429836</v>
      </c>
      <c r="O89" s="181">
        <v>0.50024947169271</v>
      </c>
      <c r="P89" s="181">
        <v>0.639565505415641</v>
      </c>
      <c r="Q89" s="181">
        <v>1.18889052491177</v>
      </c>
      <c r="R89" s="181">
        <v>1.04934723133044</v>
      </c>
      <c r="S89" s="181">
        <v>1.4149438563784</v>
      </c>
      <c r="T89" s="181">
        <v>1.30492404080888</v>
      </c>
      <c r="U89" s="181">
        <v>2.04694873396613</v>
      </c>
      <c r="V89" s="181">
        <v>2.19434376182727</v>
      </c>
      <c r="W89" s="876">
        <v>1.21985056409583</v>
      </c>
      <c r="X89" s="879">
        <v>1.27695821789268</v>
      </c>
      <c r="Y89" s="879">
        <v>1.28754450065434</v>
      </c>
      <c r="Z89" s="879">
        <v>1.26928559093698</v>
      </c>
      <c r="AA89" s="879">
        <v>1.26384676676585</v>
      </c>
      <c r="AB89" s="876">
        <v>1.24830726913406</v>
      </c>
      <c r="AC89" s="876">
        <f t="shared" ref="AC89:AC92" si="13">Z89</f>
        <v>1.269285591</v>
      </c>
      <c r="AD89" s="876">
        <f t="shared" ref="AD89:AH89" si="12">AC89</f>
        <v>1.269285591</v>
      </c>
      <c r="AE89" s="876">
        <f t="shared" si="12"/>
        <v>1.269285591</v>
      </c>
      <c r="AF89" s="876">
        <f t="shared" si="12"/>
        <v>1.269285591</v>
      </c>
      <c r="AG89" s="876">
        <f t="shared" si="12"/>
        <v>1.269285591</v>
      </c>
      <c r="AH89" s="876">
        <f t="shared" si="12"/>
        <v>1.269285591</v>
      </c>
      <c r="AI89" s="493"/>
      <c r="AJ89" s="493"/>
      <c r="AK89" s="493"/>
      <c r="AL89" s="493"/>
      <c r="AM89" s="494"/>
      <c r="AN89" s="176"/>
    </row>
    <row r="90" ht="14.25" customHeight="1" outlineLevel="3">
      <c r="A90" s="865"/>
      <c r="B90" s="872"/>
      <c r="C90" s="873"/>
      <c r="D90" s="100"/>
      <c r="E90" s="412" t="s">
        <v>3238</v>
      </c>
      <c r="F90" s="123" t="s">
        <v>261</v>
      </c>
      <c r="G90" s="123" t="s">
        <v>3239</v>
      </c>
      <c r="H90" s="254"/>
      <c r="I90" s="254"/>
      <c r="J90" s="254"/>
      <c r="K90" s="254"/>
      <c r="L90" s="254"/>
      <c r="M90" s="254"/>
      <c r="N90" s="254"/>
      <c r="O90" s="254"/>
      <c r="P90" s="254"/>
      <c r="Q90" s="254"/>
      <c r="R90" s="254"/>
      <c r="S90" s="254"/>
      <c r="T90" s="254"/>
      <c r="U90" s="254"/>
      <c r="V90" s="254"/>
      <c r="W90" s="279">
        <v>0.471318336141305</v>
      </c>
      <c r="X90" s="881">
        <v>0.465859011891532</v>
      </c>
      <c r="Y90" s="881">
        <v>0.539216770487681</v>
      </c>
      <c r="Z90" s="881">
        <v>0.508703359186393</v>
      </c>
      <c r="AA90" s="881">
        <v>0.545558476052238</v>
      </c>
      <c r="AB90" s="279">
        <v>0.473945765981598</v>
      </c>
      <c r="AC90" s="279">
        <f t="shared" si="13"/>
        <v>0.5087033592</v>
      </c>
      <c r="AD90" s="279">
        <f t="shared" ref="AD90:AH90" si="14">AC90</f>
        <v>0.5087033592</v>
      </c>
      <c r="AE90" s="279">
        <f t="shared" si="14"/>
        <v>0.5087033592</v>
      </c>
      <c r="AF90" s="279">
        <f t="shared" si="14"/>
        <v>0.5087033592</v>
      </c>
      <c r="AG90" s="279">
        <f t="shared" si="14"/>
        <v>0.5087033592</v>
      </c>
      <c r="AH90" s="279">
        <f t="shared" si="14"/>
        <v>0.5087033592</v>
      </c>
      <c r="AI90" s="493"/>
      <c r="AJ90" s="493"/>
      <c r="AK90" s="493"/>
      <c r="AL90" s="493"/>
      <c r="AM90" s="494"/>
      <c r="AN90" s="176"/>
    </row>
    <row r="91" ht="14.25" customHeight="1" outlineLevel="3">
      <c r="A91" s="865"/>
      <c r="B91" s="872"/>
      <c r="C91" s="873"/>
      <c r="D91" s="100"/>
      <c r="E91" s="122" t="s">
        <v>3240</v>
      </c>
      <c r="F91" s="433" t="s">
        <v>135</v>
      </c>
      <c r="G91" s="123" t="s">
        <v>3241</v>
      </c>
      <c r="H91" s="181">
        <v>1.13888888888889E-5</v>
      </c>
      <c r="I91" s="181">
        <v>8.33333333333333E-6</v>
      </c>
      <c r="J91" s="181">
        <v>7.22222222222222E-6</v>
      </c>
      <c r="K91" s="181">
        <v>1.75E-5</v>
      </c>
      <c r="L91" s="181">
        <v>3.5E-5</v>
      </c>
      <c r="M91" s="181">
        <v>4.25E-5</v>
      </c>
      <c r="N91" s="181">
        <v>4.55555555555556E-5</v>
      </c>
      <c r="O91" s="181">
        <v>4.38888888888889E-5</v>
      </c>
      <c r="P91" s="181">
        <v>1.44444444444444E-4</v>
      </c>
      <c r="Q91" s="181">
        <v>1.41111111111111E-4</v>
      </c>
      <c r="R91" s="181">
        <v>1.76111111111111E-4</v>
      </c>
      <c r="S91" s="181">
        <v>1.575E-4</v>
      </c>
      <c r="T91" s="181">
        <v>2.08888888888889E-4</v>
      </c>
      <c r="U91" s="181">
        <v>1.84444444444444E-4</v>
      </c>
      <c r="V91" s="181">
        <v>2.08888888888889E-4</v>
      </c>
      <c r="W91" s="876">
        <v>0.068333</v>
      </c>
      <c r="X91" s="879">
        <v>0.074028</v>
      </c>
      <c r="Y91" s="879">
        <v>0.078333</v>
      </c>
      <c r="Z91" s="879">
        <v>0.07125</v>
      </c>
      <c r="AA91" s="879">
        <v>0.093139</v>
      </c>
      <c r="AB91" s="876">
        <v>0.12325</v>
      </c>
      <c r="AC91" s="182">
        <f t="shared" si="13"/>
        <v>0.07125</v>
      </c>
      <c r="AD91" s="182">
        <f t="shared" ref="AD91:AH91" si="15">AC91</f>
        <v>0.07125</v>
      </c>
      <c r="AE91" s="182">
        <f t="shared" si="15"/>
        <v>0.07125</v>
      </c>
      <c r="AF91" s="182">
        <f t="shared" si="15"/>
        <v>0.07125</v>
      </c>
      <c r="AG91" s="182">
        <f t="shared" si="15"/>
        <v>0.07125</v>
      </c>
      <c r="AH91" s="182">
        <f t="shared" si="15"/>
        <v>0.07125</v>
      </c>
      <c r="AI91" s="493"/>
      <c r="AJ91" s="493"/>
      <c r="AK91" s="493"/>
      <c r="AL91" s="493"/>
      <c r="AM91" s="494"/>
      <c r="AN91" s="176"/>
    </row>
    <row r="92" ht="14.25" customHeight="1" outlineLevel="3">
      <c r="A92" s="865"/>
      <c r="B92" s="872"/>
      <c r="C92" s="873"/>
      <c r="D92" s="100"/>
      <c r="E92" s="412" t="s">
        <v>3242</v>
      </c>
      <c r="F92" s="123" t="s">
        <v>261</v>
      </c>
      <c r="G92" s="123" t="s">
        <v>3243</v>
      </c>
      <c r="H92" s="254"/>
      <c r="I92" s="254"/>
      <c r="J92" s="254"/>
      <c r="K92" s="254"/>
      <c r="L92" s="254"/>
      <c r="M92" s="254"/>
      <c r="N92" s="254"/>
      <c r="O92" s="254"/>
      <c r="P92" s="254"/>
      <c r="Q92" s="254"/>
      <c r="R92" s="254"/>
      <c r="S92" s="254"/>
      <c r="T92" s="254"/>
      <c r="U92" s="254"/>
      <c r="V92" s="254"/>
      <c r="W92" s="279">
        <v>0.0264020830185997</v>
      </c>
      <c r="X92" s="881">
        <v>0.0270068436453767</v>
      </c>
      <c r="Y92" s="881">
        <v>0.0328054426554932</v>
      </c>
      <c r="Z92" s="881">
        <v>0.0285555233596204</v>
      </c>
      <c r="AA92" s="881">
        <v>0.0402048509654836</v>
      </c>
      <c r="AB92" s="279">
        <v>0.0467944208141584</v>
      </c>
      <c r="AC92" s="279">
        <f t="shared" si="13"/>
        <v>0.02855552336</v>
      </c>
      <c r="AD92" s="279">
        <f t="shared" ref="AD92:AH92" si="16">AC92</f>
        <v>0.02855552336</v>
      </c>
      <c r="AE92" s="279">
        <f t="shared" si="16"/>
        <v>0.02855552336</v>
      </c>
      <c r="AF92" s="279">
        <f t="shared" si="16"/>
        <v>0.02855552336</v>
      </c>
      <c r="AG92" s="279">
        <f t="shared" si="16"/>
        <v>0.02855552336</v>
      </c>
      <c r="AH92" s="279">
        <f t="shared" si="16"/>
        <v>0.02855552336</v>
      </c>
      <c r="AI92" s="493"/>
      <c r="AJ92" s="493"/>
      <c r="AK92" s="493"/>
      <c r="AL92" s="493"/>
      <c r="AM92" s="494"/>
      <c r="AN92" s="176"/>
    </row>
    <row r="93" ht="14.25" customHeight="1" outlineLevel="2">
      <c r="A93" s="865"/>
      <c r="B93" s="872" t="s">
        <v>3244</v>
      </c>
      <c r="C93" s="873"/>
      <c r="D93" s="100"/>
      <c r="E93" s="100"/>
      <c r="F93" s="869"/>
      <c r="G93" s="869"/>
      <c r="H93" s="208"/>
      <c r="I93" s="208"/>
      <c r="J93" s="208"/>
      <c r="K93" s="208"/>
      <c r="L93" s="208"/>
      <c r="M93" s="208"/>
      <c r="N93" s="208"/>
      <c r="O93" s="208"/>
      <c r="P93" s="208"/>
      <c r="Q93" s="208"/>
      <c r="R93" s="208"/>
      <c r="S93" s="208"/>
      <c r="T93" s="208"/>
      <c r="U93" s="208"/>
      <c r="V93" s="208"/>
      <c r="W93" s="883"/>
      <c r="X93" s="883"/>
      <c r="Y93" s="883"/>
      <c r="Z93" s="883"/>
      <c r="AA93" s="883"/>
      <c r="AB93" s="883"/>
      <c r="AC93" s="883"/>
      <c r="AD93" s="883"/>
      <c r="AE93" s="883"/>
      <c r="AF93" s="883"/>
      <c r="AG93" s="883"/>
      <c r="AH93" s="883"/>
      <c r="AI93" s="271"/>
      <c r="AJ93" s="271"/>
      <c r="AK93" s="271"/>
      <c r="AL93" s="271"/>
      <c r="AM93" s="271"/>
      <c r="AN93" s="176"/>
    </row>
    <row r="94" ht="14.25" customHeight="1" outlineLevel="3">
      <c r="A94" s="865"/>
      <c r="B94" s="872"/>
      <c r="C94" s="873"/>
      <c r="D94" s="100"/>
      <c r="E94" s="122" t="s">
        <v>3245</v>
      </c>
      <c r="F94" s="433" t="s">
        <v>135</v>
      </c>
      <c r="G94" s="123" t="s">
        <v>3246</v>
      </c>
      <c r="H94" s="181">
        <v>2.069</v>
      </c>
      <c r="I94" s="181">
        <v>2.336</v>
      </c>
      <c r="J94" s="181">
        <v>2.318</v>
      </c>
      <c r="K94" s="181">
        <v>2.166</v>
      </c>
      <c r="L94" s="181">
        <v>2.283</v>
      </c>
      <c r="M94" s="181">
        <v>2.162</v>
      </c>
      <c r="N94" s="181">
        <v>2.608</v>
      </c>
      <c r="O94" s="181">
        <v>2.44</v>
      </c>
      <c r="P94" s="181">
        <v>2.833</v>
      </c>
      <c r="Q94" s="181">
        <v>3.531</v>
      </c>
      <c r="R94" s="181">
        <v>3.982</v>
      </c>
      <c r="S94" s="181">
        <v>4.136</v>
      </c>
      <c r="T94" s="181">
        <v>4.137</v>
      </c>
      <c r="U94" s="181">
        <v>4.117</v>
      </c>
      <c r="V94" s="181">
        <v>4.807</v>
      </c>
      <c r="W94" s="876">
        <v>1.10294309945334</v>
      </c>
      <c r="X94" s="879">
        <v>1.15649059547448</v>
      </c>
      <c r="Y94" s="879">
        <v>1.17456529178486</v>
      </c>
      <c r="Z94" s="879">
        <v>1.15939027937454</v>
      </c>
      <c r="AA94" s="879">
        <v>1.06031774612244</v>
      </c>
      <c r="AB94" s="876">
        <v>1.25759290745662</v>
      </c>
      <c r="AC94" s="876">
        <v>1.0</v>
      </c>
      <c r="AD94" s="876">
        <v>1.0</v>
      </c>
      <c r="AE94" s="876">
        <v>1.0</v>
      </c>
      <c r="AF94" s="876">
        <v>1.0</v>
      </c>
      <c r="AG94" s="876">
        <v>1.0</v>
      </c>
      <c r="AH94" s="876">
        <v>1.0</v>
      </c>
      <c r="AI94" s="493"/>
      <c r="AJ94" s="493"/>
      <c r="AK94" s="493"/>
      <c r="AL94" s="493"/>
      <c r="AM94" s="494"/>
      <c r="AN94" s="176"/>
    </row>
    <row r="95" ht="14.25" customHeight="1" outlineLevel="3">
      <c r="A95" s="865"/>
      <c r="B95" s="162"/>
      <c r="C95" s="195"/>
      <c r="D95" s="100"/>
      <c r="E95" s="412" t="s">
        <v>3247</v>
      </c>
      <c r="F95" s="123" t="s">
        <v>261</v>
      </c>
      <c r="G95" s="123" t="s">
        <v>3248</v>
      </c>
      <c r="H95" s="254"/>
      <c r="I95" s="254"/>
      <c r="J95" s="254"/>
      <c r="K95" s="254"/>
      <c r="L95" s="254"/>
      <c r="M95" s="254"/>
      <c r="N95" s="254"/>
      <c r="O95" s="254"/>
      <c r="P95" s="254"/>
      <c r="Q95" s="254"/>
      <c r="R95" s="254"/>
      <c r="S95" s="254"/>
      <c r="T95" s="254"/>
      <c r="U95" s="254"/>
      <c r="V95" s="254"/>
      <c r="W95" s="279">
        <v>0.2</v>
      </c>
      <c r="X95" s="881">
        <v>0.2</v>
      </c>
      <c r="Y95" s="881">
        <v>0.2</v>
      </c>
      <c r="Z95" s="881">
        <v>0.2</v>
      </c>
      <c r="AA95" s="881">
        <v>0.2</v>
      </c>
      <c r="AB95" s="279">
        <v>0.2</v>
      </c>
      <c r="AC95" s="279">
        <v>0.2</v>
      </c>
      <c r="AD95" s="279">
        <v>0.2</v>
      </c>
      <c r="AE95" s="279">
        <v>0.2</v>
      </c>
      <c r="AF95" s="279">
        <v>0.2</v>
      </c>
      <c r="AG95" s="279">
        <v>0.2</v>
      </c>
      <c r="AH95" s="279">
        <v>0.2</v>
      </c>
      <c r="AI95" s="493"/>
      <c r="AJ95" s="493"/>
      <c r="AK95" s="493"/>
      <c r="AL95" s="493"/>
      <c r="AM95" s="494"/>
      <c r="AN95" s="176"/>
    </row>
    <row r="96" ht="14.25" customHeight="1" outlineLevel="3">
      <c r="A96" s="865"/>
      <c r="B96" s="162"/>
      <c r="C96" s="162"/>
      <c r="D96" s="100"/>
      <c r="E96" s="122" t="s">
        <v>3249</v>
      </c>
      <c r="F96" s="433" t="s">
        <v>135</v>
      </c>
      <c r="G96" s="123" t="s">
        <v>3250</v>
      </c>
      <c r="H96" s="181">
        <v>5.08888888888889E-4</v>
      </c>
      <c r="I96" s="181">
        <v>9.6E-4</v>
      </c>
      <c r="J96" s="181">
        <v>8.61388888888889E-4</v>
      </c>
      <c r="K96" s="181">
        <v>0.00123194444444444</v>
      </c>
      <c r="L96" s="181">
        <v>0.00138472222222222</v>
      </c>
      <c r="M96" s="181">
        <v>0.00217027777777778</v>
      </c>
      <c r="N96" s="181">
        <v>0.00154027777777778</v>
      </c>
      <c r="O96" s="181">
        <v>7.94444444444444E-5</v>
      </c>
      <c r="P96" s="181">
        <v>2.41388888888889E-4</v>
      </c>
      <c r="Q96" s="181">
        <v>0.00172972222222222</v>
      </c>
      <c r="R96" s="181">
        <v>0.00185277777777778</v>
      </c>
      <c r="S96" s="181">
        <v>0.00220444444444444</v>
      </c>
      <c r="T96" s="181">
        <v>0.0012575</v>
      </c>
      <c r="U96" s="181">
        <v>0.00174388888888889</v>
      </c>
      <c r="V96" s="181">
        <v>0.00179222222222222</v>
      </c>
      <c r="W96" s="876">
        <v>0.79575</v>
      </c>
      <c r="X96" s="879">
        <v>0.750944444444445</v>
      </c>
      <c r="Y96" s="879">
        <v>0.75</v>
      </c>
      <c r="Z96" s="879">
        <v>0.782194444444444</v>
      </c>
      <c r="AA96" s="879">
        <v>0.872583333333333</v>
      </c>
      <c r="AB96" s="876">
        <v>0.828416666666667</v>
      </c>
      <c r="AC96" s="876">
        <v>0.8</v>
      </c>
      <c r="AD96" s="876">
        <v>0.8</v>
      </c>
      <c r="AE96" s="876">
        <v>0.8</v>
      </c>
      <c r="AF96" s="876">
        <v>0.8</v>
      </c>
      <c r="AG96" s="876">
        <v>0.8</v>
      </c>
      <c r="AH96" s="876">
        <v>0.8</v>
      </c>
      <c r="AI96" s="493"/>
      <c r="AJ96" s="493"/>
      <c r="AK96" s="493"/>
      <c r="AL96" s="493"/>
      <c r="AM96" s="494"/>
      <c r="AN96" s="176"/>
    </row>
    <row r="97" ht="14.25" customHeight="1" outlineLevel="3">
      <c r="A97" s="865"/>
      <c r="B97" s="162"/>
      <c r="C97" s="162"/>
      <c r="D97" s="100"/>
      <c r="E97" s="412" t="s">
        <v>3251</v>
      </c>
      <c r="F97" s="123" t="s">
        <v>261</v>
      </c>
      <c r="G97" s="123" t="s">
        <v>3252</v>
      </c>
      <c r="H97" s="254"/>
      <c r="I97" s="254"/>
      <c r="J97" s="254"/>
      <c r="K97" s="254"/>
      <c r="L97" s="254"/>
      <c r="M97" s="254"/>
      <c r="N97" s="254"/>
      <c r="O97" s="254"/>
      <c r="P97" s="254"/>
      <c r="Q97" s="254"/>
      <c r="R97" s="254"/>
      <c r="S97" s="254"/>
      <c r="T97" s="254"/>
      <c r="U97" s="254"/>
      <c r="V97" s="254"/>
      <c r="W97" s="279">
        <v>0.13</v>
      </c>
      <c r="X97" s="881">
        <v>0.13</v>
      </c>
      <c r="Y97" s="881">
        <v>0.13</v>
      </c>
      <c r="Z97" s="881">
        <v>0.13</v>
      </c>
      <c r="AA97" s="881">
        <v>0.13</v>
      </c>
      <c r="AB97" s="279">
        <v>0.13</v>
      </c>
      <c r="AC97" s="279">
        <v>0.13</v>
      </c>
      <c r="AD97" s="279">
        <v>0.13</v>
      </c>
      <c r="AE97" s="279">
        <v>0.13</v>
      </c>
      <c r="AF97" s="279">
        <v>0.13</v>
      </c>
      <c r="AG97" s="279">
        <v>0.13</v>
      </c>
      <c r="AH97" s="279">
        <v>0.13</v>
      </c>
      <c r="AI97" s="493"/>
      <c r="AJ97" s="493"/>
      <c r="AK97" s="493"/>
      <c r="AL97" s="493"/>
      <c r="AM97" s="494"/>
      <c r="AN97" s="176"/>
    </row>
    <row r="98" ht="14.25" customHeight="1" outlineLevel="2">
      <c r="A98" s="865"/>
      <c r="B98" s="872" t="s">
        <v>3253</v>
      </c>
      <c r="C98" s="873"/>
      <c r="D98" s="100"/>
      <c r="E98" s="100"/>
      <c r="F98" s="869"/>
      <c r="G98" s="869"/>
      <c r="H98" s="208"/>
      <c r="I98" s="208"/>
      <c r="J98" s="208"/>
      <c r="K98" s="208"/>
      <c r="L98" s="208"/>
      <c r="M98" s="208"/>
      <c r="N98" s="208"/>
      <c r="O98" s="208"/>
      <c r="P98" s="208"/>
      <c r="Q98" s="208"/>
      <c r="R98" s="208"/>
      <c r="S98" s="208"/>
      <c r="T98" s="208"/>
      <c r="U98" s="208"/>
      <c r="V98" s="208"/>
      <c r="W98" s="883"/>
      <c r="X98" s="883"/>
      <c r="Y98" s="883"/>
      <c r="Z98" s="883"/>
      <c r="AA98" s="883"/>
      <c r="AB98" s="883"/>
      <c r="AC98" s="883"/>
      <c r="AD98" s="883"/>
      <c r="AE98" s="883"/>
      <c r="AF98" s="883"/>
      <c r="AG98" s="883"/>
      <c r="AH98" s="883"/>
      <c r="AI98" s="271"/>
      <c r="AJ98" s="271"/>
      <c r="AK98" s="271"/>
      <c r="AL98" s="271"/>
      <c r="AM98" s="271"/>
      <c r="AN98" s="176"/>
    </row>
    <row r="99" ht="14.25" customHeight="1" outlineLevel="3">
      <c r="A99" s="865"/>
      <c r="B99" s="872"/>
      <c r="C99" s="873"/>
      <c r="D99" s="100"/>
      <c r="E99" s="122" t="s">
        <v>3254</v>
      </c>
      <c r="F99" s="433" t="s">
        <v>135</v>
      </c>
      <c r="G99" s="123" t="s">
        <v>3255</v>
      </c>
      <c r="H99" s="181">
        <v>0.0</v>
      </c>
      <c r="I99" s="181">
        <v>0.0</v>
      </c>
      <c r="J99" s="181">
        <v>0.0</v>
      </c>
      <c r="K99" s="181">
        <v>0.0</v>
      </c>
      <c r="L99" s="181">
        <v>0.0</v>
      </c>
      <c r="M99" s="181">
        <v>0.0</v>
      </c>
      <c r="N99" s="181">
        <v>0.0</v>
      </c>
      <c r="O99" s="181">
        <v>0.0</v>
      </c>
      <c r="P99" s="181">
        <v>0.0</v>
      </c>
      <c r="Q99" s="181">
        <v>0.0</v>
      </c>
      <c r="R99" s="181">
        <v>0.0</v>
      </c>
      <c r="S99" s="181">
        <v>0.0</v>
      </c>
      <c r="T99" s="181">
        <v>0.0</v>
      </c>
      <c r="U99" s="181">
        <v>0.0</v>
      </c>
      <c r="V99" s="181">
        <v>0.0</v>
      </c>
      <c r="W99" s="182">
        <v>0.0</v>
      </c>
      <c r="X99" s="181"/>
      <c r="Y99" s="181"/>
      <c r="Z99" s="181"/>
      <c r="AA99" s="181"/>
      <c r="AB99" s="182">
        <v>0.0</v>
      </c>
      <c r="AC99" s="182">
        <v>0.0</v>
      </c>
      <c r="AD99" s="182">
        <v>0.0</v>
      </c>
      <c r="AE99" s="182">
        <v>0.0</v>
      </c>
      <c r="AF99" s="182">
        <v>0.0</v>
      </c>
      <c r="AG99" s="182">
        <v>0.0</v>
      </c>
      <c r="AH99" s="182">
        <v>0.0</v>
      </c>
      <c r="AI99" s="493"/>
      <c r="AJ99" s="493"/>
      <c r="AK99" s="493"/>
      <c r="AL99" s="493"/>
      <c r="AM99" s="494"/>
      <c r="AN99" s="176"/>
    </row>
    <row r="100" ht="14.25" customHeight="1" outlineLevel="3">
      <c r="A100" s="865"/>
      <c r="B100" s="162"/>
      <c r="C100" s="195"/>
      <c r="D100" s="100"/>
      <c r="E100" s="412" t="s">
        <v>3256</v>
      </c>
      <c r="F100" s="123" t="s">
        <v>261</v>
      </c>
      <c r="G100" s="123" t="s">
        <v>3257</v>
      </c>
      <c r="H100" s="254"/>
      <c r="I100" s="254"/>
      <c r="J100" s="254"/>
      <c r="K100" s="254"/>
      <c r="L100" s="254"/>
      <c r="M100" s="254"/>
      <c r="N100" s="254"/>
      <c r="O100" s="254"/>
      <c r="P100" s="254"/>
      <c r="Q100" s="254"/>
      <c r="R100" s="254"/>
      <c r="S100" s="254"/>
      <c r="T100" s="254"/>
      <c r="U100" s="254"/>
      <c r="V100" s="254"/>
      <c r="W100" s="279">
        <v>0.3</v>
      </c>
      <c r="X100" s="254"/>
      <c r="Y100" s="254"/>
      <c r="Z100" s="254"/>
      <c r="AA100" s="254"/>
      <c r="AB100" s="279">
        <v>0.3</v>
      </c>
      <c r="AC100" s="279">
        <v>0.3</v>
      </c>
      <c r="AD100" s="279">
        <v>0.3</v>
      </c>
      <c r="AE100" s="279">
        <v>0.3</v>
      </c>
      <c r="AF100" s="279">
        <v>0.3</v>
      </c>
      <c r="AG100" s="279">
        <v>0.3</v>
      </c>
      <c r="AH100" s="279">
        <v>0.3</v>
      </c>
      <c r="AI100" s="493"/>
      <c r="AJ100" s="493"/>
      <c r="AK100" s="493"/>
      <c r="AL100" s="493"/>
      <c r="AM100" s="494"/>
      <c r="AN100" s="176"/>
    </row>
    <row r="101" ht="14.25" customHeight="1" outlineLevel="3">
      <c r="A101" s="865"/>
      <c r="B101" s="162"/>
      <c r="C101" s="162"/>
      <c r="D101" s="100"/>
      <c r="E101" s="122" t="s">
        <v>3258</v>
      </c>
      <c r="F101" s="433" t="s">
        <v>135</v>
      </c>
      <c r="G101" s="123" t="s">
        <v>3259</v>
      </c>
      <c r="H101" s="181"/>
      <c r="I101" s="181"/>
      <c r="J101" s="181"/>
      <c r="K101" s="181"/>
      <c r="L101" s="181"/>
      <c r="M101" s="181"/>
      <c r="N101" s="181"/>
      <c r="O101" s="181"/>
      <c r="P101" s="181"/>
      <c r="Q101" s="181"/>
      <c r="R101" s="181"/>
      <c r="S101" s="181"/>
      <c r="T101" s="181"/>
      <c r="U101" s="181"/>
      <c r="V101" s="181"/>
      <c r="W101" s="182"/>
      <c r="X101" s="181"/>
      <c r="Y101" s="181"/>
      <c r="Z101" s="181"/>
      <c r="AA101" s="181"/>
      <c r="AB101" s="182"/>
      <c r="AC101" s="182"/>
      <c r="AD101" s="182"/>
      <c r="AE101" s="182"/>
      <c r="AF101" s="182"/>
      <c r="AG101" s="182"/>
      <c r="AH101" s="182"/>
      <c r="AI101" s="493"/>
      <c r="AJ101" s="493"/>
      <c r="AK101" s="493"/>
      <c r="AL101" s="493"/>
      <c r="AM101" s="494"/>
      <c r="AN101" s="176"/>
    </row>
    <row r="102" ht="14.25" customHeight="1" outlineLevel="3">
      <c r="A102" s="865"/>
      <c r="B102" s="162"/>
      <c r="C102" s="162"/>
      <c r="D102" s="100"/>
      <c r="E102" s="412" t="s">
        <v>3260</v>
      </c>
      <c r="F102" s="123" t="s">
        <v>261</v>
      </c>
      <c r="G102" s="123" t="s">
        <v>3261</v>
      </c>
      <c r="H102" s="254"/>
      <c r="I102" s="254"/>
      <c r="J102" s="254"/>
      <c r="K102" s="254"/>
      <c r="L102" s="254"/>
      <c r="M102" s="254"/>
      <c r="N102" s="254"/>
      <c r="O102" s="254"/>
      <c r="P102" s="254"/>
      <c r="Q102" s="254"/>
      <c r="R102" s="254"/>
      <c r="S102" s="254"/>
      <c r="T102" s="254"/>
      <c r="U102" s="254"/>
      <c r="V102" s="254"/>
      <c r="W102" s="279">
        <v>0.4</v>
      </c>
      <c r="X102" s="254"/>
      <c r="Y102" s="254"/>
      <c r="Z102" s="254"/>
      <c r="AA102" s="254"/>
      <c r="AB102" s="279">
        <v>0.4</v>
      </c>
      <c r="AC102" s="279">
        <v>0.4</v>
      </c>
      <c r="AD102" s="279">
        <v>0.4</v>
      </c>
      <c r="AE102" s="279">
        <v>0.4</v>
      </c>
      <c r="AF102" s="279">
        <v>0.4</v>
      </c>
      <c r="AG102" s="279">
        <v>0.4</v>
      </c>
      <c r="AH102" s="279">
        <v>0.4</v>
      </c>
      <c r="AI102" s="493"/>
      <c r="AJ102" s="493"/>
      <c r="AK102" s="493"/>
      <c r="AL102" s="493"/>
      <c r="AM102" s="494"/>
      <c r="AN102" s="176"/>
    </row>
    <row r="103" ht="14.25" customHeight="1" outlineLevel="2">
      <c r="A103" s="865"/>
      <c r="B103" s="872" t="s">
        <v>3262</v>
      </c>
      <c r="C103" s="873"/>
      <c r="D103" s="100"/>
      <c r="E103" s="100"/>
      <c r="F103" s="869"/>
      <c r="G103" s="869"/>
      <c r="H103" s="208"/>
      <c r="I103" s="208"/>
      <c r="J103" s="208"/>
      <c r="K103" s="208"/>
      <c r="L103" s="208"/>
      <c r="M103" s="208"/>
      <c r="N103" s="208"/>
      <c r="O103" s="208"/>
      <c r="P103" s="208"/>
      <c r="Q103" s="208"/>
      <c r="R103" s="208"/>
      <c r="S103" s="208"/>
      <c r="T103" s="208"/>
      <c r="U103" s="208"/>
      <c r="V103" s="208"/>
      <c r="W103" s="883"/>
      <c r="X103" s="883"/>
      <c r="Y103" s="883"/>
      <c r="Z103" s="883"/>
      <c r="AA103" s="883"/>
      <c r="AB103" s="883"/>
      <c r="AC103" s="883"/>
      <c r="AD103" s="883"/>
      <c r="AE103" s="883"/>
      <c r="AF103" s="883"/>
      <c r="AG103" s="883"/>
      <c r="AH103" s="883"/>
      <c r="AI103" s="271"/>
      <c r="AJ103" s="271"/>
      <c r="AK103" s="271"/>
      <c r="AL103" s="271"/>
      <c r="AM103" s="271"/>
      <c r="AN103" s="176"/>
    </row>
    <row r="104" ht="14.25" customHeight="1" outlineLevel="3">
      <c r="A104" s="865"/>
      <c r="B104" s="872"/>
      <c r="C104" s="873"/>
      <c r="D104" s="100"/>
      <c r="E104" s="122" t="s">
        <v>3263</v>
      </c>
      <c r="F104" s="433" t="s">
        <v>135</v>
      </c>
      <c r="G104" s="123" t="s">
        <v>3264</v>
      </c>
      <c r="H104" s="181"/>
      <c r="I104" s="181"/>
      <c r="J104" s="181"/>
      <c r="K104" s="181"/>
      <c r="L104" s="181"/>
      <c r="M104" s="181"/>
      <c r="N104" s="181"/>
      <c r="O104" s="181"/>
      <c r="P104" s="181"/>
      <c r="Q104" s="181"/>
      <c r="R104" s="181"/>
      <c r="S104" s="181"/>
      <c r="T104" s="181"/>
      <c r="U104" s="181"/>
      <c r="V104" s="181"/>
      <c r="W104" s="182">
        <v>0.0</v>
      </c>
      <c r="X104" s="181">
        <v>0.0</v>
      </c>
      <c r="Y104" s="181">
        <v>0.0</v>
      </c>
      <c r="Z104" s="181">
        <v>0.0</v>
      </c>
      <c r="AA104" s="181">
        <v>0.0</v>
      </c>
      <c r="AB104" s="182">
        <v>0.0</v>
      </c>
      <c r="AC104" s="880">
        <v>0.0</v>
      </c>
      <c r="AD104" s="880">
        <v>0.636549265827801</v>
      </c>
      <c r="AE104" s="880">
        <v>1.86136043677328</v>
      </c>
      <c r="AF104" s="880">
        <v>2.96813583709401</v>
      </c>
      <c r="AG104" s="880">
        <v>4.44856265048743</v>
      </c>
      <c r="AH104" s="880">
        <v>5.50705069009804</v>
      </c>
      <c r="AI104" s="493"/>
      <c r="AJ104" s="493"/>
      <c r="AK104" s="493"/>
      <c r="AL104" s="493"/>
      <c r="AM104" s="494"/>
      <c r="AN104" s="176"/>
    </row>
    <row r="105" ht="14.25" customHeight="1" outlineLevel="3">
      <c r="A105" s="865"/>
      <c r="B105" s="162"/>
      <c r="C105" s="195"/>
      <c r="D105" s="100"/>
      <c r="E105" s="412" t="s">
        <v>3265</v>
      </c>
      <c r="F105" s="123" t="s">
        <v>261</v>
      </c>
      <c r="G105" s="123" t="s">
        <v>3266</v>
      </c>
      <c r="H105" s="254"/>
      <c r="I105" s="254"/>
      <c r="J105" s="254"/>
      <c r="K105" s="254"/>
      <c r="L105" s="254"/>
      <c r="M105" s="254"/>
      <c r="N105" s="254"/>
      <c r="O105" s="254"/>
      <c r="P105" s="254"/>
      <c r="Q105" s="254"/>
      <c r="R105" s="254"/>
      <c r="S105" s="254"/>
      <c r="T105" s="254"/>
      <c r="U105" s="254"/>
      <c r="V105" s="254"/>
      <c r="W105" s="279">
        <v>0.501693831017699</v>
      </c>
      <c r="X105" s="881">
        <v>0.519077662347857</v>
      </c>
      <c r="Y105" s="881">
        <v>0.548594308737741</v>
      </c>
      <c r="Z105" s="881">
        <v>0.539806992566822</v>
      </c>
      <c r="AA105" s="881">
        <v>0.579174986209996</v>
      </c>
      <c r="AB105" s="279">
        <v>0.59173985925742</v>
      </c>
      <c r="AC105" s="279">
        <f>Y105</f>
        <v>0.5485943087</v>
      </c>
      <c r="AD105" s="279">
        <f t="shared" ref="AD105:AH105" si="17">AC105</f>
        <v>0.5485943087</v>
      </c>
      <c r="AE105" s="279">
        <f t="shared" si="17"/>
        <v>0.5485943087</v>
      </c>
      <c r="AF105" s="279">
        <f t="shared" si="17"/>
        <v>0.5485943087</v>
      </c>
      <c r="AG105" s="279">
        <f t="shared" si="17"/>
        <v>0.5485943087</v>
      </c>
      <c r="AH105" s="279">
        <f t="shared" si="17"/>
        <v>0.5485943087</v>
      </c>
      <c r="AI105" s="493"/>
      <c r="AJ105" s="493"/>
      <c r="AK105" s="493"/>
      <c r="AL105" s="493"/>
      <c r="AM105" s="494"/>
      <c r="AN105" s="176"/>
    </row>
    <row r="106" ht="14.25" customHeight="1" outlineLevel="3">
      <c r="A106" s="865"/>
      <c r="B106" s="162"/>
      <c r="C106" s="162"/>
      <c r="D106" s="100"/>
      <c r="E106" s="122" t="s">
        <v>3267</v>
      </c>
      <c r="F106" s="433" t="s">
        <v>135</v>
      </c>
      <c r="G106" s="123" t="s">
        <v>3268</v>
      </c>
      <c r="H106" s="181"/>
      <c r="I106" s="181"/>
      <c r="J106" s="181"/>
      <c r="K106" s="181"/>
      <c r="L106" s="181"/>
      <c r="M106" s="181"/>
      <c r="N106" s="181"/>
      <c r="O106" s="181"/>
      <c r="P106" s="181"/>
      <c r="Q106" s="181"/>
      <c r="R106" s="181"/>
      <c r="S106" s="181"/>
      <c r="T106" s="181"/>
      <c r="U106" s="181"/>
      <c r="V106" s="181"/>
      <c r="W106" s="182">
        <v>0.0</v>
      </c>
      <c r="X106" s="181">
        <v>0.0</v>
      </c>
      <c r="Y106" s="181">
        <v>0.0</v>
      </c>
      <c r="Z106" s="181">
        <v>0.0</v>
      </c>
      <c r="AA106" s="181">
        <v>0.0</v>
      </c>
      <c r="AB106" s="182">
        <v>0.0</v>
      </c>
      <c r="AC106" s="182">
        <f t="shared" ref="AC106:AH106" si="18">+AC104*AC107/AC105</f>
        <v>0</v>
      </c>
      <c r="AD106" s="182">
        <f t="shared" si="18"/>
        <v>0.2772073051</v>
      </c>
      <c r="AE106" s="182">
        <f t="shared" si="18"/>
        <v>0.8105935208</v>
      </c>
      <c r="AF106" s="182">
        <f t="shared" si="18"/>
        <v>1.292576994</v>
      </c>
      <c r="AG106" s="182">
        <f t="shared" si="18"/>
        <v>1.937279847</v>
      </c>
      <c r="AH106" s="182">
        <f t="shared" si="18"/>
        <v>2.398234925</v>
      </c>
      <c r="AI106" s="493"/>
      <c r="AJ106" s="493"/>
      <c r="AK106" s="493"/>
      <c r="AL106" s="493"/>
      <c r="AM106" s="494"/>
      <c r="AN106" s="176"/>
    </row>
    <row r="107" ht="14.25" customHeight="1" outlineLevel="3">
      <c r="A107" s="865"/>
      <c r="B107" s="162"/>
      <c r="C107" s="162"/>
      <c r="D107" s="100"/>
      <c r="E107" s="412" t="s">
        <v>3269</v>
      </c>
      <c r="F107" s="123" t="s">
        <v>261</v>
      </c>
      <c r="G107" s="123" t="s">
        <v>3270</v>
      </c>
      <c r="H107" s="254"/>
      <c r="I107" s="254"/>
      <c r="J107" s="254"/>
      <c r="K107" s="254"/>
      <c r="L107" s="254"/>
      <c r="M107" s="254"/>
      <c r="N107" s="254"/>
      <c r="O107" s="254"/>
      <c r="P107" s="254"/>
      <c r="Q107" s="254"/>
      <c r="R107" s="254"/>
      <c r="S107" s="254"/>
      <c r="T107" s="254"/>
      <c r="U107" s="254"/>
      <c r="V107" s="254"/>
      <c r="W107" s="279">
        <v>0.277275329286604</v>
      </c>
      <c r="X107" s="881">
        <v>0.265359307706845</v>
      </c>
      <c r="Y107" s="881">
        <v>0.238904289263786</v>
      </c>
      <c r="Z107" s="881">
        <v>0.248410840999069</v>
      </c>
      <c r="AA107" s="881">
        <v>0.214352371985821</v>
      </c>
      <c r="AB107" s="279">
        <v>0.20930769725031</v>
      </c>
      <c r="AC107" s="279">
        <f>Y107</f>
        <v>0.2389042893</v>
      </c>
      <c r="AD107" s="279">
        <f t="shared" ref="AD107:AH107" si="19">AC107</f>
        <v>0.2389042893</v>
      </c>
      <c r="AE107" s="279">
        <f t="shared" si="19"/>
        <v>0.2389042893</v>
      </c>
      <c r="AF107" s="279">
        <f t="shared" si="19"/>
        <v>0.2389042893</v>
      </c>
      <c r="AG107" s="279">
        <f t="shared" si="19"/>
        <v>0.2389042893</v>
      </c>
      <c r="AH107" s="279">
        <f t="shared" si="19"/>
        <v>0.2389042893</v>
      </c>
      <c r="AI107" s="493"/>
      <c r="AJ107" s="493"/>
      <c r="AK107" s="493"/>
      <c r="AL107" s="493"/>
      <c r="AM107" s="494"/>
      <c r="AN107" s="176"/>
    </row>
    <row r="108" ht="9.75" customHeight="1">
      <c r="A108" s="166"/>
      <c r="B108" s="167"/>
      <c r="C108" s="167"/>
      <c r="D108" s="167"/>
      <c r="E108" s="167"/>
      <c r="F108" s="168"/>
      <c r="G108" s="168"/>
      <c r="H108" s="169"/>
      <c r="I108" s="169"/>
      <c r="J108" s="169"/>
      <c r="K108" s="169"/>
      <c r="L108" s="169"/>
      <c r="M108" s="169"/>
      <c r="N108" s="169"/>
      <c r="O108" s="169"/>
      <c r="P108" s="169"/>
      <c r="Q108" s="169"/>
      <c r="R108" s="169"/>
      <c r="S108" s="169"/>
      <c r="T108" s="169"/>
      <c r="U108" s="169"/>
      <c r="V108" s="169"/>
      <c r="W108" s="169"/>
      <c r="X108" s="169"/>
      <c r="Y108" s="169"/>
      <c r="Z108" s="169"/>
      <c r="AA108" s="169"/>
      <c r="AB108" s="169"/>
      <c r="AC108" s="169"/>
      <c r="AD108" s="169"/>
      <c r="AE108" s="169"/>
      <c r="AF108" s="169"/>
      <c r="AG108" s="169"/>
      <c r="AH108" s="169"/>
      <c r="AI108" s="448"/>
      <c r="AJ108" s="448"/>
      <c r="AK108" s="448"/>
      <c r="AL108" s="448"/>
      <c r="AM108" s="448"/>
      <c r="AN108" s="102"/>
    </row>
    <row r="109" ht="14.25" customHeight="1">
      <c r="A109" s="196" t="s">
        <v>44</v>
      </c>
      <c r="B109" s="197"/>
      <c r="C109" s="197"/>
      <c r="D109" s="197"/>
      <c r="E109" s="197"/>
      <c r="F109" s="197"/>
      <c r="G109" s="197"/>
      <c r="H109" s="198"/>
      <c r="I109" s="198"/>
      <c r="J109" s="198"/>
      <c r="K109" s="198"/>
      <c r="L109" s="198"/>
      <c r="M109" s="198"/>
      <c r="N109" s="198"/>
      <c r="O109" s="198"/>
      <c r="P109" s="198"/>
      <c r="Q109" s="198"/>
      <c r="R109" s="198"/>
      <c r="S109" s="198"/>
      <c r="T109" s="198"/>
      <c r="U109" s="198"/>
      <c r="V109" s="198"/>
      <c r="W109" s="198"/>
      <c r="X109" s="198"/>
      <c r="Y109" s="198"/>
      <c r="Z109" s="198"/>
      <c r="AA109" s="198"/>
      <c r="AB109" s="198"/>
      <c r="AC109" s="198"/>
      <c r="AD109" s="198"/>
      <c r="AE109" s="198"/>
      <c r="AF109" s="198"/>
      <c r="AG109" s="198"/>
      <c r="AH109" s="198"/>
      <c r="AI109" s="199"/>
      <c r="AJ109" s="199"/>
      <c r="AK109" s="199"/>
      <c r="AL109" s="199"/>
      <c r="AM109" s="199"/>
      <c r="AN109" s="176"/>
    </row>
    <row r="110" ht="14.25" customHeight="1" outlineLevel="2">
      <c r="A110" s="492"/>
      <c r="B110" s="162"/>
      <c r="C110" s="100"/>
      <c r="D110" s="100"/>
      <c r="E110" s="412" t="s">
        <v>3271</v>
      </c>
      <c r="F110" s="433" t="s">
        <v>261</v>
      </c>
      <c r="G110" s="123" t="s">
        <v>3272</v>
      </c>
      <c r="H110" s="181"/>
      <c r="I110" s="181"/>
      <c r="J110" s="181"/>
      <c r="K110" s="181"/>
      <c r="L110" s="181"/>
      <c r="M110" s="181"/>
      <c r="N110" s="181"/>
      <c r="O110" s="181"/>
      <c r="P110" s="181"/>
      <c r="Q110" s="181"/>
      <c r="R110" s="181"/>
      <c r="S110" s="181"/>
      <c r="T110" s="181"/>
      <c r="U110" s="181"/>
      <c r="V110" s="181"/>
      <c r="W110" s="182">
        <v>0.0</v>
      </c>
      <c r="X110" s="181"/>
      <c r="Y110" s="181"/>
      <c r="Z110" s="181"/>
      <c r="AA110" s="181"/>
      <c r="AB110" s="182">
        <v>0.0</v>
      </c>
      <c r="AC110" s="182">
        <v>0.011251325695581</v>
      </c>
      <c r="AD110" s="182">
        <v>0.0345353191489362</v>
      </c>
      <c r="AE110" s="182">
        <v>0.0687581014729951</v>
      </c>
      <c r="AF110" s="182">
        <v>0.113919672667758</v>
      </c>
      <c r="AG110" s="182">
        <v>0.126929018003273</v>
      </c>
      <c r="AH110" s="182">
        <v>0.140641571194763</v>
      </c>
      <c r="AI110" s="493"/>
      <c r="AJ110" s="493"/>
      <c r="AK110" s="493"/>
      <c r="AL110" s="493"/>
      <c r="AM110" s="494"/>
      <c r="AN110" s="176"/>
    </row>
    <row r="111" ht="14.25" customHeight="1" outlineLevel="2">
      <c r="A111" s="492"/>
      <c r="B111" s="162"/>
      <c r="C111" s="100"/>
      <c r="D111" s="100"/>
      <c r="E111" s="412" t="s">
        <v>3273</v>
      </c>
      <c r="F111" s="433" t="s">
        <v>261</v>
      </c>
      <c r="G111" s="123" t="s">
        <v>3274</v>
      </c>
      <c r="H111" s="254"/>
      <c r="I111" s="254"/>
      <c r="J111" s="254"/>
      <c r="K111" s="254"/>
      <c r="L111" s="254"/>
      <c r="M111" s="254"/>
      <c r="N111" s="254"/>
      <c r="O111" s="254"/>
      <c r="P111" s="254"/>
      <c r="Q111" s="254"/>
      <c r="R111" s="254"/>
      <c r="S111" s="254"/>
      <c r="T111" s="254"/>
      <c r="U111" s="254"/>
      <c r="V111" s="254"/>
      <c r="W111" s="182">
        <v>0.0</v>
      </c>
      <c r="X111" s="181"/>
      <c r="Y111" s="181"/>
      <c r="Z111" s="181"/>
      <c r="AA111" s="181"/>
      <c r="AB111" s="182">
        <v>0.0</v>
      </c>
      <c r="AC111" s="182">
        <v>0.00420687397708674</v>
      </c>
      <c r="AD111" s="182">
        <v>0.0129127659574468</v>
      </c>
      <c r="AE111" s="182">
        <v>0.025708674304419</v>
      </c>
      <c r="AF111" s="182">
        <v>0.0425945990180033</v>
      </c>
      <c r="AG111" s="182">
        <v>0.0474587970540098</v>
      </c>
      <c r="AH111" s="182">
        <v>0.0525859247135843</v>
      </c>
      <c r="AI111" s="493"/>
      <c r="AJ111" s="493"/>
      <c r="AK111" s="493"/>
      <c r="AL111" s="493"/>
      <c r="AM111" s="494"/>
      <c r="AN111" s="176"/>
    </row>
    <row r="112" ht="14.25" customHeight="1">
      <c r="A112" s="492" t="s">
        <v>3275</v>
      </c>
      <c r="B112" s="162"/>
      <c r="C112" s="100"/>
      <c r="D112" s="100"/>
      <c r="E112" s="100"/>
      <c r="F112" s="869"/>
      <c r="G112" s="869"/>
      <c r="H112" s="208"/>
      <c r="I112" s="208"/>
      <c r="J112" s="208"/>
      <c r="K112" s="208"/>
      <c r="L112" s="208"/>
      <c r="M112" s="208"/>
      <c r="N112" s="208"/>
      <c r="O112" s="208"/>
      <c r="P112" s="208"/>
      <c r="Q112" s="208"/>
      <c r="R112" s="208"/>
      <c r="S112" s="208"/>
      <c r="T112" s="208"/>
      <c r="U112" s="208"/>
      <c r="V112" s="208"/>
      <c r="W112" s="208"/>
      <c r="X112" s="208"/>
      <c r="Y112" s="208"/>
      <c r="Z112" s="208"/>
      <c r="AA112" s="208"/>
      <c r="AB112" s="208"/>
      <c r="AC112" s="208"/>
      <c r="AD112" s="208"/>
      <c r="AE112" s="208"/>
      <c r="AF112" s="208"/>
      <c r="AG112" s="208"/>
      <c r="AH112" s="208"/>
      <c r="AI112" s="271"/>
      <c r="AJ112" s="271"/>
      <c r="AK112" s="271"/>
      <c r="AL112" s="271"/>
      <c r="AM112" s="271"/>
      <c r="AN112" s="176"/>
    </row>
    <row r="113" ht="14.25" customHeight="1" outlineLevel="2">
      <c r="A113" s="884"/>
      <c r="B113" s="162"/>
      <c r="C113" s="162"/>
      <c r="D113" s="100"/>
      <c r="E113" s="122" t="s">
        <v>3276</v>
      </c>
      <c r="F113" s="433" t="s">
        <v>135</v>
      </c>
      <c r="G113" s="123" t="s">
        <v>3277</v>
      </c>
      <c r="H113" s="181"/>
      <c r="I113" s="181"/>
      <c r="J113" s="181"/>
      <c r="K113" s="181"/>
      <c r="L113" s="181"/>
      <c r="M113" s="181"/>
      <c r="N113" s="181"/>
      <c r="O113" s="181"/>
      <c r="P113" s="181"/>
      <c r="Q113" s="181"/>
      <c r="R113" s="181"/>
      <c r="S113" s="181"/>
      <c r="T113" s="181"/>
      <c r="U113" s="181"/>
      <c r="V113" s="181"/>
      <c r="W113" s="182">
        <f>(IF(W$22&gt;0,W$22,W$23*W$24*8760/1000)+IF(W$27&gt;0,W$27,W$28*W$29*8760/1000)+IF(W$31&gt;0,W$31,W$32*W$33*8760/1000))*W110</f>
        <v>0</v>
      </c>
      <c r="X113" s="181"/>
      <c r="Y113" s="181"/>
      <c r="Z113" s="181"/>
      <c r="AA113" s="181"/>
      <c r="AB113" s="182">
        <f>(IF(AB$22&gt;0,AB$22,AB$23*AB$24*8760/1000)+IF(AB$27&gt;0,AB$27,AB$28*AB$29*8760/1000)+IF(AB$31&gt;0,AB$31,AB$32*AB$33*8760/1000))*AB110</f>
        <v>0</v>
      </c>
      <c r="AC113" s="182">
        <v>0.0</v>
      </c>
      <c r="AD113" s="182">
        <v>0.0</v>
      </c>
      <c r="AE113" s="182">
        <f t="shared" ref="AE113:AH113" si="20">((IF(AE$22&gt;0,AE$22,AE$23*AE$24*8760/1000)+IF(AE$27&gt;0,AE$27,AE$28*AE$29*8760/1000)+IF(AE$31&gt;0,AE$31,AE$32*AE$33*8760/1000))*AE110)-4</f>
        <v>0.1929440062</v>
      </c>
      <c r="AF113" s="182">
        <f t="shared" si="20"/>
        <v>4.847902044</v>
      </c>
      <c r="AG113" s="182">
        <f t="shared" si="20"/>
        <v>8.519973706</v>
      </c>
      <c r="AH113" s="182">
        <f t="shared" si="20"/>
        <v>11.092247</v>
      </c>
      <c r="AI113" s="493"/>
      <c r="AJ113" s="493"/>
      <c r="AK113" s="493"/>
      <c r="AL113" s="493"/>
      <c r="AM113" s="205"/>
      <c r="AN113" s="176"/>
    </row>
    <row r="114" ht="14.25" customHeight="1" outlineLevel="2">
      <c r="A114" s="127"/>
      <c r="B114" s="127"/>
      <c r="C114" s="127"/>
      <c r="D114" s="127"/>
      <c r="E114" s="122" t="s">
        <v>3278</v>
      </c>
      <c r="F114" s="433" t="s">
        <v>261</v>
      </c>
      <c r="G114" s="123" t="s">
        <v>3279</v>
      </c>
      <c r="H114" s="254"/>
      <c r="I114" s="254"/>
      <c r="J114" s="254"/>
      <c r="K114" s="254"/>
      <c r="L114" s="254"/>
      <c r="M114" s="254"/>
      <c r="N114" s="254"/>
      <c r="O114" s="254"/>
      <c r="P114" s="254"/>
      <c r="Q114" s="254"/>
      <c r="R114" s="254"/>
      <c r="S114" s="254"/>
      <c r="T114" s="254"/>
      <c r="U114" s="254"/>
      <c r="V114" s="254"/>
      <c r="W114" s="256">
        <v>0.0</v>
      </c>
      <c r="X114" s="254">
        <v>0.0</v>
      </c>
      <c r="Y114" s="254">
        <v>0.0</v>
      </c>
      <c r="Z114" s="254">
        <v>0.0</v>
      </c>
      <c r="AA114" s="254">
        <v>0.0</v>
      </c>
      <c r="AB114" s="256">
        <v>0.0</v>
      </c>
      <c r="AC114" s="256">
        <v>0.0</v>
      </c>
      <c r="AD114" s="256">
        <v>0.0</v>
      </c>
      <c r="AE114" s="256">
        <v>0.0</v>
      </c>
      <c r="AF114" s="256">
        <v>0.0</v>
      </c>
      <c r="AG114" s="256">
        <v>0.0</v>
      </c>
      <c r="AH114" s="257">
        <v>0.0</v>
      </c>
      <c r="AI114" s="493"/>
      <c r="AJ114" s="493"/>
      <c r="AK114" s="493"/>
      <c r="AL114" s="493"/>
      <c r="AM114" s="494"/>
      <c r="AN114" s="176"/>
    </row>
    <row r="115" ht="14.25" customHeight="1" outlineLevel="2">
      <c r="A115" s="884"/>
      <c r="B115" s="162"/>
      <c r="C115" s="162"/>
      <c r="D115" s="100"/>
      <c r="E115" s="412" t="s">
        <v>3280</v>
      </c>
      <c r="F115" s="433" t="s">
        <v>261</v>
      </c>
      <c r="G115" s="123" t="s">
        <v>3281</v>
      </c>
      <c r="H115" s="254"/>
      <c r="I115" s="254"/>
      <c r="J115" s="254"/>
      <c r="K115" s="254"/>
      <c r="L115" s="254"/>
      <c r="M115" s="254"/>
      <c r="N115" s="254"/>
      <c r="O115" s="254"/>
      <c r="P115" s="254"/>
      <c r="Q115" s="254"/>
      <c r="R115" s="254"/>
      <c r="S115" s="254"/>
      <c r="T115" s="254"/>
      <c r="U115" s="254"/>
      <c r="V115" s="254"/>
      <c r="W115" s="279">
        <v>0.68</v>
      </c>
      <c r="X115" s="254">
        <v>0.68</v>
      </c>
      <c r="Y115" s="254">
        <v>0.68</v>
      </c>
      <c r="Z115" s="254">
        <v>0.68</v>
      </c>
      <c r="AA115" s="254">
        <v>0.68</v>
      </c>
      <c r="AB115" s="279">
        <v>0.68</v>
      </c>
      <c r="AC115" s="279">
        <v>0.69</v>
      </c>
      <c r="AD115" s="279">
        <v>0.7</v>
      </c>
      <c r="AE115" s="279">
        <v>0.71</v>
      </c>
      <c r="AF115" s="279">
        <v>0.72</v>
      </c>
      <c r="AG115" s="279">
        <v>0.73</v>
      </c>
      <c r="AH115" s="279">
        <v>0.74</v>
      </c>
      <c r="AI115" s="493"/>
      <c r="AJ115" s="493"/>
      <c r="AK115" s="493"/>
      <c r="AL115" s="493"/>
      <c r="AM115" s="494"/>
      <c r="AN115" s="176"/>
    </row>
    <row r="116" ht="14.25" customHeight="1" outlineLevel="1">
      <c r="A116" s="492" t="s">
        <v>3282</v>
      </c>
      <c r="B116" s="162"/>
      <c r="C116" s="100"/>
      <c r="D116" s="100"/>
      <c r="E116" s="100"/>
      <c r="F116" s="869"/>
      <c r="G116" s="869"/>
      <c r="H116" s="208"/>
      <c r="I116" s="208"/>
      <c r="J116" s="208"/>
      <c r="K116" s="208"/>
      <c r="L116" s="208"/>
      <c r="M116" s="208"/>
      <c r="N116" s="208"/>
      <c r="O116" s="208"/>
      <c r="P116" s="208"/>
      <c r="Q116" s="208"/>
      <c r="R116" s="208"/>
      <c r="S116" s="208"/>
      <c r="T116" s="208"/>
      <c r="U116" s="208"/>
      <c r="V116" s="208"/>
      <c r="W116" s="208"/>
      <c r="X116" s="208"/>
      <c r="Y116" s="208"/>
      <c r="Z116" s="208"/>
      <c r="AA116" s="208"/>
      <c r="AB116" s="208"/>
      <c r="AC116" s="208"/>
      <c r="AD116" s="208"/>
      <c r="AE116" s="208"/>
      <c r="AF116" s="208"/>
      <c r="AG116" s="208"/>
      <c r="AH116" s="208"/>
      <c r="AI116" s="271"/>
      <c r="AJ116" s="271"/>
      <c r="AK116" s="271"/>
      <c r="AL116" s="271"/>
      <c r="AM116" s="271"/>
      <c r="AN116" s="176"/>
    </row>
    <row r="117" ht="14.25" customHeight="1" outlineLevel="2">
      <c r="A117" s="884"/>
      <c r="B117" s="162"/>
      <c r="C117" s="162"/>
      <c r="D117" s="100"/>
      <c r="E117" s="122" t="s">
        <v>3283</v>
      </c>
      <c r="F117" s="433" t="s">
        <v>135</v>
      </c>
      <c r="G117" s="123" t="s">
        <v>3284</v>
      </c>
      <c r="H117" s="181"/>
      <c r="I117" s="181"/>
      <c r="J117" s="181"/>
      <c r="K117" s="181"/>
      <c r="L117" s="181"/>
      <c r="M117" s="181"/>
      <c r="N117" s="181"/>
      <c r="O117" s="181"/>
      <c r="P117" s="181"/>
      <c r="Q117" s="181"/>
      <c r="R117" s="181"/>
      <c r="S117" s="181"/>
      <c r="T117" s="181"/>
      <c r="U117" s="181"/>
      <c r="V117" s="181"/>
      <c r="W117" s="182">
        <f t="shared" ref="W117:AH117" si="21">(IF(W$22&gt;0,W$22,W$23*W$24*8760/1000)+IF(W$27&gt;0,W$27,W$28*W$29*8760/1000)+IF(W$31&gt;0,W$31,W$32*W$33*8760/1000))*W111</f>
        <v>0</v>
      </c>
      <c r="X117" s="182">
        <f t="shared" si="21"/>
        <v>0</v>
      </c>
      <c r="Y117" s="182">
        <f t="shared" si="21"/>
        <v>0</v>
      </c>
      <c r="Z117" s="182">
        <f t="shared" si="21"/>
        <v>0</v>
      </c>
      <c r="AA117" s="182">
        <f t="shared" si="21"/>
        <v>0</v>
      </c>
      <c r="AB117" s="182">
        <f t="shared" si="21"/>
        <v>0</v>
      </c>
      <c r="AC117" s="182">
        <f t="shared" si="21"/>
        <v>0.1012053727</v>
      </c>
      <c r="AD117" s="182">
        <f t="shared" si="21"/>
        <v>0.5344678636</v>
      </c>
      <c r="AE117" s="182">
        <f t="shared" si="21"/>
        <v>1.567742994</v>
      </c>
      <c r="AF117" s="182">
        <f t="shared" si="21"/>
        <v>3.308233169</v>
      </c>
      <c r="AG117" s="182">
        <f t="shared" si="21"/>
        <v>4.68122184</v>
      </c>
      <c r="AH117" s="182">
        <f t="shared" si="21"/>
        <v>5.642995581</v>
      </c>
      <c r="AI117" s="493"/>
      <c r="AJ117" s="493"/>
      <c r="AK117" s="493"/>
      <c r="AL117" s="493"/>
      <c r="AM117" s="205"/>
      <c r="AN117" s="176"/>
    </row>
    <row r="118" ht="14.25" customHeight="1" outlineLevel="2">
      <c r="A118" s="884"/>
      <c r="B118" s="162"/>
      <c r="C118" s="162"/>
      <c r="D118" s="100"/>
      <c r="E118" s="412" t="s">
        <v>3285</v>
      </c>
      <c r="F118" s="433" t="s">
        <v>261</v>
      </c>
      <c r="G118" s="123" t="s">
        <v>3286</v>
      </c>
      <c r="H118" s="254"/>
      <c r="I118" s="254"/>
      <c r="J118" s="254"/>
      <c r="K118" s="254"/>
      <c r="L118" s="254"/>
      <c r="M118" s="254"/>
      <c r="N118" s="254"/>
      <c r="O118" s="254"/>
      <c r="P118" s="254"/>
      <c r="Q118" s="254"/>
      <c r="R118" s="254"/>
      <c r="S118" s="254"/>
      <c r="T118" s="254"/>
      <c r="U118" s="254"/>
      <c r="V118" s="254"/>
      <c r="W118" s="279">
        <v>0.78</v>
      </c>
      <c r="X118" s="254">
        <v>0.78</v>
      </c>
      <c r="Y118" s="254">
        <v>0.78</v>
      </c>
      <c r="Z118" s="254">
        <v>0.78</v>
      </c>
      <c r="AA118" s="254">
        <v>0.78</v>
      </c>
      <c r="AB118" s="279">
        <v>0.78</v>
      </c>
      <c r="AC118" s="279">
        <v>0.78</v>
      </c>
      <c r="AD118" s="279">
        <v>0.78</v>
      </c>
      <c r="AE118" s="279">
        <v>0.78</v>
      </c>
      <c r="AF118" s="279">
        <v>0.78</v>
      </c>
      <c r="AG118" s="279">
        <v>0.78</v>
      </c>
      <c r="AH118" s="279">
        <v>0.78</v>
      </c>
      <c r="AI118" s="493"/>
      <c r="AJ118" s="493"/>
      <c r="AK118" s="493"/>
      <c r="AL118" s="493"/>
      <c r="AM118" s="494"/>
      <c r="AN118" s="176"/>
    </row>
    <row r="119" ht="14.25" customHeight="1" outlineLevel="1">
      <c r="A119" s="492" t="s">
        <v>3287</v>
      </c>
      <c r="B119" s="162"/>
      <c r="C119" s="100"/>
      <c r="D119" s="100"/>
      <c r="E119" s="100"/>
      <c r="F119" s="869"/>
      <c r="G119" s="869"/>
      <c r="H119" s="208"/>
      <c r="I119" s="208"/>
      <c r="J119" s="208"/>
      <c r="K119" s="208"/>
      <c r="L119" s="208"/>
      <c r="M119" s="208"/>
      <c r="N119" s="208"/>
      <c r="O119" s="208"/>
      <c r="P119" s="208"/>
      <c r="Q119" s="208"/>
      <c r="R119" s="208"/>
      <c r="S119" s="208"/>
      <c r="T119" s="208"/>
      <c r="U119" s="208"/>
      <c r="V119" s="208"/>
      <c r="W119" s="208"/>
      <c r="X119" s="208"/>
      <c r="Y119" s="208"/>
      <c r="Z119" s="208"/>
      <c r="AA119" s="208"/>
      <c r="AB119" s="208"/>
      <c r="AC119" s="208"/>
      <c r="AD119" s="208"/>
      <c r="AE119" s="208"/>
      <c r="AF119" s="208"/>
      <c r="AG119" s="208"/>
      <c r="AH119" s="208"/>
      <c r="AI119" s="271"/>
      <c r="AJ119" s="271"/>
      <c r="AK119" s="271"/>
      <c r="AL119" s="271"/>
      <c r="AM119" s="271"/>
      <c r="AN119" s="176"/>
    </row>
    <row r="120" ht="14.25" customHeight="1" outlineLevel="2">
      <c r="A120" s="884"/>
      <c r="B120" s="162"/>
      <c r="C120" s="162"/>
      <c r="D120" s="100"/>
      <c r="E120" s="122" t="s">
        <v>3288</v>
      </c>
      <c r="F120" s="433" t="s">
        <v>135</v>
      </c>
      <c r="G120" s="123" t="s">
        <v>3289</v>
      </c>
      <c r="H120" s="181">
        <v>0.0</v>
      </c>
      <c r="I120" s="181">
        <v>0.0</v>
      </c>
      <c r="J120" s="181">
        <v>0.0</v>
      </c>
      <c r="K120" s="181">
        <v>0.0</v>
      </c>
      <c r="L120" s="181">
        <v>0.0</v>
      </c>
      <c r="M120" s="181">
        <v>0.0</v>
      </c>
      <c r="N120" s="181">
        <v>0.0</v>
      </c>
      <c r="O120" s="181">
        <v>0.0</v>
      </c>
      <c r="P120" s="181">
        <v>0.0</v>
      </c>
      <c r="Q120" s="181">
        <v>0.0</v>
      </c>
      <c r="R120" s="181">
        <v>0.0</v>
      </c>
      <c r="S120" s="181">
        <v>0.0</v>
      </c>
      <c r="T120" s="181">
        <v>0.0</v>
      </c>
      <c r="U120" s="181">
        <v>0.0</v>
      </c>
      <c r="V120" s="181">
        <v>0.0</v>
      </c>
      <c r="W120" s="182">
        <v>0.0</v>
      </c>
      <c r="X120" s="181"/>
      <c r="Y120" s="181"/>
      <c r="Z120" s="181"/>
      <c r="AA120" s="181"/>
      <c r="AB120" s="182">
        <v>0.0</v>
      </c>
      <c r="AC120" s="182">
        <v>0.0</v>
      </c>
      <c r="AD120" s="182">
        <v>0.329177140386699</v>
      </c>
      <c r="AE120" s="182">
        <v>0.873820304736185</v>
      </c>
      <c r="AF120" s="182">
        <v>1.64429076041307</v>
      </c>
      <c r="AG120" s="182">
        <v>2.36216509498961</v>
      </c>
      <c r="AH120" s="182">
        <v>3.17124104452935</v>
      </c>
      <c r="AI120" s="493"/>
      <c r="AJ120" s="493"/>
      <c r="AK120" s="493"/>
      <c r="AL120" s="493"/>
      <c r="AM120" s="205"/>
      <c r="AN120" s="176"/>
    </row>
    <row r="121" ht="14.25" customHeight="1" outlineLevel="2">
      <c r="A121" s="884"/>
      <c r="B121" s="162"/>
      <c r="C121" s="162"/>
      <c r="D121" s="100"/>
      <c r="E121" s="412" t="s">
        <v>3290</v>
      </c>
      <c r="F121" s="433" t="s">
        <v>261</v>
      </c>
      <c r="G121" s="123" t="s">
        <v>3291</v>
      </c>
      <c r="H121" s="254"/>
      <c r="I121" s="254"/>
      <c r="J121" s="254"/>
      <c r="K121" s="254"/>
      <c r="L121" s="254"/>
      <c r="M121" s="254"/>
      <c r="N121" s="254"/>
      <c r="O121" s="254"/>
      <c r="P121" s="254"/>
      <c r="Q121" s="254"/>
      <c r="R121" s="254"/>
      <c r="S121" s="254"/>
      <c r="T121" s="254"/>
      <c r="U121" s="254"/>
      <c r="V121" s="254"/>
      <c r="W121" s="279">
        <v>0.5304</v>
      </c>
      <c r="X121" s="254">
        <v>0.0</v>
      </c>
      <c r="Y121" s="254">
        <v>0.0</v>
      </c>
      <c r="Z121" s="254">
        <v>0.0</v>
      </c>
      <c r="AA121" s="254">
        <v>0.0</v>
      </c>
      <c r="AB121" s="279">
        <v>0.5304</v>
      </c>
      <c r="AC121" s="279">
        <v>0.5382</v>
      </c>
      <c r="AD121" s="279">
        <v>0.546</v>
      </c>
      <c r="AE121" s="279">
        <v>0.5538</v>
      </c>
      <c r="AF121" s="279">
        <v>0.5616</v>
      </c>
      <c r="AG121" s="279">
        <v>0.5694</v>
      </c>
      <c r="AH121" s="279">
        <v>0.5772</v>
      </c>
      <c r="AI121" s="493"/>
      <c r="AJ121" s="493"/>
      <c r="AK121" s="493"/>
      <c r="AL121" s="493"/>
      <c r="AM121" s="494"/>
      <c r="AN121" s="176"/>
    </row>
    <row r="122" ht="9.75" customHeight="1">
      <c r="A122" s="166"/>
      <c r="B122" s="167"/>
      <c r="C122" s="167"/>
      <c r="D122" s="167"/>
      <c r="E122" s="167"/>
      <c r="F122" s="168"/>
      <c r="G122" s="168"/>
      <c r="H122" s="169"/>
      <c r="I122" s="169"/>
      <c r="J122" s="169"/>
      <c r="K122" s="169"/>
      <c r="L122" s="169"/>
      <c r="M122" s="169"/>
      <c r="N122" s="169"/>
      <c r="O122" s="169"/>
      <c r="P122" s="169"/>
      <c r="Q122" s="169"/>
      <c r="R122" s="169"/>
      <c r="S122" s="169"/>
      <c r="T122" s="169"/>
      <c r="U122" s="169"/>
      <c r="V122" s="169"/>
      <c r="W122" s="169"/>
      <c r="X122" s="169"/>
      <c r="Y122" s="169"/>
      <c r="Z122" s="169"/>
      <c r="AA122" s="169"/>
      <c r="AB122" s="169"/>
      <c r="AC122" s="169"/>
      <c r="AD122" s="169"/>
      <c r="AE122" s="169"/>
      <c r="AF122" s="169"/>
      <c r="AG122" s="169"/>
      <c r="AH122" s="169"/>
      <c r="AI122" s="448"/>
      <c r="AJ122" s="448"/>
      <c r="AK122" s="448"/>
      <c r="AL122" s="448"/>
      <c r="AM122" s="448"/>
      <c r="AN122" s="102"/>
    </row>
    <row r="123" ht="14.25" customHeight="1">
      <c r="A123" s="196" t="s">
        <v>45</v>
      </c>
      <c r="B123" s="197"/>
      <c r="C123" s="197"/>
      <c r="D123" s="197"/>
      <c r="E123" s="197"/>
      <c r="F123" s="197"/>
      <c r="G123" s="197"/>
      <c r="H123" s="198"/>
      <c r="I123" s="198"/>
      <c r="J123" s="198"/>
      <c r="K123" s="198"/>
      <c r="L123" s="198"/>
      <c r="M123" s="198"/>
      <c r="N123" s="198"/>
      <c r="O123" s="198"/>
      <c r="P123" s="198"/>
      <c r="Q123" s="198"/>
      <c r="R123" s="198"/>
      <c r="S123" s="198"/>
      <c r="T123" s="198"/>
      <c r="U123" s="198"/>
      <c r="V123" s="198"/>
      <c r="W123" s="198"/>
      <c r="X123" s="198"/>
      <c r="Y123" s="198"/>
      <c r="Z123" s="198"/>
      <c r="AA123" s="198"/>
      <c r="AB123" s="198"/>
      <c r="AC123" s="198"/>
      <c r="AD123" s="198"/>
      <c r="AE123" s="198"/>
      <c r="AF123" s="198"/>
      <c r="AG123" s="198"/>
      <c r="AH123" s="198"/>
      <c r="AI123" s="199"/>
      <c r="AJ123" s="199"/>
      <c r="AK123" s="199"/>
      <c r="AL123" s="199"/>
      <c r="AM123" s="199"/>
      <c r="AN123" s="176"/>
    </row>
    <row r="124" ht="14.25" customHeight="1" outlineLevel="1">
      <c r="A124" s="492" t="s">
        <v>3292</v>
      </c>
      <c r="B124" s="195"/>
      <c r="C124" s="100"/>
      <c r="D124" s="100"/>
      <c r="E124" s="100"/>
      <c r="F124" s="869"/>
      <c r="G124" s="869"/>
      <c r="H124" s="208"/>
      <c r="I124" s="208"/>
      <c r="J124" s="208"/>
      <c r="K124" s="208"/>
      <c r="L124" s="208"/>
      <c r="M124" s="208"/>
      <c r="N124" s="208"/>
      <c r="O124" s="208"/>
      <c r="P124" s="208"/>
      <c r="Q124" s="208"/>
      <c r="R124" s="208"/>
      <c r="S124" s="208"/>
      <c r="T124" s="208"/>
      <c r="U124" s="208"/>
      <c r="V124" s="208"/>
      <c r="W124" s="208"/>
      <c r="X124" s="208"/>
      <c r="Y124" s="208"/>
      <c r="Z124" s="208"/>
      <c r="AA124" s="208"/>
      <c r="AB124" s="208"/>
      <c r="AC124" s="208"/>
      <c r="AD124" s="208"/>
      <c r="AE124" s="208"/>
      <c r="AF124" s="208"/>
      <c r="AG124" s="208"/>
      <c r="AH124" s="208"/>
      <c r="AI124" s="271"/>
      <c r="AJ124" s="271"/>
      <c r="AK124" s="271"/>
      <c r="AL124" s="271"/>
      <c r="AM124" s="271"/>
      <c r="AN124" s="176"/>
    </row>
    <row r="125" ht="14.25" customHeight="1" outlineLevel="3">
      <c r="A125" s="492"/>
      <c r="B125" s="872" t="s">
        <v>3293</v>
      </c>
      <c r="C125" s="873"/>
      <c r="D125" s="874"/>
      <c r="E125" s="885"/>
      <c r="F125" s="869"/>
      <c r="G125" s="869"/>
      <c r="H125" s="208"/>
      <c r="I125" s="208"/>
      <c r="J125" s="208"/>
      <c r="K125" s="208"/>
      <c r="L125" s="208"/>
      <c r="M125" s="208"/>
      <c r="N125" s="208"/>
      <c r="O125" s="208"/>
      <c r="P125" s="208"/>
      <c r="Q125" s="208"/>
      <c r="R125" s="208"/>
      <c r="S125" s="208"/>
      <c r="T125" s="208"/>
      <c r="U125" s="208"/>
      <c r="V125" s="208"/>
      <c r="W125" s="208"/>
      <c r="X125" s="208"/>
      <c r="Y125" s="208"/>
      <c r="Z125" s="208"/>
      <c r="AA125" s="208"/>
      <c r="AB125" s="208"/>
      <c r="AC125" s="208"/>
      <c r="AD125" s="208"/>
      <c r="AE125" s="208"/>
      <c r="AF125" s="208"/>
      <c r="AG125" s="208"/>
      <c r="AH125" s="208"/>
      <c r="AI125" s="271"/>
      <c r="AJ125" s="271"/>
      <c r="AK125" s="271"/>
      <c r="AL125" s="271"/>
      <c r="AM125" s="271"/>
      <c r="AN125" s="176"/>
    </row>
    <row r="126" ht="14.25" customHeight="1" outlineLevel="4">
      <c r="A126" s="492"/>
      <c r="B126" s="874"/>
      <c r="C126" s="873"/>
      <c r="D126" s="886"/>
      <c r="E126" s="122" t="s">
        <v>3294</v>
      </c>
      <c r="F126" s="433" t="s">
        <v>261</v>
      </c>
      <c r="G126" s="123" t="s">
        <v>3295</v>
      </c>
      <c r="H126" s="254"/>
      <c r="I126" s="254"/>
      <c r="J126" s="254"/>
      <c r="K126" s="254"/>
      <c r="L126" s="254"/>
      <c r="M126" s="254"/>
      <c r="N126" s="254"/>
      <c r="O126" s="254"/>
      <c r="P126" s="254"/>
      <c r="Q126" s="254"/>
      <c r="R126" s="254"/>
      <c r="S126" s="254"/>
      <c r="T126" s="254"/>
      <c r="U126" s="254"/>
      <c r="V126" s="254"/>
      <c r="W126" s="887">
        <f>W127+W128</f>
        <v>0.078</v>
      </c>
      <c r="X126" s="254"/>
      <c r="Y126" s="254"/>
      <c r="Z126" s="254"/>
      <c r="AA126" s="254"/>
      <c r="AB126" s="887">
        <f t="shared" ref="AB126:AH126" si="22">AB127+AB128</f>
        <v>0.079</v>
      </c>
      <c r="AC126" s="887">
        <f t="shared" si="22"/>
        <v>0.08</v>
      </c>
      <c r="AD126" s="887">
        <f t="shared" si="22"/>
        <v>0.08</v>
      </c>
      <c r="AE126" s="887">
        <f t="shared" si="22"/>
        <v>0.08</v>
      </c>
      <c r="AF126" s="887">
        <f t="shared" si="22"/>
        <v>0.08</v>
      </c>
      <c r="AG126" s="887">
        <f t="shared" si="22"/>
        <v>0.08</v>
      </c>
      <c r="AH126" s="887">
        <f t="shared" si="22"/>
        <v>0.08</v>
      </c>
      <c r="AI126" s="493"/>
      <c r="AJ126" s="493"/>
      <c r="AK126" s="493"/>
      <c r="AL126" s="493"/>
      <c r="AM126" s="494"/>
      <c r="AN126" s="176"/>
    </row>
    <row r="127" ht="14.25" customHeight="1" outlineLevel="4">
      <c r="A127" s="492"/>
      <c r="B127" s="874"/>
      <c r="C127" s="873"/>
      <c r="D127" s="886"/>
      <c r="E127" s="122" t="s">
        <v>3296</v>
      </c>
      <c r="F127" s="433" t="s">
        <v>261</v>
      </c>
      <c r="G127" s="123" t="s">
        <v>3297</v>
      </c>
      <c r="H127" s="254"/>
      <c r="I127" s="254"/>
      <c r="J127" s="254"/>
      <c r="K127" s="254"/>
      <c r="L127" s="254"/>
      <c r="M127" s="254"/>
      <c r="N127" s="254"/>
      <c r="O127" s="254"/>
      <c r="P127" s="254"/>
      <c r="Q127" s="254"/>
      <c r="R127" s="254"/>
      <c r="S127" s="254"/>
      <c r="T127" s="254"/>
      <c r="U127" s="254"/>
      <c r="V127" s="254"/>
      <c r="W127" s="256">
        <v>0.013</v>
      </c>
      <c r="X127" s="254"/>
      <c r="Y127" s="254"/>
      <c r="Z127" s="254"/>
      <c r="AA127" s="254"/>
      <c r="AB127" s="256">
        <v>0.014</v>
      </c>
      <c r="AC127" s="256">
        <v>0.015</v>
      </c>
      <c r="AD127" s="256">
        <v>0.015</v>
      </c>
      <c r="AE127" s="256">
        <v>0.015</v>
      </c>
      <c r="AF127" s="256">
        <v>0.015</v>
      </c>
      <c r="AG127" s="256">
        <v>0.015</v>
      </c>
      <c r="AH127" s="256">
        <v>0.015</v>
      </c>
      <c r="AI127" s="493"/>
      <c r="AJ127" s="493"/>
      <c r="AK127" s="493"/>
      <c r="AL127" s="493"/>
      <c r="AM127" s="494"/>
      <c r="AN127" s="176"/>
    </row>
    <row r="128" ht="14.25" customHeight="1" outlineLevel="4">
      <c r="A128" s="492"/>
      <c r="B128" s="874"/>
      <c r="C128" s="873"/>
      <c r="D128" s="886"/>
      <c r="E128" s="122" t="s">
        <v>3298</v>
      </c>
      <c r="F128" s="433" t="s">
        <v>261</v>
      </c>
      <c r="G128" s="123" t="s">
        <v>3299</v>
      </c>
      <c r="H128" s="254"/>
      <c r="I128" s="254"/>
      <c r="J128" s="254"/>
      <c r="K128" s="254"/>
      <c r="L128" s="254"/>
      <c r="M128" s="254"/>
      <c r="N128" s="254"/>
      <c r="O128" s="254"/>
      <c r="P128" s="254"/>
      <c r="Q128" s="254"/>
      <c r="R128" s="254"/>
      <c r="S128" s="254"/>
      <c r="T128" s="254"/>
      <c r="U128" s="254"/>
      <c r="V128" s="254"/>
      <c r="W128" s="256">
        <v>0.065</v>
      </c>
      <c r="X128" s="254"/>
      <c r="Y128" s="254"/>
      <c r="Z128" s="254"/>
      <c r="AA128" s="254"/>
      <c r="AB128" s="256">
        <v>0.065</v>
      </c>
      <c r="AC128" s="256">
        <v>0.065</v>
      </c>
      <c r="AD128" s="256">
        <v>0.065</v>
      </c>
      <c r="AE128" s="256">
        <v>0.065</v>
      </c>
      <c r="AF128" s="256">
        <v>0.065</v>
      </c>
      <c r="AG128" s="256">
        <v>0.065</v>
      </c>
      <c r="AH128" s="256">
        <v>0.065</v>
      </c>
      <c r="AI128" s="493"/>
      <c r="AJ128" s="493"/>
      <c r="AK128" s="493"/>
      <c r="AL128" s="493"/>
      <c r="AM128" s="494"/>
      <c r="AN128" s="176"/>
    </row>
    <row r="129" ht="14.25" customHeight="1" outlineLevel="4">
      <c r="A129" s="492"/>
      <c r="B129" s="874"/>
      <c r="C129" s="873"/>
      <c r="D129" s="886"/>
      <c r="E129" s="122" t="s">
        <v>3300</v>
      </c>
      <c r="F129" s="433" t="s">
        <v>261</v>
      </c>
      <c r="G129" s="123" t="s">
        <v>3301</v>
      </c>
      <c r="H129" s="254"/>
      <c r="I129" s="254"/>
      <c r="J129" s="254"/>
      <c r="K129" s="254"/>
      <c r="L129" s="254"/>
      <c r="M129" s="254"/>
      <c r="N129" s="254"/>
      <c r="O129" s="254"/>
      <c r="P129" s="254"/>
      <c r="Q129" s="254"/>
      <c r="R129" s="254"/>
      <c r="S129" s="254"/>
      <c r="T129" s="254"/>
      <c r="U129" s="254"/>
      <c r="V129" s="254"/>
      <c r="W129" s="256"/>
      <c r="X129" s="254"/>
      <c r="Y129" s="254"/>
      <c r="Z129" s="254"/>
      <c r="AA129" s="254"/>
      <c r="AB129" s="256"/>
      <c r="AC129" s="256"/>
      <c r="AD129" s="256"/>
      <c r="AE129" s="256"/>
      <c r="AF129" s="256"/>
      <c r="AG129" s="256"/>
      <c r="AH129" s="256"/>
      <c r="AI129" s="493"/>
      <c r="AJ129" s="493"/>
      <c r="AK129" s="493"/>
      <c r="AL129" s="493"/>
      <c r="AM129" s="494"/>
      <c r="AN129" s="176"/>
    </row>
    <row r="130" ht="14.25" customHeight="1" outlineLevel="1">
      <c r="A130" s="492" t="s">
        <v>181</v>
      </c>
      <c r="B130" s="874"/>
      <c r="C130" s="873"/>
      <c r="D130" s="874"/>
      <c r="E130" s="100"/>
      <c r="F130" s="869"/>
      <c r="G130" s="869"/>
      <c r="H130" s="208"/>
      <c r="I130" s="208"/>
      <c r="J130" s="208"/>
      <c r="K130" s="208"/>
      <c r="L130" s="208"/>
      <c r="M130" s="208"/>
      <c r="N130" s="208"/>
      <c r="O130" s="208"/>
      <c r="P130" s="208"/>
      <c r="Q130" s="208"/>
      <c r="R130" s="208"/>
      <c r="S130" s="208"/>
      <c r="T130" s="208"/>
      <c r="U130" s="208"/>
      <c r="V130" s="208"/>
      <c r="W130" s="208"/>
      <c r="X130" s="208"/>
      <c r="Y130" s="208"/>
      <c r="Z130" s="208"/>
      <c r="AA130" s="208"/>
      <c r="AB130" s="208"/>
      <c r="AC130" s="208"/>
      <c r="AD130" s="208"/>
      <c r="AE130" s="208"/>
      <c r="AF130" s="208"/>
      <c r="AG130" s="208"/>
      <c r="AH130" s="208"/>
      <c r="AI130" s="271"/>
      <c r="AJ130" s="271"/>
      <c r="AK130" s="271"/>
      <c r="AL130" s="271"/>
      <c r="AM130" s="271"/>
      <c r="AN130" s="176"/>
    </row>
    <row r="131" ht="14.25" customHeight="1" outlineLevel="2">
      <c r="A131" s="492"/>
      <c r="B131" s="872" t="s">
        <v>3293</v>
      </c>
      <c r="C131" s="873"/>
      <c r="D131" s="874"/>
      <c r="E131" s="100"/>
      <c r="F131" s="869"/>
      <c r="G131" s="869"/>
      <c r="H131" s="208"/>
      <c r="I131" s="208"/>
      <c r="J131" s="208"/>
      <c r="K131" s="208"/>
      <c r="L131" s="208"/>
      <c r="M131" s="208"/>
      <c r="N131" s="208"/>
      <c r="O131" s="208"/>
      <c r="P131" s="208"/>
      <c r="Q131" s="208"/>
      <c r="R131" s="208"/>
      <c r="S131" s="208"/>
      <c r="T131" s="208"/>
      <c r="U131" s="208"/>
      <c r="V131" s="208"/>
      <c r="W131" s="208"/>
      <c r="X131" s="208"/>
      <c r="Y131" s="208"/>
      <c r="Z131" s="208"/>
      <c r="AA131" s="208"/>
      <c r="AB131" s="208"/>
      <c r="AC131" s="208"/>
      <c r="AD131" s="208"/>
      <c r="AE131" s="208"/>
      <c r="AF131" s="208"/>
      <c r="AG131" s="208"/>
      <c r="AH131" s="208"/>
      <c r="AI131" s="271"/>
      <c r="AJ131" s="271"/>
      <c r="AK131" s="271"/>
      <c r="AL131" s="271"/>
      <c r="AM131" s="271"/>
      <c r="AN131" s="176"/>
    </row>
    <row r="132" ht="14.25" customHeight="1" outlineLevel="2">
      <c r="A132" s="492"/>
      <c r="B132" s="873"/>
      <c r="C132" s="874"/>
      <c r="D132" s="886"/>
      <c r="E132" s="122" t="s">
        <v>3302</v>
      </c>
      <c r="F132" s="433" t="s">
        <v>261</v>
      </c>
      <c r="G132" s="123" t="s">
        <v>3303</v>
      </c>
      <c r="H132" s="254"/>
      <c r="I132" s="254"/>
      <c r="J132" s="254"/>
      <c r="K132" s="254"/>
      <c r="L132" s="254"/>
      <c r="M132" s="254"/>
      <c r="N132" s="254"/>
      <c r="O132" s="254"/>
      <c r="P132" s="254"/>
      <c r="Q132" s="254"/>
      <c r="R132" s="254"/>
      <c r="S132" s="254"/>
      <c r="T132" s="254"/>
      <c r="U132" s="254"/>
      <c r="V132" s="254"/>
      <c r="W132" s="256">
        <v>0.00181020166014936</v>
      </c>
      <c r="X132" s="254"/>
      <c r="Y132" s="254"/>
      <c r="Z132" s="254"/>
      <c r="AA132" s="254"/>
      <c r="AB132" s="256">
        <v>0.00181020166014936</v>
      </c>
      <c r="AC132" s="256">
        <v>0.00181020166014936</v>
      </c>
      <c r="AD132" s="256">
        <v>0.00181020166014936</v>
      </c>
      <c r="AE132" s="256">
        <v>0.00181020166014936</v>
      </c>
      <c r="AF132" s="256">
        <v>0.00181020166014936</v>
      </c>
      <c r="AG132" s="256">
        <v>0.00181020166014936</v>
      </c>
      <c r="AH132" s="256">
        <v>0.00181020166014936</v>
      </c>
      <c r="AI132" s="493"/>
      <c r="AJ132" s="493"/>
      <c r="AK132" s="493"/>
      <c r="AL132" s="493"/>
      <c r="AM132" s="494"/>
      <c r="AN132" s="176"/>
    </row>
    <row r="133" ht="14.25" customHeight="1" outlineLevel="1">
      <c r="A133" s="492" t="s">
        <v>3304</v>
      </c>
      <c r="B133" s="873"/>
      <c r="C133" s="874"/>
      <c r="D133" s="874"/>
      <c r="E133" s="100"/>
      <c r="F133" s="869"/>
      <c r="G133" s="869"/>
      <c r="H133" s="208"/>
      <c r="I133" s="208"/>
      <c r="J133" s="208"/>
      <c r="K133" s="208"/>
      <c r="L133" s="208"/>
      <c r="M133" s="208"/>
      <c r="N133" s="208"/>
      <c r="O133" s="208"/>
      <c r="P133" s="208"/>
      <c r="Q133" s="208"/>
      <c r="R133" s="208"/>
      <c r="S133" s="208"/>
      <c r="T133" s="208"/>
      <c r="U133" s="208"/>
      <c r="V133" s="208"/>
      <c r="W133" s="208"/>
      <c r="X133" s="208"/>
      <c r="Y133" s="208"/>
      <c r="Z133" s="208"/>
      <c r="AA133" s="208"/>
      <c r="AB133" s="208"/>
      <c r="AC133" s="208"/>
      <c r="AD133" s="208"/>
      <c r="AE133" s="208"/>
      <c r="AF133" s="208"/>
      <c r="AG133" s="208"/>
      <c r="AH133" s="208"/>
      <c r="AI133" s="271"/>
      <c r="AJ133" s="271"/>
      <c r="AK133" s="271"/>
      <c r="AL133" s="271"/>
      <c r="AM133" s="271"/>
      <c r="AN133" s="176"/>
    </row>
    <row r="134" ht="14.25" customHeight="1" outlineLevel="2">
      <c r="A134" s="888"/>
      <c r="B134" s="872" t="s">
        <v>3305</v>
      </c>
      <c r="C134" s="874"/>
      <c r="D134" s="873"/>
      <c r="E134" s="100"/>
      <c r="F134" s="869"/>
      <c r="G134" s="869"/>
      <c r="H134" s="208"/>
      <c r="I134" s="208"/>
      <c r="J134" s="208"/>
      <c r="K134" s="208"/>
      <c r="L134" s="208"/>
      <c r="M134" s="208"/>
      <c r="N134" s="208"/>
      <c r="O134" s="208"/>
      <c r="P134" s="208"/>
      <c r="Q134" s="208"/>
      <c r="R134" s="208"/>
      <c r="S134" s="208"/>
      <c r="T134" s="208"/>
      <c r="U134" s="208"/>
      <c r="V134" s="208"/>
      <c r="W134" s="208"/>
      <c r="X134" s="208"/>
      <c r="Y134" s="208"/>
      <c r="Z134" s="208"/>
      <c r="AA134" s="208"/>
      <c r="AB134" s="208"/>
      <c r="AC134" s="208"/>
      <c r="AD134" s="208"/>
      <c r="AE134" s="208"/>
      <c r="AF134" s="208"/>
      <c r="AG134" s="208"/>
      <c r="AH134" s="208"/>
      <c r="AI134" s="271"/>
      <c r="AJ134" s="271"/>
      <c r="AK134" s="271"/>
      <c r="AL134" s="271"/>
      <c r="AM134" s="271"/>
      <c r="AN134" s="176"/>
    </row>
    <row r="135" ht="14.25" customHeight="1" outlineLevel="3">
      <c r="A135" s="888"/>
      <c r="B135" s="874"/>
      <c r="C135" s="872" t="s">
        <v>3306</v>
      </c>
      <c r="D135" s="873"/>
      <c r="E135" s="100"/>
      <c r="F135" s="869"/>
      <c r="G135" s="869"/>
      <c r="H135" s="208"/>
      <c r="I135" s="208"/>
      <c r="J135" s="208"/>
      <c r="K135" s="208"/>
      <c r="L135" s="208"/>
      <c r="M135" s="208"/>
      <c r="N135" s="208"/>
      <c r="O135" s="208"/>
      <c r="P135" s="208"/>
      <c r="Q135" s="208"/>
      <c r="R135" s="208"/>
      <c r="S135" s="208"/>
      <c r="T135" s="208"/>
      <c r="U135" s="208"/>
      <c r="V135" s="208"/>
      <c r="W135" s="208"/>
      <c r="X135" s="208"/>
      <c r="Y135" s="208"/>
      <c r="Z135" s="208"/>
      <c r="AA135" s="208"/>
      <c r="AB135" s="208"/>
      <c r="AC135" s="208"/>
      <c r="AD135" s="208"/>
      <c r="AE135" s="208"/>
      <c r="AF135" s="208"/>
      <c r="AG135" s="208"/>
      <c r="AH135" s="208"/>
      <c r="AI135" s="271"/>
      <c r="AJ135" s="271"/>
      <c r="AK135" s="271"/>
      <c r="AL135" s="271"/>
      <c r="AM135" s="271"/>
      <c r="AN135" s="176"/>
    </row>
    <row r="136" ht="14.25" customHeight="1" outlineLevel="4">
      <c r="A136" s="888"/>
      <c r="B136" s="874"/>
      <c r="C136" s="872"/>
      <c r="D136" s="872" t="s">
        <v>3307</v>
      </c>
      <c r="E136" s="195"/>
      <c r="F136" s="869"/>
      <c r="G136" s="869"/>
      <c r="H136" s="208"/>
      <c r="I136" s="208"/>
      <c r="J136" s="208"/>
      <c r="K136" s="208"/>
      <c r="L136" s="208"/>
      <c r="M136" s="208"/>
      <c r="N136" s="208"/>
      <c r="O136" s="208"/>
      <c r="P136" s="208"/>
      <c r="Q136" s="208"/>
      <c r="R136" s="208"/>
      <c r="S136" s="208"/>
      <c r="T136" s="208"/>
      <c r="U136" s="208"/>
      <c r="V136" s="208"/>
      <c r="W136" s="208"/>
      <c r="X136" s="208"/>
      <c r="Y136" s="208"/>
      <c r="Z136" s="208"/>
      <c r="AA136" s="208"/>
      <c r="AB136" s="208"/>
      <c r="AC136" s="208"/>
      <c r="AD136" s="208"/>
      <c r="AE136" s="208"/>
      <c r="AF136" s="208"/>
      <c r="AG136" s="208"/>
      <c r="AH136" s="208"/>
      <c r="AI136" s="271"/>
      <c r="AJ136" s="271"/>
      <c r="AK136" s="271"/>
      <c r="AL136" s="271"/>
      <c r="AM136" s="271"/>
      <c r="AN136" s="176"/>
    </row>
    <row r="137" ht="14.25" customHeight="1" outlineLevel="1">
      <c r="A137" s="489"/>
      <c r="B137" s="162"/>
      <c r="C137" s="100"/>
      <c r="D137" s="490"/>
      <c r="E137" s="122" t="s">
        <v>3308</v>
      </c>
      <c r="F137" s="433" t="s">
        <v>135</v>
      </c>
      <c r="G137" s="123" t="s">
        <v>3309</v>
      </c>
      <c r="H137" s="478">
        <f t="shared" ref="H137:AH137" si="23">H138+H139</f>
        <v>0</v>
      </c>
      <c r="I137" s="478">
        <f t="shared" si="23"/>
        <v>0</v>
      </c>
      <c r="J137" s="478">
        <f t="shared" si="23"/>
        <v>0</v>
      </c>
      <c r="K137" s="478">
        <f t="shared" si="23"/>
        <v>0</v>
      </c>
      <c r="L137" s="478">
        <f t="shared" si="23"/>
        <v>0</v>
      </c>
      <c r="M137" s="478">
        <f t="shared" si="23"/>
        <v>0</v>
      </c>
      <c r="N137" s="478">
        <f t="shared" si="23"/>
        <v>0</v>
      </c>
      <c r="O137" s="478">
        <f t="shared" si="23"/>
        <v>0</v>
      </c>
      <c r="P137" s="478">
        <f t="shared" si="23"/>
        <v>0</v>
      </c>
      <c r="Q137" s="478">
        <f t="shared" si="23"/>
        <v>0</v>
      </c>
      <c r="R137" s="478">
        <f t="shared" si="23"/>
        <v>0</v>
      </c>
      <c r="S137" s="478">
        <f t="shared" si="23"/>
        <v>0</v>
      </c>
      <c r="T137" s="478">
        <f t="shared" si="23"/>
        <v>0</v>
      </c>
      <c r="U137" s="478">
        <f t="shared" si="23"/>
        <v>0</v>
      </c>
      <c r="V137" s="478">
        <f t="shared" si="23"/>
        <v>0</v>
      </c>
      <c r="W137" s="478">
        <f t="shared" si="23"/>
        <v>0</v>
      </c>
      <c r="X137" s="478">
        <f t="shared" si="23"/>
        <v>0</v>
      </c>
      <c r="Y137" s="478">
        <f t="shared" si="23"/>
        <v>0</v>
      </c>
      <c r="Z137" s="478">
        <f t="shared" si="23"/>
        <v>0</v>
      </c>
      <c r="AA137" s="478">
        <f t="shared" si="23"/>
        <v>0</v>
      </c>
      <c r="AB137" s="478">
        <f t="shared" si="23"/>
        <v>0.5</v>
      </c>
      <c r="AC137" s="478">
        <f t="shared" si="23"/>
        <v>1</v>
      </c>
      <c r="AD137" s="478">
        <f t="shared" si="23"/>
        <v>2</v>
      </c>
      <c r="AE137" s="478">
        <f t="shared" si="23"/>
        <v>6</v>
      </c>
      <c r="AF137" s="478">
        <f t="shared" si="23"/>
        <v>6</v>
      </c>
      <c r="AG137" s="478">
        <f t="shared" si="23"/>
        <v>6</v>
      </c>
      <c r="AH137" s="478">
        <f t="shared" si="23"/>
        <v>6</v>
      </c>
      <c r="AI137" s="204"/>
      <c r="AJ137" s="204"/>
      <c r="AK137" s="204"/>
      <c r="AL137" s="204"/>
      <c r="AM137" s="165"/>
      <c r="AN137" s="102"/>
    </row>
    <row r="138" ht="14.25" customHeight="1" outlineLevel="4">
      <c r="A138" s="888"/>
      <c r="B138" s="874"/>
      <c r="C138" s="886"/>
      <c r="D138" s="873"/>
      <c r="E138" s="122" t="s">
        <v>3310</v>
      </c>
      <c r="F138" s="433" t="s">
        <v>135</v>
      </c>
      <c r="G138" s="123" t="s">
        <v>3311</v>
      </c>
      <c r="H138" s="181"/>
      <c r="I138" s="181"/>
      <c r="J138" s="181"/>
      <c r="K138" s="181"/>
      <c r="L138" s="181"/>
      <c r="M138" s="181"/>
      <c r="N138" s="181"/>
      <c r="O138" s="181"/>
      <c r="P138" s="181"/>
      <c r="Q138" s="181"/>
      <c r="R138" s="181"/>
      <c r="S138" s="181"/>
      <c r="T138" s="181"/>
      <c r="U138" s="181"/>
      <c r="V138" s="181"/>
      <c r="W138" s="182"/>
      <c r="X138" s="181"/>
      <c r="Y138" s="181"/>
      <c r="Z138" s="181"/>
      <c r="AA138" s="181"/>
      <c r="AB138" s="182"/>
      <c r="AC138" s="182"/>
      <c r="AD138" s="182"/>
      <c r="AE138" s="182"/>
      <c r="AF138" s="182"/>
      <c r="AG138" s="182"/>
      <c r="AH138" s="184"/>
      <c r="AI138" s="493"/>
      <c r="AJ138" s="493"/>
      <c r="AK138" s="493"/>
      <c r="AL138" s="493"/>
      <c r="AM138" s="494"/>
      <c r="AN138" s="176"/>
    </row>
    <row r="139" ht="14.25" customHeight="1" outlineLevel="4">
      <c r="A139" s="888"/>
      <c r="B139" s="874"/>
      <c r="C139" s="886"/>
      <c r="D139" s="873"/>
      <c r="E139" s="122" t="s">
        <v>3312</v>
      </c>
      <c r="F139" s="433" t="s">
        <v>135</v>
      </c>
      <c r="G139" s="123" t="s">
        <v>3313</v>
      </c>
      <c r="H139" s="181"/>
      <c r="I139" s="181"/>
      <c r="J139" s="181"/>
      <c r="K139" s="181"/>
      <c r="L139" s="181"/>
      <c r="M139" s="181"/>
      <c r="N139" s="181"/>
      <c r="O139" s="181"/>
      <c r="P139" s="181"/>
      <c r="Q139" s="181"/>
      <c r="R139" s="181"/>
      <c r="S139" s="181"/>
      <c r="T139" s="181"/>
      <c r="U139" s="181"/>
      <c r="V139" s="181"/>
      <c r="W139" s="182">
        <v>0.0</v>
      </c>
      <c r="X139" s="181"/>
      <c r="Y139" s="181"/>
      <c r="Z139" s="181"/>
      <c r="AA139" s="181"/>
      <c r="AB139" s="182">
        <v>0.5</v>
      </c>
      <c r="AC139" s="182">
        <v>1.0</v>
      </c>
      <c r="AD139" s="182">
        <v>2.0</v>
      </c>
      <c r="AE139" s="182">
        <v>6.0</v>
      </c>
      <c r="AF139" s="182">
        <v>6.0</v>
      </c>
      <c r="AG139" s="182">
        <v>6.0</v>
      </c>
      <c r="AH139" s="184">
        <v>6.0</v>
      </c>
      <c r="AI139" s="493"/>
      <c r="AJ139" s="493"/>
      <c r="AK139" s="493"/>
      <c r="AL139" s="493"/>
      <c r="AM139" s="494"/>
      <c r="AN139" s="176"/>
    </row>
    <row r="140" ht="14.25" customHeight="1" outlineLevel="4">
      <c r="A140" s="888"/>
      <c r="B140" s="874"/>
      <c r="C140" s="872"/>
      <c r="D140" s="889" t="s">
        <v>3314</v>
      </c>
      <c r="E140" s="195"/>
      <c r="F140" s="869"/>
      <c r="G140" s="869"/>
      <c r="H140" s="208"/>
      <c r="I140" s="208"/>
      <c r="J140" s="208"/>
      <c r="K140" s="208"/>
      <c r="L140" s="208"/>
      <c r="M140" s="208"/>
      <c r="N140" s="208"/>
      <c r="O140" s="208"/>
      <c r="P140" s="208"/>
      <c r="Q140" s="208"/>
      <c r="R140" s="208"/>
      <c r="S140" s="208"/>
      <c r="T140" s="208"/>
      <c r="U140" s="208"/>
      <c r="V140" s="208"/>
      <c r="W140" s="883"/>
      <c r="X140" s="883"/>
      <c r="Y140" s="883"/>
      <c r="Z140" s="883"/>
      <c r="AA140" s="883"/>
      <c r="AB140" s="883"/>
      <c r="AC140" s="883"/>
      <c r="AD140" s="883"/>
      <c r="AE140" s="883"/>
      <c r="AF140" s="883"/>
      <c r="AG140" s="883"/>
      <c r="AH140" s="883"/>
      <c r="AI140" s="271"/>
      <c r="AJ140" s="271"/>
      <c r="AK140" s="271"/>
      <c r="AL140" s="271"/>
      <c r="AM140" s="271"/>
      <c r="AN140" s="176"/>
    </row>
    <row r="141" ht="14.25" customHeight="1" outlineLevel="4">
      <c r="A141" s="888"/>
      <c r="B141" s="874"/>
      <c r="C141" s="886"/>
      <c r="D141" s="873"/>
      <c r="E141" s="122" t="s">
        <v>3315</v>
      </c>
      <c r="F141" s="433" t="s">
        <v>135</v>
      </c>
      <c r="G141" s="123" t="s">
        <v>3316</v>
      </c>
      <c r="H141" s="181"/>
      <c r="I141" s="181"/>
      <c r="J141" s="181"/>
      <c r="K141" s="181"/>
      <c r="L141" s="181"/>
      <c r="M141" s="181"/>
      <c r="N141" s="181"/>
      <c r="O141" s="181"/>
      <c r="P141" s="181"/>
      <c r="Q141" s="181"/>
      <c r="R141" s="181"/>
      <c r="S141" s="181"/>
      <c r="T141" s="181"/>
      <c r="U141" s="181"/>
      <c r="V141" s="181"/>
      <c r="W141" s="182">
        <v>0.0</v>
      </c>
      <c r="X141" s="181"/>
      <c r="Y141" s="181"/>
      <c r="Z141" s="181"/>
      <c r="AA141" s="181"/>
      <c r="AB141" s="182">
        <v>0.0</v>
      </c>
      <c r="AC141" s="182">
        <v>0.5</v>
      </c>
      <c r="AD141" s="182">
        <v>0.5</v>
      </c>
      <c r="AE141" s="182">
        <v>0.5</v>
      </c>
      <c r="AF141" s="182">
        <v>0.5</v>
      </c>
      <c r="AG141" s="182">
        <v>0.5</v>
      </c>
      <c r="AH141" s="184">
        <v>0.5</v>
      </c>
      <c r="AI141" s="493"/>
      <c r="AJ141" s="493"/>
      <c r="AK141" s="493"/>
      <c r="AL141" s="300"/>
      <c r="AM141" s="494"/>
      <c r="AN141" s="176"/>
    </row>
    <row r="142" ht="14.25" customHeight="1" outlineLevel="4">
      <c r="A142" s="888"/>
      <c r="B142" s="874"/>
      <c r="C142" s="886"/>
      <c r="D142" s="873"/>
      <c r="E142" s="412" t="s">
        <v>3317</v>
      </c>
      <c r="F142" s="433" t="s">
        <v>261</v>
      </c>
      <c r="G142" s="123" t="s">
        <v>3318</v>
      </c>
      <c r="H142" s="254"/>
      <c r="I142" s="254"/>
      <c r="J142" s="254"/>
      <c r="K142" s="254"/>
      <c r="L142" s="254"/>
      <c r="M142" s="254"/>
      <c r="N142" s="254"/>
      <c r="O142" s="254"/>
      <c r="P142" s="254"/>
      <c r="Q142" s="254"/>
      <c r="R142" s="254"/>
      <c r="S142" s="254"/>
      <c r="T142" s="254"/>
      <c r="U142" s="254"/>
      <c r="V142" s="254"/>
      <c r="W142" s="877">
        <v>0.9</v>
      </c>
      <c r="X142" s="878"/>
      <c r="Y142" s="878"/>
      <c r="Z142" s="878"/>
      <c r="AA142" s="878"/>
      <c r="AB142" s="877">
        <v>0.931506849315068</v>
      </c>
      <c r="AC142" s="877">
        <v>0.9</v>
      </c>
      <c r="AD142" s="877">
        <v>0.9</v>
      </c>
      <c r="AE142" s="877">
        <v>0.9</v>
      </c>
      <c r="AF142" s="877">
        <v>0.9</v>
      </c>
      <c r="AG142" s="877">
        <v>0.9</v>
      </c>
      <c r="AH142" s="877">
        <v>0.9</v>
      </c>
      <c r="AI142" s="493"/>
      <c r="AJ142" s="493"/>
      <c r="AK142" s="493"/>
      <c r="AL142" s="493"/>
      <c r="AM142" s="494"/>
      <c r="AN142" s="176"/>
    </row>
    <row r="143" ht="14.25" customHeight="1" outlineLevel="3">
      <c r="A143" s="888"/>
      <c r="B143" s="874"/>
      <c r="C143" s="872" t="s">
        <v>3319</v>
      </c>
      <c r="D143" s="873"/>
      <c r="E143" s="127"/>
      <c r="F143" s="869"/>
      <c r="G143" s="869"/>
      <c r="H143" s="208"/>
      <c r="I143" s="208"/>
      <c r="J143" s="208"/>
      <c r="K143" s="208"/>
      <c r="L143" s="208"/>
      <c r="M143" s="208"/>
      <c r="N143" s="208"/>
      <c r="O143" s="208"/>
      <c r="P143" s="208"/>
      <c r="Q143" s="208"/>
      <c r="R143" s="208"/>
      <c r="S143" s="208"/>
      <c r="T143" s="208"/>
      <c r="U143" s="208"/>
      <c r="V143" s="208"/>
      <c r="W143" s="883"/>
      <c r="X143" s="883"/>
      <c r="Y143" s="883"/>
      <c r="Z143" s="883"/>
      <c r="AA143" s="883"/>
      <c r="AB143" s="883"/>
      <c r="AC143" s="883"/>
      <c r="AD143" s="883"/>
      <c r="AE143" s="883"/>
      <c r="AF143" s="883"/>
      <c r="AG143" s="883"/>
      <c r="AH143" s="883"/>
      <c r="AI143" s="271"/>
      <c r="AJ143" s="271"/>
      <c r="AK143" s="271"/>
      <c r="AL143" s="271"/>
      <c r="AM143" s="271"/>
      <c r="AN143" s="176"/>
    </row>
    <row r="144" ht="14.25" customHeight="1" outlineLevel="4">
      <c r="A144" s="888"/>
      <c r="B144" s="874"/>
      <c r="C144" s="886"/>
      <c r="D144" s="873"/>
      <c r="E144" s="122" t="s">
        <v>3320</v>
      </c>
      <c r="F144" s="433" t="s">
        <v>135</v>
      </c>
      <c r="G144" s="123" t="s">
        <v>3321</v>
      </c>
      <c r="H144" s="181"/>
      <c r="I144" s="181"/>
      <c r="J144" s="181"/>
      <c r="K144" s="181"/>
      <c r="L144" s="181"/>
      <c r="M144" s="181"/>
      <c r="N144" s="181"/>
      <c r="O144" s="181"/>
      <c r="P144" s="181"/>
      <c r="Q144" s="181"/>
      <c r="R144" s="181"/>
      <c r="S144" s="181"/>
      <c r="T144" s="181"/>
      <c r="U144" s="181"/>
      <c r="V144" s="181"/>
      <c r="W144" s="182">
        <v>0.0</v>
      </c>
      <c r="X144" s="181"/>
      <c r="Y144" s="181"/>
      <c r="Z144" s="181"/>
      <c r="AA144" s="181"/>
      <c r="AB144" s="182">
        <v>0.0</v>
      </c>
      <c r="AC144" s="182">
        <v>0.0</v>
      </c>
      <c r="AD144" s="182">
        <v>0.5</v>
      </c>
      <c r="AE144" s="182">
        <v>0.5</v>
      </c>
      <c r="AF144" s="182">
        <v>1.0</v>
      </c>
      <c r="AG144" s="182">
        <v>1.0</v>
      </c>
      <c r="AH144" s="184">
        <v>1.0</v>
      </c>
      <c r="AI144" s="493"/>
      <c r="AJ144" s="493"/>
      <c r="AK144" s="493"/>
      <c r="AL144" s="493"/>
      <c r="AM144" s="494"/>
      <c r="AN144" s="176"/>
    </row>
    <row r="145" ht="14.25" customHeight="1" outlineLevel="3">
      <c r="A145" s="888"/>
      <c r="B145" s="874"/>
      <c r="C145" s="872" t="s">
        <v>3322</v>
      </c>
      <c r="D145" s="873"/>
      <c r="E145" s="127"/>
      <c r="F145" s="869"/>
      <c r="G145" s="869"/>
      <c r="H145" s="208"/>
      <c r="I145" s="208"/>
      <c r="J145" s="208"/>
      <c r="K145" s="208"/>
      <c r="L145" s="208"/>
      <c r="M145" s="208"/>
      <c r="N145" s="208"/>
      <c r="O145" s="208"/>
      <c r="P145" s="208"/>
      <c r="Q145" s="208"/>
      <c r="R145" s="208"/>
      <c r="S145" s="208"/>
      <c r="T145" s="208"/>
      <c r="U145" s="208"/>
      <c r="V145" s="208"/>
      <c r="W145" s="883"/>
      <c r="X145" s="883"/>
      <c r="Y145" s="883"/>
      <c r="Z145" s="883"/>
      <c r="AA145" s="883"/>
      <c r="AB145" s="883"/>
      <c r="AC145" s="883"/>
      <c r="AD145" s="883"/>
      <c r="AE145" s="883"/>
      <c r="AF145" s="883"/>
      <c r="AG145" s="883"/>
      <c r="AH145" s="883"/>
      <c r="AI145" s="271"/>
      <c r="AJ145" s="271"/>
      <c r="AK145" s="271"/>
      <c r="AL145" s="271"/>
      <c r="AM145" s="271"/>
      <c r="AN145" s="176"/>
    </row>
    <row r="146" ht="14.25" customHeight="1" outlineLevel="4">
      <c r="A146" s="888"/>
      <c r="B146" s="874"/>
      <c r="C146" s="886"/>
      <c r="D146" s="873"/>
      <c r="E146" s="122" t="s">
        <v>3323</v>
      </c>
      <c r="F146" s="433" t="s">
        <v>135</v>
      </c>
      <c r="G146" s="123" t="s">
        <v>3324</v>
      </c>
      <c r="H146" s="181"/>
      <c r="I146" s="181"/>
      <c r="J146" s="181"/>
      <c r="K146" s="181"/>
      <c r="L146" s="181"/>
      <c r="M146" s="181"/>
      <c r="N146" s="181"/>
      <c r="O146" s="181"/>
      <c r="P146" s="181"/>
      <c r="Q146" s="181"/>
      <c r="R146" s="181"/>
      <c r="S146" s="181"/>
      <c r="T146" s="181"/>
      <c r="U146" s="181"/>
      <c r="V146" s="181"/>
      <c r="W146" s="182"/>
      <c r="X146" s="181"/>
      <c r="Y146" s="181"/>
      <c r="Z146" s="181"/>
      <c r="AA146" s="181"/>
      <c r="AB146" s="182"/>
      <c r="AC146" s="182"/>
      <c r="AD146" s="182"/>
      <c r="AE146" s="182"/>
      <c r="AF146" s="182"/>
      <c r="AG146" s="182"/>
      <c r="AH146" s="184"/>
      <c r="AI146" s="493"/>
      <c r="AJ146" s="493"/>
      <c r="AK146" s="493"/>
      <c r="AL146" s="493"/>
      <c r="AM146" s="494"/>
      <c r="AN146" s="176"/>
    </row>
    <row r="147" ht="14.25" customHeight="1" outlineLevel="4">
      <c r="A147" s="888"/>
      <c r="B147" s="874"/>
      <c r="C147" s="886"/>
      <c r="D147" s="873"/>
      <c r="E147" s="412" t="s">
        <v>3325</v>
      </c>
      <c r="F147" s="433" t="s">
        <v>261</v>
      </c>
      <c r="G147" s="123" t="s">
        <v>3326</v>
      </c>
      <c r="H147" s="254"/>
      <c r="I147" s="254"/>
      <c r="J147" s="254"/>
      <c r="K147" s="254"/>
      <c r="L147" s="254"/>
      <c r="M147" s="254"/>
      <c r="N147" s="254"/>
      <c r="O147" s="254"/>
      <c r="P147" s="254"/>
      <c r="Q147" s="254"/>
      <c r="R147" s="254"/>
      <c r="S147" s="254"/>
      <c r="T147" s="254"/>
      <c r="U147" s="254"/>
      <c r="V147" s="254"/>
      <c r="W147" s="279"/>
      <c r="X147" s="254"/>
      <c r="Y147" s="254"/>
      <c r="Z147" s="254"/>
      <c r="AA147" s="254"/>
      <c r="AB147" s="279"/>
      <c r="AC147" s="279"/>
      <c r="AD147" s="279"/>
      <c r="AE147" s="279"/>
      <c r="AF147" s="279"/>
      <c r="AG147" s="279"/>
      <c r="AH147" s="279"/>
      <c r="AI147" s="493"/>
      <c r="AJ147" s="493"/>
      <c r="AK147" s="493"/>
      <c r="AL147" s="493"/>
      <c r="AM147" s="494"/>
      <c r="AN147" s="176"/>
    </row>
    <row r="148" ht="14.25" customHeight="1" outlineLevel="3">
      <c r="A148" s="888"/>
      <c r="B148" s="874"/>
      <c r="C148" s="872" t="s">
        <v>3327</v>
      </c>
      <c r="D148" s="873"/>
      <c r="E148" s="127"/>
      <c r="F148" s="869"/>
      <c r="G148" s="869"/>
      <c r="H148" s="208"/>
      <c r="I148" s="208"/>
      <c r="J148" s="208"/>
      <c r="K148" s="208"/>
      <c r="L148" s="208"/>
      <c r="M148" s="208"/>
      <c r="N148" s="208"/>
      <c r="O148" s="208"/>
      <c r="P148" s="208"/>
      <c r="Q148" s="208"/>
      <c r="R148" s="208"/>
      <c r="S148" s="208"/>
      <c r="T148" s="208"/>
      <c r="U148" s="208"/>
      <c r="V148" s="208"/>
      <c r="W148" s="883"/>
      <c r="X148" s="883"/>
      <c r="Y148" s="883"/>
      <c r="Z148" s="883"/>
      <c r="AA148" s="883"/>
      <c r="AB148" s="883"/>
      <c r="AC148" s="883"/>
      <c r="AD148" s="883"/>
      <c r="AE148" s="883"/>
      <c r="AF148" s="883"/>
      <c r="AG148" s="883"/>
      <c r="AH148" s="883"/>
      <c r="AI148" s="271"/>
      <c r="AJ148" s="271"/>
      <c r="AK148" s="271"/>
      <c r="AL148" s="271"/>
      <c r="AM148" s="271"/>
      <c r="AN148" s="176"/>
    </row>
    <row r="149" ht="14.25" customHeight="1" outlineLevel="4">
      <c r="A149" s="888"/>
      <c r="B149" s="874"/>
      <c r="C149" s="886"/>
      <c r="D149" s="873"/>
      <c r="E149" s="122" t="s">
        <v>3328</v>
      </c>
      <c r="F149" s="433" t="s">
        <v>135</v>
      </c>
      <c r="G149" s="123" t="s">
        <v>3329</v>
      </c>
      <c r="H149" s="181"/>
      <c r="I149" s="181"/>
      <c r="J149" s="181"/>
      <c r="K149" s="181"/>
      <c r="L149" s="181"/>
      <c r="M149" s="181"/>
      <c r="N149" s="181"/>
      <c r="O149" s="181"/>
      <c r="P149" s="181"/>
      <c r="Q149" s="181"/>
      <c r="R149" s="181"/>
      <c r="S149" s="181"/>
      <c r="T149" s="181"/>
      <c r="U149" s="181"/>
      <c r="V149" s="181"/>
      <c r="W149" s="182"/>
      <c r="X149" s="181"/>
      <c r="Y149" s="181"/>
      <c r="Z149" s="181"/>
      <c r="AA149" s="181"/>
      <c r="AB149" s="182"/>
      <c r="AC149" s="182"/>
      <c r="AD149" s="182"/>
      <c r="AE149" s="182"/>
      <c r="AF149" s="182"/>
      <c r="AG149" s="182"/>
      <c r="AH149" s="184"/>
      <c r="AI149" s="493"/>
      <c r="AJ149" s="493"/>
      <c r="AK149" s="493"/>
      <c r="AL149" s="493"/>
      <c r="AM149" s="494"/>
      <c r="AN149" s="176"/>
    </row>
    <row r="150" ht="14.25" customHeight="1" outlineLevel="4">
      <c r="A150" s="888"/>
      <c r="B150" s="874"/>
      <c r="C150" s="886"/>
      <c r="D150" s="873"/>
      <c r="E150" s="412" t="s">
        <v>3330</v>
      </c>
      <c r="F150" s="433" t="s">
        <v>261</v>
      </c>
      <c r="G150" s="123" t="s">
        <v>3331</v>
      </c>
      <c r="H150" s="254"/>
      <c r="I150" s="254"/>
      <c r="J150" s="254"/>
      <c r="K150" s="254"/>
      <c r="L150" s="254"/>
      <c r="M150" s="254"/>
      <c r="N150" s="254"/>
      <c r="O150" s="254"/>
      <c r="P150" s="254"/>
      <c r="Q150" s="254"/>
      <c r="R150" s="254"/>
      <c r="S150" s="254"/>
      <c r="T150" s="254"/>
      <c r="U150" s="254"/>
      <c r="V150" s="254"/>
      <c r="W150" s="279"/>
      <c r="X150" s="254"/>
      <c r="Y150" s="254"/>
      <c r="Z150" s="254"/>
      <c r="AA150" s="254"/>
      <c r="AB150" s="279"/>
      <c r="AC150" s="279"/>
      <c r="AD150" s="279"/>
      <c r="AE150" s="279"/>
      <c r="AF150" s="279"/>
      <c r="AG150" s="279"/>
      <c r="AH150" s="279"/>
      <c r="AI150" s="493"/>
      <c r="AJ150" s="493"/>
      <c r="AK150" s="493"/>
      <c r="AL150" s="493"/>
      <c r="AM150" s="494"/>
      <c r="AN150" s="176"/>
    </row>
    <row r="151" ht="14.25" customHeight="1" outlineLevel="3">
      <c r="A151" s="888"/>
      <c r="B151" s="874"/>
      <c r="C151" s="872" t="s">
        <v>3332</v>
      </c>
      <c r="D151" s="873"/>
      <c r="E151" s="127"/>
      <c r="F151" s="869"/>
      <c r="G151" s="869"/>
      <c r="H151" s="208"/>
      <c r="I151" s="208"/>
      <c r="J151" s="208"/>
      <c r="K151" s="208"/>
      <c r="L151" s="208"/>
      <c r="M151" s="208"/>
      <c r="N151" s="208"/>
      <c r="O151" s="208"/>
      <c r="P151" s="208"/>
      <c r="Q151" s="208"/>
      <c r="R151" s="208"/>
      <c r="S151" s="208"/>
      <c r="T151" s="208"/>
      <c r="U151" s="208"/>
      <c r="V151" s="208"/>
      <c r="W151" s="883"/>
      <c r="X151" s="883"/>
      <c r="Y151" s="883"/>
      <c r="Z151" s="883"/>
      <c r="AA151" s="883"/>
      <c r="AB151" s="883"/>
      <c r="AC151" s="883"/>
      <c r="AD151" s="883"/>
      <c r="AE151" s="883"/>
      <c r="AF151" s="883"/>
      <c r="AG151" s="883"/>
      <c r="AH151" s="883"/>
      <c r="AI151" s="271"/>
      <c r="AJ151" s="271"/>
      <c r="AK151" s="271"/>
      <c r="AL151" s="271"/>
      <c r="AM151" s="271"/>
      <c r="AN151" s="176"/>
    </row>
    <row r="152" ht="14.25" customHeight="1" outlineLevel="4">
      <c r="A152" s="888"/>
      <c r="B152" s="874"/>
      <c r="C152" s="886"/>
      <c r="D152" s="873"/>
      <c r="E152" s="122" t="s">
        <v>3333</v>
      </c>
      <c r="F152" s="433" t="s">
        <v>135</v>
      </c>
      <c r="G152" s="123" t="s">
        <v>3334</v>
      </c>
      <c r="H152" s="181"/>
      <c r="I152" s="181"/>
      <c r="J152" s="181"/>
      <c r="K152" s="181"/>
      <c r="L152" s="181"/>
      <c r="M152" s="181"/>
      <c r="N152" s="181"/>
      <c r="O152" s="181"/>
      <c r="P152" s="181"/>
      <c r="Q152" s="181"/>
      <c r="R152" s="181"/>
      <c r="S152" s="181"/>
      <c r="T152" s="181"/>
      <c r="U152" s="181"/>
      <c r="V152" s="181"/>
      <c r="W152" s="182"/>
      <c r="X152" s="181"/>
      <c r="Y152" s="181"/>
      <c r="Z152" s="181"/>
      <c r="AA152" s="181"/>
      <c r="AB152" s="182"/>
      <c r="AC152" s="182"/>
      <c r="AD152" s="182"/>
      <c r="AE152" s="182"/>
      <c r="AF152" s="182"/>
      <c r="AG152" s="182"/>
      <c r="AH152" s="184"/>
      <c r="AI152" s="493"/>
      <c r="AJ152" s="493"/>
      <c r="AK152" s="493"/>
      <c r="AL152" s="493"/>
      <c r="AM152" s="494"/>
      <c r="AN152" s="176"/>
    </row>
    <row r="153" ht="14.25" customHeight="1" outlineLevel="4">
      <c r="A153" s="363"/>
      <c r="B153" s="874"/>
      <c r="C153" s="886"/>
      <c r="D153" s="873"/>
      <c r="E153" s="412" t="s">
        <v>3335</v>
      </c>
      <c r="F153" s="433" t="s">
        <v>261</v>
      </c>
      <c r="G153" s="123" t="s">
        <v>3336</v>
      </c>
      <c r="H153" s="254"/>
      <c r="I153" s="254"/>
      <c r="J153" s="254"/>
      <c r="K153" s="254"/>
      <c r="L153" s="254"/>
      <c r="M153" s="254"/>
      <c r="N153" s="254"/>
      <c r="O153" s="254"/>
      <c r="P153" s="254"/>
      <c r="Q153" s="254"/>
      <c r="R153" s="254"/>
      <c r="S153" s="254"/>
      <c r="T153" s="254"/>
      <c r="U153" s="254"/>
      <c r="V153" s="254"/>
      <c r="W153" s="279"/>
      <c r="X153" s="254"/>
      <c r="Y153" s="254"/>
      <c r="Z153" s="254"/>
      <c r="AA153" s="254"/>
      <c r="AB153" s="279"/>
      <c r="AC153" s="279"/>
      <c r="AD153" s="279"/>
      <c r="AE153" s="279"/>
      <c r="AF153" s="279"/>
      <c r="AG153" s="279"/>
      <c r="AH153" s="279"/>
      <c r="AI153" s="493"/>
      <c r="AJ153" s="493"/>
      <c r="AK153" s="493"/>
      <c r="AL153" s="493"/>
      <c r="AM153" s="494"/>
      <c r="AN153" s="176"/>
    </row>
    <row r="154" ht="14.25" customHeight="1" outlineLevel="3">
      <c r="A154" s="363"/>
      <c r="B154" s="874"/>
      <c r="C154" s="872" t="s">
        <v>3337</v>
      </c>
      <c r="D154" s="873"/>
      <c r="E154" s="127"/>
      <c r="F154" s="869"/>
      <c r="G154" s="869"/>
      <c r="H154" s="208"/>
      <c r="I154" s="208"/>
      <c r="J154" s="208"/>
      <c r="K154" s="208"/>
      <c r="L154" s="208"/>
      <c r="M154" s="208"/>
      <c r="N154" s="208"/>
      <c r="O154" s="208"/>
      <c r="P154" s="208"/>
      <c r="Q154" s="208"/>
      <c r="R154" s="208"/>
      <c r="S154" s="208"/>
      <c r="T154" s="208"/>
      <c r="U154" s="208"/>
      <c r="V154" s="208"/>
      <c r="W154" s="883"/>
      <c r="X154" s="883"/>
      <c r="Y154" s="883"/>
      <c r="Z154" s="883"/>
      <c r="AA154" s="883"/>
      <c r="AB154" s="883"/>
      <c r="AC154" s="883"/>
      <c r="AD154" s="883"/>
      <c r="AE154" s="883"/>
      <c r="AF154" s="883"/>
      <c r="AG154" s="883"/>
      <c r="AH154" s="883"/>
      <c r="AI154" s="271"/>
      <c r="AJ154" s="271"/>
      <c r="AK154" s="271"/>
      <c r="AL154" s="271"/>
      <c r="AM154" s="271"/>
      <c r="AN154" s="176"/>
    </row>
    <row r="155" ht="14.25" customHeight="1" outlineLevel="4">
      <c r="A155" s="363"/>
      <c r="B155" s="874"/>
      <c r="C155" s="886"/>
      <c r="D155" s="873"/>
      <c r="E155" s="122" t="s">
        <v>3338</v>
      </c>
      <c r="F155" s="433" t="s">
        <v>135</v>
      </c>
      <c r="G155" s="123" t="s">
        <v>3339</v>
      </c>
      <c r="H155" s="181"/>
      <c r="I155" s="181"/>
      <c r="J155" s="181"/>
      <c r="K155" s="181"/>
      <c r="L155" s="181"/>
      <c r="M155" s="181"/>
      <c r="N155" s="181"/>
      <c r="O155" s="181"/>
      <c r="P155" s="181"/>
      <c r="Q155" s="181"/>
      <c r="R155" s="181"/>
      <c r="S155" s="181"/>
      <c r="T155" s="181"/>
      <c r="U155" s="181"/>
      <c r="V155" s="181"/>
      <c r="W155" s="182"/>
      <c r="X155" s="181"/>
      <c r="Y155" s="181"/>
      <c r="Z155" s="181"/>
      <c r="AA155" s="181"/>
      <c r="AB155" s="182"/>
      <c r="AC155" s="182"/>
      <c r="AD155" s="182"/>
      <c r="AE155" s="182"/>
      <c r="AF155" s="182"/>
      <c r="AG155" s="182"/>
      <c r="AH155" s="184"/>
      <c r="AI155" s="493"/>
      <c r="AJ155" s="493"/>
      <c r="AK155" s="493"/>
      <c r="AL155" s="493"/>
      <c r="AM155" s="494"/>
      <c r="AN155" s="176"/>
    </row>
    <row r="156" ht="14.25" customHeight="1" outlineLevel="4">
      <c r="A156" s="363"/>
      <c r="B156" s="874"/>
      <c r="C156" s="886"/>
      <c r="D156" s="873"/>
      <c r="E156" s="412" t="s">
        <v>3340</v>
      </c>
      <c r="F156" s="433" t="s">
        <v>261</v>
      </c>
      <c r="G156" s="123" t="s">
        <v>3341</v>
      </c>
      <c r="H156" s="254"/>
      <c r="I156" s="254"/>
      <c r="J156" s="254"/>
      <c r="K156" s="254"/>
      <c r="L156" s="254"/>
      <c r="M156" s="254"/>
      <c r="N156" s="254"/>
      <c r="O156" s="254"/>
      <c r="P156" s="254"/>
      <c r="Q156" s="254"/>
      <c r="R156" s="254"/>
      <c r="S156" s="254"/>
      <c r="T156" s="254"/>
      <c r="U156" s="254"/>
      <c r="V156" s="254"/>
      <c r="W156" s="279"/>
      <c r="X156" s="254"/>
      <c r="Y156" s="254"/>
      <c r="Z156" s="254"/>
      <c r="AA156" s="254"/>
      <c r="AB156" s="279"/>
      <c r="AC156" s="279"/>
      <c r="AD156" s="279"/>
      <c r="AE156" s="279"/>
      <c r="AF156" s="279"/>
      <c r="AG156" s="279"/>
      <c r="AH156" s="279"/>
      <c r="AI156" s="493"/>
      <c r="AJ156" s="493"/>
      <c r="AK156" s="493"/>
      <c r="AL156" s="493"/>
      <c r="AM156" s="494"/>
      <c r="AN156" s="176"/>
    </row>
    <row r="157" ht="14.25" customHeight="1" outlineLevel="3">
      <c r="A157" s="363"/>
      <c r="B157" s="874"/>
      <c r="C157" s="872" t="s">
        <v>3342</v>
      </c>
      <c r="D157" s="873"/>
      <c r="E157" s="127"/>
      <c r="F157" s="869"/>
      <c r="G157" s="869"/>
      <c r="H157" s="208"/>
      <c r="I157" s="208"/>
      <c r="J157" s="208"/>
      <c r="K157" s="208"/>
      <c r="L157" s="208"/>
      <c r="M157" s="208"/>
      <c r="N157" s="208"/>
      <c r="O157" s="208"/>
      <c r="P157" s="208"/>
      <c r="Q157" s="208"/>
      <c r="R157" s="208"/>
      <c r="S157" s="208"/>
      <c r="T157" s="208"/>
      <c r="U157" s="208"/>
      <c r="V157" s="208"/>
      <c r="W157" s="883"/>
      <c r="X157" s="883"/>
      <c r="Y157" s="883"/>
      <c r="Z157" s="883"/>
      <c r="AA157" s="883"/>
      <c r="AB157" s="883"/>
      <c r="AC157" s="883"/>
      <c r="AD157" s="883"/>
      <c r="AE157" s="883"/>
      <c r="AF157" s="883"/>
      <c r="AG157" s="883"/>
      <c r="AH157" s="883"/>
      <c r="AI157" s="271"/>
      <c r="AJ157" s="271"/>
      <c r="AK157" s="271"/>
      <c r="AL157" s="271"/>
      <c r="AM157" s="271"/>
      <c r="AN157" s="176"/>
    </row>
    <row r="158" ht="14.25" customHeight="1" outlineLevel="4">
      <c r="A158" s="363"/>
      <c r="B158" s="874"/>
      <c r="C158" s="886"/>
      <c r="D158" s="873"/>
      <c r="E158" s="122" t="s">
        <v>3343</v>
      </c>
      <c r="F158" s="433" t="s">
        <v>135</v>
      </c>
      <c r="G158" s="123" t="s">
        <v>3344</v>
      </c>
      <c r="H158" s="181"/>
      <c r="I158" s="181"/>
      <c r="J158" s="181"/>
      <c r="K158" s="181"/>
      <c r="L158" s="181"/>
      <c r="M158" s="181"/>
      <c r="N158" s="181"/>
      <c r="O158" s="181"/>
      <c r="P158" s="181"/>
      <c r="Q158" s="181"/>
      <c r="R158" s="181"/>
      <c r="S158" s="181"/>
      <c r="T158" s="181"/>
      <c r="U158" s="181"/>
      <c r="V158" s="181"/>
      <c r="W158" s="182"/>
      <c r="X158" s="181"/>
      <c r="Y158" s="181"/>
      <c r="Z158" s="181"/>
      <c r="AA158" s="181"/>
      <c r="AB158" s="182"/>
      <c r="AC158" s="182"/>
      <c r="AD158" s="182"/>
      <c r="AE158" s="182"/>
      <c r="AF158" s="182"/>
      <c r="AG158" s="182"/>
      <c r="AH158" s="184"/>
      <c r="AI158" s="493"/>
      <c r="AJ158" s="493"/>
      <c r="AK158" s="493"/>
      <c r="AL158" s="493"/>
      <c r="AM158" s="494"/>
      <c r="AN158" s="176"/>
    </row>
    <row r="159" ht="14.25" customHeight="1" outlineLevel="3">
      <c r="A159" s="363"/>
      <c r="B159" s="874"/>
      <c r="C159" s="872" t="s">
        <v>3345</v>
      </c>
      <c r="D159" s="873"/>
      <c r="E159" s="127"/>
      <c r="F159" s="869"/>
      <c r="G159" s="869"/>
      <c r="H159" s="208"/>
      <c r="I159" s="208"/>
      <c r="J159" s="208"/>
      <c r="K159" s="208"/>
      <c r="L159" s="208"/>
      <c r="M159" s="208"/>
      <c r="N159" s="208"/>
      <c r="O159" s="208"/>
      <c r="P159" s="208"/>
      <c r="Q159" s="208"/>
      <c r="R159" s="208"/>
      <c r="S159" s="208"/>
      <c r="T159" s="208"/>
      <c r="U159" s="208"/>
      <c r="V159" s="208"/>
      <c r="W159" s="883"/>
      <c r="X159" s="883"/>
      <c r="Y159" s="883"/>
      <c r="Z159" s="883"/>
      <c r="AA159" s="883"/>
      <c r="AB159" s="883"/>
      <c r="AC159" s="883"/>
      <c r="AD159" s="883"/>
      <c r="AE159" s="883"/>
      <c r="AF159" s="883"/>
      <c r="AG159" s="883"/>
      <c r="AH159" s="883"/>
      <c r="AI159" s="271"/>
      <c r="AJ159" s="271"/>
      <c r="AK159" s="271"/>
      <c r="AL159" s="271"/>
      <c r="AM159" s="271"/>
      <c r="AN159" s="176"/>
    </row>
    <row r="160" ht="14.25" customHeight="1" outlineLevel="4">
      <c r="A160" s="363"/>
      <c r="B160" s="874"/>
      <c r="C160" s="886"/>
      <c r="D160" s="873"/>
      <c r="E160" s="122" t="s">
        <v>3346</v>
      </c>
      <c r="F160" s="433" t="s">
        <v>135</v>
      </c>
      <c r="G160" s="123" t="s">
        <v>3347</v>
      </c>
      <c r="H160" s="181"/>
      <c r="I160" s="181"/>
      <c r="J160" s="181"/>
      <c r="K160" s="181"/>
      <c r="L160" s="181"/>
      <c r="M160" s="181"/>
      <c r="N160" s="181"/>
      <c r="O160" s="181"/>
      <c r="P160" s="181"/>
      <c r="Q160" s="181"/>
      <c r="R160" s="181"/>
      <c r="S160" s="181"/>
      <c r="T160" s="181"/>
      <c r="U160" s="181"/>
      <c r="V160" s="181"/>
      <c r="W160" s="182">
        <v>0.0</v>
      </c>
      <c r="X160" s="181"/>
      <c r="Y160" s="181"/>
      <c r="Z160" s="181"/>
      <c r="AA160" s="181"/>
      <c r="AB160" s="182">
        <v>0.0</v>
      </c>
      <c r="AC160" s="182">
        <v>0.5</v>
      </c>
      <c r="AD160" s="182">
        <v>1.0</v>
      </c>
      <c r="AE160" s="182">
        <v>2.0</v>
      </c>
      <c r="AF160" s="182">
        <v>4.0</v>
      </c>
      <c r="AG160" s="182">
        <v>5.0</v>
      </c>
      <c r="AH160" s="184">
        <v>5.0</v>
      </c>
      <c r="AI160" s="493"/>
      <c r="AJ160" s="493"/>
      <c r="AK160" s="493"/>
      <c r="AL160" s="493"/>
      <c r="AM160" s="494"/>
      <c r="AN160" s="176"/>
    </row>
    <row r="161" ht="14.25" customHeight="1" outlineLevel="4">
      <c r="A161" s="363"/>
      <c r="B161" s="874"/>
      <c r="C161" s="886"/>
      <c r="D161" s="873"/>
      <c r="E161" s="412" t="s">
        <v>3348</v>
      </c>
      <c r="F161" s="433" t="s">
        <v>261</v>
      </c>
      <c r="G161" s="123" t="s">
        <v>3349</v>
      </c>
      <c r="H161" s="254"/>
      <c r="I161" s="254"/>
      <c r="J161" s="254"/>
      <c r="K161" s="254"/>
      <c r="L161" s="254"/>
      <c r="M161" s="254"/>
      <c r="N161" s="254"/>
      <c r="O161" s="254"/>
      <c r="P161" s="254"/>
      <c r="Q161" s="254"/>
      <c r="R161" s="254"/>
      <c r="S161" s="254"/>
      <c r="T161" s="254"/>
      <c r="U161" s="254"/>
      <c r="V161" s="254"/>
      <c r="W161" s="877">
        <v>3.0</v>
      </c>
      <c r="X161" s="878"/>
      <c r="Y161" s="878"/>
      <c r="Z161" s="878"/>
      <c r="AA161" s="878"/>
      <c r="AB161" s="877">
        <v>3.0</v>
      </c>
      <c r="AC161" s="877">
        <v>3.0</v>
      </c>
      <c r="AD161" s="877">
        <v>3.0</v>
      </c>
      <c r="AE161" s="877">
        <v>3.0</v>
      </c>
      <c r="AF161" s="877">
        <v>3.0</v>
      </c>
      <c r="AG161" s="877">
        <v>3.0</v>
      </c>
      <c r="AH161" s="877">
        <v>3.0</v>
      </c>
      <c r="AI161" s="493"/>
      <c r="AJ161" s="493"/>
      <c r="AK161" s="493"/>
      <c r="AL161" s="493"/>
      <c r="AM161" s="494"/>
      <c r="AN161" s="176"/>
    </row>
    <row r="162" ht="14.25" customHeight="1" outlineLevel="3">
      <c r="A162" s="363"/>
      <c r="B162" s="874"/>
      <c r="C162" s="872" t="s">
        <v>3350</v>
      </c>
      <c r="D162" s="873"/>
      <c r="E162" s="127"/>
      <c r="F162" s="869"/>
      <c r="G162" s="869"/>
      <c r="H162" s="208"/>
      <c r="I162" s="208"/>
      <c r="J162" s="208"/>
      <c r="K162" s="208"/>
      <c r="L162" s="208"/>
      <c r="M162" s="208"/>
      <c r="N162" s="208"/>
      <c r="O162" s="208"/>
      <c r="P162" s="208"/>
      <c r="Q162" s="208"/>
      <c r="R162" s="208"/>
      <c r="S162" s="208"/>
      <c r="T162" s="208"/>
      <c r="U162" s="208"/>
      <c r="V162" s="208"/>
      <c r="W162" s="883"/>
      <c r="X162" s="883"/>
      <c r="Y162" s="883"/>
      <c r="Z162" s="883"/>
      <c r="AA162" s="883"/>
      <c r="AB162" s="883"/>
      <c r="AC162" s="883"/>
      <c r="AD162" s="883"/>
      <c r="AE162" s="883"/>
      <c r="AF162" s="883"/>
      <c r="AG162" s="883"/>
      <c r="AH162" s="883"/>
      <c r="AI162" s="271"/>
      <c r="AJ162" s="271"/>
      <c r="AK162" s="271"/>
      <c r="AL162" s="271"/>
      <c r="AM162" s="271"/>
      <c r="AN162" s="176"/>
    </row>
    <row r="163" ht="14.25" customHeight="1" outlineLevel="4">
      <c r="A163" s="363"/>
      <c r="B163" s="874"/>
      <c r="C163" s="886"/>
      <c r="D163" s="873"/>
      <c r="E163" s="122" t="s">
        <v>3351</v>
      </c>
      <c r="F163" s="433" t="s">
        <v>135</v>
      </c>
      <c r="G163" s="123" t="s">
        <v>3352</v>
      </c>
      <c r="H163" s="181"/>
      <c r="I163" s="181"/>
      <c r="J163" s="181"/>
      <c r="K163" s="181"/>
      <c r="L163" s="181"/>
      <c r="M163" s="181"/>
      <c r="N163" s="181"/>
      <c r="O163" s="181"/>
      <c r="P163" s="181"/>
      <c r="Q163" s="181"/>
      <c r="R163" s="181"/>
      <c r="S163" s="181"/>
      <c r="T163" s="181"/>
      <c r="U163" s="181"/>
      <c r="V163" s="181"/>
      <c r="W163" s="182"/>
      <c r="X163" s="181"/>
      <c r="Y163" s="181"/>
      <c r="Z163" s="181"/>
      <c r="AA163" s="181"/>
      <c r="AB163" s="182"/>
      <c r="AC163" s="182"/>
      <c r="AD163" s="182"/>
      <c r="AE163" s="182"/>
      <c r="AF163" s="182"/>
      <c r="AG163" s="182"/>
      <c r="AH163" s="184"/>
      <c r="AI163" s="493"/>
      <c r="AJ163" s="493"/>
      <c r="AK163" s="493"/>
      <c r="AL163" s="493"/>
      <c r="AM163" s="494"/>
      <c r="AN163" s="176"/>
    </row>
    <row r="164" ht="14.25" customHeight="1" outlineLevel="4">
      <c r="A164" s="363"/>
      <c r="B164" s="874"/>
      <c r="C164" s="886"/>
      <c r="D164" s="873"/>
      <c r="E164" s="412" t="s">
        <v>3353</v>
      </c>
      <c r="F164" s="433" t="s">
        <v>261</v>
      </c>
      <c r="G164" s="123" t="s">
        <v>3354</v>
      </c>
      <c r="H164" s="254"/>
      <c r="I164" s="254"/>
      <c r="J164" s="254"/>
      <c r="K164" s="254"/>
      <c r="L164" s="254"/>
      <c r="M164" s="254"/>
      <c r="N164" s="254"/>
      <c r="O164" s="254"/>
      <c r="P164" s="254"/>
      <c r="Q164" s="254"/>
      <c r="R164" s="254"/>
      <c r="S164" s="254"/>
      <c r="T164" s="254"/>
      <c r="U164" s="254"/>
      <c r="V164" s="254"/>
      <c r="W164" s="279"/>
      <c r="X164" s="254"/>
      <c r="Y164" s="254"/>
      <c r="Z164" s="254"/>
      <c r="AA164" s="254"/>
      <c r="AB164" s="279"/>
      <c r="AC164" s="279"/>
      <c r="AD164" s="279"/>
      <c r="AE164" s="279"/>
      <c r="AF164" s="279"/>
      <c r="AG164" s="279"/>
      <c r="AH164" s="279"/>
      <c r="AI164" s="493"/>
      <c r="AJ164" s="493"/>
      <c r="AK164" s="493"/>
      <c r="AL164" s="493"/>
      <c r="AM164" s="494"/>
      <c r="AN164" s="176"/>
    </row>
    <row r="165" ht="14.25" customHeight="1" outlineLevel="2">
      <c r="A165" s="99"/>
      <c r="B165" s="872" t="s">
        <v>3355</v>
      </c>
      <c r="C165" s="874"/>
      <c r="D165" s="873"/>
      <c r="E165" s="127"/>
      <c r="F165" s="869"/>
      <c r="G165" s="869"/>
      <c r="H165" s="208"/>
      <c r="I165" s="208"/>
      <c r="J165" s="208"/>
      <c r="K165" s="208"/>
      <c r="L165" s="208"/>
      <c r="M165" s="208"/>
      <c r="N165" s="208"/>
      <c r="O165" s="208"/>
      <c r="P165" s="208"/>
      <c r="Q165" s="208"/>
      <c r="R165" s="208"/>
      <c r="S165" s="208"/>
      <c r="T165" s="208"/>
      <c r="U165" s="208"/>
      <c r="V165" s="208"/>
      <c r="W165" s="883"/>
      <c r="X165" s="883"/>
      <c r="Y165" s="883"/>
      <c r="Z165" s="883"/>
      <c r="AA165" s="883"/>
      <c r="AB165" s="883"/>
      <c r="AC165" s="883"/>
      <c r="AD165" s="883"/>
      <c r="AE165" s="883"/>
      <c r="AF165" s="883"/>
      <c r="AG165" s="883"/>
      <c r="AH165" s="883"/>
      <c r="AI165" s="271"/>
      <c r="AJ165" s="271"/>
      <c r="AK165" s="271"/>
      <c r="AL165" s="271"/>
      <c r="AM165" s="271"/>
      <c r="AN165" s="176"/>
    </row>
    <row r="166" ht="14.25" customHeight="1" outlineLevel="3">
      <c r="A166" s="99"/>
      <c r="B166" s="872"/>
      <c r="C166" s="886"/>
      <c r="D166" s="873"/>
      <c r="E166" s="122" t="s">
        <v>3356</v>
      </c>
      <c r="F166" s="433" t="s">
        <v>261</v>
      </c>
      <c r="G166" s="123" t="s">
        <v>3357</v>
      </c>
      <c r="H166" s="254"/>
      <c r="I166" s="254"/>
      <c r="J166" s="254"/>
      <c r="K166" s="254"/>
      <c r="L166" s="254"/>
      <c r="M166" s="254"/>
      <c r="N166" s="254"/>
      <c r="O166" s="254"/>
      <c r="P166" s="254"/>
      <c r="Q166" s="254"/>
      <c r="R166" s="254"/>
      <c r="S166" s="254"/>
      <c r="T166" s="254"/>
      <c r="U166" s="254"/>
      <c r="V166" s="254"/>
      <c r="W166" s="256">
        <v>0.1</v>
      </c>
      <c r="X166" s="254"/>
      <c r="Y166" s="254"/>
      <c r="Z166" s="254"/>
      <c r="AA166" s="254"/>
      <c r="AB166" s="256">
        <v>0.1</v>
      </c>
      <c r="AC166" s="256">
        <v>0.1</v>
      </c>
      <c r="AD166" s="256">
        <v>0.1</v>
      </c>
      <c r="AE166" s="256">
        <v>0.1</v>
      </c>
      <c r="AF166" s="256">
        <v>0.1</v>
      </c>
      <c r="AG166" s="256">
        <v>0.1</v>
      </c>
      <c r="AH166" s="257">
        <v>0.1</v>
      </c>
      <c r="AI166" s="493"/>
      <c r="AJ166" s="493"/>
      <c r="AK166" s="493"/>
      <c r="AL166" s="493"/>
      <c r="AM166" s="494"/>
      <c r="AN166" s="176"/>
    </row>
    <row r="167" ht="13.5" customHeight="1" outlineLevel="2">
      <c r="A167" s="247"/>
      <c r="B167" s="162" t="s">
        <v>3358</v>
      </c>
      <c r="C167" s="100"/>
      <c r="D167" s="271"/>
      <c r="E167" s="162"/>
      <c r="F167" s="162"/>
      <c r="G167" s="162"/>
      <c r="H167" s="178"/>
      <c r="I167" s="178"/>
      <c r="J167" s="178"/>
      <c r="K167" s="178"/>
      <c r="L167" s="178"/>
      <c r="M167" s="178"/>
      <c r="N167" s="178"/>
      <c r="O167" s="178"/>
      <c r="P167" s="178"/>
      <c r="Q167" s="178"/>
      <c r="R167" s="178"/>
      <c r="S167" s="178"/>
      <c r="T167" s="178"/>
      <c r="U167" s="178"/>
      <c r="V167" s="178"/>
      <c r="W167" s="178" t="str">
        <f>IF(ABS(W170)&gt;0.1,"Warning","")</f>
        <v>Warning</v>
      </c>
      <c r="X167" s="178"/>
      <c r="Y167" s="178"/>
      <c r="Z167" s="178"/>
      <c r="AA167" s="178"/>
      <c r="AB167" s="178" t="str">
        <f t="shared" ref="AB167:AH167" si="24">IF(ABS(AB170)&gt;0.1,"Warning","")</f>
        <v>Warning</v>
      </c>
      <c r="AC167" s="178" t="str">
        <f t="shared" si="24"/>
        <v>Warning</v>
      </c>
      <c r="AD167" s="178" t="str">
        <f t="shared" si="24"/>
        <v>Warning</v>
      </c>
      <c r="AE167" s="178" t="str">
        <f t="shared" si="24"/>
        <v>Warning</v>
      </c>
      <c r="AF167" s="178" t="str">
        <f t="shared" si="24"/>
        <v>Warning</v>
      </c>
      <c r="AG167" s="178" t="str">
        <f t="shared" si="24"/>
        <v>Warning</v>
      </c>
      <c r="AH167" s="178" t="str">
        <f t="shared" si="24"/>
        <v>Warning</v>
      </c>
      <c r="AI167" s="244"/>
      <c r="AJ167" s="244"/>
      <c r="AK167" s="244"/>
      <c r="AL167" s="244"/>
      <c r="AM167" s="162"/>
      <c r="AN167" s="176"/>
    </row>
    <row r="168" ht="14.25" customHeight="1" outlineLevel="3">
      <c r="A168" s="200"/>
      <c r="B168" s="100"/>
      <c r="C168" s="201"/>
      <c r="D168" s="271"/>
      <c r="E168" s="273" t="s">
        <v>3359</v>
      </c>
      <c r="F168" s="123" t="s">
        <v>135</v>
      </c>
      <c r="G168" s="162"/>
      <c r="H168" s="274">
        <f t="shared" ref="H168:AH168" si="25">H71+H76+H81+H86+H91+H96+H101+H106+H137+H141+H144+H146+H149+H152+H155+H158+H160+H163</f>
        <v>5.424334073</v>
      </c>
      <c r="I168" s="274">
        <f t="shared" si="25"/>
        <v>5.402782161</v>
      </c>
      <c r="J168" s="274">
        <f t="shared" si="25"/>
        <v>5.265131921</v>
      </c>
      <c r="K168" s="274">
        <f t="shared" si="25"/>
        <v>5.059069203</v>
      </c>
      <c r="L168" s="274">
        <f t="shared" si="25"/>
        <v>5.262571634</v>
      </c>
      <c r="M168" s="274">
        <f t="shared" si="25"/>
        <v>5.0775987</v>
      </c>
      <c r="N168" s="274">
        <f t="shared" si="25"/>
        <v>8.007865013</v>
      </c>
      <c r="O168" s="274">
        <f t="shared" si="25"/>
        <v>7.047751925</v>
      </c>
      <c r="P168" s="274">
        <f t="shared" si="25"/>
        <v>7.535812219</v>
      </c>
      <c r="Q168" s="274">
        <f t="shared" si="25"/>
        <v>7.39596671</v>
      </c>
      <c r="R168" s="274">
        <f t="shared" si="25"/>
        <v>9.506412018</v>
      </c>
      <c r="S168" s="274">
        <f t="shared" si="25"/>
        <v>8.99948507</v>
      </c>
      <c r="T168" s="274">
        <f t="shared" si="25"/>
        <v>9.318839977</v>
      </c>
      <c r="U168" s="274">
        <f t="shared" si="25"/>
        <v>8.974525834</v>
      </c>
      <c r="V168" s="274">
        <f t="shared" si="25"/>
        <v>7.979398003</v>
      </c>
      <c r="W168" s="478">
        <f t="shared" si="25"/>
        <v>7.312334908</v>
      </c>
      <c r="X168" s="478">
        <f t="shared" si="25"/>
        <v>7.032946352</v>
      </c>
      <c r="Y168" s="478">
        <f t="shared" si="25"/>
        <v>6.072718218</v>
      </c>
      <c r="Z168" s="478">
        <f t="shared" si="25"/>
        <v>6.658543672</v>
      </c>
      <c r="AA168" s="478">
        <f t="shared" si="25"/>
        <v>5.811820811</v>
      </c>
      <c r="AB168" s="478">
        <f t="shared" si="25"/>
        <v>6.244051096</v>
      </c>
      <c r="AC168" s="478">
        <f t="shared" si="25"/>
        <v>8.606403259</v>
      </c>
      <c r="AD168" s="478">
        <f t="shared" si="25"/>
        <v>10.4153961</v>
      </c>
      <c r="AE168" s="478">
        <f t="shared" si="25"/>
        <v>15.27520681</v>
      </c>
      <c r="AF168" s="478">
        <f t="shared" si="25"/>
        <v>17.54155798</v>
      </c>
      <c r="AG168" s="478">
        <f t="shared" si="25"/>
        <v>18.21444962</v>
      </c>
      <c r="AH168" s="478">
        <f t="shared" si="25"/>
        <v>18.16771985</v>
      </c>
      <c r="AI168" s="204"/>
      <c r="AJ168" s="204"/>
      <c r="AK168" s="204"/>
      <c r="AL168" s="204"/>
      <c r="AM168" s="251"/>
      <c r="AN168" s="176"/>
    </row>
    <row r="169" ht="14.25" customHeight="1" outlineLevel="3">
      <c r="A169" s="200"/>
      <c r="B169" s="100"/>
      <c r="C169" s="201"/>
      <c r="D169" s="271"/>
      <c r="E169" s="273" t="s">
        <v>3360</v>
      </c>
      <c r="F169" s="123" t="s">
        <v>135</v>
      </c>
      <c r="G169" s="162"/>
      <c r="H169" s="274">
        <f>'EDCM - TOTAL'!H173/(1-H166)</f>
        <v>0.1633</v>
      </c>
      <c r="I169" s="274">
        <f>'EDCM - TOTAL'!I173/(1-I166)</f>
        <v>0.1669</v>
      </c>
      <c r="J169" s="274">
        <f>'EDCM - TOTAL'!J173/(1-J166)</f>
        <v>0.1685</v>
      </c>
      <c r="K169" s="274">
        <f>'EDCM - TOTAL'!K173/(1-K166)</f>
        <v>0.1649</v>
      </c>
      <c r="L169" s="274">
        <f>'EDCM - TOTAL'!L173/(1-L166)</f>
        <v>0.1633</v>
      </c>
      <c r="M169" s="274">
        <f>'EDCM - TOTAL'!M173/(1-M166)</f>
        <v>0.1524</v>
      </c>
      <c r="N169" s="274">
        <f>'EDCM - TOTAL'!N173/(1-N166)</f>
        <v>0.5711</v>
      </c>
      <c r="O169" s="274">
        <f>'EDCM - TOTAL'!O173/(1-O166)</f>
        <v>0.5753</v>
      </c>
      <c r="P169" s="274">
        <f>'EDCM - TOTAL'!P173/(1-P166)</f>
        <v>0.8253</v>
      </c>
      <c r="Q169" s="274">
        <f>'EDCM - TOTAL'!Q173/(1-Q166)</f>
        <v>0.8056</v>
      </c>
      <c r="R169" s="274">
        <f>'EDCM - TOTAL'!R173/(1-R166)</f>
        <v>7.2936</v>
      </c>
      <c r="S169" s="274">
        <f>'EDCM - TOTAL'!S173/(1-S166)</f>
        <v>7.2387</v>
      </c>
      <c r="T169" s="274">
        <f>'EDCM - TOTAL'!T173/(1-T166)</f>
        <v>6.8865</v>
      </c>
      <c r="U169" s="274">
        <f>'EDCM - TOTAL'!U173/(1-U166)</f>
        <v>6.6058</v>
      </c>
      <c r="V169" s="274">
        <f>'EDCM - TOTAL'!V173/(1-V166)</f>
        <v>6.029</v>
      </c>
      <c r="W169" s="478">
        <f>'EDCM - TOTAL'!W173/(1-W166)</f>
        <v>8.395474024</v>
      </c>
      <c r="X169" s="478">
        <f>'EDCM - TOTAL'!X173/(1-X166)</f>
        <v>1.292528</v>
      </c>
      <c r="Y169" s="478">
        <f>'EDCM - TOTAL'!Y173/(1-Y166)</f>
        <v>1.330028</v>
      </c>
      <c r="Z169" s="478">
        <f>'EDCM - TOTAL'!Z173/(1-Z166)</f>
        <v>1.449361</v>
      </c>
      <c r="AA169" s="478">
        <f>'EDCM - TOTAL'!AA173/(1-AA166)</f>
        <v>5.392262871</v>
      </c>
      <c r="AB169" s="478">
        <f>'EDCM - TOTAL'!AB173/(1-AB166)</f>
        <v>6.977705245</v>
      </c>
      <c r="AC169" s="478">
        <f>'EDCM - TOTAL'!AC173/(1-AC166)</f>
        <v>12.26482262</v>
      </c>
      <c r="AD169" s="478">
        <f>'EDCM - TOTAL'!AD173/(1-AD166)</f>
        <v>13.77314635</v>
      </c>
      <c r="AE169" s="478">
        <f>'EDCM - TOTAL'!AE173/(1-AE166)</f>
        <v>14.66335279</v>
      </c>
      <c r="AF169" s="478">
        <f>'EDCM - TOTAL'!AF173/(1-AF166)</f>
        <v>15.01473086</v>
      </c>
      <c r="AG169" s="478">
        <f>'EDCM - TOTAL'!AG173/(1-AG166)</f>
        <v>15.98883924</v>
      </c>
      <c r="AH169" s="478">
        <f>'EDCM - TOTAL'!AH173/(1-AH166)</f>
        <v>16.23194729</v>
      </c>
      <c r="AI169" s="204"/>
      <c r="AJ169" s="204"/>
      <c r="AK169" s="204"/>
      <c r="AL169" s="204"/>
      <c r="AM169" s="251"/>
      <c r="AN169" s="176"/>
    </row>
    <row r="170" ht="14.25" customHeight="1" outlineLevel="3">
      <c r="A170" s="200"/>
      <c r="B170" s="100"/>
      <c r="C170" s="201"/>
      <c r="D170" s="271"/>
      <c r="E170" s="273" t="s">
        <v>3361</v>
      </c>
      <c r="F170" s="123" t="s">
        <v>135</v>
      </c>
      <c r="G170" s="162"/>
      <c r="H170" s="274">
        <f t="shared" ref="H170:AH170" si="26">H168-H169</f>
        <v>5.261034073</v>
      </c>
      <c r="I170" s="274">
        <f t="shared" si="26"/>
        <v>5.235882161</v>
      </c>
      <c r="J170" s="274">
        <f t="shared" si="26"/>
        <v>5.096631921</v>
      </c>
      <c r="K170" s="274">
        <f t="shared" si="26"/>
        <v>4.894169203</v>
      </c>
      <c r="L170" s="274">
        <f t="shared" si="26"/>
        <v>5.099271634</v>
      </c>
      <c r="M170" s="274">
        <f t="shared" si="26"/>
        <v>4.9251987</v>
      </c>
      <c r="N170" s="274">
        <f t="shared" si="26"/>
        <v>7.436765013</v>
      </c>
      <c r="O170" s="274">
        <f t="shared" si="26"/>
        <v>6.472451925</v>
      </c>
      <c r="P170" s="274">
        <f t="shared" si="26"/>
        <v>6.710512219</v>
      </c>
      <c r="Q170" s="274">
        <f t="shared" si="26"/>
        <v>6.59036671</v>
      </c>
      <c r="R170" s="274">
        <f t="shared" si="26"/>
        <v>2.212812018</v>
      </c>
      <c r="S170" s="274">
        <f t="shared" si="26"/>
        <v>1.76078507</v>
      </c>
      <c r="T170" s="274">
        <f t="shared" si="26"/>
        <v>2.432339977</v>
      </c>
      <c r="U170" s="274">
        <f t="shared" si="26"/>
        <v>2.368725834</v>
      </c>
      <c r="V170" s="274">
        <f t="shared" si="26"/>
        <v>1.950398003</v>
      </c>
      <c r="W170" s="478">
        <f t="shared" si="26"/>
        <v>-1.083139116</v>
      </c>
      <c r="X170" s="478">
        <f t="shared" si="26"/>
        <v>5.740418352</v>
      </c>
      <c r="Y170" s="478">
        <f t="shared" si="26"/>
        <v>4.742690218</v>
      </c>
      <c r="Z170" s="478">
        <f t="shared" si="26"/>
        <v>5.209182672</v>
      </c>
      <c r="AA170" s="478">
        <f t="shared" si="26"/>
        <v>0.4195579399</v>
      </c>
      <c r="AB170" s="478">
        <f t="shared" si="26"/>
        <v>-0.7336541483</v>
      </c>
      <c r="AC170" s="478">
        <f t="shared" si="26"/>
        <v>-3.658419358</v>
      </c>
      <c r="AD170" s="478">
        <f t="shared" si="26"/>
        <v>-3.357750248</v>
      </c>
      <c r="AE170" s="478">
        <f t="shared" si="26"/>
        <v>0.6118540121</v>
      </c>
      <c r="AF170" s="478">
        <f t="shared" si="26"/>
        <v>2.52682712</v>
      </c>
      <c r="AG170" s="478">
        <f t="shared" si="26"/>
        <v>2.225610371</v>
      </c>
      <c r="AH170" s="478">
        <f t="shared" si="26"/>
        <v>1.935772562</v>
      </c>
      <c r="AI170" s="204"/>
      <c r="AJ170" s="204"/>
      <c r="AK170" s="204"/>
      <c r="AL170" s="204"/>
      <c r="AM170" s="251"/>
      <c r="AN170" s="176"/>
    </row>
    <row r="171" ht="14.25" customHeight="1" outlineLevel="1">
      <c r="A171" s="492" t="s">
        <v>3362</v>
      </c>
      <c r="B171" s="873"/>
      <c r="C171" s="874"/>
      <c r="D171" s="874"/>
      <c r="E171" s="100"/>
      <c r="F171" s="869"/>
      <c r="G171" s="869"/>
      <c r="H171" s="208"/>
      <c r="I171" s="208"/>
      <c r="J171" s="208"/>
      <c r="K171" s="208"/>
      <c r="L171" s="208"/>
      <c r="M171" s="208"/>
      <c r="N171" s="208"/>
      <c r="O171" s="208"/>
      <c r="P171" s="208"/>
      <c r="Q171" s="208"/>
      <c r="R171" s="208"/>
      <c r="S171" s="208"/>
      <c r="T171" s="208"/>
      <c r="U171" s="208"/>
      <c r="V171" s="208"/>
      <c r="W171" s="208"/>
      <c r="X171" s="208"/>
      <c r="Y171" s="208"/>
      <c r="Z171" s="208"/>
      <c r="AA171" s="208"/>
      <c r="AB171" s="208"/>
      <c r="AC171" s="208"/>
      <c r="AD171" s="208"/>
      <c r="AE171" s="208"/>
      <c r="AF171" s="208"/>
      <c r="AG171" s="208"/>
      <c r="AH171" s="208"/>
      <c r="AI171" s="271"/>
      <c r="AJ171" s="271"/>
      <c r="AK171" s="271"/>
      <c r="AL171" s="271"/>
      <c r="AM171" s="271"/>
      <c r="AN171" s="176"/>
    </row>
    <row r="172" ht="14.25" customHeight="1" outlineLevel="2">
      <c r="A172" s="888"/>
      <c r="B172" s="872" t="s">
        <v>3363</v>
      </c>
      <c r="C172" s="874"/>
      <c r="D172" s="873"/>
      <c r="E172" s="100"/>
      <c r="F172" s="869"/>
      <c r="G172" s="869"/>
      <c r="H172" s="208"/>
      <c r="I172" s="208"/>
      <c r="J172" s="208"/>
      <c r="K172" s="208"/>
      <c r="L172" s="208"/>
      <c r="M172" s="208"/>
      <c r="N172" s="208"/>
      <c r="O172" s="208"/>
      <c r="P172" s="208"/>
      <c r="Q172" s="208"/>
      <c r="R172" s="208"/>
      <c r="S172" s="208"/>
      <c r="T172" s="208"/>
      <c r="U172" s="208"/>
      <c r="V172" s="208"/>
      <c r="W172" s="208"/>
      <c r="X172" s="208"/>
      <c r="Y172" s="208"/>
      <c r="Z172" s="208"/>
      <c r="AA172" s="208"/>
      <c r="AB172" s="208"/>
      <c r="AC172" s="208"/>
      <c r="AD172" s="208"/>
      <c r="AE172" s="208"/>
      <c r="AF172" s="208"/>
      <c r="AG172" s="208"/>
      <c r="AH172" s="208"/>
      <c r="AI172" s="271"/>
      <c r="AJ172" s="271"/>
      <c r="AK172" s="271"/>
      <c r="AL172" s="271"/>
      <c r="AM172" s="271"/>
      <c r="AN172" s="176"/>
    </row>
    <row r="173" ht="14.25" customHeight="1" outlineLevel="2">
      <c r="A173" s="884"/>
      <c r="B173" s="162"/>
      <c r="C173" s="162"/>
      <c r="D173" s="100"/>
      <c r="E173" s="122" t="s">
        <v>3364</v>
      </c>
      <c r="F173" s="433" t="s">
        <v>135</v>
      </c>
      <c r="G173" s="123" t="s">
        <v>3365</v>
      </c>
      <c r="H173" s="181"/>
      <c r="I173" s="181"/>
      <c r="J173" s="181"/>
      <c r="K173" s="181"/>
      <c r="L173" s="181"/>
      <c r="M173" s="181"/>
      <c r="N173" s="181"/>
      <c r="O173" s="181"/>
      <c r="P173" s="181"/>
      <c r="Q173" s="181"/>
      <c r="R173" s="181"/>
      <c r="S173" s="181"/>
      <c r="T173" s="181"/>
      <c r="U173" s="181"/>
      <c r="V173" s="181"/>
      <c r="W173" s="182"/>
      <c r="X173" s="181"/>
      <c r="Y173" s="181"/>
      <c r="Z173" s="181"/>
      <c r="AA173" s="181"/>
      <c r="AB173" s="182"/>
      <c r="AC173" s="182"/>
      <c r="AD173" s="182"/>
      <c r="AE173" s="182"/>
      <c r="AF173" s="182"/>
      <c r="AG173" s="182"/>
      <c r="AH173" s="182"/>
      <c r="AI173" s="493"/>
      <c r="AJ173" s="493"/>
      <c r="AK173" s="493"/>
      <c r="AL173" s="493"/>
      <c r="AM173" s="205"/>
      <c r="AN173" s="176"/>
    </row>
    <row r="174" ht="14.25" customHeight="1" outlineLevel="2">
      <c r="A174" s="884"/>
      <c r="B174" s="162"/>
      <c r="C174" s="162"/>
      <c r="D174" s="100"/>
      <c r="E174" s="412" t="s">
        <v>3366</v>
      </c>
      <c r="F174" s="433" t="s">
        <v>261</v>
      </c>
      <c r="G174" s="123" t="s">
        <v>3367</v>
      </c>
      <c r="H174" s="254"/>
      <c r="I174" s="254"/>
      <c r="J174" s="254"/>
      <c r="K174" s="254"/>
      <c r="L174" s="254"/>
      <c r="M174" s="254"/>
      <c r="N174" s="254"/>
      <c r="O174" s="254"/>
      <c r="P174" s="254"/>
      <c r="Q174" s="254"/>
      <c r="R174" s="254"/>
      <c r="S174" s="254"/>
      <c r="T174" s="254"/>
      <c r="U174" s="254"/>
      <c r="V174" s="254"/>
      <c r="W174" s="279"/>
      <c r="X174" s="254"/>
      <c r="Y174" s="254"/>
      <c r="Z174" s="254"/>
      <c r="AA174" s="254"/>
      <c r="AB174" s="279"/>
      <c r="AC174" s="279"/>
      <c r="AD174" s="279"/>
      <c r="AE174" s="279"/>
      <c r="AF174" s="279"/>
      <c r="AG174" s="279"/>
      <c r="AH174" s="279"/>
      <c r="AI174" s="493"/>
      <c r="AJ174" s="493"/>
      <c r="AK174" s="493"/>
      <c r="AL174" s="493"/>
      <c r="AM174" s="494"/>
      <c r="AN174" s="176"/>
    </row>
    <row r="175" ht="14.25" customHeight="1">
      <c r="A175" s="99"/>
      <c r="B175" s="100"/>
      <c r="C175" s="100"/>
      <c r="D175" s="100"/>
      <c r="E175" s="100"/>
      <c r="F175" s="869"/>
      <c r="G175" s="869"/>
      <c r="H175" s="207"/>
      <c r="I175" s="207"/>
      <c r="J175" s="207"/>
      <c r="K175" s="207"/>
      <c r="L175" s="207"/>
      <c r="M175" s="207"/>
      <c r="N175" s="207"/>
      <c r="O175" s="207"/>
      <c r="P175" s="207"/>
      <c r="Q175" s="207"/>
      <c r="R175" s="207"/>
      <c r="S175" s="207"/>
      <c r="T175" s="207"/>
      <c r="U175" s="207"/>
      <c r="V175" s="207"/>
      <c r="W175" s="208"/>
      <c r="X175" s="208"/>
      <c r="Y175" s="208"/>
      <c r="Z175" s="208"/>
      <c r="AA175" s="208"/>
      <c r="AB175" s="208"/>
      <c r="AC175" s="208"/>
      <c r="AD175" s="208"/>
      <c r="AE175" s="208"/>
      <c r="AF175" s="208"/>
      <c r="AG175" s="208"/>
      <c r="AH175" s="208"/>
      <c r="AI175" s="271"/>
      <c r="AJ175" s="271"/>
      <c r="AK175" s="271"/>
      <c r="AL175" s="271"/>
      <c r="AM175" s="271"/>
      <c r="AN175" s="102"/>
    </row>
    <row r="176" ht="14.25" customHeight="1">
      <c r="A176" s="99"/>
      <c r="B176" s="100"/>
      <c r="C176" s="100"/>
      <c r="D176" s="100"/>
      <c r="E176" s="100"/>
      <c r="F176" s="869"/>
      <c r="G176" s="869"/>
      <c r="H176" s="207"/>
      <c r="I176" s="207"/>
      <c r="J176" s="207"/>
      <c r="K176" s="207"/>
      <c r="L176" s="207"/>
      <c r="M176" s="207"/>
      <c r="N176" s="207"/>
      <c r="O176" s="207"/>
      <c r="P176" s="207"/>
      <c r="Q176" s="207"/>
      <c r="R176" s="207"/>
      <c r="S176" s="207"/>
      <c r="T176" s="207"/>
      <c r="U176" s="207"/>
      <c r="V176" s="207"/>
      <c r="W176" s="208"/>
      <c r="X176" s="208"/>
      <c r="Y176" s="208"/>
      <c r="Z176" s="208"/>
      <c r="AA176" s="208"/>
      <c r="AB176" s="208"/>
      <c r="AC176" s="208"/>
      <c r="AD176" s="208"/>
      <c r="AE176" s="208"/>
      <c r="AF176" s="208"/>
      <c r="AG176" s="208"/>
      <c r="AH176" s="208"/>
      <c r="AI176" s="271"/>
      <c r="AJ176" s="271"/>
      <c r="AK176" s="271"/>
      <c r="AL176" s="271"/>
      <c r="AM176" s="271"/>
      <c r="AN176" s="102"/>
    </row>
    <row r="177" ht="14.25" customHeight="1">
      <c r="A177" s="99"/>
      <c r="B177" s="100"/>
      <c r="C177" s="100"/>
      <c r="D177" s="100"/>
      <c r="E177" s="100"/>
      <c r="F177" s="869"/>
      <c r="G177" s="869"/>
      <c r="H177" s="207"/>
      <c r="I177" s="207"/>
      <c r="J177" s="207"/>
      <c r="K177" s="207"/>
      <c r="L177" s="207"/>
      <c r="M177" s="207"/>
      <c r="N177" s="207"/>
      <c r="O177" s="207"/>
      <c r="P177" s="207"/>
      <c r="Q177" s="207"/>
      <c r="R177" s="207"/>
      <c r="S177" s="207"/>
      <c r="T177" s="207"/>
      <c r="U177" s="207"/>
      <c r="V177" s="207"/>
      <c r="W177" s="208"/>
      <c r="X177" s="208"/>
      <c r="Y177" s="208"/>
      <c r="Z177" s="208"/>
      <c r="AA177" s="208"/>
      <c r="AB177" s="208"/>
      <c r="AC177" s="208"/>
      <c r="AD177" s="208"/>
      <c r="AE177" s="208"/>
      <c r="AF177" s="208"/>
      <c r="AG177" s="208"/>
      <c r="AH177" s="208"/>
      <c r="AI177" s="271"/>
      <c r="AJ177" s="271"/>
      <c r="AK177" s="271"/>
      <c r="AL177" s="271"/>
      <c r="AM177" s="271"/>
      <c r="AN177" s="102"/>
    </row>
    <row r="178" ht="14.25" customHeight="1">
      <c r="A178" s="99"/>
      <c r="B178" s="100"/>
      <c r="C178" s="100"/>
      <c r="D178" s="100"/>
      <c r="E178" s="890" t="s">
        <v>3368</v>
      </c>
      <c r="F178" s="869"/>
      <c r="G178" s="869"/>
      <c r="H178" s="207"/>
      <c r="I178" s="207"/>
      <c r="J178" s="207"/>
      <c r="K178" s="207"/>
      <c r="L178" s="207"/>
      <c r="M178" s="207"/>
      <c r="N178" s="207"/>
      <c r="O178" s="207"/>
      <c r="P178" s="207"/>
      <c r="Q178" s="207"/>
      <c r="R178" s="207"/>
      <c r="S178" s="207"/>
      <c r="T178" s="207"/>
      <c r="U178" s="207"/>
      <c r="V178" s="207"/>
      <c r="W178" s="208"/>
      <c r="X178" s="208"/>
      <c r="Y178" s="208"/>
      <c r="Z178" s="208"/>
      <c r="AA178" s="208"/>
      <c r="AB178" s="208"/>
      <c r="AC178" s="208"/>
      <c r="AD178" s="208"/>
      <c r="AE178" s="208"/>
      <c r="AF178" s="208"/>
      <c r="AG178" s="208"/>
      <c r="AH178" s="208"/>
      <c r="AI178" s="271"/>
      <c r="AJ178" s="271"/>
      <c r="AK178" s="271"/>
      <c r="AL178" s="271"/>
      <c r="AM178" s="271"/>
      <c r="AN178" s="102"/>
    </row>
    <row r="179" ht="60.0" customHeight="1">
      <c r="A179" s="99"/>
      <c r="B179" s="100"/>
      <c r="C179" s="100"/>
      <c r="D179" s="100"/>
      <c r="E179" s="304" t="s">
        <v>3369</v>
      </c>
      <c r="F179" s="869"/>
      <c r="G179" s="869"/>
      <c r="H179" s="207"/>
      <c r="I179" s="207"/>
      <c r="J179" s="207"/>
      <c r="K179" s="207"/>
      <c r="L179" s="207"/>
      <c r="M179" s="207"/>
      <c r="N179" s="207"/>
      <c r="O179" s="207"/>
      <c r="P179" s="207"/>
      <c r="Q179" s="207"/>
      <c r="R179" s="207"/>
      <c r="S179" s="207"/>
      <c r="T179" s="207"/>
      <c r="U179" s="207"/>
      <c r="V179" s="207"/>
      <c r="W179" s="208"/>
      <c r="X179" s="208"/>
      <c r="Y179" s="208"/>
      <c r="Z179" s="208"/>
      <c r="AA179" s="208"/>
      <c r="AB179" s="208"/>
      <c r="AC179" s="208"/>
      <c r="AD179" s="208"/>
      <c r="AE179" s="208"/>
      <c r="AF179" s="208"/>
      <c r="AG179" s="208"/>
      <c r="AH179" s="208"/>
      <c r="AI179" s="271"/>
      <c r="AJ179" s="271"/>
      <c r="AK179" s="271"/>
      <c r="AL179" s="271"/>
      <c r="AM179" s="271"/>
      <c r="AN179" s="102"/>
    </row>
    <row r="180" ht="14.25" customHeight="1">
      <c r="A180" s="99"/>
      <c r="B180" s="100"/>
      <c r="C180" s="100"/>
      <c r="D180" s="100"/>
      <c r="E180" s="100"/>
      <c r="F180" s="869"/>
      <c r="G180" s="869"/>
      <c r="H180" s="207"/>
      <c r="I180" s="207"/>
      <c r="J180" s="207"/>
      <c r="K180" s="207"/>
      <c r="L180" s="207"/>
      <c r="M180" s="207"/>
      <c r="N180" s="207"/>
      <c r="O180" s="207"/>
      <c r="P180" s="207"/>
      <c r="Q180" s="207"/>
      <c r="R180" s="207"/>
      <c r="S180" s="207"/>
      <c r="T180" s="207"/>
      <c r="U180" s="207"/>
      <c r="V180" s="207"/>
      <c r="W180" s="208"/>
      <c r="X180" s="208"/>
      <c r="Y180" s="208"/>
      <c r="Z180" s="208"/>
      <c r="AA180" s="208"/>
      <c r="AB180" s="208"/>
      <c r="AC180" s="208"/>
      <c r="AD180" s="208"/>
      <c r="AE180" s="208"/>
      <c r="AF180" s="208"/>
      <c r="AG180" s="208"/>
      <c r="AH180" s="208"/>
      <c r="AI180" s="271"/>
      <c r="AJ180" s="271"/>
      <c r="AK180" s="271"/>
      <c r="AL180" s="271"/>
      <c r="AM180" s="271"/>
      <c r="AN180" s="102"/>
    </row>
    <row r="181" ht="14.25" customHeight="1">
      <c r="A181" s="99"/>
      <c r="B181" s="100"/>
      <c r="C181" s="100"/>
      <c r="D181" s="100"/>
      <c r="E181" s="100"/>
      <c r="F181" s="869"/>
      <c r="G181" s="869"/>
      <c r="H181" s="207"/>
      <c r="I181" s="207"/>
      <c r="J181" s="207"/>
      <c r="K181" s="207"/>
      <c r="L181" s="207"/>
      <c r="M181" s="207"/>
      <c r="N181" s="207"/>
      <c r="O181" s="207"/>
      <c r="P181" s="207"/>
      <c r="Q181" s="207"/>
      <c r="R181" s="207"/>
      <c r="S181" s="207"/>
      <c r="T181" s="207"/>
      <c r="U181" s="207"/>
      <c r="V181" s="207"/>
      <c r="W181" s="208"/>
      <c r="X181" s="208"/>
      <c r="Y181" s="208"/>
      <c r="Z181" s="208"/>
      <c r="AA181" s="208"/>
      <c r="AB181" s="208"/>
      <c r="AC181" s="208"/>
      <c r="AD181" s="208"/>
      <c r="AE181" s="208"/>
      <c r="AF181" s="208"/>
      <c r="AG181" s="208"/>
      <c r="AH181" s="208"/>
      <c r="AI181" s="271"/>
      <c r="AJ181" s="271"/>
      <c r="AK181" s="271"/>
      <c r="AL181" s="271"/>
      <c r="AM181" s="271"/>
      <c r="AN181" s="102"/>
    </row>
    <row r="182" ht="14.25" customHeight="1">
      <c r="A182" s="99"/>
      <c r="B182" s="100"/>
      <c r="C182" s="100"/>
      <c r="D182" s="100"/>
      <c r="E182" s="100"/>
      <c r="F182" s="869"/>
      <c r="G182" s="869"/>
      <c r="H182" s="207"/>
      <c r="I182" s="207"/>
      <c r="J182" s="207"/>
      <c r="K182" s="207"/>
      <c r="L182" s="207"/>
      <c r="M182" s="207"/>
      <c r="N182" s="207"/>
      <c r="O182" s="207"/>
      <c r="P182" s="207"/>
      <c r="Q182" s="207"/>
      <c r="R182" s="207"/>
      <c r="S182" s="207"/>
      <c r="T182" s="207"/>
      <c r="U182" s="207"/>
      <c r="V182" s="207"/>
      <c r="W182" s="208"/>
      <c r="X182" s="208"/>
      <c r="Y182" s="208"/>
      <c r="Z182" s="208"/>
      <c r="AA182" s="208"/>
      <c r="AB182" s="208"/>
      <c r="AC182" s="208"/>
      <c r="AD182" s="208"/>
      <c r="AE182" s="208"/>
      <c r="AF182" s="208"/>
      <c r="AG182" s="208"/>
      <c r="AH182" s="208"/>
      <c r="AI182" s="271"/>
      <c r="AJ182" s="271"/>
      <c r="AK182" s="271"/>
      <c r="AL182" s="271"/>
      <c r="AM182" s="271"/>
      <c r="AN182" s="102"/>
    </row>
    <row r="183" ht="14.25" customHeight="1">
      <c r="A183" s="136" t="s">
        <v>201</v>
      </c>
      <c r="B183" s="137"/>
      <c r="C183" s="137"/>
      <c r="D183" s="138"/>
      <c r="E183" s="137"/>
      <c r="F183" s="137"/>
      <c r="G183" s="137"/>
      <c r="H183" s="62">
        <v>2000.0</v>
      </c>
      <c r="I183" s="62">
        <v>2001.0</v>
      </c>
      <c r="J183" s="62">
        <v>2002.0</v>
      </c>
      <c r="K183" s="62">
        <v>2003.0</v>
      </c>
      <c r="L183" s="62">
        <v>2004.0</v>
      </c>
      <c r="M183" s="62">
        <v>2005.0</v>
      </c>
      <c r="N183" s="62">
        <v>2006.0</v>
      </c>
      <c r="O183" s="62">
        <v>2007.0</v>
      </c>
      <c r="P183" s="62">
        <v>2008.0</v>
      </c>
      <c r="Q183" s="62">
        <v>2009.0</v>
      </c>
      <c r="R183" s="62">
        <v>2010.0</v>
      </c>
      <c r="S183" s="62">
        <v>2011.0</v>
      </c>
      <c r="T183" s="62">
        <v>2012.0</v>
      </c>
      <c r="U183" s="62">
        <v>2013.0</v>
      </c>
      <c r="V183" s="62">
        <v>2014.0</v>
      </c>
      <c r="W183" s="62">
        <v>2015.0</v>
      </c>
      <c r="X183" s="62">
        <v>2016.0</v>
      </c>
      <c r="Y183" s="62">
        <v>2017.0</v>
      </c>
      <c r="Z183" s="62">
        <v>2018.0</v>
      </c>
      <c r="AA183" s="62">
        <v>2019.0</v>
      </c>
      <c r="AB183" s="62">
        <v>2020.0</v>
      </c>
      <c r="AC183" s="62">
        <v>2025.0</v>
      </c>
      <c r="AD183" s="62">
        <v>2030.0</v>
      </c>
      <c r="AE183" s="62">
        <v>2035.0</v>
      </c>
      <c r="AF183" s="62">
        <v>2040.0</v>
      </c>
      <c r="AG183" s="62">
        <v>2045.0</v>
      </c>
      <c r="AH183" s="62">
        <v>2050.0</v>
      </c>
      <c r="AI183" s="212" t="s">
        <v>243</v>
      </c>
      <c r="AJ183" s="212" t="s">
        <v>244</v>
      </c>
      <c r="AK183" s="212" t="s">
        <v>245</v>
      </c>
      <c r="AL183" s="212" t="s">
        <v>246</v>
      </c>
      <c r="AM183" s="212" t="s">
        <v>247</v>
      </c>
      <c r="AN183" s="102"/>
    </row>
    <row r="184" ht="14.25" customHeight="1">
      <c r="A184" s="191" t="s">
        <v>221</v>
      </c>
      <c r="B184" s="192"/>
      <c r="C184" s="192"/>
      <c r="D184" s="192"/>
      <c r="E184" s="192"/>
      <c r="F184" s="192"/>
      <c r="G184" s="192"/>
      <c r="H184" s="141">
        <f t="shared" ref="H184:AH184" si="27">AVERAGE(H185,H192,H196)</f>
        <v>0.2718253968</v>
      </c>
      <c r="I184" s="141">
        <f t="shared" si="27"/>
        <v>0.2718253968</v>
      </c>
      <c r="J184" s="141">
        <f t="shared" si="27"/>
        <v>0.2718253968</v>
      </c>
      <c r="K184" s="141">
        <f t="shared" si="27"/>
        <v>0.2718253968</v>
      </c>
      <c r="L184" s="141">
        <f t="shared" si="27"/>
        <v>0.2718253968</v>
      </c>
      <c r="M184" s="141">
        <f t="shared" si="27"/>
        <v>0.2718253968</v>
      </c>
      <c r="N184" s="141">
        <f t="shared" si="27"/>
        <v>0.2718253968</v>
      </c>
      <c r="O184" s="141">
        <f t="shared" si="27"/>
        <v>0.2718253968</v>
      </c>
      <c r="P184" s="141">
        <f t="shared" si="27"/>
        <v>0.2718253968</v>
      </c>
      <c r="Q184" s="141">
        <f t="shared" si="27"/>
        <v>0.2718253968</v>
      </c>
      <c r="R184" s="141">
        <f t="shared" si="27"/>
        <v>0.2718253968</v>
      </c>
      <c r="S184" s="141">
        <f t="shared" si="27"/>
        <v>0.2718253968</v>
      </c>
      <c r="T184" s="141">
        <f t="shared" si="27"/>
        <v>0.2718253968</v>
      </c>
      <c r="U184" s="141">
        <f t="shared" si="27"/>
        <v>0.2718253968</v>
      </c>
      <c r="V184" s="141">
        <f t="shared" si="27"/>
        <v>0.2718253968</v>
      </c>
      <c r="W184" s="141">
        <f t="shared" si="27"/>
        <v>0.7978975216</v>
      </c>
      <c r="X184" s="141">
        <f t="shared" si="27"/>
        <v>0.4908730159</v>
      </c>
      <c r="Y184" s="141">
        <f t="shared" si="27"/>
        <v>0.4869047619</v>
      </c>
      <c r="Z184" s="141">
        <f t="shared" si="27"/>
        <v>0.4869047619</v>
      </c>
      <c r="AA184" s="141">
        <f t="shared" si="27"/>
        <v>0.4869047619</v>
      </c>
      <c r="AB184" s="141">
        <f t="shared" si="27"/>
        <v>0.7978975216</v>
      </c>
      <c r="AC184" s="141">
        <f t="shared" si="27"/>
        <v>0.7998816486</v>
      </c>
      <c r="AD184" s="141">
        <f t="shared" si="27"/>
        <v>0.7998816486</v>
      </c>
      <c r="AE184" s="141">
        <f t="shared" si="27"/>
        <v>0.7998816486</v>
      </c>
      <c r="AF184" s="141">
        <f t="shared" si="27"/>
        <v>0.7998816486</v>
      </c>
      <c r="AG184" s="141">
        <f t="shared" si="27"/>
        <v>0.7998816486</v>
      </c>
      <c r="AH184" s="141">
        <f t="shared" si="27"/>
        <v>0.7998816486</v>
      </c>
      <c r="AI184" s="141">
        <f t="shared" ref="AI184:AI200" si="29">AVERAGE(H184:AA184)</f>
        <v>0.3413432888</v>
      </c>
      <c r="AJ184" s="141">
        <f t="shared" ref="AJ184:AJ200" si="30">W184</f>
        <v>0.7978975216</v>
      </c>
      <c r="AK184" s="141">
        <f t="shared" ref="AK184:AK200" si="31">AVERAGE(AB184:AH184)</f>
        <v>0.7995982019</v>
      </c>
      <c r="AL184" s="141">
        <f t="shared" ref="AL184:AL200" si="32">AVERAGE(W184,AB184,AC184,AD184,AE184,AF184,AG184,AH184)</f>
        <v>0.7993856168</v>
      </c>
      <c r="AM184" s="272">
        <f t="shared" ref="AM184:AM200" si="33">AVERAGE(H184:AH184)</f>
        <v>0.4601501181</v>
      </c>
      <c r="AN184" s="102"/>
    </row>
    <row r="185" ht="14.25" customHeight="1">
      <c r="A185" s="196" t="s">
        <v>43</v>
      </c>
      <c r="B185" s="197"/>
      <c r="C185" s="197"/>
      <c r="D185" s="197"/>
      <c r="E185" s="197"/>
      <c r="F185" s="197"/>
      <c r="G185" s="197"/>
      <c r="H185" s="141">
        <f t="shared" ref="H185:AH185" si="28">AVERAGE(H186:H191)</f>
        <v>0.6488095238</v>
      </c>
      <c r="I185" s="141">
        <f t="shared" si="28"/>
        <v>0.6488095238</v>
      </c>
      <c r="J185" s="141">
        <f t="shared" si="28"/>
        <v>0.6488095238</v>
      </c>
      <c r="K185" s="141">
        <f t="shared" si="28"/>
        <v>0.6488095238</v>
      </c>
      <c r="L185" s="141">
        <f t="shared" si="28"/>
        <v>0.6488095238</v>
      </c>
      <c r="M185" s="141">
        <f t="shared" si="28"/>
        <v>0.6488095238</v>
      </c>
      <c r="N185" s="141">
        <f t="shared" si="28"/>
        <v>0.6488095238</v>
      </c>
      <c r="O185" s="141">
        <f t="shared" si="28"/>
        <v>0.6488095238</v>
      </c>
      <c r="P185" s="141">
        <f t="shared" si="28"/>
        <v>0.6488095238</v>
      </c>
      <c r="Q185" s="141">
        <f t="shared" si="28"/>
        <v>0.6488095238</v>
      </c>
      <c r="R185" s="141">
        <f t="shared" si="28"/>
        <v>0.6488095238</v>
      </c>
      <c r="S185" s="141">
        <f t="shared" si="28"/>
        <v>0.6488095238</v>
      </c>
      <c r="T185" s="141">
        <f t="shared" si="28"/>
        <v>0.6488095238</v>
      </c>
      <c r="U185" s="141">
        <f t="shared" si="28"/>
        <v>0.6488095238</v>
      </c>
      <c r="V185" s="141">
        <f t="shared" si="28"/>
        <v>0.6488095238</v>
      </c>
      <c r="W185" s="141">
        <f t="shared" si="28"/>
        <v>0.8015873016</v>
      </c>
      <c r="X185" s="141">
        <f t="shared" si="28"/>
        <v>0.7503968254</v>
      </c>
      <c r="Y185" s="141">
        <f t="shared" si="28"/>
        <v>0.7384920635</v>
      </c>
      <c r="Z185" s="141">
        <f t="shared" si="28"/>
        <v>0.7384920635</v>
      </c>
      <c r="AA185" s="141">
        <f t="shared" si="28"/>
        <v>0.7384920635</v>
      </c>
      <c r="AB185" s="141">
        <f t="shared" si="28"/>
        <v>0.8015873016</v>
      </c>
      <c r="AC185" s="141">
        <f t="shared" si="28"/>
        <v>0.8075396825</v>
      </c>
      <c r="AD185" s="141">
        <f t="shared" si="28"/>
        <v>0.8075396825</v>
      </c>
      <c r="AE185" s="141">
        <f t="shared" si="28"/>
        <v>0.8075396825</v>
      </c>
      <c r="AF185" s="141">
        <f t="shared" si="28"/>
        <v>0.8075396825</v>
      </c>
      <c r="AG185" s="141">
        <f t="shared" si="28"/>
        <v>0.8075396825</v>
      </c>
      <c r="AH185" s="141">
        <f t="shared" si="28"/>
        <v>0.8075396825</v>
      </c>
      <c r="AI185" s="141">
        <f t="shared" si="29"/>
        <v>0.6749801587</v>
      </c>
      <c r="AJ185" s="141">
        <f t="shared" si="30"/>
        <v>0.8015873016</v>
      </c>
      <c r="AK185" s="141">
        <f t="shared" si="31"/>
        <v>0.8066893424</v>
      </c>
      <c r="AL185" s="141">
        <f t="shared" si="32"/>
        <v>0.8060515873</v>
      </c>
      <c r="AM185" s="272">
        <f t="shared" si="33"/>
        <v>0.7091269841</v>
      </c>
      <c r="AN185" s="102"/>
    </row>
    <row r="186" ht="14.25" customHeight="1">
      <c r="A186" s="492" t="s">
        <v>3095</v>
      </c>
      <c r="B186" s="162"/>
      <c r="C186" s="162"/>
      <c r="D186" s="100"/>
      <c r="E186" s="162"/>
      <c r="F186" s="162"/>
      <c r="G186" s="162"/>
      <c r="H186" s="141">
        <f t="shared" ref="H186:AH186" si="34">COUNTA(H6:H10)/COUNTA($G$6:$G$10)</f>
        <v>1</v>
      </c>
      <c r="I186" s="141">
        <f t="shared" si="34"/>
        <v>1</v>
      </c>
      <c r="J186" s="141">
        <f t="shared" si="34"/>
        <v>1</v>
      </c>
      <c r="K186" s="141">
        <f t="shared" si="34"/>
        <v>1</v>
      </c>
      <c r="L186" s="141">
        <f t="shared" si="34"/>
        <v>1</v>
      </c>
      <c r="M186" s="141">
        <f t="shared" si="34"/>
        <v>1</v>
      </c>
      <c r="N186" s="141">
        <f t="shared" si="34"/>
        <v>1</v>
      </c>
      <c r="O186" s="141">
        <f t="shared" si="34"/>
        <v>1</v>
      </c>
      <c r="P186" s="141">
        <f t="shared" si="34"/>
        <v>1</v>
      </c>
      <c r="Q186" s="141">
        <f t="shared" si="34"/>
        <v>1</v>
      </c>
      <c r="R186" s="141">
        <f t="shared" si="34"/>
        <v>1</v>
      </c>
      <c r="S186" s="141">
        <f t="shared" si="34"/>
        <v>1</v>
      </c>
      <c r="T186" s="141">
        <f t="shared" si="34"/>
        <v>1</v>
      </c>
      <c r="U186" s="141">
        <f t="shared" si="34"/>
        <v>1</v>
      </c>
      <c r="V186" s="141">
        <f t="shared" si="34"/>
        <v>1</v>
      </c>
      <c r="W186" s="141">
        <f t="shared" si="34"/>
        <v>1</v>
      </c>
      <c r="X186" s="141">
        <f t="shared" si="34"/>
        <v>0.8</v>
      </c>
      <c r="Y186" s="141">
        <f t="shared" si="34"/>
        <v>0.8</v>
      </c>
      <c r="Z186" s="141">
        <f t="shared" si="34"/>
        <v>0.8</v>
      </c>
      <c r="AA186" s="141">
        <f t="shared" si="34"/>
        <v>0.8</v>
      </c>
      <c r="AB186" s="141">
        <f t="shared" si="34"/>
        <v>1</v>
      </c>
      <c r="AC186" s="141">
        <f t="shared" si="34"/>
        <v>1</v>
      </c>
      <c r="AD186" s="141">
        <f t="shared" si="34"/>
        <v>1</v>
      </c>
      <c r="AE186" s="141">
        <f t="shared" si="34"/>
        <v>1</v>
      </c>
      <c r="AF186" s="141">
        <f t="shared" si="34"/>
        <v>1</v>
      </c>
      <c r="AG186" s="141">
        <f t="shared" si="34"/>
        <v>1</v>
      </c>
      <c r="AH186" s="141">
        <f t="shared" si="34"/>
        <v>1</v>
      </c>
      <c r="AI186" s="141">
        <f t="shared" si="29"/>
        <v>0.96</v>
      </c>
      <c r="AJ186" s="141">
        <f t="shared" si="30"/>
        <v>1</v>
      </c>
      <c r="AK186" s="141">
        <f t="shared" si="31"/>
        <v>1</v>
      </c>
      <c r="AL186" s="141">
        <f t="shared" si="32"/>
        <v>1</v>
      </c>
      <c r="AM186" s="272">
        <f t="shared" si="33"/>
        <v>0.9703703704</v>
      </c>
      <c r="AN186" s="102"/>
    </row>
    <row r="187" ht="14.25" customHeight="1">
      <c r="A187" s="492" t="s">
        <v>3106</v>
      </c>
      <c r="B187" s="246"/>
      <c r="C187" s="246"/>
      <c r="D187" s="201"/>
      <c r="E187" s="162"/>
      <c r="F187" s="162"/>
      <c r="G187" s="162"/>
      <c r="H187" s="141">
        <f t="shared" ref="H187:AH187" si="35">COUNTA(H12:H14)/COUNTA($G$12:$G$14)</f>
        <v>0.6666666667</v>
      </c>
      <c r="I187" s="141">
        <f t="shared" si="35"/>
        <v>0.6666666667</v>
      </c>
      <c r="J187" s="141">
        <f t="shared" si="35"/>
        <v>0.6666666667</v>
      </c>
      <c r="K187" s="141">
        <f t="shared" si="35"/>
        <v>0.6666666667</v>
      </c>
      <c r="L187" s="141">
        <f t="shared" si="35"/>
        <v>0.6666666667</v>
      </c>
      <c r="M187" s="141">
        <f t="shared" si="35"/>
        <v>0.6666666667</v>
      </c>
      <c r="N187" s="141">
        <f t="shared" si="35"/>
        <v>0.6666666667</v>
      </c>
      <c r="O187" s="141">
        <f t="shared" si="35"/>
        <v>0.6666666667</v>
      </c>
      <c r="P187" s="141">
        <f t="shared" si="35"/>
        <v>0.6666666667</v>
      </c>
      <c r="Q187" s="141">
        <f t="shared" si="35"/>
        <v>0.6666666667</v>
      </c>
      <c r="R187" s="141">
        <f t="shared" si="35"/>
        <v>0.6666666667</v>
      </c>
      <c r="S187" s="141">
        <f t="shared" si="35"/>
        <v>0.6666666667</v>
      </c>
      <c r="T187" s="141">
        <f t="shared" si="35"/>
        <v>0.6666666667</v>
      </c>
      <c r="U187" s="141">
        <f t="shared" si="35"/>
        <v>0.6666666667</v>
      </c>
      <c r="V187" s="141">
        <f t="shared" si="35"/>
        <v>0.6666666667</v>
      </c>
      <c r="W187" s="141">
        <f t="shared" si="35"/>
        <v>1</v>
      </c>
      <c r="X187" s="141">
        <f t="shared" si="35"/>
        <v>1</v>
      </c>
      <c r="Y187" s="141">
        <f t="shared" si="35"/>
        <v>1</v>
      </c>
      <c r="Z187" s="141">
        <f t="shared" si="35"/>
        <v>1</v>
      </c>
      <c r="AA187" s="141">
        <f t="shared" si="35"/>
        <v>1</v>
      </c>
      <c r="AB187" s="141">
        <f t="shared" si="35"/>
        <v>1</v>
      </c>
      <c r="AC187" s="141">
        <f t="shared" si="35"/>
        <v>1</v>
      </c>
      <c r="AD187" s="141">
        <f t="shared" si="35"/>
        <v>1</v>
      </c>
      <c r="AE187" s="141">
        <f t="shared" si="35"/>
        <v>1</v>
      </c>
      <c r="AF187" s="141">
        <f t="shared" si="35"/>
        <v>1</v>
      </c>
      <c r="AG187" s="141">
        <f t="shared" si="35"/>
        <v>1</v>
      </c>
      <c r="AH187" s="141">
        <f t="shared" si="35"/>
        <v>1</v>
      </c>
      <c r="AI187" s="141">
        <f t="shared" si="29"/>
        <v>0.75</v>
      </c>
      <c r="AJ187" s="141">
        <f t="shared" si="30"/>
        <v>1</v>
      </c>
      <c r="AK187" s="141">
        <f t="shared" si="31"/>
        <v>1</v>
      </c>
      <c r="AL187" s="141">
        <f t="shared" si="32"/>
        <v>1</v>
      </c>
      <c r="AM187" s="272">
        <f t="shared" si="33"/>
        <v>0.8148148148</v>
      </c>
      <c r="AN187" s="102"/>
    </row>
    <row r="188" ht="14.25" customHeight="1">
      <c r="A188" s="492" t="s">
        <v>3370</v>
      </c>
      <c r="B188" s="246"/>
      <c r="C188" s="246"/>
      <c r="D188" s="201"/>
      <c r="E188" s="162"/>
      <c r="F188" s="162"/>
      <c r="G188" s="162"/>
      <c r="H188" s="141">
        <f t="shared" ref="H188:AH188" si="36">COUNTA(H16:H17)/COUNTA($G$16:$G$17)</f>
        <v>0</v>
      </c>
      <c r="I188" s="141">
        <f t="shared" si="36"/>
        <v>0</v>
      </c>
      <c r="J188" s="141">
        <f t="shared" si="36"/>
        <v>0</v>
      </c>
      <c r="K188" s="141">
        <f t="shared" si="36"/>
        <v>0</v>
      </c>
      <c r="L188" s="141">
        <f t="shared" si="36"/>
        <v>0</v>
      </c>
      <c r="M188" s="141">
        <f t="shared" si="36"/>
        <v>0</v>
      </c>
      <c r="N188" s="141">
        <f t="shared" si="36"/>
        <v>0</v>
      </c>
      <c r="O188" s="141">
        <f t="shared" si="36"/>
        <v>0</v>
      </c>
      <c r="P188" s="141">
        <f t="shared" si="36"/>
        <v>0</v>
      </c>
      <c r="Q188" s="141">
        <f t="shared" si="36"/>
        <v>0</v>
      </c>
      <c r="R188" s="141">
        <f t="shared" si="36"/>
        <v>0</v>
      </c>
      <c r="S188" s="141">
        <f t="shared" si="36"/>
        <v>0</v>
      </c>
      <c r="T188" s="141">
        <f t="shared" si="36"/>
        <v>0</v>
      </c>
      <c r="U188" s="141">
        <f t="shared" si="36"/>
        <v>0</v>
      </c>
      <c r="V188" s="141">
        <f t="shared" si="36"/>
        <v>0</v>
      </c>
      <c r="W188" s="141">
        <f t="shared" si="36"/>
        <v>0</v>
      </c>
      <c r="X188" s="141">
        <f t="shared" si="36"/>
        <v>0</v>
      </c>
      <c r="Y188" s="141">
        <f t="shared" si="36"/>
        <v>0</v>
      </c>
      <c r="Z188" s="141">
        <f t="shared" si="36"/>
        <v>0</v>
      </c>
      <c r="AA188" s="141">
        <f t="shared" si="36"/>
        <v>0</v>
      </c>
      <c r="AB188" s="141">
        <f t="shared" si="36"/>
        <v>0</v>
      </c>
      <c r="AC188" s="141">
        <f t="shared" si="36"/>
        <v>0</v>
      </c>
      <c r="AD188" s="141">
        <f t="shared" si="36"/>
        <v>0</v>
      </c>
      <c r="AE188" s="141">
        <f t="shared" si="36"/>
        <v>0</v>
      </c>
      <c r="AF188" s="141">
        <f t="shared" si="36"/>
        <v>0</v>
      </c>
      <c r="AG188" s="141">
        <f t="shared" si="36"/>
        <v>0</v>
      </c>
      <c r="AH188" s="141">
        <f t="shared" si="36"/>
        <v>0</v>
      </c>
      <c r="AI188" s="141">
        <f t="shared" si="29"/>
        <v>0</v>
      </c>
      <c r="AJ188" s="141">
        <f t="shared" si="30"/>
        <v>0</v>
      </c>
      <c r="AK188" s="141">
        <f t="shared" si="31"/>
        <v>0</v>
      </c>
      <c r="AL188" s="141">
        <f t="shared" si="32"/>
        <v>0</v>
      </c>
      <c r="AM188" s="272">
        <f t="shared" si="33"/>
        <v>0</v>
      </c>
      <c r="AN188" s="102"/>
    </row>
    <row r="189" ht="14.25" customHeight="1">
      <c r="A189" s="492" t="s">
        <v>3120</v>
      </c>
      <c r="B189" s="246"/>
      <c r="C189" s="246"/>
      <c r="D189" s="201"/>
      <c r="E189" s="162"/>
      <c r="F189" s="162"/>
      <c r="G189" s="162"/>
      <c r="H189" s="141">
        <f t="shared" ref="H189:AH189" si="37">AVERAGE(MAX(COUNTA(H22),COUNTA(H23:H24)/COUNTA($G23:$G24)),MAX(COUNTA(H27),COUNTA(H28:H29)/COUNTA($G28:$G29)),MAX(COUNTA(H31),COUNTA(H32:H33)/COUNTA($G32:$G33)),MAX(COUNTA(H35),COUNTA(H36:H37)/COUNTA($G36:$G37)),COUNTA(H39:H40)/COUNTA($G39:$G40),MAX(COUNTA(H42),COUNTA(H43:H44)/COUNTA($G43:$G44)))</f>
        <v>0.8333333333</v>
      </c>
      <c r="I189" s="141">
        <f t="shared" si="37"/>
        <v>0.8333333333</v>
      </c>
      <c r="J189" s="141">
        <f t="shared" si="37"/>
        <v>0.8333333333</v>
      </c>
      <c r="K189" s="141">
        <f t="shared" si="37"/>
        <v>0.8333333333</v>
      </c>
      <c r="L189" s="141">
        <f t="shared" si="37"/>
        <v>0.8333333333</v>
      </c>
      <c r="M189" s="141">
        <f t="shared" si="37"/>
        <v>0.8333333333</v>
      </c>
      <c r="N189" s="141">
        <f t="shared" si="37"/>
        <v>0.8333333333</v>
      </c>
      <c r="O189" s="141">
        <f t="shared" si="37"/>
        <v>0.8333333333</v>
      </c>
      <c r="P189" s="141">
        <f t="shared" si="37"/>
        <v>0.8333333333</v>
      </c>
      <c r="Q189" s="141">
        <f t="shared" si="37"/>
        <v>0.8333333333</v>
      </c>
      <c r="R189" s="141">
        <f t="shared" si="37"/>
        <v>0.8333333333</v>
      </c>
      <c r="S189" s="141">
        <f t="shared" si="37"/>
        <v>0.8333333333</v>
      </c>
      <c r="T189" s="141">
        <f t="shared" si="37"/>
        <v>0.8333333333</v>
      </c>
      <c r="U189" s="141">
        <f t="shared" si="37"/>
        <v>0.8333333333</v>
      </c>
      <c r="V189" s="141">
        <f t="shared" si="37"/>
        <v>0.8333333333</v>
      </c>
      <c r="W189" s="141">
        <f t="shared" si="37"/>
        <v>0.9166666667</v>
      </c>
      <c r="X189" s="141">
        <f t="shared" si="37"/>
        <v>0.9166666667</v>
      </c>
      <c r="Y189" s="141">
        <f t="shared" si="37"/>
        <v>0.9166666667</v>
      </c>
      <c r="Z189" s="141">
        <f t="shared" si="37"/>
        <v>0.9166666667</v>
      </c>
      <c r="AA189" s="141">
        <f t="shared" si="37"/>
        <v>0.9166666667</v>
      </c>
      <c r="AB189" s="141">
        <f t="shared" si="37"/>
        <v>0.9166666667</v>
      </c>
      <c r="AC189" s="141">
        <f t="shared" si="37"/>
        <v>0.9166666667</v>
      </c>
      <c r="AD189" s="141">
        <f t="shared" si="37"/>
        <v>0.9166666667</v>
      </c>
      <c r="AE189" s="141">
        <f t="shared" si="37"/>
        <v>0.9166666667</v>
      </c>
      <c r="AF189" s="141">
        <f t="shared" si="37"/>
        <v>0.9166666667</v>
      </c>
      <c r="AG189" s="141">
        <f t="shared" si="37"/>
        <v>0.9166666667</v>
      </c>
      <c r="AH189" s="141">
        <f t="shared" si="37"/>
        <v>0.9166666667</v>
      </c>
      <c r="AI189" s="141">
        <f t="shared" si="29"/>
        <v>0.8541666667</v>
      </c>
      <c r="AJ189" s="141">
        <f t="shared" si="30"/>
        <v>0.9166666667</v>
      </c>
      <c r="AK189" s="141">
        <f t="shared" si="31"/>
        <v>0.9166666667</v>
      </c>
      <c r="AL189" s="141">
        <f t="shared" si="32"/>
        <v>0.9166666667</v>
      </c>
      <c r="AM189" s="272">
        <f t="shared" si="33"/>
        <v>0.8703703704</v>
      </c>
      <c r="AN189" s="102"/>
    </row>
    <row r="190" ht="14.25" customHeight="1">
      <c r="A190" s="492" t="s">
        <v>3163</v>
      </c>
      <c r="B190" s="246"/>
      <c r="C190" s="246"/>
      <c r="D190" s="201"/>
      <c r="E190" s="162"/>
      <c r="F190" s="162"/>
      <c r="G190" s="162"/>
      <c r="H190" s="141">
        <f t="shared" ref="H190:AH190" si="38">COUNTA(H47:H60)/COUNTA($G$47:$G$60)</f>
        <v>1</v>
      </c>
      <c r="I190" s="141">
        <f t="shared" si="38"/>
        <v>1</v>
      </c>
      <c r="J190" s="141">
        <f t="shared" si="38"/>
        <v>1</v>
      </c>
      <c r="K190" s="141">
        <f t="shared" si="38"/>
        <v>1</v>
      </c>
      <c r="L190" s="141">
        <f t="shared" si="38"/>
        <v>1</v>
      </c>
      <c r="M190" s="141">
        <f t="shared" si="38"/>
        <v>1</v>
      </c>
      <c r="N190" s="141">
        <f t="shared" si="38"/>
        <v>1</v>
      </c>
      <c r="O190" s="141">
        <f t="shared" si="38"/>
        <v>1</v>
      </c>
      <c r="P190" s="141">
        <f t="shared" si="38"/>
        <v>1</v>
      </c>
      <c r="Q190" s="141">
        <f t="shared" si="38"/>
        <v>1</v>
      </c>
      <c r="R190" s="141">
        <f t="shared" si="38"/>
        <v>1</v>
      </c>
      <c r="S190" s="141">
        <f t="shared" si="38"/>
        <v>1</v>
      </c>
      <c r="T190" s="141">
        <f t="shared" si="38"/>
        <v>1</v>
      </c>
      <c r="U190" s="141">
        <f t="shared" si="38"/>
        <v>1</v>
      </c>
      <c r="V190" s="141">
        <f t="shared" si="38"/>
        <v>1</v>
      </c>
      <c r="W190" s="141">
        <f t="shared" si="38"/>
        <v>1</v>
      </c>
      <c r="X190" s="141">
        <f t="shared" si="38"/>
        <v>1</v>
      </c>
      <c r="Y190" s="141">
        <f t="shared" si="38"/>
        <v>1</v>
      </c>
      <c r="Z190" s="141">
        <f t="shared" si="38"/>
        <v>1</v>
      </c>
      <c r="AA190" s="141">
        <f t="shared" si="38"/>
        <v>1</v>
      </c>
      <c r="AB190" s="141">
        <f t="shared" si="38"/>
        <v>1</v>
      </c>
      <c r="AC190" s="141">
        <f t="shared" si="38"/>
        <v>1</v>
      </c>
      <c r="AD190" s="141">
        <f t="shared" si="38"/>
        <v>1</v>
      </c>
      <c r="AE190" s="141">
        <f t="shared" si="38"/>
        <v>1</v>
      </c>
      <c r="AF190" s="141">
        <f t="shared" si="38"/>
        <v>1</v>
      </c>
      <c r="AG190" s="141">
        <f t="shared" si="38"/>
        <v>1</v>
      </c>
      <c r="AH190" s="141">
        <f t="shared" si="38"/>
        <v>1</v>
      </c>
      <c r="AI190" s="141">
        <f t="shared" si="29"/>
        <v>1</v>
      </c>
      <c r="AJ190" s="141">
        <f t="shared" si="30"/>
        <v>1</v>
      </c>
      <c r="AK190" s="141">
        <f t="shared" si="31"/>
        <v>1</v>
      </c>
      <c r="AL190" s="141">
        <f t="shared" si="32"/>
        <v>1</v>
      </c>
      <c r="AM190" s="272">
        <f t="shared" si="33"/>
        <v>1</v>
      </c>
      <c r="AN190" s="102"/>
    </row>
    <row r="191" ht="14.25" customHeight="1">
      <c r="A191" s="492" t="s">
        <v>3198</v>
      </c>
      <c r="B191" s="246"/>
      <c r="C191" s="246"/>
      <c r="D191" s="201"/>
      <c r="E191" s="162"/>
      <c r="F191" s="162"/>
      <c r="G191" s="162"/>
      <c r="H191" s="141">
        <f t="shared" ref="H191:AH191" si="39">COUNTA(H69:H102)/COUNTA($G$69:$G$102)</f>
        <v>0.3928571429</v>
      </c>
      <c r="I191" s="141">
        <f t="shared" si="39"/>
        <v>0.3928571429</v>
      </c>
      <c r="J191" s="141">
        <f t="shared" si="39"/>
        <v>0.3928571429</v>
      </c>
      <c r="K191" s="141">
        <f t="shared" si="39"/>
        <v>0.3928571429</v>
      </c>
      <c r="L191" s="141">
        <f t="shared" si="39"/>
        <v>0.3928571429</v>
      </c>
      <c r="M191" s="141">
        <f t="shared" si="39"/>
        <v>0.3928571429</v>
      </c>
      <c r="N191" s="141">
        <f t="shared" si="39"/>
        <v>0.3928571429</v>
      </c>
      <c r="O191" s="141">
        <f t="shared" si="39"/>
        <v>0.3928571429</v>
      </c>
      <c r="P191" s="141">
        <f t="shared" si="39"/>
        <v>0.3928571429</v>
      </c>
      <c r="Q191" s="141">
        <f t="shared" si="39"/>
        <v>0.3928571429</v>
      </c>
      <c r="R191" s="141">
        <f t="shared" si="39"/>
        <v>0.3928571429</v>
      </c>
      <c r="S191" s="141">
        <f t="shared" si="39"/>
        <v>0.3928571429</v>
      </c>
      <c r="T191" s="141">
        <f t="shared" si="39"/>
        <v>0.3928571429</v>
      </c>
      <c r="U191" s="141">
        <f t="shared" si="39"/>
        <v>0.3928571429</v>
      </c>
      <c r="V191" s="141">
        <f t="shared" si="39"/>
        <v>0.3928571429</v>
      </c>
      <c r="W191" s="141">
        <f t="shared" si="39"/>
        <v>0.8928571429</v>
      </c>
      <c r="X191" s="141">
        <f t="shared" si="39"/>
        <v>0.7857142857</v>
      </c>
      <c r="Y191" s="141">
        <f t="shared" si="39"/>
        <v>0.7142857143</v>
      </c>
      <c r="Z191" s="141">
        <f t="shared" si="39"/>
        <v>0.7142857143</v>
      </c>
      <c r="AA191" s="141">
        <f t="shared" si="39"/>
        <v>0.7142857143</v>
      </c>
      <c r="AB191" s="141">
        <f t="shared" si="39"/>
        <v>0.8928571429</v>
      </c>
      <c r="AC191" s="141">
        <f t="shared" si="39"/>
        <v>0.9285714286</v>
      </c>
      <c r="AD191" s="141">
        <f t="shared" si="39"/>
        <v>0.9285714286</v>
      </c>
      <c r="AE191" s="141">
        <f t="shared" si="39"/>
        <v>0.9285714286</v>
      </c>
      <c r="AF191" s="141">
        <f t="shared" si="39"/>
        <v>0.9285714286</v>
      </c>
      <c r="AG191" s="141">
        <f t="shared" si="39"/>
        <v>0.9285714286</v>
      </c>
      <c r="AH191" s="141">
        <f t="shared" si="39"/>
        <v>0.9285714286</v>
      </c>
      <c r="AI191" s="141">
        <f t="shared" si="29"/>
        <v>0.4857142857</v>
      </c>
      <c r="AJ191" s="141">
        <f t="shared" si="30"/>
        <v>0.8928571429</v>
      </c>
      <c r="AK191" s="141">
        <f t="shared" si="31"/>
        <v>0.9234693878</v>
      </c>
      <c r="AL191" s="141">
        <f t="shared" si="32"/>
        <v>0.9196428571</v>
      </c>
      <c r="AM191" s="272">
        <f t="shared" si="33"/>
        <v>0.5992063492</v>
      </c>
      <c r="AN191" s="102"/>
    </row>
    <row r="192" ht="14.25" customHeight="1">
      <c r="A192" s="196" t="s">
        <v>44</v>
      </c>
      <c r="B192" s="197"/>
      <c r="C192" s="197"/>
      <c r="D192" s="197"/>
      <c r="E192" s="197"/>
      <c r="F192" s="197"/>
      <c r="G192" s="197"/>
      <c r="H192" s="141">
        <f t="shared" ref="H192:AH192" si="40">AVERAGE(H193:H195)</f>
        <v>0.1666666667</v>
      </c>
      <c r="I192" s="141">
        <f t="shared" si="40"/>
        <v>0.1666666667</v>
      </c>
      <c r="J192" s="141">
        <f t="shared" si="40"/>
        <v>0.1666666667</v>
      </c>
      <c r="K192" s="141">
        <f t="shared" si="40"/>
        <v>0.1666666667</v>
      </c>
      <c r="L192" s="141">
        <f t="shared" si="40"/>
        <v>0.1666666667</v>
      </c>
      <c r="M192" s="141">
        <f t="shared" si="40"/>
        <v>0.1666666667</v>
      </c>
      <c r="N192" s="141">
        <f t="shared" si="40"/>
        <v>0.1666666667</v>
      </c>
      <c r="O192" s="141">
        <f t="shared" si="40"/>
        <v>0.1666666667</v>
      </c>
      <c r="P192" s="141">
        <f t="shared" si="40"/>
        <v>0.1666666667</v>
      </c>
      <c r="Q192" s="141">
        <f t="shared" si="40"/>
        <v>0.1666666667</v>
      </c>
      <c r="R192" s="141">
        <f t="shared" si="40"/>
        <v>0.1666666667</v>
      </c>
      <c r="S192" s="141">
        <f t="shared" si="40"/>
        <v>0.1666666667</v>
      </c>
      <c r="T192" s="141">
        <f t="shared" si="40"/>
        <v>0.1666666667</v>
      </c>
      <c r="U192" s="141">
        <f t="shared" si="40"/>
        <v>0.1666666667</v>
      </c>
      <c r="V192" s="141">
        <f t="shared" si="40"/>
        <v>0.1666666667</v>
      </c>
      <c r="W192" s="141">
        <f t="shared" si="40"/>
        <v>1</v>
      </c>
      <c r="X192" s="141">
        <f t="shared" si="40"/>
        <v>0.7222222222</v>
      </c>
      <c r="Y192" s="141">
        <f t="shared" si="40"/>
        <v>0.7222222222</v>
      </c>
      <c r="Z192" s="141">
        <f t="shared" si="40"/>
        <v>0.7222222222</v>
      </c>
      <c r="AA192" s="141">
        <f t="shared" si="40"/>
        <v>0.7222222222</v>
      </c>
      <c r="AB192" s="141">
        <f t="shared" si="40"/>
        <v>1</v>
      </c>
      <c r="AC192" s="141">
        <f t="shared" si="40"/>
        <v>1</v>
      </c>
      <c r="AD192" s="141">
        <f t="shared" si="40"/>
        <v>1</v>
      </c>
      <c r="AE192" s="141">
        <f t="shared" si="40"/>
        <v>1</v>
      </c>
      <c r="AF192" s="141">
        <f t="shared" si="40"/>
        <v>1</v>
      </c>
      <c r="AG192" s="141">
        <f t="shared" si="40"/>
        <v>1</v>
      </c>
      <c r="AH192" s="141">
        <f t="shared" si="40"/>
        <v>1</v>
      </c>
      <c r="AI192" s="141">
        <f t="shared" si="29"/>
        <v>0.3194444444</v>
      </c>
      <c r="AJ192" s="141">
        <f t="shared" si="30"/>
        <v>1</v>
      </c>
      <c r="AK192" s="141">
        <f t="shared" si="31"/>
        <v>1</v>
      </c>
      <c r="AL192" s="141">
        <f t="shared" si="32"/>
        <v>1</v>
      </c>
      <c r="AM192" s="272">
        <f t="shared" si="33"/>
        <v>0.4958847737</v>
      </c>
      <c r="AN192" s="102"/>
    </row>
    <row r="193" ht="14.25" customHeight="1">
      <c r="A193" s="492" t="s">
        <v>3275</v>
      </c>
      <c r="B193" s="100"/>
      <c r="C193" s="100"/>
      <c r="D193" s="100"/>
      <c r="E193" s="100"/>
      <c r="F193" s="869"/>
      <c r="G193" s="869"/>
      <c r="H193" s="141">
        <f t="shared" ref="H193:AH193" si="41">COUNTA(H113:H115)/COUNTA($G$113:$G$115)</f>
        <v>0</v>
      </c>
      <c r="I193" s="141">
        <f t="shared" si="41"/>
        <v>0</v>
      </c>
      <c r="J193" s="141">
        <f t="shared" si="41"/>
        <v>0</v>
      </c>
      <c r="K193" s="141">
        <f t="shared" si="41"/>
        <v>0</v>
      </c>
      <c r="L193" s="141">
        <f t="shared" si="41"/>
        <v>0</v>
      </c>
      <c r="M193" s="141">
        <f t="shared" si="41"/>
        <v>0</v>
      </c>
      <c r="N193" s="141">
        <f t="shared" si="41"/>
        <v>0</v>
      </c>
      <c r="O193" s="141">
        <f t="shared" si="41"/>
        <v>0</v>
      </c>
      <c r="P193" s="141">
        <f t="shared" si="41"/>
        <v>0</v>
      </c>
      <c r="Q193" s="141">
        <f t="shared" si="41"/>
        <v>0</v>
      </c>
      <c r="R193" s="141">
        <f t="shared" si="41"/>
        <v>0</v>
      </c>
      <c r="S193" s="141">
        <f t="shared" si="41"/>
        <v>0</v>
      </c>
      <c r="T193" s="141">
        <f t="shared" si="41"/>
        <v>0</v>
      </c>
      <c r="U193" s="141">
        <f t="shared" si="41"/>
        <v>0</v>
      </c>
      <c r="V193" s="141">
        <f t="shared" si="41"/>
        <v>0</v>
      </c>
      <c r="W193" s="141">
        <f t="shared" si="41"/>
        <v>1</v>
      </c>
      <c r="X193" s="141">
        <f t="shared" si="41"/>
        <v>0.6666666667</v>
      </c>
      <c r="Y193" s="141">
        <f t="shared" si="41"/>
        <v>0.6666666667</v>
      </c>
      <c r="Z193" s="141">
        <f t="shared" si="41"/>
        <v>0.6666666667</v>
      </c>
      <c r="AA193" s="141">
        <f t="shared" si="41"/>
        <v>0.6666666667</v>
      </c>
      <c r="AB193" s="141">
        <f t="shared" si="41"/>
        <v>1</v>
      </c>
      <c r="AC193" s="141">
        <f t="shared" si="41"/>
        <v>1</v>
      </c>
      <c r="AD193" s="141">
        <f t="shared" si="41"/>
        <v>1</v>
      </c>
      <c r="AE193" s="141">
        <f t="shared" si="41"/>
        <v>1</v>
      </c>
      <c r="AF193" s="141">
        <f t="shared" si="41"/>
        <v>1</v>
      </c>
      <c r="AG193" s="141">
        <f t="shared" si="41"/>
        <v>1</v>
      </c>
      <c r="AH193" s="141">
        <f t="shared" si="41"/>
        <v>1</v>
      </c>
      <c r="AI193" s="141">
        <f t="shared" si="29"/>
        <v>0.1833333333</v>
      </c>
      <c r="AJ193" s="141">
        <f t="shared" si="30"/>
        <v>1</v>
      </c>
      <c r="AK193" s="141">
        <f t="shared" si="31"/>
        <v>1</v>
      </c>
      <c r="AL193" s="141">
        <f t="shared" si="32"/>
        <v>1</v>
      </c>
      <c r="AM193" s="272">
        <f t="shared" si="33"/>
        <v>0.3950617284</v>
      </c>
      <c r="AN193" s="102"/>
    </row>
    <row r="194" ht="14.25" customHeight="1">
      <c r="A194" s="492" t="s">
        <v>3282</v>
      </c>
      <c r="B194" s="100"/>
      <c r="C194" s="100"/>
      <c r="D194" s="100"/>
      <c r="E194" s="100"/>
      <c r="F194" s="869"/>
      <c r="G194" s="869"/>
      <c r="H194" s="141">
        <f t="shared" ref="H194:AH194" si="42">COUNTA(H117:H118)/COUNTA($G$117:$G$118)</f>
        <v>0</v>
      </c>
      <c r="I194" s="141">
        <f t="shared" si="42"/>
        <v>0</v>
      </c>
      <c r="J194" s="141">
        <f t="shared" si="42"/>
        <v>0</v>
      </c>
      <c r="K194" s="141">
        <f t="shared" si="42"/>
        <v>0</v>
      </c>
      <c r="L194" s="141">
        <f t="shared" si="42"/>
        <v>0</v>
      </c>
      <c r="M194" s="141">
        <f t="shared" si="42"/>
        <v>0</v>
      </c>
      <c r="N194" s="141">
        <f t="shared" si="42"/>
        <v>0</v>
      </c>
      <c r="O194" s="141">
        <f t="shared" si="42"/>
        <v>0</v>
      </c>
      <c r="P194" s="141">
        <f t="shared" si="42"/>
        <v>0</v>
      </c>
      <c r="Q194" s="141">
        <f t="shared" si="42"/>
        <v>0</v>
      </c>
      <c r="R194" s="141">
        <f t="shared" si="42"/>
        <v>0</v>
      </c>
      <c r="S194" s="141">
        <f t="shared" si="42"/>
        <v>0</v>
      </c>
      <c r="T194" s="141">
        <f t="shared" si="42"/>
        <v>0</v>
      </c>
      <c r="U194" s="141">
        <f t="shared" si="42"/>
        <v>0</v>
      </c>
      <c r="V194" s="141">
        <f t="shared" si="42"/>
        <v>0</v>
      </c>
      <c r="W194" s="141">
        <f t="shared" si="42"/>
        <v>1</v>
      </c>
      <c r="X194" s="141">
        <f t="shared" si="42"/>
        <v>1</v>
      </c>
      <c r="Y194" s="141">
        <f t="shared" si="42"/>
        <v>1</v>
      </c>
      <c r="Z194" s="141">
        <f t="shared" si="42"/>
        <v>1</v>
      </c>
      <c r="AA194" s="141">
        <f t="shared" si="42"/>
        <v>1</v>
      </c>
      <c r="AB194" s="141">
        <f t="shared" si="42"/>
        <v>1</v>
      </c>
      <c r="AC194" s="141">
        <f t="shared" si="42"/>
        <v>1</v>
      </c>
      <c r="AD194" s="141">
        <f t="shared" si="42"/>
        <v>1</v>
      </c>
      <c r="AE194" s="141">
        <f t="shared" si="42"/>
        <v>1</v>
      </c>
      <c r="AF194" s="141">
        <f t="shared" si="42"/>
        <v>1</v>
      </c>
      <c r="AG194" s="141">
        <f t="shared" si="42"/>
        <v>1</v>
      </c>
      <c r="AH194" s="141">
        <f t="shared" si="42"/>
        <v>1</v>
      </c>
      <c r="AI194" s="141">
        <f t="shared" si="29"/>
        <v>0.25</v>
      </c>
      <c r="AJ194" s="141">
        <f t="shared" si="30"/>
        <v>1</v>
      </c>
      <c r="AK194" s="141">
        <f t="shared" si="31"/>
        <v>1</v>
      </c>
      <c r="AL194" s="141">
        <f t="shared" si="32"/>
        <v>1</v>
      </c>
      <c r="AM194" s="272">
        <f t="shared" si="33"/>
        <v>0.4444444444</v>
      </c>
      <c r="AN194" s="102"/>
    </row>
    <row r="195" ht="14.25" customHeight="1">
      <c r="A195" s="492" t="s">
        <v>3287</v>
      </c>
      <c r="B195" s="100"/>
      <c r="C195" s="100"/>
      <c r="D195" s="100"/>
      <c r="E195" s="100"/>
      <c r="F195" s="869"/>
      <c r="G195" s="869"/>
      <c r="H195" s="141">
        <f t="shared" ref="H195:AH195" si="43">COUNTA(H120:H121)/COUNTA($G$120:$G$121)</f>
        <v>0.5</v>
      </c>
      <c r="I195" s="141">
        <f t="shared" si="43"/>
        <v>0.5</v>
      </c>
      <c r="J195" s="141">
        <f t="shared" si="43"/>
        <v>0.5</v>
      </c>
      <c r="K195" s="141">
        <f t="shared" si="43"/>
        <v>0.5</v>
      </c>
      <c r="L195" s="141">
        <f t="shared" si="43"/>
        <v>0.5</v>
      </c>
      <c r="M195" s="141">
        <f t="shared" si="43"/>
        <v>0.5</v>
      </c>
      <c r="N195" s="141">
        <f t="shared" si="43"/>
        <v>0.5</v>
      </c>
      <c r="O195" s="141">
        <f t="shared" si="43"/>
        <v>0.5</v>
      </c>
      <c r="P195" s="141">
        <f t="shared" si="43"/>
        <v>0.5</v>
      </c>
      <c r="Q195" s="141">
        <f t="shared" si="43"/>
        <v>0.5</v>
      </c>
      <c r="R195" s="141">
        <f t="shared" si="43"/>
        <v>0.5</v>
      </c>
      <c r="S195" s="141">
        <f t="shared" si="43"/>
        <v>0.5</v>
      </c>
      <c r="T195" s="141">
        <f t="shared" si="43"/>
        <v>0.5</v>
      </c>
      <c r="U195" s="141">
        <f t="shared" si="43"/>
        <v>0.5</v>
      </c>
      <c r="V195" s="141">
        <f t="shared" si="43"/>
        <v>0.5</v>
      </c>
      <c r="W195" s="141">
        <f t="shared" si="43"/>
        <v>1</v>
      </c>
      <c r="X195" s="141">
        <f t="shared" si="43"/>
        <v>0.5</v>
      </c>
      <c r="Y195" s="141">
        <f t="shared" si="43"/>
        <v>0.5</v>
      </c>
      <c r="Z195" s="141">
        <f t="shared" si="43"/>
        <v>0.5</v>
      </c>
      <c r="AA195" s="141">
        <f t="shared" si="43"/>
        <v>0.5</v>
      </c>
      <c r="AB195" s="141">
        <f t="shared" si="43"/>
        <v>1</v>
      </c>
      <c r="AC195" s="141">
        <f t="shared" si="43"/>
        <v>1</v>
      </c>
      <c r="AD195" s="141">
        <f t="shared" si="43"/>
        <v>1</v>
      </c>
      <c r="AE195" s="141">
        <f t="shared" si="43"/>
        <v>1</v>
      </c>
      <c r="AF195" s="141">
        <f t="shared" si="43"/>
        <v>1</v>
      </c>
      <c r="AG195" s="141">
        <f t="shared" si="43"/>
        <v>1</v>
      </c>
      <c r="AH195" s="141">
        <f t="shared" si="43"/>
        <v>1</v>
      </c>
      <c r="AI195" s="141">
        <f t="shared" si="29"/>
        <v>0.525</v>
      </c>
      <c r="AJ195" s="141">
        <f t="shared" si="30"/>
        <v>1</v>
      </c>
      <c r="AK195" s="141">
        <f t="shared" si="31"/>
        <v>1</v>
      </c>
      <c r="AL195" s="141">
        <f t="shared" si="32"/>
        <v>1</v>
      </c>
      <c r="AM195" s="272">
        <f t="shared" si="33"/>
        <v>0.6481481481</v>
      </c>
      <c r="AN195" s="102"/>
    </row>
    <row r="196" ht="14.25" customHeight="1">
      <c r="A196" s="196" t="s">
        <v>45</v>
      </c>
      <c r="B196" s="197"/>
      <c r="C196" s="197"/>
      <c r="D196" s="197"/>
      <c r="E196" s="197"/>
      <c r="F196" s="197"/>
      <c r="G196" s="197"/>
      <c r="H196" s="141">
        <f t="shared" ref="H196:AH196" si="44">AVERAGE(H197:H200)</f>
        <v>0</v>
      </c>
      <c r="I196" s="141">
        <f t="shared" si="44"/>
        <v>0</v>
      </c>
      <c r="J196" s="141">
        <f t="shared" si="44"/>
        <v>0</v>
      </c>
      <c r="K196" s="141">
        <f t="shared" si="44"/>
        <v>0</v>
      </c>
      <c r="L196" s="141">
        <f t="shared" si="44"/>
        <v>0</v>
      </c>
      <c r="M196" s="141">
        <f t="shared" si="44"/>
        <v>0</v>
      </c>
      <c r="N196" s="141">
        <f t="shared" si="44"/>
        <v>0</v>
      </c>
      <c r="O196" s="141">
        <f t="shared" si="44"/>
        <v>0</v>
      </c>
      <c r="P196" s="141">
        <f t="shared" si="44"/>
        <v>0</v>
      </c>
      <c r="Q196" s="141">
        <f t="shared" si="44"/>
        <v>0</v>
      </c>
      <c r="R196" s="141">
        <f t="shared" si="44"/>
        <v>0</v>
      </c>
      <c r="S196" s="141">
        <f t="shared" si="44"/>
        <v>0</v>
      </c>
      <c r="T196" s="141">
        <f t="shared" si="44"/>
        <v>0</v>
      </c>
      <c r="U196" s="141">
        <f t="shared" si="44"/>
        <v>0</v>
      </c>
      <c r="V196" s="141">
        <f t="shared" si="44"/>
        <v>0</v>
      </c>
      <c r="W196" s="141">
        <f t="shared" si="44"/>
        <v>0.5921052632</v>
      </c>
      <c r="X196" s="141">
        <f t="shared" si="44"/>
        <v>0</v>
      </c>
      <c r="Y196" s="141">
        <f t="shared" si="44"/>
        <v>0</v>
      </c>
      <c r="Z196" s="141">
        <f t="shared" si="44"/>
        <v>0</v>
      </c>
      <c r="AA196" s="141">
        <f t="shared" si="44"/>
        <v>0</v>
      </c>
      <c r="AB196" s="141">
        <f t="shared" si="44"/>
        <v>0.5921052632</v>
      </c>
      <c r="AC196" s="141">
        <f t="shared" si="44"/>
        <v>0.5921052632</v>
      </c>
      <c r="AD196" s="141">
        <f t="shared" si="44"/>
        <v>0.5921052632</v>
      </c>
      <c r="AE196" s="141">
        <f t="shared" si="44"/>
        <v>0.5921052632</v>
      </c>
      <c r="AF196" s="141">
        <f t="shared" si="44"/>
        <v>0.5921052632</v>
      </c>
      <c r="AG196" s="141">
        <f t="shared" si="44"/>
        <v>0.5921052632</v>
      </c>
      <c r="AH196" s="141">
        <f t="shared" si="44"/>
        <v>0.5921052632</v>
      </c>
      <c r="AI196" s="141">
        <f t="shared" si="29"/>
        <v>0.02960526316</v>
      </c>
      <c r="AJ196" s="141">
        <f t="shared" si="30"/>
        <v>0.5921052632</v>
      </c>
      <c r="AK196" s="141">
        <f t="shared" si="31"/>
        <v>0.5921052632</v>
      </c>
      <c r="AL196" s="141">
        <f t="shared" si="32"/>
        <v>0.5921052632</v>
      </c>
      <c r="AM196" s="272">
        <f t="shared" si="33"/>
        <v>0.1754385965</v>
      </c>
      <c r="AN196" s="102"/>
    </row>
    <row r="197" ht="14.25" customHeight="1">
      <c r="A197" s="492" t="s">
        <v>3292</v>
      </c>
      <c r="B197" s="100"/>
      <c r="C197" s="100"/>
      <c r="D197" s="100"/>
      <c r="E197" s="100"/>
      <c r="F197" s="869"/>
      <c r="G197" s="869"/>
      <c r="H197" s="141">
        <f t="shared" ref="H197:AH197" si="45">MAX(COUNTA(H126),COUNTA(H127:H128)/COUNTA($G$127:$G$128))</f>
        <v>0</v>
      </c>
      <c r="I197" s="141">
        <f t="shared" si="45"/>
        <v>0</v>
      </c>
      <c r="J197" s="141">
        <f t="shared" si="45"/>
        <v>0</v>
      </c>
      <c r="K197" s="141">
        <f t="shared" si="45"/>
        <v>0</v>
      </c>
      <c r="L197" s="141">
        <f t="shared" si="45"/>
        <v>0</v>
      </c>
      <c r="M197" s="141">
        <f t="shared" si="45"/>
        <v>0</v>
      </c>
      <c r="N197" s="141">
        <f t="shared" si="45"/>
        <v>0</v>
      </c>
      <c r="O197" s="141">
        <f t="shared" si="45"/>
        <v>0</v>
      </c>
      <c r="P197" s="141">
        <f t="shared" si="45"/>
        <v>0</v>
      </c>
      <c r="Q197" s="141">
        <f t="shared" si="45"/>
        <v>0</v>
      </c>
      <c r="R197" s="141">
        <f t="shared" si="45"/>
        <v>0</v>
      </c>
      <c r="S197" s="141">
        <f t="shared" si="45"/>
        <v>0</v>
      </c>
      <c r="T197" s="141">
        <f t="shared" si="45"/>
        <v>0</v>
      </c>
      <c r="U197" s="141">
        <f t="shared" si="45"/>
        <v>0</v>
      </c>
      <c r="V197" s="141">
        <f t="shared" si="45"/>
        <v>0</v>
      </c>
      <c r="W197" s="141">
        <f t="shared" si="45"/>
        <v>1</v>
      </c>
      <c r="X197" s="141">
        <f t="shared" si="45"/>
        <v>0</v>
      </c>
      <c r="Y197" s="141">
        <f t="shared" si="45"/>
        <v>0</v>
      </c>
      <c r="Z197" s="141">
        <f t="shared" si="45"/>
        <v>0</v>
      </c>
      <c r="AA197" s="141">
        <f t="shared" si="45"/>
        <v>0</v>
      </c>
      <c r="AB197" s="141">
        <f t="shared" si="45"/>
        <v>1</v>
      </c>
      <c r="AC197" s="141">
        <f t="shared" si="45"/>
        <v>1</v>
      </c>
      <c r="AD197" s="141">
        <f t="shared" si="45"/>
        <v>1</v>
      </c>
      <c r="AE197" s="141">
        <f t="shared" si="45"/>
        <v>1</v>
      </c>
      <c r="AF197" s="141">
        <f t="shared" si="45"/>
        <v>1</v>
      </c>
      <c r="AG197" s="141">
        <f t="shared" si="45"/>
        <v>1</v>
      </c>
      <c r="AH197" s="141">
        <f t="shared" si="45"/>
        <v>1</v>
      </c>
      <c r="AI197" s="141">
        <f t="shared" si="29"/>
        <v>0.05</v>
      </c>
      <c r="AJ197" s="141">
        <f t="shared" si="30"/>
        <v>1</v>
      </c>
      <c r="AK197" s="141">
        <f t="shared" si="31"/>
        <v>1</v>
      </c>
      <c r="AL197" s="141">
        <f t="shared" si="32"/>
        <v>1</v>
      </c>
      <c r="AM197" s="272">
        <f t="shared" si="33"/>
        <v>0.2962962963</v>
      </c>
      <c r="AN197" s="102"/>
    </row>
    <row r="198" ht="14.25" customHeight="1">
      <c r="A198" s="492" t="s">
        <v>181</v>
      </c>
      <c r="B198" s="100"/>
      <c r="C198" s="100"/>
      <c r="D198" s="100"/>
      <c r="E198" s="100"/>
      <c r="F198" s="869"/>
      <c r="G198" s="869"/>
      <c r="H198" s="141">
        <f t="shared" ref="H198:AH198" si="46">COUNTA(H132)</f>
        <v>0</v>
      </c>
      <c r="I198" s="141">
        <f t="shared" si="46"/>
        <v>0</v>
      </c>
      <c r="J198" s="141">
        <f t="shared" si="46"/>
        <v>0</v>
      </c>
      <c r="K198" s="141">
        <f t="shared" si="46"/>
        <v>0</v>
      </c>
      <c r="L198" s="141">
        <f t="shared" si="46"/>
        <v>0</v>
      </c>
      <c r="M198" s="141">
        <f t="shared" si="46"/>
        <v>0</v>
      </c>
      <c r="N198" s="141">
        <f t="shared" si="46"/>
        <v>0</v>
      </c>
      <c r="O198" s="141">
        <f t="shared" si="46"/>
        <v>0</v>
      </c>
      <c r="P198" s="141">
        <f t="shared" si="46"/>
        <v>0</v>
      </c>
      <c r="Q198" s="141">
        <f t="shared" si="46"/>
        <v>0</v>
      </c>
      <c r="R198" s="141">
        <f t="shared" si="46"/>
        <v>0</v>
      </c>
      <c r="S198" s="141">
        <f t="shared" si="46"/>
        <v>0</v>
      </c>
      <c r="T198" s="141">
        <f t="shared" si="46"/>
        <v>0</v>
      </c>
      <c r="U198" s="141">
        <f t="shared" si="46"/>
        <v>0</v>
      </c>
      <c r="V198" s="141">
        <f t="shared" si="46"/>
        <v>0</v>
      </c>
      <c r="W198" s="141">
        <f t="shared" si="46"/>
        <v>1</v>
      </c>
      <c r="X198" s="141">
        <f t="shared" si="46"/>
        <v>0</v>
      </c>
      <c r="Y198" s="141">
        <f t="shared" si="46"/>
        <v>0</v>
      </c>
      <c r="Z198" s="141">
        <f t="shared" si="46"/>
        <v>0</v>
      </c>
      <c r="AA198" s="141">
        <f t="shared" si="46"/>
        <v>0</v>
      </c>
      <c r="AB198" s="141">
        <f t="shared" si="46"/>
        <v>1</v>
      </c>
      <c r="AC198" s="141">
        <f t="shared" si="46"/>
        <v>1</v>
      </c>
      <c r="AD198" s="141">
        <f t="shared" si="46"/>
        <v>1</v>
      </c>
      <c r="AE198" s="141">
        <f t="shared" si="46"/>
        <v>1</v>
      </c>
      <c r="AF198" s="141">
        <f t="shared" si="46"/>
        <v>1</v>
      </c>
      <c r="AG198" s="141">
        <f t="shared" si="46"/>
        <v>1</v>
      </c>
      <c r="AH198" s="141">
        <f t="shared" si="46"/>
        <v>1</v>
      </c>
      <c r="AI198" s="141">
        <f t="shared" si="29"/>
        <v>0.05</v>
      </c>
      <c r="AJ198" s="141">
        <f t="shared" si="30"/>
        <v>1</v>
      </c>
      <c r="AK198" s="141">
        <f t="shared" si="31"/>
        <v>1</v>
      </c>
      <c r="AL198" s="141">
        <f t="shared" si="32"/>
        <v>1</v>
      </c>
      <c r="AM198" s="272">
        <f t="shared" si="33"/>
        <v>0.2962962963</v>
      </c>
      <c r="AN198" s="102"/>
    </row>
    <row r="199" ht="14.25" customHeight="1">
      <c r="A199" s="492" t="s">
        <v>3304</v>
      </c>
      <c r="B199" s="100"/>
      <c r="C199" s="100"/>
      <c r="D199" s="100"/>
      <c r="E199" s="100"/>
      <c r="F199" s="869"/>
      <c r="G199" s="869"/>
      <c r="H199" s="141">
        <f t="shared" ref="H199:AH199" si="47">COUNTA(H138:H166)/COUNTA($G$138:$G$166)</f>
        <v>0</v>
      </c>
      <c r="I199" s="141">
        <f t="shared" si="47"/>
        <v>0</v>
      </c>
      <c r="J199" s="141">
        <f t="shared" si="47"/>
        <v>0</v>
      </c>
      <c r="K199" s="141">
        <f t="shared" si="47"/>
        <v>0</v>
      </c>
      <c r="L199" s="141">
        <f t="shared" si="47"/>
        <v>0</v>
      </c>
      <c r="M199" s="141">
        <f t="shared" si="47"/>
        <v>0</v>
      </c>
      <c r="N199" s="141">
        <f t="shared" si="47"/>
        <v>0</v>
      </c>
      <c r="O199" s="141">
        <f t="shared" si="47"/>
        <v>0</v>
      </c>
      <c r="P199" s="141">
        <f t="shared" si="47"/>
        <v>0</v>
      </c>
      <c r="Q199" s="141">
        <f t="shared" si="47"/>
        <v>0</v>
      </c>
      <c r="R199" s="141">
        <f t="shared" si="47"/>
        <v>0</v>
      </c>
      <c r="S199" s="141">
        <f t="shared" si="47"/>
        <v>0</v>
      </c>
      <c r="T199" s="141">
        <f t="shared" si="47"/>
        <v>0</v>
      </c>
      <c r="U199" s="141">
        <f t="shared" si="47"/>
        <v>0</v>
      </c>
      <c r="V199" s="141">
        <f t="shared" si="47"/>
        <v>0</v>
      </c>
      <c r="W199" s="141">
        <f t="shared" si="47"/>
        <v>0.3684210526</v>
      </c>
      <c r="X199" s="141">
        <f t="shared" si="47"/>
        <v>0</v>
      </c>
      <c r="Y199" s="141">
        <f t="shared" si="47"/>
        <v>0</v>
      </c>
      <c r="Z199" s="141">
        <f t="shared" si="47"/>
        <v>0</v>
      </c>
      <c r="AA199" s="141">
        <f t="shared" si="47"/>
        <v>0</v>
      </c>
      <c r="AB199" s="141">
        <f t="shared" si="47"/>
        <v>0.3684210526</v>
      </c>
      <c r="AC199" s="141">
        <f t="shared" si="47"/>
        <v>0.3684210526</v>
      </c>
      <c r="AD199" s="141">
        <f t="shared" si="47"/>
        <v>0.3684210526</v>
      </c>
      <c r="AE199" s="141">
        <f t="shared" si="47"/>
        <v>0.3684210526</v>
      </c>
      <c r="AF199" s="141">
        <f t="shared" si="47"/>
        <v>0.3684210526</v>
      </c>
      <c r="AG199" s="141">
        <f t="shared" si="47"/>
        <v>0.3684210526</v>
      </c>
      <c r="AH199" s="141">
        <f t="shared" si="47"/>
        <v>0.3684210526</v>
      </c>
      <c r="AI199" s="141">
        <f t="shared" si="29"/>
        <v>0.01842105263</v>
      </c>
      <c r="AJ199" s="141">
        <f t="shared" si="30"/>
        <v>0.3684210526</v>
      </c>
      <c r="AK199" s="141">
        <f t="shared" si="31"/>
        <v>0.3684210526</v>
      </c>
      <c r="AL199" s="141">
        <f t="shared" si="32"/>
        <v>0.3684210526</v>
      </c>
      <c r="AM199" s="272">
        <f t="shared" si="33"/>
        <v>0.1091617934</v>
      </c>
      <c r="AN199" s="102"/>
    </row>
    <row r="200" ht="14.25" customHeight="1">
      <c r="A200" s="492" t="s">
        <v>3362</v>
      </c>
      <c r="B200" s="100"/>
      <c r="C200" s="100"/>
      <c r="D200" s="100"/>
      <c r="E200" s="100"/>
      <c r="F200" s="869"/>
      <c r="G200" s="869"/>
      <c r="H200" s="141">
        <f t="shared" ref="H200:AH200" si="48">COUNTA(H173:H174)/COUNTA($G$173:$G$174)</f>
        <v>0</v>
      </c>
      <c r="I200" s="141">
        <f t="shared" si="48"/>
        <v>0</v>
      </c>
      <c r="J200" s="141">
        <f t="shared" si="48"/>
        <v>0</v>
      </c>
      <c r="K200" s="141">
        <f t="shared" si="48"/>
        <v>0</v>
      </c>
      <c r="L200" s="141">
        <f t="shared" si="48"/>
        <v>0</v>
      </c>
      <c r="M200" s="141">
        <f t="shared" si="48"/>
        <v>0</v>
      </c>
      <c r="N200" s="141">
        <f t="shared" si="48"/>
        <v>0</v>
      </c>
      <c r="O200" s="141">
        <f t="shared" si="48"/>
        <v>0</v>
      </c>
      <c r="P200" s="141">
        <f t="shared" si="48"/>
        <v>0</v>
      </c>
      <c r="Q200" s="141">
        <f t="shared" si="48"/>
        <v>0</v>
      </c>
      <c r="R200" s="141">
        <f t="shared" si="48"/>
        <v>0</v>
      </c>
      <c r="S200" s="141">
        <f t="shared" si="48"/>
        <v>0</v>
      </c>
      <c r="T200" s="141">
        <f t="shared" si="48"/>
        <v>0</v>
      </c>
      <c r="U200" s="141">
        <f t="shared" si="48"/>
        <v>0</v>
      </c>
      <c r="V200" s="141">
        <f t="shared" si="48"/>
        <v>0</v>
      </c>
      <c r="W200" s="141">
        <f t="shared" si="48"/>
        <v>0</v>
      </c>
      <c r="X200" s="141">
        <f t="shared" si="48"/>
        <v>0</v>
      </c>
      <c r="Y200" s="141">
        <f t="shared" si="48"/>
        <v>0</v>
      </c>
      <c r="Z200" s="141">
        <f t="shared" si="48"/>
        <v>0</v>
      </c>
      <c r="AA200" s="141">
        <f t="shared" si="48"/>
        <v>0</v>
      </c>
      <c r="AB200" s="141">
        <f t="shared" si="48"/>
        <v>0</v>
      </c>
      <c r="AC200" s="141">
        <f t="shared" si="48"/>
        <v>0</v>
      </c>
      <c r="AD200" s="141">
        <f t="shared" si="48"/>
        <v>0</v>
      </c>
      <c r="AE200" s="141">
        <f t="shared" si="48"/>
        <v>0</v>
      </c>
      <c r="AF200" s="141">
        <f t="shared" si="48"/>
        <v>0</v>
      </c>
      <c r="AG200" s="141">
        <f t="shared" si="48"/>
        <v>0</v>
      </c>
      <c r="AH200" s="141">
        <f t="shared" si="48"/>
        <v>0</v>
      </c>
      <c r="AI200" s="141">
        <f t="shared" si="29"/>
        <v>0</v>
      </c>
      <c r="AJ200" s="141">
        <f t="shared" si="30"/>
        <v>0</v>
      </c>
      <c r="AK200" s="141">
        <f t="shared" si="31"/>
        <v>0</v>
      </c>
      <c r="AL200" s="141">
        <f t="shared" si="32"/>
        <v>0</v>
      </c>
      <c r="AM200" s="272">
        <f t="shared" si="33"/>
        <v>0</v>
      </c>
      <c r="AN200" s="102"/>
    </row>
    <row r="201" ht="14.25" customHeight="1">
      <c r="A201" s="99"/>
      <c r="B201" s="100"/>
      <c r="C201" s="100"/>
      <c r="D201" s="100"/>
      <c r="E201" s="100"/>
      <c r="F201" s="869"/>
      <c r="G201" s="869"/>
      <c r="H201" s="207"/>
      <c r="I201" s="207"/>
      <c r="J201" s="207"/>
      <c r="K201" s="207"/>
      <c r="L201" s="207"/>
      <c r="M201" s="207"/>
      <c r="N201" s="207"/>
      <c r="O201" s="207"/>
      <c r="P201" s="207"/>
      <c r="Q201" s="207"/>
      <c r="R201" s="207"/>
      <c r="S201" s="207"/>
      <c r="T201" s="207"/>
      <c r="U201" s="207"/>
      <c r="V201" s="207"/>
      <c r="W201" s="208"/>
      <c r="X201" s="208"/>
      <c r="Y201" s="208"/>
      <c r="Z201" s="208"/>
      <c r="AA201" s="208"/>
      <c r="AB201" s="208"/>
      <c r="AC201" s="208"/>
      <c r="AD201" s="208"/>
      <c r="AE201" s="208"/>
      <c r="AF201" s="208"/>
      <c r="AG201" s="208"/>
      <c r="AH201" s="208"/>
      <c r="AI201" s="271"/>
      <c r="AJ201" s="271"/>
      <c r="AK201" s="271"/>
      <c r="AL201" s="271"/>
      <c r="AM201" s="271"/>
      <c r="AN201" s="102"/>
    </row>
    <row r="202" ht="14.25" customHeight="1">
      <c r="A202" s="229"/>
      <c r="B202" s="230"/>
      <c r="C202" s="230"/>
      <c r="D202" s="230"/>
      <c r="E202" s="230"/>
      <c r="F202" s="891"/>
      <c r="G202" s="891"/>
      <c r="H202" s="232"/>
      <c r="I202" s="232"/>
      <c r="J202" s="232"/>
      <c r="K202" s="232"/>
      <c r="L202" s="232"/>
      <c r="M202" s="232"/>
      <c r="N202" s="232"/>
      <c r="O202" s="232"/>
      <c r="P202" s="232"/>
      <c r="Q202" s="232"/>
      <c r="R202" s="232"/>
      <c r="S202" s="232"/>
      <c r="T202" s="232"/>
      <c r="U202" s="232"/>
      <c r="V202" s="232"/>
      <c r="W202" s="233"/>
      <c r="X202" s="233"/>
      <c r="Y202" s="233"/>
      <c r="Z202" s="233"/>
      <c r="AA202" s="233"/>
      <c r="AB202" s="233"/>
      <c r="AC202" s="233"/>
      <c r="AD202" s="233"/>
      <c r="AE202" s="233"/>
      <c r="AF202" s="233"/>
      <c r="AG202" s="233"/>
      <c r="AH202" s="233"/>
      <c r="AI202" s="307"/>
      <c r="AJ202" s="307"/>
      <c r="AK202" s="307"/>
      <c r="AL202" s="307"/>
      <c r="AM202" s="307"/>
      <c r="AN202" s="234"/>
    </row>
    <row r="203" ht="14.25" customHeight="1">
      <c r="A203" s="127"/>
      <c r="B203" s="127"/>
      <c r="C203" s="127"/>
      <c r="D203" s="127"/>
      <c r="E203" s="127"/>
      <c r="F203" s="300"/>
      <c r="G203" s="300"/>
      <c r="H203" s="892"/>
      <c r="I203" s="892"/>
      <c r="J203" s="892"/>
      <c r="K203" s="892"/>
      <c r="L203" s="892"/>
      <c r="M203" s="892"/>
      <c r="N203" s="892"/>
      <c r="O203" s="892"/>
      <c r="P203" s="892"/>
      <c r="Q203" s="892"/>
      <c r="R203" s="892"/>
      <c r="S203" s="892"/>
      <c r="T203" s="892"/>
      <c r="U203" s="892"/>
      <c r="V203" s="892"/>
      <c r="W203" s="893"/>
      <c r="X203" s="893"/>
      <c r="Y203" s="893"/>
      <c r="Z203" s="893"/>
      <c r="AA203" s="893"/>
      <c r="AB203" s="893"/>
      <c r="AC203" s="893"/>
      <c r="AD203" s="893"/>
      <c r="AE203" s="893"/>
      <c r="AF203" s="893"/>
      <c r="AG203" s="893"/>
      <c r="AH203" s="893"/>
      <c r="AI203" s="300"/>
      <c r="AJ203" s="300"/>
      <c r="AK203" s="300"/>
      <c r="AL203" s="300"/>
      <c r="AM203" s="300"/>
      <c r="AN203" s="127"/>
    </row>
    <row r="204" ht="14.25" customHeight="1">
      <c r="A204" s="127"/>
      <c r="B204" s="127"/>
      <c r="C204" s="127"/>
      <c r="D204" s="127"/>
      <c r="E204" s="127"/>
      <c r="F204" s="300"/>
      <c r="G204" s="300"/>
      <c r="H204" s="892"/>
      <c r="I204" s="892"/>
      <c r="J204" s="892"/>
      <c r="K204" s="892"/>
      <c r="L204" s="892"/>
      <c r="M204" s="892"/>
      <c r="N204" s="892"/>
      <c r="O204" s="892"/>
      <c r="P204" s="892"/>
      <c r="Q204" s="892"/>
      <c r="R204" s="892"/>
      <c r="S204" s="892"/>
      <c r="T204" s="892"/>
      <c r="U204" s="892"/>
      <c r="V204" s="892"/>
      <c r="W204" s="893"/>
      <c r="X204" s="893"/>
      <c r="Y204" s="893"/>
      <c r="Z204" s="893"/>
      <c r="AA204" s="893"/>
      <c r="AB204" s="893"/>
      <c r="AC204" s="893"/>
      <c r="AD204" s="893"/>
      <c r="AE204" s="893"/>
      <c r="AF204" s="893"/>
      <c r="AG204" s="893"/>
      <c r="AH204" s="893"/>
      <c r="AI204" s="300"/>
      <c r="AJ204" s="300"/>
      <c r="AK204" s="300"/>
      <c r="AL204" s="300"/>
      <c r="AM204" s="300"/>
      <c r="AN204" s="127"/>
    </row>
    <row r="205" ht="14.25" customHeight="1">
      <c r="A205" s="894" t="s">
        <v>3371</v>
      </c>
      <c r="B205" s="895"/>
      <c r="C205" s="895"/>
      <c r="D205" s="896"/>
      <c r="E205" s="895"/>
      <c r="F205" s="895"/>
      <c r="G205" s="895"/>
      <c r="H205" s="897"/>
      <c r="I205" s="897"/>
      <c r="J205" s="897"/>
      <c r="K205" s="897"/>
      <c r="L205" s="897"/>
      <c r="M205" s="897"/>
      <c r="N205" s="897"/>
      <c r="O205" s="897"/>
      <c r="P205" s="897"/>
      <c r="Q205" s="897"/>
      <c r="R205" s="897"/>
      <c r="S205" s="897"/>
      <c r="T205" s="897"/>
      <c r="U205" s="897"/>
      <c r="V205" s="897"/>
      <c r="W205" s="898"/>
      <c r="X205" s="898"/>
      <c r="Y205" s="898"/>
      <c r="Z205" s="898"/>
      <c r="AA205" s="898"/>
      <c r="AB205" s="898"/>
      <c r="AC205" s="898"/>
      <c r="AD205" s="898"/>
      <c r="AE205" s="898"/>
      <c r="AF205" s="898"/>
      <c r="AG205" s="898"/>
      <c r="AH205" s="898"/>
      <c r="AI205" s="899"/>
      <c r="AJ205" s="899"/>
      <c r="AK205" s="899"/>
      <c r="AL205" s="899"/>
      <c r="AM205" s="899"/>
      <c r="AN205" s="100"/>
    </row>
    <row r="206" ht="14.25" customHeight="1">
      <c r="A206" s="195" t="s">
        <v>3372</v>
      </c>
      <c r="B206" s="100"/>
      <c r="C206" s="100"/>
      <c r="D206" s="100"/>
      <c r="E206" s="100"/>
      <c r="F206" s="206"/>
      <c r="G206" s="206"/>
      <c r="H206" s="207"/>
      <c r="I206" s="207"/>
      <c r="J206" s="207"/>
      <c r="K206" s="207"/>
      <c r="L206" s="207"/>
      <c r="M206" s="207"/>
      <c r="N206" s="207"/>
      <c r="O206" s="207"/>
      <c r="P206" s="207"/>
      <c r="Q206" s="207"/>
      <c r="R206" s="207"/>
      <c r="S206" s="207"/>
      <c r="T206" s="207"/>
      <c r="U206" s="207"/>
      <c r="V206" s="207"/>
      <c r="W206" s="208"/>
      <c r="X206" s="208"/>
      <c r="Y206" s="208"/>
      <c r="Z206" s="208"/>
      <c r="AA206" s="208"/>
      <c r="AB206" s="208"/>
      <c r="AC206" s="208"/>
      <c r="AD206" s="208"/>
      <c r="AE206" s="208"/>
      <c r="AF206" s="208"/>
      <c r="AG206" s="208"/>
      <c r="AH206" s="208"/>
      <c r="AI206" s="100"/>
      <c r="AJ206" s="100"/>
      <c r="AK206" s="100"/>
      <c r="AL206" s="100"/>
      <c r="AM206" s="100"/>
      <c r="AN206" s="100"/>
    </row>
    <row r="207" ht="14.25" customHeight="1">
      <c r="A207" s="100" t="s">
        <v>3373</v>
      </c>
      <c r="B207" s="100"/>
      <c r="C207" s="100"/>
      <c r="D207" s="100"/>
      <c r="E207" s="100"/>
      <c r="F207" s="206"/>
      <c r="G207" s="206"/>
      <c r="H207" s="207"/>
      <c r="I207" s="207"/>
      <c r="J207" s="207"/>
      <c r="K207" s="207"/>
      <c r="L207" s="207"/>
      <c r="M207" s="207"/>
      <c r="N207" s="207"/>
      <c r="O207" s="207"/>
      <c r="P207" s="207"/>
      <c r="Q207" s="207"/>
      <c r="R207" s="207"/>
      <c r="S207" s="207"/>
      <c r="T207" s="207"/>
      <c r="U207" s="207"/>
      <c r="V207" s="207"/>
      <c r="W207" s="208"/>
      <c r="X207" s="208"/>
      <c r="Y207" s="208"/>
      <c r="Z207" s="208"/>
      <c r="AA207" s="208"/>
      <c r="AB207" s="208"/>
      <c r="AC207" s="208"/>
      <c r="AD207" s="208"/>
      <c r="AE207" s="208"/>
      <c r="AF207" s="208"/>
      <c r="AG207" s="208"/>
      <c r="AH207" s="208"/>
      <c r="AI207" s="100"/>
      <c r="AJ207" s="100"/>
      <c r="AK207" s="100"/>
      <c r="AL207" s="100"/>
      <c r="AM207" s="100"/>
      <c r="AN207" s="100"/>
    </row>
    <row r="208" ht="14.25" customHeight="1">
      <c r="A208" s="195"/>
      <c r="B208" s="100"/>
      <c r="C208" s="100"/>
      <c r="D208" s="100"/>
      <c r="E208" s="100"/>
      <c r="F208" s="206"/>
      <c r="G208" s="206"/>
      <c r="H208" s="207"/>
      <c r="I208" s="207"/>
      <c r="J208" s="207"/>
      <c r="K208" s="207"/>
      <c r="L208" s="207"/>
      <c r="M208" s="207"/>
      <c r="N208" s="207"/>
      <c r="O208" s="207"/>
      <c r="P208" s="207"/>
      <c r="Q208" s="207"/>
      <c r="R208" s="207"/>
      <c r="S208" s="207"/>
      <c r="T208" s="207"/>
      <c r="U208" s="207"/>
      <c r="V208" s="207"/>
      <c r="W208" s="208"/>
      <c r="X208" s="208"/>
      <c r="Y208" s="208"/>
      <c r="Z208" s="208"/>
      <c r="AA208" s="208"/>
      <c r="AB208" s="208"/>
      <c r="AC208" s="208"/>
      <c r="AD208" s="208"/>
      <c r="AE208" s="208"/>
      <c r="AF208" s="208"/>
      <c r="AG208" s="208"/>
      <c r="AH208" s="208"/>
      <c r="AI208" s="100"/>
      <c r="AJ208" s="100"/>
      <c r="AK208" s="100"/>
      <c r="AL208" s="100"/>
      <c r="AM208" s="100"/>
      <c r="AN208" s="100"/>
    </row>
    <row r="209" ht="13.5" customHeight="1" outlineLevel="2">
      <c r="A209" s="247"/>
      <c r="B209" s="244" t="s">
        <v>3374</v>
      </c>
      <c r="C209" s="100"/>
      <c r="D209" s="271"/>
      <c r="E209" s="244"/>
      <c r="F209" s="244"/>
      <c r="G209" s="244"/>
      <c r="H209" s="836"/>
      <c r="I209" s="836"/>
      <c r="J209" s="836"/>
      <c r="K209" s="836"/>
      <c r="L209" s="836"/>
      <c r="M209" s="836"/>
      <c r="N209" s="836"/>
      <c r="O209" s="836"/>
      <c r="P209" s="836"/>
      <c r="Q209" s="836"/>
      <c r="R209" s="836"/>
      <c r="S209" s="836"/>
      <c r="T209" s="836"/>
      <c r="U209" s="836"/>
      <c r="V209" s="836"/>
      <c r="W209" s="836" t="str">
        <f>IF(ABS(W212)&gt;0.1,"Warning","")</f>
        <v>#REF!</v>
      </c>
      <c r="X209" s="836"/>
      <c r="Y209" s="836"/>
      <c r="Z209" s="836"/>
      <c r="AA209" s="836"/>
      <c r="AB209" s="836" t="str">
        <f t="shared" ref="AB209:AH209" si="49">IF(ABS(AB212)&gt;0.1,"Warning","")</f>
        <v>#REF!</v>
      </c>
      <c r="AC209" s="836" t="str">
        <f t="shared" si="49"/>
        <v>#REF!</v>
      </c>
      <c r="AD209" s="836" t="str">
        <f t="shared" si="49"/>
        <v>#REF!</v>
      </c>
      <c r="AE209" s="836" t="str">
        <f t="shared" si="49"/>
        <v>#REF!</v>
      </c>
      <c r="AF209" s="836" t="str">
        <f t="shared" si="49"/>
        <v>#REF!</v>
      </c>
      <c r="AG209" s="836" t="str">
        <f t="shared" si="49"/>
        <v>#REF!</v>
      </c>
      <c r="AH209" s="836" t="str">
        <f t="shared" si="49"/>
        <v>#REF!</v>
      </c>
      <c r="AI209" s="244"/>
      <c r="AJ209" s="244"/>
      <c r="AK209" s="244"/>
      <c r="AL209" s="244"/>
      <c r="AM209" s="244"/>
      <c r="AN209" s="176"/>
    </row>
    <row r="210" ht="14.25" customHeight="1" outlineLevel="3">
      <c r="A210" s="200"/>
      <c r="B210" s="100"/>
      <c r="C210" s="201"/>
      <c r="D210" s="271"/>
      <c r="E210" s="900" t="s">
        <v>3375</v>
      </c>
      <c r="F210" s="123" t="s">
        <v>135</v>
      </c>
      <c r="G210" s="244"/>
      <c r="H210" s="274"/>
      <c r="I210" s="274"/>
      <c r="J210" s="274"/>
      <c r="K210" s="274"/>
      <c r="L210" s="274"/>
      <c r="M210" s="274"/>
      <c r="N210" s="274"/>
      <c r="O210" s="274"/>
      <c r="P210" s="274"/>
      <c r="Q210" s="274"/>
      <c r="R210" s="274"/>
      <c r="S210" s="274"/>
      <c r="T210" s="274"/>
      <c r="U210" s="274"/>
      <c r="V210" s="274"/>
      <c r="W210" s="274">
        <f>W22+W27+W31+W35+W40+W42+W47+W50+W53+W56+W59+W62+W65+W69+W74+W79+W84+W89+W94+W99+W104</f>
        <v>69.21588954</v>
      </c>
      <c r="X210" s="274"/>
      <c r="Y210" s="274"/>
      <c r="Z210" s="274"/>
      <c r="AA210" s="274"/>
      <c r="AB210" s="274">
        <f t="shared" ref="AB210:AH210" si="50">AB22+AB27+AB31+AB35+AB40+AB42+AB47+AB50+AB53+AB56+AB59+AB62+AB65+AB69+AB74+AB79+AB84+AB89+AB94+AB99+AB104</f>
        <v>96.4472706</v>
      </c>
      <c r="AC210" s="274">
        <f t="shared" si="50"/>
        <v>75.36829073</v>
      </c>
      <c r="AD210" s="274">
        <f t="shared" si="50"/>
        <v>90.87587081</v>
      </c>
      <c r="AE210" s="274">
        <f t="shared" si="50"/>
        <v>90.18572811</v>
      </c>
      <c r="AF210" s="274">
        <f t="shared" si="50"/>
        <v>100.2715796</v>
      </c>
      <c r="AG210" s="274">
        <f t="shared" si="50"/>
        <v>113.0670451</v>
      </c>
      <c r="AH210" s="274">
        <f t="shared" si="50"/>
        <v>121.193387</v>
      </c>
      <c r="AI210" s="204"/>
      <c r="AJ210" s="204"/>
      <c r="AK210" s="204"/>
      <c r="AL210" s="204"/>
      <c r="AM210" s="251"/>
      <c r="AN210" s="176"/>
    </row>
    <row r="211" ht="14.25" customHeight="1" outlineLevel="3">
      <c r="A211" s="200"/>
      <c r="B211" s="100"/>
      <c r="C211" s="201"/>
      <c r="D211" s="271"/>
      <c r="E211" s="900" t="s">
        <v>3376</v>
      </c>
      <c r="F211" s="123" t="s">
        <v>135</v>
      </c>
      <c r="G211" s="244"/>
      <c r="H211" s="274"/>
      <c r="I211" s="274"/>
      <c r="J211" s="274"/>
      <c r="K211" s="274"/>
      <c r="L211" s="274"/>
      <c r="M211" s="274"/>
      <c r="N211" s="274"/>
      <c r="O211" s="274"/>
      <c r="P211" s="274"/>
      <c r="Q211" s="274"/>
      <c r="R211" s="274"/>
      <c r="S211" s="274"/>
      <c r="T211" s="274"/>
      <c r="U211" s="274"/>
      <c r="V211" s="274"/>
      <c r="W211" s="330" t="str">
        <f t="array" ref="W211">INDIRECT("'"&amp;$W$243&amp;"'!"&amp;W$244&amp;"171")/(1-W126)+
IF(ISNUMBER(W113),IF(W113=0,0,W113/W115),0)
+
IF(ISNUMBER(W120),IF(W120=0,0,W120/W121),0)
+
IF(ISNUMBER(W160),IF(W160=0,0,W160/W161),0)</f>
        <v>#REF!</v>
      </c>
      <c r="X211" s="274"/>
      <c r="Y211" s="274"/>
      <c r="Z211" s="274"/>
      <c r="AA211" s="274"/>
      <c r="AB211" s="330" t="str">
        <f t="array" ref="AB211">INDIRECT("'"&amp;$W$243&amp;"'!"&amp;AB$244&amp;"171")/(1-AB126)+
IF(ISNUMBER(AB113),IF(AB113=0,0,AB113/AB115),0)
+
IF(ISNUMBER(AB120),IF(AB120=0,0,AB120/AB121),0)
+
IF(ISNUMBER(AB160),IF(AB160=0,0,AB160/AB161),0)</f>
        <v>#REF!</v>
      </c>
      <c r="AC211" s="330" t="str">
        <f t="array" ref="AC211">INDIRECT("'"&amp;$W$243&amp;"'!"&amp;AC$244&amp;"171")/(1-AC126)+
IF(ISNUMBER(AC113),IF(AC113=0,0,AC113/AC115),0)
+
IF(ISNUMBER(AC120),IF(AC120=0,0,AC120/AC121),0)
+
IF(ISNUMBER(AC160),IF(AC160=0,0,AC160/AC161),0)</f>
        <v>#REF!</v>
      </c>
      <c r="AD211" s="330" t="str">
        <f t="array" ref="AD211">INDIRECT("'"&amp;$W$243&amp;"'!"&amp;AD$244&amp;"171")/(1-AD126)+
IF(ISNUMBER(AD113),IF(AD113=0,0,AD113/AD115),0)
+
IF(ISNUMBER(AD120),IF(AD120=0,0,AD120/AD121),0)
+
IF(ISNUMBER(AD160),IF(AD160=0,0,AD160/AD161),0)</f>
        <v>#REF!</v>
      </c>
      <c r="AE211" s="330" t="str">
        <f t="array" ref="AE211">INDIRECT("'"&amp;$W$243&amp;"'!"&amp;AE$244&amp;"171")/(1-AE126)+
IF(ISNUMBER(AE113),IF(AE113=0,0,AE113/AE115),0)
+
IF(ISNUMBER(AE120),IF(AE120=0,0,AE120/AE121),0)
+
IF(ISNUMBER(AE160),IF(AE160=0,0,AE160/AE161),0)</f>
        <v>#REF!</v>
      </c>
      <c r="AF211" s="330" t="str">
        <f t="array" ref="AF211">INDIRECT("'"&amp;$W$243&amp;"'!"&amp;AF$244&amp;"171")/(1-AF126)+
IF(ISNUMBER(AF113),IF(AF113=0,0,AF113/AF115),0)
+
IF(ISNUMBER(AF120),IF(AF120=0,0,AF120/AF121),0)
+
IF(ISNUMBER(AF160),IF(AF160=0,0,AF160/AF161),0)</f>
        <v>#REF!</v>
      </c>
      <c r="AG211" s="330" t="str">
        <f t="array" ref="AG211">INDIRECT("'"&amp;$W$243&amp;"'!"&amp;AG$244&amp;"171")/(1-AG126)+
IF(ISNUMBER(AG113),IF(AG113=0,0,AG113/AG115),0)
+
IF(ISNUMBER(AG120),IF(AG120=0,0,AG120/AG121),0)
+
IF(ISNUMBER(AG160),IF(AG160=0,0,AG160/AG161),0)</f>
        <v>#REF!</v>
      </c>
      <c r="AH211" s="330" t="str">
        <f t="array" ref="AH211">INDIRECT("'"&amp;$W$243&amp;"'!"&amp;AH$244&amp;"171")/(1-AH126)+
IF(ISNUMBER(AH113),IF(AH113=0,0,AH113/AH115),0)
+
IF(ISNUMBER(AH120),IF(AH120=0,0,AH120/AH121),0)
+
IF(ISNUMBER(AH160),IF(AH160=0,0,AH160/AH161),0)</f>
        <v>#REF!</v>
      </c>
      <c r="AI211" s="204"/>
      <c r="AJ211" s="204"/>
      <c r="AK211" s="204" t="s">
        <v>3377</v>
      </c>
      <c r="AL211" s="204"/>
      <c r="AM211" s="251"/>
      <c r="AN211" s="176"/>
    </row>
    <row r="212" ht="14.25" customHeight="1" outlineLevel="3">
      <c r="A212" s="200"/>
      <c r="B212" s="100"/>
      <c r="C212" s="201"/>
      <c r="D212" s="271"/>
      <c r="E212" s="900" t="s">
        <v>3361</v>
      </c>
      <c r="F212" s="123" t="s">
        <v>135</v>
      </c>
      <c r="G212" s="244"/>
      <c r="H212" s="901"/>
      <c r="I212" s="901"/>
      <c r="J212" s="901"/>
      <c r="K212" s="901"/>
      <c r="L212" s="901"/>
      <c r="M212" s="901"/>
      <c r="N212" s="901"/>
      <c r="O212" s="901"/>
      <c r="P212" s="901"/>
      <c r="Q212" s="901"/>
      <c r="R212" s="901"/>
      <c r="S212" s="274"/>
      <c r="T212" s="274"/>
      <c r="U212" s="274"/>
      <c r="V212" s="274"/>
      <c r="W212" s="901" t="str">
        <f>W210-W211</f>
        <v>#REF!</v>
      </c>
      <c r="X212" s="901"/>
      <c r="Y212" s="901"/>
      <c r="Z212" s="901"/>
      <c r="AA212" s="901"/>
      <c r="AB212" s="901" t="str">
        <f t="shared" ref="AB212:AH212" si="51">AB210-AB211</f>
        <v>#REF!</v>
      </c>
      <c r="AC212" s="901" t="str">
        <f t="shared" si="51"/>
        <v>#REF!</v>
      </c>
      <c r="AD212" s="901" t="str">
        <f t="shared" si="51"/>
        <v>#REF!</v>
      </c>
      <c r="AE212" s="901" t="str">
        <f t="shared" si="51"/>
        <v>#REF!</v>
      </c>
      <c r="AF212" s="901" t="str">
        <f t="shared" si="51"/>
        <v>#REF!</v>
      </c>
      <c r="AG212" s="901" t="str">
        <f t="shared" si="51"/>
        <v>#REF!</v>
      </c>
      <c r="AH212" s="901" t="str">
        <f t="shared" si="51"/>
        <v>#REF!</v>
      </c>
      <c r="AI212" s="901"/>
      <c r="AJ212" s="901"/>
      <c r="AK212" s="901"/>
      <c r="AL212" s="901"/>
      <c r="AM212" s="901"/>
      <c r="AN212" s="176"/>
    </row>
    <row r="213" ht="14.25" customHeight="1" outlineLevel="3">
      <c r="A213" s="200"/>
      <c r="B213" s="100"/>
      <c r="C213" s="201"/>
      <c r="D213" s="271"/>
      <c r="E213" s="900" t="s">
        <v>3378</v>
      </c>
      <c r="F213" s="123" t="s">
        <v>261</v>
      </c>
      <c r="G213" s="244"/>
      <c r="H213" s="902"/>
      <c r="I213" s="902"/>
      <c r="J213" s="902"/>
      <c r="K213" s="902"/>
      <c r="L213" s="902"/>
      <c r="M213" s="902"/>
      <c r="N213" s="902"/>
      <c r="O213" s="902"/>
      <c r="P213" s="902"/>
      <c r="Q213" s="902"/>
      <c r="R213" s="902"/>
      <c r="S213" s="339"/>
      <c r="T213" s="339"/>
      <c r="U213" s="339"/>
      <c r="V213" s="339"/>
      <c r="W213" s="902" t="str">
        <f>W212/W210</f>
        <v>#REF!</v>
      </c>
      <c r="X213" s="902"/>
      <c r="Y213" s="902"/>
      <c r="Z213" s="902"/>
      <c r="AA213" s="902"/>
      <c r="AB213" s="902" t="str">
        <f t="shared" ref="AB213:AH213" si="52">AB212/AB210</f>
        <v>#REF!</v>
      </c>
      <c r="AC213" s="902" t="str">
        <f t="shared" si="52"/>
        <v>#REF!</v>
      </c>
      <c r="AD213" s="902" t="str">
        <f t="shared" si="52"/>
        <v>#REF!</v>
      </c>
      <c r="AE213" s="902" t="str">
        <f t="shared" si="52"/>
        <v>#REF!</v>
      </c>
      <c r="AF213" s="902" t="str">
        <f t="shared" si="52"/>
        <v>#REF!</v>
      </c>
      <c r="AG213" s="902" t="str">
        <f t="shared" si="52"/>
        <v>#REF!</v>
      </c>
      <c r="AH213" s="902" t="str">
        <f t="shared" si="52"/>
        <v>#REF!</v>
      </c>
      <c r="AI213" s="902"/>
      <c r="AJ213" s="902"/>
      <c r="AK213" s="902"/>
      <c r="AL213" s="902"/>
      <c r="AM213" s="902"/>
      <c r="AN213" s="176"/>
    </row>
    <row r="214" ht="14.25" customHeight="1">
      <c r="A214" s="195"/>
      <c r="B214" s="100"/>
      <c r="C214" s="100"/>
      <c r="D214" s="100"/>
      <c r="E214" s="100"/>
      <c r="F214" s="206"/>
      <c r="G214" s="206"/>
      <c r="H214" s="207"/>
      <c r="I214" s="207"/>
      <c r="J214" s="207"/>
      <c r="K214" s="207"/>
      <c r="L214" s="207"/>
      <c r="M214" s="207"/>
      <c r="N214" s="207"/>
      <c r="O214" s="207"/>
      <c r="P214" s="207"/>
      <c r="Q214" s="207"/>
      <c r="R214" s="207"/>
      <c r="S214" s="207"/>
      <c r="T214" s="207"/>
      <c r="U214" s="207"/>
      <c r="V214" s="207"/>
      <c r="W214" s="208"/>
      <c r="X214" s="208"/>
      <c r="Y214" s="208"/>
      <c r="Z214" s="208"/>
      <c r="AA214" s="208"/>
      <c r="AB214" s="208"/>
      <c r="AC214" s="208"/>
      <c r="AD214" s="208"/>
      <c r="AE214" s="208"/>
      <c r="AF214" s="208"/>
      <c r="AG214" s="208"/>
      <c r="AH214" s="208"/>
      <c r="AI214" s="100"/>
      <c r="AJ214" s="100"/>
      <c r="AK214" s="100"/>
      <c r="AL214" s="100"/>
      <c r="AM214" s="100"/>
      <c r="AN214" s="100"/>
    </row>
    <row r="215" ht="14.25" customHeight="1" outlineLevel="2">
      <c r="A215" s="247"/>
      <c r="B215" s="244" t="s">
        <v>3379</v>
      </c>
      <c r="C215" s="100"/>
      <c r="D215" s="271"/>
      <c r="E215" s="244"/>
      <c r="F215" s="244"/>
      <c r="G215" s="244"/>
      <c r="H215" s="836"/>
      <c r="I215" s="836"/>
      <c r="J215" s="836"/>
      <c r="K215" s="836"/>
      <c r="L215" s="836"/>
      <c r="M215" s="836"/>
      <c r="N215" s="836"/>
      <c r="O215" s="836"/>
      <c r="P215" s="836"/>
      <c r="Q215" s="836"/>
      <c r="R215" s="836"/>
      <c r="S215" s="836"/>
      <c r="T215" s="836"/>
      <c r="U215" s="836"/>
      <c r="V215" s="836"/>
      <c r="W215" s="836" t="str">
        <f>IF(ABS(W218)&gt;0.1,"Warning","")</f>
        <v>Warning</v>
      </c>
      <c r="X215" s="836"/>
      <c r="Y215" s="836"/>
      <c r="Z215" s="836"/>
      <c r="AA215" s="836"/>
      <c r="AB215" s="836" t="str">
        <f t="shared" ref="AB215:AH215" si="53">IF(ABS(AB218)&gt;0.1,"Warning","")</f>
        <v>Warning</v>
      </c>
      <c r="AC215" s="836" t="str">
        <f t="shared" si="53"/>
        <v>Warning</v>
      </c>
      <c r="AD215" s="836" t="str">
        <f t="shared" si="53"/>
        <v>Warning</v>
      </c>
      <c r="AE215" s="836" t="str">
        <f t="shared" si="53"/>
        <v>Warning</v>
      </c>
      <c r="AF215" s="836" t="str">
        <f t="shared" si="53"/>
        <v>Warning</v>
      </c>
      <c r="AG215" s="836" t="str">
        <f t="shared" si="53"/>
        <v>Warning</v>
      </c>
      <c r="AH215" s="836" t="str">
        <f t="shared" si="53"/>
        <v>Warning</v>
      </c>
      <c r="AI215" s="244"/>
      <c r="AJ215" s="244"/>
      <c r="AK215" s="244"/>
      <c r="AL215" s="244"/>
      <c r="AM215" s="244"/>
      <c r="AN215" s="176"/>
    </row>
    <row r="216" ht="14.25" customHeight="1" outlineLevel="3">
      <c r="A216" s="200"/>
      <c r="B216" s="100"/>
      <c r="C216" s="201"/>
      <c r="D216" s="271"/>
      <c r="E216" s="900" t="s">
        <v>3380</v>
      </c>
      <c r="F216" s="123" t="s">
        <v>135</v>
      </c>
      <c r="G216" s="244"/>
      <c r="H216" s="274"/>
      <c r="I216" s="274"/>
      <c r="J216" s="274"/>
      <c r="K216" s="274"/>
      <c r="L216" s="274"/>
      <c r="M216" s="274"/>
      <c r="N216" s="274"/>
      <c r="O216" s="274"/>
      <c r="P216" s="274"/>
      <c r="Q216" s="274"/>
      <c r="R216" s="274"/>
      <c r="S216" s="274"/>
      <c r="T216" s="274"/>
      <c r="U216" s="274"/>
      <c r="V216" s="274"/>
      <c r="W216" s="274">
        <f t="shared" ref="W216:AH216" si="54">W9+W14*(1+W$110)+W16+W117</f>
        <v>2.646756</v>
      </c>
      <c r="X216" s="274">
        <f t="shared" si="54"/>
        <v>2.657001571</v>
      </c>
      <c r="Y216" s="274">
        <f t="shared" si="54"/>
        <v>2.687655791</v>
      </c>
      <c r="Z216" s="274">
        <f t="shared" si="54"/>
        <v>2.738471852</v>
      </c>
      <c r="AA216" s="274">
        <f t="shared" si="54"/>
        <v>2.809040611</v>
      </c>
      <c r="AB216" s="274">
        <f t="shared" si="54"/>
        <v>2.898793892</v>
      </c>
      <c r="AC216" s="274">
        <f t="shared" si="54"/>
        <v>3.746754642</v>
      </c>
      <c r="AD216" s="274">
        <f t="shared" si="54"/>
        <v>5.319678871</v>
      </c>
      <c r="AE216" s="274">
        <f t="shared" si="54"/>
        <v>7.721777148</v>
      </c>
      <c r="AF216" s="274">
        <f t="shared" si="54"/>
        <v>10.85904634</v>
      </c>
      <c r="AG216" s="274">
        <f t="shared" si="54"/>
        <v>13.11605118</v>
      </c>
      <c r="AH216" s="274">
        <f t="shared" si="54"/>
        <v>14.46794542</v>
      </c>
      <c r="AI216" s="204"/>
      <c r="AJ216" s="204"/>
      <c r="AK216" s="204"/>
      <c r="AL216" s="204"/>
      <c r="AM216" s="251"/>
      <c r="AN216" s="176"/>
    </row>
    <row r="217" ht="14.25" customHeight="1" outlineLevel="3">
      <c r="A217" s="200"/>
      <c r="B217" s="100"/>
      <c r="C217" s="201"/>
      <c r="D217" s="271"/>
      <c r="E217" s="900" t="s">
        <v>3381</v>
      </c>
      <c r="F217" s="123" t="s">
        <v>135</v>
      </c>
      <c r="G217" s="244"/>
      <c r="H217" s="274"/>
      <c r="I217" s="274"/>
      <c r="J217" s="274"/>
      <c r="K217" s="274"/>
      <c r="L217" s="274"/>
      <c r="M217" s="274"/>
      <c r="N217" s="274"/>
      <c r="O217" s="274"/>
      <c r="P217" s="274"/>
      <c r="Q217" s="274"/>
      <c r="R217" s="274"/>
      <c r="S217" s="274"/>
      <c r="T217" s="274"/>
      <c r="U217" s="274"/>
      <c r="V217" s="274"/>
      <c r="W217" s="330">
        <f t="array" ref="W217">(INDIRECT("'"&amp;$W$243&amp;"'!"&amp;W$244&amp;"103")+INDIRECT("'"&amp;$W$243&amp;"'!"&amp;W$244&amp;"169")+
IF(ISNUMBER(W56),IF(W56=0,0,W56/W57),0)
+
IF(ISNUMBER(W79),IF(W79=0,0,W79/W80),0)
+
IF(ISNUMBER(W149),IF(W149=0,0,W149/W150),0) +
IF(ISNUMBER(W173),IF(W173=0,0,W173/W174),0)
)/(1-W132)</f>
        <v>161.2710635</v>
      </c>
      <c r="X217" s="274"/>
      <c r="Y217" s="274"/>
      <c r="Z217" s="274"/>
      <c r="AA217" s="274"/>
      <c r="AB217" s="330">
        <f t="array" ref="AB217">(INDIRECT("'"&amp;$W$243&amp;"'!"&amp;AB$244&amp;"103")+INDIRECT("'"&amp;$W$243&amp;"'!"&amp;AB$244&amp;"169")+
IF(ISNUMBER(AB56),IF(AB56=0,0,AB56/AB57),0)
+
IF(ISNUMBER(AB79),IF(AB79=0,0,AB79/AB80),0)
+
IF(ISNUMBER(AB149),IF(AB149=0,0,AB149/AB150),0) +
IF(ISNUMBER(AB173),IF(AB173=0,0,AB173/AB174),0)
)/(1-AB132)</f>
        <v>163.7551742</v>
      </c>
      <c r="AC217" s="330">
        <f t="array" ref="AC217">(INDIRECT("'"&amp;$W$243&amp;"'!"&amp;AC$244&amp;"103")+INDIRECT("'"&amp;$W$243&amp;"'!"&amp;AC$244&amp;"169")+
IF(ISNUMBER(AC56),IF(AC56=0,0,AC56/AC57),0)
+
IF(ISNUMBER(AC79),IF(AC79=0,0,AC79/AC80),0)
+
IF(ISNUMBER(AC149),IF(AC149=0,0,AC149/AC150),0) +
IF(ISNUMBER(AC173),IF(AC173=0,0,AC173/AC174),0)
)/(1-AC132)</f>
        <v>148.3555672</v>
      </c>
      <c r="AD217" s="330">
        <f t="array" ref="AD217">(INDIRECT("'"&amp;$W$243&amp;"'!"&amp;AD$244&amp;"103")+INDIRECT("'"&amp;$W$243&amp;"'!"&amp;AD$244&amp;"169")+
IF(ISNUMBER(AD56),IF(AD56=0,0,AD56/AD57),0)
+
IF(ISNUMBER(AD79),IF(AD79=0,0,AD79/AD80),0)
+
IF(ISNUMBER(AD149),IF(AD149=0,0,AD149/AD150),0) +
IF(ISNUMBER(AD173),IF(AD173=0,0,AD173/AD174),0)
)/(1-AD132)</f>
        <v>128.3488733</v>
      </c>
      <c r="AE217" s="330">
        <f t="array" ref="AE217">(INDIRECT("'"&amp;$W$243&amp;"'!"&amp;AE$244&amp;"103")+INDIRECT("'"&amp;$W$243&amp;"'!"&amp;AE$244&amp;"169")+
IF(ISNUMBER(AE56),IF(AE56=0,0,AE56/AE57),0)
+
IF(ISNUMBER(AE79),IF(AE79=0,0,AE79/AE80),0)
+
IF(ISNUMBER(AE149),IF(AE149=0,0,AE149/AE150),0) +
IF(ISNUMBER(AE173),IF(AE173=0,0,AE173/AE174),0)
)/(1-AE132)</f>
        <v>97.77816911</v>
      </c>
      <c r="AF217" s="330">
        <f t="array" ref="AF217">(INDIRECT("'"&amp;$W$243&amp;"'!"&amp;AF$244&amp;"103")+INDIRECT("'"&amp;$W$243&amp;"'!"&amp;AF$244&amp;"169")+
IF(ISNUMBER(AF56),IF(AF56=0,0,AF56/AF57),0)
+
IF(ISNUMBER(AF79),IF(AF79=0,0,AF79/AF80),0)
+
IF(ISNUMBER(AF149),IF(AF149=0,0,AF149/AF150),0) +
IF(ISNUMBER(AF173),IF(AF173=0,0,AF173/AF174),0)
)/(1-AF132)</f>
        <v>78.57183982</v>
      </c>
      <c r="AG217" s="330">
        <f t="array" ref="AG217">(INDIRECT("'"&amp;$W$243&amp;"'!"&amp;AG$244&amp;"103")+INDIRECT("'"&amp;$W$243&amp;"'!"&amp;AG$244&amp;"169")+
IF(ISNUMBER(AG56),IF(AG56=0,0,AG56/AG57),0)
+
IF(ISNUMBER(AG79),IF(AG79=0,0,AG79/AG80),0)
+
IF(ISNUMBER(AG149),IF(AG149=0,0,AG149/AG150),0) +
IF(ISNUMBER(AG173),IF(AG173=0,0,AG173/AG174),0)
)/(1-AG132)</f>
        <v>53.31007427</v>
      </c>
      <c r="AH217" s="330">
        <f t="array" ref="AH217">(INDIRECT("'"&amp;$W$243&amp;"'!"&amp;AH$244&amp;"103")+INDIRECT("'"&amp;$W$243&amp;"'!"&amp;AH$244&amp;"169")+
IF(ISNUMBER(AH56),IF(AH56=0,0,AH56/AH57),0)
+
IF(ISNUMBER(AH79),IF(AH79=0,0,AH79/AH80),0)
+
IF(ISNUMBER(AH149),IF(AH149=0,0,AH149/AH150),0) +
IF(ISNUMBER(AH173),IF(AH173=0,0,AH173/AH174),0)
)/(1-AH132)</f>
        <v>45.82675411</v>
      </c>
      <c r="AI217" s="204"/>
      <c r="AJ217" s="204"/>
      <c r="AK217" s="204" t="s">
        <v>3377</v>
      </c>
      <c r="AL217" s="204"/>
      <c r="AM217" s="251"/>
      <c r="AN217" s="176"/>
    </row>
    <row r="218" ht="14.25" customHeight="1" outlineLevel="3">
      <c r="A218" s="200"/>
      <c r="B218" s="100"/>
      <c r="C218" s="201"/>
      <c r="D218" s="271"/>
      <c r="E218" s="900" t="s">
        <v>3361</v>
      </c>
      <c r="F218" s="123" t="s">
        <v>135</v>
      </c>
      <c r="G218" s="244"/>
      <c r="H218" s="274"/>
      <c r="I218" s="274"/>
      <c r="J218" s="274"/>
      <c r="K218" s="274"/>
      <c r="L218" s="274"/>
      <c r="M218" s="274"/>
      <c r="N218" s="274"/>
      <c r="O218" s="274"/>
      <c r="P218" s="274"/>
      <c r="Q218" s="274"/>
      <c r="R218" s="274"/>
      <c r="S218" s="274"/>
      <c r="T218" s="274"/>
      <c r="U218" s="274"/>
      <c r="V218" s="274"/>
      <c r="W218" s="901">
        <f>W216-W217</f>
        <v>-158.6243075</v>
      </c>
      <c r="X218" s="901"/>
      <c r="Y218" s="901"/>
      <c r="Z218" s="901"/>
      <c r="AA218" s="901"/>
      <c r="AB218" s="901">
        <f t="shared" ref="AB218:AH218" si="55">AB216-AB217</f>
        <v>-160.8563803</v>
      </c>
      <c r="AC218" s="901">
        <f t="shared" si="55"/>
        <v>-144.6088125</v>
      </c>
      <c r="AD218" s="901">
        <f t="shared" si="55"/>
        <v>-123.0291945</v>
      </c>
      <c r="AE218" s="901">
        <f t="shared" si="55"/>
        <v>-90.05639196</v>
      </c>
      <c r="AF218" s="901">
        <f t="shared" si="55"/>
        <v>-67.71279349</v>
      </c>
      <c r="AG218" s="901">
        <f t="shared" si="55"/>
        <v>-40.19402309</v>
      </c>
      <c r="AH218" s="901">
        <f t="shared" si="55"/>
        <v>-31.35880869</v>
      </c>
      <c r="AI218" s="204"/>
      <c r="AJ218" s="204"/>
      <c r="AK218" s="204"/>
      <c r="AL218" s="204"/>
      <c r="AM218" s="251"/>
      <c r="AN218" s="176"/>
    </row>
    <row r="219" ht="14.25" customHeight="1">
      <c r="A219" s="200"/>
      <c r="B219" s="100"/>
      <c r="C219" s="201"/>
      <c r="D219" s="271"/>
      <c r="E219" s="900" t="s">
        <v>3378</v>
      </c>
      <c r="F219" s="123" t="s">
        <v>261</v>
      </c>
      <c r="G219" s="244"/>
      <c r="H219" s="339"/>
      <c r="I219" s="339"/>
      <c r="J219" s="339"/>
      <c r="K219" s="339"/>
      <c r="L219" s="339"/>
      <c r="M219" s="339"/>
      <c r="N219" s="339"/>
      <c r="O219" s="339"/>
      <c r="P219" s="339"/>
      <c r="Q219" s="339"/>
      <c r="R219" s="339"/>
      <c r="S219" s="339"/>
      <c r="T219" s="339"/>
      <c r="U219" s="339"/>
      <c r="V219" s="339"/>
      <c r="W219" s="902">
        <f>W218/W216</f>
        <v>-59.93159456</v>
      </c>
      <c r="X219" s="902"/>
      <c r="Y219" s="902"/>
      <c r="Z219" s="902"/>
      <c r="AA219" s="902"/>
      <c r="AB219" s="902">
        <f t="shared" ref="AB219:AH219" si="56">AB218/AB216</f>
        <v>-55.49079593</v>
      </c>
      <c r="AC219" s="902">
        <f t="shared" si="56"/>
        <v>-38.59575188</v>
      </c>
      <c r="AD219" s="902">
        <f t="shared" si="56"/>
        <v>-23.12718445</v>
      </c>
      <c r="AE219" s="902">
        <f t="shared" si="56"/>
        <v>-11.662651</v>
      </c>
      <c r="AF219" s="902">
        <f t="shared" si="56"/>
        <v>-6.235611432</v>
      </c>
      <c r="AG219" s="902">
        <f t="shared" si="56"/>
        <v>-3.064491176</v>
      </c>
      <c r="AH219" s="902">
        <f t="shared" si="56"/>
        <v>-2.167467997</v>
      </c>
      <c r="AI219" s="204"/>
      <c r="AJ219" s="204"/>
      <c r="AK219" s="204"/>
      <c r="AL219" s="204"/>
      <c r="AM219" s="251"/>
      <c r="AN219" s="100"/>
    </row>
    <row r="220" ht="14.25" customHeight="1">
      <c r="A220" s="195"/>
      <c r="B220" s="100"/>
      <c r="C220" s="100"/>
      <c r="D220" s="100"/>
      <c r="E220" s="100"/>
      <c r="F220" s="206"/>
      <c r="G220" s="206"/>
      <c r="H220" s="207"/>
      <c r="I220" s="207"/>
      <c r="J220" s="207"/>
      <c r="K220" s="207"/>
      <c r="L220" s="207"/>
      <c r="M220" s="207"/>
      <c r="N220" s="207"/>
      <c r="O220" s="207"/>
      <c r="P220" s="207"/>
      <c r="Q220" s="207"/>
      <c r="R220" s="207"/>
      <c r="S220" s="207"/>
      <c r="T220" s="207"/>
      <c r="U220" s="207"/>
      <c r="V220" s="207"/>
      <c r="W220" s="208"/>
      <c r="X220" s="208"/>
      <c r="Y220" s="208"/>
      <c r="Z220" s="208"/>
      <c r="AA220" s="208"/>
      <c r="AB220" s="208"/>
      <c r="AC220" s="208"/>
      <c r="AD220" s="208"/>
      <c r="AE220" s="208"/>
      <c r="AF220" s="208"/>
      <c r="AG220" s="208"/>
      <c r="AH220" s="208"/>
      <c r="AI220" s="100"/>
      <c r="AJ220" s="100"/>
      <c r="AK220" s="100"/>
      <c r="AL220" s="100"/>
      <c r="AM220" s="100"/>
      <c r="AN220" s="100"/>
    </row>
    <row r="221" ht="14.25" customHeight="1" outlineLevel="2">
      <c r="A221" s="247"/>
      <c r="B221" s="244" t="s">
        <v>3382</v>
      </c>
      <c r="C221" s="100"/>
      <c r="D221" s="271"/>
      <c r="E221" s="244"/>
      <c r="F221" s="244"/>
      <c r="G221" s="244"/>
      <c r="H221" s="836"/>
      <c r="I221" s="836"/>
      <c r="J221" s="836"/>
      <c r="K221" s="836"/>
      <c r="L221" s="836"/>
      <c r="M221" s="836"/>
      <c r="N221" s="836"/>
      <c r="O221" s="836"/>
      <c r="P221" s="836"/>
      <c r="Q221" s="836"/>
      <c r="R221" s="836"/>
      <c r="S221" s="836"/>
      <c r="T221" s="836"/>
      <c r="U221" s="836"/>
      <c r="V221" s="836"/>
      <c r="W221" s="836" t="str">
        <f>IF(ABS(W224)&gt;0.1,"Warning","")</f>
        <v>Warning</v>
      </c>
      <c r="X221" s="836"/>
      <c r="Y221" s="836"/>
      <c r="Z221" s="836"/>
      <c r="AA221" s="836"/>
      <c r="AB221" s="836" t="str">
        <f t="shared" ref="AB221:AH221" si="57">IF(ABS(AB224)&gt;0.1,"Warning","")</f>
        <v>Warning</v>
      </c>
      <c r="AC221" s="836" t="str">
        <f t="shared" si="57"/>
        <v>Warning</v>
      </c>
      <c r="AD221" s="836" t="str">
        <f t="shared" si="57"/>
        <v>Warning</v>
      </c>
      <c r="AE221" s="836" t="str">
        <f t="shared" si="57"/>
        <v>Warning</v>
      </c>
      <c r="AF221" s="836" t="str">
        <f t="shared" si="57"/>
        <v>Warning</v>
      </c>
      <c r="AG221" s="836" t="str">
        <f t="shared" si="57"/>
        <v>Warning</v>
      </c>
      <c r="AH221" s="836" t="str">
        <f t="shared" si="57"/>
        <v>Warning</v>
      </c>
      <c r="AI221" s="244"/>
      <c r="AJ221" s="244"/>
      <c r="AK221" s="244"/>
      <c r="AL221" s="244"/>
      <c r="AM221" s="244"/>
      <c r="AN221" s="176"/>
    </row>
    <row r="222" ht="14.25" customHeight="1" outlineLevel="3">
      <c r="A222" s="200"/>
      <c r="B222" s="100"/>
      <c r="C222" s="201"/>
      <c r="D222" s="271"/>
      <c r="E222" s="900" t="s">
        <v>3383</v>
      </c>
      <c r="F222" s="123" t="s">
        <v>135</v>
      </c>
      <c r="G222" s="244"/>
      <c r="H222" s="274"/>
      <c r="I222" s="274"/>
      <c r="J222" s="274"/>
      <c r="K222" s="274"/>
      <c r="L222" s="274"/>
      <c r="M222" s="274"/>
      <c r="N222" s="274"/>
      <c r="O222" s="274"/>
      <c r="P222" s="274"/>
      <c r="Q222" s="274"/>
      <c r="R222" s="274"/>
      <c r="S222" s="274"/>
      <c r="T222" s="274"/>
      <c r="U222" s="274"/>
      <c r="V222" s="274"/>
      <c r="W222" s="274">
        <f>W12</f>
        <v>15.95443445</v>
      </c>
      <c r="X222" s="274"/>
      <c r="Y222" s="274"/>
      <c r="Z222" s="274"/>
      <c r="AA222" s="274"/>
      <c r="AB222" s="274">
        <f t="shared" ref="AB222:AH222" si="58">AB12</f>
        <v>15.93320767</v>
      </c>
      <c r="AC222" s="274">
        <f t="shared" si="58"/>
        <v>15.87373153</v>
      </c>
      <c r="AD222" s="274">
        <f t="shared" si="58"/>
        <v>15.78778602</v>
      </c>
      <c r="AE222" s="274">
        <f t="shared" si="58"/>
        <v>15.69239371</v>
      </c>
      <c r="AF222" s="274">
        <f t="shared" si="58"/>
        <v>15.6064482</v>
      </c>
      <c r="AG222" s="274">
        <f t="shared" si="58"/>
        <v>15.54697206</v>
      </c>
      <c r="AH222" s="274">
        <f t="shared" si="58"/>
        <v>15.52574527</v>
      </c>
      <c r="AI222" s="204"/>
      <c r="AJ222" s="204"/>
      <c r="AK222" s="204"/>
      <c r="AL222" s="204"/>
      <c r="AM222" s="251"/>
      <c r="AN222" s="176"/>
    </row>
    <row r="223" ht="14.25" customHeight="1" outlineLevel="3">
      <c r="A223" s="200"/>
      <c r="B223" s="100"/>
      <c r="C223" s="201"/>
      <c r="D223" s="271"/>
      <c r="E223" s="900" t="s">
        <v>3384</v>
      </c>
      <c r="F223" s="123" t="s">
        <v>135</v>
      </c>
      <c r="G223" s="244"/>
      <c r="H223" s="274"/>
      <c r="I223" s="274"/>
      <c r="J223" s="274"/>
      <c r="K223" s="274"/>
      <c r="L223" s="274"/>
      <c r="M223" s="274"/>
      <c r="N223" s="274"/>
      <c r="O223" s="274"/>
      <c r="P223" s="274"/>
      <c r="Q223" s="274"/>
      <c r="R223" s="274"/>
      <c r="S223" s="274"/>
      <c r="T223" s="274"/>
      <c r="U223" s="274"/>
      <c r="V223" s="274"/>
      <c r="W223" s="330">
        <f t="array" ref="W223">INDIRECT("'"&amp;$W$243&amp;"'!"&amp;W$244&amp;"167")+
IF(ISNUMBER(W16),IF(W16=0,0,W16/W17),0)
+
IF(ISNUMBER(W59),IF(W59=0,0,W59/W60),0)
+
IF(ISNUMBER(W89),IF(W89=0,0,W89/W90),0)
+
IF(ISNUMBER(W146),IF(W146=0,0,W146/W147),0)</f>
        <v>26.11813896</v>
      </c>
      <c r="X223" s="274"/>
      <c r="Y223" s="274"/>
      <c r="Z223" s="274"/>
      <c r="AA223" s="274"/>
      <c r="AB223" s="330">
        <f t="array" ref="AB223">INDIRECT("'"&amp;$W$243&amp;"'!"&amp;AB$244&amp;"167")+
IF(ISNUMBER(AB16),IF(AB16=0,0,AB16/AB17),0)
+
IF(ISNUMBER(AB59),IF(AB59=0,0,AB59/AB60),0)
+
IF(ISNUMBER(AB89),IF(AB89=0,0,AB89/AB90),0)
+
IF(ISNUMBER(AB146),IF(AB146=0,0,AB146/AB147),0)</f>
        <v>25.20339623</v>
      </c>
      <c r="AC223" s="330">
        <f t="array" ref="AC223">INDIRECT("'"&amp;$W$243&amp;"'!"&amp;AC$244&amp;"167")+
IF(ISNUMBER(AC16),IF(AC16=0,0,AC16/AC17),0)
+
IF(ISNUMBER(AC59),IF(AC59=0,0,AC59/AC60),0)
+
IF(ISNUMBER(AC89),IF(AC89=0,0,AC89/AC90),0)
+
IF(ISNUMBER(AC146),IF(AC146=0,0,AC146/AC147),0)</f>
        <v>24.70795447</v>
      </c>
      <c r="AD223" s="330">
        <f t="array" ref="AD223">INDIRECT("'"&amp;$W$243&amp;"'!"&amp;AD$244&amp;"167")+
IF(ISNUMBER(AD16),IF(AD16=0,0,AD16/AD17),0)
+
IF(ISNUMBER(AD59),IF(AD59=0,0,AD59/AD60),0)
+
IF(ISNUMBER(AD89),IF(AD89=0,0,AD89/AD90),0)
+
IF(ISNUMBER(AD146),IF(AD146=0,0,AD146/AD147),0)</f>
        <v>23.05715554</v>
      </c>
      <c r="AE223" s="330">
        <f t="array" ref="AE223">INDIRECT("'"&amp;$W$243&amp;"'!"&amp;AE$244&amp;"167")+
IF(ISNUMBER(AE16),IF(AE16=0,0,AE16/AE17),0)
+
IF(ISNUMBER(AE59),IF(AE59=0,0,AE59/AE60),0)
+
IF(ISNUMBER(AE89),IF(AE89=0,0,AE89/AE90),0)
+
IF(ISNUMBER(AE146),IF(AE146=0,0,AE146/AE147),0)</f>
        <v>21.67158069</v>
      </c>
      <c r="AF223" s="330">
        <f t="array" ref="AF223">INDIRECT("'"&amp;$W$243&amp;"'!"&amp;AF$244&amp;"167")+
IF(ISNUMBER(AF16),IF(AF16=0,0,AF16/AF17),0)
+
IF(ISNUMBER(AF59),IF(AF59=0,0,AF59/AF60),0)
+
IF(ISNUMBER(AF89),IF(AF89=0,0,AF89/AF90),0)
+
IF(ISNUMBER(AF146),IF(AF146=0,0,AF146/AF147),0)</f>
        <v>17.49735955</v>
      </c>
      <c r="AG223" s="330">
        <f t="array" ref="AG223">INDIRECT("'"&amp;$W$243&amp;"'!"&amp;AG$244&amp;"167")+
IF(ISNUMBER(AG16),IF(AG16=0,0,AG16/AG17),0)
+
IF(ISNUMBER(AG59),IF(AG59=0,0,AG59/AG60),0)
+
IF(ISNUMBER(AG89),IF(AG89=0,0,AG89/AG90),0)
+
IF(ISNUMBER(AG146),IF(AG146=0,0,AG146/AG147),0)</f>
        <v>13.90466783</v>
      </c>
      <c r="AH223" s="330">
        <f t="array" ref="AH223">INDIRECT("'"&amp;$W$243&amp;"'!"&amp;AH$244&amp;"167")+
IF(ISNUMBER(AH16),IF(AH16=0,0,AH16/AH17),0)
+
IF(ISNUMBER(AH59),IF(AH59=0,0,AH59/AH60),0)
+
IF(ISNUMBER(AH89),IF(AH89=0,0,AH89/AH90),0)
+
IF(ISNUMBER(AH146),IF(AH146=0,0,AH146/AH147),0)</f>
        <v>13.30195297</v>
      </c>
      <c r="AI223" s="204"/>
      <c r="AJ223" s="204"/>
      <c r="AK223" s="204" t="s">
        <v>3377</v>
      </c>
      <c r="AL223" s="204"/>
      <c r="AM223" s="251"/>
      <c r="AN223" s="176"/>
    </row>
    <row r="224" ht="14.25" customHeight="1" outlineLevel="3">
      <c r="A224" s="200"/>
      <c r="B224" s="100"/>
      <c r="C224" s="201"/>
      <c r="D224" s="271"/>
      <c r="E224" s="900" t="s">
        <v>3361</v>
      </c>
      <c r="F224" s="123" t="s">
        <v>135</v>
      </c>
      <c r="G224" s="244"/>
      <c r="H224" s="274"/>
      <c r="I224" s="274"/>
      <c r="J224" s="274"/>
      <c r="K224" s="274"/>
      <c r="L224" s="274"/>
      <c r="M224" s="274"/>
      <c r="N224" s="274"/>
      <c r="O224" s="274"/>
      <c r="P224" s="274"/>
      <c r="Q224" s="274"/>
      <c r="R224" s="274"/>
      <c r="S224" s="274"/>
      <c r="T224" s="274"/>
      <c r="U224" s="274"/>
      <c r="V224" s="274"/>
      <c r="W224" s="901">
        <f>W222-W223</f>
        <v>-10.16370451</v>
      </c>
      <c r="X224" s="901"/>
      <c r="Y224" s="901"/>
      <c r="Z224" s="901"/>
      <c r="AA224" s="901"/>
      <c r="AB224" s="901">
        <f t="shared" ref="AB224:AH224" si="59">AB222-AB223</f>
        <v>-9.270188568</v>
      </c>
      <c r="AC224" s="901">
        <f t="shared" si="59"/>
        <v>-8.834222945</v>
      </c>
      <c r="AD224" s="901">
        <f t="shared" si="59"/>
        <v>-7.269369517</v>
      </c>
      <c r="AE224" s="901">
        <f t="shared" si="59"/>
        <v>-5.979186981</v>
      </c>
      <c r="AF224" s="901">
        <f t="shared" si="59"/>
        <v>-1.890911354</v>
      </c>
      <c r="AG224" s="901">
        <f t="shared" si="59"/>
        <v>1.642304236</v>
      </c>
      <c r="AH224" s="901">
        <f t="shared" si="59"/>
        <v>2.223792307</v>
      </c>
      <c r="AI224" s="204"/>
      <c r="AJ224" s="204"/>
      <c r="AK224" s="204"/>
      <c r="AL224" s="204"/>
      <c r="AM224" s="251"/>
      <c r="AN224" s="176"/>
    </row>
    <row r="225" ht="14.25" customHeight="1">
      <c r="A225" s="200"/>
      <c r="B225" s="100"/>
      <c r="C225" s="201"/>
      <c r="D225" s="271"/>
      <c r="E225" s="900" t="s">
        <v>3378</v>
      </c>
      <c r="F225" s="123" t="s">
        <v>261</v>
      </c>
      <c r="G225" s="244"/>
      <c r="H225" s="339"/>
      <c r="I225" s="339"/>
      <c r="J225" s="339"/>
      <c r="K225" s="339"/>
      <c r="L225" s="339"/>
      <c r="M225" s="339"/>
      <c r="N225" s="339"/>
      <c r="O225" s="339"/>
      <c r="P225" s="339"/>
      <c r="Q225" s="339"/>
      <c r="R225" s="339"/>
      <c r="S225" s="339"/>
      <c r="T225" s="339"/>
      <c r="U225" s="339"/>
      <c r="V225" s="339"/>
      <c r="W225" s="902">
        <f>W224/W222</f>
        <v>-0.6370457403</v>
      </c>
      <c r="X225" s="902"/>
      <c r="Y225" s="902"/>
      <c r="Z225" s="902"/>
      <c r="AA225" s="902"/>
      <c r="AB225" s="902">
        <f t="shared" ref="AB225:AH225" si="60">AB224/AB222</f>
        <v>-0.5818155868</v>
      </c>
      <c r="AC225" s="902">
        <f t="shared" si="60"/>
        <v>-0.5565309536</v>
      </c>
      <c r="AD225" s="902">
        <f t="shared" si="60"/>
        <v>-0.4604426173</v>
      </c>
      <c r="AE225" s="902">
        <f t="shared" si="60"/>
        <v>-0.3810245329</v>
      </c>
      <c r="AF225" s="902">
        <f t="shared" si="60"/>
        <v>-0.1211621844</v>
      </c>
      <c r="AG225" s="902">
        <f t="shared" si="60"/>
        <v>0.1056349898</v>
      </c>
      <c r="AH225" s="902">
        <f t="shared" si="60"/>
        <v>0.1432325642</v>
      </c>
      <c r="AI225" s="204"/>
      <c r="AJ225" s="204"/>
      <c r="AK225" s="204"/>
      <c r="AL225" s="204"/>
      <c r="AM225" s="251"/>
      <c r="AN225" s="100"/>
    </row>
    <row r="226" ht="14.25" customHeight="1">
      <c r="A226" s="195"/>
      <c r="B226" s="100"/>
      <c r="C226" s="100"/>
      <c r="D226" s="100"/>
      <c r="E226" s="100"/>
      <c r="F226" s="206"/>
      <c r="G226" s="206"/>
      <c r="H226" s="207"/>
      <c r="I226" s="207"/>
      <c r="J226" s="207"/>
      <c r="K226" s="207"/>
      <c r="L226" s="207"/>
      <c r="M226" s="207"/>
      <c r="N226" s="207"/>
      <c r="O226" s="207"/>
      <c r="P226" s="207"/>
      <c r="Q226" s="207"/>
      <c r="R226" s="207"/>
      <c r="S226" s="207"/>
      <c r="T226" s="207"/>
      <c r="U226" s="207"/>
      <c r="V226" s="207"/>
      <c r="W226" s="208"/>
      <c r="X226" s="208"/>
      <c r="Y226" s="208"/>
      <c r="Z226" s="208"/>
      <c r="AA226" s="208"/>
      <c r="AB226" s="208"/>
      <c r="AC226" s="208"/>
      <c r="AD226" s="208"/>
      <c r="AE226" s="208"/>
      <c r="AF226" s="208"/>
      <c r="AG226" s="208"/>
      <c r="AH226" s="208"/>
      <c r="AI226" s="100"/>
      <c r="AJ226" s="100"/>
      <c r="AK226" s="100"/>
      <c r="AL226" s="100"/>
      <c r="AM226" s="100"/>
      <c r="AN226" s="100"/>
    </row>
    <row r="227" ht="14.25" customHeight="1" outlineLevel="2">
      <c r="A227" s="247"/>
      <c r="B227" s="244" t="s">
        <v>3385</v>
      </c>
      <c r="C227" s="100"/>
      <c r="D227" s="271"/>
      <c r="E227" s="244"/>
      <c r="F227" s="244"/>
      <c r="G227" s="244"/>
      <c r="H227" s="836"/>
      <c r="I227" s="836"/>
      <c r="J227" s="836"/>
      <c r="K227" s="836"/>
      <c r="L227" s="836"/>
      <c r="M227" s="836"/>
      <c r="N227" s="836"/>
      <c r="O227" s="836"/>
      <c r="P227" s="836"/>
      <c r="Q227" s="836"/>
      <c r="R227" s="836"/>
      <c r="S227" s="836"/>
      <c r="T227" s="836"/>
      <c r="U227" s="836"/>
      <c r="V227" s="836"/>
      <c r="W227" s="836" t="str">
        <f>IF(ABS(W230)&gt;0.1,"Warning","")</f>
        <v/>
      </c>
      <c r="X227" s="836"/>
      <c r="Y227" s="836"/>
      <c r="Z227" s="836"/>
      <c r="AA227" s="836"/>
      <c r="AB227" s="836" t="str">
        <f t="shared" ref="AB227:AH227" si="61">IF(ABS(AB230)&gt;0.1,"Warning","")</f>
        <v/>
      </c>
      <c r="AC227" s="836" t="str">
        <f t="shared" si="61"/>
        <v>Warning</v>
      </c>
      <c r="AD227" s="836" t="str">
        <f t="shared" si="61"/>
        <v>Warning</v>
      </c>
      <c r="AE227" s="836" t="str">
        <f t="shared" si="61"/>
        <v>Warning</v>
      </c>
      <c r="AF227" s="836" t="str">
        <f t="shared" si="61"/>
        <v>Warning</v>
      </c>
      <c r="AG227" s="836" t="str">
        <f t="shared" si="61"/>
        <v>Warning</v>
      </c>
      <c r="AH227" s="836" t="str">
        <f t="shared" si="61"/>
        <v>Warning</v>
      </c>
      <c r="AI227" s="244"/>
      <c r="AJ227" s="244"/>
      <c r="AK227" s="244"/>
      <c r="AL227" s="244"/>
      <c r="AM227" s="244"/>
      <c r="AN227" s="176"/>
    </row>
    <row r="228" ht="14.25" customHeight="1" outlineLevel="3">
      <c r="A228" s="200"/>
      <c r="B228" s="100"/>
      <c r="C228" s="201"/>
      <c r="D228" s="271"/>
      <c r="E228" s="900" t="s">
        <v>3386</v>
      </c>
      <c r="F228" s="123" t="s">
        <v>135</v>
      </c>
      <c r="G228" s="244"/>
      <c r="H228" s="274"/>
      <c r="I228" s="274"/>
      <c r="J228" s="274"/>
      <c r="K228" s="274"/>
      <c r="L228" s="274"/>
      <c r="M228" s="274"/>
      <c r="N228" s="274"/>
      <c r="O228" s="274"/>
      <c r="P228" s="274"/>
      <c r="Q228" s="274"/>
      <c r="R228" s="274"/>
      <c r="S228" s="274"/>
      <c r="T228" s="274"/>
      <c r="U228" s="274"/>
      <c r="V228" s="274"/>
      <c r="W228" s="274">
        <f>W173+W113</f>
        <v>0</v>
      </c>
      <c r="X228" s="274"/>
      <c r="Y228" s="274"/>
      <c r="Z228" s="274"/>
      <c r="AA228" s="274"/>
      <c r="AB228" s="274">
        <f t="shared" ref="AB228:AH228" si="62">AB173+AB113</f>
        <v>0</v>
      </c>
      <c r="AC228" s="274">
        <f t="shared" si="62"/>
        <v>0</v>
      </c>
      <c r="AD228" s="274">
        <f t="shared" si="62"/>
        <v>0</v>
      </c>
      <c r="AE228" s="274">
        <f t="shared" si="62"/>
        <v>0.1929440062</v>
      </c>
      <c r="AF228" s="274">
        <f t="shared" si="62"/>
        <v>4.847902044</v>
      </c>
      <c r="AG228" s="274">
        <f t="shared" si="62"/>
        <v>8.519973706</v>
      </c>
      <c r="AH228" s="274">
        <f t="shared" si="62"/>
        <v>11.092247</v>
      </c>
      <c r="AI228" s="204"/>
      <c r="AJ228" s="204"/>
      <c r="AK228" s="204"/>
      <c r="AL228" s="204"/>
      <c r="AM228" s="251"/>
      <c r="AN228" s="176"/>
    </row>
    <row r="229" ht="14.25" customHeight="1" outlineLevel="3">
      <c r="A229" s="200"/>
      <c r="B229" s="100"/>
      <c r="C229" s="201"/>
      <c r="D229" s="271"/>
      <c r="E229" s="900" t="s">
        <v>3387</v>
      </c>
      <c r="F229" s="123" t="s">
        <v>135</v>
      </c>
      <c r="G229" s="244"/>
      <c r="H229" s="274"/>
      <c r="I229" s="274"/>
      <c r="J229" s="274"/>
      <c r="K229" s="274"/>
      <c r="L229" s="274"/>
      <c r="M229" s="274"/>
      <c r="N229" s="274"/>
      <c r="O229" s="274"/>
      <c r="P229" s="274"/>
      <c r="Q229" s="274"/>
      <c r="R229" s="274"/>
      <c r="S229" s="274"/>
      <c r="T229" s="274"/>
      <c r="U229" s="274"/>
      <c r="V229" s="274"/>
      <c r="W229" s="330">
        <f t="array" ref="W229">INDIRECT("'"&amp;$W$243&amp;"'!"&amp;W$244&amp;"170")+
IF(ISNUMBER(W117),IF(W117=0,0,W117/W118),0)
+
IF(ISNUMBER(W163),IF(W163=0,0,W163/W164),0)
+
IF(ISNUMBER(W104),IF(W104=0,0,W104/W105),0)
+
IF(ISNUMBER(W65),IF(W65=0,0,W65/W66),0)</f>
        <v>0</v>
      </c>
      <c r="X229" s="274"/>
      <c r="Y229" s="274"/>
      <c r="Z229" s="274"/>
      <c r="AA229" s="274"/>
      <c r="AB229" s="330">
        <f t="array" ref="AB229">INDIRECT("'"&amp;$W$243&amp;"'!"&amp;AB$244&amp;"170")+
IF(ISNUMBER(AB117),IF(AB117=0,0,AB117/AB118),0)
+
IF(ISNUMBER(AB163),IF(AB163=0,0,AB163/AB164),0)
+
IF(ISNUMBER(AB104),IF(AB104=0,0,AB104/AB105),0)
+
IF(ISNUMBER(AB65),IF(AB65=0,0,AB65/AB66),0)</f>
        <v>0</v>
      </c>
      <c r="AC229" s="330">
        <f t="array" ref="AC229">INDIRECT("'"&amp;$W$243&amp;"'!"&amp;AC$244&amp;"170")+
IF(ISNUMBER(AC117),IF(AC117=0,0,AC117/AC118),0)
+
IF(ISNUMBER(AC163),IF(AC163=0,0,AC163/AC164),0)
+
IF(ISNUMBER(AC104),IF(AC104=0,0,AC104/AC105),0)
+
IF(ISNUMBER(AC65),IF(AC65=0,0,AC65/AC66),0)</f>
        <v>0.1297504779</v>
      </c>
      <c r="AD229" s="330">
        <f t="array" ref="AD229">INDIRECT("'"&amp;$W$243&amp;"'!"&amp;AD$244&amp;"170")+
IF(ISNUMBER(AD117),IF(AD117=0,0,AD117/AD118),0)
+
IF(ISNUMBER(AD163),IF(AD163=0,0,AD163/AD164),0)
+
IF(ISNUMBER(AD104),IF(AD104=0,0,AD104/AD105),0)
+
IF(ISNUMBER(AD65),IF(AD65=0,0,AD65/AD66),0)</f>
        <v>1.965301538</v>
      </c>
      <c r="AE229" s="330">
        <f t="array" ref="AE229">INDIRECT("'"&amp;$W$243&amp;"'!"&amp;AE$244&amp;"170")+
IF(ISNUMBER(AE117),IF(AE117=0,0,AE117/AE118),0)
+
IF(ISNUMBER(AE163),IF(AE163=0,0,AE163/AE164),0)
+
IF(ISNUMBER(AE104),IF(AE104=0,0,AE104/AE105),0)
+
IF(ISNUMBER(AE65),IF(AE65=0,0,AE65/AE66),0)</f>
        <v>23.85206489</v>
      </c>
      <c r="AF229" s="330">
        <f t="array" ref="AF229">INDIRECT("'"&amp;$W$243&amp;"'!"&amp;AF$244&amp;"170")+
IF(ISNUMBER(AF117),IF(AF117=0,0,AF117/AF118),0)
+
IF(ISNUMBER(AF163),IF(AF163=0,0,AF163/AF164),0)
+
IF(ISNUMBER(AF104),IF(AF104=0,0,AF104/AF105),0)
+
IF(ISNUMBER(AF65),IF(AF65=0,0,AF65/AF66),0)</f>
        <v>36.95307827</v>
      </c>
      <c r="AG229" s="330">
        <f t="array" ref="AG229">INDIRECT("'"&amp;$W$243&amp;"'!"&amp;AG$244&amp;"170")+
IF(ISNUMBER(AG117),IF(AG117=0,0,AG117/AG118),0)
+
IF(ISNUMBER(AG163),IF(AG163=0,0,AG163/AG164),0)
+
IF(ISNUMBER(AG104),IF(AG104=0,0,AG104/AG105),0)
+
IF(ISNUMBER(AG65),IF(AG65=0,0,AG65/AG66),0)</f>
        <v>48.12121033</v>
      </c>
      <c r="AH229" s="330">
        <f t="array" ref="AH229">INDIRECT("'"&amp;$W$243&amp;"'!"&amp;AH$244&amp;"170")+
IF(ISNUMBER(AH117),IF(AH117=0,0,AH117/AH118),0)
+
IF(ISNUMBER(AH163),IF(AH163=0,0,AH163/AH164),0)
+
IF(ISNUMBER(AH104),IF(AH104=0,0,AH104/AH105),0)
+
IF(ISNUMBER(AH65),IF(AH65=0,0,AH65/AH66),0)</f>
        <v>57.76961265</v>
      </c>
      <c r="AI229" s="204"/>
      <c r="AJ229" s="204"/>
      <c r="AK229" s="204" t="s">
        <v>3377</v>
      </c>
      <c r="AL229" s="204"/>
      <c r="AM229" s="251"/>
      <c r="AN229" s="176"/>
    </row>
    <row r="230" ht="14.25" customHeight="1" outlineLevel="3">
      <c r="A230" s="200"/>
      <c r="B230" s="100"/>
      <c r="C230" s="201"/>
      <c r="D230" s="271"/>
      <c r="E230" s="900" t="s">
        <v>3361</v>
      </c>
      <c r="F230" s="123" t="s">
        <v>135</v>
      </c>
      <c r="G230" s="244"/>
      <c r="H230" s="274"/>
      <c r="I230" s="274"/>
      <c r="J230" s="274"/>
      <c r="K230" s="274"/>
      <c r="L230" s="274"/>
      <c r="M230" s="274"/>
      <c r="N230" s="274"/>
      <c r="O230" s="274"/>
      <c r="P230" s="274"/>
      <c r="Q230" s="274"/>
      <c r="R230" s="274"/>
      <c r="S230" s="274"/>
      <c r="T230" s="274"/>
      <c r="U230" s="274"/>
      <c r="V230" s="274"/>
      <c r="W230" s="901">
        <f>W228-W229</f>
        <v>0</v>
      </c>
      <c r="X230" s="901"/>
      <c r="Y230" s="901"/>
      <c r="Z230" s="901"/>
      <c r="AA230" s="901"/>
      <c r="AB230" s="901">
        <f t="shared" ref="AB230:AH230" si="63">AB228-AB229</f>
        <v>0</v>
      </c>
      <c r="AC230" s="901">
        <f t="shared" si="63"/>
        <v>-0.1297504779</v>
      </c>
      <c r="AD230" s="901">
        <f t="shared" si="63"/>
        <v>-1.965301538</v>
      </c>
      <c r="AE230" s="901">
        <f t="shared" si="63"/>
        <v>-23.65912088</v>
      </c>
      <c r="AF230" s="901">
        <f t="shared" si="63"/>
        <v>-32.10517622</v>
      </c>
      <c r="AG230" s="901">
        <f t="shared" si="63"/>
        <v>-39.60123663</v>
      </c>
      <c r="AH230" s="901">
        <f t="shared" si="63"/>
        <v>-46.67736564</v>
      </c>
      <c r="AI230" s="204"/>
      <c r="AJ230" s="204"/>
      <c r="AK230" s="204"/>
      <c r="AL230" s="204"/>
      <c r="AM230" s="251"/>
      <c r="AN230" s="176"/>
    </row>
    <row r="231" ht="14.25" customHeight="1">
      <c r="A231" s="200"/>
      <c r="B231" s="100"/>
      <c r="C231" s="201"/>
      <c r="D231" s="271"/>
      <c r="E231" s="900" t="s">
        <v>3378</v>
      </c>
      <c r="F231" s="123" t="s">
        <v>261</v>
      </c>
      <c r="G231" s="244"/>
      <c r="H231" s="339"/>
      <c r="I231" s="339"/>
      <c r="J231" s="339"/>
      <c r="K231" s="339"/>
      <c r="L231" s="339"/>
      <c r="M231" s="339"/>
      <c r="N231" s="339"/>
      <c r="O231" s="339"/>
      <c r="P231" s="339"/>
      <c r="Q231" s="339"/>
      <c r="R231" s="339"/>
      <c r="S231" s="339"/>
      <c r="T231" s="339"/>
      <c r="U231" s="339"/>
      <c r="V231" s="339"/>
      <c r="W231" s="902" t="str">
        <f>W230/W228</f>
        <v>#DIV/0!</v>
      </c>
      <c r="X231" s="902"/>
      <c r="Y231" s="902"/>
      <c r="Z231" s="902"/>
      <c r="AA231" s="902"/>
      <c r="AB231" s="902" t="str">
        <f t="shared" ref="AB231:AH231" si="64">AB230/AB228</f>
        <v>#DIV/0!</v>
      </c>
      <c r="AC231" s="902" t="str">
        <f t="shared" si="64"/>
        <v>#DIV/0!</v>
      </c>
      <c r="AD231" s="902" t="str">
        <f t="shared" si="64"/>
        <v>#DIV/0!</v>
      </c>
      <c r="AE231" s="902">
        <f t="shared" si="64"/>
        <v>-122.621694</v>
      </c>
      <c r="AF231" s="902">
        <f t="shared" si="64"/>
        <v>-6.622488642</v>
      </c>
      <c r="AG231" s="902">
        <f t="shared" si="64"/>
        <v>-4.648046812</v>
      </c>
      <c r="AH231" s="902">
        <f t="shared" si="64"/>
        <v>-4.208107304</v>
      </c>
      <c r="AI231" s="204"/>
      <c r="AJ231" s="204"/>
      <c r="AK231" s="204"/>
      <c r="AL231" s="204"/>
      <c r="AM231" s="251"/>
      <c r="AN231" s="100"/>
    </row>
    <row r="232" ht="14.25" customHeight="1">
      <c r="A232" s="195"/>
      <c r="B232" s="100"/>
      <c r="C232" s="100"/>
      <c r="D232" s="100"/>
      <c r="E232" s="100"/>
      <c r="F232" s="206"/>
      <c r="G232" s="206"/>
      <c r="H232" s="207"/>
      <c r="I232" s="207"/>
      <c r="J232" s="207"/>
      <c r="K232" s="207"/>
      <c r="L232" s="207"/>
      <c r="M232" s="207"/>
      <c r="N232" s="207"/>
      <c r="O232" s="207"/>
      <c r="P232" s="207"/>
      <c r="Q232" s="207"/>
      <c r="R232" s="207"/>
      <c r="S232" s="207"/>
      <c r="T232" s="207"/>
      <c r="U232" s="207"/>
      <c r="V232" s="207"/>
      <c r="W232" s="208"/>
      <c r="X232" s="208"/>
      <c r="Y232" s="208"/>
      <c r="Z232" s="208"/>
      <c r="AA232" s="208"/>
      <c r="AB232" s="208"/>
      <c r="AC232" s="208"/>
      <c r="AD232" s="208"/>
      <c r="AE232" s="208"/>
      <c r="AF232" s="208"/>
      <c r="AG232" s="208"/>
      <c r="AH232" s="208"/>
      <c r="AI232" s="100"/>
      <c r="AJ232" s="100"/>
      <c r="AK232" s="100"/>
      <c r="AL232" s="100"/>
      <c r="AM232" s="100"/>
      <c r="AN232" s="100"/>
    </row>
    <row r="233" ht="14.25" customHeight="1">
      <c r="A233" s="247"/>
      <c r="B233" s="244" t="s">
        <v>3358</v>
      </c>
      <c r="C233" s="100"/>
      <c r="D233" s="271"/>
      <c r="E233" s="244"/>
      <c r="F233" s="244"/>
      <c r="G233" s="244"/>
      <c r="H233" s="836"/>
      <c r="I233" s="836"/>
      <c r="J233" s="836"/>
      <c r="K233" s="836"/>
      <c r="L233" s="836"/>
      <c r="M233" s="836"/>
      <c r="N233" s="836"/>
      <c r="O233" s="836"/>
      <c r="P233" s="836"/>
      <c r="Q233" s="836"/>
      <c r="R233" s="836"/>
      <c r="S233" s="836"/>
      <c r="T233" s="836"/>
      <c r="U233" s="836"/>
      <c r="V233" s="836"/>
      <c r="W233" s="836" t="str">
        <f>IF(ABS(W236)&gt;0.1,"Warning","")</f>
        <v>Warning</v>
      </c>
      <c r="X233" s="836"/>
      <c r="Y233" s="836"/>
      <c r="Z233" s="836"/>
      <c r="AA233" s="836"/>
      <c r="AB233" s="836" t="str">
        <f t="shared" ref="AB233:AH233" si="65">IF(ABS(AB236)&gt;0.1,"Warning","")</f>
        <v>Warning</v>
      </c>
      <c r="AC233" s="836" t="str">
        <f t="shared" si="65"/>
        <v>Warning</v>
      </c>
      <c r="AD233" s="836" t="str">
        <f t="shared" si="65"/>
        <v>Warning</v>
      </c>
      <c r="AE233" s="836" t="str">
        <f t="shared" si="65"/>
        <v>Warning</v>
      </c>
      <c r="AF233" s="836" t="str">
        <f t="shared" si="65"/>
        <v>Warning</v>
      </c>
      <c r="AG233" s="836" t="str">
        <f t="shared" si="65"/>
        <v>Warning</v>
      </c>
      <c r="AH233" s="836" t="str">
        <f t="shared" si="65"/>
        <v>Warning</v>
      </c>
      <c r="AI233" s="244"/>
      <c r="AJ233" s="244"/>
      <c r="AK233" s="244"/>
      <c r="AL233" s="244"/>
      <c r="AM233" s="244"/>
      <c r="AN233" s="100"/>
    </row>
    <row r="234" ht="14.25" customHeight="1">
      <c r="A234" s="200"/>
      <c r="B234" s="100"/>
      <c r="C234" s="201"/>
      <c r="D234" s="271"/>
      <c r="E234" s="900" t="s">
        <v>3359</v>
      </c>
      <c r="F234" s="123" t="s">
        <v>135</v>
      </c>
      <c r="G234" s="244"/>
      <c r="H234" s="274"/>
      <c r="I234" s="274"/>
      <c r="J234" s="274"/>
      <c r="K234" s="274"/>
      <c r="L234" s="274"/>
      <c r="M234" s="274"/>
      <c r="N234" s="274"/>
      <c r="O234" s="274"/>
      <c r="P234" s="274"/>
      <c r="Q234" s="274"/>
      <c r="R234" s="274"/>
      <c r="S234" s="274"/>
      <c r="T234" s="274"/>
      <c r="U234" s="274"/>
      <c r="V234" s="274"/>
      <c r="W234" s="274">
        <f>W71+W76+W81+W86+W91+W96+W101+W106+W137+W141+W144+W146+W149+W152+W155+W158+W160+W163</f>
        <v>7.312334908</v>
      </c>
      <c r="X234" s="274"/>
      <c r="Y234" s="274"/>
      <c r="Z234" s="274"/>
      <c r="AA234" s="274"/>
      <c r="AB234" s="274">
        <f t="shared" ref="AB234:AH234" si="66">AB71+AB76+AB81+AB86+AB91+AB96+AB101+AB106+AB137+AB141+AB144+AB146+AB149+AB152+AB155+AB158+AB160+AB163</f>
        <v>6.244051096</v>
      </c>
      <c r="AC234" s="274">
        <f t="shared" si="66"/>
        <v>8.606403259</v>
      </c>
      <c r="AD234" s="274">
        <f t="shared" si="66"/>
        <v>10.4153961</v>
      </c>
      <c r="AE234" s="274">
        <f t="shared" si="66"/>
        <v>15.27520681</v>
      </c>
      <c r="AF234" s="274">
        <f t="shared" si="66"/>
        <v>17.54155798</v>
      </c>
      <c r="AG234" s="274">
        <f t="shared" si="66"/>
        <v>18.21444962</v>
      </c>
      <c r="AH234" s="274">
        <f t="shared" si="66"/>
        <v>18.16771985</v>
      </c>
      <c r="AI234" s="204"/>
      <c r="AJ234" s="204"/>
      <c r="AK234" s="204"/>
      <c r="AL234" s="204"/>
      <c r="AM234" s="251"/>
      <c r="AN234" s="100"/>
    </row>
    <row r="235" ht="14.25" customHeight="1">
      <c r="A235" s="200"/>
      <c r="B235" s="100"/>
      <c r="C235" s="201"/>
      <c r="D235" s="271"/>
      <c r="E235" s="900" t="s">
        <v>3360</v>
      </c>
      <c r="F235" s="123" t="s">
        <v>135</v>
      </c>
      <c r="G235" s="244"/>
      <c r="H235" s="274"/>
      <c r="I235" s="274"/>
      <c r="J235" s="274"/>
      <c r="K235" s="274"/>
      <c r="L235" s="274"/>
      <c r="M235" s="274"/>
      <c r="N235" s="274"/>
      <c r="O235" s="274"/>
      <c r="P235" s="274"/>
      <c r="Q235" s="274"/>
      <c r="R235" s="274"/>
      <c r="S235" s="274"/>
      <c r="T235" s="274"/>
      <c r="U235" s="274"/>
      <c r="V235" s="274"/>
      <c r="W235" s="274">
        <f t="array" ref="W235">INDIRECT("'"&amp;$W$243&amp;"'!"&amp;W$244&amp;"173")/(1-W166)</f>
        <v>8.395474024</v>
      </c>
      <c r="X235" s="274"/>
      <c r="Y235" s="274"/>
      <c r="Z235" s="274"/>
      <c r="AA235" s="274"/>
      <c r="AB235" s="274">
        <f t="array" ref="AB235">INDIRECT("'"&amp;$W$243&amp;"'!"&amp;AB$244&amp;"173")/(1-AB166)</f>
        <v>6.977705245</v>
      </c>
      <c r="AC235" s="274">
        <f t="array" ref="AC235">INDIRECT("'"&amp;$W$243&amp;"'!"&amp;AC$244&amp;"173")/(1-AC166)</f>
        <v>12.26482262</v>
      </c>
      <c r="AD235" s="274">
        <f t="array" ref="AD235">INDIRECT("'"&amp;$W$243&amp;"'!"&amp;AD$244&amp;"173")/(1-AD166)</f>
        <v>13.77314635</v>
      </c>
      <c r="AE235" s="274">
        <f t="array" ref="AE235">INDIRECT("'"&amp;$W$243&amp;"'!"&amp;AE$244&amp;"173")/(1-AE166)</f>
        <v>14.66335279</v>
      </c>
      <c r="AF235" s="274">
        <f t="array" ref="AF235">INDIRECT("'"&amp;$W$243&amp;"'!"&amp;AF$244&amp;"173")/(1-AF166)</f>
        <v>15.01473086</v>
      </c>
      <c r="AG235" s="274">
        <f t="array" ref="AG235">INDIRECT("'"&amp;$W$243&amp;"'!"&amp;AG$244&amp;"173")/(1-AG166)</f>
        <v>15.98883924</v>
      </c>
      <c r="AH235" s="274">
        <f t="array" ref="AH235">INDIRECT("'"&amp;$W$243&amp;"'!"&amp;AH$244&amp;"173")/(1-AH166)</f>
        <v>16.23194729</v>
      </c>
      <c r="AI235" s="204"/>
      <c r="AJ235" s="204"/>
      <c r="AK235" s="204" t="s">
        <v>3377</v>
      </c>
      <c r="AL235" s="204"/>
      <c r="AM235" s="251"/>
      <c r="AN235" s="100">
        <v>1.0</v>
      </c>
    </row>
    <row r="236" ht="14.25" customHeight="1">
      <c r="A236" s="200"/>
      <c r="B236" s="100"/>
      <c r="C236" s="201"/>
      <c r="D236" s="271"/>
      <c r="E236" s="900" t="s">
        <v>3361</v>
      </c>
      <c r="F236" s="123" t="s">
        <v>135</v>
      </c>
      <c r="G236" s="244"/>
      <c r="H236" s="274"/>
      <c r="I236" s="274"/>
      <c r="J236" s="274"/>
      <c r="K236" s="274"/>
      <c r="L236" s="274"/>
      <c r="M236" s="274"/>
      <c r="N236" s="274"/>
      <c r="O236" s="274"/>
      <c r="P236" s="274"/>
      <c r="Q236" s="274"/>
      <c r="R236" s="274"/>
      <c r="S236" s="274"/>
      <c r="T236" s="274"/>
      <c r="U236" s="274"/>
      <c r="V236" s="274"/>
      <c r="W236" s="901">
        <f>W234-W235</f>
        <v>-1.083139116</v>
      </c>
      <c r="X236" s="901"/>
      <c r="Y236" s="901"/>
      <c r="Z236" s="901"/>
      <c r="AA236" s="901"/>
      <c r="AB236" s="901">
        <f t="shared" ref="AB236:AH236" si="67">AB234-AB235</f>
        <v>-0.7336541483</v>
      </c>
      <c r="AC236" s="901">
        <f t="shared" si="67"/>
        <v>-3.658419358</v>
      </c>
      <c r="AD236" s="901">
        <f t="shared" si="67"/>
        <v>-3.357750248</v>
      </c>
      <c r="AE236" s="901">
        <f t="shared" si="67"/>
        <v>0.6118540121</v>
      </c>
      <c r="AF236" s="901">
        <f t="shared" si="67"/>
        <v>2.52682712</v>
      </c>
      <c r="AG236" s="901">
        <f t="shared" si="67"/>
        <v>2.225610371</v>
      </c>
      <c r="AH236" s="901">
        <f t="shared" si="67"/>
        <v>1.935772562</v>
      </c>
      <c r="AI236" s="204">
        <v>9.0</v>
      </c>
      <c r="AJ236" s="204"/>
      <c r="AK236" s="204"/>
      <c r="AL236" s="204"/>
      <c r="AM236" s="251"/>
      <c r="AN236" s="100"/>
    </row>
    <row r="237" ht="14.25" customHeight="1">
      <c r="A237" s="195"/>
      <c r="B237" s="100"/>
      <c r="C237" s="100"/>
      <c r="D237" s="100"/>
      <c r="E237" s="900" t="s">
        <v>3378</v>
      </c>
      <c r="F237" s="123" t="s">
        <v>261</v>
      </c>
      <c r="G237" s="206"/>
      <c r="H237" s="836"/>
      <c r="I237" s="207"/>
      <c r="J237" s="207"/>
      <c r="K237" s="207"/>
      <c r="L237" s="207"/>
      <c r="M237" s="207"/>
      <c r="N237" s="207"/>
      <c r="O237" s="207"/>
      <c r="P237" s="207"/>
      <c r="Q237" s="207"/>
      <c r="R237" s="207"/>
      <c r="S237" s="207"/>
      <c r="T237" s="207"/>
      <c r="U237" s="207"/>
      <c r="V237" s="207"/>
      <c r="W237" s="902">
        <f>W236/W234</f>
        <v>-0.1481249327</v>
      </c>
      <c r="X237" s="902"/>
      <c r="Y237" s="902"/>
      <c r="Z237" s="902"/>
      <c r="AA237" s="902"/>
      <c r="AB237" s="903">
        <f t="shared" ref="AB237:AH237" si="68">AB236/AB234</f>
        <v>-0.1174964998</v>
      </c>
      <c r="AC237" s="902">
        <f t="shared" si="68"/>
        <v>-0.4250810992</v>
      </c>
      <c r="AD237" s="902">
        <f t="shared" si="68"/>
        <v>-0.3223833462</v>
      </c>
      <c r="AE237" s="902">
        <f t="shared" si="68"/>
        <v>0.04005536684</v>
      </c>
      <c r="AF237" s="902">
        <f t="shared" si="68"/>
        <v>0.1440480443</v>
      </c>
      <c r="AG237" s="902">
        <f t="shared" si="68"/>
        <v>0.1221892738</v>
      </c>
      <c r="AH237" s="902">
        <f t="shared" si="68"/>
        <v>0.1065501107</v>
      </c>
      <c r="AI237" s="100"/>
      <c r="AJ237" s="100"/>
      <c r="AK237" s="100"/>
      <c r="AL237" s="100"/>
      <c r="AM237" s="100"/>
      <c r="AN237" s="100"/>
    </row>
    <row r="238" ht="14.25" customHeight="1">
      <c r="A238" s="127"/>
      <c r="B238" s="127"/>
      <c r="C238" s="127"/>
      <c r="D238" s="127"/>
      <c r="E238" s="127"/>
      <c r="F238" s="300"/>
      <c r="G238" s="300"/>
      <c r="H238" s="892"/>
      <c r="I238" s="892"/>
      <c r="J238" s="892"/>
      <c r="K238" s="892"/>
      <c r="L238" s="892"/>
      <c r="M238" s="892"/>
      <c r="N238" s="892"/>
      <c r="O238" s="892"/>
      <c r="P238" s="892"/>
      <c r="Q238" s="892"/>
      <c r="R238" s="892"/>
      <c r="S238" s="892"/>
      <c r="T238" s="892"/>
      <c r="U238" s="892"/>
      <c r="V238" s="892"/>
      <c r="W238" s="893"/>
      <c r="X238" s="893"/>
      <c r="Y238" s="893"/>
      <c r="Z238" s="893"/>
      <c r="AA238" s="893"/>
      <c r="AB238" s="893"/>
      <c r="AC238" s="893"/>
      <c r="AD238" s="893"/>
      <c r="AE238" s="893"/>
      <c r="AF238" s="893"/>
      <c r="AG238" s="893"/>
      <c r="AH238" s="893"/>
      <c r="AI238" s="300"/>
      <c r="AJ238" s="300"/>
      <c r="AK238" s="300"/>
      <c r="AL238" s="300"/>
      <c r="AM238" s="300"/>
      <c r="AN238" s="127"/>
    </row>
    <row r="239" ht="14.25" customHeight="1">
      <c r="A239" s="127"/>
      <c r="B239" s="127"/>
      <c r="C239" s="127"/>
      <c r="D239" s="127"/>
      <c r="E239" s="127"/>
      <c r="F239" s="300"/>
      <c r="G239" s="300"/>
      <c r="H239" s="892"/>
      <c r="I239" s="892"/>
      <c r="J239" s="892"/>
      <c r="K239" s="892"/>
      <c r="L239" s="892"/>
      <c r="M239" s="892"/>
      <c r="N239" s="892"/>
      <c r="O239" s="892"/>
      <c r="P239" s="892"/>
      <c r="Q239" s="892"/>
      <c r="R239" s="892"/>
      <c r="S239" s="892"/>
      <c r="T239" s="892"/>
      <c r="U239" s="892"/>
      <c r="V239" s="892"/>
      <c r="W239" s="893"/>
      <c r="X239" s="893"/>
      <c r="Y239" s="893"/>
      <c r="Z239" s="893"/>
      <c r="AA239" s="893"/>
      <c r="AB239" s="893"/>
      <c r="AC239" s="893"/>
      <c r="AD239" s="893"/>
      <c r="AE239" s="893"/>
      <c r="AF239" s="893"/>
      <c r="AG239" s="893"/>
      <c r="AH239" s="893"/>
      <c r="AI239" s="300"/>
      <c r="AJ239" s="300"/>
      <c r="AK239" s="300"/>
      <c r="AL239" s="300"/>
      <c r="AM239" s="300"/>
      <c r="AN239" s="127"/>
    </row>
    <row r="240" ht="14.25" customHeight="1">
      <c r="A240" s="127"/>
      <c r="B240" s="127"/>
      <c r="C240" s="127"/>
      <c r="D240" s="127"/>
      <c r="E240" s="127"/>
      <c r="F240" s="300"/>
      <c r="G240" s="300"/>
      <c r="H240" s="892"/>
      <c r="I240" s="892"/>
      <c r="J240" s="892"/>
      <c r="K240" s="892"/>
      <c r="L240" s="892"/>
      <c r="M240" s="892"/>
      <c r="N240" s="892"/>
      <c r="O240" s="892"/>
      <c r="P240" s="892"/>
      <c r="Q240" s="892"/>
      <c r="R240" s="892"/>
      <c r="S240" s="892"/>
      <c r="T240" s="892"/>
      <c r="U240" s="892"/>
      <c r="V240" s="892"/>
      <c r="W240" s="893"/>
      <c r="X240" s="893"/>
      <c r="Y240" s="893"/>
      <c r="Z240" s="893"/>
      <c r="AA240" s="893"/>
      <c r="AB240" s="893"/>
      <c r="AC240" s="893"/>
      <c r="AD240" s="893"/>
      <c r="AE240" s="893"/>
      <c r="AF240" s="893"/>
      <c r="AG240" s="893"/>
      <c r="AH240" s="893"/>
      <c r="AI240" s="300"/>
      <c r="AJ240" s="300"/>
      <c r="AK240" s="300"/>
      <c r="AL240" s="300"/>
      <c r="AM240" s="300"/>
      <c r="AN240" s="127"/>
    </row>
    <row r="241" ht="14.25" customHeight="1">
      <c r="A241" s="127"/>
      <c r="B241" s="127"/>
      <c r="C241" s="127"/>
      <c r="D241" s="127"/>
      <c r="E241" s="127"/>
      <c r="F241" s="300"/>
      <c r="G241" s="300"/>
      <c r="H241" s="892"/>
      <c r="I241" s="892"/>
      <c r="J241" s="892"/>
      <c r="K241" s="892"/>
      <c r="L241" s="892"/>
      <c r="M241" s="892"/>
      <c r="N241" s="892"/>
      <c r="O241" s="892"/>
      <c r="P241" s="892"/>
      <c r="Q241" s="892"/>
      <c r="R241" s="892"/>
      <c r="S241" s="892"/>
      <c r="T241" s="892"/>
      <c r="U241" s="892"/>
      <c r="V241" s="892"/>
      <c r="W241" s="893"/>
      <c r="X241" s="893"/>
      <c r="Y241" s="893"/>
      <c r="Z241" s="893"/>
      <c r="AA241" s="893"/>
      <c r="AB241" s="893"/>
      <c r="AC241" s="893"/>
      <c r="AD241" s="893"/>
      <c r="AE241" s="893"/>
      <c r="AF241" s="893"/>
      <c r="AG241" s="893"/>
      <c r="AH241" s="893"/>
      <c r="AI241" s="300"/>
      <c r="AJ241" s="300"/>
      <c r="AK241" s="300"/>
      <c r="AL241" s="300"/>
      <c r="AM241" s="300"/>
      <c r="AN241" s="127"/>
    </row>
    <row r="242" ht="14.25" customHeight="1">
      <c r="A242" s="894" t="s">
        <v>3388</v>
      </c>
      <c r="B242" s="895"/>
      <c r="C242" s="895"/>
      <c r="D242" s="896"/>
      <c r="E242" s="895"/>
      <c r="F242" s="895"/>
      <c r="G242" s="895"/>
      <c r="H242" s="897"/>
      <c r="I242" s="897"/>
      <c r="J242" s="897"/>
      <c r="K242" s="897"/>
      <c r="L242" s="897"/>
      <c r="M242" s="897"/>
      <c r="N242" s="897"/>
      <c r="O242" s="897"/>
      <c r="P242" s="897"/>
      <c r="Q242" s="897"/>
      <c r="R242" s="897"/>
      <c r="S242" s="897"/>
      <c r="T242" s="897"/>
      <c r="U242" s="897"/>
      <c r="V242" s="897"/>
      <c r="W242" s="898"/>
      <c r="X242" s="898"/>
      <c r="Y242" s="898"/>
      <c r="Z242" s="898"/>
      <c r="AA242" s="898"/>
      <c r="AB242" s="898"/>
      <c r="AC242" s="898"/>
      <c r="AD242" s="898"/>
      <c r="AE242" s="898"/>
      <c r="AF242" s="898"/>
      <c r="AG242" s="898"/>
      <c r="AH242" s="898"/>
      <c r="AI242" s="899"/>
      <c r="AJ242" s="899"/>
      <c r="AK242" s="899"/>
      <c r="AL242" s="899"/>
      <c r="AM242" s="899"/>
      <c r="AN242" s="100"/>
    </row>
    <row r="243" ht="14.25" customHeight="1">
      <c r="A243" s="127"/>
      <c r="B243" s="127"/>
      <c r="C243" s="127"/>
      <c r="D243" s="127"/>
      <c r="E243" s="127"/>
      <c r="F243" s="300"/>
      <c r="G243" s="300"/>
      <c r="H243" s="892"/>
      <c r="I243" s="892"/>
      <c r="J243" s="892"/>
      <c r="K243" s="892"/>
      <c r="L243" s="892"/>
      <c r="M243" s="892"/>
      <c r="N243" s="892"/>
      <c r="O243" s="892"/>
      <c r="P243" s="892"/>
      <c r="Q243" s="892"/>
      <c r="R243" s="892"/>
      <c r="S243" s="892"/>
      <c r="T243" s="892"/>
      <c r="U243" s="892"/>
      <c r="V243" s="892"/>
      <c r="W243" s="419" t="s">
        <v>3389</v>
      </c>
      <c r="X243" s="893"/>
      <c r="Y243" s="893"/>
      <c r="Z243" s="893"/>
      <c r="AA243" s="893"/>
      <c r="AB243" s="893"/>
      <c r="AC243" s="893"/>
      <c r="AD243" s="893"/>
      <c r="AE243" s="893"/>
      <c r="AF243" s="893"/>
      <c r="AG243" s="893"/>
      <c r="AH243" s="893"/>
      <c r="AI243" s="300"/>
      <c r="AJ243" s="300"/>
      <c r="AK243" s="300"/>
      <c r="AL243" s="300"/>
      <c r="AM243" s="300"/>
      <c r="AN243" s="127"/>
    </row>
    <row r="244" ht="14.25" customHeight="1">
      <c r="A244" s="127"/>
      <c r="B244" s="127"/>
      <c r="C244" s="127"/>
      <c r="D244" s="127"/>
      <c r="E244" s="127"/>
      <c r="F244" s="300"/>
      <c r="G244" s="300"/>
      <c r="H244" s="892"/>
      <c r="I244" s="892"/>
      <c r="J244" s="892"/>
      <c r="K244" s="892"/>
      <c r="L244" s="892"/>
      <c r="M244" s="892"/>
      <c r="N244" s="892"/>
      <c r="O244" s="892"/>
      <c r="P244" s="892"/>
      <c r="Q244" s="892"/>
      <c r="R244" s="892"/>
      <c r="S244" s="892"/>
      <c r="T244" s="892"/>
      <c r="U244" s="892"/>
      <c r="V244" s="892"/>
      <c r="W244" s="893" t="s">
        <v>3390</v>
      </c>
      <c r="X244" s="893" t="s">
        <v>3391</v>
      </c>
      <c r="Y244" s="893" t="s">
        <v>3392</v>
      </c>
      <c r="Z244" s="893" t="s">
        <v>3393</v>
      </c>
      <c r="AA244" s="893" t="s">
        <v>3394</v>
      </c>
      <c r="AB244" s="893" t="s">
        <v>3395</v>
      </c>
      <c r="AC244" s="893" t="s">
        <v>3396</v>
      </c>
      <c r="AD244" s="893" t="s">
        <v>3397</v>
      </c>
      <c r="AE244" s="893" t="s">
        <v>3398</v>
      </c>
      <c r="AF244" s="893" t="s">
        <v>3399</v>
      </c>
      <c r="AG244" s="893" t="s">
        <v>3400</v>
      </c>
      <c r="AH244" s="893" t="s">
        <v>3401</v>
      </c>
      <c r="AI244" s="300"/>
      <c r="AJ244" s="300"/>
      <c r="AK244" s="300"/>
      <c r="AL244" s="300"/>
      <c r="AM244" s="300"/>
      <c r="AN244" s="127"/>
    </row>
    <row r="245" ht="14.25" customHeight="1">
      <c r="A245" s="247"/>
      <c r="B245" s="244" t="s">
        <v>3402</v>
      </c>
      <c r="C245" s="100"/>
      <c r="D245" s="271"/>
      <c r="E245" s="244"/>
      <c r="F245" s="244"/>
      <c r="G245" s="244"/>
      <c r="H245" s="836"/>
      <c r="I245" s="836"/>
      <c r="J245" s="836"/>
      <c r="K245" s="836"/>
      <c r="L245" s="836"/>
      <c r="M245" s="836"/>
      <c r="N245" s="836"/>
      <c r="O245" s="836"/>
      <c r="P245" s="836"/>
      <c r="Q245" s="836"/>
      <c r="R245" s="836"/>
      <c r="S245" s="836"/>
      <c r="T245" s="836"/>
      <c r="U245" s="836"/>
      <c r="V245" s="836"/>
      <c r="W245" s="836" t="str">
        <f>IF(ABS(W249)&gt;0.1,"Warning","")</f>
        <v/>
      </c>
      <c r="X245" s="836"/>
      <c r="Y245" s="836"/>
      <c r="Z245" s="836"/>
      <c r="AA245" s="836"/>
      <c r="AB245" s="836" t="str">
        <f t="shared" ref="AB245:AH245" si="69">IF(ABS(AB249)&gt;0.1,"Warning","")</f>
        <v/>
      </c>
      <c r="AC245" s="836" t="str">
        <f t="shared" si="69"/>
        <v/>
      </c>
      <c r="AD245" s="836" t="str">
        <f t="shared" si="69"/>
        <v/>
      </c>
      <c r="AE245" s="836" t="str">
        <f t="shared" si="69"/>
        <v/>
      </c>
      <c r="AF245" s="836" t="str">
        <f t="shared" si="69"/>
        <v/>
      </c>
      <c r="AG245" s="836" t="str">
        <f t="shared" si="69"/>
        <v/>
      </c>
      <c r="AH245" s="836" t="str">
        <f t="shared" si="69"/>
        <v/>
      </c>
      <c r="AI245" s="244"/>
      <c r="AJ245" s="244"/>
      <c r="AK245" s="244"/>
      <c r="AL245" s="244"/>
      <c r="AM245" s="244"/>
      <c r="AN245" s="100"/>
    </row>
    <row r="246" ht="14.25" customHeight="1">
      <c r="A246" s="200"/>
      <c r="B246" s="100"/>
      <c r="C246" s="201"/>
      <c r="D246" s="271"/>
      <c r="E246" s="900" t="s">
        <v>3403</v>
      </c>
      <c r="F246" s="123" t="s">
        <v>135</v>
      </c>
      <c r="G246" s="244"/>
      <c r="H246" s="274"/>
      <c r="I246" s="274"/>
      <c r="J246" s="274"/>
      <c r="K246" s="274"/>
      <c r="L246" s="274"/>
      <c r="M246" s="274"/>
      <c r="N246" s="274"/>
      <c r="O246" s="274"/>
      <c r="P246" s="274"/>
      <c r="Q246" s="274"/>
      <c r="R246" s="274"/>
      <c r="S246" s="274"/>
      <c r="T246" s="274"/>
      <c r="U246" s="274"/>
      <c r="V246" s="274"/>
      <c r="W246" s="478" t="str">
        <f t="array" ref="W246">INDIRECT("'"&amp;$W$243&amp;"'!"&amp;W$244&amp;"171")/(1-W126)+
IF(ISNUMBER(W160),IF(W160=0,0,W160/W161),0)</f>
        <v>#REF!</v>
      </c>
      <c r="X246" s="478"/>
      <c r="Y246" s="478"/>
      <c r="Z246" s="478"/>
      <c r="AA246" s="478"/>
      <c r="AB246" s="478" t="str">
        <f t="array" ref="AB246">INDIRECT("'"&amp;$W$243&amp;"'!"&amp;AB244&amp;"171")/(1-AB126)+
IF(ISNUMBER(AB160),IF(AB160=0,0,AB160/AB161),0)</f>
        <v>#REF!</v>
      </c>
      <c r="AC246" s="478" t="str">
        <f t="array" ref="AC246">INDIRECT("'"&amp;$W$243&amp;"'!"&amp;AC244&amp;"171")/(1-AC126)+
IF(ISNUMBER(AC160),IF(AC160=0,0,AC160/AC161),0)</f>
        <v>#REF!</v>
      </c>
      <c r="AD246" s="478" t="str">
        <f t="array" ref="AD246">INDIRECT("'"&amp;$W$243&amp;"'!"&amp;AD244&amp;"171")/(1-AD126)+
IF(ISNUMBER(AD160),IF(AD160=0,0,AD160/AD161),0)</f>
        <v>#REF!</v>
      </c>
      <c r="AE246" s="478" t="str">
        <f t="array" ref="AE246">INDIRECT("'"&amp;$W$243&amp;"'!"&amp;AE244&amp;"171")/(1-AE126)+
IF(ISNUMBER(AE160),IF(AE160=0,0,AE160/AE161),0)</f>
        <v>#REF!</v>
      </c>
      <c r="AF246" s="478" t="str">
        <f t="array" ref="AF246">INDIRECT("'"&amp;$W$243&amp;"'!"&amp;AF244&amp;"171")/(1-AF126)+
IF(ISNUMBER(AF160),IF(AF160=0,0,AF160/AF161),0)</f>
        <v>#REF!</v>
      </c>
      <c r="AG246" s="478" t="str">
        <f t="array" ref="AG246">INDIRECT("'"&amp;$W$243&amp;"'!"&amp;AG244&amp;"171")/(1-AG126)+
IF(ISNUMBER(AG160),IF(AG160=0,0,AG160/AG161),0)</f>
        <v>#REF!</v>
      </c>
      <c r="AH246" s="478" t="str">
        <f t="array" ref="AH246">INDIRECT("'"&amp;$W$243&amp;"'!"&amp;AH244&amp;"171")/(1-AH126)+
IF(ISNUMBER(AH160),IF(AH160=0,0,AH160/AH161),0)</f>
        <v>#REF!</v>
      </c>
      <c r="AI246" s="204"/>
      <c r="AJ246" s="204"/>
      <c r="AK246" s="204"/>
      <c r="AL246" s="204"/>
      <c r="AM246" s="251"/>
      <c r="AN246" s="100"/>
    </row>
    <row r="247" ht="14.25" customHeight="1">
      <c r="A247" s="200"/>
      <c r="B247" s="100"/>
      <c r="C247" s="201"/>
      <c r="D247" s="271"/>
      <c r="E247" s="900" t="s">
        <v>3404</v>
      </c>
      <c r="F247" s="123" t="s">
        <v>261</v>
      </c>
      <c r="G247" s="244"/>
      <c r="H247" s="274"/>
      <c r="I247" s="274"/>
      <c r="J247" s="274"/>
      <c r="K247" s="274"/>
      <c r="L247" s="274"/>
      <c r="M247" s="274"/>
      <c r="N247" s="274"/>
      <c r="O247" s="274"/>
      <c r="P247" s="274"/>
      <c r="Q247" s="274"/>
      <c r="R247" s="274"/>
      <c r="S247" s="274"/>
      <c r="T247" s="274"/>
      <c r="U247" s="274"/>
      <c r="V247" s="274"/>
      <c r="W247" s="256">
        <f>$AI$247-$AJ$247</f>
        <v>0.12</v>
      </c>
      <c r="X247" s="904"/>
      <c r="Y247" s="904"/>
      <c r="Z247" s="904"/>
      <c r="AA247" s="904"/>
      <c r="AB247" s="256">
        <f t="shared" ref="AB247:AH247" si="70">$AI$247-$AJ$247</f>
        <v>0.12</v>
      </c>
      <c r="AC247" s="256">
        <f t="shared" si="70"/>
        <v>0.12</v>
      </c>
      <c r="AD247" s="256">
        <f t="shared" si="70"/>
        <v>0.12</v>
      </c>
      <c r="AE247" s="256">
        <f t="shared" si="70"/>
        <v>0.12</v>
      </c>
      <c r="AF247" s="256">
        <f t="shared" si="70"/>
        <v>0.12</v>
      </c>
      <c r="AG247" s="256">
        <f t="shared" si="70"/>
        <v>0.12</v>
      </c>
      <c r="AH247" s="257">
        <f t="shared" si="70"/>
        <v>0.12</v>
      </c>
      <c r="AI247" s="905">
        <v>0.15</v>
      </c>
      <c r="AJ247" s="906">
        <v>0.03</v>
      </c>
      <c r="AK247" s="204" t="s">
        <v>3405</v>
      </c>
      <c r="AL247" s="204"/>
      <c r="AM247" s="251"/>
      <c r="AN247" s="100">
        <v>1.0</v>
      </c>
    </row>
    <row r="248" ht="14.25" customHeight="1">
      <c r="A248" s="200"/>
      <c r="B248" s="100"/>
      <c r="C248" s="201"/>
      <c r="D248" s="271"/>
      <c r="E248" s="900" t="s">
        <v>3406</v>
      </c>
      <c r="F248" s="123" t="s">
        <v>135</v>
      </c>
      <c r="G248" s="244"/>
      <c r="H248" s="274"/>
      <c r="I248" s="274"/>
      <c r="J248" s="274"/>
      <c r="K248" s="274"/>
      <c r="L248" s="274"/>
      <c r="M248" s="274"/>
      <c r="N248" s="274"/>
      <c r="O248" s="274"/>
      <c r="P248" s="274"/>
      <c r="Q248" s="274"/>
      <c r="R248" s="274"/>
      <c r="S248" s="274"/>
      <c r="T248" s="274"/>
      <c r="U248" s="274"/>
      <c r="V248" s="274"/>
      <c r="W248" s="478" t="str">
        <f>W247*W246</f>
        <v>#REF!</v>
      </c>
      <c r="X248" s="478"/>
      <c r="Y248" s="478"/>
      <c r="Z248" s="478"/>
      <c r="AA248" s="478"/>
      <c r="AB248" s="478" t="str">
        <f t="shared" ref="AB248:AH248" si="71">AB247*AB246</f>
        <v>#REF!</v>
      </c>
      <c r="AC248" s="478" t="str">
        <f t="shared" si="71"/>
        <v>#REF!</v>
      </c>
      <c r="AD248" s="478" t="str">
        <f t="shared" si="71"/>
        <v>#REF!</v>
      </c>
      <c r="AE248" s="478" t="str">
        <f t="shared" si="71"/>
        <v>#REF!</v>
      </c>
      <c r="AF248" s="478" t="str">
        <f t="shared" si="71"/>
        <v>#REF!</v>
      </c>
      <c r="AG248" s="478" t="str">
        <f t="shared" si="71"/>
        <v>#REF!</v>
      </c>
      <c r="AH248" s="478" t="str">
        <f t="shared" si="71"/>
        <v>#REF!</v>
      </c>
      <c r="AI248" s="905"/>
      <c r="AJ248" s="906"/>
      <c r="AK248" s="204"/>
      <c r="AL248" s="204"/>
      <c r="AM248" s="251"/>
      <c r="AN248" s="100"/>
    </row>
    <row r="249" ht="14.25" customHeight="1">
      <c r="A249" s="200"/>
      <c r="B249" s="100"/>
      <c r="C249" s="201"/>
      <c r="D249" s="271"/>
      <c r="E249" s="900" t="s">
        <v>3407</v>
      </c>
      <c r="F249" s="123" t="s">
        <v>135</v>
      </c>
      <c r="G249" s="244"/>
      <c r="H249" s="274"/>
      <c r="I249" s="274"/>
      <c r="J249" s="274"/>
      <c r="K249" s="274"/>
      <c r="L249" s="274"/>
      <c r="M249" s="274"/>
      <c r="N249" s="274"/>
      <c r="O249" s="274"/>
      <c r="P249" s="274"/>
      <c r="Q249" s="274"/>
      <c r="R249" s="274"/>
      <c r="S249" s="274"/>
      <c r="T249" s="274"/>
      <c r="U249" s="274"/>
      <c r="V249" s="274"/>
      <c r="W249" s="182">
        <v>0.0</v>
      </c>
      <c r="X249" s="907">
        <v>0.0</v>
      </c>
      <c r="Y249" s="907">
        <v>0.0</v>
      </c>
      <c r="Z249" s="907">
        <v>0.0</v>
      </c>
      <c r="AA249" s="907">
        <v>0.0</v>
      </c>
      <c r="AB249" s="182">
        <v>0.0</v>
      </c>
      <c r="AC249" s="182">
        <v>0.0</v>
      </c>
      <c r="AD249" s="182">
        <v>0.0</v>
      </c>
      <c r="AE249" s="182">
        <v>0.0</v>
      </c>
      <c r="AF249" s="182">
        <v>0.0</v>
      </c>
      <c r="AG249" s="182">
        <v>0.0</v>
      </c>
      <c r="AH249" s="182">
        <v>0.0</v>
      </c>
      <c r="AI249" s="204"/>
      <c r="AJ249" s="204"/>
      <c r="AK249" s="204"/>
      <c r="AL249" s="204"/>
      <c r="AM249" s="251"/>
      <c r="AN249" s="100"/>
    </row>
    <row r="250" ht="14.25" customHeight="1">
      <c r="A250" s="200"/>
      <c r="B250" s="100"/>
      <c r="C250" s="201"/>
      <c r="D250" s="271"/>
      <c r="E250" s="900" t="s">
        <v>3408</v>
      </c>
      <c r="F250" s="123" t="s">
        <v>135</v>
      </c>
      <c r="G250" s="244"/>
      <c r="H250" s="274"/>
      <c r="I250" s="274"/>
      <c r="J250" s="274"/>
      <c r="K250" s="274"/>
      <c r="L250" s="274"/>
      <c r="M250" s="274"/>
      <c r="N250" s="274"/>
      <c r="O250" s="274"/>
      <c r="P250" s="274"/>
      <c r="Q250" s="274"/>
      <c r="R250" s="274"/>
      <c r="S250" s="274"/>
      <c r="T250" s="274"/>
      <c r="U250" s="274"/>
      <c r="V250" s="274"/>
      <c r="W250" s="182">
        <f t="shared" ref="W250:AH250" si="72">W40*$AI$250</f>
        <v>0.3184</v>
      </c>
      <c r="X250" s="907">
        <f t="shared" si="72"/>
        <v>0.37</v>
      </c>
      <c r="Y250" s="907">
        <f t="shared" si="72"/>
        <v>0.2701</v>
      </c>
      <c r="Z250" s="907">
        <f t="shared" si="72"/>
        <v>0.2855</v>
      </c>
      <c r="AA250" s="907">
        <f t="shared" si="72"/>
        <v>0.2855</v>
      </c>
      <c r="AB250" s="182">
        <f t="shared" si="72"/>
        <v>0.285</v>
      </c>
      <c r="AC250" s="182">
        <f t="shared" si="72"/>
        <v>0.3</v>
      </c>
      <c r="AD250" s="182">
        <f t="shared" si="72"/>
        <v>0.3</v>
      </c>
      <c r="AE250" s="182">
        <f t="shared" si="72"/>
        <v>0.3</v>
      </c>
      <c r="AF250" s="182">
        <f t="shared" si="72"/>
        <v>0.3</v>
      </c>
      <c r="AG250" s="182">
        <f t="shared" si="72"/>
        <v>0.3</v>
      </c>
      <c r="AH250" s="182">
        <f t="shared" si="72"/>
        <v>0.3</v>
      </c>
      <c r="AI250" s="905">
        <v>0.5</v>
      </c>
      <c r="AJ250" s="204" t="s">
        <v>3409</v>
      </c>
      <c r="AK250" s="204"/>
      <c r="AL250" s="204"/>
      <c r="AM250" s="251"/>
      <c r="AN250" s="100"/>
    </row>
    <row r="251" ht="14.25" customHeight="1">
      <c r="A251" s="200"/>
      <c r="B251" s="100"/>
      <c r="C251" s="201"/>
      <c r="D251" s="271"/>
      <c r="E251" s="271"/>
      <c r="F251" s="271"/>
      <c r="G251" s="271"/>
      <c r="H251" s="271"/>
      <c r="I251" s="271"/>
      <c r="J251" s="271"/>
      <c r="K251" s="271"/>
      <c r="L251" s="271"/>
      <c r="M251" s="271"/>
      <c r="N251" s="271"/>
      <c r="O251" s="271"/>
      <c r="P251" s="271"/>
      <c r="Q251" s="271"/>
      <c r="R251" s="271"/>
      <c r="S251" s="271"/>
      <c r="T251" s="271"/>
      <c r="U251" s="271"/>
      <c r="V251" s="271"/>
      <c r="W251" s="271"/>
      <c r="X251" s="271"/>
      <c r="Y251" s="271"/>
      <c r="Z251" s="271"/>
      <c r="AA251" s="271"/>
      <c r="AB251" s="271"/>
      <c r="AC251" s="271"/>
      <c r="AD251" s="271"/>
      <c r="AE251" s="271"/>
      <c r="AF251" s="271"/>
      <c r="AG251" s="271"/>
      <c r="AH251" s="271"/>
      <c r="AI251" s="271"/>
      <c r="AJ251" s="271"/>
      <c r="AK251" s="271"/>
      <c r="AL251" s="271"/>
      <c r="AM251" s="271"/>
      <c r="AN251" s="100"/>
    </row>
    <row r="252" ht="14.25" customHeight="1">
      <c r="A252" s="200"/>
      <c r="B252" s="100"/>
      <c r="C252" s="201"/>
      <c r="D252" s="271"/>
      <c r="E252" s="900" t="s">
        <v>3410</v>
      </c>
      <c r="F252" s="123" t="s">
        <v>135</v>
      </c>
      <c r="G252" s="244"/>
      <c r="H252" s="274"/>
      <c r="I252" s="274"/>
      <c r="J252" s="274"/>
      <c r="K252" s="274"/>
      <c r="L252" s="274"/>
      <c r="M252" s="274"/>
      <c r="N252" s="274"/>
      <c r="O252" s="274"/>
      <c r="P252" s="274"/>
      <c r="Q252" s="274"/>
      <c r="R252" s="274"/>
      <c r="S252" s="274"/>
      <c r="T252" s="274"/>
      <c r="U252" s="274"/>
      <c r="V252" s="274"/>
      <c r="W252" s="478" t="str">
        <f>W248-W250</f>
        <v>#REF!</v>
      </c>
      <c r="X252" s="478"/>
      <c r="Y252" s="478"/>
      <c r="Z252" s="478"/>
      <c r="AA252" s="478"/>
      <c r="AB252" s="478" t="str">
        <f t="shared" ref="AB252:AH252" si="73">AB248-AB250</f>
        <v>#REF!</v>
      </c>
      <c r="AC252" s="478" t="str">
        <f t="shared" si="73"/>
        <v>#REF!</v>
      </c>
      <c r="AD252" s="478" t="str">
        <f t="shared" si="73"/>
        <v>#REF!</v>
      </c>
      <c r="AE252" s="478" t="str">
        <f t="shared" si="73"/>
        <v>#REF!</v>
      </c>
      <c r="AF252" s="478" t="str">
        <f t="shared" si="73"/>
        <v>#REF!</v>
      </c>
      <c r="AG252" s="478" t="str">
        <f t="shared" si="73"/>
        <v>#REF!</v>
      </c>
      <c r="AH252" s="478" t="str">
        <f t="shared" si="73"/>
        <v>#REF!</v>
      </c>
      <c r="AI252" s="204"/>
      <c r="AJ252" s="204"/>
      <c r="AK252" s="204"/>
      <c r="AL252" s="204"/>
      <c r="AM252" s="251"/>
      <c r="AN252" s="100"/>
    </row>
    <row r="253" ht="14.25" customHeight="1">
      <c r="A253" s="200"/>
      <c r="B253" s="100"/>
      <c r="C253" s="201"/>
      <c r="D253" s="271"/>
      <c r="E253" s="900" t="s">
        <v>3411</v>
      </c>
      <c r="F253" s="123" t="s">
        <v>135</v>
      </c>
      <c r="G253" s="244"/>
      <c r="H253" s="274"/>
      <c r="I253" s="274"/>
      <c r="J253" s="274"/>
      <c r="K253" s="274"/>
      <c r="L253" s="274"/>
      <c r="M253" s="274"/>
      <c r="N253" s="274"/>
      <c r="O253" s="274"/>
      <c r="P253" s="274"/>
      <c r="Q253" s="274"/>
      <c r="R253" s="274"/>
      <c r="S253" s="274"/>
      <c r="T253" s="274"/>
      <c r="U253" s="274"/>
      <c r="V253" s="274"/>
      <c r="W253" s="478">
        <f>W47+W50+W53+W56+W59+W62+W65+W69+W74+W79+W89+W94+W99+W104</f>
        <v>60.00408954</v>
      </c>
      <c r="X253" s="478"/>
      <c r="Y253" s="478"/>
      <c r="Z253" s="478"/>
      <c r="AA253" s="478"/>
      <c r="AB253" s="478">
        <f t="shared" ref="AB253:AH253" si="74">AB47+AB50+AB53+AB56+AB59+AB62+AB65+AB69+AB74+AB79+AB89+AB94+AB99+AB104</f>
        <v>79.5432706</v>
      </c>
      <c r="AC253" s="478">
        <f t="shared" si="74"/>
        <v>50.71114681</v>
      </c>
      <c r="AD253" s="478">
        <f t="shared" si="74"/>
        <v>48.88521405</v>
      </c>
      <c r="AE253" s="478">
        <f t="shared" si="74"/>
        <v>28.60463764</v>
      </c>
      <c r="AF253" s="478">
        <f t="shared" si="74"/>
        <v>22.00367696</v>
      </c>
      <c r="AG253" s="478">
        <f t="shared" si="74"/>
        <v>13.82944512</v>
      </c>
      <c r="AH253" s="478">
        <f t="shared" si="74"/>
        <v>13.28338697</v>
      </c>
      <c r="AI253" s="204"/>
      <c r="AJ253" s="204"/>
      <c r="AK253" s="204"/>
      <c r="AL253" s="204"/>
      <c r="AM253" s="251"/>
      <c r="AN253" s="100"/>
    </row>
    <row r="254" ht="14.25" customHeight="1">
      <c r="A254" s="195"/>
      <c r="B254" s="100"/>
      <c r="C254" s="100"/>
      <c r="D254" s="100"/>
      <c r="E254" s="900" t="s">
        <v>3412</v>
      </c>
      <c r="F254" s="123" t="s">
        <v>135</v>
      </c>
      <c r="G254" s="206"/>
      <c r="H254" s="836"/>
      <c r="I254" s="207"/>
      <c r="J254" s="207"/>
      <c r="K254" s="207"/>
      <c r="L254" s="207"/>
      <c r="M254" s="207"/>
      <c r="N254" s="207"/>
      <c r="O254" s="207"/>
      <c r="P254" s="207"/>
      <c r="Q254" s="207"/>
      <c r="R254" s="207"/>
      <c r="S254" s="207"/>
      <c r="T254" s="207"/>
      <c r="U254" s="207"/>
      <c r="V254" s="207"/>
      <c r="W254" s="908" t="str">
        <f>+W253-W252</f>
        <v>#REF!</v>
      </c>
      <c r="X254" s="908"/>
      <c r="Y254" s="908"/>
      <c r="Z254" s="908"/>
      <c r="AA254" s="908"/>
      <c r="AB254" s="908" t="str">
        <f t="shared" ref="AB254:AH254" si="75">+AB253-AB252</f>
        <v>#REF!</v>
      </c>
      <c r="AC254" s="908" t="str">
        <f t="shared" si="75"/>
        <v>#REF!</v>
      </c>
      <c r="AD254" s="908" t="str">
        <f t="shared" si="75"/>
        <v>#REF!</v>
      </c>
      <c r="AE254" s="908" t="str">
        <f t="shared" si="75"/>
        <v>#REF!</v>
      </c>
      <c r="AF254" s="908" t="str">
        <f t="shared" si="75"/>
        <v>#REF!</v>
      </c>
      <c r="AG254" s="908" t="str">
        <f t="shared" si="75"/>
        <v>#REF!</v>
      </c>
      <c r="AH254" s="908" t="str">
        <f t="shared" si="75"/>
        <v>#REF!</v>
      </c>
      <c r="AI254" s="100"/>
      <c r="AJ254" s="100"/>
      <c r="AK254" s="100"/>
      <c r="AL254" s="100"/>
      <c r="AM254" s="100"/>
      <c r="AN254" s="100"/>
    </row>
    <row r="255" ht="14.25" customHeight="1">
      <c r="A255" s="127"/>
      <c r="B255" s="127"/>
      <c r="C255" s="127"/>
      <c r="D255" s="127"/>
      <c r="E255" s="127"/>
      <c r="F255" s="300"/>
      <c r="G255" s="300"/>
      <c r="H255" s="892"/>
      <c r="I255" s="892"/>
      <c r="J255" s="892"/>
      <c r="K255" s="892"/>
      <c r="L255" s="892"/>
      <c r="M255" s="892"/>
      <c r="N255" s="892"/>
      <c r="O255" s="892"/>
      <c r="P255" s="892"/>
      <c r="Q255" s="892"/>
      <c r="R255" s="892"/>
      <c r="S255" s="892"/>
      <c r="T255" s="892"/>
      <c r="U255" s="892"/>
      <c r="V255" s="892"/>
      <c r="W255" s="909"/>
      <c r="X255" s="893"/>
      <c r="Y255" s="893"/>
      <c r="Z255" s="893"/>
      <c r="AA255" s="893"/>
      <c r="AB255" s="909"/>
      <c r="AC255" s="909"/>
      <c r="AD255" s="909"/>
      <c r="AE255" s="909"/>
      <c r="AF255" s="909"/>
      <c r="AG255" s="909"/>
      <c r="AH255" s="909"/>
      <c r="AI255" s="300"/>
      <c r="AJ255" s="300"/>
      <c r="AK255" s="300"/>
      <c r="AL255" s="300"/>
      <c r="AM255" s="300"/>
      <c r="AN255" s="127"/>
    </row>
    <row r="256" ht="14.25" customHeight="1">
      <c r="A256" s="127"/>
      <c r="B256" s="127"/>
      <c r="C256" s="127"/>
      <c r="D256" s="127"/>
      <c r="E256" s="900" t="s">
        <v>3413</v>
      </c>
      <c r="F256" s="123" t="s">
        <v>135</v>
      </c>
      <c r="G256" s="244"/>
      <c r="H256" s="274"/>
      <c r="I256" s="274"/>
      <c r="J256" s="274"/>
      <c r="K256" s="274"/>
      <c r="L256" s="274"/>
      <c r="M256" s="274"/>
      <c r="N256" s="274"/>
      <c r="O256" s="274"/>
      <c r="P256" s="274"/>
      <c r="Q256" s="274"/>
      <c r="R256" s="274"/>
      <c r="S256" s="274"/>
      <c r="T256" s="274"/>
      <c r="U256" s="274"/>
      <c r="V256" s="274"/>
      <c r="W256" s="478"/>
      <c r="X256" s="478"/>
      <c r="Y256" s="478"/>
      <c r="Z256" s="478"/>
      <c r="AA256" s="478"/>
      <c r="AB256" s="478"/>
      <c r="AC256" s="478"/>
      <c r="AD256" s="478"/>
      <c r="AE256" s="478"/>
      <c r="AF256" s="478" t="str">
        <f t="shared" ref="AF256:AH256" si="76">AF252-AF89-AF94</f>
        <v>#REF!</v>
      </c>
      <c r="AG256" s="478" t="str">
        <f t="shared" si="76"/>
        <v>#REF!</v>
      </c>
      <c r="AH256" s="478" t="str">
        <f t="shared" si="76"/>
        <v>#REF!</v>
      </c>
      <c r="AI256" s="300"/>
      <c r="AJ256" s="300"/>
      <c r="AK256" s="300"/>
      <c r="AL256" s="300"/>
      <c r="AM256" s="300"/>
      <c r="AN256" s="127"/>
    </row>
    <row r="257" ht="14.25" customHeight="1">
      <c r="A257" s="127"/>
      <c r="B257" s="127"/>
      <c r="C257" s="127"/>
      <c r="D257" s="127"/>
      <c r="E257" s="127"/>
      <c r="F257" s="127"/>
      <c r="G257" s="127"/>
      <c r="H257" s="127"/>
      <c r="I257" s="127"/>
      <c r="J257" s="127"/>
      <c r="K257" s="127"/>
      <c r="L257" s="127"/>
      <c r="M257" s="127"/>
      <c r="N257" s="127"/>
      <c r="O257" s="127"/>
      <c r="P257" s="127"/>
      <c r="Q257" s="127"/>
      <c r="R257" s="127"/>
      <c r="S257" s="127"/>
      <c r="T257" s="127"/>
      <c r="U257" s="127"/>
      <c r="V257" s="127"/>
      <c r="W257" s="127"/>
      <c r="X257" s="127"/>
      <c r="Y257" s="127"/>
      <c r="Z257" s="127"/>
      <c r="AA257" s="127"/>
      <c r="AB257" s="127"/>
      <c r="AC257" s="910">
        <v>0.1</v>
      </c>
      <c r="AD257" s="910">
        <v>0.2</v>
      </c>
      <c r="AE257" s="910">
        <v>0.35</v>
      </c>
      <c r="AF257" s="910">
        <v>0.6</v>
      </c>
      <c r="AG257" s="911">
        <v>0.95</v>
      </c>
      <c r="AH257" s="127"/>
      <c r="AI257" s="127"/>
      <c r="AJ257" s="127"/>
      <c r="AK257" s="127"/>
      <c r="AL257" s="127"/>
      <c r="AM257" s="127"/>
      <c r="AN257" s="127"/>
    </row>
    <row r="258" ht="14.25" customHeight="1">
      <c r="A258" s="127"/>
      <c r="B258" s="127"/>
      <c r="C258" s="127"/>
      <c r="D258" s="127"/>
      <c r="E258" s="912" t="s">
        <v>3414</v>
      </c>
      <c r="F258" s="123" t="s">
        <v>135</v>
      </c>
      <c r="G258" s="300"/>
      <c r="H258" s="892"/>
      <c r="I258" s="892"/>
      <c r="J258" s="892"/>
      <c r="K258" s="892"/>
      <c r="L258" s="892"/>
      <c r="M258" s="892"/>
      <c r="N258" s="892"/>
      <c r="O258" s="892"/>
      <c r="P258" s="892"/>
      <c r="Q258" s="892"/>
      <c r="R258" s="892"/>
      <c r="S258" s="892"/>
      <c r="T258" s="892"/>
      <c r="U258" s="892"/>
      <c r="V258" s="892"/>
      <c r="W258" s="913">
        <f t="shared" ref="W258:AB258" si="77">W79</f>
        <v>11.41521784</v>
      </c>
      <c r="X258" s="913">
        <f t="shared" si="77"/>
        <v>11.87110785</v>
      </c>
      <c r="Y258" s="913">
        <f t="shared" si="77"/>
        <v>11.81487429</v>
      </c>
      <c r="Z258" s="913">
        <f t="shared" si="77"/>
        <v>12.39206951</v>
      </c>
      <c r="AA258" s="913">
        <f t="shared" si="77"/>
        <v>12.72908236</v>
      </c>
      <c r="AB258" s="913">
        <f t="shared" si="77"/>
        <v>13.1602063</v>
      </c>
      <c r="AC258" s="914" t="str">
        <f t="shared" ref="AC258:AG258" si="78">$AB258+AC$257*($AH258-$AB258)</f>
        <v>#REF!</v>
      </c>
      <c r="AD258" s="914" t="str">
        <f t="shared" si="78"/>
        <v>#REF!</v>
      </c>
      <c r="AE258" s="914" t="str">
        <f t="shared" si="78"/>
        <v>#REF!</v>
      </c>
      <c r="AF258" s="914" t="str">
        <f t="shared" si="78"/>
        <v>#REF!</v>
      </c>
      <c r="AG258" s="914" t="str">
        <f t="shared" si="78"/>
        <v>#REF!</v>
      </c>
      <c r="AH258" s="915" t="str">
        <f>MIN($W$258:$AB$258,AH256)</f>
        <v>#REF!</v>
      </c>
      <c r="AI258" s="300"/>
      <c r="AJ258" s="300"/>
      <c r="AK258" s="300"/>
      <c r="AL258" s="300"/>
      <c r="AM258" s="300"/>
      <c r="AN258" s="127"/>
    </row>
    <row r="259" ht="14.25" customHeight="1">
      <c r="A259" s="916"/>
      <c r="B259" s="916"/>
      <c r="C259" s="916"/>
      <c r="D259" s="916"/>
      <c r="E259" s="912" t="s">
        <v>3415</v>
      </c>
      <c r="F259" s="123" t="s">
        <v>261</v>
      </c>
      <c r="G259" s="916"/>
      <c r="H259" s="917"/>
      <c r="I259" s="917"/>
      <c r="J259" s="917"/>
      <c r="K259" s="917"/>
      <c r="L259" s="917"/>
      <c r="M259" s="917"/>
      <c r="N259" s="917"/>
      <c r="O259" s="917"/>
      <c r="P259" s="917"/>
      <c r="Q259" s="917"/>
      <c r="R259" s="917"/>
      <c r="S259" s="917"/>
      <c r="T259" s="917"/>
      <c r="U259" s="917"/>
      <c r="V259" s="917"/>
      <c r="W259" s="918"/>
      <c r="X259" s="918"/>
      <c r="Y259" s="918"/>
      <c r="Z259" s="918"/>
      <c r="AA259" s="918"/>
      <c r="AB259" s="918"/>
      <c r="AC259" s="919">
        <v>0.0</v>
      </c>
      <c r="AD259" s="910">
        <v>0.05</v>
      </c>
      <c r="AE259" s="910">
        <v>0.15</v>
      </c>
      <c r="AF259" s="910">
        <v>0.25</v>
      </c>
      <c r="AG259" s="911">
        <v>0.4</v>
      </c>
      <c r="AH259" s="919">
        <v>0.5</v>
      </c>
      <c r="AI259" s="916"/>
      <c r="AJ259" s="916"/>
      <c r="AK259" s="916"/>
      <c r="AL259" s="916"/>
      <c r="AM259" s="916"/>
      <c r="AN259" s="916"/>
    </row>
    <row r="260" ht="14.25" customHeight="1" outlineLevel="3">
      <c r="A260" s="865"/>
      <c r="B260" s="872"/>
      <c r="C260" s="873"/>
      <c r="D260" s="874"/>
      <c r="E260" s="122" t="s">
        <v>3416</v>
      </c>
      <c r="F260" s="123" t="s">
        <v>135</v>
      </c>
      <c r="G260" s="123"/>
      <c r="H260" s="907"/>
      <c r="I260" s="907"/>
      <c r="J260" s="907"/>
      <c r="K260" s="907"/>
      <c r="L260" s="907"/>
      <c r="M260" s="907"/>
      <c r="N260" s="907"/>
      <c r="O260" s="907"/>
      <c r="P260" s="907"/>
      <c r="Q260" s="907"/>
      <c r="R260" s="907"/>
      <c r="S260" s="907"/>
      <c r="T260" s="907"/>
      <c r="U260" s="907"/>
      <c r="V260" s="907"/>
      <c r="W260" s="182">
        <f t="shared" ref="W260:AB260" si="79">W258</f>
        <v>11.41521784</v>
      </c>
      <c r="X260" s="907">
        <f t="shared" si="79"/>
        <v>11.87110785</v>
      </c>
      <c r="Y260" s="907">
        <f t="shared" si="79"/>
        <v>11.81487429</v>
      </c>
      <c r="Z260" s="907">
        <f t="shared" si="79"/>
        <v>12.39206951</v>
      </c>
      <c r="AA260" s="907">
        <f t="shared" si="79"/>
        <v>12.72908236</v>
      </c>
      <c r="AB260" s="182">
        <f t="shared" si="79"/>
        <v>13.1602063</v>
      </c>
      <c r="AC260" s="920" t="str">
        <f t="shared" ref="AC260:AH260" si="80">AC258*(1-AC259)</f>
        <v>#REF!</v>
      </c>
      <c r="AD260" s="920" t="str">
        <f t="shared" si="80"/>
        <v>#REF!</v>
      </c>
      <c r="AE260" s="920" t="str">
        <f t="shared" si="80"/>
        <v>#REF!</v>
      </c>
      <c r="AF260" s="920" t="str">
        <f t="shared" si="80"/>
        <v>#REF!</v>
      </c>
      <c r="AG260" s="920" t="str">
        <f t="shared" si="80"/>
        <v>#REF!</v>
      </c>
      <c r="AH260" s="920" t="str">
        <f t="shared" si="80"/>
        <v>#REF!</v>
      </c>
      <c r="AI260" s="493" t="s">
        <v>3417</v>
      </c>
      <c r="AJ260" s="493"/>
      <c r="AK260" s="493"/>
      <c r="AL260" s="493"/>
      <c r="AM260" s="494"/>
      <c r="AN260" s="176"/>
    </row>
    <row r="261" ht="14.25" customHeight="1" outlineLevel="3">
      <c r="A261" s="865"/>
      <c r="B261" s="872"/>
      <c r="C261" s="873"/>
      <c r="D261" s="874"/>
      <c r="E261" s="122" t="s">
        <v>3418</v>
      </c>
      <c r="F261" s="123" t="s">
        <v>135</v>
      </c>
      <c r="G261" s="123"/>
      <c r="H261" s="907"/>
      <c r="I261" s="907"/>
      <c r="J261" s="907"/>
      <c r="K261" s="907"/>
      <c r="L261" s="907"/>
      <c r="M261" s="907"/>
      <c r="N261" s="907"/>
      <c r="O261" s="907"/>
      <c r="P261" s="907"/>
      <c r="Q261" s="907"/>
      <c r="R261" s="907"/>
      <c r="S261" s="907"/>
      <c r="T261" s="907"/>
      <c r="U261" s="907"/>
      <c r="V261" s="907"/>
      <c r="W261" s="182">
        <v>0.0</v>
      </c>
      <c r="X261" s="907">
        <v>0.0</v>
      </c>
      <c r="Y261" s="907">
        <v>0.0</v>
      </c>
      <c r="Z261" s="907">
        <v>0.0</v>
      </c>
      <c r="AA261" s="907">
        <v>0.0</v>
      </c>
      <c r="AB261" s="182">
        <v>0.0</v>
      </c>
      <c r="AC261" s="920" t="str">
        <f t="shared" ref="AC261:AH261" si="81">AC258*AC259</f>
        <v>#REF!</v>
      </c>
      <c r="AD261" s="920" t="str">
        <f t="shared" si="81"/>
        <v>#REF!</v>
      </c>
      <c r="AE261" s="920" t="str">
        <f t="shared" si="81"/>
        <v>#REF!</v>
      </c>
      <c r="AF261" s="920" t="str">
        <f t="shared" si="81"/>
        <v>#REF!</v>
      </c>
      <c r="AG261" s="920" t="str">
        <f t="shared" si="81"/>
        <v>#REF!</v>
      </c>
      <c r="AH261" s="920" t="str">
        <f t="shared" si="81"/>
        <v>#REF!</v>
      </c>
      <c r="AI261" s="493" t="s">
        <v>3417</v>
      </c>
      <c r="AJ261" s="493"/>
      <c r="AK261" s="493"/>
      <c r="AL261" s="493"/>
      <c r="AM261" s="494"/>
      <c r="AN261" s="176"/>
    </row>
    <row r="262" ht="14.25" customHeight="1">
      <c r="A262" s="127"/>
      <c r="B262" s="127"/>
      <c r="C262" s="127"/>
      <c r="D262" s="127"/>
      <c r="E262" s="127"/>
      <c r="F262" s="300"/>
      <c r="G262" s="300"/>
      <c r="H262" s="892"/>
      <c r="I262" s="892"/>
      <c r="J262" s="892"/>
      <c r="K262" s="892"/>
      <c r="L262" s="892"/>
      <c r="M262" s="892"/>
      <c r="N262" s="892"/>
      <c r="O262" s="892"/>
      <c r="P262" s="892"/>
      <c r="Q262" s="892"/>
      <c r="R262" s="892"/>
      <c r="S262" s="892"/>
      <c r="T262" s="892"/>
      <c r="U262" s="892"/>
      <c r="V262" s="892"/>
      <c r="W262" s="893"/>
      <c r="X262" s="893"/>
      <c r="Y262" s="893"/>
      <c r="Z262" s="893"/>
      <c r="AA262" s="893"/>
      <c r="AB262" s="893"/>
      <c r="AC262" s="893"/>
      <c r="AD262" s="893"/>
      <c r="AE262" s="893"/>
      <c r="AF262" s="893"/>
      <c r="AG262" s="893"/>
      <c r="AH262" s="893"/>
      <c r="AI262" s="300"/>
      <c r="AJ262" s="300"/>
      <c r="AK262" s="300"/>
      <c r="AL262" s="300"/>
      <c r="AM262" s="300"/>
      <c r="AN262" s="127"/>
    </row>
    <row r="263" ht="14.25" customHeight="1">
      <c r="A263" s="127"/>
      <c r="B263" s="127"/>
      <c r="C263" s="127"/>
      <c r="D263" s="127"/>
      <c r="E263" s="127"/>
      <c r="F263" s="300"/>
      <c r="G263" s="300"/>
      <c r="H263" s="892"/>
      <c r="I263" s="892"/>
      <c r="J263" s="892"/>
      <c r="K263" s="892"/>
      <c r="L263" s="892"/>
      <c r="M263" s="892"/>
      <c r="N263" s="892"/>
      <c r="O263" s="892"/>
      <c r="P263" s="892"/>
      <c r="Q263" s="892"/>
      <c r="R263" s="892"/>
      <c r="S263" s="892"/>
      <c r="T263" s="892"/>
      <c r="U263" s="892"/>
      <c r="V263" s="892"/>
      <c r="W263" s="893"/>
      <c r="X263" s="893"/>
      <c r="Y263" s="893"/>
      <c r="Z263" s="893"/>
      <c r="AA263" s="893"/>
      <c r="AB263" s="893"/>
      <c r="AC263" s="919">
        <v>0.0</v>
      </c>
      <c r="AD263" s="910">
        <f>(AC263+AE263)/2</f>
        <v>0</v>
      </c>
      <c r="AE263" s="910">
        <f>(AC263+AG263)/2</f>
        <v>0</v>
      </c>
      <c r="AF263" s="910">
        <f>(AE263+AG263)/2</f>
        <v>0</v>
      </c>
      <c r="AG263" s="911">
        <v>0.0</v>
      </c>
      <c r="AH263" s="919">
        <f>AG263</f>
        <v>0</v>
      </c>
      <c r="AI263" s="300"/>
      <c r="AJ263" s="300"/>
      <c r="AK263" s="300"/>
      <c r="AL263" s="300"/>
      <c r="AM263" s="300"/>
      <c r="AN263" s="127"/>
    </row>
    <row r="264" ht="14.25" customHeight="1">
      <c r="A264" s="127"/>
      <c r="B264" s="127"/>
      <c r="C264" s="127"/>
      <c r="D264" s="127"/>
      <c r="E264" s="912" t="s">
        <v>3419</v>
      </c>
      <c r="F264" s="123" t="s">
        <v>135</v>
      </c>
      <c r="G264" s="300"/>
      <c r="H264" s="892"/>
      <c r="I264" s="892"/>
      <c r="J264" s="892"/>
      <c r="K264" s="892"/>
      <c r="L264" s="892"/>
      <c r="M264" s="892"/>
      <c r="N264" s="892"/>
      <c r="O264" s="892"/>
      <c r="P264" s="892"/>
      <c r="Q264" s="892"/>
      <c r="R264" s="892"/>
      <c r="S264" s="892"/>
      <c r="T264" s="892"/>
      <c r="U264" s="892"/>
      <c r="V264" s="892"/>
      <c r="W264" s="913">
        <f t="shared" ref="W264:AB264" si="82">W56</f>
        <v>12.81853596</v>
      </c>
      <c r="X264" s="913">
        <f t="shared" si="82"/>
        <v>12.66001991</v>
      </c>
      <c r="Y264" s="913">
        <f t="shared" si="82"/>
        <v>13.64919874</v>
      </c>
      <c r="Z264" s="913">
        <f t="shared" si="82"/>
        <v>13.93742732</v>
      </c>
      <c r="AA264" s="913">
        <f t="shared" si="82"/>
        <v>15.2631628</v>
      </c>
      <c r="AB264" s="913">
        <f t="shared" si="82"/>
        <v>15.4964907</v>
      </c>
      <c r="AC264" s="914" t="str">
        <f t="shared" ref="AC264:AF264" si="83">$AB264+AC$257*($AG264-$AB264)</f>
        <v>#REF!</v>
      </c>
      <c r="AD264" s="914" t="str">
        <f t="shared" si="83"/>
        <v>#REF!</v>
      </c>
      <c r="AE264" s="914" t="str">
        <f t="shared" si="83"/>
        <v>#REF!</v>
      </c>
      <c r="AF264" s="914" t="str">
        <f t="shared" si="83"/>
        <v>#REF!</v>
      </c>
      <c r="AG264" s="915" t="str">
        <f t="shared" ref="AG264:AH264" si="84">AG256-AG258</f>
        <v>#REF!</v>
      </c>
      <c r="AH264" s="915" t="str">
        <f t="shared" si="84"/>
        <v>#REF!</v>
      </c>
      <c r="AI264" s="300"/>
      <c r="AJ264" s="300"/>
      <c r="AK264" s="300"/>
      <c r="AL264" s="300"/>
      <c r="AM264" s="300"/>
      <c r="AN264" s="127"/>
    </row>
    <row r="265" ht="14.25" customHeight="1" outlineLevel="3">
      <c r="A265" s="865"/>
      <c r="B265" s="872"/>
      <c r="C265" s="873"/>
      <c r="D265" s="874"/>
      <c r="E265" s="122" t="s">
        <v>3420</v>
      </c>
      <c r="F265" s="123" t="s">
        <v>135</v>
      </c>
      <c r="G265" s="123"/>
      <c r="H265" s="907"/>
      <c r="I265" s="907"/>
      <c r="J265" s="907"/>
      <c r="K265" s="907"/>
      <c r="L265" s="907"/>
      <c r="M265" s="907"/>
      <c r="N265" s="907"/>
      <c r="O265" s="907"/>
      <c r="P265" s="907"/>
      <c r="Q265" s="907"/>
      <c r="R265" s="907"/>
      <c r="S265" s="907"/>
      <c r="T265" s="907"/>
      <c r="U265" s="907"/>
      <c r="V265" s="907"/>
      <c r="W265" s="182">
        <f t="shared" ref="W265:AB265" si="85">W264</f>
        <v>12.81853596</v>
      </c>
      <c r="X265" s="907">
        <f t="shared" si="85"/>
        <v>12.66001991</v>
      </c>
      <c r="Y265" s="907">
        <f t="shared" si="85"/>
        <v>13.64919874</v>
      </c>
      <c r="Z265" s="907">
        <f t="shared" si="85"/>
        <v>13.93742732</v>
      </c>
      <c r="AA265" s="907">
        <f t="shared" si="85"/>
        <v>15.2631628</v>
      </c>
      <c r="AB265" s="182">
        <f t="shared" si="85"/>
        <v>15.4964907</v>
      </c>
      <c r="AC265" s="920" t="str">
        <f t="shared" ref="AC265:AH265" si="86">AC264*(1-AC263)</f>
        <v>#REF!</v>
      </c>
      <c r="AD265" s="920" t="str">
        <f t="shared" si="86"/>
        <v>#REF!</v>
      </c>
      <c r="AE265" s="920" t="str">
        <f t="shared" si="86"/>
        <v>#REF!</v>
      </c>
      <c r="AF265" s="920" t="str">
        <f t="shared" si="86"/>
        <v>#REF!</v>
      </c>
      <c r="AG265" s="920" t="str">
        <f t="shared" si="86"/>
        <v>#REF!</v>
      </c>
      <c r="AH265" s="920" t="str">
        <f t="shared" si="86"/>
        <v>#REF!</v>
      </c>
      <c r="AI265" s="493" t="s">
        <v>3417</v>
      </c>
      <c r="AJ265" s="493"/>
      <c r="AK265" s="493"/>
      <c r="AL265" s="493"/>
      <c r="AM265" s="494"/>
      <c r="AN265" s="176"/>
    </row>
    <row r="266" ht="14.25" customHeight="1" outlineLevel="3">
      <c r="A266" s="865"/>
      <c r="B266" s="872"/>
      <c r="C266" s="873"/>
      <c r="D266" s="874"/>
      <c r="E266" s="122" t="s">
        <v>3421</v>
      </c>
      <c r="F266" s="123" t="s">
        <v>135</v>
      </c>
      <c r="G266" s="123"/>
      <c r="H266" s="907"/>
      <c r="I266" s="907"/>
      <c r="J266" s="907"/>
      <c r="K266" s="907"/>
      <c r="L266" s="907"/>
      <c r="M266" s="907"/>
      <c r="N266" s="907"/>
      <c r="O266" s="907"/>
      <c r="P266" s="907"/>
      <c r="Q266" s="907"/>
      <c r="R266" s="907"/>
      <c r="S266" s="907"/>
      <c r="T266" s="907"/>
      <c r="U266" s="907"/>
      <c r="V266" s="907"/>
      <c r="W266" s="182"/>
      <c r="X266" s="907"/>
      <c r="Y266" s="907"/>
      <c r="Z266" s="907"/>
      <c r="AA266" s="907"/>
      <c r="AB266" s="182"/>
      <c r="AC266" s="920" t="str">
        <f t="shared" ref="AC266:AH266" si="87">AC264*(AC263)</f>
        <v>#REF!</v>
      </c>
      <c r="AD266" s="920" t="str">
        <f t="shared" si="87"/>
        <v>#REF!</v>
      </c>
      <c r="AE266" s="920" t="str">
        <f t="shared" si="87"/>
        <v>#REF!</v>
      </c>
      <c r="AF266" s="920" t="str">
        <f t="shared" si="87"/>
        <v>#REF!</v>
      </c>
      <c r="AG266" s="920" t="str">
        <f t="shared" si="87"/>
        <v>#REF!</v>
      </c>
      <c r="AH266" s="920" t="str">
        <f t="shared" si="87"/>
        <v>#REF!</v>
      </c>
      <c r="AI266" s="493" t="s">
        <v>3417</v>
      </c>
      <c r="AJ266" s="493"/>
      <c r="AK266" s="493"/>
      <c r="AL266" s="493"/>
      <c r="AM266" s="494"/>
      <c r="AN266" s="176"/>
    </row>
    <row r="267" ht="14.25" customHeight="1">
      <c r="A267" s="127"/>
      <c r="B267" s="127"/>
      <c r="C267" s="127"/>
      <c r="D267" s="127"/>
      <c r="E267" s="127"/>
      <c r="F267" s="300"/>
      <c r="G267" s="300"/>
      <c r="H267" s="892"/>
      <c r="I267" s="892"/>
      <c r="J267" s="892"/>
      <c r="K267" s="892"/>
      <c r="L267" s="892"/>
      <c r="M267" s="892"/>
      <c r="N267" s="892"/>
      <c r="O267" s="892"/>
      <c r="P267" s="892"/>
      <c r="Q267" s="892"/>
      <c r="R267" s="892"/>
      <c r="S267" s="892"/>
      <c r="T267" s="892"/>
      <c r="U267" s="892"/>
      <c r="V267" s="892"/>
      <c r="W267" s="893"/>
      <c r="X267" s="893"/>
      <c r="Y267" s="893"/>
      <c r="Z267" s="893"/>
      <c r="AA267" s="893"/>
      <c r="AB267" s="893"/>
      <c r="AC267" s="893"/>
      <c r="AD267" s="893"/>
      <c r="AE267" s="893"/>
      <c r="AF267" s="893"/>
      <c r="AG267" s="893"/>
      <c r="AH267" s="893"/>
      <c r="AI267" s="300"/>
      <c r="AJ267" s="300"/>
      <c r="AK267" s="300"/>
      <c r="AL267" s="300"/>
      <c r="AM267" s="300"/>
      <c r="AN267" s="127"/>
    </row>
    <row r="268" ht="14.25" customHeight="1">
      <c r="A268" s="127"/>
      <c r="B268" s="127"/>
      <c r="C268" s="127"/>
      <c r="D268" s="127"/>
      <c r="E268" s="127"/>
      <c r="F268" s="300"/>
      <c r="G268" s="300"/>
      <c r="H268" s="892"/>
      <c r="I268" s="892"/>
      <c r="J268" s="892"/>
      <c r="K268" s="892"/>
      <c r="L268" s="892"/>
      <c r="M268" s="892"/>
      <c r="N268" s="892"/>
      <c r="O268" s="892"/>
      <c r="P268" s="892"/>
      <c r="Q268" s="892"/>
      <c r="R268" s="892"/>
      <c r="S268" s="892"/>
      <c r="T268" s="892"/>
      <c r="U268" s="892"/>
      <c r="V268" s="892"/>
      <c r="W268" s="893"/>
      <c r="X268" s="893"/>
      <c r="Y268" s="893"/>
      <c r="Z268" s="893"/>
      <c r="AA268" s="893"/>
      <c r="AB268" s="893"/>
      <c r="AC268" s="893"/>
      <c r="AD268" s="893"/>
      <c r="AE268" s="893"/>
      <c r="AF268" s="893"/>
      <c r="AG268" s="893"/>
      <c r="AH268" s="893"/>
      <c r="AI268" s="300"/>
      <c r="AJ268" s="300"/>
      <c r="AK268" s="300"/>
      <c r="AL268" s="300"/>
      <c r="AM268" s="300"/>
      <c r="AN268" s="127"/>
    </row>
    <row r="269" ht="14.25" customHeight="1">
      <c r="A269" s="127"/>
      <c r="B269" s="127"/>
      <c r="C269" s="127"/>
      <c r="D269" s="127"/>
      <c r="E269" s="127"/>
      <c r="F269" s="300"/>
      <c r="G269" s="300"/>
      <c r="H269" s="892"/>
      <c r="I269" s="892"/>
      <c r="J269" s="892"/>
      <c r="K269" s="892"/>
      <c r="L269" s="892"/>
      <c r="M269" s="892"/>
      <c r="N269" s="892"/>
      <c r="O269" s="892"/>
      <c r="P269" s="892"/>
      <c r="Q269" s="892"/>
      <c r="R269" s="892"/>
      <c r="S269" s="892"/>
      <c r="T269" s="892"/>
      <c r="U269" s="892"/>
      <c r="V269" s="892"/>
      <c r="W269" s="893"/>
      <c r="X269" s="893"/>
      <c r="Y269" s="893"/>
      <c r="Z269" s="893"/>
      <c r="AA269" s="893"/>
      <c r="AB269" s="893"/>
      <c r="AC269" s="893"/>
      <c r="AD269" s="893"/>
      <c r="AE269" s="893"/>
      <c r="AF269" s="893"/>
      <c r="AG269" s="893"/>
      <c r="AH269" s="893"/>
      <c r="AI269" s="300"/>
      <c r="AJ269" s="300"/>
      <c r="AK269" s="300"/>
      <c r="AL269" s="300"/>
      <c r="AM269" s="300"/>
      <c r="AN269" s="127"/>
    </row>
    <row r="270" ht="14.25" customHeight="1">
      <c r="A270" s="127"/>
      <c r="B270" s="127"/>
      <c r="C270" s="127"/>
      <c r="D270" s="127"/>
      <c r="E270" s="127"/>
      <c r="F270" s="300"/>
      <c r="G270" s="300"/>
      <c r="H270" s="892"/>
      <c r="I270" s="892"/>
      <c r="J270" s="892"/>
      <c r="K270" s="892"/>
      <c r="L270" s="892"/>
      <c r="M270" s="892"/>
      <c r="N270" s="892"/>
      <c r="O270" s="892"/>
      <c r="P270" s="892"/>
      <c r="Q270" s="892"/>
      <c r="R270" s="892"/>
      <c r="S270" s="892"/>
      <c r="T270" s="892"/>
      <c r="U270" s="892"/>
      <c r="V270" s="892"/>
      <c r="W270" s="893"/>
      <c r="X270" s="893"/>
      <c r="Y270" s="893"/>
      <c r="Z270" s="893"/>
      <c r="AA270" s="893"/>
      <c r="AB270" s="893"/>
      <c r="AC270" s="893"/>
      <c r="AD270" s="893"/>
      <c r="AE270" s="893"/>
      <c r="AF270" s="893"/>
      <c r="AG270" s="893"/>
      <c r="AH270" s="893"/>
      <c r="AI270" s="300"/>
      <c r="AJ270" s="300"/>
      <c r="AK270" s="300"/>
      <c r="AL270" s="300"/>
      <c r="AM270" s="300"/>
      <c r="AN270" s="127"/>
    </row>
    <row r="271" ht="14.25" customHeight="1">
      <c r="A271" s="127"/>
      <c r="B271" s="127"/>
      <c r="C271" s="127"/>
      <c r="D271" s="127"/>
      <c r="E271" s="127"/>
      <c r="F271" s="300"/>
      <c r="G271" s="300"/>
      <c r="H271" s="892"/>
      <c r="I271" s="892"/>
      <c r="J271" s="892"/>
      <c r="K271" s="892"/>
      <c r="L271" s="892"/>
      <c r="M271" s="892"/>
      <c r="N271" s="892"/>
      <c r="O271" s="892"/>
      <c r="P271" s="892"/>
      <c r="Q271" s="892"/>
      <c r="R271" s="892"/>
      <c r="S271" s="892"/>
      <c r="T271" s="892"/>
      <c r="U271" s="892"/>
      <c r="V271" s="892"/>
      <c r="W271" s="893"/>
      <c r="X271" s="893"/>
      <c r="Y271" s="893"/>
      <c r="Z271" s="893"/>
      <c r="AA271" s="893"/>
      <c r="AB271" s="893"/>
      <c r="AC271" s="893"/>
      <c r="AD271" s="893"/>
      <c r="AE271" s="893"/>
      <c r="AF271" s="893"/>
      <c r="AG271" s="893"/>
      <c r="AH271" s="893"/>
      <c r="AI271" s="300"/>
      <c r="AJ271" s="300"/>
      <c r="AK271" s="300"/>
      <c r="AL271" s="300"/>
      <c r="AM271" s="300"/>
      <c r="AN271" s="127"/>
    </row>
    <row r="272" ht="14.25" customHeight="1">
      <c r="A272" s="127"/>
      <c r="B272" s="127"/>
      <c r="C272" s="127"/>
      <c r="D272" s="127"/>
      <c r="E272" s="127"/>
      <c r="F272" s="300"/>
      <c r="G272" s="300"/>
      <c r="H272" s="892"/>
      <c r="I272" s="892"/>
      <c r="J272" s="892"/>
      <c r="K272" s="892"/>
      <c r="L272" s="892"/>
      <c r="M272" s="892"/>
      <c r="N272" s="892"/>
      <c r="O272" s="892"/>
      <c r="P272" s="892"/>
      <c r="Q272" s="892"/>
      <c r="R272" s="892"/>
      <c r="S272" s="892"/>
      <c r="T272" s="892"/>
      <c r="U272" s="892"/>
      <c r="V272" s="892"/>
      <c r="W272" s="893"/>
      <c r="X272" s="893"/>
      <c r="Y272" s="893"/>
      <c r="Z272" s="893"/>
      <c r="AA272" s="893"/>
      <c r="AB272" s="893"/>
      <c r="AC272" s="893"/>
      <c r="AD272" s="893"/>
      <c r="AE272" s="893"/>
      <c r="AF272" s="893"/>
      <c r="AG272" s="893"/>
      <c r="AH272" s="893"/>
      <c r="AI272" s="300"/>
      <c r="AJ272" s="300"/>
      <c r="AK272" s="300"/>
      <c r="AL272" s="300"/>
      <c r="AM272" s="300"/>
      <c r="AN272" s="127"/>
    </row>
    <row r="273" ht="14.25" customHeight="1">
      <c r="A273" s="127"/>
      <c r="B273" s="127"/>
      <c r="C273" s="127"/>
      <c r="D273" s="127"/>
      <c r="E273" s="127"/>
      <c r="F273" s="300"/>
      <c r="G273" s="300"/>
      <c r="H273" s="892"/>
      <c r="I273" s="892"/>
      <c r="J273" s="892"/>
      <c r="K273" s="892"/>
      <c r="L273" s="892"/>
      <c r="M273" s="892"/>
      <c r="N273" s="892"/>
      <c r="O273" s="892"/>
      <c r="P273" s="892"/>
      <c r="Q273" s="892"/>
      <c r="R273" s="892"/>
      <c r="S273" s="892"/>
      <c r="T273" s="892"/>
      <c r="U273" s="892"/>
      <c r="V273" s="892"/>
      <c r="W273" s="893"/>
      <c r="X273" s="893"/>
      <c r="Y273" s="893"/>
      <c r="Z273" s="893"/>
      <c r="AA273" s="893"/>
      <c r="AB273" s="893"/>
      <c r="AC273" s="893"/>
      <c r="AD273" s="893"/>
      <c r="AE273" s="893"/>
      <c r="AF273" s="893"/>
      <c r="AG273" s="893"/>
      <c r="AH273" s="893"/>
      <c r="AI273" s="300"/>
      <c r="AJ273" s="300"/>
      <c r="AK273" s="300"/>
      <c r="AL273" s="300"/>
      <c r="AM273" s="300"/>
      <c r="AN273" s="127"/>
    </row>
    <row r="274" ht="14.25" customHeight="1">
      <c r="A274" s="127"/>
      <c r="B274" s="127"/>
      <c r="C274" s="127"/>
      <c r="D274" s="127"/>
      <c r="E274" s="127"/>
      <c r="F274" s="300"/>
      <c r="G274" s="300"/>
      <c r="H274" s="892"/>
      <c r="I274" s="892"/>
      <c r="J274" s="892"/>
      <c r="K274" s="892"/>
      <c r="L274" s="892"/>
      <c r="M274" s="892"/>
      <c r="N274" s="892"/>
      <c r="O274" s="892"/>
      <c r="P274" s="892"/>
      <c r="Q274" s="892"/>
      <c r="R274" s="892"/>
      <c r="S274" s="892"/>
      <c r="T274" s="892"/>
      <c r="U274" s="892"/>
      <c r="V274" s="892"/>
      <c r="W274" s="893"/>
      <c r="X274" s="893"/>
      <c r="Y274" s="893"/>
      <c r="Z274" s="893"/>
      <c r="AA274" s="893"/>
      <c r="AB274" s="893"/>
      <c r="AC274" s="893"/>
      <c r="AD274" s="893"/>
      <c r="AE274" s="893"/>
      <c r="AF274" s="893"/>
      <c r="AG274" s="893"/>
      <c r="AH274" s="893"/>
      <c r="AI274" s="300"/>
      <c r="AJ274" s="300"/>
      <c r="AK274" s="300"/>
      <c r="AL274" s="300"/>
      <c r="AM274" s="300"/>
      <c r="AN274" s="127"/>
    </row>
    <row r="275" ht="14.25" customHeight="1">
      <c r="A275" s="127"/>
      <c r="B275" s="127"/>
      <c r="C275" s="127"/>
      <c r="D275" s="127"/>
      <c r="E275" s="127"/>
      <c r="F275" s="300"/>
      <c r="G275" s="300"/>
      <c r="H275" s="892"/>
      <c r="I275" s="892"/>
      <c r="J275" s="892"/>
      <c r="K275" s="892"/>
      <c r="L275" s="892"/>
      <c r="M275" s="892"/>
      <c r="N275" s="892"/>
      <c r="O275" s="892"/>
      <c r="P275" s="892"/>
      <c r="Q275" s="892"/>
      <c r="R275" s="892"/>
      <c r="S275" s="892"/>
      <c r="T275" s="892"/>
      <c r="U275" s="892"/>
      <c r="V275" s="892"/>
      <c r="W275" s="893"/>
      <c r="X275" s="893"/>
      <c r="Y275" s="893"/>
      <c r="Z275" s="893"/>
      <c r="AA275" s="893"/>
      <c r="AB275" s="893"/>
      <c r="AC275" s="893"/>
      <c r="AD275" s="893"/>
      <c r="AE275" s="893"/>
      <c r="AF275" s="893"/>
      <c r="AG275" s="893"/>
      <c r="AH275" s="893"/>
      <c r="AI275" s="300"/>
      <c r="AJ275" s="300"/>
      <c r="AK275" s="300"/>
      <c r="AL275" s="300"/>
      <c r="AM275" s="300"/>
      <c r="AN275" s="127"/>
    </row>
    <row r="276" ht="14.25" customHeight="1">
      <c r="A276" s="127"/>
      <c r="B276" s="127"/>
      <c r="C276" s="127"/>
      <c r="D276" s="127"/>
      <c r="E276" s="127"/>
      <c r="F276" s="300"/>
      <c r="G276" s="300"/>
      <c r="H276" s="892"/>
      <c r="I276" s="892"/>
      <c r="J276" s="892"/>
      <c r="K276" s="892"/>
      <c r="L276" s="892"/>
      <c r="M276" s="892"/>
      <c r="N276" s="892"/>
      <c r="O276" s="892"/>
      <c r="P276" s="892"/>
      <c r="Q276" s="892"/>
      <c r="R276" s="892"/>
      <c r="S276" s="892"/>
      <c r="T276" s="892"/>
      <c r="U276" s="892"/>
      <c r="V276" s="892"/>
      <c r="W276" s="893"/>
      <c r="X276" s="893"/>
      <c r="Y276" s="893"/>
      <c r="Z276" s="893"/>
      <c r="AA276" s="893"/>
      <c r="AB276" s="893"/>
      <c r="AC276" s="893"/>
      <c r="AD276" s="893"/>
      <c r="AE276" s="893"/>
      <c r="AF276" s="893"/>
      <c r="AG276" s="893"/>
      <c r="AH276" s="893"/>
      <c r="AI276" s="300"/>
      <c r="AJ276" s="300"/>
      <c r="AK276" s="300"/>
      <c r="AL276" s="300"/>
      <c r="AM276" s="300"/>
      <c r="AN276" s="127"/>
    </row>
    <row r="277" ht="14.25" customHeight="1">
      <c r="A277" s="127"/>
      <c r="B277" s="127"/>
      <c r="C277" s="127"/>
      <c r="D277" s="127"/>
      <c r="E277" s="127"/>
      <c r="F277" s="300"/>
      <c r="G277" s="300"/>
      <c r="H277" s="892"/>
      <c r="I277" s="892"/>
      <c r="J277" s="892"/>
      <c r="K277" s="892"/>
      <c r="L277" s="892"/>
      <c r="M277" s="892"/>
      <c r="N277" s="892"/>
      <c r="O277" s="892"/>
      <c r="P277" s="892"/>
      <c r="Q277" s="892"/>
      <c r="R277" s="892"/>
      <c r="S277" s="892"/>
      <c r="T277" s="892"/>
      <c r="U277" s="892"/>
      <c r="V277" s="892"/>
      <c r="W277" s="893"/>
      <c r="X277" s="893"/>
      <c r="Y277" s="893"/>
      <c r="Z277" s="893"/>
      <c r="AA277" s="893"/>
      <c r="AB277" s="893"/>
      <c r="AC277" s="893"/>
      <c r="AD277" s="893"/>
      <c r="AE277" s="893"/>
      <c r="AF277" s="893"/>
      <c r="AG277" s="893"/>
      <c r="AH277" s="893"/>
      <c r="AI277" s="300"/>
      <c r="AJ277" s="300"/>
      <c r="AK277" s="300"/>
      <c r="AL277" s="300"/>
      <c r="AM277" s="300"/>
      <c r="AN277" s="127"/>
    </row>
    <row r="278" ht="14.25" customHeight="1">
      <c r="A278" s="127"/>
      <c r="B278" s="127"/>
      <c r="C278" s="127"/>
      <c r="D278" s="127"/>
      <c r="E278" s="127"/>
      <c r="F278" s="300"/>
      <c r="G278" s="300"/>
      <c r="H278" s="892"/>
      <c r="I278" s="892"/>
      <c r="J278" s="892"/>
      <c r="K278" s="892"/>
      <c r="L278" s="892"/>
      <c r="M278" s="892"/>
      <c r="N278" s="892"/>
      <c r="O278" s="892"/>
      <c r="P278" s="892"/>
      <c r="Q278" s="892"/>
      <c r="R278" s="892"/>
      <c r="S278" s="892"/>
      <c r="T278" s="892"/>
      <c r="U278" s="892"/>
      <c r="V278" s="892"/>
      <c r="W278" s="893"/>
      <c r="X278" s="893"/>
      <c r="Y278" s="893"/>
      <c r="Z278" s="893"/>
      <c r="AA278" s="893"/>
      <c r="AB278" s="893"/>
      <c r="AC278" s="893"/>
      <c r="AD278" s="893"/>
      <c r="AE278" s="893"/>
      <c r="AF278" s="893"/>
      <c r="AG278" s="893"/>
      <c r="AH278" s="893"/>
      <c r="AI278" s="300"/>
      <c r="AJ278" s="300"/>
      <c r="AK278" s="300"/>
      <c r="AL278" s="300"/>
      <c r="AM278" s="300"/>
      <c r="AN278" s="127"/>
    </row>
    <row r="279" ht="14.25" customHeight="1">
      <c r="A279" s="127"/>
      <c r="B279" s="127"/>
      <c r="C279" s="127"/>
      <c r="D279" s="127"/>
      <c r="E279" s="127"/>
      <c r="F279" s="300"/>
      <c r="G279" s="300"/>
      <c r="H279" s="892"/>
      <c r="I279" s="892"/>
      <c r="J279" s="892"/>
      <c r="K279" s="892"/>
      <c r="L279" s="892"/>
      <c r="M279" s="892"/>
      <c r="N279" s="892"/>
      <c r="O279" s="892"/>
      <c r="P279" s="892"/>
      <c r="Q279" s="892"/>
      <c r="R279" s="892"/>
      <c r="S279" s="892"/>
      <c r="T279" s="892"/>
      <c r="U279" s="892"/>
      <c r="V279" s="892"/>
      <c r="W279" s="893"/>
      <c r="X279" s="893"/>
      <c r="Y279" s="893"/>
      <c r="Z279" s="893"/>
      <c r="AA279" s="893"/>
      <c r="AB279" s="893"/>
      <c r="AC279" s="893"/>
      <c r="AD279" s="893"/>
      <c r="AE279" s="893"/>
      <c r="AF279" s="893"/>
      <c r="AG279" s="893"/>
      <c r="AH279" s="893"/>
      <c r="AI279" s="300"/>
      <c r="AJ279" s="300"/>
      <c r="AK279" s="300"/>
      <c r="AL279" s="300"/>
      <c r="AM279" s="300"/>
      <c r="AN279" s="127"/>
    </row>
    <row r="280" ht="14.25" customHeight="1">
      <c r="A280" s="127"/>
      <c r="B280" s="127"/>
      <c r="C280" s="127"/>
      <c r="D280" s="127"/>
      <c r="E280" s="127"/>
      <c r="F280" s="300"/>
      <c r="G280" s="300"/>
      <c r="H280" s="892"/>
      <c r="I280" s="892"/>
      <c r="J280" s="892"/>
      <c r="K280" s="892"/>
      <c r="L280" s="892"/>
      <c r="M280" s="892"/>
      <c r="N280" s="892"/>
      <c r="O280" s="892"/>
      <c r="P280" s="892"/>
      <c r="Q280" s="892"/>
      <c r="R280" s="892"/>
      <c r="S280" s="892"/>
      <c r="T280" s="892"/>
      <c r="U280" s="892"/>
      <c r="V280" s="892"/>
      <c r="W280" s="893"/>
      <c r="X280" s="893"/>
      <c r="Y280" s="893"/>
      <c r="Z280" s="893"/>
      <c r="AA280" s="893"/>
      <c r="AB280" s="893"/>
      <c r="AC280" s="893"/>
      <c r="AD280" s="893"/>
      <c r="AE280" s="893"/>
      <c r="AF280" s="893"/>
      <c r="AG280" s="893"/>
      <c r="AH280" s="893"/>
      <c r="AI280" s="300"/>
      <c r="AJ280" s="300"/>
      <c r="AK280" s="300"/>
      <c r="AL280" s="300"/>
      <c r="AM280" s="300"/>
      <c r="AN280" s="127"/>
    </row>
    <row r="281" ht="14.25" customHeight="1">
      <c r="A281" s="127"/>
      <c r="B281" s="127"/>
      <c r="C281" s="127"/>
      <c r="D281" s="127"/>
      <c r="E281" s="127"/>
      <c r="F281" s="300"/>
      <c r="G281" s="300"/>
      <c r="H281" s="892"/>
      <c r="I281" s="892"/>
      <c r="J281" s="892"/>
      <c r="K281" s="892"/>
      <c r="L281" s="892"/>
      <c r="M281" s="892"/>
      <c r="N281" s="892"/>
      <c r="O281" s="892"/>
      <c r="P281" s="892"/>
      <c r="Q281" s="892"/>
      <c r="R281" s="892"/>
      <c r="S281" s="892"/>
      <c r="T281" s="892"/>
      <c r="U281" s="892"/>
      <c r="V281" s="892"/>
      <c r="W281" s="893"/>
      <c r="X281" s="893"/>
      <c r="Y281" s="893"/>
      <c r="Z281" s="893"/>
      <c r="AA281" s="893"/>
      <c r="AB281" s="893"/>
      <c r="AC281" s="893"/>
      <c r="AD281" s="893"/>
      <c r="AE281" s="893"/>
      <c r="AF281" s="893"/>
      <c r="AG281" s="893"/>
      <c r="AH281" s="893"/>
      <c r="AI281" s="300"/>
      <c r="AJ281" s="300"/>
      <c r="AK281" s="300"/>
      <c r="AL281" s="300"/>
      <c r="AM281" s="300"/>
      <c r="AN281" s="127"/>
    </row>
    <row r="282" ht="14.25" customHeight="1">
      <c r="A282" s="127"/>
      <c r="B282" s="127"/>
      <c r="C282" s="127"/>
      <c r="D282" s="127"/>
      <c r="E282" s="127"/>
      <c r="F282" s="300"/>
      <c r="G282" s="300"/>
      <c r="H282" s="892"/>
      <c r="I282" s="892"/>
      <c r="J282" s="892"/>
      <c r="K282" s="892"/>
      <c r="L282" s="892"/>
      <c r="M282" s="892"/>
      <c r="N282" s="892"/>
      <c r="O282" s="892"/>
      <c r="P282" s="892"/>
      <c r="Q282" s="892"/>
      <c r="R282" s="892"/>
      <c r="S282" s="892"/>
      <c r="T282" s="892"/>
      <c r="U282" s="892"/>
      <c r="V282" s="892"/>
      <c r="W282" s="893"/>
      <c r="X282" s="893"/>
      <c r="Y282" s="893"/>
      <c r="Z282" s="893"/>
      <c r="AA282" s="893"/>
      <c r="AB282" s="893"/>
      <c r="AC282" s="893"/>
      <c r="AD282" s="893"/>
      <c r="AE282" s="893"/>
      <c r="AF282" s="893"/>
      <c r="AG282" s="893"/>
      <c r="AH282" s="893"/>
      <c r="AI282" s="300"/>
      <c r="AJ282" s="300"/>
      <c r="AK282" s="300"/>
      <c r="AL282" s="300"/>
      <c r="AM282" s="300"/>
      <c r="AN282" s="127"/>
    </row>
    <row r="283" ht="14.25" customHeight="1">
      <c r="A283" s="127"/>
      <c r="B283" s="127"/>
      <c r="C283" s="127"/>
      <c r="D283" s="127"/>
      <c r="E283" s="127"/>
      <c r="F283" s="300"/>
      <c r="G283" s="300"/>
      <c r="H283" s="892"/>
      <c r="I283" s="892"/>
      <c r="J283" s="892"/>
      <c r="K283" s="892"/>
      <c r="L283" s="892"/>
      <c r="M283" s="892"/>
      <c r="N283" s="892"/>
      <c r="O283" s="892"/>
      <c r="P283" s="892"/>
      <c r="Q283" s="892"/>
      <c r="R283" s="892"/>
      <c r="S283" s="892"/>
      <c r="T283" s="892"/>
      <c r="U283" s="892"/>
      <c r="V283" s="892"/>
      <c r="W283" s="893"/>
      <c r="X283" s="893"/>
      <c r="Y283" s="893"/>
      <c r="Z283" s="893"/>
      <c r="AA283" s="893"/>
      <c r="AB283" s="893"/>
      <c r="AC283" s="893"/>
      <c r="AD283" s="893"/>
      <c r="AE283" s="893"/>
      <c r="AF283" s="893"/>
      <c r="AG283" s="893"/>
      <c r="AH283" s="893"/>
      <c r="AI283" s="300"/>
      <c r="AJ283" s="300"/>
      <c r="AK283" s="300"/>
      <c r="AL283" s="300"/>
      <c r="AM283" s="300"/>
      <c r="AN283" s="127"/>
    </row>
    <row r="284" ht="14.25" customHeight="1">
      <c r="A284" s="127"/>
      <c r="B284" s="127"/>
      <c r="C284" s="127"/>
      <c r="D284" s="127"/>
      <c r="E284" s="127"/>
      <c r="F284" s="300"/>
      <c r="G284" s="300"/>
      <c r="H284" s="892"/>
      <c r="I284" s="892"/>
      <c r="J284" s="892"/>
      <c r="K284" s="892"/>
      <c r="L284" s="892"/>
      <c r="M284" s="892"/>
      <c r="N284" s="892"/>
      <c r="O284" s="892"/>
      <c r="P284" s="892"/>
      <c r="Q284" s="892"/>
      <c r="R284" s="892"/>
      <c r="S284" s="892"/>
      <c r="T284" s="892"/>
      <c r="U284" s="892"/>
      <c r="V284" s="892"/>
      <c r="W284" s="893"/>
      <c r="X284" s="893"/>
      <c r="Y284" s="893"/>
      <c r="Z284" s="893"/>
      <c r="AA284" s="893"/>
      <c r="AB284" s="893"/>
      <c r="AC284" s="893"/>
      <c r="AD284" s="893"/>
      <c r="AE284" s="893"/>
      <c r="AF284" s="893"/>
      <c r="AG284" s="893"/>
      <c r="AH284" s="893"/>
      <c r="AI284" s="300"/>
      <c r="AJ284" s="300"/>
      <c r="AK284" s="300"/>
      <c r="AL284" s="300"/>
      <c r="AM284" s="300"/>
      <c r="AN284" s="127"/>
    </row>
    <row r="285" ht="14.25" customHeight="1">
      <c r="A285" s="127"/>
      <c r="B285" s="127"/>
      <c r="C285" s="127"/>
      <c r="D285" s="127"/>
      <c r="E285" s="127"/>
      <c r="F285" s="300"/>
      <c r="G285" s="300"/>
      <c r="H285" s="892"/>
      <c r="I285" s="892"/>
      <c r="J285" s="892"/>
      <c r="K285" s="892"/>
      <c r="L285" s="892"/>
      <c r="M285" s="892"/>
      <c r="N285" s="892"/>
      <c r="O285" s="892"/>
      <c r="P285" s="892"/>
      <c r="Q285" s="892"/>
      <c r="R285" s="892"/>
      <c r="S285" s="892"/>
      <c r="T285" s="892"/>
      <c r="U285" s="892"/>
      <c r="V285" s="892"/>
      <c r="W285" s="893"/>
      <c r="X285" s="893"/>
      <c r="Y285" s="893"/>
      <c r="Z285" s="893"/>
      <c r="AA285" s="893"/>
      <c r="AB285" s="893"/>
      <c r="AC285" s="893"/>
      <c r="AD285" s="893"/>
      <c r="AE285" s="893"/>
      <c r="AF285" s="893"/>
      <c r="AG285" s="893"/>
      <c r="AH285" s="893"/>
      <c r="AI285" s="300"/>
      <c r="AJ285" s="300"/>
      <c r="AK285" s="300"/>
      <c r="AL285" s="300"/>
      <c r="AM285" s="300"/>
      <c r="AN285" s="127"/>
    </row>
    <row r="286" ht="14.25" customHeight="1">
      <c r="A286" s="127"/>
      <c r="B286" s="127"/>
      <c r="C286" s="127"/>
      <c r="D286" s="127"/>
      <c r="E286" s="127"/>
      <c r="F286" s="300"/>
      <c r="G286" s="300"/>
      <c r="H286" s="892"/>
      <c r="I286" s="892"/>
      <c r="J286" s="892"/>
      <c r="K286" s="892"/>
      <c r="L286" s="892"/>
      <c r="M286" s="892"/>
      <c r="N286" s="892"/>
      <c r="O286" s="892"/>
      <c r="P286" s="892"/>
      <c r="Q286" s="892"/>
      <c r="R286" s="892"/>
      <c r="S286" s="892"/>
      <c r="T286" s="892"/>
      <c r="U286" s="892"/>
      <c r="V286" s="892"/>
      <c r="W286" s="893"/>
      <c r="X286" s="893"/>
      <c r="Y286" s="893"/>
      <c r="Z286" s="893"/>
      <c r="AA286" s="893"/>
      <c r="AB286" s="893"/>
      <c r="AC286" s="893"/>
      <c r="AD286" s="893"/>
      <c r="AE286" s="893"/>
      <c r="AF286" s="893"/>
      <c r="AG286" s="893"/>
      <c r="AH286" s="893"/>
      <c r="AI286" s="300"/>
      <c r="AJ286" s="300"/>
      <c r="AK286" s="300"/>
      <c r="AL286" s="300"/>
      <c r="AM286" s="300"/>
      <c r="AN286" s="127"/>
    </row>
    <row r="287" ht="14.25" customHeight="1">
      <c r="A287" s="127"/>
      <c r="B287" s="127"/>
      <c r="C287" s="127"/>
      <c r="D287" s="127"/>
      <c r="E287" s="127"/>
      <c r="F287" s="300"/>
      <c r="G287" s="300"/>
      <c r="H287" s="892"/>
      <c r="I287" s="892"/>
      <c r="J287" s="892"/>
      <c r="K287" s="892"/>
      <c r="L287" s="892"/>
      <c r="M287" s="892"/>
      <c r="N287" s="892"/>
      <c r="O287" s="892"/>
      <c r="P287" s="892"/>
      <c r="Q287" s="892"/>
      <c r="R287" s="892"/>
      <c r="S287" s="892"/>
      <c r="T287" s="892"/>
      <c r="U287" s="892"/>
      <c r="V287" s="892"/>
      <c r="W287" s="893"/>
      <c r="X287" s="893"/>
      <c r="Y287" s="893"/>
      <c r="Z287" s="893"/>
      <c r="AA287" s="893"/>
      <c r="AB287" s="893"/>
      <c r="AC287" s="893"/>
      <c r="AD287" s="893"/>
      <c r="AE287" s="893"/>
      <c r="AF287" s="893"/>
      <c r="AG287" s="893"/>
      <c r="AH287" s="893"/>
      <c r="AI287" s="300"/>
      <c r="AJ287" s="300"/>
      <c r="AK287" s="300"/>
      <c r="AL287" s="300"/>
      <c r="AM287" s="300"/>
      <c r="AN287" s="127"/>
    </row>
    <row r="288" ht="14.25" customHeight="1">
      <c r="A288" s="127"/>
      <c r="B288" s="127"/>
      <c r="C288" s="127"/>
      <c r="D288" s="127"/>
      <c r="E288" s="127"/>
      <c r="F288" s="300"/>
      <c r="G288" s="300"/>
      <c r="H288" s="892"/>
      <c r="I288" s="892"/>
      <c r="J288" s="892"/>
      <c r="K288" s="892"/>
      <c r="L288" s="892"/>
      <c r="M288" s="892"/>
      <c r="N288" s="892"/>
      <c r="O288" s="892"/>
      <c r="P288" s="892"/>
      <c r="Q288" s="892"/>
      <c r="R288" s="892"/>
      <c r="S288" s="892"/>
      <c r="T288" s="892"/>
      <c r="U288" s="892"/>
      <c r="V288" s="892"/>
      <c r="W288" s="893"/>
      <c r="X288" s="893"/>
      <c r="Y288" s="893"/>
      <c r="Z288" s="893"/>
      <c r="AA288" s="893"/>
      <c r="AB288" s="893"/>
      <c r="AC288" s="893"/>
      <c r="AD288" s="893"/>
      <c r="AE288" s="893"/>
      <c r="AF288" s="893"/>
      <c r="AG288" s="893"/>
      <c r="AH288" s="893"/>
      <c r="AI288" s="300"/>
      <c r="AJ288" s="300"/>
      <c r="AK288" s="300"/>
      <c r="AL288" s="300"/>
      <c r="AM288" s="300"/>
      <c r="AN288" s="127"/>
    </row>
    <row r="289" ht="14.25" customHeight="1">
      <c r="A289" s="127"/>
      <c r="B289" s="127"/>
      <c r="C289" s="127"/>
      <c r="D289" s="127"/>
      <c r="E289" s="127"/>
      <c r="F289" s="300"/>
      <c r="G289" s="300"/>
      <c r="H289" s="892"/>
      <c r="I289" s="892"/>
      <c r="J289" s="892"/>
      <c r="K289" s="892"/>
      <c r="L289" s="892"/>
      <c r="M289" s="892"/>
      <c r="N289" s="892"/>
      <c r="O289" s="892"/>
      <c r="P289" s="892"/>
      <c r="Q289" s="892"/>
      <c r="R289" s="892"/>
      <c r="S289" s="892"/>
      <c r="T289" s="892"/>
      <c r="U289" s="892"/>
      <c r="V289" s="892"/>
      <c r="W289" s="893"/>
      <c r="X289" s="893"/>
      <c r="Y289" s="893"/>
      <c r="Z289" s="893"/>
      <c r="AA289" s="893"/>
      <c r="AB289" s="893"/>
      <c r="AC289" s="893"/>
      <c r="AD289" s="893"/>
      <c r="AE289" s="893"/>
      <c r="AF289" s="893"/>
      <c r="AG289" s="893"/>
      <c r="AH289" s="893"/>
      <c r="AI289" s="300"/>
      <c r="AJ289" s="300"/>
      <c r="AK289" s="300"/>
      <c r="AL289" s="300"/>
      <c r="AM289" s="300"/>
      <c r="AN289" s="127"/>
    </row>
    <row r="290" ht="14.25" customHeight="1">
      <c r="A290" s="127"/>
      <c r="B290" s="127"/>
      <c r="C290" s="127"/>
      <c r="D290" s="127"/>
      <c r="E290" s="127"/>
      <c r="F290" s="300"/>
      <c r="G290" s="300"/>
      <c r="H290" s="892"/>
      <c r="I290" s="892"/>
      <c r="J290" s="892"/>
      <c r="K290" s="892"/>
      <c r="L290" s="892"/>
      <c r="M290" s="892"/>
      <c r="N290" s="892"/>
      <c r="O290" s="892"/>
      <c r="P290" s="892"/>
      <c r="Q290" s="892"/>
      <c r="R290" s="892"/>
      <c r="S290" s="892"/>
      <c r="T290" s="892"/>
      <c r="U290" s="892"/>
      <c r="V290" s="892"/>
      <c r="W290" s="893"/>
      <c r="X290" s="893"/>
      <c r="Y290" s="893"/>
      <c r="Z290" s="893"/>
      <c r="AA290" s="893"/>
      <c r="AB290" s="893"/>
      <c r="AC290" s="893"/>
      <c r="AD290" s="893"/>
      <c r="AE290" s="893"/>
      <c r="AF290" s="893"/>
      <c r="AG290" s="893"/>
      <c r="AH290" s="893"/>
      <c r="AI290" s="300"/>
      <c r="AJ290" s="300"/>
      <c r="AK290" s="300"/>
      <c r="AL290" s="300"/>
      <c r="AM290" s="300"/>
      <c r="AN290" s="127"/>
    </row>
    <row r="291" ht="14.25" customHeight="1">
      <c r="A291" s="127"/>
      <c r="B291" s="127"/>
      <c r="C291" s="127"/>
      <c r="D291" s="127"/>
      <c r="E291" s="127"/>
      <c r="F291" s="300"/>
      <c r="G291" s="300"/>
      <c r="H291" s="892"/>
      <c r="I291" s="892"/>
      <c r="J291" s="892"/>
      <c r="K291" s="892"/>
      <c r="L291" s="892"/>
      <c r="M291" s="892"/>
      <c r="N291" s="892"/>
      <c r="O291" s="892"/>
      <c r="P291" s="892"/>
      <c r="Q291" s="892"/>
      <c r="R291" s="892"/>
      <c r="S291" s="892"/>
      <c r="T291" s="892"/>
      <c r="U291" s="892"/>
      <c r="V291" s="892"/>
      <c r="W291" s="893"/>
      <c r="X291" s="893"/>
      <c r="Y291" s="893"/>
      <c r="Z291" s="893"/>
      <c r="AA291" s="893"/>
      <c r="AB291" s="893"/>
      <c r="AC291" s="893"/>
      <c r="AD291" s="893"/>
      <c r="AE291" s="893"/>
      <c r="AF291" s="893"/>
      <c r="AG291" s="893"/>
      <c r="AH291" s="893"/>
      <c r="AI291" s="300"/>
      <c r="AJ291" s="300"/>
      <c r="AK291" s="300"/>
      <c r="AL291" s="300"/>
      <c r="AM291" s="300"/>
      <c r="AN291" s="127"/>
    </row>
    <row r="292" ht="14.25" customHeight="1">
      <c r="A292" s="127"/>
      <c r="B292" s="127"/>
      <c r="C292" s="127"/>
      <c r="D292" s="127"/>
      <c r="E292" s="127"/>
      <c r="F292" s="300"/>
      <c r="G292" s="300"/>
      <c r="H292" s="892"/>
      <c r="I292" s="892"/>
      <c r="J292" s="892"/>
      <c r="K292" s="892"/>
      <c r="L292" s="892"/>
      <c r="M292" s="892"/>
      <c r="N292" s="892"/>
      <c r="O292" s="892"/>
      <c r="P292" s="892"/>
      <c r="Q292" s="892"/>
      <c r="R292" s="892"/>
      <c r="S292" s="892"/>
      <c r="T292" s="892"/>
      <c r="U292" s="892"/>
      <c r="V292" s="892"/>
      <c r="W292" s="893"/>
      <c r="X292" s="893"/>
      <c r="Y292" s="893"/>
      <c r="Z292" s="893"/>
      <c r="AA292" s="893"/>
      <c r="AB292" s="893"/>
      <c r="AC292" s="893"/>
      <c r="AD292" s="893"/>
      <c r="AE292" s="893"/>
      <c r="AF292" s="893"/>
      <c r="AG292" s="893"/>
      <c r="AH292" s="893"/>
      <c r="AI292" s="300"/>
      <c r="AJ292" s="300"/>
      <c r="AK292" s="300"/>
      <c r="AL292" s="300"/>
      <c r="AM292" s="300"/>
      <c r="AN292" s="127"/>
    </row>
    <row r="293" ht="14.25" customHeight="1">
      <c r="A293" s="127"/>
      <c r="B293" s="127"/>
      <c r="C293" s="127"/>
      <c r="D293" s="127"/>
      <c r="E293" s="127"/>
      <c r="F293" s="300"/>
      <c r="G293" s="300"/>
      <c r="H293" s="892"/>
      <c r="I293" s="892"/>
      <c r="J293" s="892"/>
      <c r="K293" s="892"/>
      <c r="L293" s="892"/>
      <c r="M293" s="892"/>
      <c r="N293" s="892"/>
      <c r="O293" s="892"/>
      <c r="P293" s="892"/>
      <c r="Q293" s="892"/>
      <c r="R293" s="892"/>
      <c r="S293" s="892"/>
      <c r="T293" s="892"/>
      <c r="U293" s="892"/>
      <c r="V293" s="892"/>
      <c r="W293" s="893"/>
      <c r="X293" s="893"/>
      <c r="Y293" s="893"/>
      <c r="Z293" s="893"/>
      <c r="AA293" s="893"/>
      <c r="AB293" s="893"/>
      <c r="AC293" s="893"/>
      <c r="AD293" s="893"/>
      <c r="AE293" s="893"/>
      <c r="AF293" s="893"/>
      <c r="AG293" s="893"/>
      <c r="AH293" s="893"/>
      <c r="AI293" s="300"/>
      <c r="AJ293" s="300"/>
      <c r="AK293" s="300"/>
      <c r="AL293" s="300"/>
      <c r="AM293" s="300"/>
      <c r="AN293" s="127"/>
    </row>
    <row r="294" ht="14.25" customHeight="1">
      <c r="A294" s="127"/>
      <c r="B294" s="127"/>
      <c r="C294" s="127"/>
      <c r="D294" s="127"/>
      <c r="E294" s="127"/>
      <c r="F294" s="300"/>
      <c r="G294" s="300"/>
      <c r="H294" s="892"/>
      <c r="I294" s="892"/>
      <c r="J294" s="892"/>
      <c r="K294" s="892"/>
      <c r="L294" s="892"/>
      <c r="M294" s="892"/>
      <c r="N294" s="892"/>
      <c r="O294" s="892"/>
      <c r="P294" s="892"/>
      <c r="Q294" s="892"/>
      <c r="R294" s="892"/>
      <c r="S294" s="892"/>
      <c r="T294" s="892"/>
      <c r="U294" s="892"/>
      <c r="V294" s="892"/>
      <c r="W294" s="893"/>
      <c r="X294" s="893"/>
      <c r="Y294" s="893"/>
      <c r="Z294" s="893"/>
      <c r="AA294" s="893"/>
      <c r="AB294" s="893"/>
      <c r="AC294" s="893"/>
      <c r="AD294" s="893"/>
      <c r="AE294" s="893"/>
      <c r="AF294" s="893"/>
      <c r="AG294" s="893"/>
      <c r="AH294" s="893"/>
      <c r="AI294" s="300"/>
      <c r="AJ294" s="300"/>
      <c r="AK294" s="300"/>
      <c r="AL294" s="300"/>
      <c r="AM294" s="300"/>
      <c r="AN294" s="127"/>
    </row>
    <row r="295" ht="14.25" customHeight="1">
      <c r="A295" s="127"/>
      <c r="B295" s="127"/>
      <c r="C295" s="127"/>
      <c r="D295" s="127"/>
      <c r="E295" s="127"/>
      <c r="F295" s="300"/>
      <c r="G295" s="300"/>
      <c r="H295" s="892"/>
      <c r="I295" s="892"/>
      <c r="J295" s="892"/>
      <c r="K295" s="892"/>
      <c r="L295" s="892"/>
      <c r="M295" s="892"/>
      <c r="N295" s="892"/>
      <c r="O295" s="892"/>
      <c r="P295" s="892"/>
      <c r="Q295" s="892"/>
      <c r="R295" s="892"/>
      <c r="S295" s="892"/>
      <c r="T295" s="892"/>
      <c r="U295" s="892"/>
      <c r="V295" s="892"/>
      <c r="W295" s="893"/>
      <c r="X295" s="893"/>
      <c r="Y295" s="893"/>
      <c r="Z295" s="893"/>
      <c r="AA295" s="893"/>
      <c r="AB295" s="893"/>
      <c r="AC295" s="893"/>
      <c r="AD295" s="893"/>
      <c r="AE295" s="893"/>
      <c r="AF295" s="893"/>
      <c r="AG295" s="893"/>
      <c r="AH295" s="893"/>
      <c r="AI295" s="300"/>
      <c r="AJ295" s="300"/>
      <c r="AK295" s="300"/>
      <c r="AL295" s="300"/>
      <c r="AM295" s="300"/>
      <c r="AN295" s="127"/>
    </row>
    <row r="296" ht="14.25" customHeight="1">
      <c r="A296" s="127"/>
      <c r="B296" s="127"/>
      <c r="C296" s="127"/>
      <c r="D296" s="127"/>
      <c r="E296" s="127"/>
      <c r="F296" s="300"/>
      <c r="G296" s="300"/>
      <c r="H296" s="892"/>
      <c r="I296" s="892"/>
      <c r="J296" s="892"/>
      <c r="K296" s="892"/>
      <c r="L296" s="892"/>
      <c r="M296" s="892"/>
      <c r="N296" s="892"/>
      <c r="O296" s="892"/>
      <c r="P296" s="892"/>
      <c r="Q296" s="892"/>
      <c r="R296" s="892"/>
      <c r="S296" s="892"/>
      <c r="T296" s="892"/>
      <c r="U296" s="892"/>
      <c r="V296" s="892"/>
      <c r="W296" s="893"/>
      <c r="X296" s="893"/>
      <c r="Y296" s="893"/>
      <c r="Z296" s="893"/>
      <c r="AA296" s="893"/>
      <c r="AB296" s="893"/>
      <c r="AC296" s="893"/>
      <c r="AD296" s="893"/>
      <c r="AE296" s="893"/>
      <c r="AF296" s="893"/>
      <c r="AG296" s="893"/>
      <c r="AH296" s="893"/>
      <c r="AI296" s="300"/>
      <c r="AJ296" s="300"/>
      <c r="AK296" s="300"/>
      <c r="AL296" s="300"/>
      <c r="AM296" s="300"/>
      <c r="AN296" s="127"/>
    </row>
    <row r="297" ht="14.25" customHeight="1">
      <c r="A297" s="127"/>
      <c r="B297" s="127"/>
      <c r="C297" s="127"/>
      <c r="D297" s="127"/>
      <c r="E297" s="127"/>
      <c r="F297" s="300"/>
      <c r="G297" s="300"/>
      <c r="H297" s="892"/>
      <c r="I297" s="892"/>
      <c r="J297" s="892"/>
      <c r="K297" s="892"/>
      <c r="L297" s="892"/>
      <c r="M297" s="892"/>
      <c r="N297" s="892"/>
      <c r="O297" s="892"/>
      <c r="P297" s="892"/>
      <c r="Q297" s="892"/>
      <c r="R297" s="892"/>
      <c r="S297" s="892"/>
      <c r="T297" s="892"/>
      <c r="U297" s="892"/>
      <c r="V297" s="892"/>
      <c r="W297" s="893"/>
      <c r="X297" s="893"/>
      <c r="Y297" s="893"/>
      <c r="Z297" s="893"/>
      <c r="AA297" s="893"/>
      <c r="AB297" s="893"/>
      <c r="AC297" s="893"/>
      <c r="AD297" s="893"/>
      <c r="AE297" s="893"/>
      <c r="AF297" s="893"/>
      <c r="AG297" s="893"/>
      <c r="AH297" s="893"/>
      <c r="AI297" s="300"/>
      <c r="AJ297" s="300"/>
      <c r="AK297" s="300"/>
      <c r="AL297" s="300"/>
      <c r="AM297" s="300"/>
      <c r="AN297" s="127"/>
    </row>
    <row r="298" ht="14.25" customHeight="1">
      <c r="A298" s="127"/>
      <c r="B298" s="127"/>
      <c r="C298" s="127"/>
      <c r="D298" s="127"/>
      <c r="E298" s="127"/>
      <c r="F298" s="300"/>
      <c r="G298" s="300"/>
      <c r="H298" s="892"/>
      <c r="I298" s="892"/>
      <c r="J298" s="892"/>
      <c r="K298" s="892"/>
      <c r="L298" s="892"/>
      <c r="M298" s="892"/>
      <c r="N298" s="892"/>
      <c r="O298" s="892"/>
      <c r="P298" s="892"/>
      <c r="Q298" s="892"/>
      <c r="R298" s="892"/>
      <c r="S298" s="892"/>
      <c r="T298" s="892"/>
      <c r="U298" s="892"/>
      <c r="V298" s="892"/>
      <c r="W298" s="893"/>
      <c r="X298" s="893"/>
      <c r="Y298" s="893"/>
      <c r="Z298" s="893"/>
      <c r="AA298" s="893"/>
      <c r="AB298" s="893"/>
      <c r="AC298" s="893"/>
      <c r="AD298" s="893"/>
      <c r="AE298" s="893"/>
      <c r="AF298" s="893"/>
      <c r="AG298" s="893"/>
      <c r="AH298" s="893"/>
      <c r="AI298" s="300"/>
      <c r="AJ298" s="300"/>
      <c r="AK298" s="300"/>
      <c r="AL298" s="300"/>
      <c r="AM298" s="300"/>
      <c r="AN298" s="127"/>
    </row>
    <row r="299" ht="14.25" customHeight="1">
      <c r="A299" s="127"/>
      <c r="B299" s="127"/>
      <c r="C299" s="127"/>
      <c r="D299" s="127"/>
      <c r="E299" s="127"/>
      <c r="F299" s="300"/>
      <c r="G299" s="300"/>
      <c r="H299" s="892"/>
      <c r="I299" s="892"/>
      <c r="J299" s="892"/>
      <c r="K299" s="892"/>
      <c r="L299" s="892"/>
      <c r="M299" s="892"/>
      <c r="N299" s="892"/>
      <c r="O299" s="892"/>
      <c r="P299" s="892"/>
      <c r="Q299" s="892"/>
      <c r="R299" s="892"/>
      <c r="S299" s="892"/>
      <c r="T299" s="892"/>
      <c r="U299" s="892"/>
      <c r="V299" s="892"/>
      <c r="W299" s="893"/>
      <c r="X299" s="893"/>
      <c r="Y299" s="893"/>
      <c r="Z299" s="893"/>
      <c r="AA299" s="893"/>
      <c r="AB299" s="893"/>
      <c r="AC299" s="893"/>
      <c r="AD299" s="893"/>
      <c r="AE299" s="893"/>
      <c r="AF299" s="893"/>
      <c r="AG299" s="893"/>
      <c r="AH299" s="893"/>
      <c r="AI299" s="300"/>
      <c r="AJ299" s="300"/>
      <c r="AK299" s="300"/>
      <c r="AL299" s="300"/>
      <c r="AM299" s="300"/>
      <c r="AN299" s="127"/>
    </row>
    <row r="300" ht="14.25" customHeight="1">
      <c r="A300" s="127"/>
      <c r="B300" s="127"/>
      <c r="C300" s="127"/>
      <c r="D300" s="127"/>
      <c r="E300" s="127"/>
      <c r="F300" s="300"/>
      <c r="G300" s="300"/>
      <c r="H300" s="892"/>
      <c r="I300" s="892"/>
      <c r="J300" s="892"/>
      <c r="K300" s="892"/>
      <c r="L300" s="892"/>
      <c r="M300" s="892"/>
      <c r="N300" s="892"/>
      <c r="O300" s="892"/>
      <c r="P300" s="892"/>
      <c r="Q300" s="892"/>
      <c r="R300" s="892"/>
      <c r="S300" s="892"/>
      <c r="T300" s="892"/>
      <c r="U300" s="892"/>
      <c r="V300" s="892"/>
      <c r="W300" s="893"/>
      <c r="X300" s="893"/>
      <c r="Y300" s="893"/>
      <c r="Z300" s="893"/>
      <c r="AA300" s="893"/>
      <c r="AB300" s="893"/>
      <c r="AC300" s="893"/>
      <c r="AD300" s="893"/>
      <c r="AE300" s="893"/>
      <c r="AF300" s="893"/>
      <c r="AG300" s="893"/>
      <c r="AH300" s="893"/>
      <c r="AI300" s="300"/>
      <c r="AJ300" s="300"/>
      <c r="AK300" s="300"/>
      <c r="AL300" s="300"/>
      <c r="AM300" s="300"/>
      <c r="AN300" s="127"/>
    </row>
    <row r="301" ht="14.25" customHeight="1">
      <c r="A301" s="127"/>
      <c r="B301" s="127"/>
      <c r="C301" s="127"/>
      <c r="D301" s="127"/>
      <c r="E301" s="127"/>
      <c r="F301" s="300"/>
      <c r="G301" s="300"/>
      <c r="H301" s="892"/>
      <c r="I301" s="892"/>
      <c r="J301" s="892"/>
      <c r="K301" s="892"/>
      <c r="L301" s="892"/>
      <c r="M301" s="892"/>
      <c r="N301" s="892"/>
      <c r="O301" s="892"/>
      <c r="P301" s="892"/>
      <c r="Q301" s="892"/>
      <c r="R301" s="892"/>
      <c r="S301" s="892"/>
      <c r="T301" s="892"/>
      <c r="U301" s="892"/>
      <c r="V301" s="892"/>
      <c r="W301" s="893"/>
      <c r="X301" s="893"/>
      <c r="Y301" s="893"/>
      <c r="Z301" s="893"/>
      <c r="AA301" s="893"/>
      <c r="AB301" s="893"/>
      <c r="AC301" s="893"/>
      <c r="AD301" s="893"/>
      <c r="AE301" s="893"/>
      <c r="AF301" s="893"/>
      <c r="AG301" s="893"/>
      <c r="AH301" s="893"/>
      <c r="AI301" s="300"/>
      <c r="AJ301" s="300"/>
      <c r="AK301" s="300"/>
      <c r="AL301" s="300"/>
      <c r="AM301" s="300"/>
      <c r="AN301" s="127"/>
    </row>
    <row r="302" ht="14.25" customHeight="1">
      <c r="A302" s="127"/>
      <c r="B302" s="127"/>
      <c r="C302" s="127"/>
      <c r="D302" s="127"/>
      <c r="E302" s="127"/>
      <c r="F302" s="300"/>
      <c r="G302" s="300"/>
      <c r="H302" s="892"/>
      <c r="I302" s="892"/>
      <c r="J302" s="892"/>
      <c r="K302" s="892"/>
      <c r="L302" s="892"/>
      <c r="M302" s="892"/>
      <c r="N302" s="892"/>
      <c r="O302" s="892"/>
      <c r="P302" s="892"/>
      <c r="Q302" s="892"/>
      <c r="R302" s="892"/>
      <c r="S302" s="892"/>
      <c r="T302" s="892"/>
      <c r="U302" s="892"/>
      <c r="V302" s="892"/>
      <c r="W302" s="893"/>
      <c r="X302" s="893"/>
      <c r="Y302" s="893"/>
      <c r="Z302" s="893"/>
      <c r="AA302" s="893"/>
      <c r="AB302" s="893"/>
      <c r="AC302" s="893"/>
      <c r="AD302" s="893"/>
      <c r="AE302" s="893"/>
      <c r="AF302" s="893"/>
      <c r="AG302" s="893"/>
      <c r="AH302" s="893"/>
      <c r="AI302" s="300"/>
      <c r="AJ302" s="300"/>
      <c r="AK302" s="300"/>
      <c r="AL302" s="300"/>
      <c r="AM302" s="300"/>
      <c r="AN302" s="127"/>
    </row>
    <row r="303" ht="14.25" customHeight="1">
      <c r="A303" s="127"/>
      <c r="B303" s="127"/>
      <c r="C303" s="127"/>
      <c r="D303" s="127"/>
      <c r="E303" s="127"/>
      <c r="F303" s="300"/>
      <c r="G303" s="300"/>
      <c r="H303" s="892"/>
      <c r="I303" s="892"/>
      <c r="J303" s="892"/>
      <c r="K303" s="892"/>
      <c r="L303" s="892"/>
      <c r="M303" s="892"/>
      <c r="N303" s="892"/>
      <c r="O303" s="892"/>
      <c r="P303" s="892"/>
      <c r="Q303" s="892"/>
      <c r="R303" s="892"/>
      <c r="S303" s="892"/>
      <c r="T303" s="892"/>
      <c r="U303" s="892"/>
      <c r="V303" s="892"/>
      <c r="W303" s="893"/>
      <c r="X303" s="893"/>
      <c r="Y303" s="893"/>
      <c r="Z303" s="893"/>
      <c r="AA303" s="893"/>
      <c r="AB303" s="893"/>
      <c r="AC303" s="893"/>
      <c r="AD303" s="893"/>
      <c r="AE303" s="893"/>
      <c r="AF303" s="893"/>
      <c r="AG303" s="893"/>
      <c r="AH303" s="893"/>
      <c r="AI303" s="300"/>
      <c r="AJ303" s="300"/>
      <c r="AK303" s="300"/>
      <c r="AL303" s="300"/>
      <c r="AM303" s="300"/>
      <c r="AN303" s="127"/>
    </row>
    <row r="304" ht="14.25" customHeight="1">
      <c r="A304" s="127"/>
      <c r="B304" s="127"/>
      <c r="C304" s="127"/>
      <c r="D304" s="127"/>
      <c r="E304" s="127"/>
      <c r="F304" s="300"/>
      <c r="G304" s="300"/>
      <c r="H304" s="892"/>
      <c r="I304" s="892"/>
      <c r="J304" s="892"/>
      <c r="K304" s="892"/>
      <c r="L304" s="892"/>
      <c r="M304" s="892"/>
      <c r="N304" s="892"/>
      <c r="O304" s="892"/>
      <c r="P304" s="892"/>
      <c r="Q304" s="892"/>
      <c r="R304" s="892"/>
      <c r="S304" s="892"/>
      <c r="T304" s="892"/>
      <c r="U304" s="892"/>
      <c r="V304" s="892"/>
      <c r="W304" s="893"/>
      <c r="X304" s="893"/>
      <c r="Y304" s="893"/>
      <c r="Z304" s="893"/>
      <c r="AA304" s="893"/>
      <c r="AB304" s="893"/>
      <c r="AC304" s="893"/>
      <c r="AD304" s="893"/>
      <c r="AE304" s="893"/>
      <c r="AF304" s="893"/>
      <c r="AG304" s="893"/>
      <c r="AH304" s="893"/>
      <c r="AI304" s="300"/>
      <c r="AJ304" s="300"/>
      <c r="AK304" s="300"/>
      <c r="AL304" s="300"/>
      <c r="AM304" s="300"/>
      <c r="AN304" s="127"/>
    </row>
    <row r="305" ht="14.25" customHeight="1">
      <c r="A305" s="127"/>
      <c r="B305" s="127"/>
      <c r="C305" s="127"/>
      <c r="D305" s="127"/>
      <c r="E305" s="127"/>
      <c r="F305" s="300"/>
      <c r="G305" s="300"/>
      <c r="H305" s="892"/>
      <c r="I305" s="892"/>
      <c r="J305" s="892"/>
      <c r="K305" s="892"/>
      <c r="L305" s="892"/>
      <c r="M305" s="892"/>
      <c r="N305" s="892"/>
      <c r="O305" s="892"/>
      <c r="P305" s="892"/>
      <c r="Q305" s="892"/>
      <c r="R305" s="892"/>
      <c r="S305" s="892"/>
      <c r="T305" s="892"/>
      <c r="U305" s="892"/>
      <c r="V305" s="892"/>
      <c r="W305" s="893"/>
      <c r="X305" s="893"/>
      <c r="Y305" s="893"/>
      <c r="Z305" s="893"/>
      <c r="AA305" s="893"/>
      <c r="AB305" s="893"/>
      <c r="AC305" s="893"/>
      <c r="AD305" s="893"/>
      <c r="AE305" s="893"/>
      <c r="AF305" s="893"/>
      <c r="AG305" s="893"/>
      <c r="AH305" s="893"/>
      <c r="AI305" s="300"/>
      <c r="AJ305" s="300"/>
      <c r="AK305" s="300"/>
      <c r="AL305" s="300"/>
      <c r="AM305" s="300"/>
      <c r="AN305" s="127"/>
    </row>
    <row r="306" ht="14.25" customHeight="1">
      <c r="A306" s="127"/>
      <c r="B306" s="127"/>
      <c r="C306" s="127"/>
      <c r="D306" s="127"/>
      <c r="E306" s="127"/>
      <c r="F306" s="300"/>
      <c r="G306" s="300"/>
      <c r="H306" s="892"/>
      <c r="I306" s="892"/>
      <c r="J306" s="892"/>
      <c r="K306" s="892"/>
      <c r="L306" s="892"/>
      <c r="M306" s="892"/>
      <c r="N306" s="892"/>
      <c r="O306" s="892"/>
      <c r="P306" s="892"/>
      <c r="Q306" s="892"/>
      <c r="R306" s="892"/>
      <c r="S306" s="892"/>
      <c r="T306" s="892"/>
      <c r="U306" s="892"/>
      <c r="V306" s="892"/>
      <c r="W306" s="893"/>
      <c r="X306" s="893"/>
      <c r="Y306" s="893"/>
      <c r="Z306" s="893"/>
      <c r="AA306" s="893"/>
      <c r="AB306" s="893"/>
      <c r="AC306" s="893"/>
      <c r="AD306" s="893"/>
      <c r="AE306" s="893"/>
      <c r="AF306" s="893"/>
      <c r="AG306" s="893"/>
      <c r="AH306" s="893"/>
      <c r="AI306" s="300"/>
      <c r="AJ306" s="300"/>
      <c r="AK306" s="300"/>
      <c r="AL306" s="300"/>
      <c r="AM306" s="300"/>
      <c r="AN306" s="127"/>
    </row>
    <row r="307" ht="14.25" customHeight="1">
      <c r="A307" s="127"/>
      <c r="B307" s="127"/>
      <c r="C307" s="127"/>
      <c r="D307" s="127"/>
      <c r="E307" s="127"/>
      <c r="F307" s="300"/>
      <c r="G307" s="300"/>
      <c r="H307" s="892"/>
      <c r="I307" s="892"/>
      <c r="J307" s="892"/>
      <c r="K307" s="892"/>
      <c r="L307" s="892"/>
      <c r="M307" s="892"/>
      <c r="N307" s="892"/>
      <c r="O307" s="892"/>
      <c r="P307" s="892"/>
      <c r="Q307" s="892"/>
      <c r="R307" s="892"/>
      <c r="S307" s="892"/>
      <c r="T307" s="892"/>
      <c r="U307" s="892"/>
      <c r="V307" s="892"/>
      <c r="W307" s="893"/>
      <c r="X307" s="893"/>
      <c r="Y307" s="893"/>
      <c r="Z307" s="893"/>
      <c r="AA307" s="893"/>
      <c r="AB307" s="893"/>
      <c r="AC307" s="893"/>
      <c r="AD307" s="893"/>
      <c r="AE307" s="893"/>
      <c r="AF307" s="893"/>
      <c r="AG307" s="893"/>
      <c r="AH307" s="893"/>
      <c r="AI307" s="300"/>
      <c r="AJ307" s="300"/>
      <c r="AK307" s="300"/>
      <c r="AL307" s="300"/>
      <c r="AM307" s="300"/>
      <c r="AN307" s="127"/>
    </row>
    <row r="308" ht="14.25" customHeight="1">
      <c r="A308" s="127"/>
      <c r="B308" s="127"/>
      <c r="C308" s="127"/>
      <c r="D308" s="127"/>
      <c r="E308" s="127"/>
      <c r="F308" s="300"/>
      <c r="G308" s="300"/>
      <c r="H308" s="892"/>
      <c r="I308" s="892"/>
      <c r="J308" s="892"/>
      <c r="K308" s="892"/>
      <c r="L308" s="892"/>
      <c r="M308" s="892"/>
      <c r="N308" s="892"/>
      <c r="O308" s="892"/>
      <c r="P308" s="892"/>
      <c r="Q308" s="892"/>
      <c r="R308" s="892"/>
      <c r="S308" s="892"/>
      <c r="T308" s="892"/>
      <c r="U308" s="892"/>
      <c r="V308" s="892"/>
      <c r="W308" s="893"/>
      <c r="X308" s="893"/>
      <c r="Y308" s="893"/>
      <c r="Z308" s="893"/>
      <c r="AA308" s="893"/>
      <c r="AB308" s="893"/>
      <c r="AC308" s="893"/>
      <c r="AD308" s="893"/>
      <c r="AE308" s="893"/>
      <c r="AF308" s="893"/>
      <c r="AG308" s="893"/>
      <c r="AH308" s="893"/>
      <c r="AI308" s="300"/>
      <c r="AJ308" s="300"/>
      <c r="AK308" s="300"/>
      <c r="AL308" s="300"/>
      <c r="AM308" s="300"/>
      <c r="AN308" s="127"/>
    </row>
    <row r="309" ht="14.25" customHeight="1">
      <c r="A309" s="127"/>
      <c r="B309" s="127"/>
      <c r="C309" s="127"/>
      <c r="D309" s="127"/>
      <c r="E309" s="127"/>
      <c r="F309" s="300"/>
      <c r="G309" s="300"/>
      <c r="H309" s="892"/>
      <c r="I309" s="892"/>
      <c r="J309" s="892"/>
      <c r="K309" s="892"/>
      <c r="L309" s="892"/>
      <c r="M309" s="892"/>
      <c r="N309" s="892"/>
      <c r="O309" s="892"/>
      <c r="P309" s="892"/>
      <c r="Q309" s="892"/>
      <c r="R309" s="892"/>
      <c r="S309" s="892"/>
      <c r="T309" s="892"/>
      <c r="U309" s="892"/>
      <c r="V309" s="892"/>
      <c r="W309" s="893"/>
      <c r="X309" s="893"/>
      <c r="Y309" s="893"/>
      <c r="Z309" s="893"/>
      <c r="AA309" s="893"/>
      <c r="AB309" s="893"/>
      <c r="AC309" s="893"/>
      <c r="AD309" s="893"/>
      <c r="AE309" s="893"/>
      <c r="AF309" s="893"/>
      <c r="AG309" s="893"/>
      <c r="AH309" s="893"/>
      <c r="AI309" s="300"/>
      <c r="AJ309" s="300"/>
      <c r="AK309" s="300"/>
      <c r="AL309" s="300"/>
      <c r="AM309" s="300"/>
      <c r="AN309" s="127"/>
    </row>
    <row r="310" ht="14.25" customHeight="1">
      <c r="A310" s="127"/>
      <c r="B310" s="127"/>
      <c r="C310" s="127"/>
      <c r="D310" s="127"/>
      <c r="E310" s="127"/>
      <c r="F310" s="300"/>
      <c r="G310" s="300"/>
      <c r="H310" s="892"/>
      <c r="I310" s="892"/>
      <c r="J310" s="892"/>
      <c r="K310" s="892"/>
      <c r="L310" s="892"/>
      <c r="M310" s="892"/>
      <c r="N310" s="892"/>
      <c r="O310" s="892"/>
      <c r="P310" s="892"/>
      <c r="Q310" s="892"/>
      <c r="R310" s="892"/>
      <c r="S310" s="892"/>
      <c r="T310" s="892"/>
      <c r="U310" s="892"/>
      <c r="V310" s="892"/>
      <c r="W310" s="893"/>
      <c r="X310" s="893"/>
      <c r="Y310" s="893"/>
      <c r="Z310" s="893"/>
      <c r="AA310" s="893"/>
      <c r="AB310" s="893"/>
      <c r="AC310" s="893"/>
      <c r="AD310" s="893"/>
      <c r="AE310" s="893"/>
      <c r="AF310" s="893"/>
      <c r="AG310" s="893"/>
      <c r="AH310" s="893"/>
      <c r="AI310" s="300"/>
      <c r="AJ310" s="300"/>
      <c r="AK310" s="300"/>
      <c r="AL310" s="300"/>
      <c r="AM310" s="300"/>
      <c r="AN310" s="127"/>
    </row>
    <row r="311" ht="14.25" customHeight="1">
      <c r="A311" s="127"/>
      <c r="B311" s="127"/>
      <c r="C311" s="127"/>
      <c r="D311" s="127"/>
      <c r="E311" s="127"/>
      <c r="F311" s="300"/>
      <c r="G311" s="300"/>
      <c r="H311" s="892"/>
      <c r="I311" s="892"/>
      <c r="J311" s="892"/>
      <c r="K311" s="892"/>
      <c r="L311" s="892"/>
      <c r="M311" s="892"/>
      <c r="N311" s="892"/>
      <c r="O311" s="892"/>
      <c r="P311" s="892"/>
      <c r="Q311" s="892"/>
      <c r="R311" s="892"/>
      <c r="S311" s="892"/>
      <c r="T311" s="892"/>
      <c r="U311" s="892"/>
      <c r="V311" s="892"/>
      <c r="W311" s="893"/>
      <c r="X311" s="893"/>
      <c r="Y311" s="893"/>
      <c r="Z311" s="893"/>
      <c r="AA311" s="893"/>
      <c r="AB311" s="893"/>
      <c r="AC311" s="893"/>
      <c r="AD311" s="893"/>
      <c r="AE311" s="893"/>
      <c r="AF311" s="893"/>
      <c r="AG311" s="893"/>
      <c r="AH311" s="893"/>
      <c r="AI311" s="300"/>
      <c r="AJ311" s="300"/>
      <c r="AK311" s="300"/>
      <c r="AL311" s="300"/>
      <c r="AM311" s="300"/>
      <c r="AN311" s="127"/>
    </row>
    <row r="312" ht="14.25" customHeight="1">
      <c r="A312" s="127"/>
      <c r="B312" s="127"/>
      <c r="C312" s="127"/>
      <c r="D312" s="127"/>
      <c r="E312" s="127"/>
      <c r="F312" s="300"/>
      <c r="G312" s="300"/>
      <c r="H312" s="892"/>
      <c r="I312" s="892"/>
      <c r="J312" s="892"/>
      <c r="K312" s="892"/>
      <c r="L312" s="892"/>
      <c r="M312" s="892"/>
      <c r="N312" s="892"/>
      <c r="O312" s="892"/>
      <c r="P312" s="892"/>
      <c r="Q312" s="892"/>
      <c r="R312" s="892"/>
      <c r="S312" s="892"/>
      <c r="T312" s="892"/>
      <c r="U312" s="892"/>
      <c r="V312" s="892"/>
      <c r="W312" s="893"/>
      <c r="X312" s="893"/>
      <c r="Y312" s="893"/>
      <c r="Z312" s="893"/>
      <c r="AA312" s="893"/>
      <c r="AB312" s="893"/>
      <c r="AC312" s="893"/>
      <c r="AD312" s="893"/>
      <c r="AE312" s="893"/>
      <c r="AF312" s="893"/>
      <c r="AG312" s="893"/>
      <c r="AH312" s="893"/>
      <c r="AI312" s="300"/>
      <c r="AJ312" s="300"/>
      <c r="AK312" s="300"/>
      <c r="AL312" s="300"/>
      <c r="AM312" s="300"/>
      <c r="AN312" s="127"/>
    </row>
    <row r="313" ht="14.25" customHeight="1">
      <c r="A313" s="127"/>
      <c r="B313" s="127"/>
      <c r="C313" s="127"/>
      <c r="D313" s="127"/>
      <c r="E313" s="127"/>
      <c r="F313" s="300"/>
      <c r="G313" s="300"/>
      <c r="H313" s="892"/>
      <c r="I313" s="892"/>
      <c r="J313" s="892"/>
      <c r="K313" s="892"/>
      <c r="L313" s="892"/>
      <c r="M313" s="892"/>
      <c r="N313" s="892"/>
      <c r="O313" s="892"/>
      <c r="P313" s="892"/>
      <c r="Q313" s="892"/>
      <c r="R313" s="892"/>
      <c r="S313" s="892"/>
      <c r="T313" s="892"/>
      <c r="U313" s="892"/>
      <c r="V313" s="892"/>
      <c r="W313" s="893"/>
      <c r="X313" s="893"/>
      <c r="Y313" s="893"/>
      <c r="Z313" s="893"/>
      <c r="AA313" s="893"/>
      <c r="AB313" s="893"/>
      <c r="AC313" s="893"/>
      <c r="AD313" s="893"/>
      <c r="AE313" s="893"/>
      <c r="AF313" s="893"/>
      <c r="AG313" s="893"/>
      <c r="AH313" s="893"/>
      <c r="AI313" s="300"/>
      <c r="AJ313" s="300"/>
      <c r="AK313" s="300"/>
      <c r="AL313" s="300"/>
      <c r="AM313" s="300"/>
      <c r="AN313" s="127"/>
    </row>
    <row r="314" ht="14.25" customHeight="1">
      <c r="A314" s="127"/>
      <c r="B314" s="127"/>
      <c r="C314" s="127"/>
      <c r="D314" s="127"/>
      <c r="E314" s="127"/>
      <c r="F314" s="300"/>
      <c r="G314" s="300"/>
      <c r="H314" s="892"/>
      <c r="I314" s="892"/>
      <c r="J314" s="892"/>
      <c r="K314" s="892"/>
      <c r="L314" s="892"/>
      <c r="M314" s="892"/>
      <c r="N314" s="892"/>
      <c r="O314" s="892"/>
      <c r="P314" s="892"/>
      <c r="Q314" s="892"/>
      <c r="R314" s="892"/>
      <c r="S314" s="892"/>
      <c r="T314" s="892"/>
      <c r="U314" s="892"/>
      <c r="V314" s="892"/>
      <c r="W314" s="893"/>
      <c r="X314" s="893"/>
      <c r="Y314" s="893"/>
      <c r="Z314" s="893"/>
      <c r="AA314" s="893"/>
      <c r="AB314" s="893"/>
      <c r="AC314" s="893"/>
      <c r="AD314" s="893"/>
      <c r="AE314" s="893"/>
      <c r="AF314" s="893"/>
      <c r="AG314" s="893"/>
      <c r="AH314" s="893"/>
      <c r="AI314" s="300"/>
      <c r="AJ314" s="300"/>
      <c r="AK314" s="300"/>
      <c r="AL314" s="300"/>
      <c r="AM314" s="300"/>
      <c r="AN314" s="127"/>
    </row>
    <row r="315" ht="14.25" customHeight="1">
      <c r="A315" s="127"/>
      <c r="B315" s="127"/>
      <c r="C315" s="127"/>
      <c r="D315" s="127"/>
      <c r="E315" s="127"/>
      <c r="F315" s="300"/>
      <c r="G315" s="300"/>
      <c r="H315" s="892"/>
      <c r="I315" s="892"/>
      <c r="J315" s="892"/>
      <c r="K315" s="892"/>
      <c r="L315" s="892"/>
      <c r="M315" s="892"/>
      <c r="N315" s="892"/>
      <c r="O315" s="892"/>
      <c r="P315" s="892"/>
      <c r="Q315" s="892"/>
      <c r="R315" s="892"/>
      <c r="S315" s="892"/>
      <c r="T315" s="892"/>
      <c r="U315" s="892"/>
      <c r="V315" s="892"/>
      <c r="W315" s="893"/>
      <c r="X315" s="893"/>
      <c r="Y315" s="893"/>
      <c r="Z315" s="893"/>
      <c r="AA315" s="893"/>
      <c r="AB315" s="893"/>
      <c r="AC315" s="893"/>
      <c r="AD315" s="893"/>
      <c r="AE315" s="893"/>
      <c r="AF315" s="893"/>
      <c r="AG315" s="893"/>
      <c r="AH315" s="893"/>
      <c r="AI315" s="300"/>
      <c r="AJ315" s="300"/>
      <c r="AK315" s="300"/>
      <c r="AL315" s="300"/>
      <c r="AM315" s="300"/>
      <c r="AN315" s="127"/>
    </row>
    <row r="316" ht="14.25" customHeight="1">
      <c r="A316" s="127"/>
      <c r="B316" s="127"/>
      <c r="C316" s="127"/>
      <c r="D316" s="127"/>
      <c r="E316" s="127"/>
      <c r="F316" s="300"/>
      <c r="G316" s="300"/>
      <c r="H316" s="892"/>
      <c r="I316" s="892"/>
      <c r="J316" s="892"/>
      <c r="K316" s="892"/>
      <c r="L316" s="892"/>
      <c r="M316" s="892"/>
      <c r="N316" s="892"/>
      <c r="O316" s="892"/>
      <c r="P316" s="892"/>
      <c r="Q316" s="892"/>
      <c r="R316" s="892"/>
      <c r="S316" s="892"/>
      <c r="T316" s="892"/>
      <c r="U316" s="892"/>
      <c r="V316" s="892"/>
      <c r="W316" s="893"/>
      <c r="X316" s="893"/>
      <c r="Y316" s="893"/>
      <c r="Z316" s="893"/>
      <c r="AA316" s="893"/>
      <c r="AB316" s="893"/>
      <c r="AC316" s="893"/>
      <c r="AD316" s="893"/>
      <c r="AE316" s="893"/>
      <c r="AF316" s="893"/>
      <c r="AG316" s="893"/>
      <c r="AH316" s="893"/>
      <c r="AI316" s="300"/>
      <c r="AJ316" s="300"/>
      <c r="AK316" s="300"/>
      <c r="AL316" s="300"/>
      <c r="AM316" s="300"/>
      <c r="AN316" s="127"/>
    </row>
    <row r="317" ht="14.25" customHeight="1">
      <c r="A317" s="127"/>
      <c r="B317" s="127"/>
      <c r="C317" s="127"/>
      <c r="D317" s="127"/>
      <c r="E317" s="127"/>
      <c r="F317" s="300"/>
      <c r="G317" s="300"/>
      <c r="H317" s="892"/>
      <c r="I317" s="892"/>
      <c r="J317" s="892"/>
      <c r="K317" s="892"/>
      <c r="L317" s="892"/>
      <c r="M317" s="892"/>
      <c r="N317" s="892"/>
      <c r="O317" s="892"/>
      <c r="P317" s="892"/>
      <c r="Q317" s="892"/>
      <c r="R317" s="892"/>
      <c r="S317" s="892"/>
      <c r="T317" s="892"/>
      <c r="U317" s="892"/>
      <c r="V317" s="892"/>
      <c r="W317" s="893"/>
      <c r="X317" s="893"/>
      <c r="Y317" s="893"/>
      <c r="Z317" s="893"/>
      <c r="AA317" s="893"/>
      <c r="AB317" s="893"/>
      <c r="AC317" s="893"/>
      <c r="AD317" s="893"/>
      <c r="AE317" s="893"/>
      <c r="AF317" s="893"/>
      <c r="AG317" s="893"/>
      <c r="AH317" s="893"/>
      <c r="AI317" s="300"/>
      <c r="AJ317" s="300"/>
      <c r="AK317" s="300"/>
      <c r="AL317" s="300"/>
      <c r="AM317" s="300"/>
      <c r="AN317" s="127"/>
    </row>
    <row r="318" ht="14.25" customHeight="1">
      <c r="A318" s="127"/>
      <c r="B318" s="127"/>
      <c r="C318" s="127"/>
      <c r="D318" s="127"/>
      <c r="E318" s="127"/>
      <c r="F318" s="300"/>
      <c r="G318" s="300"/>
      <c r="H318" s="892"/>
      <c r="I318" s="892"/>
      <c r="J318" s="892"/>
      <c r="K318" s="892"/>
      <c r="L318" s="892"/>
      <c r="M318" s="892"/>
      <c r="N318" s="892"/>
      <c r="O318" s="892"/>
      <c r="P318" s="892"/>
      <c r="Q318" s="892"/>
      <c r="R318" s="892"/>
      <c r="S318" s="892"/>
      <c r="T318" s="892"/>
      <c r="U318" s="892"/>
      <c r="V318" s="892"/>
      <c r="W318" s="893"/>
      <c r="X318" s="893"/>
      <c r="Y318" s="893"/>
      <c r="Z318" s="893"/>
      <c r="AA318" s="893"/>
      <c r="AB318" s="893"/>
      <c r="AC318" s="893"/>
      <c r="AD318" s="893"/>
      <c r="AE318" s="893"/>
      <c r="AF318" s="893"/>
      <c r="AG318" s="893"/>
      <c r="AH318" s="893"/>
      <c r="AI318" s="300"/>
      <c r="AJ318" s="300"/>
      <c r="AK318" s="300"/>
      <c r="AL318" s="300"/>
      <c r="AM318" s="300"/>
      <c r="AN318" s="127"/>
    </row>
    <row r="319" ht="14.25" customHeight="1">
      <c r="A319" s="127"/>
      <c r="B319" s="127"/>
      <c r="C319" s="127"/>
      <c r="D319" s="127"/>
      <c r="E319" s="127"/>
      <c r="F319" s="300"/>
      <c r="G319" s="300"/>
      <c r="H319" s="892"/>
      <c r="I319" s="892"/>
      <c r="J319" s="892"/>
      <c r="K319" s="892"/>
      <c r="L319" s="892"/>
      <c r="M319" s="892"/>
      <c r="N319" s="892"/>
      <c r="O319" s="892"/>
      <c r="P319" s="892"/>
      <c r="Q319" s="892"/>
      <c r="R319" s="892"/>
      <c r="S319" s="892"/>
      <c r="T319" s="892"/>
      <c r="U319" s="892"/>
      <c r="V319" s="892"/>
      <c r="W319" s="893"/>
      <c r="X319" s="893"/>
      <c r="Y319" s="893"/>
      <c r="Z319" s="893"/>
      <c r="AA319" s="893"/>
      <c r="AB319" s="893"/>
      <c r="AC319" s="893"/>
      <c r="AD319" s="893"/>
      <c r="AE319" s="893"/>
      <c r="AF319" s="893"/>
      <c r="AG319" s="893"/>
      <c r="AH319" s="893"/>
      <c r="AI319" s="300"/>
      <c r="AJ319" s="300"/>
      <c r="AK319" s="300"/>
      <c r="AL319" s="300"/>
      <c r="AM319" s="300"/>
      <c r="AN319" s="127"/>
    </row>
    <row r="320" ht="14.25" customHeight="1">
      <c r="A320" s="127"/>
      <c r="B320" s="127"/>
      <c r="C320" s="127"/>
      <c r="D320" s="127"/>
      <c r="E320" s="127"/>
      <c r="F320" s="300"/>
      <c r="G320" s="300"/>
      <c r="H320" s="892"/>
      <c r="I320" s="892"/>
      <c r="J320" s="892"/>
      <c r="K320" s="892"/>
      <c r="L320" s="892"/>
      <c r="M320" s="892"/>
      <c r="N320" s="892"/>
      <c r="O320" s="892"/>
      <c r="P320" s="892"/>
      <c r="Q320" s="892"/>
      <c r="R320" s="892"/>
      <c r="S320" s="892"/>
      <c r="T320" s="892"/>
      <c r="U320" s="892"/>
      <c r="V320" s="892"/>
      <c r="W320" s="893"/>
      <c r="X320" s="893"/>
      <c r="Y320" s="893"/>
      <c r="Z320" s="893"/>
      <c r="AA320" s="893"/>
      <c r="AB320" s="893"/>
      <c r="AC320" s="893"/>
      <c r="AD320" s="893"/>
      <c r="AE320" s="893"/>
      <c r="AF320" s="893"/>
      <c r="AG320" s="893"/>
      <c r="AH320" s="893"/>
      <c r="AI320" s="300"/>
      <c r="AJ320" s="300"/>
      <c r="AK320" s="300"/>
      <c r="AL320" s="300"/>
      <c r="AM320" s="300"/>
      <c r="AN320" s="127"/>
    </row>
    <row r="321" ht="14.25" customHeight="1">
      <c r="A321" s="127"/>
      <c r="B321" s="127"/>
      <c r="C321" s="127"/>
      <c r="D321" s="127"/>
      <c r="E321" s="127"/>
      <c r="F321" s="300"/>
      <c r="G321" s="300"/>
      <c r="H321" s="892"/>
      <c r="I321" s="892"/>
      <c r="J321" s="892"/>
      <c r="K321" s="892"/>
      <c r="L321" s="892"/>
      <c r="M321" s="892"/>
      <c r="N321" s="892"/>
      <c r="O321" s="892"/>
      <c r="P321" s="892"/>
      <c r="Q321" s="892"/>
      <c r="R321" s="892"/>
      <c r="S321" s="892"/>
      <c r="T321" s="892"/>
      <c r="U321" s="892"/>
      <c r="V321" s="892"/>
      <c r="W321" s="893"/>
      <c r="X321" s="893"/>
      <c r="Y321" s="893"/>
      <c r="Z321" s="893"/>
      <c r="AA321" s="893"/>
      <c r="AB321" s="893"/>
      <c r="AC321" s="893"/>
      <c r="AD321" s="893"/>
      <c r="AE321" s="893"/>
      <c r="AF321" s="893"/>
      <c r="AG321" s="893"/>
      <c r="AH321" s="893"/>
      <c r="AI321" s="300"/>
      <c r="AJ321" s="300"/>
      <c r="AK321" s="300"/>
      <c r="AL321" s="300"/>
      <c r="AM321" s="300"/>
      <c r="AN321" s="127"/>
    </row>
    <row r="322" ht="14.25" customHeight="1">
      <c r="A322" s="127"/>
      <c r="B322" s="127"/>
      <c r="C322" s="127"/>
      <c r="D322" s="127"/>
      <c r="E322" s="127"/>
      <c r="F322" s="300"/>
      <c r="G322" s="300"/>
      <c r="H322" s="892"/>
      <c r="I322" s="892"/>
      <c r="J322" s="892"/>
      <c r="K322" s="892"/>
      <c r="L322" s="892"/>
      <c r="M322" s="892"/>
      <c r="N322" s="892"/>
      <c r="O322" s="892"/>
      <c r="P322" s="892"/>
      <c r="Q322" s="892"/>
      <c r="R322" s="892"/>
      <c r="S322" s="892"/>
      <c r="T322" s="892"/>
      <c r="U322" s="892"/>
      <c r="V322" s="892"/>
      <c r="W322" s="893"/>
      <c r="X322" s="893"/>
      <c r="Y322" s="893"/>
      <c r="Z322" s="893"/>
      <c r="AA322" s="893"/>
      <c r="AB322" s="893"/>
      <c r="AC322" s="893"/>
      <c r="AD322" s="893"/>
      <c r="AE322" s="893"/>
      <c r="AF322" s="893"/>
      <c r="AG322" s="893"/>
      <c r="AH322" s="893"/>
      <c r="AI322" s="300"/>
      <c r="AJ322" s="300"/>
      <c r="AK322" s="300"/>
      <c r="AL322" s="300"/>
      <c r="AM322" s="300"/>
      <c r="AN322" s="127"/>
    </row>
    <row r="323" ht="14.25" customHeight="1">
      <c r="A323" s="127"/>
      <c r="B323" s="127"/>
      <c r="C323" s="127"/>
      <c r="D323" s="127"/>
      <c r="E323" s="127"/>
      <c r="F323" s="300"/>
      <c r="G323" s="300"/>
      <c r="H323" s="892"/>
      <c r="I323" s="892"/>
      <c r="J323" s="892"/>
      <c r="K323" s="892"/>
      <c r="L323" s="892"/>
      <c r="M323" s="892"/>
      <c r="N323" s="892"/>
      <c r="O323" s="892"/>
      <c r="P323" s="892"/>
      <c r="Q323" s="892"/>
      <c r="R323" s="892"/>
      <c r="S323" s="892"/>
      <c r="T323" s="892"/>
      <c r="U323" s="892"/>
      <c r="V323" s="892"/>
      <c r="W323" s="893"/>
      <c r="X323" s="893"/>
      <c r="Y323" s="893"/>
      <c r="Z323" s="893"/>
      <c r="AA323" s="893"/>
      <c r="AB323" s="893"/>
      <c r="AC323" s="893"/>
      <c r="AD323" s="893"/>
      <c r="AE323" s="893"/>
      <c r="AF323" s="893"/>
      <c r="AG323" s="893"/>
      <c r="AH323" s="893"/>
      <c r="AI323" s="300"/>
      <c r="AJ323" s="300"/>
      <c r="AK323" s="300"/>
      <c r="AL323" s="300"/>
      <c r="AM323" s="300"/>
      <c r="AN323" s="127"/>
    </row>
    <row r="324" ht="14.25" customHeight="1">
      <c r="A324" s="127"/>
      <c r="B324" s="127"/>
      <c r="C324" s="127"/>
      <c r="D324" s="127"/>
      <c r="E324" s="127"/>
      <c r="F324" s="300"/>
      <c r="G324" s="300"/>
      <c r="H324" s="892"/>
      <c r="I324" s="892"/>
      <c r="J324" s="892"/>
      <c r="K324" s="892"/>
      <c r="L324" s="892"/>
      <c r="M324" s="892"/>
      <c r="N324" s="892"/>
      <c r="O324" s="892"/>
      <c r="P324" s="892"/>
      <c r="Q324" s="892"/>
      <c r="R324" s="892"/>
      <c r="S324" s="892"/>
      <c r="T324" s="892"/>
      <c r="U324" s="892"/>
      <c r="V324" s="892"/>
      <c r="W324" s="893"/>
      <c r="X324" s="893"/>
      <c r="Y324" s="893"/>
      <c r="Z324" s="893"/>
      <c r="AA324" s="893"/>
      <c r="AB324" s="893"/>
      <c r="AC324" s="893"/>
      <c r="AD324" s="893"/>
      <c r="AE324" s="893"/>
      <c r="AF324" s="893"/>
      <c r="AG324" s="893"/>
      <c r="AH324" s="893"/>
      <c r="AI324" s="300"/>
      <c r="AJ324" s="300"/>
      <c r="AK324" s="300"/>
      <c r="AL324" s="300"/>
      <c r="AM324" s="300"/>
      <c r="AN324" s="127"/>
    </row>
    <row r="325" ht="14.25" customHeight="1">
      <c r="A325" s="127"/>
      <c r="B325" s="127"/>
      <c r="C325" s="127"/>
      <c r="D325" s="127"/>
      <c r="E325" s="127"/>
      <c r="F325" s="300"/>
      <c r="G325" s="300"/>
      <c r="H325" s="892"/>
      <c r="I325" s="892"/>
      <c r="J325" s="892"/>
      <c r="K325" s="892"/>
      <c r="L325" s="892"/>
      <c r="M325" s="892"/>
      <c r="N325" s="892"/>
      <c r="O325" s="892"/>
      <c r="P325" s="892"/>
      <c r="Q325" s="892"/>
      <c r="R325" s="892"/>
      <c r="S325" s="892"/>
      <c r="T325" s="892"/>
      <c r="U325" s="892"/>
      <c r="V325" s="892"/>
      <c r="W325" s="893"/>
      <c r="X325" s="893"/>
      <c r="Y325" s="893"/>
      <c r="Z325" s="893"/>
      <c r="AA325" s="893"/>
      <c r="AB325" s="893"/>
      <c r="AC325" s="893"/>
      <c r="AD325" s="893"/>
      <c r="AE325" s="893"/>
      <c r="AF325" s="893"/>
      <c r="AG325" s="893"/>
      <c r="AH325" s="893"/>
      <c r="AI325" s="300"/>
      <c r="AJ325" s="300"/>
      <c r="AK325" s="300"/>
      <c r="AL325" s="300"/>
      <c r="AM325" s="300"/>
      <c r="AN325" s="127"/>
    </row>
    <row r="326" ht="14.25" customHeight="1">
      <c r="A326" s="127"/>
      <c r="B326" s="127"/>
      <c r="C326" s="127"/>
      <c r="D326" s="127"/>
      <c r="E326" s="127"/>
      <c r="F326" s="300"/>
      <c r="G326" s="300"/>
      <c r="H326" s="892"/>
      <c r="I326" s="892"/>
      <c r="J326" s="892"/>
      <c r="K326" s="892"/>
      <c r="L326" s="892"/>
      <c r="M326" s="892"/>
      <c r="N326" s="892"/>
      <c r="O326" s="892"/>
      <c r="P326" s="892"/>
      <c r="Q326" s="892"/>
      <c r="R326" s="892"/>
      <c r="S326" s="892"/>
      <c r="T326" s="892"/>
      <c r="U326" s="892"/>
      <c r="V326" s="892"/>
      <c r="W326" s="893"/>
      <c r="X326" s="893"/>
      <c r="Y326" s="893"/>
      <c r="Z326" s="893"/>
      <c r="AA326" s="893"/>
      <c r="AB326" s="893"/>
      <c r="AC326" s="893"/>
      <c r="AD326" s="893"/>
      <c r="AE326" s="893"/>
      <c r="AF326" s="893"/>
      <c r="AG326" s="893"/>
      <c r="AH326" s="893"/>
      <c r="AI326" s="300"/>
      <c r="AJ326" s="300"/>
      <c r="AK326" s="300"/>
      <c r="AL326" s="300"/>
      <c r="AM326" s="300"/>
      <c r="AN326" s="127"/>
    </row>
    <row r="327" ht="14.25" customHeight="1">
      <c r="A327" s="127"/>
      <c r="B327" s="127"/>
      <c r="C327" s="127"/>
      <c r="D327" s="127"/>
      <c r="E327" s="127"/>
      <c r="F327" s="300"/>
      <c r="G327" s="300"/>
      <c r="H327" s="892"/>
      <c r="I327" s="892"/>
      <c r="J327" s="892"/>
      <c r="K327" s="892"/>
      <c r="L327" s="892"/>
      <c r="M327" s="892"/>
      <c r="N327" s="892"/>
      <c r="O327" s="892"/>
      <c r="P327" s="892"/>
      <c r="Q327" s="892"/>
      <c r="R327" s="892"/>
      <c r="S327" s="892"/>
      <c r="T327" s="892"/>
      <c r="U327" s="892"/>
      <c r="V327" s="892"/>
      <c r="W327" s="893"/>
      <c r="X327" s="893"/>
      <c r="Y327" s="893"/>
      <c r="Z327" s="893"/>
      <c r="AA327" s="893"/>
      <c r="AB327" s="893"/>
      <c r="AC327" s="893"/>
      <c r="AD327" s="893"/>
      <c r="AE327" s="893"/>
      <c r="AF327" s="893"/>
      <c r="AG327" s="893"/>
      <c r="AH327" s="893"/>
      <c r="AI327" s="300"/>
      <c r="AJ327" s="300"/>
      <c r="AK327" s="300"/>
      <c r="AL327" s="300"/>
      <c r="AM327" s="300"/>
      <c r="AN327" s="127"/>
    </row>
    <row r="328" ht="14.25" customHeight="1">
      <c r="A328" s="127"/>
      <c r="B328" s="127"/>
      <c r="C328" s="127"/>
      <c r="D328" s="127"/>
      <c r="E328" s="127"/>
      <c r="F328" s="300"/>
      <c r="G328" s="300"/>
      <c r="H328" s="892"/>
      <c r="I328" s="892"/>
      <c r="J328" s="892"/>
      <c r="K328" s="892"/>
      <c r="L328" s="892"/>
      <c r="M328" s="892"/>
      <c r="N328" s="892"/>
      <c r="O328" s="892"/>
      <c r="P328" s="892"/>
      <c r="Q328" s="892"/>
      <c r="R328" s="892"/>
      <c r="S328" s="892"/>
      <c r="T328" s="892"/>
      <c r="U328" s="892"/>
      <c r="V328" s="892"/>
      <c r="W328" s="893"/>
      <c r="X328" s="893"/>
      <c r="Y328" s="893"/>
      <c r="Z328" s="893"/>
      <c r="AA328" s="893"/>
      <c r="AB328" s="893"/>
      <c r="AC328" s="893"/>
      <c r="AD328" s="893"/>
      <c r="AE328" s="893"/>
      <c r="AF328" s="893"/>
      <c r="AG328" s="893"/>
      <c r="AH328" s="893"/>
      <c r="AI328" s="300"/>
      <c r="AJ328" s="300"/>
      <c r="AK328" s="300"/>
      <c r="AL328" s="300"/>
      <c r="AM328" s="300"/>
      <c r="AN328" s="127"/>
    </row>
    <row r="329" ht="14.25" customHeight="1">
      <c r="A329" s="127"/>
      <c r="B329" s="127"/>
      <c r="C329" s="127"/>
      <c r="D329" s="127"/>
      <c r="E329" s="127"/>
      <c r="F329" s="300"/>
      <c r="G329" s="300"/>
      <c r="H329" s="892"/>
      <c r="I329" s="892"/>
      <c r="J329" s="892"/>
      <c r="K329" s="892"/>
      <c r="L329" s="892"/>
      <c r="M329" s="892"/>
      <c r="N329" s="892"/>
      <c r="O329" s="892"/>
      <c r="P329" s="892"/>
      <c r="Q329" s="892"/>
      <c r="R329" s="892"/>
      <c r="S329" s="892"/>
      <c r="T329" s="892"/>
      <c r="U329" s="892"/>
      <c r="V329" s="892"/>
      <c r="W329" s="893"/>
      <c r="X329" s="893"/>
      <c r="Y329" s="893"/>
      <c r="Z329" s="893"/>
      <c r="AA329" s="893"/>
      <c r="AB329" s="893"/>
      <c r="AC329" s="893"/>
      <c r="AD329" s="893"/>
      <c r="AE329" s="893"/>
      <c r="AF329" s="893"/>
      <c r="AG329" s="893"/>
      <c r="AH329" s="893"/>
      <c r="AI329" s="300"/>
      <c r="AJ329" s="300"/>
      <c r="AK329" s="300"/>
      <c r="AL329" s="300"/>
      <c r="AM329" s="300"/>
      <c r="AN329" s="127"/>
    </row>
    <row r="330" ht="14.25" customHeight="1">
      <c r="A330" s="127"/>
      <c r="B330" s="127"/>
      <c r="C330" s="127"/>
      <c r="D330" s="127"/>
      <c r="E330" s="127"/>
      <c r="F330" s="300"/>
      <c r="G330" s="300"/>
      <c r="H330" s="892"/>
      <c r="I330" s="892"/>
      <c r="J330" s="892"/>
      <c r="K330" s="892"/>
      <c r="L330" s="892"/>
      <c r="M330" s="892"/>
      <c r="N330" s="892"/>
      <c r="O330" s="892"/>
      <c r="P330" s="892"/>
      <c r="Q330" s="892"/>
      <c r="R330" s="892"/>
      <c r="S330" s="892"/>
      <c r="T330" s="892"/>
      <c r="U330" s="892"/>
      <c r="V330" s="892"/>
      <c r="W330" s="893"/>
      <c r="X330" s="893"/>
      <c r="Y330" s="893"/>
      <c r="Z330" s="893"/>
      <c r="AA330" s="893"/>
      <c r="AB330" s="893"/>
      <c r="AC330" s="893"/>
      <c r="AD330" s="893"/>
      <c r="AE330" s="893"/>
      <c r="AF330" s="893"/>
      <c r="AG330" s="893"/>
      <c r="AH330" s="893"/>
      <c r="AI330" s="300"/>
      <c r="AJ330" s="300"/>
      <c r="AK330" s="300"/>
      <c r="AL330" s="300"/>
      <c r="AM330" s="300"/>
      <c r="AN330" s="127"/>
    </row>
    <row r="331" ht="14.25" customHeight="1">
      <c r="A331" s="127"/>
      <c r="B331" s="127"/>
      <c r="C331" s="127"/>
      <c r="D331" s="127"/>
      <c r="E331" s="127"/>
      <c r="F331" s="300"/>
      <c r="G331" s="300"/>
      <c r="H331" s="892"/>
      <c r="I331" s="892"/>
      <c r="J331" s="892"/>
      <c r="K331" s="892"/>
      <c r="L331" s="892"/>
      <c r="M331" s="892"/>
      <c r="N331" s="892"/>
      <c r="O331" s="892"/>
      <c r="P331" s="892"/>
      <c r="Q331" s="892"/>
      <c r="R331" s="892"/>
      <c r="S331" s="892"/>
      <c r="T331" s="892"/>
      <c r="U331" s="892"/>
      <c r="V331" s="892"/>
      <c r="W331" s="893"/>
      <c r="X331" s="893"/>
      <c r="Y331" s="893"/>
      <c r="Z331" s="893"/>
      <c r="AA331" s="893"/>
      <c r="AB331" s="893"/>
      <c r="AC331" s="893"/>
      <c r="AD331" s="893"/>
      <c r="AE331" s="893"/>
      <c r="AF331" s="893"/>
      <c r="AG331" s="893"/>
      <c r="AH331" s="893"/>
      <c r="AI331" s="300"/>
      <c r="AJ331" s="300"/>
      <c r="AK331" s="300"/>
      <c r="AL331" s="300"/>
      <c r="AM331" s="300"/>
      <c r="AN331" s="127"/>
    </row>
    <row r="332" ht="14.25" customHeight="1">
      <c r="A332" s="127"/>
      <c r="B332" s="127"/>
      <c r="C332" s="127"/>
      <c r="D332" s="127"/>
      <c r="E332" s="127"/>
      <c r="F332" s="300"/>
      <c r="G332" s="300"/>
      <c r="H332" s="892"/>
      <c r="I332" s="892"/>
      <c r="J332" s="892"/>
      <c r="K332" s="892"/>
      <c r="L332" s="892"/>
      <c r="M332" s="892"/>
      <c r="N332" s="892"/>
      <c r="O332" s="892"/>
      <c r="P332" s="892"/>
      <c r="Q332" s="892"/>
      <c r="R332" s="892"/>
      <c r="S332" s="892"/>
      <c r="T332" s="892"/>
      <c r="U332" s="892"/>
      <c r="V332" s="892"/>
      <c r="W332" s="893"/>
      <c r="X332" s="893"/>
      <c r="Y332" s="893"/>
      <c r="Z332" s="893"/>
      <c r="AA332" s="893"/>
      <c r="AB332" s="893"/>
      <c r="AC332" s="893"/>
      <c r="AD332" s="893"/>
      <c r="AE332" s="893"/>
      <c r="AF332" s="893"/>
      <c r="AG332" s="893"/>
      <c r="AH332" s="893"/>
      <c r="AI332" s="300"/>
      <c r="AJ332" s="300"/>
      <c r="AK332" s="300"/>
      <c r="AL332" s="300"/>
      <c r="AM332" s="300"/>
      <c r="AN332" s="127"/>
    </row>
    <row r="333" ht="14.25" customHeight="1">
      <c r="A333" s="127"/>
      <c r="B333" s="127"/>
      <c r="C333" s="127"/>
      <c r="D333" s="127"/>
      <c r="E333" s="127"/>
      <c r="F333" s="300"/>
      <c r="G333" s="300"/>
      <c r="H333" s="892"/>
      <c r="I333" s="892"/>
      <c r="J333" s="892"/>
      <c r="K333" s="892"/>
      <c r="L333" s="892"/>
      <c r="M333" s="892"/>
      <c r="N333" s="892"/>
      <c r="O333" s="892"/>
      <c r="P333" s="892"/>
      <c r="Q333" s="892"/>
      <c r="R333" s="892"/>
      <c r="S333" s="892"/>
      <c r="T333" s="892"/>
      <c r="U333" s="892"/>
      <c r="V333" s="892"/>
      <c r="W333" s="893"/>
      <c r="X333" s="893"/>
      <c r="Y333" s="893"/>
      <c r="Z333" s="893"/>
      <c r="AA333" s="893"/>
      <c r="AB333" s="893"/>
      <c r="AC333" s="893"/>
      <c r="AD333" s="893"/>
      <c r="AE333" s="893"/>
      <c r="AF333" s="893"/>
      <c r="AG333" s="893"/>
      <c r="AH333" s="893"/>
      <c r="AI333" s="300"/>
      <c r="AJ333" s="300"/>
      <c r="AK333" s="300"/>
      <c r="AL333" s="300"/>
      <c r="AM333" s="300"/>
      <c r="AN333" s="127"/>
    </row>
    <row r="334" ht="14.25" customHeight="1">
      <c r="A334" s="127"/>
      <c r="B334" s="127"/>
      <c r="C334" s="127"/>
      <c r="D334" s="127"/>
      <c r="E334" s="127"/>
      <c r="F334" s="300"/>
      <c r="G334" s="300"/>
      <c r="H334" s="892"/>
      <c r="I334" s="892"/>
      <c r="J334" s="892"/>
      <c r="K334" s="892"/>
      <c r="L334" s="892"/>
      <c r="M334" s="892"/>
      <c r="N334" s="892"/>
      <c r="O334" s="892"/>
      <c r="P334" s="892"/>
      <c r="Q334" s="892"/>
      <c r="R334" s="892"/>
      <c r="S334" s="892"/>
      <c r="T334" s="892"/>
      <c r="U334" s="892"/>
      <c r="V334" s="892"/>
      <c r="W334" s="893"/>
      <c r="X334" s="893"/>
      <c r="Y334" s="893"/>
      <c r="Z334" s="893"/>
      <c r="AA334" s="893"/>
      <c r="AB334" s="893"/>
      <c r="AC334" s="893"/>
      <c r="AD334" s="893"/>
      <c r="AE334" s="893"/>
      <c r="AF334" s="893"/>
      <c r="AG334" s="893"/>
      <c r="AH334" s="893"/>
      <c r="AI334" s="300"/>
      <c r="AJ334" s="300"/>
      <c r="AK334" s="300"/>
      <c r="AL334" s="300"/>
      <c r="AM334" s="300"/>
      <c r="AN334" s="127"/>
    </row>
    <row r="335" ht="14.25" customHeight="1">
      <c r="A335" s="127"/>
      <c r="B335" s="127"/>
      <c r="C335" s="127"/>
      <c r="D335" s="127"/>
      <c r="E335" s="127"/>
      <c r="F335" s="300"/>
      <c r="G335" s="300"/>
      <c r="H335" s="892"/>
      <c r="I335" s="892"/>
      <c r="J335" s="892"/>
      <c r="K335" s="892"/>
      <c r="L335" s="892"/>
      <c r="M335" s="892"/>
      <c r="N335" s="892"/>
      <c r="O335" s="892"/>
      <c r="P335" s="892"/>
      <c r="Q335" s="892"/>
      <c r="R335" s="892"/>
      <c r="S335" s="892"/>
      <c r="T335" s="892"/>
      <c r="U335" s="892"/>
      <c r="V335" s="892"/>
      <c r="W335" s="893"/>
      <c r="X335" s="893"/>
      <c r="Y335" s="893"/>
      <c r="Z335" s="893"/>
      <c r="AA335" s="893"/>
      <c r="AB335" s="893"/>
      <c r="AC335" s="893"/>
      <c r="AD335" s="893"/>
      <c r="AE335" s="893"/>
      <c r="AF335" s="893"/>
      <c r="AG335" s="893"/>
      <c r="AH335" s="893"/>
      <c r="AI335" s="300"/>
      <c r="AJ335" s="300"/>
      <c r="AK335" s="300"/>
      <c r="AL335" s="300"/>
      <c r="AM335" s="300"/>
      <c r="AN335" s="127"/>
    </row>
    <row r="336" ht="14.25" customHeight="1">
      <c r="A336" s="127"/>
      <c r="B336" s="127"/>
      <c r="C336" s="127"/>
      <c r="D336" s="127"/>
      <c r="E336" s="127"/>
      <c r="F336" s="300"/>
      <c r="G336" s="300"/>
      <c r="H336" s="892"/>
      <c r="I336" s="892"/>
      <c r="J336" s="892"/>
      <c r="K336" s="892"/>
      <c r="L336" s="892"/>
      <c r="M336" s="892"/>
      <c r="N336" s="892"/>
      <c r="O336" s="892"/>
      <c r="P336" s="892"/>
      <c r="Q336" s="892"/>
      <c r="R336" s="892"/>
      <c r="S336" s="892"/>
      <c r="T336" s="892"/>
      <c r="U336" s="892"/>
      <c r="V336" s="892"/>
      <c r="W336" s="893"/>
      <c r="X336" s="893"/>
      <c r="Y336" s="893"/>
      <c r="Z336" s="893"/>
      <c r="AA336" s="893"/>
      <c r="AB336" s="893"/>
      <c r="AC336" s="893"/>
      <c r="AD336" s="893"/>
      <c r="AE336" s="893"/>
      <c r="AF336" s="893"/>
      <c r="AG336" s="893"/>
      <c r="AH336" s="893"/>
      <c r="AI336" s="300"/>
      <c r="AJ336" s="300"/>
      <c r="AK336" s="300"/>
      <c r="AL336" s="300"/>
      <c r="AM336" s="300"/>
      <c r="AN336" s="127"/>
    </row>
    <row r="337" ht="14.25" customHeight="1">
      <c r="A337" s="127"/>
      <c r="B337" s="127"/>
      <c r="C337" s="127"/>
      <c r="D337" s="127"/>
      <c r="E337" s="127"/>
      <c r="F337" s="300"/>
      <c r="G337" s="300"/>
      <c r="H337" s="892"/>
      <c r="I337" s="892"/>
      <c r="J337" s="892"/>
      <c r="K337" s="892"/>
      <c r="L337" s="892"/>
      <c r="M337" s="892"/>
      <c r="N337" s="892"/>
      <c r="O337" s="892"/>
      <c r="P337" s="892"/>
      <c r="Q337" s="892"/>
      <c r="R337" s="892"/>
      <c r="S337" s="892"/>
      <c r="T337" s="892"/>
      <c r="U337" s="892"/>
      <c r="V337" s="892"/>
      <c r="W337" s="893"/>
      <c r="X337" s="893"/>
      <c r="Y337" s="893"/>
      <c r="Z337" s="893"/>
      <c r="AA337" s="893"/>
      <c r="AB337" s="893"/>
      <c r="AC337" s="893"/>
      <c r="AD337" s="893"/>
      <c r="AE337" s="893"/>
      <c r="AF337" s="893"/>
      <c r="AG337" s="893"/>
      <c r="AH337" s="893"/>
      <c r="AI337" s="300"/>
      <c r="AJ337" s="300"/>
      <c r="AK337" s="300"/>
      <c r="AL337" s="300"/>
      <c r="AM337" s="300"/>
      <c r="AN337" s="127"/>
    </row>
    <row r="338" ht="14.25" customHeight="1">
      <c r="A338" s="127"/>
      <c r="B338" s="127"/>
      <c r="C338" s="127"/>
      <c r="D338" s="127"/>
      <c r="E338" s="127"/>
      <c r="F338" s="300"/>
      <c r="G338" s="300"/>
      <c r="H338" s="892"/>
      <c r="I338" s="892"/>
      <c r="J338" s="892"/>
      <c r="K338" s="892"/>
      <c r="L338" s="892"/>
      <c r="M338" s="892"/>
      <c r="N338" s="892"/>
      <c r="O338" s="892"/>
      <c r="P338" s="892"/>
      <c r="Q338" s="892"/>
      <c r="R338" s="892"/>
      <c r="S338" s="892"/>
      <c r="T338" s="892"/>
      <c r="U338" s="892"/>
      <c r="V338" s="892"/>
      <c r="W338" s="893"/>
      <c r="X338" s="893"/>
      <c r="Y338" s="893"/>
      <c r="Z338" s="893"/>
      <c r="AA338" s="893"/>
      <c r="AB338" s="893"/>
      <c r="AC338" s="893"/>
      <c r="AD338" s="893"/>
      <c r="AE338" s="893"/>
      <c r="AF338" s="893"/>
      <c r="AG338" s="893"/>
      <c r="AH338" s="893"/>
      <c r="AI338" s="300"/>
      <c r="AJ338" s="300"/>
      <c r="AK338" s="300"/>
      <c r="AL338" s="300"/>
      <c r="AM338" s="300"/>
      <c r="AN338" s="127"/>
    </row>
    <row r="339" ht="14.25" customHeight="1">
      <c r="A339" s="127"/>
      <c r="B339" s="127"/>
      <c r="C339" s="127"/>
      <c r="D339" s="127"/>
      <c r="E339" s="127"/>
      <c r="F339" s="300"/>
      <c r="G339" s="300"/>
      <c r="H339" s="892"/>
      <c r="I339" s="892"/>
      <c r="J339" s="892"/>
      <c r="K339" s="892"/>
      <c r="L339" s="892"/>
      <c r="M339" s="892"/>
      <c r="N339" s="892"/>
      <c r="O339" s="892"/>
      <c r="P339" s="892"/>
      <c r="Q339" s="892"/>
      <c r="R339" s="892"/>
      <c r="S339" s="892"/>
      <c r="T339" s="892"/>
      <c r="U339" s="892"/>
      <c r="V339" s="892"/>
      <c r="W339" s="893"/>
      <c r="X339" s="893"/>
      <c r="Y339" s="893"/>
      <c r="Z339" s="893"/>
      <c r="AA339" s="893"/>
      <c r="AB339" s="893"/>
      <c r="AC339" s="893"/>
      <c r="AD339" s="893"/>
      <c r="AE339" s="893"/>
      <c r="AF339" s="893"/>
      <c r="AG339" s="893"/>
      <c r="AH339" s="893"/>
      <c r="AI339" s="300"/>
      <c r="AJ339" s="300"/>
      <c r="AK339" s="300"/>
      <c r="AL339" s="300"/>
      <c r="AM339" s="300"/>
      <c r="AN339" s="127"/>
    </row>
    <row r="340" ht="14.25" customHeight="1">
      <c r="A340" s="127"/>
      <c r="B340" s="127"/>
      <c r="C340" s="127"/>
      <c r="D340" s="127"/>
      <c r="E340" s="127"/>
      <c r="F340" s="300"/>
      <c r="G340" s="300"/>
      <c r="H340" s="892"/>
      <c r="I340" s="892"/>
      <c r="J340" s="892"/>
      <c r="K340" s="892"/>
      <c r="L340" s="892"/>
      <c r="M340" s="892"/>
      <c r="N340" s="892"/>
      <c r="O340" s="892"/>
      <c r="P340" s="892"/>
      <c r="Q340" s="892"/>
      <c r="R340" s="892"/>
      <c r="S340" s="892"/>
      <c r="T340" s="892"/>
      <c r="U340" s="892"/>
      <c r="V340" s="892"/>
      <c r="W340" s="893"/>
      <c r="X340" s="893"/>
      <c r="Y340" s="893"/>
      <c r="Z340" s="893"/>
      <c r="AA340" s="893"/>
      <c r="AB340" s="893"/>
      <c r="AC340" s="893"/>
      <c r="AD340" s="893"/>
      <c r="AE340" s="893"/>
      <c r="AF340" s="893"/>
      <c r="AG340" s="893"/>
      <c r="AH340" s="893"/>
      <c r="AI340" s="300"/>
      <c r="AJ340" s="300"/>
      <c r="AK340" s="300"/>
      <c r="AL340" s="300"/>
      <c r="AM340" s="300"/>
      <c r="AN340" s="127"/>
    </row>
    <row r="341" ht="14.25" customHeight="1">
      <c r="A341" s="127"/>
      <c r="B341" s="127"/>
      <c r="C341" s="127"/>
      <c r="D341" s="127"/>
      <c r="E341" s="127"/>
      <c r="F341" s="300"/>
      <c r="G341" s="300"/>
      <c r="H341" s="892"/>
      <c r="I341" s="892"/>
      <c r="J341" s="892"/>
      <c r="K341" s="892"/>
      <c r="L341" s="892"/>
      <c r="M341" s="892"/>
      <c r="N341" s="892"/>
      <c r="O341" s="892"/>
      <c r="P341" s="892"/>
      <c r="Q341" s="892"/>
      <c r="R341" s="892"/>
      <c r="S341" s="892"/>
      <c r="T341" s="892"/>
      <c r="U341" s="892"/>
      <c r="V341" s="892"/>
      <c r="W341" s="893"/>
      <c r="X341" s="893"/>
      <c r="Y341" s="893"/>
      <c r="Z341" s="893"/>
      <c r="AA341" s="893"/>
      <c r="AB341" s="893"/>
      <c r="AC341" s="893"/>
      <c r="AD341" s="893"/>
      <c r="AE341" s="893"/>
      <c r="AF341" s="893"/>
      <c r="AG341" s="893"/>
      <c r="AH341" s="893"/>
      <c r="AI341" s="300"/>
      <c r="AJ341" s="300"/>
      <c r="AK341" s="300"/>
      <c r="AL341" s="300"/>
      <c r="AM341" s="300"/>
      <c r="AN341" s="127"/>
    </row>
    <row r="342" ht="14.25" customHeight="1">
      <c r="A342" s="127"/>
      <c r="B342" s="127"/>
      <c r="C342" s="127"/>
      <c r="D342" s="127"/>
      <c r="E342" s="127"/>
      <c r="F342" s="300"/>
      <c r="G342" s="300"/>
      <c r="H342" s="892"/>
      <c r="I342" s="892"/>
      <c r="J342" s="892"/>
      <c r="K342" s="892"/>
      <c r="L342" s="892"/>
      <c r="M342" s="892"/>
      <c r="N342" s="892"/>
      <c r="O342" s="892"/>
      <c r="P342" s="892"/>
      <c r="Q342" s="892"/>
      <c r="R342" s="892"/>
      <c r="S342" s="892"/>
      <c r="T342" s="892"/>
      <c r="U342" s="892"/>
      <c r="V342" s="892"/>
      <c r="W342" s="893"/>
      <c r="X342" s="893"/>
      <c r="Y342" s="893"/>
      <c r="Z342" s="893"/>
      <c r="AA342" s="893"/>
      <c r="AB342" s="893"/>
      <c r="AC342" s="893"/>
      <c r="AD342" s="893"/>
      <c r="AE342" s="893"/>
      <c r="AF342" s="893"/>
      <c r="AG342" s="893"/>
      <c r="AH342" s="893"/>
      <c r="AI342" s="300"/>
      <c r="AJ342" s="300"/>
      <c r="AK342" s="300"/>
      <c r="AL342" s="300"/>
      <c r="AM342" s="300"/>
      <c r="AN342" s="127"/>
    </row>
    <row r="343" ht="14.25" customHeight="1">
      <c r="A343" s="127"/>
      <c r="B343" s="127"/>
      <c r="C343" s="127"/>
      <c r="D343" s="127"/>
      <c r="E343" s="127"/>
      <c r="F343" s="300"/>
      <c r="G343" s="300"/>
      <c r="H343" s="892"/>
      <c r="I343" s="892"/>
      <c r="J343" s="892"/>
      <c r="K343" s="892"/>
      <c r="L343" s="892"/>
      <c r="M343" s="892"/>
      <c r="N343" s="892"/>
      <c r="O343" s="892"/>
      <c r="P343" s="892"/>
      <c r="Q343" s="892"/>
      <c r="R343" s="892"/>
      <c r="S343" s="892"/>
      <c r="T343" s="892"/>
      <c r="U343" s="892"/>
      <c r="V343" s="892"/>
      <c r="W343" s="893"/>
      <c r="X343" s="893"/>
      <c r="Y343" s="893"/>
      <c r="Z343" s="893"/>
      <c r="AA343" s="893"/>
      <c r="AB343" s="893"/>
      <c r="AC343" s="893"/>
      <c r="AD343" s="893"/>
      <c r="AE343" s="893"/>
      <c r="AF343" s="893"/>
      <c r="AG343" s="893"/>
      <c r="AH343" s="893"/>
      <c r="AI343" s="300"/>
      <c r="AJ343" s="300"/>
      <c r="AK343" s="300"/>
      <c r="AL343" s="300"/>
      <c r="AM343" s="300"/>
      <c r="AN343" s="127"/>
    </row>
    <row r="344" ht="14.25" customHeight="1">
      <c r="A344" s="127"/>
      <c r="B344" s="127"/>
      <c r="C344" s="127"/>
      <c r="D344" s="127"/>
      <c r="E344" s="127"/>
      <c r="F344" s="300"/>
      <c r="G344" s="300"/>
      <c r="H344" s="892"/>
      <c r="I344" s="892"/>
      <c r="J344" s="892"/>
      <c r="K344" s="892"/>
      <c r="L344" s="892"/>
      <c r="M344" s="892"/>
      <c r="N344" s="892"/>
      <c r="O344" s="892"/>
      <c r="P344" s="892"/>
      <c r="Q344" s="892"/>
      <c r="R344" s="892"/>
      <c r="S344" s="892"/>
      <c r="T344" s="892"/>
      <c r="U344" s="892"/>
      <c r="V344" s="892"/>
      <c r="W344" s="893"/>
      <c r="X344" s="893"/>
      <c r="Y344" s="893"/>
      <c r="Z344" s="893"/>
      <c r="AA344" s="893"/>
      <c r="AB344" s="893"/>
      <c r="AC344" s="893"/>
      <c r="AD344" s="893"/>
      <c r="AE344" s="893"/>
      <c r="AF344" s="893"/>
      <c r="AG344" s="893"/>
      <c r="AH344" s="893"/>
      <c r="AI344" s="300"/>
      <c r="AJ344" s="300"/>
      <c r="AK344" s="300"/>
      <c r="AL344" s="300"/>
      <c r="AM344" s="300"/>
      <c r="AN344" s="127"/>
    </row>
    <row r="345" ht="14.25" customHeight="1">
      <c r="A345" s="127"/>
      <c r="B345" s="127"/>
      <c r="C345" s="127"/>
      <c r="D345" s="127"/>
      <c r="E345" s="127"/>
      <c r="F345" s="300"/>
      <c r="G345" s="300"/>
      <c r="H345" s="892"/>
      <c r="I345" s="892"/>
      <c r="J345" s="892"/>
      <c r="K345" s="892"/>
      <c r="L345" s="892"/>
      <c r="M345" s="892"/>
      <c r="N345" s="892"/>
      <c r="O345" s="892"/>
      <c r="P345" s="892"/>
      <c r="Q345" s="892"/>
      <c r="R345" s="892"/>
      <c r="S345" s="892"/>
      <c r="T345" s="892"/>
      <c r="U345" s="892"/>
      <c r="V345" s="892"/>
      <c r="W345" s="893"/>
      <c r="X345" s="893"/>
      <c r="Y345" s="893"/>
      <c r="Z345" s="893"/>
      <c r="AA345" s="893"/>
      <c r="AB345" s="893"/>
      <c r="AC345" s="893"/>
      <c r="AD345" s="893"/>
      <c r="AE345" s="893"/>
      <c r="AF345" s="893"/>
      <c r="AG345" s="893"/>
      <c r="AH345" s="893"/>
      <c r="AI345" s="300"/>
      <c r="AJ345" s="300"/>
      <c r="AK345" s="300"/>
      <c r="AL345" s="300"/>
      <c r="AM345" s="300"/>
      <c r="AN345" s="127"/>
    </row>
    <row r="346" ht="14.25" customHeight="1">
      <c r="A346" s="127"/>
      <c r="B346" s="127"/>
      <c r="C346" s="127"/>
      <c r="D346" s="127"/>
      <c r="E346" s="127"/>
      <c r="F346" s="300"/>
      <c r="G346" s="300"/>
      <c r="H346" s="892"/>
      <c r="I346" s="892"/>
      <c r="J346" s="892"/>
      <c r="K346" s="892"/>
      <c r="L346" s="892"/>
      <c r="M346" s="892"/>
      <c r="N346" s="892"/>
      <c r="O346" s="892"/>
      <c r="P346" s="892"/>
      <c r="Q346" s="892"/>
      <c r="R346" s="892"/>
      <c r="S346" s="892"/>
      <c r="T346" s="892"/>
      <c r="U346" s="892"/>
      <c r="V346" s="892"/>
      <c r="W346" s="893"/>
      <c r="X346" s="893"/>
      <c r="Y346" s="893"/>
      <c r="Z346" s="893"/>
      <c r="AA346" s="893"/>
      <c r="AB346" s="893"/>
      <c r="AC346" s="893"/>
      <c r="AD346" s="893"/>
      <c r="AE346" s="893"/>
      <c r="AF346" s="893"/>
      <c r="AG346" s="893"/>
      <c r="AH346" s="893"/>
      <c r="AI346" s="300"/>
      <c r="AJ346" s="300"/>
      <c r="AK346" s="300"/>
      <c r="AL346" s="300"/>
      <c r="AM346" s="300"/>
      <c r="AN346" s="127"/>
    </row>
    <row r="347" ht="14.25" customHeight="1">
      <c r="A347" s="127"/>
      <c r="B347" s="127"/>
      <c r="C347" s="127"/>
      <c r="D347" s="127"/>
      <c r="E347" s="127"/>
      <c r="F347" s="300"/>
      <c r="G347" s="300"/>
      <c r="H347" s="892"/>
      <c r="I347" s="892"/>
      <c r="J347" s="892"/>
      <c r="K347" s="892"/>
      <c r="L347" s="892"/>
      <c r="M347" s="892"/>
      <c r="N347" s="892"/>
      <c r="O347" s="892"/>
      <c r="P347" s="892"/>
      <c r="Q347" s="892"/>
      <c r="R347" s="892"/>
      <c r="S347" s="892"/>
      <c r="T347" s="892"/>
      <c r="U347" s="892"/>
      <c r="V347" s="892"/>
      <c r="W347" s="893"/>
      <c r="X347" s="893"/>
      <c r="Y347" s="893"/>
      <c r="Z347" s="893"/>
      <c r="AA347" s="893"/>
      <c r="AB347" s="893"/>
      <c r="AC347" s="893"/>
      <c r="AD347" s="893"/>
      <c r="AE347" s="893"/>
      <c r="AF347" s="893"/>
      <c r="AG347" s="893"/>
      <c r="AH347" s="893"/>
      <c r="AI347" s="300"/>
      <c r="AJ347" s="300"/>
      <c r="AK347" s="300"/>
      <c r="AL347" s="300"/>
      <c r="AM347" s="300"/>
      <c r="AN347" s="127"/>
    </row>
    <row r="348" ht="14.25" customHeight="1">
      <c r="A348" s="127"/>
      <c r="B348" s="127"/>
      <c r="C348" s="127"/>
      <c r="D348" s="127"/>
      <c r="E348" s="127"/>
      <c r="F348" s="300"/>
      <c r="G348" s="300"/>
      <c r="H348" s="892"/>
      <c r="I348" s="892"/>
      <c r="J348" s="892"/>
      <c r="K348" s="892"/>
      <c r="L348" s="892"/>
      <c r="M348" s="892"/>
      <c r="N348" s="892"/>
      <c r="O348" s="892"/>
      <c r="P348" s="892"/>
      <c r="Q348" s="892"/>
      <c r="R348" s="892"/>
      <c r="S348" s="892"/>
      <c r="T348" s="892"/>
      <c r="U348" s="892"/>
      <c r="V348" s="892"/>
      <c r="W348" s="893"/>
      <c r="X348" s="893"/>
      <c r="Y348" s="893"/>
      <c r="Z348" s="893"/>
      <c r="AA348" s="893"/>
      <c r="AB348" s="893"/>
      <c r="AC348" s="893"/>
      <c r="AD348" s="893"/>
      <c r="AE348" s="893"/>
      <c r="AF348" s="893"/>
      <c r="AG348" s="893"/>
      <c r="AH348" s="893"/>
      <c r="AI348" s="300"/>
      <c r="AJ348" s="300"/>
      <c r="AK348" s="300"/>
      <c r="AL348" s="300"/>
      <c r="AM348" s="300"/>
      <c r="AN348" s="127"/>
    </row>
    <row r="349" ht="14.25" customHeight="1">
      <c r="A349" s="127"/>
      <c r="B349" s="127"/>
      <c r="C349" s="127"/>
      <c r="D349" s="127"/>
      <c r="E349" s="127"/>
      <c r="F349" s="300"/>
      <c r="G349" s="300"/>
      <c r="H349" s="892"/>
      <c r="I349" s="892"/>
      <c r="J349" s="892"/>
      <c r="K349" s="892"/>
      <c r="L349" s="892"/>
      <c r="M349" s="892"/>
      <c r="N349" s="892"/>
      <c r="O349" s="892"/>
      <c r="P349" s="892"/>
      <c r="Q349" s="892"/>
      <c r="R349" s="892"/>
      <c r="S349" s="892"/>
      <c r="T349" s="892"/>
      <c r="U349" s="892"/>
      <c r="V349" s="892"/>
      <c r="W349" s="893"/>
      <c r="X349" s="893"/>
      <c r="Y349" s="893"/>
      <c r="Z349" s="893"/>
      <c r="AA349" s="893"/>
      <c r="AB349" s="893"/>
      <c r="AC349" s="893"/>
      <c r="AD349" s="893"/>
      <c r="AE349" s="893"/>
      <c r="AF349" s="893"/>
      <c r="AG349" s="893"/>
      <c r="AH349" s="893"/>
      <c r="AI349" s="300"/>
      <c r="AJ349" s="300"/>
      <c r="AK349" s="300"/>
      <c r="AL349" s="300"/>
      <c r="AM349" s="300"/>
      <c r="AN349" s="127"/>
    </row>
    <row r="350" ht="14.25" customHeight="1">
      <c r="A350" s="127"/>
      <c r="B350" s="127"/>
      <c r="C350" s="127"/>
      <c r="D350" s="127"/>
      <c r="E350" s="127"/>
      <c r="F350" s="300"/>
      <c r="G350" s="300"/>
      <c r="H350" s="892"/>
      <c r="I350" s="892"/>
      <c r="J350" s="892"/>
      <c r="K350" s="892"/>
      <c r="L350" s="892"/>
      <c r="M350" s="892"/>
      <c r="N350" s="892"/>
      <c r="O350" s="892"/>
      <c r="P350" s="892"/>
      <c r="Q350" s="892"/>
      <c r="R350" s="892"/>
      <c r="S350" s="892"/>
      <c r="T350" s="892"/>
      <c r="U350" s="892"/>
      <c r="V350" s="892"/>
      <c r="W350" s="893"/>
      <c r="X350" s="893"/>
      <c r="Y350" s="893"/>
      <c r="Z350" s="893"/>
      <c r="AA350" s="893"/>
      <c r="AB350" s="893"/>
      <c r="AC350" s="893"/>
      <c r="AD350" s="893"/>
      <c r="AE350" s="893"/>
      <c r="AF350" s="893"/>
      <c r="AG350" s="893"/>
      <c r="AH350" s="893"/>
      <c r="AI350" s="300"/>
      <c r="AJ350" s="300"/>
      <c r="AK350" s="300"/>
      <c r="AL350" s="300"/>
      <c r="AM350" s="300"/>
      <c r="AN350" s="127"/>
    </row>
    <row r="351" ht="14.25" customHeight="1">
      <c r="A351" s="127"/>
      <c r="B351" s="127"/>
      <c r="C351" s="127"/>
      <c r="D351" s="127"/>
      <c r="E351" s="127"/>
      <c r="F351" s="300"/>
      <c r="G351" s="300"/>
      <c r="H351" s="892"/>
      <c r="I351" s="892"/>
      <c r="J351" s="892"/>
      <c r="K351" s="892"/>
      <c r="L351" s="892"/>
      <c r="M351" s="892"/>
      <c r="N351" s="892"/>
      <c r="O351" s="892"/>
      <c r="P351" s="892"/>
      <c r="Q351" s="892"/>
      <c r="R351" s="892"/>
      <c r="S351" s="892"/>
      <c r="T351" s="892"/>
      <c r="U351" s="892"/>
      <c r="V351" s="892"/>
      <c r="W351" s="893"/>
      <c r="X351" s="893"/>
      <c r="Y351" s="893"/>
      <c r="Z351" s="893"/>
      <c r="AA351" s="893"/>
      <c r="AB351" s="893"/>
      <c r="AC351" s="893"/>
      <c r="AD351" s="893"/>
      <c r="AE351" s="893"/>
      <c r="AF351" s="893"/>
      <c r="AG351" s="893"/>
      <c r="AH351" s="893"/>
      <c r="AI351" s="300"/>
      <c r="AJ351" s="300"/>
      <c r="AK351" s="300"/>
      <c r="AL351" s="300"/>
      <c r="AM351" s="300"/>
      <c r="AN351" s="127"/>
    </row>
    <row r="352" ht="14.25" customHeight="1">
      <c r="A352" s="127"/>
      <c r="B352" s="127"/>
      <c r="C352" s="127"/>
      <c r="D352" s="127"/>
      <c r="E352" s="127"/>
      <c r="F352" s="300"/>
      <c r="G352" s="300"/>
      <c r="H352" s="892"/>
      <c r="I352" s="892"/>
      <c r="J352" s="892"/>
      <c r="K352" s="892"/>
      <c r="L352" s="892"/>
      <c r="M352" s="892"/>
      <c r="N352" s="892"/>
      <c r="O352" s="892"/>
      <c r="P352" s="892"/>
      <c r="Q352" s="892"/>
      <c r="R352" s="892"/>
      <c r="S352" s="892"/>
      <c r="T352" s="892"/>
      <c r="U352" s="892"/>
      <c r="V352" s="892"/>
      <c r="W352" s="893"/>
      <c r="X352" s="893"/>
      <c r="Y352" s="893"/>
      <c r="Z352" s="893"/>
      <c r="AA352" s="893"/>
      <c r="AB352" s="893"/>
      <c r="AC352" s="893"/>
      <c r="AD352" s="893"/>
      <c r="AE352" s="893"/>
      <c r="AF352" s="893"/>
      <c r="AG352" s="893"/>
      <c r="AH352" s="893"/>
      <c r="AI352" s="300"/>
      <c r="AJ352" s="300"/>
      <c r="AK352" s="300"/>
      <c r="AL352" s="300"/>
      <c r="AM352" s="300"/>
      <c r="AN352" s="127"/>
    </row>
    <row r="353" ht="14.25" customHeight="1">
      <c r="A353" s="127"/>
      <c r="B353" s="127"/>
      <c r="C353" s="127"/>
      <c r="D353" s="127"/>
      <c r="E353" s="127"/>
      <c r="F353" s="300"/>
      <c r="G353" s="300"/>
      <c r="H353" s="892"/>
      <c r="I353" s="892"/>
      <c r="J353" s="892"/>
      <c r="K353" s="892"/>
      <c r="L353" s="892"/>
      <c r="M353" s="892"/>
      <c r="N353" s="892"/>
      <c r="O353" s="892"/>
      <c r="P353" s="892"/>
      <c r="Q353" s="892"/>
      <c r="R353" s="892"/>
      <c r="S353" s="892"/>
      <c r="T353" s="892"/>
      <c r="U353" s="892"/>
      <c r="V353" s="892"/>
      <c r="W353" s="893"/>
      <c r="X353" s="893"/>
      <c r="Y353" s="893"/>
      <c r="Z353" s="893"/>
      <c r="AA353" s="893"/>
      <c r="AB353" s="893"/>
      <c r="AC353" s="893"/>
      <c r="AD353" s="893"/>
      <c r="AE353" s="893"/>
      <c r="AF353" s="893"/>
      <c r="AG353" s="893"/>
      <c r="AH353" s="893"/>
      <c r="AI353" s="300"/>
      <c r="AJ353" s="300"/>
      <c r="AK353" s="300"/>
      <c r="AL353" s="300"/>
      <c r="AM353" s="300"/>
      <c r="AN353" s="127"/>
    </row>
    <row r="354" ht="14.25" customHeight="1">
      <c r="A354" s="127"/>
      <c r="B354" s="127"/>
      <c r="C354" s="127"/>
      <c r="D354" s="127"/>
      <c r="E354" s="127"/>
      <c r="F354" s="300"/>
      <c r="G354" s="300"/>
      <c r="H354" s="892"/>
      <c r="I354" s="892"/>
      <c r="J354" s="892"/>
      <c r="K354" s="892"/>
      <c r="L354" s="892"/>
      <c r="M354" s="892"/>
      <c r="N354" s="892"/>
      <c r="O354" s="892"/>
      <c r="P354" s="892"/>
      <c r="Q354" s="892"/>
      <c r="R354" s="892"/>
      <c r="S354" s="892"/>
      <c r="T354" s="892"/>
      <c r="U354" s="892"/>
      <c r="V354" s="892"/>
      <c r="W354" s="893"/>
      <c r="X354" s="893"/>
      <c r="Y354" s="893"/>
      <c r="Z354" s="893"/>
      <c r="AA354" s="893"/>
      <c r="AB354" s="893"/>
      <c r="AC354" s="893"/>
      <c r="AD354" s="893"/>
      <c r="AE354" s="893"/>
      <c r="AF354" s="893"/>
      <c r="AG354" s="893"/>
      <c r="AH354" s="893"/>
      <c r="AI354" s="300"/>
      <c r="AJ354" s="300"/>
      <c r="AK354" s="300"/>
      <c r="AL354" s="300"/>
      <c r="AM354" s="300"/>
      <c r="AN354" s="127"/>
    </row>
    <row r="355" ht="14.25" customHeight="1">
      <c r="A355" s="127"/>
      <c r="B355" s="127"/>
      <c r="C355" s="127"/>
      <c r="D355" s="127"/>
      <c r="E355" s="127"/>
      <c r="F355" s="300"/>
      <c r="G355" s="300"/>
      <c r="H355" s="892"/>
      <c r="I355" s="892"/>
      <c r="J355" s="892"/>
      <c r="K355" s="892"/>
      <c r="L355" s="892"/>
      <c r="M355" s="892"/>
      <c r="N355" s="892"/>
      <c r="O355" s="892"/>
      <c r="P355" s="892"/>
      <c r="Q355" s="892"/>
      <c r="R355" s="892"/>
      <c r="S355" s="892"/>
      <c r="T355" s="892"/>
      <c r="U355" s="892"/>
      <c r="V355" s="892"/>
      <c r="W355" s="893"/>
      <c r="X355" s="893"/>
      <c r="Y355" s="893"/>
      <c r="Z355" s="893"/>
      <c r="AA355" s="893"/>
      <c r="AB355" s="893"/>
      <c r="AC355" s="893"/>
      <c r="AD355" s="893"/>
      <c r="AE355" s="893"/>
      <c r="AF355" s="893"/>
      <c r="AG355" s="893"/>
      <c r="AH355" s="893"/>
      <c r="AI355" s="300"/>
      <c r="AJ355" s="300"/>
      <c r="AK355" s="300"/>
      <c r="AL355" s="300"/>
      <c r="AM355" s="300"/>
      <c r="AN355" s="127"/>
    </row>
    <row r="356" ht="14.25" customHeight="1">
      <c r="A356" s="127"/>
      <c r="B356" s="127"/>
      <c r="C356" s="127"/>
      <c r="D356" s="127"/>
      <c r="E356" s="127"/>
      <c r="F356" s="300"/>
      <c r="G356" s="300"/>
      <c r="H356" s="892"/>
      <c r="I356" s="892"/>
      <c r="J356" s="892"/>
      <c r="K356" s="892"/>
      <c r="L356" s="892"/>
      <c r="M356" s="892"/>
      <c r="N356" s="892"/>
      <c r="O356" s="892"/>
      <c r="P356" s="892"/>
      <c r="Q356" s="892"/>
      <c r="R356" s="892"/>
      <c r="S356" s="892"/>
      <c r="T356" s="892"/>
      <c r="U356" s="892"/>
      <c r="V356" s="892"/>
      <c r="W356" s="893"/>
      <c r="X356" s="893"/>
      <c r="Y356" s="893"/>
      <c r="Z356" s="893"/>
      <c r="AA356" s="893"/>
      <c r="AB356" s="893"/>
      <c r="AC356" s="893"/>
      <c r="AD356" s="893"/>
      <c r="AE356" s="893"/>
      <c r="AF356" s="893"/>
      <c r="AG356" s="893"/>
      <c r="AH356" s="893"/>
      <c r="AI356" s="300"/>
      <c r="AJ356" s="300"/>
      <c r="AK356" s="300"/>
      <c r="AL356" s="300"/>
      <c r="AM356" s="300"/>
      <c r="AN356" s="127"/>
    </row>
    <row r="357" ht="14.25" customHeight="1">
      <c r="A357" s="127"/>
      <c r="B357" s="127"/>
      <c r="C357" s="127"/>
      <c r="D357" s="127"/>
      <c r="E357" s="127"/>
      <c r="F357" s="300"/>
      <c r="G357" s="300"/>
      <c r="H357" s="892"/>
      <c r="I357" s="892"/>
      <c r="J357" s="892"/>
      <c r="K357" s="892"/>
      <c r="L357" s="892"/>
      <c r="M357" s="892"/>
      <c r="N357" s="892"/>
      <c r="O357" s="892"/>
      <c r="P357" s="892"/>
      <c r="Q357" s="892"/>
      <c r="R357" s="892"/>
      <c r="S357" s="892"/>
      <c r="T357" s="892"/>
      <c r="U357" s="892"/>
      <c r="V357" s="892"/>
      <c r="W357" s="893"/>
      <c r="X357" s="893"/>
      <c r="Y357" s="893"/>
      <c r="Z357" s="893"/>
      <c r="AA357" s="893"/>
      <c r="AB357" s="893"/>
      <c r="AC357" s="893"/>
      <c r="AD357" s="893"/>
      <c r="AE357" s="893"/>
      <c r="AF357" s="893"/>
      <c r="AG357" s="893"/>
      <c r="AH357" s="893"/>
      <c r="AI357" s="300"/>
      <c r="AJ357" s="300"/>
      <c r="AK357" s="300"/>
      <c r="AL357" s="300"/>
      <c r="AM357" s="300"/>
      <c r="AN357" s="127"/>
    </row>
    <row r="358" ht="14.25" customHeight="1">
      <c r="A358" s="127"/>
      <c r="B358" s="127"/>
      <c r="C358" s="127"/>
      <c r="D358" s="127"/>
      <c r="E358" s="127"/>
      <c r="F358" s="300"/>
      <c r="G358" s="300"/>
      <c r="H358" s="892"/>
      <c r="I358" s="892"/>
      <c r="J358" s="892"/>
      <c r="K358" s="892"/>
      <c r="L358" s="892"/>
      <c r="M358" s="892"/>
      <c r="N358" s="892"/>
      <c r="O358" s="892"/>
      <c r="P358" s="892"/>
      <c r="Q358" s="892"/>
      <c r="R358" s="892"/>
      <c r="S358" s="892"/>
      <c r="T358" s="892"/>
      <c r="U358" s="892"/>
      <c r="V358" s="892"/>
      <c r="W358" s="893"/>
      <c r="X358" s="893"/>
      <c r="Y358" s="893"/>
      <c r="Z358" s="893"/>
      <c r="AA358" s="893"/>
      <c r="AB358" s="893"/>
      <c r="AC358" s="893"/>
      <c r="AD358" s="893"/>
      <c r="AE358" s="893"/>
      <c r="AF358" s="893"/>
      <c r="AG358" s="893"/>
      <c r="AH358" s="893"/>
      <c r="AI358" s="300"/>
      <c r="AJ358" s="300"/>
      <c r="AK358" s="300"/>
      <c r="AL358" s="300"/>
      <c r="AM358" s="300"/>
      <c r="AN358" s="127"/>
    </row>
    <row r="359" ht="14.25" customHeight="1">
      <c r="A359" s="127"/>
      <c r="B359" s="127"/>
      <c r="C359" s="127"/>
      <c r="D359" s="127"/>
      <c r="E359" s="127"/>
      <c r="F359" s="300"/>
      <c r="G359" s="300"/>
      <c r="H359" s="892"/>
      <c r="I359" s="892"/>
      <c r="J359" s="892"/>
      <c r="K359" s="892"/>
      <c r="L359" s="892"/>
      <c r="M359" s="892"/>
      <c r="N359" s="892"/>
      <c r="O359" s="892"/>
      <c r="P359" s="892"/>
      <c r="Q359" s="892"/>
      <c r="R359" s="892"/>
      <c r="S359" s="892"/>
      <c r="T359" s="892"/>
      <c r="U359" s="892"/>
      <c r="V359" s="892"/>
      <c r="W359" s="893"/>
      <c r="X359" s="893"/>
      <c r="Y359" s="893"/>
      <c r="Z359" s="893"/>
      <c r="AA359" s="893"/>
      <c r="AB359" s="893"/>
      <c r="AC359" s="893"/>
      <c r="AD359" s="893"/>
      <c r="AE359" s="893"/>
      <c r="AF359" s="893"/>
      <c r="AG359" s="893"/>
      <c r="AH359" s="893"/>
      <c r="AI359" s="300"/>
      <c r="AJ359" s="300"/>
      <c r="AK359" s="300"/>
      <c r="AL359" s="300"/>
      <c r="AM359" s="300"/>
      <c r="AN359" s="127"/>
    </row>
    <row r="360" ht="14.25" customHeight="1">
      <c r="A360" s="127"/>
      <c r="B360" s="127"/>
      <c r="C360" s="127"/>
      <c r="D360" s="127"/>
      <c r="E360" s="127"/>
      <c r="F360" s="300"/>
      <c r="G360" s="300"/>
      <c r="H360" s="892"/>
      <c r="I360" s="892"/>
      <c r="J360" s="892"/>
      <c r="K360" s="892"/>
      <c r="L360" s="892"/>
      <c r="M360" s="892"/>
      <c r="N360" s="892"/>
      <c r="O360" s="892"/>
      <c r="P360" s="892"/>
      <c r="Q360" s="892"/>
      <c r="R360" s="892"/>
      <c r="S360" s="892"/>
      <c r="T360" s="892"/>
      <c r="U360" s="892"/>
      <c r="V360" s="892"/>
      <c r="W360" s="893"/>
      <c r="X360" s="893"/>
      <c r="Y360" s="893"/>
      <c r="Z360" s="893"/>
      <c r="AA360" s="893"/>
      <c r="AB360" s="893"/>
      <c r="AC360" s="893"/>
      <c r="AD360" s="893"/>
      <c r="AE360" s="893"/>
      <c r="AF360" s="893"/>
      <c r="AG360" s="893"/>
      <c r="AH360" s="893"/>
      <c r="AI360" s="300"/>
      <c r="AJ360" s="300"/>
      <c r="AK360" s="300"/>
      <c r="AL360" s="300"/>
      <c r="AM360" s="300"/>
      <c r="AN360" s="127"/>
    </row>
    <row r="361" ht="14.25" customHeight="1">
      <c r="A361" s="127"/>
      <c r="B361" s="127"/>
      <c r="C361" s="127"/>
      <c r="D361" s="127"/>
      <c r="E361" s="127"/>
      <c r="F361" s="300"/>
      <c r="G361" s="300"/>
      <c r="H361" s="892"/>
      <c r="I361" s="892"/>
      <c r="J361" s="892"/>
      <c r="K361" s="892"/>
      <c r="L361" s="892"/>
      <c r="M361" s="892"/>
      <c r="N361" s="892"/>
      <c r="O361" s="892"/>
      <c r="P361" s="892"/>
      <c r="Q361" s="892"/>
      <c r="R361" s="892"/>
      <c r="S361" s="892"/>
      <c r="T361" s="892"/>
      <c r="U361" s="892"/>
      <c r="V361" s="892"/>
      <c r="W361" s="893"/>
      <c r="X361" s="893"/>
      <c r="Y361" s="893"/>
      <c r="Z361" s="893"/>
      <c r="AA361" s="893"/>
      <c r="AB361" s="893"/>
      <c r="AC361" s="893"/>
      <c r="AD361" s="893"/>
      <c r="AE361" s="893"/>
      <c r="AF361" s="893"/>
      <c r="AG361" s="893"/>
      <c r="AH361" s="893"/>
      <c r="AI361" s="300"/>
      <c r="AJ361" s="300"/>
      <c r="AK361" s="300"/>
      <c r="AL361" s="300"/>
      <c r="AM361" s="300"/>
      <c r="AN361" s="127"/>
    </row>
    <row r="362" ht="14.25" customHeight="1">
      <c r="A362" s="127"/>
      <c r="B362" s="127"/>
      <c r="C362" s="127"/>
      <c r="D362" s="127"/>
      <c r="E362" s="127"/>
      <c r="F362" s="300"/>
      <c r="G362" s="300"/>
      <c r="H362" s="892"/>
      <c r="I362" s="892"/>
      <c r="J362" s="892"/>
      <c r="K362" s="892"/>
      <c r="L362" s="892"/>
      <c r="M362" s="892"/>
      <c r="N362" s="892"/>
      <c r="O362" s="892"/>
      <c r="P362" s="892"/>
      <c r="Q362" s="892"/>
      <c r="R362" s="892"/>
      <c r="S362" s="892"/>
      <c r="T362" s="892"/>
      <c r="U362" s="892"/>
      <c r="V362" s="892"/>
      <c r="W362" s="893"/>
      <c r="X362" s="893"/>
      <c r="Y362" s="893"/>
      <c r="Z362" s="893"/>
      <c r="AA362" s="893"/>
      <c r="AB362" s="893"/>
      <c r="AC362" s="893"/>
      <c r="AD362" s="893"/>
      <c r="AE362" s="893"/>
      <c r="AF362" s="893"/>
      <c r="AG362" s="893"/>
      <c r="AH362" s="893"/>
      <c r="AI362" s="300"/>
      <c r="AJ362" s="300"/>
      <c r="AK362" s="300"/>
      <c r="AL362" s="300"/>
      <c r="AM362" s="300"/>
      <c r="AN362" s="127"/>
    </row>
    <row r="363" ht="14.25" customHeight="1">
      <c r="A363" s="127"/>
      <c r="B363" s="127"/>
      <c r="C363" s="127"/>
      <c r="D363" s="127"/>
      <c r="E363" s="127"/>
      <c r="F363" s="300"/>
      <c r="G363" s="300"/>
      <c r="H363" s="892"/>
      <c r="I363" s="892"/>
      <c r="J363" s="892"/>
      <c r="K363" s="892"/>
      <c r="L363" s="892"/>
      <c r="M363" s="892"/>
      <c r="N363" s="892"/>
      <c r="O363" s="892"/>
      <c r="P363" s="892"/>
      <c r="Q363" s="892"/>
      <c r="R363" s="892"/>
      <c r="S363" s="892"/>
      <c r="T363" s="892"/>
      <c r="U363" s="892"/>
      <c r="V363" s="892"/>
      <c r="W363" s="893"/>
      <c r="X363" s="893"/>
      <c r="Y363" s="893"/>
      <c r="Z363" s="893"/>
      <c r="AA363" s="893"/>
      <c r="AB363" s="893"/>
      <c r="AC363" s="893"/>
      <c r="AD363" s="893"/>
      <c r="AE363" s="893"/>
      <c r="AF363" s="893"/>
      <c r="AG363" s="893"/>
      <c r="AH363" s="893"/>
      <c r="AI363" s="300"/>
      <c r="AJ363" s="300"/>
      <c r="AK363" s="300"/>
      <c r="AL363" s="300"/>
      <c r="AM363" s="300"/>
      <c r="AN363" s="127"/>
    </row>
    <row r="364" ht="14.25" customHeight="1">
      <c r="A364" s="127"/>
      <c r="B364" s="127"/>
      <c r="C364" s="127"/>
      <c r="D364" s="127"/>
      <c r="E364" s="127"/>
      <c r="F364" s="300"/>
      <c r="G364" s="300"/>
      <c r="H364" s="892"/>
      <c r="I364" s="892"/>
      <c r="J364" s="892"/>
      <c r="K364" s="892"/>
      <c r="L364" s="892"/>
      <c r="M364" s="892"/>
      <c r="N364" s="892"/>
      <c r="O364" s="892"/>
      <c r="P364" s="892"/>
      <c r="Q364" s="892"/>
      <c r="R364" s="892"/>
      <c r="S364" s="892"/>
      <c r="T364" s="892"/>
      <c r="U364" s="892"/>
      <c r="V364" s="892"/>
      <c r="W364" s="893"/>
      <c r="X364" s="893"/>
      <c r="Y364" s="893"/>
      <c r="Z364" s="893"/>
      <c r="AA364" s="893"/>
      <c r="AB364" s="893"/>
      <c r="AC364" s="893"/>
      <c r="AD364" s="893"/>
      <c r="AE364" s="893"/>
      <c r="AF364" s="893"/>
      <c r="AG364" s="893"/>
      <c r="AH364" s="893"/>
      <c r="AI364" s="300"/>
      <c r="AJ364" s="300"/>
      <c r="AK364" s="300"/>
      <c r="AL364" s="300"/>
      <c r="AM364" s="300"/>
      <c r="AN364" s="127"/>
    </row>
    <row r="365" ht="14.25" customHeight="1">
      <c r="A365" s="127"/>
      <c r="B365" s="127"/>
      <c r="C365" s="127"/>
      <c r="D365" s="127"/>
      <c r="E365" s="127"/>
      <c r="F365" s="300"/>
      <c r="G365" s="300"/>
      <c r="H365" s="892"/>
      <c r="I365" s="892"/>
      <c r="J365" s="892"/>
      <c r="K365" s="892"/>
      <c r="L365" s="892"/>
      <c r="M365" s="892"/>
      <c r="N365" s="892"/>
      <c r="O365" s="892"/>
      <c r="P365" s="892"/>
      <c r="Q365" s="892"/>
      <c r="R365" s="892"/>
      <c r="S365" s="892"/>
      <c r="T365" s="892"/>
      <c r="U365" s="892"/>
      <c r="V365" s="892"/>
      <c r="W365" s="893"/>
      <c r="X365" s="893"/>
      <c r="Y365" s="893"/>
      <c r="Z365" s="893"/>
      <c r="AA365" s="893"/>
      <c r="AB365" s="893"/>
      <c r="AC365" s="893"/>
      <c r="AD365" s="893"/>
      <c r="AE365" s="893"/>
      <c r="AF365" s="893"/>
      <c r="AG365" s="893"/>
      <c r="AH365" s="893"/>
      <c r="AI365" s="300"/>
      <c r="AJ365" s="300"/>
      <c r="AK365" s="300"/>
      <c r="AL365" s="300"/>
      <c r="AM365" s="300"/>
      <c r="AN365" s="127"/>
    </row>
    <row r="366" ht="14.25" customHeight="1">
      <c r="A366" s="127"/>
      <c r="B366" s="127"/>
      <c r="C366" s="127"/>
      <c r="D366" s="127"/>
      <c r="E366" s="127"/>
      <c r="F366" s="300"/>
      <c r="G366" s="300"/>
      <c r="H366" s="892"/>
      <c r="I366" s="892"/>
      <c r="J366" s="892"/>
      <c r="K366" s="892"/>
      <c r="L366" s="892"/>
      <c r="M366" s="892"/>
      <c r="N366" s="892"/>
      <c r="O366" s="892"/>
      <c r="P366" s="892"/>
      <c r="Q366" s="892"/>
      <c r="R366" s="892"/>
      <c r="S366" s="892"/>
      <c r="T366" s="892"/>
      <c r="U366" s="892"/>
      <c r="V366" s="892"/>
      <c r="W366" s="893"/>
      <c r="X366" s="893"/>
      <c r="Y366" s="893"/>
      <c r="Z366" s="893"/>
      <c r="AA366" s="893"/>
      <c r="AB366" s="893"/>
      <c r="AC366" s="893"/>
      <c r="AD366" s="893"/>
      <c r="AE366" s="893"/>
      <c r="AF366" s="893"/>
      <c r="AG366" s="893"/>
      <c r="AH366" s="893"/>
      <c r="AI366" s="300"/>
      <c r="AJ366" s="300"/>
      <c r="AK366" s="300"/>
      <c r="AL366" s="300"/>
      <c r="AM366" s="300"/>
      <c r="AN366" s="127"/>
    </row>
    <row r="367" ht="14.25" customHeight="1">
      <c r="A367" s="127"/>
      <c r="B367" s="127"/>
      <c r="C367" s="127"/>
      <c r="D367" s="127"/>
      <c r="E367" s="127"/>
      <c r="F367" s="300"/>
      <c r="G367" s="300"/>
      <c r="H367" s="892"/>
      <c r="I367" s="892"/>
      <c r="J367" s="892"/>
      <c r="K367" s="892"/>
      <c r="L367" s="892"/>
      <c r="M367" s="892"/>
      <c r="N367" s="892"/>
      <c r="O367" s="892"/>
      <c r="P367" s="892"/>
      <c r="Q367" s="892"/>
      <c r="R367" s="892"/>
      <c r="S367" s="892"/>
      <c r="T367" s="892"/>
      <c r="U367" s="892"/>
      <c r="V367" s="892"/>
      <c r="W367" s="893"/>
      <c r="X367" s="893"/>
      <c r="Y367" s="893"/>
      <c r="Z367" s="893"/>
      <c r="AA367" s="893"/>
      <c r="AB367" s="893"/>
      <c r="AC367" s="893"/>
      <c r="AD367" s="893"/>
      <c r="AE367" s="893"/>
      <c r="AF367" s="893"/>
      <c r="AG367" s="893"/>
      <c r="AH367" s="893"/>
      <c r="AI367" s="300"/>
      <c r="AJ367" s="300"/>
      <c r="AK367" s="300"/>
      <c r="AL367" s="300"/>
      <c r="AM367" s="300"/>
      <c r="AN367" s="127"/>
    </row>
    <row r="368" ht="14.25" customHeight="1">
      <c r="A368" s="127"/>
      <c r="B368" s="127"/>
      <c r="C368" s="127"/>
      <c r="D368" s="127"/>
      <c r="E368" s="127"/>
      <c r="F368" s="300"/>
      <c r="G368" s="300"/>
      <c r="H368" s="892"/>
      <c r="I368" s="892"/>
      <c r="J368" s="892"/>
      <c r="K368" s="892"/>
      <c r="L368" s="892"/>
      <c r="M368" s="892"/>
      <c r="N368" s="892"/>
      <c r="O368" s="892"/>
      <c r="P368" s="892"/>
      <c r="Q368" s="892"/>
      <c r="R368" s="892"/>
      <c r="S368" s="892"/>
      <c r="T368" s="892"/>
      <c r="U368" s="892"/>
      <c r="V368" s="892"/>
      <c r="W368" s="893"/>
      <c r="X368" s="893"/>
      <c r="Y368" s="893"/>
      <c r="Z368" s="893"/>
      <c r="AA368" s="893"/>
      <c r="AB368" s="893"/>
      <c r="AC368" s="893"/>
      <c r="AD368" s="893"/>
      <c r="AE368" s="893"/>
      <c r="AF368" s="893"/>
      <c r="AG368" s="893"/>
      <c r="AH368" s="893"/>
      <c r="AI368" s="300"/>
      <c r="AJ368" s="300"/>
      <c r="AK368" s="300"/>
      <c r="AL368" s="300"/>
      <c r="AM368" s="300"/>
      <c r="AN368" s="127"/>
    </row>
    <row r="369" ht="14.25" customHeight="1">
      <c r="A369" s="127"/>
      <c r="B369" s="127"/>
      <c r="C369" s="127"/>
      <c r="D369" s="127"/>
      <c r="E369" s="127"/>
      <c r="F369" s="300"/>
      <c r="G369" s="300"/>
      <c r="H369" s="892"/>
      <c r="I369" s="892"/>
      <c r="J369" s="892"/>
      <c r="K369" s="892"/>
      <c r="L369" s="892"/>
      <c r="M369" s="892"/>
      <c r="N369" s="892"/>
      <c r="O369" s="892"/>
      <c r="P369" s="892"/>
      <c r="Q369" s="892"/>
      <c r="R369" s="892"/>
      <c r="S369" s="892"/>
      <c r="T369" s="892"/>
      <c r="U369" s="892"/>
      <c r="V369" s="892"/>
      <c r="W369" s="893"/>
      <c r="X369" s="893"/>
      <c r="Y369" s="893"/>
      <c r="Z369" s="893"/>
      <c r="AA369" s="893"/>
      <c r="AB369" s="893"/>
      <c r="AC369" s="893"/>
      <c r="AD369" s="893"/>
      <c r="AE369" s="893"/>
      <c r="AF369" s="893"/>
      <c r="AG369" s="893"/>
      <c r="AH369" s="893"/>
      <c r="AI369" s="300"/>
      <c r="AJ369" s="300"/>
      <c r="AK369" s="300"/>
      <c r="AL369" s="300"/>
      <c r="AM369" s="300"/>
      <c r="AN369" s="127"/>
    </row>
    <row r="370" ht="14.25" customHeight="1">
      <c r="A370" s="127"/>
      <c r="B370" s="127"/>
      <c r="C370" s="127"/>
      <c r="D370" s="127"/>
      <c r="E370" s="127"/>
      <c r="F370" s="300"/>
      <c r="G370" s="300"/>
      <c r="H370" s="892"/>
      <c r="I370" s="892"/>
      <c r="J370" s="892"/>
      <c r="K370" s="892"/>
      <c r="L370" s="892"/>
      <c r="M370" s="892"/>
      <c r="N370" s="892"/>
      <c r="O370" s="892"/>
      <c r="P370" s="892"/>
      <c r="Q370" s="892"/>
      <c r="R370" s="892"/>
      <c r="S370" s="892"/>
      <c r="T370" s="892"/>
      <c r="U370" s="892"/>
      <c r="V370" s="892"/>
      <c r="W370" s="893"/>
      <c r="X370" s="893"/>
      <c r="Y370" s="893"/>
      <c r="Z370" s="893"/>
      <c r="AA370" s="893"/>
      <c r="AB370" s="893"/>
      <c r="AC370" s="893"/>
      <c r="AD370" s="893"/>
      <c r="AE370" s="893"/>
      <c r="AF370" s="893"/>
      <c r="AG370" s="893"/>
      <c r="AH370" s="893"/>
      <c r="AI370" s="300"/>
      <c r="AJ370" s="300"/>
      <c r="AK370" s="300"/>
      <c r="AL370" s="300"/>
      <c r="AM370" s="300"/>
      <c r="AN370" s="127"/>
    </row>
    <row r="371" ht="14.25" customHeight="1">
      <c r="A371" s="127"/>
      <c r="B371" s="127"/>
      <c r="C371" s="127"/>
      <c r="D371" s="127"/>
      <c r="E371" s="127"/>
      <c r="F371" s="300"/>
      <c r="G371" s="300"/>
      <c r="H371" s="892"/>
      <c r="I371" s="892"/>
      <c r="J371" s="892"/>
      <c r="K371" s="892"/>
      <c r="L371" s="892"/>
      <c r="M371" s="892"/>
      <c r="N371" s="892"/>
      <c r="O371" s="892"/>
      <c r="P371" s="892"/>
      <c r="Q371" s="892"/>
      <c r="R371" s="892"/>
      <c r="S371" s="892"/>
      <c r="T371" s="892"/>
      <c r="U371" s="892"/>
      <c r="V371" s="892"/>
      <c r="W371" s="893"/>
      <c r="X371" s="893"/>
      <c r="Y371" s="893"/>
      <c r="Z371" s="893"/>
      <c r="AA371" s="893"/>
      <c r="AB371" s="893"/>
      <c r="AC371" s="893"/>
      <c r="AD371" s="893"/>
      <c r="AE371" s="893"/>
      <c r="AF371" s="893"/>
      <c r="AG371" s="893"/>
      <c r="AH371" s="893"/>
      <c r="AI371" s="300"/>
      <c r="AJ371" s="300"/>
      <c r="AK371" s="300"/>
      <c r="AL371" s="300"/>
      <c r="AM371" s="300"/>
      <c r="AN371" s="127"/>
    </row>
    <row r="372" ht="14.25" customHeight="1">
      <c r="A372" s="127"/>
      <c r="B372" s="127"/>
      <c r="C372" s="127"/>
      <c r="D372" s="127"/>
      <c r="E372" s="127"/>
      <c r="F372" s="300"/>
      <c r="G372" s="300"/>
      <c r="H372" s="892"/>
      <c r="I372" s="892"/>
      <c r="J372" s="892"/>
      <c r="K372" s="892"/>
      <c r="L372" s="892"/>
      <c r="M372" s="892"/>
      <c r="N372" s="892"/>
      <c r="O372" s="892"/>
      <c r="P372" s="892"/>
      <c r="Q372" s="892"/>
      <c r="R372" s="892"/>
      <c r="S372" s="892"/>
      <c r="T372" s="892"/>
      <c r="U372" s="892"/>
      <c r="V372" s="892"/>
      <c r="W372" s="893"/>
      <c r="X372" s="893"/>
      <c r="Y372" s="893"/>
      <c r="Z372" s="893"/>
      <c r="AA372" s="893"/>
      <c r="AB372" s="893"/>
      <c r="AC372" s="893"/>
      <c r="AD372" s="893"/>
      <c r="AE372" s="893"/>
      <c r="AF372" s="893"/>
      <c r="AG372" s="893"/>
      <c r="AH372" s="893"/>
      <c r="AI372" s="300"/>
      <c r="AJ372" s="300"/>
      <c r="AK372" s="300"/>
      <c r="AL372" s="300"/>
      <c r="AM372" s="300"/>
      <c r="AN372" s="127"/>
    </row>
    <row r="373" ht="14.25" customHeight="1">
      <c r="A373" s="127"/>
      <c r="B373" s="127"/>
      <c r="C373" s="127"/>
      <c r="D373" s="127"/>
      <c r="E373" s="127"/>
      <c r="F373" s="300"/>
      <c r="G373" s="300"/>
      <c r="H373" s="892"/>
      <c r="I373" s="892"/>
      <c r="J373" s="892"/>
      <c r="K373" s="892"/>
      <c r="L373" s="892"/>
      <c r="M373" s="892"/>
      <c r="N373" s="892"/>
      <c r="O373" s="892"/>
      <c r="P373" s="892"/>
      <c r="Q373" s="892"/>
      <c r="R373" s="892"/>
      <c r="S373" s="892"/>
      <c r="T373" s="892"/>
      <c r="U373" s="892"/>
      <c r="V373" s="892"/>
      <c r="W373" s="893"/>
      <c r="X373" s="893"/>
      <c r="Y373" s="893"/>
      <c r="Z373" s="893"/>
      <c r="AA373" s="893"/>
      <c r="AB373" s="893"/>
      <c r="AC373" s="893"/>
      <c r="AD373" s="893"/>
      <c r="AE373" s="893"/>
      <c r="AF373" s="893"/>
      <c r="AG373" s="893"/>
      <c r="AH373" s="893"/>
      <c r="AI373" s="300"/>
      <c r="AJ373" s="300"/>
      <c r="AK373" s="300"/>
      <c r="AL373" s="300"/>
      <c r="AM373" s="300"/>
      <c r="AN373" s="127"/>
    </row>
    <row r="374" ht="14.25" customHeight="1">
      <c r="A374" s="127"/>
      <c r="B374" s="127"/>
      <c r="C374" s="127"/>
      <c r="D374" s="127"/>
      <c r="E374" s="127"/>
      <c r="F374" s="300"/>
      <c r="G374" s="300"/>
      <c r="H374" s="892"/>
      <c r="I374" s="892"/>
      <c r="J374" s="892"/>
      <c r="K374" s="892"/>
      <c r="L374" s="892"/>
      <c r="M374" s="892"/>
      <c r="N374" s="892"/>
      <c r="O374" s="892"/>
      <c r="P374" s="892"/>
      <c r="Q374" s="892"/>
      <c r="R374" s="892"/>
      <c r="S374" s="892"/>
      <c r="T374" s="892"/>
      <c r="U374" s="892"/>
      <c r="V374" s="892"/>
      <c r="W374" s="893"/>
      <c r="X374" s="893"/>
      <c r="Y374" s="893"/>
      <c r="Z374" s="893"/>
      <c r="AA374" s="893"/>
      <c r="AB374" s="893"/>
      <c r="AC374" s="893"/>
      <c r="AD374" s="893"/>
      <c r="AE374" s="893"/>
      <c r="AF374" s="893"/>
      <c r="AG374" s="893"/>
      <c r="AH374" s="893"/>
      <c r="AI374" s="300"/>
      <c r="AJ374" s="300"/>
      <c r="AK374" s="300"/>
      <c r="AL374" s="300"/>
      <c r="AM374" s="300"/>
      <c r="AN374" s="127"/>
    </row>
    <row r="375" ht="14.25" customHeight="1">
      <c r="A375" s="127"/>
      <c r="B375" s="127"/>
      <c r="C375" s="127"/>
      <c r="D375" s="127"/>
      <c r="E375" s="127"/>
      <c r="F375" s="300"/>
      <c r="G375" s="300"/>
      <c r="H375" s="892"/>
      <c r="I375" s="892"/>
      <c r="J375" s="892"/>
      <c r="K375" s="892"/>
      <c r="L375" s="892"/>
      <c r="M375" s="892"/>
      <c r="N375" s="892"/>
      <c r="O375" s="892"/>
      <c r="P375" s="892"/>
      <c r="Q375" s="892"/>
      <c r="R375" s="892"/>
      <c r="S375" s="892"/>
      <c r="T375" s="892"/>
      <c r="U375" s="892"/>
      <c r="V375" s="892"/>
      <c r="W375" s="893"/>
      <c r="X375" s="893"/>
      <c r="Y375" s="893"/>
      <c r="Z375" s="893"/>
      <c r="AA375" s="893"/>
      <c r="AB375" s="893"/>
      <c r="AC375" s="893"/>
      <c r="AD375" s="893"/>
      <c r="AE375" s="893"/>
      <c r="AF375" s="893"/>
      <c r="AG375" s="893"/>
      <c r="AH375" s="893"/>
      <c r="AI375" s="300"/>
      <c r="AJ375" s="300"/>
      <c r="AK375" s="300"/>
      <c r="AL375" s="300"/>
      <c r="AM375" s="300"/>
      <c r="AN375" s="127"/>
    </row>
    <row r="376" ht="14.25" customHeight="1">
      <c r="A376" s="127"/>
      <c r="B376" s="127"/>
      <c r="C376" s="127"/>
      <c r="D376" s="127"/>
      <c r="E376" s="127"/>
      <c r="F376" s="300"/>
      <c r="G376" s="300"/>
      <c r="H376" s="892"/>
      <c r="I376" s="892"/>
      <c r="J376" s="892"/>
      <c r="K376" s="892"/>
      <c r="L376" s="892"/>
      <c r="M376" s="892"/>
      <c r="N376" s="892"/>
      <c r="O376" s="892"/>
      <c r="P376" s="892"/>
      <c r="Q376" s="892"/>
      <c r="R376" s="892"/>
      <c r="S376" s="892"/>
      <c r="T376" s="892"/>
      <c r="U376" s="892"/>
      <c r="V376" s="892"/>
      <c r="W376" s="893"/>
      <c r="X376" s="893"/>
      <c r="Y376" s="893"/>
      <c r="Z376" s="893"/>
      <c r="AA376" s="893"/>
      <c r="AB376" s="893"/>
      <c r="AC376" s="893"/>
      <c r="AD376" s="893"/>
      <c r="AE376" s="893"/>
      <c r="AF376" s="893"/>
      <c r="AG376" s="893"/>
      <c r="AH376" s="893"/>
      <c r="AI376" s="300"/>
      <c r="AJ376" s="300"/>
      <c r="AK376" s="300"/>
      <c r="AL376" s="300"/>
      <c r="AM376" s="300"/>
      <c r="AN376" s="127"/>
    </row>
    <row r="377" ht="14.25" customHeight="1">
      <c r="A377" s="127"/>
      <c r="B377" s="127"/>
      <c r="C377" s="127"/>
      <c r="D377" s="127"/>
      <c r="E377" s="127"/>
      <c r="F377" s="300"/>
      <c r="G377" s="300"/>
      <c r="H377" s="892"/>
      <c r="I377" s="892"/>
      <c r="J377" s="892"/>
      <c r="K377" s="892"/>
      <c r="L377" s="892"/>
      <c r="M377" s="892"/>
      <c r="N377" s="892"/>
      <c r="O377" s="892"/>
      <c r="P377" s="892"/>
      <c r="Q377" s="892"/>
      <c r="R377" s="892"/>
      <c r="S377" s="892"/>
      <c r="T377" s="892"/>
      <c r="U377" s="892"/>
      <c r="V377" s="892"/>
      <c r="W377" s="893"/>
      <c r="X377" s="893"/>
      <c r="Y377" s="893"/>
      <c r="Z377" s="893"/>
      <c r="AA377" s="893"/>
      <c r="AB377" s="893"/>
      <c r="AC377" s="893"/>
      <c r="AD377" s="893"/>
      <c r="AE377" s="893"/>
      <c r="AF377" s="893"/>
      <c r="AG377" s="893"/>
      <c r="AH377" s="893"/>
      <c r="AI377" s="300"/>
      <c r="AJ377" s="300"/>
      <c r="AK377" s="300"/>
      <c r="AL377" s="300"/>
      <c r="AM377" s="300"/>
      <c r="AN377" s="127"/>
    </row>
    <row r="378" ht="14.25" customHeight="1">
      <c r="A378" s="127"/>
      <c r="B378" s="127"/>
      <c r="C378" s="127"/>
      <c r="D378" s="127"/>
      <c r="E378" s="127"/>
      <c r="F378" s="300"/>
      <c r="G378" s="300"/>
      <c r="H378" s="892"/>
      <c r="I378" s="892"/>
      <c r="J378" s="892"/>
      <c r="K378" s="892"/>
      <c r="L378" s="892"/>
      <c r="M378" s="892"/>
      <c r="N378" s="892"/>
      <c r="O378" s="892"/>
      <c r="P378" s="892"/>
      <c r="Q378" s="892"/>
      <c r="R378" s="892"/>
      <c r="S378" s="892"/>
      <c r="T378" s="892"/>
      <c r="U378" s="892"/>
      <c r="V378" s="892"/>
      <c r="W378" s="893"/>
      <c r="X378" s="893"/>
      <c r="Y378" s="893"/>
      <c r="Z378" s="893"/>
      <c r="AA378" s="893"/>
      <c r="AB378" s="893"/>
      <c r="AC378" s="893"/>
      <c r="AD378" s="893"/>
      <c r="AE378" s="893"/>
      <c r="AF378" s="893"/>
      <c r="AG378" s="893"/>
      <c r="AH378" s="893"/>
      <c r="AI378" s="300"/>
      <c r="AJ378" s="300"/>
      <c r="AK378" s="300"/>
      <c r="AL378" s="300"/>
      <c r="AM378" s="300"/>
      <c r="AN378" s="127"/>
    </row>
    <row r="379" ht="14.25" customHeight="1">
      <c r="A379" s="127"/>
      <c r="B379" s="127"/>
      <c r="C379" s="127"/>
      <c r="D379" s="127"/>
      <c r="E379" s="127"/>
      <c r="F379" s="300"/>
      <c r="G379" s="300"/>
      <c r="H379" s="892"/>
      <c r="I379" s="892"/>
      <c r="J379" s="892"/>
      <c r="K379" s="892"/>
      <c r="L379" s="892"/>
      <c r="M379" s="892"/>
      <c r="N379" s="892"/>
      <c r="O379" s="892"/>
      <c r="P379" s="892"/>
      <c r="Q379" s="892"/>
      <c r="R379" s="892"/>
      <c r="S379" s="892"/>
      <c r="T379" s="892"/>
      <c r="U379" s="892"/>
      <c r="V379" s="892"/>
      <c r="W379" s="893"/>
      <c r="X379" s="893"/>
      <c r="Y379" s="893"/>
      <c r="Z379" s="893"/>
      <c r="AA379" s="893"/>
      <c r="AB379" s="893"/>
      <c r="AC379" s="893"/>
      <c r="AD379" s="893"/>
      <c r="AE379" s="893"/>
      <c r="AF379" s="893"/>
      <c r="AG379" s="893"/>
      <c r="AH379" s="893"/>
      <c r="AI379" s="300"/>
      <c r="AJ379" s="300"/>
      <c r="AK379" s="300"/>
      <c r="AL379" s="300"/>
      <c r="AM379" s="300"/>
      <c r="AN379" s="127"/>
    </row>
    <row r="380" ht="14.25" customHeight="1">
      <c r="A380" s="127"/>
      <c r="B380" s="127"/>
      <c r="C380" s="127"/>
      <c r="D380" s="127"/>
      <c r="E380" s="127"/>
      <c r="F380" s="300"/>
      <c r="G380" s="300"/>
      <c r="H380" s="892"/>
      <c r="I380" s="892"/>
      <c r="J380" s="892"/>
      <c r="K380" s="892"/>
      <c r="L380" s="892"/>
      <c r="M380" s="892"/>
      <c r="N380" s="892"/>
      <c r="O380" s="892"/>
      <c r="P380" s="892"/>
      <c r="Q380" s="892"/>
      <c r="R380" s="892"/>
      <c r="S380" s="892"/>
      <c r="T380" s="892"/>
      <c r="U380" s="892"/>
      <c r="V380" s="892"/>
      <c r="W380" s="893"/>
      <c r="X380" s="893"/>
      <c r="Y380" s="893"/>
      <c r="Z380" s="893"/>
      <c r="AA380" s="893"/>
      <c r="AB380" s="893"/>
      <c r="AC380" s="893"/>
      <c r="AD380" s="893"/>
      <c r="AE380" s="893"/>
      <c r="AF380" s="893"/>
      <c r="AG380" s="893"/>
      <c r="AH380" s="893"/>
      <c r="AI380" s="300"/>
      <c r="AJ380" s="300"/>
      <c r="AK380" s="300"/>
      <c r="AL380" s="300"/>
      <c r="AM380" s="300"/>
      <c r="AN380" s="127"/>
    </row>
    <row r="381" ht="14.25" customHeight="1">
      <c r="A381" s="127"/>
      <c r="B381" s="127"/>
      <c r="C381" s="127"/>
      <c r="D381" s="127"/>
      <c r="E381" s="127"/>
      <c r="F381" s="300"/>
      <c r="G381" s="300"/>
      <c r="H381" s="892"/>
      <c r="I381" s="892"/>
      <c r="J381" s="892"/>
      <c r="K381" s="892"/>
      <c r="L381" s="892"/>
      <c r="M381" s="892"/>
      <c r="N381" s="892"/>
      <c r="O381" s="892"/>
      <c r="P381" s="892"/>
      <c r="Q381" s="892"/>
      <c r="R381" s="892"/>
      <c r="S381" s="892"/>
      <c r="T381" s="892"/>
      <c r="U381" s="892"/>
      <c r="V381" s="892"/>
      <c r="W381" s="893"/>
      <c r="X381" s="893"/>
      <c r="Y381" s="893"/>
      <c r="Z381" s="893"/>
      <c r="AA381" s="893"/>
      <c r="AB381" s="893"/>
      <c r="AC381" s="893"/>
      <c r="AD381" s="893"/>
      <c r="AE381" s="893"/>
      <c r="AF381" s="893"/>
      <c r="AG381" s="893"/>
      <c r="AH381" s="893"/>
      <c r="AI381" s="300"/>
      <c r="AJ381" s="300"/>
      <c r="AK381" s="300"/>
      <c r="AL381" s="300"/>
      <c r="AM381" s="300"/>
      <c r="AN381" s="127"/>
    </row>
    <row r="382" ht="14.25" customHeight="1">
      <c r="A382" s="127"/>
      <c r="B382" s="127"/>
      <c r="C382" s="127"/>
      <c r="D382" s="127"/>
      <c r="E382" s="127"/>
      <c r="F382" s="300"/>
      <c r="G382" s="300"/>
      <c r="H382" s="892"/>
      <c r="I382" s="892"/>
      <c r="J382" s="892"/>
      <c r="K382" s="892"/>
      <c r="L382" s="892"/>
      <c r="M382" s="892"/>
      <c r="N382" s="892"/>
      <c r="O382" s="892"/>
      <c r="P382" s="892"/>
      <c r="Q382" s="892"/>
      <c r="R382" s="892"/>
      <c r="S382" s="892"/>
      <c r="T382" s="892"/>
      <c r="U382" s="892"/>
      <c r="V382" s="892"/>
      <c r="W382" s="893"/>
      <c r="X382" s="893"/>
      <c r="Y382" s="893"/>
      <c r="Z382" s="893"/>
      <c r="AA382" s="893"/>
      <c r="AB382" s="893"/>
      <c r="AC382" s="893"/>
      <c r="AD382" s="893"/>
      <c r="AE382" s="893"/>
      <c r="AF382" s="893"/>
      <c r="AG382" s="893"/>
      <c r="AH382" s="893"/>
      <c r="AI382" s="300"/>
      <c r="AJ382" s="300"/>
      <c r="AK382" s="300"/>
      <c r="AL382" s="300"/>
      <c r="AM382" s="300"/>
      <c r="AN382" s="127"/>
    </row>
    <row r="383" ht="14.25" customHeight="1">
      <c r="A383" s="127"/>
      <c r="B383" s="127"/>
      <c r="C383" s="127"/>
      <c r="D383" s="127"/>
      <c r="E383" s="127"/>
      <c r="F383" s="300"/>
      <c r="G383" s="300"/>
      <c r="H383" s="892"/>
      <c r="I383" s="892"/>
      <c r="J383" s="892"/>
      <c r="K383" s="892"/>
      <c r="L383" s="892"/>
      <c r="M383" s="892"/>
      <c r="N383" s="892"/>
      <c r="O383" s="892"/>
      <c r="P383" s="892"/>
      <c r="Q383" s="892"/>
      <c r="R383" s="892"/>
      <c r="S383" s="892"/>
      <c r="T383" s="892"/>
      <c r="U383" s="892"/>
      <c r="V383" s="892"/>
      <c r="W383" s="893"/>
      <c r="X383" s="893"/>
      <c r="Y383" s="893"/>
      <c r="Z383" s="893"/>
      <c r="AA383" s="893"/>
      <c r="AB383" s="893"/>
      <c r="AC383" s="893"/>
      <c r="AD383" s="893"/>
      <c r="AE383" s="893"/>
      <c r="AF383" s="893"/>
      <c r="AG383" s="893"/>
      <c r="AH383" s="893"/>
      <c r="AI383" s="300"/>
      <c r="AJ383" s="300"/>
      <c r="AK383" s="300"/>
      <c r="AL383" s="300"/>
      <c r="AM383" s="300"/>
      <c r="AN383" s="127"/>
    </row>
    <row r="384" ht="14.25" customHeight="1">
      <c r="A384" s="127"/>
      <c r="B384" s="127"/>
      <c r="C384" s="127"/>
      <c r="D384" s="127"/>
      <c r="E384" s="127"/>
      <c r="F384" s="300"/>
      <c r="G384" s="300"/>
      <c r="H384" s="892"/>
      <c r="I384" s="892"/>
      <c r="J384" s="892"/>
      <c r="K384" s="892"/>
      <c r="L384" s="892"/>
      <c r="M384" s="892"/>
      <c r="N384" s="892"/>
      <c r="O384" s="892"/>
      <c r="P384" s="892"/>
      <c r="Q384" s="892"/>
      <c r="R384" s="892"/>
      <c r="S384" s="892"/>
      <c r="T384" s="892"/>
      <c r="U384" s="892"/>
      <c r="V384" s="892"/>
      <c r="W384" s="893"/>
      <c r="X384" s="893"/>
      <c r="Y384" s="893"/>
      <c r="Z384" s="893"/>
      <c r="AA384" s="893"/>
      <c r="AB384" s="893"/>
      <c r="AC384" s="893"/>
      <c r="AD384" s="893"/>
      <c r="AE384" s="893"/>
      <c r="AF384" s="893"/>
      <c r="AG384" s="893"/>
      <c r="AH384" s="893"/>
      <c r="AI384" s="300"/>
      <c r="AJ384" s="300"/>
      <c r="AK384" s="300"/>
      <c r="AL384" s="300"/>
      <c r="AM384" s="300"/>
      <c r="AN384" s="127"/>
    </row>
    <row r="385" ht="14.25" customHeight="1">
      <c r="A385" s="127"/>
      <c r="B385" s="127"/>
      <c r="C385" s="127"/>
      <c r="D385" s="127"/>
      <c r="E385" s="127"/>
      <c r="F385" s="300"/>
      <c r="G385" s="300"/>
      <c r="H385" s="892"/>
      <c r="I385" s="892"/>
      <c r="J385" s="892"/>
      <c r="K385" s="892"/>
      <c r="L385" s="892"/>
      <c r="M385" s="892"/>
      <c r="N385" s="892"/>
      <c r="O385" s="892"/>
      <c r="P385" s="892"/>
      <c r="Q385" s="892"/>
      <c r="R385" s="892"/>
      <c r="S385" s="892"/>
      <c r="T385" s="892"/>
      <c r="U385" s="892"/>
      <c r="V385" s="892"/>
      <c r="W385" s="893"/>
      <c r="X385" s="893"/>
      <c r="Y385" s="893"/>
      <c r="Z385" s="893"/>
      <c r="AA385" s="893"/>
      <c r="AB385" s="893"/>
      <c r="AC385" s="893"/>
      <c r="AD385" s="893"/>
      <c r="AE385" s="893"/>
      <c r="AF385" s="893"/>
      <c r="AG385" s="893"/>
      <c r="AH385" s="893"/>
      <c r="AI385" s="300"/>
      <c r="AJ385" s="300"/>
      <c r="AK385" s="300"/>
      <c r="AL385" s="300"/>
      <c r="AM385" s="300"/>
      <c r="AN385" s="127"/>
    </row>
    <row r="386" ht="14.25" customHeight="1">
      <c r="A386" s="127"/>
      <c r="B386" s="127"/>
      <c r="C386" s="127"/>
      <c r="D386" s="127"/>
      <c r="E386" s="127"/>
      <c r="F386" s="300"/>
      <c r="G386" s="300"/>
      <c r="H386" s="892"/>
      <c r="I386" s="892"/>
      <c r="J386" s="892"/>
      <c r="K386" s="892"/>
      <c r="L386" s="892"/>
      <c r="M386" s="892"/>
      <c r="N386" s="892"/>
      <c r="O386" s="892"/>
      <c r="P386" s="892"/>
      <c r="Q386" s="892"/>
      <c r="R386" s="892"/>
      <c r="S386" s="892"/>
      <c r="T386" s="892"/>
      <c r="U386" s="892"/>
      <c r="V386" s="892"/>
      <c r="W386" s="893"/>
      <c r="X386" s="893"/>
      <c r="Y386" s="893"/>
      <c r="Z386" s="893"/>
      <c r="AA386" s="893"/>
      <c r="AB386" s="893"/>
      <c r="AC386" s="893"/>
      <c r="AD386" s="893"/>
      <c r="AE386" s="893"/>
      <c r="AF386" s="893"/>
      <c r="AG386" s="893"/>
      <c r="AH386" s="893"/>
      <c r="AI386" s="300"/>
      <c r="AJ386" s="300"/>
      <c r="AK386" s="300"/>
      <c r="AL386" s="300"/>
      <c r="AM386" s="300"/>
      <c r="AN386" s="127"/>
    </row>
    <row r="387" ht="14.25" customHeight="1">
      <c r="A387" s="127"/>
      <c r="B387" s="127"/>
      <c r="C387" s="127"/>
      <c r="D387" s="127"/>
      <c r="E387" s="127"/>
      <c r="F387" s="300"/>
      <c r="G387" s="300"/>
      <c r="H387" s="892"/>
      <c r="I387" s="892"/>
      <c r="J387" s="892"/>
      <c r="K387" s="892"/>
      <c r="L387" s="892"/>
      <c r="M387" s="892"/>
      <c r="N387" s="892"/>
      <c r="O387" s="892"/>
      <c r="P387" s="892"/>
      <c r="Q387" s="892"/>
      <c r="R387" s="892"/>
      <c r="S387" s="892"/>
      <c r="T387" s="892"/>
      <c r="U387" s="892"/>
      <c r="V387" s="892"/>
      <c r="W387" s="893"/>
      <c r="X387" s="893"/>
      <c r="Y387" s="893"/>
      <c r="Z387" s="893"/>
      <c r="AA387" s="893"/>
      <c r="AB387" s="893"/>
      <c r="AC387" s="893"/>
      <c r="AD387" s="893"/>
      <c r="AE387" s="893"/>
      <c r="AF387" s="893"/>
      <c r="AG387" s="893"/>
      <c r="AH387" s="893"/>
      <c r="AI387" s="300"/>
      <c r="AJ387" s="300"/>
      <c r="AK387" s="300"/>
      <c r="AL387" s="300"/>
      <c r="AM387" s="300"/>
      <c r="AN387" s="127"/>
    </row>
    <row r="388" ht="14.25" customHeight="1">
      <c r="A388" s="127"/>
      <c r="B388" s="127"/>
      <c r="C388" s="127"/>
      <c r="D388" s="127"/>
      <c r="E388" s="127"/>
      <c r="F388" s="300"/>
      <c r="G388" s="300"/>
      <c r="H388" s="892"/>
      <c r="I388" s="892"/>
      <c r="J388" s="892"/>
      <c r="K388" s="892"/>
      <c r="L388" s="892"/>
      <c r="M388" s="892"/>
      <c r="N388" s="892"/>
      <c r="O388" s="892"/>
      <c r="P388" s="892"/>
      <c r="Q388" s="892"/>
      <c r="R388" s="892"/>
      <c r="S388" s="892"/>
      <c r="T388" s="892"/>
      <c r="U388" s="892"/>
      <c r="V388" s="892"/>
      <c r="W388" s="893"/>
      <c r="X388" s="893"/>
      <c r="Y388" s="893"/>
      <c r="Z388" s="893"/>
      <c r="AA388" s="893"/>
      <c r="AB388" s="893"/>
      <c r="AC388" s="893"/>
      <c r="AD388" s="893"/>
      <c r="AE388" s="893"/>
      <c r="AF388" s="893"/>
      <c r="AG388" s="893"/>
      <c r="AH388" s="893"/>
      <c r="AI388" s="300"/>
      <c r="AJ388" s="300"/>
      <c r="AK388" s="300"/>
      <c r="AL388" s="300"/>
      <c r="AM388" s="300"/>
      <c r="AN388" s="127"/>
    </row>
    <row r="389" ht="14.25" customHeight="1">
      <c r="A389" s="127"/>
      <c r="B389" s="127"/>
      <c r="C389" s="127"/>
      <c r="D389" s="127"/>
      <c r="E389" s="127"/>
      <c r="F389" s="300"/>
      <c r="G389" s="300"/>
      <c r="H389" s="892"/>
      <c r="I389" s="892"/>
      <c r="J389" s="892"/>
      <c r="K389" s="892"/>
      <c r="L389" s="892"/>
      <c r="M389" s="892"/>
      <c r="N389" s="892"/>
      <c r="O389" s="892"/>
      <c r="P389" s="892"/>
      <c r="Q389" s="892"/>
      <c r="R389" s="892"/>
      <c r="S389" s="892"/>
      <c r="T389" s="892"/>
      <c r="U389" s="892"/>
      <c r="V389" s="892"/>
      <c r="W389" s="893"/>
      <c r="X389" s="893"/>
      <c r="Y389" s="893"/>
      <c r="Z389" s="893"/>
      <c r="AA389" s="893"/>
      <c r="AB389" s="893"/>
      <c r="AC389" s="893"/>
      <c r="AD389" s="893"/>
      <c r="AE389" s="893"/>
      <c r="AF389" s="893"/>
      <c r="AG389" s="893"/>
      <c r="AH389" s="893"/>
      <c r="AI389" s="300"/>
      <c r="AJ389" s="300"/>
      <c r="AK389" s="300"/>
      <c r="AL389" s="300"/>
      <c r="AM389" s="300"/>
      <c r="AN389" s="127"/>
    </row>
    <row r="390" ht="14.25" customHeight="1">
      <c r="A390" s="127"/>
      <c r="B390" s="127"/>
      <c r="C390" s="127"/>
      <c r="D390" s="127"/>
      <c r="E390" s="127"/>
      <c r="F390" s="300"/>
      <c r="G390" s="300"/>
      <c r="H390" s="892"/>
      <c r="I390" s="892"/>
      <c r="J390" s="892"/>
      <c r="K390" s="892"/>
      <c r="L390" s="892"/>
      <c r="M390" s="892"/>
      <c r="N390" s="892"/>
      <c r="O390" s="892"/>
      <c r="P390" s="892"/>
      <c r="Q390" s="892"/>
      <c r="R390" s="892"/>
      <c r="S390" s="892"/>
      <c r="T390" s="892"/>
      <c r="U390" s="892"/>
      <c r="V390" s="892"/>
      <c r="W390" s="893"/>
      <c r="X390" s="893"/>
      <c r="Y390" s="893"/>
      <c r="Z390" s="893"/>
      <c r="AA390" s="893"/>
      <c r="AB390" s="893"/>
      <c r="AC390" s="893"/>
      <c r="AD390" s="893"/>
      <c r="AE390" s="893"/>
      <c r="AF390" s="893"/>
      <c r="AG390" s="893"/>
      <c r="AH390" s="893"/>
      <c r="AI390" s="300"/>
      <c r="AJ390" s="300"/>
      <c r="AK390" s="300"/>
      <c r="AL390" s="300"/>
      <c r="AM390" s="300"/>
      <c r="AN390" s="127"/>
    </row>
    <row r="391" ht="14.25" customHeight="1">
      <c r="A391" s="127"/>
      <c r="B391" s="127"/>
      <c r="C391" s="127"/>
      <c r="D391" s="127"/>
      <c r="E391" s="127"/>
      <c r="F391" s="300"/>
      <c r="G391" s="300"/>
      <c r="H391" s="892"/>
      <c r="I391" s="892"/>
      <c r="J391" s="892"/>
      <c r="K391" s="892"/>
      <c r="L391" s="892"/>
      <c r="M391" s="892"/>
      <c r="N391" s="892"/>
      <c r="O391" s="892"/>
      <c r="P391" s="892"/>
      <c r="Q391" s="892"/>
      <c r="R391" s="892"/>
      <c r="S391" s="892"/>
      <c r="T391" s="892"/>
      <c r="U391" s="892"/>
      <c r="V391" s="892"/>
      <c r="W391" s="893"/>
      <c r="X391" s="893"/>
      <c r="Y391" s="893"/>
      <c r="Z391" s="893"/>
      <c r="AA391" s="893"/>
      <c r="AB391" s="893"/>
      <c r="AC391" s="893"/>
      <c r="AD391" s="893"/>
      <c r="AE391" s="893"/>
      <c r="AF391" s="893"/>
      <c r="AG391" s="893"/>
      <c r="AH391" s="893"/>
      <c r="AI391" s="300"/>
      <c r="AJ391" s="300"/>
      <c r="AK391" s="300"/>
      <c r="AL391" s="300"/>
      <c r="AM391" s="300"/>
      <c r="AN391" s="127"/>
    </row>
    <row r="392" ht="14.25" customHeight="1">
      <c r="A392" s="127"/>
      <c r="B392" s="127"/>
      <c r="C392" s="127"/>
      <c r="D392" s="127"/>
      <c r="E392" s="127"/>
      <c r="F392" s="300"/>
      <c r="G392" s="300"/>
      <c r="H392" s="892"/>
      <c r="I392" s="892"/>
      <c r="J392" s="892"/>
      <c r="K392" s="892"/>
      <c r="L392" s="892"/>
      <c r="M392" s="892"/>
      <c r="N392" s="892"/>
      <c r="O392" s="892"/>
      <c r="P392" s="892"/>
      <c r="Q392" s="892"/>
      <c r="R392" s="892"/>
      <c r="S392" s="892"/>
      <c r="T392" s="892"/>
      <c r="U392" s="892"/>
      <c r="V392" s="892"/>
      <c r="W392" s="893"/>
      <c r="X392" s="893"/>
      <c r="Y392" s="893"/>
      <c r="Z392" s="893"/>
      <c r="AA392" s="893"/>
      <c r="AB392" s="893"/>
      <c r="AC392" s="893"/>
      <c r="AD392" s="893"/>
      <c r="AE392" s="893"/>
      <c r="AF392" s="893"/>
      <c r="AG392" s="893"/>
      <c r="AH392" s="893"/>
      <c r="AI392" s="300"/>
      <c r="AJ392" s="300"/>
      <c r="AK392" s="300"/>
      <c r="AL392" s="300"/>
      <c r="AM392" s="300"/>
      <c r="AN392" s="127"/>
    </row>
    <row r="393" ht="14.25" customHeight="1">
      <c r="A393" s="127"/>
      <c r="B393" s="127"/>
      <c r="C393" s="127"/>
      <c r="D393" s="127"/>
      <c r="E393" s="127"/>
      <c r="F393" s="300"/>
      <c r="G393" s="300"/>
      <c r="H393" s="892"/>
      <c r="I393" s="892"/>
      <c r="J393" s="892"/>
      <c r="K393" s="892"/>
      <c r="L393" s="892"/>
      <c r="M393" s="892"/>
      <c r="N393" s="892"/>
      <c r="O393" s="892"/>
      <c r="P393" s="892"/>
      <c r="Q393" s="892"/>
      <c r="R393" s="892"/>
      <c r="S393" s="892"/>
      <c r="T393" s="892"/>
      <c r="U393" s="892"/>
      <c r="V393" s="892"/>
      <c r="W393" s="893"/>
      <c r="X393" s="893"/>
      <c r="Y393" s="893"/>
      <c r="Z393" s="893"/>
      <c r="AA393" s="893"/>
      <c r="AB393" s="893"/>
      <c r="AC393" s="893"/>
      <c r="AD393" s="893"/>
      <c r="AE393" s="893"/>
      <c r="AF393" s="893"/>
      <c r="AG393" s="893"/>
      <c r="AH393" s="893"/>
      <c r="AI393" s="300"/>
      <c r="AJ393" s="300"/>
      <c r="AK393" s="300"/>
      <c r="AL393" s="300"/>
      <c r="AM393" s="300"/>
      <c r="AN393" s="127"/>
    </row>
    <row r="394" ht="14.25" customHeight="1">
      <c r="A394" s="127"/>
      <c r="B394" s="127"/>
      <c r="C394" s="127"/>
      <c r="D394" s="127"/>
      <c r="E394" s="127"/>
      <c r="F394" s="300"/>
      <c r="G394" s="300"/>
      <c r="H394" s="892"/>
      <c r="I394" s="892"/>
      <c r="J394" s="892"/>
      <c r="K394" s="892"/>
      <c r="L394" s="892"/>
      <c r="M394" s="892"/>
      <c r="N394" s="892"/>
      <c r="O394" s="892"/>
      <c r="P394" s="892"/>
      <c r="Q394" s="892"/>
      <c r="R394" s="892"/>
      <c r="S394" s="892"/>
      <c r="T394" s="892"/>
      <c r="U394" s="892"/>
      <c r="V394" s="892"/>
      <c r="W394" s="893"/>
      <c r="X394" s="893"/>
      <c r="Y394" s="893"/>
      <c r="Z394" s="893"/>
      <c r="AA394" s="893"/>
      <c r="AB394" s="893"/>
      <c r="AC394" s="893"/>
      <c r="AD394" s="893"/>
      <c r="AE394" s="893"/>
      <c r="AF394" s="893"/>
      <c r="AG394" s="893"/>
      <c r="AH394" s="893"/>
      <c r="AI394" s="300"/>
      <c r="AJ394" s="300"/>
      <c r="AK394" s="300"/>
      <c r="AL394" s="300"/>
      <c r="AM394" s="300"/>
      <c r="AN394" s="127"/>
    </row>
    <row r="395" ht="14.25" customHeight="1">
      <c r="A395" s="127"/>
      <c r="B395" s="127"/>
      <c r="C395" s="127"/>
      <c r="D395" s="127"/>
      <c r="E395" s="127"/>
      <c r="F395" s="300"/>
      <c r="G395" s="300"/>
      <c r="H395" s="892"/>
      <c r="I395" s="892"/>
      <c r="J395" s="892"/>
      <c r="K395" s="892"/>
      <c r="L395" s="892"/>
      <c r="M395" s="892"/>
      <c r="N395" s="892"/>
      <c r="O395" s="892"/>
      <c r="P395" s="892"/>
      <c r="Q395" s="892"/>
      <c r="R395" s="892"/>
      <c r="S395" s="892"/>
      <c r="T395" s="892"/>
      <c r="U395" s="892"/>
      <c r="V395" s="892"/>
      <c r="W395" s="893"/>
      <c r="X395" s="893"/>
      <c r="Y395" s="893"/>
      <c r="Z395" s="893"/>
      <c r="AA395" s="893"/>
      <c r="AB395" s="893"/>
      <c r="AC395" s="893"/>
      <c r="AD395" s="893"/>
      <c r="AE395" s="893"/>
      <c r="AF395" s="893"/>
      <c r="AG395" s="893"/>
      <c r="AH395" s="893"/>
      <c r="AI395" s="300"/>
      <c r="AJ395" s="300"/>
      <c r="AK395" s="300"/>
      <c r="AL395" s="300"/>
      <c r="AM395" s="300"/>
      <c r="AN395" s="127"/>
    </row>
    <row r="396" ht="14.25" customHeight="1">
      <c r="A396" s="127"/>
      <c r="B396" s="127"/>
      <c r="C396" s="127"/>
      <c r="D396" s="127"/>
      <c r="E396" s="127"/>
      <c r="F396" s="300"/>
      <c r="G396" s="300"/>
      <c r="H396" s="892"/>
      <c r="I396" s="892"/>
      <c r="J396" s="892"/>
      <c r="K396" s="892"/>
      <c r="L396" s="892"/>
      <c r="M396" s="892"/>
      <c r="N396" s="892"/>
      <c r="O396" s="892"/>
      <c r="P396" s="892"/>
      <c r="Q396" s="892"/>
      <c r="R396" s="892"/>
      <c r="S396" s="892"/>
      <c r="T396" s="892"/>
      <c r="U396" s="892"/>
      <c r="V396" s="892"/>
      <c r="W396" s="893"/>
      <c r="X396" s="893"/>
      <c r="Y396" s="893"/>
      <c r="Z396" s="893"/>
      <c r="AA396" s="893"/>
      <c r="AB396" s="893"/>
      <c r="AC396" s="893"/>
      <c r="AD396" s="893"/>
      <c r="AE396" s="893"/>
      <c r="AF396" s="893"/>
      <c r="AG396" s="893"/>
      <c r="AH396" s="893"/>
      <c r="AI396" s="300"/>
      <c r="AJ396" s="300"/>
      <c r="AK396" s="300"/>
      <c r="AL396" s="300"/>
      <c r="AM396" s="300"/>
      <c r="AN396" s="127"/>
    </row>
    <row r="397" ht="14.25" customHeight="1">
      <c r="A397" s="127"/>
      <c r="B397" s="127"/>
      <c r="C397" s="127"/>
      <c r="D397" s="127"/>
      <c r="E397" s="127"/>
      <c r="F397" s="300"/>
      <c r="G397" s="300"/>
      <c r="H397" s="892"/>
      <c r="I397" s="892"/>
      <c r="J397" s="892"/>
      <c r="K397" s="892"/>
      <c r="L397" s="892"/>
      <c r="M397" s="892"/>
      <c r="N397" s="892"/>
      <c r="O397" s="892"/>
      <c r="P397" s="892"/>
      <c r="Q397" s="892"/>
      <c r="R397" s="892"/>
      <c r="S397" s="892"/>
      <c r="T397" s="892"/>
      <c r="U397" s="892"/>
      <c r="V397" s="892"/>
      <c r="W397" s="893"/>
      <c r="X397" s="893"/>
      <c r="Y397" s="893"/>
      <c r="Z397" s="893"/>
      <c r="AA397" s="893"/>
      <c r="AB397" s="893"/>
      <c r="AC397" s="893"/>
      <c r="AD397" s="893"/>
      <c r="AE397" s="893"/>
      <c r="AF397" s="893"/>
      <c r="AG397" s="893"/>
      <c r="AH397" s="893"/>
      <c r="AI397" s="300"/>
      <c r="AJ397" s="300"/>
      <c r="AK397" s="300"/>
      <c r="AL397" s="300"/>
      <c r="AM397" s="300"/>
      <c r="AN397" s="127"/>
    </row>
    <row r="398" ht="14.25" customHeight="1">
      <c r="A398" s="127"/>
      <c r="B398" s="127"/>
      <c r="C398" s="127"/>
      <c r="D398" s="127"/>
      <c r="E398" s="127"/>
      <c r="F398" s="300"/>
      <c r="G398" s="300"/>
      <c r="H398" s="892"/>
      <c r="I398" s="892"/>
      <c r="J398" s="892"/>
      <c r="K398" s="892"/>
      <c r="L398" s="892"/>
      <c r="M398" s="892"/>
      <c r="N398" s="892"/>
      <c r="O398" s="892"/>
      <c r="P398" s="892"/>
      <c r="Q398" s="892"/>
      <c r="R398" s="892"/>
      <c r="S398" s="892"/>
      <c r="T398" s="892"/>
      <c r="U398" s="892"/>
      <c r="V398" s="892"/>
      <c r="W398" s="893"/>
      <c r="X398" s="893"/>
      <c r="Y398" s="893"/>
      <c r="Z398" s="893"/>
      <c r="AA398" s="893"/>
      <c r="AB398" s="893"/>
      <c r="AC398" s="893"/>
      <c r="AD398" s="893"/>
      <c r="AE398" s="893"/>
      <c r="AF398" s="893"/>
      <c r="AG398" s="893"/>
      <c r="AH398" s="893"/>
      <c r="AI398" s="300"/>
      <c r="AJ398" s="300"/>
      <c r="AK398" s="300"/>
      <c r="AL398" s="300"/>
      <c r="AM398" s="300"/>
      <c r="AN398" s="127"/>
    </row>
    <row r="399" ht="14.25" customHeight="1">
      <c r="A399" s="127"/>
      <c r="B399" s="127"/>
      <c r="C399" s="127"/>
      <c r="D399" s="127"/>
      <c r="E399" s="127"/>
      <c r="F399" s="300"/>
      <c r="G399" s="300"/>
      <c r="H399" s="892"/>
      <c r="I399" s="892"/>
      <c r="J399" s="892"/>
      <c r="K399" s="892"/>
      <c r="L399" s="892"/>
      <c r="M399" s="892"/>
      <c r="N399" s="892"/>
      <c r="O399" s="892"/>
      <c r="P399" s="892"/>
      <c r="Q399" s="892"/>
      <c r="R399" s="892"/>
      <c r="S399" s="892"/>
      <c r="T399" s="892"/>
      <c r="U399" s="892"/>
      <c r="V399" s="892"/>
      <c r="W399" s="893"/>
      <c r="X399" s="893"/>
      <c r="Y399" s="893"/>
      <c r="Z399" s="893"/>
      <c r="AA399" s="893"/>
      <c r="AB399" s="893"/>
      <c r="AC399" s="893"/>
      <c r="AD399" s="893"/>
      <c r="AE399" s="893"/>
      <c r="AF399" s="893"/>
      <c r="AG399" s="893"/>
      <c r="AH399" s="893"/>
      <c r="AI399" s="300"/>
      <c r="AJ399" s="300"/>
      <c r="AK399" s="300"/>
      <c r="AL399" s="300"/>
      <c r="AM399" s="300"/>
      <c r="AN399" s="127"/>
    </row>
    <row r="400" ht="14.25" customHeight="1">
      <c r="A400" s="127"/>
      <c r="B400" s="127"/>
      <c r="C400" s="127"/>
      <c r="D400" s="127"/>
      <c r="E400" s="127"/>
      <c r="F400" s="300"/>
      <c r="G400" s="300"/>
      <c r="H400" s="892"/>
      <c r="I400" s="892"/>
      <c r="J400" s="892"/>
      <c r="K400" s="892"/>
      <c r="L400" s="892"/>
      <c r="M400" s="892"/>
      <c r="N400" s="892"/>
      <c r="O400" s="892"/>
      <c r="P400" s="892"/>
      <c r="Q400" s="892"/>
      <c r="R400" s="892"/>
      <c r="S400" s="892"/>
      <c r="T400" s="892"/>
      <c r="U400" s="892"/>
      <c r="V400" s="892"/>
      <c r="W400" s="893"/>
      <c r="X400" s="893"/>
      <c r="Y400" s="893"/>
      <c r="Z400" s="893"/>
      <c r="AA400" s="893"/>
      <c r="AB400" s="893"/>
      <c r="AC400" s="893"/>
      <c r="AD400" s="893"/>
      <c r="AE400" s="893"/>
      <c r="AF400" s="893"/>
      <c r="AG400" s="893"/>
      <c r="AH400" s="893"/>
      <c r="AI400" s="300"/>
      <c r="AJ400" s="300"/>
      <c r="AK400" s="300"/>
      <c r="AL400" s="300"/>
      <c r="AM400" s="300"/>
      <c r="AN400" s="127"/>
    </row>
    <row r="401" ht="14.25" customHeight="1">
      <c r="A401" s="127"/>
      <c r="B401" s="127"/>
      <c r="C401" s="127"/>
      <c r="D401" s="127"/>
      <c r="E401" s="127"/>
      <c r="F401" s="300"/>
      <c r="G401" s="300"/>
      <c r="H401" s="892"/>
      <c r="I401" s="892"/>
      <c r="J401" s="892"/>
      <c r="K401" s="892"/>
      <c r="L401" s="892"/>
      <c r="M401" s="892"/>
      <c r="N401" s="892"/>
      <c r="O401" s="892"/>
      <c r="P401" s="892"/>
      <c r="Q401" s="892"/>
      <c r="R401" s="892"/>
      <c r="S401" s="892"/>
      <c r="T401" s="892"/>
      <c r="U401" s="892"/>
      <c r="V401" s="892"/>
      <c r="W401" s="893"/>
      <c r="X401" s="893"/>
      <c r="Y401" s="893"/>
      <c r="Z401" s="893"/>
      <c r="AA401" s="893"/>
      <c r="AB401" s="893"/>
      <c r="AC401" s="893"/>
      <c r="AD401" s="893"/>
      <c r="AE401" s="893"/>
      <c r="AF401" s="893"/>
      <c r="AG401" s="893"/>
      <c r="AH401" s="893"/>
      <c r="AI401" s="300"/>
      <c r="AJ401" s="300"/>
      <c r="AK401" s="300"/>
      <c r="AL401" s="300"/>
      <c r="AM401" s="300"/>
      <c r="AN401" s="127"/>
    </row>
    <row r="402" ht="14.25" customHeight="1">
      <c r="A402" s="127"/>
      <c r="B402" s="127"/>
      <c r="C402" s="127"/>
      <c r="D402" s="127"/>
      <c r="E402" s="127"/>
      <c r="F402" s="300"/>
      <c r="G402" s="300"/>
      <c r="H402" s="892"/>
      <c r="I402" s="892"/>
      <c r="J402" s="892"/>
      <c r="K402" s="892"/>
      <c r="L402" s="892"/>
      <c r="M402" s="892"/>
      <c r="N402" s="892"/>
      <c r="O402" s="892"/>
      <c r="P402" s="892"/>
      <c r="Q402" s="892"/>
      <c r="R402" s="892"/>
      <c r="S402" s="892"/>
      <c r="T402" s="892"/>
      <c r="U402" s="892"/>
      <c r="V402" s="892"/>
      <c r="W402" s="893"/>
      <c r="X402" s="893"/>
      <c r="Y402" s="893"/>
      <c r="Z402" s="893"/>
      <c r="AA402" s="893"/>
      <c r="AB402" s="893"/>
      <c r="AC402" s="893"/>
      <c r="AD402" s="893"/>
      <c r="AE402" s="893"/>
      <c r="AF402" s="893"/>
      <c r="AG402" s="893"/>
      <c r="AH402" s="893"/>
      <c r="AI402" s="300"/>
      <c r="AJ402" s="300"/>
      <c r="AK402" s="300"/>
      <c r="AL402" s="300"/>
      <c r="AM402" s="300"/>
      <c r="AN402" s="127"/>
    </row>
    <row r="403" ht="14.25" customHeight="1">
      <c r="A403" s="127"/>
      <c r="B403" s="127"/>
      <c r="C403" s="127"/>
      <c r="D403" s="127"/>
      <c r="E403" s="127"/>
      <c r="F403" s="300"/>
      <c r="G403" s="300"/>
      <c r="H403" s="892"/>
      <c r="I403" s="892"/>
      <c r="J403" s="892"/>
      <c r="K403" s="892"/>
      <c r="L403" s="892"/>
      <c r="M403" s="892"/>
      <c r="N403" s="892"/>
      <c r="O403" s="892"/>
      <c r="P403" s="892"/>
      <c r="Q403" s="892"/>
      <c r="R403" s="892"/>
      <c r="S403" s="892"/>
      <c r="T403" s="892"/>
      <c r="U403" s="892"/>
      <c r="V403" s="892"/>
      <c r="W403" s="893"/>
      <c r="X403" s="893"/>
      <c r="Y403" s="893"/>
      <c r="Z403" s="893"/>
      <c r="AA403" s="893"/>
      <c r="AB403" s="893"/>
      <c r="AC403" s="893"/>
      <c r="AD403" s="893"/>
      <c r="AE403" s="893"/>
      <c r="AF403" s="893"/>
      <c r="AG403" s="893"/>
      <c r="AH403" s="893"/>
      <c r="AI403" s="300"/>
      <c r="AJ403" s="300"/>
      <c r="AK403" s="300"/>
      <c r="AL403" s="300"/>
      <c r="AM403" s="300"/>
      <c r="AN403" s="127"/>
    </row>
    <row r="404" ht="14.25" customHeight="1">
      <c r="A404" s="127"/>
      <c r="B404" s="127"/>
      <c r="C404" s="127"/>
      <c r="D404" s="127"/>
      <c r="E404" s="127"/>
      <c r="F404" s="300"/>
      <c r="G404" s="300"/>
      <c r="H404" s="892"/>
      <c r="I404" s="892"/>
      <c r="J404" s="892"/>
      <c r="K404" s="892"/>
      <c r="L404" s="892"/>
      <c r="M404" s="892"/>
      <c r="N404" s="892"/>
      <c r="O404" s="892"/>
      <c r="P404" s="892"/>
      <c r="Q404" s="892"/>
      <c r="R404" s="892"/>
      <c r="S404" s="892"/>
      <c r="T404" s="892"/>
      <c r="U404" s="892"/>
      <c r="V404" s="892"/>
      <c r="W404" s="893"/>
      <c r="X404" s="893"/>
      <c r="Y404" s="893"/>
      <c r="Z404" s="893"/>
      <c r="AA404" s="893"/>
      <c r="AB404" s="893"/>
      <c r="AC404" s="893"/>
      <c r="AD404" s="893"/>
      <c r="AE404" s="893"/>
      <c r="AF404" s="893"/>
      <c r="AG404" s="893"/>
      <c r="AH404" s="893"/>
      <c r="AI404" s="300"/>
      <c r="AJ404" s="300"/>
      <c r="AK404" s="300"/>
      <c r="AL404" s="300"/>
      <c r="AM404" s="300"/>
      <c r="AN404" s="127"/>
    </row>
    <row r="405" ht="14.25" customHeight="1">
      <c r="A405" s="127"/>
      <c r="B405" s="127"/>
      <c r="C405" s="127"/>
      <c r="D405" s="127"/>
      <c r="E405" s="127"/>
      <c r="F405" s="300"/>
      <c r="G405" s="300"/>
      <c r="H405" s="892"/>
      <c r="I405" s="892"/>
      <c r="J405" s="892"/>
      <c r="K405" s="892"/>
      <c r="L405" s="892"/>
      <c r="M405" s="892"/>
      <c r="N405" s="892"/>
      <c r="O405" s="892"/>
      <c r="P405" s="892"/>
      <c r="Q405" s="892"/>
      <c r="R405" s="892"/>
      <c r="S405" s="892"/>
      <c r="T405" s="892"/>
      <c r="U405" s="892"/>
      <c r="V405" s="892"/>
      <c r="W405" s="893"/>
      <c r="X405" s="893"/>
      <c r="Y405" s="893"/>
      <c r="Z405" s="893"/>
      <c r="AA405" s="893"/>
      <c r="AB405" s="893"/>
      <c r="AC405" s="893"/>
      <c r="AD405" s="893"/>
      <c r="AE405" s="893"/>
      <c r="AF405" s="893"/>
      <c r="AG405" s="893"/>
      <c r="AH405" s="893"/>
      <c r="AI405" s="300"/>
      <c r="AJ405" s="300"/>
      <c r="AK405" s="300"/>
      <c r="AL405" s="300"/>
      <c r="AM405" s="300"/>
      <c r="AN405" s="127"/>
    </row>
    <row r="406" ht="14.25" customHeight="1">
      <c r="A406" s="127"/>
      <c r="B406" s="127"/>
      <c r="C406" s="127"/>
      <c r="D406" s="127"/>
      <c r="E406" s="127"/>
      <c r="F406" s="300"/>
      <c r="G406" s="300"/>
      <c r="H406" s="892"/>
      <c r="I406" s="892"/>
      <c r="J406" s="892"/>
      <c r="K406" s="892"/>
      <c r="L406" s="892"/>
      <c r="M406" s="892"/>
      <c r="N406" s="892"/>
      <c r="O406" s="892"/>
      <c r="P406" s="892"/>
      <c r="Q406" s="892"/>
      <c r="R406" s="892"/>
      <c r="S406" s="892"/>
      <c r="T406" s="892"/>
      <c r="U406" s="892"/>
      <c r="V406" s="892"/>
      <c r="W406" s="893"/>
      <c r="X406" s="893"/>
      <c r="Y406" s="893"/>
      <c r="Z406" s="893"/>
      <c r="AA406" s="893"/>
      <c r="AB406" s="893"/>
      <c r="AC406" s="893"/>
      <c r="AD406" s="893"/>
      <c r="AE406" s="893"/>
      <c r="AF406" s="893"/>
      <c r="AG406" s="893"/>
      <c r="AH406" s="893"/>
      <c r="AI406" s="300"/>
      <c r="AJ406" s="300"/>
      <c r="AK406" s="300"/>
      <c r="AL406" s="300"/>
      <c r="AM406" s="300"/>
      <c r="AN406" s="127"/>
    </row>
    <row r="407" ht="14.25" customHeight="1">
      <c r="A407" s="127"/>
      <c r="B407" s="127"/>
      <c r="C407" s="127"/>
      <c r="D407" s="127"/>
      <c r="E407" s="127"/>
      <c r="F407" s="300"/>
      <c r="G407" s="300"/>
      <c r="H407" s="892"/>
      <c r="I407" s="892"/>
      <c r="J407" s="892"/>
      <c r="K407" s="892"/>
      <c r="L407" s="892"/>
      <c r="M407" s="892"/>
      <c r="N407" s="892"/>
      <c r="O407" s="892"/>
      <c r="P407" s="892"/>
      <c r="Q407" s="892"/>
      <c r="R407" s="892"/>
      <c r="S407" s="892"/>
      <c r="T407" s="892"/>
      <c r="U407" s="892"/>
      <c r="V407" s="892"/>
      <c r="W407" s="893"/>
      <c r="X407" s="893"/>
      <c r="Y407" s="893"/>
      <c r="Z407" s="893"/>
      <c r="AA407" s="893"/>
      <c r="AB407" s="893"/>
      <c r="AC407" s="893"/>
      <c r="AD407" s="893"/>
      <c r="AE407" s="893"/>
      <c r="AF407" s="893"/>
      <c r="AG407" s="893"/>
      <c r="AH407" s="893"/>
      <c r="AI407" s="300"/>
      <c r="AJ407" s="300"/>
      <c r="AK407" s="300"/>
      <c r="AL407" s="300"/>
      <c r="AM407" s="300"/>
      <c r="AN407" s="127"/>
    </row>
    <row r="408" ht="14.25" customHeight="1">
      <c r="A408" s="127"/>
      <c r="B408" s="127"/>
      <c r="C408" s="127"/>
      <c r="D408" s="127"/>
      <c r="E408" s="127"/>
      <c r="F408" s="300"/>
      <c r="G408" s="300"/>
      <c r="H408" s="892"/>
      <c r="I408" s="892"/>
      <c r="J408" s="892"/>
      <c r="K408" s="892"/>
      <c r="L408" s="892"/>
      <c r="M408" s="892"/>
      <c r="N408" s="892"/>
      <c r="O408" s="892"/>
      <c r="P408" s="892"/>
      <c r="Q408" s="892"/>
      <c r="R408" s="892"/>
      <c r="S408" s="892"/>
      <c r="T408" s="892"/>
      <c r="U408" s="892"/>
      <c r="V408" s="892"/>
      <c r="W408" s="893"/>
      <c r="X408" s="893"/>
      <c r="Y408" s="893"/>
      <c r="Z408" s="893"/>
      <c r="AA408" s="893"/>
      <c r="AB408" s="893"/>
      <c r="AC408" s="893"/>
      <c r="AD408" s="893"/>
      <c r="AE408" s="893"/>
      <c r="AF408" s="893"/>
      <c r="AG408" s="893"/>
      <c r="AH408" s="893"/>
      <c r="AI408" s="300"/>
      <c r="AJ408" s="300"/>
      <c r="AK408" s="300"/>
      <c r="AL408" s="300"/>
      <c r="AM408" s="300"/>
      <c r="AN408" s="127"/>
    </row>
    <row r="409" ht="14.25" customHeight="1">
      <c r="A409" s="127"/>
      <c r="B409" s="127"/>
      <c r="C409" s="127"/>
      <c r="D409" s="127"/>
      <c r="E409" s="127"/>
      <c r="F409" s="300"/>
      <c r="G409" s="300"/>
      <c r="H409" s="892"/>
      <c r="I409" s="892"/>
      <c r="J409" s="892"/>
      <c r="K409" s="892"/>
      <c r="L409" s="892"/>
      <c r="M409" s="892"/>
      <c r="N409" s="892"/>
      <c r="O409" s="892"/>
      <c r="P409" s="892"/>
      <c r="Q409" s="892"/>
      <c r="R409" s="892"/>
      <c r="S409" s="892"/>
      <c r="T409" s="892"/>
      <c r="U409" s="892"/>
      <c r="V409" s="892"/>
      <c r="W409" s="893"/>
      <c r="X409" s="893"/>
      <c r="Y409" s="893"/>
      <c r="Z409" s="893"/>
      <c r="AA409" s="893"/>
      <c r="AB409" s="893"/>
      <c r="AC409" s="893"/>
      <c r="AD409" s="893"/>
      <c r="AE409" s="893"/>
      <c r="AF409" s="893"/>
      <c r="AG409" s="893"/>
      <c r="AH409" s="893"/>
      <c r="AI409" s="300"/>
      <c r="AJ409" s="300"/>
      <c r="AK409" s="300"/>
      <c r="AL409" s="300"/>
      <c r="AM409" s="300"/>
      <c r="AN409" s="127"/>
    </row>
    <row r="410" ht="14.25" customHeight="1">
      <c r="A410" s="127"/>
      <c r="B410" s="127"/>
      <c r="C410" s="127"/>
      <c r="D410" s="127"/>
      <c r="E410" s="127"/>
      <c r="F410" s="300"/>
      <c r="G410" s="300"/>
      <c r="H410" s="892"/>
      <c r="I410" s="892"/>
      <c r="J410" s="892"/>
      <c r="K410" s="892"/>
      <c r="L410" s="892"/>
      <c r="M410" s="892"/>
      <c r="N410" s="892"/>
      <c r="O410" s="892"/>
      <c r="P410" s="892"/>
      <c r="Q410" s="892"/>
      <c r="R410" s="892"/>
      <c r="S410" s="892"/>
      <c r="T410" s="892"/>
      <c r="U410" s="892"/>
      <c r="V410" s="892"/>
      <c r="W410" s="893"/>
      <c r="X410" s="893"/>
      <c r="Y410" s="893"/>
      <c r="Z410" s="893"/>
      <c r="AA410" s="893"/>
      <c r="AB410" s="893"/>
      <c r="AC410" s="893"/>
      <c r="AD410" s="893"/>
      <c r="AE410" s="893"/>
      <c r="AF410" s="893"/>
      <c r="AG410" s="893"/>
      <c r="AH410" s="893"/>
      <c r="AI410" s="300"/>
      <c r="AJ410" s="300"/>
      <c r="AK410" s="300"/>
      <c r="AL410" s="300"/>
      <c r="AM410" s="300"/>
      <c r="AN410" s="127"/>
    </row>
    <row r="411" ht="14.25" customHeight="1">
      <c r="A411" s="127"/>
      <c r="B411" s="127"/>
      <c r="C411" s="127"/>
      <c r="D411" s="127"/>
      <c r="E411" s="127"/>
      <c r="F411" s="300"/>
      <c r="G411" s="300"/>
      <c r="H411" s="892"/>
      <c r="I411" s="892"/>
      <c r="J411" s="892"/>
      <c r="K411" s="892"/>
      <c r="L411" s="892"/>
      <c r="M411" s="892"/>
      <c r="N411" s="892"/>
      <c r="O411" s="892"/>
      <c r="P411" s="892"/>
      <c r="Q411" s="892"/>
      <c r="R411" s="892"/>
      <c r="S411" s="892"/>
      <c r="T411" s="892"/>
      <c r="U411" s="892"/>
      <c r="V411" s="892"/>
      <c r="W411" s="893"/>
      <c r="X411" s="893"/>
      <c r="Y411" s="893"/>
      <c r="Z411" s="893"/>
      <c r="AA411" s="893"/>
      <c r="AB411" s="893"/>
      <c r="AC411" s="893"/>
      <c r="AD411" s="893"/>
      <c r="AE411" s="893"/>
      <c r="AF411" s="893"/>
      <c r="AG411" s="893"/>
      <c r="AH411" s="893"/>
      <c r="AI411" s="300"/>
      <c r="AJ411" s="300"/>
      <c r="AK411" s="300"/>
      <c r="AL411" s="300"/>
      <c r="AM411" s="300"/>
      <c r="AN411" s="127"/>
    </row>
    <row r="412" ht="14.25" customHeight="1">
      <c r="A412" s="127"/>
      <c r="B412" s="127"/>
      <c r="C412" s="127"/>
      <c r="D412" s="127"/>
      <c r="E412" s="127"/>
      <c r="F412" s="300"/>
      <c r="G412" s="300"/>
      <c r="H412" s="892"/>
      <c r="I412" s="892"/>
      <c r="J412" s="892"/>
      <c r="K412" s="892"/>
      <c r="L412" s="892"/>
      <c r="M412" s="892"/>
      <c r="N412" s="892"/>
      <c r="O412" s="892"/>
      <c r="P412" s="892"/>
      <c r="Q412" s="892"/>
      <c r="R412" s="892"/>
      <c r="S412" s="892"/>
      <c r="T412" s="892"/>
      <c r="U412" s="892"/>
      <c r="V412" s="892"/>
      <c r="W412" s="893"/>
      <c r="X412" s="893"/>
      <c r="Y412" s="893"/>
      <c r="Z412" s="893"/>
      <c r="AA412" s="893"/>
      <c r="AB412" s="893"/>
      <c r="AC412" s="893"/>
      <c r="AD412" s="893"/>
      <c r="AE412" s="893"/>
      <c r="AF412" s="893"/>
      <c r="AG412" s="893"/>
      <c r="AH412" s="893"/>
      <c r="AI412" s="300"/>
      <c r="AJ412" s="300"/>
      <c r="AK412" s="300"/>
      <c r="AL412" s="300"/>
      <c r="AM412" s="300"/>
      <c r="AN412" s="127"/>
    </row>
    <row r="413" ht="14.25" customHeight="1">
      <c r="A413" s="127"/>
      <c r="B413" s="127"/>
      <c r="C413" s="127"/>
      <c r="D413" s="127"/>
      <c r="E413" s="127"/>
      <c r="F413" s="300"/>
      <c r="G413" s="300"/>
      <c r="H413" s="892"/>
      <c r="I413" s="892"/>
      <c r="J413" s="892"/>
      <c r="K413" s="892"/>
      <c r="L413" s="892"/>
      <c r="M413" s="892"/>
      <c r="N413" s="892"/>
      <c r="O413" s="892"/>
      <c r="P413" s="892"/>
      <c r="Q413" s="892"/>
      <c r="R413" s="892"/>
      <c r="S413" s="892"/>
      <c r="T413" s="892"/>
      <c r="U413" s="892"/>
      <c r="V413" s="892"/>
      <c r="W413" s="893"/>
      <c r="X413" s="893"/>
      <c r="Y413" s="893"/>
      <c r="Z413" s="893"/>
      <c r="AA413" s="893"/>
      <c r="AB413" s="893"/>
      <c r="AC413" s="893"/>
      <c r="AD413" s="893"/>
      <c r="AE413" s="893"/>
      <c r="AF413" s="893"/>
      <c r="AG413" s="893"/>
      <c r="AH413" s="893"/>
      <c r="AI413" s="300"/>
      <c r="AJ413" s="300"/>
      <c r="AK413" s="300"/>
      <c r="AL413" s="300"/>
      <c r="AM413" s="300"/>
      <c r="AN413" s="127"/>
    </row>
    <row r="414" ht="14.25" customHeight="1">
      <c r="A414" s="127"/>
      <c r="B414" s="127"/>
      <c r="C414" s="127"/>
      <c r="D414" s="127"/>
      <c r="E414" s="127"/>
      <c r="F414" s="300"/>
      <c r="G414" s="300"/>
      <c r="H414" s="892"/>
      <c r="I414" s="892"/>
      <c r="J414" s="892"/>
      <c r="K414" s="892"/>
      <c r="L414" s="892"/>
      <c r="M414" s="892"/>
      <c r="N414" s="892"/>
      <c r="O414" s="892"/>
      <c r="P414" s="892"/>
      <c r="Q414" s="892"/>
      <c r="R414" s="892"/>
      <c r="S414" s="892"/>
      <c r="T414" s="892"/>
      <c r="U414" s="892"/>
      <c r="V414" s="892"/>
      <c r="W414" s="893"/>
      <c r="X414" s="893"/>
      <c r="Y414" s="893"/>
      <c r="Z414" s="893"/>
      <c r="AA414" s="893"/>
      <c r="AB414" s="893"/>
      <c r="AC414" s="893"/>
      <c r="AD414" s="893"/>
      <c r="AE414" s="893"/>
      <c r="AF414" s="893"/>
      <c r="AG414" s="893"/>
      <c r="AH414" s="893"/>
      <c r="AI414" s="300"/>
      <c r="AJ414" s="300"/>
      <c r="AK414" s="300"/>
      <c r="AL414" s="300"/>
      <c r="AM414" s="300"/>
      <c r="AN414" s="127"/>
    </row>
    <row r="415" ht="14.25" customHeight="1">
      <c r="A415" s="127"/>
      <c r="B415" s="127"/>
      <c r="C415" s="127"/>
      <c r="D415" s="127"/>
      <c r="E415" s="127"/>
      <c r="F415" s="300"/>
      <c r="G415" s="300"/>
      <c r="H415" s="892"/>
      <c r="I415" s="892"/>
      <c r="J415" s="892"/>
      <c r="K415" s="892"/>
      <c r="L415" s="892"/>
      <c r="M415" s="892"/>
      <c r="N415" s="892"/>
      <c r="O415" s="892"/>
      <c r="P415" s="892"/>
      <c r="Q415" s="892"/>
      <c r="R415" s="892"/>
      <c r="S415" s="892"/>
      <c r="T415" s="892"/>
      <c r="U415" s="892"/>
      <c r="V415" s="892"/>
      <c r="W415" s="893"/>
      <c r="X415" s="893"/>
      <c r="Y415" s="893"/>
      <c r="Z415" s="893"/>
      <c r="AA415" s="893"/>
      <c r="AB415" s="893"/>
      <c r="AC415" s="893"/>
      <c r="AD415" s="893"/>
      <c r="AE415" s="893"/>
      <c r="AF415" s="893"/>
      <c r="AG415" s="893"/>
      <c r="AH415" s="893"/>
      <c r="AI415" s="300"/>
      <c r="AJ415" s="300"/>
      <c r="AK415" s="300"/>
      <c r="AL415" s="300"/>
      <c r="AM415" s="300"/>
      <c r="AN415" s="127"/>
    </row>
    <row r="416" ht="14.25" customHeight="1">
      <c r="A416" s="127"/>
      <c r="B416" s="127"/>
      <c r="C416" s="127"/>
      <c r="D416" s="127"/>
      <c r="E416" s="127"/>
      <c r="F416" s="300"/>
      <c r="G416" s="300"/>
      <c r="H416" s="892"/>
      <c r="I416" s="892"/>
      <c r="J416" s="892"/>
      <c r="K416" s="892"/>
      <c r="L416" s="892"/>
      <c r="M416" s="892"/>
      <c r="N416" s="892"/>
      <c r="O416" s="892"/>
      <c r="P416" s="892"/>
      <c r="Q416" s="892"/>
      <c r="R416" s="892"/>
      <c r="S416" s="892"/>
      <c r="T416" s="892"/>
      <c r="U416" s="892"/>
      <c r="V416" s="892"/>
      <c r="W416" s="893"/>
      <c r="X416" s="893"/>
      <c r="Y416" s="893"/>
      <c r="Z416" s="893"/>
      <c r="AA416" s="893"/>
      <c r="AB416" s="893"/>
      <c r="AC416" s="893"/>
      <c r="AD416" s="893"/>
      <c r="AE416" s="893"/>
      <c r="AF416" s="893"/>
      <c r="AG416" s="893"/>
      <c r="AH416" s="893"/>
      <c r="AI416" s="300"/>
      <c r="AJ416" s="300"/>
      <c r="AK416" s="300"/>
      <c r="AL416" s="300"/>
      <c r="AM416" s="300"/>
      <c r="AN416" s="127"/>
    </row>
    <row r="417" ht="14.25" customHeight="1">
      <c r="A417" s="127"/>
      <c r="B417" s="127"/>
      <c r="C417" s="127"/>
      <c r="D417" s="127"/>
      <c r="E417" s="127"/>
      <c r="F417" s="300"/>
      <c r="G417" s="300"/>
      <c r="H417" s="892"/>
      <c r="I417" s="892"/>
      <c r="J417" s="892"/>
      <c r="K417" s="892"/>
      <c r="L417" s="892"/>
      <c r="M417" s="892"/>
      <c r="N417" s="892"/>
      <c r="O417" s="892"/>
      <c r="P417" s="892"/>
      <c r="Q417" s="892"/>
      <c r="R417" s="892"/>
      <c r="S417" s="892"/>
      <c r="T417" s="892"/>
      <c r="U417" s="892"/>
      <c r="V417" s="892"/>
      <c r="W417" s="893"/>
      <c r="X417" s="893"/>
      <c r="Y417" s="893"/>
      <c r="Z417" s="893"/>
      <c r="AA417" s="893"/>
      <c r="AB417" s="893"/>
      <c r="AC417" s="893"/>
      <c r="AD417" s="893"/>
      <c r="AE417" s="893"/>
      <c r="AF417" s="893"/>
      <c r="AG417" s="893"/>
      <c r="AH417" s="893"/>
      <c r="AI417" s="300"/>
      <c r="AJ417" s="300"/>
      <c r="AK417" s="300"/>
      <c r="AL417" s="300"/>
      <c r="AM417" s="300"/>
      <c r="AN417" s="127"/>
    </row>
    <row r="418" ht="14.25" customHeight="1">
      <c r="A418" s="127"/>
      <c r="B418" s="127"/>
      <c r="C418" s="127"/>
      <c r="D418" s="127"/>
      <c r="E418" s="127"/>
      <c r="F418" s="300"/>
      <c r="G418" s="300"/>
      <c r="H418" s="892"/>
      <c r="I418" s="892"/>
      <c r="J418" s="892"/>
      <c r="K418" s="892"/>
      <c r="L418" s="892"/>
      <c r="M418" s="892"/>
      <c r="N418" s="892"/>
      <c r="O418" s="892"/>
      <c r="P418" s="892"/>
      <c r="Q418" s="892"/>
      <c r="R418" s="892"/>
      <c r="S418" s="892"/>
      <c r="T418" s="892"/>
      <c r="U418" s="892"/>
      <c r="V418" s="892"/>
      <c r="W418" s="893"/>
      <c r="X418" s="893"/>
      <c r="Y418" s="893"/>
      <c r="Z418" s="893"/>
      <c r="AA418" s="893"/>
      <c r="AB418" s="893"/>
      <c r="AC418" s="893"/>
      <c r="AD418" s="893"/>
      <c r="AE418" s="893"/>
      <c r="AF418" s="893"/>
      <c r="AG418" s="893"/>
      <c r="AH418" s="893"/>
      <c r="AI418" s="300"/>
      <c r="AJ418" s="300"/>
      <c r="AK418" s="300"/>
      <c r="AL418" s="300"/>
      <c r="AM418" s="300"/>
      <c r="AN418" s="127"/>
    </row>
    <row r="419" ht="14.25" customHeight="1">
      <c r="A419" s="127"/>
      <c r="B419" s="127"/>
      <c r="C419" s="127"/>
      <c r="D419" s="127"/>
      <c r="E419" s="127"/>
      <c r="F419" s="300"/>
      <c r="G419" s="300"/>
      <c r="H419" s="892"/>
      <c r="I419" s="892"/>
      <c r="J419" s="892"/>
      <c r="K419" s="892"/>
      <c r="L419" s="892"/>
      <c r="M419" s="892"/>
      <c r="N419" s="892"/>
      <c r="O419" s="892"/>
      <c r="P419" s="892"/>
      <c r="Q419" s="892"/>
      <c r="R419" s="892"/>
      <c r="S419" s="892"/>
      <c r="T419" s="892"/>
      <c r="U419" s="892"/>
      <c r="V419" s="892"/>
      <c r="W419" s="893"/>
      <c r="X419" s="893"/>
      <c r="Y419" s="893"/>
      <c r="Z419" s="893"/>
      <c r="AA419" s="893"/>
      <c r="AB419" s="893"/>
      <c r="AC419" s="893"/>
      <c r="AD419" s="893"/>
      <c r="AE419" s="893"/>
      <c r="AF419" s="893"/>
      <c r="AG419" s="893"/>
      <c r="AH419" s="893"/>
      <c r="AI419" s="300"/>
      <c r="AJ419" s="300"/>
      <c r="AK419" s="300"/>
      <c r="AL419" s="300"/>
      <c r="AM419" s="300"/>
      <c r="AN419" s="127"/>
    </row>
    <row r="420" ht="14.25" customHeight="1">
      <c r="A420" s="127"/>
      <c r="B420" s="127"/>
      <c r="C420" s="127"/>
      <c r="D420" s="127"/>
      <c r="E420" s="127"/>
      <c r="F420" s="300"/>
      <c r="G420" s="300"/>
      <c r="H420" s="892"/>
      <c r="I420" s="892"/>
      <c r="J420" s="892"/>
      <c r="K420" s="892"/>
      <c r="L420" s="892"/>
      <c r="M420" s="892"/>
      <c r="N420" s="892"/>
      <c r="O420" s="892"/>
      <c r="P420" s="892"/>
      <c r="Q420" s="892"/>
      <c r="R420" s="892"/>
      <c r="S420" s="892"/>
      <c r="T420" s="892"/>
      <c r="U420" s="892"/>
      <c r="V420" s="892"/>
      <c r="W420" s="893"/>
      <c r="X420" s="893"/>
      <c r="Y420" s="893"/>
      <c r="Z420" s="893"/>
      <c r="AA420" s="893"/>
      <c r="AB420" s="893"/>
      <c r="AC420" s="893"/>
      <c r="AD420" s="893"/>
      <c r="AE420" s="893"/>
      <c r="AF420" s="893"/>
      <c r="AG420" s="893"/>
      <c r="AH420" s="893"/>
      <c r="AI420" s="300"/>
      <c r="AJ420" s="300"/>
      <c r="AK420" s="300"/>
      <c r="AL420" s="300"/>
      <c r="AM420" s="300"/>
      <c r="AN420" s="127"/>
    </row>
    <row r="421" ht="14.25" customHeight="1">
      <c r="A421" s="127"/>
      <c r="B421" s="127"/>
      <c r="C421" s="127"/>
      <c r="D421" s="127"/>
      <c r="E421" s="127"/>
      <c r="F421" s="300"/>
      <c r="G421" s="300"/>
      <c r="H421" s="892"/>
      <c r="I421" s="892"/>
      <c r="J421" s="892"/>
      <c r="K421" s="892"/>
      <c r="L421" s="892"/>
      <c r="M421" s="892"/>
      <c r="N421" s="892"/>
      <c r="O421" s="892"/>
      <c r="P421" s="892"/>
      <c r="Q421" s="892"/>
      <c r="R421" s="892"/>
      <c r="S421" s="892"/>
      <c r="T421" s="892"/>
      <c r="U421" s="892"/>
      <c r="V421" s="892"/>
      <c r="W421" s="893"/>
      <c r="X421" s="893"/>
      <c r="Y421" s="893"/>
      <c r="Z421" s="893"/>
      <c r="AA421" s="893"/>
      <c r="AB421" s="893"/>
      <c r="AC421" s="893"/>
      <c r="AD421" s="893"/>
      <c r="AE421" s="893"/>
      <c r="AF421" s="893"/>
      <c r="AG421" s="893"/>
      <c r="AH421" s="893"/>
      <c r="AI421" s="300"/>
      <c r="AJ421" s="300"/>
      <c r="AK421" s="300"/>
      <c r="AL421" s="300"/>
      <c r="AM421" s="300"/>
      <c r="AN421" s="127"/>
    </row>
    <row r="422" ht="14.25" customHeight="1">
      <c r="A422" s="127"/>
      <c r="B422" s="127"/>
      <c r="C422" s="127"/>
      <c r="D422" s="127"/>
      <c r="E422" s="127"/>
      <c r="F422" s="300"/>
      <c r="G422" s="300"/>
      <c r="H422" s="892"/>
      <c r="I422" s="892"/>
      <c r="J422" s="892"/>
      <c r="K422" s="892"/>
      <c r="L422" s="892"/>
      <c r="M422" s="892"/>
      <c r="N422" s="892"/>
      <c r="O422" s="892"/>
      <c r="P422" s="892"/>
      <c r="Q422" s="892"/>
      <c r="R422" s="892"/>
      <c r="S422" s="892"/>
      <c r="T422" s="892"/>
      <c r="U422" s="892"/>
      <c r="V422" s="892"/>
      <c r="W422" s="893"/>
      <c r="X422" s="893"/>
      <c r="Y422" s="893"/>
      <c r="Z422" s="893"/>
      <c r="AA422" s="893"/>
      <c r="AB422" s="893"/>
      <c r="AC422" s="893"/>
      <c r="AD422" s="893"/>
      <c r="AE422" s="893"/>
      <c r="AF422" s="893"/>
      <c r="AG422" s="893"/>
      <c r="AH422" s="893"/>
      <c r="AI422" s="300"/>
      <c r="AJ422" s="300"/>
      <c r="AK422" s="300"/>
      <c r="AL422" s="300"/>
      <c r="AM422" s="300"/>
      <c r="AN422" s="127"/>
    </row>
    <row r="423" ht="14.25" customHeight="1">
      <c r="A423" s="127"/>
      <c r="B423" s="127"/>
      <c r="C423" s="127"/>
      <c r="D423" s="127"/>
      <c r="E423" s="127"/>
      <c r="F423" s="300"/>
      <c r="G423" s="300"/>
      <c r="H423" s="892"/>
      <c r="I423" s="892"/>
      <c r="J423" s="892"/>
      <c r="K423" s="892"/>
      <c r="L423" s="892"/>
      <c r="M423" s="892"/>
      <c r="N423" s="892"/>
      <c r="O423" s="892"/>
      <c r="P423" s="892"/>
      <c r="Q423" s="892"/>
      <c r="R423" s="892"/>
      <c r="S423" s="892"/>
      <c r="T423" s="892"/>
      <c r="U423" s="892"/>
      <c r="V423" s="892"/>
      <c r="W423" s="893"/>
      <c r="X423" s="893"/>
      <c r="Y423" s="893"/>
      <c r="Z423" s="893"/>
      <c r="AA423" s="893"/>
      <c r="AB423" s="893"/>
      <c r="AC423" s="893"/>
      <c r="AD423" s="893"/>
      <c r="AE423" s="893"/>
      <c r="AF423" s="893"/>
      <c r="AG423" s="893"/>
      <c r="AH423" s="893"/>
      <c r="AI423" s="300"/>
      <c r="AJ423" s="300"/>
      <c r="AK423" s="300"/>
      <c r="AL423" s="300"/>
      <c r="AM423" s="300"/>
      <c r="AN423" s="127"/>
    </row>
    <row r="424" ht="14.25" customHeight="1">
      <c r="A424" s="127"/>
      <c r="B424" s="127"/>
      <c r="C424" s="127"/>
      <c r="D424" s="127"/>
      <c r="E424" s="127"/>
      <c r="F424" s="300"/>
      <c r="G424" s="300"/>
      <c r="H424" s="892"/>
      <c r="I424" s="892"/>
      <c r="J424" s="892"/>
      <c r="K424" s="892"/>
      <c r="L424" s="892"/>
      <c r="M424" s="892"/>
      <c r="N424" s="892"/>
      <c r="O424" s="892"/>
      <c r="P424" s="892"/>
      <c r="Q424" s="892"/>
      <c r="R424" s="892"/>
      <c r="S424" s="892"/>
      <c r="T424" s="892"/>
      <c r="U424" s="892"/>
      <c r="V424" s="892"/>
      <c r="W424" s="893"/>
      <c r="X424" s="893"/>
      <c r="Y424" s="893"/>
      <c r="Z424" s="893"/>
      <c r="AA424" s="893"/>
      <c r="AB424" s="893"/>
      <c r="AC424" s="893"/>
      <c r="AD424" s="893"/>
      <c r="AE424" s="893"/>
      <c r="AF424" s="893"/>
      <c r="AG424" s="893"/>
      <c r="AH424" s="893"/>
      <c r="AI424" s="300"/>
      <c r="AJ424" s="300"/>
      <c r="AK424" s="300"/>
      <c r="AL424" s="300"/>
      <c r="AM424" s="300"/>
      <c r="AN424" s="127"/>
    </row>
    <row r="425" ht="14.25" customHeight="1">
      <c r="A425" s="127"/>
      <c r="B425" s="127"/>
      <c r="C425" s="127"/>
      <c r="D425" s="127"/>
      <c r="E425" s="127"/>
      <c r="F425" s="300"/>
      <c r="G425" s="300"/>
      <c r="H425" s="892"/>
      <c r="I425" s="892"/>
      <c r="J425" s="892"/>
      <c r="K425" s="892"/>
      <c r="L425" s="892"/>
      <c r="M425" s="892"/>
      <c r="N425" s="892"/>
      <c r="O425" s="892"/>
      <c r="P425" s="892"/>
      <c r="Q425" s="892"/>
      <c r="R425" s="892"/>
      <c r="S425" s="892"/>
      <c r="T425" s="892"/>
      <c r="U425" s="892"/>
      <c r="V425" s="892"/>
      <c r="W425" s="893"/>
      <c r="X425" s="893"/>
      <c r="Y425" s="893"/>
      <c r="Z425" s="893"/>
      <c r="AA425" s="893"/>
      <c r="AB425" s="893"/>
      <c r="AC425" s="893"/>
      <c r="AD425" s="893"/>
      <c r="AE425" s="893"/>
      <c r="AF425" s="893"/>
      <c r="AG425" s="893"/>
      <c r="AH425" s="893"/>
      <c r="AI425" s="300"/>
      <c r="AJ425" s="300"/>
      <c r="AK425" s="300"/>
      <c r="AL425" s="300"/>
      <c r="AM425" s="300"/>
      <c r="AN425" s="127"/>
    </row>
    <row r="426" ht="14.25" customHeight="1">
      <c r="A426" s="127"/>
      <c r="B426" s="127"/>
      <c r="C426" s="127"/>
      <c r="D426" s="127"/>
      <c r="E426" s="127"/>
      <c r="F426" s="300"/>
      <c r="G426" s="300"/>
      <c r="H426" s="892"/>
      <c r="I426" s="892"/>
      <c r="J426" s="892"/>
      <c r="K426" s="892"/>
      <c r="L426" s="892"/>
      <c r="M426" s="892"/>
      <c r="N426" s="892"/>
      <c r="O426" s="892"/>
      <c r="P426" s="892"/>
      <c r="Q426" s="892"/>
      <c r="R426" s="892"/>
      <c r="S426" s="892"/>
      <c r="T426" s="892"/>
      <c r="U426" s="892"/>
      <c r="V426" s="892"/>
      <c r="W426" s="893"/>
      <c r="X426" s="893"/>
      <c r="Y426" s="893"/>
      <c r="Z426" s="893"/>
      <c r="AA426" s="893"/>
      <c r="AB426" s="893"/>
      <c r="AC426" s="893"/>
      <c r="AD426" s="893"/>
      <c r="AE426" s="893"/>
      <c r="AF426" s="893"/>
      <c r="AG426" s="893"/>
      <c r="AH426" s="893"/>
      <c r="AI426" s="300"/>
      <c r="AJ426" s="300"/>
      <c r="AK426" s="300"/>
      <c r="AL426" s="300"/>
      <c r="AM426" s="300"/>
      <c r="AN426" s="127"/>
    </row>
    <row r="427" ht="14.25" customHeight="1">
      <c r="A427" s="127"/>
      <c r="B427" s="127"/>
      <c r="C427" s="127"/>
      <c r="D427" s="127"/>
      <c r="E427" s="127"/>
      <c r="F427" s="300"/>
      <c r="G427" s="300"/>
      <c r="H427" s="892"/>
      <c r="I427" s="892"/>
      <c r="J427" s="892"/>
      <c r="K427" s="892"/>
      <c r="L427" s="892"/>
      <c r="M427" s="892"/>
      <c r="N427" s="892"/>
      <c r="O427" s="892"/>
      <c r="P427" s="892"/>
      <c r="Q427" s="892"/>
      <c r="R427" s="892"/>
      <c r="S427" s="892"/>
      <c r="T427" s="892"/>
      <c r="U427" s="892"/>
      <c r="V427" s="892"/>
      <c r="W427" s="893"/>
      <c r="X427" s="893"/>
      <c r="Y427" s="893"/>
      <c r="Z427" s="893"/>
      <c r="AA427" s="893"/>
      <c r="AB427" s="893"/>
      <c r="AC427" s="893"/>
      <c r="AD427" s="893"/>
      <c r="AE427" s="893"/>
      <c r="AF427" s="893"/>
      <c r="AG427" s="893"/>
      <c r="AH427" s="893"/>
      <c r="AI427" s="300"/>
      <c r="AJ427" s="300"/>
      <c r="AK427" s="300"/>
      <c r="AL427" s="300"/>
      <c r="AM427" s="300"/>
      <c r="AN427" s="127"/>
    </row>
    <row r="428" ht="14.25" customHeight="1">
      <c r="A428" s="127"/>
      <c r="B428" s="127"/>
      <c r="C428" s="127"/>
      <c r="D428" s="127"/>
      <c r="E428" s="127"/>
      <c r="F428" s="300"/>
      <c r="G428" s="300"/>
      <c r="H428" s="892"/>
      <c r="I428" s="892"/>
      <c r="J428" s="892"/>
      <c r="K428" s="892"/>
      <c r="L428" s="892"/>
      <c r="M428" s="892"/>
      <c r="N428" s="892"/>
      <c r="O428" s="892"/>
      <c r="P428" s="892"/>
      <c r="Q428" s="892"/>
      <c r="R428" s="892"/>
      <c r="S428" s="892"/>
      <c r="T428" s="892"/>
      <c r="U428" s="892"/>
      <c r="V428" s="892"/>
      <c r="W428" s="893"/>
      <c r="X428" s="893"/>
      <c r="Y428" s="893"/>
      <c r="Z428" s="893"/>
      <c r="AA428" s="893"/>
      <c r="AB428" s="893"/>
      <c r="AC428" s="893"/>
      <c r="AD428" s="893"/>
      <c r="AE428" s="893"/>
      <c r="AF428" s="893"/>
      <c r="AG428" s="893"/>
      <c r="AH428" s="893"/>
      <c r="AI428" s="300"/>
      <c r="AJ428" s="300"/>
      <c r="AK428" s="300"/>
      <c r="AL428" s="300"/>
      <c r="AM428" s="300"/>
      <c r="AN428" s="127"/>
    </row>
    <row r="429" ht="14.25" customHeight="1">
      <c r="A429" s="127"/>
      <c r="B429" s="127"/>
      <c r="C429" s="127"/>
      <c r="D429" s="127"/>
      <c r="E429" s="127"/>
      <c r="F429" s="300"/>
      <c r="G429" s="300"/>
      <c r="H429" s="892"/>
      <c r="I429" s="892"/>
      <c r="J429" s="892"/>
      <c r="K429" s="892"/>
      <c r="L429" s="892"/>
      <c r="M429" s="892"/>
      <c r="N429" s="892"/>
      <c r="O429" s="892"/>
      <c r="P429" s="892"/>
      <c r="Q429" s="892"/>
      <c r="R429" s="892"/>
      <c r="S429" s="892"/>
      <c r="T429" s="892"/>
      <c r="U429" s="892"/>
      <c r="V429" s="892"/>
      <c r="W429" s="893"/>
      <c r="X429" s="893"/>
      <c r="Y429" s="893"/>
      <c r="Z429" s="893"/>
      <c r="AA429" s="893"/>
      <c r="AB429" s="893"/>
      <c r="AC429" s="893"/>
      <c r="AD429" s="893"/>
      <c r="AE429" s="893"/>
      <c r="AF429" s="893"/>
      <c r="AG429" s="893"/>
      <c r="AH429" s="893"/>
      <c r="AI429" s="300"/>
      <c r="AJ429" s="300"/>
      <c r="AK429" s="300"/>
      <c r="AL429" s="300"/>
      <c r="AM429" s="300"/>
      <c r="AN429" s="127"/>
    </row>
    <row r="430" ht="14.25" customHeight="1">
      <c r="A430" s="127"/>
      <c r="B430" s="127"/>
      <c r="C430" s="127"/>
      <c r="D430" s="127"/>
      <c r="E430" s="127"/>
      <c r="F430" s="300"/>
      <c r="G430" s="300"/>
      <c r="H430" s="892"/>
      <c r="I430" s="892"/>
      <c r="J430" s="892"/>
      <c r="K430" s="892"/>
      <c r="L430" s="892"/>
      <c r="M430" s="892"/>
      <c r="N430" s="892"/>
      <c r="O430" s="892"/>
      <c r="P430" s="892"/>
      <c r="Q430" s="892"/>
      <c r="R430" s="892"/>
      <c r="S430" s="892"/>
      <c r="T430" s="892"/>
      <c r="U430" s="892"/>
      <c r="V430" s="892"/>
      <c r="W430" s="893"/>
      <c r="X430" s="893"/>
      <c r="Y430" s="893"/>
      <c r="Z430" s="893"/>
      <c r="AA430" s="893"/>
      <c r="AB430" s="893"/>
      <c r="AC430" s="893"/>
      <c r="AD430" s="893"/>
      <c r="AE430" s="893"/>
      <c r="AF430" s="893"/>
      <c r="AG430" s="893"/>
      <c r="AH430" s="893"/>
      <c r="AI430" s="300"/>
      <c r="AJ430" s="300"/>
      <c r="AK430" s="300"/>
      <c r="AL430" s="300"/>
      <c r="AM430" s="300"/>
      <c r="AN430" s="127"/>
    </row>
    <row r="431" ht="14.25" customHeight="1">
      <c r="A431" s="127"/>
      <c r="B431" s="127"/>
      <c r="C431" s="127"/>
      <c r="D431" s="127"/>
      <c r="E431" s="127"/>
      <c r="F431" s="300"/>
      <c r="G431" s="300"/>
      <c r="H431" s="892"/>
      <c r="I431" s="892"/>
      <c r="J431" s="892"/>
      <c r="K431" s="892"/>
      <c r="L431" s="892"/>
      <c r="M431" s="892"/>
      <c r="N431" s="892"/>
      <c r="O431" s="892"/>
      <c r="P431" s="892"/>
      <c r="Q431" s="892"/>
      <c r="R431" s="892"/>
      <c r="S431" s="892"/>
      <c r="T431" s="892"/>
      <c r="U431" s="892"/>
      <c r="V431" s="892"/>
      <c r="W431" s="893"/>
      <c r="X431" s="893"/>
      <c r="Y431" s="893"/>
      <c r="Z431" s="893"/>
      <c r="AA431" s="893"/>
      <c r="AB431" s="893"/>
      <c r="AC431" s="893"/>
      <c r="AD431" s="893"/>
      <c r="AE431" s="893"/>
      <c r="AF431" s="893"/>
      <c r="AG431" s="893"/>
      <c r="AH431" s="893"/>
      <c r="AI431" s="300"/>
      <c r="AJ431" s="300"/>
      <c r="AK431" s="300"/>
      <c r="AL431" s="300"/>
      <c r="AM431" s="300"/>
      <c r="AN431" s="127"/>
    </row>
    <row r="432" ht="14.25" customHeight="1">
      <c r="A432" s="127"/>
      <c r="B432" s="127"/>
      <c r="C432" s="127"/>
      <c r="D432" s="127"/>
      <c r="E432" s="127"/>
      <c r="F432" s="300"/>
      <c r="G432" s="300"/>
      <c r="H432" s="892"/>
      <c r="I432" s="892"/>
      <c r="J432" s="892"/>
      <c r="K432" s="892"/>
      <c r="L432" s="892"/>
      <c r="M432" s="892"/>
      <c r="N432" s="892"/>
      <c r="O432" s="892"/>
      <c r="P432" s="892"/>
      <c r="Q432" s="892"/>
      <c r="R432" s="892"/>
      <c r="S432" s="892"/>
      <c r="T432" s="892"/>
      <c r="U432" s="892"/>
      <c r="V432" s="892"/>
      <c r="W432" s="893"/>
      <c r="X432" s="893"/>
      <c r="Y432" s="893"/>
      <c r="Z432" s="893"/>
      <c r="AA432" s="893"/>
      <c r="AB432" s="893"/>
      <c r="AC432" s="893"/>
      <c r="AD432" s="893"/>
      <c r="AE432" s="893"/>
      <c r="AF432" s="893"/>
      <c r="AG432" s="893"/>
      <c r="AH432" s="893"/>
      <c r="AI432" s="300"/>
      <c r="AJ432" s="300"/>
      <c r="AK432" s="300"/>
      <c r="AL432" s="300"/>
      <c r="AM432" s="300"/>
      <c r="AN432" s="127"/>
    </row>
    <row r="433" ht="14.25" customHeight="1">
      <c r="A433" s="127"/>
      <c r="B433" s="127"/>
      <c r="C433" s="127"/>
      <c r="D433" s="127"/>
      <c r="E433" s="127"/>
      <c r="F433" s="300"/>
      <c r="G433" s="300"/>
      <c r="H433" s="892"/>
      <c r="I433" s="892"/>
      <c r="J433" s="892"/>
      <c r="K433" s="892"/>
      <c r="L433" s="892"/>
      <c r="M433" s="892"/>
      <c r="N433" s="892"/>
      <c r="O433" s="892"/>
      <c r="P433" s="892"/>
      <c r="Q433" s="892"/>
      <c r="R433" s="892"/>
      <c r="S433" s="892"/>
      <c r="T433" s="892"/>
      <c r="U433" s="892"/>
      <c r="V433" s="892"/>
      <c r="W433" s="893"/>
      <c r="X433" s="893"/>
      <c r="Y433" s="893"/>
      <c r="Z433" s="893"/>
      <c r="AA433" s="893"/>
      <c r="AB433" s="893"/>
      <c r="AC433" s="893"/>
      <c r="AD433" s="893"/>
      <c r="AE433" s="893"/>
      <c r="AF433" s="893"/>
      <c r="AG433" s="893"/>
      <c r="AH433" s="893"/>
      <c r="AI433" s="300"/>
      <c r="AJ433" s="300"/>
      <c r="AK433" s="300"/>
      <c r="AL433" s="300"/>
      <c r="AM433" s="300"/>
      <c r="AN433" s="127"/>
    </row>
    <row r="434" ht="14.25" customHeight="1">
      <c r="A434" s="127"/>
      <c r="B434" s="127"/>
      <c r="C434" s="127"/>
      <c r="D434" s="127"/>
      <c r="E434" s="127"/>
      <c r="F434" s="300"/>
      <c r="G434" s="300"/>
      <c r="H434" s="892"/>
      <c r="I434" s="892"/>
      <c r="J434" s="892"/>
      <c r="K434" s="892"/>
      <c r="L434" s="892"/>
      <c r="M434" s="892"/>
      <c r="N434" s="892"/>
      <c r="O434" s="892"/>
      <c r="P434" s="892"/>
      <c r="Q434" s="892"/>
      <c r="R434" s="892"/>
      <c r="S434" s="892"/>
      <c r="T434" s="892"/>
      <c r="U434" s="892"/>
      <c r="V434" s="892"/>
      <c r="W434" s="893"/>
      <c r="X434" s="893"/>
      <c r="Y434" s="893"/>
      <c r="Z434" s="893"/>
      <c r="AA434" s="893"/>
      <c r="AB434" s="893"/>
      <c r="AC434" s="893"/>
      <c r="AD434" s="893"/>
      <c r="AE434" s="893"/>
      <c r="AF434" s="893"/>
      <c r="AG434" s="893"/>
      <c r="AH434" s="893"/>
      <c r="AI434" s="300"/>
      <c r="AJ434" s="300"/>
      <c r="AK434" s="300"/>
      <c r="AL434" s="300"/>
      <c r="AM434" s="300"/>
      <c r="AN434" s="127"/>
    </row>
    <row r="435" ht="14.25" customHeight="1">
      <c r="A435" s="127"/>
      <c r="B435" s="127"/>
      <c r="C435" s="127"/>
      <c r="D435" s="127"/>
      <c r="E435" s="127"/>
      <c r="F435" s="300"/>
      <c r="G435" s="300"/>
      <c r="H435" s="892"/>
      <c r="I435" s="892"/>
      <c r="J435" s="892"/>
      <c r="K435" s="892"/>
      <c r="L435" s="892"/>
      <c r="M435" s="892"/>
      <c r="N435" s="892"/>
      <c r="O435" s="892"/>
      <c r="P435" s="892"/>
      <c r="Q435" s="892"/>
      <c r="R435" s="892"/>
      <c r="S435" s="892"/>
      <c r="T435" s="892"/>
      <c r="U435" s="892"/>
      <c r="V435" s="892"/>
      <c r="W435" s="893"/>
      <c r="X435" s="893"/>
      <c r="Y435" s="893"/>
      <c r="Z435" s="893"/>
      <c r="AA435" s="893"/>
      <c r="AB435" s="893"/>
      <c r="AC435" s="893"/>
      <c r="AD435" s="893"/>
      <c r="AE435" s="893"/>
      <c r="AF435" s="893"/>
      <c r="AG435" s="893"/>
      <c r="AH435" s="893"/>
      <c r="AI435" s="300"/>
      <c r="AJ435" s="300"/>
      <c r="AK435" s="300"/>
      <c r="AL435" s="300"/>
      <c r="AM435" s="300"/>
      <c r="AN435" s="127"/>
    </row>
    <row r="436" ht="14.25" customHeight="1">
      <c r="A436" s="127"/>
      <c r="B436" s="127"/>
      <c r="C436" s="127"/>
      <c r="D436" s="127"/>
      <c r="E436" s="127"/>
      <c r="F436" s="300"/>
      <c r="G436" s="300"/>
      <c r="H436" s="892"/>
      <c r="I436" s="892"/>
      <c r="J436" s="892"/>
      <c r="K436" s="892"/>
      <c r="L436" s="892"/>
      <c r="M436" s="892"/>
      <c r="N436" s="892"/>
      <c r="O436" s="892"/>
      <c r="P436" s="892"/>
      <c r="Q436" s="892"/>
      <c r="R436" s="892"/>
      <c r="S436" s="892"/>
      <c r="T436" s="892"/>
      <c r="U436" s="892"/>
      <c r="V436" s="892"/>
      <c r="W436" s="893"/>
      <c r="X436" s="893"/>
      <c r="Y436" s="893"/>
      <c r="Z436" s="893"/>
      <c r="AA436" s="893"/>
      <c r="AB436" s="893"/>
      <c r="AC436" s="893"/>
      <c r="AD436" s="893"/>
      <c r="AE436" s="893"/>
      <c r="AF436" s="893"/>
      <c r="AG436" s="893"/>
      <c r="AH436" s="893"/>
      <c r="AI436" s="300"/>
      <c r="AJ436" s="300"/>
      <c r="AK436" s="300"/>
      <c r="AL436" s="300"/>
      <c r="AM436" s="300"/>
      <c r="AN436" s="127"/>
    </row>
    <row r="437" ht="14.25" customHeight="1">
      <c r="A437" s="127"/>
      <c r="B437" s="127"/>
      <c r="C437" s="127"/>
      <c r="D437" s="127"/>
      <c r="E437" s="127"/>
      <c r="F437" s="300"/>
      <c r="G437" s="300"/>
      <c r="H437" s="892"/>
      <c r="I437" s="892"/>
      <c r="J437" s="892"/>
      <c r="K437" s="892"/>
      <c r="L437" s="892"/>
      <c r="M437" s="892"/>
      <c r="N437" s="892"/>
      <c r="O437" s="892"/>
      <c r="P437" s="892"/>
      <c r="Q437" s="892"/>
      <c r="R437" s="892"/>
      <c r="S437" s="892"/>
      <c r="T437" s="892"/>
      <c r="U437" s="892"/>
      <c r="V437" s="892"/>
      <c r="W437" s="893"/>
      <c r="X437" s="893"/>
      <c r="Y437" s="893"/>
      <c r="Z437" s="893"/>
      <c r="AA437" s="893"/>
      <c r="AB437" s="893"/>
      <c r="AC437" s="893"/>
      <c r="AD437" s="893"/>
      <c r="AE437" s="893"/>
      <c r="AF437" s="893"/>
      <c r="AG437" s="893"/>
      <c r="AH437" s="893"/>
      <c r="AI437" s="300"/>
      <c r="AJ437" s="300"/>
      <c r="AK437" s="300"/>
      <c r="AL437" s="300"/>
      <c r="AM437" s="300"/>
      <c r="AN437" s="127"/>
    </row>
    <row r="438" ht="14.25" customHeight="1">
      <c r="A438" s="127"/>
      <c r="B438" s="127"/>
      <c r="C438" s="127"/>
      <c r="D438" s="127"/>
      <c r="E438" s="127"/>
      <c r="F438" s="300"/>
      <c r="G438" s="300"/>
      <c r="H438" s="892"/>
      <c r="I438" s="892"/>
      <c r="J438" s="892"/>
      <c r="K438" s="892"/>
      <c r="L438" s="892"/>
      <c r="M438" s="892"/>
      <c r="N438" s="892"/>
      <c r="O438" s="892"/>
      <c r="P438" s="892"/>
      <c r="Q438" s="892"/>
      <c r="R438" s="892"/>
      <c r="S438" s="892"/>
      <c r="T438" s="892"/>
      <c r="U438" s="892"/>
      <c r="V438" s="892"/>
      <c r="W438" s="893"/>
      <c r="X438" s="893"/>
      <c r="Y438" s="893"/>
      <c r="Z438" s="893"/>
      <c r="AA438" s="893"/>
      <c r="AB438" s="893"/>
      <c r="AC438" s="893"/>
      <c r="AD438" s="893"/>
      <c r="AE438" s="893"/>
      <c r="AF438" s="893"/>
      <c r="AG438" s="893"/>
      <c r="AH438" s="893"/>
      <c r="AI438" s="300"/>
      <c r="AJ438" s="300"/>
      <c r="AK438" s="300"/>
      <c r="AL438" s="300"/>
      <c r="AM438" s="300"/>
      <c r="AN438" s="127"/>
    </row>
    <row r="439" ht="14.25" customHeight="1">
      <c r="A439" s="127"/>
      <c r="B439" s="127"/>
      <c r="C439" s="127"/>
      <c r="D439" s="127"/>
      <c r="E439" s="127"/>
      <c r="F439" s="300"/>
      <c r="G439" s="300"/>
      <c r="H439" s="892"/>
      <c r="I439" s="892"/>
      <c r="J439" s="892"/>
      <c r="K439" s="892"/>
      <c r="L439" s="892"/>
      <c r="M439" s="892"/>
      <c r="N439" s="892"/>
      <c r="O439" s="892"/>
      <c r="P439" s="892"/>
      <c r="Q439" s="892"/>
      <c r="R439" s="892"/>
      <c r="S439" s="892"/>
      <c r="T439" s="892"/>
      <c r="U439" s="892"/>
      <c r="V439" s="892"/>
      <c r="W439" s="893"/>
      <c r="X439" s="893"/>
      <c r="Y439" s="893"/>
      <c r="Z439" s="893"/>
      <c r="AA439" s="893"/>
      <c r="AB439" s="893"/>
      <c r="AC439" s="893"/>
      <c r="AD439" s="893"/>
      <c r="AE439" s="893"/>
      <c r="AF439" s="893"/>
      <c r="AG439" s="893"/>
      <c r="AH439" s="893"/>
      <c r="AI439" s="300"/>
      <c r="AJ439" s="300"/>
      <c r="AK439" s="300"/>
      <c r="AL439" s="300"/>
      <c r="AM439" s="300"/>
      <c r="AN439" s="127"/>
    </row>
    <row r="440" ht="14.25" customHeight="1">
      <c r="A440" s="127"/>
      <c r="B440" s="127"/>
      <c r="C440" s="127"/>
      <c r="D440" s="127"/>
      <c r="E440" s="127"/>
      <c r="F440" s="300"/>
      <c r="G440" s="300"/>
      <c r="H440" s="892"/>
      <c r="I440" s="892"/>
      <c r="J440" s="892"/>
      <c r="K440" s="892"/>
      <c r="L440" s="892"/>
      <c r="M440" s="892"/>
      <c r="N440" s="892"/>
      <c r="O440" s="892"/>
      <c r="P440" s="892"/>
      <c r="Q440" s="892"/>
      <c r="R440" s="892"/>
      <c r="S440" s="892"/>
      <c r="T440" s="892"/>
      <c r="U440" s="892"/>
      <c r="V440" s="892"/>
      <c r="W440" s="893"/>
      <c r="X440" s="893"/>
      <c r="Y440" s="893"/>
      <c r="Z440" s="893"/>
      <c r="AA440" s="893"/>
      <c r="AB440" s="893"/>
      <c r="AC440" s="893"/>
      <c r="AD440" s="893"/>
      <c r="AE440" s="893"/>
      <c r="AF440" s="893"/>
      <c r="AG440" s="893"/>
      <c r="AH440" s="893"/>
      <c r="AI440" s="300"/>
      <c r="AJ440" s="300"/>
      <c r="AK440" s="300"/>
      <c r="AL440" s="300"/>
      <c r="AM440" s="300"/>
      <c r="AN440" s="127"/>
    </row>
    <row r="441" ht="14.25" customHeight="1">
      <c r="A441" s="127"/>
      <c r="B441" s="127"/>
      <c r="C441" s="127"/>
      <c r="D441" s="127"/>
      <c r="E441" s="127"/>
      <c r="F441" s="300"/>
      <c r="G441" s="300"/>
      <c r="H441" s="892"/>
      <c r="I441" s="892"/>
      <c r="J441" s="892"/>
      <c r="K441" s="892"/>
      <c r="L441" s="892"/>
      <c r="M441" s="892"/>
      <c r="N441" s="892"/>
      <c r="O441" s="892"/>
      <c r="P441" s="892"/>
      <c r="Q441" s="892"/>
      <c r="R441" s="892"/>
      <c r="S441" s="892"/>
      <c r="T441" s="892"/>
      <c r="U441" s="892"/>
      <c r="V441" s="892"/>
      <c r="W441" s="893"/>
      <c r="X441" s="893"/>
      <c r="Y441" s="893"/>
      <c r="Z441" s="893"/>
      <c r="AA441" s="893"/>
      <c r="AB441" s="893"/>
      <c r="AC441" s="893"/>
      <c r="AD441" s="893"/>
      <c r="AE441" s="893"/>
      <c r="AF441" s="893"/>
      <c r="AG441" s="893"/>
      <c r="AH441" s="893"/>
      <c r="AI441" s="300"/>
      <c r="AJ441" s="300"/>
      <c r="AK441" s="300"/>
      <c r="AL441" s="300"/>
      <c r="AM441" s="300"/>
      <c r="AN441" s="127"/>
    </row>
    <row r="442" ht="14.25" customHeight="1">
      <c r="A442" s="127"/>
      <c r="B442" s="127"/>
      <c r="C442" s="127"/>
      <c r="D442" s="127"/>
      <c r="E442" s="127"/>
      <c r="F442" s="300"/>
      <c r="G442" s="300"/>
      <c r="H442" s="892"/>
      <c r="I442" s="892"/>
      <c r="J442" s="892"/>
      <c r="K442" s="892"/>
      <c r="L442" s="892"/>
      <c r="M442" s="892"/>
      <c r="N442" s="892"/>
      <c r="O442" s="892"/>
      <c r="P442" s="892"/>
      <c r="Q442" s="892"/>
      <c r="R442" s="892"/>
      <c r="S442" s="892"/>
      <c r="T442" s="892"/>
      <c r="U442" s="892"/>
      <c r="V442" s="892"/>
      <c r="W442" s="893"/>
      <c r="X442" s="893"/>
      <c r="Y442" s="893"/>
      <c r="Z442" s="893"/>
      <c r="AA442" s="893"/>
      <c r="AB442" s="893"/>
      <c r="AC442" s="893"/>
      <c r="AD442" s="893"/>
      <c r="AE442" s="893"/>
      <c r="AF442" s="893"/>
      <c r="AG442" s="893"/>
      <c r="AH442" s="893"/>
      <c r="AI442" s="300"/>
      <c r="AJ442" s="300"/>
      <c r="AK442" s="300"/>
      <c r="AL442" s="300"/>
      <c r="AM442" s="300"/>
      <c r="AN442" s="127"/>
    </row>
    <row r="443" ht="14.25" customHeight="1">
      <c r="A443" s="127"/>
      <c r="B443" s="127"/>
      <c r="C443" s="127"/>
      <c r="D443" s="127"/>
      <c r="E443" s="127"/>
      <c r="F443" s="300"/>
      <c r="G443" s="300"/>
      <c r="H443" s="892"/>
      <c r="I443" s="892"/>
      <c r="J443" s="892"/>
      <c r="K443" s="892"/>
      <c r="L443" s="892"/>
      <c r="M443" s="892"/>
      <c r="N443" s="892"/>
      <c r="O443" s="892"/>
      <c r="P443" s="892"/>
      <c r="Q443" s="892"/>
      <c r="R443" s="892"/>
      <c r="S443" s="892"/>
      <c r="T443" s="892"/>
      <c r="U443" s="892"/>
      <c r="V443" s="892"/>
      <c r="W443" s="893"/>
      <c r="X443" s="893"/>
      <c r="Y443" s="893"/>
      <c r="Z443" s="893"/>
      <c r="AA443" s="893"/>
      <c r="AB443" s="893"/>
      <c r="AC443" s="893"/>
      <c r="AD443" s="893"/>
      <c r="AE443" s="893"/>
      <c r="AF443" s="893"/>
      <c r="AG443" s="893"/>
      <c r="AH443" s="893"/>
      <c r="AI443" s="300"/>
      <c r="AJ443" s="300"/>
      <c r="AK443" s="300"/>
      <c r="AL443" s="300"/>
      <c r="AM443" s="300"/>
      <c r="AN443" s="127"/>
    </row>
    <row r="444" ht="14.25" customHeight="1">
      <c r="A444" s="127"/>
      <c r="B444" s="127"/>
      <c r="C444" s="127"/>
      <c r="D444" s="127"/>
      <c r="E444" s="127"/>
      <c r="F444" s="300"/>
      <c r="G444" s="300"/>
      <c r="H444" s="892"/>
      <c r="I444" s="892"/>
      <c r="J444" s="892"/>
      <c r="K444" s="892"/>
      <c r="L444" s="892"/>
      <c r="M444" s="892"/>
      <c r="N444" s="892"/>
      <c r="O444" s="892"/>
      <c r="P444" s="892"/>
      <c r="Q444" s="892"/>
      <c r="R444" s="892"/>
      <c r="S444" s="892"/>
      <c r="T444" s="892"/>
      <c r="U444" s="892"/>
      <c r="V444" s="892"/>
      <c r="W444" s="893"/>
      <c r="X444" s="893"/>
      <c r="Y444" s="893"/>
      <c r="Z444" s="893"/>
      <c r="AA444" s="893"/>
      <c r="AB444" s="893"/>
      <c r="AC444" s="893"/>
      <c r="AD444" s="893"/>
      <c r="AE444" s="893"/>
      <c r="AF444" s="893"/>
      <c r="AG444" s="893"/>
      <c r="AH444" s="893"/>
      <c r="AI444" s="300"/>
      <c r="AJ444" s="300"/>
      <c r="AK444" s="300"/>
      <c r="AL444" s="300"/>
      <c r="AM444" s="300"/>
      <c r="AN444" s="127"/>
    </row>
    <row r="445" ht="14.25" customHeight="1">
      <c r="A445" s="127"/>
      <c r="B445" s="127"/>
      <c r="C445" s="127"/>
      <c r="D445" s="127"/>
      <c r="E445" s="127"/>
      <c r="F445" s="300"/>
      <c r="G445" s="300"/>
      <c r="H445" s="892"/>
      <c r="I445" s="892"/>
      <c r="J445" s="892"/>
      <c r="K445" s="892"/>
      <c r="L445" s="892"/>
      <c r="M445" s="892"/>
      <c r="N445" s="892"/>
      <c r="O445" s="892"/>
      <c r="P445" s="892"/>
      <c r="Q445" s="892"/>
      <c r="R445" s="892"/>
      <c r="S445" s="892"/>
      <c r="T445" s="892"/>
      <c r="U445" s="892"/>
      <c r="V445" s="892"/>
      <c r="W445" s="893"/>
      <c r="X445" s="893"/>
      <c r="Y445" s="893"/>
      <c r="Z445" s="893"/>
      <c r="AA445" s="893"/>
      <c r="AB445" s="893"/>
      <c r="AC445" s="893"/>
      <c r="AD445" s="893"/>
      <c r="AE445" s="893"/>
      <c r="AF445" s="893"/>
      <c r="AG445" s="893"/>
      <c r="AH445" s="893"/>
      <c r="AI445" s="300"/>
      <c r="AJ445" s="300"/>
      <c r="AK445" s="300"/>
      <c r="AL445" s="300"/>
      <c r="AM445" s="300"/>
      <c r="AN445" s="127"/>
    </row>
    <row r="446" ht="14.25" customHeight="1">
      <c r="A446" s="127"/>
      <c r="B446" s="127"/>
      <c r="C446" s="127"/>
      <c r="D446" s="127"/>
      <c r="E446" s="127"/>
      <c r="F446" s="300"/>
      <c r="G446" s="300"/>
      <c r="H446" s="892"/>
      <c r="I446" s="892"/>
      <c r="J446" s="892"/>
      <c r="K446" s="892"/>
      <c r="L446" s="892"/>
      <c r="M446" s="892"/>
      <c r="N446" s="892"/>
      <c r="O446" s="892"/>
      <c r="P446" s="892"/>
      <c r="Q446" s="892"/>
      <c r="R446" s="892"/>
      <c r="S446" s="892"/>
      <c r="T446" s="892"/>
      <c r="U446" s="892"/>
      <c r="V446" s="892"/>
      <c r="W446" s="893"/>
      <c r="X446" s="893"/>
      <c r="Y446" s="893"/>
      <c r="Z446" s="893"/>
      <c r="AA446" s="893"/>
      <c r="AB446" s="893"/>
      <c r="AC446" s="893"/>
      <c r="AD446" s="893"/>
      <c r="AE446" s="893"/>
      <c r="AF446" s="893"/>
      <c r="AG446" s="893"/>
      <c r="AH446" s="893"/>
      <c r="AI446" s="300"/>
      <c r="AJ446" s="300"/>
      <c r="AK446" s="300"/>
      <c r="AL446" s="300"/>
      <c r="AM446" s="300"/>
      <c r="AN446" s="127"/>
    </row>
    <row r="447" ht="14.25" customHeight="1">
      <c r="A447" s="127"/>
      <c r="B447" s="127"/>
      <c r="C447" s="127"/>
      <c r="D447" s="127"/>
      <c r="E447" s="127"/>
      <c r="F447" s="300"/>
      <c r="G447" s="300"/>
      <c r="H447" s="892"/>
      <c r="I447" s="892"/>
      <c r="J447" s="892"/>
      <c r="K447" s="892"/>
      <c r="L447" s="892"/>
      <c r="M447" s="892"/>
      <c r="N447" s="892"/>
      <c r="O447" s="892"/>
      <c r="P447" s="892"/>
      <c r="Q447" s="892"/>
      <c r="R447" s="892"/>
      <c r="S447" s="892"/>
      <c r="T447" s="892"/>
      <c r="U447" s="892"/>
      <c r="V447" s="892"/>
      <c r="W447" s="893"/>
      <c r="X447" s="893"/>
      <c r="Y447" s="893"/>
      <c r="Z447" s="893"/>
      <c r="AA447" s="893"/>
      <c r="AB447" s="893"/>
      <c r="AC447" s="893"/>
      <c r="AD447" s="893"/>
      <c r="AE447" s="893"/>
      <c r="AF447" s="893"/>
      <c r="AG447" s="893"/>
      <c r="AH447" s="893"/>
      <c r="AI447" s="300"/>
      <c r="AJ447" s="300"/>
      <c r="AK447" s="300"/>
      <c r="AL447" s="300"/>
      <c r="AM447" s="300"/>
      <c r="AN447" s="127"/>
    </row>
    <row r="448" ht="14.25" customHeight="1">
      <c r="A448" s="127"/>
      <c r="B448" s="127"/>
      <c r="C448" s="127"/>
      <c r="D448" s="127"/>
      <c r="E448" s="127"/>
      <c r="F448" s="300"/>
      <c r="G448" s="300"/>
      <c r="H448" s="892"/>
      <c r="I448" s="892"/>
      <c r="J448" s="892"/>
      <c r="K448" s="892"/>
      <c r="L448" s="892"/>
      <c r="M448" s="892"/>
      <c r="N448" s="892"/>
      <c r="O448" s="892"/>
      <c r="P448" s="892"/>
      <c r="Q448" s="892"/>
      <c r="R448" s="892"/>
      <c r="S448" s="892"/>
      <c r="T448" s="892"/>
      <c r="U448" s="892"/>
      <c r="V448" s="892"/>
      <c r="W448" s="893"/>
      <c r="X448" s="893"/>
      <c r="Y448" s="893"/>
      <c r="Z448" s="893"/>
      <c r="AA448" s="893"/>
      <c r="AB448" s="893"/>
      <c r="AC448" s="893"/>
      <c r="AD448" s="893"/>
      <c r="AE448" s="893"/>
      <c r="AF448" s="893"/>
      <c r="AG448" s="893"/>
      <c r="AH448" s="893"/>
      <c r="AI448" s="300"/>
      <c r="AJ448" s="300"/>
      <c r="AK448" s="300"/>
      <c r="AL448" s="300"/>
      <c r="AM448" s="300"/>
      <c r="AN448" s="127"/>
    </row>
    <row r="449" ht="14.25" customHeight="1">
      <c r="A449" s="127"/>
      <c r="B449" s="127"/>
      <c r="C449" s="127"/>
      <c r="D449" s="127"/>
      <c r="E449" s="127"/>
      <c r="F449" s="300"/>
      <c r="G449" s="300"/>
      <c r="H449" s="892"/>
      <c r="I449" s="892"/>
      <c r="J449" s="892"/>
      <c r="K449" s="892"/>
      <c r="L449" s="892"/>
      <c r="M449" s="892"/>
      <c r="N449" s="892"/>
      <c r="O449" s="892"/>
      <c r="P449" s="892"/>
      <c r="Q449" s="892"/>
      <c r="R449" s="892"/>
      <c r="S449" s="892"/>
      <c r="T449" s="892"/>
      <c r="U449" s="892"/>
      <c r="V449" s="892"/>
      <c r="W449" s="893"/>
      <c r="X449" s="893"/>
      <c r="Y449" s="893"/>
      <c r="Z449" s="893"/>
      <c r="AA449" s="893"/>
      <c r="AB449" s="893"/>
      <c r="AC449" s="893"/>
      <c r="AD449" s="893"/>
      <c r="AE449" s="893"/>
      <c r="AF449" s="893"/>
      <c r="AG449" s="893"/>
      <c r="AH449" s="893"/>
      <c r="AI449" s="300"/>
      <c r="AJ449" s="300"/>
      <c r="AK449" s="300"/>
      <c r="AL449" s="300"/>
      <c r="AM449" s="300"/>
      <c r="AN449" s="127"/>
    </row>
    <row r="450" ht="14.25" customHeight="1">
      <c r="A450" s="127"/>
      <c r="B450" s="127"/>
      <c r="C450" s="127"/>
      <c r="D450" s="127"/>
      <c r="E450" s="127"/>
      <c r="F450" s="300"/>
      <c r="G450" s="300"/>
      <c r="H450" s="892"/>
      <c r="I450" s="892"/>
      <c r="J450" s="892"/>
      <c r="K450" s="892"/>
      <c r="L450" s="892"/>
      <c r="M450" s="892"/>
      <c r="N450" s="892"/>
      <c r="O450" s="892"/>
      <c r="P450" s="892"/>
      <c r="Q450" s="892"/>
      <c r="R450" s="892"/>
      <c r="S450" s="892"/>
      <c r="T450" s="892"/>
      <c r="U450" s="892"/>
      <c r="V450" s="892"/>
      <c r="W450" s="893"/>
      <c r="X450" s="893"/>
      <c r="Y450" s="893"/>
      <c r="Z450" s="893"/>
      <c r="AA450" s="893"/>
      <c r="AB450" s="893"/>
      <c r="AC450" s="893"/>
      <c r="AD450" s="893"/>
      <c r="AE450" s="893"/>
      <c r="AF450" s="893"/>
      <c r="AG450" s="893"/>
      <c r="AH450" s="893"/>
      <c r="AI450" s="300"/>
      <c r="AJ450" s="300"/>
      <c r="AK450" s="300"/>
      <c r="AL450" s="300"/>
      <c r="AM450" s="300"/>
      <c r="AN450" s="127"/>
    </row>
    <row r="451" ht="14.25" customHeight="1">
      <c r="A451" s="127"/>
      <c r="B451" s="127"/>
      <c r="C451" s="127"/>
      <c r="D451" s="127"/>
      <c r="E451" s="127"/>
      <c r="F451" s="300"/>
      <c r="G451" s="300"/>
      <c r="H451" s="892"/>
      <c r="I451" s="892"/>
      <c r="J451" s="892"/>
      <c r="K451" s="892"/>
      <c r="L451" s="892"/>
      <c r="M451" s="892"/>
      <c r="N451" s="892"/>
      <c r="O451" s="892"/>
      <c r="P451" s="892"/>
      <c r="Q451" s="892"/>
      <c r="R451" s="892"/>
      <c r="S451" s="892"/>
      <c r="T451" s="892"/>
      <c r="U451" s="892"/>
      <c r="V451" s="892"/>
      <c r="W451" s="893"/>
      <c r="X451" s="893"/>
      <c r="Y451" s="893"/>
      <c r="Z451" s="893"/>
      <c r="AA451" s="893"/>
      <c r="AB451" s="893"/>
      <c r="AC451" s="893"/>
      <c r="AD451" s="893"/>
      <c r="AE451" s="893"/>
      <c r="AF451" s="893"/>
      <c r="AG451" s="893"/>
      <c r="AH451" s="893"/>
      <c r="AI451" s="300"/>
      <c r="AJ451" s="300"/>
      <c r="AK451" s="300"/>
      <c r="AL451" s="300"/>
      <c r="AM451" s="300"/>
      <c r="AN451" s="127"/>
    </row>
    <row r="452" ht="14.25" customHeight="1">
      <c r="A452" s="127"/>
      <c r="B452" s="127"/>
      <c r="C452" s="127"/>
      <c r="D452" s="127"/>
      <c r="E452" s="127"/>
      <c r="F452" s="300"/>
      <c r="G452" s="300"/>
      <c r="H452" s="892"/>
      <c r="I452" s="892"/>
      <c r="J452" s="892"/>
      <c r="K452" s="892"/>
      <c r="L452" s="892"/>
      <c r="M452" s="892"/>
      <c r="N452" s="892"/>
      <c r="O452" s="892"/>
      <c r="P452" s="892"/>
      <c r="Q452" s="892"/>
      <c r="R452" s="892"/>
      <c r="S452" s="892"/>
      <c r="T452" s="892"/>
      <c r="U452" s="892"/>
      <c r="V452" s="892"/>
      <c r="W452" s="893"/>
      <c r="X452" s="893"/>
      <c r="Y452" s="893"/>
      <c r="Z452" s="893"/>
      <c r="AA452" s="893"/>
      <c r="AB452" s="893"/>
      <c r="AC452" s="893"/>
      <c r="AD452" s="893"/>
      <c r="AE452" s="893"/>
      <c r="AF452" s="893"/>
      <c r="AG452" s="893"/>
      <c r="AH452" s="893"/>
      <c r="AI452" s="300"/>
      <c r="AJ452" s="300"/>
      <c r="AK452" s="300"/>
      <c r="AL452" s="300"/>
      <c r="AM452" s="300"/>
      <c r="AN452" s="127"/>
    </row>
    <row r="453" ht="14.25" customHeight="1">
      <c r="A453" s="127"/>
      <c r="B453" s="127"/>
      <c r="C453" s="127"/>
      <c r="D453" s="127"/>
      <c r="E453" s="127"/>
      <c r="F453" s="300"/>
      <c r="G453" s="300"/>
      <c r="H453" s="892"/>
      <c r="I453" s="892"/>
      <c r="J453" s="892"/>
      <c r="K453" s="892"/>
      <c r="L453" s="892"/>
      <c r="M453" s="892"/>
      <c r="N453" s="892"/>
      <c r="O453" s="892"/>
      <c r="P453" s="892"/>
      <c r="Q453" s="892"/>
      <c r="R453" s="892"/>
      <c r="S453" s="892"/>
      <c r="T453" s="892"/>
      <c r="U453" s="892"/>
      <c r="V453" s="892"/>
      <c r="W453" s="893"/>
      <c r="X453" s="893"/>
      <c r="Y453" s="893"/>
      <c r="Z453" s="893"/>
      <c r="AA453" s="893"/>
      <c r="AB453" s="893"/>
      <c r="AC453" s="893"/>
      <c r="AD453" s="893"/>
      <c r="AE453" s="893"/>
      <c r="AF453" s="893"/>
      <c r="AG453" s="893"/>
      <c r="AH453" s="893"/>
      <c r="AI453" s="300"/>
      <c r="AJ453" s="300"/>
      <c r="AK453" s="300"/>
      <c r="AL453" s="300"/>
      <c r="AM453" s="300"/>
      <c r="AN453" s="127"/>
    </row>
    <row r="454" ht="14.25" customHeight="1">
      <c r="A454" s="127"/>
      <c r="B454" s="127"/>
      <c r="C454" s="127"/>
      <c r="D454" s="127"/>
      <c r="E454" s="127"/>
      <c r="F454" s="300"/>
      <c r="G454" s="300"/>
      <c r="H454" s="892"/>
      <c r="I454" s="892"/>
      <c r="J454" s="892"/>
      <c r="K454" s="892"/>
      <c r="L454" s="892"/>
      <c r="M454" s="892"/>
      <c r="N454" s="892"/>
      <c r="O454" s="892"/>
      <c r="P454" s="892"/>
      <c r="Q454" s="892"/>
      <c r="R454" s="892"/>
      <c r="S454" s="892"/>
      <c r="T454" s="892"/>
      <c r="U454" s="892"/>
      <c r="V454" s="892"/>
      <c r="W454" s="893"/>
      <c r="X454" s="893"/>
      <c r="Y454" s="893"/>
      <c r="Z454" s="893"/>
      <c r="AA454" s="893"/>
      <c r="AB454" s="893"/>
      <c r="AC454" s="893"/>
      <c r="AD454" s="893"/>
      <c r="AE454" s="893"/>
      <c r="AF454" s="893"/>
      <c r="AG454" s="893"/>
      <c r="AH454" s="893"/>
      <c r="AI454" s="300"/>
      <c r="AJ454" s="300"/>
      <c r="AK454" s="300"/>
      <c r="AL454" s="300"/>
      <c r="AM454" s="300"/>
      <c r="AN454" s="127"/>
    </row>
    <row r="455" ht="14.25" customHeight="1">
      <c r="A455" s="127"/>
      <c r="B455" s="127"/>
      <c r="C455" s="127"/>
      <c r="D455" s="127"/>
      <c r="E455" s="127"/>
      <c r="F455" s="300"/>
      <c r="G455" s="300"/>
      <c r="H455" s="892"/>
      <c r="I455" s="892"/>
      <c r="J455" s="892"/>
      <c r="K455" s="892"/>
      <c r="L455" s="892"/>
      <c r="M455" s="892"/>
      <c r="N455" s="892"/>
      <c r="O455" s="892"/>
      <c r="P455" s="892"/>
      <c r="Q455" s="892"/>
      <c r="R455" s="892"/>
      <c r="S455" s="892"/>
      <c r="T455" s="892"/>
      <c r="U455" s="892"/>
      <c r="V455" s="892"/>
      <c r="W455" s="893"/>
      <c r="X455" s="893"/>
      <c r="Y455" s="893"/>
      <c r="Z455" s="893"/>
      <c r="AA455" s="893"/>
      <c r="AB455" s="893"/>
      <c r="AC455" s="893"/>
      <c r="AD455" s="893"/>
      <c r="AE455" s="893"/>
      <c r="AF455" s="893"/>
      <c r="AG455" s="893"/>
      <c r="AH455" s="893"/>
      <c r="AI455" s="300"/>
      <c r="AJ455" s="300"/>
      <c r="AK455" s="300"/>
      <c r="AL455" s="300"/>
      <c r="AM455" s="300"/>
      <c r="AN455" s="127"/>
    </row>
    <row r="456" ht="14.25" customHeight="1">
      <c r="A456" s="127"/>
      <c r="B456" s="127"/>
      <c r="C456" s="127"/>
      <c r="D456" s="127"/>
      <c r="E456" s="127"/>
      <c r="F456" s="300"/>
      <c r="G456" s="300"/>
      <c r="H456" s="892"/>
      <c r="I456" s="892"/>
      <c r="J456" s="892"/>
      <c r="K456" s="892"/>
      <c r="L456" s="892"/>
      <c r="M456" s="892"/>
      <c r="N456" s="892"/>
      <c r="O456" s="892"/>
      <c r="P456" s="892"/>
      <c r="Q456" s="892"/>
      <c r="R456" s="892"/>
      <c r="S456" s="892"/>
      <c r="T456" s="892"/>
      <c r="U456" s="892"/>
      <c r="V456" s="892"/>
      <c r="W456" s="893"/>
      <c r="X456" s="893"/>
      <c r="Y456" s="893"/>
      <c r="Z456" s="893"/>
      <c r="AA456" s="893"/>
      <c r="AB456" s="893"/>
      <c r="AC456" s="893"/>
      <c r="AD456" s="893"/>
      <c r="AE456" s="893"/>
      <c r="AF456" s="893"/>
      <c r="AG456" s="893"/>
      <c r="AH456" s="893"/>
      <c r="AI456" s="300"/>
      <c r="AJ456" s="300"/>
      <c r="AK456" s="300"/>
      <c r="AL456" s="300"/>
      <c r="AM456" s="300"/>
      <c r="AN456" s="127"/>
    </row>
    <row r="457" ht="14.25" customHeight="1">
      <c r="A457" s="127"/>
      <c r="B457" s="127"/>
      <c r="C457" s="127"/>
      <c r="D457" s="127"/>
      <c r="E457" s="127"/>
      <c r="F457" s="300"/>
      <c r="G457" s="300"/>
      <c r="H457" s="892"/>
      <c r="I457" s="892"/>
      <c r="J457" s="892"/>
      <c r="K457" s="892"/>
      <c r="L457" s="892"/>
      <c r="M457" s="892"/>
      <c r="N457" s="892"/>
      <c r="O457" s="892"/>
      <c r="P457" s="892"/>
      <c r="Q457" s="892"/>
      <c r="R457" s="892"/>
      <c r="S457" s="892"/>
      <c r="T457" s="892"/>
      <c r="U457" s="892"/>
      <c r="V457" s="892"/>
      <c r="W457" s="893"/>
      <c r="X457" s="893"/>
      <c r="Y457" s="893"/>
      <c r="Z457" s="893"/>
      <c r="AA457" s="893"/>
      <c r="AB457" s="893"/>
      <c r="AC457" s="893"/>
      <c r="AD457" s="893"/>
      <c r="AE457" s="893"/>
      <c r="AF457" s="893"/>
      <c r="AG457" s="893"/>
      <c r="AH457" s="893"/>
      <c r="AI457" s="300"/>
      <c r="AJ457" s="300"/>
      <c r="AK457" s="300"/>
      <c r="AL457" s="300"/>
      <c r="AM457" s="300"/>
      <c r="AN457" s="127"/>
    </row>
    <row r="458" ht="14.25" customHeight="1">
      <c r="A458" s="127"/>
      <c r="B458" s="127"/>
      <c r="C458" s="127"/>
      <c r="D458" s="127"/>
      <c r="E458" s="127"/>
      <c r="F458" s="300"/>
      <c r="G458" s="300"/>
      <c r="H458" s="892"/>
      <c r="I458" s="892"/>
      <c r="J458" s="892"/>
      <c r="K458" s="892"/>
      <c r="L458" s="892"/>
      <c r="M458" s="892"/>
      <c r="N458" s="892"/>
      <c r="O458" s="892"/>
      <c r="P458" s="892"/>
      <c r="Q458" s="892"/>
      <c r="R458" s="892"/>
      <c r="S458" s="892"/>
      <c r="T458" s="892"/>
      <c r="U458" s="892"/>
      <c r="V458" s="892"/>
      <c r="W458" s="893"/>
      <c r="X458" s="893"/>
      <c r="Y458" s="893"/>
      <c r="Z458" s="893"/>
      <c r="AA458" s="893"/>
      <c r="AB458" s="893"/>
      <c r="AC458" s="893"/>
      <c r="AD458" s="893"/>
      <c r="AE458" s="893"/>
      <c r="AF458" s="893"/>
      <c r="AG458" s="893"/>
      <c r="AH458" s="893"/>
      <c r="AI458" s="300"/>
      <c r="AJ458" s="300"/>
      <c r="AK458" s="300"/>
      <c r="AL458" s="300"/>
      <c r="AM458" s="300"/>
      <c r="AN458" s="127"/>
    </row>
    <row r="459" ht="14.25" customHeight="1">
      <c r="A459" s="127"/>
      <c r="B459" s="127"/>
      <c r="C459" s="127"/>
      <c r="D459" s="127"/>
      <c r="E459" s="127"/>
      <c r="F459" s="300"/>
      <c r="G459" s="300"/>
      <c r="H459" s="892"/>
      <c r="I459" s="892"/>
      <c r="J459" s="892"/>
      <c r="K459" s="892"/>
      <c r="L459" s="892"/>
      <c r="M459" s="892"/>
      <c r="N459" s="892"/>
      <c r="O459" s="892"/>
      <c r="P459" s="892"/>
      <c r="Q459" s="892"/>
      <c r="R459" s="892"/>
      <c r="S459" s="892"/>
      <c r="T459" s="892"/>
      <c r="U459" s="892"/>
      <c r="V459" s="892"/>
      <c r="W459" s="893"/>
      <c r="X459" s="893"/>
      <c r="Y459" s="893"/>
      <c r="Z459" s="893"/>
      <c r="AA459" s="893"/>
      <c r="AB459" s="893"/>
      <c r="AC459" s="893"/>
      <c r="AD459" s="893"/>
      <c r="AE459" s="893"/>
      <c r="AF459" s="893"/>
      <c r="AG459" s="893"/>
      <c r="AH459" s="893"/>
      <c r="AI459" s="300"/>
      <c r="AJ459" s="300"/>
      <c r="AK459" s="300"/>
      <c r="AL459" s="300"/>
      <c r="AM459" s="300"/>
      <c r="AN459" s="127"/>
    </row>
    <row r="460" ht="14.25" customHeight="1">
      <c r="A460" s="127"/>
      <c r="B460" s="127"/>
      <c r="C460" s="127"/>
      <c r="D460" s="127"/>
      <c r="E460" s="127"/>
      <c r="F460" s="300"/>
      <c r="G460" s="300"/>
      <c r="H460" s="892"/>
      <c r="I460" s="892"/>
      <c r="J460" s="892"/>
      <c r="K460" s="892"/>
      <c r="L460" s="892"/>
      <c r="M460" s="892"/>
      <c r="N460" s="892"/>
      <c r="O460" s="892"/>
      <c r="P460" s="892"/>
      <c r="Q460" s="892"/>
      <c r="R460" s="892"/>
      <c r="S460" s="892"/>
      <c r="T460" s="892"/>
      <c r="U460" s="892"/>
      <c r="V460" s="892"/>
      <c r="W460" s="893"/>
      <c r="X460" s="893"/>
      <c r="Y460" s="893"/>
      <c r="Z460" s="893"/>
      <c r="AA460" s="893"/>
      <c r="AB460" s="893"/>
      <c r="AC460" s="893"/>
      <c r="AD460" s="893"/>
      <c r="AE460" s="893"/>
      <c r="AF460" s="893"/>
      <c r="AG460" s="893"/>
      <c r="AH460" s="893"/>
      <c r="AI460" s="300"/>
      <c r="AJ460" s="300"/>
      <c r="AK460" s="300"/>
      <c r="AL460" s="300"/>
      <c r="AM460" s="300"/>
      <c r="AN460" s="127"/>
    </row>
    <row r="461" ht="14.25" customHeight="1">
      <c r="A461" s="127"/>
      <c r="B461" s="127"/>
      <c r="C461" s="127"/>
      <c r="D461" s="127"/>
      <c r="E461" s="127"/>
      <c r="F461" s="300"/>
      <c r="G461" s="300"/>
      <c r="H461" s="892"/>
      <c r="I461" s="892"/>
      <c r="J461" s="892"/>
      <c r="K461" s="892"/>
      <c r="L461" s="892"/>
      <c r="M461" s="892"/>
      <c r="N461" s="892"/>
      <c r="O461" s="892"/>
      <c r="P461" s="892"/>
      <c r="Q461" s="892"/>
      <c r="R461" s="892"/>
      <c r="S461" s="892"/>
      <c r="T461" s="892"/>
      <c r="U461" s="892"/>
      <c r="V461" s="892"/>
      <c r="W461" s="893"/>
      <c r="X461" s="893"/>
      <c r="Y461" s="893"/>
      <c r="Z461" s="893"/>
      <c r="AA461" s="893"/>
      <c r="AB461" s="893"/>
      <c r="AC461" s="893"/>
      <c r="AD461" s="893"/>
      <c r="AE461" s="893"/>
      <c r="AF461" s="893"/>
      <c r="AG461" s="893"/>
      <c r="AH461" s="893"/>
      <c r="AI461" s="300"/>
      <c r="AJ461" s="300"/>
      <c r="AK461" s="300"/>
      <c r="AL461" s="300"/>
      <c r="AM461" s="300"/>
      <c r="AN461" s="127"/>
    </row>
    <row r="462" ht="14.25" customHeight="1">
      <c r="A462" s="127"/>
      <c r="B462" s="127"/>
      <c r="C462" s="127"/>
      <c r="D462" s="127"/>
      <c r="E462" s="127"/>
      <c r="F462" s="300"/>
      <c r="G462" s="300"/>
      <c r="H462" s="892"/>
      <c r="I462" s="892"/>
      <c r="J462" s="892"/>
      <c r="K462" s="892"/>
      <c r="L462" s="892"/>
      <c r="M462" s="892"/>
      <c r="N462" s="892"/>
      <c r="O462" s="892"/>
      <c r="P462" s="892"/>
      <c r="Q462" s="892"/>
      <c r="R462" s="892"/>
      <c r="S462" s="892"/>
      <c r="T462" s="892"/>
      <c r="U462" s="892"/>
      <c r="V462" s="892"/>
      <c r="W462" s="893"/>
      <c r="X462" s="893"/>
      <c r="Y462" s="893"/>
      <c r="Z462" s="893"/>
      <c r="AA462" s="893"/>
      <c r="AB462" s="893"/>
      <c r="AC462" s="893"/>
      <c r="AD462" s="893"/>
      <c r="AE462" s="893"/>
      <c r="AF462" s="893"/>
      <c r="AG462" s="893"/>
      <c r="AH462" s="893"/>
      <c r="AI462" s="300"/>
      <c r="AJ462" s="300"/>
      <c r="AK462" s="300"/>
      <c r="AL462" s="300"/>
      <c r="AM462" s="300"/>
      <c r="AN462" s="127"/>
    </row>
    <row r="463" ht="14.25" customHeight="1">
      <c r="A463" s="127"/>
      <c r="B463" s="127"/>
      <c r="C463" s="127"/>
      <c r="D463" s="127"/>
      <c r="E463" s="127"/>
      <c r="F463" s="300"/>
      <c r="G463" s="300"/>
      <c r="H463" s="892"/>
      <c r="I463" s="892"/>
      <c r="J463" s="892"/>
      <c r="K463" s="892"/>
      <c r="L463" s="892"/>
      <c r="M463" s="892"/>
      <c r="N463" s="892"/>
      <c r="O463" s="892"/>
      <c r="P463" s="892"/>
      <c r="Q463" s="892"/>
      <c r="R463" s="892"/>
      <c r="S463" s="892"/>
      <c r="T463" s="892"/>
      <c r="U463" s="892"/>
      <c r="V463" s="892"/>
      <c r="W463" s="893"/>
      <c r="X463" s="893"/>
      <c r="Y463" s="893"/>
      <c r="Z463" s="893"/>
      <c r="AA463" s="893"/>
      <c r="AB463" s="893"/>
      <c r="AC463" s="893"/>
      <c r="AD463" s="893"/>
      <c r="AE463" s="893"/>
      <c r="AF463" s="893"/>
      <c r="AG463" s="893"/>
      <c r="AH463" s="893"/>
      <c r="AI463" s="300"/>
      <c r="AJ463" s="300"/>
      <c r="AK463" s="300"/>
      <c r="AL463" s="300"/>
      <c r="AM463" s="300"/>
      <c r="AN463" s="127"/>
    </row>
    <row r="464" ht="14.25" customHeight="1">
      <c r="A464" s="127"/>
      <c r="B464" s="127"/>
      <c r="C464" s="127"/>
      <c r="D464" s="127"/>
      <c r="E464" s="127"/>
      <c r="F464" s="300"/>
      <c r="G464" s="300"/>
      <c r="H464" s="892"/>
      <c r="I464" s="892"/>
      <c r="J464" s="892"/>
      <c r="K464" s="892"/>
      <c r="L464" s="892"/>
      <c r="M464" s="892"/>
      <c r="N464" s="892"/>
      <c r="O464" s="892"/>
      <c r="P464" s="892"/>
      <c r="Q464" s="892"/>
      <c r="R464" s="892"/>
      <c r="S464" s="892"/>
      <c r="T464" s="892"/>
      <c r="U464" s="892"/>
      <c r="V464" s="892"/>
      <c r="W464" s="893"/>
      <c r="X464" s="893"/>
      <c r="Y464" s="893"/>
      <c r="Z464" s="893"/>
      <c r="AA464" s="893"/>
      <c r="AB464" s="893"/>
      <c r="AC464" s="893"/>
      <c r="AD464" s="893"/>
      <c r="AE464" s="893"/>
      <c r="AF464" s="893"/>
      <c r="AG464" s="893"/>
      <c r="AH464" s="893"/>
      <c r="AI464" s="300"/>
      <c r="AJ464" s="300"/>
      <c r="AK464" s="300"/>
      <c r="AL464" s="300"/>
      <c r="AM464" s="300"/>
      <c r="AN464" s="127"/>
    </row>
    <row r="465" ht="14.25" customHeight="1">
      <c r="A465" s="127"/>
      <c r="B465" s="127"/>
      <c r="C465" s="127"/>
      <c r="D465" s="127"/>
      <c r="E465" s="127"/>
      <c r="F465" s="300"/>
      <c r="G465" s="300"/>
      <c r="H465" s="892"/>
      <c r="I465" s="892"/>
      <c r="J465" s="892"/>
      <c r="K465" s="892"/>
      <c r="L465" s="892"/>
      <c r="M465" s="892"/>
      <c r="N465" s="892"/>
      <c r="O465" s="892"/>
      <c r="P465" s="892"/>
      <c r="Q465" s="892"/>
      <c r="R465" s="892"/>
      <c r="S465" s="892"/>
      <c r="T465" s="892"/>
      <c r="U465" s="892"/>
      <c r="V465" s="892"/>
      <c r="W465" s="893"/>
      <c r="X465" s="893"/>
      <c r="Y465" s="893"/>
      <c r="Z465" s="893"/>
      <c r="AA465" s="893"/>
      <c r="AB465" s="893"/>
      <c r="AC465" s="893"/>
      <c r="AD465" s="893"/>
      <c r="AE465" s="893"/>
      <c r="AF465" s="893"/>
      <c r="AG465" s="893"/>
      <c r="AH465" s="893"/>
      <c r="AI465" s="300"/>
      <c r="AJ465" s="300"/>
      <c r="AK465" s="300"/>
      <c r="AL465" s="300"/>
      <c r="AM465" s="300"/>
      <c r="AN465" s="127"/>
    </row>
    <row r="466" ht="14.25" customHeight="1">
      <c r="A466" s="127"/>
      <c r="B466" s="127"/>
      <c r="C466" s="127"/>
      <c r="D466" s="127"/>
      <c r="E466" s="127"/>
      <c r="F466" s="300"/>
      <c r="G466" s="300"/>
      <c r="H466" s="892"/>
      <c r="I466" s="892"/>
      <c r="J466" s="892"/>
      <c r="K466" s="892"/>
      <c r="L466" s="892"/>
      <c r="M466" s="892"/>
      <c r="N466" s="892"/>
      <c r="O466" s="892"/>
      <c r="P466" s="892"/>
      <c r="Q466" s="892"/>
      <c r="R466" s="892"/>
      <c r="S466" s="892"/>
      <c r="T466" s="892"/>
      <c r="U466" s="892"/>
      <c r="V466" s="892"/>
      <c r="W466" s="893"/>
      <c r="X466" s="893"/>
      <c r="Y466" s="893"/>
      <c r="Z466" s="893"/>
      <c r="AA466" s="893"/>
      <c r="AB466" s="893"/>
      <c r="AC466" s="893"/>
      <c r="AD466" s="893"/>
      <c r="AE466" s="893"/>
      <c r="AF466" s="893"/>
      <c r="AG466" s="893"/>
      <c r="AH466" s="893"/>
      <c r="AI466" s="300"/>
      <c r="AJ466" s="300"/>
      <c r="AK466" s="300"/>
      <c r="AL466" s="300"/>
      <c r="AM466" s="300"/>
      <c r="AN466" s="127"/>
    </row>
    <row r="467" ht="14.25" customHeight="1">
      <c r="A467" s="127"/>
      <c r="B467" s="127"/>
      <c r="C467" s="127"/>
      <c r="D467" s="127"/>
      <c r="E467" s="127"/>
      <c r="F467" s="300"/>
      <c r="G467" s="300"/>
      <c r="H467" s="892"/>
      <c r="I467" s="892"/>
      <c r="J467" s="892"/>
      <c r="K467" s="892"/>
      <c r="L467" s="892"/>
      <c r="M467" s="892"/>
      <c r="N467" s="892"/>
      <c r="O467" s="892"/>
      <c r="P467" s="892"/>
      <c r="Q467" s="892"/>
      <c r="R467" s="892"/>
      <c r="S467" s="892"/>
      <c r="T467" s="892"/>
      <c r="U467" s="892"/>
      <c r="V467" s="892"/>
      <c r="W467" s="893"/>
      <c r="X467" s="893"/>
      <c r="Y467" s="893"/>
      <c r="Z467" s="893"/>
      <c r="AA467" s="893"/>
      <c r="AB467" s="893"/>
      <c r="AC467" s="893"/>
      <c r="AD467" s="893"/>
      <c r="AE467" s="893"/>
      <c r="AF467" s="893"/>
      <c r="AG467" s="893"/>
      <c r="AH467" s="893"/>
      <c r="AI467" s="300"/>
      <c r="AJ467" s="300"/>
      <c r="AK467" s="300"/>
      <c r="AL467" s="300"/>
      <c r="AM467" s="300"/>
      <c r="AN467" s="127"/>
    </row>
    <row r="468" ht="14.25" customHeight="1">
      <c r="A468" s="127"/>
      <c r="B468" s="127"/>
      <c r="C468" s="127"/>
      <c r="D468" s="127"/>
      <c r="E468" s="127"/>
      <c r="F468" s="300"/>
      <c r="G468" s="300"/>
      <c r="H468" s="892"/>
      <c r="I468" s="892"/>
      <c r="J468" s="892"/>
      <c r="K468" s="892"/>
      <c r="L468" s="892"/>
      <c r="M468" s="892"/>
      <c r="N468" s="892"/>
      <c r="O468" s="892"/>
      <c r="P468" s="892"/>
      <c r="Q468" s="892"/>
      <c r="R468" s="892"/>
      <c r="S468" s="892"/>
      <c r="T468" s="892"/>
      <c r="U468" s="892"/>
      <c r="V468" s="892"/>
      <c r="W468" s="893"/>
      <c r="X468" s="893"/>
      <c r="Y468" s="893"/>
      <c r="Z468" s="893"/>
      <c r="AA468" s="893"/>
      <c r="AB468" s="893"/>
      <c r="AC468" s="893"/>
      <c r="AD468" s="893"/>
      <c r="AE468" s="893"/>
      <c r="AF468" s="893"/>
      <c r="AG468" s="893"/>
      <c r="AH468" s="893"/>
      <c r="AI468" s="300"/>
      <c r="AJ468" s="300"/>
      <c r="AK468" s="300"/>
      <c r="AL468" s="300"/>
      <c r="AM468" s="300"/>
      <c r="AN468" s="127"/>
    </row>
    <row r="469" ht="14.25" customHeight="1">
      <c r="A469" s="127"/>
      <c r="B469" s="127"/>
      <c r="C469" s="127"/>
      <c r="D469" s="127"/>
      <c r="E469" s="127"/>
      <c r="F469" s="300"/>
      <c r="G469" s="300"/>
      <c r="H469" s="892"/>
      <c r="I469" s="892"/>
      <c r="J469" s="892"/>
      <c r="K469" s="892"/>
      <c r="L469" s="892"/>
      <c r="M469" s="892"/>
      <c r="N469" s="892"/>
      <c r="O469" s="892"/>
      <c r="P469" s="892"/>
      <c r="Q469" s="892"/>
      <c r="R469" s="892"/>
      <c r="S469" s="892"/>
      <c r="T469" s="892"/>
      <c r="U469" s="892"/>
      <c r="V469" s="892"/>
      <c r="W469" s="893"/>
      <c r="X469" s="893"/>
      <c r="Y469" s="893"/>
      <c r="Z469" s="893"/>
      <c r="AA469" s="893"/>
      <c r="AB469" s="893"/>
      <c r="AC469" s="893"/>
      <c r="AD469" s="893"/>
      <c r="AE469" s="893"/>
      <c r="AF469" s="893"/>
      <c r="AG469" s="893"/>
      <c r="AH469" s="893"/>
      <c r="AI469" s="300"/>
      <c r="AJ469" s="300"/>
      <c r="AK469" s="300"/>
      <c r="AL469" s="300"/>
      <c r="AM469" s="300"/>
      <c r="AN469" s="127"/>
    </row>
    <row r="470" ht="14.25" customHeight="1">
      <c r="A470" s="127"/>
      <c r="B470" s="127"/>
      <c r="C470" s="127"/>
      <c r="D470" s="127"/>
      <c r="E470" s="127"/>
      <c r="F470" s="300"/>
      <c r="G470" s="300"/>
      <c r="H470" s="892"/>
      <c r="I470" s="892"/>
      <c r="J470" s="892"/>
      <c r="K470" s="892"/>
      <c r="L470" s="892"/>
      <c r="M470" s="892"/>
      <c r="N470" s="892"/>
      <c r="O470" s="892"/>
      <c r="P470" s="892"/>
      <c r="Q470" s="892"/>
      <c r="R470" s="892"/>
      <c r="S470" s="892"/>
      <c r="T470" s="892"/>
      <c r="U470" s="892"/>
      <c r="V470" s="892"/>
      <c r="W470" s="893"/>
      <c r="X470" s="893"/>
      <c r="Y470" s="893"/>
      <c r="Z470" s="893"/>
      <c r="AA470" s="893"/>
      <c r="AB470" s="893"/>
      <c r="AC470" s="893"/>
      <c r="AD470" s="893"/>
      <c r="AE470" s="893"/>
      <c r="AF470" s="893"/>
      <c r="AG470" s="893"/>
      <c r="AH470" s="893"/>
      <c r="AI470" s="300"/>
      <c r="AJ470" s="300"/>
      <c r="AK470" s="300"/>
      <c r="AL470" s="300"/>
      <c r="AM470" s="300"/>
      <c r="AN470" s="127"/>
    </row>
    <row r="471" ht="14.25" customHeight="1">
      <c r="A471" s="127"/>
      <c r="B471" s="127"/>
      <c r="C471" s="127"/>
      <c r="D471" s="127"/>
      <c r="E471" s="127"/>
      <c r="F471" s="300"/>
      <c r="G471" s="300"/>
      <c r="H471" s="892"/>
      <c r="I471" s="892"/>
      <c r="J471" s="892"/>
      <c r="K471" s="892"/>
      <c r="L471" s="892"/>
      <c r="M471" s="892"/>
      <c r="N471" s="892"/>
      <c r="O471" s="892"/>
      <c r="P471" s="892"/>
      <c r="Q471" s="892"/>
      <c r="R471" s="892"/>
      <c r="S471" s="892"/>
      <c r="T471" s="892"/>
      <c r="U471" s="892"/>
      <c r="V471" s="892"/>
      <c r="W471" s="893"/>
      <c r="X471" s="893"/>
      <c r="Y471" s="893"/>
      <c r="Z471" s="893"/>
      <c r="AA471" s="893"/>
      <c r="AB471" s="893"/>
      <c r="AC471" s="893"/>
      <c r="AD471" s="893"/>
      <c r="AE471" s="893"/>
      <c r="AF471" s="893"/>
      <c r="AG471" s="893"/>
      <c r="AH471" s="893"/>
      <c r="AI471" s="300"/>
      <c r="AJ471" s="300"/>
      <c r="AK471" s="300"/>
      <c r="AL471" s="300"/>
      <c r="AM471" s="300"/>
      <c r="AN471" s="127"/>
    </row>
    <row r="472" ht="14.25" customHeight="1">
      <c r="A472" s="127"/>
      <c r="B472" s="127"/>
      <c r="C472" s="127"/>
      <c r="D472" s="127"/>
      <c r="E472" s="127"/>
      <c r="F472" s="300"/>
      <c r="G472" s="300"/>
      <c r="H472" s="892"/>
      <c r="I472" s="892"/>
      <c r="J472" s="892"/>
      <c r="K472" s="892"/>
      <c r="L472" s="892"/>
      <c r="M472" s="892"/>
      <c r="N472" s="892"/>
      <c r="O472" s="892"/>
      <c r="P472" s="892"/>
      <c r="Q472" s="892"/>
      <c r="R472" s="892"/>
      <c r="S472" s="892"/>
      <c r="T472" s="892"/>
      <c r="U472" s="892"/>
      <c r="V472" s="892"/>
      <c r="W472" s="893"/>
      <c r="X472" s="893"/>
      <c r="Y472" s="893"/>
      <c r="Z472" s="893"/>
      <c r="AA472" s="893"/>
      <c r="AB472" s="893"/>
      <c r="AC472" s="893"/>
      <c r="AD472" s="893"/>
      <c r="AE472" s="893"/>
      <c r="AF472" s="893"/>
      <c r="AG472" s="893"/>
      <c r="AH472" s="893"/>
      <c r="AI472" s="300"/>
      <c r="AJ472" s="300"/>
      <c r="AK472" s="300"/>
      <c r="AL472" s="300"/>
      <c r="AM472" s="300"/>
      <c r="AN472" s="127"/>
    </row>
    <row r="473" ht="14.25" customHeight="1">
      <c r="A473" s="127"/>
      <c r="B473" s="127"/>
      <c r="C473" s="127"/>
      <c r="D473" s="127"/>
      <c r="E473" s="127"/>
      <c r="F473" s="300"/>
      <c r="G473" s="300"/>
      <c r="H473" s="892"/>
      <c r="I473" s="892"/>
      <c r="J473" s="892"/>
      <c r="K473" s="892"/>
      <c r="L473" s="892"/>
      <c r="M473" s="892"/>
      <c r="N473" s="892"/>
      <c r="O473" s="892"/>
      <c r="P473" s="892"/>
      <c r="Q473" s="892"/>
      <c r="R473" s="892"/>
      <c r="S473" s="892"/>
      <c r="T473" s="892"/>
      <c r="U473" s="892"/>
      <c r="V473" s="892"/>
      <c r="W473" s="893"/>
      <c r="X473" s="893"/>
      <c r="Y473" s="893"/>
      <c r="Z473" s="893"/>
      <c r="AA473" s="893"/>
      <c r="AB473" s="893"/>
      <c r="AC473" s="893"/>
      <c r="AD473" s="893"/>
      <c r="AE473" s="893"/>
      <c r="AF473" s="893"/>
      <c r="AG473" s="893"/>
      <c r="AH473" s="893"/>
      <c r="AI473" s="300"/>
      <c r="AJ473" s="300"/>
      <c r="AK473" s="300"/>
      <c r="AL473" s="300"/>
      <c r="AM473" s="300"/>
      <c r="AN473" s="127"/>
    </row>
    <row r="474" ht="14.25" customHeight="1">
      <c r="A474" s="127"/>
      <c r="B474" s="127"/>
      <c r="C474" s="127"/>
      <c r="D474" s="127"/>
      <c r="E474" s="127"/>
      <c r="F474" s="300"/>
      <c r="G474" s="300"/>
      <c r="H474" s="892"/>
      <c r="I474" s="892"/>
      <c r="J474" s="892"/>
      <c r="K474" s="892"/>
      <c r="L474" s="892"/>
      <c r="M474" s="892"/>
      <c r="N474" s="892"/>
      <c r="O474" s="892"/>
      <c r="P474" s="892"/>
      <c r="Q474" s="892"/>
      <c r="R474" s="892"/>
      <c r="S474" s="892"/>
      <c r="T474" s="892"/>
      <c r="U474" s="892"/>
      <c r="V474" s="892"/>
      <c r="W474" s="893"/>
      <c r="X474" s="893"/>
      <c r="Y474" s="893"/>
      <c r="Z474" s="893"/>
      <c r="AA474" s="893"/>
      <c r="AB474" s="893"/>
      <c r="AC474" s="893"/>
      <c r="AD474" s="893"/>
      <c r="AE474" s="893"/>
      <c r="AF474" s="893"/>
      <c r="AG474" s="893"/>
      <c r="AH474" s="893"/>
      <c r="AI474" s="300"/>
      <c r="AJ474" s="300"/>
      <c r="AK474" s="300"/>
      <c r="AL474" s="300"/>
      <c r="AM474" s="300"/>
      <c r="AN474" s="127"/>
    </row>
    <row r="475" ht="14.25" customHeight="1">
      <c r="A475" s="127"/>
      <c r="B475" s="127"/>
      <c r="C475" s="127"/>
      <c r="D475" s="127"/>
      <c r="E475" s="127"/>
      <c r="F475" s="300"/>
      <c r="G475" s="300"/>
      <c r="H475" s="892"/>
      <c r="I475" s="892"/>
      <c r="J475" s="892"/>
      <c r="K475" s="892"/>
      <c r="L475" s="892"/>
      <c r="M475" s="892"/>
      <c r="N475" s="892"/>
      <c r="O475" s="892"/>
      <c r="P475" s="892"/>
      <c r="Q475" s="892"/>
      <c r="R475" s="892"/>
      <c r="S475" s="892"/>
      <c r="T475" s="892"/>
      <c r="U475" s="892"/>
      <c r="V475" s="892"/>
      <c r="W475" s="893"/>
      <c r="X475" s="893"/>
      <c r="Y475" s="893"/>
      <c r="Z475" s="893"/>
      <c r="AA475" s="893"/>
      <c r="AB475" s="893"/>
      <c r="AC475" s="893"/>
      <c r="AD475" s="893"/>
      <c r="AE475" s="893"/>
      <c r="AF475" s="893"/>
      <c r="AG475" s="893"/>
      <c r="AH475" s="893"/>
      <c r="AI475" s="300"/>
      <c r="AJ475" s="300"/>
      <c r="AK475" s="300"/>
      <c r="AL475" s="300"/>
      <c r="AM475" s="300"/>
      <c r="AN475" s="127"/>
    </row>
    <row r="476" ht="14.25" customHeight="1">
      <c r="A476" s="127"/>
      <c r="B476" s="127"/>
      <c r="C476" s="127"/>
      <c r="D476" s="127"/>
      <c r="E476" s="127"/>
      <c r="F476" s="300"/>
      <c r="G476" s="300"/>
      <c r="H476" s="892"/>
      <c r="I476" s="892"/>
      <c r="J476" s="892"/>
      <c r="K476" s="892"/>
      <c r="L476" s="892"/>
      <c r="M476" s="892"/>
      <c r="N476" s="892"/>
      <c r="O476" s="892"/>
      <c r="P476" s="892"/>
      <c r="Q476" s="892"/>
      <c r="R476" s="892"/>
      <c r="S476" s="892"/>
      <c r="T476" s="892"/>
      <c r="U476" s="892"/>
      <c r="V476" s="892"/>
      <c r="W476" s="893"/>
      <c r="X476" s="893"/>
      <c r="Y476" s="893"/>
      <c r="Z476" s="893"/>
      <c r="AA476" s="893"/>
      <c r="AB476" s="893"/>
      <c r="AC476" s="893"/>
      <c r="AD476" s="893"/>
      <c r="AE476" s="893"/>
      <c r="AF476" s="893"/>
      <c r="AG476" s="893"/>
      <c r="AH476" s="893"/>
      <c r="AI476" s="300"/>
      <c r="AJ476" s="300"/>
      <c r="AK476" s="300"/>
      <c r="AL476" s="300"/>
      <c r="AM476" s="300"/>
      <c r="AN476" s="127"/>
    </row>
    <row r="477" ht="14.25" customHeight="1">
      <c r="A477" s="127"/>
      <c r="B477" s="127"/>
      <c r="C477" s="127"/>
      <c r="D477" s="127"/>
      <c r="E477" s="127"/>
      <c r="F477" s="300"/>
      <c r="G477" s="300"/>
      <c r="H477" s="892"/>
      <c r="I477" s="892"/>
      <c r="J477" s="892"/>
      <c r="K477" s="892"/>
      <c r="L477" s="892"/>
      <c r="M477" s="892"/>
      <c r="N477" s="892"/>
      <c r="O477" s="892"/>
      <c r="P477" s="892"/>
      <c r="Q477" s="892"/>
      <c r="R477" s="892"/>
      <c r="S477" s="892"/>
      <c r="T477" s="892"/>
      <c r="U477" s="892"/>
      <c r="V477" s="892"/>
      <c r="W477" s="893"/>
      <c r="X477" s="893"/>
      <c r="Y477" s="893"/>
      <c r="Z477" s="893"/>
      <c r="AA477" s="893"/>
      <c r="AB477" s="893"/>
      <c r="AC477" s="893"/>
      <c r="AD477" s="893"/>
      <c r="AE477" s="893"/>
      <c r="AF477" s="893"/>
      <c r="AG477" s="893"/>
      <c r="AH477" s="893"/>
      <c r="AI477" s="300"/>
      <c r="AJ477" s="300"/>
      <c r="AK477" s="300"/>
      <c r="AL477" s="300"/>
      <c r="AM477" s="300"/>
      <c r="AN477" s="127"/>
    </row>
    <row r="478" ht="14.25" customHeight="1">
      <c r="A478" s="127"/>
      <c r="B478" s="127"/>
      <c r="C478" s="127"/>
      <c r="D478" s="127"/>
      <c r="E478" s="127"/>
      <c r="F478" s="300"/>
      <c r="G478" s="300"/>
      <c r="H478" s="892"/>
      <c r="I478" s="892"/>
      <c r="J478" s="892"/>
      <c r="K478" s="892"/>
      <c r="L478" s="892"/>
      <c r="M478" s="892"/>
      <c r="N478" s="892"/>
      <c r="O478" s="892"/>
      <c r="P478" s="892"/>
      <c r="Q478" s="892"/>
      <c r="R478" s="892"/>
      <c r="S478" s="892"/>
      <c r="T478" s="892"/>
      <c r="U478" s="892"/>
      <c r="V478" s="892"/>
      <c r="W478" s="893"/>
      <c r="X478" s="893"/>
      <c r="Y478" s="893"/>
      <c r="Z478" s="893"/>
      <c r="AA478" s="893"/>
      <c r="AB478" s="893"/>
      <c r="AC478" s="893"/>
      <c r="AD478" s="893"/>
      <c r="AE478" s="893"/>
      <c r="AF478" s="893"/>
      <c r="AG478" s="893"/>
      <c r="AH478" s="893"/>
      <c r="AI478" s="300"/>
      <c r="AJ478" s="300"/>
      <c r="AK478" s="300"/>
      <c r="AL478" s="300"/>
      <c r="AM478" s="300"/>
      <c r="AN478" s="127"/>
    </row>
    <row r="479" ht="14.25" customHeight="1">
      <c r="A479" s="127"/>
      <c r="B479" s="127"/>
      <c r="C479" s="127"/>
      <c r="D479" s="127"/>
      <c r="E479" s="127"/>
      <c r="F479" s="300"/>
      <c r="G479" s="300"/>
      <c r="H479" s="892"/>
      <c r="I479" s="892"/>
      <c r="J479" s="892"/>
      <c r="K479" s="892"/>
      <c r="L479" s="892"/>
      <c r="M479" s="892"/>
      <c r="N479" s="892"/>
      <c r="O479" s="892"/>
      <c r="P479" s="892"/>
      <c r="Q479" s="892"/>
      <c r="R479" s="892"/>
      <c r="S479" s="892"/>
      <c r="T479" s="892"/>
      <c r="U479" s="892"/>
      <c r="V479" s="892"/>
      <c r="W479" s="893"/>
      <c r="X479" s="893"/>
      <c r="Y479" s="893"/>
      <c r="Z479" s="893"/>
      <c r="AA479" s="893"/>
      <c r="AB479" s="893"/>
      <c r="AC479" s="893"/>
      <c r="AD479" s="893"/>
      <c r="AE479" s="893"/>
      <c r="AF479" s="893"/>
      <c r="AG479" s="893"/>
      <c r="AH479" s="893"/>
      <c r="AI479" s="300"/>
      <c r="AJ479" s="300"/>
      <c r="AK479" s="300"/>
      <c r="AL479" s="300"/>
      <c r="AM479" s="300"/>
      <c r="AN479" s="127"/>
    </row>
    <row r="480" ht="14.25" customHeight="1">
      <c r="A480" s="127"/>
      <c r="B480" s="127"/>
      <c r="C480" s="127"/>
      <c r="D480" s="127"/>
      <c r="E480" s="127"/>
      <c r="F480" s="300"/>
      <c r="G480" s="300"/>
      <c r="H480" s="892"/>
      <c r="I480" s="892"/>
      <c r="J480" s="892"/>
      <c r="K480" s="892"/>
      <c r="L480" s="892"/>
      <c r="M480" s="892"/>
      <c r="N480" s="892"/>
      <c r="O480" s="892"/>
      <c r="P480" s="892"/>
      <c r="Q480" s="892"/>
      <c r="R480" s="892"/>
      <c r="S480" s="892"/>
      <c r="T480" s="892"/>
      <c r="U480" s="892"/>
      <c r="V480" s="892"/>
      <c r="W480" s="893"/>
      <c r="X480" s="893"/>
      <c r="Y480" s="893"/>
      <c r="Z480" s="893"/>
      <c r="AA480" s="893"/>
      <c r="AB480" s="893"/>
      <c r="AC480" s="893"/>
      <c r="AD480" s="893"/>
      <c r="AE480" s="893"/>
      <c r="AF480" s="893"/>
      <c r="AG480" s="893"/>
      <c r="AH480" s="893"/>
      <c r="AI480" s="300"/>
      <c r="AJ480" s="300"/>
      <c r="AK480" s="300"/>
      <c r="AL480" s="300"/>
      <c r="AM480" s="300"/>
      <c r="AN480" s="127"/>
    </row>
    <row r="481" ht="14.25" customHeight="1">
      <c r="A481" s="127"/>
      <c r="B481" s="127"/>
      <c r="C481" s="127"/>
      <c r="D481" s="127"/>
      <c r="E481" s="127"/>
      <c r="F481" s="300"/>
      <c r="G481" s="300"/>
      <c r="H481" s="892"/>
      <c r="I481" s="892"/>
      <c r="J481" s="892"/>
      <c r="K481" s="892"/>
      <c r="L481" s="892"/>
      <c r="M481" s="892"/>
      <c r="N481" s="892"/>
      <c r="O481" s="892"/>
      <c r="P481" s="892"/>
      <c r="Q481" s="892"/>
      <c r="R481" s="892"/>
      <c r="S481" s="892"/>
      <c r="T481" s="892"/>
      <c r="U481" s="892"/>
      <c r="V481" s="892"/>
      <c r="W481" s="893"/>
      <c r="X481" s="893"/>
      <c r="Y481" s="893"/>
      <c r="Z481" s="893"/>
      <c r="AA481" s="893"/>
      <c r="AB481" s="893"/>
      <c r="AC481" s="893"/>
      <c r="AD481" s="893"/>
      <c r="AE481" s="893"/>
      <c r="AF481" s="893"/>
      <c r="AG481" s="893"/>
      <c r="AH481" s="893"/>
      <c r="AI481" s="300"/>
      <c r="AJ481" s="300"/>
      <c r="AK481" s="300"/>
      <c r="AL481" s="300"/>
      <c r="AM481" s="300"/>
      <c r="AN481" s="127"/>
    </row>
    <row r="482" ht="14.25" customHeight="1">
      <c r="A482" s="127"/>
      <c r="B482" s="127"/>
      <c r="C482" s="127"/>
      <c r="D482" s="127"/>
      <c r="E482" s="127"/>
      <c r="F482" s="300"/>
      <c r="G482" s="300"/>
      <c r="H482" s="892"/>
      <c r="I482" s="892"/>
      <c r="J482" s="892"/>
      <c r="K482" s="892"/>
      <c r="L482" s="892"/>
      <c r="M482" s="892"/>
      <c r="N482" s="892"/>
      <c r="O482" s="892"/>
      <c r="P482" s="892"/>
      <c r="Q482" s="892"/>
      <c r="R482" s="892"/>
      <c r="S482" s="892"/>
      <c r="T482" s="892"/>
      <c r="U482" s="892"/>
      <c r="V482" s="892"/>
      <c r="W482" s="893"/>
      <c r="X482" s="893"/>
      <c r="Y482" s="893"/>
      <c r="Z482" s="893"/>
      <c r="AA482" s="893"/>
      <c r="AB482" s="893"/>
      <c r="AC482" s="893"/>
      <c r="AD482" s="893"/>
      <c r="AE482" s="893"/>
      <c r="AF482" s="893"/>
      <c r="AG482" s="893"/>
      <c r="AH482" s="893"/>
      <c r="AI482" s="300"/>
      <c r="AJ482" s="300"/>
      <c r="AK482" s="300"/>
      <c r="AL482" s="300"/>
      <c r="AM482" s="300"/>
      <c r="AN482" s="127"/>
    </row>
    <row r="483" ht="14.25" customHeight="1">
      <c r="A483" s="127"/>
      <c r="B483" s="127"/>
      <c r="C483" s="127"/>
      <c r="D483" s="127"/>
      <c r="E483" s="127"/>
      <c r="F483" s="300"/>
      <c r="G483" s="300"/>
      <c r="H483" s="892"/>
      <c r="I483" s="892"/>
      <c r="J483" s="892"/>
      <c r="K483" s="892"/>
      <c r="L483" s="892"/>
      <c r="M483" s="892"/>
      <c r="N483" s="892"/>
      <c r="O483" s="892"/>
      <c r="P483" s="892"/>
      <c r="Q483" s="892"/>
      <c r="R483" s="892"/>
      <c r="S483" s="892"/>
      <c r="T483" s="892"/>
      <c r="U483" s="892"/>
      <c r="V483" s="892"/>
      <c r="W483" s="893"/>
      <c r="X483" s="893"/>
      <c r="Y483" s="893"/>
      <c r="Z483" s="893"/>
      <c r="AA483" s="893"/>
      <c r="AB483" s="893"/>
      <c r="AC483" s="893"/>
      <c r="AD483" s="893"/>
      <c r="AE483" s="893"/>
      <c r="AF483" s="893"/>
      <c r="AG483" s="893"/>
      <c r="AH483" s="893"/>
      <c r="AI483" s="300"/>
      <c r="AJ483" s="300"/>
      <c r="AK483" s="300"/>
      <c r="AL483" s="300"/>
      <c r="AM483" s="300"/>
      <c r="AN483" s="127"/>
    </row>
    <row r="484" ht="14.25" customHeight="1">
      <c r="A484" s="127"/>
      <c r="B484" s="127"/>
      <c r="C484" s="127"/>
      <c r="D484" s="127"/>
      <c r="E484" s="127"/>
      <c r="F484" s="300"/>
      <c r="G484" s="300"/>
      <c r="H484" s="892"/>
      <c r="I484" s="892"/>
      <c r="J484" s="892"/>
      <c r="K484" s="892"/>
      <c r="L484" s="892"/>
      <c r="M484" s="892"/>
      <c r="N484" s="892"/>
      <c r="O484" s="892"/>
      <c r="P484" s="892"/>
      <c r="Q484" s="892"/>
      <c r="R484" s="892"/>
      <c r="S484" s="892"/>
      <c r="T484" s="892"/>
      <c r="U484" s="892"/>
      <c r="V484" s="892"/>
      <c r="W484" s="893"/>
      <c r="X484" s="893"/>
      <c r="Y484" s="893"/>
      <c r="Z484" s="893"/>
      <c r="AA484" s="893"/>
      <c r="AB484" s="893"/>
      <c r="AC484" s="893"/>
      <c r="AD484" s="893"/>
      <c r="AE484" s="893"/>
      <c r="AF484" s="893"/>
      <c r="AG484" s="893"/>
      <c r="AH484" s="893"/>
      <c r="AI484" s="300"/>
      <c r="AJ484" s="300"/>
      <c r="AK484" s="300"/>
      <c r="AL484" s="300"/>
      <c r="AM484" s="300"/>
      <c r="AN484" s="127"/>
    </row>
    <row r="485" ht="14.25" customHeight="1">
      <c r="A485" s="127"/>
      <c r="B485" s="127"/>
      <c r="C485" s="127"/>
      <c r="D485" s="127"/>
      <c r="E485" s="127"/>
      <c r="F485" s="300"/>
      <c r="G485" s="300"/>
      <c r="H485" s="892"/>
      <c r="I485" s="892"/>
      <c r="J485" s="892"/>
      <c r="K485" s="892"/>
      <c r="L485" s="892"/>
      <c r="M485" s="892"/>
      <c r="N485" s="892"/>
      <c r="O485" s="892"/>
      <c r="P485" s="892"/>
      <c r="Q485" s="892"/>
      <c r="R485" s="892"/>
      <c r="S485" s="892"/>
      <c r="T485" s="892"/>
      <c r="U485" s="892"/>
      <c r="V485" s="892"/>
      <c r="W485" s="893"/>
      <c r="X485" s="893"/>
      <c r="Y485" s="893"/>
      <c r="Z485" s="893"/>
      <c r="AA485" s="893"/>
      <c r="AB485" s="893"/>
      <c r="AC485" s="893"/>
      <c r="AD485" s="893"/>
      <c r="AE485" s="893"/>
      <c r="AF485" s="893"/>
      <c r="AG485" s="893"/>
      <c r="AH485" s="893"/>
      <c r="AI485" s="300"/>
      <c r="AJ485" s="300"/>
      <c r="AK485" s="300"/>
      <c r="AL485" s="300"/>
      <c r="AM485" s="300"/>
      <c r="AN485" s="127"/>
    </row>
    <row r="486" ht="14.25" customHeight="1">
      <c r="A486" s="127"/>
      <c r="B486" s="127"/>
      <c r="C486" s="127"/>
      <c r="D486" s="127"/>
      <c r="E486" s="127"/>
      <c r="F486" s="300"/>
      <c r="G486" s="300"/>
      <c r="H486" s="892"/>
      <c r="I486" s="892"/>
      <c r="J486" s="892"/>
      <c r="K486" s="892"/>
      <c r="L486" s="892"/>
      <c r="M486" s="892"/>
      <c r="N486" s="892"/>
      <c r="O486" s="892"/>
      <c r="P486" s="892"/>
      <c r="Q486" s="892"/>
      <c r="R486" s="892"/>
      <c r="S486" s="892"/>
      <c r="T486" s="892"/>
      <c r="U486" s="892"/>
      <c r="V486" s="892"/>
      <c r="W486" s="893"/>
      <c r="X486" s="893"/>
      <c r="Y486" s="893"/>
      <c r="Z486" s="893"/>
      <c r="AA486" s="893"/>
      <c r="AB486" s="893"/>
      <c r="AC486" s="893"/>
      <c r="AD486" s="893"/>
      <c r="AE486" s="893"/>
      <c r="AF486" s="893"/>
      <c r="AG486" s="893"/>
      <c r="AH486" s="893"/>
      <c r="AI486" s="300"/>
      <c r="AJ486" s="300"/>
      <c r="AK486" s="300"/>
      <c r="AL486" s="300"/>
      <c r="AM486" s="300"/>
      <c r="AN486" s="127"/>
    </row>
    <row r="487" ht="14.25" customHeight="1">
      <c r="A487" s="127"/>
      <c r="B487" s="127"/>
      <c r="C487" s="127"/>
      <c r="D487" s="127"/>
      <c r="E487" s="127"/>
      <c r="F487" s="300"/>
      <c r="G487" s="300"/>
      <c r="H487" s="892"/>
      <c r="I487" s="892"/>
      <c r="J487" s="892"/>
      <c r="K487" s="892"/>
      <c r="L487" s="892"/>
      <c r="M487" s="892"/>
      <c r="N487" s="892"/>
      <c r="O487" s="892"/>
      <c r="P487" s="892"/>
      <c r="Q487" s="892"/>
      <c r="R487" s="892"/>
      <c r="S487" s="892"/>
      <c r="T487" s="892"/>
      <c r="U487" s="892"/>
      <c r="V487" s="892"/>
      <c r="W487" s="893"/>
      <c r="X487" s="893"/>
      <c r="Y487" s="893"/>
      <c r="Z487" s="893"/>
      <c r="AA487" s="893"/>
      <c r="AB487" s="893"/>
      <c r="AC487" s="893"/>
      <c r="AD487" s="893"/>
      <c r="AE487" s="893"/>
      <c r="AF487" s="893"/>
      <c r="AG487" s="893"/>
      <c r="AH487" s="893"/>
      <c r="AI487" s="300"/>
      <c r="AJ487" s="300"/>
      <c r="AK487" s="300"/>
      <c r="AL487" s="300"/>
      <c r="AM487" s="300"/>
      <c r="AN487" s="127"/>
    </row>
    <row r="488" ht="14.25" customHeight="1">
      <c r="A488" s="127"/>
      <c r="B488" s="127"/>
      <c r="C488" s="127"/>
      <c r="D488" s="127"/>
      <c r="E488" s="127"/>
      <c r="F488" s="300"/>
      <c r="G488" s="300"/>
      <c r="H488" s="892"/>
      <c r="I488" s="892"/>
      <c r="J488" s="892"/>
      <c r="K488" s="892"/>
      <c r="L488" s="892"/>
      <c r="M488" s="892"/>
      <c r="N488" s="892"/>
      <c r="O488" s="892"/>
      <c r="P488" s="892"/>
      <c r="Q488" s="892"/>
      <c r="R488" s="892"/>
      <c r="S488" s="892"/>
      <c r="T488" s="892"/>
      <c r="U488" s="892"/>
      <c r="V488" s="892"/>
      <c r="W488" s="893"/>
      <c r="X488" s="893"/>
      <c r="Y488" s="893"/>
      <c r="Z488" s="893"/>
      <c r="AA488" s="893"/>
      <c r="AB488" s="893"/>
      <c r="AC488" s="893"/>
      <c r="AD488" s="893"/>
      <c r="AE488" s="893"/>
      <c r="AF488" s="893"/>
      <c r="AG488" s="893"/>
      <c r="AH488" s="893"/>
      <c r="AI488" s="300"/>
      <c r="AJ488" s="300"/>
      <c r="AK488" s="300"/>
      <c r="AL488" s="300"/>
      <c r="AM488" s="300"/>
      <c r="AN488" s="127"/>
    </row>
    <row r="489" ht="14.25" customHeight="1">
      <c r="A489" s="127"/>
      <c r="B489" s="127"/>
      <c r="C489" s="127"/>
      <c r="D489" s="127"/>
      <c r="E489" s="127"/>
      <c r="F489" s="300"/>
      <c r="G489" s="300"/>
      <c r="H489" s="892"/>
      <c r="I489" s="892"/>
      <c r="J489" s="892"/>
      <c r="K489" s="892"/>
      <c r="L489" s="892"/>
      <c r="M489" s="892"/>
      <c r="N489" s="892"/>
      <c r="O489" s="892"/>
      <c r="P489" s="892"/>
      <c r="Q489" s="892"/>
      <c r="R489" s="892"/>
      <c r="S489" s="892"/>
      <c r="T489" s="892"/>
      <c r="U489" s="892"/>
      <c r="V489" s="892"/>
      <c r="W489" s="893"/>
      <c r="X489" s="893"/>
      <c r="Y489" s="893"/>
      <c r="Z489" s="893"/>
      <c r="AA489" s="893"/>
      <c r="AB489" s="893"/>
      <c r="AC489" s="893"/>
      <c r="AD489" s="893"/>
      <c r="AE489" s="893"/>
      <c r="AF489" s="893"/>
      <c r="AG489" s="893"/>
      <c r="AH489" s="893"/>
      <c r="AI489" s="300"/>
      <c r="AJ489" s="300"/>
      <c r="AK489" s="300"/>
      <c r="AL489" s="300"/>
      <c r="AM489" s="300"/>
      <c r="AN489" s="127"/>
    </row>
    <row r="490" ht="14.25" customHeight="1">
      <c r="A490" s="127"/>
      <c r="B490" s="127"/>
      <c r="C490" s="127"/>
      <c r="D490" s="127"/>
      <c r="E490" s="127"/>
      <c r="F490" s="300"/>
      <c r="G490" s="300"/>
      <c r="H490" s="892"/>
      <c r="I490" s="892"/>
      <c r="J490" s="892"/>
      <c r="K490" s="892"/>
      <c r="L490" s="892"/>
      <c r="M490" s="892"/>
      <c r="N490" s="892"/>
      <c r="O490" s="892"/>
      <c r="P490" s="892"/>
      <c r="Q490" s="892"/>
      <c r="R490" s="892"/>
      <c r="S490" s="892"/>
      <c r="T490" s="892"/>
      <c r="U490" s="892"/>
      <c r="V490" s="892"/>
      <c r="W490" s="893"/>
      <c r="X490" s="893"/>
      <c r="Y490" s="893"/>
      <c r="Z490" s="893"/>
      <c r="AA490" s="893"/>
      <c r="AB490" s="893"/>
      <c r="AC490" s="893"/>
      <c r="AD490" s="893"/>
      <c r="AE490" s="893"/>
      <c r="AF490" s="893"/>
      <c r="AG490" s="893"/>
      <c r="AH490" s="893"/>
      <c r="AI490" s="300"/>
      <c r="AJ490" s="300"/>
      <c r="AK490" s="300"/>
      <c r="AL490" s="300"/>
      <c r="AM490" s="300"/>
      <c r="AN490" s="127"/>
    </row>
    <row r="491" ht="14.25" customHeight="1">
      <c r="A491" s="127"/>
      <c r="B491" s="127"/>
      <c r="C491" s="127"/>
      <c r="D491" s="127"/>
      <c r="E491" s="127"/>
      <c r="F491" s="300"/>
      <c r="G491" s="300"/>
      <c r="H491" s="892"/>
      <c r="I491" s="892"/>
      <c r="J491" s="892"/>
      <c r="K491" s="892"/>
      <c r="L491" s="892"/>
      <c r="M491" s="892"/>
      <c r="N491" s="892"/>
      <c r="O491" s="892"/>
      <c r="P491" s="892"/>
      <c r="Q491" s="892"/>
      <c r="R491" s="892"/>
      <c r="S491" s="892"/>
      <c r="T491" s="892"/>
      <c r="U491" s="892"/>
      <c r="V491" s="892"/>
      <c r="W491" s="893"/>
      <c r="X491" s="893"/>
      <c r="Y491" s="893"/>
      <c r="Z491" s="893"/>
      <c r="AA491" s="893"/>
      <c r="AB491" s="893"/>
      <c r="AC491" s="893"/>
      <c r="AD491" s="893"/>
      <c r="AE491" s="893"/>
      <c r="AF491" s="893"/>
      <c r="AG491" s="893"/>
      <c r="AH491" s="893"/>
      <c r="AI491" s="300"/>
      <c r="AJ491" s="300"/>
      <c r="AK491" s="300"/>
      <c r="AL491" s="300"/>
      <c r="AM491" s="300"/>
      <c r="AN491" s="127"/>
    </row>
    <row r="492" ht="14.25" customHeight="1">
      <c r="A492" s="127"/>
      <c r="B492" s="127"/>
      <c r="C492" s="127"/>
      <c r="D492" s="127"/>
      <c r="E492" s="127"/>
      <c r="F492" s="300"/>
      <c r="G492" s="300"/>
      <c r="H492" s="892"/>
      <c r="I492" s="892"/>
      <c r="J492" s="892"/>
      <c r="K492" s="892"/>
      <c r="L492" s="892"/>
      <c r="M492" s="892"/>
      <c r="N492" s="892"/>
      <c r="O492" s="892"/>
      <c r="P492" s="892"/>
      <c r="Q492" s="892"/>
      <c r="R492" s="892"/>
      <c r="S492" s="892"/>
      <c r="T492" s="892"/>
      <c r="U492" s="892"/>
      <c r="V492" s="892"/>
      <c r="W492" s="893"/>
      <c r="X492" s="893"/>
      <c r="Y492" s="893"/>
      <c r="Z492" s="893"/>
      <c r="AA492" s="893"/>
      <c r="AB492" s="893"/>
      <c r="AC492" s="893"/>
      <c r="AD492" s="893"/>
      <c r="AE492" s="893"/>
      <c r="AF492" s="893"/>
      <c r="AG492" s="893"/>
      <c r="AH492" s="893"/>
      <c r="AI492" s="300"/>
      <c r="AJ492" s="300"/>
      <c r="AK492" s="300"/>
      <c r="AL492" s="300"/>
      <c r="AM492" s="300"/>
      <c r="AN492" s="127"/>
    </row>
    <row r="493" ht="14.25" customHeight="1">
      <c r="A493" s="127"/>
      <c r="B493" s="127"/>
      <c r="C493" s="127"/>
      <c r="D493" s="127"/>
      <c r="E493" s="127"/>
      <c r="F493" s="300"/>
      <c r="G493" s="300"/>
      <c r="H493" s="892"/>
      <c r="I493" s="892"/>
      <c r="J493" s="892"/>
      <c r="K493" s="892"/>
      <c r="L493" s="892"/>
      <c r="M493" s="892"/>
      <c r="N493" s="892"/>
      <c r="O493" s="892"/>
      <c r="P493" s="892"/>
      <c r="Q493" s="892"/>
      <c r="R493" s="892"/>
      <c r="S493" s="892"/>
      <c r="T493" s="892"/>
      <c r="U493" s="892"/>
      <c r="V493" s="892"/>
      <c r="W493" s="893"/>
      <c r="X493" s="893"/>
      <c r="Y493" s="893"/>
      <c r="Z493" s="893"/>
      <c r="AA493" s="893"/>
      <c r="AB493" s="893"/>
      <c r="AC493" s="893"/>
      <c r="AD493" s="893"/>
      <c r="AE493" s="893"/>
      <c r="AF493" s="893"/>
      <c r="AG493" s="893"/>
      <c r="AH493" s="893"/>
      <c r="AI493" s="300"/>
      <c r="AJ493" s="300"/>
      <c r="AK493" s="300"/>
      <c r="AL493" s="300"/>
      <c r="AM493" s="300"/>
      <c r="AN493" s="127"/>
    </row>
    <row r="494" ht="14.25" customHeight="1">
      <c r="A494" s="127"/>
      <c r="B494" s="127"/>
      <c r="C494" s="127"/>
      <c r="D494" s="127"/>
      <c r="E494" s="127"/>
      <c r="F494" s="300"/>
      <c r="G494" s="300"/>
      <c r="H494" s="892"/>
      <c r="I494" s="892"/>
      <c r="J494" s="892"/>
      <c r="K494" s="892"/>
      <c r="L494" s="892"/>
      <c r="M494" s="892"/>
      <c r="N494" s="892"/>
      <c r="O494" s="892"/>
      <c r="P494" s="892"/>
      <c r="Q494" s="892"/>
      <c r="R494" s="892"/>
      <c r="S494" s="892"/>
      <c r="T494" s="892"/>
      <c r="U494" s="892"/>
      <c r="V494" s="892"/>
      <c r="W494" s="893"/>
      <c r="X494" s="893"/>
      <c r="Y494" s="893"/>
      <c r="Z494" s="893"/>
      <c r="AA494" s="893"/>
      <c r="AB494" s="893"/>
      <c r="AC494" s="893"/>
      <c r="AD494" s="893"/>
      <c r="AE494" s="893"/>
      <c r="AF494" s="893"/>
      <c r="AG494" s="893"/>
      <c r="AH494" s="893"/>
      <c r="AI494" s="300"/>
      <c r="AJ494" s="300"/>
      <c r="AK494" s="300"/>
      <c r="AL494" s="300"/>
      <c r="AM494" s="300"/>
      <c r="AN494" s="127"/>
    </row>
    <row r="495" ht="14.25" customHeight="1">
      <c r="A495" s="127"/>
      <c r="B495" s="127"/>
      <c r="C495" s="127"/>
      <c r="D495" s="127"/>
      <c r="E495" s="127"/>
      <c r="F495" s="300"/>
      <c r="G495" s="300"/>
      <c r="H495" s="892"/>
      <c r="I495" s="892"/>
      <c r="J495" s="892"/>
      <c r="K495" s="892"/>
      <c r="L495" s="892"/>
      <c r="M495" s="892"/>
      <c r="N495" s="892"/>
      <c r="O495" s="892"/>
      <c r="P495" s="892"/>
      <c r="Q495" s="892"/>
      <c r="R495" s="892"/>
      <c r="S495" s="892"/>
      <c r="T495" s="892"/>
      <c r="U495" s="892"/>
      <c r="V495" s="892"/>
      <c r="W495" s="893"/>
      <c r="X495" s="893"/>
      <c r="Y495" s="893"/>
      <c r="Z495" s="893"/>
      <c r="AA495" s="893"/>
      <c r="AB495" s="893"/>
      <c r="AC495" s="893"/>
      <c r="AD495" s="893"/>
      <c r="AE495" s="893"/>
      <c r="AF495" s="893"/>
      <c r="AG495" s="893"/>
      <c r="AH495" s="893"/>
      <c r="AI495" s="300"/>
      <c r="AJ495" s="300"/>
      <c r="AK495" s="300"/>
      <c r="AL495" s="300"/>
      <c r="AM495" s="300"/>
      <c r="AN495" s="127"/>
    </row>
    <row r="496" ht="14.25" customHeight="1">
      <c r="A496" s="127"/>
      <c r="B496" s="127"/>
      <c r="C496" s="127"/>
      <c r="D496" s="127"/>
      <c r="E496" s="127"/>
      <c r="F496" s="300"/>
      <c r="G496" s="300"/>
      <c r="H496" s="892"/>
      <c r="I496" s="892"/>
      <c r="J496" s="892"/>
      <c r="K496" s="892"/>
      <c r="L496" s="892"/>
      <c r="M496" s="892"/>
      <c r="N496" s="892"/>
      <c r="O496" s="892"/>
      <c r="P496" s="892"/>
      <c r="Q496" s="892"/>
      <c r="R496" s="892"/>
      <c r="S496" s="892"/>
      <c r="T496" s="892"/>
      <c r="U496" s="892"/>
      <c r="V496" s="892"/>
      <c r="W496" s="893"/>
      <c r="X496" s="893"/>
      <c r="Y496" s="893"/>
      <c r="Z496" s="893"/>
      <c r="AA496" s="893"/>
      <c r="AB496" s="893"/>
      <c r="AC496" s="893"/>
      <c r="AD496" s="893"/>
      <c r="AE496" s="893"/>
      <c r="AF496" s="893"/>
      <c r="AG496" s="893"/>
      <c r="AH496" s="893"/>
      <c r="AI496" s="300"/>
      <c r="AJ496" s="300"/>
      <c r="AK496" s="300"/>
      <c r="AL496" s="300"/>
      <c r="AM496" s="300"/>
      <c r="AN496" s="127"/>
    </row>
    <row r="497" ht="14.25" customHeight="1">
      <c r="A497" s="127"/>
      <c r="B497" s="127"/>
      <c r="C497" s="127"/>
      <c r="D497" s="127"/>
      <c r="E497" s="127"/>
      <c r="F497" s="300"/>
      <c r="G497" s="300"/>
      <c r="H497" s="892"/>
      <c r="I497" s="892"/>
      <c r="J497" s="892"/>
      <c r="K497" s="892"/>
      <c r="L497" s="892"/>
      <c r="M497" s="892"/>
      <c r="N497" s="892"/>
      <c r="O497" s="892"/>
      <c r="P497" s="892"/>
      <c r="Q497" s="892"/>
      <c r="R497" s="892"/>
      <c r="S497" s="892"/>
      <c r="T497" s="892"/>
      <c r="U497" s="892"/>
      <c r="V497" s="892"/>
      <c r="W497" s="893"/>
      <c r="X497" s="893"/>
      <c r="Y497" s="893"/>
      <c r="Z497" s="893"/>
      <c r="AA497" s="893"/>
      <c r="AB497" s="893"/>
      <c r="AC497" s="893"/>
      <c r="AD497" s="893"/>
      <c r="AE497" s="893"/>
      <c r="AF497" s="893"/>
      <c r="AG497" s="893"/>
      <c r="AH497" s="893"/>
      <c r="AI497" s="300"/>
      <c r="AJ497" s="300"/>
      <c r="AK497" s="300"/>
      <c r="AL497" s="300"/>
      <c r="AM497" s="300"/>
      <c r="AN497" s="127"/>
    </row>
    <row r="498" ht="14.25" customHeight="1">
      <c r="A498" s="127"/>
      <c r="B498" s="127"/>
      <c r="C498" s="127"/>
      <c r="D498" s="127"/>
      <c r="E498" s="127"/>
      <c r="F498" s="300"/>
      <c r="G498" s="300"/>
      <c r="H498" s="892"/>
      <c r="I498" s="892"/>
      <c r="J498" s="892"/>
      <c r="K498" s="892"/>
      <c r="L498" s="892"/>
      <c r="M498" s="892"/>
      <c r="N498" s="892"/>
      <c r="O498" s="892"/>
      <c r="P498" s="892"/>
      <c r="Q498" s="892"/>
      <c r="R498" s="892"/>
      <c r="S498" s="892"/>
      <c r="T498" s="892"/>
      <c r="U498" s="892"/>
      <c r="V498" s="892"/>
      <c r="W498" s="893"/>
      <c r="X498" s="893"/>
      <c r="Y498" s="893"/>
      <c r="Z498" s="893"/>
      <c r="AA498" s="893"/>
      <c r="AB498" s="893"/>
      <c r="AC498" s="893"/>
      <c r="AD498" s="893"/>
      <c r="AE498" s="893"/>
      <c r="AF498" s="893"/>
      <c r="AG498" s="893"/>
      <c r="AH498" s="893"/>
      <c r="AI498" s="300"/>
      <c r="AJ498" s="300"/>
      <c r="AK498" s="300"/>
      <c r="AL498" s="300"/>
      <c r="AM498" s="300"/>
      <c r="AN498" s="127"/>
    </row>
    <row r="499" ht="14.25" customHeight="1">
      <c r="A499" s="127"/>
      <c r="B499" s="127"/>
      <c r="C499" s="127"/>
      <c r="D499" s="127"/>
      <c r="E499" s="127"/>
      <c r="F499" s="300"/>
      <c r="G499" s="300"/>
      <c r="H499" s="892"/>
      <c r="I499" s="892"/>
      <c r="J499" s="892"/>
      <c r="K499" s="892"/>
      <c r="L499" s="892"/>
      <c r="M499" s="892"/>
      <c r="N499" s="892"/>
      <c r="O499" s="892"/>
      <c r="P499" s="892"/>
      <c r="Q499" s="892"/>
      <c r="R499" s="892"/>
      <c r="S499" s="892"/>
      <c r="T499" s="892"/>
      <c r="U499" s="892"/>
      <c r="V499" s="892"/>
      <c r="W499" s="893"/>
      <c r="X499" s="893"/>
      <c r="Y499" s="893"/>
      <c r="Z499" s="893"/>
      <c r="AA499" s="893"/>
      <c r="AB499" s="893"/>
      <c r="AC499" s="893"/>
      <c r="AD499" s="893"/>
      <c r="AE499" s="893"/>
      <c r="AF499" s="893"/>
      <c r="AG499" s="893"/>
      <c r="AH499" s="893"/>
      <c r="AI499" s="300"/>
      <c r="AJ499" s="300"/>
      <c r="AK499" s="300"/>
      <c r="AL499" s="300"/>
      <c r="AM499" s="300"/>
      <c r="AN499" s="127"/>
    </row>
    <row r="500" ht="14.25" customHeight="1">
      <c r="A500" s="127"/>
      <c r="B500" s="127"/>
      <c r="C500" s="127"/>
      <c r="D500" s="127"/>
      <c r="E500" s="127"/>
      <c r="F500" s="300"/>
      <c r="G500" s="300"/>
      <c r="H500" s="892"/>
      <c r="I500" s="892"/>
      <c r="J500" s="892"/>
      <c r="K500" s="892"/>
      <c r="L500" s="892"/>
      <c r="M500" s="892"/>
      <c r="N500" s="892"/>
      <c r="O500" s="892"/>
      <c r="P500" s="892"/>
      <c r="Q500" s="892"/>
      <c r="R500" s="892"/>
      <c r="S500" s="892"/>
      <c r="T500" s="892"/>
      <c r="U500" s="892"/>
      <c r="V500" s="892"/>
      <c r="W500" s="893"/>
      <c r="X500" s="893"/>
      <c r="Y500" s="893"/>
      <c r="Z500" s="893"/>
      <c r="AA500" s="893"/>
      <c r="AB500" s="893"/>
      <c r="AC500" s="893"/>
      <c r="AD500" s="893"/>
      <c r="AE500" s="893"/>
      <c r="AF500" s="893"/>
      <c r="AG500" s="893"/>
      <c r="AH500" s="893"/>
      <c r="AI500" s="300"/>
      <c r="AJ500" s="300"/>
      <c r="AK500" s="300"/>
      <c r="AL500" s="300"/>
      <c r="AM500" s="300"/>
      <c r="AN500" s="127"/>
    </row>
    <row r="501" ht="14.25" customHeight="1">
      <c r="A501" s="127"/>
      <c r="B501" s="127"/>
      <c r="C501" s="127"/>
      <c r="D501" s="127"/>
      <c r="E501" s="127"/>
      <c r="F501" s="300"/>
      <c r="G501" s="300"/>
      <c r="H501" s="892"/>
      <c r="I501" s="892"/>
      <c r="J501" s="892"/>
      <c r="K501" s="892"/>
      <c r="L501" s="892"/>
      <c r="M501" s="892"/>
      <c r="N501" s="892"/>
      <c r="O501" s="892"/>
      <c r="P501" s="892"/>
      <c r="Q501" s="892"/>
      <c r="R501" s="892"/>
      <c r="S501" s="892"/>
      <c r="T501" s="892"/>
      <c r="U501" s="892"/>
      <c r="V501" s="892"/>
      <c r="W501" s="893"/>
      <c r="X501" s="893"/>
      <c r="Y501" s="893"/>
      <c r="Z501" s="893"/>
      <c r="AA501" s="893"/>
      <c r="AB501" s="893"/>
      <c r="AC501" s="893"/>
      <c r="AD501" s="893"/>
      <c r="AE501" s="893"/>
      <c r="AF501" s="893"/>
      <c r="AG501" s="893"/>
      <c r="AH501" s="893"/>
      <c r="AI501" s="300"/>
      <c r="AJ501" s="300"/>
      <c r="AK501" s="300"/>
      <c r="AL501" s="300"/>
      <c r="AM501" s="300"/>
      <c r="AN501" s="127"/>
    </row>
    <row r="502" ht="14.25" customHeight="1">
      <c r="A502" s="127"/>
      <c r="B502" s="127"/>
      <c r="C502" s="127"/>
      <c r="D502" s="127"/>
      <c r="E502" s="127"/>
      <c r="F502" s="300"/>
      <c r="G502" s="300"/>
      <c r="H502" s="892"/>
      <c r="I502" s="892"/>
      <c r="J502" s="892"/>
      <c r="K502" s="892"/>
      <c r="L502" s="892"/>
      <c r="M502" s="892"/>
      <c r="N502" s="892"/>
      <c r="O502" s="892"/>
      <c r="P502" s="892"/>
      <c r="Q502" s="892"/>
      <c r="R502" s="892"/>
      <c r="S502" s="892"/>
      <c r="T502" s="892"/>
      <c r="U502" s="892"/>
      <c r="V502" s="892"/>
      <c r="W502" s="893"/>
      <c r="X502" s="893"/>
      <c r="Y502" s="893"/>
      <c r="Z502" s="893"/>
      <c r="AA502" s="893"/>
      <c r="AB502" s="893"/>
      <c r="AC502" s="893"/>
      <c r="AD502" s="893"/>
      <c r="AE502" s="893"/>
      <c r="AF502" s="893"/>
      <c r="AG502" s="893"/>
      <c r="AH502" s="893"/>
      <c r="AI502" s="300"/>
      <c r="AJ502" s="300"/>
      <c r="AK502" s="300"/>
      <c r="AL502" s="300"/>
      <c r="AM502" s="300"/>
      <c r="AN502" s="127"/>
    </row>
    <row r="503" ht="14.25" customHeight="1">
      <c r="A503" s="127"/>
      <c r="B503" s="127"/>
      <c r="C503" s="127"/>
      <c r="D503" s="127"/>
      <c r="E503" s="127"/>
      <c r="F503" s="300"/>
      <c r="G503" s="300"/>
      <c r="H503" s="892"/>
      <c r="I503" s="892"/>
      <c r="J503" s="892"/>
      <c r="K503" s="892"/>
      <c r="L503" s="892"/>
      <c r="M503" s="892"/>
      <c r="N503" s="892"/>
      <c r="O503" s="892"/>
      <c r="P503" s="892"/>
      <c r="Q503" s="892"/>
      <c r="R503" s="892"/>
      <c r="S503" s="892"/>
      <c r="T503" s="892"/>
      <c r="U503" s="892"/>
      <c r="V503" s="892"/>
      <c r="W503" s="893"/>
      <c r="X503" s="893"/>
      <c r="Y503" s="893"/>
      <c r="Z503" s="893"/>
      <c r="AA503" s="893"/>
      <c r="AB503" s="893"/>
      <c r="AC503" s="893"/>
      <c r="AD503" s="893"/>
      <c r="AE503" s="893"/>
      <c r="AF503" s="893"/>
      <c r="AG503" s="893"/>
      <c r="AH503" s="893"/>
      <c r="AI503" s="300"/>
      <c r="AJ503" s="300"/>
      <c r="AK503" s="300"/>
      <c r="AL503" s="300"/>
      <c r="AM503" s="300"/>
      <c r="AN503" s="127"/>
    </row>
    <row r="504" ht="14.25" customHeight="1">
      <c r="A504" s="127"/>
      <c r="B504" s="127"/>
      <c r="C504" s="127"/>
      <c r="D504" s="127"/>
      <c r="E504" s="127"/>
      <c r="F504" s="300"/>
      <c r="G504" s="300"/>
      <c r="H504" s="892"/>
      <c r="I504" s="892"/>
      <c r="J504" s="892"/>
      <c r="K504" s="892"/>
      <c r="L504" s="892"/>
      <c r="M504" s="892"/>
      <c r="N504" s="892"/>
      <c r="O504" s="892"/>
      <c r="P504" s="892"/>
      <c r="Q504" s="892"/>
      <c r="R504" s="892"/>
      <c r="S504" s="892"/>
      <c r="T504" s="892"/>
      <c r="U504" s="892"/>
      <c r="V504" s="892"/>
      <c r="W504" s="893"/>
      <c r="X504" s="893"/>
      <c r="Y504" s="893"/>
      <c r="Z504" s="893"/>
      <c r="AA504" s="893"/>
      <c r="AB504" s="893"/>
      <c r="AC504" s="893"/>
      <c r="AD504" s="893"/>
      <c r="AE504" s="893"/>
      <c r="AF504" s="893"/>
      <c r="AG504" s="893"/>
      <c r="AH504" s="893"/>
      <c r="AI504" s="300"/>
      <c r="AJ504" s="300"/>
      <c r="AK504" s="300"/>
      <c r="AL504" s="300"/>
      <c r="AM504" s="300"/>
      <c r="AN504" s="127"/>
    </row>
    <row r="505" ht="14.25" customHeight="1">
      <c r="A505" s="127"/>
      <c r="B505" s="127"/>
      <c r="C505" s="127"/>
      <c r="D505" s="127"/>
      <c r="E505" s="127"/>
      <c r="F505" s="300"/>
      <c r="G505" s="300"/>
      <c r="H505" s="892"/>
      <c r="I505" s="892"/>
      <c r="J505" s="892"/>
      <c r="K505" s="892"/>
      <c r="L505" s="892"/>
      <c r="M505" s="892"/>
      <c r="N505" s="892"/>
      <c r="O505" s="892"/>
      <c r="P505" s="892"/>
      <c r="Q505" s="892"/>
      <c r="R505" s="892"/>
      <c r="S505" s="892"/>
      <c r="T505" s="892"/>
      <c r="U505" s="892"/>
      <c r="V505" s="892"/>
      <c r="W505" s="893"/>
      <c r="X505" s="893"/>
      <c r="Y505" s="893"/>
      <c r="Z505" s="893"/>
      <c r="AA505" s="893"/>
      <c r="AB505" s="893"/>
      <c r="AC505" s="893"/>
      <c r="AD505" s="893"/>
      <c r="AE505" s="893"/>
      <c r="AF505" s="893"/>
      <c r="AG505" s="893"/>
      <c r="AH505" s="893"/>
      <c r="AI505" s="300"/>
      <c r="AJ505" s="300"/>
      <c r="AK505" s="300"/>
      <c r="AL505" s="300"/>
      <c r="AM505" s="300"/>
      <c r="AN505" s="127"/>
    </row>
    <row r="506" ht="14.25" customHeight="1">
      <c r="A506" s="127"/>
      <c r="B506" s="127"/>
      <c r="C506" s="127"/>
      <c r="D506" s="127"/>
      <c r="E506" s="127"/>
      <c r="F506" s="300"/>
      <c r="G506" s="300"/>
      <c r="H506" s="892"/>
      <c r="I506" s="892"/>
      <c r="J506" s="892"/>
      <c r="K506" s="892"/>
      <c r="L506" s="892"/>
      <c r="M506" s="892"/>
      <c r="N506" s="892"/>
      <c r="O506" s="892"/>
      <c r="P506" s="892"/>
      <c r="Q506" s="892"/>
      <c r="R506" s="892"/>
      <c r="S506" s="892"/>
      <c r="T506" s="892"/>
      <c r="U506" s="892"/>
      <c r="V506" s="892"/>
      <c r="W506" s="893"/>
      <c r="X506" s="893"/>
      <c r="Y506" s="893"/>
      <c r="Z506" s="893"/>
      <c r="AA506" s="893"/>
      <c r="AB506" s="893"/>
      <c r="AC506" s="893"/>
      <c r="AD506" s="893"/>
      <c r="AE506" s="893"/>
      <c r="AF506" s="893"/>
      <c r="AG506" s="893"/>
      <c r="AH506" s="893"/>
      <c r="AI506" s="300"/>
      <c r="AJ506" s="300"/>
      <c r="AK506" s="300"/>
      <c r="AL506" s="300"/>
      <c r="AM506" s="300"/>
      <c r="AN506" s="127"/>
    </row>
    <row r="507" ht="14.25" customHeight="1">
      <c r="A507" s="127"/>
      <c r="B507" s="127"/>
      <c r="C507" s="127"/>
      <c r="D507" s="127"/>
      <c r="E507" s="127"/>
      <c r="F507" s="300"/>
      <c r="G507" s="300"/>
      <c r="H507" s="892"/>
      <c r="I507" s="892"/>
      <c r="J507" s="892"/>
      <c r="K507" s="892"/>
      <c r="L507" s="892"/>
      <c r="M507" s="892"/>
      <c r="N507" s="892"/>
      <c r="O507" s="892"/>
      <c r="P507" s="892"/>
      <c r="Q507" s="892"/>
      <c r="R507" s="892"/>
      <c r="S507" s="892"/>
      <c r="T507" s="892"/>
      <c r="U507" s="892"/>
      <c r="V507" s="892"/>
      <c r="W507" s="893"/>
      <c r="X507" s="893"/>
      <c r="Y507" s="893"/>
      <c r="Z507" s="893"/>
      <c r="AA507" s="893"/>
      <c r="AB507" s="893"/>
      <c r="AC507" s="893"/>
      <c r="AD507" s="893"/>
      <c r="AE507" s="893"/>
      <c r="AF507" s="893"/>
      <c r="AG507" s="893"/>
      <c r="AH507" s="893"/>
      <c r="AI507" s="300"/>
      <c r="AJ507" s="300"/>
      <c r="AK507" s="300"/>
      <c r="AL507" s="300"/>
      <c r="AM507" s="300"/>
      <c r="AN507" s="127"/>
    </row>
    <row r="508" ht="14.25" customHeight="1">
      <c r="A508" s="127"/>
      <c r="B508" s="127"/>
      <c r="C508" s="127"/>
      <c r="D508" s="127"/>
      <c r="E508" s="127"/>
      <c r="F508" s="300"/>
      <c r="G508" s="300"/>
      <c r="H508" s="892"/>
      <c r="I508" s="892"/>
      <c r="J508" s="892"/>
      <c r="K508" s="892"/>
      <c r="L508" s="892"/>
      <c r="M508" s="892"/>
      <c r="N508" s="892"/>
      <c r="O508" s="892"/>
      <c r="P508" s="892"/>
      <c r="Q508" s="892"/>
      <c r="R508" s="892"/>
      <c r="S508" s="892"/>
      <c r="T508" s="892"/>
      <c r="U508" s="892"/>
      <c r="V508" s="892"/>
      <c r="W508" s="893"/>
      <c r="X508" s="893"/>
      <c r="Y508" s="893"/>
      <c r="Z508" s="893"/>
      <c r="AA508" s="893"/>
      <c r="AB508" s="893"/>
      <c r="AC508" s="893"/>
      <c r="AD508" s="893"/>
      <c r="AE508" s="893"/>
      <c r="AF508" s="893"/>
      <c r="AG508" s="893"/>
      <c r="AH508" s="893"/>
      <c r="AI508" s="300"/>
      <c r="AJ508" s="300"/>
      <c r="AK508" s="300"/>
      <c r="AL508" s="300"/>
      <c r="AM508" s="300"/>
      <c r="AN508" s="127"/>
    </row>
    <row r="509" ht="14.25" customHeight="1">
      <c r="A509" s="127"/>
      <c r="B509" s="127"/>
      <c r="C509" s="127"/>
      <c r="D509" s="127"/>
      <c r="E509" s="127"/>
      <c r="F509" s="300"/>
      <c r="G509" s="300"/>
      <c r="H509" s="892"/>
      <c r="I509" s="892"/>
      <c r="J509" s="892"/>
      <c r="K509" s="892"/>
      <c r="L509" s="892"/>
      <c r="M509" s="892"/>
      <c r="N509" s="892"/>
      <c r="O509" s="892"/>
      <c r="P509" s="892"/>
      <c r="Q509" s="892"/>
      <c r="R509" s="892"/>
      <c r="S509" s="892"/>
      <c r="T509" s="892"/>
      <c r="U509" s="892"/>
      <c r="V509" s="892"/>
      <c r="W509" s="893"/>
      <c r="X509" s="893"/>
      <c r="Y509" s="893"/>
      <c r="Z509" s="893"/>
      <c r="AA509" s="893"/>
      <c r="AB509" s="893"/>
      <c r="AC509" s="893"/>
      <c r="AD509" s="893"/>
      <c r="AE509" s="893"/>
      <c r="AF509" s="893"/>
      <c r="AG509" s="893"/>
      <c r="AH509" s="893"/>
      <c r="AI509" s="300"/>
      <c r="AJ509" s="300"/>
      <c r="AK509" s="300"/>
      <c r="AL509" s="300"/>
      <c r="AM509" s="300"/>
      <c r="AN509" s="127"/>
    </row>
    <row r="510" ht="14.25" customHeight="1">
      <c r="A510" s="127"/>
      <c r="B510" s="127"/>
      <c r="C510" s="127"/>
      <c r="D510" s="127"/>
      <c r="E510" s="127"/>
      <c r="F510" s="300"/>
      <c r="G510" s="300"/>
      <c r="H510" s="892"/>
      <c r="I510" s="892"/>
      <c r="J510" s="892"/>
      <c r="K510" s="892"/>
      <c r="L510" s="892"/>
      <c r="M510" s="892"/>
      <c r="N510" s="892"/>
      <c r="O510" s="892"/>
      <c r="P510" s="892"/>
      <c r="Q510" s="892"/>
      <c r="R510" s="892"/>
      <c r="S510" s="892"/>
      <c r="T510" s="892"/>
      <c r="U510" s="892"/>
      <c r="V510" s="892"/>
      <c r="W510" s="893"/>
      <c r="X510" s="893"/>
      <c r="Y510" s="893"/>
      <c r="Z510" s="893"/>
      <c r="AA510" s="893"/>
      <c r="AB510" s="893"/>
      <c r="AC510" s="893"/>
      <c r="AD510" s="893"/>
      <c r="AE510" s="893"/>
      <c r="AF510" s="893"/>
      <c r="AG510" s="893"/>
      <c r="AH510" s="893"/>
      <c r="AI510" s="300"/>
      <c r="AJ510" s="300"/>
      <c r="AK510" s="300"/>
      <c r="AL510" s="300"/>
      <c r="AM510" s="300"/>
      <c r="AN510" s="127"/>
    </row>
    <row r="511" ht="14.25" customHeight="1">
      <c r="A511" s="127"/>
      <c r="B511" s="127"/>
      <c r="C511" s="127"/>
      <c r="D511" s="127"/>
      <c r="E511" s="127"/>
      <c r="F511" s="300"/>
      <c r="G511" s="300"/>
      <c r="H511" s="892"/>
      <c r="I511" s="892"/>
      <c r="J511" s="892"/>
      <c r="K511" s="892"/>
      <c r="L511" s="892"/>
      <c r="M511" s="892"/>
      <c r="N511" s="892"/>
      <c r="O511" s="892"/>
      <c r="P511" s="892"/>
      <c r="Q511" s="892"/>
      <c r="R511" s="892"/>
      <c r="S511" s="892"/>
      <c r="T511" s="892"/>
      <c r="U511" s="892"/>
      <c r="V511" s="892"/>
      <c r="W511" s="893"/>
      <c r="X511" s="893"/>
      <c r="Y511" s="893"/>
      <c r="Z511" s="893"/>
      <c r="AA511" s="893"/>
      <c r="AB511" s="893"/>
      <c r="AC511" s="893"/>
      <c r="AD511" s="893"/>
      <c r="AE511" s="893"/>
      <c r="AF511" s="893"/>
      <c r="AG511" s="893"/>
      <c r="AH511" s="893"/>
      <c r="AI511" s="300"/>
      <c r="AJ511" s="300"/>
      <c r="AK511" s="300"/>
      <c r="AL511" s="300"/>
      <c r="AM511" s="300"/>
      <c r="AN511" s="127"/>
    </row>
    <row r="512" ht="14.25" customHeight="1">
      <c r="A512" s="127"/>
      <c r="B512" s="127"/>
      <c r="C512" s="127"/>
      <c r="D512" s="127"/>
      <c r="E512" s="127"/>
      <c r="F512" s="300"/>
      <c r="G512" s="300"/>
      <c r="H512" s="892"/>
      <c r="I512" s="892"/>
      <c r="J512" s="892"/>
      <c r="K512" s="892"/>
      <c r="L512" s="892"/>
      <c r="M512" s="892"/>
      <c r="N512" s="892"/>
      <c r="O512" s="892"/>
      <c r="P512" s="892"/>
      <c r="Q512" s="892"/>
      <c r="R512" s="892"/>
      <c r="S512" s="892"/>
      <c r="T512" s="892"/>
      <c r="U512" s="892"/>
      <c r="V512" s="892"/>
      <c r="W512" s="893"/>
      <c r="X512" s="893"/>
      <c r="Y512" s="893"/>
      <c r="Z512" s="893"/>
      <c r="AA512" s="893"/>
      <c r="AB512" s="893"/>
      <c r="AC512" s="893"/>
      <c r="AD512" s="893"/>
      <c r="AE512" s="893"/>
      <c r="AF512" s="893"/>
      <c r="AG512" s="893"/>
      <c r="AH512" s="893"/>
      <c r="AI512" s="300"/>
      <c r="AJ512" s="300"/>
      <c r="AK512" s="300"/>
      <c r="AL512" s="300"/>
      <c r="AM512" s="300"/>
      <c r="AN512" s="127"/>
    </row>
    <row r="513" ht="14.25" customHeight="1">
      <c r="A513" s="127"/>
      <c r="B513" s="127"/>
      <c r="C513" s="127"/>
      <c r="D513" s="127"/>
      <c r="E513" s="127"/>
      <c r="F513" s="300"/>
      <c r="G513" s="300"/>
      <c r="H513" s="892"/>
      <c r="I513" s="892"/>
      <c r="J513" s="892"/>
      <c r="K513" s="892"/>
      <c r="L513" s="892"/>
      <c r="M513" s="892"/>
      <c r="N513" s="892"/>
      <c r="O513" s="892"/>
      <c r="P513" s="892"/>
      <c r="Q513" s="892"/>
      <c r="R513" s="892"/>
      <c r="S513" s="892"/>
      <c r="T513" s="892"/>
      <c r="U513" s="892"/>
      <c r="V513" s="892"/>
      <c r="W513" s="893"/>
      <c r="X513" s="893"/>
      <c r="Y513" s="893"/>
      <c r="Z513" s="893"/>
      <c r="AA513" s="893"/>
      <c r="AB513" s="893"/>
      <c r="AC513" s="893"/>
      <c r="AD513" s="893"/>
      <c r="AE513" s="893"/>
      <c r="AF513" s="893"/>
      <c r="AG513" s="893"/>
      <c r="AH513" s="893"/>
      <c r="AI513" s="300"/>
      <c r="AJ513" s="300"/>
      <c r="AK513" s="300"/>
      <c r="AL513" s="300"/>
      <c r="AM513" s="300"/>
      <c r="AN513" s="127"/>
    </row>
    <row r="514" ht="14.25" customHeight="1">
      <c r="A514" s="127"/>
      <c r="B514" s="127"/>
      <c r="C514" s="127"/>
      <c r="D514" s="127"/>
      <c r="E514" s="127"/>
      <c r="F514" s="300"/>
      <c r="G514" s="300"/>
      <c r="H514" s="892"/>
      <c r="I514" s="892"/>
      <c r="J514" s="892"/>
      <c r="K514" s="892"/>
      <c r="L514" s="892"/>
      <c r="M514" s="892"/>
      <c r="N514" s="892"/>
      <c r="O514" s="892"/>
      <c r="P514" s="892"/>
      <c r="Q514" s="892"/>
      <c r="R514" s="892"/>
      <c r="S514" s="892"/>
      <c r="T514" s="892"/>
      <c r="U514" s="892"/>
      <c r="V514" s="892"/>
      <c r="W514" s="893"/>
      <c r="X514" s="893"/>
      <c r="Y514" s="893"/>
      <c r="Z514" s="893"/>
      <c r="AA514" s="893"/>
      <c r="AB514" s="893"/>
      <c r="AC514" s="893"/>
      <c r="AD514" s="893"/>
      <c r="AE514" s="893"/>
      <c r="AF514" s="893"/>
      <c r="AG514" s="893"/>
      <c r="AH514" s="893"/>
      <c r="AI514" s="300"/>
      <c r="AJ514" s="300"/>
      <c r="AK514" s="300"/>
      <c r="AL514" s="300"/>
      <c r="AM514" s="300"/>
      <c r="AN514" s="127"/>
    </row>
    <row r="515" ht="14.25" customHeight="1">
      <c r="A515" s="127"/>
      <c r="B515" s="127"/>
      <c r="C515" s="127"/>
      <c r="D515" s="127"/>
      <c r="E515" s="127"/>
      <c r="F515" s="300"/>
      <c r="G515" s="300"/>
      <c r="H515" s="892"/>
      <c r="I515" s="892"/>
      <c r="J515" s="892"/>
      <c r="K515" s="892"/>
      <c r="L515" s="892"/>
      <c r="M515" s="892"/>
      <c r="N515" s="892"/>
      <c r="O515" s="892"/>
      <c r="P515" s="892"/>
      <c r="Q515" s="892"/>
      <c r="R515" s="892"/>
      <c r="S515" s="892"/>
      <c r="T515" s="892"/>
      <c r="U515" s="892"/>
      <c r="V515" s="892"/>
      <c r="W515" s="893"/>
      <c r="X515" s="893"/>
      <c r="Y515" s="893"/>
      <c r="Z515" s="893"/>
      <c r="AA515" s="893"/>
      <c r="AB515" s="893"/>
      <c r="AC515" s="893"/>
      <c r="AD515" s="893"/>
      <c r="AE515" s="893"/>
      <c r="AF515" s="893"/>
      <c r="AG515" s="893"/>
      <c r="AH515" s="893"/>
      <c r="AI515" s="300"/>
      <c r="AJ515" s="300"/>
      <c r="AK515" s="300"/>
      <c r="AL515" s="300"/>
      <c r="AM515" s="300"/>
      <c r="AN515" s="127"/>
    </row>
    <row r="516" ht="14.25" customHeight="1">
      <c r="A516" s="127"/>
      <c r="B516" s="127"/>
      <c r="C516" s="127"/>
      <c r="D516" s="127"/>
      <c r="E516" s="127"/>
      <c r="F516" s="300"/>
      <c r="G516" s="300"/>
      <c r="H516" s="892"/>
      <c r="I516" s="892"/>
      <c r="J516" s="892"/>
      <c r="K516" s="892"/>
      <c r="L516" s="892"/>
      <c r="M516" s="892"/>
      <c r="N516" s="892"/>
      <c r="O516" s="892"/>
      <c r="P516" s="892"/>
      <c r="Q516" s="892"/>
      <c r="R516" s="892"/>
      <c r="S516" s="892"/>
      <c r="T516" s="892"/>
      <c r="U516" s="892"/>
      <c r="V516" s="892"/>
      <c r="W516" s="893"/>
      <c r="X516" s="893"/>
      <c r="Y516" s="893"/>
      <c r="Z516" s="893"/>
      <c r="AA516" s="893"/>
      <c r="AB516" s="893"/>
      <c r="AC516" s="893"/>
      <c r="AD516" s="893"/>
      <c r="AE516" s="893"/>
      <c r="AF516" s="893"/>
      <c r="AG516" s="893"/>
      <c r="AH516" s="893"/>
      <c r="AI516" s="300"/>
      <c r="AJ516" s="300"/>
      <c r="AK516" s="300"/>
      <c r="AL516" s="300"/>
      <c r="AM516" s="300"/>
      <c r="AN516" s="127"/>
    </row>
    <row r="517" ht="14.25" customHeight="1">
      <c r="A517" s="127"/>
      <c r="B517" s="127"/>
      <c r="C517" s="127"/>
      <c r="D517" s="127"/>
      <c r="E517" s="127"/>
      <c r="F517" s="300"/>
      <c r="G517" s="300"/>
      <c r="H517" s="892"/>
      <c r="I517" s="892"/>
      <c r="J517" s="892"/>
      <c r="K517" s="892"/>
      <c r="L517" s="892"/>
      <c r="M517" s="892"/>
      <c r="N517" s="892"/>
      <c r="O517" s="892"/>
      <c r="P517" s="892"/>
      <c r="Q517" s="892"/>
      <c r="R517" s="892"/>
      <c r="S517" s="892"/>
      <c r="T517" s="892"/>
      <c r="U517" s="892"/>
      <c r="V517" s="892"/>
      <c r="W517" s="893"/>
      <c r="X517" s="893"/>
      <c r="Y517" s="893"/>
      <c r="Z517" s="893"/>
      <c r="AA517" s="893"/>
      <c r="AB517" s="893"/>
      <c r="AC517" s="893"/>
      <c r="AD517" s="893"/>
      <c r="AE517" s="893"/>
      <c r="AF517" s="893"/>
      <c r="AG517" s="893"/>
      <c r="AH517" s="893"/>
      <c r="AI517" s="300"/>
      <c r="AJ517" s="300"/>
      <c r="AK517" s="300"/>
      <c r="AL517" s="300"/>
      <c r="AM517" s="300"/>
      <c r="AN517" s="127"/>
    </row>
    <row r="518" ht="14.25" customHeight="1">
      <c r="A518" s="127"/>
      <c r="B518" s="127"/>
      <c r="C518" s="127"/>
      <c r="D518" s="127"/>
      <c r="E518" s="127"/>
      <c r="F518" s="300"/>
      <c r="G518" s="300"/>
      <c r="H518" s="892"/>
      <c r="I518" s="892"/>
      <c r="J518" s="892"/>
      <c r="K518" s="892"/>
      <c r="L518" s="892"/>
      <c r="M518" s="892"/>
      <c r="N518" s="892"/>
      <c r="O518" s="892"/>
      <c r="P518" s="892"/>
      <c r="Q518" s="892"/>
      <c r="R518" s="892"/>
      <c r="S518" s="892"/>
      <c r="T518" s="892"/>
      <c r="U518" s="892"/>
      <c r="V518" s="892"/>
      <c r="W518" s="893"/>
      <c r="X518" s="893"/>
      <c r="Y518" s="893"/>
      <c r="Z518" s="893"/>
      <c r="AA518" s="893"/>
      <c r="AB518" s="893"/>
      <c r="AC518" s="893"/>
      <c r="AD518" s="893"/>
      <c r="AE518" s="893"/>
      <c r="AF518" s="893"/>
      <c r="AG518" s="893"/>
      <c r="AH518" s="893"/>
      <c r="AI518" s="300"/>
      <c r="AJ518" s="300"/>
      <c r="AK518" s="300"/>
      <c r="AL518" s="300"/>
      <c r="AM518" s="300"/>
      <c r="AN518" s="127"/>
    </row>
    <row r="519" ht="14.25" customHeight="1">
      <c r="A519" s="127"/>
      <c r="B519" s="127"/>
      <c r="C519" s="127"/>
      <c r="D519" s="127"/>
      <c r="E519" s="127"/>
      <c r="F519" s="300"/>
      <c r="G519" s="300"/>
      <c r="H519" s="892"/>
      <c r="I519" s="892"/>
      <c r="J519" s="892"/>
      <c r="K519" s="892"/>
      <c r="L519" s="892"/>
      <c r="M519" s="892"/>
      <c r="N519" s="892"/>
      <c r="O519" s="892"/>
      <c r="P519" s="892"/>
      <c r="Q519" s="892"/>
      <c r="R519" s="892"/>
      <c r="S519" s="892"/>
      <c r="T519" s="892"/>
      <c r="U519" s="892"/>
      <c r="V519" s="892"/>
      <c r="W519" s="893"/>
      <c r="X519" s="893"/>
      <c r="Y519" s="893"/>
      <c r="Z519" s="893"/>
      <c r="AA519" s="893"/>
      <c r="AB519" s="893"/>
      <c r="AC519" s="893"/>
      <c r="AD519" s="893"/>
      <c r="AE519" s="893"/>
      <c r="AF519" s="893"/>
      <c r="AG519" s="893"/>
      <c r="AH519" s="893"/>
      <c r="AI519" s="300"/>
      <c r="AJ519" s="300"/>
      <c r="AK519" s="300"/>
      <c r="AL519" s="300"/>
      <c r="AM519" s="300"/>
      <c r="AN519" s="127"/>
    </row>
    <row r="520" ht="14.25" customHeight="1">
      <c r="A520" s="127"/>
      <c r="B520" s="127"/>
      <c r="C520" s="127"/>
      <c r="D520" s="127"/>
      <c r="E520" s="127"/>
      <c r="F520" s="300"/>
      <c r="G520" s="300"/>
      <c r="H520" s="892"/>
      <c r="I520" s="892"/>
      <c r="J520" s="892"/>
      <c r="K520" s="892"/>
      <c r="L520" s="892"/>
      <c r="M520" s="892"/>
      <c r="N520" s="892"/>
      <c r="O520" s="892"/>
      <c r="P520" s="892"/>
      <c r="Q520" s="892"/>
      <c r="R520" s="892"/>
      <c r="S520" s="892"/>
      <c r="T520" s="892"/>
      <c r="U520" s="892"/>
      <c r="V520" s="892"/>
      <c r="W520" s="893"/>
      <c r="X520" s="893"/>
      <c r="Y520" s="893"/>
      <c r="Z520" s="893"/>
      <c r="AA520" s="893"/>
      <c r="AB520" s="893"/>
      <c r="AC520" s="893"/>
      <c r="AD520" s="893"/>
      <c r="AE520" s="893"/>
      <c r="AF520" s="893"/>
      <c r="AG520" s="893"/>
      <c r="AH520" s="893"/>
      <c r="AI520" s="300"/>
      <c r="AJ520" s="300"/>
      <c r="AK520" s="300"/>
      <c r="AL520" s="300"/>
      <c r="AM520" s="300"/>
      <c r="AN520" s="127"/>
    </row>
    <row r="521" ht="14.25" customHeight="1">
      <c r="A521" s="127"/>
      <c r="B521" s="127"/>
      <c r="C521" s="127"/>
      <c r="D521" s="127"/>
      <c r="E521" s="127"/>
      <c r="F521" s="300"/>
      <c r="G521" s="300"/>
      <c r="H521" s="892"/>
      <c r="I521" s="892"/>
      <c r="J521" s="892"/>
      <c r="K521" s="892"/>
      <c r="L521" s="892"/>
      <c r="M521" s="892"/>
      <c r="N521" s="892"/>
      <c r="O521" s="892"/>
      <c r="P521" s="892"/>
      <c r="Q521" s="892"/>
      <c r="R521" s="892"/>
      <c r="S521" s="892"/>
      <c r="T521" s="892"/>
      <c r="U521" s="892"/>
      <c r="V521" s="892"/>
      <c r="W521" s="893"/>
      <c r="X521" s="893"/>
      <c r="Y521" s="893"/>
      <c r="Z521" s="893"/>
      <c r="AA521" s="893"/>
      <c r="AB521" s="893"/>
      <c r="AC521" s="893"/>
      <c r="AD521" s="893"/>
      <c r="AE521" s="893"/>
      <c r="AF521" s="893"/>
      <c r="AG521" s="893"/>
      <c r="AH521" s="893"/>
      <c r="AI521" s="300"/>
      <c r="AJ521" s="300"/>
      <c r="AK521" s="300"/>
      <c r="AL521" s="300"/>
      <c r="AM521" s="300"/>
      <c r="AN521" s="127"/>
    </row>
    <row r="522" ht="14.25" customHeight="1">
      <c r="A522" s="127"/>
      <c r="B522" s="127"/>
      <c r="C522" s="127"/>
      <c r="D522" s="127"/>
      <c r="E522" s="127"/>
      <c r="F522" s="300"/>
      <c r="G522" s="300"/>
      <c r="H522" s="892"/>
      <c r="I522" s="892"/>
      <c r="J522" s="892"/>
      <c r="K522" s="892"/>
      <c r="L522" s="892"/>
      <c r="M522" s="892"/>
      <c r="N522" s="892"/>
      <c r="O522" s="892"/>
      <c r="P522" s="892"/>
      <c r="Q522" s="892"/>
      <c r="R522" s="892"/>
      <c r="S522" s="892"/>
      <c r="T522" s="892"/>
      <c r="U522" s="892"/>
      <c r="V522" s="892"/>
      <c r="W522" s="893"/>
      <c r="X522" s="893"/>
      <c r="Y522" s="893"/>
      <c r="Z522" s="893"/>
      <c r="AA522" s="893"/>
      <c r="AB522" s="893"/>
      <c r="AC522" s="893"/>
      <c r="AD522" s="893"/>
      <c r="AE522" s="893"/>
      <c r="AF522" s="893"/>
      <c r="AG522" s="893"/>
      <c r="AH522" s="893"/>
      <c r="AI522" s="300"/>
      <c r="AJ522" s="300"/>
      <c r="AK522" s="300"/>
      <c r="AL522" s="300"/>
      <c r="AM522" s="300"/>
      <c r="AN522" s="127"/>
    </row>
    <row r="523" ht="14.25" customHeight="1">
      <c r="A523" s="127"/>
      <c r="B523" s="127"/>
      <c r="C523" s="127"/>
      <c r="D523" s="127"/>
      <c r="E523" s="127"/>
      <c r="F523" s="300"/>
      <c r="G523" s="300"/>
      <c r="H523" s="892"/>
      <c r="I523" s="892"/>
      <c r="J523" s="892"/>
      <c r="K523" s="892"/>
      <c r="L523" s="892"/>
      <c r="M523" s="892"/>
      <c r="N523" s="892"/>
      <c r="O523" s="892"/>
      <c r="P523" s="892"/>
      <c r="Q523" s="892"/>
      <c r="R523" s="892"/>
      <c r="S523" s="892"/>
      <c r="T523" s="892"/>
      <c r="U523" s="892"/>
      <c r="V523" s="892"/>
      <c r="W523" s="893"/>
      <c r="X523" s="893"/>
      <c r="Y523" s="893"/>
      <c r="Z523" s="893"/>
      <c r="AA523" s="893"/>
      <c r="AB523" s="893"/>
      <c r="AC523" s="893"/>
      <c r="AD523" s="893"/>
      <c r="AE523" s="893"/>
      <c r="AF523" s="893"/>
      <c r="AG523" s="893"/>
      <c r="AH523" s="893"/>
      <c r="AI523" s="300"/>
      <c r="AJ523" s="300"/>
      <c r="AK523" s="300"/>
      <c r="AL523" s="300"/>
      <c r="AM523" s="300"/>
      <c r="AN523" s="127"/>
    </row>
    <row r="524" ht="14.25" customHeight="1">
      <c r="A524" s="127"/>
      <c r="B524" s="127"/>
      <c r="C524" s="127"/>
      <c r="D524" s="127"/>
      <c r="E524" s="127"/>
      <c r="F524" s="300"/>
      <c r="G524" s="300"/>
      <c r="H524" s="892"/>
      <c r="I524" s="892"/>
      <c r="J524" s="892"/>
      <c r="K524" s="892"/>
      <c r="L524" s="892"/>
      <c r="M524" s="892"/>
      <c r="N524" s="892"/>
      <c r="O524" s="892"/>
      <c r="P524" s="892"/>
      <c r="Q524" s="892"/>
      <c r="R524" s="892"/>
      <c r="S524" s="892"/>
      <c r="T524" s="892"/>
      <c r="U524" s="892"/>
      <c r="V524" s="892"/>
      <c r="W524" s="893"/>
      <c r="X524" s="893"/>
      <c r="Y524" s="893"/>
      <c r="Z524" s="893"/>
      <c r="AA524" s="893"/>
      <c r="AB524" s="893"/>
      <c r="AC524" s="893"/>
      <c r="AD524" s="893"/>
      <c r="AE524" s="893"/>
      <c r="AF524" s="893"/>
      <c r="AG524" s="893"/>
      <c r="AH524" s="893"/>
      <c r="AI524" s="300"/>
      <c r="AJ524" s="300"/>
      <c r="AK524" s="300"/>
      <c r="AL524" s="300"/>
      <c r="AM524" s="300"/>
      <c r="AN524" s="127"/>
    </row>
    <row r="525" ht="14.25" customHeight="1">
      <c r="A525" s="127"/>
      <c r="B525" s="127"/>
      <c r="C525" s="127"/>
      <c r="D525" s="127"/>
      <c r="E525" s="127"/>
      <c r="F525" s="300"/>
      <c r="G525" s="300"/>
      <c r="H525" s="892"/>
      <c r="I525" s="892"/>
      <c r="J525" s="892"/>
      <c r="K525" s="892"/>
      <c r="L525" s="892"/>
      <c r="M525" s="892"/>
      <c r="N525" s="892"/>
      <c r="O525" s="892"/>
      <c r="P525" s="892"/>
      <c r="Q525" s="892"/>
      <c r="R525" s="892"/>
      <c r="S525" s="892"/>
      <c r="T525" s="892"/>
      <c r="U525" s="892"/>
      <c r="V525" s="892"/>
      <c r="W525" s="893"/>
      <c r="X525" s="893"/>
      <c r="Y525" s="893"/>
      <c r="Z525" s="893"/>
      <c r="AA525" s="893"/>
      <c r="AB525" s="893"/>
      <c r="AC525" s="893"/>
      <c r="AD525" s="893"/>
      <c r="AE525" s="893"/>
      <c r="AF525" s="893"/>
      <c r="AG525" s="893"/>
      <c r="AH525" s="893"/>
      <c r="AI525" s="300"/>
      <c r="AJ525" s="300"/>
      <c r="AK525" s="300"/>
      <c r="AL525" s="300"/>
      <c r="AM525" s="300"/>
      <c r="AN525" s="127"/>
    </row>
    <row r="526" ht="14.25" customHeight="1">
      <c r="A526" s="127"/>
      <c r="B526" s="127"/>
      <c r="C526" s="127"/>
      <c r="D526" s="127"/>
      <c r="E526" s="127"/>
      <c r="F526" s="300"/>
      <c r="G526" s="300"/>
      <c r="H526" s="892"/>
      <c r="I526" s="892"/>
      <c r="J526" s="892"/>
      <c r="K526" s="892"/>
      <c r="L526" s="892"/>
      <c r="M526" s="892"/>
      <c r="N526" s="892"/>
      <c r="O526" s="892"/>
      <c r="P526" s="892"/>
      <c r="Q526" s="892"/>
      <c r="R526" s="892"/>
      <c r="S526" s="892"/>
      <c r="T526" s="892"/>
      <c r="U526" s="892"/>
      <c r="V526" s="892"/>
      <c r="W526" s="893"/>
      <c r="X526" s="893"/>
      <c r="Y526" s="893"/>
      <c r="Z526" s="893"/>
      <c r="AA526" s="893"/>
      <c r="AB526" s="893"/>
      <c r="AC526" s="893"/>
      <c r="AD526" s="893"/>
      <c r="AE526" s="893"/>
      <c r="AF526" s="893"/>
      <c r="AG526" s="893"/>
      <c r="AH526" s="893"/>
      <c r="AI526" s="300"/>
      <c r="AJ526" s="300"/>
      <c r="AK526" s="300"/>
      <c r="AL526" s="300"/>
      <c r="AM526" s="300"/>
      <c r="AN526" s="127"/>
    </row>
    <row r="527" ht="14.25" customHeight="1">
      <c r="A527" s="127"/>
      <c r="B527" s="127"/>
      <c r="C527" s="127"/>
      <c r="D527" s="127"/>
      <c r="E527" s="127"/>
      <c r="F527" s="300"/>
      <c r="G527" s="300"/>
      <c r="H527" s="892"/>
      <c r="I527" s="892"/>
      <c r="J527" s="892"/>
      <c r="K527" s="892"/>
      <c r="L527" s="892"/>
      <c r="M527" s="892"/>
      <c r="N527" s="892"/>
      <c r="O527" s="892"/>
      <c r="P527" s="892"/>
      <c r="Q527" s="892"/>
      <c r="R527" s="892"/>
      <c r="S527" s="892"/>
      <c r="T527" s="892"/>
      <c r="U527" s="892"/>
      <c r="V527" s="892"/>
      <c r="W527" s="893"/>
      <c r="X527" s="893"/>
      <c r="Y527" s="893"/>
      <c r="Z527" s="893"/>
      <c r="AA527" s="893"/>
      <c r="AB527" s="893"/>
      <c r="AC527" s="893"/>
      <c r="AD527" s="893"/>
      <c r="AE527" s="893"/>
      <c r="AF527" s="893"/>
      <c r="AG527" s="893"/>
      <c r="AH527" s="893"/>
      <c r="AI527" s="300"/>
      <c r="AJ527" s="300"/>
      <c r="AK527" s="300"/>
      <c r="AL527" s="300"/>
      <c r="AM527" s="300"/>
      <c r="AN527" s="127"/>
    </row>
    <row r="528" ht="14.25" customHeight="1">
      <c r="A528" s="127"/>
      <c r="B528" s="127"/>
      <c r="C528" s="127"/>
      <c r="D528" s="127"/>
      <c r="E528" s="127"/>
      <c r="F528" s="300"/>
      <c r="G528" s="300"/>
      <c r="H528" s="892"/>
      <c r="I528" s="892"/>
      <c r="J528" s="892"/>
      <c r="K528" s="892"/>
      <c r="L528" s="892"/>
      <c r="M528" s="892"/>
      <c r="N528" s="892"/>
      <c r="O528" s="892"/>
      <c r="P528" s="892"/>
      <c r="Q528" s="892"/>
      <c r="R528" s="892"/>
      <c r="S528" s="892"/>
      <c r="T528" s="892"/>
      <c r="U528" s="892"/>
      <c r="V528" s="892"/>
      <c r="W528" s="893"/>
      <c r="X528" s="893"/>
      <c r="Y528" s="893"/>
      <c r="Z528" s="893"/>
      <c r="AA528" s="893"/>
      <c r="AB528" s="893"/>
      <c r="AC528" s="893"/>
      <c r="AD528" s="893"/>
      <c r="AE528" s="893"/>
      <c r="AF528" s="893"/>
      <c r="AG528" s="893"/>
      <c r="AH528" s="893"/>
      <c r="AI528" s="300"/>
      <c r="AJ528" s="300"/>
      <c r="AK528" s="300"/>
      <c r="AL528" s="300"/>
      <c r="AM528" s="300"/>
      <c r="AN528" s="127"/>
    </row>
    <row r="529" ht="14.25" customHeight="1">
      <c r="A529" s="127"/>
      <c r="B529" s="127"/>
      <c r="C529" s="127"/>
      <c r="D529" s="127"/>
      <c r="E529" s="127"/>
      <c r="F529" s="300"/>
      <c r="G529" s="300"/>
      <c r="H529" s="892"/>
      <c r="I529" s="892"/>
      <c r="J529" s="892"/>
      <c r="K529" s="892"/>
      <c r="L529" s="892"/>
      <c r="M529" s="892"/>
      <c r="N529" s="892"/>
      <c r="O529" s="892"/>
      <c r="P529" s="892"/>
      <c r="Q529" s="892"/>
      <c r="R529" s="892"/>
      <c r="S529" s="892"/>
      <c r="T529" s="892"/>
      <c r="U529" s="892"/>
      <c r="V529" s="892"/>
      <c r="W529" s="893"/>
      <c r="X529" s="893"/>
      <c r="Y529" s="893"/>
      <c r="Z529" s="893"/>
      <c r="AA529" s="893"/>
      <c r="AB529" s="893"/>
      <c r="AC529" s="893"/>
      <c r="AD529" s="893"/>
      <c r="AE529" s="893"/>
      <c r="AF529" s="893"/>
      <c r="AG529" s="893"/>
      <c r="AH529" s="893"/>
      <c r="AI529" s="300"/>
      <c r="AJ529" s="300"/>
      <c r="AK529" s="300"/>
      <c r="AL529" s="300"/>
      <c r="AM529" s="300"/>
      <c r="AN529" s="127"/>
    </row>
    <row r="530" ht="14.25" customHeight="1">
      <c r="A530" s="127"/>
      <c r="B530" s="127"/>
      <c r="C530" s="127"/>
      <c r="D530" s="127"/>
      <c r="E530" s="127"/>
      <c r="F530" s="300"/>
      <c r="G530" s="300"/>
      <c r="H530" s="892"/>
      <c r="I530" s="892"/>
      <c r="J530" s="892"/>
      <c r="K530" s="892"/>
      <c r="L530" s="892"/>
      <c r="M530" s="892"/>
      <c r="N530" s="892"/>
      <c r="O530" s="892"/>
      <c r="P530" s="892"/>
      <c r="Q530" s="892"/>
      <c r="R530" s="892"/>
      <c r="S530" s="892"/>
      <c r="T530" s="892"/>
      <c r="U530" s="892"/>
      <c r="V530" s="892"/>
      <c r="W530" s="893"/>
      <c r="X530" s="893"/>
      <c r="Y530" s="893"/>
      <c r="Z530" s="893"/>
      <c r="AA530" s="893"/>
      <c r="AB530" s="893"/>
      <c r="AC530" s="893"/>
      <c r="AD530" s="893"/>
      <c r="AE530" s="893"/>
      <c r="AF530" s="893"/>
      <c r="AG530" s="893"/>
      <c r="AH530" s="893"/>
      <c r="AI530" s="300"/>
      <c r="AJ530" s="300"/>
      <c r="AK530" s="300"/>
      <c r="AL530" s="300"/>
      <c r="AM530" s="300"/>
      <c r="AN530" s="127"/>
    </row>
    <row r="531" ht="14.25" customHeight="1">
      <c r="A531" s="127"/>
      <c r="B531" s="127"/>
      <c r="C531" s="127"/>
      <c r="D531" s="127"/>
      <c r="E531" s="127"/>
      <c r="F531" s="300"/>
      <c r="G531" s="300"/>
      <c r="H531" s="892"/>
      <c r="I531" s="892"/>
      <c r="J531" s="892"/>
      <c r="K531" s="892"/>
      <c r="L531" s="892"/>
      <c r="M531" s="892"/>
      <c r="N531" s="892"/>
      <c r="O531" s="892"/>
      <c r="P531" s="892"/>
      <c r="Q531" s="892"/>
      <c r="R531" s="892"/>
      <c r="S531" s="892"/>
      <c r="T531" s="892"/>
      <c r="U531" s="892"/>
      <c r="V531" s="892"/>
      <c r="W531" s="893"/>
      <c r="X531" s="893"/>
      <c r="Y531" s="893"/>
      <c r="Z531" s="893"/>
      <c r="AA531" s="893"/>
      <c r="AB531" s="893"/>
      <c r="AC531" s="893"/>
      <c r="AD531" s="893"/>
      <c r="AE531" s="893"/>
      <c r="AF531" s="893"/>
      <c r="AG531" s="893"/>
      <c r="AH531" s="893"/>
      <c r="AI531" s="300"/>
      <c r="AJ531" s="300"/>
      <c r="AK531" s="300"/>
      <c r="AL531" s="300"/>
      <c r="AM531" s="300"/>
      <c r="AN531" s="127"/>
    </row>
    <row r="532" ht="14.25" customHeight="1">
      <c r="A532" s="127"/>
      <c r="B532" s="127"/>
      <c r="C532" s="127"/>
      <c r="D532" s="127"/>
      <c r="E532" s="127"/>
      <c r="F532" s="300"/>
      <c r="G532" s="300"/>
      <c r="H532" s="892"/>
      <c r="I532" s="892"/>
      <c r="J532" s="892"/>
      <c r="K532" s="892"/>
      <c r="L532" s="892"/>
      <c r="M532" s="892"/>
      <c r="N532" s="892"/>
      <c r="O532" s="892"/>
      <c r="P532" s="892"/>
      <c r="Q532" s="892"/>
      <c r="R532" s="892"/>
      <c r="S532" s="892"/>
      <c r="T532" s="892"/>
      <c r="U532" s="892"/>
      <c r="V532" s="892"/>
      <c r="W532" s="893"/>
      <c r="X532" s="893"/>
      <c r="Y532" s="893"/>
      <c r="Z532" s="893"/>
      <c r="AA532" s="893"/>
      <c r="AB532" s="893"/>
      <c r="AC532" s="893"/>
      <c r="AD532" s="893"/>
      <c r="AE532" s="893"/>
      <c r="AF532" s="893"/>
      <c r="AG532" s="893"/>
      <c r="AH532" s="893"/>
      <c r="AI532" s="300"/>
      <c r="AJ532" s="300"/>
      <c r="AK532" s="300"/>
      <c r="AL532" s="300"/>
      <c r="AM532" s="300"/>
      <c r="AN532" s="127"/>
    </row>
    <row r="533" ht="14.25" customHeight="1">
      <c r="A533" s="127"/>
      <c r="B533" s="127"/>
      <c r="C533" s="127"/>
      <c r="D533" s="127"/>
      <c r="E533" s="127"/>
      <c r="F533" s="300"/>
      <c r="G533" s="300"/>
      <c r="H533" s="892"/>
      <c r="I533" s="892"/>
      <c r="J533" s="892"/>
      <c r="K533" s="892"/>
      <c r="L533" s="892"/>
      <c r="M533" s="892"/>
      <c r="N533" s="892"/>
      <c r="O533" s="892"/>
      <c r="P533" s="892"/>
      <c r="Q533" s="892"/>
      <c r="R533" s="892"/>
      <c r="S533" s="892"/>
      <c r="T533" s="892"/>
      <c r="U533" s="892"/>
      <c r="V533" s="892"/>
      <c r="W533" s="893"/>
      <c r="X533" s="893"/>
      <c r="Y533" s="893"/>
      <c r="Z533" s="893"/>
      <c r="AA533" s="893"/>
      <c r="AB533" s="893"/>
      <c r="AC533" s="893"/>
      <c r="AD533" s="893"/>
      <c r="AE533" s="893"/>
      <c r="AF533" s="893"/>
      <c r="AG533" s="893"/>
      <c r="AH533" s="893"/>
      <c r="AI533" s="300"/>
      <c r="AJ533" s="300"/>
      <c r="AK533" s="300"/>
      <c r="AL533" s="300"/>
      <c r="AM533" s="300"/>
      <c r="AN533" s="127"/>
    </row>
    <row r="534" ht="14.25" customHeight="1">
      <c r="A534" s="127"/>
      <c r="B534" s="127"/>
      <c r="C534" s="127"/>
      <c r="D534" s="127"/>
      <c r="E534" s="127"/>
      <c r="F534" s="300"/>
      <c r="G534" s="300"/>
      <c r="H534" s="892"/>
      <c r="I534" s="892"/>
      <c r="J534" s="892"/>
      <c r="K534" s="892"/>
      <c r="L534" s="892"/>
      <c r="M534" s="892"/>
      <c r="N534" s="892"/>
      <c r="O534" s="892"/>
      <c r="P534" s="892"/>
      <c r="Q534" s="892"/>
      <c r="R534" s="892"/>
      <c r="S534" s="892"/>
      <c r="T534" s="892"/>
      <c r="U534" s="892"/>
      <c r="V534" s="892"/>
      <c r="W534" s="893"/>
      <c r="X534" s="893"/>
      <c r="Y534" s="893"/>
      <c r="Z534" s="893"/>
      <c r="AA534" s="893"/>
      <c r="AB534" s="893"/>
      <c r="AC534" s="893"/>
      <c r="AD534" s="893"/>
      <c r="AE534" s="893"/>
      <c r="AF534" s="893"/>
      <c r="AG534" s="893"/>
      <c r="AH534" s="893"/>
      <c r="AI534" s="300"/>
      <c r="AJ534" s="300"/>
      <c r="AK534" s="300"/>
      <c r="AL534" s="300"/>
      <c r="AM534" s="300"/>
      <c r="AN534" s="127"/>
    </row>
    <row r="535" ht="14.25" customHeight="1">
      <c r="A535" s="127"/>
      <c r="B535" s="127"/>
      <c r="C535" s="127"/>
      <c r="D535" s="127"/>
      <c r="E535" s="127"/>
      <c r="F535" s="300"/>
      <c r="G535" s="300"/>
      <c r="H535" s="892"/>
      <c r="I535" s="892"/>
      <c r="J535" s="892"/>
      <c r="K535" s="892"/>
      <c r="L535" s="892"/>
      <c r="M535" s="892"/>
      <c r="N535" s="892"/>
      <c r="O535" s="892"/>
      <c r="P535" s="892"/>
      <c r="Q535" s="892"/>
      <c r="R535" s="892"/>
      <c r="S535" s="892"/>
      <c r="T535" s="892"/>
      <c r="U535" s="892"/>
      <c r="V535" s="892"/>
      <c r="W535" s="893"/>
      <c r="X535" s="893"/>
      <c r="Y535" s="893"/>
      <c r="Z535" s="893"/>
      <c r="AA535" s="893"/>
      <c r="AB535" s="893"/>
      <c r="AC535" s="893"/>
      <c r="AD535" s="893"/>
      <c r="AE535" s="893"/>
      <c r="AF535" s="893"/>
      <c r="AG535" s="893"/>
      <c r="AH535" s="893"/>
      <c r="AI535" s="300"/>
      <c r="AJ535" s="300"/>
      <c r="AK535" s="300"/>
      <c r="AL535" s="300"/>
      <c r="AM535" s="300"/>
      <c r="AN535" s="127"/>
    </row>
    <row r="536" ht="14.25" customHeight="1">
      <c r="A536" s="127"/>
      <c r="B536" s="127"/>
      <c r="C536" s="127"/>
      <c r="D536" s="127"/>
      <c r="E536" s="127"/>
      <c r="F536" s="300"/>
      <c r="G536" s="300"/>
      <c r="H536" s="892"/>
      <c r="I536" s="892"/>
      <c r="J536" s="892"/>
      <c r="K536" s="892"/>
      <c r="L536" s="892"/>
      <c r="M536" s="892"/>
      <c r="N536" s="892"/>
      <c r="O536" s="892"/>
      <c r="P536" s="892"/>
      <c r="Q536" s="892"/>
      <c r="R536" s="892"/>
      <c r="S536" s="892"/>
      <c r="T536" s="892"/>
      <c r="U536" s="892"/>
      <c r="V536" s="892"/>
      <c r="W536" s="893"/>
      <c r="X536" s="893"/>
      <c r="Y536" s="893"/>
      <c r="Z536" s="893"/>
      <c r="AA536" s="893"/>
      <c r="AB536" s="893"/>
      <c r="AC536" s="893"/>
      <c r="AD536" s="893"/>
      <c r="AE536" s="893"/>
      <c r="AF536" s="893"/>
      <c r="AG536" s="893"/>
      <c r="AH536" s="893"/>
      <c r="AI536" s="300"/>
      <c r="AJ536" s="300"/>
      <c r="AK536" s="300"/>
      <c r="AL536" s="300"/>
      <c r="AM536" s="300"/>
      <c r="AN536" s="127"/>
    </row>
    <row r="537" ht="14.25" customHeight="1">
      <c r="A537" s="127"/>
      <c r="B537" s="127"/>
      <c r="C537" s="127"/>
      <c r="D537" s="127"/>
      <c r="E537" s="127"/>
      <c r="F537" s="300"/>
      <c r="G537" s="300"/>
      <c r="H537" s="892"/>
      <c r="I537" s="892"/>
      <c r="J537" s="892"/>
      <c r="K537" s="892"/>
      <c r="L537" s="892"/>
      <c r="M537" s="892"/>
      <c r="N537" s="892"/>
      <c r="O537" s="892"/>
      <c r="P537" s="892"/>
      <c r="Q537" s="892"/>
      <c r="R537" s="892"/>
      <c r="S537" s="892"/>
      <c r="T537" s="892"/>
      <c r="U537" s="892"/>
      <c r="V537" s="892"/>
      <c r="W537" s="893"/>
      <c r="X537" s="893"/>
      <c r="Y537" s="893"/>
      <c r="Z537" s="893"/>
      <c r="AA537" s="893"/>
      <c r="AB537" s="893"/>
      <c r="AC537" s="893"/>
      <c r="AD537" s="893"/>
      <c r="AE537" s="893"/>
      <c r="AF537" s="893"/>
      <c r="AG537" s="893"/>
      <c r="AH537" s="893"/>
      <c r="AI537" s="300"/>
      <c r="AJ537" s="300"/>
      <c r="AK537" s="300"/>
      <c r="AL537" s="300"/>
      <c r="AM537" s="300"/>
      <c r="AN537" s="127"/>
    </row>
    <row r="538" ht="14.25" customHeight="1">
      <c r="A538" s="127"/>
      <c r="B538" s="127"/>
      <c r="C538" s="127"/>
      <c r="D538" s="127"/>
      <c r="E538" s="127"/>
      <c r="F538" s="300"/>
      <c r="G538" s="300"/>
      <c r="H538" s="892"/>
      <c r="I538" s="892"/>
      <c r="J538" s="892"/>
      <c r="K538" s="892"/>
      <c r="L538" s="892"/>
      <c r="M538" s="892"/>
      <c r="N538" s="892"/>
      <c r="O538" s="892"/>
      <c r="P538" s="892"/>
      <c r="Q538" s="892"/>
      <c r="R538" s="892"/>
      <c r="S538" s="892"/>
      <c r="T538" s="892"/>
      <c r="U538" s="892"/>
      <c r="V538" s="892"/>
      <c r="W538" s="893"/>
      <c r="X538" s="893"/>
      <c r="Y538" s="893"/>
      <c r="Z538" s="893"/>
      <c r="AA538" s="893"/>
      <c r="AB538" s="893"/>
      <c r="AC538" s="893"/>
      <c r="AD538" s="893"/>
      <c r="AE538" s="893"/>
      <c r="AF538" s="893"/>
      <c r="AG538" s="893"/>
      <c r="AH538" s="893"/>
      <c r="AI538" s="300"/>
      <c r="AJ538" s="300"/>
      <c r="AK538" s="300"/>
      <c r="AL538" s="300"/>
      <c r="AM538" s="300"/>
      <c r="AN538" s="127"/>
    </row>
    <row r="539" ht="14.25" customHeight="1">
      <c r="A539" s="127"/>
      <c r="B539" s="127"/>
      <c r="C539" s="127"/>
      <c r="D539" s="127"/>
      <c r="E539" s="127"/>
      <c r="F539" s="300"/>
      <c r="G539" s="300"/>
      <c r="H539" s="892"/>
      <c r="I539" s="892"/>
      <c r="J539" s="892"/>
      <c r="K539" s="892"/>
      <c r="L539" s="892"/>
      <c r="M539" s="892"/>
      <c r="N539" s="892"/>
      <c r="O539" s="892"/>
      <c r="P539" s="892"/>
      <c r="Q539" s="892"/>
      <c r="R539" s="892"/>
      <c r="S539" s="892"/>
      <c r="T539" s="892"/>
      <c r="U539" s="892"/>
      <c r="V539" s="892"/>
      <c r="W539" s="893"/>
      <c r="X539" s="893"/>
      <c r="Y539" s="893"/>
      <c r="Z539" s="893"/>
      <c r="AA539" s="893"/>
      <c r="AB539" s="893"/>
      <c r="AC539" s="893"/>
      <c r="AD539" s="893"/>
      <c r="AE539" s="893"/>
      <c r="AF539" s="893"/>
      <c r="AG539" s="893"/>
      <c r="AH539" s="893"/>
      <c r="AI539" s="300"/>
      <c r="AJ539" s="300"/>
      <c r="AK539" s="300"/>
      <c r="AL539" s="300"/>
      <c r="AM539" s="300"/>
      <c r="AN539" s="127"/>
    </row>
    <row r="540" ht="14.25" customHeight="1">
      <c r="A540" s="127"/>
      <c r="B540" s="127"/>
      <c r="C540" s="127"/>
      <c r="D540" s="127"/>
      <c r="E540" s="127"/>
      <c r="F540" s="300"/>
      <c r="G540" s="300"/>
      <c r="H540" s="892"/>
      <c r="I540" s="892"/>
      <c r="J540" s="892"/>
      <c r="K540" s="892"/>
      <c r="L540" s="892"/>
      <c r="M540" s="892"/>
      <c r="N540" s="892"/>
      <c r="O540" s="892"/>
      <c r="P540" s="892"/>
      <c r="Q540" s="892"/>
      <c r="R540" s="892"/>
      <c r="S540" s="892"/>
      <c r="T540" s="892"/>
      <c r="U540" s="892"/>
      <c r="V540" s="892"/>
      <c r="W540" s="893"/>
      <c r="X540" s="893"/>
      <c r="Y540" s="893"/>
      <c r="Z540" s="893"/>
      <c r="AA540" s="893"/>
      <c r="AB540" s="893"/>
      <c r="AC540" s="893"/>
      <c r="AD540" s="893"/>
      <c r="AE540" s="893"/>
      <c r="AF540" s="893"/>
      <c r="AG540" s="893"/>
      <c r="AH540" s="893"/>
      <c r="AI540" s="300"/>
      <c r="AJ540" s="300"/>
      <c r="AK540" s="300"/>
      <c r="AL540" s="300"/>
      <c r="AM540" s="300"/>
      <c r="AN540" s="127"/>
    </row>
    <row r="541" ht="14.25" customHeight="1">
      <c r="A541" s="127"/>
      <c r="B541" s="127"/>
      <c r="C541" s="127"/>
      <c r="D541" s="127"/>
      <c r="E541" s="127"/>
      <c r="F541" s="300"/>
      <c r="G541" s="300"/>
      <c r="H541" s="892"/>
      <c r="I541" s="892"/>
      <c r="J541" s="892"/>
      <c r="K541" s="892"/>
      <c r="L541" s="892"/>
      <c r="M541" s="892"/>
      <c r="N541" s="892"/>
      <c r="O541" s="892"/>
      <c r="P541" s="892"/>
      <c r="Q541" s="892"/>
      <c r="R541" s="892"/>
      <c r="S541" s="892"/>
      <c r="T541" s="892"/>
      <c r="U541" s="892"/>
      <c r="V541" s="892"/>
      <c r="W541" s="893"/>
      <c r="X541" s="893"/>
      <c r="Y541" s="893"/>
      <c r="Z541" s="893"/>
      <c r="AA541" s="893"/>
      <c r="AB541" s="893"/>
      <c r="AC541" s="893"/>
      <c r="AD541" s="893"/>
      <c r="AE541" s="893"/>
      <c r="AF541" s="893"/>
      <c r="AG541" s="893"/>
      <c r="AH541" s="893"/>
      <c r="AI541" s="300"/>
      <c r="AJ541" s="300"/>
      <c r="AK541" s="300"/>
      <c r="AL541" s="300"/>
      <c r="AM541" s="300"/>
      <c r="AN541" s="127"/>
    </row>
    <row r="542" ht="14.25" customHeight="1">
      <c r="A542" s="127"/>
      <c r="B542" s="127"/>
      <c r="C542" s="127"/>
      <c r="D542" s="127"/>
      <c r="E542" s="127"/>
      <c r="F542" s="300"/>
      <c r="G542" s="300"/>
      <c r="H542" s="892"/>
      <c r="I542" s="892"/>
      <c r="J542" s="892"/>
      <c r="K542" s="892"/>
      <c r="L542" s="892"/>
      <c r="M542" s="892"/>
      <c r="N542" s="892"/>
      <c r="O542" s="892"/>
      <c r="P542" s="892"/>
      <c r="Q542" s="892"/>
      <c r="R542" s="892"/>
      <c r="S542" s="892"/>
      <c r="T542" s="892"/>
      <c r="U542" s="892"/>
      <c r="V542" s="892"/>
      <c r="W542" s="893"/>
      <c r="X542" s="893"/>
      <c r="Y542" s="893"/>
      <c r="Z542" s="893"/>
      <c r="AA542" s="893"/>
      <c r="AB542" s="893"/>
      <c r="AC542" s="893"/>
      <c r="AD542" s="893"/>
      <c r="AE542" s="893"/>
      <c r="AF542" s="893"/>
      <c r="AG542" s="893"/>
      <c r="AH542" s="893"/>
      <c r="AI542" s="300"/>
      <c r="AJ542" s="300"/>
      <c r="AK542" s="300"/>
      <c r="AL542" s="300"/>
      <c r="AM542" s="300"/>
      <c r="AN542" s="127"/>
    </row>
    <row r="543" ht="14.25" customHeight="1">
      <c r="A543" s="127"/>
      <c r="B543" s="127"/>
      <c r="C543" s="127"/>
      <c r="D543" s="127"/>
      <c r="E543" s="127"/>
      <c r="F543" s="300"/>
      <c r="G543" s="300"/>
      <c r="H543" s="892"/>
      <c r="I543" s="892"/>
      <c r="J543" s="892"/>
      <c r="K543" s="892"/>
      <c r="L543" s="892"/>
      <c r="M543" s="892"/>
      <c r="N543" s="892"/>
      <c r="O543" s="892"/>
      <c r="P543" s="892"/>
      <c r="Q543" s="892"/>
      <c r="R543" s="892"/>
      <c r="S543" s="892"/>
      <c r="T543" s="892"/>
      <c r="U543" s="892"/>
      <c r="V543" s="892"/>
      <c r="W543" s="893"/>
      <c r="X543" s="893"/>
      <c r="Y543" s="893"/>
      <c r="Z543" s="893"/>
      <c r="AA543" s="893"/>
      <c r="AB543" s="893"/>
      <c r="AC543" s="893"/>
      <c r="AD543" s="893"/>
      <c r="AE543" s="893"/>
      <c r="AF543" s="893"/>
      <c r="AG543" s="893"/>
      <c r="AH543" s="893"/>
      <c r="AI543" s="300"/>
      <c r="AJ543" s="300"/>
      <c r="AK543" s="300"/>
      <c r="AL543" s="300"/>
      <c r="AM543" s="300"/>
      <c r="AN543" s="127"/>
    </row>
    <row r="544" ht="14.25" customHeight="1">
      <c r="A544" s="127"/>
      <c r="B544" s="127"/>
      <c r="C544" s="127"/>
      <c r="D544" s="127"/>
      <c r="E544" s="127"/>
      <c r="F544" s="300"/>
      <c r="G544" s="300"/>
      <c r="H544" s="892"/>
      <c r="I544" s="892"/>
      <c r="J544" s="892"/>
      <c r="K544" s="892"/>
      <c r="L544" s="892"/>
      <c r="M544" s="892"/>
      <c r="N544" s="892"/>
      <c r="O544" s="892"/>
      <c r="P544" s="892"/>
      <c r="Q544" s="892"/>
      <c r="R544" s="892"/>
      <c r="S544" s="892"/>
      <c r="T544" s="892"/>
      <c r="U544" s="892"/>
      <c r="V544" s="892"/>
      <c r="W544" s="893"/>
      <c r="X544" s="893"/>
      <c r="Y544" s="893"/>
      <c r="Z544" s="893"/>
      <c r="AA544" s="893"/>
      <c r="AB544" s="893"/>
      <c r="AC544" s="893"/>
      <c r="AD544" s="893"/>
      <c r="AE544" s="893"/>
      <c r="AF544" s="893"/>
      <c r="AG544" s="893"/>
      <c r="AH544" s="893"/>
      <c r="AI544" s="300"/>
      <c r="AJ544" s="300"/>
      <c r="AK544" s="300"/>
      <c r="AL544" s="300"/>
      <c r="AM544" s="300"/>
      <c r="AN544" s="127"/>
    </row>
    <row r="545" ht="14.25" customHeight="1">
      <c r="A545" s="127"/>
      <c r="B545" s="127"/>
      <c r="C545" s="127"/>
      <c r="D545" s="127"/>
      <c r="E545" s="127"/>
      <c r="F545" s="300"/>
      <c r="G545" s="300"/>
      <c r="H545" s="892"/>
      <c r="I545" s="892"/>
      <c r="J545" s="892"/>
      <c r="K545" s="892"/>
      <c r="L545" s="892"/>
      <c r="M545" s="892"/>
      <c r="N545" s="892"/>
      <c r="O545" s="892"/>
      <c r="P545" s="892"/>
      <c r="Q545" s="892"/>
      <c r="R545" s="892"/>
      <c r="S545" s="892"/>
      <c r="T545" s="892"/>
      <c r="U545" s="892"/>
      <c r="V545" s="892"/>
      <c r="W545" s="893"/>
      <c r="X545" s="893"/>
      <c r="Y545" s="893"/>
      <c r="Z545" s="893"/>
      <c r="AA545" s="893"/>
      <c r="AB545" s="893"/>
      <c r="AC545" s="893"/>
      <c r="AD545" s="893"/>
      <c r="AE545" s="893"/>
      <c r="AF545" s="893"/>
      <c r="AG545" s="893"/>
      <c r="AH545" s="893"/>
      <c r="AI545" s="300"/>
      <c r="AJ545" s="300"/>
      <c r="AK545" s="300"/>
      <c r="AL545" s="300"/>
      <c r="AM545" s="300"/>
      <c r="AN545" s="127"/>
    </row>
    <row r="546" ht="14.25" customHeight="1">
      <c r="A546" s="127"/>
      <c r="B546" s="127"/>
      <c r="C546" s="127"/>
      <c r="D546" s="127"/>
      <c r="E546" s="127"/>
      <c r="F546" s="300"/>
      <c r="G546" s="300"/>
      <c r="H546" s="892"/>
      <c r="I546" s="892"/>
      <c r="J546" s="892"/>
      <c r="K546" s="892"/>
      <c r="L546" s="892"/>
      <c r="M546" s="892"/>
      <c r="N546" s="892"/>
      <c r="O546" s="892"/>
      <c r="P546" s="892"/>
      <c r="Q546" s="892"/>
      <c r="R546" s="892"/>
      <c r="S546" s="892"/>
      <c r="T546" s="892"/>
      <c r="U546" s="892"/>
      <c r="V546" s="892"/>
      <c r="W546" s="893"/>
      <c r="X546" s="893"/>
      <c r="Y546" s="893"/>
      <c r="Z546" s="893"/>
      <c r="AA546" s="893"/>
      <c r="AB546" s="893"/>
      <c r="AC546" s="893"/>
      <c r="AD546" s="893"/>
      <c r="AE546" s="893"/>
      <c r="AF546" s="893"/>
      <c r="AG546" s="893"/>
      <c r="AH546" s="893"/>
      <c r="AI546" s="300"/>
      <c r="AJ546" s="300"/>
      <c r="AK546" s="300"/>
      <c r="AL546" s="300"/>
      <c r="AM546" s="300"/>
      <c r="AN546" s="127"/>
    </row>
    <row r="547" ht="14.25" customHeight="1">
      <c r="A547" s="127"/>
      <c r="B547" s="127"/>
      <c r="C547" s="127"/>
      <c r="D547" s="127"/>
      <c r="E547" s="127"/>
      <c r="F547" s="300"/>
      <c r="G547" s="300"/>
      <c r="H547" s="892"/>
      <c r="I547" s="892"/>
      <c r="J547" s="892"/>
      <c r="K547" s="892"/>
      <c r="L547" s="892"/>
      <c r="M547" s="892"/>
      <c r="N547" s="892"/>
      <c r="O547" s="892"/>
      <c r="P547" s="892"/>
      <c r="Q547" s="892"/>
      <c r="R547" s="892"/>
      <c r="S547" s="892"/>
      <c r="T547" s="892"/>
      <c r="U547" s="892"/>
      <c r="V547" s="892"/>
      <c r="W547" s="893"/>
      <c r="X547" s="893"/>
      <c r="Y547" s="893"/>
      <c r="Z547" s="893"/>
      <c r="AA547" s="893"/>
      <c r="AB547" s="893"/>
      <c r="AC547" s="893"/>
      <c r="AD547" s="893"/>
      <c r="AE547" s="893"/>
      <c r="AF547" s="893"/>
      <c r="AG547" s="893"/>
      <c r="AH547" s="893"/>
      <c r="AI547" s="300"/>
      <c r="AJ547" s="300"/>
      <c r="AK547" s="300"/>
      <c r="AL547" s="300"/>
      <c r="AM547" s="300"/>
      <c r="AN547" s="127"/>
    </row>
    <row r="548" ht="14.25" customHeight="1">
      <c r="A548" s="127"/>
      <c r="B548" s="127"/>
      <c r="C548" s="127"/>
      <c r="D548" s="127"/>
      <c r="E548" s="127"/>
      <c r="F548" s="300"/>
      <c r="G548" s="300"/>
      <c r="H548" s="892"/>
      <c r="I548" s="892"/>
      <c r="J548" s="892"/>
      <c r="K548" s="892"/>
      <c r="L548" s="892"/>
      <c r="M548" s="892"/>
      <c r="N548" s="892"/>
      <c r="O548" s="892"/>
      <c r="P548" s="892"/>
      <c r="Q548" s="892"/>
      <c r="R548" s="892"/>
      <c r="S548" s="892"/>
      <c r="T548" s="892"/>
      <c r="U548" s="892"/>
      <c r="V548" s="892"/>
      <c r="W548" s="893"/>
      <c r="X548" s="893"/>
      <c r="Y548" s="893"/>
      <c r="Z548" s="893"/>
      <c r="AA548" s="893"/>
      <c r="AB548" s="893"/>
      <c r="AC548" s="893"/>
      <c r="AD548" s="893"/>
      <c r="AE548" s="893"/>
      <c r="AF548" s="893"/>
      <c r="AG548" s="893"/>
      <c r="AH548" s="893"/>
      <c r="AI548" s="300"/>
      <c r="AJ548" s="300"/>
      <c r="AK548" s="300"/>
      <c r="AL548" s="300"/>
      <c r="AM548" s="300"/>
      <c r="AN548" s="127"/>
    </row>
    <row r="549" ht="14.25" customHeight="1">
      <c r="A549" s="127"/>
      <c r="B549" s="127"/>
      <c r="C549" s="127"/>
      <c r="D549" s="127"/>
      <c r="E549" s="127"/>
      <c r="F549" s="300"/>
      <c r="G549" s="300"/>
      <c r="H549" s="892"/>
      <c r="I549" s="892"/>
      <c r="J549" s="892"/>
      <c r="K549" s="892"/>
      <c r="L549" s="892"/>
      <c r="M549" s="892"/>
      <c r="N549" s="892"/>
      <c r="O549" s="892"/>
      <c r="P549" s="892"/>
      <c r="Q549" s="892"/>
      <c r="R549" s="892"/>
      <c r="S549" s="892"/>
      <c r="T549" s="892"/>
      <c r="U549" s="892"/>
      <c r="V549" s="892"/>
      <c r="W549" s="893"/>
      <c r="X549" s="893"/>
      <c r="Y549" s="893"/>
      <c r="Z549" s="893"/>
      <c r="AA549" s="893"/>
      <c r="AB549" s="893"/>
      <c r="AC549" s="893"/>
      <c r="AD549" s="893"/>
      <c r="AE549" s="893"/>
      <c r="AF549" s="893"/>
      <c r="AG549" s="893"/>
      <c r="AH549" s="893"/>
      <c r="AI549" s="300"/>
      <c r="AJ549" s="300"/>
      <c r="AK549" s="300"/>
      <c r="AL549" s="300"/>
      <c r="AM549" s="300"/>
      <c r="AN549" s="127"/>
    </row>
    <row r="550" ht="14.25" customHeight="1">
      <c r="A550" s="127"/>
      <c r="B550" s="127"/>
      <c r="C550" s="127"/>
      <c r="D550" s="127"/>
      <c r="E550" s="127"/>
      <c r="F550" s="300"/>
      <c r="G550" s="300"/>
      <c r="H550" s="892"/>
      <c r="I550" s="892"/>
      <c r="J550" s="892"/>
      <c r="K550" s="892"/>
      <c r="L550" s="892"/>
      <c r="M550" s="892"/>
      <c r="N550" s="892"/>
      <c r="O550" s="892"/>
      <c r="P550" s="892"/>
      <c r="Q550" s="892"/>
      <c r="R550" s="892"/>
      <c r="S550" s="892"/>
      <c r="T550" s="892"/>
      <c r="U550" s="892"/>
      <c r="V550" s="892"/>
      <c r="W550" s="893"/>
      <c r="X550" s="893"/>
      <c r="Y550" s="893"/>
      <c r="Z550" s="893"/>
      <c r="AA550" s="893"/>
      <c r="AB550" s="893"/>
      <c r="AC550" s="893"/>
      <c r="AD550" s="893"/>
      <c r="AE550" s="893"/>
      <c r="AF550" s="893"/>
      <c r="AG550" s="893"/>
      <c r="AH550" s="893"/>
      <c r="AI550" s="300"/>
      <c r="AJ550" s="300"/>
      <c r="AK550" s="300"/>
      <c r="AL550" s="300"/>
      <c r="AM550" s="300"/>
      <c r="AN550" s="127"/>
    </row>
    <row r="551" ht="14.25" customHeight="1">
      <c r="A551" s="127"/>
      <c r="B551" s="127"/>
      <c r="C551" s="127"/>
      <c r="D551" s="127"/>
      <c r="E551" s="127"/>
      <c r="F551" s="300"/>
      <c r="G551" s="300"/>
      <c r="H551" s="892"/>
      <c r="I551" s="892"/>
      <c r="J551" s="892"/>
      <c r="K551" s="892"/>
      <c r="L551" s="892"/>
      <c r="M551" s="892"/>
      <c r="N551" s="892"/>
      <c r="O551" s="892"/>
      <c r="P551" s="892"/>
      <c r="Q551" s="892"/>
      <c r="R551" s="892"/>
      <c r="S551" s="892"/>
      <c r="T551" s="892"/>
      <c r="U551" s="892"/>
      <c r="V551" s="892"/>
      <c r="W551" s="893"/>
      <c r="X551" s="893"/>
      <c r="Y551" s="893"/>
      <c r="Z551" s="893"/>
      <c r="AA551" s="893"/>
      <c r="AB551" s="893"/>
      <c r="AC551" s="893"/>
      <c r="AD551" s="893"/>
      <c r="AE551" s="893"/>
      <c r="AF551" s="893"/>
      <c r="AG551" s="893"/>
      <c r="AH551" s="893"/>
      <c r="AI551" s="300"/>
      <c r="AJ551" s="300"/>
      <c r="AK551" s="300"/>
      <c r="AL551" s="300"/>
      <c r="AM551" s="300"/>
      <c r="AN551" s="127"/>
    </row>
    <row r="552" ht="14.25" customHeight="1">
      <c r="A552" s="127"/>
      <c r="B552" s="127"/>
      <c r="C552" s="127"/>
      <c r="D552" s="127"/>
      <c r="E552" s="127"/>
      <c r="F552" s="300"/>
      <c r="G552" s="300"/>
      <c r="H552" s="892"/>
      <c r="I552" s="892"/>
      <c r="J552" s="892"/>
      <c r="K552" s="892"/>
      <c r="L552" s="892"/>
      <c r="M552" s="892"/>
      <c r="N552" s="892"/>
      <c r="O552" s="892"/>
      <c r="P552" s="892"/>
      <c r="Q552" s="892"/>
      <c r="R552" s="892"/>
      <c r="S552" s="892"/>
      <c r="T552" s="892"/>
      <c r="U552" s="892"/>
      <c r="V552" s="892"/>
      <c r="W552" s="893"/>
      <c r="X552" s="893"/>
      <c r="Y552" s="893"/>
      <c r="Z552" s="893"/>
      <c r="AA552" s="893"/>
      <c r="AB552" s="893"/>
      <c r="AC552" s="893"/>
      <c r="AD552" s="893"/>
      <c r="AE552" s="893"/>
      <c r="AF552" s="893"/>
      <c r="AG552" s="893"/>
      <c r="AH552" s="893"/>
      <c r="AI552" s="300"/>
      <c r="AJ552" s="300"/>
      <c r="AK552" s="300"/>
      <c r="AL552" s="300"/>
      <c r="AM552" s="300"/>
      <c r="AN552" s="127"/>
    </row>
    <row r="553" ht="14.25" customHeight="1">
      <c r="A553" s="127"/>
      <c r="B553" s="127"/>
      <c r="C553" s="127"/>
      <c r="D553" s="127"/>
      <c r="E553" s="127"/>
      <c r="F553" s="300"/>
      <c r="G553" s="300"/>
      <c r="H553" s="892"/>
      <c r="I553" s="892"/>
      <c r="J553" s="892"/>
      <c r="K553" s="892"/>
      <c r="L553" s="892"/>
      <c r="M553" s="892"/>
      <c r="N553" s="892"/>
      <c r="O553" s="892"/>
      <c r="P553" s="892"/>
      <c r="Q553" s="892"/>
      <c r="R553" s="892"/>
      <c r="S553" s="892"/>
      <c r="T553" s="892"/>
      <c r="U553" s="892"/>
      <c r="V553" s="892"/>
      <c r="W553" s="893"/>
      <c r="X553" s="893"/>
      <c r="Y553" s="893"/>
      <c r="Z553" s="893"/>
      <c r="AA553" s="893"/>
      <c r="AB553" s="893"/>
      <c r="AC553" s="893"/>
      <c r="AD553" s="893"/>
      <c r="AE553" s="893"/>
      <c r="AF553" s="893"/>
      <c r="AG553" s="893"/>
      <c r="AH553" s="893"/>
      <c r="AI553" s="300"/>
      <c r="AJ553" s="300"/>
      <c r="AK553" s="300"/>
      <c r="AL553" s="300"/>
      <c r="AM553" s="300"/>
      <c r="AN553" s="127"/>
    </row>
    <row r="554" ht="14.25" customHeight="1">
      <c r="A554" s="127"/>
      <c r="B554" s="127"/>
      <c r="C554" s="127"/>
      <c r="D554" s="127"/>
      <c r="E554" s="127"/>
      <c r="F554" s="300"/>
      <c r="G554" s="300"/>
      <c r="H554" s="892"/>
      <c r="I554" s="892"/>
      <c r="J554" s="892"/>
      <c r="K554" s="892"/>
      <c r="L554" s="892"/>
      <c r="M554" s="892"/>
      <c r="N554" s="892"/>
      <c r="O554" s="892"/>
      <c r="P554" s="892"/>
      <c r="Q554" s="892"/>
      <c r="R554" s="892"/>
      <c r="S554" s="892"/>
      <c r="T554" s="892"/>
      <c r="U554" s="892"/>
      <c r="V554" s="892"/>
      <c r="W554" s="893"/>
      <c r="X554" s="893"/>
      <c r="Y554" s="893"/>
      <c r="Z554" s="893"/>
      <c r="AA554" s="893"/>
      <c r="AB554" s="893"/>
      <c r="AC554" s="893"/>
      <c r="AD554" s="893"/>
      <c r="AE554" s="893"/>
      <c r="AF554" s="893"/>
      <c r="AG554" s="893"/>
      <c r="AH554" s="893"/>
      <c r="AI554" s="300"/>
      <c r="AJ554" s="300"/>
      <c r="AK554" s="300"/>
      <c r="AL554" s="300"/>
      <c r="AM554" s="300"/>
      <c r="AN554" s="127"/>
    </row>
    <row r="555" ht="14.25" customHeight="1">
      <c r="A555" s="127"/>
      <c r="B555" s="127"/>
      <c r="C555" s="127"/>
      <c r="D555" s="127"/>
      <c r="E555" s="127"/>
      <c r="F555" s="300"/>
      <c r="G555" s="300"/>
      <c r="H555" s="892"/>
      <c r="I555" s="892"/>
      <c r="J555" s="892"/>
      <c r="K555" s="892"/>
      <c r="L555" s="892"/>
      <c r="M555" s="892"/>
      <c r="N555" s="892"/>
      <c r="O555" s="892"/>
      <c r="P555" s="892"/>
      <c r="Q555" s="892"/>
      <c r="R555" s="892"/>
      <c r="S555" s="892"/>
      <c r="T555" s="892"/>
      <c r="U555" s="892"/>
      <c r="V555" s="892"/>
      <c r="W555" s="893"/>
      <c r="X555" s="893"/>
      <c r="Y555" s="893"/>
      <c r="Z555" s="893"/>
      <c r="AA555" s="893"/>
      <c r="AB555" s="893"/>
      <c r="AC555" s="893"/>
      <c r="AD555" s="893"/>
      <c r="AE555" s="893"/>
      <c r="AF555" s="893"/>
      <c r="AG555" s="893"/>
      <c r="AH555" s="893"/>
      <c r="AI555" s="300"/>
      <c r="AJ555" s="300"/>
      <c r="AK555" s="300"/>
      <c r="AL555" s="300"/>
      <c r="AM555" s="300"/>
      <c r="AN555" s="127"/>
    </row>
    <row r="556" ht="14.25" customHeight="1">
      <c r="A556" s="127"/>
      <c r="B556" s="127"/>
      <c r="C556" s="127"/>
      <c r="D556" s="127"/>
      <c r="E556" s="127"/>
      <c r="F556" s="300"/>
      <c r="G556" s="300"/>
      <c r="H556" s="892"/>
      <c r="I556" s="892"/>
      <c r="J556" s="892"/>
      <c r="K556" s="892"/>
      <c r="L556" s="892"/>
      <c r="M556" s="892"/>
      <c r="N556" s="892"/>
      <c r="O556" s="892"/>
      <c r="P556" s="892"/>
      <c r="Q556" s="892"/>
      <c r="R556" s="892"/>
      <c r="S556" s="892"/>
      <c r="T556" s="892"/>
      <c r="U556" s="892"/>
      <c r="V556" s="892"/>
      <c r="W556" s="893"/>
      <c r="X556" s="893"/>
      <c r="Y556" s="893"/>
      <c r="Z556" s="893"/>
      <c r="AA556" s="893"/>
      <c r="AB556" s="893"/>
      <c r="AC556" s="893"/>
      <c r="AD556" s="893"/>
      <c r="AE556" s="893"/>
      <c r="AF556" s="893"/>
      <c r="AG556" s="893"/>
      <c r="AH556" s="893"/>
      <c r="AI556" s="300"/>
      <c r="AJ556" s="300"/>
      <c r="AK556" s="300"/>
      <c r="AL556" s="300"/>
      <c r="AM556" s="300"/>
      <c r="AN556" s="127"/>
    </row>
    <row r="557" ht="14.25" customHeight="1">
      <c r="A557" s="127"/>
      <c r="B557" s="127"/>
      <c r="C557" s="127"/>
      <c r="D557" s="127"/>
      <c r="E557" s="127"/>
      <c r="F557" s="300"/>
      <c r="G557" s="300"/>
      <c r="H557" s="892"/>
      <c r="I557" s="892"/>
      <c r="J557" s="892"/>
      <c r="K557" s="892"/>
      <c r="L557" s="892"/>
      <c r="M557" s="892"/>
      <c r="N557" s="892"/>
      <c r="O557" s="892"/>
      <c r="P557" s="892"/>
      <c r="Q557" s="892"/>
      <c r="R557" s="892"/>
      <c r="S557" s="892"/>
      <c r="T557" s="892"/>
      <c r="U557" s="892"/>
      <c r="V557" s="892"/>
      <c r="W557" s="893"/>
      <c r="X557" s="893"/>
      <c r="Y557" s="893"/>
      <c r="Z557" s="893"/>
      <c r="AA557" s="893"/>
      <c r="AB557" s="893"/>
      <c r="AC557" s="893"/>
      <c r="AD557" s="893"/>
      <c r="AE557" s="893"/>
      <c r="AF557" s="893"/>
      <c r="AG557" s="893"/>
      <c r="AH557" s="893"/>
      <c r="AI557" s="300"/>
      <c r="AJ557" s="300"/>
      <c r="AK557" s="300"/>
      <c r="AL557" s="300"/>
      <c r="AM557" s="300"/>
      <c r="AN557" s="127"/>
    </row>
    <row r="558" ht="14.25" customHeight="1">
      <c r="A558" s="127"/>
      <c r="B558" s="127"/>
      <c r="C558" s="127"/>
      <c r="D558" s="127"/>
      <c r="E558" s="127"/>
      <c r="F558" s="300"/>
      <c r="G558" s="300"/>
      <c r="H558" s="892"/>
      <c r="I558" s="892"/>
      <c r="J558" s="892"/>
      <c r="K558" s="892"/>
      <c r="L558" s="892"/>
      <c r="M558" s="892"/>
      <c r="N558" s="892"/>
      <c r="O558" s="892"/>
      <c r="P558" s="892"/>
      <c r="Q558" s="892"/>
      <c r="R558" s="892"/>
      <c r="S558" s="892"/>
      <c r="T558" s="892"/>
      <c r="U558" s="892"/>
      <c r="V558" s="892"/>
      <c r="W558" s="893"/>
      <c r="X558" s="893"/>
      <c r="Y558" s="893"/>
      <c r="Z558" s="893"/>
      <c r="AA558" s="893"/>
      <c r="AB558" s="893"/>
      <c r="AC558" s="893"/>
      <c r="AD558" s="893"/>
      <c r="AE558" s="893"/>
      <c r="AF558" s="893"/>
      <c r="AG558" s="893"/>
      <c r="AH558" s="893"/>
      <c r="AI558" s="300"/>
      <c r="AJ558" s="300"/>
      <c r="AK558" s="300"/>
      <c r="AL558" s="300"/>
      <c r="AM558" s="300"/>
      <c r="AN558" s="127"/>
    </row>
    <row r="559" ht="14.25" customHeight="1">
      <c r="A559" s="127"/>
      <c r="B559" s="127"/>
      <c r="C559" s="127"/>
      <c r="D559" s="127"/>
      <c r="E559" s="127"/>
      <c r="F559" s="300"/>
      <c r="G559" s="300"/>
      <c r="H559" s="892"/>
      <c r="I559" s="892"/>
      <c r="J559" s="892"/>
      <c r="K559" s="892"/>
      <c r="L559" s="892"/>
      <c r="M559" s="892"/>
      <c r="N559" s="892"/>
      <c r="O559" s="892"/>
      <c r="P559" s="892"/>
      <c r="Q559" s="892"/>
      <c r="R559" s="892"/>
      <c r="S559" s="892"/>
      <c r="T559" s="892"/>
      <c r="U559" s="892"/>
      <c r="V559" s="892"/>
      <c r="W559" s="893"/>
      <c r="X559" s="893"/>
      <c r="Y559" s="893"/>
      <c r="Z559" s="893"/>
      <c r="AA559" s="893"/>
      <c r="AB559" s="893"/>
      <c r="AC559" s="893"/>
      <c r="AD559" s="893"/>
      <c r="AE559" s="893"/>
      <c r="AF559" s="893"/>
      <c r="AG559" s="893"/>
      <c r="AH559" s="893"/>
      <c r="AI559" s="300"/>
      <c r="AJ559" s="300"/>
      <c r="AK559" s="300"/>
      <c r="AL559" s="300"/>
      <c r="AM559" s="300"/>
      <c r="AN559" s="127"/>
    </row>
    <row r="560" ht="14.25" customHeight="1">
      <c r="A560" s="127"/>
      <c r="B560" s="127"/>
      <c r="C560" s="127"/>
      <c r="D560" s="127"/>
      <c r="E560" s="127"/>
      <c r="F560" s="300"/>
      <c r="G560" s="300"/>
      <c r="H560" s="892"/>
      <c r="I560" s="892"/>
      <c r="J560" s="892"/>
      <c r="K560" s="892"/>
      <c r="L560" s="892"/>
      <c r="M560" s="892"/>
      <c r="N560" s="892"/>
      <c r="O560" s="892"/>
      <c r="P560" s="892"/>
      <c r="Q560" s="892"/>
      <c r="R560" s="892"/>
      <c r="S560" s="892"/>
      <c r="T560" s="892"/>
      <c r="U560" s="892"/>
      <c r="V560" s="892"/>
      <c r="W560" s="893"/>
      <c r="X560" s="893"/>
      <c r="Y560" s="893"/>
      <c r="Z560" s="893"/>
      <c r="AA560" s="893"/>
      <c r="AB560" s="893"/>
      <c r="AC560" s="893"/>
      <c r="AD560" s="893"/>
      <c r="AE560" s="893"/>
      <c r="AF560" s="893"/>
      <c r="AG560" s="893"/>
      <c r="AH560" s="893"/>
      <c r="AI560" s="300"/>
      <c r="AJ560" s="300"/>
      <c r="AK560" s="300"/>
      <c r="AL560" s="300"/>
      <c r="AM560" s="300"/>
      <c r="AN560" s="127"/>
    </row>
    <row r="561" ht="14.25" customHeight="1">
      <c r="A561" s="127"/>
      <c r="B561" s="127"/>
      <c r="C561" s="127"/>
      <c r="D561" s="127"/>
      <c r="E561" s="127"/>
      <c r="F561" s="300"/>
      <c r="G561" s="300"/>
      <c r="H561" s="892"/>
      <c r="I561" s="892"/>
      <c r="J561" s="892"/>
      <c r="K561" s="892"/>
      <c r="L561" s="892"/>
      <c r="M561" s="892"/>
      <c r="N561" s="892"/>
      <c r="O561" s="892"/>
      <c r="P561" s="892"/>
      <c r="Q561" s="892"/>
      <c r="R561" s="892"/>
      <c r="S561" s="892"/>
      <c r="T561" s="892"/>
      <c r="U561" s="892"/>
      <c r="V561" s="892"/>
      <c r="W561" s="893"/>
      <c r="X561" s="893"/>
      <c r="Y561" s="893"/>
      <c r="Z561" s="893"/>
      <c r="AA561" s="893"/>
      <c r="AB561" s="893"/>
      <c r="AC561" s="893"/>
      <c r="AD561" s="893"/>
      <c r="AE561" s="893"/>
      <c r="AF561" s="893"/>
      <c r="AG561" s="893"/>
      <c r="AH561" s="893"/>
      <c r="AI561" s="300"/>
      <c r="AJ561" s="300"/>
      <c r="AK561" s="300"/>
      <c r="AL561" s="300"/>
      <c r="AM561" s="300"/>
      <c r="AN561" s="127"/>
    </row>
    <row r="562" ht="14.25" customHeight="1">
      <c r="A562" s="127"/>
      <c r="B562" s="127"/>
      <c r="C562" s="127"/>
      <c r="D562" s="127"/>
      <c r="E562" s="127"/>
      <c r="F562" s="300"/>
      <c r="G562" s="300"/>
      <c r="H562" s="892"/>
      <c r="I562" s="892"/>
      <c r="J562" s="892"/>
      <c r="K562" s="892"/>
      <c r="L562" s="892"/>
      <c r="M562" s="892"/>
      <c r="N562" s="892"/>
      <c r="O562" s="892"/>
      <c r="P562" s="892"/>
      <c r="Q562" s="892"/>
      <c r="R562" s="892"/>
      <c r="S562" s="892"/>
      <c r="T562" s="892"/>
      <c r="U562" s="892"/>
      <c r="V562" s="892"/>
      <c r="W562" s="893"/>
      <c r="X562" s="893"/>
      <c r="Y562" s="893"/>
      <c r="Z562" s="893"/>
      <c r="AA562" s="893"/>
      <c r="AB562" s="893"/>
      <c r="AC562" s="893"/>
      <c r="AD562" s="893"/>
      <c r="AE562" s="893"/>
      <c r="AF562" s="893"/>
      <c r="AG562" s="893"/>
      <c r="AH562" s="893"/>
      <c r="AI562" s="300"/>
      <c r="AJ562" s="300"/>
      <c r="AK562" s="300"/>
      <c r="AL562" s="300"/>
      <c r="AM562" s="300"/>
      <c r="AN562" s="127"/>
    </row>
    <row r="563" ht="14.25" customHeight="1">
      <c r="A563" s="127"/>
      <c r="B563" s="127"/>
      <c r="C563" s="127"/>
      <c r="D563" s="127"/>
      <c r="E563" s="127"/>
      <c r="F563" s="300"/>
      <c r="G563" s="300"/>
      <c r="H563" s="892"/>
      <c r="I563" s="892"/>
      <c r="J563" s="892"/>
      <c r="K563" s="892"/>
      <c r="L563" s="892"/>
      <c r="M563" s="892"/>
      <c r="N563" s="892"/>
      <c r="O563" s="892"/>
      <c r="P563" s="892"/>
      <c r="Q563" s="892"/>
      <c r="R563" s="892"/>
      <c r="S563" s="892"/>
      <c r="T563" s="892"/>
      <c r="U563" s="892"/>
      <c r="V563" s="892"/>
      <c r="W563" s="893"/>
      <c r="X563" s="893"/>
      <c r="Y563" s="893"/>
      <c r="Z563" s="893"/>
      <c r="AA563" s="893"/>
      <c r="AB563" s="893"/>
      <c r="AC563" s="893"/>
      <c r="AD563" s="893"/>
      <c r="AE563" s="893"/>
      <c r="AF563" s="893"/>
      <c r="AG563" s="893"/>
      <c r="AH563" s="893"/>
      <c r="AI563" s="300"/>
      <c r="AJ563" s="300"/>
      <c r="AK563" s="300"/>
      <c r="AL563" s="300"/>
      <c r="AM563" s="300"/>
      <c r="AN563" s="127"/>
    </row>
    <row r="564" ht="14.25" customHeight="1">
      <c r="A564" s="127"/>
      <c r="B564" s="127"/>
      <c r="C564" s="127"/>
      <c r="D564" s="127"/>
      <c r="E564" s="127"/>
      <c r="F564" s="300"/>
      <c r="G564" s="300"/>
      <c r="H564" s="892"/>
      <c r="I564" s="892"/>
      <c r="J564" s="892"/>
      <c r="K564" s="892"/>
      <c r="L564" s="892"/>
      <c r="M564" s="892"/>
      <c r="N564" s="892"/>
      <c r="O564" s="892"/>
      <c r="P564" s="892"/>
      <c r="Q564" s="892"/>
      <c r="R564" s="892"/>
      <c r="S564" s="892"/>
      <c r="T564" s="892"/>
      <c r="U564" s="892"/>
      <c r="V564" s="892"/>
      <c r="W564" s="893"/>
      <c r="X564" s="893"/>
      <c r="Y564" s="893"/>
      <c r="Z564" s="893"/>
      <c r="AA564" s="893"/>
      <c r="AB564" s="893"/>
      <c r="AC564" s="893"/>
      <c r="AD564" s="893"/>
      <c r="AE564" s="893"/>
      <c r="AF564" s="893"/>
      <c r="AG564" s="893"/>
      <c r="AH564" s="893"/>
      <c r="AI564" s="300"/>
      <c r="AJ564" s="300"/>
      <c r="AK564" s="300"/>
      <c r="AL564" s="300"/>
      <c r="AM564" s="300"/>
      <c r="AN564" s="127"/>
    </row>
    <row r="565" ht="14.25" customHeight="1">
      <c r="A565" s="127"/>
      <c r="B565" s="127"/>
      <c r="C565" s="127"/>
      <c r="D565" s="127"/>
      <c r="E565" s="127"/>
      <c r="F565" s="300"/>
      <c r="G565" s="300"/>
      <c r="H565" s="892"/>
      <c r="I565" s="892"/>
      <c r="J565" s="892"/>
      <c r="K565" s="892"/>
      <c r="L565" s="892"/>
      <c r="M565" s="892"/>
      <c r="N565" s="892"/>
      <c r="O565" s="892"/>
      <c r="P565" s="892"/>
      <c r="Q565" s="892"/>
      <c r="R565" s="892"/>
      <c r="S565" s="892"/>
      <c r="T565" s="892"/>
      <c r="U565" s="892"/>
      <c r="V565" s="892"/>
      <c r="W565" s="893"/>
      <c r="X565" s="893"/>
      <c r="Y565" s="893"/>
      <c r="Z565" s="893"/>
      <c r="AA565" s="893"/>
      <c r="AB565" s="893"/>
      <c r="AC565" s="893"/>
      <c r="AD565" s="893"/>
      <c r="AE565" s="893"/>
      <c r="AF565" s="893"/>
      <c r="AG565" s="893"/>
      <c r="AH565" s="893"/>
      <c r="AI565" s="300"/>
      <c r="AJ565" s="300"/>
      <c r="AK565" s="300"/>
      <c r="AL565" s="300"/>
      <c r="AM565" s="300"/>
      <c r="AN565" s="127"/>
    </row>
    <row r="566" ht="14.25" customHeight="1">
      <c r="A566" s="127"/>
      <c r="B566" s="127"/>
      <c r="C566" s="127"/>
      <c r="D566" s="127"/>
      <c r="E566" s="127"/>
      <c r="F566" s="300"/>
      <c r="G566" s="300"/>
      <c r="H566" s="892"/>
      <c r="I566" s="892"/>
      <c r="J566" s="892"/>
      <c r="K566" s="892"/>
      <c r="L566" s="892"/>
      <c r="M566" s="892"/>
      <c r="N566" s="892"/>
      <c r="O566" s="892"/>
      <c r="P566" s="892"/>
      <c r="Q566" s="892"/>
      <c r="R566" s="892"/>
      <c r="S566" s="892"/>
      <c r="T566" s="892"/>
      <c r="U566" s="892"/>
      <c r="V566" s="892"/>
      <c r="W566" s="893"/>
      <c r="X566" s="893"/>
      <c r="Y566" s="893"/>
      <c r="Z566" s="893"/>
      <c r="AA566" s="893"/>
      <c r="AB566" s="893"/>
      <c r="AC566" s="893"/>
      <c r="AD566" s="893"/>
      <c r="AE566" s="893"/>
      <c r="AF566" s="893"/>
      <c r="AG566" s="893"/>
      <c r="AH566" s="893"/>
      <c r="AI566" s="300"/>
      <c r="AJ566" s="300"/>
      <c r="AK566" s="300"/>
      <c r="AL566" s="300"/>
      <c r="AM566" s="300"/>
      <c r="AN566" s="127"/>
    </row>
    <row r="567" ht="14.25" customHeight="1">
      <c r="A567" s="127"/>
      <c r="B567" s="127"/>
      <c r="C567" s="127"/>
      <c r="D567" s="127"/>
      <c r="E567" s="127"/>
      <c r="F567" s="300"/>
      <c r="G567" s="300"/>
      <c r="H567" s="892"/>
      <c r="I567" s="892"/>
      <c r="J567" s="892"/>
      <c r="K567" s="892"/>
      <c r="L567" s="892"/>
      <c r="M567" s="892"/>
      <c r="N567" s="892"/>
      <c r="O567" s="892"/>
      <c r="P567" s="892"/>
      <c r="Q567" s="892"/>
      <c r="R567" s="892"/>
      <c r="S567" s="892"/>
      <c r="T567" s="892"/>
      <c r="U567" s="892"/>
      <c r="V567" s="892"/>
      <c r="W567" s="893"/>
      <c r="X567" s="893"/>
      <c r="Y567" s="893"/>
      <c r="Z567" s="893"/>
      <c r="AA567" s="893"/>
      <c r="AB567" s="893"/>
      <c r="AC567" s="893"/>
      <c r="AD567" s="893"/>
      <c r="AE567" s="893"/>
      <c r="AF567" s="893"/>
      <c r="AG567" s="893"/>
      <c r="AH567" s="893"/>
      <c r="AI567" s="300"/>
      <c r="AJ567" s="300"/>
      <c r="AK567" s="300"/>
      <c r="AL567" s="300"/>
      <c r="AM567" s="300"/>
      <c r="AN567" s="127"/>
    </row>
    <row r="568" ht="14.25" customHeight="1">
      <c r="A568" s="127"/>
      <c r="B568" s="127"/>
      <c r="C568" s="127"/>
      <c r="D568" s="127"/>
      <c r="E568" s="127"/>
      <c r="F568" s="300"/>
      <c r="G568" s="300"/>
      <c r="H568" s="892"/>
      <c r="I568" s="892"/>
      <c r="J568" s="892"/>
      <c r="K568" s="892"/>
      <c r="L568" s="892"/>
      <c r="M568" s="892"/>
      <c r="N568" s="892"/>
      <c r="O568" s="892"/>
      <c r="P568" s="892"/>
      <c r="Q568" s="892"/>
      <c r="R568" s="892"/>
      <c r="S568" s="892"/>
      <c r="T568" s="892"/>
      <c r="U568" s="892"/>
      <c r="V568" s="892"/>
      <c r="W568" s="893"/>
      <c r="X568" s="893"/>
      <c r="Y568" s="893"/>
      <c r="Z568" s="893"/>
      <c r="AA568" s="893"/>
      <c r="AB568" s="893"/>
      <c r="AC568" s="893"/>
      <c r="AD568" s="893"/>
      <c r="AE568" s="893"/>
      <c r="AF568" s="893"/>
      <c r="AG568" s="893"/>
      <c r="AH568" s="893"/>
      <c r="AI568" s="300"/>
      <c r="AJ568" s="300"/>
      <c r="AK568" s="300"/>
      <c r="AL568" s="300"/>
      <c r="AM568" s="300"/>
      <c r="AN568" s="127"/>
    </row>
    <row r="569" ht="14.25" customHeight="1">
      <c r="A569" s="127"/>
      <c r="B569" s="127"/>
      <c r="C569" s="127"/>
      <c r="D569" s="127"/>
      <c r="E569" s="127"/>
      <c r="F569" s="300"/>
      <c r="G569" s="300"/>
      <c r="H569" s="892"/>
      <c r="I569" s="892"/>
      <c r="J569" s="892"/>
      <c r="K569" s="892"/>
      <c r="L569" s="892"/>
      <c r="M569" s="892"/>
      <c r="N569" s="892"/>
      <c r="O569" s="892"/>
      <c r="P569" s="892"/>
      <c r="Q569" s="892"/>
      <c r="R569" s="892"/>
      <c r="S569" s="892"/>
      <c r="T569" s="892"/>
      <c r="U569" s="892"/>
      <c r="V569" s="892"/>
      <c r="W569" s="893"/>
      <c r="X569" s="893"/>
      <c r="Y569" s="893"/>
      <c r="Z569" s="893"/>
      <c r="AA569" s="893"/>
      <c r="AB569" s="893"/>
      <c r="AC569" s="893"/>
      <c r="AD569" s="893"/>
      <c r="AE569" s="893"/>
      <c r="AF569" s="893"/>
      <c r="AG569" s="893"/>
      <c r="AH569" s="893"/>
      <c r="AI569" s="300"/>
      <c r="AJ569" s="300"/>
      <c r="AK569" s="300"/>
      <c r="AL569" s="300"/>
      <c r="AM569" s="300"/>
      <c r="AN569" s="127"/>
    </row>
    <row r="570" ht="14.25" customHeight="1">
      <c r="A570" s="127"/>
      <c r="B570" s="127"/>
      <c r="C570" s="127"/>
      <c r="D570" s="127"/>
      <c r="E570" s="127"/>
      <c r="F570" s="300"/>
      <c r="G570" s="300"/>
      <c r="H570" s="892"/>
      <c r="I570" s="892"/>
      <c r="J570" s="892"/>
      <c r="K570" s="892"/>
      <c r="L570" s="892"/>
      <c r="M570" s="892"/>
      <c r="N570" s="892"/>
      <c r="O570" s="892"/>
      <c r="P570" s="892"/>
      <c r="Q570" s="892"/>
      <c r="R570" s="892"/>
      <c r="S570" s="892"/>
      <c r="T570" s="892"/>
      <c r="U570" s="892"/>
      <c r="V570" s="892"/>
      <c r="W570" s="893"/>
      <c r="X570" s="893"/>
      <c r="Y570" s="893"/>
      <c r="Z570" s="893"/>
      <c r="AA570" s="893"/>
      <c r="AB570" s="893"/>
      <c r="AC570" s="893"/>
      <c r="AD570" s="893"/>
      <c r="AE570" s="893"/>
      <c r="AF570" s="893"/>
      <c r="AG570" s="893"/>
      <c r="AH570" s="893"/>
      <c r="AI570" s="300"/>
      <c r="AJ570" s="300"/>
      <c r="AK570" s="300"/>
      <c r="AL570" s="300"/>
      <c r="AM570" s="300"/>
      <c r="AN570" s="127"/>
    </row>
    <row r="571" ht="14.25" customHeight="1">
      <c r="A571" s="127"/>
      <c r="B571" s="127"/>
      <c r="C571" s="127"/>
      <c r="D571" s="127"/>
      <c r="E571" s="127"/>
      <c r="F571" s="300"/>
      <c r="G571" s="300"/>
      <c r="H571" s="892"/>
      <c r="I571" s="892"/>
      <c r="J571" s="892"/>
      <c r="K571" s="892"/>
      <c r="L571" s="892"/>
      <c r="M571" s="892"/>
      <c r="N571" s="892"/>
      <c r="O571" s="892"/>
      <c r="P571" s="892"/>
      <c r="Q571" s="892"/>
      <c r="R571" s="892"/>
      <c r="S571" s="892"/>
      <c r="T571" s="892"/>
      <c r="U571" s="892"/>
      <c r="V571" s="892"/>
      <c r="W571" s="893"/>
      <c r="X571" s="893"/>
      <c r="Y571" s="893"/>
      <c r="Z571" s="893"/>
      <c r="AA571" s="893"/>
      <c r="AB571" s="893"/>
      <c r="AC571" s="893"/>
      <c r="AD571" s="893"/>
      <c r="AE571" s="893"/>
      <c r="AF571" s="893"/>
      <c r="AG571" s="893"/>
      <c r="AH571" s="893"/>
      <c r="AI571" s="300"/>
      <c r="AJ571" s="300"/>
      <c r="AK571" s="300"/>
      <c r="AL571" s="300"/>
      <c r="AM571" s="300"/>
      <c r="AN571" s="127"/>
    </row>
    <row r="572" ht="14.25" customHeight="1">
      <c r="A572" s="127"/>
      <c r="B572" s="127"/>
      <c r="C572" s="127"/>
      <c r="D572" s="127"/>
      <c r="E572" s="127"/>
      <c r="F572" s="300"/>
      <c r="G572" s="300"/>
      <c r="H572" s="892"/>
      <c r="I572" s="892"/>
      <c r="J572" s="892"/>
      <c r="K572" s="892"/>
      <c r="L572" s="892"/>
      <c r="M572" s="892"/>
      <c r="N572" s="892"/>
      <c r="O572" s="892"/>
      <c r="P572" s="892"/>
      <c r="Q572" s="892"/>
      <c r="R572" s="892"/>
      <c r="S572" s="892"/>
      <c r="T572" s="892"/>
      <c r="U572" s="892"/>
      <c r="V572" s="892"/>
      <c r="W572" s="893"/>
      <c r="X572" s="893"/>
      <c r="Y572" s="893"/>
      <c r="Z572" s="893"/>
      <c r="AA572" s="893"/>
      <c r="AB572" s="893"/>
      <c r="AC572" s="893"/>
      <c r="AD572" s="893"/>
      <c r="AE572" s="893"/>
      <c r="AF572" s="893"/>
      <c r="AG572" s="893"/>
      <c r="AH572" s="893"/>
      <c r="AI572" s="300"/>
      <c r="AJ572" s="300"/>
      <c r="AK572" s="300"/>
      <c r="AL572" s="300"/>
      <c r="AM572" s="300"/>
      <c r="AN572" s="127"/>
    </row>
    <row r="573" ht="14.25" customHeight="1">
      <c r="A573" s="127"/>
      <c r="B573" s="127"/>
      <c r="C573" s="127"/>
      <c r="D573" s="127"/>
      <c r="E573" s="127"/>
      <c r="F573" s="300"/>
      <c r="G573" s="300"/>
      <c r="H573" s="892"/>
      <c r="I573" s="892"/>
      <c r="J573" s="892"/>
      <c r="K573" s="892"/>
      <c r="L573" s="892"/>
      <c r="M573" s="892"/>
      <c r="N573" s="892"/>
      <c r="O573" s="892"/>
      <c r="P573" s="892"/>
      <c r="Q573" s="892"/>
      <c r="R573" s="892"/>
      <c r="S573" s="892"/>
      <c r="T573" s="892"/>
      <c r="U573" s="892"/>
      <c r="V573" s="892"/>
      <c r="W573" s="893"/>
      <c r="X573" s="893"/>
      <c r="Y573" s="893"/>
      <c r="Z573" s="893"/>
      <c r="AA573" s="893"/>
      <c r="AB573" s="893"/>
      <c r="AC573" s="893"/>
      <c r="AD573" s="893"/>
      <c r="AE573" s="893"/>
      <c r="AF573" s="893"/>
      <c r="AG573" s="893"/>
      <c r="AH573" s="893"/>
      <c r="AI573" s="300"/>
      <c r="AJ573" s="300"/>
      <c r="AK573" s="300"/>
      <c r="AL573" s="300"/>
      <c r="AM573" s="300"/>
      <c r="AN573" s="127"/>
    </row>
    <row r="574" ht="14.25" customHeight="1">
      <c r="A574" s="127"/>
      <c r="B574" s="127"/>
      <c r="C574" s="127"/>
      <c r="D574" s="127"/>
      <c r="E574" s="127"/>
      <c r="F574" s="300"/>
      <c r="G574" s="300"/>
      <c r="H574" s="892"/>
      <c r="I574" s="892"/>
      <c r="J574" s="892"/>
      <c r="K574" s="892"/>
      <c r="L574" s="892"/>
      <c r="M574" s="892"/>
      <c r="N574" s="892"/>
      <c r="O574" s="892"/>
      <c r="P574" s="892"/>
      <c r="Q574" s="892"/>
      <c r="R574" s="892"/>
      <c r="S574" s="892"/>
      <c r="T574" s="892"/>
      <c r="U574" s="892"/>
      <c r="V574" s="892"/>
      <c r="W574" s="893"/>
      <c r="X574" s="893"/>
      <c r="Y574" s="893"/>
      <c r="Z574" s="893"/>
      <c r="AA574" s="893"/>
      <c r="AB574" s="893"/>
      <c r="AC574" s="893"/>
      <c r="AD574" s="893"/>
      <c r="AE574" s="893"/>
      <c r="AF574" s="893"/>
      <c r="AG574" s="893"/>
      <c r="AH574" s="893"/>
      <c r="AI574" s="300"/>
      <c r="AJ574" s="300"/>
      <c r="AK574" s="300"/>
      <c r="AL574" s="300"/>
      <c r="AM574" s="300"/>
      <c r="AN574" s="127"/>
    </row>
    <row r="575" ht="14.25" customHeight="1">
      <c r="A575" s="127"/>
      <c r="B575" s="127"/>
      <c r="C575" s="127"/>
      <c r="D575" s="127"/>
      <c r="E575" s="127"/>
      <c r="F575" s="300"/>
      <c r="G575" s="300"/>
      <c r="H575" s="892"/>
      <c r="I575" s="892"/>
      <c r="J575" s="892"/>
      <c r="K575" s="892"/>
      <c r="L575" s="892"/>
      <c r="M575" s="892"/>
      <c r="N575" s="892"/>
      <c r="O575" s="892"/>
      <c r="P575" s="892"/>
      <c r="Q575" s="892"/>
      <c r="R575" s="892"/>
      <c r="S575" s="892"/>
      <c r="T575" s="892"/>
      <c r="U575" s="892"/>
      <c r="V575" s="892"/>
      <c r="W575" s="893"/>
      <c r="X575" s="893"/>
      <c r="Y575" s="893"/>
      <c r="Z575" s="893"/>
      <c r="AA575" s="893"/>
      <c r="AB575" s="893"/>
      <c r="AC575" s="893"/>
      <c r="AD575" s="893"/>
      <c r="AE575" s="893"/>
      <c r="AF575" s="893"/>
      <c r="AG575" s="893"/>
      <c r="AH575" s="893"/>
      <c r="AI575" s="300"/>
      <c r="AJ575" s="300"/>
      <c r="AK575" s="300"/>
      <c r="AL575" s="300"/>
      <c r="AM575" s="300"/>
      <c r="AN575" s="127"/>
    </row>
    <row r="576" ht="14.25" customHeight="1">
      <c r="A576" s="127"/>
      <c r="B576" s="127"/>
      <c r="C576" s="127"/>
      <c r="D576" s="127"/>
      <c r="E576" s="127"/>
      <c r="F576" s="300"/>
      <c r="G576" s="300"/>
      <c r="H576" s="892"/>
      <c r="I576" s="892"/>
      <c r="J576" s="892"/>
      <c r="K576" s="892"/>
      <c r="L576" s="892"/>
      <c r="M576" s="892"/>
      <c r="N576" s="892"/>
      <c r="O576" s="892"/>
      <c r="P576" s="892"/>
      <c r="Q576" s="892"/>
      <c r="R576" s="892"/>
      <c r="S576" s="892"/>
      <c r="T576" s="892"/>
      <c r="U576" s="892"/>
      <c r="V576" s="892"/>
      <c r="W576" s="893"/>
      <c r="X576" s="893"/>
      <c r="Y576" s="893"/>
      <c r="Z576" s="893"/>
      <c r="AA576" s="893"/>
      <c r="AB576" s="893"/>
      <c r="AC576" s="893"/>
      <c r="AD576" s="893"/>
      <c r="AE576" s="893"/>
      <c r="AF576" s="893"/>
      <c r="AG576" s="893"/>
      <c r="AH576" s="893"/>
      <c r="AI576" s="300"/>
      <c r="AJ576" s="300"/>
      <c r="AK576" s="300"/>
      <c r="AL576" s="300"/>
      <c r="AM576" s="300"/>
      <c r="AN576" s="127"/>
    </row>
    <row r="577" ht="14.25" customHeight="1">
      <c r="A577" s="127"/>
      <c r="B577" s="127"/>
      <c r="C577" s="127"/>
      <c r="D577" s="127"/>
      <c r="E577" s="127"/>
      <c r="F577" s="300"/>
      <c r="G577" s="300"/>
      <c r="H577" s="892"/>
      <c r="I577" s="892"/>
      <c r="J577" s="892"/>
      <c r="K577" s="892"/>
      <c r="L577" s="892"/>
      <c r="M577" s="892"/>
      <c r="N577" s="892"/>
      <c r="O577" s="892"/>
      <c r="P577" s="892"/>
      <c r="Q577" s="892"/>
      <c r="R577" s="892"/>
      <c r="S577" s="892"/>
      <c r="T577" s="892"/>
      <c r="U577" s="892"/>
      <c r="V577" s="892"/>
      <c r="W577" s="893"/>
      <c r="X577" s="893"/>
      <c r="Y577" s="893"/>
      <c r="Z577" s="893"/>
      <c r="AA577" s="893"/>
      <c r="AB577" s="893"/>
      <c r="AC577" s="893"/>
      <c r="AD577" s="893"/>
      <c r="AE577" s="893"/>
      <c r="AF577" s="893"/>
      <c r="AG577" s="893"/>
      <c r="AH577" s="893"/>
      <c r="AI577" s="300"/>
      <c r="AJ577" s="300"/>
      <c r="AK577" s="300"/>
      <c r="AL577" s="300"/>
      <c r="AM577" s="300"/>
      <c r="AN577" s="127"/>
    </row>
    <row r="578" ht="14.25" customHeight="1">
      <c r="A578" s="127"/>
      <c r="B578" s="127"/>
      <c r="C578" s="127"/>
      <c r="D578" s="127"/>
      <c r="E578" s="127"/>
      <c r="F578" s="300"/>
      <c r="G578" s="300"/>
      <c r="H578" s="892"/>
      <c r="I578" s="892"/>
      <c r="J578" s="892"/>
      <c r="K578" s="892"/>
      <c r="L578" s="892"/>
      <c r="M578" s="892"/>
      <c r="N578" s="892"/>
      <c r="O578" s="892"/>
      <c r="P578" s="892"/>
      <c r="Q578" s="892"/>
      <c r="R578" s="892"/>
      <c r="S578" s="892"/>
      <c r="T578" s="892"/>
      <c r="U578" s="892"/>
      <c r="V578" s="892"/>
      <c r="W578" s="893"/>
      <c r="X578" s="893"/>
      <c r="Y578" s="893"/>
      <c r="Z578" s="893"/>
      <c r="AA578" s="893"/>
      <c r="AB578" s="893"/>
      <c r="AC578" s="893"/>
      <c r="AD578" s="893"/>
      <c r="AE578" s="893"/>
      <c r="AF578" s="893"/>
      <c r="AG578" s="893"/>
      <c r="AH578" s="893"/>
      <c r="AI578" s="300"/>
      <c r="AJ578" s="300"/>
      <c r="AK578" s="300"/>
      <c r="AL578" s="300"/>
      <c r="AM578" s="300"/>
      <c r="AN578" s="127"/>
    </row>
    <row r="579" ht="14.25" customHeight="1">
      <c r="A579" s="127"/>
      <c r="B579" s="127"/>
      <c r="C579" s="127"/>
      <c r="D579" s="127"/>
      <c r="E579" s="127"/>
      <c r="F579" s="300"/>
      <c r="G579" s="300"/>
      <c r="H579" s="892"/>
      <c r="I579" s="892"/>
      <c r="J579" s="892"/>
      <c r="K579" s="892"/>
      <c r="L579" s="892"/>
      <c r="M579" s="892"/>
      <c r="N579" s="892"/>
      <c r="O579" s="892"/>
      <c r="P579" s="892"/>
      <c r="Q579" s="892"/>
      <c r="R579" s="892"/>
      <c r="S579" s="892"/>
      <c r="T579" s="892"/>
      <c r="U579" s="892"/>
      <c r="V579" s="892"/>
      <c r="W579" s="893"/>
      <c r="X579" s="893"/>
      <c r="Y579" s="893"/>
      <c r="Z579" s="893"/>
      <c r="AA579" s="893"/>
      <c r="AB579" s="893"/>
      <c r="AC579" s="893"/>
      <c r="AD579" s="893"/>
      <c r="AE579" s="893"/>
      <c r="AF579" s="893"/>
      <c r="AG579" s="893"/>
      <c r="AH579" s="893"/>
      <c r="AI579" s="300"/>
      <c r="AJ579" s="300"/>
      <c r="AK579" s="300"/>
      <c r="AL579" s="300"/>
      <c r="AM579" s="300"/>
      <c r="AN579" s="127"/>
    </row>
    <row r="580" ht="14.25" customHeight="1">
      <c r="A580" s="127"/>
      <c r="B580" s="127"/>
      <c r="C580" s="127"/>
      <c r="D580" s="127"/>
      <c r="E580" s="127"/>
      <c r="F580" s="300"/>
      <c r="G580" s="300"/>
      <c r="H580" s="892"/>
      <c r="I580" s="892"/>
      <c r="J580" s="892"/>
      <c r="K580" s="892"/>
      <c r="L580" s="892"/>
      <c r="M580" s="892"/>
      <c r="N580" s="892"/>
      <c r="O580" s="892"/>
      <c r="P580" s="892"/>
      <c r="Q580" s="892"/>
      <c r="R580" s="892"/>
      <c r="S580" s="892"/>
      <c r="T580" s="892"/>
      <c r="U580" s="892"/>
      <c r="V580" s="892"/>
      <c r="W580" s="893"/>
      <c r="X580" s="893"/>
      <c r="Y580" s="893"/>
      <c r="Z580" s="893"/>
      <c r="AA580" s="893"/>
      <c r="AB580" s="893"/>
      <c r="AC580" s="893"/>
      <c r="AD580" s="893"/>
      <c r="AE580" s="893"/>
      <c r="AF580" s="893"/>
      <c r="AG580" s="893"/>
      <c r="AH580" s="893"/>
      <c r="AI580" s="300"/>
      <c r="AJ580" s="300"/>
      <c r="AK580" s="300"/>
      <c r="AL580" s="300"/>
      <c r="AM580" s="300"/>
      <c r="AN580" s="127"/>
    </row>
    <row r="581" ht="14.25" customHeight="1">
      <c r="A581" s="127"/>
      <c r="B581" s="127"/>
      <c r="C581" s="127"/>
      <c r="D581" s="127"/>
      <c r="E581" s="127"/>
      <c r="F581" s="300"/>
      <c r="G581" s="300"/>
      <c r="H581" s="892"/>
      <c r="I581" s="892"/>
      <c r="J581" s="892"/>
      <c r="K581" s="892"/>
      <c r="L581" s="892"/>
      <c r="M581" s="892"/>
      <c r="N581" s="892"/>
      <c r="O581" s="892"/>
      <c r="P581" s="892"/>
      <c r="Q581" s="892"/>
      <c r="R581" s="892"/>
      <c r="S581" s="892"/>
      <c r="T581" s="892"/>
      <c r="U581" s="892"/>
      <c r="V581" s="892"/>
      <c r="W581" s="893"/>
      <c r="X581" s="893"/>
      <c r="Y581" s="893"/>
      <c r="Z581" s="893"/>
      <c r="AA581" s="893"/>
      <c r="AB581" s="893"/>
      <c r="AC581" s="893"/>
      <c r="AD581" s="893"/>
      <c r="AE581" s="893"/>
      <c r="AF581" s="893"/>
      <c r="AG581" s="893"/>
      <c r="AH581" s="893"/>
      <c r="AI581" s="300"/>
      <c r="AJ581" s="300"/>
      <c r="AK581" s="300"/>
      <c r="AL581" s="300"/>
      <c r="AM581" s="300"/>
      <c r="AN581" s="127"/>
    </row>
    <row r="582" ht="14.25" customHeight="1">
      <c r="A582" s="127"/>
      <c r="B582" s="127"/>
      <c r="C582" s="127"/>
      <c r="D582" s="127"/>
      <c r="E582" s="127"/>
      <c r="F582" s="300"/>
      <c r="G582" s="300"/>
      <c r="H582" s="892"/>
      <c r="I582" s="892"/>
      <c r="J582" s="892"/>
      <c r="K582" s="892"/>
      <c r="L582" s="892"/>
      <c r="M582" s="892"/>
      <c r="N582" s="892"/>
      <c r="O582" s="892"/>
      <c r="P582" s="892"/>
      <c r="Q582" s="892"/>
      <c r="R582" s="892"/>
      <c r="S582" s="892"/>
      <c r="T582" s="892"/>
      <c r="U582" s="892"/>
      <c r="V582" s="892"/>
      <c r="W582" s="893"/>
      <c r="X582" s="893"/>
      <c r="Y582" s="893"/>
      <c r="Z582" s="893"/>
      <c r="AA582" s="893"/>
      <c r="AB582" s="893"/>
      <c r="AC582" s="893"/>
      <c r="AD582" s="893"/>
      <c r="AE582" s="893"/>
      <c r="AF582" s="893"/>
      <c r="AG582" s="893"/>
      <c r="AH582" s="893"/>
      <c r="AI582" s="300"/>
      <c r="AJ582" s="300"/>
      <c r="AK582" s="300"/>
      <c r="AL582" s="300"/>
      <c r="AM582" s="300"/>
      <c r="AN582" s="127"/>
    </row>
    <row r="583" ht="14.25" customHeight="1">
      <c r="A583" s="127"/>
      <c r="B583" s="127"/>
      <c r="C583" s="127"/>
      <c r="D583" s="127"/>
      <c r="E583" s="127"/>
      <c r="F583" s="300"/>
      <c r="G583" s="300"/>
      <c r="H583" s="892"/>
      <c r="I583" s="892"/>
      <c r="J583" s="892"/>
      <c r="K583" s="892"/>
      <c r="L583" s="892"/>
      <c r="M583" s="892"/>
      <c r="N583" s="892"/>
      <c r="O583" s="892"/>
      <c r="P583" s="892"/>
      <c r="Q583" s="892"/>
      <c r="R583" s="892"/>
      <c r="S583" s="892"/>
      <c r="T583" s="892"/>
      <c r="U583" s="892"/>
      <c r="V583" s="892"/>
      <c r="W583" s="893"/>
      <c r="X583" s="893"/>
      <c r="Y583" s="893"/>
      <c r="Z583" s="893"/>
      <c r="AA583" s="893"/>
      <c r="AB583" s="893"/>
      <c r="AC583" s="893"/>
      <c r="AD583" s="893"/>
      <c r="AE583" s="893"/>
      <c r="AF583" s="893"/>
      <c r="AG583" s="893"/>
      <c r="AH583" s="893"/>
      <c r="AI583" s="300"/>
      <c r="AJ583" s="300"/>
      <c r="AK583" s="300"/>
      <c r="AL583" s="300"/>
      <c r="AM583" s="300"/>
      <c r="AN583" s="127"/>
    </row>
    <row r="584" ht="14.25" customHeight="1">
      <c r="A584" s="127"/>
      <c r="B584" s="127"/>
      <c r="C584" s="127"/>
      <c r="D584" s="127"/>
      <c r="E584" s="127"/>
      <c r="F584" s="300"/>
      <c r="G584" s="300"/>
      <c r="H584" s="892"/>
      <c r="I584" s="892"/>
      <c r="J584" s="892"/>
      <c r="K584" s="892"/>
      <c r="L584" s="892"/>
      <c r="M584" s="892"/>
      <c r="N584" s="892"/>
      <c r="O584" s="892"/>
      <c r="P584" s="892"/>
      <c r="Q584" s="892"/>
      <c r="R584" s="892"/>
      <c r="S584" s="892"/>
      <c r="T584" s="892"/>
      <c r="U584" s="892"/>
      <c r="V584" s="892"/>
      <c r="W584" s="893"/>
      <c r="X584" s="893"/>
      <c r="Y584" s="893"/>
      <c r="Z584" s="893"/>
      <c r="AA584" s="893"/>
      <c r="AB584" s="893"/>
      <c r="AC584" s="893"/>
      <c r="AD584" s="893"/>
      <c r="AE584" s="893"/>
      <c r="AF584" s="893"/>
      <c r="AG584" s="893"/>
      <c r="AH584" s="893"/>
      <c r="AI584" s="300"/>
      <c r="AJ584" s="300"/>
      <c r="AK584" s="300"/>
      <c r="AL584" s="300"/>
      <c r="AM584" s="300"/>
      <c r="AN584" s="127"/>
    </row>
    <row r="585" ht="14.25" customHeight="1">
      <c r="A585" s="127"/>
      <c r="B585" s="127"/>
      <c r="C585" s="127"/>
      <c r="D585" s="127"/>
      <c r="E585" s="127"/>
      <c r="F585" s="300"/>
      <c r="G585" s="300"/>
      <c r="H585" s="892"/>
      <c r="I585" s="892"/>
      <c r="J585" s="892"/>
      <c r="K585" s="892"/>
      <c r="L585" s="892"/>
      <c r="M585" s="892"/>
      <c r="N585" s="892"/>
      <c r="O585" s="892"/>
      <c r="P585" s="892"/>
      <c r="Q585" s="892"/>
      <c r="R585" s="892"/>
      <c r="S585" s="892"/>
      <c r="T585" s="892"/>
      <c r="U585" s="892"/>
      <c r="V585" s="892"/>
      <c r="W585" s="893"/>
      <c r="X585" s="893"/>
      <c r="Y585" s="893"/>
      <c r="Z585" s="893"/>
      <c r="AA585" s="893"/>
      <c r="AB585" s="893"/>
      <c r="AC585" s="893"/>
      <c r="AD585" s="893"/>
      <c r="AE585" s="893"/>
      <c r="AF585" s="893"/>
      <c r="AG585" s="893"/>
      <c r="AH585" s="893"/>
      <c r="AI585" s="300"/>
      <c r="AJ585" s="300"/>
      <c r="AK585" s="300"/>
      <c r="AL585" s="300"/>
      <c r="AM585" s="300"/>
      <c r="AN585" s="127"/>
    </row>
    <row r="586" ht="14.25" customHeight="1">
      <c r="A586" s="127"/>
      <c r="B586" s="127"/>
      <c r="C586" s="127"/>
      <c r="D586" s="127"/>
      <c r="E586" s="127"/>
      <c r="F586" s="300"/>
      <c r="G586" s="300"/>
      <c r="H586" s="892"/>
      <c r="I586" s="892"/>
      <c r="J586" s="892"/>
      <c r="K586" s="892"/>
      <c r="L586" s="892"/>
      <c r="M586" s="892"/>
      <c r="N586" s="892"/>
      <c r="O586" s="892"/>
      <c r="P586" s="892"/>
      <c r="Q586" s="892"/>
      <c r="R586" s="892"/>
      <c r="S586" s="892"/>
      <c r="T586" s="892"/>
      <c r="U586" s="892"/>
      <c r="V586" s="892"/>
      <c r="W586" s="893"/>
      <c r="X586" s="893"/>
      <c r="Y586" s="893"/>
      <c r="Z586" s="893"/>
      <c r="AA586" s="893"/>
      <c r="AB586" s="893"/>
      <c r="AC586" s="893"/>
      <c r="AD586" s="893"/>
      <c r="AE586" s="893"/>
      <c r="AF586" s="893"/>
      <c r="AG586" s="893"/>
      <c r="AH586" s="893"/>
      <c r="AI586" s="300"/>
      <c r="AJ586" s="300"/>
      <c r="AK586" s="300"/>
      <c r="AL586" s="300"/>
      <c r="AM586" s="300"/>
      <c r="AN586" s="127"/>
    </row>
    <row r="587" ht="14.25" customHeight="1">
      <c r="A587" s="127"/>
      <c r="B587" s="127"/>
      <c r="C587" s="127"/>
      <c r="D587" s="127"/>
      <c r="E587" s="127"/>
      <c r="F587" s="300"/>
      <c r="G587" s="300"/>
      <c r="H587" s="892"/>
      <c r="I587" s="892"/>
      <c r="J587" s="892"/>
      <c r="K587" s="892"/>
      <c r="L587" s="892"/>
      <c r="M587" s="892"/>
      <c r="N587" s="892"/>
      <c r="O587" s="892"/>
      <c r="P587" s="892"/>
      <c r="Q587" s="892"/>
      <c r="R587" s="892"/>
      <c r="S587" s="892"/>
      <c r="T587" s="892"/>
      <c r="U587" s="892"/>
      <c r="V587" s="892"/>
      <c r="W587" s="893"/>
      <c r="X587" s="893"/>
      <c r="Y587" s="893"/>
      <c r="Z587" s="893"/>
      <c r="AA587" s="893"/>
      <c r="AB587" s="893"/>
      <c r="AC587" s="893"/>
      <c r="AD587" s="893"/>
      <c r="AE587" s="893"/>
      <c r="AF587" s="893"/>
      <c r="AG587" s="893"/>
      <c r="AH587" s="893"/>
      <c r="AI587" s="300"/>
      <c r="AJ587" s="300"/>
      <c r="AK587" s="300"/>
      <c r="AL587" s="300"/>
      <c r="AM587" s="300"/>
      <c r="AN587" s="127"/>
    </row>
    <row r="588" ht="14.25" customHeight="1">
      <c r="A588" s="127"/>
      <c r="B588" s="127"/>
      <c r="C588" s="127"/>
      <c r="D588" s="127"/>
      <c r="E588" s="127"/>
      <c r="F588" s="300"/>
      <c r="G588" s="300"/>
      <c r="H588" s="892"/>
      <c r="I588" s="892"/>
      <c r="J588" s="892"/>
      <c r="K588" s="892"/>
      <c r="L588" s="892"/>
      <c r="M588" s="892"/>
      <c r="N588" s="892"/>
      <c r="O588" s="892"/>
      <c r="P588" s="892"/>
      <c r="Q588" s="892"/>
      <c r="R588" s="892"/>
      <c r="S588" s="892"/>
      <c r="T588" s="892"/>
      <c r="U588" s="892"/>
      <c r="V588" s="892"/>
      <c r="W588" s="893"/>
      <c r="X588" s="893"/>
      <c r="Y588" s="893"/>
      <c r="Z588" s="893"/>
      <c r="AA588" s="893"/>
      <c r="AB588" s="893"/>
      <c r="AC588" s="893"/>
      <c r="AD588" s="893"/>
      <c r="AE588" s="893"/>
      <c r="AF588" s="893"/>
      <c r="AG588" s="893"/>
      <c r="AH588" s="893"/>
      <c r="AI588" s="300"/>
      <c r="AJ588" s="300"/>
      <c r="AK588" s="300"/>
      <c r="AL588" s="300"/>
      <c r="AM588" s="300"/>
      <c r="AN588" s="127"/>
    </row>
    <row r="589" ht="14.25" customHeight="1">
      <c r="A589" s="127"/>
      <c r="B589" s="127"/>
      <c r="C589" s="127"/>
      <c r="D589" s="127"/>
      <c r="E589" s="127"/>
      <c r="F589" s="300"/>
      <c r="G589" s="300"/>
      <c r="H589" s="892"/>
      <c r="I589" s="892"/>
      <c r="J589" s="892"/>
      <c r="K589" s="892"/>
      <c r="L589" s="892"/>
      <c r="M589" s="892"/>
      <c r="N589" s="892"/>
      <c r="O589" s="892"/>
      <c r="P589" s="892"/>
      <c r="Q589" s="892"/>
      <c r="R589" s="892"/>
      <c r="S589" s="892"/>
      <c r="T589" s="892"/>
      <c r="U589" s="892"/>
      <c r="V589" s="892"/>
      <c r="W589" s="893"/>
      <c r="X589" s="893"/>
      <c r="Y589" s="893"/>
      <c r="Z589" s="893"/>
      <c r="AA589" s="893"/>
      <c r="AB589" s="893"/>
      <c r="AC589" s="893"/>
      <c r="AD589" s="893"/>
      <c r="AE589" s="893"/>
      <c r="AF589" s="893"/>
      <c r="AG589" s="893"/>
      <c r="AH589" s="893"/>
      <c r="AI589" s="300"/>
      <c r="AJ589" s="300"/>
      <c r="AK589" s="300"/>
      <c r="AL589" s="300"/>
      <c r="AM589" s="300"/>
      <c r="AN589" s="127"/>
    </row>
    <row r="590" ht="14.25" customHeight="1">
      <c r="A590" s="127"/>
      <c r="B590" s="127"/>
      <c r="C590" s="127"/>
      <c r="D590" s="127"/>
      <c r="E590" s="127"/>
      <c r="F590" s="300"/>
      <c r="G590" s="300"/>
      <c r="H590" s="892"/>
      <c r="I590" s="892"/>
      <c r="J590" s="892"/>
      <c r="K590" s="892"/>
      <c r="L590" s="892"/>
      <c r="M590" s="892"/>
      <c r="N590" s="892"/>
      <c r="O590" s="892"/>
      <c r="P590" s="892"/>
      <c r="Q590" s="892"/>
      <c r="R590" s="892"/>
      <c r="S590" s="892"/>
      <c r="T590" s="892"/>
      <c r="U590" s="892"/>
      <c r="V590" s="892"/>
      <c r="W590" s="893"/>
      <c r="X590" s="893"/>
      <c r="Y590" s="893"/>
      <c r="Z590" s="893"/>
      <c r="AA590" s="893"/>
      <c r="AB590" s="893"/>
      <c r="AC590" s="893"/>
      <c r="AD590" s="893"/>
      <c r="AE590" s="893"/>
      <c r="AF590" s="893"/>
      <c r="AG590" s="893"/>
      <c r="AH590" s="893"/>
      <c r="AI590" s="300"/>
      <c r="AJ590" s="300"/>
      <c r="AK590" s="300"/>
      <c r="AL590" s="300"/>
      <c r="AM590" s="300"/>
      <c r="AN590" s="127"/>
    </row>
    <row r="591" ht="14.25" customHeight="1">
      <c r="A591" s="127"/>
      <c r="B591" s="127"/>
      <c r="C591" s="127"/>
      <c r="D591" s="127"/>
      <c r="E591" s="127"/>
      <c r="F591" s="300"/>
      <c r="G591" s="300"/>
      <c r="H591" s="892"/>
      <c r="I591" s="892"/>
      <c r="J591" s="892"/>
      <c r="K591" s="892"/>
      <c r="L591" s="892"/>
      <c r="M591" s="892"/>
      <c r="N591" s="892"/>
      <c r="O591" s="892"/>
      <c r="P591" s="892"/>
      <c r="Q591" s="892"/>
      <c r="R591" s="892"/>
      <c r="S591" s="892"/>
      <c r="T591" s="892"/>
      <c r="U591" s="892"/>
      <c r="V591" s="892"/>
      <c r="W591" s="893"/>
      <c r="X591" s="893"/>
      <c r="Y591" s="893"/>
      <c r="Z591" s="893"/>
      <c r="AA591" s="893"/>
      <c r="AB591" s="893"/>
      <c r="AC591" s="893"/>
      <c r="AD591" s="893"/>
      <c r="AE591" s="893"/>
      <c r="AF591" s="893"/>
      <c r="AG591" s="893"/>
      <c r="AH591" s="893"/>
      <c r="AI591" s="300"/>
      <c r="AJ591" s="300"/>
      <c r="AK591" s="300"/>
      <c r="AL591" s="300"/>
      <c r="AM591" s="300"/>
      <c r="AN591" s="127"/>
    </row>
    <row r="592" ht="14.25" customHeight="1">
      <c r="A592" s="127"/>
      <c r="B592" s="127"/>
      <c r="C592" s="127"/>
      <c r="D592" s="127"/>
      <c r="E592" s="127"/>
      <c r="F592" s="300"/>
      <c r="G592" s="300"/>
      <c r="H592" s="892"/>
      <c r="I592" s="892"/>
      <c r="J592" s="892"/>
      <c r="K592" s="892"/>
      <c r="L592" s="892"/>
      <c r="M592" s="892"/>
      <c r="N592" s="892"/>
      <c r="O592" s="892"/>
      <c r="P592" s="892"/>
      <c r="Q592" s="892"/>
      <c r="R592" s="892"/>
      <c r="S592" s="892"/>
      <c r="T592" s="892"/>
      <c r="U592" s="892"/>
      <c r="V592" s="892"/>
      <c r="W592" s="893"/>
      <c r="X592" s="893"/>
      <c r="Y592" s="893"/>
      <c r="Z592" s="893"/>
      <c r="AA592" s="893"/>
      <c r="AB592" s="893"/>
      <c r="AC592" s="893"/>
      <c r="AD592" s="893"/>
      <c r="AE592" s="893"/>
      <c r="AF592" s="893"/>
      <c r="AG592" s="893"/>
      <c r="AH592" s="893"/>
      <c r="AI592" s="300"/>
      <c r="AJ592" s="300"/>
      <c r="AK592" s="300"/>
      <c r="AL592" s="300"/>
      <c r="AM592" s="300"/>
      <c r="AN592" s="127"/>
    </row>
    <row r="593" ht="14.25" customHeight="1">
      <c r="A593" s="127"/>
      <c r="B593" s="127"/>
      <c r="C593" s="127"/>
      <c r="D593" s="127"/>
      <c r="E593" s="127"/>
      <c r="F593" s="300"/>
      <c r="G593" s="300"/>
      <c r="H593" s="892"/>
      <c r="I593" s="892"/>
      <c r="J593" s="892"/>
      <c r="K593" s="892"/>
      <c r="L593" s="892"/>
      <c r="M593" s="892"/>
      <c r="N593" s="892"/>
      <c r="O593" s="892"/>
      <c r="P593" s="892"/>
      <c r="Q593" s="892"/>
      <c r="R593" s="892"/>
      <c r="S593" s="892"/>
      <c r="T593" s="892"/>
      <c r="U593" s="892"/>
      <c r="V593" s="892"/>
      <c r="W593" s="893"/>
      <c r="X593" s="893"/>
      <c r="Y593" s="893"/>
      <c r="Z593" s="893"/>
      <c r="AA593" s="893"/>
      <c r="AB593" s="893"/>
      <c r="AC593" s="893"/>
      <c r="AD593" s="893"/>
      <c r="AE593" s="893"/>
      <c r="AF593" s="893"/>
      <c r="AG593" s="893"/>
      <c r="AH593" s="893"/>
      <c r="AI593" s="300"/>
      <c r="AJ593" s="300"/>
      <c r="AK593" s="300"/>
      <c r="AL593" s="300"/>
      <c r="AM593" s="300"/>
      <c r="AN593" s="127"/>
    </row>
    <row r="594" ht="14.25" customHeight="1">
      <c r="A594" s="127"/>
      <c r="B594" s="127"/>
      <c r="C594" s="127"/>
      <c r="D594" s="127"/>
      <c r="E594" s="127"/>
      <c r="F594" s="300"/>
      <c r="G594" s="300"/>
      <c r="H594" s="892"/>
      <c r="I594" s="892"/>
      <c r="J594" s="892"/>
      <c r="K594" s="892"/>
      <c r="L594" s="892"/>
      <c r="M594" s="892"/>
      <c r="N594" s="892"/>
      <c r="O594" s="892"/>
      <c r="P594" s="892"/>
      <c r="Q594" s="892"/>
      <c r="R594" s="892"/>
      <c r="S594" s="892"/>
      <c r="T594" s="892"/>
      <c r="U594" s="892"/>
      <c r="V594" s="892"/>
      <c r="W594" s="893"/>
      <c r="X594" s="893"/>
      <c r="Y594" s="893"/>
      <c r="Z594" s="893"/>
      <c r="AA594" s="893"/>
      <c r="AB594" s="893"/>
      <c r="AC594" s="893"/>
      <c r="AD594" s="893"/>
      <c r="AE594" s="893"/>
      <c r="AF594" s="893"/>
      <c r="AG594" s="893"/>
      <c r="AH594" s="893"/>
      <c r="AI594" s="300"/>
      <c r="AJ594" s="300"/>
      <c r="AK594" s="300"/>
      <c r="AL594" s="300"/>
      <c r="AM594" s="300"/>
      <c r="AN594" s="127"/>
    </row>
    <row r="595" ht="14.25" customHeight="1">
      <c r="A595" s="127"/>
      <c r="B595" s="127"/>
      <c r="C595" s="127"/>
      <c r="D595" s="127"/>
      <c r="E595" s="127"/>
      <c r="F595" s="300"/>
      <c r="G595" s="300"/>
      <c r="H595" s="892"/>
      <c r="I595" s="892"/>
      <c r="J595" s="892"/>
      <c r="K595" s="892"/>
      <c r="L595" s="892"/>
      <c r="M595" s="892"/>
      <c r="N595" s="892"/>
      <c r="O595" s="892"/>
      <c r="P595" s="892"/>
      <c r="Q595" s="892"/>
      <c r="R595" s="892"/>
      <c r="S595" s="892"/>
      <c r="T595" s="892"/>
      <c r="U595" s="892"/>
      <c r="V595" s="892"/>
      <c r="W595" s="893"/>
      <c r="X595" s="893"/>
      <c r="Y595" s="893"/>
      <c r="Z595" s="893"/>
      <c r="AA595" s="893"/>
      <c r="AB595" s="893"/>
      <c r="AC595" s="893"/>
      <c r="AD595" s="893"/>
      <c r="AE595" s="893"/>
      <c r="AF595" s="893"/>
      <c r="AG595" s="893"/>
      <c r="AH595" s="893"/>
      <c r="AI595" s="300"/>
      <c r="AJ595" s="300"/>
      <c r="AK595" s="300"/>
      <c r="AL595" s="300"/>
      <c r="AM595" s="300"/>
      <c r="AN595" s="127"/>
    </row>
    <row r="596" ht="14.25" customHeight="1">
      <c r="A596" s="127"/>
      <c r="B596" s="127"/>
      <c r="C596" s="127"/>
      <c r="D596" s="127"/>
      <c r="E596" s="127"/>
      <c r="F596" s="300"/>
      <c r="G596" s="300"/>
      <c r="H596" s="892"/>
      <c r="I596" s="892"/>
      <c r="J596" s="892"/>
      <c r="K596" s="892"/>
      <c r="L596" s="892"/>
      <c r="M596" s="892"/>
      <c r="N596" s="892"/>
      <c r="O596" s="892"/>
      <c r="P596" s="892"/>
      <c r="Q596" s="892"/>
      <c r="R596" s="892"/>
      <c r="S596" s="892"/>
      <c r="T596" s="892"/>
      <c r="U596" s="892"/>
      <c r="V596" s="892"/>
      <c r="W596" s="893"/>
      <c r="X596" s="893"/>
      <c r="Y596" s="893"/>
      <c r="Z596" s="893"/>
      <c r="AA596" s="893"/>
      <c r="AB596" s="893"/>
      <c r="AC596" s="893"/>
      <c r="AD596" s="893"/>
      <c r="AE596" s="893"/>
      <c r="AF596" s="893"/>
      <c r="AG596" s="893"/>
      <c r="AH596" s="893"/>
      <c r="AI596" s="300"/>
      <c r="AJ596" s="300"/>
      <c r="AK596" s="300"/>
      <c r="AL596" s="300"/>
      <c r="AM596" s="300"/>
      <c r="AN596" s="127"/>
    </row>
    <row r="597" ht="14.25" customHeight="1">
      <c r="A597" s="127"/>
      <c r="B597" s="127"/>
      <c r="C597" s="127"/>
      <c r="D597" s="127"/>
      <c r="E597" s="127"/>
      <c r="F597" s="300"/>
      <c r="G597" s="300"/>
      <c r="H597" s="892"/>
      <c r="I597" s="892"/>
      <c r="J597" s="892"/>
      <c r="K597" s="892"/>
      <c r="L597" s="892"/>
      <c r="M597" s="892"/>
      <c r="N597" s="892"/>
      <c r="O597" s="892"/>
      <c r="P597" s="892"/>
      <c r="Q597" s="892"/>
      <c r="R597" s="892"/>
      <c r="S597" s="892"/>
      <c r="T597" s="892"/>
      <c r="U597" s="892"/>
      <c r="V597" s="892"/>
      <c r="W597" s="893"/>
      <c r="X597" s="893"/>
      <c r="Y597" s="893"/>
      <c r="Z597" s="893"/>
      <c r="AA597" s="893"/>
      <c r="AB597" s="893"/>
      <c r="AC597" s="893"/>
      <c r="AD597" s="893"/>
      <c r="AE597" s="893"/>
      <c r="AF597" s="893"/>
      <c r="AG597" s="893"/>
      <c r="AH597" s="893"/>
      <c r="AI597" s="300"/>
      <c r="AJ597" s="300"/>
      <c r="AK597" s="300"/>
      <c r="AL597" s="300"/>
      <c r="AM597" s="300"/>
      <c r="AN597" s="127"/>
    </row>
    <row r="598" ht="14.25" customHeight="1">
      <c r="A598" s="127"/>
      <c r="B598" s="127"/>
      <c r="C598" s="127"/>
      <c r="D598" s="127"/>
      <c r="E598" s="127"/>
      <c r="F598" s="300"/>
      <c r="G598" s="300"/>
      <c r="H598" s="892"/>
      <c r="I598" s="892"/>
      <c r="J598" s="892"/>
      <c r="K598" s="892"/>
      <c r="L598" s="892"/>
      <c r="M598" s="892"/>
      <c r="N598" s="892"/>
      <c r="O598" s="892"/>
      <c r="P598" s="892"/>
      <c r="Q598" s="892"/>
      <c r="R598" s="892"/>
      <c r="S598" s="892"/>
      <c r="T598" s="892"/>
      <c r="U598" s="892"/>
      <c r="V598" s="892"/>
      <c r="W598" s="893"/>
      <c r="X598" s="893"/>
      <c r="Y598" s="893"/>
      <c r="Z598" s="893"/>
      <c r="AA598" s="893"/>
      <c r="AB598" s="893"/>
      <c r="AC598" s="893"/>
      <c r="AD598" s="893"/>
      <c r="AE598" s="893"/>
      <c r="AF598" s="893"/>
      <c r="AG598" s="893"/>
      <c r="AH598" s="893"/>
      <c r="AI598" s="300"/>
      <c r="AJ598" s="300"/>
      <c r="AK598" s="300"/>
      <c r="AL598" s="300"/>
      <c r="AM598" s="300"/>
      <c r="AN598" s="127"/>
    </row>
    <row r="599" ht="14.25" customHeight="1">
      <c r="A599" s="127"/>
      <c r="B599" s="127"/>
      <c r="C599" s="127"/>
      <c r="D599" s="127"/>
      <c r="E599" s="127"/>
      <c r="F599" s="300"/>
      <c r="G599" s="300"/>
      <c r="H599" s="892"/>
      <c r="I599" s="892"/>
      <c r="J599" s="892"/>
      <c r="K599" s="892"/>
      <c r="L599" s="892"/>
      <c r="M599" s="892"/>
      <c r="N599" s="892"/>
      <c r="O599" s="892"/>
      <c r="P599" s="892"/>
      <c r="Q599" s="892"/>
      <c r="R599" s="892"/>
      <c r="S599" s="892"/>
      <c r="T599" s="892"/>
      <c r="U599" s="892"/>
      <c r="V599" s="892"/>
      <c r="W599" s="893"/>
      <c r="X599" s="893"/>
      <c r="Y599" s="893"/>
      <c r="Z599" s="893"/>
      <c r="AA599" s="893"/>
      <c r="AB599" s="893"/>
      <c r="AC599" s="893"/>
      <c r="AD599" s="893"/>
      <c r="AE599" s="893"/>
      <c r="AF599" s="893"/>
      <c r="AG599" s="893"/>
      <c r="AH599" s="893"/>
      <c r="AI599" s="300"/>
      <c r="AJ599" s="300"/>
      <c r="AK599" s="300"/>
      <c r="AL599" s="300"/>
      <c r="AM599" s="300"/>
      <c r="AN599" s="127"/>
    </row>
    <row r="600" ht="14.25" customHeight="1">
      <c r="A600" s="127"/>
      <c r="B600" s="127"/>
      <c r="C600" s="127"/>
      <c r="D600" s="127"/>
      <c r="E600" s="127"/>
      <c r="F600" s="300"/>
      <c r="G600" s="300"/>
      <c r="H600" s="892"/>
      <c r="I600" s="892"/>
      <c r="J600" s="892"/>
      <c r="K600" s="892"/>
      <c r="L600" s="892"/>
      <c r="M600" s="892"/>
      <c r="N600" s="892"/>
      <c r="O600" s="892"/>
      <c r="P600" s="892"/>
      <c r="Q600" s="892"/>
      <c r="R600" s="892"/>
      <c r="S600" s="892"/>
      <c r="T600" s="892"/>
      <c r="U600" s="892"/>
      <c r="V600" s="892"/>
      <c r="W600" s="893"/>
      <c r="X600" s="893"/>
      <c r="Y600" s="893"/>
      <c r="Z600" s="893"/>
      <c r="AA600" s="893"/>
      <c r="AB600" s="893"/>
      <c r="AC600" s="893"/>
      <c r="AD600" s="893"/>
      <c r="AE600" s="893"/>
      <c r="AF600" s="893"/>
      <c r="AG600" s="893"/>
      <c r="AH600" s="893"/>
      <c r="AI600" s="300"/>
      <c r="AJ600" s="300"/>
      <c r="AK600" s="300"/>
      <c r="AL600" s="300"/>
      <c r="AM600" s="300"/>
      <c r="AN600" s="127"/>
    </row>
    <row r="601" ht="14.25" customHeight="1">
      <c r="A601" s="127"/>
      <c r="B601" s="127"/>
      <c r="C601" s="127"/>
      <c r="D601" s="127"/>
      <c r="E601" s="127"/>
      <c r="F601" s="300"/>
      <c r="G601" s="300"/>
      <c r="H601" s="892"/>
      <c r="I601" s="892"/>
      <c r="J601" s="892"/>
      <c r="K601" s="892"/>
      <c r="L601" s="892"/>
      <c r="M601" s="892"/>
      <c r="N601" s="892"/>
      <c r="O601" s="892"/>
      <c r="P601" s="892"/>
      <c r="Q601" s="892"/>
      <c r="R601" s="892"/>
      <c r="S601" s="892"/>
      <c r="T601" s="892"/>
      <c r="U601" s="892"/>
      <c r="V601" s="892"/>
      <c r="W601" s="893"/>
      <c r="X601" s="893"/>
      <c r="Y601" s="893"/>
      <c r="Z601" s="893"/>
      <c r="AA601" s="893"/>
      <c r="AB601" s="893"/>
      <c r="AC601" s="893"/>
      <c r="AD601" s="893"/>
      <c r="AE601" s="893"/>
      <c r="AF601" s="893"/>
      <c r="AG601" s="893"/>
      <c r="AH601" s="893"/>
      <c r="AI601" s="300"/>
      <c r="AJ601" s="300"/>
      <c r="AK601" s="300"/>
      <c r="AL601" s="300"/>
      <c r="AM601" s="300"/>
      <c r="AN601" s="127"/>
    </row>
    <row r="602" ht="14.25" customHeight="1">
      <c r="A602" s="127"/>
      <c r="B602" s="127"/>
      <c r="C602" s="127"/>
      <c r="D602" s="127"/>
      <c r="E602" s="127"/>
      <c r="F602" s="300"/>
      <c r="G602" s="300"/>
      <c r="H602" s="892"/>
      <c r="I602" s="892"/>
      <c r="J602" s="892"/>
      <c r="K602" s="892"/>
      <c r="L602" s="892"/>
      <c r="M602" s="892"/>
      <c r="N602" s="892"/>
      <c r="O602" s="892"/>
      <c r="P602" s="892"/>
      <c r="Q602" s="892"/>
      <c r="R602" s="892"/>
      <c r="S602" s="892"/>
      <c r="T602" s="892"/>
      <c r="U602" s="892"/>
      <c r="V602" s="892"/>
      <c r="W602" s="893"/>
      <c r="X602" s="893"/>
      <c r="Y602" s="893"/>
      <c r="Z602" s="893"/>
      <c r="AA602" s="893"/>
      <c r="AB602" s="893"/>
      <c r="AC602" s="893"/>
      <c r="AD602" s="893"/>
      <c r="AE602" s="893"/>
      <c r="AF602" s="893"/>
      <c r="AG602" s="893"/>
      <c r="AH602" s="893"/>
      <c r="AI602" s="300"/>
      <c r="AJ602" s="300"/>
      <c r="AK602" s="300"/>
      <c r="AL602" s="300"/>
      <c r="AM602" s="300"/>
      <c r="AN602" s="127"/>
    </row>
    <row r="603" ht="14.25" customHeight="1">
      <c r="A603" s="127"/>
      <c r="B603" s="127"/>
      <c r="C603" s="127"/>
      <c r="D603" s="127"/>
      <c r="E603" s="127"/>
      <c r="F603" s="300"/>
      <c r="G603" s="300"/>
      <c r="H603" s="892"/>
      <c r="I603" s="892"/>
      <c r="J603" s="892"/>
      <c r="K603" s="892"/>
      <c r="L603" s="892"/>
      <c r="M603" s="892"/>
      <c r="N603" s="892"/>
      <c r="O603" s="892"/>
      <c r="P603" s="892"/>
      <c r="Q603" s="892"/>
      <c r="R603" s="892"/>
      <c r="S603" s="892"/>
      <c r="T603" s="892"/>
      <c r="U603" s="892"/>
      <c r="V603" s="892"/>
      <c r="W603" s="893"/>
      <c r="X603" s="893"/>
      <c r="Y603" s="893"/>
      <c r="Z603" s="893"/>
      <c r="AA603" s="893"/>
      <c r="AB603" s="893"/>
      <c r="AC603" s="893"/>
      <c r="AD603" s="893"/>
      <c r="AE603" s="893"/>
      <c r="AF603" s="893"/>
      <c r="AG603" s="893"/>
      <c r="AH603" s="893"/>
      <c r="AI603" s="300"/>
      <c r="AJ603" s="300"/>
      <c r="AK603" s="300"/>
      <c r="AL603" s="300"/>
      <c r="AM603" s="300"/>
      <c r="AN603" s="127"/>
    </row>
    <row r="604" ht="14.25" customHeight="1">
      <c r="A604" s="127"/>
      <c r="B604" s="127"/>
      <c r="C604" s="127"/>
      <c r="D604" s="127"/>
      <c r="E604" s="127"/>
      <c r="F604" s="300"/>
      <c r="G604" s="300"/>
      <c r="H604" s="892"/>
      <c r="I604" s="892"/>
      <c r="J604" s="892"/>
      <c r="K604" s="892"/>
      <c r="L604" s="892"/>
      <c r="M604" s="892"/>
      <c r="N604" s="892"/>
      <c r="O604" s="892"/>
      <c r="P604" s="892"/>
      <c r="Q604" s="892"/>
      <c r="R604" s="892"/>
      <c r="S604" s="892"/>
      <c r="T604" s="892"/>
      <c r="U604" s="892"/>
      <c r="V604" s="892"/>
      <c r="W604" s="893"/>
      <c r="X604" s="893"/>
      <c r="Y604" s="893"/>
      <c r="Z604" s="893"/>
      <c r="AA604" s="893"/>
      <c r="AB604" s="893"/>
      <c r="AC604" s="893"/>
      <c r="AD604" s="893"/>
      <c r="AE604" s="893"/>
      <c r="AF604" s="893"/>
      <c r="AG604" s="893"/>
      <c r="AH604" s="893"/>
      <c r="AI604" s="300"/>
      <c r="AJ604" s="300"/>
      <c r="AK604" s="300"/>
      <c r="AL604" s="300"/>
      <c r="AM604" s="300"/>
      <c r="AN604" s="127"/>
    </row>
    <row r="605" ht="14.25" customHeight="1">
      <c r="A605" s="127"/>
      <c r="B605" s="127"/>
      <c r="C605" s="127"/>
      <c r="D605" s="127"/>
      <c r="E605" s="127"/>
      <c r="F605" s="300"/>
      <c r="G605" s="300"/>
      <c r="H605" s="892"/>
      <c r="I605" s="892"/>
      <c r="J605" s="892"/>
      <c r="K605" s="892"/>
      <c r="L605" s="892"/>
      <c r="M605" s="892"/>
      <c r="N605" s="892"/>
      <c r="O605" s="892"/>
      <c r="P605" s="892"/>
      <c r="Q605" s="892"/>
      <c r="R605" s="892"/>
      <c r="S605" s="892"/>
      <c r="T605" s="892"/>
      <c r="U605" s="892"/>
      <c r="V605" s="892"/>
      <c r="W605" s="893"/>
      <c r="X605" s="893"/>
      <c r="Y605" s="893"/>
      <c r="Z605" s="893"/>
      <c r="AA605" s="893"/>
      <c r="AB605" s="893"/>
      <c r="AC605" s="893"/>
      <c r="AD605" s="893"/>
      <c r="AE605" s="893"/>
      <c r="AF605" s="893"/>
      <c r="AG605" s="893"/>
      <c r="AH605" s="893"/>
      <c r="AI605" s="300"/>
      <c r="AJ605" s="300"/>
      <c r="AK605" s="300"/>
      <c r="AL605" s="300"/>
      <c r="AM605" s="300"/>
      <c r="AN605" s="127"/>
    </row>
    <row r="606" ht="14.25" customHeight="1">
      <c r="A606" s="127"/>
      <c r="B606" s="127"/>
      <c r="C606" s="127"/>
      <c r="D606" s="127"/>
      <c r="E606" s="127"/>
      <c r="F606" s="300"/>
      <c r="G606" s="300"/>
      <c r="H606" s="892"/>
      <c r="I606" s="892"/>
      <c r="J606" s="892"/>
      <c r="K606" s="892"/>
      <c r="L606" s="892"/>
      <c r="M606" s="892"/>
      <c r="N606" s="892"/>
      <c r="O606" s="892"/>
      <c r="P606" s="892"/>
      <c r="Q606" s="892"/>
      <c r="R606" s="892"/>
      <c r="S606" s="892"/>
      <c r="T606" s="892"/>
      <c r="U606" s="892"/>
      <c r="V606" s="892"/>
      <c r="W606" s="893"/>
      <c r="X606" s="893"/>
      <c r="Y606" s="893"/>
      <c r="Z606" s="893"/>
      <c r="AA606" s="893"/>
      <c r="AB606" s="893"/>
      <c r="AC606" s="893"/>
      <c r="AD606" s="893"/>
      <c r="AE606" s="893"/>
      <c r="AF606" s="893"/>
      <c r="AG606" s="893"/>
      <c r="AH606" s="893"/>
      <c r="AI606" s="300"/>
      <c r="AJ606" s="300"/>
      <c r="AK606" s="300"/>
      <c r="AL606" s="300"/>
      <c r="AM606" s="300"/>
      <c r="AN606" s="127"/>
    </row>
    <row r="607" ht="14.25" customHeight="1">
      <c r="A607" s="127"/>
      <c r="B607" s="127"/>
      <c r="C607" s="127"/>
      <c r="D607" s="127"/>
      <c r="E607" s="127"/>
      <c r="F607" s="300"/>
      <c r="G607" s="300"/>
      <c r="H607" s="892"/>
      <c r="I607" s="892"/>
      <c r="J607" s="892"/>
      <c r="K607" s="892"/>
      <c r="L607" s="892"/>
      <c r="M607" s="892"/>
      <c r="N607" s="892"/>
      <c r="O607" s="892"/>
      <c r="P607" s="892"/>
      <c r="Q607" s="892"/>
      <c r="R607" s="892"/>
      <c r="S607" s="892"/>
      <c r="T607" s="892"/>
      <c r="U607" s="892"/>
      <c r="V607" s="892"/>
      <c r="W607" s="893"/>
      <c r="X607" s="893"/>
      <c r="Y607" s="893"/>
      <c r="Z607" s="893"/>
      <c r="AA607" s="893"/>
      <c r="AB607" s="893"/>
      <c r="AC607" s="893"/>
      <c r="AD607" s="893"/>
      <c r="AE607" s="893"/>
      <c r="AF607" s="893"/>
      <c r="AG607" s="893"/>
      <c r="AH607" s="893"/>
      <c r="AI607" s="300"/>
      <c r="AJ607" s="300"/>
      <c r="AK607" s="300"/>
      <c r="AL607" s="300"/>
      <c r="AM607" s="300"/>
      <c r="AN607" s="127"/>
    </row>
    <row r="608" ht="14.25" customHeight="1">
      <c r="A608" s="127"/>
      <c r="B608" s="127"/>
      <c r="C608" s="127"/>
      <c r="D608" s="127"/>
      <c r="E608" s="127"/>
      <c r="F608" s="300"/>
      <c r="G608" s="300"/>
      <c r="H608" s="892"/>
      <c r="I608" s="892"/>
      <c r="J608" s="892"/>
      <c r="K608" s="892"/>
      <c r="L608" s="892"/>
      <c r="M608" s="892"/>
      <c r="N608" s="892"/>
      <c r="O608" s="892"/>
      <c r="P608" s="892"/>
      <c r="Q608" s="892"/>
      <c r="R608" s="892"/>
      <c r="S608" s="892"/>
      <c r="T608" s="892"/>
      <c r="U608" s="892"/>
      <c r="V608" s="892"/>
      <c r="W608" s="893"/>
      <c r="X608" s="893"/>
      <c r="Y608" s="893"/>
      <c r="Z608" s="893"/>
      <c r="AA608" s="893"/>
      <c r="AB608" s="893"/>
      <c r="AC608" s="893"/>
      <c r="AD608" s="893"/>
      <c r="AE608" s="893"/>
      <c r="AF608" s="893"/>
      <c r="AG608" s="893"/>
      <c r="AH608" s="893"/>
      <c r="AI608" s="300"/>
      <c r="AJ608" s="300"/>
      <c r="AK608" s="300"/>
      <c r="AL608" s="300"/>
      <c r="AM608" s="300"/>
      <c r="AN608" s="127"/>
    </row>
    <row r="609" ht="14.25" customHeight="1">
      <c r="A609" s="127"/>
      <c r="B609" s="127"/>
      <c r="C609" s="127"/>
      <c r="D609" s="127"/>
      <c r="E609" s="127"/>
      <c r="F609" s="300"/>
      <c r="G609" s="300"/>
      <c r="H609" s="892"/>
      <c r="I609" s="892"/>
      <c r="J609" s="892"/>
      <c r="K609" s="892"/>
      <c r="L609" s="892"/>
      <c r="M609" s="892"/>
      <c r="N609" s="892"/>
      <c r="O609" s="892"/>
      <c r="P609" s="892"/>
      <c r="Q609" s="892"/>
      <c r="R609" s="892"/>
      <c r="S609" s="892"/>
      <c r="T609" s="892"/>
      <c r="U609" s="892"/>
      <c r="V609" s="892"/>
      <c r="W609" s="893"/>
      <c r="X609" s="893"/>
      <c r="Y609" s="893"/>
      <c r="Z609" s="893"/>
      <c r="AA609" s="893"/>
      <c r="AB609" s="893"/>
      <c r="AC609" s="893"/>
      <c r="AD609" s="893"/>
      <c r="AE609" s="893"/>
      <c r="AF609" s="893"/>
      <c r="AG609" s="893"/>
      <c r="AH609" s="893"/>
      <c r="AI609" s="300"/>
      <c r="AJ609" s="300"/>
      <c r="AK609" s="300"/>
      <c r="AL609" s="300"/>
      <c r="AM609" s="300"/>
      <c r="AN609" s="127"/>
    </row>
    <row r="610" ht="14.25" customHeight="1">
      <c r="A610" s="127"/>
      <c r="B610" s="127"/>
      <c r="C610" s="127"/>
      <c r="D610" s="127"/>
      <c r="E610" s="127"/>
      <c r="F610" s="300"/>
      <c r="G610" s="300"/>
      <c r="H610" s="892"/>
      <c r="I610" s="892"/>
      <c r="J610" s="892"/>
      <c r="K610" s="892"/>
      <c r="L610" s="892"/>
      <c r="M610" s="892"/>
      <c r="N610" s="892"/>
      <c r="O610" s="892"/>
      <c r="P610" s="892"/>
      <c r="Q610" s="892"/>
      <c r="R610" s="892"/>
      <c r="S610" s="892"/>
      <c r="T610" s="892"/>
      <c r="U610" s="892"/>
      <c r="V610" s="892"/>
      <c r="W610" s="893"/>
      <c r="X610" s="893"/>
      <c r="Y610" s="893"/>
      <c r="Z610" s="893"/>
      <c r="AA610" s="893"/>
      <c r="AB610" s="893"/>
      <c r="AC610" s="893"/>
      <c r="AD610" s="893"/>
      <c r="AE610" s="893"/>
      <c r="AF610" s="893"/>
      <c r="AG610" s="893"/>
      <c r="AH610" s="893"/>
      <c r="AI610" s="300"/>
      <c r="AJ610" s="300"/>
      <c r="AK610" s="300"/>
      <c r="AL610" s="300"/>
      <c r="AM610" s="300"/>
      <c r="AN610" s="127"/>
    </row>
    <row r="611" ht="14.25" customHeight="1">
      <c r="A611" s="127"/>
      <c r="B611" s="127"/>
      <c r="C611" s="127"/>
      <c r="D611" s="127"/>
      <c r="E611" s="127"/>
      <c r="F611" s="300"/>
      <c r="G611" s="300"/>
      <c r="H611" s="892"/>
      <c r="I611" s="892"/>
      <c r="J611" s="892"/>
      <c r="K611" s="892"/>
      <c r="L611" s="892"/>
      <c r="M611" s="892"/>
      <c r="N611" s="892"/>
      <c r="O611" s="892"/>
      <c r="P611" s="892"/>
      <c r="Q611" s="892"/>
      <c r="R611" s="892"/>
      <c r="S611" s="892"/>
      <c r="T611" s="892"/>
      <c r="U611" s="892"/>
      <c r="V611" s="892"/>
      <c r="W611" s="893"/>
      <c r="X611" s="893"/>
      <c r="Y611" s="893"/>
      <c r="Z611" s="893"/>
      <c r="AA611" s="893"/>
      <c r="AB611" s="893"/>
      <c r="AC611" s="893"/>
      <c r="AD611" s="893"/>
      <c r="AE611" s="893"/>
      <c r="AF611" s="893"/>
      <c r="AG611" s="893"/>
      <c r="AH611" s="893"/>
      <c r="AI611" s="300"/>
      <c r="AJ611" s="300"/>
      <c r="AK611" s="300"/>
      <c r="AL611" s="300"/>
      <c r="AM611" s="300"/>
      <c r="AN611" s="127"/>
    </row>
    <row r="612" ht="14.25" customHeight="1">
      <c r="A612" s="127"/>
      <c r="B612" s="127"/>
      <c r="C612" s="127"/>
      <c r="D612" s="127"/>
      <c r="E612" s="127"/>
      <c r="F612" s="300"/>
      <c r="G612" s="300"/>
      <c r="H612" s="892"/>
      <c r="I612" s="892"/>
      <c r="J612" s="892"/>
      <c r="K612" s="892"/>
      <c r="L612" s="892"/>
      <c r="M612" s="892"/>
      <c r="N612" s="892"/>
      <c r="O612" s="892"/>
      <c r="P612" s="892"/>
      <c r="Q612" s="892"/>
      <c r="R612" s="892"/>
      <c r="S612" s="892"/>
      <c r="T612" s="892"/>
      <c r="U612" s="892"/>
      <c r="V612" s="892"/>
      <c r="W612" s="893"/>
      <c r="X612" s="893"/>
      <c r="Y612" s="893"/>
      <c r="Z612" s="893"/>
      <c r="AA612" s="893"/>
      <c r="AB612" s="893"/>
      <c r="AC612" s="893"/>
      <c r="AD612" s="893"/>
      <c r="AE612" s="893"/>
      <c r="AF612" s="893"/>
      <c r="AG612" s="893"/>
      <c r="AH612" s="893"/>
      <c r="AI612" s="300"/>
      <c r="AJ612" s="300"/>
      <c r="AK612" s="300"/>
      <c r="AL612" s="300"/>
      <c r="AM612" s="300"/>
      <c r="AN612" s="127"/>
    </row>
    <row r="613" ht="14.25" customHeight="1">
      <c r="A613" s="127"/>
      <c r="B613" s="127"/>
      <c r="C613" s="127"/>
      <c r="D613" s="127"/>
      <c r="E613" s="127"/>
      <c r="F613" s="300"/>
      <c r="G613" s="300"/>
      <c r="H613" s="892"/>
      <c r="I613" s="892"/>
      <c r="J613" s="892"/>
      <c r="K613" s="892"/>
      <c r="L613" s="892"/>
      <c r="M613" s="892"/>
      <c r="N613" s="892"/>
      <c r="O613" s="892"/>
      <c r="P613" s="892"/>
      <c r="Q613" s="892"/>
      <c r="R613" s="892"/>
      <c r="S613" s="892"/>
      <c r="T613" s="892"/>
      <c r="U613" s="892"/>
      <c r="V613" s="892"/>
      <c r="W613" s="893"/>
      <c r="X613" s="893"/>
      <c r="Y613" s="893"/>
      <c r="Z613" s="893"/>
      <c r="AA613" s="893"/>
      <c r="AB613" s="893"/>
      <c r="AC613" s="893"/>
      <c r="AD613" s="893"/>
      <c r="AE613" s="893"/>
      <c r="AF613" s="893"/>
      <c r="AG613" s="893"/>
      <c r="AH613" s="893"/>
      <c r="AI613" s="300"/>
      <c r="AJ613" s="300"/>
      <c r="AK613" s="300"/>
      <c r="AL613" s="300"/>
      <c r="AM613" s="300"/>
      <c r="AN613" s="127"/>
    </row>
    <row r="614" ht="14.25" customHeight="1">
      <c r="A614" s="127"/>
      <c r="B614" s="127"/>
      <c r="C614" s="127"/>
      <c r="D614" s="127"/>
      <c r="E614" s="127"/>
      <c r="F614" s="300"/>
      <c r="G614" s="300"/>
      <c r="H614" s="892"/>
      <c r="I614" s="892"/>
      <c r="J614" s="892"/>
      <c r="K614" s="892"/>
      <c r="L614" s="892"/>
      <c r="M614" s="892"/>
      <c r="N614" s="892"/>
      <c r="O614" s="892"/>
      <c r="P614" s="892"/>
      <c r="Q614" s="892"/>
      <c r="R614" s="892"/>
      <c r="S614" s="892"/>
      <c r="T614" s="892"/>
      <c r="U614" s="892"/>
      <c r="V614" s="892"/>
      <c r="W614" s="893"/>
      <c r="X614" s="893"/>
      <c r="Y614" s="893"/>
      <c r="Z614" s="893"/>
      <c r="AA614" s="893"/>
      <c r="AB614" s="893"/>
      <c r="AC614" s="893"/>
      <c r="AD614" s="893"/>
      <c r="AE614" s="893"/>
      <c r="AF614" s="893"/>
      <c r="AG614" s="893"/>
      <c r="AH614" s="893"/>
      <c r="AI614" s="300"/>
      <c r="AJ614" s="300"/>
      <c r="AK614" s="300"/>
      <c r="AL614" s="300"/>
      <c r="AM614" s="300"/>
      <c r="AN614" s="127"/>
    </row>
    <row r="615" ht="14.25" customHeight="1">
      <c r="A615" s="127"/>
      <c r="B615" s="127"/>
      <c r="C615" s="127"/>
      <c r="D615" s="127"/>
      <c r="E615" s="127"/>
      <c r="F615" s="300"/>
      <c r="G615" s="300"/>
      <c r="H615" s="892"/>
      <c r="I615" s="892"/>
      <c r="J615" s="892"/>
      <c r="K615" s="892"/>
      <c r="L615" s="892"/>
      <c r="M615" s="892"/>
      <c r="N615" s="892"/>
      <c r="O615" s="892"/>
      <c r="P615" s="892"/>
      <c r="Q615" s="892"/>
      <c r="R615" s="892"/>
      <c r="S615" s="892"/>
      <c r="T615" s="892"/>
      <c r="U615" s="892"/>
      <c r="V615" s="892"/>
      <c r="W615" s="893"/>
      <c r="X615" s="893"/>
      <c r="Y615" s="893"/>
      <c r="Z615" s="893"/>
      <c r="AA615" s="893"/>
      <c r="AB615" s="893"/>
      <c r="AC615" s="893"/>
      <c r="AD615" s="893"/>
      <c r="AE615" s="893"/>
      <c r="AF615" s="893"/>
      <c r="AG615" s="893"/>
      <c r="AH615" s="893"/>
      <c r="AI615" s="300"/>
      <c r="AJ615" s="300"/>
      <c r="AK615" s="300"/>
      <c r="AL615" s="300"/>
      <c r="AM615" s="300"/>
      <c r="AN615" s="127"/>
    </row>
    <row r="616" ht="14.25" customHeight="1">
      <c r="A616" s="127"/>
      <c r="B616" s="127"/>
      <c r="C616" s="127"/>
      <c r="D616" s="127"/>
      <c r="E616" s="127"/>
      <c r="F616" s="300"/>
      <c r="G616" s="300"/>
      <c r="H616" s="892"/>
      <c r="I616" s="892"/>
      <c r="J616" s="892"/>
      <c r="K616" s="892"/>
      <c r="L616" s="892"/>
      <c r="M616" s="892"/>
      <c r="N616" s="892"/>
      <c r="O616" s="892"/>
      <c r="P616" s="892"/>
      <c r="Q616" s="892"/>
      <c r="R616" s="892"/>
      <c r="S616" s="892"/>
      <c r="T616" s="892"/>
      <c r="U616" s="892"/>
      <c r="V616" s="892"/>
      <c r="W616" s="893"/>
      <c r="X616" s="893"/>
      <c r="Y616" s="893"/>
      <c r="Z616" s="893"/>
      <c r="AA616" s="893"/>
      <c r="AB616" s="893"/>
      <c r="AC616" s="893"/>
      <c r="AD616" s="893"/>
      <c r="AE616" s="893"/>
      <c r="AF616" s="893"/>
      <c r="AG616" s="893"/>
      <c r="AH616" s="893"/>
      <c r="AI616" s="300"/>
      <c r="AJ616" s="300"/>
      <c r="AK616" s="300"/>
      <c r="AL616" s="300"/>
      <c r="AM616" s="300"/>
      <c r="AN616" s="127"/>
    </row>
    <row r="617" ht="14.25" customHeight="1">
      <c r="A617" s="127"/>
      <c r="B617" s="127"/>
      <c r="C617" s="127"/>
      <c r="D617" s="127"/>
      <c r="E617" s="127"/>
      <c r="F617" s="300"/>
      <c r="G617" s="300"/>
      <c r="H617" s="892"/>
      <c r="I617" s="892"/>
      <c r="J617" s="892"/>
      <c r="K617" s="892"/>
      <c r="L617" s="892"/>
      <c r="M617" s="892"/>
      <c r="N617" s="892"/>
      <c r="O617" s="892"/>
      <c r="P617" s="892"/>
      <c r="Q617" s="892"/>
      <c r="R617" s="892"/>
      <c r="S617" s="892"/>
      <c r="T617" s="892"/>
      <c r="U617" s="892"/>
      <c r="V617" s="892"/>
      <c r="W617" s="893"/>
      <c r="X617" s="893"/>
      <c r="Y617" s="893"/>
      <c r="Z617" s="893"/>
      <c r="AA617" s="893"/>
      <c r="AB617" s="893"/>
      <c r="AC617" s="893"/>
      <c r="AD617" s="893"/>
      <c r="AE617" s="893"/>
      <c r="AF617" s="893"/>
      <c r="AG617" s="893"/>
      <c r="AH617" s="893"/>
      <c r="AI617" s="300"/>
      <c r="AJ617" s="300"/>
      <c r="AK617" s="300"/>
      <c r="AL617" s="300"/>
      <c r="AM617" s="300"/>
      <c r="AN617" s="127"/>
    </row>
    <row r="618" ht="14.25" customHeight="1">
      <c r="A618" s="127"/>
      <c r="B618" s="127"/>
      <c r="C618" s="127"/>
      <c r="D618" s="127"/>
      <c r="E618" s="127"/>
      <c r="F618" s="300"/>
      <c r="G618" s="300"/>
      <c r="H618" s="892"/>
      <c r="I618" s="892"/>
      <c r="J618" s="892"/>
      <c r="K618" s="892"/>
      <c r="L618" s="892"/>
      <c r="M618" s="892"/>
      <c r="N618" s="892"/>
      <c r="O618" s="892"/>
      <c r="P618" s="892"/>
      <c r="Q618" s="892"/>
      <c r="R618" s="892"/>
      <c r="S618" s="892"/>
      <c r="T618" s="892"/>
      <c r="U618" s="892"/>
      <c r="V618" s="892"/>
      <c r="W618" s="893"/>
      <c r="X618" s="893"/>
      <c r="Y618" s="893"/>
      <c r="Z618" s="893"/>
      <c r="AA618" s="893"/>
      <c r="AB618" s="893"/>
      <c r="AC618" s="893"/>
      <c r="AD618" s="893"/>
      <c r="AE618" s="893"/>
      <c r="AF618" s="893"/>
      <c r="AG618" s="893"/>
      <c r="AH618" s="893"/>
      <c r="AI618" s="300"/>
      <c r="AJ618" s="300"/>
      <c r="AK618" s="300"/>
      <c r="AL618" s="300"/>
      <c r="AM618" s="300"/>
      <c r="AN618" s="127"/>
    </row>
    <row r="619" ht="14.25" customHeight="1">
      <c r="A619" s="127"/>
      <c r="B619" s="127"/>
      <c r="C619" s="127"/>
      <c r="D619" s="127"/>
      <c r="E619" s="127"/>
      <c r="F619" s="300"/>
      <c r="G619" s="300"/>
      <c r="H619" s="892"/>
      <c r="I619" s="892"/>
      <c r="J619" s="892"/>
      <c r="K619" s="892"/>
      <c r="L619" s="892"/>
      <c r="M619" s="892"/>
      <c r="N619" s="892"/>
      <c r="O619" s="892"/>
      <c r="P619" s="892"/>
      <c r="Q619" s="892"/>
      <c r="R619" s="892"/>
      <c r="S619" s="892"/>
      <c r="T619" s="892"/>
      <c r="U619" s="892"/>
      <c r="V619" s="892"/>
      <c r="W619" s="893"/>
      <c r="X619" s="893"/>
      <c r="Y619" s="893"/>
      <c r="Z619" s="893"/>
      <c r="AA619" s="893"/>
      <c r="AB619" s="893"/>
      <c r="AC619" s="893"/>
      <c r="AD619" s="893"/>
      <c r="AE619" s="893"/>
      <c r="AF619" s="893"/>
      <c r="AG619" s="893"/>
      <c r="AH619" s="893"/>
      <c r="AI619" s="300"/>
      <c r="AJ619" s="300"/>
      <c r="AK619" s="300"/>
      <c r="AL619" s="300"/>
      <c r="AM619" s="300"/>
      <c r="AN619" s="127"/>
    </row>
    <row r="620" ht="14.25" customHeight="1">
      <c r="A620" s="127"/>
      <c r="B620" s="127"/>
      <c r="C620" s="127"/>
      <c r="D620" s="127"/>
      <c r="E620" s="127"/>
      <c r="F620" s="300"/>
      <c r="G620" s="300"/>
      <c r="H620" s="892"/>
      <c r="I620" s="892"/>
      <c r="J620" s="892"/>
      <c r="K620" s="892"/>
      <c r="L620" s="892"/>
      <c r="M620" s="892"/>
      <c r="N620" s="892"/>
      <c r="O620" s="892"/>
      <c r="P620" s="892"/>
      <c r="Q620" s="892"/>
      <c r="R620" s="892"/>
      <c r="S620" s="892"/>
      <c r="T620" s="892"/>
      <c r="U620" s="892"/>
      <c r="V620" s="892"/>
      <c r="W620" s="893"/>
      <c r="X620" s="893"/>
      <c r="Y620" s="893"/>
      <c r="Z620" s="893"/>
      <c r="AA620" s="893"/>
      <c r="AB620" s="893"/>
      <c r="AC620" s="893"/>
      <c r="AD620" s="893"/>
      <c r="AE620" s="893"/>
      <c r="AF620" s="893"/>
      <c r="AG620" s="893"/>
      <c r="AH620" s="893"/>
      <c r="AI620" s="300"/>
      <c r="AJ620" s="300"/>
      <c r="AK620" s="300"/>
      <c r="AL620" s="300"/>
      <c r="AM620" s="300"/>
      <c r="AN620" s="127"/>
    </row>
    <row r="621" ht="14.25" customHeight="1">
      <c r="A621" s="127"/>
      <c r="B621" s="127"/>
      <c r="C621" s="127"/>
      <c r="D621" s="127"/>
      <c r="E621" s="127"/>
      <c r="F621" s="300"/>
      <c r="G621" s="300"/>
      <c r="H621" s="892"/>
      <c r="I621" s="892"/>
      <c r="J621" s="892"/>
      <c r="K621" s="892"/>
      <c r="L621" s="892"/>
      <c r="M621" s="892"/>
      <c r="N621" s="892"/>
      <c r="O621" s="892"/>
      <c r="P621" s="892"/>
      <c r="Q621" s="892"/>
      <c r="R621" s="892"/>
      <c r="S621" s="892"/>
      <c r="T621" s="892"/>
      <c r="U621" s="892"/>
      <c r="V621" s="892"/>
      <c r="W621" s="893"/>
      <c r="X621" s="893"/>
      <c r="Y621" s="893"/>
      <c r="Z621" s="893"/>
      <c r="AA621" s="893"/>
      <c r="AB621" s="893"/>
      <c r="AC621" s="893"/>
      <c r="AD621" s="893"/>
      <c r="AE621" s="893"/>
      <c r="AF621" s="893"/>
      <c r="AG621" s="893"/>
      <c r="AH621" s="893"/>
      <c r="AI621" s="300"/>
      <c r="AJ621" s="300"/>
      <c r="AK621" s="300"/>
      <c r="AL621" s="300"/>
      <c r="AM621" s="300"/>
      <c r="AN621" s="127"/>
    </row>
    <row r="622" ht="14.25" customHeight="1">
      <c r="A622" s="127"/>
      <c r="B622" s="127"/>
      <c r="C622" s="127"/>
      <c r="D622" s="127"/>
      <c r="E622" s="127"/>
      <c r="F622" s="300"/>
      <c r="G622" s="300"/>
      <c r="H622" s="892"/>
      <c r="I622" s="892"/>
      <c r="J622" s="892"/>
      <c r="K622" s="892"/>
      <c r="L622" s="892"/>
      <c r="M622" s="892"/>
      <c r="N622" s="892"/>
      <c r="O622" s="892"/>
      <c r="P622" s="892"/>
      <c r="Q622" s="892"/>
      <c r="R622" s="892"/>
      <c r="S622" s="892"/>
      <c r="T622" s="892"/>
      <c r="U622" s="892"/>
      <c r="V622" s="892"/>
      <c r="W622" s="893"/>
      <c r="X622" s="893"/>
      <c r="Y622" s="893"/>
      <c r="Z622" s="893"/>
      <c r="AA622" s="893"/>
      <c r="AB622" s="893"/>
      <c r="AC622" s="893"/>
      <c r="AD622" s="893"/>
      <c r="AE622" s="893"/>
      <c r="AF622" s="893"/>
      <c r="AG622" s="893"/>
      <c r="AH622" s="893"/>
      <c r="AI622" s="300"/>
      <c r="AJ622" s="300"/>
      <c r="AK622" s="300"/>
      <c r="AL622" s="300"/>
      <c r="AM622" s="300"/>
      <c r="AN622" s="127"/>
    </row>
    <row r="623" ht="14.25" customHeight="1">
      <c r="A623" s="127"/>
      <c r="B623" s="127"/>
      <c r="C623" s="127"/>
      <c r="D623" s="127"/>
      <c r="E623" s="127"/>
      <c r="F623" s="300"/>
      <c r="G623" s="300"/>
      <c r="H623" s="892"/>
      <c r="I623" s="892"/>
      <c r="J623" s="892"/>
      <c r="K623" s="892"/>
      <c r="L623" s="892"/>
      <c r="M623" s="892"/>
      <c r="N623" s="892"/>
      <c r="O623" s="892"/>
      <c r="P623" s="892"/>
      <c r="Q623" s="892"/>
      <c r="R623" s="892"/>
      <c r="S623" s="892"/>
      <c r="T623" s="892"/>
      <c r="U623" s="892"/>
      <c r="V623" s="892"/>
      <c r="W623" s="893"/>
      <c r="X623" s="893"/>
      <c r="Y623" s="893"/>
      <c r="Z623" s="893"/>
      <c r="AA623" s="893"/>
      <c r="AB623" s="893"/>
      <c r="AC623" s="893"/>
      <c r="AD623" s="893"/>
      <c r="AE623" s="893"/>
      <c r="AF623" s="893"/>
      <c r="AG623" s="893"/>
      <c r="AH623" s="893"/>
      <c r="AI623" s="300"/>
      <c r="AJ623" s="300"/>
      <c r="AK623" s="300"/>
      <c r="AL623" s="300"/>
      <c r="AM623" s="300"/>
      <c r="AN623" s="127"/>
    </row>
    <row r="624" ht="14.25" customHeight="1">
      <c r="A624" s="127"/>
      <c r="B624" s="127"/>
      <c r="C624" s="127"/>
      <c r="D624" s="127"/>
      <c r="E624" s="127"/>
      <c r="F624" s="300"/>
      <c r="G624" s="300"/>
      <c r="H624" s="892"/>
      <c r="I624" s="892"/>
      <c r="J624" s="892"/>
      <c r="K624" s="892"/>
      <c r="L624" s="892"/>
      <c r="M624" s="892"/>
      <c r="N624" s="892"/>
      <c r="O624" s="892"/>
      <c r="P624" s="892"/>
      <c r="Q624" s="892"/>
      <c r="R624" s="892"/>
      <c r="S624" s="892"/>
      <c r="T624" s="892"/>
      <c r="U624" s="892"/>
      <c r="V624" s="892"/>
      <c r="W624" s="893"/>
      <c r="X624" s="893"/>
      <c r="Y624" s="893"/>
      <c r="Z624" s="893"/>
      <c r="AA624" s="893"/>
      <c r="AB624" s="893"/>
      <c r="AC624" s="893"/>
      <c r="AD624" s="893"/>
      <c r="AE624" s="893"/>
      <c r="AF624" s="893"/>
      <c r="AG624" s="893"/>
      <c r="AH624" s="893"/>
      <c r="AI624" s="300"/>
      <c r="AJ624" s="300"/>
      <c r="AK624" s="300"/>
      <c r="AL624" s="300"/>
      <c r="AM624" s="300"/>
      <c r="AN624" s="127"/>
    </row>
    <row r="625" ht="14.25" customHeight="1">
      <c r="A625" s="127"/>
      <c r="B625" s="127"/>
      <c r="C625" s="127"/>
      <c r="D625" s="127"/>
      <c r="E625" s="127"/>
      <c r="F625" s="300"/>
      <c r="G625" s="300"/>
      <c r="H625" s="892"/>
      <c r="I625" s="892"/>
      <c r="J625" s="892"/>
      <c r="K625" s="892"/>
      <c r="L625" s="892"/>
      <c r="M625" s="892"/>
      <c r="N625" s="892"/>
      <c r="O625" s="892"/>
      <c r="P625" s="892"/>
      <c r="Q625" s="892"/>
      <c r="R625" s="892"/>
      <c r="S625" s="892"/>
      <c r="T625" s="892"/>
      <c r="U625" s="892"/>
      <c r="V625" s="892"/>
      <c r="W625" s="893"/>
      <c r="X625" s="893"/>
      <c r="Y625" s="893"/>
      <c r="Z625" s="893"/>
      <c r="AA625" s="893"/>
      <c r="AB625" s="893"/>
      <c r="AC625" s="893"/>
      <c r="AD625" s="893"/>
      <c r="AE625" s="893"/>
      <c r="AF625" s="893"/>
      <c r="AG625" s="893"/>
      <c r="AH625" s="893"/>
      <c r="AI625" s="300"/>
      <c r="AJ625" s="300"/>
      <c r="AK625" s="300"/>
      <c r="AL625" s="300"/>
      <c r="AM625" s="300"/>
      <c r="AN625" s="127"/>
    </row>
    <row r="626" ht="14.25" customHeight="1">
      <c r="A626" s="127"/>
      <c r="B626" s="127"/>
      <c r="C626" s="127"/>
      <c r="D626" s="127"/>
      <c r="E626" s="127"/>
      <c r="F626" s="300"/>
      <c r="G626" s="300"/>
      <c r="H626" s="892"/>
      <c r="I626" s="892"/>
      <c r="J626" s="892"/>
      <c r="K626" s="892"/>
      <c r="L626" s="892"/>
      <c r="M626" s="892"/>
      <c r="N626" s="892"/>
      <c r="O626" s="892"/>
      <c r="P626" s="892"/>
      <c r="Q626" s="892"/>
      <c r="R626" s="892"/>
      <c r="S626" s="892"/>
      <c r="T626" s="892"/>
      <c r="U626" s="892"/>
      <c r="V626" s="892"/>
      <c r="W626" s="893"/>
      <c r="X626" s="893"/>
      <c r="Y626" s="893"/>
      <c r="Z626" s="893"/>
      <c r="AA626" s="893"/>
      <c r="AB626" s="893"/>
      <c r="AC626" s="893"/>
      <c r="AD626" s="893"/>
      <c r="AE626" s="893"/>
      <c r="AF626" s="893"/>
      <c r="AG626" s="893"/>
      <c r="AH626" s="893"/>
      <c r="AI626" s="300"/>
      <c r="AJ626" s="300"/>
      <c r="AK626" s="300"/>
      <c r="AL626" s="300"/>
      <c r="AM626" s="300"/>
      <c r="AN626" s="127"/>
    </row>
    <row r="627" ht="14.25" customHeight="1">
      <c r="A627" s="127"/>
      <c r="B627" s="127"/>
      <c r="C627" s="127"/>
      <c r="D627" s="127"/>
      <c r="E627" s="127"/>
      <c r="F627" s="300"/>
      <c r="G627" s="300"/>
      <c r="H627" s="892"/>
      <c r="I627" s="892"/>
      <c r="J627" s="892"/>
      <c r="K627" s="892"/>
      <c r="L627" s="892"/>
      <c r="M627" s="892"/>
      <c r="N627" s="892"/>
      <c r="O627" s="892"/>
      <c r="P627" s="892"/>
      <c r="Q627" s="892"/>
      <c r="R627" s="892"/>
      <c r="S627" s="892"/>
      <c r="T627" s="892"/>
      <c r="U627" s="892"/>
      <c r="V627" s="892"/>
      <c r="W627" s="893"/>
      <c r="X627" s="893"/>
      <c r="Y627" s="893"/>
      <c r="Z627" s="893"/>
      <c r="AA627" s="893"/>
      <c r="AB627" s="893"/>
      <c r="AC627" s="893"/>
      <c r="AD627" s="893"/>
      <c r="AE627" s="893"/>
      <c r="AF627" s="893"/>
      <c r="AG627" s="893"/>
      <c r="AH627" s="893"/>
      <c r="AI627" s="300"/>
      <c r="AJ627" s="300"/>
      <c r="AK627" s="300"/>
      <c r="AL627" s="300"/>
      <c r="AM627" s="300"/>
      <c r="AN627" s="127"/>
    </row>
    <row r="628" ht="14.25" customHeight="1">
      <c r="A628" s="127"/>
      <c r="B628" s="127"/>
      <c r="C628" s="127"/>
      <c r="D628" s="127"/>
      <c r="E628" s="127"/>
      <c r="F628" s="300"/>
      <c r="G628" s="300"/>
      <c r="H628" s="892"/>
      <c r="I628" s="892"/>
      <c r="J628" s="892"/>
      <c r="K628" s="892"/>
      <c r="L628" s="892"/>
      <c r="M628" s="892"/>
      <c r="N628" s="892"/>
      <c r="O628" s="892"/>
      <c r="P628" s="892"/>
      <c r="Q628" s="892"/>
      <c r="R628" s="892"/>
      <c r="S628" s="892"/>
      <c r="T628" s="892"/>
      <c r="U628" s="892"/>
      <c r="V628" s="892"/>
      <c r="W628" s="893"/>
      <c r="X628" s="893"/>
      <c r="Y628" s="893"/>
      <c r="Z628" s="893"/>
      <c r="AA628" s="893"/>
      <c r="AB628" s="893"/>
      <c r="AC628" s="893"/>
      <c r="AD628" s="893"/>
      <c r="AE628" s="893"/>
      <c r="AF628" s="893"/>
      <c r="AG628" s="893"/>
      <c r="AH628" s="893"/>
      <c r="AI628" s="300"/>
      <c r="AJ628" s="300"/>
      <c r="AK628" s="300"/>
      <c r="AL628" s="300"/>
      <c r="AM628" s="300"/>
      <c r="AN628" s="127"/>
    </row>
    <row r="629" ht="14.25" customHeight="1">
      <c r="A629" s="127"/>
      <c r="B629" s="127"/>
      <c r="C629" s="127"/>
      <c r="D629" s="127"/>
      <c r="E629" s="127"/>
      <c r="F629" s="300"/>
      <c r="G629" s="300"/>
      <c r="H629" s="892"/>
      <c r="I629" s="892"/>
      <c r="J629" s="892"/>
      <c r="K629" s="892"/>
      <c r="L629" s="892"/>
      <c r="M629" s="892"/>
      <c r="N629" s="892"/>
      <c r="O629" s="892"/>
      <c r="P629" s="892"/>
      <c r="Q629" s="892"/>
      <c r="R629" s="892"/>
      <c r="S629" s="892"/>
      <c r="T629" s="892"/>
      <c r="U629" s="892"/>
      <c r="V629" s="892"/>
      <c r="W629" s="893"/>
      <c r="X629" s="893"/>
      <c r="Y629" s="893"/>
      <c r="Z629" s="893"/>
      <c r="AA629" s="893"/>
      <c r="AB629" s="893"/>
      <c r="AC629" s="893"/>
      <c r="AD629" s="893"/>
      <c r="AE629" s="893"/>
      <c r="AF629" s="893"/>
      <c r="AG629" s="893"/>
      <c r="AH629" s="893"/>
      <c r="AI629" s="300"/>
      <c r="AJ629" s="300"/>
      <c r="AK629" s="300"/>
      <c r="AL629" s="300"/>
      <c r="AM629" s="300"/>
      <c r="AN629" s="127"/>
    </row>
    <row r="630" ht="14.25" customHeight="1">
      <c r="A630" s="127"/>
      <c r="B630" s="127"/>
      <c r="C630" s="127"/>
      <c r="D630" s="127"/>
      <c r="E630" s="127"/>
      <c r="F630" s="300"/>
      <c r="G630" s="300"/>
      <c r="H630" s="892"/>
      <c r="I630" s="892"/>
      <c r="J630" s="892"/>
      <c r="K630" s="892"/>
      <c r="L630" s="892"/>
      <c r="M630" s="892"/>
      <c r="N630" s="892"/>
      <c r="O630" s="892"/>
      <c r="P630" s="892"/>
      <c r="Q630" s="892"/>
      <c r="R630" s="892"/>
      <c r="S630" s="892"/>
      <c r="T630" s="892"/>
      <c r="U630" s="892"/>
      <c r="V630" s="892"/>
      <c r="W630" s="893"/>
      <c r="X630" s="893"/>
      <c r="Y630" s="893"/>
      <c r="Z630" s="893"/>
      <c r="AA630" s="893"/>
      <c r="AB630" s="893"/>
      <c r="AC630" s="893"/>
      <c r="AD630" s="893"/>
      <c r="AE630" s="893"/>
      <c r="AF630" s="893"/>
      <c r="AG630" s="893"/>
      <c r="AH630" s="893"/>
      <c r="AI630" s="300"/>
      <c r="AJ630" s="300"/>
      <c r="AK630" s="300"/>
      <c r="AL630" s="300"/>
      <c r="AM630" s="300"/>
      <c r="AN630" s="127"/>
    </row>
    <row r="631" ht="14.25" customHeight="1">
      <c r="A631" s="127"/>
      <c r="B631" s="127"/>
      <c r="C631" s="127"/>
      <c r="D631" s="127"/>
      <c r="E631" s="127"/>
      <c r="F631" s="300"/>
      <c r="G631" s="300"/>
      <c r="H631" s="892"/>
      <c r="I631" s="892"/>
      <c r="J631" s="892"/>
      <c r="K631" s="892"/>
      <c r="L631" s="892"/>
      <c r="M631" s="892"/>
      <c r="N631" s="892"/>
      <c r="O631" s="892"/>
      <c r="P631" s="892"/>
      <c r="Q631" s="892"/>
      <c r="R631" s="892"/>
      <c r="S631" s="892"/>
      <c r="T631" s="892"/>
      <c r="U631" s="892"/>
      <c r="V631" s="892"/>
      <c r="W631" s="893"/>
      <c r="X631" s="893"/>
      <c r="Y631" s="893"/>
      <c r="Z631" s="893"/>
      <c r="AA631" s="893"/>
      <c r="AB631" s="893"/>
      <c r="AC631" s="893"/>
      <c r="AD631" s="893"/>
      <c r="AE631" s="893"/>
      <c r="AF631" s="893"/>
      <c r="AG631" s="893"/>
      <c r="AH631" s="893"/>
      <c r="AI631" s="300"/>
      <c r="AJ631" s="300"/>
      <c r="AK631" s="300"/>
      <c r="AL631" s="300"/>
      <c r="AM631" s="300"/>
      <c r="AN631" s="127"/>
    </row>
    <row r="632" ht="14.25" customHeight="1">
      <c r="A632" s="127"/>
      <c r="B632" s="127"/>
      <c r="C632" s="127"/>
      <c r="D632" s="127"/>
      <c r="E632" s="127"/>
      <c r="F632" s="300"/>
      <c r="G632" s="300"/>
      <c r="H632" s="892"/>
      <c r="I632" s="892"/>
      <c r="J632" s="892"/>
      <c r="K632" s="892"/>
      <c r="L632" s="892"/>
      <c r="M632" s="892"/>
      <c r="N632" s="892"/>
      <c r="O632" s="892"/>
      <c r="P632" s="892"/>
      <c r="Q632" s="892"/>
      <c r="R632" s="892"/>
      <c r="S632" s="892"/>
      <c r="T632" s="892"/>
      <c r="U632" s="892"/>
      <c r="V632" s="892"/>
      <c r="W632" s="893"/>
      <c r="X632" s="893"/>
      <c r="Y632" s="893"/>
      <c r="Z632" s="893"/>
      <c r="AA632" s="893"/>
      <c r="AB632" s="893"/>
      <c r="AC632" s="893"/>
      <c r="AD632" s="893"/>
      <c r="AE632" s="893"/>
      <c r="AF632" s="893"/>
      <c r="AG632" s="893"/>
      <c r="AH632" s="893"/>
      <c r="AI632" s="300"/>
      <c r="AJ632" s="300"/>
      <c r="AK632" s="300"/>
      <c r="AL632" s="300"/>
      <c r="AM632" s="300"/>
      <c r="AN632" s="127"/>
    </row>
    <row r="633" ht="14.25" customHeight="1">
      <c r="A633" s="127"/>
      <c r="B633" s="127"/>
      <c r="C633" s="127"/>
      <c r="D633" s="127"/>
      <c r="E633" s="127"/>
      <c r="F633" s="300"/>
      <c r="G633" s="300"/>
      <c r="H633" s="892"/>
      <c r="I633" s="892"/>
      <c r="J633" s="892"/>
      <c r="K633" s="892"/>
      <c r="L633" s="892"/>
      <c r="M633" s="892"/>
      <c r="N633" s="892"/>
      <c r="O633" s="892"/>
      <c r="P633" s="892"/>
      <c r="Q633" s="892"/>
      <c r="R633" s="892"/>
      <c r="S633" s="892"/>
      <c r="T633" s="892"/>
      <c r="U633" s="892"/>
      <c r="V633" s="892"/>
      <c r="W633" s="893"/>
      <c r="X633" s="893"/>
      <c r="Y633" s="893"/>
      <c r="Z633" s="893"/>
      <c r="AA633" s="893"/>
      <c r="AB633" s="893"/>
      <c r="AC633" s="893"/>
      <c r="AD633" s="893"/>
      <c r="AE633" s="893"/>
      <c r="AF633" s="893"/>
      <c r="AG633" s="893"/>
      <c r="AH633" s="893"/>
      <c r="AI633" s="300"/>
      <c r="AJ633" s="300"/>
      <c r="AK633" s="300"/>
      <c r="AL633" s="300"/>
      <c r="AM633" s="300"/>
      <c r="AN633" s="127"/>
    </row>
    <row r="634" ht="14.25" customHeight="1">
      <c r="A634" s="127"/>
      <c r="B634" s="127"/>
      <c r="C634" s="127"/>
      <c r="D634" s="127"/>
      <c r="E634" s="127"/>
      <c r="F634" s="300"/>
      <c r="G634" s="300"/>
      <c r="H634" s="892"/>
      <c r="I634" s="892"/>
      <c r="J634" s="892"/>
      <c r="K634" s="892"/>
      <c r="L634" s="892"/>
      <c r="M634" s="892"/>
      <c r="N634" s="892"/>
      <c r="O634" s="892"/>
      <c r="P634" s="892"/>
      <c r="Q634" s="892"/>
      <c r="R634" s="892"/>
      <c r="S634" s="892"/>
      <c r="T634" s="892"/>
      <c r="U634" s="892"/>
      <c r="V634" s="892"/>
      <c r="W634" s="893"/>
      <c r="X634" s="893"/>
      <c r="Y634" s="893"/>
      <c r="Z634" s="893"/>
      <c r="AA634" s="893"/>
      <c r="AB634" s="893"/>
      <c r="AC634" s="893"/>
      <c r="AD634" s="893"/>
      <c r="AE634" s="893"/>
      <c r="AF634" s="893"/>
      <c r="AG634" s="893"/>
      <c r="AH634" s="893"/>
      <c r="AI634" s="300"/>
      <c r="AJ634" s="300"/>
      <c r="AK634" s="300"/>
      <c r="AL634" s="300"/>
      <c r="AM634" s="300"/>
      <c r="AN634" s="127"/>
    </row>
    <row r="635" ht="14.25" customHeight="1">
      <c r="A635" s="127"/>
      <c r="B635" s="127"/>
      <c r="C635" s="127"/>
      <c r="D635" s="127"/>
      <c r="E635" s="127"/>
      <c r="F635" s="300"/>
      <c r="G635" s="300"/>
      <c r="H635" s="892"/>
      <c r="I635" s="892"/>
      <c r="J635" s="892"/>
      <c r="K635" s="892"/>
      <c r="L635" s="892"/>
      <c r="M635" s="892"/>
      <c r="N635" s="892"/>
      <c r="O635" s="892"/>
      <c r="P635" s="892"/>
      <c r="Q635" s="892"/>
      <c r="R635" s="892"/>
      <c r="S635" s="892"/>
      <c r="T635" s="892"/>
      <c r="U635" s="892"/>
      <c r="V635" s="892"/>
      <c r="W635" s="893"/>
      <c r="X635" s="893"/>
      <c r="Y635" s="893"/>
      <c r="Z635" s="893"/>
      <c r="AA635" s="893"/>
      <c r="AB635" s="893"/>
      <c r="AC635" s="893"/>
      <c r="AD635" s="893"/>
      <c r="AE635" s="893"/>
      <c r="AF635" s="893"/>
      <c r="AG635" s="893"/>
      <c r="AH635" s="893"/>
      <c r="AI635" s="300"/>
      <c r="AJ635" s="300"/>
      <c r="AK635" s="300"/>
      <c r="AL635" s="300"/>
      <c r="AM635" s="300"/>
      <c r="AN635" s="127"/>
    </row>
    <row r="636" ht="14.25" customHeight="1">
      <c r="A636" s="127"/>
      <c r="B636" s="127"/>
      <c r="C636" s="127"/>
      <c r="D636" s="127"/>
      <c r="E636" s="127"/>
      <c r="F636" s="300"/>
      <c r="G636" s="300"/>
      <c r="H636" s="892"/>
      <c r="I636" s="892"/>
      <c r="J636" s="892"/>
      <c r="K636" s="892"/>
      <c r="L636" s="892"/>
      <c r="M636" s="892"/>
      <c r="N636" s="892"/>
      <c r="O636" s="892"/>
      <c r="P636" s="892"/>
      <c r="Q636" s="892"/>
      <c r="R636" s="892"/>
      <c r="S636" s="892"/>
      <c r="T636" s="892"/>
      <c r="U636" s="892"/>
      <c r="V636" s="892"/>
      <c r="W636" s="893"/>
      <c r="X636" s="893"/>
      <c r="Y636" s="893"/>
      <c r="Z636" s="893"/>
      <c r="AA636" s="893"/>
      <c r="AB636" s="893"/>
      <c r="AC636" s="893"/>
      <c r="AD636" s="893"/>
      <c r="AE636" s="893"/>
      <c r="AF636" s="893"/>
      <c r="AG636" s="893"/>
      <c r="AH636" s="893"/>
      <c r="AI636" s="300"/>
      <c r="AJ636" s="300"/>
      <c r="AK636" s="300"/>
      <c r="AL636" s="300"/>
      <c r="AM636" s="300"/>
      <c r="AN636" s="127"/>
    </row>
    <row r="637" ht="14.25" customHeight="1">
      <c r="A637" s="127"/>
      <c r="B637" s="127"/>
      <c r="C637" s="127"/>
      <c r="D637" s="127"/>
      <c r="E637" s="127"/>
      <c r="F637" s="300"/>
      <c r="G637" s="300"/>
      <c r="H637" s="892"/>
      <c r="I637" s="892"/>
      <c r="J637" s="892"/>
      <c r="K637" s="892"/>
      <c r="L637" s="892"/>
      <c r="M637" s="892"/>
      <c r="N637" s="892"/>
      <c r="O637" s="892"/>
      <c r="P637" s="892"/>
      <c r="Q637" s="892"/>
      <c r="R637" s="892"/>
      <c r="S637" s="892"/>
      <c r="T637" s="892"/>
      <c r="U637" s="892"/>
      <c r="V637" s="892"/>
      <c r="W637" s="893"/>
      <c r="X637" s="893"/>
      <c r="Y637" s="893"/>
      <c r="Z637" s="893"/>
      <c r="AA637" s="893"/>
      <c r="AB637" s="893"/>
      <c r="AC637" s="893"/>
      <c r="AD637" s="893"/>
      <c r="AE637" s="893"/>
      <c r="AF637" s="893"/>
      <c r="AG637" s="893"/>
      <c r="AH637" s="893"/>
      <c r="AI637" s="300"/>
      <c r="AJ637" s="300"/>
      <c r="AK637" s="300"/>
      <c r="AL637" s="300"/>
      <c r="AM637" s="300"/>
      <c r="AN637" s="127"/>
    </row>
    <row r="638" ht="14.25" customHeight="1">
      <c r="A638" s="127"/>
      <c r="B638" s="127"/>
      <c r="C638" s="127"/>
      <c r="D638" s="127"/>
      <c r="E638" s="127"/>
      <c r="F638" s="300"/>
      <c r="G638" s="300"/>
      <c r="H638" s="892"/>
      <c r="I638" s="892"/>
      <c r="J638" s="892"/>
      <c r="K638" s="892"/>
      <c r="L638" s="892"/>
      <c r="M638" s="892"/>
      <c r="N638" s="892"/>
      <c r="O638" s="892"/>
      <c r="P638" s="892"/>
      <c r="Q638" s="892"/>
      <c r="R638" s="892"/>
      <c r="S638" s="892"/>
      <c r="T638" s="892"/>
      <c r="U638" s="892"/>
      <c r="V638" s="892"/>
      <c r="W638" s="893"/>
      <c r="X638" s="893"/>
      <c r="Y638" s="893"/>
      <c r="Z638" s="893"/>
      <c r="AA638" s="893"/>
      <c r="AB638" s="893"/>
      <c r="AC638" s="893"/>
      <c r="AD638" s="893"/>
      <c r="AE638" s="893"/>
      <c r="AF638" s="893"/>
      <c r="AG638" s="893"/>
      <c r="AH638" s="893"/>
      <c r="AI638" s="300"/>
      <c r="AJ638" s="300"/>
      <c r="AK638" s="300"/>
      <c r="AL638" s="300"/>
      <c r="AM638" s="300"/>
      <c r="AN638" s="127"/>
    </row>
    <row r="639" ht="14.25" customHeight="1">
      <c r="A639" s="127"/>
      <c r="B639" s="127"/>
      <c r="C639" s="127"/>
      <c r="D639" s="127"/>
      <c r="E639" s="127"/>
      <c r="F639" s="300"/>
      <c r="G639" s="300"/>
      <c r="H639" s="892"/>
      <c r="I639" s="892"/>
      <c r="J639" s="892"/>
      <c r="K639" s="892"/>
      <c r="L639" s="892"/>
      <c r="M639" s="892"/>
      <c r="N639" s="892"/>
      <c r="O639" s="892"/>
      <c r="P639" s="892"/>
      <c r="Q639" s="892"/>
      <c r="R639" s="892"/>
      <c r="S639" s="892"/>
      <c r="T639" s="892"/>
      <c r="U639" s="892"/>
      <c r="V639" s="892"/>
      <c r="W639" s="893"/>
      <c r="X639" s="893"/>
      <c r="Y639" s="893"/>
      <c r="Z639" s="893"/>
      <c r="AA639" s="893"/>
      <c r="AB639" s="893"/>
      <c r="AC639" s="893"/>
      <c r="AD639" s="893"/>
      <c r="AE639" s="893"/>
      <c r="AF639" s="893"/>
      <c r="AG639" s="893"/>
      <c r="AH639" s="893"/>
      <c r="AI639" s="300"/>
      <c r="AJ639" s="300"/>
      <c r="AK639" s="300"/>
      <c r="AL639" s="300"/>
      <c r="AM639" s="300"/>
      <c r="AN639" s="127"/>
    </row>
    <row r="640" ht="14.25" customHeight="1">
      <c r="A640" s="127"/>
      <c r="B640" s="127"/>
      <c r="C640" s="127"/>
      <c r="D640" s="127"/>
      <c r="E640" s="127"/>
      <c r="F640" s="300"/>
      <c r="G640" s="300"/>
      <c r="H640" s="892"/>
      <c r="I640" s="892"/>
      <c r="J640" s="892"/>
      <c r="K640" s="892"/>
      <c r="L640" s="892"/>
      <c r="M640" s="892"/>
      <c r="N640" s="892"/>
      <c r="O640" s="892"/>
      <c r="P640" s="892"/>
      <c r="Q640" s="892"/>
      <c r="R640" s="892"/>
      <c r="S640" s="892"/>
      <c r="T640" s="892"/>
      <c r="U640" s="892"/>
      <c r="V640" s="892"/>
      <c r="W640" s="893"/>
      <c r="X640" s="893"/>
      <c r="Y640" s="893"/>
      <c r="Z640" s="893"/>
      <c r="AA640" s="893"/>
      <c r="AB640" s="893"/>
      <c r="AC640" s="893"/>
      <c r="AD640" s="893"/>
      <c r="AE640" s="893"/>
      <c r="AF640" s="893"/>
      <c r="AG640" s="893"/>
      <c r="AH640" s="893"/>
      <c r="AI640" s="300"/>
      <c r="AJ640" s="300"/>
      <c r="AK640" s="300"/>
      <c r="AL640" s="300"/>
      <c r="AM640" s="300"/>
      <c r="AN640" s="127"/>
    </row>
    <row r="641" ht="14.25" customHeight="1">
      <c r="A641" s="127"/>
      <c r="B641" s="127"/>
      <c r="C641" s="127"/>
      <c r="D641" s="127"/>
      <c r="E641" s="127"/>
      <c r="F641" s="300"/>
      <c r="G641" s="300"/>
      <c r="H641" s="892"/>
      <c r="I641" s="892"/>
      <c r="J641" s="892"/>
      <c r="K641" s="892"/>
      <c r="L641" s="892"/>
      <c r="M641" s="892"/>
      <c r="N641" s="892"/>
      <c r="O641" s="892"/>
      <c r="P641" s="892"/>
      <c r="Q641" s="892"/>
      <c r="R641" s="892"/>
      <c r="S641" s="892"/>
      <c r="T641" s="892"/>
      <c r="U641" s="892"/>
      <c r="V641" s="892"/>
      <c r="W641" s="893"/>
      <c r="X641" s="893"/>
      <c r="Y641" s="893"/>
      <c r="Z641" s="893"/>
      <c r="AA641" s="893"/>
      <c r="AB641" s="893"/>
      <c r="AC641" s="893"/>
      <c r="AD641" s="893"/>
      <c r="AE641" s="893"/>
      <c r="AF641" s="893"/>
      <c r="AG641" s="893"/>
      <c r="AH641" s="893"/>
      <c r="AI641" s="300"/>
      <c r="AJ641" s="300"/>
      <c r="AK641" s="300"/>
      <c r="AL641" s="300"/>
      <c r="AM641" s="300"/>
      <c r="AN641" s="127"/>
    </row>
    <row r="642" ht="14.25" customHeight="1">
      <c r="A642" s="127"/>
      <c r="B642" s="127"/>
      <c r="C642" s="127"/>
      <c r="D642" s="127"/>
      <c r="E642" s="127"/>
      <c r="F642" s="300"/>
      <c r="G642" s="300"/>
      <c r="H642" s="892"/>
      <c r="I642" s="892"/>
      <c r="J642" s="892"/>
      <c r="K642" s="892"/>
      <c r="L642" s="892"/>
      <c r="M642" s="892"/>
      <c r="N642" s="892"/>
      <c r="O642" s="892"/>
      <c r="P642" s="892"/>
      <c r="Q642" s="892"/>
      <c r="R642" s="892"/>
      <c r="S642" s="892"/>
      <c r="T642" s="892"/>
      <c r="U642" s="892"/>
      <c r="V642" s="892"/>
      <c r="W642" s="893"/>
      <c r="X642" s="893"/>
      <c r="Y642" s="893"/>
      <c r="Z642" s="893"/>
      <c r="AA642" s="893"/>
      <c r="AB642" s="893"/>
      <c r="AC642" s="893"/>
      <c r="AD642" s="893"/>
      <c r="AE642" s="893"/>
      <c r="AF642" s="893"/>
      <c r="AG642" s="893"/>
      <c r="AH642" s="893"/>
      <c r="AI642" s="300"/>
      <c r="AJ642" s="300"/>
      <c r="AK642" s="300"/>
      <c r="AL642" s="300"/>
      <c r="AM642" s="300"/>
      <c r="AN642" s="127"/>
    </row>
    <row r="643" ht="14.25" customHeight="1">
      <c r="A643" s="127"/>
      <c r="B643" s="127"/>
      <c r="C643" s="127"/>
      <c r="D643" s="127"/>
      <c r="E643" s="127"/>
      <c r="F643" s="300"/>
      <c r="G643" s="300"/>
      <c r="H643" s="892"/>
      <c r="I643" s="892"/>
      <c r="J643" s="892"/>
      <c r="K643" s="892"/>
      <c r="L643" s="892"/>
      <c r="M643" s="892"/>
      <c r="N643" s="892"/>
      <c r="O643" s="892"/>
      <c r="P643" s="892"/>
      <c r="Q643" s="892"/>
      <c r="R643" s="892"/>
      <c r="S643" s="892"/>
      <c r="T643" s="892"/>
      <c r="U643" s="892"/>
      <c r="V643" s="892"/>
      <c r="W643" s="893"/>
      <c r="X643" s="893"/>
      <c r="Y643" s="893"/>
      <c r="Z643" s="893"/>
      <c r="AA643" s="893"/>
      <c r="AB643" s="893"/>
      <c r="AC643" s="893"/>
      <c r="AD643" s="893"/>
      <c r="AE643" s="893"/>
      <c r="AF643" s="893"/>
      <c r="AG643" s="893"/>
      <c r="AH643" s="893"/>
      <c r="AI643" s="300"/>
      <c r="AJ643" s="300"/>
      <c r="AK643" s="300"/>
      <c r="AL643" s="300"/>
      <c r="AM643" s="300"/>
      <c r="AN643" s="127"/>
    </row>
    <row r="644" ht="14.25" customHeight="1">
      <c r="A644" s="127"/>
      <c r="B644" s="127"/>
      <c r="C644" s="127"/>
      <c r="D644" s="127"/>
      <c r="E644" s="127"/>
      <c r="F644" s="300"/>
      <c r="G644" s="300"/>
      <c r="H644" s="892"/>
      <c r="I644" s="892"/>
      <c r="J644" s="892"/>
      <c r="K644" s="892"/>
      <c r="L644" s="892"/>
      <c r="M644" s="892"/>
      <c r="N644" s="892"/>
      <c r="O644" s="892"/>
      <c r="P644" s="892"/>
      <c r="Q644" s="892"/>
      <c r="R644" s="892"/>
      <c r="S644" s="892"/>
      <c r="T644" s="892"/>
      <c r="U644" s="892"/>
      <c r="V644" s="892"/>
      <c r="W644" s="893"/>
      <c r="X644" s="893"/>
      <c r="Y644" s="893"/>
      <c r="Z644" s="893"/>
      <c r="AA644" s="893"/>
      <c r="AB644" s="893"/>
      <c r="AC644" s="893"/>
      <c r="AD644" s="893"/>
      <c r="AE644" s="893"/>
      <c r="AF644" s="893"/>
      <c r="AG644" s="893"/>
      <c r="AH644" s="893"/>
      <c r="AI644" s="300"/>
      <c r="AJ644" s="300"/>
      <c r="AK644" s="300"/>
      <c r="AL644" s="300"/>
      <c r="AM644" s="300"/>
      <c r="AN644" s="127"/>
    </row>
    <row r="645" ht="14.25" customHeight="1">
      <c r="A645" s="127"/>
      <c r="B645" s="127"/>
      <c r="C645" s="127"/>
      <c r="D645" s="127"/>
      <c r="E645" s="127"/>
      <c r="F645" s="300"/>
      <c r="G645" s="300"/>
      <c r="H645" s="892"/>
      <c r="I645" s="892"/>
      <c r="J645" s="892"/>
      <c r="K645" s="892"/>
      <c r="L645" s="892"/>
      <c r="M645" s="892"/>
      <c r="N645" s="892"/>
      <c r="O645" s="892"/>
      <c r="P645" s="892"/>
      <c r="Q645" s="892"/>
      <c r="R645" s="892"/>
      <c r="S645" s="892"/>
      <c r="T645" s="892"/>
      <c r="U645" s="892"/>
      <c r="V645" s="892"/>
      <c r="W645" s="893"/>
      <c r="X645" s="893"/>
      <c r="Y645" s="893"/>
      <c r="Z645" s="893"/>
      <c r="AA645" s="893"/>
      <c r="AB645" s="893"/>
      <c r="AC645" s="893"/>
      <c r="AD645" s="893"/>
      <c r="AE645" s="893"/>
      <c r="AF645" s="893"/>
      <c r="AG645" s="893"/>
      <c r="AH645" s="893"/>
      <c r="AI645" s="300"/>
      <c r="AJ645" s="300"/>
      <c r="AK645" s="300"/>
      <c r="AL645" s="300"/>
      <c r="AM645" s="300"/>
      <c r="AN645" s="127"/>
    </row>
    <row r="646" ht="14.25" customHeight="1">
      <c r="A646" s="127"/>
      <c r="B646" s="127"/>
      <c r="C646" s="127"/>
      <c r="D646" s="127"/>
      <c r="E646" s="127"/>
      <c r="F646" s="300"/>
      <c r="G646" s="300"/>
      <c r="H646" s="892"/>
      <c r="I646" s="892"/>
      <c r="J646" s="892"/>
      <c r="K646" s="892"/>
      <c r="L646" s="892"/>
      <c r="M646" s="892"/>
      <c r="N646" s="892"/>
      <c r="O646" s="892"/>
      <c r="P646" s="892"/>
      <c r="Q646" s="892"/>
      <c r="R646" s="892"/>
      <c r="S646" s="892"/>
      <c r="T646" s="892"/>
      <c r="U646" s="892"/>
      <c r="V646" s="892"/>
      <c r="W646" s="893"/>
      <c r="X646" s="893"/>
      <c r="Y646" s="893"/>
      <c r="Z646" s="893"/>
      <c r="AA646" s="893"/>
      <c r="AB646" s="893"/>
      <c r="AC646" s="893"/>
      <c r="AD646" s="893"/>
      <c r="AE646" s="893"/>
      <c r="AF646" s="893"/>
      <c r="AG646" s="893"/>
      <c r="AH646" s="893"/>
      <c r="AI646" s="300"/>
      <c r="AJ646" s="300"/>
      <c r="AK646" s="300"/>
      <c r="AL646" s="300"/>
      <c r="AM646" s="300"/>
      <c r="AN646" s="127"/>
    </row>
    <row r="647" ht="14.25" customHeight="1">
      <c r="A647" s="127"/>
      <c r="B647" s="127"/>
      <c r="C647" s="127"/>
      <c r="D647" s="127"/>
      <c r="E647" s="127"/>
      <c r="F647" s="300"/>
      <c r="G647" s="300"/>
      <c r="H647" s="892"/>
      <c r="I647" s="892"/>
      <c r="J647" s="892"/>
      <c r="K647" s="892"/>
      <c r="L647" s="892"/>
      <c r="M647" s="892"/>
      <c r="N647" s="892"/>
      <c r="O647" s="892"/>
      <c r="P647" s="892"/>
      <c r="Q647" s="892"/>
      <c r="R647" s="892"/>
      <c r="S647" s="892"/>
      <c r="T647" s="892"/>
      <c r="U647" s="892"/>
      <c r="V647" s="892"/>
      <c r="W647" s="893"/>
      <c r="X647" s="893"/>
      <c r="Y647" s="893"/>
      <c r="Z647" s="893"/>
      <c r="AA647" s="893"/>
      <c r="AB647" s="893"/>
      <c r="AC647" s="893"/>
      <c r="AD647" s="893"/>
      <c r="AE647" s="893"/>
      <c r="AF647" s="893"/>
      <c r="AG647" s="893"/>
      <c r="AH647" s="893"/>
      <c r="AI647" s="300"/>
      <c r="AJ647" s="300"/>
      <c r="AK647" s="300"/>
      <c r="AL647" s="300"/>
      <c r="AM647" s="300"/>
      <c r="AN647" s="127"/>
    </row>
    <row r="648" ht="14.25" customHeight="1">
      <c r="A648" s="127"/>
      <c r="B648" s="127"/>
      <c r="C648" s="127"/>
      <c r="D648" s="127"/>
      <c r="E648" s="127"/>
      <c r="F648" s="300"/>
      <c r="G648" s="300"/>
      <c r="H648" s="892"/>
      <c r="I648" s="892"/>
      <c r="J648" s="892"/>
      <c r="K648" s="892"/>
      <c r="L648" s="892"/>
      <c r="M648" s="892"/>
      <c r="N648" s="892"/>
      <c r="O648" s="892"/>
      <c r="P648" s="892"/>
      <c r="Q648" s="892"/>
      <c r="R648" s="892"/>
      <c r="S648" s="892"/>
      <c r="T648" s="892"/>
      <c r="U648" s="892"/>
      <c r="V648" s="892"/>
      <c r="W648" s="893"/>
      <c r="X648" s="893"/>
      <c r="Y648" s="893"/>
      <c r="Z648" s="893"/>
      <c r="AA648" s="893"/>
      <c r="AB648" s="893"/>
      <c r="AC648" s="893"/>
      <c r="AD648" s="893"/>
      <c r="AE648" s="893"/>
      <c r="AF648" s="893"/>
      <c r="AG648" s="893"/>
      <c r="AH648" s="893"/>
      <c r="AI648" s="300"/>
      <c r="AJ648" s="300"/>
      <c r="AK648" s="300"/>
      <c r="AL648" s="300"/>
      <c r="AM648" s="300"/>
      <c r="AN648" s="127"/>
    </row>
    <row r="649" ht="14.25" customHeight="1">
      <c r="A649" s="127"/>
      <c r="B649" s="127"/>
      <c r="C649" s="127"/>
      <c r="D649" s="127"/>
      <c r="E649" s="127"/>
      <c r="F649" s="300"/>
      <c r="G649" s="300"/>
      <c r="H649" s="892"/>
      <c r="I649" s="892"/>
      <c r="J649" s="892"/>
      <c r="K649" s="892"/>
      <c r="L649" s="892"/>
      <c r="M649" s="892"/>
      <c r="N649" s="892"/>
      <c r="O649" s="892"/>
      <c r="P649" s="892"/>
      <c r="Q649" s="892"/>
      <c r="R649" s="892"/>
      <c r="S649" s="892"/>
      <c r="T649" s="892"/>
      <c r="U649" s="892"/>
      <c r="V649" s="892"/>
      <c r="W649" s="893"/>
      <c r="X649" s="893"/>
      <c r="Y649" s="893"/>
      <c r="Z649" s="893"/>
      <c r="AA649" s="893"/>
      <c r="AB649" s="893"/>
      <c r="AC649" s="893"/>
      <c r="AD649" s="893"/>
      <c r="AE649" s="893"/>
      <c r="AF649" s="893"/>
      <c r="AG649" s="893"/>
      <c r="AH649" s="893"/>
      <c r="AI649" s="300"/>
      <c r="AJ649" s="300"/>
      <c r="AK649" s="300"/>
      <c r="AL649" s="300"/>
      <c r="AM649" s="300"/>
      <c r="AN649" s="127"/>
    </row>
    <row r="650" ht="14.25" customHeight="1">
      <c r="A650" s="127"/>
      <c r="B650" s="127"/>
      <c r="C650" s="127"/>
      <c r="D650" s="127"/>
      <c r="E650" s="127"/>
      <c r="F650" s="300"/>
      <c r="G650" s="300"/>
      <c r="H650" s="892"/>
      <c r="I650" s="892"/>
      <c r="J650" s="892"/>
      <c r="K650" s="892"/>
      <c r="L650" s="892"/>
      <c r="M650" s="892"/>
      <c r="N650" s="892"/>
      <c r="O650" s="892"/>
      <c r="P650" s="892"/>
      <c r="Q650" s="892"/>
      <c r="R650" s="892"/>
      <c r="S650" s="892"/>
      <c r="T650" s="892"/>
      <c r="U650" s="892"/>
      <c r="V650" s="892"/>
      <c r="W650" s="893"/>
      <c r="X650" s="893"/>
      <c r="Y650" s="893"/>
      <c r="Z650" s="893"/>
      <c r="AA650" s="893"/>
      <c r="AB650" s="893"/>
      <c r="AC650" s="893"/>
      <c r="AD650" s="893"/>
      <c r="AE650" s="893"/>
      <c r="AF650" s="893"/>
      <c r="AG650" s="893"/>
      <c r="AH650" s="893"/>
      <c r="AI650" s="300"/>
      <c r="AJ650" s="300"/>
      <c r="AK650" s="300"/>
      <c r="AL650" s="300"/>
      <c r="AM650" s="300"/>
      <c r="AN650" s="127"/>
    </row>
    <row r="651" ht="14.25" customHeight="1">
      <c r="A651" s="127"/>
      <c r="B651" s="127"/>
      <c r="C651" s="127"/>
      <c r="D651" s="127"/>
      <c r="E651" s="127"/>
      <c r="F651" s="300"/>
      <c r="G651" s="300"/>
      <c r="H651" s="892"/>
      <c r="I651" s="892"/>
      <c r="J651" s="892"/>
      <c r="K651" s="892"/>
      <c r="L651" s="892"/>
      <c r="M651" s="892"/>
      <c r="N651" s="892"/>
      <c r="O651" s="892"/>
      <c r="P651" s="892"/>
      <c r="Q651" s="892"/>
      <c r="R651" s="892"/>
      <c r="S651" s="892"/>
      <c r="T651" s="892"/>
      <c r="U651" s="892"/>
      <c r="V651" s="892"/>
      <c r="W651" s="893"/>
      <c r="X651" s="893"/>
      <c r="Y651" s="893"/>
      <c r="Z651" s="893"/>
      <c r="AA651" s="893"/>
      <c r="AB651" s="893"/>
      <c r="AC651" s="893"/>
      <c r="AD651" s="893"/>
      <c r="AE651" s="893"/>
      <c r="AF651" s="893"/>
      <c r="AG651" s="893"/>
      <c r="AH651" s="893"/>
      <c r="AI651" s="300"/>
      <c r="AJ651" s="300"/>
      <c r="AK651" s="300"/>
      <c r="AL651" s="300"/>
      <c r="AM651" s="300"/>
      <c r="AN651" s="127"/>
    </row>
    <row r="652" ht="14.25" customHeight="1">
      <c r="A652" s="127"/>
      <c r="B652" s="127"/>
      <c r="C652" s="127"/>
      <c r="D652" s="127"/>
      <c r="E652" s="127"/>
      <c r="F652" s="300"/>
      <c r="G652" s="300"/>
      <c r="H652" s="892"/>
      <c r="I652" s="892"/>
      <c r="J652" s="892"/>
      <c r="K652" s="892"/>
      <c r="L652" s="892"/>
      <c r="M652" s="892"/>
      <c r="N652" s="892"/>
      <c r="O652" s="892"/>
      <c r="P652" s="892"/>
      <c r="Q652" s="892"/>
      <c r="R652" s="892"/>
      <c r="S652" s="892"/>
      <c r="T652" s="892"/>
      <c r="U652" s="892"/>
      <c r="V652" s="892"/>
      <c r="W652" s="893"/>
      <c r="X652" s="893"/>
      <c r="Y652" s="893"/>
      <c r="Z652" s="893"/>
      <c r="AA652" s="893"/>
      <c r="AB652" s="893"/>
      <c r="AC652" s="893"/>
      <c r="AD652" s="893"/>
      <c r="AE652" s="893"/>
      <c r="AF652" s="893"/>
      <c r="AG652" s="893"/>
      <c r="AH652" s="893"/>
      <c r="AI652" s="300"/>
      <c r="AJ652" s="300"/>
      <c r="AK652" s="300"/>
      <c r="AL652" s="300"/>
      <c r="AM652" s="300"/>
      <c r="AN652" s="127"/>
    </row>
    <row r="653" ht="14.25" customHeight="1">
      <c r="A653" s="127"/>
      <c r="B653" s="127"/>
      <c r="C653" s="127"/>
      <c r="D653" s="127"/>
      <c r="E653" s="127"/>
      <c r="F653" s="300"/>
      <c r="G653" s="300"/>
      <c r="H653" s="892"/>
      <c r="I653" s="892"/>
      <c r="J653" s="892"/>
      <c r="K653" s="892"/>
      <c r="L653" s="892"/>
      <c r="M653" s="892"/>
      <c r="N653" s="892"/>
      <c r="O653" s="892"/>
      <c r="P653" s="892"/>
      <c r="Q653" s="892"/>
      <c r="R653" s="892"/>
      <c r="S653" s="892"/>
      <c r="T653" s="892"/>
      <c r="U653" s="892"/>
      <c r="V653" s="892"/>
      <c r="W653" s="893"/>
      <c r="X653" s="893"/>
      <c r="Y653" s="893"/>
      <c r="Z653" s="893"/>
      <c r="AA653" s="893"/>
      <c r="AB653" s="893"/>
      <c r="AC653" s="893"/>
      <c r="AD653" s="893"/>
      <c r="AE653" s="893"/>
      <c r="AF653" s="893"/>
      <c r="AG653" s="893"/>
      <c r="AH653" s="893"/>
      <c r="AI653" s="300"/>
      <c r="AJ653" s="300"/>
      <c r="AK653" s="300"/>
      <c r="AL653" s="300"/>
      <c r="AM653" s="300"/>
      <c r="AN653" s="127"/>
    </row>
    <row r="654" ht="14.25" customHeight="1">
      <c r="A654" s="127"/>
      <c r="B654" s="127"/>
      <c r="C654" s="127"/>
      <c r="D654" s="127"/>
      <c r="E654" s="127"/>
      <c r="F654" s="300"/>
      <c r="G654" s="300"/>
      <c r="H654" s="892"/>
      <c r="I654" s="892"/>
      <c r="J654" s="892"/>
      <c r="K654" s="892"/>
      <c r="L654" s="892"/>
      <c r="M654" s="892"/>
      <c r="N654" s="892"/>
      <c r="O654" s="892"/>
      <c r="P654" s="892"/>
      <c r="Q654" s="892"/>
      <c r="R654" s="892"/>
      <c r="S654" s="892"/>
      <c r="T654" s="892"/>
      <c r="U654" s="892"/>
      <c r="V654" s="892"/>
      <c r="W654" s="893"/>
      <c r="X654" s="893"/>
      <c r="Y654" s="893"/>
      <c r="Z654" s="893"/>
      <c r="AA654" s="893"/>
      <c r="AB654" s="893"/>
      <c r="AC654" s="893"/>
      <c r="AD654" s="893"/>
      <c r="AE654" s="893"/>
      <c r="AF654" s="893"/>
      <c r="AG654" s="893"/>
      <c r="AH654" s="893"/>
      <c r="AI654" s="300"/>
      <c r="AJ654" s="300"/>
      <c r="AK654" s="300"/>
      <c r="AL654" s="300"/>
      <c r="AM654" s="300"/>
      <c r="AN654" s="127"/>
    </row>
    <row r="655" ht="14.25" customHeight="1">
      <c r="A655" s="127"/>
      <c r="B655" s="127"/>
      <c r="C655" s="127"/>
      <c r="D655" s="127"/>
      <c r="E655" s="127"/>
      <c r="F655" s="300"/>
      <c r="G655" s="300"/>
      <c r="H655" s="892"/>
      <c r="I655" s="892"/>
      <c r="J655" s="892"/>
      <c r="K655" s="892"/>
      <c r="L655" s="892"/>
      <c r="M655" s="892"/>
      <c r="N655" s="892"/>
      <c r="O655" s="892"/>
      <c r="P655" s="892"/>
      <c r="Q655" s="892"/>
      <c r="R655" s="892"/>
      <c r="S655" s="892"/>
      <c r="T655" s="892"/>
      <c r="U655" s="892"/>
      <c r="V655" s="892"/>
      <c r="W655" s="893"/>
      <c r="X655" s="893"/>
      <c r="Y655" s="893"/>
      <c r="Z655" s="893"/>
      <c r="AA655" s="893"/>
      <c r="AB655" s="893"/>
      <c r="AC655" s="893"/>
      <c r="AD655" s="893"/>
      <c r="AE655" s="893"/>
      <c r="AF655" s="893"/>
      <c r="AG655" s="893"/>
      <c r="AH655" s="893"/>
      <c r="AI655" s="300"/>
      <c r="AJ655" s="300"/>
      <c r="AK655" s="300"/>
      <c r="AL655" s="300"/>
      <c r="AM655" s="300"/>
      <c r="AN655" s="127"/>
    </row>
    <row r="656" ht="14.25" customHeight="1">
      <c r="A656" s="127"/>
      <c r="B656" s="127"/>
      <c r="C656" s="127"/>
      <c r="D656" s="127"/>
      <c r="E656" s="127"/>
      <c r="F656" s="300"/>
      <c r="G656" s="300"/>
      <c r="H656" s="892"/>
      <c r="I656" s="892"/>
      <c r="J656" s="892"/>
      <c r="K656" s="892"/>
      <c r="L656" s="892"/>
      <c r="M656" s="892"/>
      <c r="N656" s="892"/>
      <c r="O656" s="892"/>
      <c r="P656" s="892"/>
      <c r="Q656" s="892"/>
      <c r="R656" s="892"/>
      <c r="S656" s="892"/>
      <c r="T656" s="892"/>
      <c r="U656" s="892"/>
      <c r="V656" s="892"/>
      <c r="W656" s="893"/>
      <c r="X656" s="893"/>
      <c r="Y656" s="893"/>
      <c r="Z656" s="893"/>
      <c r="AA656" s="893"/>
      <c r="AB656" s="893"/>
      <c r="AC656" s="893"/>
      <c r="AD656" s="893"/>
      <c r="AE656" s="893"/>
      <c r="AF656" s="893"/>
      <c r="AG656" s="893"/>
      <c r="AH656" s="893"/>
      <c r="AI656" s="300"/>
      <c r="AJ656" s="300"/>
      <c r="AK656" s="300"/>
      <c r="AL656" s="300"/>
      <c r="AM656" s="300"/>
      <c r="AN656" s="127"/>
    </row>
    <row r="657" ht="14.25" customHeight="1">
      <c r="A657" s="127"/>
      <c r="B657" s="127"/>
      <c r="C657" s="127"/>
      <c r="D657" s="127"/>
      <c r="E657" s="127"/>
      <c r="F657" s="300"/>
      <c r="G657" s="300"/>
      <c r="H657" s="892"/>
      <c r="I657" s="892"/>
      <c r="J657" s="892"/>
      <c r="K657" s="892"/>
      <c r="L657" s="892"/>
      <c r="M657" s="892"/>
      <c r="N657" s="892"/>
      <c r="O657" s="892"/>
      <c r="P657" s="892"/>
      <c r="Q657" s="892"/>
      <c r="R657" s="892"/>
      <c r="S657" s="892"/>
      <c r="T657" s="892"/>
      <c r="U657" s="892"/>
      <c r="V657" s="892"/>
      <c r="W657" s="893"/>
      <c r="X657" s="893"/>
      <c r="Y657" s="893"/>
      <c r="Z657" s="893"/>
      <c r="AA657" s="893"/>
      <c r="AB657" s="893"/>
      <c r="AC657" s="893"/>
      <c r="AD657" s="893"/>
      <c r="AE657" s="893"/>
      <c r="AF657" s="893"/>
      <c r="AG657" s="893"/>
      <c r="AH657" s="893"/>
      <c r="AI657" s="300"/>
      <c r="AJ657" s="300"/>
      <c r="AK657" s="300"/>
      <c r="AL657" s="300"/>
      <c r="AM657" s="300"/>
      <c r="AN657" s="127"/>
    </row>
    <row r="658" ht="14.25" customHeight="1">
      <c r="A658" s="127"/>
      <c r="B658" s="127"/>
      <c r="C658" s="127"/>
      <c r="D658" s="127"/>
      <c r="E658" s="127"/>
      <c r="F658" s="300"/>
      <c r="G658" s="300"/>
      <c r="H658" s="892"/>
      <c r="I658" s="892"/>
      <c r="J658" s="892"/>
      <c r="K658" s="892"/>
      <c r="L658" s="892"/>
      <c r="M658" s="892"/>
      <c r="N658" s="892"/>
      <c r="O658" s="892"/>
      <c r="P658" s="892"/>
      <c r="Q658" s="892"/>
      <c r="R658" s="892"/>
      <c r="S658" s="892"/>
      <c r="T658" s="892"/>
      <c r="U658" s="892"/>
      <c r="V658" s="892"/>
      <c r="W658" s="893"/>
      <c r="X658" s="893"/>
      <c r="Y658" s="893"/>
      <c r="Z658" s="893"/>
      <c r="AA658" s="893"/>
      <c r="AB658" s="893"/>
      <c r="AC658" s="893"/>
      <c r="AD658" s="893"/>
      <c r="AE658" s="893"/>
      <c r="AF658" s="893"/>
      <c r="AG658" s="893"/>
      <c r="AH658" s="893"/>
      <c r="AI658" s="300"/>
      <c r="AJ658" s="300"/>
      <c r="AK658" s="300"/>
      <c r="AL658" s="300"/>
      <c r="AM658" s="300"/>
      <c r="AN658" s="127"/>
    </row>
    <row r="659" ht="14.25" customHeight="1">
      <c r="A659" s="127"/>
      <c r="B659" s="127"/>
      <c r="C659" s="127"/>
      <c r="D659" s="127"/>
      <c r="E659" s="127"/>
      <c r="F659" s="300"/>
      <c r="G659" s="300"/>
      <c r="H659" s="892"/>
      <c r="I659" s="892"/>
      <c r="J659" s="892"/>
      <c r="K659" s="892"/>
      <c r="L659" s="892"/>
      <c r="M659" s="892"/>
      <c r="N659" s="892"/>
      <c r="O659" s="892"/>
      <c r="P659" s="892"/>
      <c r="Q659" s="892"/>
      <c r="R659" s="892"/>
      <c r="S659" s="892"/>
      <c r="T659" s="892"/>
      <c r="U659" s="892"/>
      <c r="V659" s="892"/>
      <c r="W659" s="893"/>
      <c r="X659" s="893"/>
      <c r="Y659" s="893"/>
      <c r="Z659" s="893"/>
      <c r="AA659" s="893"/>
      <c r="AB659" s="893"/>
      <c r="AC659" s="893"/>
      <c r="AD659" s="893"/>
      <c r="AE659" s="893"/>
      <c r="AF659" s="893"/>
      <c r="AG659" s="893"/>
      <c r="AH659" s="893"/>
      <c r="AI659" s="300"/>
      <c r="AJ659" s="300"/>
      <c r="AK659" s="300"/>
      <c r="AL659" s="300"/>
      <c r="AM659" s="300"/>
      <c r="AN659" s="127"/>
    </row>
    <row r="660" ht="14.25" customHeight="1">
      <c r="A660" s="127"/>
      <c r="B660" s="127"/>
      <c r="C660" s="127"/>
      <c r="D660" s="127"/>
      <c r="E660" s="127"/>
      <c r="F660" s="300"/>
      <c r="G660" s="300"/>
      <c r="H660" s="892"/>
      <c r="I660" s="892"/>
      <c r="J660" s="892"/>
      <c r="K660" s="892"/>
      <c r="L660" s="892"/>
      <c r="M660" s="892"/>
      <c r="N660" s="892"/>
      <c r="O660" s="892"/>
      <c r="P660" s="892"/>
      <c r="Q660" s="892"/>
      <c r="R660" s="892"/>
      <c r="S660" s="892"/>
      <c r="T660" s="892"/>
      <c r="U660" s="892"/>
      <c r="V660" s="892"/>
      <c r="W660" s="893"/>
      <c r="X660" s="893"/>
      <c r="Y660" s="893"/>
      <c r="Z660" s="893"/>
      <c r="AA660" s="893"/>
      <c r="AB660" s="893"/>
      <c r="AC660" s="893"/>
      <c r="AD660" s="893"/>
      <c r="AE660" s="893"/>
      <c r="AF660" s="893"/>
      <c r="AG660" s="893"/>
      <c r="AH660" s="893"/>
      <c r="AI660" s="300"/>
      <c r="AJ660" s="300"/>
      <c r="AK660" s="300"/>
      <c r="AL660" s="300"/>
      <c r="AM660" s="300"/>
      <c r="AN660" s="127"/>
    </row>
    <row r="661" ht="14.25" customHeight="1">
      <c r="A661" s="127"/>
      <c r="B661" s="127"/>
      <c r="C661" s="127"/>
      <c r="D661" s="127"/>
      <c r="E661" s="127"/>
      <c r="F661" s="300"/>
      <c r="G661" s="300"/>
      <c r="H661" s="892"/>
      <c r="I661" s="892"/>
      <c r="J661" s="892"/>
      <c r="K661" s="892"/>
      <c r="L661" s="892"/>
      <c r="M661" s="892"/>
      <c r="N661" s="892"/>
      <c r="O661" s="892"/>
      <c r="P661" s="892"/>
      <c r="Q661" s="892"/>
      <c r="R661" s="892"/>
      <c r="S661" s="892"/>
      <c r="T661" s="892"/>
      <c r="U661" s="892"/>
      <c r="V661" s="892"/>
      <c r="W661" s="893"/>
      <c r="X661" s="893"/>
      <c r="Y661" s="893"/>
      <c r="Z661" s="893"/>
      <c r="AA661" s="893"/>
      <c r="AB661" s="893"/>
      <c r="AC661" s="893"/>
      <c r="AD661" s="893"/>
      <c r="AE661" s="893"/>
      <c r="AF661" s="893"/>
      <c r="AG661" s="893"/>
      <c r="AH661" s="893"/>
      <c r="AI661" s="300"/>
      <c r="AJ661" s="300"/>
      <c r="AK661" s="300"/>
      <c r="AL661" s="300"/>
      <c r="AM661" s="300"/>
      <c r="AN661" s="127"/>
    </row>
    <row r="662" ht="14.25" customHeight="1">
      <c r="A662" s="127"/>
      <c r="B662" s="127"/>
      <c r="C662" s="127"/>
      <c r="D662" s="127"/>
      <c r="E662" s="127"/>
      <c r="F662" s="300"/>
      <c r="G662" s="300"/>
      <c r="H662" s="892"/>
      <c r="I662" s="892"/>
      <c r="J662" s="892"/>
      <c r="K662" s="892"/>
      <c r="L662" s="892"/>
      <c r="M662" s="892"/>
      <c r="N662" s="892"/>
      <c r="O662" s="892"/>
      <c r="P662" s="892"/>
      <c r="Q662" s="892"/>
      <c r="R662" s="892"/>
      <c r="S662" s="892"/>
      <c r="T662" s="892"/>
      <c r="U662" s="892"/>
      <c r="V662" s="892"/>
      <c r="W662" s="893"/>
      <c r="X662" s="893"/>
      <c r="Y662" s="893"/>
      <c r="Z662" s="893"/>
      <c r="AA662" s="893"/>
      <c r="AB662" s="893"/>
      <c r="AC662" s="893"/>
      <c r="AD662" s="893"/>
      <c r="AE662" s="893"/>
      <c r="AF662" s="893"/>
      <c r="AG662" s="893"/>
      <c r="AH662" s="893"/>
      <c r="AI662" s="300"/>
      <c r="AJ662" s="300"/>
      <c r="AK662" s="300"/>
      <c r="AL662" s="300"/>
      <c r="AM662" s="300"/>
      <c r="AN662" s="127"/>
    </row>
    <row r="663" ht="14.25" customHeight="1">
      <c r="A663" s="127"/>
      <c r="B663" s="127"/>
      <c r="C663" s="127"/>
      <c r="D663" s="127"/>
      <c r="E663" s="127"/>
      <c r="F663" s="300"/>
      <c r="G663" s="300"/>
      <c r="H663" s="892"/>
      <c r="I663" s="892"/>
      <c r="J663" s="892"/>
      <c r="K663" s="892"/>
      <c r="L663" s="892"/>
      <c r="M663" s="892"/>
      <c r="N663" s="892"/>
      <c r="O663" s="892"/>
      <c r="P663" s="892"/>
      <c r="Q663" s="892"/>
      <c r="R663" s="892"/>
      <c r="S663" s="892"/>
      <c r="T663" s="892"/>
      <c r="U663" s="892"/>
      <c r="V663" s="892"/>
      <c r="W663" s="893"/>
      <c r="X663" s="893"/>
      <c r="Y663" s="893"/>
      <c r="Z663" s="893"/>
      <c r="AA663" s="893"/>
      <c r="AB663" s="893"/>
      <c r="AC663" s="893"/>
      <c r="AD663" s="893"/>
      <c r="AE663" s="893"/>
      <c r="AF663" s="893"/>
      <c r="AG663" s="893"/>
      <c r="AH663" s="893"/>
      <c r="AI663" s="300"/>
      <c r="AJ663" s="300"/>
      <c r="AK663" s="300"/>
      <c r="AL663" s="300"/>
      <c r="AM663" s="300"/>
      <c r="AN663" s="127"/>
    </row>
    <row r="664" ht="14.25" customHeight="1">
      <c r="A664" s="127"/>
      <c r="B664" s="127"/>
      <c r="C664" s="127"/>
      <c r="D664" s="127"/>
      <c r="E664" s="127"/>
      <c r="F664" s="300"/>
      <c r="G664" s="300"/>
      <c r="H664" s="892"/>
      <c r="I664" s="892"/>
      <c r="J664" s="892"/>
      <c r="K664" s="892"/>
      <c r="L664" s="892"/>
      <c r="M664" s="892"/>
      <c r="N664" s="892"/>
      <c r="O664" s="892"/>
      <c r="P664" s="892"/>
      <c r="Q664" s="892"/>
      <c r="R664" s="892"/>
      <c r="S664" s="892"/>
      <c r="T664" s="892"/>
      <c r="U664" s="892"/>
      <c r="V664" s="892"/>
      <c r="W664" s="893"/>
      <c r="X664" s="893"/>
      <c r="Y664" s="893"/>
      <c r="Z664" s="893"/>
      <c r="AA664" s="893"/>
      <c r="AB664" s="893"/>
      <c r="AC664" s="893"/>
      <c r="AD664" s="893"/>
      <c r="AE664" s="893"/>
      <c r="AF664" s="893"/>
      <c r="AG664" s="893"/>
      <c r="AH664" s="893"/>
      <c r="AI664" s="300"/>
      <c r="AJ664" s="300"/>
      <c r="AK664" s="300"/>
      <c r="AL664" s="300"/>
      <c r="AM664" s="300"/>
      <c r="AN664" s="127"/>
    </row>
    <row r="665" ht="14.25" customHeight="1">
      <c r="A665" s="127"/>
      <c r="B665" s="127"/>
      <c r="C665" s="127"/>
      <c r="D665" s="127"/>
      <c r="E665" s="127"/>
      <c r="F665" s="300"/>
      <c r="G665" s="300"/>
      <c r="H665" s="892"/>
      <c r="I665" s="892"/>
      <c r="J665" s="892"/>
      <c r="K665" s="892"/>
      <c r="L665" s="892"/>
      <c r="M665" s="892"/>
      <c r="N665" s="892"/>
      <c r="O665" s="892"/>
      <c r="P665" s="892"/>
      <c r="Q665" s="892"/>
      <c r="R665" s="892"/>
      <c r="S665" s="892"/>
      <c r="T665" s="892"/>
      <c r="U665" s="892"/>
      <c r="V665" s="892"/>
      <c r="W665" s="893"/>
      <c r="X665" s="893"/>
      <c r="Y665" s="893"/>
      <c r="Z665" s="893"/>
      <c r="AA665" s="893"/>
      <c r="AB665" s="893"/>
      <c r="AC665" s="893"/>
      <c r="AD665" s="893"/>
      <c r="AE665" s="893"/>
      <c r="AF665" s="893"/>
      <c r="AG665" s="893"/>
      <c r="AH665" s="893"/>
      <c r="AI665" s="300"/>
      <c r="AJ665" s="300"/>
      <c r="AK665" s="300"/>
      <c r="AL665" s="300"/>
      <c r="AM665" s="300"/>
      <c r="AN665" s="127"/>
    </row>
    <row r="666" ht="14.25" customHeight="1">
      <c r="A666" s="127"/>
      <c r="B666" s="127"/>
      <c r="C666" s="127"/>
      <c r="D666" s="127"/>
      <c r="E666" s="127"/>
      <c r="F666" s="300"/>
      <c r="G666" s="300"/>
      <c r="H666" s="892"/>
      <c r="I666" s="892"/>
      <c r="J666" s="892"/>
      <c r="K666" s="892"/>
      <c r="L666" s="892"/>
      <c r="M666" s="892"/>
      <c r="N666" s="892"/>
      <c r="O666" s="892"/>
      <c r="P666" s="892"/>
      <c r="Q666" s="892"/>
      <c r="R666" s="892"/>
      <c r="S666" s="892"/>
      <c r="T666" s="892"/>
      <c r="U666" s="892"/>
      <c r="V666" s="892"/>
      <c r="W666" s="893"/>
      <c r="X666" s="893"/>
      <c r="Y666" s="893"/>
      <c r="Z666" s="893"/>
      <c r="AA666" s="893"/>
      <c r="AB666" s="893"/>
      <c r="AC666" s="893"/>
      <c r="AD666" s="893"/>
      <c r="AE666" s="893"/>
      <c r="AF666" s="893"/>
      <c r="AG666" s="893"/>
      <c r="AH666" s="893"/>
      <c r="AI666" s="300"/>
      <c r="AJ666" s="300"/>
      <c r="AK666" s="300"/>
      <c r="AL666" s="300"/>
      <c r="AM666" s="300"/>
      <c r="AN666" s="127"/>
    </row>
    <row r="667" ht="14.25" customHeight="1">
      <c r="A667" s="127"/>
      <c r="B667" s="127"/>
      <c r="C667" s="127"/>
      <c r="D667" s="127"/>
      <c r="E667" s="127"/>
      <c r="F667" s="300"/>
      <c r="G667" s="300"/>
      <c r="H667" s="892"/>
      <c r="I667" s="892"/>
      <c r="J667" s="892"/>
      <c r="K667" s="892"/>
      <c r="L667" s="892"/>
      <c r="M667" s="892"/>
      <c r="N667" s="892"/>
      <c r="O667" s="892"/>
      <c r="P667" s="892"/>
      <c r="Q667" s="892"/>
      <c r="R667" s="892"/>
      <c r="S667" s="892"/>
      <c r="T667" s="892"/>
      <c r="U667" s="892"/>
      <c r="V667" s="892"/>
      <c r="W667" s="893"/>
      <c r="X667" s="893"/>
      <c r="Y667" s="893"/>
      <c r="Z667" s="893"/>
      <c r="AA667" s="893"/>
      <c r="AB667" s="893"/>
      <c r="AC667" s="893"/>
      <c r="AD667" s="893"/>
      <c r="AE667" s="893"/>
      <c r="AF667" s="893"/>
      <c r="AG667" s="893"/>
      <c r="AH667" s="893"/>
      <c r="AI667" s="300"/>
      <c r="AJ667" s="300"/>
      <c r="AK667" s="300"/>
      <c r="AL667" s="300"/>
      <c r="AM667" s="300"/>
      <c r="AN667" s="127"/>
    </row>
    <row r="668" ht="14.25" customHeight="1">
      <c r="A668" s="127"/>
      <c r="B668" s="127"/>
      <c r="C668" s="127"/>
      <c r="D668" s="127"/>
      <c r="E668" s="127"/>
      <c r="F668" s="300"/>
      <c r="G668" s="300"/>
      <c r="H668" s="892"/>
      <c r="I668" s="892"/>
      <c r="J668" s="892"/>
      <c r="K668" s="892"/>
      <c r="L668" s="892"/>
      <c r="M668" s="892"/>
      <c r="N668" s="892"/>
      <c r="O668" s="892"/>
      <c r="P668" s="892"/>
      <c r="Q668" s="892"/>
      <c r="R668" s="892"/>
      <c r="S668" s="892"/>
      <c r="T668" s="892"/>
      <c r="U668" s="892"/>
      <c r="V668" s="892"/>
      <c r="W668" s="893"/>
      <c r="X668" s="893"/>
      <c r="Y668" s="893"/>
      <c r="Z668" s="893"/>
      <c r="AA668" s="893"/>
      <c r="AB668" s="893"/>
      <c r="AC668" s="893"/>
      <c r="AD668" s="893"/>
      <c r="AE668" s="893"/>
      <c r="AF668" s="893"/>
      <c r="AG668" s="893"/>
      <c r="AH668" s="893"/>
      <c r="AI668" s="300"/>
      <c r="AJ668" s="300"/>
      <c r="AK668" s="300"/>
      <c r="AL668" s="300"/>
      <c r="AM668" s="300"/>
      <c r="AN668" s="127"/>
    </row>
    <row r="669" ht="14.25" customHeight="1">
      <c r="A669" s="127"/>
      <c r="B669" s="127"/>
      <c r="C669" s="127"/>
      <c r="D669" s="127"/>
      <c r="E669" s="127"/>
      <c r="F669" s="300"/>
      <c r="G669" s="300"/>
      <c r="H669" s="892"/>
      <c r="I669" s="892"/>
      <c r="J669" s="892"/>
      <c r="K669" s="892"/>
      <c r="L669" s="892"/>
      <c r="M669" s="892"/>
      <c r="N669" s="892"/>
      <c r="O669" s="892"/>
      <c r="P669" s="892"/>
      <c r="Q669" s="892"/>
      <c r="R669" s="892"/>
      <c r="S669" s="892"/>
      <c r="T669" s="892"/>
      <c r="U669" s="892"/>
      <c r="V669" s="892"/>
      <c r="W669" s="893"/>
      <c r="X669" s="893"/>
      <c r="Y669" s="893"/>
      <c r="Z669" s="893"/>
      <c r="AA669" s="893"/>
      <c r="AB669" s="893"/>
      <c r="AC669" s="893"/>
      <c r="AD669" s="893"/>
      <c r="AE669" s="893"/>
      <c r="AF669" s="893"/>
      <c r="AG669" s="893"/>
      <c r="AH669" s="893"/>
      <c r="AI669" s="300"/>
      <c r="AJ669" s="300"/>
      <c r="AK669" s="300"/>
      <c r="AL669" s="300"/>
      <c r="AM669" s="300"/>
      <c r="AN669" s="127"/>
    </row>
    <row r="670" ht="14.25" customHeight="1">
      <c r="A670" s="127"/>
      <c r="B670" s="127"/>
      <c r="C670" s="127"/>
      <c r="D670" s="127"/>
      <c r="E670" s="127"/>
      <c r="F670" s="300"/>
      <c r="G670" s="300"/>
      <c r="H670" s="892"/>
      <c r="I670" s="892"/>
      <c r="J670" s="892"/>
      <c r="K670" s="892"/>
      <c r="L670" s="892"/>
      <c r="M670" s="892"/>
      <c r="N670" s="892"/>
      <c r="O670" s="892"/>
      <c r="P670" s="892"/>
      <c r="Q670" s="892"/>
      <c r="R670" s="892"/>
      <c r="S670" s="892"/>
      <c r="T670" s="892"/>
      <c r="U670" s="892"/>
      <c r="V670" s="892"/>
      <c r="W670" s="893"/>
      <c r="X670" s="893"/>
      <c r="Y670" s="893"/>
      <c r="Z670" s="893"/>
      <c r="AA670" s="893"/>
      <c r="AB670" s="893"/>
      <c r="AC670" s="893"/>
      <c r="AD670" s="893"/>
      <c r="AE670" s="893"/>
      <c r="AF670" s="893"/>
      <c r="AG670" s="893"/>
      <c r="AH670" s="893"/>
      <c r="AI670" s="300"/>
      <c r="AJ670" s="300"/>
      <c r="AK670" s="300"/>
      <c r="AL670" s="300"/>
      <c r="AM670" s="300"/>
      <c r="AN670" s="127"/>
    </row>
    <row r="671" ht="14.25" customHeight="1">
      <c r="A671" s="127"/>
      <c r="B671" s="127"/>
      <c r="C671" s="127"/>
      <c r="D671" s="127"/>
      <c r="E671" s="127"/>
      <c r="F671" s="300"/>
      <c r="G671" s="300"/>
      <c r="H671" s="892"/>
      <c r="I671" s="892"/>
      <c r="J671" s="892"/>
      <c r="K671" s="892"/>
      <c r="L671" s="892"/>
      <c r="M671" s="892"/>
      <c r="N671" s="892"/>
      <c r="O671" s="892"/>
      <c r="P671" s="892"/>
      <c r="Q671" s="892"/>
      <c r="R671" s="892"/>
      <c r="S671" s="892"/>
      <c r="T671" s="892"/>
      <c r="U671" s="892"/>
      <c r="V671" s="892"/>
      <c r="W671" s="893"/>
      <c r="X671" s="893"/>
      <c r="Y671" s="893"/>
      <c r="Z671" s="893"/>
      <c r="AA671" s="893"/>
      <c r="AB671" s="893"/>
      <c r="AC671" s="893"/>
      <c r="AD671" s="893"/>
      <c r="AE671" s="893"/>
      <c r="AF671" s="893"/>
      <c r="AG671" s="893"/>
      <c r="AH671" s="893"/>
      <c r="AI671" s="300"/>
      <c r="AJ671" s="300"/>
      <c r="AK671" s="300"/>
      <c r="AL671" s="300"/>
      <c r="AM671" s="300"/>
      <c r="AN671" s="127"/>
    </row>
    <row r="672" ht="14.25" customHeight="1">
      <c r="A672" s="127"/>
      <c r="B672" s="127"/>
      <c r="C672" s="127"/>
      <c r="D672" s="127"/>
      <c r="E672" s="127"/>
      <c r="F672" s="300"/>
      <c r="G672" s="300"/>
      <c r="H672" s="892"/>
      <c r="I672" s="892"/>
      <c r="J672" s="892"/>
      <c r="K672" s="892"/>
      <c r="L672" s="892"/>
      <c r="M672" s="892"/>
      <c r="N672" s="892"/>
      <c r="O672" s="892"/>
      <c r="P672" s="892"/>
      <c r="Q672" s="892"/>
      <c r="R672" s="892"/>
      <c r="S672" s="892"/>
      <c r="T672" s="892"/>
      <c r="U672" s="892"/>
      <c r="V672" s="892"/>
      <c r="W672" s="893"/>
      <c r="X672" s="893"/>
      <c r="Y672" s="893"/>
      <c r="Z672" s="893"/>
      <c r="AA672" s="893"/>
      <c r="AB672" s="893"/>
      <c r="AC672" s="893"/>
      <c r="AD672" s="893"/>
      <c r="AE672" s="893"/>
      <c r="AF672" s="893"/>
      <c r="AG672" s="893"/>
      <c r="AH672" s="893"/>
      <c r="AI672" s="300"/>
      <c r="AJ672" s="300"/>
      <c r="AK672" s="300"/>
      <c r="AL672" s="300"/>
      <c r="AM672" s="300"/>
      <c r="AN672" s="127"/>
    </row>
    <row r="673" ht="14.25" customHeight="1">
      <c r="A673" s="127"/>
      <c r="B673" s="127"/>
      <c r="C673" s="127"/>
      <c r="D673" s="127"/>
      <c r="E673" s="127"/>
      <c r="F673" s="300"/>
      <c r="G673" s="300"/>
      <c r="H673" s="892"/>
      <c r="I673" s="892"/>
      <c r="J673" s="892"/>
      <c r="K673" s="892"/>
      <c r="L673" s="892"/>
      <c r="M673" s="892"/>
      <c r="N673" s="892"/>
      <c r="O673" s="892"/>
      <c r="P673" s="892"/>
      <c r="Q673" s="892"/>
      <c r="R673" s="892"/>
      <c r="S673" s="892"/>
      <c r="T673" s="892"/>
      <c r="U673" s="892"/>
      <c r="V673" s="892"/>
      <c r="W673" s="893"/>
      <c r="X673" s="893"/>
      <c r="Y673" s="893"/>
      <c r="Z673" s="893"/>
      <c r="AA673" s="893"/>
      <c r="AB673" s="893"/>
      <c r="AC673" s="893"/>
      <c r="AD673" s="893"/>
      <c r="AE673" s="893"/>
      <c r="AF673" s="893"/>
      <c r="AG673" s="893"/>
      <c r="AH673" s="893"/>
      <c r="AI673" s="300"/>
      <c r="AJ673" s="300"/>
      <c r="AK673" s="300"/>
      <c r="AL673" s="300"/>
      <c r="AM673" s="300"/>
      <c r="AN673" s="127"/>
    </row>
    <row r="674" ht="14.25" customHeight="1">
      <c r="A674" s="127"/>
      <c r="B674" s="127"/>
      <c r="C674" s="127"/>
      <c r="D674" s="127"/>
      <c r="E674" s="127"/>
      <c r="F674" s="300"/>
      <c r="G674" s="300"/>
      <c r="H674" s="892"/>
      <c r="I674" s="892"/>
      <c r="J674" s="892"/>
      <c r="K674" s="892"/>
      <c r="L674" s="892"/>
      <c r="M674" s="892"/>
      <c r="N674" s="892"/>
      <c r="O674" s="892"/>
      <c r="P674" s="892"/>
      <c r="Q674" s="892"/>
      <c r="R674" s="892"/>
      <c r="S674" s="892"/>
      <c r="T674" s="892"/>
      <c r="U674" s="892"/>
      <c r="V674" s="892"/>
      <c r="W674" s="893"/>
      <c r="X674" s="893"/>
      <c r="Y674" s="893"/>
      <c r="Z674" s="893"/>
      <c r="AA674" s="893"/>
      <c r="AB674" s="893"/>
      <c r="AC674" s="893"/>
      <c r="AD674" s="893"/>
      <c r="AE674" s="893"/>
      <c r="AF674" s="893"/>
      <c r="AG674" s="893"/>
      <c r="AH674" s="893"/>
      <c r="AI674" s="300"/>
      <c r="AJ674" s="300"/>
      <c r="AK674" s="300"/>
      <c r="AL674" s="300"/>
      <c r="AM674" s="300"/>
      <c r="AN674" s="127"/>
    </row>
    <row r="675" ht="14.25" customHeight="1">
      <c r="A675" s="127"/>
      <c r="B675" s="127"/>
      <c r="C675" s="127"/>
      <c r="D675" s="127"/>
      <c r="E675" s="127"/>
      <c r="F675" s="300"/>
      <c r="G675" s="300"/>
      <c r="H675" s="892"/>
      <c r="I675" s="892"/>
      <c r="J675" s="892"/>
      <c r="K675" s="892"/>
      <c r="L675" s="892"/>
      <c r="M675" s="892"/>
      <c r="N675" s="892"/>
      <c r="O675" s="892"/>
      <c r="P675" s="892"/>
      <c r="Q675" s="892"/>
      <c r="R675" s="892"/>
      <c r="S675" s="892"/>
      <c r="T675" s="892"/>
      <c r="U675" s="892"/>
      <c r="V675" s="892"/>
      <c r="W675" s="893"/>
      <c r="X675" s="893"/>
      <c r="Y675" s="893"/>
      <c r="Z675" s="893"/>
      <c r="AA675" s="893"/>
      <c r="AB675" s="893"/>
      <c r="AC675" s="893"/>
      <c r="AD675" s="893"/>
      <c r="AE675" s="893"/>
      <c r="AF675" s="893"/>
      <c r="AG675" s="893"/>
      <c r="AH675" s="893"/>
      <c r="AI675" s="300"/>
      <c r="AJ675" s="300"/>
      <c r="AK675" s="300"/>
      <c r="AL675" s="300"/>
      <c r="AM675" s="300"/>
      <c r="AN675" s="127"/>
    </row>
    <row r="676" ht="14.25" customHeight="1">
      <c r="A676" s="127"/>
      <c r="B676" s="127"/>
      <c r="C676" s="127"/>
      <c r="D676" s="127"/>
      <c r="E676" s="127"/>
      <c r="F676" s="300"/>
      <c r="G676" s="300"/>
      <c r="H676" s="892"/>
      <c r="I676" s="892"/>
      <c r="J676" s="892"/>
      <c r="K676" s="892"/>
      <c r="L676" s="892"/>
      <c r="M676" s="892"/>
      <c r="N676" s="892"/>
      <c r="O676" s="892"/>
      <c r="P676" s="892"/>
      <c r="Q676" s="892"/>
      <c r="R676" s="892"/>
      <c r="S676" s="892"/>
      <c r="T676" s="892"/>
      <c r="U676" s="892"/>
      <c r="V676" s="892"/>
      <c r="W676" s="893"/>
      <c r="X676" s="893"/>
      <c r="Y676" s="893"/>
      <c r="Z676" s="893"/>
      <c r="AA676" s="893"/>
      <c r="AB676" s="893"/>
      <c r="AC676" s="893"/>
      <c r="AD676" s="893"/>
      <c r="AE676" s="893"/>
      <c r="AF676" s="893"/>
      <c r="AG676" s="893"/>
      <c r="AH676" s="893"/>
      <c r="AI676" s="300"/>
      <c r="AJ676" s="300"/>
      <c r="AK676" s="300"/>
      <c r="AL676" s="300"/>
      <c r="AM676" s="300"/>
      <c r="AN676" s="127"/>
    </row>
    <row r="677" ht="14.25" customHeight="1">
      <c r="A677" s="127"/>
      <c r="B677" s="127"/>
      <c r="C677" s="127"/>
      <c r="D677" s="127"/>
      <c r="E677" s="127"/>
      <c r="F677" s="300"/>
      <c r="G677" s="300"/>
      <c r="H677" s="892"/>
      <c r="I677" s="892"/>
      <c r="J677" s="892"/>
      <c r="K677" s="892"/>
      <c r="L677" s="892"/>
      <c r="M677" s="892"/>
      <c r="N677" s="892"/>
      <c r="O677" s="892"/>
      <c r="P677" s="892"/>
      <c r="Q677" s="892"/>
      <c r="R677" s="892"/>
      <c r="S677" s="892"/>
      <c r="T677" s="892"/>
      <c r="U677" s="892"/>
      <c r="V677" s="892"/>
      <c r="W677" s="893"/>
      <c r="X677" s="893"/>
      <c r="Y677" s="893"/>
      <c r="Z677" s="893"/>
      <c r="AA677" s="893"/>
      <c r="AB677" s="893"/>
      <c r="AC677" s="893"/>
      <c r="AD677" s="893"/>
      <c r="AE677" s="893"/>
      <c r="AF677" s="893"/>
      <c r="AG677" s="893"/>
      <c r="AH677" s="893"/>
      <c r="AI677" s="300"/>
      <c r="AJ677" s="300"/>
      <c r="AK677" s="300"/>
      <c r="AL677" s="300"/>
      <c r="AM677" s="300"/>
      <c r="AN677" s="127"/>
    </row>
    <row r="678" ht="14.25" customHeight="1">
      <c r="A678" s="127"/>
      <c r="B678" s="127"/>
      <c r="C678" s="127"/>
      <c r="D678" s="127"/>
      <c r="E678" s="127"/>
      <c r="F678" s="300"/>
      <c r="G678" s="300"/>
      <c r="H678" s="892"/>
      <c r="I678" s="892"/>
      <c r="J678" s="892"/>
      <c r="K678" s="892"/>
      <c r="L678" s="892"/>
      <c r="M678" s="892"/>
      <c r="N678" s="892"/>
      <c r="O678" s="892"/>
      <c r="P678" s="892"/>
      <c r="Q678" s="892"/>
      <c r="R678" s="892"/>
      <c r="S678" s="892"/>
      <c r="T678" s="892"/>
      <c r="U678" s="892"/>
      <c r="V678" s="892"/>
      <c r="W678" s="893"/>
      <c r="X678" s="893"/>
      <c r="Y678" s="893"/>
      <c r="Z678" s="893"/>
      <c r="AA678" s="893"/>
      <c r="AB678" s="893"/>
      <c r="AC678" s="893"/>
      <c r="AD678" s="893"/>
      <c r="AE678" s="893"/>
      <c r="AF678" s="893"/>
      <c r="AG678" s="893"/>
      <c r="AH678" s="893"/>
      <c r="AI678" s="300"/>
      <c r="AJ678" s="300"/>
      <c r="AK678" s="300"/>
      <c r="AL678" s="300"/>
      <c r="AM678" s="300"/>
      <c r="AN678" s="127"/>
    </row>
    <row r="679" ht="14.25" customHeight="1">
      <c r="A679" s="127"/>
      <c r="B679" s="127"/>
      <c r="C679" s="127"/>
      <c r="D679" s="127"/>
      <c r="E679" s="127"/>
      <c r="F679" s="300"/>
      <c r="G679" s="300"/>
      <c r="H679" s="892"/>
      <c r="I679" s="892"/>
      <c r="J679" s="892"/>
      <c r="K679" s="892"/>
      <c r="L679" s="892"/>
      <c r="M679" s="892"/>
      <c r="N679" s="892"/>
      <c r="O679" s="892"/>
      <c r="P679" s="892"/>
      <c r="Q679" s="892"/>
      <c r="R679" s="892"/>
      <c r="S679" s="892"/>
      <c r="T679" s="892"/>
      <c r="U679" s="892"/>
      <c r="V679" s="892"/>
      <c r="W679" s="893"/>
      <c r="X679" s="893"/>
      <c r="Y679" s="893"/>
      <c r="Z679" s="893"/>
      <c r="AA679" s="893"/>
      <c r="AB679" s="893"/>
      <c r="AC679" s="893"/>
      <c r="AD679" s="893"/>
      <c r="AE679" s="893"/>
      <c r="AF679" s="893"/>
      <c r="AG679" s="893"/>
      <c r="AH679" s="893"/>
      <c r="AI679" s="300"/>
      <c r="AJ679" s="300"/>
      <c r="AK679" s="300"/>
      <c r="AL679" s="300"/>
      <c r="AM679" s="300"/>
      <c r="AN679" s="127"/>
    </row>
    <row r="680" ht="14.25" customHeight="1">
      <c r="A680" s="127"/>
      <c r="B680" s="127"/>
      <c r="C680" s="127"/>
      <c r="D680" s="127"/>
      <c r="E680" s="127"/>
      <c r="F680" s="300"/>
      <c r="G680" s="300"/>
      <c r="H680" s="892"/>
      <c r="I680" s="892"/>
      <c r="J680" s="892"/>
      <c r="K680" s="892"/>
      <c r="L680" s="892"/>
      <c r="M680" s="892"/>
      <c r="N680" s="892"/>
      <c r="O680" s="892"/>
      <c r="P680" s="892"/>
      <c r="Q680" s="892"/>
      <c r="R680" s="892"/>
      <c r="S680" s="892"/>
      <c r="T680" s="892"/>
      <c r="U680" s="892"/>
      <c r="V680" s="892"/>
      <c r="W680" s="893"/>
      <c r="X680" s="893"/>
      <c r="Y680" s="893"/>
      <c r="Z680" s="893"/>
      <c r="AA680" s="893"/>
      <c r="AB680" s="893"/>
      <c r="AC680" s="893"/>
      <c r="AD680" s="893"/>
      <c r="AE680" s="893"/>
      <c r="AF680" s="893"/>
      <c r="AG680" s="893"/>
      <c r="AH680" s="893"/>
      <c r="AI680" s="300"/>
      <c r="AJ680" s="300"/>
      <c r="AK680" s="300"/>
      <c r="AL680" s="300"/>
      <c r="AM680" s="300"/>
      <c r="AN680" s="127"/>
    </row>
    <row r="681" ht="14.25" customHeight="1">
      <c r="A681" s="127"/>
      <c r="B681" s="127"/>
      <c r="C681" s="127"/>
      <c r="D681" s="127"/>
      <c r="E681" s="127"/>
      <c r="F681" s="300"/>
      <c r="G681" s="300"/>
      <c r="H681" s="892"/>
      <c r="I681" s="892"/>
      <c r="J681" s="892"/>
      <c r="K681" s="892"/>
      <c r="L681" s="892"/>
      <c r="M681" s="892"/>
      <c r="N681" s="892"/>
      <c r="O681" s="892"/>
      <c r="P681" s="892"/>
      <c r="Q681" s="892"/>
      <c r="R681" s="892"/>
      <c r="S681" s="892"/>
      <c r="T681" s="892"/>
      <c r="U681" s="892"/>
      <c r="V681" s="892"/>
      <c r="W681" s="893"/>
      <c r="X681" s="893"/>
      <c r="Y681" s="893"/>
      <c r="Z681" s="893"/>
      <c r="AA681" s="893"/>
      <c r="AB681" s="893"/>
      <c r="AC681" s="893"/>
      <c r="AD681" s="893"/>
      <c r="AE681" s="893"/>
      <c r="AF681" s="893"/>
      <c r="AG681" s="893"/>
      <c r="AH681" s="893"/>
      <c r="AI681" s="300"/>
      <c r="AJ681" s="300"/>
      <c r="AK681" s="300"/>
      <c r="AL681" s="300"/>
      <c r="AM681" s="300"/>
      <c r="AN681" s="127"/>
    </row>
    <row r="682" ht="14.25" customHeight="1">
      <c r="A682" s="127"/>
      <c r="B682" s="127"/>
      <c r="C682" s="127"/>
      <c r="D682" s="127"/>
      <c r="E682" s="127"/>
      <c r="F682" s="300"/>
      <c r="G682" s="300"/>
      <c r="H682" s="892"/>
      <c r="I682" s="892"/>
      <c r="J682" s="892"/>
      <c r="K682" s="892"/>
      <c r="L682" s="892"/>
      <c r="M682" s="892"/>
      <c r="N682" s="892"/>
      <c r="O682" s="892"/>
      <c r="P682" s="892"/>
      <c r="Q682" s="892"/>
      <c r="R682" s="892"/>
      <c r="S682" s="892"/>
      <c r="T682" s="892"/>
      <c r="U682" s="892"/>
      <c r="V682" s="892"/>
      <c r="W682" s="893"/>
      <c r="X682" s="893"/>
      <c r="Y682" s="893"/>
      <c r="Z682" s="893"/>
      <c r="AA682" s="893"/>
      <c r="AB682" s="893"/>
      <c r="AC682" s="893"/>
      <c r="AD682" s="893"/>
      <c r="AE682" s="893"/>
      <c r="AF682" s="893"/>
      <c r="AG682" s="893"/>
      <c r="AH682" s="893"/>
      <c r="AI682" s="300"/>
      <c r="AJ682" s="300"/>
      <c r="AK682" s="300"/>
      <c r="AL682" s="300"/>
      <c r="AM682" s="300"/>
      <c r="AN682" s="127"/>
    </row>
    <row r="683" ht="14.25" customHeight="1">
      <c r="A683" s="127"/>
      <c r="B683" s="127"/>
      <c r="C683" s="127"/>
      <c r="D683" s="127"/>
      <c r="E683" s="127"/>
      <c r="F683" s="300"/>
      <c r="G683" s="300"/>
      <c r="H683" s="892"/>
      <c r="I683" s="892"/>
      <c r="J683" s="892"/>
      <c r="K683" s="892"/>
      <c r="L683" s="892"/>
      <c r="M683" s="892"/>
      <c r="N683" s="892"/>
      <c r="O683" s="892"/>
      <c r="P683" s="892"/>
      <c r="Q683" s="892"/>
      <c r="R683" s="892"/>
      <c r="S683" s="892"/>
      <c r="T683" s="892"/>
      <c r="U683" s="892"/>
      <c r="V683" s="892"/>
      <c r="W683" s="893"/>
      <c r="X683" s="893"/>
      <c r="Y683" s="893"/>
      <c r="Z683" s="893"/>
      <c r="AA683" s="893"/>
      <c r="AB683" s="893"/>
      <c r="AC683" s="893"/>
      <c r="AD683" s="893"/>
      <c r="AE683" s="893"/>
      <c r="AF683" s="893"/>
      <c r="AG683" s="893"/>
      <c r="AH683" s="893"/>
      <c r="AI683" s="300"/>
      <c r="AJ683" s="300"/>
      <c r="AK683" s="300"/>
      <c r="AL683" s="300"/>
      <c r="AM683" s="300"/>
      <c r="AN683" s="127"/>
    </row>
    <row r="684" ht="14.25" customHeight="1">
      <c r="A684" s="127"/>
      <c r="B684" s="127"/>
      <c r="C684" s="127"/>
      <c r="D684" s="127"/>
      <c r="E684" s="127"/>
      <c r="F684" s="300"/>
      <c r="G684" s="300"/>
      <c r="H684" s="892"/>
      <c r="I684" s="892"/>
      <c r="J684" s="892"/>
      <c r="K684" s="892"/>
      <c r="L684" s="892"/>
      <c r="M684" s="892"/>
      <c r="N684" s="892"/>
      <c r="O684" s="892"/>
      <c r="P684" s="892"/>
      <c r="Q684" s="892"/>
      <c r="R684" s="892"/>
      <c r="S684" s="892"/>
      <c r="T684" s="892"/>
      <c r="U684" s="892"/>
      <c r="V684" s="892"/>
      <c r="W684" s="893"/>
      <c r="X684" s="893"/>
      <c r="Y684" s="893"/>
      <c r="Z684" s="893"/>
      <c r="AA684" s="893"/>
      <c r="AB684" s="893"/>
      <c r="AC684" s="893"/>
      <c r="AD684" s="893"/>
      <c r="AE684" s="893"/>
      <c r="AF684" s="893"/>
      <c r="AG684" s="893"/>
      <c r="AH684" s="893"/>
      <c r="AI684" s="300"/>
      <c r="AJ684" s="300"/>
      <c r="AK684" s="300"/>
      <c r="AL684" s="300"/>
      <c r="AM684" s="300"/>
      <c r="AN684" s="127"/>
    </row>
    <row r="685" ht="14.25" customHeight="1">
      <c r="A685" s="127"/>
      <c r="B685" s="127"/>
      <c r="C685" s="127"/>
      <c r="D685" s="127"/>
      <c r="E685" s="127"/>
      <c r="F685" s="300"/>
      <c r="G685" s="300"/>
      <c r="H685" s="892"/>
      <c r="I685" s="892"/>
      <c r="J685" s="892"/>
      <c r="K685" s="892"/>
      <c r="L685" s="892"/>
      <c r="M685" s="892"/>
      <c r="N685" s="892"/>
      <c r="O685" s="892"/>
      <c r="P685" s="892"/>
      <c r="Q685" s="892"/>
      <c r="R685" s="892"/>
      <c r="S685" s="892"/>
      <c r="T685" s="892"/>
      <c r="U685" s="892"/>
      <c r="V685" s="892"/>
      <c r="W685" s="893"/>
      <c r="X685" s="893"/>
      <c r="Y685" s="893"/>
      <c r="Z685" s="893"/>
      <c r="AA685" s="893"/>
      <c r="AB685" s="893"/>
      <c r="AC685" s="893"/>
      <c r="AD685" s="893"/>
      <c r="AE685" s="893"/>
      <c r="AF685" s="893"/>
      <c r="AG685" s="893"/>
      <c r="AH685" s="893"/>
      <c r="AI685" s="300"/>
      <c r="AJ685" s="300"/>
      <c r="AK685" s="300"/>
      <c r="AL685" s="300"/>
      <c r="AM685" s="300"/>
      <c r="AN685" s="127"/>
    </row>
    <row r="686" ht="14.25" customHeight="1">
      <c r="A686" s="127"/>
      <c r="B686" s="127"/>
      <c r="C686" s="127"/>
      <c r="D686" s="127"/>
      <c r="E686" s="127"/>
      <c r="F686" s="300"/>
      <c r="G686" s="300"/>
      <c r="H686" s="892"/>
      <c r="I686" s="892"/>
      <c r="J686" s="892"/>
      <c r="K686" s="892"/>
      <c r="L686" s="892"/>
      <c r="M686" s="892"/>
      <c r="N686" s="892"/>
      <c r="O686" s="892"/>
      <c r="P686" s="892"/>
      <c r="Q686" s="892"/>
      <c r="R686" s="892"/>
      <c r="S686" s="892"/>
      <c r="T686" s="892"/>
      <c r="U686" s="892"/>
      <c r="V686" s="892"/>
      <c r="W686" s="893"/>
      <c r="X686" s="893"/>
      <c r="Y686" s="893"/>
      <c r="Z686" s="893"/>
      <c r="AA686" s="893"/>
      <c r="AB686" s="893"/>
      <c r="AC686" s="893"/>
      <c r="AD686" s="893"/>
      <c r="AE686" s="893"/>
      <c r="AF686" s="893"/>
      <c r="AG686" s="893"/>
      <c r="AH686" s="893"/>
      <c r="AI686" s="300"/>
      <c r="AJ686" s="300"/>
      <c r="AK686" s="300"/>
      <c r="AL686" s="300"/>
      <c r="AM686" s="300"/>
      <c r="AN686" s="127"/>
    </row>
    <row r="687" ht="14.25" customHeight="1">
      <c r="A687" s="127"/>
      <c r="B687" s="127"/>
      <c r="C687" s="127"/>
      <c r="D687" s="127"/>
      <c r="E687" s="127"/>
      <c r="F687" s="300"/>
      <c r="G687" s="300"/>
      <c r="H687" s="892"/>
      <c r="I687" s="892"/>
      <c r="J687" s="892"/>
      <c r="K687" s="892"/>
      <c r="L687" s="892"/>
      <c r="M687" s="892"/>
      <c r="N687" s="892"/>
      <c r="O687" s="892"/>
      <c r="P687" s="892"/>
      <c r="Q687" s="892"/>
      <c r="R687" s="892"/>
      <c r="S687" s="892"/>
      <c r="T687" s="892"/>
      <c r="U687" s="892"/>
      <c r="V687" s="892"/>
      <c r="W687" s="893"/>
      <c r="X687" s="893"/>
      <c r="Y687" s="893"/>
      <c r="Z687" s="893"/>
      <c r="AA687" s="893"/>
      <c r="AB687" s="893"/>
      <c r="AC687" s="893"/>
      <c r="AD687" s="893"/>
      <c r="AE687" s="893"/>
      <c r="AF687" s="893"/>
      <c r="AG687" s="893"/>
      <c r="AH687" s="893"/>
      <c r="AI687" s="300"/>
      <c r="AJ687" s="300"/>
      <c r="AK687" s="300"/>
      <c r="AL687" s="300"/>
      <c r="AM687" s="300"/>
      <c r="AN687" s="127"/>
    </row>
    <row r="688" ht="14.25" customHeight="1">
      <c r="A688" s="127"/>
      <c r="B688" s="127"/>
      <c r="C688" s="127"/>
      <c r="D688" s="127"/>
      <c r="E688" s="127"/>
      <c r="F688" s="300"/>
      <c r="G688" s="300"/>
      <c r="H688" s="892"/>
      <c r="I688" s="892"/>
      <c r="J688" s="892"/>
      <c r="K688" s="892"/>
      <c r="L688" s="892"/>
      <c r="M688" s="892"/>
      <c r="N688" s="892"/>
      <c r="O688" s="892"/>
      <c r="P688" s="892"/>
      <c r="Q688" s="892"/>
      <c r="R688" s="892"/>
      <c r="S688" s="892"/>
      <c r="T688" s="892"/>
      <c r="U688" s="892"/>
      <c r="V688" s="892"/>
      <c r="W688" s="893"/>
      <c r="X688" s="893"/>
      <c r="Y688" s="893"/>
      <c r="Z688" s="893"/>
      <c r="AA688" s="893"/>
      <c r="AB688" s="893"/>
      <c r="AC688" s="893"/>
      <c r="AD688" s="893"/>
      <c r="AE688" s="893"/>
      <c r="AF688" s="893"/>
      <c r="AG688" s="893"/>
      <c r="AH688" s="893"/>
      <c r="AI688" s="300"/>
      <c r="AJ688" s="300"/>
      <c r="AK688" s="300"/>
      <c r="AL688" s="300"/>
      <c r="AM688" s="300"/>
      <c r="AN688" s="127"/>
    </row>
    <row r="689" ht="14.25" customHeight="1">
      <c r="A689" s="127"/>
      <c r="B689" s="127"/>
      <c r="C689" s="127"/>
      <c r="D689" s="127"/>
      <c r="E689" s="127"/>
      <c r="F689" s="300"/>
      <c r="G689" s="300"/>
      <c r="H689" s="892"/>
      <c r="I689" s="892"/>
      <c r="J689" s="892"/>
      <c r="K689" s="892"/>
      <c r="L689" s="892"/>
      <c r="M689" s="892"/>
      <c r="N689" s="892"/>
      <c r="O689" s="892"/>
      <c r="P689" s="892"/>
      <c r="Q689" s="892"/>
      <c r="R689" s="892"/>
      <c r="S689" s="892"/>
      <c r="T689" s="892"/>
      <c r="U689" s="892"/>
      <c r="V689" s="892"/>
      <c r="W689" s="893"/>
      <c r="X689" s="893"/>
      <c r="Y689" s="893"/>
      <c r="Z689" s="893"/>
      <c r="AA689" s="893"/>
      <c r="AB689" s="893"/>
      <c r="AC689" s="893"/>
      <c r="AD689" s="893"/>
      <c r="AE689" s="893"/>
      <c r="AF689" s="893"/>
      <c r="AG689" s="893"/>
      <c r="AH689" s="893"/>
      <c r="AI689" s="300"/>
      <c r="AJ689" s="300"/>
      <c r="AK689" s="300"/>
      <c r="AL689" s="300"/>
      <c r="AM689" s="300"/>
      <c r="AN689" s="127"/>
    </row>
    <row r="690" ht="14.25" customHeight="1">
      <c r="A690" s="127"/>
      <c r="B690" s="127"/>
      <c r="C690" s="127"/>
      <c r="D690" s="127"/>
      <c r="E690" s="127"/>
      <c r="F690" s="300"/>
      <c r="G690" s="300"/>
      <c r="H690" s="892"/>
      <c r="I690" s="892"/>
      <c r="J690" s="892"/>
      <c r="K690" s="892"/>
      <c r="L690" s="892"/>
      <c r="M690" s="892"/>
      <c r="N690" s="892"/>
      <c r="O690" s="892"/>
      <c r="P690" s="892"/>
      <c r="Q690" s="892"/>
      <c r="R690" s="892"/>
      <c r="S690" s="892"/>
      <c r="T690" s="892"/>
      <c r="U690" s="892"/>
      <c r="V690" s="892"/>
      <c r="W690" s="893"/>
      <c r="X690" s="893"/>
      <c r="Y690" s="893"/>
      <c r="Z690" s="893"/>
      <c r="AA690" s="893"/>
      <c r="AB690" s="893"/>
      <c r="AC690" s="893"/>
      <c r="AD690" s="893"/>
      <c r="AE690" s="893"/>
      <c r="AF690" s="893"/>
      <c r="AG690" s="893"/>
      <c r="AH690" s="893"/>
      <c r="AI690" s="300"/>
      <c r="AJ690" s="300"/>
      <c r="AK690" s="300"/>
      <c r="AL690" s="300"/>
      <c r="AM690" s="300"/>
      <c r="AN690" s="127"/>
    </row>
    <row r="691" ht="14.25" customHeight="1">
      <c r="A691" s="127"/>
      <c r="B691" s="127"/>
      <c r="C691" s="127"/>
      <c r="D691" s="127"/>
      <c r="E691" s="127"/>
      <c r="F691" s="300"/>
      <c r="G691" s="300"/>
      <c r="H691" s="892"/>
      <c r="I691" s="892"/>
      <c r="J691" s="892"/>
      <c r="K691" s="892"/>
      <c r="L691" s="892"/>
      <c r="M691" s="892"/>
      <c r="N691" s="892"/>
      <c r="O691" s="892"/>
      <c r="P691" s="892"/>
      <c r="Q691" s="892"/>
      <c r="R691" s="892"/>
      <c r="S691" s="892"/>
      <c r="T691" s="892"/>
      <c r="U691" s="892"/>
      <c r="V691" s="892"/>
      <c r="W691" s="893"/>
      <c r="X691" s="893"/>
      <c r="Y691" s="893"/>
      <c r="Z691" s="893"/>
      <c r="AA691" s="893"/>
      <c r="AB691" s="893"/>
      <c r="AC691" s="893"/>
      <c r="AD691" s="893"/>
      <c r="AE691" s="893"/>
      <c r="AF691" s="893"/>
      <c r="AG691" s="893"/>
      <c r="AH691" s="893"/>
      <c r="AI691" s="300"/>
      <c r="AJ691" s="300"/>
      <c r="AK691" s="300"/>
      <c r="AL691" s="300"/>
      <c r="AM691" s="300"/>
      <c r="AN691" s="127"/>
    </row>
    <row r="692" ht="14.25" customHeight="1">
      <c r="A692" s="127"/>
      <c r="B692" s="127"/>
      <c r="C692" s="127"/>
      <c r="D692" s="127"/>
      <c r="E692" s="127"/>
      <c r="F692" s="300"/>
      <c r="G692" s="300"/>
      <c r="H692" s="892"/>
      <c r="I692" s="892"/>
      <c r="J692" s="892"/>
      <c r="K692" s="892"/>
      <c r="L692" s="892"/>
      <c r="M692" s="892"/>
      <c r="N692" s="892"/>
      <c r="O692" s="892"/>
      <c r="P692" s="892"/>
      <c r="Q692" s="892"/>
      <c r="R692" s="892"/>
      <c r="S692" s="892"/>
      <c r="T692" s="892"/>
      <c r="U692" s="892"/>
      <c r="V692" s="892"/>
      <c r="W692" s="893"/>
      <c r="X692" s="893"/>
      <c r="Y692" s="893"/>
      <c r="Z692" s="893"/>
      <c r="AA692" s="893"/>
      <c r="AB692" s="893"/>
      <c r="AC692" s="893"/>
      <c r="AD692" s="893"/>
      <c r="AE692" s="893"/>
      <c r="AF692" s="893"/>
      <c r="AG692" s="893"/>
      <c r="AH692" s="893"/>
      <c r="AI692" s="300"/>
      <c r="AJ692" s="300"/>
      <c r="AK692" s="300"/>
      <c r="AL692" s="300"/>
      <c r="AM692" s="300"/>
      <c r="AN692" s="127"/>
    </row>
    <row r="693" ht="14.25" customHeight="1">
      <c r="A693" s="127"/>
      <c r="B693" s="127"/>
      <c r="C693" s="127"/>
      <c r="D693" s="127"/>
      <c r="E693" s="127"/>
      <c r="F693" s="300"/>
      <c r="G693" s="300"/>
      <c r="H693" s="892"/>
      <c r="I693" s="892"/>
      <c r="J693" s="892"/>
      <c r="K693" s="892"/>
      <c r="L693" s="892"/>
      <c r="M693" s="892"/>
      <c r="N693" s="892"/>
      <c r="O693" s="892"/>
      <c r="P693" s="892"/>
      <c r="Q693" s="892"/>
      <c r="R693" s="892"/>
      <c r="S693" s="892"/>
      <c r="T693" s="892"/>
      <c r="U693" s="892"/>
      <c r="V693" s="892"/>
      <c r="W693" s="893"/>
      <c r="X693" s="893"/>
      <c r="Y693" s="893"/>
      <c r="Z693" s="893"/>
      <c r="AA693" s="893"/>
      <c r="AB693" s="893"/>
      <c r="AC693" s="893"/>
      <c r="AD693" s="893"/>
      <c r="AE693" s="893"/>
      <c r="AF693" s="893"/>
      <c r="AG693" s="893"/>
      <c r="AH693" s="893"/>
      <c r="AI693" s="300"/>
      <c r="AJ693" s="300"/>
      <c r="AK693" s="300"/>
      <c r="AL693" s="300"/>
      <c r="AM693" s="300"/>
      <c r="AN693" s="127"/>
    </row>
    <row r="694" ht="14.25" customHeight="1">
      <c r="A694" s="127"/>
      <c r="B694" s="127"/>
      <c r="C694" s="127"/>
      <c r="D694" s="127"/>
      <c r="E694" s="127"/>
      <c r="F694" s="300"/>
      <c r="G694" s="300"/>
      <c r="H694" s="892"/>
      <c r="I694" s="892"/>
      <c r="J694" s="892"/>
      <c r="K694" s="892"/>
      <c r="L694" s="892"/>
      <c r="M694" s="892"/>
      <c r="N694" s="892"/>
      <c r="O694" s="892"/>
      <c r="P694" s="892"/>
      <c r="Q694" s="892"/>
      <c r="R694" s="892"/>
      <c r="S694" s="892"/>
      <c r="T694" s="892"/>
      <c r="U694" s="892"/>
      <c r="V694" s="892"/>
      <c r="W694" s="893"/>
      <c r="X694" s="893"/>
      <c r="Y694" s="893"/>
      <c r="Z694" s="893"/>
      <c r="AA694" s="893"/>
      <c r="AB694" s="893"/>
      <c r="AC694" s="893"/>
      <c r="AD694" s="893"/>
      <c r="AE694" s="893"/>
      <c r="AF694" s="893"/>
      <c r="AG694" s="893"/>
      <c r="AH694" s="893"/>
      <c r="AI694" s="300"/>
      <c r="AJ694" s="300"/>
      <c r="AK694" s="300"/>
      <c r="AL694" s="300"/>
      <c r="AM694" s="300"/>
      <c r="AN694" s="127"/>
    </row>
    <row r="695" ht="14.25" customHeight="1">
      <c r="A695" s="127"/>
      <c r="B695" s="127"/>
      <c r="C695" s="127"/>
      <c r="D695" s="127"/>
      <c r="E695" s="127"/>
      <c r="F695" s="300"/>
      <c r="G695" s="300"/>
      <c r="H695" s="892"/>
      <c r="I695" s="892"/>
      <c r="J695" s="892"/>
      <c r="K695" s="892"/>
      <c r="L695" s="892"/>
      <c r="M695" s="892"/>
      <c r="N695" s="892"/>
      <c r="O695" s="892"/>
      <c r="P695" s="892"/>
      <c r="Q695" s="892"/>
      <c r="R695" s="892"/>
      <c r="S695" s="892"/>
      <c r="T695" s="892"/>
      <c r="U695" s="892"/>
      <c r="V695" s="892"/>
      <c r="W695" s="893"/>
      <c r="X695" s="893"/>
      <c r="Y695" s="893"/>
      <c r="Z695" s="893"/>
      <c r="AA695" s="893"/>
      <c r="AB695" s="893"/>
      <c r="AC695" s="893"/>
      <c r="AD695" s="893"/>
      <c r="AE695" s="893"/>
      <c r="AF695" s="893"/>
      <c r="AG695" s="893"/>
      <c r="AH695" s="893"/>
      <c r="AI695" s="300"/>
      <c r="AJ695" s="300"/>
      <c r="AK695" s="300"/>
      <c r="AL695" s="300"/>
      <c r="AM695" s="300"/>
      <c r="AN695" s="127"/>
    </row>
    <row r="696" ht="14.25" customHeight="1">
      <c r="A696" s="127"/>
      <c r="B696" s="127"/>
      <c r="C696" s="127"/>
      <c r="D696" s="127"/>
      <c r="E696" s="127"/>
      <c r="F696" s="300"/>
      <c r="G696" s="300"/>
      <c r="H696" s="892"/>
      <c r="I696" s="892"/>
      <c r="J696" s="892"/>
      <c r="K696" s="892"/>
      <c r="L696" s="892"/>
      <c r="M696" s="892"/>
      <c r="N696" s="892"/>
      <c r="O696" s="892"/>
      <c r="P696" s="892"/>
      <c r="Q696" s="892"/>
      <c r="R696" s="892"/>
      <c r="S696" s="892"/>
      <c r="T696" s="892"/>
      <c r="U696" s="892"/>
      <c r="V696" s="892"/>
      <c r="W696" s="893"/>
      <c r="X696" s="893"/>
      <c r="Y696" s="893"/>
      <c r="Z696" s="893"/>
      <c r="AA696" s="893"/>
      <c r="AB696" s="893"/>
      <c r="AC696" s="893"/>
      <c r="AD696" s="893"/>
      <c r="AE696" s="893"/>
      <c r="AF696" s="893"/>
      <c r="AG696" s="893"/>
      <c r="AH696" s="893"/>
      <c r="AI696" s="300"/>
      <c r="AJ696" s="300"/>
      <c r="AK696" s="300"/>
      <c r="AL696" s="300"/>
      <c r="AM696" s="300"/>
      <c r="AN696" s="127"/>
    </row>
    <row r="697" ht="14.25" customHeight="1">
      <c r="A697" s="127"/>
      <c r="B697" s="127"/>
      <c r="C697" s="127"/>
      <c r="D697" s="127"/>
      <c r="E697" s="127"/>
      <c r="F697" s="300"/>
      <c r="G697" s="300"/>
      <c r="H697" s="892"/>
      <c r="I697" s="892"/>
      <c r="J697" s="892"/>
      <c r="K697" s="892"/>
      <c r="L697" s="892"/>
      <c r="M697" s="892"/>
      <c r="N697" s="892"/>
      <c r="O697" s="892"/>
      <c r="P697" s="892"/>
      <c r="Q697" s="892"/>
      <c r="R697" s="892"/>
      <c r="S697" s="892"/>
      <c r="T697" s="892"/>
      <c r="U697" s="892"/>
      <c r="V697" s="892"/>
      <c r="W697" s="893"/>
      <c r="X697" s="893"/>
      <c r="Y697" s="893"/>
      <c r="Z697" s="893"/>
      <c r="AA697" s="893"/>
      <c r="AB697" s="893"/>
      <c r="AC697" s="893"/>
      <c r="AD697" s="893"/>
      <c r="AE697" s="893"/>
      <c r="AF697" s="893"/>
      <c r="AG697" s="893"/>
      <c r="AH697" s="893"/>
      <c r="AI697" s="300"/>
      <c r="AJ697" s="300"/>
      <c r="AK697" s="300"/>
      <c r="AL697" s="300"/>
      <c r="AM697" s="300"/>
      <c r="AN697" s="127"/>
    </row>
    <row r="698" ht="14.25" customHeight="1">
      <c r="A698" s="127"/>
      <c r="B698" s="127"/>
      <c r="C698" s="127"/>
      <c r="D698" s="127"/>
      <c r="E698" s="127"/>
      <c r="F698" s="300"/>
      <c r="G698" s="300"/>
      <c r="H698" s="892"/>
      <c r="I698" s="892"/>
      <c r="J698" s="892"/>
      <c r="K698" s="892"/>
      <c r="L698" s="892"/>
      <c r="M698" s="892"/>
      <c r="N698" s="892"/>
      <c r="O698" s="892"/>
      <c r="P698" s="892"/>
      <c r="Q698" s="892"/>
      <c r="R698" s="892"/>
      <c r="S698" s="892"/>
      <c r="T698" s="892"/>
      <c r="U698" s="892"/>
      <c r="V698" s="892"/>
      <c r="W698" s="893"/>
      <c r="X698" s="893"/>
      <c r="Y698" s="893"/>
      <c r="Z698" s="893"/>
      <c r="AA698" s="893"/>
      <c r="AB698" s="893"/>
      <c r="AC698" s="893"/>
      <c r="AD698" s="893"/>
      <c r="AE698" s="893"/>
      <c r="AF698" s="893"/>
      <c r="AG698" s="893"/>
      <c r="AH698" s="893"/>
      <c r="AI698" s="300"/>
      <c r="AJ698" s="300"/>
      <c r="AK698" s="300"/>
      <c r="AL698" s="300"/>
      <c r="AM698" s="300"/>
      <c r="AN698" s="127"/>
    </row>
    <row r="699" ht="14.25" customHeight="1">
      <c r="A699" s="127"/>
      <c r="B699" s="127"/>
      <c r="C699" s="127"/>
      <c r="D699" s="127"/>
      <c r="E699" s="127"/>
      <c r="F699" s="300"/>
      <c r="G699" s="300"/>
      <c r="H699" s="892"/>
      <c r="I699" s="892"/>
      <c r="J699" s="892"/>
      <c r="K699" s="892"/>
      <c r="L699" s="892"/>
      <c r="M699" s="892"/>
      <c r="N699" s="892"/>
      <c r="O699" s="892"/>
      <c r="P699" s="892"/>
      <c r="Q699" s="892"/>
      <c r="R699" s="892"/>
      <c r="S699" s="892"/>
      <c r="T699" s="892"/>
      <c r="U699" s="892"/>
      <c r="V699" s="892"/>
      <c r="W699" s="893"/>
      <c r="X699" s="893"/>
      <c r="Y699" s="893"/>
      <c r="Z699" s="893"/>
      <c r="AA699" s="893"/>
      <c r="AB699" s="893"/>
      <c r="AC699" s="893"/>
      <c r="AD699" s="893"/>
      <c r="AE699" s="893"/>
      <c r="AF699" s="893"/>
      <c r="AG699" s="893"/>
      <c r="AH699" s="893"/>
      <c r="AI699" s="300"/>
      <c r="AJ699" s="300"/>
      <c r="AK699" s="300"/>
      <c r="AL699" s="300"/>
      <c r="AM699" s="300"/>
      <c r="AN699" s="127"/>
    </row>
    <row r="700" ht="14.25" customHeight="1">
      <c r="A700" s="127"/>
      <c r="B700" s="127"/>
      <c r="C700" s="127"/>
      <c r="D700" s="127"/>
      <c r="E700" s="127"/>
      <c r="F700" s="300"/>
      <c r="G700" s="300"/>
      <c r="H700" s="892"/>
      <c r="I700" s="892"/>
      <c r="J700" s="892"/>
      <c r="K700" s="892"/>
      <c r="L700" s="892"/>
      <c r="M700" s="892"/>
      <c r="N700" s="892"/>
      <c r="O700" s="892"/>
      <c r="P700" s="892"/>
      <c r="Q700" s="892"/>
      <c r="R700" s="892"/>
      <c r="S700" s="892"/>
      <c r="T700" s="892"/>
      <c r="U700" s="892"/>
      <c r="V700" s="892"/>
      <c r="W700" s="893"/>
      <c r="X700" s="893"/>
      <c r="Y700" s="893"/>
      <c r="Z700" s="893"/>
      <c r="AA700" s="893"/>
      <c r="AB700" s="893"/>
      <c r="AC700" s="893"/>
      <c r="AD700" s="893"/>
      <c r="AE700" s="893"/>
      <c r="AF700" s="893"/>
      <c r="AG700" s="893"/>
      <c r="AH700" s="893"/>
      <c r="AI700" s="300"/>
      <c r="AJ700" s="300"/>
      <c r="AK700" s="300"/>
      <c r="AL700" s="300"/>
      <c r="AM700" s="300"/>
      <c r="AN700" s="127"/>
    </row>
    <row r="701" ht="14.25" customHeight="1">
      <c r="A701" s="127"/>
      <c r="B701" s="127"/>
      <c r="C701" s="127"/>
      <c r="D701" s="127"/>
      <c r="E701" s="127"/>
      <c r="F701" s="300"/>
      <c r="G701" s="300"/>
      <c r="H701" s="892"/>
      <c r="I701" s="892"/>
      <c r="J701" s="892"/>
      <c r="K701" s="892"/>
      <c r="L701" s="892"/>
      <c r="M701" s="892"/>
      <c r="N701" s="892"/>
      <c r="O701" s="892"/>
      <c r="P701" s="892"/>
      <c r="Q701" s="892"/>
      <c r="R701" s="892"/>
      <c r="S701" s="892"/>
      <c r="T701" s="892"/>
      <c r="U701" s="892"/>
      <c r="V701" s="892"/>
      <c r="W701" s="893"/>
      <c r="X701" s="893"/>
      <c r="Y701" s="893"/>
      <c r="Z701" s="893"/>
      <c r="AA701" s="893"/>
      <c r="AB701" s="893"/>
      <c r="AC701" s="893"/>
      <c r="AD701" s="893"/>
      <c r="AE701" s="893"/>
      <c r="AF701" s="893"/>
      <c r="AG701" s="893"/>
      <c r="AH701" s="893"/>
      <c r="AI701" s="300"/>
      <c r="AJ701" s="300"/>
      <c r="AK701" s="300"/>
      <c r="AL701" s="300"/>
      <c r="AM701" s="300"/>
      <c r="AN701" s="127"/>
    </row>
    <row r="702" ht="14.25" customHeight="1">
      <c r="A702" s="127"/>
      <c r="B702" s="127"/>
      <c r="C702" s="127"/>
      <c r="D702" s="127"/>
      <c r="E702" s="127"/>
      <c r="F702" s="300"/>
      <c r="G702" s="300"/>
      <c r="H702" s="892"/>
      <c r="I702" s="892"/>
      <c r="J702" s="892"/>
      <c r="K702" s="892"/>
      <c r="L702" s="892"/>
      <c r="M702" s="892"/>
      <c r="N702" s="892"/>
      <c r="O702" s="892"/>
      <c r="P702" s="892"/>
      <c r="Q702" s="892"/>
      <c r="R702" s="892"/>
      <c r="S702" s="892"/>
      <c r="T702" s="892"/>
      <c r="U702" s="892"/>
      <c r="V702" s="892"/>
      <c r="W702" s="893"/>
      <c r="X702" s="893"/>
      <c r="Y702" s="893"/>
      <c r="Z702" s="893"/>
      <c r="AA702" s="893"/>
      <c r="AB702" s="893"/>
      <c r="AC702" s="893"/>
      <c r="AD702" s="893"/>
      <c r="AE702" s="893"/>
      <c r="AF702" s="893"/>
      <c r="AG702" s="893"/>
      <c r="AH702" s="893"/>
      <c r="AI702" s="300"/>
      <c r="AJ702" s="300"/>
      <c r="AK702" s="300"/>
      <c r="AL702" s="300"/>
      <c r="AM702" s="300"/>
      <c r="AN702" s="127"/>
    </row>
    <row r="703" ht="14.25" customHeight="1">
      <c r="A703" s="127"/>
      <c r="B703" s="127"/>
      <c r="C703" s="127"/>
      <c r="D703" s="127"/>
      <c r="E703" s="127"/>
      <c r="F703" s="300"/>
      <c r="G703" s="300"/>
      <c r="H703" s="892"/>
      <c r="I703" s="892"/>
      <c r="J703" s="892"/>
      <c r="K703" s="892"/>
      <c r="L703" s="892"/>
      <c r="M703" s="892"/>
      <c r="N703" s="892"/>
      <c r="O703" s="892"/>
      <c r="P703" s="892"/>
      <c r="Q703" s="892"/>
      <c r="R703" s="892"/>
      <c r="S703" s="892"/>
      <c r="T703" s="892"/>
      <c r="U703" s="892"/>
      <c r="V703" s="892"/>
      <c r="W703" s="893"/>
      <c r="X703" s="893"/>
      <c r="Y703" s="893"/>
      <c r="Z703" s="893"/>
      <c r="AA703" s="893"/>
      <c r="AB703" s="893"/>
      <c r="AC703" s="893"/>
      <c r="AD703" s="893"/>
      <c r="AE703" s="893"/>
      <c r="AF703" s="893"/>
      <c r="AG703" s="893"/>
      <c r="AH703" s="893"/>
      <c r="AI703" s="300"/>
      <c r="AJ703" s="300"/>
      <c r="AK703" s="300"/>
      <c r="AL703" s="300"/>
      <c r="AM703" s="300"/>
      <c r="AN703" s="127"/>
    </row>
    <row r="704" ht="14.25" customHeight="1">
      <c r="A704" s="127"/>
      <c r="B704" s="127"/>
      <c r="C704" s="127"/>
      <c r="D704" s="127"/>
      <c r="E704" s="127"/>
      <c r="F704" s="300"/>
      <c r="G704" s="300"/>
      <c r="H704" s="892"/>
      <c r="I704" s="892"/>
      <c r="J704" s="892"/>
      <c r="K704" s="892"/>
      <c r="L704" s="892"/>
      <c r="M704" s="892"/>
      <c r="N704" s="892"/>
      <c r="O704" s="892"/>
      <c r="P704" s="892"/>
      <c r="Q704" s="892"/>
      <c r="R704" s="892"/>
      <c r="S704" s="892"/>
      <c r="T704" s="892"/>
      <c r="U704" s="892"/>
      <c r="V704" s="892"/>
      <c r="W704" s="893"/>
      <c r="X704" s="893"/>
      <c r="Y704" s="893"/>
      <c r="Z704" s="893"/>
      <c r="AA704" s="893"/>
      <c r="AB704" s="893"/>
      <c r="AC704" s="893"/>
      <c r="AD704" s="893"/>
      <c r="AE704" s="893"/>
      <c r="AF704" s="893"/>
      <c r="AG704" s="893"/>
      <c r="AH704" s="893"/>
      <c r="AI704" s="300"/>
      <c r="AJ704" s="300"/>
      <c r="AK704" s="300"/>
      <c r="AL704" s="300"/>
      <c r="AM704" s="300"/>
      <c r="AN704" s="127"/>
    </row>
    <row r="705" ht="14.25" customHeight="1">
      <c r="A705" s="127"/>
      <c r="B705" s="127"/>
      <c r="C705" s="127"/>
      <c r="D705" s="127"/>
      <c r="E705" s="127"/>
      <c r="F705" s="300"/>
      <c r="G705" s="300"/>
      <c r="H705" s="892"/>
      <c r="I705" s="892"/>
      <c r="J705" s="892"/>
      <c r="K705" s="892"/>
      <c r="L705" s="892"/>
      <c r="M705" s="892"/>
      <c r="N705" s="892"/>
      <c r="O705" s="892"/>
      <c r="P705" s="892"/>
      <c r="Q705" s="892"/>
      <c r="R705" s="892"/>
      <c r="S705" s="892"/>
      <c r="T705" s="892"/>
      <c r="U705" s="892"/>
      <c r="V705" s="892"/>
      <c r="W705" s="893"/>
      <c r="X705" s="893"/>
      <c r="Y705" s="893"/>
      <c r="Z705" s="893"/>
      <c r="AA705" s="893"/>
      <c r="AB705" s="893"/>
      <c r="AC705" s="893"/>
      <c r="AD705" s="893"/>
      <c r="AE705" s="893"/>
      <c r="AF705" s="893"/>
      <c r="AG705" s="893"/>
      <c r="AH705" s="893"/>
      <c r="AI705" s="300"/>
      <c r="AJ705" s="300"/>
      <c r="AK705" s="300"/>
      <c r="AL705" s="300"/>
      <c r="AM705" s="300"/>
      <c r="AN705" s="127"/>
    </row>
    <row r="706" ht="14.25" customHeight="1">
      <c r="A706" s="127"/>
      <c r="B706" s="127"/>
      <c r="C706" s="127"/>
      <c r="D706" s="127"/>
      <c r="E706" s="127"/>
      <c r="F706" s="300"/>
      <c r="G706" s="300"/>
      <c r="H706" s="892"/>
      <c r="I706" s="892"/>
      <c r="J706" s="892"/>
      <c r="K706" s="892"/>
      <c r="L706" s="892"/>
      <c r="M706" s="892"/>
      <c r="N706" s="892"/>
      <c r="O706" s="892"/>
      <c r="P706" s="892"/>
      <c r="Q706" s="892"/>
      <c r="R706" s="892"/>
      <c r="S706" s="892"/>
      <c r="T706" s="892"/>
      <c r="U706" s="892"/>
      <c r="V706" s="892"/>
      <c r="W706" s="893"/>
      <c r="X706" s="893"/>
      <c r="Y706" s="893"/>
      <c r="Z706" s="893"/>
      <c r="AA706" s="893"/>
      <c r="AB706" s="893"/>
      <c r="AC706" s="893"/>
      <c r="AD706" s="893"/>
      <c r="AE706" s="893"/>
      <c r="AF706" s="893"/>
      <c r="AG706" s="893"/>
      <c r="AH706" s="893"/>
      <c r="AI706" s="300"/>
      <c r="AJ706" s="300"/>
      <c r="AK706" s="300"/>
      <c r="AL706" s="300"/>
      <c r="AM706" s="300"/>
      <c r="AN706" s="127"/>
    </row>
    <row r="707" ht="14.25" customHeight="1">
      <c r="A707" s="127"/>
      <c r="B707" s="127"/>
      <c r="C707" s="127"/>
      <c r="D707" s="127"/>
      <c r="E707" s="127"/>
      <c r="F707" s="300"/>
      <c r="G707" s="300"/>
      <c r="H707" s="892"/>
      <c r="I707" s="892"/>
      <c r="J707" s="892"/>
      <c r="K707" s="892"/>
      <c r="L707" s="892"/>
      <c r="M707" s="892"/>
      <c r="N707" s="892"/>
      <c r="O707" s="892"/>
      <c r="P707" s="892"/>
      <c r="Q707" s="892"/>
      <c r="R707" s="892"/>
      <c r="S707" s="892"/>
      <c r="T707" s="892"/>
      <c r="U707" s="892"/>
      <c r="V707" s="892"/>
      <c r="W707" s="893"/>
      <c r="X707" s="893"/>
      <c r="Y707" s="893"/>
      <c r="Z707" s="893"/>
      <c r="AA707" s="893"/>
      <c r="AB707" s="893"/>
      <c r="AC707" s="893"/>
      <c r="AD707" s="893"/>
      <c r="AE707" s="893"/>
      <c r="AF707" s="893"/>
      <c r="AG707" s="893"/>
      <c r="AH707" s="893"/>
      <c r="AI707" s="300"/>
      <c r="AJ707" s="300"/>
      <c r="AK707" s="300"/>
      <c r="AL707" s="300"/>
      <c r="AM707" s="300"/>
      <c r="AN707" s="127"/>
    </row>
    <row r="708" ht="14.25" customHeight="1">
      <c r="A708" s="127"/>
      <c r="B708" s="127"/>
      <c r="C708" s="127"/>
      <c r="D708" s="127"/>
      <c r="E708" s="127"/>
      <c r="F708" s="300"/>
      <c r="G708" s="300"/>
      <c r="H708" s="892"/>
      <c r="I708" s="892"/>
      <c r="J708" s="892"/>
      <c r="K708" s="892"/>
      <c r="L708" s="892"/>
      <c r="M708" s="892"/>
      <c r="N708" s="892"/>
      <c r="O708" s="892"/>
      <c r="P708" s="892"/>
      <c r="Q708" s="892"/>
      <c r="R708" s="892"/>
      <c r="S708" s="892"/>
      <c r="T708" s="892"/>
      <c r="U708" s="892"/>
      <c r="V708" s="892"/>
      <c r="W708" s="893"/>
      <c r="X708" s="893"/>
      <c r="Y708" s="893"/>
      <c r="Z708" s="893"/>
      <c r="AA708" s="893"/>
      <c r="AB708" s="893"/>
      <c r="AC708" s="893"/>
      <c r="AD708" s="893"/>
      <c r="AE708" s="893"/>
      <c r="AF708" s="893"/>
      <c r="AG708" s="893"/>
      <c r="AH708" s="893"/>
      <c r="AI708" s="300"/>
      <c r="AJ708" s="300"/>
      <c r="AK708" s="300"/>
      <c r="AL708" s="300"/>
      <c r="AM708" s="300"/>
      <c r="AN708" s="127"/>
    </row>
    <row r="709" ht="14.25" customHeight="1">
      <c r="A709" s="127"/>
      <c r="B709" s="127"/>
      <c r="C709" s="127"/>
      <c r="D709" s="127"/>
      <c r="E709" s="127"/>
      <c r="F709" s="300"/>
      <c r="G709" s="300"/>
      <c r="H709" s="892"/>
      <c r="I709" s="892"/>
      <c r="J709" s="892"/>
      <c r="K709" s="892"/>
      <c r="L709" s="892"/>
      <c r="M709" s="892"/>
      <c r="N709" s="892"/>
      <c r="O709" s="892"/>
      <c r="P709" s="892"/>
      <c r="Q709" s="892"/>
      <c r="R709" s="892"/>
      <c r="S709" s="892"/>
      <c r="T709" s="892"/>
      <c r="U709" s="892"/>
      <c r="V709" s="892"/>
      <c r="W709" s="893"/>
      <c r="X709" s="893"/>
      <c r="Y709" s="893"/>
      <c r="Z709" s="893"/>
      <c r="AA709" s="893"/>
      <c r="AB709" s="893"/>
      <c r="AC709" s="893"/>
      <c r="AD709" s="893"/>
      <c r="AE709" s="893"/>
      <c r="AF709" s="893"/>
      <c r="AG709" s="893"/>
      <c r="AH709" s="893"/>
      <c r="AI709" s="300"/>
      <c r="AJ709" s="300"/>
      <c r="AK709" s="300"/>
      <c r="AL709" s="300"/>
      <c r="AM709" s="300"/>
      <c r="AN709" s="127"/>
    </row>
    <row r="710" ht="14.25" customHeight="1">
      <c r="A710" s="127"/>
      <c r="B710" s="127"/>
      <c r="C710" s="127"/>
      <c r="D710" s="127"/>
      <c r="E710" s="127"/>
      <c r="F710" s="300"/>
      <c r="G710" s="300"/>
      <c r="H710" s="892"/>
      <c r="I710" s="892"/>
      <c r="J710" s="892"/>
      <c r="K710" s="892"/>
      <c r="L710" s="892"/>
      <c r="M710" s="892"/>
      <c r="N710" s="892"/>
      <c r="O710" s="892"/>
      <c r="P710" s="892"/>
      <c r="Q710" s="892"/>
      <c r="R710" s="892"/>
      <c r="S710" s="892"/>
      <c r="T710" s="892"/>
      <c r="U710" s="892"/>
      <c r="V710" s="892"/>
      <c r="W710" s="893"/>
      <c r="X710" s="893"/>
      <c r="Y710" s="893"/>
      <c r="Z710" s="893"/>
      <c r="AA710" s="893"/>
      <c r="AB710" s="893"/>
      <c r="AC710" s="893"/>
      <c r="AD710" s="893"/>
      <c r="AE710" s="893"/>
      <c r="AF710" s="893"/>
      <c r="AG710" s="893"/>
      <c r="AH710" s="893"/>
      <c r="AI710" s="300"/>
      <c r="AJ710" s="300"/>
      <c r="AK710" s="300"/>
      <c r="AL710" s="300"/>
      <c r="AM710" s="300"/>
      <c r="AN710" s="127"/>
    </row>
    <row r="711" ht="14.25" customHeight="1">
      <c r="A711" s="127"/>
      <c r="B711" s="127"/>
      <c r="C711" s="127"/>
      <c r="D711" s="127"/>
      <c r="E711" s="127"/>
      <c r="F711" s="300"/>
      <c r="G711" s="300"/>
      <c r="H711" s="892"/>
      <c r="I711" s="892"/>
      <c r="J711" s="892"/>
      <c r="K711" s="892"/>
      <c r="L711" s="892"/>
      <c r="M711" s="892"/>
      <c r="N711" s="892"/>
      <c r="O711" s="892"/>
      <c r="P711" s="892"/>
      <c r="Q711" s="892"/>
      <c r="R711" s="892"/>
      <c r="S711" s="892"/>
      <c r="T711" s="892"/>
      <c r="U711" s="892"/>
      <c r="V711" s="892"/>
      <c r="W711" s="893"/>
      <c r="X711" s="893"/>
      <c r="Y711" s="893"/>
      <c r="Z711" s="893"/>
      <c r="AA711" s="893"/>
      <c r="AB711" s="893"/>
      <c r="AC711" s="893"/>
      <c r="AD711" s="893"/>
      <c r="AE711" s="893"/>
      <c r="AF711" s="893"/>
      <c r="AG711" s="893"/>
      <c r="AH711" s="893"/>
      <c r="AI711" s="300"/>
      <c r="AJ711" s="300"/>
      <c r="AK711" s="300"/>
      <c r="AL711" s="300"/>
      <c r="AM711" s="300"/>
      <c r="AN711" s="127"/>
    </row>
    <row r="712" ht="14.25" customHeight="1">
      <c r="A712" s="127"/>
      <c r="B712" s="127"/>
      <c r="C712" s="127"/>
      <c r="D712" s="127"/>
      <c r="E712" s="127"/>
      <c r="F712" s="300"/>
      <c r="G712" s="300"/>
      <c r="H712" s="892"/>
      <c r="I712" s="892"/>
      <c r="J712" s="892"/>
      <c r="K712" s="892"/>
      <c r="L712" s="892"/>
      <c r="M712" s="892"/>
      <c r="N712" s="892"/>
      <c r="O712" s="892"/>
      <c r="P712" s="892"/>
      <c r="Q712" s="892"/>
      <c r="R712" s="892"/>
      <c r="S712" s="892"/>
      <c r="T712" s="892"/>
      <c r="U712" s="892"/>
      <c r="V712" s="892"/>
      <c r="W712" s="893"/>
      <c r="X712" s="893"/>
      <c r="Y712" s="893"/>
      <c r="Z712" s="893"/>
      <c r="AA712" s="893"/>
      <c r="AB712" s="893"/>
      <c r="AC712" s="893"/>
      <c r="AD712" s="893"/>
      <c r="AE712" s="893"/>
      <c r="AF712" s="893"/>
      <c r="AG712" s="893"/>
      <c r="AH712" s="893"/>
      <c r="AI712" s="300"/>
      <c r="AJ712" s="300"/>
      <c r="AK712" s="300"/>
      <c r="AL712" s="300"/>
      <c r="AM712" s="300"/>
      <c r="AN712" s="127"/>
    </row>
    <row r="713" ht="14.25" customHeight="1">
      <c r="A713" s="127"/>
      <c r="B713" s="127"/>
      <c r="C713" s="127"/>
      <c r="D713" s="127"/>
      <c r="E713" s="127"/>
      <c r="F713" s="300"/>
      <c r="G713" s="300"/>
      <c r="H713" s="892"/>
      <c r="I713" s="892"/>
      <c r="J713" s="892"/>
      <c r="K713" s="892"/>
      <c r="L713" s="892"/>
      <c r="M713" s="892"/>
      <c r="N713" s="892"/>
      <c r="O713" s="892"/>
      <c r="P713" s="892"/>
      <c r="Q713" s="892"/>
      <c r="R713" s="892"/>
      <c r="S713" s="892"/>
      <c r="T713" s="892"/>
      <c r="U713" s="892"/>
      <c r="V713" s="892"/>
      <c r="W713" s="893"/>
      <c r="X713" s="893"/>
      <c r="Y713" s="893"/>
      <c r="Z713" s="893"/>
      <c r="AA713" s="893"/>
      <c r="AB713" s="893"/>
      <c r="AC713" s="893"/>
      <c r="AD713" s="893"/>
      <c r="AE713" s="893"/>
      <c r="AF713" s="893"/>
      <c r="AG713" s="893"/>
      <c r="AH713" s="893"/>
      <c r="AI713" s="300"/>
      <c r="AJ713" s="300"/>
      <c r="AK713" s="300"/>
      <c r="AL713" s="300"/>
      <c r="AM713" s="300"/>
      <c r="AN713" s="127"/>
    </row>
    <row r="714" ht="14.25" customHeight="1">
      <c r="A714" s="127"/>
      <c r="B714" s="127"/>
      <c r="C714" s="127"/>
      <c r="D714" s="127"/>
      <c r="E714" s="127"/>
      <c r="F714" s="300"/>
      <c r="G714" s="300"/>
      <c r="H714" s="892"/>
      <c r="I714" s="892"/>
      <c r="J714" s="892"/>
      <c r="K714" s="892"/>
      <c r="L714" s="892"/>
      <c r="M714" s="892"/>
      <c r="N714" s="892"/>
      <c r="O714" s="892"/>
      <c r="P714" s="892"/>
      <c r="Q714" s="892"/>
      <c r="R714" s="892"/>
      <c r="S714" s="892"/>
      <c r="T714" s="892"/>
      <c r="U714" s="892"/>
      <c r="V714" s="892"/>
      <c r="W714" s="893"/>
      <c r="X714" s="893"/>
      <c r="Y714" s="893"/>
      <c r="Z714" s="893"/>
      <c r="AA714" s="893"/>
      <c r="AB714" s="893"/>
      <c r="AC714" s="893"/>
      <c r="AD714" s="893"/>
      <c r="AE714" s="893"/>
      <c r="AF714" s="893"/>
      <c r="AG714" s="893"/>
      <c r="AH714" s="893"/>
      <c r="AI714" s="300"/>
      <c r="AJ714" s="300"/>
      <c r="AK714" s="300"/>
      <c r="AL714" s="300"/>
      <c r="AM714" s="300"/>
      <c r="AN714" s="127"/>
    </row>
    <row r="715" ht="14.25" customHeight="1">
      <c r="A715" s="127"/>
      <c r="B715" s="127"/>
      <c r="C715" s="127"/>
      <c r="D715" s="127"/>
      <c r="E715" s="127"/>
      <c r="F715" s="300"/>
      <c r="G715" s="300"/>
      <c r="H715" s="892"/>
      <c r="I715" s="892"/>
      <c r="J715" s="892"/>
      <c r="K715" s="892"/>
      <c r="L715" s="892"/>
      <c r="M715" s="892"/>
      <c r="N715" s="892"/>
      <c r="O715" s="892"/>
      <c r="P715" s="892"/>
      <c r="Q715" s="892"/>
      <c r="R715" s="892"/>
      <c r="S715" s="892"/>
      <c r="T715" s="892"/>
      <c r="U715" s="892"/>
      <c r="V715" s="892"/>
      <c r="W715" s="893"/>
      <c r="X715" s="893"/>
      <c r="Y715" s="893"/>
      <c r="Z715" s="893"/>
      <c r="AA715" s="893"/>
      <c r="AB715" s="893"/>
      <c r="AC715" s="893"/>
      <c r="AD715" s="893"/>
      <c r="AE715" s="893"/>
      <c r="AF715" s="893"/>
      <c r="AG715" s="893"/>
      <c r="AH715" s="893"/>
      <c r="AI715" s="300"/>
      <c r="AJ715" s="300"/>
      <c r="AK715" s="300"/>
      <c r="AL715" s="300"/>
      <c r="AM715" s="300"/>
      <c r="AN715" s="127"/>
    </row>
    <row r="716" ht="14.25" customHeight="1">
      <c r="A716" s="127"/>
      <c r="B716" s="127"/>
      <c r="C716" s="127"/>
      <c r="D716" s="127"/>
      <c r="E716" s="127"/>
      <c r="F716" s="300"/>
      <c r="G716" s="300"/>
      <c r="H716" s="892"/>
      <c r="I716" s="892"/>
      <c r="J716" s="892"/>
      <c r="K716" s="892"/>
      <c r="L716" s="892"/>
      <c r="M716" s="892"/>
      <c r="N716" s="892"/>
      <c r="O716" s="892"/>
      <c r="P716" s="892"/>
      <c r="Q716" s="892"/>
      <c r="R716" s="892"/>
      <c r="S716" s="892"/>
      <c r="T716" s="892"/>
      <c r="U716" s="892"/>
      <c r="V716" s="892"/>
      <c r="W716" s="893"/>
      <c r="X716" s="893"/>
      <c r="Y716" s="893"/>
      <c r="Z716" s="893"/>
      <c r="AA716" s="893"/>
      <c r="AB716" s="893"/>
      <c r="AC716" s="893"/>
      <c r="AD716" s="893"/>
      <c r="AE716" s="893"/>
      <c r="AF716" s="893"/>
      <c r="AG716" s="893"/>
      <c r="AH716" s="893"/>
      <c r="AI716" s="300"/>
      <c r="AJ716" s="300"/>
      <c r="AK716" s="300"/>
      <c r="AL716" s="300"/>
      <c r="AM716" s="300"/>
      <c r="AN716" s="127"/>
    </row>
    <row r="717" ht="14.25" customHeight="1">
      <c r="A717" s="127"/>
      <c r="B717" s="127"/>
      <c r="C717" s="127"/>
      <c r="D717" s="127"/>
      <c r="E717" s="127"/>
      <c r="F717" s="300"/>
      <c r="G717" s="300"/>
      <c r="H717" s="892"/>
      <c r="I717" s="892"/>
      <c r="J717" s="892"/>
      <c r="K717" s="892"/>
      <c r="L717" s="892"/>
      <c r="M717" s="892"/>
      <c r="N717" s="892"/>
      <c r="O717" s="892"/>
      <c r="P717" s="892"/>
      <c r="Q717" s="892"/>
      <c r="R717" s="892"/>
      <c r="S717" s="892"/>
      <c r="T717" s="892"/>
      <c r="U717" s="892"/>
      <c r="V717" s="892"/>
      <c r="W717" s="893"/>
      <c r="X717" s="893"/>
      <c r="Y717" s="893"/>
      <c r="Z717" s="893"/>
      <c r="AA717" s="893"/>
      <c r="AB717" s="893"/>
      <c r="AC717" s="893"/>
      <c r="AD717" s="893"/>
      <c r="AE717" s="893"/>
      <c r="AF717" s="893"/>
      <c r="AG717" s="893"/>
      <c r="AH717" s="893"/>
      <c r="AI717" s="300"/>
      <c r="AJ717" s="300"/>
      <c r="AK717" s="300"/>
      <c r="AL717" s="300"/>
      <c r="AM717" s="300"/>
      <c r="AN717" s="127"/>
    </row>
    <row r="718" ht="14.25" customHeight="1">
      <c r="A718" s="127"/>
      <c r="B718" s="127"/>
      <c r="C718" s="127"/>
      <c r="D718" s="127"/>
      <c r="E718" s="127"/>
      <c r="F718" s="300"/>
      <c r="G718" s="300"/>
      <c r="H718" s="892"/>
      <c r="I718" s="892"/>
      <c r="J718" s="892"/>
      <c r="K718" s="892"/>
      <c r="L718" s="892"/>
      <c r="M718" s="892"/>
      <c r="N718" s="892"/>
      <c r="O718" s="892"/>
      <c r="P718" s="892"/>
      <c r="Q718" s="892"/>
      <c r="R718" s="892"/>
      <c r="S718" s="892"/>
      <c r="T718" s="892"/>
      <c r="U718" s="892"/>
      <c r="V718" s="892"/>
      <c r="W718" s="893"/>
      <c r="X718" s="893"/>
      <c r="Y718" s="893"/>
      <c r="Z718" s="893"/>
      <c r="AA718" s="893"/>
      <c r="AB718" s="893"/>
      <c r="AC718" s="893"/>
      <c r="AD718" s="893"/>
      <c r="AE718" s="893"/>
      <c r="AF718" s="893"/>
      <c r="AG718" s="893"/>
      <c r="AH718" s="893"/>
      <c r="AI718" s="300"/>
      <c r="AJ718" s="300"/>
      <c r="AK718" s="300"/>
      <c r="AL718" s="300"/>
      <c r="AM718" s="300"/>
      <c r="AN718" s="127"/>
    </row>
    <row r="719" ht="14.25" customHeight="1">
      <c r="A719" s="127"/>
      <c r="B719" s="127"/>
      <c r="C719" s="127"/>
      <c r="D719" s="127"/>
      <c r="E719" s="127"/>
      <c r="F719" s="300"/>
      <c r="G719" s="300"/>
      <c r="H719" s="892"/>
      <c r="I719" s="892"/>
      <c r="J719" s="892"/>
      <c r="K719" s="892"/>
      <c r="L719" s="892"/>
      <c r="M719" s="892"/>
      <c r="N719" s="892"/>
      <c r="O719" s="892"/>
      <c r="P719" s="892"/>
      <c r="Q719" s="892"/>
      <c r="R719" s="892"/>
      <c r="S719" s="892"/>
      <c r="T719" s="892"/>
      <c r="U719" s="892"/>
      <c r="V719" s="892"/>
      <c r="W719" s="893"/>
      <c r="X719" s="893"/>
      <c r="Y719" s="893"/>
      <c r="Z719" s="893"/>
      <c r="AA719" s="893"/>
      <c r="AB719" s="893"/>
      <c r="AC719" s="893"/>
      <c r="AD719" s="893"/>
      <c r="AE719" s="893"/>
      <c r="AF719" s="893"/>
      <c r="AG719" s="893"/>
      <c r="AH719" s="893"/>
      <c r="AI719" s="300"/>
      <c r="AJ719" s="300"/>
      <c r="AK719" s="300"/>
      <c r="AL719" s="300"/>
      <c r="AM719" s="300"/>
      <c r="AN719" s="127"/>
    </row>
    <row r="720" ht="14.25" customHeight="1">
      <c r="A720" s="127"/>
      <c r="B720" s="127"/>
      <c r="C720" s="127"/>
      <c r="D720" s="127"/>
      <c r="E720" s="127"/>
      <c r="F720" s="300"/>
      <c r="G720" s="300"/>
      <c r="H720" s="892"/>
      <c r="I720" s="892"/>
      <c r="J720" s="892"/>
      <c r="K720" s="892"/>
      <c r="L720" s="892"/>
      <c r="M720" s="892"/>
      <c r="N720" s="892"/>
      <c r="O720" s="892"/>
      <c r="P720" s="892"/>
      <c r="Q720" s="892"/>
      <c r="R720" s="892"/>
      <c r="S720" s="892"/>
      <c r="T720" s="892"/>
      <c r="U720" s="892"/>
      <c r="V720" s="892"/>
      <c r="W720" s="893"/>
      <c r="X720" s="893"/>
      <c r="Y720" s="893"/>
      <c r="Z720" s="893"/>
      <c r="AA720" s="893"/>
      <c r="AB720" s="893"/>
      <c r="AC720" s="893"/>
      <c r="AD720" s="893"/>
      <c r="AE720" s="893"/>
      <c r="AF720" s="893"/>
      <c r="AG720" s="893"/>
      <c r="AH720" s="893"/>
      <c r="AI720" s="300"/>
      <c r="AJ720" s="300"/>
      <c r="AK720" s="300"/>
      <c r="AL720" s="300"/>
      <c r="AM720" s="300"/>
      <c r="AN720" s="127"/>
    </row>
    <row r="721" ht="14.25" customHeight="1">
      <c r="A721" s="127"/>
      <c r="B721" s="127"/>
      <c r="C721" s="127"/>
      <c r="D721" s="127"/>
      <c r="E721" s="127"/>
      <c r="F721" s="300"/>
      <c r="G721" s="300"/>
      <c r="H721" s="892"/>
      <c r="I721" s="892"/>
      <c r="J721" s="892"/>
      <c r="K721" s="892"/>
      <c r="L721" s="892"/>
      <c r="M721" s="892"/>
      <c r="N721" s="892"/>
      <c r="O721" s="892"/>
      <c r="P721" s="892"/>
      <c r="Q721" s="892"/>
      <c r="R721" s="892"/>
      <c r="S721" s="892"/>
      <c r="T721" s="892"/>
      <c r="U721" s="892"/>
      <c r="V721" s="892"/>
      <c r="W721" s="893"/>
      <c r="X721" s="893"/>
      <c r="Y721" s="893"/>
      <c r="Z721" s="893"/>
      <c r="AA721" s="893"/>
      <c r="AB721" s="893"/>
      <c r="AC721" s="893"/>
      <c r="AD721" s="893"/>
      <c r="AE721" s="893"/>
      <c r="AF721" s="893"/>
      <c r="AG721" s="893"/>
      <c r="AH721" s="893"/>
      <c r="AI721" s="300"/>
      <c r="AJ721" s="300"/>
      <c r="AK721" s="300"/>
      <c r="AL721" s="300"/>
      <c r="AM721" s="300"/>
      <c r="AN721" s="127"/>
    </row>
    <row r="722" ht="14.25" customHeight="1">
      <c r="A722" s="127"/>
      <c r="B722" s="127"/>
      <c r="C722" s="127"/>
      <c r="D722" s="127"/>
      <c r="E722" s="127"/>
      <c r="F722" s="300"/>
      <c r="G722" s="300"/>
      <c r="H722" s="892"/>
      <c r="I722" s="892"/>
      <c r="J722" s="892"/>
      <c r="K722" s="892"/>
      <c r="L722" s="892"/>
      <c r="M722" s="892"/>
      <c r="N722" s="892"/>
      <c r="O722" s="892"/>
      <c r="P722" s="892"/>
      <c r="Q722" s="892"/>
      <c r="R722" s="892"/>
      <c r="S722" s="892"/>
      <c r="T722" s="892"/>
      <c r="U722" s="892"/>
      <c r="V722" s="892"/>
      <c r="W722" s="893"/>
      <c r="X722" s="893"/>
      <c r="Y722" s="893"/>
      <c r="Z722" s="893"/>
      <c r="AA722" s="893"/>
      <c r="AB722" s="893"/>
      <c r="AC722" s="893"/>
      <c r="AD722" s="893"/>
      <c r="AE722" s="893"/>
      <c r="AF722" s="893"/>
      <c r="AG722" s="893"/>
      <c r="AH722" s="893"/>
      <c r="AI722" s="300"/>
      <c r="AJ722" s="300"/>
      <c r="AK722" s="300"/>
      <c r="AL722" s="300"/>
      <c r="AM722" s="300"/>
      <c r="AN722" s="127"/>
    </row>
    <row r="723" ht="14.25" customHeight="1">
      <c r="A723" s="127"/>
      <c r="B723" s="127"/>
      <c r="C723" s="127"/>
      <c r="D723" s="127"/>
      <c r="E723" s="127"/>
      <c r="F723" s="300"/>
      <c r="G723" s="300"/>
      <c r="H723" s="892"/>
      <c r="I723" s="892"/>
      <c r="J723" s="892"/>
      <c r="K723" s="892"/>
      <c r="L723" s="892"/>
      <c r="M723" s="892"/>
      <c r="N723" s="892"/>
      <c r="O723" s="892"/>
      <c r="P723" s="892"/>
      <c r="Q723" s="892"/>
      <c r="R723" s="892"/>
      <c r="S723" s="892"/>
      <c r="T723" s="892"/>
      <c r="U723" s="892"/>
      <c r="V723" s="892"/>
      <c r="W723" s="893"/>
      <c r="X723" s="893"/>
      <c r="Y723" s="893"/>
      <c r="Z723" s="893"/>
      <c r="AA723" s="893"/>
      <c r="AB723" s="893"/>
      <c r="AC723" s="893"/>
      <c r="AD723" s="893"/>
      <c r="AE723" s="893"/>
      <c r="AF723" s="893"/>
      <c r="AG723" s="893"/>
      <c r="AH723" s="893"/>
      <c r="AI723" s="300"/>
      <c r="AJ723" s="300"/>
      <c r="AK723" s="300"/>
      <c r="AL723" s="300"/>
      <c r="AM723" s="300"/>
      <c r="AN723" s="127"/>
    </row>
    <row r="724" ht="14.25" customHeight="1">
      <c r="A724" s="127"/>
      <c r="B724" s="127"/>
      <c r="C724" s="127"/>
      <c r="D724" s="127"/>
      <c r="E724" s="127"/>
      <c r="F724" s="300"/>
      <c r="G724" s="300"/>
      <c r="H724" s="892"/>
      <c r="I724" s="892"/>
      <c r="J724" s="892"/>
      <c r="K724" s="892"/>
      <c r="L724" s="892"/>
      <c r="M724" s="892"/>
      <c r="N724" s="892"/>
      <c r="O724" s="892"/>
      <c r="P724" s="892"/>
      <c r="Q724" s="892"/>
      <c r="R724" s="892"/>
      <c r="S724" s="892"/>
      <c r="T724" s="892"/>
      <c r="U724" s="892"/>
      <c r="V724" s="892"/>
      <c r="W724" s="893"/>
      <c r="X724" s="893"/>
      <c r="Y724" s="893"/>
      <c r="Z724" s="893"/>
      <c r="AA724" s="893"/>
      <c r="AB724" s="893"/>
      <c r="AC724" s="893"/>
      <c r="AD724" s="893"/>
      <c r="AE724" s="893"/>
      <c r="AF724" s="893"/>
      <c r="AG724" s="893"/>
      <c r="AH724" s="893"/>
      <c r="AI724" s="300"/>
      <c r="AJ724" s="300"/>
      <c r="AK724" s="300"/>
      <c r="AL724" s="300"/>
      <c r="AM724" s="300"/>
      <c r="AN724" s="127"/>
    </row>
    <row r="725" ht="14.25" customHeight="1">
      <c r="A725" s="127"/>
      <c r="B725" s="127"/>
      <c r="C725" s="127"/>
      <c r="D725" s="127"/>
      <c r="E725" s="127"/>
      <c r="F725" s="300"/>
      <c r="G725" s="300"/>
      <c r="H725" s="892"/>
      <c r="I725" s="892"/>
      <c r="J725" s="892"/>
      <c r="K725" s="892"/>
      <c r="L725" s="892"/>
      <c r="M725" s="892"/>
      <c r="N725" s="892"/>
      <c r="O725" s="892"/>
      <c r="P725" s="892"/>
      <c r="Q725" s="892"/>
      <c r="R725" s="892"/>
      <c r="S725" s="892"/>
      <c r="T725" s="892"/>
      <c r="U725" s="892"/>
      <c r="V725" s="892"/>
      <c r="W725" s="893"/>
      <c r="X725" s="893"/>
      <c r="Y725" s="893"/>
      <c r="Z725" s="893"/>
      <c r="AA725" s="893"/>
      <c r="AB725" s="893"/>
      <c r="AC725" s="893"/>
      <c r="AD725" s="893"/>
      <c r="AE725" s="893"/>
      <c r="AF725" s="893"/>
      <c r="AG725" s="893"/>
      <c r="AH725" s="893"/>
      <c r="AI725" s="300"/>
      <c r="AJ725" s="300"/>
      <c r="AK725" s="300"/>
      <c r="AL725" s="300"/>
      <c r="AM725" s="300"/>
      <c r="AN725" s="127"/>
    </row>
    <row r="726" ht="14.25" customHeight="1">
      <c r="A726" s="127"/>
      <c r="B726" s="127"/>
      <c r="C726" s="127"/>
      <c r="D726" s="127"/>
      <c r="E726" s="127"/>
      <c r="F726" s="300"/>
      <c r="G726" s="300"/>
      <c r="H726" s="892"/>
      <c r="I726" s="892"/>
      <c r="J726" s="892"/>
      <c r="K726" s="892"/>
      <c r="L726" s="892"/>
      <c r="M726" s="892"/>
      <c r="N726" s="892"/>
      <c r="O726" s="892"/>
      <c r="P726" s="892"/>
      <c r="Q726" s="892"/>
      <c r="R726" s="892"/>
      <c r="S726" s="892"/>
      <c r="T726" s="892"/>
      <c r="U726" s="892"/>
      <c r="V726" s="892"/>
      <c r="W726" s="893"/>
      <c r="X726" s="893"/>
      <c r="Y726" s="893"/>
      <c r="Z726" s="893"/>
      <c r="AA726" s="893"/>
      <c r="AB726" s="893"/>
      <c r="AC726" s="893"/>
      <c r="AD726" s="893"/>
      <c r="AE726" s="893"/>
      <c r="AF726" s="893"/>
      <c r="AG726" s="893"/>
      <c r="AH726" s="893"/>
      <c r="AI726" s="300"/>
      <c r="AJ726" s="300"/>
      <c r="AK726" s="300"/>
      <c r="AL726" s="300"/>
      <c r="AM726" s="300"/>
      <c r="AN726" s="127"/>
    </row>
    <row r="727" ht="14.25" customHeight="1">
      <c r="A727" s="127"/>
      <c r="B727" s="127"/>
      <c r="C727" s="127"/>
      <c r="D727" s="127"/>
      <c r="E727" s="127"/>
      <c r="F727" s="300"/>
      <c r="G727" s="300"/>
      <c r="H727" s="892"/>
      <c r="I727" s="892"/>
      <c r="J727" s="892"/>
      <c r="K727" s="892"/>
      <c r="L727" s="892"/>
      <c r="M727" s="892"/>
      <c r="N727" s="892"/>
      <c r="O727" s="892"/>
      <c r="P727" s="892"/>
      <c r="Q727" s="892"/>
      <c r="R727" s="892"/>
      <c r="S727" s="892"/>
      <c r="T727" s="892"/>
      <c r="U727" s="892"/>
      <c r="V727" s="892"/>
      <c r="W727" s="893"/>
      <c r="X727" s="893"/>
      <c r="Y727" s="893"/>
      <c r="Z727" s="893"/>
      <c r="AA727" s="893"/>
      <c r="AB727" s="893"/>
      <c r="AC727" s="893"/>
      <c r="AD727" s="893"/>
      <c r="AE727" s="893"/>
      <c r="AF727" s="893"/>
      <c r="AG727" s="893"/>
      <c r="AH727" s="893"/>
      <c r="AI727" s="300"/>
      <c r="AJ727" s="300"/>
      <c r="AK727" s="300"/>
      <c r="AL727" s="300"/>
      <c r="AM727" s="300"/>
      <c r="AN727" s="127"/>
    </row>
    <row r="728" ht="14.25" customHeight="1">
      <c r="A728" s="127"/>
      <c r="B728" s="127"/>
      <c r="C728" s="127"/>
      <c r="D728" s="127"/>
      <c r="E728" s="127"/>
      <c r="F728" s="300"/>
      <c r="G728" s="300"/>
      <c r="H728" s="892"/>
      <c r="I728" s="892"/>
      <c r="J728" s="892"/>
      <c r="K728" s="892"/>
      <c r="L728" s="892"/>
      <c r="M728" s="892"/>
      <c r="N728" s="892"/>
      <c r="O728" s="892"/>
      <c r="P728" s="892"/>
      <c r="Q728" s="892"/>
      <c r="R728" s="892"/>
      <c r="S728" s="892"/>
      <c r="T728" s="892"/>
      <c r="U728" s="892"/>
      <c r="V728" s="892"/>
      <c r="W728" s="893"/>
      <c r="X728" s="893"/>
      <c r="Y728" s="893"/>
      <c r="Z728" s="893"/>
      <c r="AA728" s="893"/>
      <c r="AB728" s="893"/>
      <c r="AC728" s="893"/>
      <c r="AD728" s="893"/>
      <c r="AE728" s="893"/>
      <c r="AF728" s="893"/>
      <c r="AG728" s="893"/>
      <c r="AH728" s="893"/>
      <c r="AI728" s="300"/>
      <c r="AJ728" s="300"/>
      <c r="AK728" s="300"/>
      <c r="AL728" s="300"/>
      <c r="AM728" s="300"/>
      <c r="AN728" s="127"/>
    </row>
    <row r="729" ht="14.25" customHeight="1">
      <c r="A729" s="127"/>
      <c r="B729" s="127"/>
      <c r="C729" s="127"/>
      <c r="D729" s="127"/>
      <c r="E729" s="127"/>
      <c r="F729" s="300"/>
      <c r="G729" s="300"/>
      <c r="H729" s="892"/>
      <c r="I729" s="892"/>
      <c r="J729" s="892"/>
      <c r="K729" s="892"/>
      <c r="L729" s="892"/>
      <c r="M729" s="892"/>
      <c r="N729" s="892"/>
      <c r="O729" s="892"/>
      <c r="P729" s="892"/>
      <c r="Q729" s="892"/>
      <c r="R729" s="892"/>
      <c r="S729" s="892"/>
      <c r="T729" s="892"/>
      <c r="U729" s="892"/>
      <c r="V729" s="892"/>
      <c r="W729" s="893"/>
      <c r="X729" s="893"/>
      <c r="Y729" s="893"/>
      <c r="Z729" s="893"/>
      <c r="AA729" s="893"/>
      <c r="AB729" s="893"/>
      <c r="AC729" s="893"/>
      <c r="AD729" s="893"/>
      <c r="AE729" s="893"/>
      <c r="AF729" s="893"/>
      <c r="AG729" s="893"/>
      <c r="AH729" s="893"/>
      <c r="AI729" s="300"/>
      <c r="AJ729" s="300"/>
      <c r="AK729" s="300"/>
      <c r="AL729" s="300"/>
      <c r="AM729" s="300"/>
      <c r="AN729" s="127"/>
    </row>
    <row r="730" ht="14.25" customHeight="1">
      <c r="A730" s="127"/>
      <c r="B730" s="127"/>
      <c r="C730" s="127"/>
      <c r="D730" s="127"/>
      <c r="E730" s="127"/>
      <c r="F730" s="300"/>
      <c r="G730" s="300"/>
      <c r="H730" s="892"/>
      <c r="I730" s="892"/>
      <c r="J730" s="892"/>
      <c r="K730" s="892"/>
      <c r="L730" s="892"/>
      <c r="M730" s="892"/>
      <c r="N730" s="892"/>
      <c r="O730" s="892"/>
      <c r="P730" s="892"/>
      <c r="Q730" s="892"/>
      <c r="R730" s="892"/>
      <c r="S730" s="892"/>
      <c r="T730" s="892"/>
      <c r="U730" s="892"/>
      <c r="V730" s="892"/>
      <c r="W730" s="893"/>
      <c r="X730" s="893"/>
      <c r="Y730" s="893"/>
      <c r="Z730" s="893"/>
      <c r="AA730" s="893"/>
      <c r="AB730" s="893"/>
      <c r="AC730" s="893"/>
      <c r="AD730" s="893"/>
      <c r="AE730" s="893"/>
      <c r="AF730" s="893"/>
      <c r="AG730" s="893"/>
      <c r="AH730" s="893"/>
      <c r="AI730" s="300"/>
      <c r="AJ730" s="300"/>
      <c r="AK730" s="300"/>
      <c r="AL730" s="300"/>
      <c r="AM730" s="300"/>
      <c r="AN730" s="127"/>
    </row>
    <row r="731" ht="14.25" customHeight="1">
      <c r="A731" s="127"/>
      <c r="B731" s="127"/>
      <c r="C731" s="127"/>
      <c r="D731" s="127"/>
      <c r="E731" s="127"/>
      <c r="F731" s="300"/>
      <c r="G731" s="300"/>
      <c r="H731" s="892"/>
      <c r="I731" s="892"/>
      <c r="J731" s="892"/>
      <c r="K731" s="892"/>
      <c r="L731" s="892"/>
      <c r="M731" s="892"/>
      <c r="N731" s="892"/>
      <c r="O731" s="892"/>
      <c r="P731" s="892"/>
      <c r="Q731" s="892"/>
      <c r="R731" s="892"/>
      <c r="S731" s="892"/>
      <c r="T731" s="892"/>
      <c r="U731" s="892"/>
      <c r="V731" s="892"/>
      <c r="W731" s="893"/>
      <c r="X731" s="893"/>
      <c r="Y731" s="893"/>
      <c r="Z731" s="893"/>
      <c r="AA731" s="893"/>
      <c r="AB731" s="893"/>
      <c r="AC731" s="893"/>
      <c r="AD731" s="893"/>
      <c r="AE731" s="893"/>
      <c r="AF731" s="893"/>
      <c r="AG731" s="893"/>
      <c r="AH731" s="893"/>
      <c r="AI731" s="300"/>
      <c r="AJ731" s="300"/>
      <c r="AK731" s="300"/>
      <c r="AL731" s="300"/>
      <c r="AM731" s="300"/>
      <c r="AN731" s="127"/>
    </row>
    <row r="732" ht="14.25" customHeight="1">
      <c r="A732" s="127"/>
      <c r="B732" s="127"/>
      <c r="C732" s="127"/>
      <c r="D732" s="127"/>
      <c r="E732" s="127"/>
      <c r="F732" s="300"/>
      <c r="G732" s="300"/>
      <c r="H732" s="892"/>
      <c r="I732" s="892"/>
      <c r="J732" s="892"/>
      <c r="K732" s="892"/>
      <c r="L732" s="892"/>
      <c r="M732" s="892"/>
      <c r="N732" s="892"/>
      <c r="O732" s="892"/>
      <c r="P732" s="892"/>
      <c r="Q732" s="892"/>
      <c r="R732" s="892"/>
      <c r="S732" s="892"/>
      <c r="T732" s="892"/>
      <c r="U732" s="892"/>
      <c r="V732" s="892"/>
      <c r="W732" s="893"/>
      <c r="X732" s="893"/>
      <c r="Y732" s="893"/>
      <c r="Z732" s="893"/>
      <c r="AA732" s="893"/>
      <c r="AB732" s="893"/>
      <c r="AC732" s="893"/>
      <c r="AD732" s="893"/>
      <c r="AE732" s="893"/>
      <c r="AF732" s="893"/>
      <c r="AG732" s="893"/>
      <c r="AH732" s="893"/>
      <c r="AI732" s="300"/>
      <c r="AJ732" s="300"/>
      <c r="AK732" s="300"/>
      <c r="AL732" s="300"/>
      <c r="AM732" s="300"/>
      <c r="AN732" s="127"/>
    </row>
    <row r="733" ht="14.25" customHeight="1">
      <c r="A733" s="127"/>
      <c r="B733" s="127"/>
      <c r="C733" s="127"/>
      <c r="D733" s="127"/>
      <c r="E733" s="127"/>
      <c r="F733" s="300"/>
      <c r="G733" s="300"/>
      <c r="H733" s="892"/>
      <c r="I733" s="892"/>
      <c r="J733" s="892"/>
      <c r="K733" s="892"/>
      <c r="L733" s="892"/>
      <c r="M733" s="892"/>
      <c r="N733" s="892"/>
      <c r="O733" s="892"/>
      <c r="P733" s="892"/>
      <c r="Q733" s="892"/>
      <c r="R733" s="892"/>
      <c r="S733" s="892"/>
      <c r="T733" s="892"/>
      <c r="U733" s="892"/>
      <c r="V733" s="892"/>
      <c r="W733" s="893"/>
      <c r="X733" s="893"/>
      <c r="Y733" s="893"/>
      <c r="Z733" s="893"/>
      <c r="AA733" s="893"/>
      <c r="AB733" s="893"/>
      <c r="AC733" s="893"/>
      <c r="AD733" s="893"/>
      <c r="AE733" s="893"/>
      <c r="AF733" s="893"/>
      <c r="AG733" s="893"/>
      <c r="AH733" s="893"/>
      <c r="AI733" s="300"/>
      <c r="AJ733" s="300"/>
      <c r="AK733" s="300"/>
      <c r="AL733" s="300"/>
      <c r="AM733" s="300"/>
      <c r="AN733" s="127"/>
    </row>
    <row r="734" ht="14.25" customHeight="1">
      <c r="A734" s="127"/>
      <c r="B734" s="127"/>
      <c r="C734" s="127"/>
      <c r="D734" s="127"/>
      <c r="E734" s="127"/>
      <c r="F734" s="300"/>
      <c r="G734" s="300"/>
      <c r="H734" s="892"/>
      <c r="I734" s="892"/>
      <c r="J734" s="892"/>
      <c r="K734" s="892"/>
      <c r="L734" s="892"/>
      <c r="M734" s="892"/>
      <c r="N734" s="892"/>
      <c r="O734" s="892"/>
      <c r="P734" s="892"/>
      <c r="Q734" s="892"/>
      <c r="R734" s="892"/>
      <c r="S734" s="892"/>
      <c r="T734" s="892"/>
      <c r="U734" s="892"/>
      <c r="V734" s="892"/>
      <c r="W734" s="893"/>
      <c r="X734" s="893"/>
      <c r="Y734" s="893"/>
      <c r="Z734" s="893"/>
      <c r="AA734" s="893"/>
      <c r="AB734" s="893"/>
      <c r="AC734" s="893"/>
      <c r="AD734" s="893"/>
      <c r="AE734" s="893"/>
      <c r="AF734" s="893"/>
      <c r="AG734" s="893"/>
      <c r="AH734" s="893"/>
      <c r="AI734" s="300"/>
      <c r="AJ734" s="300"/>
      <c r="AK734" s="300"/>
      <c r="AL734" s="300"/>
      <c r="AM734" s="300"/>
      <c r="AN734" s="127"/>
    </row>
    <row r="735" ht="14.25" customHeight="1">
      <c r="A735" s="127"/>
      <c r="B735" s="127"/>
      <c r="C735" s="127"/>
      <c r="D735" s="127"/>
      <c r="E735" s="127"/>
      <c r="F735" s="300"/>
      <c r="G735" s="300"/>
      <c r="H735" s="892"/>
      <c r="I735" s="892"/>
      <c r="J735" s="892"/>
      <c r="K735" s="892"/>
      <c r="L735" s="892"/>
      <c r="M735" s="892"/>
      <c r="N735" s="892"/>
      <c r="O735" s="892"/>
      <c r="P735" s="892"/>
      <c r="Q735" s="892"/>
      <c r="R735" s="892"/>
      <c r="S735" s="892"/>
      <c r="T735" s="892"/>
      <c r="U735" s="892"/>
      <c r="V735" s="892"/>
      <c r="W735" s="893"/>
      <c r="X735" s="893"/>
      <c r="Y735" s="893"/>
      <c r="Z735" s="893"/>
      <c r="AA735" s="893"/>
      <c r="AB735" s="893"/>
      <c r="AC735" s="893"/>
      <c r="AD735" s="893"/>
      <c r="AE735" s="893"/>
      <c r="AF735" s="893"/>
      <c r="AG735" s="893"/>
      <c r="AH735" s="893"/>
      <c r="AI735" s="300"/>
      <c r="AJ735" s="300"/>
      <c r="AK735" s="300"/>
      <c r="AL735" s="300"/>
      <c r="AM735" s="300"/>
      <c r="AN735" s="127"/>
    </row>
    <row r="736" ht="14.25" customHeight="1">
      <c r="A736" s="127"/>
      <c r="B736" s="127"/>
      <c r="C736" s="127"/>
      <c r="D736" s="127"/>
      <c r="E736" s="127"/>
      <c r="F736" s="300"/>
      <c r="G736" s="300"/>
      <c r="H736" s="892"/>
      <c r="I736" s="892"/>
      <c r="J736" s="892"/>
      <c r="K736" s="892"/>
      <c r="L736" s="892"/>
      <c r="M736" s="892"/>
      <c r="N736" s="892"/>
      <c r="O736" s="892"/>
      <c r="P736" s="892"/>
      <c r="Q736" s="892"/>
      <c r="R736" s="892"/>
      <c r="S736" s="892"/>
      <c r="T736" s="892"/>
      <c r="U736" s="892"/>
      <c r="V736" s="892"/>
      <c r="W736" s="893"/>
      <c r="X736" s="893"/>
      <c r="Y736" s="893"/>
      <c r="Z736" s="893"/>
      <c r="AA736" s="893"/>
      <c r="AB736" s="893"/>
      <c r="AC736" s="893"/>
      <c r="AD736" s="893"/>
      <c r="AE736" s="893"/>
      <c r="AF736" s="893"/>
      <c r="AG736" s="893"/>
      <c r="AH736" s="893"/>
      <c r="AI736" s="300"/>
      <c r="AJ736" s="300"/>
      <c r="AK736" s="300"/>
      <c r="AL736" s="300"/>
      <c r="AM736" s="300"/>
      <c r="AN736" s="127"/>
    </row>
    <row r="737" ht="14.25" customHeight="1">
      <c r="A737" s="127"/>
      <c r="B737" s="127"/>
      <c r="C737" s="127"/>
      <c r="D737" s="127"/>
      <c r="E737" s="127"/>
      <c r="F737" s="300"/>
      <c r="G737" s="300"/>
      <c r="H737" s="892"/>
      <c r="I737" s="892"/>
      <c r="J737" s="892"/>
      <c r="K737" s="892"/>
      <c r="L737" s="892"/>
      <c r="M737" s="892"/>
      <c r="N737" s="892"/>
      <c r="O737" s="892"/>
      <c r="P737" s="892"/>
      <c r="Q737" s="892"/>
      <c r="R737" s="892"/>
      <c r="S737" s="892"/>
      <c r="T737" s="892"/>
      <c r="U737" s="892"/>
      <c r="V737" s="892"/>
      <c r="W737" s="893"/>
      <c r="X737" s="893"/>
      <c r="Y737" s="893"/>
      <c r="Z737" s="893"/>
      <c r="AA737" s="893"/>
      <c r="AB737" s="893"/>
      <c r="AC737" s="893"/>
      <c r="AD737" s="893"/>
      <c r="AE737" s="893"/>
      <c r="AF737" s="893"/>
      <c r="AG737" s="893"/>
      <c r="AH737" s="893"/>
      <c r="AI737" s="300"/>
      <c r="AJ737" s="300"/>
      <c r="AK737" s="300"/>
      <c r="AL737" s="300"/>
      <c r="AM737" s="300"/>
      <c r="AN737" s="127"/>
    </row>
    <row r="738" ht="14.25" customHeight="1">
      <c r="A738" s="127"/>
      <c r="B738" s="127"/>
      <c r="C738" s="127"/>
      <c r="D738" s="127"/>
      <c r="E738" s="127"/>
      <c r="F738" s="300"/>
      <c r="G738" s="300"/>
      <c r="H738" s="892"/>
      <c r="I738" s="892"/>
      <c r="J738" s="892"/>
      <c r="K738" s="892"/>
      <c r="L738" s="892"/>
      <c r="M738" s="892"/>
      <c r="N738" s="892"/>
      <c r="O738" s="892"/>
      <c r="P738" s="892"/>
      <c r="Q738" s="892"/>
      <c r="R738" s="892"/>
      <c r="S738" s="892"/>
      <c r="T738" s="892"/>
      <c r="U738" s="892"/>
      <c r="V738" s="892"/>
      <c r="W738" s="893"/>
      <c r="X738" s="893"/>
      <c r="Y738" s="893"/>
      <c r="Z738" s="893"/>
      <c r="AA738" s="893"/>
      <c r="AB738" s="893"/>
      <c r="AC738" s="893"/>
      <c r="AD738" s="893"/>
      <c r="AE738" s="893"/>
      <c r="AF738" s="893"/>
      <c r="AG738" s="893"/>
      <c r="AH738" s="893"/>
      <c r="AI738" s="300"/>
      <c r="AJ738" s="300"/>
      <c r="AK738" s="300"/>
      <c r="AL738" s="300"/>
      <c r="AM738" s="300"/>
      <c r="AN738" s="127"/>
    </row>
    <row r="739" ht="14.25" customHeight="1">
      <c r="A739" s="127"/>
      <c r="B739" s="127"/>
      <c r="C739" s="127"/>
      <c r="D739" s="127"/>
      <c r="E739" s="127"/>
      <c r="F739" s="300"/>
      <c r="G739" s="300"/>
      <c r="H739" s="892"/>
      <c r="I739" s="892"/>
      <c r="J739" s="892"/>
      <c r="K739" s="892"/>
      <c r="L739" s="892"/>
      <c r="M739" s="892"/>
      <c r="N739" s="892"/>
      <c r="O739" s="892"/>
      <c r="P739" s="892"/>
      <c r="Q739" s="892"/>
      <c r="R739" s="892"/>
      <c r="S739" s="892"/>
      <c r="T739" s="892"/>
      <c r="U739" s="892"/>
      <c r="V739" s="892"/>
      <c r="W739" s="893"/>
      <c r="X739" s="893"/>
      <c r="Y739" s="893"/>
      <c r="Z739" s="893"/>
      <c r="AA739" s="893"/>
      <c r="AB739" s="893"/>
      <c r="AC739" s="893"/>
      <c r="AD739" s="893"/>
      <c r="AE739" s="893"/>
      <c r="AF739" s="893"/>
      <c r="AG739" s="893"/>
      <c r="AH739" s="893"/>
      <c r="AI739" s="300"/>
      <c r="AJ739" s="300"/>
      <c r="AK739" s="300"/>
      <c r="AL739" s="300"/>
      <c r="AM739" s="300"/>
      <c r="AN739" s="127"/>
    </row>
    <row r="740" ht="14.25" customHeight="1">
      <c r="A740" s="127"/>
      <c r="B740" s="127"/>
      <c r="C740" s="127"/>
      <c r="D740" s="127"/>
      <c r="E740" s="127"/>
      <c r="F740" s="300"/>
      <c r="G740" s="300"/>
      <c r="H740" s="892"/>
      <c r="I740" s="892"/>
      <c r="J740" s="892"/>
      <c r="K740" s="892"/>
      <c r="L740" s="892"/>
      <c r="M740" s="892"/>
      <c r="N740" s="892"/>
      <c r="O740" s="892"/>
      <c r="P740" s="892"/>
      <c r="Q740" s="892"/>
      <c r="R740" s="892"/>
      <c r="S740" s="892"/>
      <c r="T740" s="892"/>
      <c r="U740" s="892"/>
      <c r="V740" s="892"/>
      <c r="W740" s="893"/>
      <c r="X740" s="893"/>
      <c r="Y740" s="893"/>
      <c r="Z740" s="893"/>
      <c r="AA740" s="893"/>
      <c r="AB740" s="893"/>
      <c r="AC740" s="893"/>
      <c r="AD740" s="893"/>
      <c r="AE740" s="893"/>
      <c r="AF740" s="893"/>
      <c r="AG740" s="893"/>
      <c r="AH740" s="893"/>
      <c r="AI740" s="300"/>
      <c r="AJ740" s="300"/>
      <c r="AK740" s="300"/>
      <c r="AL740" s="300"/>
      <c r="AM740" s="300"/>
      <c r="AN740" s="127"/>
    </row>
    <row r="741" ht="14.25" customHeight="1">
      <c r="A741" s="127"/>
      <c r="B741" s="127"/>
      <c r="C741" s="127"/>
      <c r="D741" s="127"/>
      <c r="E741" s="127"/>
      <c r="F741" s="300"/>
      <c r="G741" s="300"/>
      <c r="H741" s="892"/>
      <c r="I741" s="892"/>
      <c r="J741" s="892"/>
      <c r="K741" s="892"/>
      <c r="L741" s="892"/>
      <c r="M741" s="892"/>
      <c r="N741" s="892"/>
      <c r="O741" s="892"/>
      <c r="P741" s="892"/>
      <c r="Q741" s="892"/>
      <c r="R741" s="892"/>
      <c r="S741" s="892"/>
      <c r="T741" s="892"/>
      <c r="U741" s="892"/>
      <c r="V741" s="892"/>
      <c r="W741" s="893"/>
      <c r="X741" s="893"/>
      <c r="Y741" s="893"/>
      <c r="Z741" s="893"/>
      <c r="AA741" s="893"/>
      <c r="AB741" s="893"/>
      <c r="AC741" s="893"/>
      <c r="AD741" s="893"/>
      <c r="AE741" s="893"/>
      <c r="AF741" s="893"/>
      <c r="AG741" s="893"/>
      <c r="AH741" s="893"/>
      <c r="AI741" s="300"/>
      <c r="AJ741" s="300"/>
      <c r="AK741" s="300"/>
      <c r="AL741" s="300"/>
      <c r="AM741" s="300"/>
      <c r="AN741" s="127"/>
    </row>
    <row r="742" ht="14.25" customHeight="1">
      <c r="A742" s="127"/>
      <c r="B742" s="127"/>
      <c r="C742" s="127"/>
      <c r="D742" s="127"/>
      <c r="E742" s="127"/>
      <c r="F742" s="300"/>
      <c r="G742" s="300"/>
      <c r="H742" s="892"/>
      <c r="I742" s="892"/>
      <c r="J742" s="892"/>
      <c r="K742" s="892"/>
      <c r="L742" s="892"/>
      <c r="M742" s="892"/>
      <c r="N742" s="892"/>
      <c r="O742" s="892"/>
      <c r="P742" s="892"/>
      <c r="Q742" s="892"/>
      <c r="R742" s="892"/>
      <c r="S742" s="892"/>
      <c r="T742" s="892"/>
      <c r="U742" s="892"/>
      <c r="V742" s="892"/>
      <c r="W742" s="893"/>
      <c r="X742" s="893"/>
      <c r="Y742" s="893"/>
      <c r="Z742" s="893"/>
      <c r="AA742" s="893"/>
      <c r="AB742" s="893"/>
      <c r="AC742" s="893"/>
      <c r="AD742" s="893"/>
      <c r="AE742" s="893"/>
      <c r="AF742" s="893"/>
      <c r="AG742" s="893"/>
      <c r="AH742" s="893"/>
      <c r="AI742" s="300"/>
      <c r="AJ742" s="300"/>
      <c r="AK742" s="300"/>
      <c r="AL742" s="300"/>
      <c r="AM742" s="300"/>
      <c r="AN742" s="127"/>
    </row>
    <row r="743" ht="14.25" customHeight="1">
      <c r="A743" s="127"/>
      <c r="B743" s="127"/>
      <c r="C743" s="127"/>
      <c r="D743" s="127"/>
      <c r="E743" s="127"/>
      <c r="F743" s="300"/>
      <c r="G743" s="300"/>
      <c r="H743" s="892"/>
      <c r="I743" s="892"/>
      <c r="J743" s="892"/>
      <c r="K743" s="892"/>
      <c r="L743" s="892"/>
      <c r="M743" s="892"/>
      <c r="N743" s="892"/>
      <c r="O743" s="892"/>
      <c r="P743" s="892"/>
      <c r="Q743" s="892"/>
      <c r="R743" s="892"/>
      <c r="S743" s="892"/>
      <c r="T743" s="892"/>
      <c r="U743" s="892"/>
      <c r="V743" s="892"/>
      <c r="W743" s="893"/>
      <c r="X743" s="893"/>
      <c r="Y743" s="893"/>
      <c r="Z743" s="893"/>
      <c r="AA743" s="893"/>
      <c r="AB743" s="893"/>
      <c r="AC743" s="893"/>
      <c r="AD743" s="893"/>
      <c r="AE743" s="893"/>
      <c r="AF743" s="893"/>
      <c r="AG743" s="893"/>
      <c r="AH743" s="893"/>
      <c r="AI743" s="300"/>
      <c r="AJ743" s="300"/>
      <c r="AK743" s="300"/>
      <c r="AL743" s="300"/>
      <c r="AM743" s="300"/>
      <c r="AN743" s="127"/>
    </row>
    <row r="744" ht="14.25" customHeight="1">
      <c r="A744" s="127"/>
      <c r="B744" s="127"/>
      <c r="C744" s="127"/>
      <c r="D744" s="127"/>
      <c r="E744" s="127"/>
      <c r="F744" s="300"/>
      <c r="G744" s="300"/>
      <c r="H744" s="892"/>
      <c r="I744" s="892"/>
      <c r="J744" s="892"/>
      <c r="K744" s="892"/>
      <c r="L744" s="892"/>
      <c r="M744" s="892"/>
      <c r="N744" s="892"/>
      <c r="O744" s="892"/>
      <c r="P744" s="892"/>
      <c r="Q744" s="892"/>
      <c r="R744" s="892"/>
      <c r="S744" s="892"/>
      <c r="T744" s="892"/>
      <c r="U744" s="892"/>
      <c r="V744" s="892"/>
      <c r="W744" s="893"/>
      <c r="X744" s="893"/>
      <c r="Y744" s="893"/>
      <c r="Z744" s="893"/>
      <c r="AA744" s="893"/>
      <c r="AB744" s="893"/>
      <c r="AC744" s="893"/>
      <c r="AD744" s="893"/>
      <c r="AE744" s="893"/>
      <c r="AF744" s="893"/>
      <c r="AG744" s="893"/>
      <c r="AH744" s="893"/>
      <c r="AI744" s="300"/>
      <c r="AJ744" s="300"/>
      <c r="AK744" s="300"/>
      <c r="AL744" s="300"/>
      <c r="AM744" s="300"/>
      <c r="AN744" s="127"/>
    </row>
    <row r="745" ht="14.25" customHeight="1">
      <c r="A745" s="127"/>
      <c r="B745" s="127"/>
      <c r="C745" s="127"/>
      <c r="D745" s="127"/>
      <c r="E745" s="127"/>
      <c r="F745" s="300"/>
      <c r="G745" s="300"/>
      <c r="H745" s="892"/>
      <c r="I745" s="892"/>
      <c r="J745" s="892"/>
      <c r="K745" s="892"/>
      <c r="L745" s="892"/>
      <c r="M745" s="892"/>
      <c r="N745" s="892"/>
      <c r="O745" s="892"/>
      <c r="P745" s="892"/>
      <c r="Q745" s="892"/>
      <c r="R745" s="892"/>
      <c r="S745" s="892"/>
      <c r="T745" s="892"/>
      <c r="U745" s="892"/>
      <c r="V745" s="892"/>
      <c r="W745" s="893"/>
      <c r="X745" s="893"/>
      <c r="Y745" s="893"/>
      <c r="Z745" s="893"/>
      <c r="AA745" s="893"/>
      <c r="AB745" s="893"/>
      <c r="AC745" s="893"/>
      <c r="AD745" s="893"/>
      <c r="AE745" s="893"/>
      <c r="AF745" s="893"/>
      <c r="AG745" s="893"/>
      <c r="AH745" s="893"/>
      <c r="AI745" s="300"/>
      <c r="AJ745" s="300"/>
      <c r="AK745" s="300"/>
      <c r="AL745" s="300"/>
      <c r="AM745" s="300"/>
      <c r="AN745" s="127"/>
    </row>
    <row r="746" ht="14.25" customHeight="1">
      <c r="A746" s="127"/>
      <c r="B746" s="127"/>
      <c r="C746" s="127"/>
      <c r="D746" s="127"/>
      <c r="E746" s="127"/>
      <c r="F746" s="300"/>
      <c r="G746" s="300"/>
      <c r="H746" s="892"/>
      <c r="I746" s="892"/>
      <c r="J746" s="892"/>
      <c r="K746" s="892"/>
      <c r="L746" s="892"/>
      <c r="M746" s="892"/>
      <c r="N746" s="892"/>
      <c r="O746" s="892"/>
      <c r="P746" s="892"/>
      <c r="Q746" s="892"/>
      <c r="R746" s="892"/>
      <c r="S746" s="892"/>
      <c r="T746" s="892"/>
      <c r="U746" s="892"/>
      <c r="V746" s="892"/>
      <c r="W746" s="893"/>
      <c r="X746" s="893"/>
      <c r="Y746" s="893"/>
      <c r="Z746" s="893"/>
      <c r="AA746" s="893"/>
      <c r="AB746" s="893"/>
      <c r="AC746" s="893"/>
      <c r="AD746" s="893"/>
      <c r="AE746" s="893"/>
      <c r="AF746" s="893"/>
      <c r="AG746" s="893"/>
      <c r="AH746" s="893"/>
      <c r="AI746" s="300"/>
      <c r="AJ746" s="300"/>
      <c r="AK746" s="300"/>
      <c r="AL746" s="300"/>
      <c r="AM746" s="300"/>
      <c r="AN746" s="127"/>
    </row>
    <row r="747" ht="14.25" customHeight="1">
      <c r="A747" s="127"/>
      <c r="B747" s="127"/>
      <c r="C747" s="127"/>
      <c r="D747" s="127"/>
      <c r="E747" s="127"/>
      <c r="F747" s="300"/>
      <c r="G747" s="300"/>
      <c r="H747" s="892"/>
      <c r="I747" s="892"/>
      <c r="J747" s="892"/>
      <c r="K747" s="892"/>
      <c r="L747" s="892"/>
      <c r="M747" s="892"/>
      <c r="N747" s="892"/>
      <c r="O747" s="892"/>
      <c r="P747" s="892"/>
      <c r="Q747" s="892"/>
      <c r="R747" s="892"/>
      <c r="S747" s="892"/>
      <c r="T747" s="892"/>
      <c r="U747" s="892"/>
      <c r="V747" s="892"/>
      <c r="W747" s="893"/>
      <c r="X747" s="893"/>
      <c r="Y747" s="893"/>
      <c r="Z747" s="893"/>
      <c r="AA747" s="893"/>
      <c r="AB747" s="893"/>
      <c r="AC747" s="893"/>
      <c r="AD747" s="893"/>
      <c r="AE747" s="893"/>
      <c r="AF747" s="893"/>
      <c r="AG747" s="893"/>
      <c r="AH747" s="893"/>
      <c r="AI747" s="300"/>
      <c r="AJ747" s="300"/>
      <c r="AK747" s="300"/>
      <c r="AL747" s="300"/>
      <c r="AM747" s="300"/>
      <c r="AN747" s="127"/>
    </row>
    <row r="748" ht="14.25" customHeight="1">
      <c r="A748" s="127"/>
      <c r="B748" s="127"/>
      <c r="C748" s="127"/>
      <c r="D748" s="127"/>
      <c r="E748" s="127"/>
      <c r="F748" s="300"/>
      <c r="G748" s="300"/>
      <c r="H748" s="892"/>
      <c r="I748" s="892"/>
      <c r="J748" s="892"/>
      <c r="K748" s="892"/>
      <c r="L748" s="892"/>
      <c r="M748" s="892"/>
      <c r="N748" s="892"/>
      <c r="O748" s="892"/>
      <c r="P748" s="892"/>
      <c r="Q748" s="892"/>
      <c r="R748" s="892"/>
      <c r="S748" s="892"/>
      <c r="T748" s="892"/>
      <c r="U748" s="892"/>
      <c r="V748" s="892"/>
      <c r="W748" s="893"/>
      <c r="X748" s="893"/>
      <c r="Y748" s="893"/>
      <c r="Z748" s="893"/>
      <c r="AA748" s="893"/>
      <c r="AB748" s="893"/>
      <c r="AC748" s="893"/>
      <c r="AD748" s="893"/>
      <c r="AE748" s="893"/>
      <c r="AF748" s="893"/>
      <c r="AG748" s="893"/>
      <c r="AH748" s="893"/>
      <c r="AI748" s="300"/>
      <c r="AJ748" s="300"/>
      <c r="AK748" s="300"/>
      <c r="AL748" s="300"/>
      <c r="AM748" s="300"/>
      <c r="AN748" s="127"/>
    </row>
    <row r="749" ht="14.25" customHeight="1">
      <c r="A749" s="127"/>
      <c r="B749" s="127"/>
      <c r="C749" s="127"/>
      <c r="D749" s="127"/>
      <c r="E749" s="127"/>
      <c r="F749" s="300"/>
      <c r="G749" s="300"/>
      <c r="H749" s="892"/>
      <c r="I749" s="892"/>
      <c r="J749" s="892"/>
      <c r="K749" s="892"/>
      <c r="L749" s="892"/>
      <c r="M749" s="892"/>
      <c r="N749" s="892"/>
      <c r="O749" s="892"/>
      <c r="P749" s="892"/>
      <c r="Q749" s="892"/>
      <c r="R749" s="892"/>
      <c r="S749" s="892"/>
      <c r="T749" s="892"/>
      <c r="U749" s="892"/>
      <c r="V749" s="892"/>
      <c r="W749" s="893"/>
      <c r="X749" s="893"/>
      <c r="Y749" s="893"/>
      <c r="Z749" s="893"/>
      <c r="AA749" s="893"/>
      <c r="AB749" s="893"/>
      <c r="AC749" s="893"/>
      <c r="AD749" s="893"/>
      <c r="AE749" s="893"/>
      <c r="AF749" s="893"/>
      <c r="AG749" s="893"/>
      <c r="AH749" s="893"/>
      <c r="AI749" s="300"/>
      <c r="AJ749" s="300"/>
      <c r="AK749" s="300"/>
      <c r="AL749" s="300"/>
      <c r="AM749" s="300"/>
      <c r="AN749" s="127"/>
    </row>
    <row r="750" ht="14.25" customHeight="1">
      <c r="A750" s="127"/>
      <c r="B750" s="127"/>
      <c r="C750" s="127"/>
      <c r="D750" s="127"/>
      <c r="E750" s="127"/>
      <c r="F750" s="300"/>
      <c r="G750" s="300"/>
      <c r="H750" s="892"/>
      <c r="I750" s="892"/>
      <c r="J750" s="892"/>
      <c r="K750" s="892"/>
      <c r="L750" s="892"/>
      <c r="M750" s="892"/>
      <c r="N750" s="892"/>
      <c r="O750" s="892"/>
      <c r="P750" s="892"/>
      <c r="Q750" s="892"/>
      <c r="R750" s="892"/>
      <c r="S750" s="892"/>
      <c r="T750" s="892"/>
      <c r="U750" s="892"/>
      <c r="V750" s="892"/>
      <c r="W750" s="893"/>
      <c r="X750" s="893"/>
      <c r="Y750" s="893"/>
      <c r="Z750" s="893"/>
      <c r="AA750" s="893"/>
      <c r="AB750" s="893"/>
      <c r="AC750" s="893"/>
      <c r="AD750" s="893"/>
      <c r="AE750" s="893"/>
      <c r="AF750" s="893"/>
      <c r="AG750" s="893"/>
      <c r="AH750" s="893"/>
      <c r="AI750" s="300"/>
      <c r="AJ750" s="300"/>
      <c r="AK750" s="300"/>
      <c r="AL750" s="300"/>
      <c r="AM750" s="300"/>
      <c r="AN750" s="127"/>
    </row>
    <row r="751" ht="14.25" customHeight="1">
      <c r="A751" s="127"/>
      <c r="B751" s="127"/>
      <c r="C751" s="127"/>
      <c r="D751" s="127"/>
      <c r="E751" s="127"/>
      <c r="F751" s="300"/>
      <c r="G751" s="300"/>
      <c r="H751" s="892"/>
      <c r="I751" s="892"/>
      <c r="J751" s="892"/>
      <c r="K751" s="892"/>
      <c r="L751" s="892"/>
      <c r="M751" s="892"/>
      <c r="N751" s="892"/>
      <c r="O751" s="892"/>
      <c r="P751" s="892"/>
      <c r="Q751" s="892"/>
      <c r="R751" s="892"/>
      <c r="S751" s="892"/>
      <c r="T751" s="892"/>
      <c r="U751" s="892"/>
      <c r="V751" s="892"/>
      <c r="W751" s="893"/>
      <c r="X751" s="893"/>
      <c r="Y751" s="893"/>
      <c r="Z751" s="893"/>
      <c r="AA751" s="893"/>
      <c r="AB751" s="893"/>
      <c r="AC751" s="893"/>
      <c r="AD751" s="893"/>
      <c r="AE751" s="893"/>
      <c r="AF751" s="893"/>
      <c r="AG751" s="893"/>
      <c r="AH751" s="893"/>
      <c r="AI751" s="300"/>
      <c r="AJ751" s="300"/>
      <c r="AK751" s="300"/>
      <c r="AL751" s="300"/>
      <c r="AM751" s="300"/>
      <c r="AN751" s="127"/>
    </row>
    <row r="752" ht="14.25" customHeight="1">
      <c r="A752" s="127"/>
      <c r="B752" s="127"/>
      <c r="C752" s="127"/>
      <c r="D752" s="127"/>
      <c r="E752" s="127"/>
      <c r="F752" s="300"/>
      <c r="G752" s="300"/>
      <c r="H752" s="892"/>
      <c r="I752" s="892"/>
      <c r="J752" s="892"/>
      <c r="K752" s="892"/>
      <c r="L752" s="892"/>
      <c r="M752" s="892"/>
      <c r="N752" s="892"/>
      <c r="O752" s="892"/>
      <c r="P752" s="892"/>
      <c r="Q752" s="892"/>
      <c r="R752" s="892"/>
      <c r="S752" s="892"/>
      <c r="T752" s="892"/>
      <c r="U752" s="892"/>
      <c r="V752" s="892"/>
      <c r="W752" s="893"/>
      <c r="X752" s="893"/>
      <c r="Y752" s="893"/>
      <c r="Z752" s="893"/>
      <c r="AA752" s="893"/>
      <c r="AB752" s="893"/>
      <c r="AC752" s="893"/>
      <c r="AD752" s="893"/>
      <c r="AE752" s="893"/>
      <c r="AF752" s="893"/>
      <c r="AG752" s="893"/>
      <c r="AH752" s="893"/>
      <c r="AI752" s="300"/>
      <c r="AJ752" s="300"/>
      <c r="AK752" s="300"/>
      <c r="AL752" s="300"/>
      <c r="AM752" s="300"/>
      <c r="AN752" s="127"/>
    </row>
    <row r="753" ht="14.25" customHeight="1">
      <c r="A753" s="127"/>
      <c r="B753" s="127"/>
      <c r="C753" s="127"/>
      <c r="D753" s="127"/>
      <c r="E753" s="127"/>
      <c r="F753" s="300"/>
      <c r="G753" s="300"/>
      <c r="H753" s="892"/>
      <c r="I753" s="892"/>
      <c r="J753" s="892"/>
      <c r="K753" s="892"/>
      <c r="L753" s="892"/>
      <c r="M753" s="892"/>
      <c r="N753" s="892"/>
      <c r="O753" s="892"/>
      <c r="P753" s="892"/>
      <c r="Q753" s="892"/>
      <c r="R753" s="892"/>
      <c r="S753" s="892"/>
      <c r="T753" s="892"/>
      <c r="U753" s="892"/>
      <c r="V753" s="892"/>
      <c r="W753" s="893"/>
      <c r="X753" s="893"/>
      <c r="Y753" s="893"/>
      <c r="Z753" s="893"/>
      <c r="AA753" s="893"/>
      <c r="AB753" s="893"/>
      <c r="AC753" s="893"/>
      <c r="AD753" s="893"/>
      <c r="AE753" s="893"/>
      <c r="AF753" s="893"/>
      <c r="AG753" s="893"/>
      <c r="AH753" s="893"/>
      <c r="AI753" s="300"/>
      <c r="AJ753" s="300"/>
      <c r="AK753" s="300"/>
      <c r="AL753" s="300"/>
      <c r="AM753" s="300"/>
      <c r="AN753" s="127"/>
    </row>
    <row r="754" ht="14.25" customHeight="1">
      <c r="A754" s="127"/>
      <c r="B754" s="127"/>
      <c r="C754" s="127"/>
      <c r="D754" s="127"/>
      <c r="E754" s="127"/>
      <c r="F754" s="300"/>
      <c r="G754" s="300"/>
      <c r="H754" s="892"/>
      <c r="I754" s="892"/>
      <c r="J754" s="892"/>
      <c r="K754" s="892"/>
      <c r="L754" s="892"/>
      <c r="M754" s="892"/>
      <c r="N754" s="892"/>
      <c r="O754" s="892"/>
      <c r="P754" s="892"/>
      <c r="Q754" s="892"/>
      <c r="R754" s="892"/>
      <c r="S754" s="892"/>
      <c r="T754" s="892"/>
      <c r="U754" s="892"/>
      <c r="V754" s="892"/>
      <c r="W754" s="893"/>
      <c r="X754" s="893"/>
      <c r="Y754" s="893"/>
      <c r="Z754" s="893"/>
      <c r="AA754" s="893"/>
      <c r="AB754" s="893"/>
      <c r="AC754" s="893"/>
      <c r="AD754" s="893"/>
      <c r="AE754" s="893"/>
      <c r="AF754" s="893"/>
      <c r="AG754" s="893"/>
      <c r="AH754" s="893"/>
      <c r="AI754" s="300"/>
      <c r="AJ754" s="300"/>
      <c r="AK754" s="300"/>
      <c r="AL754" s="300"/>
      <c r="AM754" s="300"/>
      <c r="AN754" s="127"/>
    </row>
    <row r="755" ht="14.25" customHeight="1">
      <c r="A755" s="127"/>
      <c r="B755" s="127"/>
      <c r="C755" s="127"/>
      <c r="D755" s="127"/>
      <c r="E755" s="127"/>
      <c r="F755" s="300"/>
      <c r="G755" s="300"/>
      <c r="H755" s="892"/>
      <c r="I755" s="892"/>
      <c r="J755" s="892"/>
      <c r="K755" s="892"/>
      <c r="L755" s="892"/>
      <c r="M755" s="892"/>
      <c r="N755" s="892"/>
      <c r="O755" s="892"/>
      <c r="P755" s="892"/>
      <c r="Q755" s="892"/>
      <c r="R755" s="892"/>
      <c r="S755" s="892"/>
      <c r="T755" s="892"/>
      <c r="U755" s="892"/>
      <c r="V755" s="892"/>
      <c r="W755" s="893"/>
      <c r="X755" s="893"/>
      <c r="Y755" s="893"/>
      <c r="Z755" s="893"/>
      <c r="AA755" s="893"/>
      <c r="AB755" s="893"/>
      <c r="AC755" s="893"/>
      <c r="AD755" s="893"/>
      <c r="AE755" s="893"/>
      <c r="AF755" s="893"/>
      <c r="AG755" s="893"/>
      <c r="AH755" s="893"/>
      <c r="AI755" s="300"/>
      <c r="AJ755" s="300"/>
      <c r="AK755" s="300"/>
      <c r="AL755" s="300"/>
      <c r="AM755" s="300"/>
      <c r="AN755" s="127"/>
    </row>
    <row r="756" ht="14.25" customHeight="1">
      <c r="A756" s="127"/>
      <c r="B756" s="127"/>
      <c r="C756" s="127"/>
      <c r="D756" s="127"/>
      <c r="E756" s="127"/>
      <c r="F756" s="300"/>
      <c r="G756" s="300"/>
      <c r="H756" s="892"/>
      <c r="I756" s="892"/>
      <c r="J756" s="892"/>
      <c r="K756" s="892"/>
      <c r="L756" s="892"/>
      <c r="M756" s="892"/>
      <c r="N756" s="892"/>
      <c r="O756" s="892"/>
      <c r="P756" s="892"/>
      <c r="Q756" s="892"/>
      <c r="R756" s="892"/>
      <c r="S756" s="892"/>
      <c r="T756" s="892"/>
      <c r="U756" s="892"/>
      <c r="V756" s="892"/>
      <c r="W756" s="893"/>
      <c r="X756" s="893"/>
      <c r="Y756" s="893"/>
      <c r="Z756" s="893"/>
      <c r="AA756" s="893"/>
      <c r="AB756" s="893"/>
      <c r="AC756" s="893"/>
      <c r="AD756" s="893"/>
      <c r="AE756" s="893"/>
      <c r="AF756" s="893"/>
      <c r="AG756" s="893"/>
      <c r="AH756" s="893"/>
      <c r="AI756" s="300"/>
      <c r="AJ756" s="300"/>
      <c r="AK756" s="300"/>
      <c r="AL756" s="300"/>
      <c r="AM756" s="300"/>
      <c r="AN756" s="127"/>
    </row>
    <row r="757" ht="14.25" customHeight="1">
      <c r="A757" s="127"/>
      <c r="B757" s="127"/>
      <c r="C757" s="127"/>
      <c r="D757" s="127"/>
      <c r="E757" s="127"/>
      <c r="F757" s="300"/>
      <c r="G757" s="300"/>
      <c r="H757" s="892"/>
      <c r="I757" s="892"/>
      <c r="J757" s="892"/>
      <c r="K757" s="892"/>
      <c r="L757" s="892"/>
      <c r="M757" s="892"/>
      <c r="N757" s="892"/>
      <c r="O757" s="892"/>
      <c r="P757" s="892"/>
      <c r="Q757" s="892"/>
      <c r="R757" s="892"/>
      <c r="S757" s="892"/>
      <c r="T757" s="892"/>
      <c r="U757" s="892"/>
      <c r="V757" s="892"/>
      <c r="W757" s="893"/>
      <c r="X757" s="893"/>
      <c r="Y757" s="893"/>
      <c r="Z757" s="893"/>
      <c r="AA757" s="893"/>
      <c r="AB757" s="893"/>
      <c r="AC757" s="893"/>
      <c r="AD757" s="893"/>
      <c r="AE757" s="893"/>
      <c r="AF757" s="893"/>
      <c r="AG757" s="893"/>
      <c r="AH757" s="893"/>
      <c r="AI757" s="300"/>
      <c r="AJ757" s="300"/>
      <c r="AK757" s="300"/>
      <c r="AL757" s="300"/>
      <c r="AM757" s="300"/>
      <c r="AN757" s="127"/>
    </row>
    <row r="758" ht="14.25" customHeight="1">
      <c r="A758" s="127"/>
      <c r="B758" s="127"/>
      <c r="C758" s="127"/>
      <c r="D758" s="127"/>
      <c r="E758" s="127"/>
      <c r="F758" s="300"/>
      <c r="G758" s="300"/>
      <c r="H758" s="892"/>
      <c r="I758" s="892"/>
      <c r="J758" s="892"/>
      <c r="K758" s="892"/>
      <c r="L758" s="892"/>
      <c r="M758" s="892"/>
      <c r="N758" s="892"/>
      <c r="O758" s="892"/>
      <c r="P758" s="892"/>
      <c r="Q758" s="892"/>
      <c r="R758" s="892"/>
      <c r="S758" s="892"/>
      <c r="T758" s="892"/>
      <c r="U758" s="892"/>
      <c r="V758" s="892"/>
      <c r="W758" s="893"/>
      <c r="X758" s="893"/>
      <c r="Y758" s="893"/>
      <c r="Z758" s="893"/>
      <c r="AA758" s="893"/>
      <c r="AB758" s="893"/>
      <c r="AC758" s="893"/>
      <c r="AD758" s="893"/>
      <c r="AE758" s="893"/>
      <c r="AF758" s="893"/>
      <c r="AG758" s="893"/>
      <c r="AH758" s="893"/>
      <c r="AI758" s="300"/>
      <c r="AJ758" s="300"/>
      <c r="AK758" s="300"/>
      <c r="AL758" s="300"/>
      <c r="AM758" s="300"/>
      <c r="AN758" s="127"/>
    </row>
    <row r="759" ht="14.25" customHeight="1">
      <c r="A759" s="127"/>
      <c r="B759" s="127"/>
      <c r="C759" s="127"/>
      <c r="D759" s="127"/>
      <c r="E759" s="127"/>
      <c r="F759" s="300"/>
      <c r="G759" s="300"/>
      <c r="H759" s="892"/>
      <c r="I759" s="892"/>
      <c r="J759" s="892"/>
      <c r="K759" s="892"/>
      <c r="L759" s="892"/>
      <c r="M759" s="892"/>
      <c r="N759" s="892"/>
      <c r="O759" s="892"/>
      <c r="P759" s="892"/>
      <c r="Q759" s="892"/>
      <c r="R759" s="892"/>
      <c r="S759" s="892"/>
      <c r="T759" s="892"/>
      <c r="U759" s="892"/>
      <c r="V759" s="892"/>
      <c r="W759" s="893"/>
      <c r="X759" s="893"/>
      <c r="Y759" s="893"/>
      <c r="Z759" s="893"/>
      <c r="AA759" s="893"/>
      <c r="AB759" s="893"/>
      <c r="AC759" s="893"/>
      <c r="AD759" s="893"/>
      <c r="AE759" s="893"/>
      <c r="AF759" s="893"/>
      <c r="AG759" s="893"/>
      <c r="AH759" s="893"/>
      <c r="AI759" s="300"/>
      <c r="AJ759" s="300"/>
      <c r="AK759" s="300"/>
      <c r="AL759" s="300"/>
      <c r="AM759" s="300"/>
      <c r="AN759" s="127"/>
    </row>
    <row r="760" ht="14.25" customHeight="1">
      <c r="A760" s="127"/>
      <c r="B760" s="127"/>
      <c r="C760" s="127"/>
      <c r="D760" s="127"/>
      <c r="E760" s="127"/>
      <c r="F760" s="300"/>
      <c r="G760" s="300"/>
      <c r="H760" s="892"/>
      <c r="I760" s="892"/>
      <c r="J760" s="892"/>
      <c r="K760" s="892"/>
      <c r="L760" s="892"/>
      <c r="M760" s="892"/>
      <c r="N760" s="892"/>
      <c r="O760" s="892"/>
      <c r="P760" s="892"/>
      <c r="Q760" s="892"/>
      <c r="R760" s="892"/>
      <c r="S760" s="892"/>
      <c r="T760" s="892"/>
      <c r="U760" s="892"/>
      <c r="V760" s="892"/>
      <c r="W760" s="893"/>
      <c r="X760" s="893"/>
      <c r="Y760" s="893"/>
      <c r="Z760" s="893"/>
      <c r="AA760" s="893"/>
      <c r="AB760" s="893"/>
      <c r="AC760" s="893"/>
      <c r="AD760" s="893"/>
      <c r="AE760" s="893"/>
      <c r="AF760" s="893"/>
      <c r="AG760" s="893"/>
      <c r="AH760" s="893"/>
      <c r="AI760" s="300"/>
      <c r="AJ760" s="300"/>
      <c r="AK760" s="300"/>
      <c r="AL760" s="300"/>
      <c r="AM760" s="300"/>
      <c r="AN760" s="127"/>
    </row>
    <row r="761" ht="14.25" customHeight="1">
      <c r="A761" s="127"/>
      <c r="B761" s="127"/>
      <c r="C761" s="127"/>
      <c r="D761" s="127"/>
      <c r="E761" s="127"/>
      <c r="F761" s="300"/>
      <c r="G761" s="300"/>
      <c r="H761" s="892"/>
      <c r="I761" s="892"/>
      <c r="J761" s="892"/>
      <c r="K761" s="892"/>
      <c r="L761" s="892"/>
      <c r="M761" s="892"/>
      <c r="N761" s="892"/>
      <c r="O761" s="892"/>
      <c r="P761" s="892"/>
      <c r="Q761" s="892"/>
      <c r="R761" s="892"/>
      <c r="S761" s="892"/>
      <c r="T761" s="892"/>
      <c r="U761" s="892"/>
      <c r="V761" s="892"/>
      <c r="W761" s="893"/>
      <c r="X761" s="893"/>
      <c r="Y761" s="893"/>
      <c r="Z761" s="893"/>
      <c r="AA761" s="893"/>
      <c r="AB761" s="893"/>
      <c r="AC761" s="893"/>
      <c r="AD761" s="893"/>
      <c r="AE761" s="893"/>
      <c r="AF761" s="893"/>
      <c r="AG761" s="893"/>
      <c r="AH761" s="893"/>
      <c r="AI761" s="300"/>
      <c r="AJ761" s="300"/>
      <c r="AK761" s="300"/>
      <c r="AL761" s="300"/>
      <c r="AM761" s="300"/>
      <c r="AN761" s="127"/>
    </row>
    <row r="762" ht="14.25" customHeight="1">
      <c r="A762" s="127"/>
      <c r="B762" s="127"/>
      <c r="C762" s="127"/>
      <c r="D762" s="127"/>
      <c r="E762" s="127"/>
      <c r="F762" s="300"/>
      <c r="G762" s="300"/>
      <c r="H762" s="892"/>
      <c r="I762" s="892"/>
      <c r="J762" s="892"/>
      <c r="K762" s="892"/>
      <c r="L762" s="892"/>
      <c r="M762" s="892"/>
      <c r="N762" s="892"/>
      <c r="O762" s="892"/>
      <c r="P762" s="892"/>
      <c r="Q762" s="892"/>
      <c r="R762" s="892"/>
      <c r="S762" s="892"/>
      <c r="T762" s="892"/>
      <c r="U762" s="892"/>
      <c r="V762" s="892"/>
      <c r="W762" s="893"/>
      <c r="X762" s="893"/>
      <c r="Y762" s="893"/>
      <c r="Z762" s="893"/>
      <c r="AA762" s="893"/>
      <c r="AB762" s="893"/>
      <c r="AC762" s="893"/>
      <c r="AD762" s="893"/>
      <c r="AE762" s="893"/>
      <c r="AF762" s="893"/>
      <c r="AG762" s="893"/>
      <c r="AH762" s="893"/>
      <c r="AI762" s="300"/>
      <c r="AJ762" s="300"/>
      <c r="AK762" s="300"/>
      <c r="AL762" s="300"/>
      <c r="AM762" s="300"/>
      <c r="AN762" s="127"/>
    </row>
    <row r="763" ht="14.25" customHeight="1">
      <c r="A763" s="127"/>
      <c r="B763" s="127"/>
      <c r="C763" s="127"/>
      <c r="D763" s="127"/>
      <c r="E763" s="127"/>
      <c r="F763" s="300"/>
      <c r="G763" s="300"/>
      <c r="H763" s="892"/>
      <c r="I763" s="892"/>
      <c r="J763" s="892"/>
      <c r="K763" s="892"/>
      <c r="L763" s="892"/>
      <c r="M763" s="892"/>
      <c r="N763" s="892"/>
      <c r="O763" s="892"/>
      <c r="P763" s="892"/>
      <c r="Q763" s="892"/>
      <c r="R763" s="892"/>
      <c r="S763" s="892"/>
      <c r="T763" s="892"/>
      <c r="U763" s="892"/>
      <c r="V763" s="892"/>
      <c r="W763" s="893"/>
      <c r="X763" s="893"/>
      <c r="Y763" s="893"/>
      <c r="Z763" s="893"/>
      <c r="AA763" s="893"/>
      <c r="AB763" s="893"/>
      <c r="AC763" s="893"/>
      <c r="AD763" s="893"/>
      <c r="AE763" s="893"/>
      <c r="AF763" s="893"/>
      <c r="AG763" s="893"/>
      <c r="AH763" s="893"/>
      <c r="AI763" s="300"/>
      <c r="AJ763" s="300"/>
      <c r="AK763" s="300"/>
      <c r="AL763" s="300"/>
      <c r="AM763" s="300"/>
      <c r="AN763" s="127"/>
    </row>
    <row r="764" ht="14.25" customHeight="1">
      <c r="A764" s="127"/>
      <c r="B764" s="127"/>
      <c r="C764" s="127"/>
      <c r="D764" s="127"/>
      <c r="E764" s="127"/>
      <c r="F764" s="300"/>
      <c r="G764" s="300"/>
      <c r="H764" s="892"/>
      <c r="I764" s="892"/>
      <c r="J764" s="892"/>
      <c r="K764" s="892"/>
      <c r="L764" s="892"/>
      <c r="M764" s="892"/>
      <c r="N764" s="892"/>
      <c r="O764" s="892"/>
      <c r="P764" s="892"/>
      <c r="Q764" s="892"/>
      <c r="R764" s="892"/>
      <c r="S764" s="892"/>
      <c r="T764" s="892"/>
      <c r="U764" s="892"/>
      <c r="V764" s="892"/>
      <c r="W764" s="893"/>
      <c r="X764" s="893"/>
      <c r="Y764" s="893"/>
      <c r="Z764" s="893"/>
      <c r="AA764" s="893"/>
      <c r="AB764" s="893"/>
      <c r="AC764" s="893"/>
      <c r="AD764" s="893"/>
      <c r="AE764" s="893"/>
      <c r="AF764" s="893"/>
      <c r="AG764" s="893"/>
      <c r="AH764" s="893"/>
      <c r="AI764" s="300"/>
      <c r="AJ764" s="300"/>
      <c r="AK764" s="300"/>
      <c r="AL764" s="300"/>
      <c r="AM764" s="300"/>
      <c r="AN764" s="127"/>
    </row>
    <row r="765" ht="14.25" customHeight="1">
      <c r="A765" s="127"/>
      <c r="B765" s="127"/>
      <c r="C765" s="127"/>
      <c r="D765" s="127"/>
      <c r="E765" s="127"/>
      <c r="F765" s="300"/>
      <c r="G765" s="300"/>
      <c r="H765" s="892"/>
      <c r="I765" s="892"/>
      <c r="J765" s="892"/>
      <c r="K765" s="892"/>
      <c r="L765" s="892"/>
      <c r="M765" s="892"/>
      <c r="N765" s="892"/>
      <c r="O765" s="892"/>
      <c r="P765" s="892"/>
      <c r="Q765" s="892"/>
      <c r="R765" s="892"/>
      <c r="S765" s="892"/>
      <c r="T765" s="892"/>
      <c r="U765" s="892"/>
      <c r="V765" s="892"/>
      <c r="W765" s="893"/>
      <c r="X765" s="893"/>
      <c r="Y765" s="893"/>
      <c r="Z765" s="893"/>
      <c r="AA765" s="893"/>
      <c r="AB765" s="893"/>
      <c r="AC765" s="893"/>
      <c r="AD765" s="893"/>
      <c r="AE765" s="893"/>
      <c r="AF765" s="893"/>
      <c r="AG765" s="893"/>
      <c r="AH765" s="893"/>
      <c r="AI765" s="300"/>
      <c r="AJ765" s="300"/>
      <c r="AK765" s="300"/>
      <c r="AL765" s="300"/>
      <c r="AM765" s="300"/>
      <c r="AN765" s="127"/>
    </row>
    <row r="766" ht="14.25" customHeight="1">
      <c r="A766" s="127"/>
      <c r="B766" s="127"/>
      <c r="C766" s="127"/>
      <c r="D766" s="127"/>
      <c r="E766" s="127"/>
      <c r="F766" s="300"/>
      <c r="G766" s="300"/>
      <c r="H766" s="892"/>
      <c r="I766" s="892"/>
      <c r="J766" s="892"/>
      <c r="K766" s="892"/>
      <c r="L766" s="892"/>
      <c r="M766" s="892"/>
      <c r="N766" s="892"/>
      <c r="O766" s="892"/>
      <c r="P766" s="892"/>
      <c r="Q766" s="892"/>
      <c r="R766" s="892"/>
      <c r="S766" s="892"/>
      <c r="T766" s="892"/>
      <c r="U766" s="892"/>
      <c r="V766" s="892"/>
      <c r="W766" s="893"/>
      <c r="X766" s="893"/>
      <c r="Y766" s="893"/>
      <c r="Z766" s="893"/>
      <c r="AA766" s="893"/>
      <c r="AB766" s="893"/>
      <c r="AC766" s="893"/>
      <c r="AD766" s="893"/>
      <c r="AE766" s="893"/>
      <c r="AF766" s="893"/>
      <c r="AG766" s="893"/>
      <c r="AH766" s="893"/>
      <c r="AI766" s="300"/>
      <c r="AJ766" s="300"/>
      <c r="AK766" s="300"/>
      <c r="AL766" s="300"/>
      <c r="AM766" s="300"/>
      <c r="AN766" s="127"/>
    </row>
    <row r="767" ht="14.25" customHeight="1">
      <c r="A767" s="127"/>
      <c r="B767" s="127"/>
      <c r="C767" s="127"/>
      <c r="D767" s="127"/>
      <c r="E767" s="127"/>
      <c r="F767" s="300"/>
      <c r="G767" s="300"/>
      <c r="H767" s="892"/>
      <c r="I767" s="892"/>
      <c r="J767" s="892"/>
      <c r="K767" s="892"/>
      <c r="L767" s="892"/>
      <c r="M767" s="892"/>
      <c r="N767" s="892"/>
      <c r="O767" s="892"/>
      <c r="P767" s="892"/>
      <c r="Q767" s="892"/>
      <c r="R767" s="892"/>
      <c r="S767" s="892"/>
      <c r="T767" s="892"/>
      <c r="U767" s="892"/>
      <c r="V767" s="892"/>
      <c r="W767" s="893"/>
      <c r="X767" s="893"/>
      <c r="Y767" s="893"/>
      <c r="Z767" s="893"/>
      <c r="AA767" s="893"/>
      <c r="AB767" s="893"/>
      <c r="AC767" s="893"/>
      <c r="AD767" s="893"/>
      <c r="AE767" s="893"/>
      <c r="AF767" s="893"/>
      <c r="AG767" s="893"/>
      <c r="AH767" s="893"/>
      <c r="AI767" s="300"/>
      <c r="AJ767" s="300"/>
      <c r="AK767" s="300"/>
      <c r="AL767" s="300"/>
      <c r="AM767" s="300"/>
      <c r="AN767" s="127"/>
    </row>
    <row r="768" ht="14.25" customHeight="1">
      <c r="A768" s="127"/>
      <c r="B768" s="127"/>
      <c r="C768" s="127"/>
      <c r="D768" s="127"/>
      <c r="E768" s="127"/>
      <c r="F768" s="300"/>
      <c r="G768" s="300"/>
      <c r="H768" s="892"/>
      <c r="I768" s="892"/>
      <c r="J768" s="892"/>
      <c r="K768" s="892"/>
      <c r="L768" s="892"/>
      <c r="M768" s="892"/>
      <c r="N768" s="892"/>
      <c r="O768" s="892"/>
      <c r="P768" s="892"/>
      <c r="Q768" s="892"/>
      <c r="R768" s="892"/>
      <c r="S768" s="892"/>
      <c r="T768" s="892"/>
      <c r="U768" s="892"/>
      <c r="V768" s="892"/>
      <c r="W768" s="893"/>
      <c r="X768" s="893"/>
      <c r="Y768" s="893"/>
      <c r="Z768" s="893"/>
      <c r="AA768" s="893"/>
      <c r="AB768" s="893"/>
      <c r="AC768" s="893"/>
      <c r="AD768" s="893"/>
      <c r="AE768" s="893"/>
      <c r="AF768" s="893"/>
      <c r="AG768" s="893"/>
      <c r="AH768" s="893"/>
      <c r="AI768" s="300"/>
      <c r="AJ768" s="300"/>
      <c r="AK768" s="300"/>
      <c r="AL768" s="300"/>
      <c r="AM768" s="300"/>
      <c r="AN768" s="127"/>
    </row>
    <row r="769" ht="14.25" customHeight="1">
      <c r="A769" s="127"/>
      <c r="B769" s="127"/>
      <c r="C769" s="127"/>
      <c r="D769" s="127"/>
      <c r="E769" s="127"/>
      <c r="F769" s="300"/>
      <c r="G769" s="300"/>
      <c r="H769" s="892"/>
      <c r="I769" s="892"/>
      <c r="J769" s="892"/>
      <c r="K769" s="892"/>
      <c r="L769" s="892"/>
      <c r="M769" s="892"/>
      <c r="N769" s="892"/>
      <c r="O769" s="892"/>
      <c r="P769" s="892"/>
      <c r="Q769" s="892"/>
      <c r="R769" s="892"/>
      <c r="S769" s="892"/>
      <c r="T769" s="892"/>
      <c r="U769" s="892"/>
      <c r="V769" s="892"/>
      <c r="W769" s="893"/>
      <c r="X769" s="893"/>
      <c r="Y769" s="893"/>
      <c r="Z769" s="893"/>
      <c r="AA769" s="893"/>
      <c r="AB769" s="893"/>
      <c r="AC769" s="893"/>
      <c r="AD769" s="893"/>
      <c r="AE769" s="893"/>
      <c r="AF769" s="893"/>
      <c r="AG769" s="893"/>
      <c r="AH769" s="893"/>
      <c r="AI769" s="300"/>
      <c r="AJ769" s="300"/>
      <c r="AK769" s="300"/>
      <c r="AL769" s="300"/>
      <c r="AM769" s="300"/>
      <c r="AN769" s="127"/>
    </row>
    <row r="770" ht="14.25" customHeight="1">
      <c r="A770" s="127"/>
      <c r="B770" s="127"/>
      <c r="C770" s="127"/>
      <c r="D770" s="127"/>
      <c r="E770" s="127"/>
      <c r="F770" s="300"/>
      <c r="G770" s="300"/>
      <c r="H770" s="892"/>
      <c r="I770" s="892"/>
      <c r="J770" s="892"/>
      <c r="K770" s="892"/>
      <c r="L770" s="892"/>
      <c r="M770" s="892"/>
      <c r="N770" s="892"/>
      <c r="O770" s="892"/>
      <c r="P770" s="892"/>
      <c r="Q770" s="892"/>
      <c r="R770" s="892"/>
      <c r="S770" s="892"/>
      <c r="T770" s="892"/>
      <c r="U770" s="892"/>
      <c r="V770" s="892"/>
      <c r="W770" s="893"/>
      <c r="X770" s="893"/>
      <c r="Y770" s="893"/>
      <c r="Z770" s="893"/>
      <c r="AA770" s="893"/>
      <c r="AB770" s="893"/>
      <c r="AC770" s="893"/>
      <c r="AD770" s="893"/>
      <c r="AE770" s="893"/>
      <c r="AF770" s="893"/>
      <c r="AG770" s="893"/>
      <c r="AH770" s="893"/>
      <c r="AI770" s="300"/>
      <c r="AJ770" s="300"/>
      <c r="AK770" s="300"/>
      <c r="AL770" s="300"/>
      <c r="AM770" s="300"/>
      <c r="AN770" s="127"/>
    </row>
    <row r="771" ht="14.25" customHeight="1">
      <c r="A771" s="127"/>
      <c r="B771" s="127"/>
      <c r="C771" s="127"/>
      <c r="D771" s="127"/>
      <c r="E771" s="127"/>
      <c r="F771" s="300"/>
      <c r="G771" s="300"/>
      <c r="H771" s="892"/>
      <c r="I771" s="892"/>
      <c r="J771" s="892"/>
      <c r="K771" s="892"/>
      <c r="L771" s="892"/>
      <c r="M771" s="892"/>
      <c r="N771" s="892"/>
      <c r="O771" s="892"/>
      <c r="P771" s="892"/>
      <c r="Q771" s="892"/>
      <c r="R771" s="892"/>
      <c r="S771" s="892"/>
      <c r="T771" s="892"/>
      <c r="U771" s="892"/>
      <c r="V771" s="892"/>
      <c r="W771" s="893"/>
      <c r="X771" s="893"/>
      <c r="Y771" s="893"/>
      <c r="Z771" s="893"/>
      <c r="AA771" s="893"/>
      <c r="AB771" s="893"/>
      <c r="AC771" s="893"/>
      <c r="AD771" s="893"/>
      <c r="AE771" s="893"/>
      <c r="AF771" s="893"/>
      <c r="AG771" s="893"/>
      <c r="AH771" s="893"/>
      <c r="AI771" s="300"/>
      <c r="AJ771" s="300"/>
      <c r="AK771" s="300"/>
      <c r="AL771" s="300"/>
      <c r="AM771" s="300"/>
      <c r="AN771" s="127"/>
    </row>
    <row r="772" ht="14.25" customHeight="1">
      <c r="A772" s="127"/>
      <c r="B772" s="127"/>
      <c r="C772" s="127"/>
      <c r="D772" s="127"/>
      <c r="E772" s="127"/>
      <c r="F772" s="300"/>
      <c r="G772" s="300"/>
      <c r="H772" s="892"/>
      <c r="I772" s="892"/>
      <c r="J772" s="892"/>
      <c r="K772" s="892"/>
      <c r="L772" s="892"/>
      <c r="M772" s="892"/>
      <c r="N772" s="892"/>
      <c r="O772" s="892"/>
      <c r="P772" s="892"/>
      <c r="Q772" s="892"/>
      <c r="R772" s="892"/>
      <c r="S772" s="892"/>
      <c r="T772" s="892"/>
      <c r="U772" s="892"/>
      <c r="V772" s="892"/>
      <c r="W772" s="893"/>
      <c r="X772" s="893"/>
      <c r="Y772" s="893"/>
      <c r="Z772" s="893"/>
      <c r="AA772" s="893"/>
      <c r="AB772" s="893"/>
      <c r="AC772" s="893"/>
      <c r="AD772" s="893"/>
      <c r="AE772" s="893"/>
      <c r="AF772" s="893"/>
      <c r="AG772" s="893"/>
      <c r="AH772" s="893"/>
      <c r="AI772" s="300"/>
      <c r="AJ772" s="300"/>
      <c r="AK772" s="300"/>
      <c r="AL772" s="300"/>
      <c r="AM772" s="300"/>
      <c r="AN772" s="127"/>
    </row>
    <row r="773" ht="14.25" customHeight="1">
      <c r="A773" s="127"/>
      <c r="B773" s="127"/>
      <c r="C773" s="127"/>
      <c r="D773" s="127"/>
      <c r="E773" s="127"/>
      <c r="F773" s="300"/>
      <c r="G773" s="300"/>
      <c r="H773" s="892"/>
      <c r="I773" s="892"/>
      <c r="J773" s="892"/>
      <c r="K773" s="892"/>
      <c r="L773" s="892"/>
      <c r="M773" s="892"/>
      <c r="N773" s="892"/>
      <c r="O773" s="892"/>
      <c r="P773" s="892"/>
      <c r="Q773" s="892"/>
      <c r="R773" s="892"/>
      <c r="S773" s="892"/>
      <c r="T773" s="892"/>
      <c r="U773" s="892"/>
      <c r="V773" s="892"/>
      <c r="W773" s="893"/>
      <c r="X773" s="893"/>
      <c r="Y773" s="893"/>
      <c r="Z773" s="893"/>
      <c r="AA773" s="893"/>
      <c r="AB773" s="893"/>
      <c r="AC773" s="893"/>
      <c r="AD773" s="893"/>
      <c r="AE773" s="893"/>
      <c r="AF773" s="893"/>
      <c r="AG773" s="893"/>
      <c r="AH773" s="893"/>
      <c r="AI773" s="300"/>
      <c r="AJ773" s="300"/>
      <c r="AK773" s="300"/>
      <c r="AL773" s="300"/>
      <c r="AM773" s="300"/>
      <c r="AN773" s="127"/>
    </row>
    <row r="774" ht="14.25" customHeight="1">
      <c r="A774" s="127"/>
      <c r="B774" s="127"/>
      <c r="C774" s="127"/>
      <c r="D774" s="127"/>
      <c r="E774" s="127"/>
      <c r="F774" s="300"/>
      <c r="G774" s="300"/>
      <c r="H774" s="892"/>
      <c r="I774" s="892"/>
      <c r="J774" s="892"/>
      <c r="K774" s="892"/>
      <c r="L774" s="892"/>
      <c r="M774" s="892"/>
      <c r="N774" s="892"/>
      <c r="O774" s="892"/>
      <c r="P774" s="892"/>
      <c r="Q774" s="892"/>
      <c r="R774" s="892"/>
      <c r="S774" s="892"/>
      <c r="T774" s="892"/>
      <c r="U774" s="892"/>
      <c r="V774" s="892"/>
      <c r="W774" s="893"/>
      <c r="X774" s="893"/>
      <c r="Y774" s="893"/>
      <c r="Z774" s="893"/>
      <c r="AA774" s="893"/>
      <c r="AB774" s="893"/>
      <c r="AC774" s="893"/>
      <c r="AD774" s="893"/>
      <c r="AE774" s="893"/>
      <c r="AF774" s="893"/>
      <c r="AG774" s="893"/>
      <c r="AH774" s="893"/>
      <c r="AI774" s="300"/>
      <c r="AJ774" s="300"/>
      <c r="AK774" s="300"/>
      <c r="AL774" s="300"/>
      <c r="AM774" s="300"/>
      <c r="AN774" s="127"/>
    </row>
    <row r="775" ht="14.25" customHeight="1">
      <c r="A775" s="127"/>
      <c r="B775" s="127"/>
      <c r="C775" s="127"/>
      <c r="D775" s="127"/>
      <c r="E775" s="127"/>
      <c r="F775" s="300"/>
      <c r="G775" s="300"/>
      <c r="H775" s="892"/>
      <c r="I775" s="892"/>
      <c r="J775" s="892"/>
      <c r="K775" s="892"/>
      <c r="L775" s="892"/>
      <c r="M775" s="892"/>
      <c r="N775" s="892"/>
      <c r="O775" s="892"/>
      <c r="P775" s="892"/>
      <c r="Q775" s="892"/>
      <c r="R775" s="892"/>
      <c r="S775" s="892"/>
      <c r="T775" s="892"/>
      <c r="U775" s="892"/>
      <c r="V775" s="892"/>
      <c r="W775" s="893"/>
      <c r="X775" s="893"/>
      <c r="Y775" s="893"/>
      <c r="Z775" s="893"/>
      <c r="AA775" s="893"/>
      <c r="AB775" s="893"/>
      <c r="AC775" s="893"/>
      <c r="AD775" s="893"/>
      <c r="AE775" s="893"/>
      <c r="AF775" s="893"/>
      <c r="AG775" s="893"/>
      <c r="AH775" s="893"/>
      <c r="AI775" s="300"/>
      <c r="AJ775" s="300"/>
      <c r="AK775" s="300"/>
      <c r="AL775" s="300"/>
      <c r="AM775" s="300"/>
      <c r="AN775" s="127"/>
    </row>
    <row r="776" ht="14.25" customHeight="1">
      <c r="A776" s="127"/>
      <c r="B776" s="127"/>
      <c r="C776" s="127"/>
      <c r="D776" s="127"/>
      <c r="E776" s="127"/>
      <c r="F776" s="300"/>
      <c r="G776" s="300"/>
      <c r="H776" s="892"/>
      <c r="I776" s="892"/>
      <c r="J776" s="892"/>
      <c r="K776" s="892"/>
      <c r="L776" s="892"/>
      <c r="M776" s="892"/>
      <c r="N776" s="892"/>
      <c r="O776" s="892"/>
      <c r="P776" s="892"/>
      <c r="Q776" s="892"/>
      <c r="R776" s="892"/>
      <c r="S776" s="892"/>
      <c r="T776" s="892"/>
      <c r="U776" s="892"/>
      <c r="V776" s="892"/>
      <c r="W776" s="893"/>
      <c r="X776" s="893"/>
      <c r="Y776" s="893"/>
      <c r="Z776" s="893"/>
      <c r="AA776" s="893"/>
      <c r="AB776" s="893"/>
      <c r="AC776" s="893"/>
      <c r="AD776" s="893"/>
      <c r="AE776" s="893"/>
      <c r="AF776" s="893"/>
      <c r="AG776" s="893"/>
      <c r="AH776" s="893"/>
      <c r="AI776" s="300"/>
      <c r="AJ776" s="300"/>
      <c r="AK776" s="300"/>
      <c r="AL776" s="300"/>
      <c r="AM776" s="300"/>
      <c r="AN776" s="127"/>
    </row>
    <row r="777" ht="14.25" customHeight="1">
      <c r="A777" s="127"/>
      <c r="B777" s="127"/>
      <c r="C777" s="127"/>
      <c r="D777" s="127"/>
      <c r="E777" s="127"/>
      <c r="F777" s="300"/>
      <c r="G777" s="300"/>
      <c r="H777" s="892"/>
      <c r="I777" s="892"/>
      <c r="J777" s="892"/>
      <c r="K777" s="892"/>
      <c r="L777" s="892"/>
      <c r="M777" s="892"/>
      <c r="N777" s="892"/>
      <c r="O777" s="892"/>
      <c r="P777" s="892"/>
      <c r="Q777" s="892"/>
      <c r="R777" s="892"/>
      <c r="S777" s="892"/>
      <c r="T777" s="892"/>
      <c r="U777" s="892"/>
      <c r="V777" s="892"/>
      <c r="W777" s="893"/>
      <c r="X777" s="893"/>
      <c r="Y777" s="893"/>
      <c r="Z777" s="893"/>
      <c r="AA777" s="893"/>
      <c r="AB777" s="893"/>
      <c r="AC777" s="893"/>
      <c r="AD777" s="893"/>
      <c r="AE777" s="893"/>
      <c r="AF777" s="893"/>
      <c r="AG777" s="893"/>
      <c r="AH777" s="893"/>
      <c r="AI777" s="300"/>
      <c r="AJ777" s="300"/>
      <c r="AK777" s="300"/>
      <c r="AL777" s="300"/>
      <c r="AM777" s="300"/>
      <c r="AN777" s="127"/>
    </row>
    <row r="778" ht="14.25" customHeight="1">
      <c r="A778" s="127"/>
      <c r="B778" s="127"/>
      <c r="C778" s="127"/>
      <c r="D778" s="127"/>
      <c r="E778" s="127"/>
      <c r="F778" s="300"/>
      <c r="G778" s="300"/>
      <c r="H778" s="892"/>
      <c r="I778" s="892"/>
      <c r="J778" s="892"/>
      <c r="K778" s="892"/>
      <c r="L778" s="892"/>
      <c r="M778" s="892"/>
      <c r="N778" s="892"/>
      <c r="O778" s="892"/>
      <c r="P778" s="892"/>
      <c r="Q778" s="892"/>
      <c r="R778" s="892"/>
      <c r="S778" s="892"/>
      <c r="T778" s="892"/>
      <c r="U778" s="892"/>
      <c r="V778" s="892"/>
      <c r="W778" s="893"/>
      <c r="X778" s="893"/>
      <c r="Y778" s="893"/>
      <c r="Z778" s="893"/>
      <c r="AA778" s="893"/>
      <c r="AB778" s="893"/>
      <c r="AC778" s="893"/>
      <c r="AD778" s="893"/>
      <c r="AE778" s="893"/>
      <c r="AF778" s="893"/>
      <c r="AG778" s="893"/>
      <c r="AH778" s="893"/>
      <c r="AI778" s="300"/>
      <c r="AJ778" s="300"/>
      <c r="AK778" s="300"/>
      <c r="AL778" s="300"/>
      <c r="AM778" s="300"/>
      <c r="AN778" s="127"/>
    </row>
    <row r="779" ht="14.25" customHeight="1">
      <c r="A779" s="127"/>
      <c r="B779" s="127"/>
      <c r="C779" s="127"/>
      <c r="D779" s="127"/>
      <c r="E779" s="127"/>
      <c r="F779" s="300"/>
      <c r="G779" s="300"/>
      <c r="H779" s="892"/>
      <c r="I779" s="892"/>
      <c r="J779" s="892"/>
      <c r="K779" s="892"/>
      <c r="L779" s="892"/>
      <c r="M779" s="892"/>
      <c r="N779" s="892"/>
      <c r="O779" s="892"/>
      <c r="P779" s="892"/>
      <c r="Q779" s="892"/>
      <c r="R779" s="892"/>
      <c r="S779" s="892"/>
      <c r="T779" s="892"/>
      <c r="U779" s="892"/>
      <c r="V779" s="892"/>
      <c r="W779" s="893"/>
      <c r="X779" s="893"/>
      <c r="Y779" s="893"/>
      <c r="Z779" s="893"/>
      <c r="AA779" s="893"/>
      <c r="AB779" s="893"/>
      <c r="AC779" s="893"/>
      <c r="AD779" s="893"/>
      <c r="AE779" s="893"/>
      <c r="AF779" s="893"/>
      <c r="AG779" s="893"/>
      <c r="AH779" s="893"/>
      <c r="AI779" s="300"/>
      <c r="AJ779" s="300"/>
      <c r="AK779" s="300"/>
      <c r="AL779" s="300"/>
      <c r="AM779" s="300"/>
      <c r="AN779" s="127"/>
    </row>
    <row r="780" ht="14.25" customHeight="1">
      <c r="A780" s="127"/>
      <c r="B780" s="127"/>
      <c r="C780" s="127"/>
      <c r="D780" s="127"/>
      <c r="E780" s="127"/>
      <c r="F780" s="300"/>
      <c r="G780" s="300"/>
      <c r="H780" s="892"/>
      <c r="I780" s="892"/>
      <c r="J780" s="892"/>
      <c r="K780" s="892"/>
      <c r="L780" s="892"/>
      <c r="M780" s="892"/>
      <c r="N780" s="892"/>
      <c r="O780" s="892"/>
      <c r="P780" s="892"/>
      <c r="Q780" s="892"/>
      <c r="R780" s="892"/>
      <c r="S780" s="892"/>
      <c r="T780" s="892"/>
      <c r="U780" s="892"/>
      <c r="V780" s="892"/>
      <c r="W780" s="893"/>
      <c r="X780" s="893"/>
      <c r="Y780" s="893"/>
      <c r="Z780" s="893"/>
      <c r="AA780" s="893"/>
      <c r="AB780" s="893"/>
      <c r="AC780" s="893"/>
      <c r="AD780" s="893"/>
      <c r="AE780" s="893"/>
      <c r="AF780" s="893"/>
      <c r="AG780" s="893"/>
      <c r="AH780" s="893"/>
      <c r="AI780" s="300"/>
      <c r="AJ780" s="300"/>
      <c r="AK780" s="300"/>
      <c r="AL780" s="300"/>
      <c r="AM780" s="300"/>
      <c r="AN780" s="127"/>
    </row>
    <row r="781" ht="14.25" customHeight="1">
      <c r="A781" s="127"/>
      <c r="B781" s="127"/>
      <c r="C781" s="127"/>
      <c r="D781" s="127"/>
      <c r="E781" s="127"/>
      <c r="F781" s="300"/>
      <c r="G781" s="300"/>
      <c r="H781" s="892"/>
      <c r="I781" s="892"/>
      <c r="J781" s="892"/>
      <c r="K781" s="892"/>
      <c r="L781" s="892"/>
      <c r="M781" s="892"/>
      <c r="N781" s="892"/>
      <c r="O781" s="892"/>
      <c r="P781" s="892"/>
      <c r="Q781" s="892"/>
      <c r="R781" s="892"/>
      <c r="S781" s="892"/>
      <c r="T781" s="892"/>
      <c r="U781" s="892"/>
      <c r="V781" s="892"/>
      <c r="W781" s="893"/>
      <c r="X781" s="893"/>
      <c r="Y781" s="893"/>
      <c r="Z781" s="893"/>
      <c r="AA781" s="893"/>
      <c r="AB781" s="893"/>
      <c r="AC781" s="893"/>
      <c r="AD781" s="893"/>
      <c r="AE781" s="893"/>
      <c r="AF781" s="893"/>
      <c r="AG781" s="893"/>
      <c r="AH781" s="893"/>
      <c r="AI781" s="300"/>
      <c r="AJ781" s="300"/>
      <c r="AK781" s="300"/>
      <c r="AL781" s="300"/>
      <c r="AM781" s="300"/>
      <c r="AN781" s="127"/>
    </row>
    <row r="782" ht="14.25" customHeight="1">
      <c r="A782" s="127"/>
      <c r="B782" s="127"/>
      <c r="C782" s="127"/>
      <c r="D782" s="127"/>
      <c r="E782" s="127"/>
      <c r="F782" s="300"/>
      <c r="G782" s="300"/>
      <c r="H782" s="892"/>
      <c r="I782" s="892"/>
      <c r="J782" s="892"/>
      <c r="K782" s="892"/>
      <c r="L782" s="892"/>
      <c r="M782" s="892"/>
      <c r="N782" s="892"/>
      <c r="O782" s="892"/>
      <c r="P782" s="892"/>
      <c r="Q782" s="892"/>
      <c r="R782" s="892"/>
      <c r="S782" s="892"/>
      <c r="T782" s="892"/>
      <c r="U782" s="892"/>
      <c r="V782" s="892"/>
      <c r="W782" s="893"/>
      <c r="X782" s="893"/>
      <c r="Y782" s="893"/>
      <c r="Z782" s="893"/>
      <c r="AA782" s="893"/>
      <c r="AB782" s="893"/>
      <c r="AC782" s="893"/>
      <c r="AD782" s="893"/>
      <c r="AE782" s="893"/>
      <c r="AF782" s="893"/>
      <c r="AG782" s="893"/>
      <c r="AH782" s="893"/>
      <c r="AI782" s="300"/>
      <c r="AJ782" s="300"/>
      <c r="AK782" s="300"/>
      <c r="AL782" s="300"/>
      <c r="AM782" s="300"/>
      <c r="AN782" s="127"/>
    </row>
    <row r="783" ht="14.25" customHeight="1">
      <c r="A783" s="127"/>
      <c r="B783" s="127"/>
      <c r="C783" s="127"/>
      <c r="D783" s="127"/>
      <c r="E783" s="127"/>
      <c r="F783" s="300"/>
      <c r="G783" s="300"/>
      <c r="H783" s="892"/>
      <c r="I783" s="892"/>
      <c r="J783" s="892"/>
      <c r="K783" s="892"/>
      <c r="L783" s="892"/>
      <c r="M783" s="892"/>
      <c r="N783" s="892"/>
      <c r="O783" s="892"/>
      <c r="P783" s="892"/>
      <c r="Q783" s="892"/>
      <c r="R783" s="892"/>
      <c r="S783" s="892"/>
      <c r="T783" s="892"/>
      <c r="U783" s="892"/>
      <c r="V783" s="892"/>
      <c r="W783" s="893"/>
      <c r="X783" s="893"/>
      <c r="Y783" s="893"/>
      <c r="Z783" s="893"/>
      <c r="AA783" s="893"/>
      <c r="AB783" s="893"/>
      <c r="AC783" s="893"/>
      <c r="AD783" s="893"/>
      <c r="AE783" s="893"/>
      <c r="AF783" s="893"/>
      <c r="AG783" s="893"/>
      <c r="AH783" s="893"/>
      <c r="AI783" s="300"/>
      <c r="AJ783" s="300"/>
      <c r="AK783" s="300"/>
      <c r="AL783" s="300"/>
      <c r="AM783" s="300"/>
      <c r="AN783" s="127"/>
    </row>
    <row r="784" ht="14.25" customHeight="1">
      <c r="A784" s="127"/>
      <c r="B784" s="127"/>
      <c r="C784" s="127"/>
      <c r="D784" s="127"/>
      <c r="E784" s="127"/>
      <c r="F784" s="300"/>
      <c r="G784" s="300"/>
      <c r="H784" s="892"/>
      <c r="I784" s="892"/>
      <c r="J784" s="892"/>
      <c r="K784" s="892"/>
      <c r="L784" s="892"/>
      <c r="M784" s="892"/>
      <c r="N784" s="892"/>
      <c r="O784" s="892"/>
      <c r="P784" s="892"/>
      <c r="Q784" s="892"/>
      <c r="R784" s="892"/>
      <c r="S784" s="892"/>
      <c r="T784" s="892"/>
      <c r="U784" s="892"/>
      <c r="V784" s="892"/>
      <c r="W784" s="893"/>
      <c r="X784" s="893"/>
      <c r="Y784" s="893"/>
      <c r="Z784" s="893"/>
      <c r="AA784" s="893"/>
      <c r="AB784" s="893"/>
      <c r="AC784" s="893"/>
      <c r="AD784" s="893"/>
      <c r="AE784" s="893"/>
      <c r="AF784" s="893"/>
      <c r="AG784" s="893"/>
      <c r="AH784" s="893"/>
      <c r="AI784" s="300"/>
      <c r="AJ784" s="300"/>
      <c r="AK784" s="300"/>
      <c r="AL784" s="300"/>
      <c r="AM784" s="300"/>
      <c r="AN784" s="127"/>
    </row>
    <row r="785" ht="14.25" customHeight="1">
      <c r="A785" s="127"/>
      <c r="B785" s="127"/>
      <c r="C785" s="127"/>
      <c r="D785" s="127"/>
      <c r="E785" s="127"/>
      <c r="F785" s="300"/>
      <c r="G785" s="300"/>
      <c r="H785" s="892"/>
      <c r="I785" s="892"/>
      <c r="J785" s="892"/>
      <c r="K785" s="892"/>
      <c r="L785" s="892"/>
      <c r="M785" s="892"/>
      <c r="N785" s="892"/>
      <c r="O785" s="892"/>
      <c r="P785" s="892"/>
      <c r="Q785" s="892"/>
      <c r="R785" s="892"/>
      <c r="S785" s="892"/>
      <c r="T785" s="892"/>
      <c r="U785" s="892"/>
      <c r="V785" s="892"/>
      <c r="W785" s="893"/>
      <c r="X785" s="893"/>
      <c r="Y785" s="893"/>
      <c r="Z785" s="893"/>
      <c r="AA785" s="893"/>
      <c r="AB785" s="893"/>
      <c r="AC785" s="893"/>
      <c r="AD785" s="893"/>
      <c r="AE785" s="893"/>
      <c r="AF785" s="893"/>
      <c r="AG785" s="893"/>
      <c r="AH785" s="893"/>
      <c r="AI785" s="300"/>
      <c r="AJ785" s="300"/>
      <c r="AK785" s="300"/>
      <c r="AL785" s="300"/>
      <c r="AM785" s="300"/>
      <c r="AN785" s="127"/>
    </row>
    <row r="786" ht="14.25" customHeight="1">
      <c r="A786" s="127"/>
      <c r="B786" s="127"/>
      <c r="C786" s="127"/>
      <c r="D786" s="127"/>
      <c r="E786" s="127"/>
      <c r="F786" s="300"/>
      <c r="G786" s="300"/>
      <c r="H786" s="892"/>
      <c r="I786" s="892"/>
      <c r="J786" s="892"/>
      <c r="K786" s="892"/>
      <c r="L786" s="892"/>
      <c r="M786" s="892"/>
      <c r="N786" s="892"/>
      <c r="O786" s="892"/>
      <c r="P786" s="892"/>
      <c r="Q786" s="892"/>
      <c r="R786" s="892"/>
      <c r="S786" s="892"/>
      <c r="T786" s="892"/>
      <c r="U786" s="892"/>
      <c r="V786" s="892"/>
      <c r="W786" s="893"/>
      <c r="X786" s="893"/>
      <c r="Y786" s="893"/>
      <c r="Z786" s="893"/>
      <c r="AA786" s="893"/>
      <c r="AB786" s="893"/>
      <c r="AC786" s="893"/>
      <c r="AD786" s="893"/>
      <c r="AE786" s="893"/>
      <c r="AF786" s="893"/>
      <c r="AG786" s="893"/>
      <c r="AH786" s="893"/>
      <c r="AI786" s="300"/>
      <c r="AJ786" s="300"/>
      <c r="AK786" s="300"/>
      <c r="AL786" s="300"/>
      <c r="AM786" s="300"/>
      <c r="AN786" s="127"/>
    </row>
    <row r="787" ht="14.25" customHeight="1">
      <c r="A787" s="127"/>
      <c r="B787" s="127"/>
      <c r="C787" s="127"/>
      <c r="D787" s="127"/>
      <c r="E787" s="127"/>
      <c r="F787" s="300"/>
      <c r="G787" s="300"/>
      <c r="H787" s="892"/>
      <c r="I787" s="892"/>
      <c r="J787" s="892"/>
      <c r="K787" s="892"/>
      <c r="L787" s="892"/>
      <c r="M787" s="892"/>
      <c r="N787" s="892"/>
      <c r="O787" s="892"/>
      <c r="P787" s="892"/>
      <c r="Q787" s="892"/>
      <c r="R787" s="892"/>
      <c r="S787" s="892"/>
      <c r="T787" s="892"/>
      <c r="U787" s="892"/>
      <c r="V787" s="892"/>
      <c r="W787" s="893"/>
      <c r="X787" s="893"/>
      <c r="Y787" s="893"/>
      <c r="Z787" s="893"/>
      <c r="AA787" s="893"/>
      <c r="AB787" s="893"/>
      <c r="AC787" s="893"/>
      <c r="AD787" s="893"/>
      <c r="AE787" s="893"/>
      <c r="AF787" s="893"/>
      <c r="AG787" s="893"/>
      <c r="AH787" s="893"/>
      <c r="AI787" s="300"/>
      <c r="AJ787" s="300"/>
      <c r="AK787" s="300"/>
      <c r="AL787" s="300"/>
      <c r="AM787" s="300"/>
      <c r="AN787" s="127"/>
    </row>
    <row r="788" ht="14.25" customHeight="1">
      <c r="A788" s="127"/>
      <c r="B788" s="127"/>
      <c r="C788" s="127"/>
      <c r="D788" s="127"/>
      <c r="E788" s="127"/>
      <c r="F788" s="300"/>
      <c r="G788" s="300"/>
      <c r="H788" s="892"/>
      <c r="I788" s="892"/>
      <c r="J788" s="892"/>
      <c r="K788" s="892"/>
      <c r="L788" s="892"/>
      <c r="M788" s="892"/>
      <c r="N788" s="892"/>
      <c r="O788" s="892"/>
      <c r="P788" s="892"/>
      <c r="Q788" s="892"/>
      <c r="R788" s="892"/>
      <c r="S788" s="892"/>
      <c r="T788" s="892"/>
      <c r="U788" s="892"/>
      <c r="V788" s="892"/>
      <c r="W788" s="893"/>
      <c r="X788" s="893"/>
      <c r="Y788" s="893"/>
      <c r="Z788" s="893"/>
      <c r="AA788" s="893"/>
      <c r="AB788" s="893"/>
      <c r="AC788" s="893"/>
      <c r="AD788" s="893"/>
      <c r="AE788" s="893"/>
      <c r="AF788" s="893"/>
      <c r="AG788" s="893"/>
      <c r="AH788" s="893"/>
      <c r="AI788" s="300"/>
      <c r="AJ788" s="300"/>
      <c r="AK788" s="300"/>
      <c r="AL788" s="300"/>
      <c r="AM788" s="300"/>
      <c r="AN788" s="127"/>
    </row>
    <row r="789" ht="14.25" customHeight="1">
      <c r="A789" s="127"/>
      <c r="B789" s="127"/>
      <c r="C789" s="127"/>
      <c r="D789" s="127"/>
      <c r="E789" s="127"/>
      <c r="F789" s="300"/>
      <c r="G789" s="300"/>
      <c r="H789" s="892"/>
      <c r="I789" s="892"/>
      <c r="J789" s="892"/>
      <c r="K789" s="892"/>
      <c r="L789" s="892"/>
      <c r="M789" s="892"/>
      <c r="N789" s="892"/>
      <c r="O789" s="892"/>
      <c r="P789" s="892"/>
      <c r="Q789" s="892"/>
      <c r="R789" s="892"/>
      <c r="S789" s="892"/>
      <c r="T789" s="892"/>
      <c r="U789" s="892"/>
      <c r="V789" s="892"/>
      <c r="W789" s="893"/>
      <c r="X789" s="893"/>
      <c r="Y789" s="893"/>
      <c r="Z789" s="893"/>
      <c r="AA789" s="893"/>
      <c r="AB789" s="893"/>
      <c r="AC789" s="893"/>
      <c r="AD789" s="893"/>
      <c r="AE789" s="893"/>
      <c r="AF789" s="893"/>
      <c r="AG789" s="893"/>
      <c r="AH789" s="893"/>
      <c r="AI789" s="300"/>
      <c r="AJ789" s="300"/>
      <c r="AK789" s="300"/>
      <c r="AL789" s="300"/>
      <c r="AM789" s="300"/>
      <c r="AN789" s="127"/>
    </row>
    <row r="790" ht="14.25" customHeight="1">
      <c r="A790" s="127"/>
      <c r="B790" s="127"/>
      <c r="C790" s="127"/>
      <c r="D790" s="127"/>
      <c r="E790" s="127"/>
      <c r="F790" s="300"/>
      <c r="G790" s="300"/>
      <c r="H790" s="892"/>
      <c r="I790" s="892"/>
      <c r="J790" s="892"/>
      <c r="K790" s="892"/>
      <c r="L790" s="892"/>
      <c r="M790" s="892"/>
      <c r="N790" s="892"/>
      <c r="O790" s="892"/>
      <c r="P790" s="892"/>
      <c r="Q790" s="892"/>
      <c r="R790" s="892"/>
      <c r="S790" s="892"/>
      <c r="T790" s="892"/>
      <c r="U790" s="892"/>
      <c r="V790" s="892"/>
      <c r="W790" s="893"/>
      <c r="X790" s="893"/>
      <c r="Y790" s="893"/>
      <c r="Z790" s="893"/>
      <c r="AA790" s="893"/>
      <c r="AB790" s="893"/>
      <c r="AC790" s="893"/>
      <c r="AD790" s="893"/>
      <c r="AE790" s="893"/>
      <c r="AF790" s="893"/>
      <c r="AG790" s="893"/>
      <c r="AH790" s="893"/>
      <c r="AI790" s="300"/>
      <c r="AJ790" s="300"/>
      <c r="AK790" s="300"/>
      <c r="AL790" s="300"/>
      <c r="AM790" s="300"/>
      <c r="AN790" s="127"/>
    </row>
    <row r="791" ht="14.25" customHeight="1">
      <c r="A791" s="127"/>
      <c r="B791" s="127"/>
      <c r="C791" s="127"/>
      <c r="D791" s="127"/>
      <c r="E791" s="127"/>
      <c r="F791" s="300"/>
      <c r="G791" s="300"/>
      <c r="H791" s="892"/>
      <c r="I791" s="892"/>
      <c r="J791" s="892"/>
      <c r="K791" s="892"/>
      <c r="L791" s="892"/>
      <c r="M791" s="892"/>
      <c r="N791" s="892"/>
      <c r="O791" s="892"/>
      <c r="P791" s="892"/>
      <c r="Q791" s="892"/>
      <c r="R791" s="892"/>
      <c r="S791" s="892"/>
      <c r="T791" s="892"/>
      <c r="U791" s="892"/>
      <c r="V791" s="892"/>
      <c r="W791" s="893"/>
      <c r="X791" s="893"/>
      <c r="Y791" s="893"/>
      <c r="Z791" s="893"/>
      <c r="AA791" s="893"/>
      <c r="AB791" s="893"/>
      <c r="AC791" s="893"/>
      <c r="AD791" s="893"/>
      <c r="AE791" s="893"/>
      <c r="AF791" s="893"/>
      <c r="AG791" s="893"/>
      <c r="AH791" s="893"/>
      <c r="AI791" s="300"/>
      <c r="AJ791" s="300"/>
      <c r="AK791" s="300"/>
      <c r="AL791" s="300"/>
      <c r="AM791" s="300"/>
      <c r="AN791" s="127"/>
    </row>
    <row r="792" ht="14.25" customHeight="1">
      <c r="A792" s="127"/>
      <c r="B792" s="127"/>
      <c r="C792" s="127"/>
      <c r="D792" s="127"/>
      <c r="E792" s="127"/>
      <c r="F792" s="300"/>
      <c r="G792" s="300"/>
      <c r="H792" s="892"/>
      <c r="I792" s="892"/>
      <c r="J792" s="892"/>
      <c r="K792" s="892"/>
      <c r="L792" s="892"/>
      <c r="M792" s="892"/>
      <c r="N792" s="892"/>
      <c r="O792" s="892"/>
      <c r="P792" s="892"/>
      <c r="Q792" s="892"/>
      <c r="R792" s="892"/>
      <c r="S792" s="892"/>
      <c r="T792" s="892"/>
      <c r="U792" s="892"/>
      <c r="V792" s="892"/>
      <c r="W792" s="893"/>
      <c r="X792" s="893"/>
      <c r="Y792" s="893"/>
      <c r="Z792" s="893"/>
      <c r="AA792" s="893"/>
      <c r="AB792" s="893"/>
      <c r="AC792" s="893"/>
      <c r="AD792" s="893"/>
      <c r="AE792" s="893"/>
      <c r="AF792" s="893"/>
      <c r="AG792" s="893"/>
      <c r="AH792" s="893"/>
      <c r="AI792" s="300"/>
      <c r="AJ792" s="300"/>
      <c r="AK792" s="300"/>
      <c r="AL792" s="300"/>
      <c r="AM792" s="300"/>
      <c r="AN792" s="127"/>
    </row>
    <row r="793" ht="14.25" customHeight="1">
      <c r="A793" s="127"/>
      <c r="B793" s="127"/>
      <c r="C793" s="127"/>
      <c r="D793" s="127"/>
      <c r="E793" s="127"/>
      <c r="F793" s="300"/>
      <c r="G793" s="300"/>
      <c r="H793" s="892"/>
      <c r="I793" s="892"/>
      <c r="J793" s="892"/>
      <c r="K793" s="892"/>
      <c r="L793" s="892"/>
      <c r="M793" s="892"/>
      <c r="N793" s="892"/>
      <c r="O793" s="892"/>
      <c r="P793" s="892"/>
      <c r="Q793" s="892"/>
      <c r="R793" s="892"/>
      <c r="S793" s="892"/>
      <c r="T793" s="892"/>
      <c r="U793" s="892"/>
      <c r="V793" s="892"/>
      <c r="W793" s="893"/>
      <c r="X793" s="893"/>
      <c r="Y793" s="893"/>
      <c r="Z793" s="893"/>
      <c r="AA793" s="893"/>
      <c r="AB793" s="893"/>
      <c r="AC793" s="893"/>
      <c r="AD793" s="893"/>
      <c r="AE793" s="893"/>
      <c r="AF793" s="893"/>
      <c r="AG793" s="893"/>
      <c r="AH793" s="893"/>
      <c r="AI793" s="300"/>
      <c r="AJ793" s="300"/>
      <c r="AK793" s="300"/>
      <c r="AL793" s="300"/>
      <c r="AM793" s="300"/>
      <c r="AN793" s="127"/>
    </row>
    <row r="794" ht="14.25" customHeight="1">
      <c r="A794" s="127"/>
      <c r="B794" s="127"/>
      <c r="C794" s="127"/>
      <c r="D794" s="127"/>
      <c r="E794" s="127"/>
      <c r="F794" s="300"/>
      <c r="G794" s="300"/>
      <c r="H794" s="892"/>
      <c r="I794" s="892"/>
      <c r="J794" s="892"/>
      <c r="K794" s="892"/>
      <c r="L794" s="892"/>
      <c r="M794" s="892"/>
      <c r="N794" s="892"/>
      <c r="O794" s="892"/>
      <c r="P794" s="892"/>
      <c r="Q794" s="892"/>
      <c r="R794" s="892"/>
      <c r="S794" s="892"/>
      <c r="T794" s="892"/>
      <c r="U794" s="892"/>
      <c r="V794" s="892"/>
      <c r="W794" s="893"/>
      <c r="X794" s="893"/>
      <c r="Y794" s="893"/>
      <c r="Z794" s="893"/>
      <c r="AA794" s="893"/>
      <c r="AB794" s="893"/>
      <c r="AC794" s="893"/>
      <c r="AD794" s="893"/>
      <c r="AE794" s="893"/>
      <c r="AF794" s="893"/>
      <c r="AG794" s="893"/>
      <c r="AH794" s="893"/>
      <c r="AI794" s="300"/>
      <c r="AJ794" s="300"/>
      <c r="AK794" s="300"/>
      <c r="AL794" s="300"/>
      <c r="AM794" s="300"/>
      <c r="AN794" s="127"/>
    </row>
    <row r="795" ht="14.25" customHeight="1">
      <c r="A795" s="127"/>
      <c r="B795" s="127"/>
      <c r="C795" s="127"/>
      <c r="D795" s="127"/>
      <c r="E795" s="127"/>
      <c r="F795" s="300"/>
      <c r="G795" s="300"/>
      <c r="H795" s="892"/>
      <c r="I795" s="892"/>
      <c r="J795" s="892"/>
      <c r="K795" s="892"/>
      <c r="L795" s="892"/>
      <c r="M795" s="892"/>
      <c r="N795" s="892"/>
      <c r="O795" s="892"/>
      <c r="P795" s="892"/>
      <c r="Q795" s="892"/>
      <c r="R795" s="892"/>
      <c r="S795" s="892"/>
      <c r="T795" s="892"/>
      <c r="U795" s="892"/>
      <c r="V795" s="892"/>
      <c r="W795" s="893"/>
      <c r="X795" s="893"/>
      <c r="Y795" s="893"/>
      <c r="Z795" s="893"/>
      <c r="AA795" s="893"/>
      <c r="AB795" s="893"/>
      <c r="AC795" s="893"/>
      <c r="AD795" s="893"/>
      <c r="AE795" s="893"/>
      <c r="AF795" s="893"/>
      <c r="AG795" s="893"/>
      <c r="AH795" s="893"/>
      <c r="AI795" s="300"/>
      <c r="AJ795" s="300"/>
      <c r="AK795" s="300"/>
      <c r="AL795" s="300"/>
      <c r="AM795" s="300"/>
      <c r="AN795" s="127"/>
    </row>
    <row r="796" ht="14.25" customHeight="1">
      <c r="A796" s="127"/>
      <c r="B796" s="127"/>
      <c r="C796" s="127"/>
      <c r="D796" s="127"/>
      <c r="E796" s="127"/>
      <c r="F796" s="300"/>
      <c r="G796" s="300"/>
      <c r="H796" s="892"/>
      <c r="I796" s="892"/>
      <c r="J796" s="892"/>
      <c r="K796" s="892"/>
      <c r="L796" s="892"/>
      <c r="M796" s="892"/>
      <c r="N796" s="892"/>
      <c r="O796" s="892"/>
      <c r="P796" s="892"/>
      <c r="Q796" s="892"/>
      <c r="R796" s="892"/>
      <c r="S796" s="892"/>
      <c r="T796" s="892"/>
      <c r="U796" s="892"/>
      <c r="V796" s="892"/>
      <c r="W796" s="893"/>
      <c r="X796" s="893"/>
      <c r="Y796" s="893"/>
      <c r="Z796" s="893"/>
      <c r="AA796" s="893"/>
      <c r="AB796" s="893"/>
      <c r="AC796" s="893"/>
      <c r="AD796" s="893"/>
      <c r="AE796" s="893"/>
      <c r="AF796" s="893"/>
      <c r="AG796" s="893"/>
      <c r="AH796" s="893"/>
      <c r="AI796" s="300"/>
      <c r="AJ796" s="300"/>
      <c r="AK796" s="300"/>
      <c r="AL796" s="300"/>
      <c r="AM796" s="300"/>
      <c r="AN796" s="127"/>
    </row>
    <row r="797" ht="14.25" customHeight="1">
      <c r="A797" s="127"/>
      <c r="B797" s="127"/>
      <c r="C797" s="127"/>
      <c r="D797" s="127"/>
      <c r="E797" s="127"/>
      <c r="F797" s="300"/>
      <c r="G797" s="300"/>
      <c r="H797" s="892"/>
      <c r="I797" s="892"/>
      <c r="J797" s="892"/>
      <c r="K797" s="892"/>
      <c r="L797" s="892"/>
      <c r="M797" s="892"/>
      <c r="N797" s="892"/>
      <c r="O797" s="892"/>
      <c r="P797" s="892"/>
      <c r="Q797" s="892"/>
      <c r="R797" s="892"/>
      <c r="S797" s="892"/>
      <c r="T797" s="892"/>
      <c r="U797" s="892"/>
      <c r="V797" s="892"/>
      <c r="W797" s="893"/>
      <c r="X797" s="893"/>
      <c r="Y797" s="893"/>
      <c r="Z797" s="893"/>
      <c r="AA797" s="893"/>
      <c r="AB797" s="893"/>
      <c r="AC797" s="893"/>
      <c r="AD797" s="893"/>
      <c r="AE797" s="893"/>
      <c r="AF797" s="893"/>
      <c r="AG797" s="893"/>
      <c r="AH797" s="893"/>
      <c r="AI797" s="300"/>
      <c r="AJ797" s="300"/>
      <c r="AK797" s="300"/>
      <c r="AL797" s="300"/>
      <c r="AM797" s="300"/>
      <c r="AN797" s="127"/>
    </row>
    <row r="798" ht="14.25" customHeight="1">
      <c r="A798" s="127"/>
      <c r="B798" s="127"/>
      <c r="C798" s="127"/>
      <c r="D798" s="127"/>
      <c r="E798" s="127"/>
      <c r="F798" s="300"/>
      <c r="G798" s="300"/>
      <c r="H798" s="892"/>
      <c r="I798" s="892"/>
      <c r="J798" s="892"/>
      <c r="K798" s="892"/>
      <c r="L798" s="892"/>
      <c r="M798" s="892"/>
      <c r="N798" s="892"/>
      <c r="O798" s="892"/>
      <c r="P798" s="892"/>
      <c r="Q798" s="892"/>
      <c r="R798" s="892"/>
      <c r="S798" s="892"/>
      <c r="T798" s="892"/>
      <c r="U798" s="892"/>
      <c r="V798" s="892"/>
      <c r="W798" s="893"/>
      <c r="X798" s="893"/>
      <c r="Y798" s="893"/>
      <c r="Z798" s="893"/>
      <c r="AA798" s="893"/>
      <c r="AB798" s="893"/>
      <c r="AC798" s="893"/>
      <c r="AD798" s="893"/>
      <c r="AE798" s="893"/>
      <c r="AF798" s="893"/>
      <c r="AG798" s="893"/>
      <c r="AH798" s="893"/>
      <c r="AI798" s="300"/>
      <c r="AJ798" s="300"/>
      <c r="AK798" s="300"/>
      <c r="AL798" s="300"/>
      <c r="AM798" s="300"/>
      <c r="AN798" s="127"/>
    </row>
    <row r="799" ht="14.25" customHeight="1">
      <c r="A799" s="127"/>
      <c r="B799" s="127"/>
      <c r="C799" s="127"/>
      <c r="D799" s="127"/>
      <c r="E799" s="127"/>
      <c r="F799" s="300"/>
      <c r="G799" s="300"/>
      <c r="H799" s="892"/>
      <c r="I799" s="892"/>
      <c r="J799" s="892"/>
      <c r="K799" s="892"/>
      <c r="L799" s="892"/>
      <c r="M799" s="892"/>
      <c r="N799" s="892"/>
      <c r="O799" s="892"/>
      <c r="P799" s="892"/>
      <c r="Q799" s="892"/>
      <c r="R799" s="892"/>
      <c r="S799" s="892"/>
      <c r="T799" s="892"/>
      <c r="U799" s="892"/>
      <c r="V799" s="892"/>
      <c r="W799" s="893"/>
      <c r="X799" s="893"/>
      <c r="Y799" s="893"/>
      <c r="Z799" s="893"/>
      <c r="AA799" s="893"/>
      <c r="AB799" s="893"/>
      <c r="AC799" s="893"/>
      <c r="AD799" s="893"/>
      <c r="AE799" s="893"/>
      <c r="AF799" s="893"/>
      <c r="AG799" s="893"/>
      <c r="AH799" s="893"/>
      <c r="AI799" s="300"/>
      <c r="AJ799" s="300"/>
      <c r="AK799" s="300"/>
      <c r="AL799" s="300"/>
      <c r="AM799" s="300"/>
      <c r="AN799" s="127"/>
    </row>
    <row r="800" ht="14.25" customHeight="1">
      <c r="A800" s="127"/>
      <c r="B800" s="127"/>
      <c r="C800" s="127"/>
      <c r="D800" s="127"/>
      <c r="E800" s="127"/>
      <c r="F800" s="300"/>
      <c r="G800" s="300"/>
      <c r="H800" s="892"/>
      <c r="I800" s="892"/>
      <c r="J800" s="892"/>
      <c r="K800" s="892"/>
      <c r="L800" s="892"/>
      <c r="M800" s="892"/>
      <c r="N800" s="892"/>
      <c r="O800" s="892"/>
      <c r="P800" s="892"/>
      <c r="Q800" s="892"/>
      <c r="R800" s="892"/>
      <c r="S800" s="892"/>
      <c r="T800" s="892"/>
      <c r="U800" s="892"/>
      <c r="V800" s="892"/>
      <c r="W800" s="893"/>
      <c r="X800" s="893"/>
      <c r="Y800" s="893"/>
      <c r="Z800" s="893"/>
      <c r="AA800" s="893"/>
      <c r="AB800" s="893"/>
      <c r="AC800" s="893"/>
      <c r="AD800" s="893"/>
      <c r="AE800" s="893"/>
      <c r="AF800" s="893"/>
      <c r="AG800" s="893"/>
      <c r="AH800" s="893"/>
      <c r="AI800" s="300"/>
      <c r="AJ800" s="300"/>
      <c r="AK800" s="300"/>
      <c r="AL800" s="300"/>
      <c r="AM800" s="300"/>
      <c r="AN800" s="127"/>
    </row>
    <row r="801" ht="14.25" customHeight="1">
      <c r="A801" s="127"/>
      <c r="B801" s="127"/>
      <c r="C801" s="127"/>
      <c r="D801" s="127"/>
      <c r="E801" s="127"/>
      <c r="F801" s="300"/>
      <c r="G801" s="300"/>
      <c r="H801" s="892"/>
      <c r="I801" s="892"/>
      <c r="J801" s="892"/>
      <c r="K801" s="892"/>
      <c r="L801" s="892"/>
      <c r="M801" s="892"/>
      <c r="N801" s="892"/>
      <c r="O801" s="892"/>
      <c r="P801" s="892"/>
      <c r="Q801" s="892"/>
      <c r="R801" s="892"/>
      <c r="S801" s="892"/>
      <c r="T801" s="892"/>
      <c r="U801" s="892"/>
      <c r="V801" s="892"/>
      <c r="W801" s="893"/>
      <c r="X801" s="893"/>
      <c r="Y801" s="893"/>
      <c r="Z801" s="893"/>
      <c r="AA801" s="893"/>
      <c r="AB801" s="893"/>
      <c r="AC801" s="893"/>
      <c r="AD801" s="893"/>
      <c r="AE801" s="893"/>
      <c r="AF801" s="893"/>
      <c r="AG801" s="893"/>
      <c r="AH801" s="893"/>
      <c r="AI801" s="300"/>
      <c r="AJ801" s="300"/>
      <c r="AK801" s="300"/>
      <c r="AL801" s="300"/>
      <c r="AM801" s="300"/>
      <c r="AN801" s="127"/>
    </row>
    <row r="802" ht="14.25" customHeight="1">
      <c r="A802" s="127"/>
      <c r="B802" s="127"/>
      <c r="C802" s="127"/>
      <c r="D802" s="127"/>
      <c r="E802" s="127"/>
      <c r="F802" s="300"/>
      <c r="G802" s="300"/>
      <c r="H802" s="892"/>
      <c r="I802" s="892"/>
      <c r="J802" s="892"/>
      <c r="K802" s="892"/>
      <c r="L802" s="892"/>
      <c r="M802" s="892"/>
      <c r="N802" s="892"/>
      <c r="O802" s="892"/>
      <c r="P802" s="892"/>
      <c r="Q802" s="892"/>
      <c r="R802" s="892"/>
      <c r="S802" s="892"/>
      <c r="T802" s="892"/>
      <c r="U802" s="892"/>
      <c r="V802" s="892"/>
      <c r="W802" s="893"/>
      <c r="X802" s="893"/>
      <c r="Y802" s="893"/>
      <c r="Z802" s="893"/>
      <c r="AA802" s="893"/>
      <c r="AB802" s="893"/>
      <c r="AC802" s="893"/>
      <c r="AD802" s="893"/>
      <c r="AE802" s="893"/>
      <c r="AF802" s="893"/>
      <c r="AG802" s="893"/>
      <c r="AH802" s="893"/>
      <c r="AI802" s="300"/>
      <c r="AJ802" s="300"/>
      <c r="AK802" s="300"/>
      <c r="AL802" s="300"/>
      <c r="AM802" s="300"/>
      <c r="AN802" s="127"/>
    </row>
    <row r="803" ht="14.25" customHeight="1">
      <c r="A803" s="127"/>
      <c r="B803" s="127"/>
      <c r="C803" s="127"/>
      <c r="D803" s="127"/>
      <c r="E803" s="127"/>
      <c r="F803" s="300"/>
      <c r="G803" s="300"/>
      <c r="H803" s="892"/>
      <c r="I803" s="892"/>
      <c r="J803" s="892"/>
      <c r="K803" s="892"/>
      <c r="L803" s="892"/>
      <c r="M803" s="892"/>
      <c r="N803" s="892"/>
      <c r="O803" s="892"/>
      <c r="P803" s="892"/>
      <c r="Q803" s="892"/>
      <c r="R803" s="892"/>
      <c r="S803" s="892"/>
      <c r="T803" s="892"/>
      <c r="U803" s="892"/>
      <c r="V803" s="892"/>
      <c r="W803" s="893"/>
      <c r="X803" s="893"/>
      <c r="Y803" s="893"/>
      <c r="Z803" s="893"/>
      <c r="AA803" s="893"/>
      <c r="AB803" s="893"/>
      <c r="AC803" s="893"/>
      <c r="AD803" s="893"/>
      <c r="AE803" s="893"/>
      <c r="AF803" s="893"/>
      <c r="AG803" s="893"/>
      <c r="AH803" s="893"/>
      <c r="AI803" s="300"/>
      <c r="AJ803" s="300"/>
      <c r="AK803" s="300"/>
      <c r="AL803" s="300"/>
      <c r="AM803" s="300"/>
      <c r="AN803" s="127"/>
    </row>
    <row r="804" ht="14.25" customHeight="1">
      <c r="A804" s="127"/>
      <c r="B804" s="127"/>
      <c r="C804" s="127"/>
      <c r="D804" s="127"/>
      <c r="E804" s="127"/>
      <c r="F804" s="300"/>
      <c r="G804" s="300"/>
      <c r="H804" s="892"/>
      <c r="I804" s="892"/>
      <c r="J804" s="892"/>
      <c r="K804" s="892"/>
      <c r="L804" s="892"/>
      <c r="M804" s="892"/>
      <c r="N804" s="892"/>
      <c r="O804" s="892"/>
      <c r="P804" s="892"/>
      <c r="Q804" s="892"/>
      <c r="R804" s="892"/>
      <c r="S804" s="892"/>
      <c r="T804" s="892"/>
      <c r="U804" s="892"/>
      <c r="V804" s="892"/>
      <c r="W804" s="893"/>
      <c r="X804" s="893"/>
      <c r="Y804" s="893"/>
      <c r="Z804" s="893"/>
      <c r="AA804" s="893"/>
      <c r="AB804" s="893"/>
      <c r="AC804" s="893"/>
      <c r="AD804" s="893"/>
      <c r="AE804" s="893"/>
      <c r="AF804" s="893"/>
      <c r="AG804" s="893"/>
      <c r="AH804" s="893"/>
      <c r="AI804" s="300"/>
      <c r="AJ804" s="300"/>
      <c r="AK804" s="300"/>
      <c r="AL804" s="300"/>
      <c r="AM804" s="300"/>
      <c r="AN804" s="127"/>
    </row>
    <row r="805" ht="14.25" customHeight="1">
      <c r="A805" s="127"/>
      <c r="B805" s="127"/>
      <c r="C805" s="127"/>
      <c r="D805" s="127"/>
      <c r="E805" s="127"/>
      <c r="F805" s="300"/>
      <c r="G805" s="300"/>
      <c r="H805" s="892"/>
      <c r="I805" s="892"/>
      <c r="J805" s="892"/>
      <c r="K805" s="892"/>
      <c r="L805" s="892"/>
      <c r="M805" s="892"/>
      <c r="N805" s="892"/>
      <c r="O805" s="892"/>
      <c r="P805" s="892"/>
      <c r="Q805" s="892"/>
      <c r="R805" s="892"/>
      <c r="S805" s="892"/>
      <c r="T805" s="892"/>
      <c r="U805" s="892"/>
      <c r="V805" s="892"/>
      <c r="W805" s="893"/>
      <c r="X805" s="893"/>
      <c r="Y805" s="893"/>
      <c r="Z805" s="893"/>
      <c r="AA805" s="893"/>
      <c r="AB805" s="893"/>
      <c r="AC805" s="893"/>
      <c r="AD805" s="893"/>
      <c r="AE805" s="893"/>
      <c r="AF805" s="893"/>
      <c r="AG805" s="893"/>
      <c r="AH805" s="893"/>
      <c r="AI805" s="300"/>
      <c r="AJ805" s="300"/>
      <c r="AK805" s="300"/>
      <c r="AL805" s="300"/>
      <c r="AM805" s="300"/>
      <c r="AN805" s="127"/>
    </row>
    <row r="806" ht="14.25" customHeight="1">
      <c r="A806" s="127"/>
      <c r="B806" s="127"/>
      <c r="C806" s="127"/>
      <c r="D806" s="127"/>
      <c r="E806" s="127"/>
      <c r="F806" s="300"/>
      <c r="G806" s="300"/>
      <c r="H806" s="892"/>
      <c r="I806" s="892"/>
      <c r="J806" s="892"/>
      <c r="K806" s="892"/>
      <c r="L806" s="892"/>
      <c r="M806" s="892"/>
      <c r="N806" s="892"/>
      <c r="O806" s="892"/>
      <c r="P806" s="892"/>
      <c r="Q806" s="892"/>
      <c r="R806" s="892"/>
      <c r="S806" s="892"/>
      <c r="T806" s="892"/>
      <c r="U806" s="892"/>
      <c r="V806" s="892"/>
      <c r="W806" s="893"/>
      <c r="X806" s="893"/>
      <c r="Y806" s="893"/>
      <c r="Z806" s="893"/>
      <c r="AA806" s="893"/>
      <c r="AB806" s="893"/>
      <c r="AC806" s="893"/>
      <c r="AD806" s="893"/>
      <c r="AE806" s="893"/>
      <c r="AF806" s="893"/>
      <c r="AG806" s="893"/>
      <c r="AH806" s="893"/>
      <c r="AI806" s="300"/>
      <c r="AJ806" s="300"/>
      <c r="AK806" s="300"/>
      <c r="AL806" s="300"/>
      <c r="AM806" s="300"/>
      <c r="AN806" s="127"/>
    </row>
    <row r="807" ht="14.25" customHeight="1">
      <c r="A807" s="127"/>
      <c r="B807" s="127"/>
      <c r="C807" s="127"/>
      <c r="D807" s="127"/>
      <c r="E807" s="127"/>
      <c r="F807" s="300"/>
      <c r="G807" s="300"/>
      <c r="H807" s="892"/>
      <c r="I807" s="892"/>
      <c r="J807" s="892"/>
      <c r="K807" s="892"/>
      <c r="L807" s="892"/>
      <c r="M807" s="892"/>
      <c r="N807" s="892"/>
      <c r="O807" s="892"/>
      <c r="P807" s="892"/>
      <c r="Q807" s="892"/>
      <c r="R807" s="892"/>
      <c r="S807" s="892"/>
      <c r="T807" s="892"/>
      <c r="U807" s="892"/>
      <c r="V807" s="892"/>
      <c r="W807" s="893"/>
      <c r="X807" s="893"/>
      <c r="Y807" s="893"/>
      <c r="Z807" s="893"/>
      <c r="AA807" s="893"/>
      <c r="AB807" s="893"/>
      <c r="AC807" s="893"/>
      <c r="AD807" s="893"/>
      <c r="AE807" s="893"/>
      <c r="AF807" s="893"/>
      <c r="AG807" s="893"/>
      <c r="AH807" s="893"/>
      <c r="AI807" s="300"/>
      <c r="AJ807" s="300"/>
      <c r="AK807" s="300"/>
      <c r="AL807" s="300"/>
      <c r="AM807" s="300"/>
      <c r="AN807" s="127"/>
    </row>
    <row r="808" ht="14.25" customHeight="1">
      <c r="A808" s="127"/>
      <c r="B808" s="127"/>
      <c r="C808" s="127"/>
      <c r="D808" s="127"/>
      <c r="E808" s="127"/>
      <c r="F808" s="300"/>
      <c r="G808" s="300"/>
      <c r="H808" s="892"/>
      <c r="I808" s="892"/>
      <c r="J808" s="892"/>
      <c r="K808" s="892"/>
      <c r="L808" s="892"/>
      <c r="M808" s="892"/>
      <c r="N808" s="892"/>
      <c r="O808" s="892"/>
      <c r="P808" s="892"/>
      <c r="Q808" s="892"/>
      <c r="R808" s="892"/>
      <c r="S808" s="892"/>
      <c r="T808" s="892"/>
      <c r="U808" s="892"/>
      <c r="V808" s="892"/>
      <c r="W808" s="893"/>
      <c r="X808" s="893"/>
      <c r="Y808" s="893"/>
      <c r="Z808" s="893"/>
      <c r="AA808" s="893"/>
      <c r="AB808" s="893"/>
      <c r="AC808" s="893"/>
      <c r="AD808" s="893"/>
      <c r="AE808" s="893"/>
      <c r="AF808" s="893"/>
      <c r="AG808" s="893"/>
      <c r="AH808" s="893"/>
      <c r="AI808" s="300"/>
      <c r="AJ808" s="300"/>
      <c r="AK808" s="300"/>
      <c r="AL808" s="300"/>
      <c r="AM808" s="300"/>
      <c r="AN808" s="127"/>
    </row>
    <row r="809" ht="14.25" customHeight="1">
      <c r="A809" s="127"/>
      <c r="B809" s="127"/>
      <c r="C809" s="127"/>
      <c r="D809" s="127"/>
      <c r="E809" s="127"/>
      <c r="F809" s="300"/>
      <c r="G809" s="300"/>
      <c r="H809" s="892"/>
      <c r="I809" s="892"/>
      <c r="J809" s="892"/>
      <c r="K809" s="892"/>
      <c r="L809" s="892"/>
      <c r="M809" s="892"/>
      <c r="N809" s="892"/>
      <c r="O809" s="892"/>
      <c r="P809" s="892"/>
      <c r="Q809" s="892"/>
      <c r="R809" s="892"/>
      <c r="S809" s="892"/>
      <c r="T809" s="892"/>
      <c r="U809" s="892"/>
      <c r="V809" s="892"/>
      <c r="W809" s="893"/>
      <c r="X809" s="893"/>
      <c r="Y809" s="893"/>
      <c r="Z809" s="893"/>
      <c r="AA809" s="893"/>
      <c r="AB809" s="893"/>
      <c r="AC809" s="893"/>
      <c r="AD809" s="893"/>
      <c r="AE809" s="893"/>
      <c r="AF809" s="893"/>
      <c r="AG809" s="893"/>
      <c r="AH809" s="893"/>
      <c r="AI809" s="300"/>
      <c r="AJ809" s="300"/>
      <c r="AK809" s="300"/>
      <c r="AL809" s="300"/>
      <c r="AM809" s="300"/>
      <c r="AN809" s="127"/>
    </row>
    <row r="810" ht="14.25" customHeight="1">
      <c r="A810" s="127"/>
      <c r="B810" s="127"/>
      <c r="C810" s="127"/>
      <c r="D810" s="127"/>
      <c r="E810" s="127"/>
      <c r="F810" s="300"/>
      <c r="G810" s="300"/>
      <c r="H810" s="892"/>
      <c r="I810" s="892"/>
      <c r="J810" s="892"/>
      <c r="K810" s="892"/>
      <c r="L810" s="892"/>
      <c r="M810" s="892"/>
      <c r="N810" s="892"/>
      <c r="O810" s="892"/>
      <c r="P810" s="892"/>
      <c r="Q810" s="892"/>
      <c r="R810" s="892"/>
      <c r="S810" s="892"/>
      <c r="T810" s="892"/>
      <c r="U810" s="892"/>
      <c r="V810" s="892"/>
      <c r="W810" s="893"/>
      <c r="X810" s="893"/>
      <c r="Y810" s="893"/>
      <c r="Z810" s="893"/>
      <c r="AA810" s="893"/>
      <c r="AB810" s="893"/>
      <c r="AC810" s="893"/>
      <c r="AD810" s="893"/>
      <c r="AE810" s="893"/>
      <c r="AF810" s="893"/>
      <c r="AG810" s="893"/>
      <c r="AH810" s="893"/>
      <c r="AI810" s="300"/>
      <c r="AJ810" s="300"/>
      <c r="AK810" s="300"/>
      <c r="AL810" s="300"/>
      <c r="AM810" s="300"/>
      <c r="AN810" s="127"/>
    </row>
    <row r="811" ht="14.25" customHeight="1">
      <c r="A811" s="127"/>
      <c r="B811" s="127"/>
      <c r="C811" s="127"/>
      <c r="D811" s="127"/>
      <c r="E811" s="127"/>
      <c r="F811" s="300"/>
      <c r="G811" s="300"/>
      <c r="H811" s="892"/>
      <c r="I811" s="892"/>
      <c r="J811" s="892"/>
      <c r="K811" s="892"/>
      <c r="L811" s="892"/>
      <c r="M811" s="892"/>
      <c r="N811" s="892"/>
      <c r="O811" s="892"/>
      <c r="P811" s="892"/>
      <c r="Q811" s="892"/>
      <c r="R811" s="892"/>
      <c r="S811" s="892"/>
      <c r="T811" s="892"/>
      <c r="U811" s="892"/>
      <c r="V811" s="892"/>
      <c r="W811" s="893"/>
      <c r="X811" s="893"/>
      <c r="Y811" s="893"/>
      <c r="Z811" s="893"/>
      <c r="AA811" s="893"/>
      <c r="AB811" s="893"/>
      <c r="AC811" s="893"/>
      <c r="AD811" s="893"/>
      <c r="AE811" s="893"/>
      <c r="AF811" s="893"/>
      <c r="AG811" s="893"/>
      <c r="AH811" s="893"/>
      <c r="AI811" s="300"/>
      <c r="AJ811" s="300"/>
      <c r="AK811" s="300"/>
      <c r="AL811" s="300"/>
      <c r="AM811" s="300"/>
      <c r="AN811" s="127"/>
    </row>
    <row r="812" ht="14.25" customHeight="1">
      <c r="A812" s="127"/>
      <c r="B812" s="127"/>
      <c r="C812" s="127"/>
      <c r="D812" s="127"/>
      <c r="E812" s="127"/>
      <c r="F812" s="300"/>
      <c r="G812" s="300"/>
      <c r="H812" s="892"/>
      <c r="I812" s="892"/>
      <c r="J812" s="892"/>
      <c r="K812" s="892"/>
      <c r="L812" s="892"/>
      <c r="M812" s="892"/>
      <c r="N812" s="892"/>
      <c r="O812" s="892"/>
      <c r="P812" s="892"/>
      <c r="Q812" s="892"/>
      <c r="R812" s="892"/>
      <c r="S812" s="892"/>
      <c r="T812" s="892"/>
      <c r="U812" s="892"/>
      <c r="V812" s="892"/>
      <c r="W812" s="893"/>
      <c r="X812" s="893"/>
      <c r="Y812" s="893"/>
      <c r="Z812" s="893"/>
      <c r="AA812" s="893"/>
      <c r="AB812" s="893"/>
      <c r="AC812" s="893"/>
      <c r="AD812" s="893"/>
      <c r="AE812" s="893"/>
      <c r="AF812" s="893"/>
      <c r="AG812" s="893"/>
      <c r="AH812" s="893"/>
      <c r="AI812" s="300"/>
      <c r="AJ812" s="300"/>
      <c r="AK812" s="300"/>
      <c r="AL812" s="300"/>
      <c r="AM812" s="300"/>
      <c r="AN812" s="127"/>
    </row>
    <row r="813" ht="14.25" customHeight="1">
      <c r="A813" s="127"/>
      <c r="B813" s="127"/>
      <c r="C813" s="127"/>
      <c r="D813" s="127"/>
      <c r="E813" s="127"/>
      <c r="F813" s="300"/>
      <c r="G813" s="300"/>
      <c r="H813" s="892"/>
      <c r="I813" s="892"/>
      <c r="J813" s="892"/>
      <c r="K813" s="892"/>
      <c r="L813" s="892"/>
      <c r="M813" s="892"/>
      <c r="N813" s="892"/>
      <c r="O813" s="892"/>
      <c r="P813" s="892"/>
      <c r="Q813" s="892"/>
      <c r="R813" s="892"/>
      <c r="S813" s="892"/>
      <c r="T813" s="892"/>
      <c r="U813" s="892"/>
      <c r="V813" s="892"/>
      <c r="W813" s="893"/>
      <c r="X813" s="893"/>
      <c r="Y813" s="893"/>
      <c r="Z813" s="893"/>
      <c r="AA813" s="893"/>
      <c r="AB813" s="893"/>
      <c r="AC813" s="893"/>
      <c r="AD813" s="893"/>
      <c r="AE813" s="893"/>
      <c r="AF813" s="893"/>
      <c r="AG813" s="893"/>
      <c r="AH813" s="893"/>
      <c r="AI813" s="300"/>
      <c r="AJ813" s="300"/>
      <c r="AK813" s="300"/>
      <c r="AL813" s="300"/>
      <c r="AM813" s="300"/>
      <c r="AN813" s="127"/>
    </row>
    <row r="814" ht="14.25" customHeight="1">
      <c r="A814" s="127"/>
      <c r="B814" s="127"/>
      <c r="C814" s="127"/>
      <c r="D814" s="127"/>
      <c r="E814" s="127"/>
      <c r="F814" s="300"/>
      <c r="G814" s="300"/>
      <c r="H814" s="892"/>
      <c r="I814" s="892"/>
      <c r="J814" s="892"/>
      <c r="K814" s="892"/>
      <c r="L814" s="892"/>
      <c r="M814" s="892"/>
      <c r="N814" s="892"/>
      <c r="O814" s="892"/>
      <c r="P814" s="892"/>
      <c r="Q814" s="892"/>
      <c r="R814" s="892"/>
      <c r="S814" s="892"/>
      <c r="T814" s="892"/>
      <c r="U814" s="892"/>
      <c r="V814" s="892"/>
      <c r="W814" s="893"/>
      <c r="X814" s="893"/>
      <c r="Y814" s="893"/>
      <c r="Z814" s="893"/>
      <c r="AA814" s="893"/>
      <c r="AB814" s="893"/>
      <c r="AC814" s="893"/>
      <c r="AD814" s="893"/>
      <c r="AE814" s="893"/>
      <c r="AF814" s="893"/>
      <c r="AG814" s="893"/>
      <c r="AH814" s="893"/>
      <c r="AI814" s="300"/>
      <c r="AJ814" s="300"/>
      <c r="AK814" s="300"/>
      <c r="AL814" s="300"/>
      <c r="AM814" s="300"/>
      <c r="AN814" s="127"/>
    </row>
    <row r="815" ht="14.25" customHeight="1">
      <c r="A815" s="127"/>
      <c r="B815" s="127"/>
      <c r="C815" s="127"/>
      <c r="D815" s="127"/>
      <c r="E815" s="127"/>
      <c r="F815" s="300"/>
      <c r="G815" s="300"/>
      <c r="H815" s="892"/>
      <c r="I815" s="892"/>
      <c r="J815" s="892"/>
      <c r="K815" s="892"/>
      <c r="L815" s="892"/>
      <c r="M815" s="892"/>
      <c r="N815" s="892"/>
      <c r="O815" s="892"/>
      <c r="P815" s="892"/>
      <c r="Q815" s="892"/>
      <c r="R815" s="892"/>
      <c r="S815" s="892"/>
      <c r="T815" s="892"/>
      <c r="U815" s="892"/>
      <c r="V815" s="892"/>
      <c r="W815" s="893"/>
      <c r="X815" s="893"/>
      <c r="Y815" s="893"/>
      <c r="Z815" s="893"/>
      <c r="AA815" s="893"/>
      <c r="AB815" s="893"/>
      <c r="AC815" s="893"/>
      <c r="AD815" s="893"/>
      <c r="AE815" s="893"/>
      <c r="AF815" s="893"/>
      <c r="AG815" s="893"/>
      <c r="AH815" s="893"/>
      <c r="AI815" s="300"/>
      <c r="AJ815" s="300"/>
      <c r="AK815" s="300"/>
      <c r="AL815" s="300"/>
      <c r="AM815" s="300"/>
      <c r="AN815" s="127"/>
    </row>
    <row r="816" ht="14.25" customHeight="1">
      <c r="A816" s="127"/>
      <c r="B816" s="127"/>
      <c r="C816" s="127"/>
      <c r="D816" s="127"/>
      <c r="E816" s="127"/>
      <c r="F816" s="300"/>
      <c r="G816" s="300"/>
      <c r="H816" s="892"/>
      <c r="I816" s="892"/>
      <c r="J816" s="892"/>
      <c r="K816" s="892"/>
      <c r="L816" s="892"/>
      <c r="M816" s="892"/>
      <c r="N816" s="892"/>
      <c r="O816" s="892"/>
      <c r="P816" s="892"/>
      <c r="Q816" s="892"/>
      <c r="R816" s="892"/>
      <c r="S816" s="892"/>
      <c r="T816" s="892"/>
      <c r="U816" s="892"/>
      <c r="V816" s="892"/>
      <c r="W816" s="893"/>
      <c r="X816" s="893"/>
      <c r="Y816" s="893"/>
      <c r="Z816" s="893"/>
      <c r="AA816" s="893"/>
      <c r="AB816" s="893"/>
      <c r="AC816" s="893"/>
      <c r="AD816" s="893"/>
      <c r="AE816" s="893"/>
      <c r="AF816" s="893"/>
      <c r="AG816" s="893"/>
      <c r="AH816" s="893"/>
      <c r="AI816" s="300"/>
      <c r="AJ816" s="300"/>
      <c r="AK816" s="300"/>
      <c r="AL816" s="300"/>
      <c r="AM816" s="300"/>
      <c r="AN816" s="127"/>
    </row>
    <row r="817" ht="14.25" customHeight="1">
      <c r="A817" s="127"/>
      <c r="B817" s="127"/>
      <c r="C817" s="127"/>
      <c r="D817" s="127"/>
      <c r="E817" s="127"/>
      <c r="F817" s="300"/>
      <c r="G817" s="300"/>
      <c r="H817" s="892"/>
      <c r="I817" s="892"/>
      <c r="J817" s="892"/>
      <c r="K817" s="892"/>
      <c r="L817" s="892"/>
      <c r="M817" s="892"/>
      <c r="N817" s="892"/>
      <c r="O817" s="892"/>
      <c r="P817" s="892"/>
      <c r="Q817" s="892"/>
      <c r="R817" s="892"/>
      <c r="S817" s="892"/>
      <c r="T817" s="892"/>
      <c r="U817" s="892"/>
      <c r="V817" s="892"/>
      <c r="W817" s="893"/>
      <c r="X817" s="893"/>
      <c r="Y817" s="893"/>
      <c r="Z817" s="893"/>
      <c r="AA817" s="893"/>
      <c r="AB817" s="893"/>
      <c r="AC817" s="893"/>
      <c r="AD817" s="893"/>
      <c r="AE817" s="893"/>
      <c r="AF817" s="893"/>
      <c r="AG817" s="893"/>
      <c r="AH817" s="893"/>
      <c r="AI817" s="300"/>
      <c r="AJ817" s="300"/>
      <c r="AK817" s="300"/>
      <c r="AL817" s="300"/>
      <c r="AM817" s="300"/>
      <c r="AN817" s="127"/>
    </row>
    <row r="818" ht="14.25" customHeight="1">
      <c r="A818" s="127"/>
      <c r="B818" s="127"/>
      <c r="C818" s="127"/>
      <c r="D818" s="127"/>
      <c r="E818" s="127"/>
      <c r="F818" s="300"/>
      <c r="G818" s="300"/>
      <c r="H818" s="892"/>
      <c r="I818" s="892"/>
      <c r="J818" s="892"/>
      <c r="K818" s="892"/>
      <c r="L818" s="892"/>
      <c r="M818" s="892"/>
      <c r="N818" s="892"/>
      <c r="O818" s="892"/>
      <c r="P818" s="892"/>
      <c r="Q818" s="892"/>
      <c r="R818" s="892"/>
      <c r="S818" s="892"/>
      <c r="T818" s="892"/>
      <c r="U818" s="892"/>
      <c r="V818" s="892"/>
      <c r="W818" s="893"/>
      <c r="X818" s="893"/>
      <c r="Y818" s="893"/>
      <c r="Z818" s="893"/>
      <c r="AA818" s="893"/>
      <c r="AB818" s="893"/>
      <c r="AC818" s="893"/>
      <c r="AD818" s="893"/>
      <c r="AE818" s="893"/>
      <c r="AF818" s="893"/>
      <c r="AG818" s="893"/>
      <c r="AH818" s="893"/>
      <c r="AI818" s="300"/>
      <c r="AJ818" s="300"/>
      <c r="AK818" s="300"/>
      <c r="AL818" s="300"/>
      <c r="AM818" s="300"/>
      <c r="AN818" s="127"/>
    </row>
    <row r="819" ht="14.25" customHeight="1">
      <c r="A819" s="127"/>
      <c r="B819" s="127"/>
      <c r="C819" s="127"/>
      <c r="D819" s="127"/>
      <c r="E819" s="127"/>
      <c r="F819" s="300"/>
      <c r="G819" s="300"/>
      <c r="H819" s="892"/>
      <c r="I819" s="892"/>
      <c r="J819" s="892"/>
      <c r="K819" s="892"/>
      <c r="L819" s="892"/>
      <c r="M819" s="892"/>
      <c r="N819" s="892"/>
      <c r="O819" s="892"/>
      <c r="P819" s="892"/>
      <c r="Q819" s="892"/>
      <c r="R819" s="892"/>
      <c r="S819" s="892"/>
      <c r="T819" s="892"/>
      <c r="U819" s="892"/>
      <c r="V819" s="892"/>
      <c r="W819" s="893"/>
      <c r="X819" s="893"/>
      <c r="Y819" s="893"/>
      <c r="Z819" s="893"/>
      <c r="AA819" s="893"/>
      <c r="AB819" s="893"/>
      <c r="AC819" s="893"/>
      <c r="AD819" s="893"/>
      <c r="AE819" s="893"/>
      <c r="AF819" s="893"/>
      <c r="AG819" s="893"/>
      <c r="AH819" s="893"/>
      <c r="AI819" s="300"/>
      <c r="AJ819" s="300"/>
      <c r="AK819" s="300"/>
      <c r="AL819" s="300"/>
      <c r="AM819" s="300"/>
      <c r="AN819" s="127"/>
    </row>
    <row r="820" ht="14.25" customHeight="1">
      <c r="A820" s="127"/>
      <c r="B820" s="127"/>
      <c r="C820" s="127"/>
      <c r="D820" s="127"/>
      <c r="E820" s="127"/>
      <c r="F820" s="300"/>
      <c r="G820" s="300"/>
      <c r="H820" s="892"/>
      <c r="I820" s="892"/>
      <c r="J820" s="892"/>
      <c r="K820" s="892"/>
      <c r="L820" s="892"/>
      <c r="M820" s="892"/>
      <c r="N820" s="892"/>
      <c r="O820" s="892"/>
      <c r="P820" s="892"/>
      <c r="Q820" s="892"/>
      <c r="R820" s="892"/>
      <c r="S820" s="892"/>
      <c r="T820" s="892"/>
      <c r="U820" s="892"/>
      <c r="V820" s="892"/>
      <c r="W820" s="893"/>
      <c r="X820" s="893"/>
      <c r="Y820" s="893"/>
      <c r="Z820" s="893"/>
      <c r="AA820" s="893"/>
      <c r="AB820" s="893"/>
      <c r="AC820" s="893"/>
      <c r="AD820" s="893"/>
      <c r="AE820" s="893"/>
      <c r="AF820" s="893"/>
      <c r="AG820" s="893"/>
      <c r="AH820" s="893"/>
      <c r="AI820" s="300"/>
      <c r="AJ820" s="300"/>
      <c r="AK820" s="300"/>
      <c r="AL820" s="300"/>
      <c r="AM820" s="300"/>
      <c r="AN820" s="127"/>
    </row>
    <row r="821" ht="14.25" customHeight="1">
      <c r="A821" s="127"/>
      <c r="B821" s="127"/>
      <c r="C821" s="127"/>
      <c r="D821" s="127"/>
      <c r="E821" s="127"/>
      <c r="F821" s="300"/>
      <c r="G821" s="300"/>
      <c r="H821" s="892"/>
      <c r="I821" s="892"/>
      <c r="J821" s="892"/>
      <c r="K821" s="892"/>
      <c r="L821" s="892"/>
      <c r="M821" s="892"/>
      <c r="N821" s="892"/>
      <c r="O821" s="892"/>
      <c r="P821" s="892"/>
      <c r="Q821" s="892"/>
      <c r="R821" s="892"/>
      <c r="S821" s="892"/>
      <c r="T821" s="892"/>
      <c r="U821" s="892"/>
      <c r="V821" s="892"/>
      <c r="W821" s="893"/>
      <c r="X821" s="893"/>
      <c r="Y821" s="893"/>
      <c r="Z821" s="893"/>
      <c r="AA821" s="893"/>
      <c r="AB821" s="893"/>
      <c r="AC821" s="893"/>
      <c r="AD821" s="893"/>
      <c r="AE821" s="893"/>
      <c r="AF821" s="893"/>
      <c r="AG821" s="893"/>
      <c r="AH821" s="893"/>
      <c r="AI821" s="300"/>
      <c r="AJ821" s="300"/>
      <c r="AK821" s="300"/>
      <c r="AL821" s="300"/>
      <c r="AM821" s="300"/>
      <c r="AN821" s="127"/>
    </row>
    <row r="822" ht="14.25" customHeight="1">
      <c r="A822" s="127"/>
      <c r="B822" s="127"/>
      <c r="C822" s="127"/>
      <c r="D822" s="127"/>
      <c r="E822" s="127"/>
      <c r="F822" s="300"/>
      <c r="G822" s="300"/>
      <c r="H822" s="892"/>
      <c r="I822" s="892"/>
      <c r="J822" s="892"/>
      <c r="K822" s="892"/>
      <c r="L822" s="892"/>
      <c r="M822" s="892"/>
      <c r="N822" s="892"/>
      <c r="O822" s="892"/>
      <c r="P822" s="892"/>
      <c r="Q822" s="892"/>
      <c r="R822" s="892"/>
      <c r="S822" s="892"/>
      <c r="T822" s="892"/>
      <c r="U822" s="892"/>
      <c r="V822" s="892"/>
      <c r="W822" s="893"/>
      <c r="X822" s="893"/>
      <c r="Y822" s="893"/>
      <c r="Z822" s="893"/>
      <c r="AA822" s="893"/>
      <c r="AB822" s="893"/>
      <c r="AC822" s="893"/>
      <c r="AD822" s="893"/>
      <c r="AE822" s="893"/>
      <c r="AF822" s="893"/>
      <c r="AG822" s="893"/>
      <c r="AH822" s="893"/>
      <c r="AI822" s="300"/>
      <c r="AJ822" s="300"/>
      <c r="AK822" s="300"/>
      <c r="AL822" s="300"/>
      <c r="AM822" s="300"/>
      <c r="AN822" s="127"/>
    </row>
    <row r="823" ht="14.25" customHeight="1">
      <c r="A823" s="127"/>
      <c r="B823" s="127"/>
      <c r="C823" s="127"/>
      <c r="D823" s="127"/>
      <c r="E823" s="127"/>
      <c r="F823" s="300"/>
      <c r="G823" s="300"/>
      <c r="H823" s="892"/>
      <c r="I823" s="892"/>
      <c r="J823" s="892"/>
      <c r="K823" s="892"/>
      <c r="L823" s="892"/>
      <c r="M823" s="892"/>
      <c r="N823" s="892"/>
      <c r="O823" s="892"/>
      <c r="P823" s="892"/>
      <c r="Q823" s="892"/>
      <c r="R823" s="892"/>
      <c r="S823" s="892"/>
      <c r="T823" s="892"/>
      <c r="U823" s="892"/>
      <c r="V823" s="892"/>
      <c r="W823" s="893"/>
      <c r="X823" s="893"/>
      <c r="Y823" s="893"/>
      <c r="Z823" s="893"/>
      <c r="AA823" s="893"/>
      <c r="AB823" s="893"/>
      <c r="AC823" s="893"/>
      <c r="AD823" s="893"/>
      <c r="AE823" s="893"/>
      <c r="AF823" s="893"/>
      <c r="AG823" s="893"/>
      <c r="AH823" s="893"/>
      <c r="AI823" s="300"/>
      <c r="AJ823" s="300"/>
      <c r="AK823" s="300"/>
      <c r="AL823" s="300"/>
      <c r="AM823" s="300"/>
      <c r="AN823" s="127"/>
    </row>
    <row r="824" ht="14.25" customHeight="1">
      <c r="A824" s="127"/>
      <c r="B824" s="127"/>
      <c r="C824" s="127"/>
      <c r="D824" s="127"/>
      <c r="E824" s="127"/>
      <c r="F824" s="300"/>
      <c r="G824" s="300"/>
      <c r="H824" s="892"/>
      <c r="I824" s="892"/>
      <c r="J824" s="892"/>
      <c r="K824" s="892"/>
      <c r="L824" s="892"/>
      <c r="M824" s="892"/>
      <c r="N824" s="892"/>
      <c r="O824" s="892"/>
      <c r="P824" s="892"/>
      <c r="Q824" s="892"/>
      <c r="R824" s="892"/>
      <c r="S824" s="892"/>
      <c r="T824" s="892"/>
      <c r="U824" s="892"/>
      <c r="V824" s="892"/>
      <c r="W824" s="893"/>
      <c r="X824" s="893"/>
      <c r="Y824" s="893"/>
      <c r="Z824" s="893"/>
      <c r="AA824" s="893"/>
      <c r="AB824" s="893"/>
      <c r="AC824" s="893"/>
      <c r="AD824" s="893"/>
      <c r="AE824" s="893"/>
      <c r="AF824" s="893"/>
      <c r="AG824" s="893"/>
      <c r="AH824" s="893"/>
      <c r="AI824" s="300"/>
      <c r="AJ824" s="300"/>
      <c r="AK824" s="300"/>
      <c r="AL824" s="300"/>
      <c r="AM824" s="300"/>
      <c r="AN824" s="127"/>
    </row>
    <row r="825" ht="14.25" customHeight="1">
      <c r="A825" s="127"/>
      <c r="B825" s="127"/>
      <c r="C825" s="127"/>
      <c r="D825" s="127"/>
      <c r="E825" s="127"/>
      <c r="F825" s="300"/>
      <c r="G825" s="300"/>
      <c r="H825" s="892"/>
      <c r="I825" s="892"/>
      <c r="J825" s="892"/>
      <c r="K825" s="892"/>
      <c r="L825" s="892"/>
      <c r="M825" s="892"/>
      <c r="N825" s="892"/>
      <c r="O825" s="892"/>
      <c r="P825" s="892"/>
      <c r="Q825" s="892"/>
      <c r="R825" s="892"/>
      <c r="S825" s="892"/>
      <c r="T825" s="892"/>
      <c r="U825" s="892"/>
      <c r="V825" s="892"/>
      <c r="W825" s="893"/>
      <c r="X825" s="893"/>
      <c r="Y825" s="893"/>
      <c r="Z825" s="893"/>
      <c r="AA825" s="893"/>
      <c r="AB825" s="893"/>
      <c r="AC825" s="893"/>
      <c r="AD825" s="893"/>
      <c r="AE825" s="893"/>
      <c r="AF825" s="893"/>
      <c r="AG825" s="893"/>
      <c r="AH825" s="893"/>
      <c r="AI825" s="300"/>
      <c r="AJ825" s="300"/>
      <c r="AK825" s="300"/>
      <c r="AL825" s="300"/>
      <c r="AM825" s="300"/>
      <c r="AN825" s="127"/>
    </row>
    <row r="826" ht="14.25" customHeight="1">
      <c r="A826" s="127"/>
      <c r="B826" s="127"/>
      <c r="C826" s="127"/>
      <c r="D826" s="127"/>
      <c r="E826" s="127"/>
      <c r="F826" s="300"/>
      <c r="G826" s="300"/>
      <c r="H826" s="892"/>
      <c r="I826" s="892"/>
      <c r="J826" s="892"/>
      <c r="K826" s="892"/>
      <c r="L826" s="892"/>
      <c r="M826" s="892"/>
      <c r="N826" s="892"/>
      <c r="O826" s="892"/>
      <c r="P826" s="892"/>
      <c r="Q826" s="892"/>
      <c r="R826" s="892"/>
      <c r="S826" s="892"/>
      <c r="T826" s="892"/>
      <c r="U826" s="892"/>
      <c r="V826" s="892"/>
      <c r="W826" s="893"/>
      <c r="X826" s="893"/>
      <c r="Y826" s="893"/>
      <c r="Z826" s="893"/>
      <c r="AA826" s="893"/>
      <c r="AB826" s="893"/>
      <c r="AC826" s="893"/>
      <c r="AD826" s="893"/>
      <c r="AE826" s="893"/>
      <c r="AF826" s="893"/>
      <c r="AG826" s="893"/>
      <c r="AH826" s="893"/>
      <c r="AI826" s="300"/>
      <c r="AJ826" s="300"/>
      <c r="AK826" s="300"/>
      <c r="AL826" s="300"/>
      <c r="AM826" s="300"/>
      <c r="AN826" s="127"/>
    </row>
    <row r="827" ht="14.25" customHeight="1">
      <c r="A827" s="127"/>
      <c r="B827" s="127"/>
      <c r="C827" s="127"/>
      <c r="D827" s="127"/>
      <c r="E827" s="127"/>
      <c r="F827" s="300"/>
      <c r="G827" s="300"/>
      <c r="H827" s="892"/>
      <c r="I827" s="892"/>
      <c r="J827" s="892"/>
      <c r="K827" s="892"/>
      <c r="L827" s="892"/>
      <c r="M827" s="892"/>
      <c r="N827" s="892"/>
      <c r="O827" s="892"/>
      <c r="P827" s="892"/>
      <c r="Q827" s="892"/>
      <c r="R827" s="892"/>
      <c r="S827" s="892"/>
      <c r="T827" s="892"/>
      <c r="U827" s="892"/>
      <c r="V827" s="892"/>
      <c r="W827" s="893"/>
      <c r="X827" s="893"/>
      <c r="Y827" s="893"/>
      <c r="Z827" s="893"/>
      <c r="AA827" s="893"/>
      <c r="AB827" s="893"/>
      <c r="AC827" s="893"/>
      <c r="AD827" s="893"/>
      <c r="AE827" s="893"/>
      <c r="AF827" s="893"/>
      <c r="AG827" s="893"/>
      <c r="AH827" s="893"/>
      <c r="AI827" s="300"/>
      <c r="AJ827" s="300"/>
      <c r="AK827" s="300"/>
      <c r="AL827" s="300"/>
      <c r="AM827" s="300"/>
      <c r="AN827" s="127"/>
    </row>
    <row r="828" ht="14.25" customHeight="1">
      <c r="A828" s="127"/>
      <c r="B828" s="127"/>
      <c r="C828" s="127"/>
      <c r="D828" s="127"/>
      <c r="E828" s="127"/>
      <c r="F828" s="300"/>
      <c r="G828" s="300"/>
      <c r="H828" s="892"/>
      <c r="I828" s="892"/>
      <c r="J828" s="892"/>
      <c r="K828" s="892"/>
      <c r="L828" s="892"/>
      <c r="M828" s="892"/>
      <c r="N828" s="892"/>
      <c r="O828" s="892"/>
      <c r="P828" s="892"/>
      <c r="Q828" s="892"/>
      <c r="R828" s="892"/>
      <c r="S828" s="892"/>
      <c r="T828" s="892"/>
      <c r="U828" s="892"/>
      <c r="V828" s="892"/>
      <c r="W828" s="893"/>
      <c r="X828" s="893"/>
      <c r="Y828" s="893"/>
      <c r="Z828" s="893"/>
      <c r="AA828" s="893"/>
      <c r="AB828" s="893"/>
      <c r="AC828" s="893"/>
      <c r="AD828" s="893"/>
      <c r="AE828" s="893"/>
      <c r="AF828" s="893"/>
      <c r="AG828" s="893"/>
      <c r="AH828" s="893"/>
      <c r="AI828" s="300"/>
      <c r="AJ828" s="300"/>
      <c r="AK828" s="300"/>
      <c r="AL828" s="300"/>
      <c r="AM828" s="300"/>
      <c r="AN828" s="127"/>
    </row>
    <row r="829" ht="14.25" customHeight="1">
      <c r="A829" s="127"/>
      <c r="B829" s="127"/>
      <c r="C829" s="127"/>
      <c r="D829" s="127"/>
      <c r="E829" s="127"/>
      <c r="F829" s="300"/>
      <c r="G829" s="300"/>
      <c r="H829" s="892"/>
      <c r="I829" s="892"/>
      <c r="J829" s="892"/>
      <c r="K829" s="892"/>
      <c r="L829" s="892"/>
      <c r="M829" s="892"/>
      <c r="N829" s="892"/>
      <c r="O829" s="892"/>
      <c r="P829" s="892"/>
      <c r="Q829" s="892"/>
      <c r="R829" s="892"/>
      <c r="S829" s="892"/>
      <c r="T829" s="892"/>
      <c r="U829" s="892"/>
      <c r="V829" s="892"/>
      <c r="W829" s="893"/>
      <c r="X829" s="893"/>
      <c r="Y829" s="893"/>
      <c r="Z829" s="893"/>
      <c r="AA829" s="893"/>
      <c r="AB829" s="893"/>
      <c r="AC829" s="893"/>
      <c r="AD829" s="893"/>
      <c r="AE829" s="893"/>
      <c r="AF829" s="893"/>
      <c r="AG829" s="893"/>
      <c r="AH829" s="893"/>
      <c r="AI829" s="300"/>
      <c r="AJ829" s="300"/>
      <c r="AK829" s="300"/>
      <c r="AL829" s="300"/>
      <c r="AM829" s="300"/>
      <c r="AN829" s="127"/>
    </row>
    <row r="830" ht="14.25" customHeight="1">
      <c r="A830" s="127"/>
      <c r="B830" s="127"/>
      <c r="C830" s="127"/>
      <c r="D830" s="127"/>
      <c r="E830" s="127"/>
      <c r="F830" s="300"/>
      <c r="G830" s="300"/>
      <c r="H830" s="892"/>
      <c r="I830" s="892"/>
      <c r="J830" s="892"/>
      <c r="K830" s="892"/>
      <c r="L830" s="892"/>
      <c r="M830" s="892"/>
      <c r="N830" s="892"/>
      <c r="O830" s="892"/>
      <c r="P830" s="892"/>
      <c r="Q830" s="892"/>
      <c r="R830" s="892"/>
      <c r="S830" s="892"/>
      <c r="T830" s="892"/>
      <c r="U830" s="892"/>
      <c r="V830" s="892"/>
      <c r="W830" s="893"/>
      <c r="X830" s="893"/>
      <c r="Y830" s="893"/>
      <c r="Z830" s="893"/>
      <c r="AA830" s="893"/>
      <c r="AB830" s="893"/>
      <c r="AC830" s="893"/>
      <c r="AD830" s="893"/>
      <c r="AE830" s="893"/>
      <c r="AF830" s="893"/>
      <c r="AG830" s="893"/>
      <c r="AH830" s="893"/>
      <c r="AI830" s="300"/>
      <c r="AJ830" s="300"/>
      <c r="AK830" s="300"/>
      <c r="AL830" s="300"/>
      <c r="AM830" s="300"/>
      <c r="AN830" s="127"/>
    </row>
    <row r="831" ht="14.25" customHeight="1">
      <c r="A831" s="127"/>
      <c r="B831" s="127"/>
      <c r="C831" s="127"/>
      <c r="D831" s="127"/>
      <c r="E831" s="127"/>
      <c r="F831" s="300"/>
      <c r="G831" s="300"/>
      <c r="H831" s="892"/>
      <c r="I831" s="892"/>
      <c r="J831" s="892"/>
      <c r="K831" s="892"/>
      <c r="L831" s="892"/>
      <c r="M831" s="892"/>
      <c r="N831" s="892"/>
      <c r="O831" s="892"/>
      <c r="P831" s="892"/>
      <c r="Q831" s="892"/>
      <c r="R831" s="892"/>
      <c r="S831" s="892"/>
      <c r="T831" s="892"/>
      <c r="U831" s="892"/>
      <c r="V831" s="892"/>
      <c r="W831" s="893"/>
      <c r="X831" s="893"/>
      <c r="Y831" s="893"/>
      <c r="Z831" s="893"/>
      <c r="AA831" s="893"/>
      <c r="AB831" s="893"/>
      <c r="AC831" s="893"/>
      <c r="AD831" s="893"/>
      <c r="AE831" s="893"/>
      <c r="AF831" s="893"/>
      <c r="AG831" s="893"/>
      <c r="AH831" s="893"/>
      <c r="AI831" s="300"/>
      <c r="AJ831" s="300"/>
      <c r="AK831" s="300"/>
      <c r="AL831" s="300"/>
      <c r="AM831" s="300"/>
      <c r="AN831" s="127"/>
    </row>
    <row r="832" ht="14.25" customHeight="1">
      <c r="A832" s="127"/>
      <c r="B832" s="127"/>
      <c r="C832" s="127"/>
      <c r="D832" s="127"/>
      <c r="E832" s="127"/>
      <c r="F832" s="300"/>
      <c r="G832" s="300"/>
      <c r="H832" s="892"/>
      <c r="I832" s="892"/>
      <c r="J832" s="892"/>
      <c r="K832" s="892"/>
      <c r="L832" s="892"/>
      <c r="M832" s="892"/>
      <c r="N832" s="892"/>
      <c r="O832" s="892"/>
      <c r="P832" s="892"/>
      <c r="Q832" s="892"/>
      <c r="R832" s="892"/>
      <c r="S832" s="892"/>
      <c r="T832" s="892"/>
      <c r="U832" s="892"/>
      <c r="V832" s="892"/>
      <c r="W832" s="893"/>
      <c r="X832" s="893"/>
      <c r="Y832" s="893"/>
      <c r="Z832" s="893"/>
      <c r="AA832" s="893"/>
      <c r="AB832" s="893"/>
      <c r="AC832" s="893"/>
      <c r="AD832" s="893"/>
      <c r="AE832" s="893"/>
      <c r="AF832" s="893"/>
      <c r="AG832" s="893"/>
      <c r="AH832" s="893"/>
      <c r="AI832" s="300"/>
      <c r="AJ832" s="300"/>
      <c r="AK832" s="300"/>
      <c r="AL832" s="300"/>
      <c r="AM832" s="300"/>
      <c r="AN832" s="127"/>
    </row>
    <row r="833" ht="14.25" customHeight="1">
      <c r="A833" s="127"/>
      <c r="B833" s="127"/>
      <c r="C833" s="127"/>
      <c r="D833" s="127"/>
      <c r="E833" s="127"/>
      <c r="F833" s="300"/>
      <c r="G833" s="300"/>
      <c r="H833" s="892"/>
      <c r="I833" s="892"/>
      <c r="J833" s="892"/>
      <c r="K833" s="892"/>
      <c r="L833" s="892"/>
      <c r="M833" s="892"/>
      <c r="N833" s="892"/>
      <c r="O833" s="892"/>
      <c r="P833" s="892"/>
      <c r="Q833" s="892"/>
      <c r="R833" s="892"/>
      <c r="S833" s="892"/>
      <c r="T833" s="892"/>
      <c r="U833" s="892"/>
      <c r="V833" s="892"/>
      <c r="W833" s="893"/>
      <c r="X833" s="893"/>
      <c r="Y833" s="893"/>
      <c r="Z833" s="893"/>
      <c r="AA833" s="893"/>
      <c r="AB833" s="893"/>
      <c r="AC833" s="893"/>
      <c r="AD833" s="893"/>
      <c r="AE833" s="893"/>
      <c r="AF833" s="893"/>
      <c r="AG833" s="893"/>
      <c r="AH833" s="893"/>
      <c r="AI833" s="300"/>
      <c r="AJ833" s="300"/>
      <c r="AK833" s="300"/>
      <c r="AL833" s="300"/>
      <c r="AM833" s="300"/>
      <c r="AN833" s="127"/>
    </row>
    <row r="834" ht="14.25" customHeight="1">
      <c r="A834" s="127"/>
      <c r="B834" s="127"/>
      <c r="C834" s="127"/>
      <c r="D834" s="127"/>
      <c r="E834" s="127"/>
      <c r="F834" s="300"/>
      <c r="G834" s="300"/>
      <c r="H834" s="892"/>
      <c r="I834" s="892"/>
      <c r="J834" s="892"/>
      <c r="K834" s="892"/>
      <c r="L834" s="892"/>
      <c r="M834" s="892"/>
      <c r="N834" s="892"/>
      <c r="O834" s="892"/>
      <c r="P834" s="892"/>
      <c r="Q834" s="892"/>
      <c r="R834" s="892"/>
      <c r="S834" s="892"/>
      <c r="T834" s="892"/>
      <c r="U834" s="892"/>
      <c r="V834" s="892"/>
      <c r="W834" s="893"/>
      <c r="X834" s="893"/>
      <c r="Y834" s="893"/>
      <c r="Z834" s="893"/>
      <c r="AA834" s="893"/>
      <c r="AB834" s="893"/>
      <c r="AC834" s="893"/>
      <c r="AD834" s="893"/>
      <c r="AE834" s="893"/>
      <c r="AF834" s="893"/>
      <c r="AG834" s="893"/>
      <c r="AH834" s="893"/>
      <c r="AI834" s="300"/>
      <c r="AJ834" s="300"/>
      <c r="AK834" s="300"/>
      <c r="AL834" s="300"/>
      <c r="AM834" s="300"/>
      <c r="AN834" s="127"/>
    </row>
    <row r="835" ht="14.25" customHeight="1">
      <c r="A835" s="127"/>
      <c r="B835" s="127"/>
      <c r="C835" s="127"/>
      <c r="D835" s="127"/>
      <c r="E835" s="127"/>
      <c r="F835" s="300"/>
      <c r="G835" s="300"/>
      <c r="H835" s="892"/>
      <c r="I835" s="892"/>
      <c r="J835" s="892"/>
      <c r="K835" s="892"/>
      <c r="L835" s="892"/>
      <c r="M835" s="892"/>
      <c r="N835" s="892"/>
      <c r="O835" s="892"/>
      <c r="P835" s="892"/>
      <c r="Q835" s="892"/>
      <c r="R835" s="892"/>
      <c r="S835" s="892"/>
      <c r="T835" s="892"/>
      <c r="U835" s="892"/>
      <c r="V835" s="892"/>
      <c r="W835" s="893"/>
      <c r="X835" s="893"/>
      <c r="Y835" s="893"/>
      <c r="Z835" s="893"/>
      <c r="AA835" s="893"/>
      <c r="AB835" s="893"/>
      <c r="AC835" s="893"/>
      <c r="AD835" s="893"/>
      <c r="AE835" s="893"/>
      <c r="AF835" s="893"/>
      <c r="AG835" s="893"/>
      <c r="AH835" s="893"/>
      <c r="AI835" s="300"/>
      <c r="AJ835" s="300"/>
      <c r="AK835" s="300"/>
      <c r="AL835" s="300"/>
      <c r="AM835" s="300"/>
      <c r="AN835" s="127"/>
    </row>
    <row r="836" ht="14.25" customHeight="1">
      <c r="A836" s="127"/>
      <c r="B836" s="127"/>
      <c r="C836" s="127"/>
      <c r="D836" s="127"/>
      <c r="E836" s="127"/>
      <c r="F836" s="300"/>
      <c r="G836" s="300"/>
      <c r="H836" s="892"/>
      <c r="I836" s="892"/>
      <c r="J836" s="892"/>
      <c r="K836" s="892"/>
      <c r="L836" s="892"/>
      <c r="M836" s="892"/>
      <c r="N836" s="892"/>
      <c r="O836" s="892"/>
      <c r="P836" s="892"/>
      <c r="Q836" s="892"/>
      <c r="R836" s="892"/>
      <c r="S836" s="892"/>
      <c r="T836" s="892"/>
      <c r="U836" s="892"/>
      <c r="V836" s="892"/>
      <c r="W836" s="893"/>
      <c r="X836" s="893"/>
      <c r="Y836" s="893"/>
      <c r="Z836" s="893"/>
      <c r="AA836" s="893"/>
      <c r="AB836" s="893"/>
      <c r="AC836" s="893"/>
      <c r="AD836" s="893"/>
      <c r="AE836" s="893"/>
      <c r="AF836" s="893"/>
      <c r="AG836" s="893"/>
      <c r="AH836" s="893"/>
      <c r="AI836" s="300"/>
      <c r="AJ836" s="300"/>
      <c r="AK836" s="300"/>
      <c r="AL836" s="300"/>
      <c r="AM836" s="300"/>
      <c r="AN836" s="127"/>
    </row>
    <row r="837" ht="14.25" customHeight="1">
      <c r="A837" s="127"/>
      <c r="B837" s="127"/>
      <c r="C837" s="127"/>
      <c r="D837" s="127"/>
      <c r="E837" s="127"/>
      <c r="F837" s="300"/>
      <c r="G837" s="300"/>
      <c r="H837" s="892"/>
      <c r="I837" s="892"/>
      <c r="J837" s="892"/>
      <c r="K837" s="892"/>
      <c r="L837" s="892"/>
      <c r="M837" s="892"/>
      <c r="N837" s="892"/>
      <c r="O837" s="892"/>
      <c r="P837" s="892"/>
      <c r="Q837" s="892"/>
      <c r="R837" s="892"/>
      <c r="S837" s="892"/>
      <c r="T837" s="892"/>
      <c r="U837" s="892"/>
      <c r="V837" s="892"/>
      <c r="W837" s="893"/>
      <c r="X837" s="893"/>
      <c r="Y837" s="893"/>
      <c r="Z837" s="893"/>
      <c r="AA837" s="893"/>
      <c r="AB837" s="893"/>
      <c r="AC837" s="893"/>
      <c r="AD837" s="893"/>
      <c r="AE837" s="893"/>
      <c r="AF837" s="893"/>
      <c r="AG837" s="893"/>
      <c r="AH837" s="893"/>
      <c r="AI837" s="300"/>
      <c r="AJ837" s="300"/>
      <c r="AK837" s="300"/>
      <c r="AL837" s="300"/>
      <c r="AM837" s="300"/>
      <c r="AN837" s="127"/>
    </row>
    <row r="838" ht="14.25" customHeight="1">
      <c r="A838" s="127"/>
      <c r="B838" s="127"/>
      <c r="C838" s="127"/>
      <c r="D838" s="127"/>
      <c r="E838" s="127"/>
      <c r="F838" s="300"/>
      <c r="G838" s="300"/>
      <c r="H838" s="892"/>
      <c r="I838" s="892"/>
      <c r="J838" s="892"/>
      <c r="K838" s="892"/>
      <c r="L838" s="892"/>
      <c r="M838" s="892"/>
      <c r="N838" s="892"/>
      <c r="O838" s="892"/>
      <c r="P838" s="892"/>
      <c r="Q838" s="892"/>
      <c r="R838" s="892"/>
      <c r="S838" s="892"/>
      <c r="T838" s="892"/>
      <c r="U838" s="892"/>
      <c r="V838" s="892"/>
      <c r="W838" s="893"/>
      <c r="X838" s="893"/>
      <c r="Y838" s="893"/>
      <c r="Z838" s="893"/>
      <c r="AA838" s="893"/>
      <c r="AB838" s="893"/>
      <c r="AC838" s="893"/>
      <c r="AD838" s="893"/>
      <c r="AE838" s="893"/>
      <c r="AF838" s="893"/>
      <c r="AG838" s="893"/>
      <c r="AH838" s="893"/>
      <c r="AI838" s="300"/>
      <c r="AJ838" s="300"/>
      <c r="AK838" s="300"/>
      <c r="AL838" s="300"/>
      <c r="AM838" s="300"/>
      <c r="AN838" s="127"/>
    </row>
    <row r="839" ht="14.25" customHeight="1">
      <c r="A839" s="127"/>
      <c r="B839" s="127"/>
      <c r="C839" s="127"/>
      <c r="D839" s="127"/>
      <c r="E839" s="127"/>
      <c r="F839" s="300"/>
      <c r="G839" s="300"/>
      <c r="H839" s="892"/>
      <c r="I839" s="892"/>
      <c r="J839" s="892"/>
      <c r="K839" s="892"/>
      <c r="L839" s="892"/>
      <c r="M839" s="892"/>
      <c r="N839" s="892"/>
      <c r="O839" s="892"/>
      <c r="P839" s="892"/>
      <c r="Q839" s="892"/>
      <c r="R839" s="892"/>
      <c r="S839" s="892"/>
      <c r="T839" s="892"/>
      <c r="U839" s="892"/>
      <c r="V839" s="892"/>
      <c r="W839" s="893"/>
      <c r="X839" s="893"/>
      <c r="Y839" s="893"/>
      <c r="Z839" s="893"/>
      <c r="AA839" s="893"/>
      <c r="AB839" s="893"/>
      <c r="AC839" s="893"/>
      <c r="AD839" s="893"/>
      <c r="AE839" s="893"/>
      <c r="AF839" s="893"/>
      <c r="AG839" s="893"/>
      <c r="AH839" s="893"/>
      <c r="AI839" s="300"/>
      <c r="AJ839" s="300"/>
      <c r="AK839" s="300"/>
      <c r="AL839" s="300"/>
      <c r="AM839" s="300"/>
      <c r="AN839" s="127"/>
    </row>
    <row r="840" ht="14.25" customHeight="1">
      <c r="A840" s="127"/>
      <c r="B840" s="127"/>
      <c r="C840" s="127"/>
      <c r="D840" s="127"/>
      <c r="E840" s="127"/>
      <c r="F840" s="300"/>
      <c r="G840" s="300"/>
      <c r="H840" s="892"/>
      <c r="I840" s="892"/>
      <c r="J840" s="892"/>
      <c r="K840" s="892"/>
      <c r="L840" s="892"/>
      <c r="M840" s="892"/>
      <c r="N840" s="892"/>
      <c r="O840" s="892"/>
      <c r="P840" s="892"/>
      <c r="Q840" s="892"/>
      <c r="R840" s="892"/>
      <c r="S840" s="892"/>
      <c r="T840" s="892"/>
      <c r="U840" s="892"/>
      <c r="V840" s="892"/>
      <c r="W840" s="893"/>
      <c r="X840" s="893"/>
      <c r="Y840" s="893"/>
      <c r="Z840" s="893"/>
      <c r="AA840" s="893"/>
      <c r="AB840" s="893"/>
      <c r="AC840" s="893"/>
      <c r="AD840" s="893"/>
      <c r="AE840" s="893"/>
      <c r="AF840" s="893"/>
      <c r="AG840" s="893"/>
      <c r="AH840" s="893"/>
      <c r="AI840" s="300"/>
      <c r="AJ840" s="300"/>
      <c r="AK840" s="300"/>
      <c r="AL840" s="300"/>
      <c r="AM840" s="300"/>
      <c r="AN840" s="127"/>
    </row>
    <row r="841" ht="14.25" customHeight="1">
      <c r="A841" s="127"/>
      <c r="B841" s="127"/>
      <c r="C841" s="127"/>
      <c r="D841" s="127"/>
      <c r="E841" s="127"/>
      <c r="F841" s="300"/>
      <c r="G841" s="300"/>
      <c r="H841" s="892"/>
      <c r="I841" s="892"/>
      <c r="J841" s="892"/>
      <c r="K841" s="892"/>
      <c r="L841" s="892"/>
      <c r="M841" s="892"/>
      <c r="N841" s="892"/>
      <c r="O841" s="892"/>
      <c r="P841" s="892"/>
      <c r="Q841" s="892"/>
      <c r="R841" s="892"/>
      <c r="S841" s="892"/>
      <c r="T841" s="892"/>
      <c r="U841" s="892"/>
      <c r="V841" s="892"/>
      <c r="W841" s="893"/>
      <c r="X841" s="893"/>
      <c r="Y841" s="893"/>
      <c r="Z841" s="893"/>
      <c r="AA841" s="893"/>
      <c r="AB841" s="893"/>
      <c r="AC841" s="893"/>
      <c r="AD841" s="893"/>
      <c r="AE841" s="893"/>
      <c r="AF841" s="893"/>
      <c r="AG841" s="893"/>
      <c r="AH841" s="893"/>
      <c r="AI841" s="300"/>
      <c r="AJ841" s="300"/>
      <c r="AK841" s="300"/>
      <c r="AL841" s="300"/>
      <c r="AM841" s="300"/>
      <c r="AN841" s="127"/>
    </row>
    <row r="842" ht="14.25" customHeight="1">
      <c r="A842" s="127"/>
      <c r="B842" s="127"/>
      <c r="C842" s="127"/>
      <c r="D842" s="127"/>
      <c r="E842" s="127"/>
      <c r="F842" s="300"/>
      <c r="G842" s="300"/>
      <c r="H842" s="892"/>
      <c r="I842" s="892"/>
      <c r="J842" s="892"/>
      <c r="K842" s="892"/>
      <c r="L842" s="892"/>
      <c r="M842" s="892"/>
      <c r="N842" s="892"/>
      <c r="O842" s="892"/>
      <c r="P842" s="892"/>
      <c r="Q842" s="892"/>
      <c r="R842" s="892"/>
      <c r="S842" s="892"/>
      <c r="T842" s="892"/>
      <c r="U842" s="892"/>
      <c r="V842" s="892"/>
      <c r="W842" s="893"/>
      <c r="X842" s="893"/>
      <c r="Y842" s="893"/>
      <c r="Z842" s="893"/>
      <c r="AA842" s="893"/>
      <c r="AB842" s="893"/>
      <c r="AC842" s="893"/>
      <c r="AD842" s="893"/>
      <c r="AE842" s="893"/>
      <c r="AF842" s="893"/>
      <c r="AG842" s="893"/>
      <c r="AH842" s="893"/>
      <c r="AI842" s="300"/>
      <c r="AJ842" s="300"/>
      <c r="AK842" s="300"/>
      <c r="AL842" s="300"/>
      <c r="AM842" s="300"/>
      <c r="AN842" s="127"/>
    </row>
    <row r="843" ht="14.25" customHeight="1">
      <c r="A843" s="127"/>
      <c r="B843" s="127"/>
      <c r="C843" s="127"/>
      <c r="D843" s="127"/>
      <c r="E843" s="127"/>
      <c r="F843" s="300"/>
      <c r="G843" s="300"/>
      <c r="H843" s="892"/>
      <c r="I843" s="892"/>
      <c r="J843" s="892"/>
      <c r="K843" s="892"/>
      <c r="L843" s="892"/>
      <c r="M843" s="892"/>
      <c r="N843" s="892"/>
      <c r="O843" s="892"/>
      <c r="P843" s="892"/>
      <c r="Q843" s="892"/>
      <c r="R843" s="892"/>
      <c r="S843" s="892"/>
      <c r="T843" s="892"/>
      <c r="U843" s="892"/>
      <c r="V843" s="892"/>
      <c r="W843" s="893"/>
      <c r="X843" s="893"/>
      <c r="Y843" s="893"/>
      <c r="Z843" s="893"/>
      <c r="AA843" s="893"/>
      <c r="AB843" s="893"/>
      <c r="AC843" s="893"/>
      <c r="AD843" s="893"/>
      <c r="AE843" s="893"/>
      <c r="AF843" s="893"/>
      <c r="AG843" s="893"/>
      <c r="AH843" s="893"/>
      <c r="AI843" s="300"/>
      <c r="AJ843" s="300"/>
      <c r="AK843" s="300"/>
      <c r="AL843" s="300"/>
      <c r="AM843" s="300"/>
      <c r="AN843" s="127"/>
    </row>
    <row r="844" ht="14.25" customHeight="1">
      <c r="A844" s="127"/>
      <c r="B844" s="127"/>
      <c r="C844" s="127"/>
      <c r="D844" s="127"/>
      <c r="E844" s="127"/>
      <c r="F844" s="300"/>
      <c r="G844" s="300"/>
      <c r="H844" s="892"/>
      <c r="I844" s="892"/>
      <c r="J844" s="892"/>
      <c r="K844" s="892"/>
      <c r="L844" s="892"/>
      <c r="M844" s="892"/>
      <c r="N844" s="892"/>
      <c r="O844" s="892"/>
      <c r="P844" s="892"/>
      <c r="Q844" s="892"/>
      <c r="R844" s="892"/>
      <c r="S844" s="892"/>
      <c r="T844" s="892"/>
      <c r="U844" s="892"/>
      <c r="V844" s="892"/>
      <c r="W844" s="893"/>
      <c r="X844" s="893"/>
      <c r="Y844" s="893"/>
      <c r="Z844" s="893"/>
      <c r="AA844" s="893"/>
      <c r="AB844" s="893"/>
      <c r="AC844" s="893"/>
      <c r="AD844" s="893"/>
      <c r="AE844" s="893"/>
      <c r="AF844" s="893"/>
      <c r="AG844" s="893"/>
      <c r="AH844" s="893"/>
      <c r="AI844" s="300"/>
      <c r="AJ844" s="300"/>
      <c r="AK844" s="300"/>
      <c r="AL844" s="300"/>
      <c r="AM844" s="300"/>
      <c r="AN844" s="127"/>
    </row>
    <row r="845" ht="14.25" customHeight="1">
      <c r="A845" s="127"/>
      <c r="B845" s="127"/>
      <c r="C845" s="127"/>
      <c r="D845" s="127"/>
      <c r="E845" s="127"/>
      <c r="F845" s="300"/>
      <c r="G845" s="300"/>
      <c r="H845" s="892"/>
      <c r="I845" s="892"/>
      <c r="J845" s="892"/>
      <c r="K845" s="892"/>
      <c r="L845" s="892"/>
      <c r="M845" s="892"/>
      <c r="N845" s="892"/>
      <c r="O845" s="892"/>
      <c r="P845" s="892"/>
      <c r="Q845" s="892"/>
      <c r="R845" s="892"/>
      <c r="S845" s="892"/>
      <c r="T845" s="892"/>
      <c r="U845" s="892"/>
      <c r="V845" s="892"/>
      <c r="W845" s="893"/>
      <c r="X845" s="893"/>
      <c r="Y845" s="893"/>
      <c r="Z845" s="893"/>
      <c r="AA845" s="893"/>
      <c r="AB845" s="893"/>
      <c r="AC845" s="893"/>
      <c r="AD845" s="893"/>
      <c r="AE845" s="893"/>
      <c r="AF845" s="893"/>
      <c r="AG845" s="893"/>
      <c r="AH845" s="893"/>
      <c r="AI845" s="300"/>
      <c r="AJ845" s="300"/>
      <c r="AK845" s="300"/>
      <c r="AL845" s="300"/>
      <c r="AM845" s="300"/>
      <c r="AN845" s="127"/>
    </row>
    <row r="846" ht="14.25" customHeight="1">
      <c r="A846" s="127"/>
      <c r="B846" s="127"/>
      <c r="C846" s="127"/>
      <c r="D846" s="127"/>
      <c r="E846" s="127"/>
      <c r="F846" s="300"/>
      <c r="G846" s="300"/>
      <c r="H846" s="892"/>
      <c r="I846" s="892"/>
      <c r="J846" s="892"/>
      <c r="K846" s="892"/>
      <c r="L846" s="892"/>
      <c r="M846" s="892"/>
      <c r="N846" s="892"/>
      <c r="O846" s="892"/>
      <c r="P846" s="892"/>
      <c r="Q846" s="892"/>
      <c r="R846" s="892"/>
      <c r="S846" s="892"/>
      <c r="T846" s="892"/>
      <c r="U846" s="892"/>
      <c r="V846" s="892"/>
      <c r="W846" s="893"/>
      <c r="X846" s="893"/>
      <c r="Y846" s="893"/>
      <c r="Z846" s="893"/>
      <c r="AA846" s="893"/>
      <c r="AB846" s="893"/>
      <c r="AC846" s="893"/>
      <c r="AD846" s="893"/>
      <c r="AE846" s="893"/>
      <c r="AF846" s="893"/>
      <c r="AG846" s="893"/>
      <c r="AH846" s="893"/>
      <c r="AI846" s="300"/>
      <c r="AJ846" s="300"/>
      <c r="AK846" s="300"/>
      <c r="AL846" s="300"/>
      <c r="AM846" s="300"/>
      <c r="AN846" s="127"/>
    </row>
    <row r="847" ht="14.25" customHeight="1">
      <c r="A847" s="127"/>
      <c r="B847" s="127"/>
      <c r="C847" s="127"/>
      <c r="D847" s="127"/>
      <c r="E847" s="127"/>
      <c r="F847" s="300"/>
      <c r="G847" s="300"/>
      <c r="H847" s="892"/>
      <c r="I847" s="892"/>
      <c r="J847" s="892"/>
      <c r="K847" s="892"/>
      <c r="L847" s="892"/>
      <c r="M847" s="892"/>
      <c r="N847" s="892"/>
      <c r="O847" s="892"/>
      <c r="P847" s="892"/>
      <c r="Q847" s="892"/>
      <c r="R847" s="892"/>
      <c r="S847" s="892"/>
      <c r="T847" s="892"/>
      <c r="U847" s="892"/>
      <c r="V847" s="892"/>
      <c r="W847" s="893"/>
      <c r="X847" s="893"/>
      <c r="Y847" s="893"/>
      <c r="Z847" s="893"/>
      <c r="AA847" s="893"/>
      <c r="AB847" s="893"/>
      <c r="AC847" s="893"/>
      <c r="AD847" s="893"/>
      <c r="AE847" s="893"/>
      <c r="AF847" s="893"/>
      <c r="AG847" s="893"/>
      <c r="AH847" s="893"/>
      <c r="AI847" s="300"/>
      <c r="AJ847" s="300"/>
      <c r="AK847" s="300"/>
      <c r="AL847" s="300"/>
      <c r="AM847" s="300"/>
      <c r="AN847" s="127"/>
    </row>
    <row r="848" ht="14.25" customHeight="1">
      <c r="A848" s="127"/>
      <c r="B848" s="127"/>
      <c r="C848" s="127"/>
      <c r="D848" s="127"/>
      <c r="E848" s="127"/>
      <c r="F848" s="300"/>
      <c r="G848" s="300"/>
      <c r="H848" s="892"/>
      <c r="I848" s="892"/>
      <c r="J848" s="892"/>
      <c r="K848" s="892"/>
      <c r="L848" s="892"/>
      <c r="M848" s="892"/>
      <c r="N848" s="892"/>
      <c r="O848" s="892"/>
      <c r="P848" s="892"/>
      <c r="Q848" s="892"/>
      <c r="R848" s="892"/>
      <c r="S848" s="892"/>
      <c r="T848" s="892"/>
      <c r="U848" s="892"/>
      <c r="V848" s="892"/>
      <c r="W848" s="893"/>
      <c r="X848" s="893"/>
      <c r="Y848" s="893"/>
      <c r="Z848" s="893"/>
      <c r="AA848" s="893"/>
      <c r="AB848" s="893"/>
      <c r="AC848" s="893"/>
      <c r="AD848" s="893"/>
      <c r="AE848" s="893"/>
      <c r="AF848" s="893"/>
      <c r="AG848" s="893"/>
      <c r="AH848" s="893"/>
      <c r="AI848" s="300"/>
      <c r="AJ848" s="300"/>
      <c r="AK848" s="300"/>
      <c r="AL848" s="300"/>
      <c r="AM848" s="300"/>
      <c r="AN848" s="127"/>
    </row>
    <row r="849" ht="14.25" customHeight="1">
      <c r="A849" s="127"/>
      <c r="B849" s="127"/>
      <c r="C849" s="127"/>
      <c r="D849" s="127"/>
      <c r="E849" s="127"/>
      <c r="F849" s="300"/>
      <c r="G849" s="300"/>
      <c r="H849" s="892"/>
      <c r="I849" s="892"/>
      <c r="J849" s="892"/>
      <c r="K849" s="892"/>
      <c r="L849" s="892"/>
      <c r="M849" s="892"/>
      <c r="N849" s="892"/>
      <c r="O849" s="892"/>
      <c r="P849" s="892"/>
      <c r="Q849" s="892"/>
      <c r="R849" s="892"/>
      <c r="S849" s="892"/>
      <c r="T849" s="892"/>
      <c r="U849" s="892"/>
      <c r="V849" s="892"/>
      <c r="W849" s="893"/>
      <c r="X849" s="893"/>
      <c r="Y849" s="893"/>
      <c r="Z849" s="893"/>
      <c r="AA849" s="893"/>
      <c r="AB849" s="893"/>
      <c r="AC849" s="893"/>
      <c r="AD849" s="893"/>
      <c r="AE849" s="893"/>
      <c r="AF849" s="893"/>
      <c r="AG849" s="893"/>
      <c r="AH849" s="893"/>
      <c r="AI849" s="300"/>
      <c r="AJ849" s="300"/>
      <c r="AK849" s="300"/>
      <c r="AL849" s="300"/>
      <c r="AM849" s="300"/>
      <c r="AN849" s="127"/>
    </row>
    <row r="850" ht="14.25" customHeight="1">
      <c r="A850" s="127"/>
      <c r="B850" s="127"/>
      <c r="C850" s="127"/>
      <c r="D850" s="127"/>
      <c r="E850" s="127"/>
      <c r="F850" s="300"/>
      <c r="G850" s="300"/>
      <c r="H850" s="892"/>
      <c r="I850" s="892"/>
      <c r="J850" s="892"/>
      <c r="K850" s="892"/>
      <c r="L850" s="892"/>
      <c r="M850" s="892"/>
      <c r="N850" s="892"/>
      <c r="O850" s="892"/>
      <c r="P850" s="892"/>
      <c r="Q850" s="892"/>
      <c r="R850" s="892"/>
      <c r="S850" s="892"/>
      <c r="T850" s="892"/>
      <c r="U850" s="892"/>
      <c r="V850" s="892"/>
      <c r="W850" s="893"/>
      <c r="X850" s="893"/>
      <c r="Y850" s="893"/>
      <c r="Z850" s="893"/>
      <c r="AA850" s="893"/>
      <c r="AB850" s="893"/>
      <c r="AC850" s="893"/>
      <c r="AD850" s="893"/>
      <c r="AE850" s="893"/>
      <c r="AF850" s="893"/>
      <c r="AG850" s="893"/>
      <c r="AH850" s="893"/>
      <c r="AI850" s="300"/>
      <c r="AJ850" s="300"/>
      <c r="AK850" s="300"/>
      <c r="AL850" s="300"/>
      <c r="AM850" s="300"/>
      <c r="AN850" s="127"/>
    </row>
    <row r="851" ht="14.25" customHeight="1">
      <c r="A851" s="127"/>
      <c r="B851" s="127"/>
      <c r="C851" s="127"/>
      <c r="D851" s="127"/>
      <c r="E851" s="127"/>
      <c r="F851" s="300"/>
      <c r="G851" s="300"/>
      <c r="H851" s="892"/>
      <c r="I851" s="892"/>
      <c r="J851" s="892"/>
      <c r="K851" s="892"/>
      <c r="L851" s="892"/>
      <c r="M851" s="892"/>
      <c r="N851" s="892"/>
      <c r="O851" s="892"/>
      <c r="P851" s="892"/>
      <c r="Q851" s="892"/>
      <c r="R851" s="892"/>
      <c r="S851" s="892"/>
      <c r="T851" s="892"/>
      <c r="U851" s="892"/>
      <c r="V851" s="892"/>
      <c r="W851" s="893"/>
      <c r="X851" s="893"/>
      <c r="Y851" s="893"/>
      <c r="Z851" s="893"/>
      <c r="AA851" s="893"/>
      <c r="AB851" s="893"/>
      <c r="AC851" s="893"/>
      <c r="AD851" s="893"/>
      <c r="AE851" s="893"/>
      <c r="AF851" s="893"/>
      <c r="AG851" s="893"/>
      <c r="AH851" s="893"/>
      <c r="AI851" s="300"/>
      <c r="AJ851" s="300"/>
      <c r="AK851" s="300"/>
      <c r="AL851" s="300"/>
      <c r="AM851" s="300"/>
      <c r="AN851" s="127"/>
    </row>
    <row r="852" ht="14.25" customHeight="1">
      <c r="A852" s="127"/>
      <c r="B852" s="127"/>
      <c r="C852" s="127"/>
      <c r="D852" s="127"/>
      <c r="E852" s="127"/>
      <c r="F852" s="300"/>
      <c r="G852" s="300"/>
      <c r="H852" s="892"/>
      <c r="I852" s="892"/>
      <c r="J852" s="892"/>
      <c r="K852" s="892"/>
      <c r="L852" s="892"/>
      <c r="M852" s="892"/>
      <c r="N852" s="892"/>
      <c r="O852" s="892"/>
      <c r="P852" s="892"/>
      <c r="Q852" s="892"/>
      <c r="R852" s="892"/>
      <c r="S852" s="892"/>
      <c r="T852" s="892"/>
      <c r="U852" s="892"/>
      <c r="V852" s="892"/>
      <c r="W852" s="893"/>
      <c r="X852" s="893"/>
      <c r="Y852" s="893"/>
      <c r="Z852" s="893"/>
      <c r="AA852" s="893"/>
      <c r="AB852" s="893"/>
      <c r="AC852" s="893"/>
      <c r="AD852" s="893"/>
      <c r="AE852" s="893"/>
      <c r="AF852" s="893"/>
      <c r="AG852" s="893"/>
      <c r="AH852" s="893"/>
      <c r="AI852" s="300"/>
      <c r="AJ852" s="300"/>
      <c r="AK852" s="300"/>
      <c r="AL852" s="300"/>
      <c r="AM852" s="300"/>
      <c r="AN852" s="127"/>
    </row>
    <row r="853" ht="14.25" customHeight="1">
      <c r="A853" s="127"/>
      <c r="B853" s="127"/>
      <c r="C853" s="127"/>
      <c r="D853" s="127"/>
      <c r="E853" s="127"/>
      <c r="F853" s="300"/>
      <c r="G853" s="300"/>
      <c r="H853" s="892"/>
      <c r="I853" s="892"/>
      <c r="J853" s="892"/>
      <c r="K853" s="892"/>
      <c r="L853" s="892"/>
      <c r="M853" s="892"/>
      <c r="N853" s="892"/>
      <c r="O853" s="892"/>
      <c r="P853" s="892"/>
      <c r="Q853" s="892"/>
      <c r="R853" s="892"/>
      <c r="S853" s="892"/>
      <c r="T853" s="892"/>
      <c r="U853" s="892"/>
      <c r="V853" s="892"/>
      <c r="W853" s="893"/>
      <c r="X853" s="893"/>
      <c r="Y853" s="893"/>
      <c r="Z853" s="893"/>
      <c r="AA853" s="893"/>
      <c r="AB853" s="893"/>
      <c r="AC853" s="893"/>
      <c r="AD853" s="893"/>
      <c r="AE853" s="893"/>
      <c r="AF853" s="893"/>
      <c r="AG853" s="893"/>
      <c r="AH853" s="893"/>
      <c r="AI853" s="300"/>
      <c r="AJ853" s="300"/>
      <c r="AK853" s="300"/>
      <c r="AL853" s="300"/>
      <c r="AM853" s="300"/>
      <c r="AN853" s="127"/>
    </row>
    <row r="854" ht="14.25" customHeight="1">
      <c r="A854" s="127"/>
      <c r="B854" s="127"/>
      <c r="C854" s="127"/>
      <c r="D854" s="127"/>
      <c r="E854" s="127"/>
      <c r="F854" s="300"/>
      <c r="G854" s="300"/>
      <c r="H854" s="892"/>
      <c r="I854" s="892"/>
      <c r="J854" s="892"/>
      <c r="K854" s="892"/>
      <c r="L854" s="892"/>
      <c r="M854" s="892"/>
      <c r="N854" s="892"/>
      <c r="O854" s="892"/>
      <c r="P854" s="892"/>
      <c r="Q854" s="892"/>
      <c r="R854" s="892"/>
      <c r="S854" s="892"/>
      <c r="T854" s="892"/>
      <c r="U854" s="892"/>
      <c r="V854" s="892"/>
      <c r="W854" s="893"/>
      <c r="X854" s="893"/>
      <c r="Y854" s="893"/>
      <c r="Z854" s="893"/>
      <c r="AA854" s="893"/>
      <c r="AB854" s="893"/>
      <c r="AC854" s="893"/>
      <c r="AD854" s="893"/>
      <c r="AE854" s="893"/>
      <c r="AF854" s="893"/>
      <c r="AG854" s="893"/>
      <c r="AH854" s="893"/>
      <c r="AI854" s="300"/>
      <c r="AJ854" s="300"/>
      <c r="AK854" s="300"/>
      <c r="AL854" s="300"/>
      <c r="AM854" s="300"/>
      <c r="AN854" s="127"/>
    </row>
    <row r="855" ht="14.25" customHeight="1">
      <c r="A855" s="127"/>
      <c r="B855" s="127"/>
      <c r="C855" s="127"/>
      <c r="D855" s="127"/>
      <c r="E855" s="127"/>
      <c r="F855" s="300"/>
      <c r="G855" s="300"/>
      <c r="H855" s="892"/>
      <c r="I855" s="892"/>
      <c r="J855" s="892"/>
      <c r="K855" s="892"/>
      <c r="L855" s="892"/>
      <c r="M855" s="892"/>
      <c r="N855" s="892"/>
      <c r="O855" s="892"/>
      <c r="P855" s="892"/>
      <c r="Q855" s="892"/>
      <c r="R855" s="892"/>
      <c r="S855" s="892"/>
      <c r="T855" s="892"/>
      <c r="U855" s="892"/>
      <c r="V855" s="892"/>
      <c r="W855" s="893"/>
      <c r="X855" s="893"/>
      <c r="Y855" s="893"/>
      <c r="Z855" s="893"/>
      <c r="AA855" s="893"/>
      <c r="AB855" s="893"/>
      <c r="AC855" s="893"/>
      <c r="AD855" s="893"/>
      <c r="AE855" s="893"/>
      <c r="AF855" s="893"/>
      <c r="AG855" s="893"/>
      <c r="AH855" s="893"/>
      <c r="AI855" s="300"/>
      <c r="AJ855" s="300"/>
      <c r="AK855" s="300"/>
      <c r="AL855" s="300"/>
      <c r="AM855" s="300"/>
      <c r="AN855" s="127"/>
    </row>
    <row r="856" ht="14.25" customHeight="1">
      <c r="A856" s="127"/>
      <c r="B856" s="127"/>
      <c r="C856" s="127"/>
      <c r="D856" s="127"/>
      <c r="E856" s="127"/>
      <c r="F856" s="300"/>
      <c r="G856" s="300"/>
      <c r="H856" s="892"/>
      <c r="I856" s="892"/>
      <c r="J856" s="892"/>
      <c r="K856" s="892"/>
      <c r="L856" s="892"/>
      <c r="M856" s="892"/>
      <c r="N856" s="892"/>
      <c r="O856" s="892"/>
      <c r="P856" s="892"/>
      <c r="Q856" s="892"/>
      <c r="R856" s="892"/>
      <c r="S856" s="892"/>
      <c r="T856" s="892"/>
      <c r="U856" s="892"/>
      <c r="V856" s="892"/>
      <c r="W856" s="893"/>
      <c r="X856" s="893"/>
      <c r="Y856" s="893"/>
      <c r="Z856" s="893"/>
      <c r="AA856" s="893"/>
      <c r="AB856" s="893"/>
      <c r="AC856" s="893"/>
      <c r="AD856" s="893"/>
      <c r="AE856" s="893"/>
      <c r="AF856" s="893"/>
      <c r="AG856" s="893"/>
      <c r="AH856" s="893"/>
      <c r="AI856" s="300"/>
      <c r="AJ856" s="300"/>
      <c r="AK856" s="300"/>
      <c r="AL856" s="300"/>
      <c r="AM856" s="300"/>
      <c r="AN856" s="127"/>
    </row>
    <row r="857" ht="14.25" customHeight="1">
      <c r="A857" s="127"/>
      <c r="B857" s="127"/>
      <c r="C857" s="127"/>
      <c r="D857" s="127"/>
      <c r="E857" s="127"/>
      <c r="F857" s="300"/>
      <c r="G857" s="300"/>
      <c r="H857" s="892"/>
      <c r="I857" s="892"/>
      <c r="J857" s="892"/>
      <c r="K857" s="892"/>
      <c r="L857" s="892"/>
      <c r="M857" s="892"/>
      <c r="N857" s="892"/>
      <c r="O857" s="892"/>
      <c r="P857" s="892"/>
      <c r="Q857" s="892"/>
      <c r="R857" s="892"/>
      <c r="S857" s="892"/>
      <c r="T857" s="892"/>
      <c r="U857" s="892"/>
      <c r="V857" s="892"/>
      <c r="W857" s="893"/>
      <c r="X857" s="893"/>
      <c r="Y857" s="893"/>
      <c r="Z857" s="893"/>
      <c r="AA857" s="893"/>
      <c r="AB857" s="893"/>
      <c r="AC857" s="893"/>
      <c r="AD857" s="893"/>
      <c r="AE857" s="893"/>
      <c r="AF857" s="893"/>
      <c r="AG857" s="893"/>
      <c r="AH857" s="893"/>
      <c r="AI857" s="300"/>
      <c r="AJ857" s="300"/>
      <c r="AK857" s="300"/>
      <c r="AL857" s="300"/>
      <c r="AM857" s="300"/>
      <c r="AN857" s="127"/>
    </row>
    <row r="858" ht="14.25" customHeight="1">
      <c r="A858" s="127"/>
      <c r="B858" s="127"/>
      <c r="C858" s="127"/>
      <c r="D858" s="127"/>
      <c r="E858" s="127"/>
      <c r="F858" s="300"/>
      <c r="G858" s="300"/>
      <c r="H858" s="892"/>
      <c r="I858" s="892"/>
      <c r="J858" s="892"/>
      <c r="K858" s="892"/>
      <c r="L858" s="892"/>
      <c r="M858" s="892"/>
      <c r="N858" s="892"/>
      <c r="O858" s="892"/>
      <c r="P858" s="892"/>
      <c r="Q858" s="892"/>
      <c r="R858" s="892"/>
      <c r="S858" s="892"/>
      <c r="T858" s="892"/>
      <c r="U858" s="892"/>
      <c r="V858" s="892"/>
      <c r="W858" s="893"/>
      <c r="X858" s="893"/>
      <c r="Y858" s="893"/>
      <c r="Z858" s="893"/>
      <c r="AA858" s="893"/>
      <c r="AB858" s="893"/>
      <c r="AC858" s="893"/>
      <c r="AD858" s="893"/>
      <c r="AE858" s="893"/>
      <c r="AF858" s="893"/>
      <c r="AG858" s="893"/>
      <c r="AH858" s="893"/>
      <c r="AI858" s="300"/>
      <c r="AJ858" s="300"/>
      <c r="AK858" s="300"/>
      <c r="AL858" s="300"/>
      <c r="AM858" s="300"/>
      <c r="AN858" s="127"/>
    </row>
    <row r="859" ht="14.25" customHeight="1">
      <c r="A859" s="127"/>
      <c r="B859" s="127"/>
      <c r="C859" s="127"/>
      <c r="D859" s="127"/>
      <c r="E859" s="127"/>
      <c r="F859" s="300"/>
      <c r="G859" s="300"/>
      <c r="H859" s="892"/>
      <c r="I859" s="892"/>
      <c r="J859" s="892"/>
      <c r="K859" s="892"/>
      <c r="L859" s="892"/>
      <c r="M859" s="892"/>
      <c r="N859" s="892"/>
      <c r="O859" s="892"/>
      <c r="P859" s="892"/>
      <c r="Q859" s="892"/>
      <c r="R859" s="892"/>
      <c r="S859" s="892"/>
      <c r="T859" s="892"/>
      <c r="U859" s="892"/>
      <c r="V859" s="892"/>
      <c r="W859" s="893"/>
      <c r="X859" s="893"/>
      <c r="Y859" s="893"/>
      <c r="Z859" s="893"/>
      <c r="AA859" s="893"/>
      <c r="AB859" s="893"/>
      <c r="AC859" s="893"/>
      <c r="AD859" s="893"/>
      <c r="AE859" s="893"/>
      <c r="AF859" s="893"/>
      <c r="AG859" s="893"/>
      <c r="AH859" s="893"/>
      <c r="AI859" s="300"/>
      <c r="AJ859" s="300"/>
      <c r="AK859" s="300"/>
      <c r="AL859" s="300"/>
      <c r="AM859" s="300"/>
      <c r="AN859" s="127"/>
    </row>
    <row r="860" ht="14.25" customHeight="1">
      <c r="A860" s="127"/>
      <c r="B860" s="127"/>
      <c r="C860" s="127"/>
      <c r="D860" s="127"/>
      <c r="E860" s="127"/>
      <c r="F860" s="300"/>
      <c r="G860" s="300"/>
      <c r="H860" s="892"/>
      <c r="I860" s="892"/>
      <c r="J860" s="892"/>
      <c r="K860" s="892"/>
      <c r="L860" s="892"/>
      <c r="M860" s="892"/>
      <c r="N860" s="892"/>
      <c r="O860" s="892"/>
      <c r="P860" s="892"/>
      <c r="Q860" s="892"/>
      <c r="R860" s="892"/>
      <c r="S860" s="892"/>
      <c r="T860" s="892"/>
      <c r="U860" s="892"/>
      <c r="V860" s="892"/>
      <c r="W860" s="893"/>
      <c r="X860" s="893"/>
      <c r="Y860" s="893"/>
      <c r="Z860" s="893"/>
      <c r="AA860" s="893"/>
      <c r="AB860" s="893"/>
      <c r="AC860" s="893"/>
      <c r="AD860" s="893"/>
      <c r="AE860" s="893"/>
      <c r="AF860" s="893"/>
      <c r="AG860" s="893"/>
      <c r="AH860" s="893"/>
      <c r="AI860" s="300"/>
      <c r="AJ860" s="300"/>
      <c r="AK860" s="300"/>
      <c r="AL860" s="300"/>
      <c r="AM860" s="300"/>
      <c r="AN860" s="127"/>
    </row>
    <row r="861" ht="14.25" customHeight="1">
      <c r="A861" s="127"/>
      <c r="B861" s="127"/>
      <c r="C861" s="127"/>
      <c r="D861" s="127"/>
      <c r="E861" s="127"/>
      <c r="F861" s="300"/>
      <c r="G861" s="300"/>
      <c r="H861" s="892"/>
      <c r="I861" s="892"/>
      <c r="J861" s="892"/>
      <c r="K861" s="892"/>
      <c r="L861" s="892"/>
      <c r="M861" s="892"/>
      <c r="N861" s="892"/>
      <c r="O861" s="892"/>
      <c r="P861" s="892"/>
      <c r="Q861" s="892"/>
      <c r="R861" s="892"/>
      <c r="S861" s="892"/>
      <c r="T861" s="892"/>
      <c r="U861" s="892"/>
      <c r="V861" s="892"/>
      <c r="W861" s="893"/>
      <c r="X861" s="893"/>
      <c r="Y861" s="893"/>
      <c r="Z861" s="893"/>
      <c r="AA861" s="893"/>
      <c r="AB861" s="893"/>
      <c r="AC861" s="893"/>
      <c r="AD861" s="893"/>
      <c r="AE861" s="893"/>
      <c r="AF861" s="893"/>
      <c r="AG861" s="893"/>
      <c r="AH861" s="893"/>
      <c r="AI861" s="300"/>
      <c r="AJ861" s="300"/>
      <c r="AK861" s="300"/>
      <c r="AL861" s="300"/>
      <c r="AM861" s="300"/>
      <c r="AN861" s="127"/>
    </row>
    <row r="862" ht="14.25" customHeight="1">
      <c r="A862" s="127"/>
      <c r="B862" s="127"/>
      <c r="C862" s="127"/>
      <c r="D862" s="127"/>
      <c r="E862" s="127"/>
      <c r="F862" s="300"/>
      <c r="G862" s="300"/>
      <c r="H862" s="892"/>
      <c r="I862" s="892"/>
      <c r="J862" s="892"/>
      <c r="K862" s="892"/>
      <c r="L862" s="892"/>
      <c r="M862" s="892"/>
      <c r="N862" s="892"/>
      <c r="O862" s="892"/>
      <c r="P862" s="892"/>
      <c r="Q862" s="892"/>
      <c r="R862" s="892"/>
      <c r="S862" s="892"/>
      <c r="T862" s="892"/>
      <c r="U862" s="892"/>
      <c r="V862" s="892"/>
      <c r="W862" s="893"/>
      <c r="X862" s="893"/>
      <c r="Y862" s="893"/>
      <c r="Z862" s="893"/>
      <c r="AA862" s="893"/>
      <c r="AB862" s="893"/>
      <c r="AC862" s="893"/>
      <c r="AD862" s="893"/>
      <c r="AE862" s="893"/>
      <c r="AF862" s="893"/>
      <c r="AG862" s="893"/>
      <c r="AH862" s="893"/>
      <c r="AI862" s="300"/>
      <c r="AJ862" s="300"/>
      <c r="AK862" s="300"/>
      <c r="AL862" s="300"/>
      <c r="AM862" s="300"/>
      <c r="AN862" s="127"/>
    </row>
    <row r="863" ht="14.25" customHeight="1">
      <c r="A863" s="127"/>
      <c r="B863" s="127"/>
      <c r="C863" s="127"/>
      <c r="D863" s="127"/>
      <c r="E863" s="127"/>
      <c r="F863" s="300"/>
      <c r="G863" s="300"/>
      <c r="H863" s="892"/>
      <c r="I863" s="892"/>
      <c r="J863" s="892"/>
      <c r="K863" s="892"/>
      <c r="L863" s="892"/>
      <c r="M863" s="892"/>
      <c r="N863" s="892"/>
      <c r="O863" s="892"/>
      <c r="P863" s="892"/>
      <c r="Q863" s="892"/>
      <c r="R863" s="892"/>
      <c r="S863" s="892"/>
      <c r="T863" s="892"/>
      <c r="U863" s="892"/>
      <c r="V863" s="892"/>
      <c r="W863" s="893"/>
      <c r="X863" s="893"/>
      <c r="Y863" s="893"/>
      <c r="Z863" s="893"/>
      <c r="AA863" s="893"/>
      <c r="AB863" s="893"/>
      <c r="AC863" s="893"/>
      <c r="AD863" s="893"/>
      <c r="AE863" s="893"/>
      <c r="AF863" s="893"/>
      <c r="AG863" s="893"/>
      <c r="AH863" s="893"/>
      <c r="AI863" s="300"/>
      <c r="AJ863" s="300"/>
      <c r="AK863" s="300"/>
      <c r="AL863" s="300"/>
      <c r="AM863" s="300"/>
      <c r="AN863" s="127"/>
    </row>
    <row r="864" ht="14.25" customHeight="1">
      <c r="A864" s="127"/>
      <c r="B864" s="127"/>
      <c r="C864" s="127"/>
      <c r="D864" s="127"/>
      <c r="E864" s="127"/>
      <c r="F864" s="300"/>
      <c r="G864" s="300"/>
      <c r="H864" s="892"/>
      <c r="I864" s="892"/>
      <c r="J864" s="892"/>
      <c r="K864" s="892"/>
      <c r="L864" s="892"/>
      <c r="M864" s="892"/>
      <c r="N864" s="892"/>
      <c r="O864" s="892"/>
      <c r="P864" s="892"/>
      <c r="Q864" s="892"/>
      <c r="R864" s="892"/>
      <c r="S864" s="892"/>
      <c r="T864" s="892"/>
      <c r="U864" s="892"/>
      <c r="V864" s="892"/>
      <c r="W864" s="893"/>
      <c r="X864" s="893"/>
      <c r="Y864" s="893"/>
      <c r="Z864" s="893"/>
      <c r="AA864" s="893"/>
      <c r="AB864" s="893"/>
      <c r="AC864" s="893"/>
      <c r="AD864" s="893"/>
      <c r="AE864" s="893"/>
      <c r="AF864" s="893"/>
      <c r="AG864" s="893"/>
      <c r="AH864" s="893"/>
      <c r="AI864" s="300"/>
      <c r="AJ864" s="300"/>
      <c r="AK864" s="300"/>
      <c r="AL864" s="300"/>
      <c r="AM864" s="300"/>
      <c r="AN864" s="127"/>
    </row>
    <row r="865" ht="14.25" customHeight="1">
      <c r="A865" s="127"/>
      <c r="B865" s="127"/>
      <c r="C865" s="127"/>
      <c r="D865" s="127"/>
      <c r="E865" s="127"/>
      <c r="F865" s="300"/>
      <c r="G865" s="300"/>
      <c r="H865" s="892"/>
      <c r="I865" s="892"/>
      <c r="J865" s="892"/>
      <c r="K865" s="892"/>
      <c r="L865" s="892"/>
      <c r="M865" s="892"/>
      <c r="N865" s="892"/>
      <c r="O865" s="892"/>
      <c r="P865" s="892"/>
      <c r="Q865" s="892"/>
      <c r="R865" s="892"/>
      <c r="S865" s="892"/>
      <c r="T865" s="892"/>
      <c r="U865" s="892"/>
      <c r="V865" s="892"/>
      <c r="W865" s="893"/>
      <c r="X865" s="893"/>
      <c r="Y865" s="893"/>
      <c r="Z865" s="893"/>
      <c r="AA865" s="893"/>
      <c r="AB865" s="893"/>
      <c r="AC865" s="893"/>
      <c r="AD865" s="893"/>
      <c r="AE865" s="893"/>
      <c r="AF865" s="893"/>
      <c r="AG865" s="893"/>
      <c r="AH865" s="893"/>
      <c r="AI865" s="300"/>
      <c r="AJ865" s="300"/>
      <c r="AK865" s="300"/>
      <c r="AL865" s="300"/>
      <c r="AM865" s="300"/>
      <c r="AN865" s="127"/>
    </row>
    <row r="866" ht="14.25" customHeight="1">
      <c r="A866" s="127"/>
      <c r="B866" s="127"/>
      <c r="C866" s="127"/>
      <c r="D866" s="127"/>
      <c r="E866" s="127"/>
      <c r="F866" s="300"/>
      <c r="G866" s="300"/>
      <c r="H866" s="892"/>
      <c r="I866" s="892"/>
      <c r="J866" s="892"/>
      <c r="K866" s="892"/>
      <c r="L866" s="892"/>
      <c r="M866" s="892"/>
      <c r="N866" s="892"/>
      <c r="O866" s="892"/>
      <c r="P866" s="892"/>
      <c r="Q866" s="892"/>
      <c r="R866" s="892"/>
      <c r="S866" s="892"/>
      <c r="T866" s="892"/>
      <c r="U866" s="892"/>
      <c r="V866" s="892"/>
      <c r="W866" s="893"/>
      <c r="X866" s="893"/>
      <c r="Y866" s="893"/>
      <c r="Z866" s="893"/>
      <c r="AA866" s="893"/>
      <c r="AB866" s="893"/>
      <c r="AC866" s="893"/>
      <c r="AD866" s="893"/>
      <c r="AE866" s="893"/>
      <c r="AF866" s="893"/>
      <c r="AG866" s="893"/>
      <c r="AH866" s="893"/>
      <c r="AI866" s="300"/>
      <c r="AJ866" s="300"/>
      <c r="AK866" s="300"/>
      <c r="AL866" s="300"/>
      <c r="AM866" s="300"/>
      <c r="AN866" s="127"/>
    </row>
    <row r="867" ht="14.25" customHeight="1">
      <c r="A867" s="127"/>
      <c r="B867" s="127"/>
      <c r="C867" s="127"/>
      <c r="D867" s="127"/>
      <c r="E867" s="127"/>
      <c r="F867" s="300"/>
      <c r="G867" s="300"/>
      <c r="H867" s="892"/>
      <c r="I867" s="892"/>
      <c r="J867" s="892"/>
      <c r="K867" s="892"/>
      <c r="L867" s="892"/>
      <c r="M867" s="892"/>
      <c r="N867" s="892"/>
      <c r="O867" s="892"/>
      <c r="P867" s="892"/>
      <c r="Q867" s="892"/>
      <c r="R867" s="892"/>
      <c r="S867" s="892"/>
      <c r="T867" s="892"/>
      <c r="U867" s="892"/>
      <c r="V867" s="892"/>
      <c r="W867" s="893"/>
      <c r="X867" s="893"/>
      <c r="Y867" s="893"/>
      <c r="Z867" s="893"/>
      <c r="AA867" s="893"/>
      <c r="AB867" s="893"/>
      <c r="AC867" s="893"/>
      <c r="AD867" s="893"/>
      <c r="AE867" s="893"/>
      <c r="AF867" s="893"/>
      <c r="AG867" s="893"/>
      <c r="AH867" s="893"/>
      <c r="AI867" s="300"/>
      <c r="AJ867" s="300"/>
      <c r="AK867" s="300"/>
      <c r="AL867" s="300"/>
      <c r="AM867" s="300"/>
      <c r="AN867" s="127"/>
    </row>
    <row r="868" ht="14.25" customHeight="1">
      <c r="A868" s="127"/>
      <c r="B868" s="127"/>
      <c r="C868" s="127"/>
      <c r="D868" s="127"/>
      <c r="E868" s="127"/>
      <c r="F868" s="300"/>
      <c r="G868" s="300"/>
      <c r="H868" s="892"/>
      <c r="I868" s="892"/>
      <c r="J868" s="892"/>
      <c r="K868" s="892"/>
      <c r="L868" s="892"/>
      <c r="M868" s="892"/>
      <c r="N868" s="892"/>
      <c r="O868" s="892"/>
      <c r="P868" s="892"/>
      <c r="Q868" s="892"/>
      <c r="R868" s="892"/>
      <c r="S868" s="892"/>
      <c r="T868" s="892"/>
      <c r="U868" s="892"/>
      <c r="V868" s="892"/>
      <c r="W868" s="893"/>
      <c r="X868" s="893"/>
      <c r="Y868" s="893"/>
      <c r="Z868" s="893"/>
      <c r="AA868" s="893"/>
      <c r="AB868" s="893"/>
      <c r="AC868" s="893"/>
      <c r="AD868" s="893"/>
      <c r="AE868" s="893"/>
      <c r="AF868" s="893"/>
      <c r="AG868" s="893"/>
      <c r="AH868" s="893"/>
      <c r="AI868" s="300"/>
      <c r="AJ868" s="300"/>
      <c r="AK868" s="300"/>
      <c r="AL868" s="300"/>
      <c r="AM868" s="300"/>
      <c r="AN868" s="127"/>
    </row>
    <row r="869" ht="14.25" customHeight="1">
      <c r="A869" s="127"/>
      <c r="B869" s="127"/>
      <c r="C869" s="127"/>
      <c r="D869" s="127"/>
      <c r="E869" s="127"/>
      <c r="F869" s="300"/>
      <c r="G869" s="300"/>
      <c r="H869" s="892"/>
      <c r="I869" s="892"/>
      <c r="J869" s="892"/>
      <c r="K869" s="892"/>
      <c r="L869" s="892"/>
      <c r="M869" s="892"/>
      <c r="N869" s="892"/>
      <c r="O869" s="892"/>
      <c r="P869" s="892"/>
      <c r="Q869" s="892"/>
      <c r="R869" s="892"/>
      <c r="S869" s="892"/>
      <c r="T869" s="892"/>
      <c r="U869" s="892"/>
      <c r="V869" s="892"/>
      <c r="W869" s="893"/>
      <c r="X869" s="893"/>
      <c r="Y869" s="893"/>
      <c r="Z869" s="893"/>
      <c r="AA869" s="893"/>
      <c r="AB869" s="893"/>
      <c r="AC869" s="893"/>
      <c r="AD869" s="893"/>
      <c r="AE869" s="893"/>
      <c r="AF869" s="893"/>
      <c r="AG869" s="893"/>
      <c r="AH869" s="893"/>
      <c r="AI869" s="300"/>
      <c r="AJ869" s="300"/>
      <c r="AK869" s="300"/>
      <c r="AL869" s="300"/>
      <c r="AM869" s="300"/>
      <c r="AN869" s="127"/>
    </row>
    <row r="870" ht="14.25" customHeight="1">
      <c r="A870" s="127"/>
      <c r="B870" s="127"/>
      <c r="C870" s="127"/>
      <c r="D870" s="127"/>
      <c r="E870" s="127"/>
      <c r="F870" s="300"/>
      <c r="G870" s="300"/>
      <c r="H870" s="892"/>
      <c r="I870" s="892"/>
      <c r="J870" s="892"/>
      <c r="K870" s="892"/>
      <c r="L870" s="892"/>
      <c r="M870" s="892"/>
      <c r="N870" s="892"/>
      <c r="O870" s="892"/>
      <c r="P870" s="892"/>
      <c r="Q870" s="892"/>
      <c r="R870" s="892"/>
      <c r="S870" s="892"/>
      <c r="T870" s="892"/>
      <c r="U870" s="892"/>
      <c r="V870" s="892"/>
      <c r="W870" s="893"/>
      <c r="X870" s="893"/>
      <c r="Y870" s="893"/>
      <c r="Z870" s="893"/>
      <c r="AA870" s="893"/>
      <c r="AB870" s="893"/>
      <c r="AC870" s="893"/>
      <c r="AD870" s="893"/>
      <c r="AE870" s="893"/>
      <c r="AF870" s="893"/>
      <c r="AG870" s="893"/>
      <c r="AH870" s="893"/>
      <c r="AI870" s="300"/>
      <c r="AJ870" s="300"/>
      <c r="AK870" s="300"/>
      <c r="AL870" s="300"/>
      <c r="AM870" s="300"/>
      <c r="AN870" s="127"/>
    </row>
    <row r="871" ht="14.25" customHeight="1">
      <c r="A871" s="127"/>
      <c r="B871" s="127"/>
      <c r="C871" s="127"/>
      <c r="D871" s="127"/>
      <c r="E871" s="127"/>
      <c r="F871" s="300"/>
      <c r="G871" s="300"/>
      <c r="H871" s="892"/>
      <c r="I871" s="892"/>
      <c r="J871" s="892"/>
      <c r="K871" s="892"/>
      <c r="L871" s="892"/>
      <c r="M871" s="892"/>
      <c r="N871" s="892"/>
      <c r="O871" s="892"/>
      <c r="P871" s="892"/>
      <c r="Q871" s="892"/>
      <c r="R871" s="892"/>
      <c r="S871" s="892"/>
      <c r="T871" s="892"/>
      <c r="U871" s="892"/>
      <c r="V871" s="892"/>
      <c r="W871" s="893"/>
      <c r="X871" s="893"/>
      <c r="Y871" s="893"/>
      <c r="Z871" s="893"/>
      <c r="AA871" s="893"/>
      <c r="AB871" s="893"/>
      <c r="AC871" s="893"/>
      <c r="AD871" s="893"/>
      <c r="AE871" s="893"/>
      <c r="AF871" s="893"/>
      <c r="AG871" s="893"/>
      <c r="AH871" s="893"/>
      <c r="AI871" s="300"/>
      <c r="AJ871" s="300"/>
      <c r="AK871" s="300"/>
      <c r="AL871" s="300"/>
      <c r="AM871" s="300"/>
      <c r="AN871" s="127"/>
    </row>
    <row r="872" ht="14.25" customHeight="1">
      <c r="A872" s="127"/>
      <c r="B872" s="127"/>
      <c r="C872" s="127"/>
      <c r="D872" s="127"/>
      <c r="E872" s="127"/>
      <c r="F872" s="300"/>
      <c r="G872" s="300"/>
      <c r="H872" s="892"/>
      <c r="I872" s="892"/>
      <c r="J872" s="892"/>
      <c r="K872" s="892"/>
      <c r="L872" s="892"/>
      <c r="M872" s="892"/>
      <c r="N872" s="892"/>
      <c r="O872" s="892"/>
      <c r="P872" s="892"/>
      <c r="Q872" s="892"/>
      <c r="R872" s="892"/>
      <c r="S872" s="892"/>
      <c r="T872" s="892"/>
      <c r="U872" s="892"/>
      <c r="V872" s="892"/>
      <c r="W872" s="893"/>
      <c r="X872" s="893"/>
      <c r="Y872" s="893"/>
      <c r="Z872" s="893"/>
      <c r="AA872" s="893"/>
      <c r="AB872" s="893"/>
      <c r="AC872" s="893"/>
      <c r="AD872" s="893"/>
      <c r="AE872" s="893"/>
      <c r="AF872" s="893"/>
      <c r="AG872" s="893"/>
      <c r="AH872" s="893"/>
      <c r="AI872" s="300"/>
      <c r="AJ872" s="300"/>
      <c r="AK872" s="300"/>
      <c r="AL872" s="300"/>
      <c r="AM872" s="300"/>
      <c r="AN872" s="127"/>
    </row>
    <row r="873" ht="14.25" customHeight="1">
      <c r="A873" s="127"/>
      <c r="B873" s="127"/>
      <c r="C873" s="127"/>
      <c r="D873" s="127"/>
      <c r="E873" s="127"/>
      <c r="F873" s="300"/>
      <c r="G873" s="300"/>
      <c r="H873" s="892"/>
      <c r="I873" s="892"/>
      <c r="J873" s="892"/>
      <c r="K873" s="892"/>
      <c r="L873" s="892"/>
      <c r="M873" s="892"/>
      <c r="N873" s="892"/>
      <c r="O873" s="892"/>
      <c r="P873" s="892"/>
      <c r="Q873" s="892"/>
      <c r="R873" s="892"/>
      <c r="S873" s="892"/>
      <c r="T873" s="892"/>
      <c r="U873" s="892"/>
      <c r="V873" s="892"/>
      <c r="W873" s="893"/>
      <c r="X873" s="893"/>
      <c r="Y873" s="893"/>
      <c r="Z873" s="893"/>
      <c r="AA873" s="893"/>
      <c r="AB873" s="893"/>
      <c r="AC873" s="893"/>
      <c r="AD873" s="893"/>
      <c r="AE873" s="893"/>
      <c r="AF873" s="893"/>
      <c r="AG873" s="893"/>
      <c r="AH873" s="893"/>
      <c r="AI873" s="300"/>
      <c r="AJ873" s="300"/>
      <c r="AK873" s="300"/>
      <c r="AL873" s="300"/>
      <c r="AM873" s="300"/>
      <c r="AN873" s="127"/>
    </row>
    <row r="874" ht="14.25" customHeight="1">
      <c r="A874" s="127"/>
      <c r="B874" s="127"/>
      <c r="C874" s="127"/>
      <c r="D874" s="127"/>
      <c r="E874" s="127"/>
      <c r="F874" s="300"/>
      <c r="G874" s="300"/>
      <c r="H874" s="892"/>
      <c r="I874" s="892"/>
      <c r="J874" s="892"/>
      <c r="K874" s="892"/>
      <c r="L874" s="892"/>
      <c r="M874" s="892"/>
      <c r="N874" s="892"/>
      <c r="O874" s="892"/>
      <c r="P874" s="892"/>
      <c r="Q874" s="892"/>
      <c r="R874" s="892"/>
      <c r="S874" s="892"/>
      <c r="T874" s="892"/>
      <c r="U874" s="892"/>
      <c r="V874" s="892"/>
      <c r="W874" s="893"/>
      <c r="X874" s="893"/>
      <c r="Y874" s="893"/>
      <c r="Z874" s="893"/>
      <c r="AA874" s="893"/>
      <c r="AB874" s="893"/>
      <c r="AC874" s="893"/>
      <c r="AD874" s="893"/>
      <c r="AE874" s="893"/>
      <c r="AF874" s="893"/>
      <c r="AG874" s="893"/>
      <c r="AH874" s="893"/>
      <c r="AI874" s="300"/>
      <c r="AJ874" s="300"/>
      <c r="AK874" s="300"/>
      <c r="AL874" s="300"/>
      <c r="AM874" s="300"/>
      <c r="AN874" s="127"/>
    </row>
    <row r="875" ht="14.25" customHeight="1">
      <c r="A875" s="127"/>
      <c r="B875" s="127"/>
      <c r="C875" s="127"/>
      <c r="D875" s="127"/>
      <c r="E875" s="127"/>
      <c r="F875" s="300"/>
      <c r="G875" s="300"/>
      <c r="H875" s="892"/>
      <c r="I875" s="892"/>
      <c r="J875" s="892"/>
      <c r="K875" s="892"/>
      <c r="L875" s="892"/>
      <c r="M875" s="892"/>
      <c r="N875" s="892"/>
      <c r="O875" s="892"/>
      <c r="P875" s="892"/>
      <c r="Q875" s="892"/>
      <c r="R875" s="892"/>
      <c r="S875" s="892"/>
      <c r="T875" s="892"/>
      <c r="U875" s="892"/>
      <c r="V875" s="892"/>
      <c r="W875" s="893"/>
      <c r="X875" s="893"/>
      <c r="Y875" s="893"/>
      <c r="Z875" s="893"/>
      <c r="AA875" s="893"/>
      <c r="AB875" s="893"/>
      <c r="AC875" s="893"/>
      <c r="AD875" s="893"/>
      <c r="AE875" s="893"/>
      <c r="AF875" s="893"/>
      <c r="AG875" s="893"/>
      <c r="AH875" s="893"/>
      <c r="AI875" s="300"/>
      <c r="AJ875" s="300"/>
      <c r="AK875" s="300"/>
      <c r="AL875" s="300"/>
      <c r="AM875" s="300"/>
      <c r="AN875" s="127"/>
    </row>
    <row r="876" ht="14.25" customHeight="1">
      <c r="A876" s="127"/>
      <c r="B876" s="127"/>
      <c r="C876" s="127"/>
      <c r="D876" s="127"/>
      <c r="E876" s="127"/>
      <c r="F876" s="300"/>
      <c r="G876" s="300"/>
      <c r="H876" s="892"/>
      <c r="I876" s="892"/>
      <c r="J876" s="892"/>
      <c r="K876" s="892"/>
      <c r="L876" s="892"/>
      <c r="M876" s="892"/>
      <c r="N876" s="892"/>
      <c r="O876" s="892"/>
      <c r="P876" s="892"/>
      <c r="Q876" s="892"/>
      <c r="R876" s="892"/>
      <c r="S876" s="892"/>
      <c r="T876" s="892"/>
      <c r="U876" s="892"/>
      <c r="V876" s="892"/>
      <c r="W876" s="893"/>
      <c r="X876" s="893"/>
      <c r="Y876" s="893"/>
      <c r="Z876" s="893"/>
      <c r="AA876" s="893"/>
      <c r="AB876" s="893"/>
      <c r="AC876" s="893"/>
      <c r="AD876" s="893"/>
      <c r="AE876" s="893"/>
      <c r="AF876" s="893"/>
      <c r="AG876" s="893"/>
      <c r="AH876" s="893"/>
      <c r="AI876" s="300"/>
      <c r="AJ876" s="300"/>
      <c r="AK876" s="300"/>
      <c r="AL876" s="300"/>
      <c r="AM876" s="300"/>
      <c r="AN876" s="127"/>
    </row>
    <row r="877" ht="14.25" customHeight="1">
      <c r="A877" s="127"/>
      <c r="B877" s="127"/>
      <c r="C877" s="127"/>
      <c r="D877" s="127"/>
      <c r="E877" s="127"/>
      <c r="F877" s="300"/>
      <c r="G877" s="300"/>
      <c r="H877" s="892"/>
      <c r="I877" s="892"/>
      <c r="J877" s="892"/>
      <c r="K877" s="892"/>
      <c r="L877" s="892"/>
      <c r="M877" s="892"/>
      <c r="N877" s="892"/>
      <c r="O877" s="892"/>
      <c r="P877" s="892"/>
      <c r="Q877" s="892"/>
      <c r="R877" s="892"/>
      <c r="S877" s="892"/>
      <c r="T877" s="892"/>
      <c r="U877" s="892"/>
      <c r="V877" s="892"/>
      <c r="W877" s="893"/>
      <c r="X877" s="893"/>
      <c r="Y877" s="893"/>
      <c r="Z877" s="893"/>
      <c r="AA877" s="893"/>
      <c r="AB877" s="893"/>
      <c r="AC877" s="893"/>
      <c r="AD877" s="893"/>
      <c r="AE877" s="893"/>
      <c r="AF877" s="893"/>
      <c r="AG877" s="893"/>
      <c r="AH877" s="893"/>
      <c r="AI877" s="300"/>
      <c r="AJ877" s="300"/>
      <c r="AK877" s="300"/>
      <c r="AL877" s="300"/>
      <c r="AM877" s="300"/>
      <c r="AN877" s="127"/>
    </row>
    <row r="878" ht="14.25" customHeight="1">
      <c r="A878" s="127"/>
      <c r="B878" s="127"/>
      <c r="C878" s="127"/>
      <c r="D878" s="127"/>
      <c r="E878" s="127"/>
      <c r="F878" s="300"/>
      <c r="G878" s="300"/>
      <c r="H878" s="892"/>
      <c r="I878" s="892"/>
      <c r="J878" s="892"/>
      <c r="K878" s="892"/>
      <c r="L878" s="892"/>
      <c r="M878" s="892"/>
      <c r="N878" s="892"/>
      <c r="O878" s="892"/>
      <c r="P878" s="892"/>
      <c r="Q878" s="892"/>
      <c r="R878" s="892"/>
      <c r="S878" s="892"/>
      <c r="T878" s="892"/>
      <c r="U878" s="892"/>
      <c r="V878" s="892"/>
      <c r="W878" s="893"/>
      <c r="X878" s="893"/>
      <c r="Y878" s="893"/>
      <c r="Z878" s="893"/>
      <c r="AA878" s="893"/>
      <c r="AB878" s="893"/>
      <c r="AC878" s="893"/>
      <c r="AD878" s="893"/>
      <c r="AE878" s="893"/>
      <c r="AF878" s="893"/>
      <c r="AG878" s="893"/>
      <c r="AH878" s="893"/>
      <c r="AI878" s="300"/>
      <c r="AJ878" s="300"/>
      <c r="AK878" s="300"/>
      <c r="AL878" s="300"/>
      <c r="AM878" s="300"/>
      <c r="AN878" s="127"/>
    </row>
    <row r="879" ht="14.25" customHeight="1">
      <c r="A879" s="127"/>
      <c r="B879" s="127"/>
      <c r="C879" s="127"/>
      <c r="D879" s="127"/>
      <c r="E879" s="127"/>
      <c r="F879" s="300"/>
      <c r="G879" s="300"/>
      <c r="H879" s="892"/>
      <c r="I879" s="892"/>
      <c r="J879" s="892"/>
      <c r="K879" s="892"/>
      <c r="L879" s="892"/>
      <c r="M879" s="892"/>
      <c r="N879" s="892"/>
      <c r="O879" s="892"/>
      <c r="P879" s="892"/>
      <c r="Q879" s="892"/>
      <c r="R879" s="892"/>
      <c r="S879" s="892"/>
      <c r="T879" s="892"/>
      <c r="U879" s="892"/>
      <c r="V879" s="892"/>
      <c r="W879" s="893"/>
      <c r="X879" s="893"/>
      <c r="Y879" s="893"/>
      <c r="Z879" s="893"/>
      <c r="AA879" s="893"/>
      <c r="AB879" s="893"/>
      <c r="AC879" s="893"/>
      <c r="AD879" s="893"/>
      <c r="AE879" s="893"/>
      <c r="AF879" s="893"/>
      <c r="AG879" s="893"/>
      <c r="AH879" s="893"/>
      <c r="AI879" s="300"/>
      <c r="AJ879" s="300"/>
      <c r="AK879" s="300"/>
      <c r="AL879" s="300"/>
      <c r="AM879" s="300"/>
      <c r="AN879" s="127"/>
    </row>
    <row r="880" ht="14.25" customHeight="1">
      <c r="A880" s="127"/>
      <c r="B880" s="127"/>
      <c r="C880" s="127"/>
      <c r="D880" s="127"/>
      <c r="E880" s="127"/>
      <c r="F880" s="300"/>
      <c r="G880" s="300"/>
      <c r="H880" s="892"/>
      <c r="I880" s="892"/>
      <c r="J880" s="892"/>
      <c r="K880" s="892"/>
      <c r="L880" s="892"/>
      <c r="M880" s="892"/>
      <c r="N880" s="892"/>
      <c r="O880" s="892"/>
      <c r="P880" s="892"/>
      <c r="Q880" s="892"/>
      <c r="R880" s="892"/>
      <c r="S880" s="892"/>
      <c r="T880" s="892"/>
      <c r="U880" s="892"/>
      <c r="V880" s="892"/>
      <c r="W880" s="893"/>
      <c r="X880" s="893"/>
      <c r="Y880" s="893"/>
      <c r="Z880" s="893"/>
      <c r="AA880" s="893"/>
      <c r="AB880" s="893"/>
      <c r="AC880" s="893"/>
      <c r="AD880" s="893"/>
      <c r="AE880" s="893"/>
      <c r="AF880" s="893"/>
      <c r="AG880" s="893"/>
      <c r="AH880" s="893"/>
      <c r="AI880" s="300"/>
      <c r="AJ880" s="300"/>
      <c r="AK880" s="300"/>
      <c r="AL880" s="300"/>
      <c r="AM880" s="300"/>
      <c r="AN880" s="127"/>
    </row>
    <row r="881" ht="14.25" customHeight="1">
      <c r="A881" s="127"/>
      <c r="B881" s="127"/>
      <c r="C881" s="127"/>
      <c r="D881" s="127"/>
      <c r="E881" s="127"/>
      <c r="F881" s="300"/>
      <c r="G881" s="300"/>
      <c r="H881" s="892"/>
      <c r="I881" s="892"/>
      <c r="J881" s="892"/>
      <c r="K881" s="892"/>
      <c r="L881" s="892"/>
      <c r="M881" s="892"/>
      <c r="N881" s="892"/>
      <c r="O881" s="892"/>
      <c r="P881" s="892"/>
      <c r="Q881" s="892"/>
      <c r="R881" s="892"/>
      <c r="S881" s="892"/>
      <c r="T881" s="892"/>
      <c r="U881" s="892"/>
      <c r="V881" s="892"/>
      <c r="W881" s="893"/>
      <c r="X881" s="893"/>
      <c r="Y881" s="893"/>
      <c r="Z881" s="893"/>
      <c r="AA881" s="893"/>
      <c r="AB881" s="893"/>
      <c r="AC881" s="893"/>
      <c r="AD881" s="893"/>
      <c r="AE881" s="893"/>
      <c r="AF881" s="893"/>
      <c r="AG881" s="893"/>
      <c r="AH881" s="893"/>
      <c r="AI881" s="300"/>
      <c r="AJ881" s="300"/>
      <c r="AK881" s="300"/>
      <c r="AL881" s="300"/>
      <c r="AM881" s="300"/>
      <c r="AN881" s="127"/>
    </row>
    <row r="882" ht="14.25" customHeight="1">
      <c r="A882" s="127"/>
      <c r="B882" s="127"/>
      <c r="C882" s="127"/>
      <c r="D882" s="127"/>
      <c r="E882" s="127"/>
      <c r="F882" s="300"/>
      <c r="G882" s="300"/>
      <c r="H882" s="892"/>
      <c r="I882" s="892"/>
      <c r="J882" s="892"/>
      <c r="K882" s="892"/>
      <c r="L882" s="892"/>
      <c r="M882" s="892"/>
      <c r="N882" s="892"/>
      <c r="O882" s="892"/>
      <c r="P882" s="892"/>
      <c r="Q882" s="892"/>
      <c r="R882" s="892"/>
      <c r="S882" s="892"/>
      <c r="T882" s="892"/>
      <c r="U882" s="892"/>
      <c r="V882" s="892"/>
      <c r="W882" s="893"/>
      <c r="X882" s="893"/>
      <c r="Y882" s="893"/>
      <c r="Z882" s="893"/>
      <c r="AA882" s="893"/>
      <c r="AB882" s="893"/>
      <c r="AC882" s="893"/>
      <c r="AD882" s="893"/>
      <c r="AE882" s="893"/>
      <c r="AF882" s="893"/>
      <c r="AG882" s="893"/>
      <c r="AH882" s="893"/>
      <c r="AI882" s="300"/>
      <c r="AJ882" s="300"/>
      <c r="AK882" s="300"/>
      <c r="AL882" s="300"/>
      <c r="AM882" s="300"/>
      <c r="AN882" s="127"/>
    </row>
    <row r="883" ht="14.25" customHeight="1">
      <c r="A883" s="127"/>
      <c r="B883" s="127"/>
      <c r="C883" s="127"/>
      <c r="D883" s="127"/>
      <c r="E883" s="127"/>
      <c r="F883" s="300"/>
      <c r="G883" s="300"/>
      <c r="H883" s="892"/>
      <c r="I883" s="892"/>
      <c r="J883" s="892"/>
      <c r="K883" s="892"/>
      <c r="L883" s="892"/>
      <c r="M883" s="892"/>
      <c r="N883" s="892"/>
      <c r="O883" s="892"/>
      <c r="P883" s="892"/>
      <c r="Q883" s="892"/>
      <c r="R883" s="892"/>
      <c r="S883" s="892"/>
      <c r="T883" s="892"/>
      <c r="U883" s="892"/>
      <c r="V883" s="892"/>
      <c r="W883" s="893"/>
      <c r="X883" s="893"/>
      <c r="Y883" s="893"/>
      <c r="Z883" s="893"/>
      <c r="AA883" s="893"/>
      <c r="AB883" s="893"/>
      <c r="AC883" s="893"/>
      <c r="AD883" s="893"/>
      <c r="AE883" s="893"/>
      <c r="AF883" s="893"/>
      <c r="AG883" s="893"/>
      <c r="AH883" s="893"/>
      <c r="AI883" s="300"/>
      <c r="AJ883" s="300"/>
      <c r="AK883" s="300"/>
      <c r="AL883" s="300"/>
      <c r="AM883" s="300"/>
      <c r="AN883" s="127"/>
    </row>
    <row r="884" ht="14.25" customHeight="1">
      <c r="A884" s="127"/>
      <c r="B884" s="127"/>
      <c r="C884" s="127"/>
      <c r="D884" s="127"/>
      <c r="E884" s="127"/>
      <c r="F884" s="300"/>
      <c r="G884" s="300"/>
      <c r="H884" s="892"/>
      <c r="I884" s="892"/>
      <c r="J884" s="892"/>
      <c r="K884" s="892"/>
      <c r="L884" s="892"/>
      <c r="M884" s="892"/>
      <c r="N884" s="892"/>
      <c r="O884" s="892"/>
      <c r="P884" s="892"/>
      <c r="Q884" s="892"/>
      <c r="R884" s="892"/>
      <c r="S884" s="892"/>
      <c r="T884" s="892"/>
      <c r="U884" s="892"/>
      <c r="V884" s="892"/>
      <c r="W884" s="893"/>
      <c r="X884" s="893"/>
      <c r="Y884" s="893"/>
      <c r="Z884" s="893"/>
      <c r="AA884" s="893"/>
      <c r="AB884" s="893"/>
      <c r="AC884" s="893"/>
      <c r="AD884" s="893"/>
      <c r="AE884" s="893"/>
      <c r="AF884" s="893"/>
      <c r="AG884" s="893"/>
      <c r="AH884" s="893"/>
      <c r="AI884" s="300"/>
      <c r="AJ884" s="300"/>
      <c r="AK884" s="300"/>
      <c r="AL884" s="300"/>
      <c r="AM884" s="300"/>
      <c r="AN884" s="127"/>
    </row>
    <row r="885" ht="14.25" customHeight="1">
      <c r="A885" s="127"/>
      <c r="B885" s="127"/>
      <c r="C885" s="127"/>
      <c r="D885" s="127"/>
      <c r="E885" s="127"/>
      <c r="F885" s="300"/>
      <c r="G885" s="300"/>
      <c r="H885" s="892"/>
      <c r="I885" s="892"/>
      <c r="J885" s="892"/>
      <c r="K885" s="892"/>
      <c r="L885" s="892"/>
      <c r="M885" s="892"/>
      <c r="N885" s="892"/>
      <c r="O885" s="892"/>
      <c r="P885" s="892"/>
      <c r="Q885" s="892"/>
      <c r="R885" s="892"/>
      <c r="S885" s="892"/>
      <c r="T885" s="892"/>
      <c r="U885" s="892"/>
      <c r="V885" s="892"/>
      <c r="W885" s="893"/>
      <c r="X885" s="893"/>
      <c r="Y885" s="893"/>
      <c r="Z885" s="893"/>
      <c r="AA885" s="893"/>
      <c r="AB885" s="893"/>
      <c r="AC885" s="893"/>
      <c r="AD885" s="893"/>
      <c r="AE885" s="893"/>
      <c r="AF885" s="893"/>
      <c r="AG885" s="893"/>
      <c r="AH885" s="893"/>
      <c r="AI885" s="300"/>
      <c r="AJ885" s="300"/>
      <c r="AK885" s="300"/>
      <c r="AL885" s="300"/>
      <c r="AM885" s="300"/>
      <c r="AN885" s="127"/>
    </row>
    <row r="886" ht="14.25" customHeight="1">
      <c r="A886" s="127"/>
      <c r="B886" s="127"/>
      <c r="C886" s="127"/>
      <c r="D886" s="127"/>
      <c r="E886" s="127"/>
      <c r="F886" s="300"/>
      <c r="G886" s="300"/>
      <c r="H886" s="892"/>
      <c r="I886" s="892"/>
      <c r="J886" s="892"/>
      <c r="K886" s="892"/>
      <c r="L886" s="892"/>
      <c r="M886" s="892"/>
      <c r="N886" s="892"/>
      <c r="O886" s="892"/>
      <c r="P886" s="892"/>
      <c r="Q886" s="892"/>
      <c r="R886" s="892"/>
      <c r="S886" s="892"/>
      <c r="T886" s="892"/>
      <c r="U886" s="892"/>
      <c r="V886" s="892"/>
      <c r="W886" s="893"/>
      <c r="X886" s="893"/>
      <c r="Y886" s="893"/>
      <c r="Z886" s="893"/>
      <c r="AA886" s="893"/>
      <c r="AB886" s="893"/>
      <c r="AC886" s="893"/>
      <c r="AD886" s="893"/>
      <c r="AE886" s="893"/>
      <c r="AF886" s="893"/>
      <c r="AG886" s="893"/>
      <c r="AH886" s="893"/>
      <c r="AI886" s="300"/>
      <c r="AJ886" s="300"/>
      <c r="AK886" s="300"/>
      <c r="AL886" s="300"/>
      <c r="AM886" s="300"/>
      <c r="AN886" s="127"/>
    </row>
    <row r="887" ht="14.25" customHeight="1">
      <c r="A887" s="127"/>
      <c r="B887" s="127"/>
      <c r="C887" s="127"/>
      <c r="D887" s="127"/>
      <c r="E887" s="127"/>
      <c r="F887" s="300"/>
      <c r="G887" s="300"/>
      <c r="H887" s="892"/>
      <c r="I887" s="892"/>
      <c r="J887" s="892"/>
      <c r="K887" s="892"/>
      <c r="L887" s="892"/>
      <c r="M887" s="892"/>
      <c r="N887" s="892"/>
      <c r="O887" s="892"/>
      <c r="P887" s="892"/>
      <c r="Q887" s="892"/>
      <c r="R887" s="892"/>
      <c r="S887" s="892"/>
      <c r="T887" s="892"/>
      <c r="U887" s="892"/>
      <c r="V887" s="892"/>
      <c r="W887" s="893"/>
      <c r="X887" s="893"/>
      <c r="Y887" s="893"/>
      <c r="Z887" s="893"/>
      <c r="AA887" s="893"/>
      <c r="AB887" s="893"/>
      <c r="AC887" s="893"/>
      <c r="AD887" s="893"/>
      <c r="AE887" s="893"/>
      <c r="AF887" s="893"/>
      <c r="AG887" s="893"/>
      <c r="AH887" s="893"/>
      <c r="AI887" s="300"/>
      <c r="AJ887" s="300"/>
      <c r="AK887" s="300"/>
      <c r="AL887" s="300"/>
      <c r="AM887" s="300"/>
      <c r="AN887" s="127"/>
    </row>
    <row r="888" ht="14.25" customHeight="1">
      <c r="A888" s="127"/>
      <c r="B888" s="127"/>
      <c r="C888" s="127"/>
      <c r="D888" s="127"/>
      <c r="E888" s="127"/>
      <c r="F888" s="300"/>
      <c r="G888" s="300"/>
      <c r="H888" s="892"/>
      <c r="I888" s="892"/>
      <c r="J888" s="892"/>
      <c r="K888" s="892"/>
      <c r="L888" s="892"/>
      <c r="M888" s="892"/>
      <c r="N888" s="892"/>
      <c r="O888" s="892"/>
      <c r="P888" s="892"/>
      <c r="Q888" s="892"/>
      <c r="R888" s="892"/>
      <c r="S888" s="892"/>
      <c r="T888" s="892"/>
      <c r="U888" s="892"/>
      <c r="V888" s="892"/>
      <c r="W888" s="893"/>
      <c r="X888" s="893"/>
      <c r="Y888" s="893"/>
      <c r="Z888" s="893"/>
      <c r="AA888" s="893"/>
      <c r="AB888" s="893"/>
      <c r="AC888" s="893"/>
      <c r="AD888" s="893"/>
      <c r="AE888" s="893"/>
      <c r="AF888" s="893"/>
      <c r="AG888" s="893"/>
      <c r="AH888" s="893"/>
      <c r="AI888" s="300"/>
      <c r="AJ888" s="300"/>
      <c r="AK888" s="300"/>
      <c r="AL888" s="300"/>
      <c r="AM888" s="300"/>
      <c r="AN888" s="127"/>
    </row>
    <row r="889" ht="14.25" customHeight="1">
      <c r="A889" s="127"/>
      <c r="B889" s="127"/>
      <c r="C889" s="127"/>
      <c r="D889" s="127"/>
      <c r="E889" s="127"/>
      <c r="F889" s="300"/>
      <c r="G889" s="300"/>
      <c r="H889" s="892"/>
      <c r="I889" s="892"/>
      <c r="J889" s="892"/>
      <c r="K889" s="892"/>
      <c r="L889" s="892"/>
      <c r="M889" s="892"/>
      <c r="N889" s="892"/>
      <c r="O889" s="892"/>
      <c r="P889" s="892"/>
      <c r="Q889" s="892"/>
      <c r="R889" s="892"/>
      <c r="S889" s="892"/>
      <c r="T889" s="892"/>
      <c r="U889" s="892"/>
      <c r="V889" s="892"/>
      <c r="W889" s="893"/>
      <c r="X889" s="893"/>
      <c r="Y889" s="893"/>
      <c r="Z889" s="893"/>
      <c r="AA889" s="893"/>
      <c r="AB889" s="893"/>
      <c r="AC889" s="893"/>
      <c r="AD889" s="893"/>
      <c r="AE889" s="893"/>
      <c r="AF889" s="893"/>
      <c r="AG889" s="893"/>
      <c r="AH889" s="893"/>
      <c r="AI889" s="300"/>
      <c r="AJ889" s="300"/>
      <c r="AK889" s="300"/>
      <c r="AL889" s="300"/>
      <c r="AM889" s="300"/>
      <c r="AN889" s="127"/>
    </row>
    <row r="890" ht="14.25" customHeight="1">
      <c r="A890" s="127"/>
      <c r="B890" s="127"/>
      <c r="C890" s="127"/>
      <c r="D890" s="127"/>
      <c r="E890" s="127"/>
      <c r="F890" s="300"/>
      <c r="G890" s="300"/>
      <c r="H890" s="892"/>
      <c r="I890" s="892"/>
      <c r="J890" s="892"/>
      <c r="K890" s="892"/>
      <c r="L890" s="892"/>
      <c r="M890" s="892"/>
      <c r="N890" s="892"/>
      <c r="O890" s="892"/>
      <c r="P890" s="892"/>
      <c r="Q890" s="892"/>
      <c r="R890" s="892"/>
      <c r="S890" s="892"/>
      <c r="T890" s="892"/>
      <c r="U890" s="892"/>
      <c r="V890" s="892"/>
      <c r="W890" s="893"/>
      <c r="X890" s="893"/>
      <c r="Y890" s="893"/>
      <c r="Z890" s="893"/>
      <c r="AA890" s="893"/>
      <c r="AB890" s="893"/>
      <c r="AC890" s="893"/>
      <c r="AD890" s="893"/>
      <c r="AE890" s="893"/>
      <c r="AF890" s="893"/>
      <c r="AG890" s="893"/>
      <c r="AH890" s="893"/>
      <c r="AI890" s="300"/>
      <c r="AJ890" s="300"/>
      <c r="AK890" s="300"/>
      <c r="AL890" s="300"/>
      <c r="AM890" s="300"/>
      <c r="AN890" s="127"/>
    </row>
    <row r="891" ht="14.25" customHeight="1">
      <c r="A891" s="127"/>
      <c r="B891" s="127"/>
      <c r="C891" s="127"/>
      <c r="D891" s="127"/>
      <c r="E891" s="127"/>
      <c r="F891" s="300"/>
      <c r="G891" s="300"/>
      <c r="H891" s="892"/>
      <c r="I891" s="892"/>
      <c r="J891" s="892"/>
      <c r="K891" s="892"/>
      <c r="L891" s="892"/>
      <c r="M891" s="892"/>
      <c r="N891" s="892"/>
      <c r="O891" s="892"/>
      <c r="P891" s="892"/>
      <c r="Q891" s="892"/>
      <c r="R891" s="892"/>
      <c r="S891" s="892"/>
      <c r="T891" s="892"/>
      <c r="U891" s="892"/>
      <c r="V891" s="892"/>
      <c r="W891" s="893"/>
      <c r="X891" s="893"/>
      <c r="Y891" s="893"/>
      <c r="Z891" s="893"/>
      <c r="AA891" s="893"/>
      <c r="AB891" s="893"/>
      <c r="AC891" s="893"/>
      <c r="AD891" s="893"/>
      <c r="AE891" s="893"/>
      <c r="AF891" s="893"/>
      <c r="AG891" s="893"/>
      <c r="AH891" s="893"/>
      <c r="AI891" s="300"/>
      <c r="AJ891" s="300"/>
      <c r="AK891" s="300"/>
      <c r="AL891" s="300"/>
      <c r="AM891" s="300"/>
      <c r="AN891" s="127"/>
    </row>
    <row r="892" ht="14.25" customHeight="1">
      <c r="A892" s="127"/>
      <c r="B892" s="127"/>
      <c r="C892" s="127"/>
      <c r="D892" s="127"/>
      <c r="E892" s="127"/>
      <c r="F892" s="300"/>
      <c r="G892" s="300"/>
      <c r="H892" s="892"/>
      <c r="I892" s="892"/>
      <c r="J892" s="892"/>
      <c r="K892" s="892"/>
      <c r="L892" s="892"/>
      <c r="M892" s="892"/>
      <c r="N892" s="892"/>
      <c r="O892" s="892"/>
      <c r="P892" s="892"/>
      <c r="Q892" s="892"/>
      <c r="R892" s="892"/>
      <c r="S892" s="892"/>
      <c r="T892" s="892"/>
      <c r="U892" s="892"/>
      <c r="V892" s="892"/>
      <c r="W892" s="893"/>
      <c r="X892" s="893"/>
      <c r="Y892" s="893"/>
      <c r="Z892" s="893"/>
      <c r="AA892" s="893"/>
      <c r="AB892" s="893"/>
      <c r="AC892" s="893"/>
      <c r="AD892" s="893"/>
      <c r="AE892" s="893"/>
      <c r="AF892" s="893"/>
      <c r="AG892" s="893"/>
      <c r="AH892" s="893"/>
      <c r="AI892" s="300"/>
      <c r="AJ892" s="300"/>
      <c r="AK892" s="300"/>
      <c r="AL892" s="300"/>
      <c r="AM892" s="300"/>
      <c r="AN892" s="127"/>
    </row>
    <row r="893" ht="14.25" customHeight="1">
      <c r="A893" s="127"/>
      <c r="B893" s="127"/>
      <c r="C893" s="127"/>
      <c r="D893" s="127"/>
      <c r="E893" s="127"/>
      <c r="F893" s="300"/>
      <c r="G893" s="300"/>
      <c r="H893" s="892"/>
      <c r="I893" s="892"/>
      <c r="J893" s="892"/>
      <c r="K893" s="892"/>
      <c r="L893" s="892"/>
      <c r="M893" s="892"/>
      <c r="N893" s="892"/>
      <c r="O893" s="892"/>
      <c r="P893" s="892"/>
      <c r="Q893" s="892"/>
      <c r="R893" s="892"/>
      <c r="S893" s="892"/>
      <c r="T893" s="892"/>
      <c r="U893" s="892"/>
      <c r="V893" s="892"/>
      <c r="W893" s="893"/>
      <c r="X893" s="893"/>
      <c r="Y893" s="893"/>
      <c r="Z893" s="893"/>
      <c r="AA893" s="893"/>
      <c r="AB893" s="893"/>
      <c r="AC893" s="893"/>
      <c r="AD893" s="893"/>
      <c r="AE893" s="893"/>
      <c r="AF893" s="893"/>
      <c r="AG893" s="893"/>
      <c r="AH893" s="893"/>
      <c r="AI893" s="300"/>
      <c r="AJ893" s="300"/>
      <c r="AK893" s="300"/>
      <c r="AL893" s="300"/>
      <c r="AM893" s="300"/>
      <c r="AN893" s="127"/>
    </row>
    <row r="894" ht="14.25" customHeight="1">
      <c r="A894" s="127"/>
      <c r="B894" s="127"/>
      <c r="C894" s="127"/>
      <c r="D894" s="127"/>
      <c r="E894" s="127"/>
      <c r="F894" s="300"/>
      <c r="G894" s="300"/>
      <c r="H894" s="892"/>
      <c r="I894" s="892"/>
      <c r="J894" s="892"/>
      <c r="K894" s="892"/>
      <c r="L894" s="892"/>
      <c r="M894" s="892"/>
      <c r="N894" s="892"/>
      <c r="O894" s="892"/>
      <c r="P894" s="892"/>
      <c r="Q894" s="892"/>
      <c r="R894" s="892"/>
      <c r="S894" s="892"/>
      <c r="T894" s="892"/>
      <c r="U894" s="892"/>
      <c r="V894" s="892"/>
      <c r="W894" s="893"/>
      <c r="X894" s="893"/>
      <c r="Y894" s="893"/>
      <c r="Z894" s="893"/>
      <c r="AA894" s="893"/>
      <c r="AB894" s="893"/>
      <c r="AC894" s="893"/>
      <c r="AD894" s="893"/>
      <c r="AE894" s="893"/>
      <c r="AF894" s="893"/>
      <c r="AG894" s="893"/>
      <c r="AH894" s="893"/>
      <c r="AI894" s="300"/>
      <c r="AJ894" s="300"/>
      <c r="AK894" s="300"/>
      <c r="AL894" s="300"/>
      <c r="AM894" s="300"/>
      <c r="AN894" s="127"/>
    </row>
    <row r="895" ht="14.25" customHeight="1">
      <c r="A895" s="127"/>
      <c r="B895" s="127"/>
      <c r="C895" s="127"/>
      <c r="D895" s="127"/>
      <c r="E895" s="127"/>
      <c r="F895" s="300"/>
      <c r="G895" s="300"/>
      <c r="H895" s="892"/>
      <c r="I895" s="892"/>
      <c r="J895" s="892"/>
      <c r="K895" s="892"/>
      <c r="L895" s="892"/>
      <c r="M895" s="892"/>
      <c r="N895" s="892"/>
      <c r="O895" s="892"/>
      <c r="P895" s="892"/>
      <c r="Q895" s="892"/>
      <c r="R895" s="892"/>
      <c r="S895" s="892"/>
      <c r="T895" s="892"/>
      <c r="U895" s="892"/>
      <c r="V895" s="892"/>
      <c r="W895" s="893"/>
      <c r="X895" s="893"/>
      <c r="Y895" s="893"/>
      <c r="Z895" s="893"/>
      <c r="AA895" s="893"/>
      <c r="AB895" s="893"/>
      <c r="AC895" s="893"/>
      <c r="AD895" s="893"/>
      <c r="AE895" s="893"/>
      <c r="AF895" s="893"/>
      <c r="AG895" s="893"/>
      <c r="AH895" s="893"/>
      <c r="AI895" s="300"/>
      <c r="AJ895" s="300"/>
      <c r="AK895" s="300"/>
      <c r="AL895" s="300"/>
      <c r="AM895" s="300"/>
      <c r="AN895" s="127"/>
    </row>
    <row r="896" ht="14.25" customHeight="1">
      <c r="A896" s="127"/>
      <c r="B896" s="127"/>
      <c r="C896" s="127"/>
      <c r="D896" s="127"/>
      <c r="E896" s="127"/>
      <c r="F896" s="300"/>
      <c r="G896" s="300"/>
      <c r="H896" s="892"/>
      <c r="I896" s="892"/>
      <c r="J896" s="892"/>
      <c r="K896" s="892"/>
      <c r="L896" s="892"/>
      <c r="M896" s="892"/>
      <c r="N896" s="892"/>
      <c r="O896" s="892"/>
      <c r="P896" s="892"/>
      <c r="Q896" s="892"/>
      <c r="R896" s="892"/>
      <c r="S896" s="892"/>
      <c r="T896" s="892"/>
      <c r="U896" s="892"/>
      <c r="V896" s="892"/>
      <c r="W896" s="893"/>
      <c r="X896" s="893"/>
      <c r="Y896" s="893"/>
      <c r="Z896" s="893"/>
      <c r="AA896" s="893"/>
      <c r="AB896" s="893"/>
      <c r="AC896" s="893"/>
      <c r="AD896" s="893"/>
      <c r="AE896" s="893"/>
      <c r="AF896" s="893"/>
      <c r="AG896" s="893"/>
      <c r="AH896" s="893"/>
      <c r="AI896" s="300"/>
      <c r="AJ896" s="300"/>
      <c r="AK896" s="300"/>
      <c r="AL896" s="300"/>
      <c r="AM896" s="300"/>
      <c r="AN896" s="127"/>
    </row>
    <row r="897" ht="14.25" customHeight="1">
      <c r="A897" s="127"/>
      <c r="B897" s="127"/>
      <c r="C897" s="127"/>
      <c r="D897" s="127"/>
      <c r="E897" s="127"/>
      <c r="F897" s="300"/>
      <c r="G897" s="300"/>
      <c r="H897" s="892"/>
      <c r="I897" s="892"/>
      <c r="J897" s="892"/>
      <c r="K897" s="892"/>
      <c r="L897" s="892"/>
      <c r="M897" s="892"/>
      <c r="N897" s="892"/>
      <c r="O897" s="892"/>
      <c r="P897" s="892"/>
      <c r="Q897" s="892"/>
      <c r="R897" s="892"/>
      <c r="S897" s="892"/>
      <c r="T897" s="892"/>
      <c r="U897" s="892"/>
      <c r="V897" s="892"/>
      <c r="W897" s="893"/>
      <c r="X897" s="893"/>
      <c r="Y897" s="893"/>
      <c r="Z897" s="893"/>
      <c r="AA897" s="893"/>
      <c r="AB897" s="893"/>
      <c r="AC897" s="893"/>
      <c r="AD897" s="893"/>
      <c r="AE897" s="893"/>
      <c r="AF897" s="893"/>
      <c r="AG897" s="893"/>
      <c r="AH897" s="893"/>
      <c r="AI897" s="300"/>
      <c r="AJ897" s="300"/>
      <c r="AK897" s="300"/>
      <c r="AL897" s="300"/>
      <c r="AM897" s="300"/>
      <c r="AN897" s="127"/>
    </row>
    <row r="898" ht="14.25" customHeight="1">
      <c r="A898" s="127"/>
      <c r="B898" s="127"/>
      <c r="C898" s="127"/>
      <c r="D898" s="127"/>
      <c r="E898" s="127"/>
      <c r="F898" s="300"/>
      <c r="G898" s="300"/>
      <c r="H898" s="892"/>
      <c r="I898" s="892"/>
      <c r="J898" s="892"/>
      <c r="K898" s="892"/>
      <c r="L898" s="892"/>
      <c r="M898" s="892"/>
      <c r="N898" s="892"/>
      <c r="O898" s="892"/>
      <c r="P898" s="892"/>
      <c r="Q898" s="892"/>
      <c r="R898" s="892"/>
      <c r="S898" s="892"/>
      <c r="T898" s="892"/>
      <c r="U898" s="892"/>
      <c r="V898" s="892"/>
      <c r="W898" s="893"/>
      <c r="X898" s="893"/>
      <c r="Y898" s="893"/>
      <c r="Z898" s="893"/>
      <c r="AA898" s="893"/>
      <c r="AB898" s="893"/>
      <c r="AC898" s="893"/>
      <c r="AD898" s="893"/>
      <c r="AE898" s="893"/>
      <c r="AF898" s="893"/>
      <c r="AG898" s="893"/>
      <c r="AH898" s="893"/>
      <c r="AI898" s="300"/>
      <c r="AJ898" s="300"/>
      <c r="AK898" s="300"/>
      <c r="AL898" s="300"/>
      <c r="AM898" s="300"/>
      <c r="AN898" s="127"/>
    </row>
    <row r="899" ht="14.25" customHeight="1">
      <c r="A899" s="127"/>
      <c r="B899" s="127"/>
      <c r="C899" s="127"/>
      <c r="D899" s="127"/>
      <c r="E899" s="127"/>
      <c r="F899" s="300"/>
      <c r="G899" s="300"/>
      <c r="H899" s="892"/>
      <c r="I899" s="892"/>
      <c r="J899" s="892"/>
      <c r="K899" s="892"/>
      <c r="L899" s="892"/>
      <c r="M899" s="892"/>
      <c r="N899" s="892"/>
      <c r="O899" s="892"/>
      <c r="P899" s="892"/>
      <c r="Q899" s="892"/>
      <c r="R899" s="892"/>
      <c r="S899" s="892"/>
      <c r="T899" s="892"/>
      <c r="U899" s="892"/>
      <c r="V899" s="892"/>
      <c r="W899" s="893"/>
      <c r="X899" s="893"/>
      <c r="Y899" s="893"/>
      <c r="Z899" s="893"/>
      <c r="AA899" s="893"/>
      <c r="AB899" s="893"/>
      <c r="AC899" s="893"/>
      <c r="AD899" s="893"/>
      <c r="AE899" s="893"/>
      <c r="AF899" s="893"/>
      <c r="AG899" s="893"/>
      <c r="AH899" s="893"/>
      <c r="AI899" s="300"/>
      <c r="AJ899" s="300"/>
      <c r="AK899" s="300"/>
      <c r="AL899" s="300"/>
      <c r="AM899" s="300"/>
      <c r="AN899" s="127"/>
    </row>
    <row r="900" ht="14.25" customHeight="1">
      <c r="A900" s="127"/>
      <c r="B900" s="127"/>
      <c r="C900" s="127"/>
      <c r="D900" s="127"/>
      <c r="E900" s="127"/>
      <c r="F900" s="300"/>
      <c r="G900" s="300"/>
      <c r="H900" s="892"/>
      <c r="I900" s="892"/>
      <c r="J900" s="892"/>
      <c r="K900" s="892"/>
      <c r="L900" s="892"/>
      <c r="M900" s="892"/>
      <c r="N900" s="892"/>
      <c r="O900" s="892"/>
      <c r="P900" s="892"/>
      <c r="Q900" s="892"/>
      <c r="R900" s="892"/>
      <c r="S900" s="892"/>
      <c r="T900" s="892"/>
      <c r="U900" s="892"/>
      <c r="V900" s="892"/>
      <c r="W900" s="893"/>
      <c r="X900" s="893"/>
      <c r="Y900" s="893"/>
      <c r="Z900" s="893"/>
      <c r="AA900" s="893"/>
      <c r="AB900" s="893"/>
      <c r="AC900" s="893"/>
      <c r="AD900" s="893"/>
      <c r="AE900" s="893"/>
      <c r="AF900" s="893"/>
      <c r="AG900" s="893"/>
      <c r="AH900" s="893"/>
      <c r="AI900" s="300"/>
      <c r="AJ900" s="300"/>
      <c r="AK900" s="300"/>
      <c r="AL900" s="300"/>
      <c r="AM900" s="300"/>
      <c r="AN900" s="127"/>
    </row>
    <row r="901" ht="14.25" customHeight="1">
      <c r="A901" s="127"/>
      <c r="B901" s="127"/>
      <c r="C901" s="127"/>
      <c r="D901" s="127"/>
      <c r="E901" s="127"/>
      <c r="F901" s="300"/>
      <c r="G901" s="300"/>
      <c r="H901" s="892"/>
      <c r="I901" s="892"/>
      <c r="J901" s="892"/>
      <c r="K901" s="892"/>
      <c r="L901" s="892"/>
      <c r="M901" s="892"/>
      <c r="N901" s="892"/>
      <c r="O901" s="892"/>
      <c r="P901" s="892"/>
      <c r="Q901" s="892"/>
      <c r="R901" s="892"/>
      <c r="S901" s="892"/>
      <c r="T901" s="892"/>
      <c r="U901" s="892"/>
      <c r="V901" s="892"/>
      <c r="W901" s="893"/>
      <c r="X901" s="893"/>
      <c r="Y901" s="893"/>
      <c r="Z901" s="893"/>
      <c r="AA901" s="893"/>
      <c r="AB901" s="893"/>
      <c r="AC901" s="893"/>
      <c r="AD901" s="893"/>
      <c r="AE901" s="893"/>
      <c r="AF901" s="893"/>
      <c r="AG901" s="893"/>
      <c r="AH901" s="893"/>
      <c r="AI901" s="300"/>
      <c r="AJ901" s="300"/>
      <c r="AK901" s="300"/>
      <c r="AL901" s="300"/>
      <c r="AM901" s="300"/>
      <c r="AN901" s="127"/>
    </row>
    <row r="902" ht="14.25" customHeight="1">
      <c r="A902" s="127"/>
      <c r="B902" s="127"/>
      <c r="C902" s="127"/>
      <c r="D902" s="127"/>
      <c r="E902" s="127"/>
      <c r="F902" s="300"/>
      <c r="G902" s="300"/>
      <c r="H902" s="892"/>
      <c r="I902" s="892"/>
      <c r="J902" s="892"/>
      <c r="K902" s="892"/>
      <c r="L902" s="892"/>
      <c r="M902" s="892"/>
      <c r="N902" s="892"/>
      <c r="O902" s="892"/>
      <c r="P902" s="892"/>
      <c r="Q902" s="892"/>
      <c r="R902" s="892"/>
      <c r="S902" s="892"/>
      <c r="T902" s="892"/>
      <c r="U902" s="892"/>
      <c r="V902" s="892"/>
      <c r="W902" s="893"/>
      <c r="X902" s="893"/>
      <c r="Y902" s="893"/>
      <c r="Z902" s="893"/>
      <c r="AA902" s="893"/>
      <c r="AB902" s="893"/>
      <c r="AC902" s="893"/>
      <c r="AD902" s="893"/>
      <c r="AE902" s="893"/>
      <c r="AF902" s="893"/>
      <c r="AG902" s="893"/>
      <c r="AH902" s="893"/>
      <c r="AI902" s="300"/>
      <c r="AJ902" s="300"/>
      <c r="AK902" s="300"/>
      <c r="AL902" s="300"/>
      <c r="AM902" s="300"/>
      <c r="AN902" s="127"/>
    </row>
    <row r="903" ht="14.25" customHeight="1">
      <c r="A903" s="127"/>
      <c r="B903" s="127"/>
      <c r="C903" s="127"/>
      <c r="D903" s="127"/>
      <c r="E903" s="127"/>
      <c r="F903" s="300"/>
      <c r="G903" s="300"/>
      <c r="H903" s="892"/>
      <c r="I903" s="892"/>
      <c r="J903" s="892"/>
      <c r="K903" s="892"/>
      <c r="L903" s="892"/>
      <c r="M903" s="892"/>
      <c r="N903" s="892"/>
      <c r="O903" s="892"/>
      <c r="P903" s="892"/>
      <c r="Q903" s="892"/>
      <c r="R903" s="892"/>
      <c r="S903" s="892"/>
      <c r="T903" s="892"/>
      <c r="U903" s="892"/>
      <c r="V903" s="892"/>
      <c r="W903" s="893"/>
      <c r="X903" s="893"/>
      <c r="Y903" s="893"/>
      <c r="Z903" s="893"/>
      <c r="AA903" s="893"/>
      <c r="AB903" s="893"/>
      <c r="AC903" s="893"/>
      <c r="AD903" s="893"/>
      <c r="AE903" s="893"/>
      <c r="AF903" s="893"/>
      <c r="AG903" s="893"/>
      <c r="AH903" s="893"/>
      <c r="AI903" s="300"/>
      <c r="AJ903" s="300"/>
      <c r="AK903" s="300"/>
      <c r="AL903" s="300"/>
      <c r="AM903" s="300"/>
      <c r="AN903" s="127"/>
    </row>
    <row r="904" ht="14.25" customHeight="1">
      <c r="A904" s="127"/>
      <c r="B904" s="127"/>
      <c r="C904" s="127"/>
      <c r="D904" s="127"/>
      <c r="E904" s="127"/>
      <c r="F904" s="300"/>
      <c r="G904" s="300"/>
      <c r="H904" s="892"/>
      <c r="I904" s="892"/>
      <c r="J904" s="892"/>
      <c r="K904" s="892"/>
      <c r="L904" s="892"/>
      <c r="M904" s="892"/>
      <c r="N904" s="892"/>
      <c r="O904" s="892"/>
      <c r="P904" s="892"/>
      <c r="Q904" s="892"/>
      <c r="R904" s="892"/>
      <c r="S904" s="892"/>
      <c r="T904" s="892"/>
      <c r="U904" s="892"/>
      <c r="V904" s="892"/>
      <c r="W904" s="893"/>
      <c r="X904" s="893"/>
      <c r="Y904" s="893"/>
      <c r="Z904" s="893"/>
      <c r="AA904" s="893"/>
      <c r="AB904" s="893"/>
      <c r="AC904" s="893"/>
      <c r="AD904" s="893"/>
      <c r="AE904" s="893"/>
      <c r="AF904" s="893"/>
      <c r="AG904" s="893"/>
      <c r="AH904" s="893"/>
      <c r="AI904" s="300"/>
      <c r="AJ904" s="300"/>
      <c r="AK904" s="300"/>
      <c r="AL904" s="300"/>
      <c r="AM904" s="300"/>
      <c r="AN904" s="127"/>
    </row>
    <row r="905" ht="14.25" customHeight="1">
      <c r="A905" s="127"/>
      <c r="B905" s="127"/>
      <c r="C905" s="127"/>
      <c r="D905" s="127"/>
      <c r="E905" s="127"/>
      <c r="F905" s="300"/>
      <c r="G905" s="300"/>
      <c r="H905" s="892"/>
      <c r="I905" s="892"/>
      <c r="J905" s="892"/>
      <c r="K905" s="892"/>
      <c r="L905" s="892"/>
      <c r="M905" s="892"/>
      <c r="N905" s="892"/>
      <c r="O905" s="892"/>
      <c r="P905" s="892"/>
      <c r="Q905" s="892"/>
      <c r="R905" s="892"/>
      <c r="S905" s="892"/>
      <c r="T905" s="892"/>
      <c r="U905" s="892"/>
      <c r="V905" s="892"/>
      <c r="W905" s="893"/>
      <c r="X905" s="893"/>
      <c r="Y905" s="893"/>
      <c r="Z905" s="893"/>
      <c r="AA905" s="893"/>
      <c r="AB905" s="893"/>
      <c r="AC905" s="893"/>
      <c r="AD905" s="893"/>
      <c r="AE905" s="893"/>
      <c r="AF905" s="893"/>
      <c r="AG905" s="893"/>
      <c r="AH905" s="893"/>
      <c r="AI905" s="300"/>
      <c r="AJ905" s="300"/>
      <c r="AK905" s="300"/>
      <c r="AL905" s="300"/>
      <c r="AM905" s="300"/>
      <c r="AN905" s="127"/>
    </row>
    <row r="906" ht="14.25" customHeight="1">
      <c r="A906" s="127"/>
      <c r="B906" s="127"/>
      <c r="C906" s="127"/>
      <c r="D906" s="127"/>
      <c r="E906" s="127"/>
      <c r="F906" s="300"/>
      <c r="G906" s="300"/>
      <c r="H906" s="892"/>
      <c r="I906" s="892"/>
      <c r="J906" s="892"/>
      <c r="K906" s="892"/>
      <c r="L906" s="892"/>
      <c r="M906" s="892"/>
      <c r="N906" s="892"/>
      <c r="O906" s="892"/>
      <c r="P906" s="892"/>
      <c r="Q906" s="892"/>
      <c r="R906" s="892"/>
      <c r="S906" s="892"/>
      <c r="T906" s="892"/>
      <c r="U906" s="892"/>
      <c r="V906" s="892"/>
      <c r="W906" s="893"/>
      <c r="X906" s="893"/>
      <c r="Y906" s="893"/>
      <c r="Z906" s="893"/>
      <c r="AA906" s="893"/>
      <c r="AB906" s="893"/>
      <c r="AC906" s="893"/>
      <c r="AD906" s="893"/>
      <c r="AE906" s="893"/>
      <c r="AF906" s="893"/>
      <c r="AG906" s="893"/>
      <c r="AH906" s="893"/>
      <c r="AI906" s="300"/>
      <c r="AJ906" s="300"/>
      <c r="AK906" s="300"/>
      <c r="AL906" s="300"/>
      <c r="AM906" s="300"/>
      <c r="AN906" s="127"/>
    </row>
    <row r="907" ht="14.25" customHeight="1">
      <c r="A907" s="127"/>
      <c r="B907" s="127"/>
      <c r="C907" s="127"/>
      <c r="D907" s="127"/>
      <c r="E907" s="127"/>
      <c r="F907" s="300"/>
      <c r="G907" s="300"/>
      <c r="H907" s="892"/>
      <c r="I907" s="892"/>
      <c r="J907" s="892"/>
      <c r="K907" s="892"/>
      <c r="L907" s="892"/>
      <c r="M907" s="892"/>
      <c r="N907" s="892"/>
      <c r="O907" s="892"/>
      <c r="P907" s="892"/>
      <c r="Q907" s="892"/>
      <c r="R907" s="892"/>
      <c r="S907" s="892"/>
      <c r="T907" s="892"/>
      <c r="U907" s="892"/>
      <c r="V907" s="892"/>
      <c r="W907" s="893"/>
      <c r="X907" s="893"/>
      <c r="Y907" s="893"/>
      <c r="Z907" s="893"/>
      <c r="AA907" s="893"/>
      <c r="AB907" s="893"/>
      <c r="AC907" s="893"/>
      <c r="AD907" s="893"/>
      <c r="AE907" s="893"/>
      <c r="AF907" s="893"/>
      <c r="AG907" s="893"/>
      <c r="AH907" s="893"/>
      <c r="AI907" s="300"/>
      <c r="AJ907" s="300"/>
      <c r="AK907" s="300"/>
      <c r="AL907" s="300"/>
      <c r="AM907" s="300"/>
      <c r="AN907" s="127"/>
    </row>
    <row r="908" ht="14.25" customHeight="1">
      <c r="A908" s="127"/>
      <c r="B908" s="127"/>
      <c r="C908" s="127"/>
      <c r="D908" s="127"/>
      <c r="E908" s="127"/>
      <c r="F908" s="300"/>
      <c r="G908" s="300"/>
      <c r="H908" s="892"/>
      <c r="I908" s="892"/>
      <c r="J908" s="892"/>
      <c r="K908" s="892"/>
      <c r="L908" s="892"/>
      <c r="M908" s="892"/>
      <c r="N908" s="892"/>
      <c r="O908" s="892"/>
      <c r="P908" s="892"/>
      <c r="Q908" s="892"/>
      <c r="R908" s="892"/>
      <c r="S908" s="892"/>
      <c r="T908" s="892"/>
      <c r="U908" s="892"/>
      <c r="V908" s="892"/>
      <c r="W908" s="893"/>
      <c r="X908" s="893"/>
      <c r="Y908" s="893"/>
      <c r="Z908" s="893"/>
      <c r="AA908" s="893"/>
      <c r="AB908" s="893"/>
      <c r="AC908" s="893"/>
      <c r="AD908" s="893"/>
      <c r="AE908" s="893"/>
      <c r="AF908" s="893"/>
      <c r="AG908" s="893"/>
      <c r="AH908" s="893"/>
      <c r="AI908" s="300"/>
      <c r="AJ908" s="300"/>
      <c r="AK908" s="300"/>
      <c r="AL908" s="300"/>
      <c r="AM908" s="300"/>
      <c r="AN908" s="127"/>
    </row>
    <row r="909" ht="14.25" customHeight="1">
      <c r="A909" s="127"/>
      <c r="B909" s="127"/>
      <c r="C909" s="127"/>
      <c r="D909" s="127"/>
      <c r="E909" s="127"/>
      <c r="F909" s="300"/>
      <c r="G909" s="300"/>
      <c r="H909" s="892"/>
      <c r="I909" s="892"/>
      <c r="J909" s="892"/>
      <c r="K909" s="892"/>
      <c r="L909" s="892"/>
      <c r="M909" s="892"/>
      <c r="N909" s="892"/>
      <c r="O909" s="892"/>
      <c r="P909" s="892"/>
      <c r="Q909" s="892"/>
      <c r="R909" s="892"/>
      <c r="S909" s="892"/>
      <c r="T909" s="892"/>
      <c r="U909" s="892"/>
      <c r="V909" s="892"/>
      <c r="W909" s="893"/>
      <c r="X909" s="893"/>
      <c r="Y909" s="893"/>
      <c r="Z909" s="893"/>
      <c r="AA909" s="893"/>
      <c r="AB909" s="893"/>
      <c r="AC909" s="893"/>
      <c r="AD909" s="893"/>
      <c r="AE909" s="893"/>
      <c r="AF909" s="893"/>
      <c r="AG909" s="893"/>
      <c r="AH909" s="893"/>
      <c r="AI909" s="300"/>
      <c r="AJ909" s="300"/>
      <c r="AK909" s="300"/>
      <c r="AL909" s="300"/>
      <c r="AM909" s="300"/>
      <c r="AN909" s="127"/>
    </row>
    <row r="910" ht="14.25" customHeight="1">
      <c r="A910" s="127"/>
      <c r="B910" s="127"/>
      <c r="C910" s="127"/>
      <c r="D910" s="127"/>
      <c r="E910" s="127"/>
      <c r="F910" s="300"/>
      <c r="G910" s="300"/>
      <c r="H910" s="892"/>
      <c r="I910" s="892"/>
      <c r="J910" s="892"/>
      <c r="K910" s="892"/>
      <c r="L910" s="892"/>
      <c r="M910" s="892"/>
      <c r="N910" s="892"/>
      <c r="O910" s="892"/>
      <c r="P910" s="892"/>
      <c r="Q910" s="892"/>
      <c r="R910" s="892"/>
      <c r="S910" s="892"/>
      <c r="T910" s="892"/>
      <c r="U910" s="892"/>
      <c r="V910" s="892"/>
      <c r="W910" s="893"/>
      <c r="X910" s="893"/>
      <c r="Y910" s="893"/>
      <c r="Z910" s="893"/>
      <c r="AA910" s="893"/>
      <c r="AB910" s="893"/>
      <c r="AC910" s="893"/>
      <c r="AD910" s="893"/>
      <c r="AE910" s="893"/>
      <c r="AF910" s="893"/>
      <c r="AG910" s="893"/>
      <c r="AH910" s="893"/>
      <c r="AI910" s="300"/>
      <c r="AJ910" s="300"/>
      <c r="AK910" s="300"/>
      <c r="AL910" s="300"/>
      <c r="AM910" s="300"/>
      <c r="AN910" s="127"/>
    </row>
    <row r="911" ht="14.25" customHeight="1">
      <c r="A911" s="127"/>
      <c r="B911" s="127"/>
      <c r="C911" s="127"/>
      <c r="D911" s="127"/>
      <c r="E911" s="127"/>
      <c r="F911" s="300"/>
      <c r="G911" s="300"/>
      <c r="H911" s="892"/>
      <c r="I911" s="892"/>
      <c r="J911" s="892"/>
      <c r="K911" s="892"/>
      <c r="L911" s="892"/>
      <c r="M911" s="892"/>
      <c r="N911" s="892"/>
      <c r="O911" s="892"/>
      <c r="P911" s="892"/>
      <c r="Q911" s="892"/>
      <c r="R911" s="892"/>
      <c r="S911" s="892"/>
      <c r="T911" s="892"/>
      <c r="U911" s="892"/>
      <c r="V911" s="892"/>
      <c r="W911" s="893"/>
      <c r="X911" s="893"/>
      <c r="Y911" s="893"/>
      <c r="Z911" s="893"/>
      <c r="AA911" s="893"/>
      <c r="AB911" s="893"/>
      <c r="AC911" s="893"/>
      <c r="AD911" s="893"/>
      <c r="AE911" s="893"/>
      <c r="AF911" s="893"/>
      <c r="AG911" s="893"/>
      <c r="AH911" s="893"/>
      <c r="AI911" s="300"/>
      <c r="AJ911" s="300"/>
      <c r="AK911" s="300"/>
      <c r="AL911" s="300"/>
      <c r="AM911" s="300"/>
      <c r="AN911" s="127"/>
    </row>
    <row r="912" ht="14.25" customHeight="1">
      <c r="A912" s="127"/>
      <c r="B912" s="127"/>
      <c r="C912" s="127"/>
      <c r="D912" s="127"/>
      <c r="E912" s="127"/>
      <c r="F912" s="300"/>
      <c r="G912" s="300"/>
      <c r="H912" s="892"/>
      <c r="I912" s="892"/>
      <c r="J912" s="892"/>
      <c r="K912" s="892"/>
      <c r="L912" s="892"/>
      <c r="M912" s="892"/>
      <c r="N912" s="892"/>
      <c r="O912" s="892"/>
      <c r="P912" s="892"/>
      <c r="Q912" s="892"/>
      <c r="R912" s="892"/>
      <c r="S912" s="892"/>
      <c r="T912" s="892"/>
      <c r="U912" s="892"/>
      <c r="V912" s="892"/>
      <c r="W912" s="893"/>
      <c r="X912" s="893"/>
      <c r="Y912" s="893"/>
      <c r="Z912" s="893"/>
      <c r="AA912" s="893"/>
      <c r="AB912" s="893"/>
      <c r="AC912" s="893"/>
      <c r="AD912" s="893"/>
      <c r="AE912" s="893"/>
      <c r="AF912" s="893"/>
      <c r="AG912" s="893"/>
      <c r="AH912" s="893"/>
      <c r="AI912" s="300"/>
      <c r="AJ912" s="300"/>
      <c r="AK912" s="300"/>
      <c r="AL912" s="300"/>
      <c r="AM912" s="300"/>
      <c r="AN912" s="127"/>
    </row>
    <row r="913" ht="14.25" customHeight="1">
      <c r="A913" s="127"/>
      <c r="B913" s="127"/>
      <c r="C913" s="127"/>
      <c r="D913" s="127"/>
      <c r="E913" s="127"/>
      <c r="F913" s="300"/>
      <c r="G913" s="300"/>
      <c r="H913" s="892"/>
      <c r="I913" s="892"/>
      <c r="J913" s="892"/>
      <c r="K913" s="892"/>
      <c r="L913" s="892"/>
      <c r="M913" s="892"/>
      <c r="N913" s="892"/>
      <c r="O913" s="892"/>
      <c r="P913" s="892"/>
      <c r="Q913" s="892"/>
      <c r="R913" s="892"/>
      <c r="S913" s="892"/>
      <c r="T913" s="892"/>
      <c r="U913" s="892"/>
      <c r="V913" s="892"/>
      <c r="W913" s="893"/>
      <c r="X913" s="893"/>
      <c r="Y913" s="893"/>
      <c r="Z913" s="893"/>
      <c r="AA913" s="893"/>
      <c r="AB913" s="893"/>
      <c r="AC913" s="893"/>
      <c r="AD913" s="893"/>
      <c r="AE913" s="893"/>
      <c r="AF913" s="893"/>
      <c r="AG913" s="893"/>
      <c r="AH913" s="893"/>
      <c r="AI913" s="300"/>
      <c r="AJ913" s="300"/>
      <c r="AK913" s="300"/>
      <c r="AL913" s="300"/>
      <c r="AM913" s="300"/>
      <c r="AN913" s="127"/>
    </row>
    <row r="914" ht="14.25" customHeight="1">
      <c r="A914" s="127"/>
      <c r="B914" s="127"/>
      <c r="C914" s="127"/>
      <c r="D914" s="127"/>
      <c r="E914" s="127"/>
      <c r="F914" s="300"/>
      <c r="G914" s="300"/>
      <c r="H914" s="892"/>
      <c r="I914" s="892"/>
      <c r="J914" s="892"/>
      <c r="K914" s="892"/>
      <c r="L914" s="892"/>
      <c r="M914" s="892"/>
      <c r="N914" s="892"/>
      <c r="O914" s="892"/>
      <c r="P914" s="892"/>
      <c r="Q914" s="892"/>
      <c r="R914" s="892"/>
      <c r="S914" s="892"/>
      <c r="T914" s="892"/>
      <c r="U914" s="892"/>
      <c r="V914" s="892"/>
      <c r="W914" s="893"/>
      <c r="X914" s="893"/>
      <c r="Y914" s="893"/>
      <c r="Z914" s="893"/>
      <c r="AA914" s="893"/>
      <c r="AB914" s="893"/>
      <c r="AC914" s="893"/>
      <c r="AD914" s="893"/>
      <c r="AE914" s="893"/>
      <c r="AF914" s="893"/>
      <c r="AG914" s="893"/>
      <c r="AH914" s="893"/>
      <c r="AI914" s="300"/>
      <c r="AJ914" s="300"/>
      <c r="AK914" s="300"/>
      <c r="AL914" s="300"/>
      <c r="AM914" s="300"/>
      <c r="AN914" s="127"/>
    </row>
    <row r="915" ht="14.25" customHeight="1">
      <c r="A915" s="127"/>
      <c r="B915" s="127"/>
      <c r="C915" s="127"/>
      <c r="D915" s="127"/>
      <c r="E915" s="127"/>
      <c r="F915" s="300"/>
      <c r="G915" s="300"/>
      <c r="H915" s="892"/>
      <c r="I915" s="892"/>
      <c r="J915" s="892"/>
      <c r="K915" s="892"/>
      <c r="L915" s="892"/>
      <c r="M915" s="892"/>
      <c r="N915" s="892"/>
      <c r="O915" s="892"/>
      <c r="P915" s="892"/>
      <c r="Q915" s="892"/>
      <c r="R915" s="892"/>
      <c r="S915" s="892"/>
      <c r="T915" s="892"/>
      <c r="U915" s="892"/>
      <c r="V915" s="892"/>
      <c r="W915" s="893"/>
      <c r="X915" s="893"/>
      <c r="Y915" s="893"/>
      <c r="Z915" s="893"/>
      <c r="AA915" s="893"/>
      <c r="AB915" s="893"/>
      <c r="AC915" s="893"/>
      <c r="AD915" s="893"/>
      <c r="AE915" s="893"/>
      <c r="AF915" s="893"/>
      <c r="AG915" s="893"/>
      <c r="AH915" s="893"/>
      <c r="AI915" s="300"/>
      <c r="AJ915" s="300"/>
      <c r="AK915" s="300"/>
      <c r="AL915" s="300"/>
      <c r="AM915" s="300"/>
      <c r="AN915" s="127"/>
    </row>
    <row r="916" ht="14.25" customHeight="1">
      <c r="A916" s="127"/>
      <c r="B916" s="127"/>
      <c r="C916" s="127"/>
      <c r="D916" s="127"/>
      <c r="E916" s="127"/>
      <c r="F916" s="300"/>
      <c r="G916" s="300"/>
      <c r="H916" s="892"/>
      <c r="I916" s="892"/>
      <c r="J916" s="892"/>
      <c r="K916" s="892"/>
      <c r="L916" s="892"/>
      <c r="M916" s="892"/>
      <c r="N916" s="892"/>
      <c r="O916" s="892"/>
      <c r="P916" s="892"/>
      <c r="Q916" s="892"/>
      <c r="R916" s="892"/>
      <c r="S916" s="892"/>
      <c r="T916" s="892"/>
      <c r="U916" s="892"/>
      <c r="V916" s="892"/>
      <c r="W916" s="893"/>
      <c r="X916" s="893"/>
      <c r="Y916" s="893"/>
      <c r="Z916" s="893"/>
      <c r="AA916" s="893"/>
      <c r="AB916" s="893"/>
      <c r="AC916" s="893"/>
      <c r="AD916" s="893"/>
      <c r="AE916" s="893"/>
      <c r="AF916" s="893"/>
      <c r="AG916" s="893"/>
      <c r="AH916" s="893"/>
      <c r="AI916" s="300"/>
      <c r="AJ916" s="300"/>
      <c r="AK916" s="300"/>
      <c r="AL916" s="300"/>
      <c r="AM916" s="300"/>
      <c r="AN916" s="127"/>
    </row>
    <row r="917" ht="14.25" customHeight="1">
      <c r="A917" s="127"/>
      <c r="B917" s="127"/>
      <c r="C917" s="127"/>
      <c r="D917" s="127"/>
      <c r="E917" s="127"/>
      <c r="F917" s="300"/>
      <c r="G917" s="300"/>
      <c r="H917" s="892"/>
      <c r="I917" s="892"/>
      <c r="J917" s="892"/>
      <c r="K917" s="892"/>
      <c r="L917" s="892"/>
      <c r="M917" s="892"/>
      <c r="N917" s="892"/>
      <c r="O917" s="892"/>
      <c r="P917" s="892"/>
      <c r="Q917" s="892"/>
      <c r="R917" s="892"/>
      <c r="S917" s="892"/>
      <c r="T917" s="892"/>
      <c r="U917" s="892"/>
      <c r="V917" s="892"/>
      <c r="W917" s="893"/>
      <c r="X917" s="893"/>
      <c r="Y917" s="893"/>
      <c r="Z917" s="893"/>
      <c r="AA917" s="893"/>
      <c r="AB917" s="893"/>
      <c r="AC917" s="893"/>
      <c r="AD917" s="893"/>
      <c r="AE917" s="893"/>
      <c r="AF917" s="893"/>
      <c r="AG917" s="893"/>
      <c r="AH917" s="893"/>
      <c r="AI917" s="300"/>
      <c r="AJ917" s="300"/>
      <c r="AK917" s="300"/>
      <c r="AL917" s="300"/>
      <c r="AM917" s="300"/>
      <c r="AN917" s="127"/>
    </row>
    <row r="918" ht="14.25" customHeight="1">
      <c r="A918" s="127"/>
      <c r="B918" s="127"/>
      <c r="C918" s="127"/>
      <c r="D918" s="127"/>
      <c r="E918" s="127"/>
      <c r="F918" s="300"/>
      <c r="G918" s="300"/>
      <c r="H918" s="892"/>
      <c r="I918" s="892"/>
      <c r="J918" s="892"/>
      <c r="K918" s="892"/>
      <c r="L918" s="892"/>
      <c r="M918" s="892"/>
      <c r="N918" s="892"/>
      <c r="O918" s="892"/>
      <c r="P918" s="892"/>
      <c r="Q918" s="892"/>
      <c r="R918" s="892"/>
      <c r="S918" s="892"/>
      <c r="T918" s="892"/>
      <c r="U918" s="892"/>
      <c r="V918" s="892"/>
      <c r="W918" s="893"/>
      <c r="X918" s="893"/>
      <c r="Y918" s="893"/>
      <c r="Z918" s="893"/>
      <c r="AA918" s="893"/>
      <c r="AB918" s="893"/>
      <c r="AC918" s="893"/>
      <c r="AD918" s="893"/>
      <c r="AE918" s="893"/>
      <c r="AF918" s="893"/>
      <c r="AG918" s="893"/>
      <c r="AH918" s="893"/>
      <c r="AI918" s="300"/>
      <c r="AJ918" s="300"/>
      <c r="AK918" s="300"/>
      <c r="AL918" s="300"/>
      <c r="AM918" s="300"/>
      <c r="AN918" s="127"/>
    </row>
    <row r="919" ht="14.25" customHeight="1">
      <c r="A919" s="127"/>
      <c r="B919" s="127"/>
      <c r="C919" s="127"/>
      <c r="D919" s="127"/>
      <c r="E919" s="127"/>
      <c r="F919" s="300"/>
      <c r="G919" s="300"/>
      <c r="H919" s="892"/>
      <c r="I919" s="892"/>
      <c r="J919" s="892"/>
      <c r="K919" s="892"/>
      <c r="L919" s="892"/>
      <c r="M919" s="892"/>
      <c r="N919" s="892"/>
      <c r="O919" s="892"/>
      <c r="P919" s="892"/>
      <c r="Q919" s="892"/>
      <c r="R919" s="892"/>
      <c r="S919" s="892"/>
      <c r="T919" s="892"/>
      <c r="U919" s="892"/>
      <c r="V919" s="892"/>
      <c r="W919" s="893"/>
      <c r="X919" s="893"/>
      <c r="Y919" s="893"/>
      <c r="Z919" s="893"/>
      <c r="AA919" s="893"/>
      <c r="AB919" s="893"/>
      <c r="AC919" s="893"/>
      <c r="AD919" s="893"/>
      <c r="AE919" s="893"/>
      <c r="AF919" s="893"/>
      <c r="AG919" s="893"/>
      <c r="AH919" s="893"/>
      <c r="AI919" s="300"/>
      <c r="AJ919" s="300"/>
      <c r="AK919" s="300"/>
      <c r="AL919" s="300"/>
      <c r="AM919" s="300"/>
      <c r="AN919" s="127"/>
    </row>
    <row r="920" ht="14.25" customHeight="1">
      <c r="A920" s="127"/>
      <c r="B920" s="127"/>
      <c r="C920" s="127"/>
      <c r="D920" s="127"/>
      <c r="E920" s="127"/>
      <c r="F920" s="300"/>
      <c r="G920" s="300"/>
      <c r="H920" s="892"/>
      <c r="I920" s="892"/>
      <c r="J920" s="892"/>
      <c r="K920" s="892"/>
      <c r="L920" s="892"/>
      <c r="M920" s="892"/>
      <c r="N920" s="892"/>
      <c r="O920" s="892"/>
      <c r="P920" s="892"/>
      <c r="Q920" s="892"/>
      <c r="R920" s="892"/>
      <c r="S920" s="892"/>
      <c r="T920" s="892"/>
      <c r="U920" s="892"/>
      <c r="V920" s="892"/>
      <c r="W920" s="893"/>
      <c r="X920" s="893"/>
      <c r="Y920" s="893"/>
      <c r="Z920" s="893"/>
      <c r="AA920" s="893"/>
      <c r="AB920" s="893"/>
      <c r="AC920" s="893"/>
      <c r="AD920" s="893"/>
      <c r="AE920" s="893"/>
      <c r="AF920" s="893"/>
      <c r="AG920" s="893"/>
      <c r="AH920" s="893"/>
      <c r="AI920" s="300"/>
      <c r="AJ920" s="300"/>
      <c r="AK920" s="300"/>
      <c r="AL920" s="300"/>
      <c r="AM920" s="300"/>
      <c r="AN920" s="127"/>
    </row>
    <row r="921" ht="14.25" customHeight="1">
      <c r="A921" s="127"/>
      <c r="B921" s="127"/>
      <c r="C921" s="127"/>
      <c r="D921" s="127"/>
      <c r="E921" s="127"/>
      <c r="F921" s="300"/>
      <c r="G921" s="300"/>
      <c r="H921" s="892"/>
      <c r="I921" s="892"/>
      <c r="J921" s="892"/>
      <c r="K921" s="892"/>
      <c r="L921" s="892"/>
      <c r="M921" s="892"/>
      <c r="N921" s="892"/>
      <c r="O921" s="892"/>
      <c r="P921" s="892"/>
      <c r="Q921" s="892"/>
      <c r="R921" s="892"/>
      <c r="S921" s="892"/>
      <c r="T921" s="892"/>
      <c r="U921" s="892"/>
      <c r="V921" s="892"/>
      <c r="W921" s="893"/>
      <c r="X921" s="893"/>
      <c r="Y921" s="893"/>
      <c r="Z921" s="893"/>
      <c r="AA921" s="893"/>
      <c r="AB921" s="893"/>
      <c r="AC921" s="893"/>
      <c r="AD921" s="893"/>
      <c r="AE921" s="893"/>
      <c r="AF921" s="893"/>
      <c r="AG921" s="893"/>
      <c r="AH921" s="893"/>
      <c r="AI921" s="300"/>
      <c r="AJ921" s="300"/>
      <c r="AK921" s="300"/>
      <c r="AL921" s="300"/>
      <c r="AM921" s="300"/>
      <c r="AN921" s="127"/>
    </row>
    <row r="922" ht="14.25" customHeight="1">
      <c r="A922" s="127"/>
      <c r="B922" s="127"/>
      <c r="C922" s="127"/>
      <c r="D922" s="127"/>
      <c r="E922" s="127"/>
      <c r="F922" s="300"/>
      <c r="G922" s="300"/>
      <c r="H922" s="892"/>
      <c r="I922" s="892"/>
      <c r="J922" s="892"/>
      <c r="K922" s="892"/>
      <c r="L922" s="892"/>
      <c r="M922" s="892"/>
      <c r="N922" s="892"/>
      <c r="O922" s="892"/>
      <c r="P922" s="892"/>
      <c r="Q922" s="892"/>
      <c r="R922" s="892"/>
      <c r="S922" s="892"/>
      <c r="T922" s="892"/>
      <c r="U922" s="892"/>
      <c r="V922" s="892"/>
      <c r="W922" s="893"/>
      <c r="X922" s="893"/>
      <c r="Y922" s="893"/>
      <c r="Z922" s="893"/>
      <c r="AA922" s="893"/>
      <c r="AB922" s="893"/>
      <c r="AC922" s="893"/>
      <c r="AD922" s="893"/>
      <c r="AE922" s="893"/>
      <c r="AF922" s="893"/>
      <c r="AG922" s="893"/>
      <c r="AH922" s="893"/>
      <c r="AI922" s="300"/>
      <c r="AJ922" s="300"/>
      <c r="AK922" s="300"/>
      <c r="AL922" s="300"/>
      <c r="AM922" s="300"/>
      <c r="AN922" s="127"/>
    </row>
    <row r="923" ht="14.25" customHeight="1">
      <c r="A923" s="127"/>
      <c r="B923" s="127"/>
      <c r="C923" s="127"/>
      <c r="D923" s="127"/>
      <c r="E923" s="127"/>
      <c r="F923" s="300"/>
      <c r="G923" s="300"/>
      <c r="H923" s="892"/>
      <c r="I923" s="892"/>
      <c r="J923" s="892"/>
      <c r="K923" s="892"/>
      <c r="L923" s="892"/>
      <c r="M923" s="892"/>
      <c r="N923" s="892"/>
      <c r="O923" s="892"/>
      <c r="P923" s="892"/>
      <c r="Q923" s="892"/>
      <c r="R923" s="892"/>
      <c r="S923" s="892"/>
      <c r="T923" s="892"/>
      <c r="U923" s="892"/>
      <c r="V923" s="892"/>
      <c r="W923" s="893"/>
      <c r="X923" s="893"/>
      <c r="Y923" s="893"/>
      <c r="Z923" s="893"/>
      <c r="AA923" s="893"/>
      <c r="AB923" s="893"/>
      <c r="AC923" s="893"/>
      <c r="AD923" s="893"/>
      <c r="AE923" s="893"/>
      <c r="AF923" s="893"/>
      <c r="AG923" s="893"/>
      <c r="AH923" s="893"/>
      <c r="AI923" s="300"/>
      <c r="AJ923" s="300"/>
      <c r="AK923" s="300"/>
      <c r="AL923" s="300"/>
      <c r="AM923" s="300"/>
      <c r="AN923" s="127"/>
    </row>
    <row r="924" ht="14.25" customHeight="1">
      <c r="A924" s="127"/>
      <c r="B924" s="127"/>
      <c r="C924" s="127"/>
      <c r="D924" s="127"/>
      <c r="E924" s="127"/>
      <c r="F924" s="300"/>
      <c r="G924" s="300"/>
      <c r="H924" s="892"/>
      <c r="I924" s="892"/>
      <c r="J924" s="892"/>
      <c r="K924" s="892"/>
      <c r="L924" s="892"/>
      <c r="M924" s="892"/>
      <c r="N924" s="892"/>
      <c r="O924" s="892"/>
      <c r="P924" s="892"/>
      <c r="Q924" s="892"/>
      <c r="R924" s="892"/>
      <c r="S924" s="892"/>
      <c r="T924" s="892"/>
      <c r="U924" s="892"/>
      <c r="V924" s="892"/>
      <c r="W924" s="893"/>
      <c r="X924" s="893"/>
      <c r="Y924" s="893"/>
      <c r="Z924" s="893"/>
      <c r="AA924" s="893"/>
      <c r="AB924" s="893"/>
      <c r="AC924" s="893"/>
      <c r="AD924" s="893"/>
      <c r="AE924" s="893"/>
      <c r="AF924" s="893"/>
      <c r="AG924" s="893"/>
      <c r="AH924" s="893"/>
      <c r="AI924" s="300"/>
      <c r="AJ924" s="300"/>
      <c r="AK924" s="300"/>
      <c r="AL924" s="300"/>
      <c r="AM924" s="300"/>
      <c r="AN924" s="127"/>
    </row>
    <row r="925" ht="14.25" customHeight="1">
      <c r="A925" s="127"/>
      <c r="B925" s="127"/>
      <c r="C925" s="127"/>
      <c r="D925" s="127"/>
      <c r="E925" s="127"/>
      <c r="F925" s="300"/>
      <c r="G925" s="300"/>
      <c r="H925" s="892"/>
      <c r="I925" s="892"/>
      <c r="J925" s="892"/>
      <c r="K925" s="892"/>
      <c r="L925" s="892"/>
      <c r="M925" s="892"/>
      <c r="N925" s="892"/>
      <c r="O925" s="892"/>
      <c r="P925" s="892"/>
      <c r="Q925" s="892"/>
      <c r="R925" s="892"/>
      <c r="S925" s="892"/>
      <c r="T925" s="892"/>
      <c r="U925" s="892"/>
      <c r="V925" s="892"/>
      <c r="W925" s="893"/>
      <c r="X925" s="893"/>
      <c r="Y925" s="893"/>
      <c r="Z925" s="893"/>
      <c r="AA925" s="893"/>
      <c r="AB925" s="893"/>
      <c r="AC925" s="893"/>
      <c r="AD925" s="893"/>
      <c r="AE925" s="893"/>
      <c r="AF925" s="893"/>
      <c r="AG925" s="893"/>
      <c r="AH925" s="893"/>
      <c r="AI925" s="300"/>
      <c r="AJ925" s="300"/>
      <c r="AK925" s="300"/>
      <c r="AL925" s="300"/>
      <c r="AM925" s="300"/>
      <c r="AN925" s="127"/>
    </row>
    <row r="926" ht="14.25" customHeight="1">
      <c r="A926" s="127"/>
      <c r="B926" s="127"/>
      <c r="C926" s="127"/>
      <c r="D926" s="127"/>
      <c r="E926" s="127"/>
      <c r="F926" s="300"/>
      <c r="G926" s="300"/>
      <c r="H926" s="892"/>
      <c r="I926" s="892"/>
      <c r="J926" s="892"/>
      <c r="K926" s="892"/>
      <c r="L926" s="892"/>
      <c r="M926" s="892"/>
      <c r="N926" s="892"/>
      <c r="O926" s="892"/>
      <c r="P926" s="892"/>
      <c r="Q926" s="892"/>
      <c r="R926" s="892"/>
      <c r="S926" s="892"/>
      <c r="T926" s="892"/>
      <c r="U926" s="892"/>
      <c r="V926" s="892"/>
      <c r="W926" s="893"/>
      <c r="X926" s="893"/>
      <c r="Y926" s="893"/>
      <c r="Z926" s="893"/>
      <c r="AA926" s="893"/>
      <c r="AB926" s="893"/>
      <c r="AC926" s="893"/>
      <c r="AD926" s="893"/>
      <c r="AE926" s="893"/>
      <c r="AF926" s="893"/>
      <c r="AG926" s="893"/>
      <c r="AH926" s="893"/>
      <c r="AI926" s="300"/>
      <c r="AJ926" s="300"/>
      <c r="AK926" s="300"/>
      <c r="AL926" s="300"/>
      <c r="AM926" s="300"/>
      <c r="AN926" s="127"/>
    </row>
    <row r="927" ht="14.25" customHeight="1">
      <c r="A927" s="127"/>
      <c r="B927" s="127"/>
      <c r="C927" s="127"/>
      <c r="D927" s="127"/>
      <c r="E927" s="127"/>
      <c r="F927" s="300"/>
      <c r="G927" s="300"/>
      <c r="H927" s="892"/>
      <c r="I927" s="892"/>
      <c r="J927" s="892"/>
      <c r="K927" s="892"/>
      <c r="L927" s="892"/>
      <c r="M927" s="892"/>
      <c r="N927" s="892"/>
      <c r="O927" s="892"/>
      <c r="P927" s="892"/>
      <c r="Q927" s="892"/>
      <c r="R927" s="892"/>
      <c r="S927" s="892"/>
      <c r="T927" s="892"/>
      <c r="U927" s="892"/>
      <c r="V927" s="892"/>
      <c r="W927" s="893"/>
      <c r="X927" s="893"/>
      <c r="Y927" s="893"/>
      <c r="Z927" s="893"/>
      <c r="AA927" s="893"/>
      <c r="AB927" s="893"/>
      <c r="AC927" s="893"/>
      <c r="AD927" s="893"/>
      <c r="AE927" s="893"/>
      <c r="AF927" s="893"/>
      <c r="AG927" s="893"/>
      <c r="AH927" s="893"/>
      <c r="AI927" s="300"/>
      <c r="AJ927" s="300"/>
      <c r="AK927" s="300"/>
      <c r="AL927" s="300"/>
      <c r="AM927" s="300"/>
      <c r="AN927" s="127"/>
    </row>
    <row r="928" ht="14.25" customHeight="1">
      <c r="A928" s="127"/>
      <c r="B928" s="127"/>
      <c r="C928" s="127"/>
      <c r="D928" s="127"/>
      <c r="E928" s="127"/>
      <c r="F928" s="300"/>
      <c r="G928" s="300"/>
      <c r="H928" s="892"/>
      <c r="I928" s="892"/>
      <c r="J928" s="892"/>
      <c r="K928" s="892"/>
      <c r="L928" s="892"/>
      <c r="M928" s="892"/>
      <c r="N928" s="892"/>
      <c r="O928" s="892"/>
      <c r="P928" s="892"/>
      <c r="Q928" s="892"/>
      <c r="R928" s="892"/>
      <c r="S928" s="892"/>
      <c r="T928" s="892"/>
      <c r="U928" s="892"/>
      <c r="V928" s="892"/>
      <c r="W928" s="893"/>
      <c r="X928" s="893"/>
      <c r="Y928" s="893"/>
      <c r="Z928" s="893"/>
      <c r="AA928" s="893"/>
      <c r="AB928" s="893"/>
      <c r="AC928" s="893"/>
      <c r="AD928" s="893"/>
      <c r="AE928" s="893"/>
      <c r="AF928" s="893"/>
      <c r="AG928" s="893"/>
      <c r="AH928" s="893"/>
      <c r="AI928" s="300"/>
      <c r="AJ928" s="300"/>
      <c r="AK928" s="300"/>
      <c r="AL928" s="300"/>
      <c r="AM928" s="300"/>
      <c r="AN928" s="127"/>
    </row>
    <row r="929" ht="14.25" customHeight="1">
      <c r="A929" s="127"/>
      <c r="B929" s="127"/>
      <c r="C929" s="127"/>
      <c r="D929" s="127"/>
      <c r="E929" s="127"/>
      <c r="F929" s="300"/>
      <c r="G929" s="300"/>
      <c r="H929" s="892"/>
      <c r="I929" s="892"/>
      <c r="J929" s="892"/>
      <c r="K929" s="892"/>
      <c r="L929" s="892"/>
      <c r="M929" s="892"/>
      <c r="N929" s="892"/>
      <c r="O929" s="892"/>
      <c r="P929" s="892"/>
      <c r="Q929" s="892"/>
      <c r="R929" s="892"/>
      <c r="S929" s="892"/>
      <c r="T929" s="892"/>
      <c r="U929" s="892"/>
      <c r="V929" s="892"/>
      <c r="W929" s="893"/>
      <c r="X929" s="893"/>
      <c r="Y929" s="893"/>
      <c r="Z929" s="893"/>
      <c r="AA929" s="893"/>
      <c r="AB929" s="893"/>
      <c r="AC929" s="893"/>
      <c r="AD929" s="893"/>
      <c r="AE929" s="893"/>
      <c r="AF929" s="893"/>
      <c r="AG929" s="893"/>
      <c r="AH929" s="893"/>
      <c r="AI929" s="300"/>
      <c r="AJ929" s="300"/>
      <c r="AK929" s="300"/>
      <c r="AL929" s="300"/>
      <c r="AM929" s="300"/>
      <c r="AN929" s="127"/>
    </row>
    <row r="930" ht="14.25" customHeight="1">
      <c r="A930" s="127"/>
      <c r="B930" s="127"/>
      <c r="C930" s="127"/>
      <c r="D930" s="127"/>
      <c r="E930" s="127"/>
      <c r="F930" s="300"/>
      <c r="G930" s="300"/>
      <c r="H930" s="892"/>
      <c r="I930" s="892"/>
      <c r="J930" s="892"/>
      <c r="K930" s="892"/>
      <c r="L930" s="892"/>
      <c r="M930" s="892"/>
      <c r="N930" s="892"/>
      <c r="O930" s="892"/>
      <c r="P930" s="892"/>
      <c r="Q930" s="892"/>
      <c r="R930" s="892"/>
      <c r="S930" s="892"/>
      <c r="T930" s="892"/>
      <c r="U930" s="892"/>
      <c r="V930" s="892"/>
      <c r="W930" s="893"/>
      <c r="X930" s="893"/>
      <c r="Y930" s="893"/>
      <c r="Z930" s="893"/>
      <c r="AA930" s="893"/>
      <c r="AB930" s="893"/>
      <c r="AC930" s="893"/>
      <c r="AD930" s="893"/>
      <c r="AE930" s="893"/>
      <c r="AF930" s="893"/>
      <c r="AG930" s="893"/>
      <c r="AH930" s="893"/>
      <c r="AI930" s="300"/>
      <c r="AJ930" s="300"/>
      <c r="AK930" s="300"/>
      <c r="AL930" s="300"/>
      <c r="AM930" s="300"/>
      <c r="AN930" s="127"/>
    </row>
    <row r="931" ht="14.25" customHeight="1">
      <c r="A931" s="127"/>
      <c r="B931" s="127"/>
      <c r="C931" s="127"/>
      <c r="D931" s="127"/>
      <c r="E931" s="127"/>
      <c r="F931" s="300"/>
      <c r="G931" s="300"/>
      <c r="H931" s="892"/>
      <c r="I931" s="892"/>
      <c r="J931" s="892"/>
      <c r="K931" s="892"/>
      <c r="L931" s="892"/>
      <c r="M931" s="892"/>
      <c r="N931" s="892"/>
      <c r="O931" s="892"/>
      <c r="P931" s="892"/>
      <c r="Q931" s="892"/>
      <c r="R931" s="892"/>
      <c r="S931" s="892"/>
      <c r="T931" s="892"/>
      <c r="U931" s="892"/>
      <c r="V931" s="892"/>
      <c r="W931" s="893"/>
      <c r="X931" s="893"/>
      <c r="Y931" s="893"/>
      <c r="Z931" s="893"/>
      <c r="AA931" s="893"/>
      <c r="AB931" s="893"/>
      <c r="AC931" s="893"/>
      <c r="AD931" s="893"/>
      <c r="AE931" s="893"/>
      <c r="AF931" s="893"/>
      <c r="AG931" s="893"/>
      <c r="AH931" s="893"/>
      <c r="AI931" s="300"/>
      <c r="AJ931" s="300"/>
      <c r="AK931" s="300"/>
      <c r="AL931" s="300"/>
      <c r="AM931" s="300"/>
      <c r="AN931" s="127"/>
    </row>
    <row r="932" ht="14.25" customHeight="1">
      <c r="A932" s="127"/>
      <c r="B932" s="127"/>
      <c r="C932" s="127"/>
      <c r="D932" s="127"/>
      <c r="E932" s="127"/>
      <c r="F932" s="300"/>
      <c r="G932" s="300"/>
      <c r="H932" s="892"/>
      <c r="I932" s="892"/>
      <c r="J932" s="892"/>
      <c r="K932" s="892"/>
      <c r="L932" s="892"/>
      <c r="M932" s="892"/>
      <c r="N932" s="892"/>
      <c r="O932" s="892"/>
      <c r="P932" s="892"/>
      <c r="Q932" s="892"/>
      <c r="R932" s="892"/>
      <c r="S932" s="892"/>
      <c r="T932" s="892"/>
      <c r="U932" s="892"/>
      <c r="V932" s="892"/>
      <c r="W932" s="893"/>
      <c r="X932" s="893"/>
      <c r="Y932" s="893"/>
      <c r="Z932" s="893"/>
      <c r="AA932" s="893"/>
      <c r="AB932" s="893"/>
      <c r="AC932" s="893"/>
      <c r="AD932" s="893"/>
      <c r="AE932" s="893"/>
      <c r="AF932" s="893"/>
      <c r="AG932" s="893"/>
      <c r="AH932" s="893"/>
      <c r="AI932" s="300"/>
      <c r="AJ932" s="300"/>
      <c r="AK932" s="300"/>
      <c r="AL932" s="300"/>
      <c r="AM932" s="300"/>
      <c r="AN932" s="127"/>
    </row>
    <row r="933" ht="14.25" customHeight="1">
      <c r="A933" s="127"/>
      <c r="B933" s="127"/>
      <c r="C933" s="127"/>
      <c r="D933" s="127"/>
      <c r="E933" s="127"/>
      <c r="F933" s="300"/>
      <c r="G933" s="300"/>
      <c r="H933" s="892"/>
      <c r="I933" s="892"/>
      <c r="J933" s="892"/>
      <c r="K933" s="892"/>
      <c r="L933" s="892"/>
      <c r="M933" s="892"/>
      <c r="N933" s="892"/>
      <c r="O933" s="892"/>
      <c r="P933" s="892"/>
      <c r="Q933" s="892"/>
      <c r="R933" s="892"/>
      <c r="S933" s="892"/>
      <c r="T933" s="892"/>
      <c r="U933" s="892"/>
      <c r="V933" s="892"/>
      <c r="W933" s="893"/>
      <c r="X933" s="893"/>
      <c r="Y933" s="893"/>
      <c r="Z933" s="893"/>
      <c r="AA933" s="893"/>
      <c r="AB933" s="893"/>
      <c r="AC933" s="893"/>
      <c r="AD933" s="893"/>
      <c r="AE933" s="893"/>
      <c r="AF933" s="893"/>
      <c r="AG933" s="893"/>
      <c r="AH933" s="893"/>
      <c r="AI933" s="300"/>
      <c r="AJ933" s="300"/>
      <c r="AK933" s="300"/>
      <c r="AL933" s="300"/>
      <c r="AM933" s="300"/>
      <c r="AN933" s="127"/>
    </row>
    <row r="934" ht="14.25" customHeight="1">
      <c r="A934" s="127"/>
      <c r="B934" s="127"/>
      <c r="C934" s="127"/>
      <c r="D934" s="127"/>
      <c r="E934" s="127"/>
      <c r="F934" s="300"/>
      <c r="G934" s="300"/>
      <c r="H934" s="892"/>
      <c r="I934" s="892"/>
      <c r="J934" s="892"/>
      <c r="K934" s="892"/>
      <c r="L934" s="892"/>
      <c r="M934" s="892"/>
      <c r="N934" s="892"/>
      <c r="O934" s="892"/>
      <c r="P934" s="892"/>
      <c r="Q934" s="892"/>
      <c r="R934" s="892"/>
      <c r="S934" s="892"/>
      <c r="T934" s="892"/>
      <c r="U934" s="892"/>
      <c r="V934" s="892"/>
      <c r="W934" s="893"/>
      <c r="X934" s="893"/>
      <c r="Y934" s="893"/>
      <c r="Z934" s="893"/>
      <c r="AA934" s="893"/>
      <c r="AB934" s="893"/>
      <c r="AC934" s="893"/>
      <c r="AD934" s="893"/>
      <c r="AE934" s="893"/>
      <c r="AF934" s="893"/>
      <c r="AG934" s="893"/>
      <c r="AH934" s="893"/>
      <c r="AI934" s="300"/>
      <c r="AJ934" s="300"/>
      <c r="AK934" s="300"/>
      <c r="AL934" s="300"/>
      <c r="AM934" s="300"/>
      <c r="AN934" s="127"/>
    </row>
    <row r="935" ht="14.25" customHeight="1">
      <c r="A935" s="127"/>
      <c r="B935" s="127"/>
      <c r="C935" s="127"/>
      <c r="D935" s="127"/>
      <c r="E935" s="127"/>
      <c r="F935" s="300"/>
      <c r="G935" s="300"/>
      <c r="H935" s="892"/>
      <c r="I935" s="892"/>
      <c r="J935" s="892"/>
      <c r="K935" s="892"/>
      <c r="L935" s="892"/>
      <c r="M935" s="892"/>
      <c r="N935" s="892"/>
      <c r="O935" s="892"/>
      <c r="P935" s="892"/>
      <c r="Q935" s="892"/>
      <c r="R935" s="892"/>
      <c r="S935" s="892"/>
      <c r="T935" s="892"/>
      <c r="U935" s="892"/>
      <c r="V935" s="892"/>
      <c r="W935" s="893"/>
      <c r="X935" s="893"/>
      <c r="Y935" s="893"/>
      <c r="Z935" s="893"/>
      <c r="AA935" s="893"/>
      <c r="AB935" s="893"/>
      <c r="AC935" s="893"/>
      <c r="AD935" s="893"/>
      <c r="AE935" s="893"/>
      <c r="AF935" s="893"/>
      <c r="AG935" s="893"/>
      <c r="AH935" s="893"/>
      <c r="AI935" s="300"/>
      <c r="AJ935" s="300"/>
      <c r="AK935" s="300"/>
      <c r="AL935" s="300"/>
      <c r="AM935" s="300"/>
      <c r="AN935" s="127"/>
    </row>
    <row r="936" ht="14.25" customHeight="1">
      <c r="A936" s="127"/>
      <c r="B936" s="127"/>
      <c r="C936" s="127"/>
      <c r="D936" s="127"/>
      <c r="E936" s="127"/>
      <c r="F936" s="300"/>
      <c r="G936" s="300"/>
      <c r="H936" s="892"/>
      <c r="I936" s="892"/>
      <c r="J936" s="892"/>
      <c r="K936" s="892"/>
      <c r="L936" s="892"/>
      <c r="M936" s="892"/>
      <c r="N936" s="892"/>
      <c r="O936" s="892"/>
      <c r="P936" s="892"/>
      <c r="Q936" s="892"/>
      <c r="R936" s="892"/>
      <c r="S936" s="892"/>
      <c r="T936" s="892"/>
      <c r="U936" s="892"/>
      <c r="V936" s="892"/>
      <c r="W936" s="893"/>
      <c r="X936" s="893"/>
      <c r="Y936" s="893"/>
      <c r="Z936" s="893"/>
      <c r="AA936" s="893"/>
      <c r="AB936" s="893"/>
      <c r="AC936" s="893"/>
      <c r="AD936" s="893"/>
      <c r="AE936" s="893"/>
      <c r="AF936" s="893"/>
      <c r="AG936" s="893"/>
      <c r="AH936" s="893"/>
      <c r="AI936" s="300"/>
      <c r="AJ936" s="300"/>
      <c r="AK936" s="300"/>
      <c r="AL936" s="300"/>
      <c r="AM936" s="300"/>
      <c r="AN936" s="127"/>
    </row>
    <row r="937" ht="14.25" customHeight="1">
      <c r="A937" s="127"/>
      <c r="B937" s="127"/>
      <c r="C937" s="127"/>
      <c r="D937" s="127"/>
      <c r="E937" s="127"/>
      <c r="F937" s="300"/>
      <c r="G937" s="300"/>
      <c r="H937" s="892"/>
      <c r="I937" s="892"/>
      <c r="J937" s="892"/>
      <c r="K937" s="892"/>
      <c r="L937" s="892"/>
      <c r="M937" s="892"/>
      <c r="N937" s="892"/>
      <c r="O937" s="892"/>
      <c r="P937" s="892"/>
      <c r="Q937" s="892"/>
      <c r="R937" s="892"/>
      <c r="S937" s="892"/>
      <c r="T937" s="892"/>
      <c r="U937" s="892"/>
      <c r="V937" s="892"/>
      <c r="W937" s="893"/>
      <c r="X937" s="893"/>
      <c r="Y937" s="893"/>
      <c r="Z937" s="893"/>
      <c r="AA937" s="893"/>
      <c r="AB937" s="893"/>
      <c r="AC937" s="893"/>
      <c r="AD937" s="893"/>
      <c r="AE937" s="893"/>
      <c r="AF937" s="893"/>
      <c r="AG937" s="893"/>
      <c r="AH937" s="893"/>
      <c r="AI937" s="300"/>
      <c r="AJ937" s="300"/>
      <c r="AK937" s="300"/>
      <c r="AL937" s="300"/>
      <c r="AM937" s="300"/>
      <c r="AN937" s="127"/>
    </row>
    <row r="938" ht="14.25" customHeight="1">
      <c r="A938" s="127"/>
      <c r="B938" s="127"/>
      <c r="C938" s="127"/>
      <c r="D938" s="127"/>
      <c r="E938" s="127"/>
      <c r="F938" s="300"/>
      <c r="G938" s="300"/>
      <c r="H938" s="892"/>
      <c r="I938" s="892"/>
      <c r="J938" s="892"/>
      <c r="K938" s="892"/>
      <c r="L938" s="892"/>
      <c r="M938" s="892"/>
      <c r="N938" s="892"/>
      <c r="O938" s="892"/>
      <c r="P938" s="892"/>
      <c r="Q938" s="892"/>
      <c r="R938" s="892"/>
      <c r="S938" s="892"/>
      <c r="T938" s="892"/>
      <c r="U938" s="892"/>
      <c r="V938" s="892"/>
      <c r="W938" s="893"/>
      <c r="X938" s="893"/>
      <c r="Y938" s="893"/>
      <c r="Z938" s="893"/>
      <c r="AA938" s="893"/>
      <c r="AB938" s="893"/>
      <c r="AC938" s="893"/>
      <c r="AD938" s="893"/>
      <c r="AE938" s="893"/>
      <c r="AF938" s="893"/>
      <c r="AG938" s="893"/>
      <c r="AH938" s="893"/>
      <c r="AI938" s="300"/>
      <c r="AJ938" s="300"/>
      <c r="AK938" s="300"/>
      <c r="AL938" s="300"/>
      <c r="AM938" s="300"/>
      <c r="AN938" s="127"/>
    </row>
    <row r="939" ht="14.25" customHeight="1">
      <c r="A939" s="127"/>
      <c r="B939" s="127"/>
      <c r="C939" s="127"/>
      <c r="D939" s="127"/>
      <c r="E939" s="127"/>
      <c r="F939" s="300"/>
      <c r="G939" s="300"/>
      <c r="H939" s="892"/>
      <c r="I939" s="892"/>
      <c r="J939" s="892"/>
      <c r="K939" s="892"/>
      <c r="L939" s="892"/>
      <c r="M939" s="892"/>
      <c r="N939" s="892"/>
      <c r="O939" s="892"/>
      <c r="P939" s="892"/>
      <c r="Q939" s="892"/>
      <c r="R939" s="892"/>
      <c r="S939" s="892"/>
      <c r="T939" s="892"/>
      <c r="U939" s="892"/>
      <c r="V939" s="892"/>
      <c r="W939" s="893"/>
      <c r="X939" s="893"/>
      <c r="Y939" s="893"/>
      <c r="Z939" s="893"/>
      <c r="AA939" s="893"/>
      <c r="AB939" s="893"/>
      <c r="AC939" s="893"/>
      <c r="AD939" s="893"/>
      <c r="AE939" s="893"/>
      <c r="AF939" s="893"/>
      <c r="AG939" s="893"/>
      <c r="AH939" s="893"/>
      <c r="AI939" s="300"/>
      <c r="AJ939" s="300"/>
      <c r="AK939" s="300"/>
      <c r="AL939" s="300"/>
      <c r="AM939" s="300"/>
      <c r="AN939" s="127"/>
    </row>
    <row r="940" ht="14.25" customHeight="1">
      <c r="A940" s="127"/>
      <c r="B940" s="127"/>
      <c r="C940" s="127"/>
      <c r="D940" s="127"/>
      <c r="E940" s="127"/>
      <c r="F940" s="300"/>
      <c r="G940" s="300"/>
      <c r="H940" s="892"/>
      <c r="I940" s="892"/>
      <c r="J940" s="892"/>
      <c r="K940" s="892"/>
      <c r="L940" s="892"/>
      <c r="M940" s="892"/>
      <c r="N940" s="892"/>
      <c r="O940" s="892"/>
      <c r="P940" s="892"/>
      <c r="Q940" s="892"/>
      <c r="R940" s="892"/>
      <c r="S940" s="892"/>
      <c r="T940" s="892"/>
      <c r="U940" s="892"/>
      <c r="V940" s="892"/>
      <c r="W940" s="893"/>
      <c r="X940" s="893"/>
      <c r="Y940" s="893"/>
      <c r="Z940" s="893"/>
      <c r="AA940" s="893"/>
      <c r="AB940" s="893"/>
      <c r="AC940" s="893"/>
      <c r="AD940" s="893"/>
      <c r="AE940" s="893"/>
      <c r="AF940" s="893"/>
      <c r="AG940" s="893"/>
      <c r="AH940" s="893"/>
      <c r="AI940" s="300"/>
      <c r="AJ940" s="300"/>
      <c r="AK940" s="300"/>
      <c r="AL940" s="300"/>
      <c r="AM940" s="300"/>
      <c r="AN940" s="127"/>
    </row>
    <row r="941" ht="14.25" customHeight="1">
      <c r="A941" s="127"/>
      <c r="B941" s="127"/>
      <c r="C941" s="127"/>
      <c r="D941" s="127"/>
      <c r="E941" s="127"/>
      <c r="F941" s="300"/>
      <c r="G941" s="300"/>
      <c r="H941" s="892"/>
      <c r="I941" s="892"/>
      <c r="J941" s="892"/>
      <c r="K941" s="892"/>
      <c r="L941" s="892"/>
      <c r="M941" s="892"/>
      <c r="N941" s="892"/>
      <c r="O941" s="892"/>
      <c r="P941" s="892"/>
      <c r="Q941" s="892"/>
      <c r="R941" s="892"/>
      <c r="S941" s="892"/>
      <c r="T941" s="892"/>
      <c r="U941" s="892"/>
      <c r="V941" s="892"/>
      <c r="W941" s="893"/>
      <c r="X941" s="893"/>
      <c r="Y941" s="893"/>
      <c r="Z941" s="893"/>
      <c r="AA941" s="893"/>
      <c r="AB941" s="893"/>
      <c r="AC941" s="893"/>
      <c r="AD941" s="893"/>
      <c r="AE941" s="893"/>
      <c r="AF941" s="893"/>
      <c r="AG941" s="893"/>
      <c r="AH941" s="893"/>
      <c r="AI941" s="300"/>
      <c r="AJ941" s="300"/>
      <c r="AK941" s="300"/>
      <c r="AL941" s="300"/>
      <c r="AM941" s="300"/>
      <c r="AN941" s="127"/>
    </row>
    <row r="942" ht="14.25" customHeight="1">
      <c r="A942" s="127"/>
      <c r="B942" s="127"/>
      <c r="C942" s="127"/>
      <c r="D942" s="127"/>
      <c r="E942" s="127"/>
      <c r="F942" s="300"/>
      <c r="G942" s="300"/>
      <c r="H942" s="892"/>
      <c r="I942" s="892"/>
      <c r="J942" s="892"/>
      <c r="K942" s="892"/>
      <c r="L942" s="892"/>
      <c r="M942" s="892"/>
      <c r="N942" s="892"/>
      <c r="O942" s="892"/>
      <c r="P942" s="892"/>
      <c r="Q942" s="892"/>
      <c r="R942" s="892"/>
      <c r="S942" s="892"/>
      <c r="T942" s="892"/>
      <c r="U942" s="892"/>
      <c r="V942" s="892"/>
      <c r="W942" s="893"/>
      <c r="X942" s="893"/>
      <c r="Y942" s="893"/>
      <c r="Z942" s="893"/>
      <c r="AA942" s="893"/>
      <c r="AB942" s="893"/>
      <c r="AC942" s="893"/>
      <c r="AD942" s="893"/>
      <c r="AE942" s="893"/>
      <c r="AF942" s="893"/>
      <c r="AG942" s="893"/>
      <c r="AH942" s="893"/>
      <c r="AI942" s="300"/>
      <c r="AJ942" s="300"/>
      <c r="AK942" s="300"/>
      <c r="AL942" s="300"/>
      <c r="AM942" s="300"/>
      <c r="AN942" s="127"/>
    </row>
    <row r="943" ht="14.25" customHeight="1">
      <c r="A943" s="127"/>
      <c r="B943" s="127"/>
      <c r="C943" s="127"/>
      <c r="D943" s="127"/>
      <c r="E943" s="127"/>
      <c r="F943" s="300"/>
      <c r="G943" s="300"/>
      <c r="H943" s="892"/>
      <c r="I943" s="892"/>
      <c r="J943" s="892"/>
      <c r="K943" s="892"/>
      <c r="L943" s="892"/>
      <c r="M943" s="892"/>
      <c r="N943" s="892"/>
      <c r="O943" s="892"/>
      <c r="P943" s="892"/>
      <c r="Q943" s="892"/>
      <c r="R943" s="892"/>
      <c r="S943" s="892"/>
      <c r="T943" s="892"/>
      <c r="U943" s="892"/>
      <c r="V943" s="892"/>
      <c r="W943" s="893"/>
      <c r="X943" s="893"/>
      <c r="Y943" s="893"/>
      <c r="Z943" s="893"/>
      <c r="AA943" s="893"/>
      <c r="AB943" s="893"/>
      <c r="AC943" s="893"/>
      <c r="AD943" s="893"/>
      <c r="AE943" s="893"/>
      <c r="AF943" s="893"/>
      <c r="AG943" s="893"/>
      <c r="AH943" s="893"/>
      <c r="AI943" s="300"/>
      <c r="AJ943" s="300"/>
      <c r="AK943" s="300"/>
      <c r="AL943" s="300"/>
      <c r="AM943" s="300"/>
      <c r="AN943" s="127"/>
    </row>
    <row r="944" ht="14.25" customHeight="1">
      <c r="A944" s="127"/>
      <c r="B944" s="127"/>
      <c r="C944" s="127"/>
      <c r="D944" s="127"/>
      <c r="E944" s="127"/>
      <c r="F944" s="300"/>
      <c r="G944" s="300"/>
      <c r="H944" s="892"/>
      <c r="I944" s="892"/>
      <c r="J944" s="892"/>
      <c r="K944" s="892"/>
      <c r="L944" s="892"/>
      <c r="M944" s="892"/>
      <c r="N944" s="892"/>
      <c r="O944" s="892"/>
      <c r="P944" s="892"/>
      <c r="Q944" s="892"/>
      <c r="R944" s="892"/>
      <c r="S944" s="892"/>
      <c r="T944" s="892"/>
      <c r="U944" s="892"/>
      <c r="V944" s="892"/>
      <c r="W944" s="893"/>
      <c r="X944" s="893"/>
      <c r="Y944" s="893"/>
      <c r="Z944" s="893"/>
      <c r="AA944" s="893"/>
      <c r="AB944" s="893"/>
      <c r="AC944" s="893"/>
      <c r="AD944" s="893"/>
      <c r="AE944" s="893"/>
      <c r="AF944" s="893"/>
      <c r="AG944" s="893"/>
      <c r="AH944" s="893"/>
      <c r="AI944" s="300"/>
      <c r="AJ944" s="300"/>
      <c r="AK944" s="300"/>
      <c r="AL944" s="300"/>
      <c r="AM944" s="300"/>
      <c r="AN944" s="127"/>
    </row>
    <row r="945" ht="14.25" customHeight="1">
      <c r="A945" s="127"/>
      <c r="B945" s="127"/>
      <c r="C945" s="127"/>
      <c r="D945" s="127"/>
      <c r="E945" s="127"/>
      <c r="F945" s="300"/>
      <c r="G945" s="300"/>
      <c r="H945" s="892"/>
      <c r="I945" s="892"/>
      <c r="J945" s="892"/>
      <c r="K945" s="892"/>
      <c r="L945" s="892"/>
      <c r="M945" s="892"/>
      <c r="N945" s="892"/>
      <c r="O945" s="892"/>
      <c r="P945" s="892"/>
      <c r="Q945" s="892"/>
      <c r="R945" s="892"/>
      <c r="S945" s="892"/>
      <c r="T945" s="892"/>
      <c r="U945" s="892"/>
      <c r="V945" s="892"/>
      <c r="W945" s="893"/>
      <c r="X945" s="893"/>
      <c r="Y945" s="893"/>
      <c r="Z945" s="893"/>
      <c r="AA945" s="893"/>
      <c r="AB945" s="893"/>
      <c r="AC945" s="893"/>
      <c r="AD945" s="893"/>
      <c r="AE945" s="893"/>
      <c r="AF945" s="893"/>
      <c r="AG945" s="893"/>
      <c r="AH945" s="893"/>
      <c r="AI945" s="300"/>
      <c r="AJ945" s="300"/>
      <c r="AK945" s="300"/>
      <c r="AL945" s="300"/>
      <c r="AM945" s="300"/>
      <c r="AN945" s="127"/>
    </row>
    <row r="946" ht="14.25" customHeight="1">
      <c r="A946" s="127"/>
      <c r="B946" s="127"/>
      <c r="C946" s="127"/>
      <c r="D946" s="127"/>
      <c r="E946" s="127"/>
      <c r="F946" s="300"/>
      <c r="G946" s="300"/>
      <c r="H946" s="892"/>
      <c r="I946" s="892"/>
      <c r="J946" s="892"/>
      <c r="K946" s="892"/>
      <c r="L946" s="892"/>
      <c r="M946" s="892"/>
      <c r="N946" s="892"/>
      <c r="O946" s="892"/>
      <c r="P946" s="892"/>
      <c r="Q946" s="892"/>
      <c r="R946" s="892"/>
      <c r="S946" s="892"/>
      <c r="T946" s="892"/>
      <c r="U946" s="892"/>
      <c r="V946" s="892"/>
      <c r="W946" s="893"/>
      <c r="X946" s="893"/>
      <c r="Y946" s="893"/>
      <c r="Z946" s="893"/>
      <c r="AA946" s="893"/>
      <c r="AB946" s="893"/>
      <c r="AC946" s="893"/>
      <c r="AD946" s="893"/>
      <c r="AE946" s="893"/>
      <c r="AF946" s="893"/>
      <c r="AG946" s="893"/>
      <c r="AH946" s="893"/>
      <c r="AI946" s="300"/>
      <c r="AJ946" s="300"/>
      <c r="AK946" s="300"/>
      <c r="AL946" s="300"/>
      <c r="AM946" s="300"/>
      <c r="AN946" s="127"/>
    </row>
    <row r="947" ht="14.25" customHeight="1">
      <c r="A947" s="127"/>
      <c r="B947" s="127"/>
      <c r="C947" s="127"/>
      <c r="D947" s="127"/>
      <c r="E947" s="127"/>
      <c r="F947" s="300"/>
      <c r="G947" s="300"/>
      <c r="H947" s="892"/>
      <c r="I947" s="892"/>
      <c r="J947" s="892"/>
      <c r="K947" s="892"/>
      <c r="L947" s="892"/>
      <c r="M947" s="892"/>
      <c r="N947" s="892"/>
      <c r="O947" s="892"/>
      <c r="P947" s="892"/>
      <c r="Q947" s="892"/>
      <c r="R947" s="892"/>
      <c r="S947" s="892"/>
      <c r="T947" s="892"/>
      <c r="U947" s="892"/>
      <c r="V947" s="892"/>
      <c r="W947" s="893"/>
      <c r="X947" s="893"/>
      <c r="Y947" s="893"/>
      <c r="Z947" s="893"/>
      <c r="AA947" s="893"/>
      <c r="AB947" s="893"/>
      <c r="AC947" s="893"/>
      <c r="AD947" s="893"/>
      <c r="AE947" s="893"/>
      <c r="AF947" s="893"/>
      <c r="AG947" s="893"/>
      <c r="AH947" s="893"/>
      <c r="AI947" s="300"/>
      <c r="AJ947" s="300"/>
      <c r="AK947" s="300"/>
      <c r="AL947" s="300"/>
      <c r="AM947" s="300"/>
      <c r="AN947" s="127"/>
    </row>
    <row r="948" ht="14.25" customHeight="1">
      <c r="A948" s="127"/>
      <c r="B948" s="127"/>
      <c r="C948" s="127"/>
      <c r="D948" s="127"/>
      <c r="E948" s="127"/>
      <c r="F948" s="300"/>
      <c r="G948" s="300"/>
      <c r="H948" s="892"/>
      <c r="I948" s="892"/>
      <c r="J948" s="892"/>
      <c r="K948" s="892"/>
      <c r="L948" s="892"/>
      <c r="M948" s="892"/>
      <c r="N948" s="892"/>
      <c r="O948" s="892"/>
      <c r="P948" s="892"/>
      <c r="Q948" s="892"/>
      <c r="R948" s="892"/>
      <c r="S948" s="892"/>
      <c r="T948" s="892"/>
      <c r="U948" s="892"/>
      <c r="V948" s="892"/>
      <c r="W948" s="893"/>
      <c r="X948" s="893"/>
      <c r="Y948" s="893"/>
      <c r="Z948" s="893"/>
      <c r="AA948" s="893"/>
      <c r="AB948" s="893"/>
      <c r="AC948" s="893"/>
      <c r="AD948" s="893"/>
      <c r="AE948" s="893"/>
      <c r="AF948" s="893"/>
      <c r="AG948" s="893"/>
      <c r="AH948" s="893"/>
      <c r="AI948" s="300"/>
      <c r="AJ948" s="300"/>
      <c r="AK948" s="300"/>
      <c r="AL948" s="300"/>
      <c r="AM948" s="300"/>
      <c r="AN948" s="127"/>
    </row>
    <row r="949" ht="14.25" customHeight="1">
      <c r="A949" s="127"/>
      <c r="B949" s="127"/>
      <c r="C949" s="127"/>
      <c r="D949" s="127"/>
      <c r="E949" s="127"/>
      <c r="F949" s="300"/>
      <c r="G949" s="300"/>
      <c r="H949" s="892"/>
      <c r="I949" s="892"/>
      <c r="J949" s="892"/>
      <c r="K949" s="892"/>
      <c r="L949" s="892"/>
      <c r="M949" s="892"/>
      <c r="N949" s="892"/>
      <c r="O949" s="892"/>
      <c r="P949" s="892"/>
      <c r="Q949" s="892"/>
      <c r="R949" s="892"/>
      <c r="S949" s="892"/>
      <c r="T949" s="892"/>
      <c r="U949" s="892"/>
      <c r="V949" s="892"/>
      <c r="W949" s="893"/>
      <c r="X949" s="893"/>
      <c r="Y949" s="893"/>
      <c r="Z949" s="893"/>
      <c r="AA949" s="893"/>
      <c r="AB949" s="893"/>
      <c r="AC949" s="893"/>
      <c r="AD949" s="893"/>
      <c r="AE949" s="893"/>
      <c r="AF949" s="893"/>
      <c r="AG949" s="893"/>
      <c r="AH949" s="893"/>
      <c r="AI949" s="300"/>
      <c r="AJ949" s="300"/>
      <c r="AK949" s="300"/>
      <c r="AL949" s="300"/>
      <c r="AM949" s="300"/>
      <c r="AN949" s="127"/>
    </row>
    <row r="950" ht="14.25" customHeight="1">
      <c r="A950" s="127"/>
      <c r="B950" s="127"/>
      <c r="C950" s="127"/>
      <c r="D950" s="127"/>
      <c r="E950" s="127"/>
      <c r="F950" s="300"/>
      <c r="G950" s="300"/>
      <c r="H950" s="892"/>
      <c r="I950" s="892"/>
      <c r="J950" s="892"/>
      <c r="K950" s="892"/>
      <c r="L950" s="892"/>
      <c r="M950" s="892"/>
      <c r="N950" s="892"/>
      <c r="O950" s="892"/>
      <c r="P950" s="892"/>
      <c r="Q950" s="892"/>
      <c r="R950" s="892"/>
      <c r="S950" s="892"/>
      <c r="T950" s="892"/>
      <c r="U950" s="892"/>
      <c r="V950" s="892"/>
      <c r="W950" s="893"/>
      <c r="X950" s="893"/>
      <c r="Y950" s="893"/>
      <c r="Z950" s="893"/>
      <c r="AA950" s="893"/>
      <c r="AB950" s="893"/>
      <c r="AC950" s="893"/>
      <c r="AD950" s="893"/>
      <c r="AE950" s="893"/>
      <c r="AF950" s="893"/>
      <c r="AG950" s="893"/>
      <c r="AH950" s="893"/>
      <c r="AI950" s="300"/>
      <c r="AJ950" s="300"/>
      <c r="AK950" s="300"/>
      <c r="AL950" s="300"/>
      <c r="AM950" s="300"/>
      <c r="AN950" s="127"/>
    </row>
    <row r="951" ht="14.25" customHeight="1">
      <c r="A951" s="127"/>
      <c r="B951" s="127"/>
      <c r="C951" s="127"/>
      <c r="D951" s="127"/>
      <c r="E951" s="127"/>
      <c r="F951" s="300"/>
      <c r="G951" s="300"/>
      <c r="H951" s="892"/>
      <c r="I951" s="892"/>
      <c r="J951" s="892"/>
      <c r="K951" s="892"/>
      <c r="L951" s="892"/>
      <c r="M951" s="892"/>
      <c r="N951" s="892"/>
      <c r="O951" s="892"/>
      <c r="P951" s="892"/>
      <c r="Q951" s="892"/>
      <c r="R951" s="892"/>
      <c r="S951" s="892"/>
      <c r="T951" s="892"/>
      <c r="U951" s="892"/>
      <c r="V951" s="892"/>
      <c r="W951" s="893"/>
      <c r="X951" s="893"/>
      <c r="Y951" s="893"/>
      <c r="Z951" s="893"/>
      <c r="AA951" s="893"/>
      <c r="AB951" s="893"/>
      <c r="AC951" s="893"/>
      <c r="AD951" s="893"/>
      <c r="AE951" s="893"/>
      <c r="AF951" s="893"/>
      <c r="AG951" s="893"/>
      <c r="AH951" s="893"/>
      <c r="AI951" s="300"/>
      <c r="AJ951" s="300"/>
      <c r="AK951" s="300"/>
      <c r="AL951" s="300"/>
      <c r="AM951" s="300"/>
      <c r="AN951" s="127"/>
    </row>
    <row r="952" ht="14.25" customHeight="1">
      <c r="A952" s="127"/>
      <c r="B952" s="127"/>
      <c r="C952" s="127"/>
      <c r="D952" s="127"/>
      <c r="E952" s="127"/>
      <c r="F952" s="300"/>
      <c r="G952" s="300"/>
      <c r="H952" s="892"/>
      <c r="I952" s="892"/>
      <c r="J952" s="892"/>
      <c r="K952" s="892"/>
      <c r="L952" s="892"/>
      <c r="M952" s="892"/>
      <c r="N952" s="892"/>
      <c r="O952" s="892"/>
      <c r="P952" s="892"/>
      <c r="Q952" s="892"/>
      <c r="R952" s="892"/>
      <c r="S952" s="892"/>
      <c r="T952" s="892"/>
      <c r="U952" s="892"/>
      <c r="V952" s="892"/>
      <c r="W952" s="893"/>
      <c r="X952" s="893"/>
      <c r="Y952" s="893"/>
      <c r="Z952" s="893"/>
      <c r="AA952" s="893"/>
      <c r="AB952" s="893"/>
      <c r="AC952" s="893"/>
      <c r="AD952" s="893"/>
      <c r="AE952" s="893"/>
      <c r="AF952" s="893"/>
      <c r="AG952" s="893"/>
      <c r="AH952" s="893"/>
      <c r="AI952" s="300"/>
      <c r="AJ952" s="300"/>
      <c r="AK952" s="300"/>
      <c r="AL952" s="300"/>
      <c r="AM952" s="300"/>
      <c r="AN952" s="127"/>
    </row>
    <row r="953" ht="14.25" customHeight="1">
      <c r="A953" s="127"/>
      <c r="B953" s="127"/>
      <c r="C953" s="127"/>
      <c r="D953" s="127"/>
      <c r="E953" s="127"/>
      <c r="F953" s="300"/>
      <c r="G953" s="300"/>
      <c r="H953" s="892"/>
      <c r="I953" s="892"/>
      <c r="J953" s="892"/>
      <c r="K953" s="892"/>
      <c r="L953" s="892"/>
      <c r="M953" s="892"/>
      <c r="N953" s="892"/>
      <c r="O953" s="892"/>
      <c r="P953" s="892"/>
      <c r="Q953" s="892"/>
      <c r="R953" s="892"/>
      <c r="S953" s="892"/>
      <c r="T953" s="892"/>
      <c r="U953" s="892"/>
      <c r="V953" s="892"/>
      <c r="W953" s="893"/>
      <c r="X953" s="893"/>
      <c r="Y953" s="893"/>
      <c r="Z953" s="893"/>
      <c r="AA953" s="893"/>
      <c r="AB953" s="893"/>
      <c r="AC953" s="893"/>
      <c r="AD953" s="893"/>
      <c r="AE953" s="893"/>
      <c r="AF953" s="893"/>
      <c r="AG953" s="893"/>
      <c r="AH953" s="893"/>
      <c r="AI953" s="300"/>
      <c r="AJ953" s="300"/>
      <c r="AK953" s="300"/>
      <c r="AL953" s="300"/>
      <c r="AM953" s="300"/>
      <c r="AN953" s="127"/>
    </row>
    <row r="954" ht="14.25" customHeight="1">
      <c r="A954" s="127"/>
      <c r="B954" s="127"/>
      <c r="C954" s="127"/>
      <c r="D954" s="127"/>
      <c r="E954" s="127"/>
      <c r="F954" s="300"/>
      <c r="G954" s="300"/>
      <c r="H954" s="892"/>
      <c r="I954" s="892"/>
      <c r="J954" s="892"/>
      <c r="K954" s="892"/>
      <c r="L954" s="892"/>
      <c r="M954" s="892"/>
      <c r="N954" s="892"/>
      <c r="O954" s="892"/>
      <c r="P954" s="892"/>
      <c r="Q954" s="892"/>
      <c r="R954" s="892"/>
      <c r="S954" s="892"/>
      <c r="T954" s="892"/>
      <c r="U954" s="892"/>
      <c r="V954" s="892"/>
      <c r="W954" s="893"/>
      <c r="X954" s="893"/>
      <c r="Y954" s="893"/>
      <c r="Z954" s="893"/>
      <c r="AA954" s="893"/>
      <c r="AB954" s="893"/>
      <c r="AC954" s="893"/>
      <c r="AD954" s="893"/>
      <c r="AE954" s="893"/>
      <c r="AF954" s="893"/>
      <c r="AG954" s="893"/>
      <c r="AH954" s="893"/>
      <c r="AI954" s="300"/>
      <c r="AJ954" s="300"/>
      <c r="AK954" s="300"/>
      <c r="AL954" s="300"/>
      <c r="AM954" s="300"/>
      <c r="AN954" s="127"/>
    </row>
    <row r="955" ht="14.25" customHeight="1">
      <c r="A955" s="127"/>
      <c r="B955" s="127"/>
      <c r="C955" s="127"/>
      <c r="D955" s="127"/>
      <c r="E955" s="127"/>
      <c r="F955" s="300"/>
      <c r="G955" s="300"/>
      <c r="H955" s="892"/>
      <c r="I955" s="892"/>
      <c r="J955" s="892"/>
      <c r="K955" s="892"/>
      <c r="L955" s="892"/>
      <c r="M955" s="892"/>
      <c r="N955" s="892"/>
      <c r="O955" s="892"/>
      <c r="P955" s="892"/>
      <c r="Q955" s="892"/>
      <c r="R955" s="892"/>
      <c r="S955" s="892"/>
      <c r="T955" s="892"/>
      <c r="U955" s="892"/>
      <c r="V955" s="892"/>
      <c r="W955" s="893"/>
      <c r="X955" s="893"/>
      <c r="Y955" s="893"/>
      <c r="Z955" s="893"/>
      <c r="AA955" s="893"/>
      <c r="AB955" s="893"/>
      <c r="AC955" s="893"/>
      <c r="AD955" s="893"/>
      <c r="AE955" s="893"/>
      <c r="AF955" s="893"/>
      <c r="AG955" s="893"/>
      <c r="AH955" s="893"/>
      <c r="AI955" s="300"/>
      <c r="AJ955" s="300"/>
      <c r="AK955" s="300"/>
      <c r="AL955" s="300"/>
      <c r="AM955" s="300"/>
      <c r="AN955" s="127"/>
    </row>
    <row r="956" ht="14.25" customHeight="1">
      <c r="A956" s="127"/>
      <c r="B956" s="127"/>
      <c r="C956" s="127"/>
      <c r="D956" s="127"/>
      <c r="E956" s="127"/>
      <c r="F956" s="300"/>
      <c r="G956" s="300"/>
      <c r="H956" s="892"/>
      <c r="I956" s="892"/>
      <c r="J956" s="892"/>
      <c r="K956" s="892"/>
      <c r="L956" s="892"/>
      <c r="M956" s="892"/>
      <c r="N956" s="892"/>
      <c r="O956" s="892"/>
      <c r="P956" s="892"/>
      <c r="Q956" s="892"/>
      <c r="R956" s="892"/>
      <c r="S956" s="892"/>
      <c r="T956" s="892"/>
      <c r="U956" s="892"/>
      <c r="V956" s="892"/>
      <c r="W956" s="893"/>
      <c r="X956" s="893"/>
      <c r="Y956" s="893"/>
      <c r="Z956" s="893"/>
      <c r="AA956" s="893"/>
      <c r="AB956" s="893"/>
      <c r="AC956" s="893"/>
      <c r="AD956" s="893"/>
      <c r="AE956" s="893"/>
      <c r="AF956" s="893"/>
      <c r="AG956" s="893"/>
      <c r="AH956" s="893"/>
      <c r="AI956" s="300"/>
      <c r="AJ956" s="300"/>
      <c r="AK956" s="300"/>
      <c r="AL956" s="300"/>
      <c r="AM956" s="300"/>
      <c r="AN956" s="127"/>
    </row>
    <row r="957" ht="14.25" customHeight="1">
      <c r="A957" s="127"/>
      <c r="B957" s="127"/>
      <c r="C957" s="127"/>
      <c r="D957" s="127"/>
      <c r="E957" s="127"/>
      <c r="F957" s="300"/>
      <c r="G957" s="300"/>
      <c r="H957" s="892"/>
      <c r="I957" s="892"/>
      <c r="J957" s="892"/>
      <c r="K957" s="892"/>
      <c r="L957" s="892"/>
      <c r="M957" s="892"/>
      <c r="N957" s="892"/>
      <c r="O957" s="892"/>
      <c r="P957" s="892"/>
      <c r="Q957" s="892"/>
      <c r="R957" s="892"/>
      <c r="S957" s="892"/>
      <c r="T957" s="892"/>
      <c r="U957" s="892"/>
      <c r="V957" s="892"/>
      <c r="W957" s="893"/>
      <c r="X957" s="893"/>
      <c r="Y957" s="893"/>
      <c r="Z957" s="893"/>
      <c r="AA957" s="893"/>
      <c r="AB957" s="893"/>
      <c r="AC957" s="893"/>
      <c r="AD957" s="893"/>
      <c r="AE957" s="893"/>
      <c r="AF957" s="893"/>
      <c r="AG957" s="893"/>
      <c r="AH957" s="893"/>
      <c r="AI957" s="300"/>
      <c r="AJ957" s="300"/>
      <c r="AK957" s="300"/>
      <c r="AL957" s="300"/>
      <c r="AM957" s="300"/>
      <c r="AN957" s="127"/>
    </row>
    <row r="958" ht="14.25" customHeight="1">
      <c r="A958" s="127"/>
      <c r="B958" s="127"/>
      <c r="C958" s="127"/>
      <c r="D958" s="127"/>
      <c r="E958" s="127"/>
      <c r="F958" s="300"/>
      <c r="G958" s="300"/>
      <c r="H958" s="892"/>
      <c r="I958" s="892"/>
      <c r="J958" s="892"/>
      <c r="K958" s="892"/>
      <c r="L958" s="892"/>
      <c r="M958" s="892"/>
      <c r="N958" s="892"/>
      <c r="O958" s="892"/>
      <c r="P958" s="892"/>
      <c r="Q958" s="892"/>
      <c r="R958" s="892"/>
      <c r="S958" s="892"/>
      <c r="T958" s="892"/>
      <c r="U958" s="892"/>
      <c r="V958" s="892"/>
      <c r="W958" s="893"/>
      <c r="X958" s="893"/>
      <c r="Y958" s="893"/>
      <c r="Z958" s="893"/>
      <c r="AA958" s="893"/>
      <c r="AB958" s="893"/>
      <c r="AC958" s="893"/>
      <c r="AD958" s="893"/>
      <c r="AE958" s="893"/>
      <c r="AF958" s="893"/>
      <c r="AG958" s="893"/>
      <c r="AH958" s="893"/>
      <c r="AI958" s="300"/>
      <c r="AJ958" s="300"/>
      <c r="AK958" s="300"/>
      <c r="AL958" s="300"/>
      <c r="AM958" s="300"/>
      <c r="AN958" s="127"/>
    </row>
    <row r="959" ht="14.25" customHeight="1">
      <c r="A959" s="127"/>
      <c r="B959" s="127"/>
      <c r="C959" s="127"/>
      <c r="D959" s="127"/>
      <c r="E959" s="127"/>
      <c r="F959" s="300"/>
      <c r="G959" s="300"/>
      <c r="H959" s="892"/>
      <c r="I959" s="892"/>
      <c r="J959" s="892"/>
      <c r="K959" s="892"/>
      <c r="L959" s="892"/>
      <c r="M959" s="892"/>
      <c r="N959" s="892"/>
      <c r="O959" s="892"/>
      <c r="P959" s="892"/>
      <c r="Q959" s="892"/>
      <c r="R959" s="892"/>
      <c r="S959" s="892"/>
      <c r="T959" s="892"/>
      <c r="U959" s="892"/>
      <c r="V959" s="892"/>
      <c r="W959" s="893"/>
      <c r="X959" s="893"/>
      <c r="Y959" s="893"/>
      <c r="Z959" s="893"/>
      <c r="AA959" s="893"/>
      <c r="AB959" s="893"/>
      <c r="AC959" s="893"/>
      <c r="AD959" s="893"/>
      <c r="AE959" s="893"/>
      <c r="AF959" s="893"/>
      <c r="AG959" s="893"/>
      <c r="AH959" s="893"/>
      <c r="AI959" s="300"/>
      <c r="AJ959" s="300"/>
      <c r="AK959" s="300"/>
      <c r="AL959" s="300"/>
      <c r="AM959" s="300"/>
      <c r="AN959" s="127"/>
    </row>
    <row r="960" ht="14.25" customHeight="1">
      <c r="A960" s="127"/>
      <c r="B960" s="127"/>
      <c r="C960" s="127"/>
      <c r="D960" s="127"/>
      <c r="E960" s="127"/>
      <c r="F960" s="300"/>
      <c r="G960" s="300"/>
      <c r="H960" s="892"/>
      <c r="I960" s="892"/>
      <c r="J960" s="892"/>
      <c r="K960" s="892"/>
      <c r="L960" s="892"/>
      <c r="M960" s="892"/>
      <c r="N960" s="892"/>
      <c r="O960" s="892"/>
      <c r="P960" s="892"/>
      <c r="Q960" s="892"/>
      <c r="R960" s="892"/>
      <c r="S960" s="892"/>
      <c r="T960" s="892"/>
      <c r="U960" s="892"/>
      <c r="V960" s="892"/>
      <c r="W960" s="893"/>
      <c r="X960" s="893"/>
      <c r="Y960" s="893"/>
      <c r="Z960" s="893"/>
      <c r="AA960" s="893"/>
      <c r="AB960" s="893"/>
      <c r="AC960" s="893"/>
      <c r="AD960" s="893"/>
      <c r="AE960" s="893"/>
      <c r="AF960" s="893"/>
      <c r="AG960" s="893"/>
      <c r="AH960" s="893"/>
      <c r="AI960" s="300"/>
      <c r="AJ960" s="300"/>
      <c r="AK960" s="300"/>
      <c r="AL960" s="300"/>
      <c r="AM960" s="300"/>
      <c r="AN960" s="127"/>
    </row>
    <row r="961" ht="14.25" customHeight="1">
      <c r="A961" s="127"/>
      <c r="B961" s="127"/>
      <c r="C961" s="127"/>
      <c r="D961" s="127"/>
      <c r="E961" s="127"/>
      <c r="F961" s="300"/>
      <c r="G961" s="300"/>
      <c r="H961" s="892"/>
      <c r="I961" s="892"/>
      <c r="J961" s="892"/>
      <c r="K961" s="892"/>
      <c r="L961" s="892"/>
      <c r="M961" s="892"/>
      <c r="N961" s="892"/>
      <c r="O961" s="892"/>
      <c r="P961" s="892"/>
      <c r="Q961" s="892"/>
      <c r="R961" s="892"/>
      <c r="S961" s="892"/>
      <c r="T961" s="892"/>
      <c r="U961" s="892"/>
      <c r="V961" s="892"/>
      <c r="W961" s="893"/>
      <c r="X961" s="893"/>
      <c r="Y961" s="893"/>
      <c r="Z961" s="893"/>
      <c r="AA961" s="893"/>
      <c r="AB961" s="893"/>
      <c r="AC961" s="893"/>
      <c r="AD961" s="893"/>
      <c r="AE961" s="893"/>
      <c r="AF961" s="893"/>
      <c r="AG961" s="893"/>
      <c r="AH961" s="893"/>
      <c r="AI961" s="300"/>
      <c r="AJ961" s="300"/>
      <c r="AK961" s="300"/>
      <c r="AL961" s="300"/>
      <c r="AM961" s="300"/>
      <c r="AN961" s="127"/>
    </row>
    <row r="962" ht="14.25" customHeight="1">
      <c r="A962" s="127"/>
      <c r="B962" s="127"/>
      <c r="C962" s="127"/>
      <c r="D962" s="127"/>
      <c r="E962" s="127"/>
      <c r="F962" s="300"/>
      <c r="G962" s="300"/>
      <c r="H962" s="892"/>
      <c r="I962" s="892"/>
      <c r="J962" s="892"/>
      <c r="K962" s="892"/>
      <c r="L962" s="892"/>
      <c r="M962" s="892"/>
      <c r="N962" s="892"/>
      <c r="O962" s="892"/>
      <c r="P962" s="892"/>
      <c r="Q962" s="892"/>
      <c r="R962" s="892"/>
      <c r="S962" s="892"/>
      <c r="T962" s="892"/>
      <c r="U962" s="892"/>
      <c r="V962" s="892"/>
      <c r="W962" s="893"/>
      <c r="X962" s="893"/>
      <c r="Y962" s="893"/>
      <c r="Z962" s="893"/>
      <c r="AA962" s="893"/>
      <c r="AB962" s="893"/>
      <c r="AC962" s="893"/>
      <c r="AD962" s="893"/>
      <c r="AE962" s="893"/>
      <c r="AF962" s="893"/>
      <c r="AG962" s="893"/>
      <c r="AH962" s="893"/>
      <c r="AI962" s="300"/>
      <c r="AJ962" s="300"/>
      <c r="AK962" s="300"/>
      <c r="AL962" s="300"/>
      <c r="AM962" s="300"/>
      <c r="AN962" s="127"/>
    </row>
    <row r="963" ht="14.25" customHeight="1">
      <c r="A963" s="127"/>
      <c r="B963" s="127"/>
      <c r="C963" s="127"/>
      <c r="D963" s="127"/>
      <c r="E963" s="127"/>
      <c r="F963" s="300"/>
      <c r="G963" s="300"/>
      <c r="H963" s="892"/>
      <c r="I963" s="892"/>
      <c r="J963" s="892"/>
      <c r="K963" s="892"/>
      <c r="L963" s="892"/>
      <c r="M963" s="892"/>
      <c r="N963" s="892"/>
      <c r="O963" s="892"/>
      <c r="P963" s="892"/>
      <c r="Q963" s="892"/>
      <c r="R963" s="892"/>
      <c r="S963" s="892"/>
      <c r="T963" s="892"/>
      <c r="U963" s="892"/>
      <c r="V963" s="892"/>
      <c r="W963" s="893"/>
      <c r="X963" s="893"/>
      <c r="Y963" s="893"/>
      <c r="Z963" s="893"/>
      <c r="AA963" s="893"/>
      <c r="AB963" s="893"/>
      <c r="AC963" s="893"/>
      <c r="AD963" s="893"/>
      <c r="AE963" s="893"/>
      <c r="AF963" s="893"/>
      <c r="AG963" s="893"/>
      <c r="AH963" s="893"/>
      <c r="AI963" s="300"/>
      <c r="AJ963" s="300"/>
      <c r="AK963" s="300"/>
      <c r="AL963" s="300"/>
      <c r="AM963" s="300"/>
      <c r="AN963" s="127"/>
    </row>
    <row r="964" ht="14.25" customHeight="1">
      <c r="A964" s="127"/>
      <c r="B964" s="127"/>
      <c r="C964" s="127"/>
      <c r="D964" s="127"/>
      <c r="E964" s="127"/>
      <c r="F964" s="300"/>
      <c r="G964" s="300"/>
      <c r="H964" s="892"/>
      <c r="I964" s="892"/>
      <c r="J964" s="892"/>
      <c r="K964" s="892"/>
      <c r="L964" s="892"/>
      <c r="M964" s="892"/>
      <c r="N964" s="892"/>
      <c r="O964" s="892"/>
      <c r="P964" s="892"/>
      <c r="Q964" s="892"/>
      <c r="R964" s="892"/>
      <c r="S964" s="892"/>
      <c r="T964" s="892"/>
      <c r="U964" s="892"/>
      <c r="V964" s="892"/>
      <c r="W964" s="893"/>
      <c r="X964" s="893"/>
      <c r="Y964" s="893"/>
      <c r="Z964" s="893"/>
      <c r="AA964" s="893"/>
      <c r="AB964" s="893"/>
      <c r="AC964" s="893"/>
      <c r="AD964" s="893"/>
      <c r="AE964" s="893"/>
      <c r="AF964" s="893"/>
      <c r="AG964" s="893"/>
      <c r="AH964" s="893"/>
      <c r="AI964" s="300"/>
      <c r="AJ964" s="300"/>
      <c r="AK964" s="300"/>
      <c r="AL964" s="300"/>
      <c r="AM964" s="300"/>
      <c r="AN964" s="127"/>
    </row>
    <row r="965" ht="14.25" customHeight="1">
      <c r="A965" s="127"/>
      <c r="B965" s="127"/>
      <c r="C965" s="127"/>
      <c r="D965" s="127"/>
      <c r="E965" s="127"/>
      <c r="F965" s="300"/>
      <c r="G965" s="300"/>
      <c r="H965" s="892"/>
      <c r="I965" s="892"/>
      <c r="J965" s="892"/>
      <c r="K965" s="892"/>
      <c r="L965" s="892"/>
      <c r="M965" s="892"/>
      <c r="N965" s="892"/>
      <c r="O965" s="892"/>
      <c r="P965" s="892"/>
      <c r="Q965" s="892"/>
      <c r="R965" s="892"/>
      <c r="S965" s="892"/>
      <c r="T965" s="892"/>
      <c r="U965" s="892"/>
      <c r="V965" s="892"/>
      <c r="W965" s="893"/>
      <c r="X965" s="893"/>
      <c r="Y965" s="893"/>
      <c r="Z965" s="893"/>
      <c r="AA965" s="893"/>
      <c r="AB965" s="893"/>
      <c r="AC965" s="893"/>
      <c r="AD965" s="893"/>
      <c r="AE965" s="893"/>
      <c r="AF965" s="893"/>
      <c r="AG965" s="893"/>
      <c r="AH965" s="893"/>
      <c r="AI965" s="300"/>
      <c r="AJ965" s="300"/>
      <c r="AK965" s="300"/>
      <c r="AL965" s="300"/>
      <c r="AM965" s="300"/>
      <c r="AN965" s="127"/>
    </row>
    <row r="966" ht="14.25" customHeight="1">
      <c r="A966" s="127"/>
      <c r="B966" s="127"/>
      <c r="C966" s="127"/>
      <c r="D966" s="127"/>
      <c r="E966" s="127"/>
      <c r="F966" s="300"/>
      <c r="G966" s="300"/>
      <c r="H966" s="892"/>
      <c r="I966" s="892"/>
      <c r="J966" s="892"/>
      <c r="K966" s="892"/>
      <c r="L966" s="892"/>
      <c r="M966" s="892"/>
      <c r="N966" s="892"/>
      <c r="O966" s="892"/>
      <c r="P966" s="892"/>
      <c r="Q966" s="892"/>
      <c r="R966" s="892"/>
      <c r="S966" s="892"/>
      <c r="T966" s="892"/>
      <c r="U966" s="892"/>
      <c r="V966" s="892"/>
      <c r="W966" s="893"/>
      <c r="X966" s="893"/>
      <c r="Y966" s="893"/>
      <c r="Z966" s="893"/>
      <c r="AA966" s="893"/>
      <c r="AB966" s="893"/>
      <c r="AC966" s="893"/>
      <c r="AD966" s="893"/>
      <c r="AE966" s="893"/>
      <c r="AF966" s="893"/>
      <c r="AG966" s="893"/>
      <c r="AH966" s="893"/>
      <c r="AI966" s="300"/>
      <c r="AJ966" s="300"/>
      <c r="AK966" s="300"/>
      <c r="AL966" s="300"/>
      <c r="AM966" s="300"/>
      <c r="AN966" s="127"/>
    </row>
    <row r="967" ht="14.25" customHeight="1">
      <c r="A967" s="127"/>
      <c r="B967" s="127"/>
      <c r="C967" s="127"/>
      <c r="D967" s="127"/>
      <c r="E967" s="127"/>
      <c r="F967" s="300"/>
      <c r="G967" s="300"/>
      <c r="H967" s="892"/>
      <c r="I967" s="892"/>
      <c r="J967" s="892"/>
      <c r="K967" s="892"/>
      <c r="L967" s="892"/>
      <c r="M967" s="892"/>
      <c r="N967" s="892"/>
      <c r="O967" s="892"/>
      <c r="P967" s="892"/>
      <c r="Q967" s="892"/>
      <c r="R967" s="892"/>
      <c r="S967" s="892"/>
      <c r="T967" s="892"/>
      <c r="U967" s="892"/>
      <c r="V967" s="892"/>
      <c r="W967" s="893"/>
      <c r="X967" s="893"/>
      <c r="Y967" s="893"/>
      <c r="Z967" s="893"/>
      <c r="AA967" s="893"/>
      <c r="AB967" s="893"/>
      <c r="AC967" s="893"/>
      <c r="AD967" s="893"/>
      <c r="AE967" s="893"/>
      <c r="AF967" s="893"/>
      <c r="AG967" s="893"/>
      <c r="AH967" s="893"/>
      <c r="AI967" s="300"/>
      <c r="AJ967" s="300"/>
      <c r="AK967" s="300"/>
      <c r="AL967" s="300"/>
      <c r="AM967" s="300"/>
      <c r="AN967" s="127"/>
    </row>
    <row r="968" ht="14.25" customHeight="1">
      <c r="A968" s="127"/>
      <c r="B968" s="127"/>
      <c r="C968" s="127"/>
      <c r="D968" s="127"/>
      <c r="E968" s="127"/>
      <c r="F968" s="300"/>
      <c r="G968" s="300"/>
      <c r="H968" s="892"/>
      <c r="I968" s="892"/>
      <c r="J968" s="892"/>
      <c r="K968" s="892"/>
      <c r="L968" s="892"/>
      <c r="M968" s="892"/>
      <c r="N968" s="892"/>
      <c r="O968" s="892"/>
      <c r="P968" s="892"/>
      <c r="Q968" s="892"/>
      <c r="R968" s="892"/>
      <c r="S968" s="892"/>
      <c r="T968" s="892"/>
      <c r="U968" s="892"/>
      <c r="V968" s="892"/>
      <c r="W968" s="893"/>
      <c r="X968" s="893"/>
      <c r="Y968" s="893"/>
      <c r="Z968" s="893"/>
      <c r="AA968" s="893"/>
      <c r="AB968" s="893"/>
      <c r="AC968" s="893"/>
      <c r="AD968" s="893"/>
      <c r="AE968" s="893"/>
      <c r="AF968" s="893"/>
      <c r="AG968" s="893"/>
      <c r="AH968" s="893"/>
      <c r="AI968" s="300"/>
      <c r="AJ968" s="300"/>
      <c r="AK968" s="300"/>
      <c r="AL968" s="300"/>
      <c r="AM968" s="300"/>
      <c r="AN968" s="127"/>
    </row>
    <row r="969" ht="14.25" customHeight="1">
      <c r="A969" s="127"/>
      <c r="B969" s="127"/>
      <c r="C969" s="127"/>
      <c r="D969" s="127"/>
      <c r="E969" s="127"/>
      <c r="F969" s="300"/>
      <c r="G969" s="300"/>
      <c r="H969" s="892"/>
      <c r="I969" s="892"/>
      <c r="J969" s="892"/>
      <c r="K969" s="892"/>
      <c r="L969" s="892"/>
      <c r="M969" s="892"/>
      <c r="N969" s="892"/>
      <c r="O969" s="892"/>
      <c r="P969" s="892"/>
      <c r="Q969" s="892"/>
      <c r="R969" s="892"/>
      <c r="S969" s="892"/>
      <c r="T969" s="892"/>
      <c r="U969" s="892"/>
      <c r="V969" s="892"/>
      <c r="W969" s="893"/>
      <c r="X969" s="893"/>
      <c r="Y969" s="893"/>
      <c r="Z969" s="893"/>
      <c r="AA969" s="893"/>
      <c r="AB969" s="893"/>
      <c r="AC969" s="893"/>
      <c r="AD969" s="893"/>
      <c r="AE969" s="893"/>
      <c r="AF969" s="893"/>
      <c r="AG969" s="893"/>
      <c r="AH969" s="893"/>
      <c r="AI969" s="300"/>
      <c r="AJ969" s="300"/>
      <c r="AK969" s="300"/>
      <c r="AL969" s="300"/>
      <c r="AM969" s="300"/>
      <c r="AN969" s="127"/>
    </row>
    <row r="970" ht="14.25" customHeight="1">
      <c r="A970" s="127"/>
      <c r="B970" s="127"/>
      <c r="C970" s="127"/>
      <c r="D970" s="127"/>
      <c r="E970" s="127"/>
      <c r="F970" s="300"/>
      <c r="G970" s="300"/>
      <c r="H970" s="892"/>
      <c r="I970" s="892"/>
      <c r="J970" s="892"/>
      <c r="K970" s="892"/>
      <c r="L970" s="892"/>
      <c r="M970" s="892"/>
      <c r="N970" s="892"/>
      <c r="O970" s="892"/>
      <c r="P970" s="892"/>
      <c r="Q970" s="892"/>
      <c r="R970" s="892"/>
      <c r="S970" s="892"/>
      <c r="T970" s="892"/>
      <c r="U970" s="892"/>
      <c r="V970" s="892"/>
      <c r="W970" s="893"/>
      <c r="X970" s="893"/>
      <c r="Y970" s="893"/>
      <c r="Z970" s="893"/>
      <c r="AA970" s="893"/>
      <c r="AB970" s="893"/>
      <c r="AC970" s="893"/>
      <c r="AD970" s="893"/>
      <c r="AE970" s="893"/>
      <c r="AF970" s="893"/>
      <c r="AG970" s="893"/>
      <c r="AH970" s="893"/>
      <c r="AI970" s="300"/>
      <c r="AJ970" s="300"/>
      <c r="AK970" s="300"/>
      <c r="AL970" s="300"/>
      <c r="AM970" s="300"/>
      <c r="AN970" s="127"/>
    </row>
    <row r="971" ht="14.25" customHeight="1">
      <c r="A971" s="127"/>
      <c r="B971" s="127"/>
      <c r="C971" s="127"/>
      <c r="D971" s="127"/>
      <c r="E971" s="127"/>
      <c r="F971" s="300"/>
      <c r="G971" s="300"/>
      <c r="H971" s="892"/>
      <c r="I971" s="892"/>
      <c r="J971" s="892"/>
      <c r="K971" s="892"/>
      <c r="L971" s="892"/>
      <c r="M971" s="892"/>
      <c r="N971" s="892"/>
      <c r="O971" s="892"/>
      <c r="P971" s="892"/>
      <c r="Q971" s="892"/>
      <c r="R971" s="892"/>
      <c r="S971" s="892"/>
      <c r="T971" s="892"/>
      <c r="U971" s="892"/>
      <c r="V971" s="892"/>
      <c r="W971" s="893"/>
      <c r="X971" s="893"/>
      <c r="Y971" s="893"/>
      <c r="Z971" s="893"/>
      <c r="AA971" s="893"/>
      <c r="AB971" s="893"/>
      <c r="AC971" s="893"/>
      <c r="AD971" s="893"/>
      <c r="AE971" s="893"/>
      <c r="AF971" s="893"/>
      <c r="AG971" s="893"/>
      <c r="AH971" s="893"/>
      <c r="AI971" s="300"/>
      <c r="AJ971" s="300"/>
      <c r="AK971" s="300"/>
      <c r="AL971" s="300"/>
      <c r="AM971" s="300"/>
      <c r="AN971" s="127"/>
    </row>
    <row r="972" ht="14.25" customHeight="1">
      <c r="A972" s="127"/>
      <c r="B972" s="127"/>
      <c r="C972" s="127"/>
      <c r="D972" s="127"/>
      <c r="E972" s="127"/>
      <c r="F972" s="300"/>
      <c r="G972" s="300"/>
      <c r="H972" s="892"/>
      <c r="I972" s="892"/>
      <c r="J972" s="892"/>
      <c r="K972" s="892"/>
      <c r="L972" s="892"/>
      <c r="M972" s="892"/>
      <c r="N972" s="892"/>
      <c r="O972" s="892"/>
      <c r="P972" s="892"/>
      <c r="Q972" s="892"/>
      <c r="R972" s="892"/>
      <c r="S972" s="892"/>
      <c r="T972" s="892"/>
      <c r="U972" s="892"/>
      <c r="V972" s="892"/>
      <c r="W972" s="893"/>
      <c r="X972" s="893"/>
      <c r="Y972" s="893"/>
      <c r="Z972" s="893"/>
      <c r="AA972" s="893"/>
      <c r="AB972" s="893"/>
      <c r="AC972" s="893"/>
      <c r="AD972" s="893"/>
      <c r="AE972" s="893"/>
      <c r="AF972" s="893"/>
      <c r="AG972" s="893"/>
      <c r="AH972" s="893"/>
      <c r="AI972" s="300"/>
      <c r="AJ972" s="300"/>
      <c r="AK972" s="300"/>
      <c r="AL972" s="300"/>
      <c r="AM972" s="300"/>
      <c r="AN972" s="127"/>
    </row>
    <row r="973" ht="14.25" customHeight="1">
      <c r="A973" s="127"/>
      <c r="B973" s="127"/>
      <c r="C973" s="127"/>
      <c r="D973" s="127"/>
      <c r="E973" s="127"/>
      <c r="F973" s="300"/>
      <c r="G973" s="300"/>
      <c r="H973" s="892"/>
      <c r="I973" s="892"/>
      <c r="J973" s="892"/>
      <c r="K973" s="892"/>
      <c r="L973" s="892"/>
      <c r="M973" s="892"/>
      <c r="N973" s="892"/>
      <c r="O973" s="892"/>
      <c r="P973" s="892"/>
      <c r="Q973" s="892"/>
      <c r="R973" s="892"/>
      <c r="S973" s="892"/>
      <c r="T973" s="892"/>
      <c r="U973" s="892"/>
      <c r="V973" s="892"/>
      <c r="W973" s="893"/>
      <c r="X973" s="893"/>
      <c r="Y973" s="893"/>
      <c r="Z973" s="893"/>
      <c r="AA973" s="893"/>
      <c r="AB973" s="893"/>
      <c r="AC973" s="893"/>
      <c r="AD973" s="893"/>
      <c r="AE973" s="893"/>
      <c r="AF973" s="893"/>
      <c r="AG973" s="893"/>
      <c r="AH973" s="893"/>
      <c r="AI973" s="300"/>
      <c r="AJ973" s="300"/>
      <c r="AK973" s="300"/>
      <c r="AL973" s="300"/>
      <c r="AM973" s="300"/>
      <c r="AN973" s="127"/>
    </row>
    <row r="974" ht="14.25" customHeight="1">
      <c r="A974" s="127"/>
      <c r="B974" s="127"/>
      <c r="C974" s="127"/>
      <c r="D974" s="127"/>
      <c r="E974" s="127"/>
      <c r="F974" s="300"/>
      <c r="G974" s="300"/>
      <c r="H974" s="892"/>
      <c r="I974" s="892"/>
      <c r="J974" s="892"/>
      <c r="K974" s="892"/>
      <c r="L974" s="892"/>
      <c r="M974" s="892"/>
      <c r="N974" s="892"/>
      <c r="O974" s="892"/>
      <c r="P974" s="892"/>
      <c r="Q974" s="892"/>
      <c r="R974" s="892"/>
      <c r="S974" s="892"/>
      <c r="T974" s="892"/>
      <c r="U974" s="892"/>
      <c r="V974" s="892"/>
      <c r="W974" s="893"/>
      <c r="X974" s="893"/>
      <c r="Y974" s="893"/>
      <c r="Z974" s="893"/>
      <c r="AA974" s="893"/>
      <c r="AB974" s="893"/>
      <c r="AC974" s="893"/>
      <c r="AD974" s="893"/>
      <c r="AE974" s="893"/>
      <c r="AF974" s="893"/>
      <c r="AG974" s="893"/>
      <c r="AH974" s="893"/>
      <c r="AI974" s="300"/>
      <c r="AJ974" s="300"/>
      <c r="AK974" s="300"/>
      <c r="AL974" s="300"/>
      <c r="AM974" s="300"/>
      <c r="AN974" s="127"/>
    </row>
    <row r="975" ht="14.25" customHeight="1">
      <c r="A975" s="127"/>
      <c r="B975" s="127"/>
      <c r="C975" s="127"/>
      <c r="D975" s="127"/>
      <c r="E975" s="127"/>
      <c r="F975" s="300"/>
      <c r="G975" s="300"/>
      <c r="H975" s="892"/>
      <c r="I975" s="892"/>
      <c r="J975" s="892"/>
      <c r="K975" s="892"/>
      <c r="L975" s="892"/>
      <c r="M975" s="892"/>
      <c r="N975" s="892"/>
      <c r="O975" s="892"/>
      <c r="P975" s="892"/>
      <c r="Q975" s="892"/>
      <c r="R975" s="892"/>
      <c r="S975" s="892"/>
      <c r="T975" s="892"/>
      <c r="U975" s="892"/>
      <c r="V975" s="892"/>
      <c r="W975" s="893"/>
      <c r="X975" s="893"/>
      <c r="Y975" s="893"/>
      <c r="Z975" s="893"/>
      <c r="AA975" s="893"/>
      <c r="AB975" s="893"/>
      <c r="AC975" s="893"/>
      <c r="AD975" s="893"/>
      <c r="AE975" s="893"/>
      <c r="AF975" s="893"/>
      <c r="AG975" s="893"/>
      <c r="AH975" s="893"/>
      <c r="AI975" s="300"/>
      <c r="AJ975" s="300"/>
      <c r="AK975" s="300"/>
      <c r="AL975" s="300"/>
      <c r="AM975" s="300"/>
      <c r="AN975" s="127"/>
    </row>
    <row r="976" ht="14.25" customHeight="1">
      <c r="A976" s="127"/>
      <c r="B976" s="127"/>
      <c r="C976" s="127"/>
      <c r="D976" s="127"/>
      <c r="E976" s="127"/>
      <c r="F976" s="300"/>
      <c r="G976" s="300"/>
      <c r="H976" s="892"/>
      <c r="I976" s="892"/>
      <c r="J976" s="892"/>
      <c r="K976" s="892"/>
      <c r="L976" s="892"/>
      <c r="M976" s="892"/>
      <c r="N976" s="892"/>
      <c r="O976" s="892"/>
      <c r="P976" s="892"/>
      <c r="Q976" s="892"/>
      <c r="R976" s="892"/>
      <c r="S976" s="892"/>
      <c r="T976" s="892"/>
      <c r="U976" s="892"/>
      <c r="V976" s="892"/>
      <c r="W976" s="893"/>
      <c r="X976" s="893"/>
      <c r="Y976" s="893"/>
      <c r="Z976" s="893"/>
      <c r="AA976" s="893"/>
      <c r="AB976" s="893"/>
      <c r="AC976" s="893"/>
      <c r="AD976" s="893"/>
      <c r="AE976" s="893"/>
      <c r="AF976" s="893"/>
      <c r="AG976" s="893"/>
      <c r="AH976" s="893"/>
      <c r="AI976" s="300"/>
      <c r="AJ976" s="300"/>
      <c r="AK976" s="300"/>
      <c r="AL976" s="300"/>
      <c r="AM976" s="300"/>
      <c r="AN976" s="127"/>
    </row>
    <row r="977" ht="14.25" customHeight="1">
      <c r="A977" s="127"/>
      <c r="B977" s="127"/>
      <c r="C977" s="127"/>
      <c r="D977" s="127"/>
      <c r="E977" s="127"/>
      <c r="F977" s="300"/>
      <c r="G977" s="300"/>
      <c r="H977" s="892"/>
      <c r="I977" s="892"/>
      <c r="J977" s="892"/>
      <c r="K977" s="892"/>
      <c r="L977" s="892"/>
      <c r="M977" s="892"/>
      <c r="N977" s="892"/>
      <c r="O977" s="892"/>
      <c r="P977" s="892"/>
      <c r="Q977" s="892"/>
      <c r="R977" s="892"/>
      <c r="S977" s="892"/>
      <c r="T977" s="892"/>
      <c r="U977" s="892"/>
      <c r="V977" s="892"/>
      <c r="W977" s="893"/>
      <c r="X977" s="893"/>
      <c r="Y977" s="893"/>
      <c r="Z977" s="893"/>
      <c r="AA977" s="893"/>
      <c r="AB977" s="893"/>
      <c r="AC977" s="893"/>
      <c r="AD977" s="893"/>
      <c r="AE977" s="893"/>
      <c r="AF977" s="893"/>
      <c r="AG977" s="893"/>
      <c r="AH977" s="893"/>
      <c r="AI977" s="300"/>
      <c r="AJ977" s="300"/>
      <c r="AK977" s="300"/>
      <c r="AL977" s="300"/>
      <c r="AM977" s="300"/>
      <c r="AN977" s="127"/>
    </row>
    <row r="978" ht="14.25" customHeight="1">
      <c r="A978" s="127"/>
      <c r="B978" s="127"/>
      <c r="C978" s="127"/>
      <c r="D978" s="127"/>
      <c r="E978" s="127"/>
      <c r="F978" s="300"/>
      <c r="G978" s="300"/>
      <c r="H978" s="892"/>
      <c r="I978" s="892"/>
      <c r="J978" s="892"/>
      <c r="K978" s="892"/>
      <c r="L978" s="892"/>
      <c r="M978" s="892"/>
      <c r="N978" s="892"/>
      <c r="O978" s="892"/>
      <c r="P978" s="892"/>
      <c r="Q978" s="892"/>
      <c r="R978" s="892"/>
      <c r="S978" s="892"/>
      <c r="T978" s="892"/>
      <c r="U978" s="892"/>
      <c r="V978" s="892"/>
      <c r="W978" s="893"/>
      <c r="X978" s="893"/>
      <c r="Y978" s="893"/>
      <c r="Z978" s="893"/>
      <c r="AA978" s="893"/>
      <c r="AB978" s="893"/>
      <c r="AC978" s="893"/>
      <c r="AD978" s="893"/>
      <c r="AE978" s="893"/>
      <c r="AF978" s="893"/>
      <c r="AG978" s="893"/>
      <c r="AH978" s="893"/>
      <c r="AI978" s="300"/>
      <c r="AJ978" s="300"/>
      <c r="AK978" s="300"/>
      <c r="AL978" s="300"/>
      <c r="AM978" s="300"/>
      <c r="AN978" s="127"/>
    </row>
    <row r="979" ht="14.25" customHeight="1">
      <c r="A979" s="127"/>
      <c r="B979" s="127"/>
      <c r="C979" s="127"/>
      <c r="D979" s="127"/>
      <c r="E979" s="127"/>
      <c r="F979" s="300"/>
      <c r="G979" s="300"/>
      <c r="H979" s="892"/>
      <c r="I979" s="892"/>
      <c r="J979" s="892"/>
      <c r="K979" s="892"/>
      <c r="L979" s="892"/>
      <c r="M979" s="892"/>
      <c r="N979" s="892"/>
      <c r="O979" s="892"/>
      <c r="P979" s="892"/>
      <c r="Q979" s="892"/>
      <c r="R979" s="892"/>
      <c r="S979" s="892"/>
      <c r="T979" s="892"/>
      <c r="U979" s="892"/>
      <c r="V979" s="892"/>
      <c r="W979" s="893"/>
      <c r="X979" s="893"/>
      <c r="Y979" s="893"/>
      <c r="Z979" s="893"/>
      <c r="AA979" s="893"/>
      <c r="AB979" s="893"/>
      <c r="AC979" s="893"/>
      <c r="AD979" s="893"/>
      <c r="AE979" s="893"/>
      <c r="AF979" s="893"/>
      <c r="AG979" s="893"/>
      <c r="AH979" s="893"/>
      <c r="AI979" s="300"/>
      <c r="AJ979" s="300"/>
      <c r="AK979" s="300"/>
      <c r="AL979" s="300"/>
      <c r="AM979" s="300"/>
      <c r="AN979" s="127"/>
    </row>
    <row r="980" ht="14.25" customHeight="1">
      <c r="A980" s="127"/>
      <c r="B980" s="127"/>
      <c r="C980" s="127"/>
      <c r="D980" s="127"/>
      <c r="E980" s="127"/>
      <c r="F980" s="300"/>
      <c r="G980" s="300"/>
      <c r="H980" s="892"/>
      <c r="I980" s="892"/>
      <c r="J980" s="892"/>
      <c r="K980" s="892"/>
      <c r="L980" s="892"/>
      <c r="M980" s="892"/>
      <c r="N980" s="892"/>
      <c r="O980" s="892"/>
      <c r="P980" s="892"/>
      <c r="Q980" s="892"/>
      <c r="R980" s="892"/>
      <c r="S980" s="892"/>
      <c r="T980" s="892"/>
      <c r="U980" s="892"/>
      <c r="V980" s="892"/>
      <c r="W980" s="893"/>
      <c r="X980" s="893"/>
      <c r="Y980" s="893"/>
      <c r="Z980" s="893"/>
      <c r="AA980" s="893"/>
      <c r="AB980" s="893"/>
      <c r="AC980" s="893"/>
      <c r="AD980" s="893"/>
      <c r="AE980" s="893"/>
      <c r="AF980" s="893"/>
      <c r="AG980" s="893"/>
      <c r="AH980" s="893"/>
      <c r="AI980" s="300"/>
      <c r="AJ980" s="300"/>
      <c r="AK980" s="300"/>
      <c r="AL980" s="300"/>
      <c r="AM980" s="300"/>
      <c r="AN980" s="127"/>
    </row>
    <row r="981" ht="14.25" customHeight="1">
      <c r="A981" s="127"/>
      <c r="B981" s="127"/>
      <c r="C981" s="127"/>
      <c r="D981" s="127"/>
      <c r="E981" s="127"/>
      <c r="F981" s="300"/>
      <c r="G981" s="300"/>
      <c r="H981" s="892"/>
      <c r="I981" s="892"/>
      <c r="J981" s="892"/>
      <c r="K981" s="892"/>
      <c r="L981" s="892"/>
      <c r="M981" s="892"/>
      <c r="N981" s="892"/>
      <c r="O981" s="892"/>
      <c r="P981" s="892"/>
      <c r="Q981" s="892"/>
      <c r="R981" s="892"/>
      <c r="S981" s="892"/>
      <c r="T981" s="892"/>
      <c r="U981" s="892"/>
      <c r="V981" s="892"/>
      <c r="W981" s="893"/>
      <c r="X981" s="893"/>
      <c r="Y981" s="893"/>
      <c r="Z981" s="893"/>
      <c r="AA981" s="893"/>
      <c r="AB981" s="893"/>
      <c r="AC981" s="893"/>
      <c r="AD981" s="893"/>
      <c r="AE981" s="893"/>
      <c r="AF981" s="893"/>
      <c r="AG981" s="893"/>
      <c r="AH981" s="893"/>
      <c r="AI981" s="300"/>
      <c r="AJ981" s="300"/>
      <c r="AK981" s="300"/>
      <c r="AL981" s="300"/>
      <c r="AM981" s="300"/>
      <c r="AN981" s="127"/>
    </row>
    <row r="982" ht="14.25" customHeight="1">
      <c r="A982" s="127"/>
      <c r="B982" s="127"/>
      <c r="C982" s="127"/>
      <c r="D982" s="127"/>
      <c r="E982" s="127"/>
      <c r="F982" s="300"/>
      <c r="G982" s="300"/>
      <c r="H982" s="892"/>
      <c r="I982" s="892"/>
      <c r="J982" s="892"/>
      <c r="K982" s="892"/>
      <c r="L982" s="892"/>
      <c r="M982" s="892"/>
      <c r="N982" s="892"/>
      <c r="O982" s="892"/>
      <c r="P982" s="892"/>
      <c r="Q982" s="892"/>
      <c r="R982" s="892"/>
      <c r="S982" s="892"/>
      <c r="T982" s="892"/>
      <c r="U982" s="892"/>
      <c r="V982" s="892"/>
      <c r="W982" s="893"/>
      <c r="X982" s="893"/>
      <c r="Y982" s="893"/>
      <c r="Z982" s="893"/>
      <c r="AA982" s="893"/>
      <c r="AB982" s="893"/>
      <c r="AC982" s="893"/>
      <c r="AD982" s="893"/>
      <c r="AE982" s="893"/>
      <c r="AF982" s="893"/>
      <c r="AG982" s="893"/>
      <c r="AH982" s="893"/>
      <c r="AI982" s="300"/>
      <c r="AJ982" s="300"/>
      <c r="AK982" s="300"/>
      <c r="AL982" s="300"/>
      <c r="AM982" s="300"/>
      <c r="AN982" s="127"/>
    </row>
    <row r="983" ht="14.25" customHeight="1">
      <c r="A983" s="127"/>
      <c r="B983" s="127"/>
      <c r="C983" s="127"/>
      <c r="D983" s="127"/>
      <c r="E983" s="127"/>
      <c r="F983" s="300"/>
      <c r="G983" s="300"/>
      <c r="H983" s="892"/>
      <c r="I983" s="892"/>
      <c r="J983" s="892"/>
      <c r="K983" s="892"/>
      <c r="L983" s="892"/>
      <c r="M983" s="892"/>
      <c r="N983" s="892"/>
      <c r="O983" s="892"/>
      <c r="P983" s="892"/>
      <c r="Q983" s="892"/>
      <c r="R983" s="892"/>
      <c r="S983" s="892"/>
      <c r="T983" s="892"/>
      <c r="U983" s="892"/>
      <c r="V983" s="892"/>
      <c r="W983" s="893"/>
      <c r="X983" s="893"/>
      <c r="Y983" s="893"/>
      <c r="Z983" s="893"/>
      <c r="AA983" s="893"/>
      <c r="AB983" s="893"/>
      <c r="AC983" s="893"/>
      <c r="AD983" s="893"/>
      <c r="AE983" s="893"/>
      <c r="AF983" s="893"/>
      <c r="AG983" s="893"/>
      <c r="AH983" s="893"/>
      <c r="AI983" s="300"/>
      <c r="AJ983" s="300"/>
      <c r="AK983" s="300"/>
      <c r="AL983" s="300"/>
      <c r="AM983" s="300"/>
      <c r="AN983" s="127"/>
    </row>
    <row r="984" ht="14.25" customHeight="1">
      <c r="A984" s="127"/>
      <c r="B984" s="127"/>
      <c r="C984" s="127"/>
      <c r="D984" s="127"/>
      <c r="E984" s="127"/>
      <c r="F984" s="300"/>
      <c r="G984" s="300"/>
      <c r="H984" s="892"/>
      <c r="I984" s="892"/>
      <c r="J984" s="892"/>
      <c r="K984" s="892"/>
      <c r="L984" s="892"/>
      <c r="M984" s="892"/>
      <c r="N984" s="892"/>
      <c r="O984" s="892"/>
      <c r="P984" s="892"/>
      <c r="Q984" s="892"/>
      <c r="R984" s="892"/>
      <c r="S984" s="892"/>
      <c r="T984" s="892"/>
      <c r="U984" s="892"/>
      <c r="V984" s="892"/>
      <c r="W984" s="893"/>
      <c r="X984" s="893"/>
      <c r="Y984" s="893"/>
      <c r="Z984" s="893"/>
      <c r="AA984" s="893"/>
      <c r="AB984" s="893"/>
      <c r="AC984" s="893"/>
      <c r="AD984" s="893"/>
      <c r="AE984" s="893"/>
      <c r="AF984" s="893"/>
      <c r="AG984" s="893"/>
      <c r="AH984" s="893"/>
      <c r="AI984" s="300"/>
      <c r="AJ984" s="300"/>
      <c r="AK984" s="300"/>
      <c r="AL984" s="300"/>
      <c r="AM984" s="300"/>
      <c r="AN984" s="127"/>
    </row>
    <row r="985" ht="14.25" customHeight="1">
      <c r="A985" s="127"/>
      <c r="B985" s="127"/>
      <c r="C985" s="127"/>
      <c r="D985" s="127"/>
      <c r="E985" s="127"/>
      <c r="F985" s="300"/>
      <c r="G985" s="300"/>
      <c r="H985" s="892"/>
      <c r="I985" s="892"/>
      <c r="J985" s="892"/>
      <c r="K985" s="892"/>
      <c r="L985" s="892"/>
      <c r="M985" s="892"/>
      <c r="N985" s="892"/>
      <c r="O985" s="892"/>
      <c r="P985" s="892"/>
      <c r="Q985" s="892"/>
      <c r="R985" s="892"/>
      <c r="S985" s="892"/>
      <c r="T985" s="892"/>
      <c r="U985" s="892"/>
      <c r="V985" s="892"/>
      <c r="W985" s="893"/>
      <c r="X985" s="893"/>
      <c r="Y985" s="893"/>
      <c r="Z985" s="893"/>
      <c r="AA985" s="893"/>
      <c r="AB985" s="893"/>
      <c r="AC985" s="893"/>
      <c r="AD985" s="893"/>
      <c r="AE985" s="893"/>
      <c r="AF985" s="893"/>
      <c r="AG985" s="893"/>
      <c r="AH985" s="893"/>
      <c r="AI985" s="300"/>
      <c r="AJ985" s="300"/>
      <c r="AK985" s="300"/>
      <c r="AL985" s="300"/>
      <c r="AM985" s="300"/>
      <c r="AN985" s="127"/>
    </row>
    <row r="986" ht="14.25" customHeight="1">
      <c r="A986" s="127"/>
      <c r="B986" s="127"/>
      <c r="C986" s="127"/>
      <c r="D986" s="127"/>
      <c r="E986" s="127"/>
      <c r="F986" s="300"/>
      <c r="G986" s="300"/>
      <c r="H986" s="892"/>
      <c r="I986" s="892"/>
      <c r="J986" s="892"/>
      <c r="K986" s="892"/>
      <c r="L986" s="892"/>
      <c r="M986" s="892"/>
      <c r="N986" s="892"/>
      <c r="O986" s="892"/>
      <c r="P986" s="892"/>
      <c r="Q986" s="892"/>
      <c r="R986" s="892"/>
      <c r="S986" s="892"/>
      <c r="T986" s="892"/>
      <c r="U986" s="892"/>
      <c r="V986" s="892"/>
      <c r="W986" s="893"/>
      <c r="X986" s="893"/>
      <c r="Y986" s="893"/>
      <c r="Z986" s="893"/>
      <c r="AA986" s="893"/>
      <c r="AB986" s="893"/>
      <c r="AC986" s="893"/>
      <c r="AD986" s="893"/>
      <c r="AE986" s="893"/>
      <c r="AF986" s="893"/>
      <c r="AG986" s="893"/>
      <c r="AH986" s="893"/>
      <c r="AI986" s="300"/>
      <c r="AJ986" s="300"/>
      <c r="AK986" s="300"/>
      <c r="AL986" s="300"/>
      <c r="AM986" s="300"/>
      <c r="AN986" s="127"/>
    </row>
    <row r="987" ht="14.25" customHeight="1">
      <c r="A987" s="127"/>
      <c r="B987" s="127"/>
      <c r="C987" s="127"/>
      <c r="D987" s="127"/>
      <c r="E987" s="127"/>
      <c r="F987" s="300"/>
      <c r="G987" s="300"/>
      <c r="H987" s="892"/>
      <c r="I987" s="892"/>
      <c r="J987" s="892"/>
      <c r="K987" s="892"/>
      <c r="L987" s="892"/>
      <c r="M987" s="892"/>
      <c r="N987" s="892"/>
      <c r="O987" s="892"/>
      <c r="P987" s="892"/>
      <c r="Q987" s="892"/>
      <c r="R987" s="892"/>
      <c r="S987" s="892"/>
      <c r="T987" s="892"/>
      <c r="U987" s="892"/>
      <c r="V987" s="892"/>
      <c r="W987" s="893"/>
      <c r="X987" s="893"/>
      <c r="Y987" s="893"/>
      <c r="Z987" s="893"/>
      <c r="AA987" s="893"/>
      <c r="AB987" s="893"/>
      <c r="AC987" s="893"/>
      <c r="AD987" s="893"/>
      <c r="AE987" s="893"/>
      <c r="AF987" s="893"/>
      <c r="AG987" s="893"/>
      <c r="AH987" s="893"/>
      <c r="AI987" s="300"/>
      <c r="AJ987" s="300"/>
      <c r="AK987" s="300"/>
      <c r="AL987" s="300"/>
      <c r="AM987" s="300"/>
      <c r="AN987" s="127"/>
    </row>
    <row r="988" ht="14.25" customHeight="1">
      <c r="A988" s="127"/>
      <c r="B988" s="127"/>
      <c r="C988" s="127"/>
      <c r="D988" s="127"/>
      <c r="E988" s="127"/>
      <c r="F988" s="300"/>
      <c r="G988" s="300"/>
      <c r="H988" s="892"/>
      <c r="I988" s="892"/>
      <c r="J988" s="892"/>
      <c r="K988" s="892"/>
      <c r="L988" s="892"/>
      <c r="M988" s="892"/>
      <c r="N988" s="892"/>
      <c r="O988" s="892"/>
      <c r="P988" s="892"/>
      <c r="Q988" s="892"/>
      <c r="R988" s="892"/>
      <c r="S988" s="892"/>
      <c r="T988" s="892"/>
      <c r="U988" s="892"/>
      <c r="V988" s="892"/>
      <c r="W988" s="893"/>
      <c r="X988" s="893"/>
      <c r="Y988" s="893"/>
      <c r="Z988" s="893"/>
      <c r="AA988" s="893"/>
      <c r="AB988" s="893"/>
      <c r="AC988" s="893"/>
      <c r="AD988" s="893"/>
      <c r="AE988" s="893"/>
      <c r="AF988" s="893"/>
      <c r="AG988" s="893"/>
      <c r="AH988" s="893"/>
      <c r="AI988" s="300"/>
      <c r="AJ988" s="300"/>
      <c r="AK988" s="300"/>
      <c r="AL988" s="300"/>
      <c r="AM988" s="300"/>
      <c r="AN988" s="127"/>
    </row>
    <row r="989" ht="14.25" customHeight="1">
      <c r="A989" s="127"/>
      <c r="B989" s="127"/>
      <c r="C989" s="127"/>
      <c r="D989" s="127"/>
      <c r="E989" s="127"/>
      <c r="F989" s="300"/>
      <c r="G989" s="300"/>
      <c r="H989" s="892"/>
      <c r="I989" s="892"/>
      <c r="J989" s="892"/>
      <c r="K989" s="892"/>
      <c r="L989" s="892"/>
      <c r="M989" s="892"/>
      <c r="N989" s="892"/>
      <c r="O989" s="892"/>
      <c r="P989" s="892"/>
      <c r="Q989" s="892"/>
      <c r="R989" s="892"/>
      <c r="S989" s="892"/>
      <c r="T989" s="892"/>
      <c r="U989" s="892"/>
      <c r="V989" s="892"/>
      <c r="W989" s="893"/>
      <c r="X989" s="893"/>
      <c r="Y989" s="893"/>
      <c r="Z989" s="893"/>
      <c r="AA989" s="893"/>
      <c r="AB989" s="893"/>
      <c r="AC989" s="893"/>
      <c r="AD989" s="893"/>
      <c r="AE989" s="893"/>
      <c r="AF989" s="893"/>
      <c r="AG989" s="893"/>
      <c r="AH989" s="893"/>
      <c r="AI989" s="300"/>
      <c r="AJ989" s="300"/>
      <c r="AK989" s="300"/>
      <c r="AL989" s="300"/>
      <c r="AM989" s="300"/>
      <c r="AN989" s="127"/>
    </row>
    <row r="990" ht="14.25" customHeight="1">
      <c r="A990" s="127"/>
      <c r="B990" s="127"/>
      <c r="C990" s="127"/>
      <c r="D990" s="127"/>
      <c r="E990" s="127"/>
      <c r="F990" s="300"/>
      <c r="G990" s="300"/>
      <c r="H990" s="892"/>
      <c r="I990" s="892"/>
      <c r="J990" s="892"/>
      <c r="K990" s="892"/>
      <c r="L990" s="892"/>
      <c r="M990" s="892"/>
      <c r="N990" s="892"/>
      <c r="O990" s="892"/>
      <c r="P990" s="892"/>
      <c r="Q990" s="892"/>
      <c r="R990" s="892"/>
      <c r="S990" s="892"/>
      <c r="T990" s="892"/>
      <c r="U990" s="892"/>
      <c r="V990" s="892"/>
      <c r="W990" s="893"/>
      <c r="X990" s="893"/>
      <c r="Y990" s="893"/>
      <c r="Z990" s="893"/>
      <c r="AA990" s="893"/>
      <c r="AB990" s="893"/>
      <c r="AC990" s="893"/>
      <c r="AD990" s="893"/>
      <c r="AE990" s="893"/>
      <c r="AF990" s="893"/>
      <c r="AG990" s="893"/>
      <c r="AH990" s="893"/>
      <c r="AI990" s="300"/>
      <c r="AJ990" s="300"/>
      <c r="AK990" s="300"/>
      <c r="AL990" s="300"/>
      <c r="AM990" s="300"/>
      <c r="AN990" s="127"/>
    </row>
    <row r="991" ht="14.25" customHeight="1">
      <c r="A991" s="127"/>
      <c r="B991" s="127"/>
      <c r="C991" s="127"/>
      <c r="D991" s="127"/>
      <c r="E991" s="127"/>
      <c r="F991" s="300"/>
      <c r="G991" s="300"/>
      <c r="H991" s="892"/>
      <c r="I991" s="892"/>
      <c r="J991" s="892"/>
      <c r="K991" s="892"/>
      <c r="L991" s="892"/>
      <c r="M991" s="892"/>
      <c r="N991" s="892"/>
      <c r="O991" s="892"/>
      <c r="P991" s="892"/>
      <c r="Q991" s="892"/>
      <c r="R991" s="892"/>
      <c r="S991" s="892"/>
      <c r="T991" s="892"/>
      <c r="U991" s="892"/>
      <c r="V991" s="892"/>
      <c r="W991" s="893"/>
      <c r="X991" s="893"/>
      <c r="Y991" s="893"/>
      <c r="Z991" s="893"/>
      <c r="AA991" s="893"/>
      <c r="AB991" s="893"/>
      <c r="AC991" s="893"/>
      <c r="AD991" s="893"/>
      <c r="AE991" s="893"/>
      <c r="AF991" s="893"/>
      <c r="AG991" s="893"/>
      <c r="AH991" s="893"/>
      <c r="AI991" s="300"/>
      <c r="AJ991" s="300"/>
      <c r="AK991" s="300"/>
      <c r="AL991" s="300"/>
      <c r="AM991" s="300"/>
      <c r="AN991" s="127"/>
    </row>
    <row r="992" ht="14.25" customHeight="1">
      <c r="A992" s="127"/>
      <c r="B992" s="127"/>
      <c r="C992" s="127"/>
      <c r="D992" s="127"/>
      <c r="E992" s="127"/>
      <c r="F992" s="300"/>
      <c r="G992" s="300"/>
      <c r="H992" s="892"/>
      <c r="I992" s="892"/>
      <c r="J992" s="892"/>
      <c r="K992" s="892"/>
      <c r="L992" s="892"/>
      <c r="M992" s="892"/>
      <c r="N992" s="892"/>
      <c r="O992" s="892"/>
      <c r="P992" s="892"/>
      <c r="Q992" s="892"/>
      <c r="R992" s="892"/>
      <c r="S992" s="892"/>
      <c r="T992" s="892"/>
      <c r="U992" s="892"/>
      <c r="V992" s="892"/>
      <c r="W992" s="893"/>
      <c r="X992" s="893"/>
      <c r="Y992" s="893"/>
      <c r="Z992" s="893"/>
      <c r="AA992" s="893"/>
      <c r="AB992" s="893"/>
      <c r="AC992" s="893"/>
      <c r="AD992" s="893"/>
      <c r="AE992" s="893"/>
      <c r="AF992" s="893"/>
      <c r="AG992" s="893"/>
      <c r="AH992" s="893"/>
      <c r="AI992" s="300"/>
      <c r="AJ992" s="300"/>
      <c r="AK992" s="300"/>
      <c r="AL992" s="300"/>
      <c r="AM992" s="300"/>
      <c r="AN992" s="127"/>
    </row>
    <row r="993" ht="14.25" customHeight="1">
      <c r="A993" s="127"/>
      <c r="B993" s="127"/>
      <c r="C993" s="127"/>
      <c r="D993" s="127"/>
      <c r="E993" s="127"/>
      <c r="F993" s="300"/>
      <c r="G993" s="300"/>
      <c r="H993" s="892"/>
      <c r="I993" s="892"/>
      <c r="J993" s="892"/>
      <c r="K993" s="892"/>
      <c r="L993" s="892"/>
      <c r="M993" s="892"/>
      <c r="N993" s="892"/>
      <c r="O993" s="892"/>
      <c r="P993" s="892"/>
      <c r="Q993" s="892"/>
      <c r="R993" s="892"/>
      <c r="S993" s="892"/>
      <c r="T993" s="892"/>
      <c r="U993" s="892"/>
      <c r="V993" s="892"/>
      <c r="W993" s="893"/>
      <c r="X993" s="893"/>
      <c r="Y993" s="893"/>
      <c r="Z993" s="893"/>
      <c r="AA993" s="893"/>
      <c r="AB993" s="893"/>
      <c r="AC993" s="893"/>
      <c r="AD993" s="893"/>
      <c r="AE993" s="893"/>
      <c r="AF993" s="893"/>
      <c r="AG993" s="893"/>
      <c r="AH993" s="893"/>
      <c r="AI993" s="300"/>
      <c r="AJ993" s="300"/>
      <c r="AK993" s="300"/>
      <c r="AL993" s="300"/>
      <c r="AM993" s="300"/>
      <c r="AN993" s="127"/>
    </row>
    <row r="994" ht="14.25" customHeight="1">
      <c r="A994" s="127"/>
      <c r="B994" s="127"/>
      <c r="C994" s="127"/>
      <c r="D994" s="127"/>
      <c r="E994" s="127"/>
      <c r="F994" s="300"/>
      <c r="G994" s="300"/>
      <c r="H994" s="892"/>
      <c r="I994" s="892"/>
      <c r="J994" s="892"/>
      <c r="K994" s="892"/>
      <c r="L994" s="892"/>
      <c r="M994" s="892"/>
      <c r="N994" s="892"/>
      <c r="O994" s="892"/>
      <c r="P994" s="892"/>
      <c r="Q994" s="892"/>
      <c r="R994" s="892"/>
      <c r="S994" s="892"/>
      <c r="T994" s="892"/>
      <c r="U994" s="892"/>
      <c r="V994" s="892"/>
      <c r="W994" s="893"/>
      <c r="X994" s="893"/>
      <c r="Y994" s="893"/>
      <c r="Z994" s="893"/>
      <c r="AA994" s="893"/>
      <c r="AB994" s="893"/>
      <c r="AC994" s="893"/>
      <c r="AD994" s="893"/>
      <c r="AE994" s="893"/>
      <c r="AF994" s="893"/>
      <c r="AG994" s="893"/>
      <c r="AH994" s="893"/>
      <c r="AI994" s="300"/>
      <c r="AJ994" s="300"/>
      <c r="AK994" s="300"/>
      <c r="AL994" s="300"/>
      <c r="AM994" s="300"/>
      <c r="AN994" s="127"/>
    </row>
    <row r="995" ht="14.25" customHeight="1">
      <c r="A995" s="127"/>
      <c r="B995" s="127"/>
      <c r="C995" s="127"/>
      <c r="D995" s="127"/>
      <c r="E995" s="127"/>
      <c r="F995" s="300"/>
      <c r="G995" s="300"/>
      <c r="H995" s="892"/>
      <c r="I995" s="892"/>
      <c r="J995" s="892"/>
      <c r="K995" s="892"/>
      <c r="L995" s="892"/>
      <c r="M995" s="892"/>
      <c r="N995" s="892"/>
      <c r="O995" s="892"/>
      <c r="P995" s="892"/>
      <c r="Q995" s="892"/>
      <c r="R995" s="892"/>
      <c r="S995" s="892"/>
      <c r="T995" s="892"/>
      <c r="U995" s="892"/>
      <c r="V995" s="892"/>
      <c r="W995" s="893"/>
      <c r="X995" s="893"/>
      <c r="Y995" s="893"/>
      <c r="Z995" s="893"/>
      <c r="AA995" s="893"/>
      <c r="AB995" s="893"/>
      <c r="AC995" s="893"/>
      <c r="AD995" s="893"/>
      <c r="AE995" s="893"/>
      <c r="AF995" s="893"/>
      <c r="AG995" s="893"/>
      <c r="AH995" s="893"/>
      <c r="AI995" s="300"/>
      <c r="AJ995" s="300"/>
      <c r="AK995" s="300"/>
      <c r="AL995" s="300"/>
      <c r="AM995" s="300"/>
      <c r="AN995" s="127"/>
    </row>
    <row r="996" ht="14.25" customHeight="1">
      <c r="A996" s="127"/>
      <c r="B996" s="127"/>
      <c r="C996" s="127"/>
      <c r="D996" s="127"/>
      <c r="E996" s="127"/>
      <c r="F996" s="300"/>
      <c r="G996" s="300"/>
      <c r="H996" s="892"/>
      <c r="I996" s="892"/>
      <c r="J996" s="892"/>
      <c r="K996" s="892"/>
      <c r="L996" s="892"/>
      <c r="M996" s="892"/>
      <c r="N996" s="892"/>
      <c r="O996" s="892"/>
      <c r="P996" s="892"/>
      <c r="Q996" s="892"/>
      <c r="R996" s="892"/>
      <c r="S996" s="892"/>
      <c r="T996" s="892"/>
      <c r="U996" s="892"/>
      <c r="V996" s="892"/>
      <c r="W996" s="893"/>
      <c r="X996" s="893"/>
      <c r="Y996" s="893"/>
      <c r="Z996" s="893"/>
      <c r="AA996" s="893"/>
      <c r="AB996" s="893"/>
      <c r="AC996" s="893"/>
      <c r="AD996" s="893"/>
      <c r="AE996" s="893"/>
      <c r="AF996" s="893"/>
      <c r="AG996" s="893"/>
      <c r="AH996" s="893"/>
      <c r="AI996" s="300"/>
      <c r="AJ996" s="300"/>
      <c r="AK996" s="300"/>
      <c r="AL996" s="300"/>
      <c r="AM996" s="300"/>
      <c r="AN996" s="127"/>
    </row>
    <row r="997" ht="14.25" customHeight="1">
      <c r="A997" s="127"/>
      <c r="B997" s="127"/>
      <c r="C997" s="127"/>
      <c r="D997" s="127"/>
      <c r="E997" s="127"/>
      <c r="F997" s="300"/>
      <c r="G997" s="300"/>
      <c r="H997" s="892"/>
      <c r="I997" s="892"/>
      <c r="J997" s="892"/>
      <c r="K997" s="892"/>
      <c r="L997" s="892"/>
      <c r="M997" s="892"/>
      <c r="N997" s="892"/>
      <c r="O997" s="892"/>
      <c r="P997" s="892"/>
      <c r="Q997" s="892"/>
      <c r="R997" s="892"/>
      <c r="S997" s="892"/>
      <c r="T997" s="892"/>
      <c r="U997" s="892"/>
      <c r="V997" s="892"/>
      <c r="W997" s="893"/>
      <c r="X997" s="893"/>
      <c r="Y997" s="893"/>
      <c r="Z997" s="893"/>
      <c r="AA997" s="893"/>
      <c r="AB997" s="893"/>
      <c r="AC997" s="893"/>
      <c r="AD997" s="893"/>
      <c r="AE997" s="893"/>
      <c r="AF997" s="893"/>
      <c r="AG997" s="893"/>
      <c r="AH997" s="893"/>
      <c r="AI997" s="300"/>
      <c r="AJ997" s="300"/>
      <c r="AK997" s="300"/>
      <c r="AL997" s="300"/>
      <c r="AM997" s="300"/>
      <c r="AN997" s="127"/>
    </row>
    <row r="998" ht="14.25" customHeight="1">
      <c r="A998" s="127"/>
      <c r="B998" s="127"/>
      <c r="C998" s="127"/>
      <c r="D998" s="127"/>
      <c r="E998" s="127"/>
      <c r="F998" s="300"/>
      <c r="G998" s="300"/>
      <c r="H998" s="892"/>
      <c r="I998" s="892"/>
      <c r="J998" s="892"/>
      <c r="K998" s="892"/>
      <c r="L998" s="892"/>
      <c r="M998" s="892"/>
      <c r="N998" s="892"/>
      <c r="O998" s="892"/>
      <c r="P998" s="892"/>
      <c r="Q998" s="892"/>
      <c r="R998" s="892"/>
      <c r="S998" s="892"/>
      <c r="T998" s="892"/>
      <c r="U998" s="892"/>
      <c r="V998" s="892"/>
      <c r="W998" s="893"/>
      <c r="X998" s="893"/>
      <c r="Y998" s="893"/>
      <c r="Z998" s="893"/>
      <c r="AA998" s="893"/>
      <c r="AB998" s="893"/>
      <c r="AC998" s="893"/>
      <c r="AD998" s="893"/>
      <c r="AE998" s="893"/>
      <c r="AF998" s="893"/>
      <c r="AG998" s="893"/>
      <c r="AH998" s="893"/>
      <c r="AI998" s="300"/>
      <c r="AJ998" s="300"/>
      <c r="AK998" s="300"/>
      <c r="AL998" s="300"/>
      <c r="AM998" s="300"/>
      <c r="AN998" s="127"/>
    </row>
    <row r="999" ht="14.25" customHeight="1">
      <c r="A999" s="127"/>
      <c r="B999" s="127"/>
      <c r="C999" s="127"/>
      <c r="D999" s="127"/>
      <c r="E999" s="127"/>
      <c r="F999" s="300"/>
      <c r="G999" s="300"/>
      <c r="H999" s="892"/>
      <c r="I999" s="892"/>
      <c r="J999" s="892"/>
      <c r="K999" s="892"/>
      <c r="L999" s="892"/>
      <c r="M999" s="892"/>
      <c r="N999" s="892"/>
      <c r="O999" s="892"/>
      <c r="P999" s="892"/>
      <c r="Q999" s="892"/>
      <c r="R999" s="892"/>
      <c r="S999" s="892"/>
      <c r="T999" s="892"/>
      <c r="U999" s="892"/>
      <c r="V999" s="892"/>
      <c r="W999" s="893"/>
      <c r="X999" s="893"/>
      <c r="Y999" s="893"/>
      <c r="Z999" s="893"/>
      <c r="AA999" s="893"/>
      <c r="AB999" s="893"/>
      <c r="AC999" s="893"/>
      <c r="AD999" s="893"/>
      <c r="AE999" s="893"/>
      <c r="AF999" s="893"/>
      <c r="AG999" s="893"/>
      <c r="AH999" s="893"/>
      <c r="AI999" s="300"/>
      <c r="AJ999" s="300"/>
      <c r="AK999" s="300"/>
      <c r="AL999" s="300"/>
      <c r="AM999" s="300"/>
      <c r="AN999" s="127"/>
    </row>
    <row r="1000" ht="14.25" customHeight="1">
      <c r="A1000" s="127"/>
      <c r="B1000" s="127"/>
      <c r="C1000" s="127"/>
      <c r="D1000" s="127"/>
      <c r="E1000" s="127"/>
      <c r="F1000" s="300"/>
      <c r="G1000" s="300"/>
      <c r="H1000" s="892"/>
      <c r="I1000" s="892"/>
      <c r="J1000" s="892"/>
      <c r="K1000" s="892"/>
      <c r="L1000" s="892"/>
      <c r="M1000" s="892"/>
      <c r="N1000" s="892"/>
      <c r="O1000" s="892"/>
      <c r="P1000" s="892"/>
      <c r="Q1000" s="892"/>
      <c r="R1000" s="892"/>
      <c r="S1000" s="892"/>
      <c r="T1000" s="892"/>
      <c r="U1000" s="892"/>
      <c r="V1000" s="892"/>
      <c r="W1000" s="893"/>
      <c r="X1000" s="893"/>
      <c r="Y1000" s="893"/>
      <c r="Z1000" s="893"/>
      <c r="AA1000" s="893"/>
      <c r="AB1000" s="893"/>
      <c r="AC1000" s="893"/>
      <c r="AD1000" s="893"/>
      <c r="AE1000" s="893"/>
      <c r="AF1000" s="893"/>
      <c r="AG1000" s="893"/>
      <c r="AH1000" s="893"/>
      <c r="AI1000" s="300"/>
      <c r="AJ1000" s="300"/>
      <c r="AK1000" s="300"/>
      <c r="AL1000" s="300"/>
      <c r="AM1000" s="300"/>
      <c r="AN1000" s="127"/>
    </row>
  </sheetData>
  <mergeCells count="1">
    <mergeCell ref="A1:E1"/>
  </mergeCells>
  <conditionalFormatting sqref="A167:B167 A168:E170 D167:AM167 G168:AM170">
    <cfRule type="expression" dxfId="0" priority="1">
      <formula>NOT(ISERROR(SEARCH("warning",A167)))</formula>
    </cfRule>
  </conditionalFormatting>
  <conditionalFormatting sqref="A209:B209 D209:V209">
    <cfRule type="expression" dxfId="0" priority="2">
      <formula>NOT(ISERROR(SEARCH("warning",A209)))</formula>
    </cfRule>
  </conditionalFormatting>
  <conditionalFormatting sqref="A215:B215 D215:V215">
    <cfRule type="expression" dxfId="0" priority="3">
      <formula>NOT(ISERROR(SEARCH("warning",A215)))</formula>
    </cfRule>
  </conditionalFormatting>
  <conditionalFormatting sqref="A221:B221 D221:V221">
    <cfRule type="expression" dxfId="0" priority="4">
      <formula>NOT(ISERROR(SEARCH("warning",A221)))</formula>
    </cfRule>
  </conditionalFormatting>
  <conditionalFormatting sqref="A227:B227 D227:V227">
    <cfRule type="expression" dxfId="0" priority="5">
      <formula>NOT(ISERROR(SEARCH("warning",A227)))</formula>
    </cfRule>
  </conditionalFormatting>
  <conditionalFormatting sqref="A233:B233 D233:V233">
    <cfRule type="expression" dxfId="0" priority="6">
      <formula>NOT(ISERROR(SEARCH("warning",A233)))</formula>
    </cfRule>
  </conditionalFormatting>
  <conditionalFormatting sqref="A245:B245 A246:D253 D245:V245 E251:AM251">
    <cfRule type="expression" dxfId="3" priority="7">
      <formula>NOT(ISERROR(SEARCH("warning",A245)))</formula>
    </cfRule>
  </conditionalFormatting>
  <conditionalFormatting sqref="A234:E236">
    <cfRule type="expression" dxfId="0" priority="8">
      <formula>NOT(ISERROR(SEARCH("warning",A234)))</formula>
    </cfRule>
  </conditionalFormatting>
  <conditionalFormatting sqref="E237">
    <cfRule type="expression" dxfId="1" priority="9">
      <formula>NOT(ISERROR(SEARCH("warning",E237)))</formula>
    </cfRule>
  </conditionalFormatting>
  <conditionalFormatting sqref="E246:E250">
    <cfRule type="expression" dxfId="3" priority="10">
      <formula>NOT(ISERROR(SEARCH("warning",E246)))</formula>
    </cfRule>
  </conditionalFormatting>
  <conditionalFormatting sqref="E252:E254">
    <cfRule type="expression" dxfId="0" priority="11">
      <formula>NOT(ISERROR(SEARCH("warning",E252)))</formula>
    </cfRule>
  </conditionalFormatting>
  <conditionalFormatting sqref="E256:E257">
    <cfRule type="expression" dxfId="3" priority="12">
      <formula>NOT(ISERROR(SEARCH("warning",E256)))</formula>
    </cfRule>
  </conditionalFormatting>
  <conditionalFormatting sqref="G212:G213">
    <cfRule type="expression" dxfId="3" priority="13">
      <formula>NOT(ISERROR(SEARCH("warning",G212)))</formula>
    </cfRule>
  </conditionalFormatting>
  <conditionalFormatting sqref="G210:V211">
    <cfRule type="expression" dxfId="0" priority="14">
      <formula>NOT(ISERROR(SEARCH("warning",G210)))</formula>
    </cfRule>
  </conditionalFormatting>
  <conditionalFormatting sqref="A216:E219 G216:V219 AI215:AM219">
    <cfRule type="expression" dxfId="0" priority="15">
      <formula>NOT(ISERROR(SEARCH("warning",A215)))</formula>
    </cfRule>
  </conditionalFormatting>
  <conditionalFormatting sqref="A222:E225 G222:V225 AI221:AM225">
    <cfRule type="expression" dxfId="0" priority="16">
      <formula>NOT(ISERROR(SEARCH("warning",A221)))</formula>
    </cfRule>
  </conditionalFormatting>
  <conditionalFormatting sqref="A228:E231 G228:V231 AI227:AM231">
    <cfRule type="expression" dxfId="0" priority="17">
      <formula>NOT(ISERROR(SEARCH("warning",A227)))</formula>
    </cfRule>
  </conditionalFormatting>
  <conditionalFormatting sqref="G234:V236">
    <cfRule type="expression" dxfId="0" priority="18">
      <formula>NOT(ISERROR(SEARCH("warning",G234)))</formula>
    </cfRule>
  </conditionalFormatting>
  <conditionalFormatting sqref="G246:V250 G252:V253">
    <cfRule type="expression" dxfId="3" priority="19">
      <formula>NOT(ISERROR(SEARCH("warning",G246)))</formula>
    </cfRule>
  </conditionalFormatting>
  <conditionalFormatting sqref="G256:AH257">
    <cfRule type="expression" dxfId="3" priority="20">
      <formula>NOT(ISERROR(SEARCH("warning",G256)))</formula>
    </cfRule>
  </conditionalFormatting>
  <conditionalFormatting sqref="H237">
    <cfRule type="colorScale" priority="21">
      <colorScale>
        <cfvo type="formula" val="-0.05"/>
        <cfvo type="percentile" val="50"/>
        <cfvo type="formula" val="0.05"/>
        <color rgb="FFFFC000"/>
        <color rgb="FF92D050"/>
        <color rgb="FFFFC000"/>
      </colorScale>
    </cfRule>
  </conditionalFormatting>
  <conditionalFormatting sqref="H237">
    <cfRule type="expression" dxfId="0" priority="22">
      <formula>NOT(ISERROR(SEARCH("warning",H237)))</formula>
    </cfRule>
  </conditionalFormatting>
  <conditionalFormatting sqref="H254">
    <cfRule type="colorScale" priority="23">
      <colorScale>
        <cfvo type="formula" val="-0.05"/>
        <cfvo type="percentile" val="50"/>
        <cfvo type="formula" val="0.05"/>
        <color rgb="FFFFC000"/>
        <color rgb="FF92D050"/>
        <color rgb="FFFFC000"/>
      </colorScale>
    </cfRule>
  </conditionalFormatting>
  <conditionalFormatting sqref="H254">
    <cfRule type="expression" dxfId="3" priority="24">
      <formula>NOT(ISERROR(SEARCH("warning",H254)))</formula>
    </cfRule>
  </conditionalFormatting>
  <conditionalFormatting sqref="H213:K213">
    <cfRule type="colorScale" priority="25">
      <colorScale>
        <cfvo type="formula" val="-0.05"/>
        <cfvo type="percentile" val="50"/>
        <cfvo type="formula" val="0.05"/>
        <color rgb="FFFFC000"/>
        <color rgb="FF92D050"/>
        <color rgb="FFFFC000"/>
      </colorScale>
    </cfRule>
  </conditionalFormatting>
  <conditionalFormatting sqref="H212:R213">
    <cfRule type="expression" dxfId="1" priority="26">
      <formula>NOT(ISERROR(SEARCH("warning",H212)))</formula>
    </cfRule>
  </conditionalFormatting>
  <conditionalFormatting sqref="H219:V219">
    <cfRule type="colorScale" priority="27">
      <colorScale>
        <cfvo type="formula" val="-0.05"/>
        <cfvo type="percentile" val="50"/>
        <cfvo type="formula" val="0.05"/>
        <color rgb="FFFFC000"/>
        <color rgb="FF92D050"/>
        <color rgb="FFFFC000"/>
      </colorScale>
    </cfRule>
  </conditionalFormatting>
  <conditionalFormatting sqref="H225:V225">
    <cfRule type="colorScale" priority="28">
      <colorScale>
        <cfvo type="formula" val="-0.05"/>
        <cfvo type="percentile" val="50"/>
        <cfvo type="formula" val="0.05"/>
        <color rgb="FFFFC000"/>
        <color rgb="FF92D050"/>
        <color rgb="FFFFC000"/>
      </colorScale>
    </cfRule>
  </conditionalFormatting>
  <conditionalFormatting sqref="H231:V231">
    <cfRule type="colorScale" priority="29">
      <colorScale>
        <cfvo type="formula" val="-0.05"/>
        <cfvo type="percentile" val="50"/>
        <cfvo type="formula" val="0.05"/>
        <color rgb="FFFFC000"/>
        <color rgb="FF92D050"/>
        <color rgb="FFFFC000"/>
      </colorScale>
    </cfRule>
  </conditionalFormatting>
  <conditionalFormatting sqref="H137:AH137">
    <cfRule type="expression" dxfId="0" priority="30">
      <formula>#REF!=""</formula>
    </cfRule>
  </conditionalFormatting>
  <conditionalFormatting sqref="H184:AM200">
    <cfRule type="colorScale" priority="31">
      <colorScale>
        <cfvo type="formula" val="0"/>
        <cfvo type="formula" val="0.5"/>
        <cfvo type="formula" val="1"/>
        <color rgb="FFFF9999"/>
        <color rgb="FFFFF2CC"/>
        <color rgb="FF91EF98"/>
      </colorScale>
    </cfRule>
  </conditionalFormatting>
  <conditionalFormatting sqref="L213:R213">
    <cfRule type="colorScale" priority="32">
      <colorScale>
        <cfvo type="formula" val="-0.05"/>
        <cfvo type="percentile" val="50"/>
        <cfvo type="formula" val="0.05"/>
        <color rgb="FFFFC000"/>
        <color rgb="FF92D050"/>
        <color rgb="FFFFC000"/>
      </colorScale>
    </cfRule>
  </conditionalFormatting>
  <conditionalFormatting sqref="A210:E213 S212:V213">
    <cfRule type="expression" dxfId="0" priority="33">
      <formula>NOT(ISERROR(SEARCH("warning",A210)))</formula>
    </cfRule>
  </conditionalFormatting>
  <conditionalFormatting sqref="S213:V213">
    <cfRule type="colorScale" priority="34">
      <colorScale>
        <cfvo type="formula" val="-0.05"/>
        <cfvo type="percentile" val="50"/>
        <cfvo type="formula" val="0.05"/>
        <color rgb="FFFFC000"/>
        <color rgb="FF92D050"/>
        <color rgb="FFFFC000"/>
      </colorScale>
    </cfRule>
  </conditionalFormatting>
  <conditionalFormatting sqref="W213">
    <cfRule type="colorScale" priority="35">
      <colorScale>
        <cfvo type="formula" val="-0.05"/>
        <cfvo type="percentile" val="50"/>
        <cfvo type="formula" val="0.05"/>
        <color rgb="FFFFC000"/>
        <color rgb="FF92D050"/>
        <color rgb="FFFFC000"/>
      </colorScale>
    </cfRule>
  </conditionalFormatting>
  <conditionalFormatting sqref="W219">
    <cfRule type="colorScale" priority="36">
      <colorScale>
        <cfvo type="formula" val="-0.05"/>
        <cfvo type="percentile" val="50"/>
        <cfvo type="formula" val="0.05"/>
        <color rgb="FFFFC000"/>
        <color rgb="FF92D050"/>
        <color rgb="FFFFC000"/>
      </colorScale>
    </cfRule>
  </conditionalFormatting>
  <conditionalFormatting sqref="W225">
    <cfRule type="colorScale" priority="37">
      <colorScale>
        <cfvo type="formula" val="-0.05"/>
        <cfvo type="percentile" val="50"/>
        <cfvo type="formula" val="0.05"/>
        <color rgb="FFFFC000"/>
        <color rgb="FF92D050"/>
        <color rgb="FFFFC000"/>
      </colorScale>
    </cfRule>
  </conditionalFormatting>
  <conditionalFormatting sqref="W231">
    <cfRule type="colorScale" priority="38">
      <colorScale>
        <cfvo type="formula" val="-0.05"/>
        <cfvo type="percentile" val="50"/>
        <cfvo type="formula" val="0.05"/>
        <color rgb="FFFFC000"/>
        <color rgb="FF92D050"/>
        <color rgb="FFFFC000"/>
      </colorScale>
    </cfRule>
  </conditionalFormatting>
  <conditionalFormatting sqref="W237">
    <cfRule type="colorScale" priority="39">
      <colorScale>
        <cfvo type="formula" val="-0.05"/>
        <cfvo type="percentile" val="50"/>
        <cfvo type="formula" val="0.05"/>
        <color rgb="FFFFC000"/>
        <color rgb="FF92D050"/>
        <color rgb="FFFFC000"/>
      </colorScale>
    </cfRule>
  </conditionalFormatting>
  <conditionalFormatting sqref="W209:AA213">
    <cfRule type="expression" dxfId="0" priority="40">
      <formula>NOT(ISERROR(SEARCH("warning",W209)))</formula>
    </cfRule>
  </conditionalFormatting>
  <conditionalFormatting sqref="W215:AA217">
    <cfRule type="expression" dxfId="0" priority="41">
      <formula>NOT(ISERROR(SEARCH("warning",W215)))</formula>
    </cfRule>
  </conditionalFormatting>
  <conditionalFormatting sqref="W218:AA219">
    <cfRule type="expression" dxfId="2" priority="42">
      <formula>NOT(ISERROR(SEARCH("warning",W218)))</formula>
    </cfRule>
  </conditionalFormatting>
  <conditionalFormatting sqref="W224:AA225">
    <cfRule type="expression" dxfId="2" priority="43">
      <formula>NOT(ISERROR(SEARCH("warning",W224)))</formula>
    </cfRule>
  </conditionalFormatting>
  <conditionalFormatting sqref="W230:AA231">
    <cfRule type="expression" dxfId="2" priority="44">
      <formula>NOT(ISERROR(SEARCH("warning",W230)))</formula>
    </cfRule>
  </conditionalFormatting>
  <conditionalFormatting sqref="W236:AA237">
    <cfRule type="expression" dxfId="2" priority="45">
      <formula>NOT(ISERROR(SEARCH("warning",W236)))</formula>
    </cfRule>
  </conditionalFormatting>
  <conditionalFormatting sqref="W216:AH216">
    <cfRule type="expression" dxfId="0" priority="46">
      <formula>NOT(ISERROR(SEARCH("warning",W216)))</formula>
    </cfRule>
  </conditionalFormatting>
  <conditionalFormatting sqref="W221:AH223">
    <cfRule type="expression" dxfId="3" priority="47">
      <formula>NOT(ISERROR(SEARCH("warning",W221)))</formula>
    </cfRule>
  </conditionalFormatting>
  <conditionalFormatting sqref="W227:AH229">
    <cfRule type="expression" dxfId="0" priority="48">
      <formula>NOT(ISERROR(SEARCH("warning",W227)))</formula>
    </cfRule>
  </conditionalFormatting>
  <conditionalFormatting sqref="W233:AH235">
    <cfRule type="expression" dxfId="0" priority="49">
      <formula>NOT(ISERROR(SEARCH("warning",W233)))</formula>
    </cfRule>
  </conditionalFormatting>
  <conditionalFormatting sqref="W245:AH246">
    <cfRule type="expression" dxfId="0" priority="50">
      <formula>NOT(ISERROR(SEARCH("warning",W245)))</formula>
    </cfRule>
  </conditionalFormatting>
  <conditionalFormatting sqref="W248:AH248">
    <cfRule type="expression" dxfId="3" priority="51">
      <formula>NOT(ISERROR(SEARCH("warning",W248)))</formula>
    </cfRule>
  </conditionalFormatting>
  <conditionalFormatting sqref="W252:AH254">
    <cfRule type="expression" dxfId="3" priority="52">
      <formula>NOT(ISERROR(SEARCH("warning",W252)))</formula>
    </cfRule>
  </conditionalFormatting>
  <conditionalFormatting sqref="X213:AA213">
    <cfRule type="colorScale" priority="53">
      <colorScale>
        <cfvo type="formula" val="-0.05"/>
        <cfvo type="percentile" val="50"/>
        <cfvo type="formula" val="0.05"/>
        <color rgb="FFFFC000"/>
        <color rgb="FF92D050"/>
        <color rgb="FFFFC000"/>
      </colorScale>
    </cfRule>
  </conditionalFormatting>
  <conditionalFormatting sqref="X219:AA219">
    <cfRule type="colorScale" priority="54">
      <colorScale>
        <cfvo type="formula" val="-0.05"/>
        <cfvo type="percentile" val="50"/>
        <cfvo type="formula" val="0.05"/>
        <color rgb="FFFFC000"/>
        <color rgb="FF92D050"/>
        <color rgb="FFFFC000"/>
      </colorScale>
    </cfRule>
  </conditionalFormatting>
  <conditionalFormatting sqref="X225:AA225">
    <cfRule type="colorScale" priority="55">
      <colorScale>
        <cfvo type="formula" val="-0.05"/>
        <cfvo type="percentile" val="50"/>
        <cfvo type="formula" val="0.05"/>
        <color rgb="FFFFC000"/>
        <color rgb="FF92D050"/>
        <color rgb="FFFFC000"/>
      </colorScale>
    </cfRule>
  </conditionalFormatting>
  <conditionalFormatting sqref="X231:AA231">
    <cfRule type="colorScale" priority="56">
      <colorScale>
        <cfvo type="formula" val="-0.05"/>
        <cfvo type="percentile" val="50"/>
        <cfvo type="formula" val="0.05"/>
        <color rgb="FFFFC000"/>
        <color rgb="FF92D050"/>
        <color rgb="FFFFC000"/>
      </colorScale>
    </cfRule>
  </conditionalFormatting>
  <conditionalFormatting sqref="X237:AA237">
    <cfRule type="colorScale" priority="57">
      <colorScale>
        <cfvo type="formula" val="-0.05"/>
        <cfvo type="percentile" val="50"/>
        <cfvo type="formula" val="0.05"/>
        <color rgb="FFFFC000"/>
        <color rgb="FF92D050"/>
        <color rgb="FFFFC000"/>
      </colorScale>
    </cfRule>
  </conditionalFormatting>
  <conditionalFormatting sqref="AB209:AH211">
    <cfRule type="expression" dxfId="3" priority="58">
      <formula>NOT(ISERROR(SEARCH("warning",AB209)))</formula>
    </cfRule>
  </conditionalFormatting>
  <conditionalFormatting sqref="AB212:AH213">
    <cfRule type="expression" dxfId="0" priority="59">
      <formula>NOT(ISERROR(SEARCH("warning",AB212)))</formula>
    </cfRule>
  </conditionalFormatting>
  <conditionalFormatting sqref="AB213:AH213">
    <cfRule type="colorScale" priority="60">
      <colorScale>
        <cfvo type="formula" val="-0.05"/>
        <cfvo type="percentile" val="50"/>
        <cfvo type="formula" val="0.05"/>
        <color rgb="FFFFC000"/>
        <color rgb="FF92D050"/>
        <color rgb="FFFFC000"/>
      </colorScale>
    </cfRule>
  </conditionalFormatting>
  <conditionalFormatting sqref="AB215:AH215">
    <cfRule type="expression" dxfId="0" priority="61">
      <formula>NOT(ISERROR(SEARCH("warning",AB215)))</formula>
    </cfRule>
  </conditionalFormatting>
  <conditionalFormatting sqref="AB217:AH217">
    <cfRule type="expression" dxfId="3" priority="62">
      <formula>NOT(ISERROR(SEARCH("warning",AB217)))</formula>
    </cfRule>
  </conditionalFormatting>
  <conditionalFormatting sqref="AB218:AH219">
    <cfRule type="expression" dxfId="0" priority="63">
      <formula>NOT(ISERROR(SEARCH("warning",AB218)))</formula>
    </cfRule>
  </conditionalFormatting>
  <conditionalFormatting sqref="AB219:AH219">
    <cfRule type="colorScale" priority="64">
      <colorScale>
        <cfvo type="formula" val="-0.05"/>
        <cfvo type="percentile" val="50"/>
        <cfvo type="formula" val="0.05"/>
        <color rgb="FFFFC000"/>
        <color rgb="FF92D050"/>
        <color rgb="FFFFC000"/>
      </colorScale>
    </cfRule>
  </conditionalFormatting>
  <conditionalFormatting sqref="AB224:AH225">
    <cfRule type="expression" dxfId="0" priority="65">
      <formula>NOT(ISERROR(SEARCH("warning",AB224)))</formula>
    </cfRule>
  </conditionalFormatting>
  <conditionalFormatting sqref="AB225:AH225">
    <cfRule type="colorScale" priority="66">
      <colorScale>
        <cfvo type="formula" val="-0.05"/>
        <cfvo type="percentile" val="50"/>
        <cfvo type="formula" val="0.05"/>
        <color rgb="FFFFC000"/>
        <color rgb="FF92D050"/>
        <color rgb="FFFFC000"/>
      </colorScale>
    </cfRule>
  </conditionalFormatting>
  <conditionalFormatting sqref="AB230:AH231">
    <cfRule type="expression" dxfId="3" priority="67">
      <formula>NOT(ISERROR(SEARCH("warning",AB230)))</formula>
    </cfRule>
  </conditionalFormatting>
  <conditionalFormatting sqref="AB231:AH231">
    <cfRule type="colorScale" priority="68">
      <colorScale>
        <cfvo type="formula" val="-0.05"/>
        <cfvo type="percentile" val="50"/>
        <cfvo type="formula" val="0.05"/>
        <color rgb="FFFFC000"/>
        <color rgb="FF92D050"/>
        <color rgb="FFFFC000"/>
      </colorScale>
    </cfRule>
  </conditionalFormatting>
  <conditionalFormatting sqref="AB236:AH237">
    <cfRule type="expression" dxfId="3" priority="69">
      <formula>NOT(ISERROR(SEARCH("warning",AB236)))</formula>
    </cfRule>
  </conditionalFormatting>
  <conditionalFormatting sqref="AB237:AH237">
    <cfRule type="colorScale" priority="70">
      <colorScale>
        <cfvo type="formula" val="-0.05"/>
        <cfvo type="percentile" val="50"/>
        <cfvo type="formula" val="0.05"/>
        <color rgb="FFFFC000"/>
        <color rgb="FF92D050"/>
        <color rgb="FFFFC000"/>
      </colorScale>
    </cfRule>
  </conditionalFormatting>
  <conditionalFormatting sqref="AI209:AM213">
    <cfRule type="expression" dxfId="0" priority="71">
      <formula>NOT(ISERROR(SEARCH("warning",AI209)))</formula>
    </cfRule>
  </conditionalFormatting>
  <conditionalFormatting sqref="AI213:AM213">
    <cfRule type="colorScale" priority="72">
      <colorScale>
        <cfvo type="formula" val="-0.05"/>
        <cfvo type="percentile" val="50"/>
        <cfvo type="formula" val="0.05"/>
        <color rgb="FFFFC000"/>
        <color rgb="FF92D050"/>
        <color rgb="FFFFC000"/>
      </colorScale>
    </cfRule>
  </conditionalFormatting>
  <conditionalFormatting sqref="AI233:AM236">
    <cfRule type="expression" dxfId="0" priority="73">
      <formula>NOT(ISERROR(SEARCH("warning",AI233)))</formula>
    </cfRule>
  </conditionalFormatting>
  <conditionalFormatting sqref="AI245:AM250 AI252:AM253">
    <cfRule type="expression" dxfId="3" priority="74">
      <formula>NOT(ISERROR(SEARCH("warning",AI245)))</formula>
    </cfRule>
  </conditionalFormatting>
  <dataValidations>
    <dataValidation type="decimal" allowBlank="1" showErrorMessage="1" sqref="H10:W10 AB10:AH10 H100:V100 H102:V102 H105:V105 H107:V107 H174:AH174">
      <formula1>0.01</formula1>
      <formula2>1.0</formula2>
    </dataValidation>
    <dataValidation type="decimal" operator="greaterThan" allowBlank="1" showErrorMessage="1" sqref="H161:AH161 H164:AH164">
      <formula1>0.01</formula1>
    </dataValidation>
  </dataValidations>
  <printOptions/>
  <pageMargins bottom="0.75" footer="0.0" header="0.0" left="0.7" right="0.7" top="0.75"/>
  <pageSetup paperSize="9"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4.43" defaultRowHeight="15.0" outlineLevelCol="1" outlineLevelRow="3"/>
  <cols>
    <col customWidth="1" min="1" max="4" width="2.43"/>
    <col customWidth="1" min="5" max="5" width="88.43"/>
    <col customWidth="1" min="6" max="6" width="17.43"/>
    <col customWidth="1" min="7" max="7" width="16.57"/>
    <col customWidth="1" hidden="1" min="8" max="14" width="10.57" outlineLevel="1"/>
    <col customWidth="1" hidden="1" min="15" max="15" width="12.57" outlineLevel="1"/>
    <col customWidth="1" hidden="1" min="16" max="22" width="10.57" outlineLevel="1"/>
    <col customWidth="1" min="23" max="23" width="10.57"/>
    <col customWidth="1" hidden="1" min="24" max="27" width="10.57" outlineLevel="1"/>
    <col customWidth="1" min="28" max="34" width="10.57"/>
    <col customWidth="1" min="35" max="35" width="119.43"/>
    <col customWidth="1" min="36" max="41" width="10.57"/>
  </cols>
  <sheetData>
    <row r="1" ht="14.25" customHeight="1">
      <c r="A1" s="309" t="s">
        <v>49</v>
      </c>
      <c r="B1" s="22"/>
      <c r="C1" s="22"/>
      <c r="D1" s="22"/>
      <c r="E1" s="23"/>
      <c r="F1" s="62" t="s">
        <v>50</v>
      </c>
      <c r="G1" s="62" t="s">
        <v>51</v>
      </c>
      <c r="H1" s="62">
        <v>2000.0</v>
      </c>
      <c r="I1" s="62">
        <v>2001.0</v>
      </c>
      <c r="J1" s="62">
        <v>2002.0</v>
      </c>
      <c r="K1" s="62">
        <v>2003.0</v>
      </c>
      <c r="L1" s="62">
        <v>2004.0</v>
      </c>
      <c r="M1" s="62">
        <v>2005.0</v>
      </c>
      <c r="N1" s="62">
        <v>2006.0</v>
      </c>
      <c r="O1" s="62">
        <v>2007.0</v>
      </c>
      <c r="P1" s="62">
        <v>2008.0</v>
      </c>
      <c r="Q1" s="62">
        <v>2009.0</v>
      </c>
      <c r="R1" s="62">
        <v>2010.0</v>
      </c>
      <c r="S1" s="62">
        <v>2011.0</v>
      </c>
      <c r="T1" s="62">
        <v>2012.0</v>
      </c>
      <c r="U1" s="62">
        <v>2013.0</v>
      </c>
      <c r="V1" s="62">
        <v>2014.0</v>
      </c>
      <c r="W1" s="62">
        <f>ReferenceYear</f>
        <v>2015</v>
      </c>
      <c r="X1" s="62">
        <v>2016.0</v>
      </c>
      <c r="Y1" s="62">
        <v>2017.0</v>
      </c>
      <c r="Z1" s="62">
        <v>2018.0</v>
      </c>
      <c r="AA1" s="62">
        <v>2019.0</v>
      </c>
      <c r="AB1" s="62">
        <f>IFERROR(IF(W1+5&lt;=TargetYear,W1+5,""),"")</f>
        <v>2020</v>
      </c>
      <c r="AC1" s="62">
        <f>IFERROR(IF(AB1+5&lt;=TargetYear,AB1+5,""),"")</f>
        <v>2025</v>
      </c>
      <c r="AD1" s="62">
        <f>IFERROR(IF(AC1+5&lt;=TargetYear,AC1+5,""),"")</f>
        <v>2030</v>
      </c>
      <c r="AE1" s="62">
        <f>IFERROR(IF(AD1+5&lt;=TargetYear,AD1+5,""),"")</f>
        <v>2035</v>
      </c>
      <c r="AF1" s="62">
        <f>IFERROR(IF(AE1+5&lt;=TargetYear,AE1+5,""),"")</f>
        <v>2040</v>
      </c>
      <c r="AG1" s="62">
        <f>IFERROR(IF(AF1+5&lt;=TargetYear,AF1+5,""),"")</f>
        <v>2045</v>
      </c>
      <c r="AH1" s="62">
        <f>IFERROR(IF(AG1+5&lt;=TargetYear,AG1+5,""),"")</f>
        <v>2050</v>
      </c>
      <c r="AI1" s="62" t="s">
        <v>640</v>
      </c>
      <c r="AJ1" s="208"/>
      <c r="AK1" s="208"/>
      <c r="AL1" s="208"/>
      <c r="AM1" s="208"/>
      <c r="AN1" s="208"/>
      <c r="AO1" s="208"/>
    </row>
    <row r="2" ht="14.25" customHeight="1">
      <c r="A2" s="311" t="s">
        <v>250</v>
      </c>
      <c r="B2" s="217"/>
      <c r="C2" s="217"/>
      <c r="D2" s="217"/>
      <c r="E2" s="217"/>
      <c r="F2" s="217"/>
      <c r="G2" s="217"/>
      <c r="H2" s="239"/>
      <c r="I2" s="239"/>
      <c r="J2" s="239"/>
      <c r="K2" s="239"/>
      <c r="L2" s="239"/>
      <c r="M2" s="239"/>
      <c r="N2" s="239"/>
      <c r="O2" s="239"/>
      <c r="P2" s="239"/>
      <c r="Q2" s="239"/>
      <c r="R2" s="239"/>
      <c r="S2" s="239"/>
      <c r="T2" s="239"/>
      <c r="U2" s="239"/>
      <c r="V2" s="239"/>
      <c r="W2" s="240"/>
      <c r="X2" s="240"/>
      <c r="Y2" s="240"/>
      <c r="Z2" s="240"/>
      <c r="AA2" s="240"/>
      <c r="AB2" s="240"/>
      <c r="AC2" s="240"/>
      <c r="AD2" s="240"/>
      <c r="AE2" s="240"/>
      <c r="AF2" s="240"/>
      <c r="AG2" s="240"/>
      <c r="AH2" s="240"/>
      <c r="AI2" s="312"/>
      <c r="AJ2" s="100"/>
      <c r="AK2" s="100"/>
      <c r="AL2" s="100"/>
      <c r="AM2" s="100"/>
      <c r="AN2" s="100"/>
      <c r="AO2" s="100"/>
    </row>
    <row r="3" ht="14.25" customHeight="1">
      <c r="A3" s="314" t="s">
        <v>598</v>
      </c>
      <c r="B3" s="246"/>
      <c r="C3" s="246"/>
      <c r="D3" s="201"/>
      <c r="E3" s="162"/>
      <c r="F3" s="100"/>
      <c r="G3" s="100"/>
      <c r="H3" s="100"/>
      <c r="I3" s="178"/>
      <c r="J3" s="178"/>
      <c r="K3" s="178"/>
      <c r="L3" s="178"/>
      <c r="M3" s="178"/>
      <c r="N3" s="178"/>
      <c r="O3" s="178"/>
      <c r="P3" s="178"/>
      <c r="Q3" s="178"/>
      <c r="R3" s="178"/>
      <c r="S3" s="178"/>
      <c r="T3" s="178"/>
      <c r="U3" s="178"/>
      <c r="V3" s="178"/>
      <c r="W3" s="178"/>
      <c r="X3" s="178"/>
      <c r="Y3" s="178"/>
      <c r="Z3" s="178"/>
      <c r="AA3" s="178"/>
      <c r="AB3" s="178"/>
      <c r="AC3" s="178"/>
      <c r="AD3" s="178"/>
      <c r="AE3" s="178"/>
      <c r="AF3" s="178"/>
      <c r="AG3" s="178"/>
      <c r="AH3" s="178"/>
      <c r="AI3" s="162"/>
      <c r="AJ3" s="100"/>
      <c r="AK3" s="100"/>
      <c r="AL3" s="100"/>
      <c r="AM3" s="100"/>
      <c r="AN3" s="100"/>
      <c r="AO3" s="100"/>
    </row>
    <row r="4" ht="14.25" customHeight="1">
      <c r="A4" s="439"/>
      <c r="B4" s="246"/>
      <c r="C4" s="246"/>
      <c r="D4" s="201"/>
      <c r="E4" s="921" t="s">
        <v>3422</v>
      </c>
      <c r="F4" s="325" t="b">
        <f>FALSE()</f>
        <v>0</v>
      </c>
      <c r="G4" s="100"/>
      <c r="H4" s="922"/>
      <c r="I4" s="178"/>
      <c r="J4" s="178"/>
      <c r="K4" s="178"/>
      <c r="L4" s="178"/>
      <c r="M4" s="178"/>
      <c r="N4" s="178"/>
      <c r="O4" s="178"/>
      <c r="P4" s="178"/>
      <c r="Q4" s="178"/>
      <c r="R4" s="178"/>
      <c r="S4" s="178"/>
      <c r="T4" s="178"/>
      <c r="U4" s="178"/>
      <c r="V4" s="178"/>
      <c r="W4" s="178"/>
      <c r="X4" s="178"/>
      <c r="Y4" s="178"/>
      <c r="Z4" s="178"/>
      <c r="AA4" s="178"/>
      <c r="AB4" s="178"/>
      <c r="AC4" s="178"/>
      <c r="AD4" s="178"/>
      <c r="AE4" s="178"/>
      <c r="AF4" s="178"/>
      <c r="AG4" s="178"/>
      <c r="AH4" s="178"/>
      <c r="AI4" s="244"/>
      <c r="AJ4" s="100"/>
      <c r="AK4" s="100"/>
      <c r="AL4" s="100"/>
      <c r="AM4" s="100"/>
      <c r="AN4" s="100"/>
      <c r="AO4" s="100"/>
    </row>
    <row r="5" ht="14.25" customHeight="1">
      <c r="A5" s="326"/>
      <c r="B5" s="100"/>
      <c r="C5" s="201"/>
      <c r="D5" s="201"/>
      <c r="E5" s="299" t="str">
        <f>"Total FEC in the residential sector"&amp;IF('EDCM - Residential'!$F$8="Ok"," (secondary and vacant dwellings included)"," (secondary and vacant dwellings not or partially included)")</f>
        <v>Total FEC in the residential sector (secondary and vacant dwellings not or partially included)</v>
      </c>
      <c r="F5" s="123" t="s">
        <v>135</v>
      </c>
      <c r="G5" s="123" t="s">
        <v>3423</v>
      </c>
      <c r="H5" s="274" t="str">
        <f t="array" ref="H5:AH5">IF(NOT(edcmrespartner),caltoccfres,toccfres)</f>
        <v>#REF!</v>
      </c>
      <c r="I5" s="274" t="e">
        <v>#REF!</v>
      </c>
      <c r="J5" s="274" t="e">
        <v>#REF!</v>
      </c>
      <c r="K5" s="274" t="e">
        <v>#REF!</v>
      </c>
      <c r="L5" s="274" t="e">
        <v>#REF!</v>
      </c>
      <c r="M5" s="274" t="e">
        <v>#REF!</v>
      </c>
      <c r="N5" s="274" t="e">
        <v>#REF!</v>
      </c>
      <c r="O5" s="274" t="e">
        <v>#REF!</v>
      </c>
      <c r="P5" s="274" t="e">
        <v>#REF!</v>
      </c>
      <c r="Q5" s="274" t="e">
        <v>#REF!</v>
      </c>
      <c r="R5" s="274" t="e">
        <v>#REF!</v>
      </c>
      <c r="S5" s="274" t="e">
        <v>#REF!</v>
      </c>
      <c r="T5" s="274" t="e">
        <v>#REF!</v>
      </c>
      <c r="U5" s="274" t="e">
        <v>#REF!</v>
      </c>
      <c r="V5" s="274" t="e">
        <v>#REF!</v>
      </c>
      <c r="W5" s="274" t="e">
        <v>#REF!</v>
      </c>
      <c r="X5" s="274" t="e">
        <v>#REF!</v>
      </c>
      <c r="Y5" s="274" t="e">
        <v>#REF!</v>
      </c>
      <c r="Z5" s="274" t="e">
        <v>#REF!</v>
      </c>
      <c r="AA5" s="274" t="e">
        <v>#REF!</v>
      </c>
      <c r="AB5" s="274" t="e">
        <v>#REF!</v>
      </c>
      <c r="AC5" s="274" t="e">
        <v>#REF!</v>
      </c>
      <c r="AD5" s="274" t="e">
        <v>#REF!</v>
      </c>
      <c r="AE5" s="274" t="e">
        <v>#REF!</v>
      </c>
      <c r="AF5" s="274" t="e">
        <v>#REF!</v>
      </c>
      <c r="AG5" s="274" t="e">
        <v>#REF!</v>
      </c>
      <c r="AH5" s="274" t="e">
        <v>#REF!</v>
      </c>
      <c r="AI5" s="125"/>
      <c r="AJ5" s="100"/>
      <c r="AK5" s="100"/>
      <c r="AL5" s="100"/>
      <c r="AM5" s="100"/>
      <c r="AN5" s="100"/>
      <c r="AO5" s="100"/>
    </row>
    <row r="6" ht="14.25" customHeight="1">
      <c r="A6" s="326"/>
      <c r="B6" s="201"/>
      <c r="C6" s="201"/>
      <c r="D6" s="201"/>
      <c r="E6" s="273" t="str">
        <f>"FEC from solid fossil fuels (coal ...) in the residential sector"&amp;IF('EDCM - Residential'!$F$8="Ok"," (secondary and vacant dwellings included)"," (secondary and vacant dwellings not or partially included)")</f>
        <v>FEC from solid fossil fuels (coal ...) in the residential sector (secondary and vacant dwellings not or partially included)</v>
      </c>
      <c r="F6" s="123" t="s">
        <v>135</v>
      </c>
      <c r="G6" s="123" t="s">
        <v>3424</v>
      </c>
      <c r="H6" s="274">
        <f t="array" ref="H6:AH6">IF(NOT(edcmrespartner),calcmscfres,cmscfres)</f>
        <v>0.003</v>
      </c>
      <c r="I6" s="274">
        <v>0.0029</v>
      </c>
      <c r="J6" s="274">
        <v>0.0029</v>
      </c>
      <c r="K6" s="274">
        <v>0.0028</v>
      </c>
      <c r="L6" s="274">
        <v>0.0028</v>
      </c>
      <c r="M6" s="274">
        <v>0.0029</v>
      </c>
      <c r="N6" s="274">
        <v>0.0028</v>
      </c>
      <c r="O6" s="274">
        <v>0.0027</v>
      </c>
      <c r="P6" s="274">
        <v>0.0027</v>
      </c>
      <c r="Q6" s="274">
        <v>0.0026</v>
      </c>
      <c r="R6" s="274">
        <v>0.0026</v>
      </c>
      <c r="S6" s="274">
        <v>0.0026</v>
      </c>
      <c r="T6" s="274">
        <v>0.0027</v>
      </c>
      <c r="U6" s="274">
        <v>0.0027</v>
      </c>
      <c r="V6" s="274">
        <v>0.0027</v>
      </c>
      <c r="W6" s="274">
        <v>1.0951999999999957</v>
      </c>
      <c r="X6" s="274">
        <v>0.0027</v>
      </c>
      <c r="Y6" s="274">
        <v>0.0027</v>
      </c>
      <c r="Z6" s="274">
        <v>0.0</v>
      </c>
      <c r="AA6" s="274">
        <v>0.0</v>
      </c>
      <c r="AB6" s="274">
        <v>0.8915508240142374</v>
      </c>
      <c r="AC6" s="274">
        <v>0.17138926336803192</v>
      </c>
      <c r="AD6" s="274">
        <v>0.0</v>
      </c>
      <c r="AE6" s="274">
        <v>0.0</v>
      </c>
      <c r="AF6" s="274">
        <v>0.0</v>
      </c>
      <c r="AG6" s="274">
        <v>0.0</v>
      </c>
      <c r="AH6" s="274">
        <v>0.0</v>
      </c>
      <c r="AI6" s="125"/>
      <c r="AJ6" s="100"/>
      <c r="AK6" s="100"/>
      <c r="AL6" s="100"/>
      <c r="AM6" s="100"/>
      <c r="AN6" s="100"/>
      <c r="AO6" s="100"/>
    </row>
    <row r="7" ht="14.25" customHeight="1">
      <c r="A7" s="326"/>
      <c r="B7" s="201"/>
      <c r="C7" s="201"/>
      <c r="D7" s="201"/>
      <c r="E7" s="273" t="str">
        <f>"FEC from solid biomass in the residential sector"&amp;IF('EDCM - Residential'!$F$8="Ok"," (secondary and vacant dwellings included)"," (secondary and vacant dwellings not or partially included)")</f>
        <v>FEC from solid biomass in the residential sector (secondary and vacant dwellings not or partially included)</v>
      </c>
      <c r="F7" s="123" t="s">
        <v>135</v>
      </c>
      <c r="G7" s="123" t="s">
        <v>3425</v>
      </c>
      <c r="H7" s="274">
        <f t="array" ref="H7:AH7">IF(NOT(edcmrespartner),calenccfres,enccfres)</f>
        <v>0</v>
      </c>
      <c r="I7" s="274">
        <v>0.0</v>
      </c>
      <c r="J7" s="274">
        <v>0.0</v>
      </c>
      <c r="K7" s="274">
        <v>0.0</v>
      </c>
      <c r="L7" s="274">
        <v>0.0</v>
      </c>
      <c r="M7" s="274">
        <v>0.0</v>
      </c>
      <c r="N7" s="274">
        <v>0.0</v>
      </c>
      <c r="O7" s="274">
        <v>0.0</v>
      </c>
      <c r="P7" s="274">
        <v>0.0</v>
      </c>
      <c r="Q7" s="274">
        <v>0.0</v>
      </c>
      <c r="R7" s="274">
        <v>0.1533</v>
      </c>
      <c r="S7" s="274">
        <v>0.1738</v>
      </c>
      <c r="T7" s="274">
        <v>0.1836</v>
      </c>
      <c r="U7" s="274">
        <v>0.227</v>
      </c>
      <c r="V7" s="274">
        <v>0.2484</v>
      </c>
      <c r="W7" s="274">
        <v>6.75152260085788</v>
      </c>
      <c r="X7" s="274">
        <v>0.2909</v>
      </c>
      <c r="Y7" s="274">
        <v>0.3005</v>
      </c>
      <c r="Z7" s="274">
        <v>0.0</v>
      </c>
      <c r="AA7" s="274">
        <v>0.0</v>
      </c>
      <c r="AB7" s="274">
        <v>6.678578024289434</v>
      </c>
      <c r="AC7" s="274">
        <v>6.446347728179926</v>
      </c>
      <c r="AD7" s="274">
        <v>5.843473362530016</v>
      </c>
      <c r="AE7" s="274">
        <v>5.296015333568693</v>
      </c>
      <c r="AF7" s="274">
        <v>4.747842012477779</v>
      </c>
      <c r="AG7" s="274">
        <v>4.282792292955442</v>
      </c>
      <c r="AH7" s="274">
        <v>3.916041904131354</v>
      </c>
      <c r="AI7" s="125"/>
      <c r="AJ7" s="100"/>
      <c r="AK7" s="100"/>
      <c r="AL7" s="100"/>
      <c r="AM7" s="100"/>
      <c r="AN7" s="100"/>
      <c r="AO7" s="100"/>
    </row>
    <row r="8" ht="14.25" customHeight="1">
      <c r="A8" s="326"/>
      <c r="B8" s="201"/>
      <c r="C8" s="201"/>
      <c r="D8" s="201"/>
      <c r="E8" s="273" t="str">
        <f>"FEC from oil in the residential sector"&amp;IF('EDCM - Residential'!$F$8="Ok"," (secondary and vacant dwellings included)"," (secondary and vacant dwellings not or partially included)")</f>
        <v>FEC from oil in the residential sector (secondary and vacant dwellings not or partially included)</v>
      </c>
      <c r="F8" s="123" t="s">
        <v>135</v>
      </c>
      <c r="G8" s="123" t="s">
        <v>3426</v>
      </c>
      <c r="H8" s="274">
        <f t="array" ref="H8:AH8">IF(NOT(edcmrespartner),calpetcfres,petcfres)</f>
        <v>2.199</v>
      </c>
      <c r="I8" s="274">
        <v>2.1515</v>
      </c>
      <c r="J8" s="274">
        <v>2.146</v>
      </c>
      <c r="K8" s="274">
        <v>2.1174</v>
      </c>
      <c r="L8" s="274">
        <v>2.0927</v>
      </c>
      <c r="M8" s="274">
        <v>2.1838</v>
      </c>
      <c r="N8" s="274">
        <v>2.0667</v>
      </c>
      <c r="O8" s="274">
        <v>2.0411</v>
      </c>
      <c r="P8" s="274">
        <v>1.9866</v>
      </c>
      <c r="Q8" s="274">
        <v>1.9365</v>
      </c>
      <c r="R8" s="274">
        <v>1.9462000000000002</v>
      </c>
      <c r="S8" s="274">
        <v>1.966</v>
      </c>
      <c r="T8" s="274">
        <v>1.9813</v>
      </c>
      <c r="U8" s="274">
        <v>1.9926000000000001</v>
      </c>
      <c r="V8" s="274">
        <v>2.0017</v>
      </c>
      <c r="W8" s="274">
        <v>33.34383893191104</v>
      </c>
      <c r="X8" s="274">
        <v>2.0229</v>
      </c>
      <c r="Y8" s="274">
        <v>2.0328999999999997</v>
      </c>
      <c r="Z8" s="274">
        <v>0.0</v>
      </c>
      <c r="AA8" s="274">
        <v>0.0</v>
      </c>
      <c r="AB8" s="274">
        <v>28.76000869574231</v>
      </c>
      <c r="AC8" s="274">
        <v>20.270875742328126</v>
      </c>
      <c r="AD8" s="274">
        <v>8.135080873237841</v>
      </c>
      <c r="AE8" s="274">
        <v>4.101325297475467</v>
      </c>
      <c r="AF8" s="274">
        <v>3.2035992296937317</v>
      </c>
      <c r="AG8" s="274">
        <v>0.7221797493026856</v>
      </c>
      <c r="AH8" s="274">
        <v>0.0</v>
      </c>
      <c r="AI8" s="125"/>
      <c r="AJ8" s="100"/>
      <c r="AK8" s="100"/>
      <c r="AL8" s="100"/>
      <c r="AM8" s="100"/>
      <c r="AN8" s="100"/>
      <c r="AO8" s="100"/>
    </row>
    <row r="9" ht="14.25" customHeight="1">
      <c r="A9" s="326"/>
      <c r="B9" s="201"/>
      <c r="C9" s="201"/>
      <c r="D9" s="201"/>
      <c r="E9" s="273" t="str">
        <f>"FEC from gas grid / gas consumed locally in the residential sector"&amp;IF('EDCM - Residential'!$F$8="Ok"," (secondary and vacant dwellings included)"," (secondary and vacant dwellings not or partially included)")</f>
        <v>FEC from gas grid / gas consumed locally in the residential sector (secondary and vacant dwellings not or partially included)</v>
      </c>
      <c r="F9" s="123" t="s">
        <v>135</v>
      </c>
      <c r="G9" s="123" t="s">
        <v>3427</v>
      </c>
      <c r="H9" s="274">
        <f t="array" ref="H9:AH9">IF(NOT(edcmrespartner),calgazcfres,gazcfres)</f>
        <v>0</v>
      </c>
      <c r="I9" s="274">
        <v>0.0</v>
      </c>
      <c r="J9" s="274">
        <v>0.0</v>
      </c>
      <c r="K9" s="274">
        <v>0.0</v>
      </c>
      <c r="L9" s="274">
        <v>0.0</v>
      </c>
      <c r="M9" s="274">
        <v>0.0</v>
      </c>
      <c r="N9" s="274">
        <v>0.0</v>
      </c>
      <c r="O9" s="274">
        <v>0.0</v>
      </c>
      <c r="P9" s="274">
        <v>0.0</v>
      </c>
      <c r="Q9" s="274">
        <v>0.0</v>
      </c>
      <c r="R9" s="274">
        <v>5.6997</v>
      </c>
      <c r="S9" s="274">
        <v>5.7573</v>
      </c>
      <c r="T9" s="274">
        <v>5.8019</v>
      </c>
      <c r="U9" s="274">
        <v>5.835</v>
      </c>
      <c r="V9" s="274">
        <v>5.8614999999999995</v>
      </c>
      <c r="W9" s="274">
        <v>36.53905256310392</v>
      </c>
      <c r="X9" s="274">
        <v>5.9237</v>
      </c>
      <c r="Y9" s="274">
        <v>5.952500000000001</v>
      </c>
      <c r="Z9" s="274">
        <v>0.0</v>
      </c>
      <c r="AA9" s="274">
        <v>0.0</v>
      </c>
      <c r="AB9" s="274">
        <v>31.94220492832784</v>
      </c>
      <c r="AC9" s="274">
        <v>23.93655292645914</v>
      </c>
      <c r="AD9" s="274">
        <v>17.802806755028637</v>
      </c>
      <c r="AE9" s="274">
        <v>11.926582567185864</v>
      </c>
      <c r="AF9" s="274">
        <v>7.432360734844622</v>
      </c>
      <c r="AG9" s="274">
        <v>3.724022210106516</v>
      </c>
      <c r="AH9" s="274">
        <v>0.907115697928287</v>
      </c>
      <c r="AI9" s="125"/>
      <c r="AJ9" s="100"/>
      <c r="AK9" s="100"/>
      <c r="AL9" s="100"/>
      <c r="AM9" s="100"/>
      <c r="AN9" s="100"/>
      <c r="AO9" s="100"/>
    </row>
    <row r="10" ht="14.25" customHeight="1">
      <c r="A10" s="326"/>
      <c r="B10" s="201"/>
      <c r="C10" s="201"/>
      <c r="D10" s="201"/>
      <c r="E10" s="273" t="str">
        <f>"Final electricity consumption in the residential sector"&amp;IF('EDCM - Residential'!$F$8="Ok"," (secondary and vacant dwellings included)"," (secondary and vacant dwellings not or partially included)")</f>
        <v>Final electricity consumption in the residential sector (secondary and vacant dwellings not or partially included)</v>
      </c>
      <c r="F10" s="123" t="s">
        <v>135</v>
      </c>
      <c r="G10" s="123" t="s">
        <v>3428</v>
      </c>
      <c r="H10" s="274" t="str">
        <f t="array" ref="H10:AH10">IF(NOT(edcmrespartner),calelccfres,elccfres)</f>
        <v>#REF!</v>
      </c>
      <c r="I10" s="274" t="e">
        <v>#REF!</v>
      </c>
      <c r="J10" s="274" t="e">
        <v>#REF!</v>
      </c>
      <c r="K10" s="274" t="e">
        <v>#REF!</v>
      </c>
      <c r="L10" s="274" t="e">
        <v>#REF!</v>
      </c>
      <c r="M10" s="274" t="e">
        <v>#REF!</v>
      </c>
      <c r="N10" s="274" t="e">
        <v>#REF!</v>
      </c>
      <c r="O10" s="274" t="e">
        <v>#REF!</v>
      </c>
      <c r="P10" s="274" t="e">
        <v>#REF!</v>
      </c>
      <c r="Q10" s="274" t="e">
        <v>#REF!</v>
      </c>
      <c r="R10" s="274" t="e">
        <v>#REF!</v>
      </c>
      <c r="S10" s="274" t="e">
        <v>#REF!</v>
      </c>
      <c r="T10" s="274" t="e">
        <v>#REF!</v>
      </c>
      <c r="U10" s="274" t="e">
        <v>#REF!</v>
      </c>
      <c r="V10" s="274" t="e">
        <v>#REF!</v>
      </c>
      <c r="W10" s="274" t="e">
        <v>#REF!</v>
      </c>
      <c r="X10" s="274" t="e">
        <v>#REF!</v>
      </c>
      <c r="Y10" s="274" t="e">
        <v>#REF!</v>
      </c>
      <c r="Z10" s="274" t="e">
        <v>#REF!</v>
      </c>
      <c r="AA10" s="274" t="e">
        <v>#REF!</v>
      </c>
      <c r="AB10" s="274" t="e">
        <v>#REF!</v>
      </c>
      <c r="AC10" s="274" t="e">
        <v>#REF!</v>
      </c>
      <c r="AD10" s="274" t="e">
        <v>#REF!</v>
      </c>
      <c r="AE10" s="274" t="e">
        <v>#REF!</v>
      </c>
      <c r="AF10" s="274" t="e">
        <v>#REF!</v>
      </c>
      <c r="AG10" s="274" t="e">
        <v>#REF!</v>
      </c>
      <c r="AH10" s="274" t="e">
        <v>#REF!</v>
      </c>
      <c r="AI10" s="318" t="s">
        <v>3429</v>
      </c>
      <c r="AJ10" s="100"/>
      <c r="AK10" s="100"/>
      <c r="AL10" s="100"/>
      <c r="AM10" s="100"/>
      <c r="AN10" s="100"/>
      <c r="AO10" s="100"/>
    </row>
    <row r="11" ht="14.25" customHeight="1">
      <c r="A11" s="326"/>
      <c r="B11" s="201"/>
      <c r="C11" s="201"/>
      <c r="D11" s="201"/>
      <c r="E11" s="273" t="str">
        <f>"FEC from heating networks in the residential sector"&amp;IF('EDCM - Residential'!$F$8="Ok"," (secondary and vacant dwellings included)"," (secondary and vacant dwellings not or partially included)")</f>
        <v>FEC from heating networks in the residential sector (secondary and vacant dwellings not or partially included)</v>
      </c>
      <c r="F11" s="123" t="s">
        <v>135</v>
      </c>
      <c r="G11" s="123" t="s">
        <v>3430</v>
      </c>
      <c r="H11" s="274">
        <f t="array" ref="H11:AH11">IF(NOT(edcmrespartner),calvapcfres,vapcfres)</f>
        <v>0</v>
      </c>
      <c r="I11" s="274">
        <v>0.0</v>
      </c>
      <c r="J11" s="274">
        <v>0.0</v>
      </c>
      <c r="K11" s="274">
        <v>0.0</v>
      </c>
      <c r="L11" s="274">
        <v>0.0</v>
      </c>
      <c r="M11" s="274">
        <v>0.0</v>
      </c>
      <c r="N11" s="274">
        <v>0.0</v>
      </c>
      <c r="O11" s="274">
        <v>0.0</v>
      </c>
      <c r="P11" s="274">
        <v>0.0</v>
      </c>
      <c r="Q11" s="274">
        <v>0.0</v>
      </c>
      <c r="R11" s="274">
        <v>0.0</v>
      </c>
      <c r="S11" s="274">
        <v>0.0</v>
      </c>
      <c r="T11" s="274">
        <v>0.0</v>
      </c>
      <c r="U11" s="274">
        <v>0.0</v>
      </c>
      <c r="V11" s="274">
        <v>0.0</v>
      </c>
      <c r="W11" s="274">
        <v>0.025270261017502592</v>
      </c>
      <c r="X11" s="274">
        <v>0.0</v>
      </c>
      <c r="Y11" s="274">
        <v>0.0</v>
      </c>
      <c r="Z11" s="274">
        <v>0.0</v>
      </c>
      <c r="AA11" s="274">
        <v>0.0</v>
      </c>
      <c r="AB11" s="274">
        <v>0.30009797253808085</v>
      </c>
      <c r="AC11" s="274">
        <v>4.740835069346546</v>
      </c>
      <c r="AD11" s="274">
        <v>6.441532898529656</v>
      </c>
      <c r="AE11" s="274">
        <v>7.649587305615497</v>
      </c>
      <c r="AF11" s="274">
        <v>8.492641375124004</v>
      </c>
      <c r="AG11" s="274">
        <v>9.06027005801727</v>
      </c>
      <c r="AH11" s="274">
        <v>9.480068825209894</v>
      </c>
      <c r="AI11" s="125"/>
      <c r="AJ11" s="100"/>
      <c r="AK11" s="100"/>
      <c r="AL11" s="100"/>
      <c r="AM11" s="100"/>
      <c r="AN11" s="100"/>
      <c r="AO11" s="100"/>
    </row>
    <row r="12" ht="14.25" customHeight="1">
      <c r="A12" s="326"/>
      <c r="B12" s="201"/>
      <c r="C12" s="201"/>
      <c r="D12" s="201"/>
      <c r="E12" s="273" t="str">
        <f>"FEC from ambient heat (heat pumps…) in the residential sector"&amp;IF('EDCM - Residential'!$F$8="Ok"," (secondary and vacant dwellings included)"," (secondary and vacant dwellings not or partially included)")</f>
        <v>FEC from ambient heat (heat pumps…) in the residential sector (secondary and vacant dwellings not or partially included)</v>
      </c>
      <c r="F12" s="123" t="s">
        <v>135</v>
      </c>
      <c r="G12" s="123" t="s">
        <v>3431</v>
      </c>
      <c r="H12" s="274">
        <f t="array" ref="H12:AH12">IF(NOT(edcmrespartner),calpaccfres,paccfres)</f>
        <v>0</v>
      </c>
      <c r="I12" s="274">
        <v>0.0</v>
      </c>
      <c r="J12" s="274">
        <v>0.0</v>
      </c>
      <c r="K12" s="274">
        <v>0.0</v>
      </c>
      <c r="L12" s="274">
        <v>0.0</v>
      </c>
      <c r="M12" s="274">
        <v>0.0</v>
      </c>
      <c r="N12" s="274">
        <v>0.0</v>
      </c>
      <c r="O12" s="274">
        <v>0.0</v>
      </c>
      <c r="P12" s="274">
        <v>0.0</v>
      </c>
      <c r="Q12" s="274">
        <v>0.0</v>
      </c>
      <c r="R12" s="274">
        <v>0.0</v>
      </c>
      <c r="S12" s="274">
        <v>0.0</v>
      </c>
      <c r="T12" s="274">
        <v>0.0</v>
      </c>
      <c r="U12" s="274">
        <v>0.0</v>
      </c>
      <c r="V12" s="274">
        <v>0.0</v>
      </c>
      <c r="W12" s="274">
        <v>1.2344760496110871</v>
      </c>
      <c r="X12" s="274">
        <v>0.0</v>
      </c>
      <c r="Y12" s="274">
        <v>0.0</v>
      </c>
      <c r="Z12" s="274">
        <v>0.0</v>
      </c>
      <c r="AA12" s="274">
        <v>0.0</v>
      </c>
      <c r="AB12" s="274">
        <v>4.54489497572436</v>
      </c>
      <c r="AC12" s="274">
        <v>8.758902585887572</v>
      </c>
      <c r="AD12" s="274">
        <v>12.80213939997019</v>
      </c>
      <c r="AE12" s="274">
        <v>14.675774393122396</v>
      </c>
      <c r="AF12" s="274">
        <v>13.909207301831879</v>
      </c>
      <c r="AG12" s="274">
        <v>14.39532948700953</v>
      </c>
      <c r="AH12" s="274">
        <v>14.28707224237051</v>
      </c>
      <c r="AI12" s="125"/>
      <c r="AJ12" s="100"/>
      <c r="AK12" s="100"/>
      <c r="AL12" s="100"/>
      <c r="AM12" s="100"/>
      <c r="AN12" s="100"/>
      <c r="AO12" s="100"/>
    </row>
    <row r="13" ht="14.25" customHeight="1">
      <c r="A13" s="326"/>
      <c r="B13" s="201"/>
      <c r="C13" s="201"/>
      <c r="D13" s="201"/>
      <c r="E13" s="273" t="str">
        <f>"FEC from thermal solar in the residential sector"&amp;IF('EDCM - Residential'!$F$8="Ok"," (secondary and vacant dwellings included)"," (secondary and vacant dwellings not or partially included)")</f>
        <v>FEC from thermal solar in the residential sector (secondary and vacant dwellings not or partially included)</v>
      </c>
      <c r="F13" s="123" t="s">
        <v>135</v>
      </c>
      <c r="G13" s="123" t="s">
        <v>3432</v>
      </c>
      <c r="H13" s="274">
        <f t="array" ref="H13:AH13">IF(NOT(edcmrespartner),calsthcfres,sthcfres)</f>
        <v>0</v>
      </c>
      <c r="I13" s="274">
        <v>0.0</v>
      </c>
      <c r="J13" s="274">
        <v>0.0</v>
      </c>
      <c r="K13" s="274">
        <v>0.0</v>
      </c>
      <c r="L13" s="274">
        <v>0.0</v>
      </c>
      <c r="M13" s="274">
        <v>0.0</v>
      </c>
      <c r="N13" s="274">
        <v>0.0</v>
      </c>
      <c r="O13" s="274">
        <v>0.0</v>
      </c>
      <c r="P13" s="274">
        <v>0.0</v>
      </c>
      <c r="Q13" s="274">
        <v>0.0</v>
      </c>
      <c r="R13" s="274">
        <v>0.0</v>
      </c>
      <c r="S13" s="274">
        <v>0.0</v>
      </c>
      <c r="T13" s="274">
        <v>0.0</v>
      </c>
      <c r="U13" s="274">
        <v>0.0</v>
      </c>
      <c r="V13" s="274">
        <v>0.0</v>
      </c>
      <c r="W13" s="274">
        <v>0.244694905919593</v>
      </c>
      <c r="X13" s="274">
        <v>0.0</v>
      </c>
      <c r="Y13" s="274">
        <v>0.0</v>
      </c>
      <c r="Z13" s="274">
        <v>0.0</v>
      </c>
      <c r="AA13" s="274">
        <v>0.0</v>
      </c>
      <c r="AB13" s="274">
        <v>0.30679054928309</v>
      </c>
      <c r="AC13" s="274">
        <v>0.367094520910967</v>
      </c>
      <c r="AD13" s="274">
        <v>0.395700826211352</v>
      </c>
      <c r="AE13" s="274">
        <v>0.544121396547187</v>
      </c>
      <c r="AF13" s="274">
        <v>0.754274219804077</v>
      </c>
      <c r="AG13" s="274">
        <v>0.934476777561711</v>
      </c>
      <c r="AH13" s="274">
        <v>1.07687825605147</v>
      </c>
      <c r="AI13" s="125"/>
      <c r="AJ13" s="100"/>
      <c r="AK13" s="100"/>
      <c r="AL13" s="100"/>
      <c r="AM13" s="100"/>
      <c r="AN13" s="100"/>
      <c r="AO13" s="100"/>
    </row>
    <row r="14" ht="14.25" customHeight="1">
      <c r="A14" s="243" t="s">
        <v>3433</v>
      </c>
      <c r="B14" s="100"/>
      <c r="C14" s="100"/>
      <c r="D14" s="100"/>
      <c r="E14" s="100"/>
      <c r="F14" s="206"/>
      <c r="G14" s="206"/>
      <c r="H14" s="207"/>
      <c r="I14" s="207"/>
      <c r="J14" s="207"/>
      <c r="K14" s="207"/>
      <c r="L14" s="207"/>
      <c r="M14" s="207"/>
      <c r="N14" s="207"/>
      <c r="O14" s="207"/>
      <c r="P14" s="207"/>
      <c r="Q14" s="207"/>
      <c r="R14" s="207"/>
      <c r="S14" s="207"/>
      <c r="T14" s="207"/>
      <c r="U14" s="207"/>
      <c r="V14" s="207"/>
      <c r="W14" s="208"/>
      <c r="X14" s="208"/>
      <c r="Y14" s="208"/>
      <c r="Z14" s="208"/>
      <c r="AA14" s="208"/>
      <c r="AB14" s="208"/>
      <c r="AC14" s="208"/>
      <c r="AD14" s="208"/>
      <c r="AE14" s="208"/>
      <c r="AF14" s="208"/>
      <c r="AG14" s="208"/>
      <c r="AH14" s="208"/>
      <c r="AI14" s="100"/>
      <c r="AJ14" s="100"/>
      <c r="AK14" s="100"/>
      <c r="AL14" s="100"/>
      <c r="AM14" s="100"/>
      <c r="AN14" s="100"/>
      <c r="AO14" s="100"/>
    </row>
    <row r="15" ht="14.25" hidden="1" customHeight="1" outlineLevel="1">
      <c r="A15" s="247"/>
      <c r="B15" s="246" t="s">
        <v>3434</v>
      </c>
      <c r="C15" s="246"/>
      <c r="D15" s="201"/>
      <c r="E15" s="162"/>
      <c r="F15" s="162"/>
      <c r="G15" s="162"/>
      <c r="H15" s="178"/>
      <c r="I15" s="178"/>
      <c r="J15" s="178"/>
      <c r="K15" s="178"/>
      <c r="L15" s="178"/>
      <c r="M15" s="178"/>
      <c r="N15" s="178"/>
      <c r="O15" s="178"/>
      <c r="P15" s="178"/>
      <c r="Q15" s="178"/>
      <c r="R15" s="178"/>
      <c r="S15" s="178"/>
      <c r="T15" s="178"/>
      <c r="U15" s="178"/>
      <c r="V15" s="178"/>
      <c r="W15" s="178"/>
      <c r="X15" s="178"/>
      <c r="Y15" s="178"/>
      <c r="Z15" s="178"/>
      <c r="AA15" s="178"/>
      <c r="AB15" s="178"/>
      <c r="AC15" s="178"/>
      <c r="AD15" s="178"/>
      <c r="AE15" s="178"/>
      <c r="AF15" s="178"/>
      <c r="AG15" s="178"/>
      <c r="AH15" s="178"/>
      <c r="AI15" s="244"/>
      <c r="AJ15" s="100"/>
      <c r="AK15" s="100"/>
      <c r="AL15" s="100"/>
      <c r="AM15" s="100"/>
      <c r="AN15" s="100"/>
      <c r="AO15" s="100"/>
    </row>
    <row r="16" ht="14.25" hidden="1" customHeight="1" outlineLevel="3">
      <c r="A16" s="200"/>
      <c r="B16" s="100"/>
      <c r="C16" s="201"/>
      <c r="D16" s="201"/>
      <c r="E16" s="273" t="str">
        <f>"TOTAL FEC for space heating in the residential sector"&amp;IF('EDCM - Residential'!$F$8="Ok"," (secondary and vacant dwellings included)"," (secondary and vacant dwellings not or partially included)")</f>
        <v>TOTAL FEC for space heating in the residential sector (secondary and vacant dwellings not or partially included)</v>
      </c>
      <c r="F16" s="123" t="s">
        <v>135</v>
      </c>
      <c r="G16" s="123" t="s">
        <v>3435</v>
      </c>
      <c r="H16" s="274">
        <f t="array" ref="H16:AH16">INDIRECT(IF(NOT(edcmrespartner),"cal","")&amp;RIGHT(G16,11))</f>
        <v>0</v>
      </c>
      <c r="I16" s="274">
        <v>0.0</v>
      </c>
      <c r="J16" s="274">
        <v>0.0</v>
      </c>
      <c r="K16" s="274">
        <v>0.0</v>
      </c>
      <c r="L16" s="274">
        <v>0.0</v>
      </c>
      <c r="M16" s="274">
        <v>0.0</v>
      </c>
      <c r="N16" s="274">
        <v>0.0</v>
      </c>
      <c r="O16" s="274">
        <v>0.0</v>
      </c>
      <c r="P16" s="274">
        <v>0.0</v>
      </c>
      <c r="Q16" s="274">
        <v>0.0</v>
      </c>
      <c r="R16" s="274">
        <v>0.0</v>
      </c>
      <c r="S16" s="274">
        <v>0.0</v>
      </c>
      <c r="T16" s="274">
        <v>0.0</v>
      </c>
      <c r="U16" s="274">
        <v>0.0</v>
      </c>
      <c r="V16" s="274">
        <v>0.0</v>
      </c>
      <c r="W16" s="274">
        <v>71.24087604961112</v>
      </c>
      <c r="X16" s="274">
        <v>0.0</v>
      </c>
      <c r="Y16" s="274">
        <v>0.0</v>
      </c>
      <c r="Z16" s="274">
        <v>0.0</v>
      </c>
      <c r="AA16" s="274">
        <v>0.0</v>
      </c>
      <c r="AB16" s="274">
        <v>68.87416020730133</v>
      </c>
      <c r="AC16" s="274">
        <v>63.46924284422549</v>
      </c>
      <c r="AD16" s="274">
        <v>53.35506174275355</v>
      </c>
      <c r="AE16" s="274">
        <v>47.37452920694521</v>
      </c>
      <c r="AF16" s="274">
        <v>41.57755691688664</v>
      </c>
      <c r="AG16" s="274">
        <v>36.476952260646996</v>
      </c>
      <c r="AH16" s="274">
        <v>32.90811914212339</v>
      </c>
      <c r="AI16" s="204"/>
      <c r="AJ16" s="100"/>
      <c r="AK16" s="100"/>
      <c r="AL16" s="100"/>
      <c r="AM16" s="100"/>
      <c r="AN16" s="100"/>
      <c r="AO16" s="100"/>
    </row>
    <row r="17" ht="14.25" hidden="1" customHeight="1" outlineLevel="3">
      <c r="A17" s="200"/>
      <c r="B17" s="201"/>
      <c r="C17" s="201"/>
      <c r="D17" s="201"/>
      <c r="E17" s="273" t="str">
        <f>"FEC from solid fossil fuels (coal ...) for space heating in the residential sector"&amp;IF('EDCM - Residential'!$F$8="Ok"," (secondary and vacant dwellings included)"," (secondary and vacant dwellings not or partially included)")</f>
        <v>FEC from solid fossil fuels (coal ...) for space heating in the residential sector (secondary and vacant dwellings not or partially included)</v>
      </c>
      <c r="F17" s="280" t="s">
        <v>135</v>
      </c>
      <c r="G17" s="123" t="s">
        <v>3436</v>
      </c>
      <c r="H17" s="274" t="str">
        <f t="array" ref="H17:AH17">INDIRECT(IF(NOT(edcmrespartner),"cal","")&amp;RIGHT(G17,11))</f>
        <v/>
      </c>
      <c r="I17" s="274"/>
      <c r="J17" s="274"/>
      <c r="K17" s="274"/>
      <c r="L17" s="274"/>
      <c r="M17" s="274"/>
      <c r="N17" s="274"/>
      <c r="O17" s="274"/>
      <c r="P17" s="274"/>
      <c r="Q17" s="274"/>
      <c r="R17" s="274"/>
      <c r="S17" s="274"/>
      <c r="T17" s="274"/>
      <c r="U17" s="274"/>
      <c r="V17" s="274"/>
      <c r="W17" s="274">
        <v>1.0951999999999957</v>
      </c>
      <c r="X17" s="274"/>
      <c r="Y17" s="274"/>
      <c r="Z17" s="274"/>
      <c r="AA17" s="274"/>
      <c r="AB17" s="274">
        <v>0.8915508240142374</v>
      </c>
      <c r="AC17" s="274">
        <v>0.17138926336803192</v>
      </c>
      <c r="AD17" s="274">
        <v>0.0</v>
      </c>
      <c r="AE17" s="274">
        <v>0.0</v>
      </c>
      <c r="AF17" s="274">
        <v>0.0</v>
      </c>
      <c r="AG17" s="274">
        <v>0.0</v>
      </c>
      <c r="AH17" s="274">
        <v>0.0</v>
      </c>
      <c r="AI17" s="204"/>
      <c r="AJ17" s="100"/>
      <c r="AK17" s="100"/>
      <c r="AL17" s="100"/>
      <c r="AM17" s="100"/>
      <c r="AN17" s="100"/>
      <c r="AO17" s="100"/>
    </row>
    <row r="18" ht="14.25" hidden="1" customHeight="1" outlineLevel="3">
      <c r="A18" s="200"/>
      <c r="B18" s="201"/>
      <c r="C18" s="201"/>
      <c r="D18" s="201"/>
      <c r="E18" s="273" t="str">
        <f>"FEC from solid biomass for space heating in the residential sector"&amp;IF('EDCM - Residential'!$F$8="Ok"," (secondary and vacant dwellings included)"," (secondary and vacant dwellings not or partially included)")</f>
        <v>FEC from solid biomass for space heating in the residential sector (secondary and vacant dwellings not or partially included)</v>
      </c>
      <c r="F18" s="280" t="s">
        <v>135</v>
      </c>
      <c r="G18" s="123" t="s">
        <v>3437</v>
      </c>
      <c r="H18" s="274" t="str">
        <f t="array" ref="H18:AH18">INDIRECT(IF(NOT(edcmrespartner),"cal","")&amp;RIGHT(G18,11))</f>
        <v/>
      </c>
      <c r="I18" s="274"/>
      <c r="J18" s="274"/>
      <c r="K18" s="274"/>
      <c r="L18" s="274"/>
      <c r="M18" s="274"/>
      <c r="N18" s="274"/>
      <c r="O18" s="274"/>
      <c r="P18" s="274"/>
      <c r="Q18" s="274"/>
      <c r="R18" s="274"/>
      <c r="S18" s="274"/>
      <c r="T18" s="274"/>
      <c r="U18" s="274"/>
      <c r="V18" s="274"/>
      <c r="W18" s="274">
        <v>6.203300000000005</v>
      </c>
      <c r="X18" s="274"/>
      <c r="Y18" s="274"/>
      <c r="Z18" s="274"/>
      <c r="AA18" s="274"/>
      <c r="AB18" s="274">
        <v>6.115025333194431</v>
      </c>
      <c r="AC18" s="274">
        <v>5.861512807186673</v>
      </c>
      <c r="AD18" s="274">
        <v>5.283598899378768</v>
      </c>
      <c r="AE18" s="274">
        <v>4.753221382990951</v>
      </c>
      <c r="AF18" s="274">
        <v>4.256904498372835</v>
      </c>
      <c r="AG18" s="274">
        <v>3.838382094521404</v>
      </c>
      <c r="AH18" s="274">
        <v>3.518397121989511</v>
      </c>
      <c r="AI18" s="204"/>
      <c r="AJ18" s="100"/>
      <c r="AK18" s="100"/>
      <c r="AL18" s="100"/>
      <c r="AM18" s="100"/>
      <c r="AN18" s="100"/>
      <c r="AO18" s="100"/>
    </row>
    <row r="19" ht="14.25" hidden="1" customHeight="1" outlineLevel="3">
      <c r="A19" s="200"/>
      <c r="B19" s="201"/>
      <c r="C19" s="201"/>
      <c r="D19" s="201"/>
      <c r="E19" s="273" t="str">
        <f>"FEC from oil for space heating in the residential sector"&amp;IF('EDCM - Residential'!$F$8="Ok"," (secondary and vacant dwellings included)"," (secondary and vacant dwellings not or partially included)")</f>
        <v>FEC from oil for space heating in the residential sector (secondary and vacant dwellings not or partially included)</v>
      </c>
      <c r="F19" s="280" t="s">
        <v>135</v>
      </c>
      <c r="G19" s="123" t="s">
        <v>3438</v>
      </c>
      <c r="H19" s="274" t="str">
        <f t="array" ref="H19:AH19">INDIRECT(IF(NOT(edcmrespartner),"cal","")&amp;RIGHT(G19,11))</f>
        <v/>
      </c>
      <c r="I19" s="274"/>
      <c r="J19" s="274"/>
      <c r="K19" s="274"/>
      <c r="L19" s="274"/>
      <c r="M19" s="274"/>
      <c r="N19" s="274"/>
      <c r="O19" s="274"/>
      <c r="P19" s="274"/>
      <c r="Q19" s="274"/>
      <c r="R19" s="274"/>
      <c r="S19" s="274"/>
      <c r="T19" s="274"/>
      <c r="U19" s="274"/>
      <c r="V19" s="274"/>
      <c r="W19" s="274">
        <v>29.185000000000066</v>
      </c>
      <c r="X19" s="274"/>
      <c r="Y19" s="274"/>
      <c r="Z19" s="274"/>
      <c r="AA19" s="274"/>
      <c r="AB19" s="274">
        <v>25.469839198690718</v>
      </c>
      <c r="AC19" s="274">
        <v>17.697804369525002</v>
      </c>
      <c r="AD19" s="274">
        <v>6.323998682654121</v>
      </c>
      <c r="AE19" s="274">
        <v>2.8937892316067866</v>
      </c>
      <c r="AF19" s="274">
        <v>2.5516670392396295</v>
      </c>
      <c r="AG19" s="274">
        <v>0.4569648639213185</v>
      </c>
      <c r="AH19" s="274">
        <v>0.0</v>
      </c>
      <c r="AI19" s="204"/>
      <c r="AJ19" s="100"/>
      <c r="AK19" s="100"/>
      <c r="AL19" s="100"/>
      <c r="AM19" s="100"/>
      <c r="AN19" s="100"/>
      <c r="AO19" s="100"/>
    </row>
    <row r="20" ht="14.25" hidden="1" customHeight="1" outlineLevel="3">
      <c r="A20" s="200"/>
      <c r="B20" s="201"/>
      <c r="C20" s="201"/>
      <c r="D20" s="201"/>
      <c r="E20" s="273" t="str">
        <f>"FEC from gas grid / gas consumed locally for space heating in the residential sector"&amp;IF('EDCM - Residential'!$F$8="Ok"," (secondary and vacant dwellings included)"," (secondary and vacant dwellings not or partially included)")</f>
        <v>FEC from gas grid / gas consumed locally for space heating in the residential sector (secondary and vacant dwellings not or partially included)</v>
      </c>
      <c r="F20" s="280" t="s">
        <v>135</v>
      </c>
      <c r="G20" s="123" t="s">
        <v>3439</v>
      </c>
      <c r="H20" s="274" t="str">
        <f t="array" ref="H20:AH20">INDIRECT(IF(NOT(edcmrespartner),"cal","")&amp;RIGHT(G20,11))</f>
        <v/>
      </c>
      <c r="I20" s="274"/>
      <c r="J20" s="274"/>
      <c r="K20" s="274"/>
      <c r="L20" s="274"/>
      <c r="M20" s="274"/>
      <c r="N20" s="274"/>
      <c r="O20" s="274"/>
      <c r="P20" s="274"/>
      <c r="Q20" s="274"/>
      <c r="R20" s="274"/>
      <c r="S20" s="274"/>
      <c r="T20" s="274"/>
      <c r="U20" s="274"/>
      <c r="V20" s="274"/>
      <c r="W20" s="274">
        <v>31.404799999999966</v>
      </c>
      <c r="X20" s="274"/>
      <c r="Y20" s="274"/>
      <c r="Z20" s="274"/>
      <c r="AA20" s="274"/>
      <c r="AB20" s="274">
        <v>27.83153089208782</v>
      </c>
      <c r="AC20" s="274">
        <v>20.639129602769973</v>
      </c>
      <c r="AD20" s="274">
        <v>15.370830131451019</v>
      </c>
      <c r="AE20" s="274">
        <v>10.302508974316874</v>
      </c>
      <c r="AF20" s="274">
        <v>6.554336092144185</v>
      </c>
      <c r="AG20" s="274">
        <v>3.34528034344708</v>
      </c>
      <c r="AH20" s="274">
        <v>0.820959328464221</v>
      </c>
      <c r="AI20" s="204"/>
      <c r="AJ20" s="100"/>
      <c r="AK20" s="100"/>
      <c r="AL20" s="100"/>
      <c r="AM20" s="100"/>
      <c r="AN20" s="100"/>
      <c r="AO20" s="100"/>
    </row>
    <row r="21" ht="14.25" hidden="1" customHeight="1" outlineLevel="3">
      <c r="A21" s="200"/>
      <c r="B21" s="201"/>
      <c r="C21" s="201"/>
      <c r="D21" s="201"/>
      <c r="E21" s="273" t="str">
        <f>"Final electricity consumption for space heating in the residential sector"&amp;IF('EDCM - Residential'!$F$8="Ok"," (secondary and vacant dwellings included)"," (secondary and vacant dwellings not or partially included)")</f>
        <v>Final electricity consumption for space heating in the residential sector (secondary and vacant dwellings not or partially included)</v>
      </c>
      <c r="F21" s="280" t="s">
        <v>135</v>
      </c>
      <c r="G21" s="123" t="s">
        <v>3440</v>
      </c>
      <c r="H21" s="274" t="str">
        <f t="array" ref="H21:AH21">INDIRECT(IF(NOT(edcmrespartner),"cal","")&amp;RIGHT(G21,11))</f>
        <v/>
      </c>
      <c r="I21" s="274"/>
      <c r="J21" s="274"/>
      <c r="K21" s="274"/>
      <c r="L21" s="274"/>
      <c r="M21" s="274"/>
      <c r="N21" s="274"/>
      <c r="O21" s="274"/>
      <c r="P21" s="274"/>
      <c r="Q21" s="274"/>
      <c r="R21" s="274"/>
      <c r="S21" s="274"/>
      <c r="T21" s="274"/>
      <c r="U21" s="274"/>
      <c r="V21" s="274"/>
      <c r="W21" s="274">
        <v>2.095099999999999</v>
      </c>
      <c r="X21" s="274"/>
      <c r="Y21" s="274"/>
      <c r="Z21" s="274"/>
      <c r="AA21" s="274"/>
      <c r="AB21" s="274">
        <v>4.311941837586381</v>
      </c>
      <c r="AC21" s="274">
        <v>6.75760810160968</v>
      </c>
      <c r="AD21" s="274">
        <v>8.717727577851786</v>
      </c>
      <c r="AE21" s="274">
        <v>9.064857732194051</v>
      </c>
      <c r="AF21" s="274">
        <v>7.955168156593862</v>
      </c>
      <c r="AG21" s="274">
        <v>7.634031207195333</v>
      </c>
      <c r="AH21" s="274">
        <v>7.086993596855902</v>
      </c>
      <c r="AI21" s="204"/>
      <c r="AJ21" s="100"/>
      <c r="AK21" s="100"/>
      <c r="AL21" s="100"/>
      <c r="AM21" s="100"/>
      <c r="AN21" s="100"/>
      <c r="AO21" s="100"/>
    </row>
    <row r="22" ht="14.25" hidden="1" customHeight="1" outlineLevel="3">
      <c r="A22" s="200"/>
      <c r="B22" s="201"/>
      <c r="C22" s="201"/>
      <c r="D22" s="201"/>
      <c r="E22" s="273" t="str">
        <f>"FEC from heating networks for space heating in the residential sector"&amp;IF('EDCM - Residential'!$F$8="Ok"," (secondary and vacant dwellings included)"," (secondary and vacant dwellings not or partially included)")</f>
        <v>FEC from heating networks for space heating in the residential sector (secondary and vacant dwellings not or partially included)</v>
      </c>
      <c r="F22" s="280" t="s">
        <v>135</v>
      </c>
      <c r="G22" s="123" t="s">
        <v>3441</v>
      </c>
      <c r="H22" s="274" t="str">
        <f t="array" ref="H22:AH22">INDIRECT(IF(NOT(edcmrespartner),"cal","")&amp;RIGHT(G22,11))</f>
        <v/>
      </c>
      <c r="I22" s="274"/>
      <c r="J22" s="274"/>
      <c r="K22" s="274"/>
      <c r="L22" s="274"/>
      <c r="M22" s="274"/>
      <c r="N22" s="274"/>
      <c r="O22" s="274"/>
      <c r="P22" s="274"/>
      <c r="Q22" s="274"/>
      <c r="R22" s="274"/>
      <c r="S22" s="274"/>
      <c r="T22" s="274"/>
      <c r="U22" s="274"/>
      <c r="V22" s="274"/>
      <c r="W22" s="274">
        <v>0.023000000000000062</v>
      </c>
      <c r="X22" s="274"/>
      <c r="Y22" s="274"/>
      <c r="Z22" s="274"/>
      <c r="AA22" s="274"/>
      <c r="AB22" s="274">
        <v>0.034715359771441835</v>
      </c>
      <c r="AC22" s="274">
        <v>4.232502989170664</v>
      </c>
      <c r="AD22" s="274">
        <v>5.75912969947925</v>
      </c>
      <c r="AE22" s="274">
        <v>6.817615376711446</v>
      </c>
      <c r="AF22" s="274">
        <v>7.599328382317308</v>
      </c>
      <c r="AG22" s="274">
        <v>8.133461134132164</v>
      </c>
      <c r="AH22" s="274">
        <v>8.551659671502287</v>
      </c>
      <c r="AI22" s="204"/>
      <c r="AJ22" s="100"/>
      <c r="AK22" s="100"/>
      <c r="AL22" s="100"/>
      <c r="AM22" s="100"/>
      <c r="AN22" s="100"/>
      <c r="AO22" s="100"/>
    </row>
    <row r="23" ht="14.25" hidden="1" customHeight="1" outlineLevel="3">
      <c r="A23" s="200"/>
      <c r="B23" s="201"/>
      <c r="C23" s="201"/>
      <c r="D23" s="201"/>
      <c r="E23" s="273" t="str">
        <f>"Final energy consumption from ambient heat (heat pumps…) for space heating in the residential sector"&amp;IF('EDCM - Residential'!$F$8="Ok"," (secondary and vacant dwellings included)"," (secondary and vacant dwellings not or partially included)")</f>
        <v>Final energy consumption from ambient heat (heat pumps…) for space heating in the residential sector (secondary and vacant dwellings not or partially included)</v>
      </c>
      <c r="F23" s="280" t="s">
        <v>135</v>
      </c>
      <c r="G23" s="123" t="s">
        <v>3442</v>
      </c>
      <c r="H23" s="274" t="str">
        <f t="array" ref="H23:AH23">INDIRECT(IF(NOT(edcmrespartner),"cal","")&amp;RIGHT(G23,11))</f>
        <v/>
      </c>
      <c r="I23" s="274"/>
      <c r="J23" s="274"/>
      <c r="K23" s="274"/>
      <c r="L23" s="274"/>
      <c r="M23" s="274"/>
      <c r="N23" s="274"/>
      <c r="O23" s="274"/>
      <c r="P23" s="274"/>
      <c r="Q23" s="274"/>
      <c r="R23" s="274"/>
      <c r="S23" s="274"/>
      <c r="T23" s="274"/>
      <c r="U23" s="274"/>
      <c r="V23" s="274"/>
      <c r="W23" s="274">
        <v>1.2344760496110871</v>
      </c>
      <c r="X23" s="274"/>
      <c r="Y23" s="274"/>
      <c r="Z23" s="274"/>
      <c r="AA23" s="274"/>
      <c r="AB23" s="274">
        <v>4.219556761956318</v>
      </c>
      <c r="AC23" s="274">
        <v>8.109295710595472</v>
      </c>
      <c r="AD23" s="274">
        <v>11.899776751938594</v>
      </c>
      <c r="AE23" s="274">
        <v>13.542536509125105</v>
      </c>
      <c r="AF23" s="274">
        <v>12.660152748218819</v>
      </c>
      <c r="AG23" s="274">
        <v>13.068832617429699</v>
      </c>
      <c r="AH23" s="274">
        <v>12.93010942331147</v>
      </c>
      <c r="AI23" s="204"/>
      <c r="AJ23" s="100"/>
      <c r="AK23" s="100"/>
      <c r="AL23" s="100"/>
      <c r="AM23" s="100"/>
      <c r="AN23" s="100"/>
      <c r="AO23" s="100"/>
    </row>
    <row r="24" ht="14.25" hidden="1" customHeight="1" outlineLevel="3">
      <c r="A24" s="200"/>
      <c r="B24" s="201"/>
      <c r="C24" s="201"/>
      <c r="D24" s="201"/>
      <c r="E24" s="273" t="str">
        <f>"FEC from thermal solar for space heating in the residential sector"&amp;IF('EDCM - Residential'!$F$8="Ok"," (secondary and vacant dwellings included)"," (secondary and vacant dwellings not or partially included)")</f>
        <v>FEC from thermal solar for space heating in the residential sector (secondary and vacant dwellings not or partially included)</v>
      </c>
      <c r="F24" s="280" t="s">
        <v>135</v>
      </c>
      <c r="G24" s="123" t="s">
        <v>3443</v>
      </c>
      <c r="H24" s="274">
        <f t="array" ref="H24:AH24">INDIRECT(IF(NOT(edcmrespartner),"cal","")&amp;RIGHT(G24,11))</f>
        <v>0</v>
      </c>
      <c r="I24" s="274">
        <v>0.0</v>
      </c>
      <c r="J24" s="274">
        <v>0.0</v>
      </c>
      <c r="K24" s="274">
        <v>0.0</v>
      </c>
      <c r="L24" s="274">
        <v>0.0</v>
      </c>
      <c r="M24" s="274">
        <v>0.0</v>
      </c>
      <c r="N24" s="274">
        <v>0.0</v>
      </c>
      <c r="O24" s="274">
        <v>0.0</v>
      </c>
      <c r="P24" s="274">
        <v>0.0</v>
      </c>
      <c r="Q24" s="274">
        <v>0.0</v>
      </c>
      <c r="R24" s="274">
        <v>0.0</v>
      </c>
      <c r="S24" s="274">
        <v>0.0</v>
      </c>
      <c r="T24" s="274">
        <v>0.0</v>
      </c>
      <c r="U24" s="274">
        <v>0.0</v>
      </c>
      <c r="V24" s="274">
        <v>0.0</v>
      </c>
      <c r="W24" s="274">
        <v>0.0</v>
      </c>
      <c r="X24" s="274">
        <v>0.0</v>
      </c>
      <c r="Y24" s="274">
        <v>0.0</v>
      </c>
      <c r="Z24" s="274">
        <v>0.0</v>
      </c>
      <c r="AA24" s="274">
        <v>0.0</v>
      </c>
      <c r="AB24" s="274">
        <v>0.0</v>
      </c>
      <c r="AC24" s="274">
        <v>0.0</v>
      </c>
      <c r="AD24" s="274">
        <v>0.0</v>
      </c>
      <c r="AE24" s="274">
        <v>0.0</v>
      </c>
      <c r="AF24" s="274">
        <v>0.0</v>
      </c>
      <c r="AG24" s="274">
        <v>0.0</v>
      </c>
      <c r="AH24" s="274">
        <v>0.0</v>
      </c>
      <c r="AI24" s="204"/>
      <c r="AJ24" s="100"/>
      <c r="AK24" s="100"/>
      <c r="AL24" s="100"/>
      <c r="AM24" s="100"/>
      <c r="AN24" s="100"/>
      <c r="AO24" s="100"/>
    </row>
    <row r="25" ht="13.5" hidden="1" customHeight="1" outlineLevel="1">
      <c r="A25" s="247"/>
      <c r="B25" s="246" t="s">
        <v>3444</v>
      </c>
      <c r="C25" s="282"/>
      <c r="D25" s="283"/>
      <c r="E25" s="284"/>
      <c r="F25" s="162"/>
      <c r="G25" s="162"/>
      <c r="H25" s="178"/>
      <c r="I25" s="178"/>
      <c r="J25" s="178"/>
      <c r="K25" s="178"/>
      <c r="L25" s="178"/>
      <c r="M25" s="178"/>
      <c r="N25" s="178"/>
      <c r="O25" s="178"/>
      <c r="P25" s="178"/>
      <c r="Q25" s="178"/>
      <c r="R25" s="178"/>
      <c r="S25" s="178"/>
      <c r="T25" s="178"/>
      <c r="U25" s="178"/>
      <c r="V25" s="178"/>
      <c r="W25" s="178"/>
      <c r="X25" s="178"/>
      <c r="Y25" s="178"/>
      <c r="Z25" s="178"/>
      <c r="AA25" s="178"/>
      <c r="AB25" s="178"/>
      <c r="AC25" s="178"/>
      <c r="AD25" s="178"/>
      <c r="AE25" s="178"/>
      <c r="AF25" s="178"/>
      <c r="AG25" s="178"/>
      <c r="AH25" s="178"/>
      <c r="AI25" s="244"/>
      <c r="AJ25" s="100"/>
      <c r="AK25" s="100"/>
      <c r="AL25" s="100"/>
      <c r="AM25" s="100"/>
      <c r="AN25" s="100"/>
      <c r="AO25" s="100"/>
    </row>
    <row r="26" ht="14.25" hidden="1" customHeight="1" outlineLevel="3">
      <c r="A26" s="247"/>
      <c r="B26" s="201"/>
      <c r="C26" s="201"/>
      <c r="D26" s="201"/>
      <c r="E26" s="273" t="str">
        <f>"TOTAL FEC for cooling in the residential sector"&amp;IF('EDCM - Residential'!$F$8="Ok"," (secondary and vacant dwellings included)"," (secondary and vacant dwellings not or partially included)")</f>
        <v>TOTAL FEC for cooling in the residential sector (secondary and vacant dwellings not or partially included)</v>
      </c>
      <c r="F26" s="280" t="s">
        <v>135</v>
      </c>
      <c r="G26" s="123" t="s">
        <v>3445</v>
      </c>
      <c r="H26" s="274" t="str">
        <f t="array" ref="H26:AH26">INDIRECT(IF(NOT(edcmrespartner),"cal","")&amp;RIGHT(G26,11))</f>
        <v>#REF!</v>
      </c>
      <c r="I26" s="274" t="e">
        <v>#REF!</v>
      </c>
      <c r="J26" s="274" t="e">
        <v>#REF!</v>
      </c>
      <c r="K26" s="274" t="e">
        <v>#REF!</v>
      </c>
      <c r="L26" s="274" t="e">
        <v>#REF!</v>
      </c>
      <c r="M26" s="274" t="e">
        <v>#REF!</v>
      </c>
      <c r="N26" s="274" t="e">
        <v>#REF!</v>
      </c>
      <c r="O26" s="274" t="e">
        <v>#REF!</v>
      </c>
      <c r="P26" s="274" t="e">
        <v>#REF!</v>
      </c>
      <c r="Q26" s="274" t="e">
        <v>#REF!</v>
      </c>
      <c r="R26" s="274" t="e">
        <v>#REF!</v>
      </c>
      <c r="S26" s="274" t="e">
        <v>#REF!</v>
      </c>
      <c r="T26" s="274" t="e">
        <v>#REF!</v>
      </c>
      <c r="U26" s="274" t="e">
        <v>#REF!</v>
      </c>
      <c r="V26" s="274" t="e">
        <v>#REF!</v>
      </c>
      <c r="W26" s="274" t="e">
        <v>#REF!</v>
      </c>
      <c r="X26" s="274" t="e">
        <v>#REF!</v>
      </c>
      <c r="Y26" s="274" t="e">
        <v>#REF!</v>
      </c>
      <c r="Z26" s="274" t="e">
        <v>#REF!</v>
      </c>
      <c r="AA26" s="274" t="e">
        <v>#REF!</v>
      </c>
      <c r="AB26" s="274" t="e">
        <v>#REF!</v>
      </c>
      <c r="AC26" s="274" t="e">
        <v>#REF!</v>
      </c>
      <c r="AD26" s="274" t="e">
        <v>#REF!</v>
      </c>
      <c r="AE26" s="274" t="e">
        <v>#REF!</v>
      </c>
      <c r="AF26" s="274" t="e">
        <v>#REF!</v>
      </c>
      <c r="AG26" s="274" t="e">
        <v>#REF!</v>
      </c>
      <c r="AH26" s="274" t="e">
        <v>#REF!</v>
      </c>
      <c r="AI26" s="204"/>
      <c r="AJ26" s="100"/>
      <c r="AK26" s="100"/>
      <c r="AL26" s="100"/>
      <c r="AM26" s="100"/>
      <c r="AN26" s="100"/>
      <c r="AO26" s="100"/>
    </row>
    <row r="27" ht="13.5" hidden="1" customHeight="1" outlineLevel="1">
      <c r="A27" s="247"/>
      <c r="B27" s="246" t="s">
        <v>3446</v>
      </c>
      <c r="C27" s="246"/>
      <c r="D27" s="201"/>
      <c r="E27" s="162"/>
      <c r="F27" s="162"/>
      <c r="G27" s="162"/>
      <c r="H27" s="178"/>
      <c r="I27" s="178"/>
      <c r="J27" s="178"/>
      <c r="K27" s="178"/>
      <c r="L27" s="178"/>
      <c r="M27" s="178"/>
      <c r="N27" s="178"/>
      <c r="O27" s="178"/>
      <c r="P27" s="178"/>
      <c r="Q27" s="178"/>
      <c r="R27" s="178"/>
      <c r="S27" s="178"/>
      <c r="T27" s="178"/>
      <c r="U27" s="178"/>
      <c r="V27" s="178"/>
      <c r="W27" s="178"/>
      <c r="X27" s="178"/>
      <c r="Y27" s="178"/>
      <c r="Z27" s="178"/>
      <c r="AA27" s="178"/>
      <c r="AB27" s="178"/>
      <c r="AC27" s="178"/>
      <c r="AD27" s="178"/>
      <c r="AE27" s="178"/>
      <c r="AF27" s="178"/>
      <c r="AG27" s="178"/>
      <c r="AH27" s="178"/>
      <c r="AI27" s="244"/>
      <c r="AJ27" s="100"/>
      <c r="AK27" s="100"/>
      <c r="AL27" s="100"/>
      <c r="AM27" s="100"/>
      <c r="AN27" s="100"/>
      <c r="AO27" s="100"/>
    </row>
    <row r="28" ht="14.25" hidden="1" customHeight="1" outlineLevel="3">
      <c r="A28" s="247"/>
      <c r="B28" s="100"/>
      <c r="C28" s="268"/>
      <c r="D28" s="201"/>
      <c r="E28" s="287" t="s">
        <v>3447</v>
      </c>
      <c r="F28" s="249" t="s">
        <v>135</v>
      </c>
      <c r="G28" s="249" t="s">
        <v>3448</v>
      </c>
      <c r="H28" s="181">
        <f t="array" ref="H28:AH28">INDIRECT(RIGHT(G28,11))</f>
        <v>11.8138</v>
      </c>
      <c r="I28" s="181">
        <v>11.5724</v>
      </c>
      <c r="J28" s="181">
        <v>11.5478</v>
      </c>
      <c r="K28" s="181">
        <v>11.3855</v>
      </c>
      <c r="L28" s="181">
        <v>11.2373</v>
      </c>
      <c r="M28" s="181">
        <v>11.7598</v>
      </c>
      <c r="N28" s="181">
        <v>11.0741</v>
      </c>
      <c r="O28" s="181">
        <v>10.9415</v>
      </c>
      <c r="P28" s="181">
        <v>10.672</v>
      </c>
      <c r="Q28" s="181">
        <v>10.377</v>
      </c>
      <c r="R28" s="181">
        <v>10.4302</v>
      </c>
      <c r="S28" s="181">
        <v>10.556</v>
      </c>
      <c r="T28" s="181">
        <v>10.6461</v>
      </c>
      <c r="U28" s="181">
        <v>10.7497</v>
      </c>
      <c r="V28" s="181">
        <v>10.8195</v>
      </c>
      <c r="W28" s="286">
        <v>10.4640603903416</v>
      </c>
      <c r="X28" s="181">
        <v>10.9733</v>
      </c>
      <c r="Y28" s="181">
        <v>11.0344</v>
      </c>
      <c r="Z28" s="181">
        <v>11.166</v>
      </c>
      <c r="AA28" s="181"/>
      <c r="AB28" s="286">
        <v>9.31869134907769</v>
      </c>
      <c r="AC28" s="286">
        <v>8.50551956920465</v>
      </c>
      <c r="AD28" s="286">
        <v>7.30252753102058</v>
      </c>
      <c r="AE28" s="286">
        <v>6.59880970336838</v>
      </c>
      <c r="AF28" s="286">
        <v>5.7715375705244</v>
      </c>
      <c r="AG28" s="286">
        <v>5.14614617391197</v>
      </c>
      <c r="AH28" s="286">
        <v>4.6106891594176</v>
      </c>
      <c r="AI28" s="204"/>
      <c r="AJ28" s="100"/>
      <c r="AK28" s="100"/>
      <c r="AL28" s="100"/>
      <c r="AM28" s="100"/>
      <c r="AN28" s="100"/>
      <c r="AO28" s="100"/>
    </row>
    <row r="29" ht="14.25" hidden="1" customHeight="1" outlineLevel="3">
      <c r="A29" s="247"/>
      <c r="B29" s="100"/>
      <c r="C29" s="268"/>
      <c r="D29" s="201"/>
      <c r="E29" s="270" t="s">
        <v>470</v>
      </c>
      <c r="F29" s="249" t="s">
        <v>135</v>
      </c>
      <c r="G29" s="249" t="s">
        <v>3449</v>
      </c>
      <c r="H29" s="181">
        <f t="array" ref="H29:AH29">INDIRECT(RIGHT(G29,11))</f>
        <v>0.003</v>
      </c>
      <c r="I29" s="181">
        <v>0.0029</v>
      </c>
      <c r="J29" s="181">
        <v>0.0029</v>
      </c>
      <c r="K29" s="181">
        <v>0.0028</v>
      </c>
      <c r="L29" s="181">
        <v>0.0028</v>
      </c>
      <c r="M29" s="181">
        <v>0.0029</v>
      </c>
      <c r="N29" s="181">
        <v>0.0028</v>
      </c>
      <c r="O29" s="181">
        <v>0.0027</v>
      </c>
      <c r="P29" s="181">
        <v>0.0027</v>
      </c>
      <c r="Q29" s="181">
        <v>0.0026</v>
      </c>
      <c r="R29" s="181">
        <v>0.0026</v>
      </c>
      <c r="S29" s="181">
        <v>0.0026</v>
      </c>
      <c r="T29" s="181">
        <v>0.0027</v>
      </c>
      <c r="U29" s="181">
        <v>0.0027</v>
      </c>
      <c r="V29" s="181">
        <v>0.0027</v>
      </c>
      <c r="W29" s="286">
        <v>0.0</v>
      </c>
      <c r="X29" s="264">
        <v>0.0027</v>
      </c>
      <c r="Y29" s="264">
        <v>0.0027</v>
      </c>
      <c r="Z29" s="264"/>
      <c r="AA29" s="264"/>
      <c r="AB29" s="286">
        <v>0.0</v>
      </c>
      <c r="AC29" s="286">
        <v>0.0</v>
      </c>
      <c r="AD29" s="286">
        <v>0.0</v>
      </c>
      <c r="AE29" s="286">
        <v>0.0</v>
      </c>
      <c r="AF29" s="286">
        <v>0.0</v>
      </c>
      <c r="AG29" s="286">
        <v>0.0</v>
      </c>
      <c r="AH29" s="286">
        <v>0.0</v>
      </c>
      <c r="AI29" s="204"/>
      <c r="AJ29" s="100"/>
      <c r="AK29" s="100"/>
      <c r="AL29" s="100"/>
      <c r="AM29" s="100"/>
      <c r="AN29" s="100"/>
      <c r="AO29" s="100"/>
    </row>
    <row r="30" ht="14.25" hidden="1" customHeight="1" outlineLevel="3">
      <c r="A30" s="247"/>
      <c r="B30" s="100"/>
      <c r="C30" s="268"/>
      <c r="D30" s="201"/>
      <c r="E30" s="270" t="s">
        <v>472</v>
      </c>
      <c r="F30" s="249" t="s">
        <v>135</v>
      </c>
      <c r="G30" s="249" t="s">
        <v>3450</v>
      </c>
      <c r="H30" s="181" t="str">
        <f t="array" ref="H30:AH30">INDIRECT(RIGHT(G30,11))</f>
        <v/>
      </c>
      <c r="I30" s="181"/>
      <c r="J30" s="181"/>
      <c r="K30" s="181"/>
      <c r="L30" s="181"/>
      <c r="M30" s="181"/>
      <c r="N30" s="181"/>
      <c r="O30" s="181"/>
      <c r="P30" s="181"/>
      <c r="Q30" s="181"/>
      <c r="R30" s="181">
        <v>0.1533</v>
      </c>
      <c r="S30" s="181">
        <v>0.1738</v>
      </c>
      <c r="T30" s="181">
        <v>0.1836</v>
      </c>
      <c r="U30" s="181">
        <v>0.227</v>
      </c>
      <c r="V30" s="181">
        <v>0.2484</v>
      </c>
      <c r="W30" s="286">
        <v>0.548222600857875</v>
      </c>
      <c r="X30" s="181">
        <v>0.2909</v>
      </c>
      <c r="Y30" s="181">
        <v>0.3005</v>
      </c>
      <c r="Z30" s="181"/>
      <c r="AA30" s="181"/>
      <c r="AB30" s="286">
        <v>0.563552691095003</v>
      </c>
      <c r="AC30" s="286">
        <v>0.584834920993253</v>
      </c>
      <c r="AD30" s="286">
        <v>0.559874463151248</v>
      </c>
      <c r="AE30" s="286">
        <v>0.542793950577742</v>
      </c>
      <c r="AF30" s="286">
        <v>0.490937514104944</v>
      </c>
      <c r="AG30" s="286">
        <v>0.444410198434038</v>
      </c>
      <c r="AH30" s="286">
        <v>0.397644782141843</v>
      </c>
      <c r="AI30" s="204"/>
      <c r="AJ30" s="100"/>
      <c r="AK30" s="100"/>
      <c r="AL30" s="100"/>
      <c r="AM30" s="100"/>
      <c r="AN30" s="100"/>
      <c r="AO30" s="100"/>
    </row>
    <row r="31" ht="14.25" hidden="1" customHeight="1" outlineLevel="3">
      <c r="A31" s="247"/>
      <c r="B31" s="100"/>
      <c r="C31" s="268"/>
      <c r="D31" s="201"/>
      <c r="E31" s="270" t="s">
        <v>474</v>
      </c>
      <c r="F31" s="249" t="s">
        <v>135</v>
      </c>
      <c r="G31" s="249" t="s">
        <v>3451</v>
      </c>
      <c r="H31" s="181">
        <f t="array" ref="H31:AH31">INDIRECT(RIGHT(G31,11))</f>
        <v>2.0887</v>
      </c>
      <c r="I31" s="181">
        <v>2.0461</v>
      </c>
      <c r="J31" s="181">
        <v>2.0417</v>
      </c>
      <c r="K31" s="181">
        <v>2.013</v>
      </c>
      <c r="L31" s="181">
        <v>1.9868</v>
      </c>
      <c r="M31" s="181">
        <v>2.0792</v>
      </c>
      <c r="N31" s="181">
        <v>1.958</v>
      </c>
      <c r="O31" s="181">
        <v>1.9345</v>
      </c>
      <c r="P31" s="181">
        <v>1.8869</v>
      </c>
      <c r="Q31" s="181">
        <v>1.8347</v>
      </c>
      <c r="R31" s="181">
        <v>1.8441</v>
      </c>
      <c r="S31" s="181">
        <v>1.863</v>
      </c>
      <c r="T31" s="181">
        <v>1.8775</v>
      </c>
      <c r="U31" s="181">
        <v>1.8883</v>
      </c>
      <c r="V31" s="181">
        <v>1.8969</v>
      </c>
      <c r="W31" s="286">
        <v>4.05343893191097</v>
      </c>
      <c r="X31" s="181">
        <v>1.9169</v>
      </c>
      <c r="Y31" s="181">
        <v>1.9264</v>
      </c>
      <c r="Z31" s="181"/>
      <c r="AA31" s="181"/>
      <c r="AB31" s="286">
        <v>3.18380173341523</v>
      </c>
      <c r="AC31" s="286">
        <v>2.46623667429566</v>
      </c>
      <c r="AD31" s="286">
        <v>1.71108219058372</v>
      </c>
      <c r="AE31" s="286">
        <v>1.13753606586868</v>
      </c>
      <c r="AF31" s="286">
        <v>0.631932190454102</v>
      </c>
      <c r="AG31" s="286">
        <v>0.265214885381367</v>
      </c>
      <c r="AH31" s="286">
        <v>0.0</v>
      </c>
      <c r="AI31" s="204"/>
      <c r="AJ31" s="100"/>
      <c r="AK31" s="100"/>
      <c r="AL31" s="100"/>
      <c r="AM31" s="100"/>
      <c r="AN31" s="100"/>
      <c r="AO31" s="100"/>
    </row>
    <row r="32" ht="14.25" hidden="1" customHeight="1" outlineLevel="3">
      <c r="A32" s="247"/>
      <c r="B32" s="100"/>
      <c r="C32" s="268"/>
      <c r="D32" s="201"/>
      <c r="E32" s="270" t="s">
        <v>476</v>
      </c>
      <c r="F32" s="249" t="s">
        <v>135</v>
      </c>
      <c r="G32" s="249" t="s">
        <v>3452</v>
      </c>
      <c r="H32" s="181" t="str">
        <f t="array" ref="H32:AH32">INDIRECT(RIGHT(G32,11))</f>
        <v/>
      </c>
      <c r="I32" s="181"/>
      <c r="J32" s="181"/>
      <c r="K32" s="181"/>
      <c r="L32" s="181"/>
      <c r="M32" s="181"/>
      <c r="N32" s="181"/>
      <c r="O32" s="181"/>
      <c r="P32" s="181"/>
      <c r="Q32" s="181"/>
      <c r="R32" s="181">
        <v>5.1984</v>
      </c>
      <c r="S32" s="181">
        <v>5.2517</v>
      </c>
      <c r="T32" s="181">
        <v>5.2923</v>
      </c>
      <c r="U32" s="181">
        <v>5.3228</v>
      </c>
      <c r="V32" s="181">
        <v>5.3472</v>
      </c>
      <c r="W32" s="286">
        <v>4.61675256310396</v>
      </c>
      <c r="X32" s="181">
        <v>5.4035</v>
      </c>
      <c r="Y32" s="181">
        <v>5.4294</v>
      </c>
      <c r="Z32" s="181"/>
      <c r="AA32" s="181"/>
      <c r="AB32" s="286">
        <v>3.58842244533093</v>
      </c>
      <c r="AC32" s="286">
        <v>2.77287914458469</v>
      </c>
      <c r="AD32" s="286">
        <v>1.93197662357762</v>
      </c>
      <c r="AE32" s="286">
        <v>1.32407359286899</v>
      </c>
      <c r="AF32" s="286">
        <v>0.778024642700437</v>
      </c>
      <c r="AG32" s="286">
        <v>0.378741866659436</v>
      </c>
      <c r="AH32" s="286">
        <v>0.0861563694640659</v>
      </c>
      <c r="AI32" s="204"/>
      <c r="AJ32" s="100"/>
      <c r="AK32" s="100"/>
      <c r="AL32" s="100"/>
      <c r="AM32" s="100"/>
      <c r="AN32" s="100"/>
      <c r="AO32" s="100"/>
    </row>
    <row r="33" ht="14.25" hidden="1" customHeight="1" outlineLevel="3">
      <c r="A33" s="247"/>
      <c r="B33" s="100"/>
      <c r="C33" s="268"/>
      <c r="D33" s="201"/>
      <c r="E33" s="270" t="s">
        <v>478</v>
      </c>
      <c r="F33" s="249" t="s">
        <v>135</v>
      </c>
      <c r="G33" s="249" t="s">
        <v>3453</v>
      </c>
      <c r="H33" s="181" t="str">
        <f t="array" ref="H33:AH33">INDIRECT(RIGHT(G33,11))</f>
        <v/>
      </c>
      <c r="I33" s="181"/>
      <c r="J33" s="181"/>
      <c r="K33" s="181"/>
      <c r="L33" s="181"/>
      <c r="M33" s="181"/>
      <c r="N33" s="181"/>
      <c r="O33" s="181"/>
      <c r="P33" s="181"/>
      <c r="Q33" s="181"/>
      <c r="R33" s="181">
        <v>3.2318</v>
      </c>
      <c r="S33" s="181">
        <v>3.2649</v>
      </c>
      <c r="T33" s="181">
        <v>3.2901</v>
      </c>
      <c r="U33" s="181">
        <v>3.309</v>
      </c>
      <c r="V33" s="181">
        <v>3.3243</v>
      </c>
      <c r="W33" s="286">
        <v>0.998681127531698</v>
      </c>
      <c r="X33" s="181">
        <v>3.3593</v>
      </c>
      <c r="Y33" s="181">
        <v>3.3754</v>
      </c>
      <c r="Z33" s="181"/>
      <c r="AA33" s="181"/>
      <c r="AB33" s="286">
        <v>1.08540310341876</v>
      </c>
      <c r="AC33" s="286">
        <v>1.1565353529521</v>
      </c>
      <c r="AD33" s="286">
        <v>1.11912758041463</v>
      </c>
      <c r="AE33" s="286">
        <v>1.08507488460444</v>
      </c>
      <c r="AF33" s="286">
        <v>0.974001457041086</v>
      </c>
      <c r="AG33" s="286">
        <v>0.869996652410484</v>
      </c>
      <c r="AH33" s="286">
        <v>0.764637778993585</v>
      </c>
      <c r="AI33" s="204"/>
      <c r="AJ33" s="100"/>
      <c r="AK33" s="100"/>
      <c r="AL33" s="100"/>
      <c r="AM33" s="100"/>
      <c r="AN33" s="100"/>
      <c r="AO33" s="100"/>
    </row>
    <row r="34" ht="14.25" hidden="1" customHeight="1" outlineLevel="3">
      <c r="A34" s="247"/>
      <c r="B34" s="201"/>
      <c r="C34" s="201"/>
      <c r="D34" s="201"/>
      <c r="E34" s="291" t="s">
        <v>480</v>
      </c>
      <c r="F34" s="123" t="s">
        <v>135</v>
      </c>
      <c r="G34" s="292" t="s">
        <v>3454</v>
      </c>
      <c r="H34" s="181" t="str">
        <f t="array" ref="H34:AH34">INDIRECT(RIGHT(G34,11))</f>
        <v/>
      </c>
      <c r="I34" s="181"/>
      <c r="J34" s="181"/>
      <c r="K34" s="181"/>
      <c r="L34" s="181"/>
      <c r="M34" s="181"/>
      <c r="N34" s="181"/>
      <c r="O34" s="181"/>
      <c r="P34" s="181"/>
      <c r="Q34" s="181"/>
      <c r="R34" s="181"/>
      <c r="S34" s="181"/>
      <c r="T34" s="181"/>
      <c r="U34" s="181"/>
      <c r="V34" s="181"/>
      <c r="W34" s="286">
        <v>0.00227026101750253</v>
      </c>
      <c r="X34" s="181"/>
      <c r="Y34" s="181"/>
      <c r="Z34" s="181"/>
      <c r="AA34" s="181"/>
      <c r="AB34" s="286">
        <v>0.265382612766639</v>
      </c>
      <c r="AC34" s="286">
        <v>0.508332080175882</v>
      </c>
      <c r="AD34" s="286">
        <v>0.682403199050405</v>
      </c>
      <c r="AE34" s="286">
        <v>0.831971928904051</v>
      </c>
      <c r="AF34" s="286">
        <v>0.893312992806695</v>
      </c>
      <c r="AG34" s="286">
        <v>0.926808923885106</v>
      </c>
      <c r="AH34" s="286">
        <v>0.928409153707607</v>
      </c>
      <c r="AI34" s="204"/>
      <c r="AJ34" s="100"/>
      <c r="AK34" s="100"/>
      <c r="AL34" s="100"/>
      <c r="AM34" s="100"/>
      <c r="AN34" s="100"/>
      <c r="AO34" s="100"/>
    </row>
    <row r="35" ht="14.25" hidden="1" customHeight="1" outlineLevel="3">
      <c r="A35" s="247"/>
      <c r="B35" s="201"/>
      <c r="C35" s="201"/>
      <c r="D35" s="201"/>
      <c r="E35" s="122" t="s">
        <v>482</v>
      </c>
      <c r="F35" s="123" t="s">
        <v>135</v>
      </c>
      <c r="G35" s="123" t="s">
        <v>3455</v>
      </c>
      <c r="H35" s="181" t="str">
        <f t="array" ref="H35:AH35">INDIRECT(RIGHT(G35,11))</f>
        <v/>
      </c>
      <c r="I35" s="181"/>
      <c r="J35" s="181"/>
      <c r="K35" s="181"/>
      <c r="L35" s="181"/>
      <c r="M35" s="181"/>
      <c r="N35" s="181"/>
      <c r="O35" s="181"/>
      <c r="P35" s="181"/>
      <c r="Q35" s="181"/>
      <c r="R35" s="181"/>
      <c r="S35" s="181"/>
      <c r="T35" s="181"/>
      <c r="U35" s="181"/>
      <c r="V35" s="181"/>
      <c r="W35" s="286">
        <v>0.0</v>
      </c>
      <c r="X35" s="181"/>
      <c r="Y35" s="181"/>
      <c r="Z35" s="181"/>
      <c r="AA35" s="181"/>
      <c r="AB35" s="286">
        <v>0.325338213768042</v>
      </c>
      <c r="AC35" s="286">
        <v>0.6496068752921</v>
      </c>
      <c r="AD35" s="286">
        <v>0.902362648031596</v>
      </c>
      <c r="AE35" s="286">
        <v>1.13323788399729</v>
      </c>
      <c r="AF35" s="286">
        <v>1.24905455361306</v>
      </c>
      <c r="AG35" s="286">
        <v>1.32649686957983</v>
      </c>
      <c r="AH35" s="286">
        <v>1.35696281905904</v>
      </c>
      <c r="AI35" s="204"/>
      <c r="AJ35" s="100"/>
      <c r="AK35" s="100"/>
      <c r="AL35" s="100"/>
      <c r="AM35" s="100"/>
      <c r="AN35" s="100"/>
      <c r="AO35" s="100"/>
    </row>
    <row r="36" ht="14.25" hidden="1" customHeight="1" outlineLevel="3">
      <c r="A36" s="247"/>
      <c r="B36" s="100"/>
      <c r="C36" s="100"/>
      <c r="D36" s="100"/>
      <c r="E36" s="291" t="s">
        <v>484</v>
      </c>
      <c r="F36" s="123" t="s">
        <v>135</v>
      </c>
      <c r="G36" s="292" t="s">
        <v>3456</v>
      </c>
      <c r="H36" s="181" t="str">
        <f t="array" ref="H36:AH36">INDIRECT(RIGHT(G36,11))</f>
        <v/>
      </c>
      <c r="I36" s="181"/>
      <c r="J36" s="181"/>
      <c r="K36" s="181"/>
      <c r="L36" s="181"/>
      <c r="M36" s="181"/>
      <c r="N36" s="181"/>
      <c r="O36" s="181"/>
      <c r="P36" s="181"/>
      <c r="Q36" s="181"/>
      <c r="R36" s="181"/>
      <c r="S36" s="181"/>
      <c r="T36" s="181"/>
      <c r="U36" s="181"/>
      <c r="V36" s="181"/>
      <c r="W36" s="286">
        <v>0.244694905919593</v>
      </c>
      <c r="X36" s="181"/>
      <c r="Y36" s="181"/>
      <c r="Z36" s="181"/>
      <c r="AA36" s="181"/>
      <c r="AB36" s="286">
        <v>0.30679054928309</v>
      </c>
      <c r="AC36" s="286">
        <v>0.367094520910967</v>
      </c>
      <c r="AD36" s="286">
        <v>0.395700826211352</v>
      </c>
      <c r="AE36" s="286">
        <v>0.544121396547187</v>
      </c>
      <c r="AF36" s="286">
        <v>0.754274219804077</v>
      </c>
      <c r="AG36" s="286">
        <v>0.934476777561711</v>
      </c>
      <c r="AH36" s="286">
        <v>1.07687825605147</v>
      </c>
      <c r="AI36" s="204"/>
      <c r="AJ36" s="100"/>
      <c r="AK36" s="100"/>
      <c r="AL36" s="100"/>
      <c r="AM36" s="100"/>
      <c r="AN36" s="100"/>
      <c r="AO36" s="100"/>
    </row>
    <row r="37" ht="14.25" hidden="1" customHeight="1" outlineLevel="1">
      <c r="A37" s="247"/>
      <c r="B37" s="246" t="s">
        <v>3457</v>
      </c>
      <c r="C37" s="246"/>
      <c r="D37" s="201"/>
      <c r="E37" s="162"/>
      <c r="F37" s="162"/>
      <c r="G37" s="162"/>
      <c r="H37" s="178"/>
      <c r="I37" s="178"/>
      <c r="J37" s="178"/>
      <c r="K37" s="178"/>
      <c r="L37" s="178"/>
      <c r="M37" s="178"/>
      <c r="N37" s="178"/>
      <c r="O37" s="178"/>
      <c r="P37" s="178"/>
      <c r="Q37" s="178"/>
      <c r="R37" s="178"/>
      <c r="S37" s="178"/>
      <c r="T37" s="178"/>
      <c r="U37" s="178"/>
      <c r="V37" s="178"/>
      <c r="W37" s="178"/>
      <c r="X37" s="178"/>
      <c r="Y37" s="178"/>
      <c r="Z37" s="178"/>
      <c r="AA37" s="178"/>
      <c r="AB37" s="178"/>
      <c r="AC37" s="178"/>
      <c r="AD37" s="178"/>
      <c r="AE37" s="178"/>
      <c r="AF37" s="178"/>
      <c r="AG37" s="178"/>
      <c r="AH37" s="178"/>
      <c r="AI37" s="244"/>
      <c r="AJ37" s="100"/>
      <c r="AK37" s="100"/>
      <c r="AL37" s="100"/>
      <c r="AM37" s="100"/>
      <c r="AN37" s="100"/>
      <c r="AO37" s="100"/>
    </row>
    <row r="38" ht="14.25" hidden="1" customHeight="1" outlineLevel="3">
      <c r="A38" s="247"/>
      <c r="B38" s="201"/>
      <c r="C38" s="295"/>
      <c r="D38" s="201"/>
      <c r="E38" s="287" t="s">
        <v>3458</v>
      </c>
      <c r="F38" s="249" t="s">
        <v>135</v>
      </c>
      <c r="G38" s="249" t="s">
        <v>3459</v>
      </c>
      <c r="H38" s="181">
        <f t="array" ref="H38:AH38">INDIRECT(RIGHT(G38,11))</f>
        <v>1.6585</v>
      </c>
      <c r="I38" s="181">
        <v>1.5859</v>
      </c>
      <c r="J38" s="181">
        <v>1.5684</v>
      </c>
      <c r="K38" s="181">
        <v>1.5698</v>
      </c>
      <c r="L38" s="181">
        <v>1.5927</v>
      </c>
      <c r="M38" s="181">
        <v>1.5733</v>
      </c>
      <c r="N38" s="181">
        <v>1.6349</v>
      </c>
      <c r="O38" s="181">
        <v>1.6037</v>
      </c>
      <c r="P38" s="181">
        <v>1.5003</v>
      </c>
      <c r="Q38" s="181">
        <v>1.5315</v>
      </c>
      <c r="R38" s="181">
        <v>1.5356</v>
      </c>
      <c r="S38" s="181">
        <v>1.5487</v>
      </c>
      <c r="T38" s="181">
        <v>1.5612</v>
      </c>
      <c r="U38" s="181">
        <v>1.569</v>
      </c>
      <c r="V38" s="181">
        <v>1.5754</v>
      </c>
      <c r="W38" s="182">
        <v>1.5855</v>
      </c>
      <c r="X38" s="181">
        <v>1.5934</v>
      </c>
      <c r="Y38" s="181">
        <v>1.6025</v>
      </c>
      <c r="Z38" s="181">
        <v>1.605</v>
      </c>
      <c r="AA38" s="181"/>
      <c r="AB38" s="182">
        <v>1.59995685454545</v>
      </c>
      <c r="AC38" s="182">
        <v>1.60698037014925</v>
      </c>
      <c r="AD38" s="182">
        <v>1.63788383880597</v>
      </c>
      <c r="AE38" s="182">
        <v>1.64424631764706</v>
      </c>
      <c r="AF38" s="182">
        <v>1.65042437681159</v>
      </c>
      <c r="AG38" s="182">
        <v>1.68043209275362</v>
      </c>
      <c r="AH38" s="184">
        <v>1.68600495428571</v>
      </c>
      <c r="AI38" s="204"/>
      <c r="AJ38" s="100"/>
      <c r="AK38" s="100"/>
      <c r="AL38" s="100"/>
      <c r="AM38" s="100"/>
      <c r="AN38" s="100"/>
      <c r="AO38" s="100"/>
    </row>
    <row r="39" ht="14.25" hidden="1" customHeight="1" outlineLevel="3">
      <c r="A39" s="247"/>
      <c r="B39" s="201"/>
      <c r="C39" s="295"/>
      <c r="D39" s="201"/>
      <c r="E39" s="270" t="s">
        <v>507</v>
      </c>
      <c r="F39" s="249" t="s">
        <v>135</v>
      </c>
      <c r="G39" s="249" t="s">
        <v>3460</v>
      </c>
      <c r="H39" s="181">
        <f t="array" ref="H39:AH39">INDIRECT(RIGHT(G39,11))</f>
        <v>0</v>
      </c>
      <c r="I39" s="181">
        <v>0.0</v>
      </c>
      <c r="J39" s="181">
        <v>0.0</v>
      </c>
      <c r="K39" s="181">
        <v>0.0</v>
      </c>
      <c r="L39" s="181">
        <v>0.0</v>
      </c>
      <c r="M39" s="181">
        <v>0.0</v>
      </c>
      <c r="N39" s="181">
        <v>0.0</v>
      </c>
      <c r="O39" s="181">
        <v>0.0</v>
      </c>
      <c r="P39" s="181">
        <v>0.0</v>
      </c>
      <c r="Q39" s="181">
        <v>0.0</v>
      </c>
      <c r="R39" s="181">
        <v>0.0</v>
      </c>
      <c r="S39" s="181">
        <v>0.0</v>
      </c>
      <c r="T39" s="181">
        <v>0.0</v>
      </c>
      <c r="U39" s="181">
        <v>0.0</v>
      </c>
      <c r="V39" s="181">
        <v>0.0</v>
      </c>
      <c r="W39" s="182">
        <v>0.0</v>
      </c>
      <c r="X39" s="181">
        <v>0.0</v>
      </c>
      <c r="Y39" s="181">
        <v>0.0</v>
      </c>
      <c r="Z39" s="181"/>
      <c r="AA39" s="181"/>
      <c r="AB39" s="182"/>
      <c r="AC39" s="182"/>
      <c r="AD39" s="182"/>
      <c r="AE39" s="182"/>
      <c r="AF39" s="182"/>
      <c r="AG39" s="182"/>
      <c r="AH39" s="184"/>
      <c r="AI39" s="204"/>
      <c r="AJ39" s="100"/>
      <c r="AK39" s="100"/>
      <c r="AL39" s="100"/>
      <c r="AM39" s="100"/>
      <c r="AN39" s="100"/>
      <c r="AO39" s="100"/>
    </row>
    <row r="40" ht="14.25" hidden="1" customHeight="1" outlineLevel="3">
      <c r="A40" s="247"/>
      <c r="B40" s="201"/>
      <c r="C40" s="295"/>
      <c r="D40" s="201"/>
      <c r="E40" s="270" t="s">
        <v>509</v>
      </c>
      <c r="F40" s="249" t="s">
        <v>135</v>
      </c>
      <c r="G40" s="249" t="s">
        <v>3461</v>
      </c>
      <c r="H40" s="181" t="str">
        <f t="array" ref="H40:AH40">INDIRECT(RIGHT(G40,11))</f>
        <v/>
      </c>
      <c r="I40" s="181"/>
      <c r="J40" s="181"/>
      <c r="K40" s="181"/>
      <c r="L40" s="181"/>
      <c r="M40" s="181"/>
      <c r="N40" s="181"/>
      <c r="O40" s="181"/>
      <c r="P40" s="181"/>
      <c r="Q40" s="181"/>
      <c r="R40" s="181">
        <v>0.0</v>
      </c>
      <c r="S40" s="181">
        <v>0.0</v>
      </c>
      <c r="T40" s="181">
        <v>0.0</v>
      </c>
      <c r="U40" s="181">
        <v>0.0</v>
      </c>
      <c r="V40" s="181">
        <v>0.0</v>
      </c>
      <c r="W40" s="182">
        <v>0.0</v>
      </c>
      <c r="X40" s="181">
        <v>0.0</v>
      </c>
      <c r="Y40" s="181">
        <v>0.0</v>
      </c>
      <c r="Z40" s="181"/>
      <c r="AA40" s="181"/>
      <c r="AB40" s="182"/>
      <c r="AC40" s="182"/>
      <c r="AD40" s="182"/>
      <c r="AE40" s="182"/>
      <c r="AF40" s="182"/>
      <c r="AG40" s="182"/>
      <c r="AH40" s="184"/>
      <c r="AI40" s="204"/>
      <c r="AJ40" s="100"/>
      <c r="AK40" s="100"/>
      <c r="AL40" s="100"/>
      <c r="AM40" s="100"/>
      <c r="AN40" s="100"/>
      <c r="AO40" s="100"/>
    </row>
    <row r="41" ht="14.25" hidden="1" customHeight="1" outlineLevel="3">
      <c r="A41" s="247"/>
      <c r="B41" s="201"/>
      <c r="C41" s="295"/>
      <c r="D41" s="201"/>
      <c r="E41" s="270" t="s">
        <v>511</v>
      </c>
      <c r="F41" s="249" t="s">
        <v>135</v>
      </c>
      <c r="G41" s="249" t="s">
        <v>3462</v>
      </c>
      <c r="H41" s="181">
        <f t="array" ref="H41:AH41">INDIRECT(RIGHT(G41,11))</f>
        <v>0.1103</v>
      </c>
      <c r="I41" s="181">
        <v>0.1054</v>
      </c>
      <c r="J41" s="181">
        <v>0.1043</v>
      </c>
      <c r="K41" s="181">
        <v>0.1044</v>
      </c>
      <c r="L41" s="181">
        <v>0.1059</v>
      </c>
      <c r="M41" s="181">
        <v>0.1046</v>
      </c>
      <c r="N41" s="181">
        <v>0.1087</v>
      </c>
      <c r="O41" s="181">
        <v>0.1066</v>
      </c>
      <c r="P41" s="181">
        <v>0.0997</v>
      </c>
      <c r="Q41" s="181">
        <v>0.1018</v>
      </c>
      <c r="R41" s="181">
        <v>0.1021</v>
      </c>
      <c r="S41" s="181">
        <v>0.103</v>
      </c>
      <c r="T41" s="181">
        <v>0.1038</v>
      </c>
      <c r="U41" s="181">
        <v>0.1043</v>
      </c>
      <c r="V41" s="181">
        <v>0.1048</v>
      </c>
      <c r="W41" s="182">
        <v>0.1054</v>
      </c>
      <c r="X41" s="181">
        <v>0.106</v>
      </c>
      <c r="Y41" s="181">
        <v>0.1065</v>
      </c>
      <c r="Z41" s="181"/>
      <c r="AA41" s="181"/>
      <c r="AB41" s="182">
        <v>0.106367763636364</v>
      </c>
      <c r="AC41" s="182">
        <v>0.106834698507463</v>
      </c>
      <c r="AD41" s="182">
        <v>0.1</v>
      </c>
      <c r="AE41" s="182">
        <v>0.07</v>
      </c>
      <c r="AF41" s="182">
        <v>0.02</v>
      </c>
      <c r="AG41" s="182">
        <v>0.0</v>
      </c>
      <c r="AH41" s="184">
        <v>0.0</v>
      </c>
      <c r="AI41" s="204"/>
      <c r="AJ41" s="100"/>
      <c r="AK41" s="100"/>
      <c r="AL41" s="100"/>
      <c r="AM41" s="100"/>
      <c r="AN41" s="100"/>
      <c r="AO41" s="100"/>
    </row>
    <row r="42" ht="14.25" hidden="1" customHeight="1" outlineLevel="3">
      <c r="A42" s="247"/>
      <c r="B42" s="201"/>
      <c r="C42" s="295"/>
      <c r="D42" s="201"/>
      <c r="E42" s="270" t="s">
        <v>513</v>
      </c>
      <c r="F42" s="249" t="s">
        <v>135</v>
      </c>
      <c r="G42" s="249" t="s">
        <v>3463</v>
      </c>
      <c r="H42" s="181" t="str">
        <f t="array" ref="H42:AH42">INDIRECT(RIGHT(G42,11))</f>
        <v/>
      </c>
      <c r="I42" s="181"/>
      <c r="J42" s="181"/>
      <c r="K42" s="181"/>
      <c r="L42" s="181"/>
      <c r="M42" s="181"/>
      <c r="N42" s="181"/>
      <c r="O42" s="181"/>
      <c r="P42" s="181"/>
      <c r="Q42" s="181"/>
      <c r="R42" s="181">
        <v>0.5013</v>
      </c>
      <c r="S42" s="181">
        <v>0.5056</v>
      </c>
      <c r="T42" s="181">
        <v>0.5096</v>
      </c>
      <c r="U42" s="181">
        <v>0.5122</v>
      </c>
      <c r="V42" s="181">
        <v>0.5143</v>
      </c>
      <c r="W42" s="182">
        <v>0.5175</v>
      </c>
      <c r="X42" s="181">
        <v>0.5202</v>
      </c>
      <c r="Y42" s="181">
        <v>0.5231</v>
      </c>
      <c r="Z42" s="181"/>
      <c r="AA42" s="181"/>
      <c r="AB42" s="182">
        <v>0.522251590909091</v>
      </c>
      <c r="AC42" s="182">
        <v>0.524544179104478</v>
      </c>
      <c r="AD42" s="182">
        <v>0.5</v>
      </c>
      <c r="AE42" s="182">
        <v>0.3</v>
      </c>
      <c r="AF42" s="182">
        <v>0.1</v>
      </c>
      <c r="AG42" s="182">
        <v>0.0</v>
      </c>
      <c r="AH42" s="184">
        <v>0.0</v>
      </c>
      <c r="AI42" s="204"/>
      <c r="AJ42" s="100"/>
      <c r="AK42" s="100"/>
      <c r="AL42" s="100"/>
      <c r="AM42" s="100"/>
      <c r="AN42" s="100"/>
      <c r="AO42" s="100"/>
    </row>
    <row r="43" ht="14.25" hidden="1" customHeight="1" outlineLevel="3">
      <c r="A43" s="247"/>
      <c r="B43" s="201"/>
      <c r="C43" s="295"/>
      <c r="D43" s="201"/>
      <c r="E43" s="122" t="s">
        <v>515</v>
      </c>
      <c r="F43" s="123" t="s">
        <v>135</v>
      </c>
      <c r="G43" s="123" t="s">
        <v>3464</v>
      </c>
      <c r="H43" s="181" t="str">
        <f t="array" ref="H43:AH43">INDIRECT(RIGHT(G43,11))</f>
        <v/>
      </c>
      <c r="I43" s="181"/>
      <c r="J43" s="181"/>
      <c r="K43" s="181"/>
      <c r="L43" s="181"/>
      <c r="M43" s="181"/>
      <c r="N43" s="181"/>
      <c r="O43" s="181"/>
      <c r="P43" s="181"/>
      <c r="Q43" s="181"/>
      <c r="R43" s="181">
        <v>0.9322</v>
      </c>
      <c r="S43" s="181">
        <v>0.9401</v>
      </c>
      <c r="T43" s="181">
        <v>0.9478</v>
      </c>
      <c r="U43" s="181">
        <v>0.9525</v>
      </c>
      <c r="V43" s="181">
        <v>0.9564</v>
      </c>
      <c r="W43" s="182">
        <v>0.9625</v>
      </c>
      <c r="X43" s="181">
        <v>0.9673</v>
      </c>
      <c r="Y43" s="181">
        <v>0.9729</v>
      </c>
      <c r="Z43" s="181"/>
      <c r="AA43" s="181"/>
      <c r="AB43" s="182">
        <v>0.9713375</v>
      </c>
      <c r="AC43" s="182">
        <v>0.975601492537314</v>
      </c>
      <c r="AD43" s="182">
        <v>1.03788383880597</v>
      </c>
      <c r="AE43" s="182">
        <v>1.27424631764706</v>
      </c>
      <c r="AF43" s="182">
        <v>1.53042437681159</v>
      </c>
      <c r="AG43" s="182">
        <v>1.68043209275362</v>
      </c>
      <c r="AH43" s="184">
        <v>1.68600495428571</v>
      </c>
      <c r="AI43" s="204"/>
      <c r="AJ43" s="100"/>
      <c r="AK43" s="100"/>
      <c r="AL43" s="100"/>
      <c r="AM43" s="100"/>
      <c r="AN43" s="100"/>
      <c r="AO43" s="100"/>
    </row>
    <row r="44" ht="14.25" hidden="1" customHeight="1" outlineLevel="1">
      <c r="A44" s="247"/>
      <c r="B44" s="246" t="s">
        <v>3465</v>
      </c>
      <c r="C44" s="246"/>
      <c r="D44" s="201"/>
      <c r="E44" s="162"/>
      <c r="F44" s="162"/>
      <c r="G44" s="162"/>
      <c r="H44" s="178"/>
      <c r="I44" s="178"/>
      <c r="J44" s="178"/>
      <c r="K44" s="178"/>
      <c r="L44" s="178"/>
      <c r="M44" s="178"/>
      <c r="N44" s="178"/>
      <c r="O44" s="178"/>
      <c r="P44" s="178"/>
      <c r="Q44" s="178"/>
      <c r="R44" s="178"/>
      <c r="S44" s="178"/>
      <c r="T44" s="178"/>
      <c r="U44" s="178"/>
      <c r="V44" s="178"/>
      <c r="W44" s="178"/>
      <c r="X44" s="178"/>
      <c r="Y44" s="178"/>
      <c r="Z44" s="178"/>
      <c r="AA44" s="178"/>
      <c r="AB44" s="178"/>
      <c r="AC44" s="178"/>
      <c r="AD44" s="178"/>
      <c r="AE44" s="178"/>
      <c r="AF44" s="178"/>
      <c r="AG44" s="178"/>
      <c r="AH44" s="178"/>
      <c r="AI44" s="244"/>
      <c r="AJ44" s="100"/>
      <c r="AK44" s="100"/>
      <c r="AL44" s="100"/>
      <c r="AM44" s="100"/>
      <c r="AN44" s="100"/>
      <c r="AO44" s="100"/>
    </row>
    <row r="45" ht="14.25" hidden="1" customHeight="1" outlineLevel="3">
      <c r="A45" s="200"/>
      <c r="B45" s="100"/>
      <c r="C45" s="201"/>
      <c r="D45" s="201"/>
      <c r="E45" s="299" t="s">
        <v>3466</v>
      </c>
      <c r="F45" s="123" t="s">
        <v>135</v>
      </c>
      <c r="G45" s="123" t="s">
        <v>3467</v>
      </c>
      <c r="H45" s="274">
        <f t="array" ref="H45:AH45">IF(NOT(edcmrespartner),caltotelccfresdom,elecfresels)</f>
        <v>0</v>
      </c>
      <c r="I45" s="274">
        <v>0.0</v>
      </c>
      <c r="J45" s="274">
        <v>0.0</v>
      </c>
      <c r="K45" s="274">
        <v>0.0</v>
      </c>
      <c r="L45" s="274">
        <v>0.0</v>
      </c>
      <c r="M45" s="274">
        <v>0.0</v>
      </c>
      <c r="N45" s="274">
        <v>0.0</v>
      </c>
      <c r="O45" s="274">
        <v>0.0</v>
      </c>
      <c r="P45" s="274">
        <v>0.0</v>
      </c>
      <c r="Q45" s="274">
        <v>0.0</v>
      </c>
      <c r="R45" s="274">
        <v>1.6358490462233743</v>
      </c>
      <c r="S45" s="274">
        <v>1.575502102615303</v>
      </c>
      <c r="T45" s="274">
        <v>1.5064155505709707</v>
      </c>
      <c r="U45" s="274">
        <v>1.4595617348296521</v>
      </c>
      <c r="V45" s="274">
        <v>1.4348910457829895</v>
      </c>
      <c r="W45" s="274">
        <v>6.920444307815072</v>
      </c>
      <c r="X45" s="274">
        <v>0.0</v>
      </c>
      <c r="Y45" s="274">
        <v>0.0</v>
      </c>
      <c r="Z45" s="274">
        <v>0.0</v>
      </c>
      <c r="AA45" s="274">
        <v>0.0</v>
      </c>
      <c r="AB45" s="274">
        <v>0.0</v>
      </c>
      <c r="AC45" s="274">
        <v>0.0</v>
      </c>
      <c r="AD45" s="274">
        <v>0.0</v>
      </c>
      <c r="AE45" s="274">
        <v>0.0</v>
      </c>
      <c r="AF45" s="274">
        <v>0.0</v>
      </c>
      <c r="AG45" s="274">
        <v>0.0</v>
      </c>
      <c r="AH45" s="274">
        <v>0.0</v>
      </c>
      <c r="AI45" s="204"/>
      <c r="AJ45" s="275"/>
      <c r="AK45" s="204"/>
      <c r="AL45" s="204"/>
      <c r="AM45" s="251"/>
      <c r="AN45" s="100" t="b">
        <f>_xlfn.ISFORMULA(H45)</f>
        <v>1</v>
      </c>
      <c r="AO45" s="102"/>
    </row>
    <row r="46" ht="14.25" customHeight="1" collapsed="1">
      <c r="A46" s="195"/>
      <c r="B46" s="100"/>
      <c r="C46" s="100"/>
      <c r="D46" s="100"/>
      <c r="E46" s="100"/>
      <c r="F46" s="206"/>
      <c r="G46" s="206"/>
      <c r="H46" s="207"/>
      <c r="I46" s="207"/>
      <c r="J46" s="207"/>
      <c r="K46" s="207"/>
      <c r="L46" s="207"/>
      <c r="M46" s="207"/>
      <c r="N46" s="207"/>
      <c r="O46" s="207"/>
      <c r="P46" s="207"/>
      <c r="Q46" s="207"/>
      <c r="R46" s="207"/>
      <c r="S46" s="207"/>
      <c r="T46" s="207"/>
      <c r="U46" s="207"/>
      <c r="V46" s="207"/>
      <c r="W46" s="208"/>
      <c r="X46" s="208"/>
      <c r="Y46" s="208"/>
      <c r="Z46" s="208"/>
      <c r="AA46" s="208"/>
      <c r="AB46" s="208"/>
      <c r="AC46" s="208"/>
      <c r="AD46" s="208"/>
      <c r="AE46" s="208"/>
      <c r="AF46" s="208"/>
      <c r="AG46" s="208"/>
      <c r="AH46" s="208"/>
      <c r="AI46" s="100"/>
      <c r="AJ46" s="100"/>
      <c r="AK46" s="100"/>
      <c r="AL46" s="100"/>
      <c r="AM46" s="100"/>
      <c r="AN46" s="100"/>
      <c r="AO46" s="100"/>
    </row>
    <row r="47" ht="14.25" customHeight="1">
      <c r="A47" s="380" t="s">
        <v>251</v>
      </c>
      <c r="B47" s="219"/>
      <c r="C47" s="219"/>
      <c r="D47" s="350"/>
      <c r="E47" s="219"/>
      <c r="F47" s="219"/>
      <c r="G47" s="219"/>
      <c r="H47" s="351"/>
      <c r="I47" s="351"/>
      <c r="J47" s="351"/>
      <c r="K47" s="351"/>
      <c r="L47" s="351"/>
      <c r="M47" s="351"/>
      <c r="N47" s="351"/>
      <c r="O47" s="351"/>
      <c r="P47" s="351"/>
      <c r="Q47" s="351"/>
      <c r="R47" s="351"/>
      <c r="S47" s="351"/>
      <c r="T47" s="351"/>
      <c r="U47" s="351"/>
      <c r="V47" s="351"/>
      <c r="W47" s="352"/>
      <c r="X47" s="352"/>
      <c r="Y47" s="352"/>
      <c r="Z47" s="352"/>
      <c r="AA47" s="352"/>
      <c r="AB47" s="352"/>
      <c r="AC47" s="352"/>
      <c r="AD47" s="352"/>
      <c r="AE47" s="352"/>
      <c r="AF47" s="352"/>
      <c r="AG47" s="352"/>
      <c r="AH47" s="352"/>
      <c r="AI47" s="381"/>
      <c r="AJ47" s="100"/>
      <c r="AK47" s="100"/>
      <c r="AL47" s="100"/>
      <c r="AM47" s="100"/>
      <c r="AN47" s="100"/>
      <c r="AO47" s="100"/>
    </row>
    <row r="48" ht="14.25" customHeight="1">
      <c r="A48" s="382" t="s">
        <v>1111</v>
      </c>
      <c r="B48" s="246"/>
      <c r="C48" s="246"/>
      <c r="D48" s="201"/>
      <c r="E48" s="162"/>
      <c r="F48" s="100"/>
      <c r="G48" s="100"/>
      <c r="H48" s="100"/>
      <c r="I48" s="178"/>
      <c r="J48" s="178"/>
      <c r="K48" s="178"/>
      <c r="L48" s="178"/>
      <c r="M48" s="178"/>
      <c r="N48" s="178"/>
      <c r="O48" s="178"/>
      <c r="P48" s="178"/>
      <c r="Q48" s="178"/>
      <c r="R48" s="178"/>
      <c r="S48" s="178"/>
      <c r="T48" s="178"/>
      <c r="U48" s="178"/>
      <c r="V48" s="178"/>
      <c r="W48" s="178"/>
      <c r="X48" s="178"/>
      <c r="Y48" s="178"/>
      <c r="Z48" s="178"/>
      <c r="AA48" s="178"/>
      <c r="AB48" s="178"/>
      <c r="AC48" s="178"/>
      <c r="AD48" s="178"/>
      <c r="AE48" s="178"/>
      <c r="AF48" s="178"/>
      <c r="AG48" s="178"/>
      <c r="AH48" s="178"/>
      <c r="AI48" s="162"/>
      <c r="AJ48" s="100"/>
      <c r="AK48" s="100"/>
      <c r="AL48" s="100"/>
      <c r="AM48" s="100"/>
      <c r="AN48" s="100"/>
      <c r="AO48" s="100"/>
    </row>
    <row r="49" ht="14.25" customHeight="1">
      <c r="A49" s="439"/>
      <c r="B49" s="246"/>
      <c r="C49" s="246"/>
      <c r="D49" s="201"/>
      <c r="E49" s="921" t="s">
        <v>3422</v>
      </c>
      <c r="F49" s="325" t="b">
        <f>TRUE()</f>
        <v>1</v>
      </c>
      <c r="G49" s="100"/>
      <c r="H49" s="922"/>
      <c r="I49" s="178"/>
      <c r="J49" s="178"/>
      <c r="K49" s="178"/>
      <c r="L49" s="178"/>
      <c r="M49" s="178"/>
      <c r="N49" s="178"/>
      <c r="O49" s="178"/>
      <c r="P49" s="178"/>
      <c r="Q49" s="178"/>
      <c r="R49" s="178"/>
      <c r="S49" s="178"/>
      <c r="T49" s="178"/>
      <c r="U49" s="178"/>
      <c r="V49" s="178"/>
      <c r="W49" s="178"/>
      <c r="X49" s="178"/>
      <c r="Y49" s="178"/>
      <c r="Z49" s="178"/>
      <c r="AA49" s="178"/>
      <c r="AB49" s="178"/>
      <c r="AC49" s="178"/>
      <c r="AD49" s="178"/>
      <c r="AE49" s="178"/>
      <c r="AF49" s="178"/>
      <c r="AG49" s="178"/>
      <c r="AH49" s="178"/>
      <c r="AI49" s="244"/>
      <c r="AJ49" s="100"/>
      <c r="AK49" s="100"/>
      <c r="AL49" s="100"/>
      <c r="AM49" s="100"/>
      <c r="AN49" s="100"/>
      <c r="AO49" s="100"/>
    </row>
    <row r="50" ht="14.25" customHeight="1">
      <c r="A50" s="326"/>
      <c r="B50" s="100"/>
      <c r="C50" s="201"/>
      <c r="D50" s="201"/>
      <c r="E50" s="299" t="s">
        <v>1112</v>
      </c>
      <c r="F50" s="123" t="s">
        <v>135</v>
      </c>
      <c r="G50" s="123" t="s">
        <v>3468</v>
      </c>
      <c r="H50" s="181">
        <f t="array" ref="H50:AH50">IF(NOT(edcmterpartner),caltoccfter,toccfter)</f>
        <v>40.9532</v>
      </c>
      <c r="I50" s="181">
        <v>43.3793</v>
      </c>
      <c r="J50" s="181">
        <v>48.3636</v>
      </c>
      <c r="K50" s="181">
        <v>52.3538</v>
      </c>
      <c r="L50" s="181">
        <v>53.2736</v>
      </c>
      <c r="M50" s="181">
        <v>54.1836</v>
      </c>
      <c r="N50" s="181">
        <v>52.998</v>
      </c>
      <c r="O50" s="181">
        <v>50.9518</v>
      </c>
      <c r="P50" s="181">
        <v>56.7959</v>
      </c>
      <c r="Q50" s="181">
        <v>54.8641</v>
      </c>
      <c r="R50" s="181">
        <v>58.8697</v>
      </c>
      <c r="S50" s="181">
        <v>51.7192</v>
      </c>
      <c r="T50" s="181">
        <v>52.777</v>
      </c>
      <c r="U50" s="181">
        <v>57.0083</v>
      </c>
      <c r="V50" s="181">
        <v>49.174</v>
      </c>
      <c r="W50" s="274">
        <v>55.0635</v>
      </c>
      <c r="X50" s="274"/>
      <c r="Y50" s="274"/>
      <c r="Z50" s="274"/>
      <c r="AA50" s="274"/>
      <c r="AB50" s="274">
        <v>55.5948214870964</v>
      </c>
      <c r="AC50" s="274">
        <v>48.5147113918073</v>
      </c>
      <c r="AD50" s="274">
        <v>40.0947927975083</v>
      </c>
      <c r="AE50" s="274">
        <v>32.5103351395661</v>
      </c>
      <c r="AF50" s="274">
        <v>24.6430597383629</v>
      </c>
      <c r="AG50" s="274">
        <v>23.4867781352619</v>
      </c>
      <c r="AH50" s="274">
        <v>22.2329764649579</v>
      </c>
      <c r="AI50" s="125"/>
      <c r="AJ50" s="100"/>
      <c r="AK50" s="100"/>
      <c r="AL50" s="100"/>
      <c r="AM50" s="100"/>
      <c r="AN50" s="100"/>
      <c r="AO50" s="100"/>
    </row>
    <row r="51" ht="14.25" customHeight="1">
      <c r="A51" s="326"/>
      <c r="B51" s="201"/>
      <c r="C51" s="201"/>
      <c r="D51" s="201"/>
      <c r="E51" s="273" t="s">
        <v>1114</v>
      </c>
      <c r="F51" s="123" t="s">
        <v>135</v>
      </c>
      <c r="G51" s="123" t="s">
        <v>3469</v>
      </c>
      <c r="H51" s="181">
        <f t="array" ref="H51:AH51">IF(NOT(edcmterpartner),calcmscfter,cmscfter)</f>
        <v>0</v>
      </c>
      <c r="I51" s="181">
        <v>0.0</v>
      </c>
      <c r="J51" s="181">
        <v>0.0</v>
      </c>
      <c r="K51" s="181">
        <v>0.0</v>
      </c>
      <c r="L51" s="181">
        <v>0.0</v>
      </c>
      <c r="M51" s="181">
        <v>0.0</v>
      </c>
      <c r="N51" s="181">
        <v>0.0</v>
      </c>
      <c r="O51" s="181">
        <v>0.0</v>
      </c>
      <c r="P51" s="181">
        <v>0.0</v>
      </c>
      <c r="Q51" s="181">
        <v>0.0</v>
      </c>
      <c r="R51" s="181">
        <v>0.0</v>
      </c>
      <c r="S51" s="181">
        <v>0.0</v>
      </c>
      <c r="T51" s="181">
        <v>0.0</v>
      </c>
      <c r="U51" s="181">
        <v>0.0</v>
      </c>
      <c r="V51" s="181">
        <v>0.0</v>
      </c>
      <c r="W51" s="274">
        <v>0.0</v>
      </c>
      <c r="X51" s="274"/>
      <c r="Y51" s="274"/>
      <c r="Z51" s="274"/>
      <c r="AA51" s="274"/>
      <c r="AB51" s="274">
        <v>0.0</v>
      </c>
      <c r="AC51" s="274">
        <v>0.0</v>
      </c>
      <c r="AD51" s="274">
        <v>0.0</v>
      </c>
      <c r="AE51" s="274">
        <v>0.0</v>
      </c>
      <c r="AF51" s="274">
        <v>0.0</v>
      </c>
      <c r="AG51" s="274">
        <v>0.0</v>
      </c>
      <c r="AH51" s="274">
        <v>0.0</v>
      </c>
      <c r="AI51" s="125"/>
      <c r="AJ51" s="100"/>
      <c r="AK51" s="100"/>
      <c r="AL51" s="100"/>
      <c r="AM51" s="100"/>
      <c r="AN51" s="100"/>
      <c r="AO51" s="100"/>
    </row>
    <row r="52" ht="14.25" customHeight="1">
      <c r="A52" s="326"/>
      <c r="B52" s="201"/>
      <c r="C52" s="201"/>
      <c r="D52" s="201"/>
      <c r="E52" s="273" t="s">
        <v>1116</v>
      </c>
      <c r="F52" s="123" t="s">
        <v>135</v>
      </c>
      <c r="G52" s="123" t="s">
        <v>3470</v>
      </c>
      <c r="H52" s="181">
        <f t="array" ref="H52:AH52">IF(NOT(edcmterpartner),calenccfter,enccfter)</f>
        <v>0.0144</v>
      </c>
      <c r="I52" s="181">
        <v>0.0475</v>
      </c>
      <c r="J52" s="181">
        <v>0.0397</v>
      </c>
      <c r="K52" s="181">
        <v>0.0369</v>
      </c>
      <c r="L52" s="181">
        <v>0.0591</v>
      </c>
      <c r="M52" s="181">
        <v>0.0722</v>
      </c>
      <c r="N52" s="181">
        <v>0.0744</v>
      </c>
      <c r="O52" s="181">
        <v>0.0817</v>
      </c>
      <c r="P52" s="181">
        <v>0.0807</v>
      </c>
      <c r="Q52" s="181">
        <v>0.1072</v>
      </c>
      <c r="R52" s="181">
        <v>0.1099</v>
      </c>
      <c r="S52" s="181">
        <v>0.152</v>
      </c>
      <c r="T52" s="181">
        <v>0.4551</v>
      </c>
      <c r="U52" s="181">
        <v>0.4887</v>
      </c>
      <c r="V52" s="181">
        <v>0.7583</v>
      </c>
      <c r="W52" s="274">
        <v>0.229264185813889</v>
      </c>
      <c r="X52" s="274"/>
      <c r="Y52" s="274"/>
      <c r="Z52" s="274"/>
      <c r="AA52" s="274"/>
      <c r="AB52" s="274">
        <v>0.23147641329933</v>
      </c>
      <c r="AC52" s="274">
        <v>0.528372663435588</v>
      </c>
      <c r="AD52" s="274">
        <v>0.706403039462741</v>
      </c>
      <c r="AE52" s="274">
        <v>0.791485867428513</v>
      </c>
      <c r="AF52" s="274">
        <v>0.765734160571366</v>
      </c>
      <c r="AG52" s="274">
        <v>1.00066844338385</v>
      </c>
      <c r="AH52" s="274">
        <v>0.947249461925026</v>
      </c>
      <c r="AI52" s="125"/>
      <c r="AJ52" s="100"/>
      <c r="AK52" s="100"/>
      <c r="AL52" s="100"/>
      <c r="AM52" s="100"/>
      <c r="AN52" s="100"/>
      <c r="AO52" s="100"/>
    </row>
    <row r="53" ht="14.25" customHeight="1">
      <c r="A53" s="326"/>
      <c r="B53" s="201"/>
      <c r="C53" s="201"/>
      <c r="D53" s="201"/>
      <c r="E53" s="273" t="s">
        <v>1118</v>
      </c>
      <c r="F53" s="123" t="s">
        <v>135</v>
      </c>
      <c r="G53" s="123" t="s">
        <v>3471</v>
      </c>
      <c r="H53" s="181">
        <f t="array" ref="H53:AH53">IF(NOT(edcmterpartner),calpetcfter,petcfter)</f>
        <v>9.6481</v>
      </c>
      <c r="I53" s="181">
        <v>10.1061</v>
      </c>
      <c r="J53" s="181">
        <v>13.2276</v>
      </c>
      <c r="K53" s="181">
        <v>15.8028</v>
      </c>
      <c r="L53" s="181">
        <v>14.4736</v>
      </c>
      <c r="M53" s="181">
        <v>14.7533</v>
      </c>
      <c r="N53" s="181">
        <v>12.7131</v>
      </c>
      <c r="O53" s="181">
        <v>10.8252</v>
      </c>
      <c r="P53" s="181">
        <v>13.4481</v>
      </c>
      <c r="Q53" s="181">
        <v>11.0429</v>
      </c>
      <c r="R53" s="181">
        <v>12.6359</v>
      </c>
      <c r="S53" s="181">
        <v>10.4156</v>
      </c>
      <c r="T53" s="181">
        <v>10.0951</v>
      </c>
      <c r="U53" s="181">
        <v>10.9809</v>
      </c>
      <c r="V53" s="181">
        <v>8.3264</v>
      </c>
      <c r="W53" s="274">
        <v>9.10362558464549</v>
      </c>
      <c r="X53" s="274"/>
      <c r="Y53" s="274"/>
      <c r="Z53" s="274"/>
      <c r="AA53" s="274"/>
      <c r="AB53" s="274">
        <v>9.19146874542536</v>
      </c>
      <c r="AC53" s="274">
        <v>6.61725659434967</v>
      </c>
      <c r="AD53" s="274">
        <v>4.3087560360238</v>
      </c>
      <c r="AE53" s="274">
        <v>2.55308709766774</v>
      </c>
      <c r="AF53" s="274">
        <v>1.22226804935088</v>
      </c>
      <c r="AG53" s="274">
        <v>0.0</v>
      </c>
      <c r="AH53" s="274">
        <v>0.0</v>
      </c>
      <c r="AI53" s="125"/>
      <c r="AJ53" s="100"/>
      <c r="AK53" s="100"/>
      <c r="AL53" s="100"/>
      <c r="AM53" s="100"/>
      <c r="AN53" s="100"/>
      <c r="AO53" s="100"/>
    </row>
    <row r="54" ht="14.25" customHeight="1">
      <c r="A54" s="326"/>
      <c r="B54" s="201"/>
      <c r="C54" s="201"/>
      <c r="D54" s="201"/>
      <c r="E54" s="273" t="s">
        <v>1120</v>
      </c>
      <c r="F54" s="123" t="s">
        <v>135</v>
      </c>
      <c r="G54" s="123" t="s">
        <v>3472</v>
      </c>
      <c r="H54" s="181">
        <f t="array" ref="H54:AH54">IF(NOT(edcmterpartner),calgazcfter,gazcfter)</f>
        <v>15.0041</v>
      </c>
      <c r="I54" s="181">
        <v>16.2997</v>
      </c>
      <c r="J54" s="181">
        <v>15.6805</v>
      </c>
      <c r="K54" s="181">
        <v>17.201</v>
      </c>
      <c r="L54" s="181">
        <v>18.7758</v>
      </c>
      <c r="M54" s="181">
        <v>18.4436</v>
      </c>
      <c r="N54" s="181">
        <v>18.6056</v>
      </c>
      <c r="O54" s="181">
        <v>17.9579</v>
      </c>
      <c r="P54" s="181">
        <v>20.5062</v>
      </c>
      <c r="Q54" s="181">
        <v>20.5415</v>
      </c>
      <c r="R54" s="181">
        <v>22.615</v>
      </c>
      <c r="S54" s="181">
        <v>18.4714</v>
      </c>
      <c r="T54" s="181">
        <v>19.763</v>
      </c>
      <c r="U54" s="181">
        <v>22.5175</v>
      </c>
      <c r="V54" s="181">
        <v>17.8855</v>
      </c>
      <c r="W54" s="274">
        <v>22.3929686969151</v>
      </c>
      <c r="X54" s="274"/>
      <c r="Y54" s="274"/>
      <c r="Z54" s="274"/>
      <c r="AA54" s="274"/>
      <c r="AB54" s="274">
        <v>22.6090440540672</v>
      </c>
      <c r="AC54" s="274">
        <v>16.2770336278606</v>
      </c>
      <c r="AD54" s="274">
        <v>10.5986167972529</v>
      </c>
      <c r="AE54" s="274">
        <v>6.28004732037735</v>
      </c>
      <c r="AF54" s="274">
        <v>3.00651755873148</v>
      </c>
      <c r="AG54" s="274">
        <v>0.0</v>
      </c>
      <c r="AH54" s="274">
        <v>0.0</v>
      </c>
      <c r="AI54" s="125"/>
      <c r="AJ54" s="100"/>
      <c r="AK54" s="100"/>
      <c r="AL54" s="100"/>
      <c r="AM54" s="100"/>
      <c r="AN54" s="100"/>
      <c r="AO54" s="100"/>
    </row>
    <row r="55" ht="14.25" customHeight="1">
      <c r="A55" s="326"/>
      <c r="B55" s="201"/>
      <c r="C55" s="201"/>
      <c r="D55" s="201"/>
      <c r="E55" s="273" t="s">
        <v>1122</v>
      </c>
      <c r="F55" s="123" t="s">
        <v>135</v>
      </c>
      <c r="G55" s="123" t="s">
        <v>3473</v>
      </c>
      <c r="H55" s="181">
        <f t="array" ref="H55:AH55">IF(NOT(edcmterpartner),calelccfter,elccfter)</f>
        <v>16.1234</v>
      </c>
      <c r="I55" s="181">
        <v>16.7591</v>
      </c>
      <c r="J55" s="181">
        <v>19.2473</v>
      </c>
      <c r="K55" s="181">
        <v>19.1481</v>
      </c>
      <c r="L55" s="181">
        <v>19.8018</v>
      </c>
      <c r="M55" s="181">
        <v>20.762</v>
      </c>
      <c r="N55" s="181">
        <v>21.0338</v>
      </c>
      <c r="O55" s="181">
        <v>21.5117</v>
      </c>
      <c r="P55" s="181">
        <v>21.9355</v>
      </c>
      <c r="Q55" s="181">
        <v>22.3669</v>
      </c>
      <c r="R55" s="181">
        <v>22.615</v>
      </c>
      <c r="S55" s="181">
        <v>21.6429</v>
      </c>
      <c r="T55" s="181">
        <v>21.9436</v>
      </c>
      <c r="U55" s="181">
        <v>22.2515</v>
      </c>
      <c r="V55" s="181">
        <v>21.4111</v>
      </c>
      <c r="W55" s="274">
        <v>22.6315246854713</v>
      </c>
      <c r="X55" s="274"/>
      <c r="Y55" s="274"/>
      <c r="Z55" s="274"/>
      <c r="AA55" s="274"/>
      <c r="AB55" s="274">
        <v>22.8499019290381</v>
      </c>
      <c r="AC55" s="274">
        <v>22.0103958227566</v>
      </c>
      <c r="AD55" s="274">
        <v>19.9015402938414</v>
      </c>
      <c r="AE55" s="274">
        <v>17.5243534152128</v>
      </c>
      <c r="AF55" s="274">
        <v>14.3352793060789</v>
      </c>
      <c r="AG55" s="274">
        <v>15.3809667313314</v>
      </c>
      <c r="AH55" s="274">
        <v>14.5598800046816</v>
      </c>
      <c r="AI55" s="318"/>
      <c r="AJ55" s="100"/>
      <c r="AK55" s="100"/>
      <c r="AL55" s="100"/>
      <c r="AM55" s="100"/>
      <c r="AN55" s="100"/>
      <c r="AO55" s="100"/>
    </row>
    <row r="56" ht="14.25" customHeight="1">
      <c r="A56" s="326"/>
      <c r="B56" s="201"/>
      <c r="C56" s="201"/>
      <c r="D56" s="201"/>
      <c r="E56" s="273" t="s">
        <v>1124</v>
      </c>
      <c r="F56" s="123" t="s">
        <v>135</v>
      </c>
      <c r="G56" s="123" t="s">
        <v>3474</v>
      </c>
      <c r="H56" s="181">
        <f t="array" ref="H56:AH56">IF(NOT(edcmterpartner),calvapcfter,vapcfter)</f>
        <v>0.1633</v>
      </c>
      <c r="I56" s="181">
        <v>0.1669</v>
      </c>
      <c r="J56" s="181">
        <v>0.1685</v>
      </c>
      <c r="K56" s="181">
        <v>0.1649</v>
      </c>
      <c r="L56" s="181">
        <v>0.1633</v>
      </c>
      <c r="M56" s="181">
        <v>0.1524</v>
      </c>
      <c r="N56" s="181">
        <v>0.5711</v>
      </c>
      <c r="O56" s="181">
        <v>0.5753</v>
      </c>
      <c r="P56" s="181">
        <v>0.8253</v>
      </c>
      <c r="Q56" s="181">
        <v>0.8056</v>
      </c>
      <c r="R56" s="181">
        <v>0.8939</v>
      </c>
      <c r="S56" s="181">
        <v>1.0373</v>
      </c>
      <c r="T56" s="181">
        <v>0.5202</v>
      </c>
      <c r="U56" s="181">
        <v>0.7696</v>
      </c>
      <c r="V56" s="181">
        <v>0.7927</v>
      </c>
      <c r="W56" s="274">
        <v>0.57761136044532</v>
      </c>
      <c r="X56" s="274"/>
      <c r="Y56" s="274"/>
      <c r="Z56" s="274"/>
      <c r="AA56" s="274"/>
      <c r="AB56" s="274">
        <v>0.583184876967073</v>
      </c>
      <c r="AC56" s="274">
        <v>1.43674089095643</v>
      </c>
      <c r="AD56" s="274">
        <v>1.95418682514411</v>
      </c>
      <c r="AE56" s="274">
        <v>2.20627470432746</v>
      </c>
      <c r="AF56" s="274">
        <v>2.14366086761519</v>
      </c>
      <c r="AG56" s="274">
        <v>2.81309353394331</v>
      </c>
      <c r="AH56" s="274">
        <v>2.66292132423166</v>
      </c>
      <c r="AI56" s="125"/>
      <c r="AJ56" s="100"/>
      <c r="AK56" s="100"/>
      <c r="AL56" s="100"/>
      <c r="AM56" s="100"/>
      <c r="AN56" s="100"/>
      <c r="AO56" s="100"/>
    </row>
    <row r="57" ht="14.25" customHeight="1">
      <c r="A57" s="326"/>
      <c r="B57" s="201"/>
      <c r="C57" s="201"/>
      <c r="D57" s="201"/>
      <c r="E57" s="273" t="s">
        <v>1126</v>
      </c>
      <c r="F57" s="123" t="s">
        <v>135</v>
      </c>
      <c r="G57" s="123" t="s">
        <v>3475</v>
      </c>
      <c r="H57" s="181" t="str">
        <f t="array" ref="H57:AH57">IF(NOT(edcmterpartner),calpaccfter,paccfter)</f>
        <v/>
      </c>
      <c r="I57" s="181"/>
      <c r="J57" s="181"/>
      <c r="K57" s="181"/>
      <c r="L57" s="181"/>
      <c r="M57" s="181"/>
      <c r="N57" s="181"/>
      <c r="O57" s="181"/>
      <c r="P57" s="181"/>
      <c r="Q57" s="181"/>
      <c r="R57" s="181"/>
      <c r="S57" s="181"/>
      <c r="T57" s="181"/>
      <c r="U57" s="181"/>
      <c r="V57" s="181"/>
      <c r="W57" s="274">
        <v>0.113436128566484</v>
      </c>
      <c r="X57" s="274"/>
      <c r="Y57" s="274"/>
      <c r="Z57" s="274"/>
      <c r="AA57" s="274"/>
      <c r="AB57" s="274">
        <v>0.114530702150081</v>
      </c>
      <c r="AC57" s="274">
        <v>1.58931057168932</v>
      </c>
      <c r="AD57" s="274">
        <v>2.54435982116396</v>
      </c>
      <c r="AE57" s="274">
        <v>3.06110380503889</v>
      </c>
      <c r="AF57" s="274">
        <v>3.07686155341403</v>
      </c>
      <c r="AG57" s="274">
        <v>4.16853721288809</v>
      </c>
      <c r="AH57" s="274">
        <v>3.94600694968454</v>
      </c>
      <c r="AI57" s="125"/>
      <c r="AJ57" s="100"/>
      <c r="AK57" s="100"/>
      <c r="AL57" s="100"/>
      <c r="AM57" s="100"/>
      <c r="AN57" s="100"/>
      <c r="AO57" s="100"/>
    </row>
    <row r="58" ht="14.25" customHeight="1">
      <c r="A58" s="326"/>
      <c r="B58" s="201"/>
      <c r="C58" s="201"/>
      <c r="D58" s="201"/>
      <c r="E58" s="273" t="s">
        <v>1128</v>
      </c>
      <c r="F58" s="123" t="s">
        <v>135</v>
      </c>
      <c r="G58" s="123" t="s">
        <v>3476</v>
      </c>
      <c r="H58" s="181" t="str">
        <f t="array" ref="H58:AH58">IF(NOT(edcmterpartner),calsthcfter,sthcfter)</f>
        <v/>
      </c>
      <c r="I58" s="181"/>
      <c r="J58" s="181"/>
      <c r="K58" s="181"/>
      <c r="L58" s="181"/>
      <c r="M58" s="181"/>
      <c r="N58" s="181"/>
      <c r="O58" s="181"/>
      <c r="P58" s="181"/>
      <c r="Q58" s="181"/>
      <c r="R58" s="181"/>
      <c r="S58" s="181"/>
      <c r="T58" s="181"/>
      <c r="U58" s="181"/>
      <c r="V58" s="181"/>
      <c r="W58" s="274">
        <v>0.0150693581424262</v>
      </c>
      <c r="X58" s="274"/>
      <c r="Y58" s="274"/>
      <c r="Z58" s="274"/>
      <c r="AA58" s="274"/>
      <c r="AB58" s="274">
        <v>0.0152147661491425</v>
      </c>
      <c r="AC58" s="274">
        <v>0.0556012207590252</v>
      </c>
      <c r="AD58" s="274">
        <v>0.0809299846194281</v>
      </c>
      <c r="AE58" s="274">
        <v>0.0939829295133638</v>
      </c>
      <c r="AF58" s="274">
        <v>0.0927382426010799</v>
      </c>
      <c r="AG58" s="274">
        <v>0.123512213715203</v>
      </c>
      <c r="AH58" s="274">
        <v>0.116918724435097</v>
      </c>
      <c r="AI58" s="125"/>
      <c r="AJ58" s="100"/>
      <c r="AK58" s="100"/>
      <c r="AL58" s="100"/>
      <c r="AM58" s="100"/>
      <c r="AN58" s="100"/>
      <c r="AO58" s="100"/>
    </row>
    <row r="59" ht="14.25" customHeight="1">
      <c r="A59" s="382" t="s">
        <v>3433</v>
      </c>
      <c r="B59" s="100"/>
      <c r="C59" s="100"/>
      <c r="D59" s="100"/>
      <c r="E59" s="100"/>
      <c r="F59" s="206"/>
      <c r="G59" s="206"/>
      <c r="H59" s="207"/>
      <c r="I59" s="207"/>
      <c r="J59" s="207"/>
      <c r="K59" s="207"/>
      <c r="L59" s="207"/>
      <c r="M59" s="207"/>
      <c r="N59" s="207"/>
      <c r="O59" s="207"/>
      <c r="P59" s="207"/>
      <c r="Q59" s="207"/>
      <c r="R59" s="207"/>
      <c r="S59" s="207"/>
      <c r="T59" s="207"/>
      <c r="U59" s="207"/>
      <c r="V59" s="207"/>
      <c r="W59" s="208"/>
      <c r="X59" s="208"/>
      <c r="Y59" s="208"/>
      <c r="Z59" s="208"/>
      <c r="AA59" s="208"/>
      <c r="AB59" s="208"/>
      <c r="AC59" s="208"/>
      <c r="AD59" s="208"/>
      <c r="AE59" s="208"/>
      <c r="AF59" s="208"/>
      <c r="AG59" s="208"/>
      <c r="AH59" s="208"/>
      <c r="AI59" s="100"/>
      <c r="AJ59" s="100"/>
      <c r="AK59" s="100"/>
      <c r="AL59" s="100"/>
      <c r="AM59" s="100"/>
      <c r="AN59" s="100"/>
      <c r="AO59" s="100"/>
    </row>
    <row r="60" ht="14.25" hidden="1" customHeight="1" outlineLevel="1">
      <c r="A60" s="247"/>
      <c r="B60" s="331" t="s">
        <v>3434</v>
      </c>
      <c r="C60" s="246"/>
      <c r="D60" s="201"/>
      <c r="E60" s="162"/>
      <c r="F60" s="162"/>
      <c r="G60" s="162"/>
      <c r="H60" s="178"/>
      <c r="I60" s="178"/>
      <c r="J60" s="178"/>
      <c r="K60" s="178"/>
      <c r="L60" s="178"/>
      <c r="M60" s="178"/>
      <c r="N60" s="178"/>
      <c r="O60" s="178"/>
      <c r="P60" s="178"/>
      <c r="Q60" s="178"/>
      <c r="R60" s="178"/>
      <c r="S60" s="178"/>
      <c r="T60" s="178"/>
      <c r="U60" s="178"/>
      <c r="V60" s="178"/>
      <c r="W60" s="178"/>
      <c r="X60" s="178"/>
      <c r="Y60" s="178"/>
      <c r="Z60" s="178"/>
      <c r="AA60" s="178"/>
      <c r="AB60" s="178"/>
      <c r="AC60" s="178"/>
      <c r="AD60" s="178"/>
      <c r="AE60" s="178"/>
      <c r="AF60" s="178"/>
      <c r="AG60" s="178"/>
      <c r="AH60" s="178"/>
      <c r="AI60" s="244"/>
      <c r="AJ60" s="100"/>
      <c r="AK60" s="100"/>
      <c r="AL60" s="100"/>
      <c r="AM60" s="100"/>
      <c r="AN60" s="100"/>
      <c r="AO60" s="100"/>
    </row>
    <row r="61" ht="14.25" hidden="1" customHeight="1" outlineLevel="3">
      <c r="A61" s="200"/>
      <c r="B61" s="100"/>
      <c r="C61" s="201"/>
      <c r="D61" s="201"/>
      <c r="E61" s="273" t="str">
        <f>"TOTAL FEC for space heating in the tertiary sector"&amp;IF('EDCM - Tertiary'!$F$8="Ok"," (secondary and vacant dwellings included)"," (secondary and vacant dwellings not or partially included)")</f>
        <v>TOTAL FEC for space heating in the tertiary sector (secondary and vacant dwellings not or partially included)</v>
      </c>
      <c r="F61" s="123" t="s">
        <v>135</v>
      </c>
      <c r="G61" s="123" t="s">
        <v>3477</v>
      </c>
      <c r="H61" s="274">
        <f t="array" ref="H61:AH61">INDIRECT(IF(NOT(edcmterpartner),"cal","")&amp;RIGHT(G61,11))</f>
        <v>24.5767046</v>
      </c>
      <c r="I61" s="274">
        <v>26.2766361684752</v>
      </c>
      <c r="J61" s="274">
        <v>27.1741522274555</v>
      </c>
      <c r="K61" s="274">
        <v>29.3462460388016</v>
      </c>
      <c r="L61" s="274">
        <v>30.5890276856246</v>
      </c>
      <c r="M61" s="274">
        <v>30.0801459177413</v>
      </c>
      <c r="N61" s="274">
        <v>31.0670989857281</v>
      </c>
      <c r="O61" s="274">
        <v>25.7602892717598</v>
      </c>
      <c r="P61" s="274">
        <v>34.5762432873646</v>
      </c>
      <c r="Q61" s="274">
        <v>33.1145045757919</v>
      </c>
      <c r="R61" s="274">
        <v>37.4502962517221</v>
      </c>
      <c r="S61" s="274">
        <v>30.5238751870444</v>
      </c>
      <c r="T61" s="274">
        <v>31.4393363658705</v>
      </c>
      <c r="U61" s="274">
        <v>35.5502566662368</v>
      </c>
      <c r="V61" s="274">
        <v>27.4907666651122</v>
      </c>
      <c r="W61" s="274">
        <v>31.2744268810139</v>
      </c>
      <c r="X61" s="274"/>
      <c r="Y61" s="274"/>
      <c r="Z61" s="274"/>
      <c r="AA61" s="274"/>
      <c r="AB61" s="274"/>
      <c r="AC61" s="274"/>
      <c r="AD61" s="274"/>
      <c r="AE61" s="274"/>
      <c r="AF61" s="274"/>
      <c r="AG61" s="274"/>
      <c r="AH61" s="274"/>
      <c r="AI61" s="204"/>
      <c r="AJ61" s="100"/>
      <c r="AK61" s="100"/>
      <c r="AL61" s="100"/>
      <c r="AM61" s="100"/>
      <c r="AN61" s="100"/>
      <c r="AO61" s="100"/>
    </row>
    <row r="62" ht="14.25" hidden="1" customHeight="1" outlineLevel="3">
      <c r="A62" s="200"/>
      <c r="B62" s="201"/>
      <c r="C62" s="201"/>
      <c r="D62" s="201"/>
      <c r="E62" s="273" t="str">
        <f>"FEC from solid fossil fuels (coal ...) for space heating in the tertiary sector"&amp;IF('EDCM - Tertiary'!$F$8="Ok"," (secondary and vacant dwellings included)"," (secondary and vacant dwellings not or partially included)")</f>
        <v>FEC from solid fossil fuels (coal ...) for space heating in the tertiary sector (secondary and vacant dwellings not or partially included)</v>
      </c>
      <c r="F62" s="280" t="s">
        <v>135</v>
      </c>
      <c r="G62" s="123" t="s">
        <v>3478</v>
      </c>
      <c r="H62" s="274">
        <f t="array" ref="H62:AH62">INDIRECT(IF(NOT(edcmterpartner),"cal","")&amp;RIGHT(G62,11))</f>
        <v>0</v>
      </c>
      <c r="I62" s="274">
        <v>0.0</v>
      </c>
      <c r="J62" s="274">
        <v>0.0</v>
      </c>
      <c r="K62" s="274">
        <v>0.0</v>
      </c>
      <c r="L62" s="274">
        <v>0.0</v>
      </c>
      <c r="M62" s="274">
        <v>0.0</v>
      </c>
      <c r="N62" s="274">
        <v>0.0</v>
      </c>
      <c r="O62" s="274">
        <v>0.0</v>
      </c>
      <c r="P62" s="274">
        <v>0.0</v>
      </c>
      <c r="Q62" s="274">
        <v>0.0</v>
      </c>
      <c r="R62" s="274">
        <v>0.0</v>
      </c>
      <c r="S62" s="274">
        <v>0.0</v>
      </c>
      <c r="T62" s="274">
        <v>0.0</v>
      </c>
      <c r="U62" s="274">
        <v>0.0</v>
      </c>
      <c r="V62" s="274">
        <v>0.0</v>
      </c>
      <c r="W62" s="274">
        <v>0.0</v>
      </c>
      <c r="X62" s="274"/>
      <c r="Y62" s="274"/>
      <c r="Z62" s="274"/>
      <c r="AA62" s="274"/>
      <c r="AB62" s="274"/>
      <c r="AC62" s="274"/>
      <c r="AD62" s="274"/>
      <c r="AE62" s="274"/>
      <c r="AF62" s="274"/>
      <c r="AG62" s="274"/>
      <c r="AH62" s="274"/>
      <c r="AI62" s="204"/>
      <c r="AJ62" s="100"/>
      <c r="AK62" s="100"/>
      <c r="AL62" s="100"/>
      <c r="AM62" s="100"/>
      <c r="AN62" s="100"/>
      <c r="AO62" s="100"/>
    </row>
    <row r="63" ht="14.25" hidden="1" customHeight="1" outlineLevel="3">
      <c r="A63" s="200"/>
      <c r="B63" s="201"/>
      <c r="C63" s="201"/>
      <c r="D63" s="201"/>
      <c r="E63" s="273" t="str">
        <f>"FEC from solid biomass for space heating in the tertiary sector"&amp;IF('EDCM - Tertiary'!$F$8="Ok"," (secondary and vacant dwellings included)"," (secondary and vacant dwellings not or partially included)")</f>
        <v>FEC from solid biomass for space heating in the tertiary sector (secondary and vacant dwellings not or partially included)</v>
      </c>
      <c r="F63" s="280" t="s">
        <v>135</v>
      </c>
      <c r="G63" s="123" t="s">
        <v>3479</v>
      </c>
      <c r="H63" s="274" t="str">
        <f t="array" ref="H63">INDIRECT(IF(NOT(edcmterpartner),"cal","")&amp;RIGHT(G63,11))</f>
        <v>#REF!</v>
      </c>
      <c r="I63" s="274"/>
      <c r="J63" s="274"/>
      <c r="K63" s="274"/>
      <c r="L63" s="274"/>
      <c r="M63" s="274"/>
      <c r="N63" s="274"/>
      <c r="O63" s="274"/>
      <c r="P63" s="274"/>
      <c r="Q63" s="274"/>
      <c r="R63" s="274"/>
      <c r="S63" s="274"/>
      <c r="T63" s="274"/>
      <c r="U63" s="274"/>
      <c r="V63" s="274"/>
      <c r="W63" s="274"/>
      <c r="X63" s="274"/>
      <c r="Y63" s="274"/>
      <c r="Z63" s="274"/>
      <c r="AA63" s="274"/>
      <c r="AB63" s="274"/>
      <c r="AC63" s="274"/>
      <c r="AD63" s="274"/>
      <c r="AE63" s="274"/>
      <c r="AF63" s="274"/>
      <c r="AG63" s="274"/>
      <c r="AH63" s="274"/>
      <c r="AI63" s="204"/>
      <c r="AJ63" s="100"/>
      <c r="AK63" s="100"/>
      <c r="AL63" s="100"/>
      <c r="AM63" s="100"/>
      <c r="AN63" s="100"/>
      <c r="AO63" s="100"/>
    </row>
    <row r="64" ht="14.25" hidden="1" customHeight="1" outlineLevel="3">
      <c r="A64" s="200"/>
      <c r="B64" s="201"/>
      <c r="C64" s="201"/>
      <c r="D64" s="201"/>
      <c r="E64" s="273" t="str">
        <f>"FEC from oil for space heating in the tertiary sector"&amp;IF('EDCM - Tertiary'!$F$8="Ok"," (secondary and vacant dwellings included)"," (secondary and vacant dwellings not or partially included)")</f>
        <v>FEC from oil for space heating in the tertiary sector (secondary and vacant dwellings not or partially included)</v>
      </c>
      <c r="F64" s="280" t="s">
        <v>135</v>
      </c>
      <c r="G64" s="123" t="s">
        <v>3480</v>
      </c>
      <c r="H64" s="274">
        <f t="array" ref="H64:AH64">INDIRECT(IF(NOT(edcmterpartner),"cal","")&amp;RIGHT(G64,11))</f>
        <v>7.8804899</v>
      </c>
      <c r="I64" s="274">
        <v>8.15856457253369</v>
      </c>
      <c r="J64" s="274">
        <v>11.2965223389548</v>
      </c>
      <c r="K64" s="274">
        <v>13.1925937149035</v>
      </c>
      <c r="L64" s="274">
        <v>13.0725077607609</v>
      </c>
      <c r="M64" s="274">
        <v>13.0509579639896</v>
      </c>
      <c r="N64" s="274">
        <v>11.1428346364461</v>
      </c>
      <c r="O64" s="274">
        <v>9.23493648813963</v>
      </c>
      <c r="P64" s="274">
        <v>11.6134701730511</v>
      </c>
      <c r="Q64" s="274">
        <v>9.20168436310996</v>
      </c>
      <c r="R64" s="274">
        <v>10.4444295867339</v>
      </c>
      <c r="S64" s="274">
        <v>8.63644193936232</v>
      </c>
      <c r="T64" s="274">
        <v>8.52356853038267</v>
      </c>
      <c r="U64" s="274">
        <v>9.44530232508079</v>
      </c>
      <c r="V64" s="274">
        <v>7.18810335139248</v>
      </c>
      <c r="W64" s="274">
        <v>8.72263060087992</v>
      </c>
      <c r="X64" s="274"/>
      <c r="Y64" s="274"/>
      <c r="Z64" s="274"/>
      <c r="AA64" s="274"/>
      <c r="AB64" s="274"/>
      <c r="AC64" s="274"/>
      <c r="AD64" s="274"/>
      <c r="AE64" s="274"/>
      <c r="AF64" s="274"/>
      <c r="AG64" s="274"/>
      <c r="AH64" s="274"/>
      <c r="AI64" s="204"/>
      <c r="AJ64" s="100"/>
      <c r="AK64" s="100"/>
      <c r="AL64" s="100"/>
      <c r="AM64" s="100"/>
      <c r="AN64" s="100"/>
      <c r="AO64" s="100"/>
    </row>
    <row r="65" ht="14.25" hidden="1" customHeight="1" outlineLevel="3">
      <c r="A65" s="200"/>
      <c r="B65" s="201"/>
      <c r="C65" s="201"/>
      <c r="D65" s="201"/>
      <c r="E65" s="273" t="str">
        <f>"FEC from gas grid / gas consumed locally for space heating in the tertiary sector"&amp;IF('EDCM - Tertiary'!$F$8="Ok"," (secondary and vacant dwellings included)"," (secondary and vacant dwellings not or partially included)")</f>
        <v>FEC from gas grid / gas consumed locally for space heating in the tertiary sector (secondary and vacant dwellings not or partially included)</v>
      </c>
      <c r="F65" s="280" t="s">
        <v>135</v>
      </c>
      <c r="G65" s="123" t="s">
        <v>3481</v>
      </c>
      <c r="H65" s="274">
        <f t="array" ref="H65:AH65">INDIRECT(IF(NOT(edcmterpartner),"cal","")&amp;RIGHT(G65,11))</f>
        <v>14.04339549</v>
      </c>
      <c r="I65" s="274">
        <v>15.1676814440818</v>
      </c>
      <c r="J65" s="274">
        <v>14.6983179845793</v>
      </c>
      <c r="K65" s="274">
        <v>15.2430228965849</v>
      </c>
      <c r="L65" s="274">
        <v>15.9073147146688</v>
      </c>
      <c r="M65" s="274">
        <v>15.912255965996</v>
      </c>
      <c r="N65" s="274">
        <v>15.3028457928443</v>
      </c>
      <c r="O65" s="274">
        <v>11.8558700807364</v>
      </c>
      <c r="P65" s="274">
        <v>15.8131745886554</v>
      </c>
      <c r="Q65" s="274">
        <v>16.2066800136394</v>
      </c>
      <c r="R65" s="274">
        <v>18.7275111599028</v>
      </c>
      <c r="S65" s="274">
        <v>14.5717586199666</v>
      </c>
      <c r="T65" s="274">
        <v>15.887370814499</v>
      </c>
      <c r="U65" s="274">
        <v>18.5865863781817</v>
      </c>
      <c r="V65" s="274">
        <v>13.7177060500129</v>
      </c>
      <c r="W65" s="274">
        <v>15.7541087891774</v>
      </c>
      <c r="X65" s="274"/>
      <c r="Y65" s="274"/>
      <c r="Z65" s="274"/>
      <c r="AA65" s="274"/>
      <c r="AB65" s="274"/>
      <c r="AC65" s="274"/>
      <c r="AD65" s="274"/>
      <c r="AE65" s="274"/>
      <c r="AF65" s="274"/>
      <c r="AG65" s="274"/>
      <c r="AH65" s="274"/>
      <c r="AI65" s="204"/>
      <c r="AJ65" s="100"/>
      <c r="AK65" s="100"/>
      <c r="AL65" s="100"/>
      <c r="AM65" s="100"/>
      <c r="AN65" s="100"/>
      <c r="AO65" s="100"/>
    </row>
    <row r="66" ht="14.25" hidden="1" customHeight="1" outlineLevel="3">
      <c r="A66" s="200"/>
      <c r="B66" s="201"/>
      <c r="C66" s="201"/>
      <c r="D66" s="201"/>
      <c r="E66" s="273" t="str">
        <f>"Final electricity consumption for space heating in the tertiary sector"&amp;IF('EDCM - Tertiary'!$F$8="Ok"," (secondary and vacant dwellings included)"," (secondary and vacant dwellings not or partially included)")</f>
        <v>Final electricity consumption for space heating in the tertiary sector (secondary and vacant dwellings not or partially included)</v>
      </c>
      <c r="F66" s="280" t="s">
        <v>135</v>
      </c>
      <c r="G66" s="123" t="s">
        <v>3482</v>
      </c>
      <c r="H66" s="274">
        <f t="array" ref="H66:AH66">INDIRECT(IF(NOT(edcmterpartner),"cal","")&amp;RIGHT(G66,11))</f>
        <v>2.142760376</v>
      </c>
      <c r="I66" s="274">
        <v>2.43236166943663</v>
      </c>
      <c r="J66" s="274">
        <v>0.667092371564304</v>
      </c>
      <c r="K66" s="274">
        <v>0.400255744410839</v>
      </c>
      <c r="L66" s="274">
        <v>0.392871981276798</v>
      </c>
      <c r="M66" s="274">
        <v>0.557290402686831</v>
      </c>
      <c r="N66" s="274">
        <v>3.62307954935132</v>
      </c>
      <c r="O66" s="274">
        <v>3.63423595128985</v>
      </c>
      <c r="P66" s="274">
        <v>5.59320811301254</v>
      </c>
      <c r="Q66" s="274">
        <v>6.05305280864177</v>
      </c>
      <c r="R66" s="274">
        <v>6.36129227418843</v>
      </c>
      <c r="S66" s="274">
        <v>5.36949398327361</v>
      </c>
      <c r="T66" s="274">
        <v>5.22499674368519</v>
      </c>
      <c r="U66" s="274">
        <v>5.17346751378927</v>
      </c>
      <c r="V66" s="274">
        <v>4.10927085793555</v>
      </c>
      <c r="W66" s="274">
        <v>3.69973809074478</v>
      </c>
      <c r="X66" s="274"/>
      <c r="Y66" s="274"/>
      <c r="Z66" s="274"/>
      <c r="AA66" s="274"/>
      <c r="AB66" s="274"/>
      <c r="AC66" s="274"/>
      <c r="AD66" s="274"/>
      <c r="AE66" s="274"/>
      <c r="AF66" s="274"/>
      <c r="AG66" s="274"/>
      <c r="AH66" s="274"/>
      <c r="AI66" s="204"/>
      <c r="AJ66" s="100"/>
      <c r="AK66" s="100"/>
      <c r="AL66" s="100"/>
      <c r="AM66" s="100"/>
      <c r="AN66" s="100"/>
      <c r="AO66" s="100"/>
    </row>
    <row r="67" ht="14.25" hidden="1" customHeight="1" outlineLevel="3">
      <c r="A67" s="200"/>
      <c r="B67" s="201"/>
      <c r="C67" s="201"/>
      <c r="D67" s="201"/>
      <c r="E67" s="273" t="str">
        <f>"FEC from heating networks for space heating in the tertiary sector"&amp;IF('EDCM - Tertiary'!$F$8="Ok"," (secondary and vacant dwellings included)"," (secondary and vacant dwellings not or partially included)")</f>
        <v>FEC from heating networks for space heating in the tertiary sector (secondary and vacant dwellings not or partially included)</v>
      </c>
      <c r="F67" s="280" t="s">
        <v>135</v>
      </c>
      <c r="G67" s="123" t="s">
        <v>3483</v>
      </c>
      <c r="H67" s="274">
        <f t="array" ref="H67:AH67">INDIRECT(IF(NOT(edcmterpartner),"cal","")&amp;RIGHT(G67,11))</f>
        <v>0.488753304</v>
      </c>
      <c r="I67" s="274">
        <v>0.488021044264814</v>
      </c>
      <c r="J67" s="274">
        <v>0.481310959888916</v>
      </c>
      <c r="K67" s="274">
        <v>0.476111395989701</v>
      </c>
      <c r="L67" s="274">
        <v>1.12757888193363</v>
      </c>
      <c r="M67" s="274">
        <v>0.436305621107316</v>
      </c>
      <c r="N67" s="274">
        <v>0.53521177439588</v>
      </c>
      <c r="O67" s="274">
        <v>0.511162418333225</v>
      </c>
      <c r="P67" s="274">
        <v>0.742844121668022</v>
      </c>
      <c r="Q67" s="274">
        <v>0.723936702549122</v>
      </c>
      <c r="R67" s="274">
        <v>0.81000007361612</v>
      </c>
      <c r="S67" s="274">
        <v>0.919956263709066</v>
      </c>
      <c r="T67" s="274">
        <v>0.461994876887416</v>
      </c>
      <c r="U67" s="274">
        <v>0.69130954576249</v>
      </c>
      <c r="V67" s="274">
        <v>0.707568182863394</v>
      </c>
      <c r="W67" s="274">
        <v>0.68360388383539</v>
      </c>
      <c r="X67" s="274"/>
      <c r="Y67" s="274"/>
      <c r="Z67" s="274"/>
      <c r="AA67" s="274"/>
      <c r="AB67" s="274"/>
      <c r="AC67" s="274"/>
      <c r="AD67" s="274"/>
      <c r="AE67" s="274"/>
      <c r="AF67" s="274"/>
      <c r="AG67" s="274"/>
      <c r="AH67" s="274"/>
      <c r="AI67" s="204"/>
      <c r="AJ67" s="100"/>
      <c r="AK67" s="100"/>
      <c r="AL67" s="100"/>
      <c r="AM67" s="100"/>
      <c r="AN67" s="100"/>
      <c r="AO67" s="100"/>
    </row>
    <row r="68" ht="14.25" hidden="1" customHeight="1" outlineLevel="3">
      <c r="A68" s="200"/>
      <c r="B68" s="201"/>
      <c r="C68" s="201"/>
      <c r="D68" s="201"/>
      <c r="E68" s="273" t="str">
        <f>"Final energy consumption from ambient heat (heat pumps…) for space heating in the tertiary sector"&amp;IF('EDCM - Tertiary'!$F$8="Ok"," (secondary and vacant dwellings included)"," (secondary and vacant dwellings not or partially included)")</f>
        <v>Final energy consumption from ambient heat (heat pumps…) for space heating in the tertiary sector (secondary and vacant dwellings not or partially included)</v>
      </c>
      <c r="F68" s="280" t="s">
        <v>135</v>
      </c>
      <c r="G68" s="123" t="s">
        <v>3484</v>
      </c>
      <c r="H68" s="274">
        <f t="array" ref="H68:AH68">INDIRECT(IF(NOT(edcmterpartner),"cal","")&amp;RIGHT(G68,11))</f>
        <v>0.02130553232</v>
      </c>
      <c r="I68" s="274">
        <v>0.030007438158258</v>
      </c>
      <c r="J68" s="274">
        <v>0.030908572468195</v>
      </c>
      <c r="K68" s="274">
        <v>0.034262286912677</v>
      </c>
      <c r="L68" s="274">
        <v>0.041106120684551</v>
      </c>
      <c r="M68" s="274">
        <v>0.063058095447005</v>
      </c>
      <c r="N68" s="274">
        <v>0.403768061590531</v>
      </c>
      <c r="O68" s="274">
        <v>0.462443588760795</v>
      </c>
      <c r="P68" s="274">
        <v>0.787562777577532</v>
      </c>
      <c r="Q68" s="274">
        <v>0.91286578035166</v>
      </c>
      <c r="R68" s="274">
        <v>1.06456317795355</v>
      </c>
      <c r="S68" s="274">
        <v>0.976780068135271</v>
      </c>
      <c r="T68" s="274">
        <v>1.12267743298681</v>
      </c>
      <c r="U68" s="274">
        <v>1.42860280745984</v>
      </c>
      <c r="V68" s="274">
        <v>1.56312274725981</v>
      </c>
      <c r="W68" s="274">
        <v>2.2157431330837</v>
      </c>
      <c r="X68" s="274"/>
      <c r="Y68" s="274"/>
      <c r="Z68" s="274"/>
      <c r="AA68" s="274"/>
      <c r="AB68" s="274"/>
      <c r="AC68" s="274"/>
      <c r="AD68" s="274"/>
      <c r="AE68" s="274"/>
      <c r="AF68" s="274"/>
      <c r="AG68" s="274"/>
      <c r="AH68" s="274"/>
      <c r="AI68" s="204"/>
      <c r="AJ68" s="100"/>
      <c r="AK68" s="100"/>
      <c r="AL68" s="100"/>
      <c r="AM68" s="100"/>
      <c r="AN68" s="100"/>
      <c r="AO68" s="100"/>
    </row>
    <row r="69" ht="14.25" hidden="1" customHeight="1" outlineLevel="3">
      <c r="A69" s="200"/>
      <c r="B69" s="201"/>
      <c r="C69" s="201"/>
      <c r="D69" s="201"/>
      <c r="E69" s="273" t="str">
        <f>"FEC from thermal solar for space heating in the tertiary sector"&amp;IF('EDCM - Tertiary'!$F$8="Ok"," (secondary and vacant dwellings included)"," (secondary and vacant dwellings not or partially included)")</f>
        <v>FEC from thermal solar for space heating in the tertiary sector (secondary and vacant dwellings not or partially included)</v>
      </c>
      <c r="F69" s="280" t="s">
        <v>135</v>
      </c>
      <c r="G69" s="123" t="s">
        <v>3485</v>
      </c>
      <c r="H69" s="274" t="str">
        <f t="array" ref="H69:AH69">INDIRECT(IF(NOT(edcmterpartner),"cal","")&amp;RIGHT(G69,11))</f>
        <v/>
      </c>
      <c r="I69" s="274"/>
      <c r="J69" s="274"/>
      <c r="K69" s="274"/>
      <c r="L69" s="274"/>
      <c r="M69" s="274"/>
      <c r="N69" s="274"/>
      <c r="O69" s="274"/>
      <c r="P69" s="274"/>
      <c r="Q69" s="274"/>
      <c r="R69" s="274"/>
      <c r="S69" s="274"/>
      <c r="T69" s="274"/>
      <c r="U69" s="274"/>
      <c r="V69" s="274"/>
      <c r="W69" s="274"/>
      <c r="X69" s="274"/>
      <c r="Y69" s="274"/>
      <c r="Z69" s="274"/>
      <c r="AA69" s="274"/>
      <c r="AB69" s="274"/>
      <c r="AC69" s="274"/>
      <c r="AD69" s="274"/>
      <c r="AE69" s="274"/>
      <c r="AF69" s="274"/>
      <c r="AG69" s="274"/>
      <c r="AH69" s="274"/>
      <c r="AI69" s="204"/>
      <c r="AJ69" s="100"/>
      <c r="AK69" s="100"/>
      <c r="AL69" s="100"/>
      <c r="AM69" s="100"/>
      <c r="AN69" s="100"/>
      <c r="AO69" s="100"/>
    </row>
    <row r="70" ht="13.5" hidden="1" customHeight="1" outlineLevel="1">
      <c r="A70" s="247"/>
      <c r="B70" s="331" t="s">
        <v>3444</v>
      </c>
      <c r="C70" s="282"/>
      <c r="D70" s="283"/>
      <c r="E70" s="284"/>
      <c r="F70" s="162"/>
      <c r="G70" s="162"/>
      <c r="H70" s="178"/>
      <c r="I70" s="178"/>
      <c r="J70" s="178"/>
      <c r="K70" s="178"/>
      <c r="L70" s="178"/>
      <c r="M70" s="178"/>
      <c r="N70" s="178"/>
      <c r="O70" s="178"/>
      <c r="P70" s="178"/>
      <c r="Q70" s="178"/>
      <c r="R70" s="178"/>
      <c r="S70" s="178"/>
      <c r="T70" s="178"/>
      <c r="U70" s="178"/>
      <c r="V70" s="178"/>
      <c r="W70" s="178"/>
      <c r="X70" s="178"/>
      <c r="Y70" s="178"/>
      <c r="Z70" s="178"/>
      <c r="AA70" s="178"/>
      <c r="AB70" s="178"/>
      <c r="AC70" s="178"/>
      <c r="AD70" s="178"/>
      <c r="AE70" s="178"/>
      <c r="AF70" s="178"/>
      <c r="AG70" s="178"/>
      <c r="AH70" s="178"/>
      <c r="AI70" s="244"/>
      <c r="AJ70" s="100"/>
      <c r="AK70" s="100"/>
      <c r="AL70" s="100"/>
      <c r="AM70" s="100"/>
      <c r="AN70" s="100"/>
      <c r="AO70" s="100"/>
    </row>
    <row r="71" ht="14.25" hidden="1" customHeight="1" outlineLevel="3">
      <c r="A71" s="247"/>
      <c r="B71" s="331"/>
      <c r="C71" s="201"/>
      <c r="D71" s="201"/>
      <c r="E71" s="273" t="str">
        <f>"TOTAL FEC for cooling in the tertiary sector"&amp;IF('EDCM - Tertiary'!$F$8="Ok"," (secondary and vacant dwellings included)"," (secondary and vacant dwellings not or partially included)")</f>
        <v>TOTAL FEC for cooling in the tertiary sector (secondary and vacant dwellings not or partially included)</v>
      </c>
      <c r="F71" s="280" t="s">
        <v>135</v>
      </c>
      <c r="G71" s="123" t="s">
        <v>3486</v>
      </c>
      <c r="H71" s="274">
        <f t="array" ref="H71:AH71">INDIRECT(IF(NOT(edcmterpartner),"cal","")&amp;RIGHT(G71,11))</f>
        <v>0.1456412746</v>
      </c>
      <c r="I71" s="274">
        <v>0.188198525598749</v>
      </c>
      <c r="J71" s="274">
        <v>0.257667014123923</v>
      </c>
      <c r="K71" s="274">
        <v>0.307340003709886</v>
      </c>
      <c r="L71" s="274">
        <v>0.376138030076043</v>
      </c>
      <c r="M71" s="274">
        <v>0.45524418314469</v>
      </c>
      <c r="N71" s="274">
        <v>0.542329841412689</v>
      </c>
      <c r="O71" s="274">
        <v>0.651937299669489</v>
      </c>
      <c r="P71" s="274">
        <v>0.734567467935829</v>
      </c>
      <c r="Q71" s="274">
        <v>0.817750122581603</v>
      </c>
      <c r="R71" s="274">
        <v>0.913882680502229</v>
      </c>
      <c r="S71" s="274">
        <v>0.927768235880233</v>
      </c>
      <c r="T71" s="274">
        <v>0.920512351382175</v>
      </c>
      <c r="U71" s="274">
        <v>0.915535725508007</v>
      </c>
      <c r="V71" s="274">
        <v>0.928694269546896</v>
      </c>
      <c r="W71" s="274">
        <v>0.922841559995368</v>
      </c>
      <c r="X71" s="274">
        <v>0.0</v>
      </c>
      <c r="Y71" s="274">
        <v>0.0</v>
      </c>
      <c r="Z71" s="274">
        <v>0.0</v>
      </c>
      <c r="AA71" s="274">
        <v>0.0</v>
      </c>
      <c r="AB71" s="274">
        <v>0.0</v>
      </c>
      <c r="AC71" s="274">
        <v>0.0</v>
      </c>
      <c r="AD71" s="274">
        <v>0.0</v>
      </c>
      <c r="AE71" s="274">
        <v>0.0</v>
      </c>
      <c r="AF71" s="274">
        <v>0.0</v>
      </c>
      <c r="AG71" s="274">
        <v>0.0</v>
      </c>
      <c r="AH71" s="274">
        <v>0.0</v>
      </c>
      <c r="AI71" s="204"/>
      <c r="AJ71" s="100"/>
      <c r="AK71" s="100"/>
      <c r="AL71" s="100"/>
      <c r="AM71" s="100"/>
      <c r="AN71" s="100"/>
      <c r="AO71" s="100"/>
    </row>
    <row r="72" ht="13.5" hidden="1" customHeight="1" outlineLevel="1">
      <c r="A72" s="247"/>
      <c r="B72" s="331" t="s">
        <v>3446</v>
      </c>
      <c r="C72" s="246"/>
      <c r="D72" s="201"/>
      <c r="E72" s="162"/>
      <c r="F72" s="162"/>
      <c r="G72" s="162"/>
      <c r="H72" s="178"/>
      <c r="I72" s="178"/>
      <c r="J72" s="178"/>
      <c r="K72" s="178"/>
      <c r="L72" s="178"/>
      <c r="M72" s="178"/>
      <c r="N72" s="178"/>
      <c r="O72" s="178"/>
      <c r="P72" s="178"/>
      <c r="Q72" s="178"/>
      <c r="R72" s="178"/>
      <c r="S72" s="178"/>
      <c r="T72" s="178"/>
      <c r="U72" s="178"/>
      <c r="V72" s="178"/>
      <c r="W72" s="178"/>
      <c r="X72" s="178"/>
      <c r="Y72" s="178"/>
      <c r="Z72" s="178"/>
      <c r="AA72" s="178"/>
      <c r="AB72" s="178"/>
      <c r="AC72" s="178"/>
      <c r="AD72" s="178"/>
      <c r="AE72" s="178"/>
      <c r="AF72" s="178"/>
      <c r="AG72" s="178"/>
      <c r="AH72" s="178"/>
      <c r="AI72" s="244"/>
      <c r="AJ72" s="100"/>
      <c r="AK72" s="100"/>
      <c r="AL72" s="100"/>
      <c r="AM72" s="100"/>
      <c r="AN72" s="100"/>
      <c r="AO72" s="100"/>
    </row>
    <row r="73" ht="14.25" hidden="1" customHeight="1" outlineLevel="3">
      <c r="A73" s="247"/>
      <c r="B73" s="331"/>
      <c r="C73" s="268"/>
      <c r="D73" s="201"/>
      <c r="E73" s="287" t="s">
        <v>3487</v>
      </c>
      <c r="F73" s="249" t="s">
        <v>135</v>
      </c>
      <c r="G73" s="249" t="s">
        <v>3488</v>
      </c>
      <c r="H73" s="181">
        <f t="array" ref="H73:AH73">INDIRECT(RIGHT(G73,11))</f>
        <v>3.91757674</v>
      </c>
      <c r="I73" s="181">
        <v>3.94907869617822</v>
      </c>
      <c r="J73" s="181">
        <v>4.11587714935855</v>
      </c>
      <c r="K73" s="181">
        <v>4.15855126860513</v>
      </c>
      <c r="L73" s="181">
        <v>4.19035655357902</v>
      </c>
      <c r="M73" s="181">
        <v>4.26302582207041</v>
      </c>
      <c r="N73" s="181">
        <v>4.26492355274767</v>
      </c>
      <c r="O73" s="181">
        <v>4.29451004879392</v>
      </c>
      <c r="P73" s="181">
        <v>4.34028443542513</v>
      </c>
      <c r="Q73" s="181">
        <v>4.2283687439485</v>
      </c>
      <c r="R73" s="181">
        <v>4.32102892259193</v>
      </c>
      <c r="S73" s="181">
        <v>4.40602472197734</v>
      </c>
      <c r="T73" s="181">
        <v>4.49076967771949</v>
      </c>
      <c r="U73" s="181">
        <v>4.55323477611874</v>
      </c>
      <c r="V73" s="181">
        <v>4.60536407938642</v>
      </c>
      <c r="W73" s="286">
        <v>4.6754194397711</v>
      </c>
      <c r="X73" s="181"/>
      <c r="Y73" s="181"/>
      <c r="Z73" s="181"/>
      <c r="AA73" s="181"/>
      <c r="AB73" s="286"/>
      <c r="AC73" s="286"/>
      <c r="AD73" s="286"/>
      <c r="AE73" s="286"/>
      <c r="AF73" s="286"/>
      <c r="AG73" s="286"/>
      <c r="AH73" s="286"/>
      <c r="AI73" s="204"/>
      <c r="AJ73" s="100"/>
      <c r="AK73" s="100"/>
      <c r="AL73" s="100"/>
      <c r="AM73" s="100"/>
      <c r="AN73" s="100"/>
      <c r="AO73" s="100"/>
    </row>
    <row r="74" ht="14.25" hidden="1" customHeight="1" outlineLevel="3">
      <c r="A74" s="247"/>
      <c r="B74" s="331"/>
      <c r="C74" s="268"/>
      <c r="D74" s="201"/>
      <c r="E74" s="270" t="s">
        <v>1011</v>
      </c>
      <c r="F74" s="249" t="s">
        <v>135</v>
      </c>
      <c r="G74" s="249" t="s">
        <v>3489</v>
      </c>
      <c r="H74" s="181" t="str">
        <f t="array" ref="H74:AH74">INDIRECT(RIGHT(G74,11))</f>
        <v/>
      </c>
      <c r="I74" s="181"/>
      <c r="J74" s="181"/>
      <c r="K74" s="181"/>
      <c r="L74" s="181"/>
      <c r="M74" s="181"/>
      <c r="N74" s="181"/>
      <c r="O74" s="181"/>
      <c r="P74" s="181"/>
      <c r="Q74" s="181"/>
      <c r="R74" s="181"/>
      <c r="S74" s="181"/>
      <c r="T74" s="181"/>
      <c r="U74" s="181"/>
      <c r="V74" s="181"/>
      <c r="W74" s="286"/>
      <c r="X74" s="264"/>
      <c r="Y74" s="264"/>
      <c r="Z74" s="264"/>
      <c r="AA74" s="264"/>
      <c r="AB74" s="286"/>
      <c r="AC74" s="286"/>
      <c r="AD74" s="286"/>
      <c r="AE74" s="286"/>
      <c r="AF74" s="286"/>
      <c r="AG74" s="286"/>
      <c r="AH74" s="286"/>
      <c r="AI74" s="204"/>
      <c r="AJ74" s="100"/>
      <c r="AK74" s="100"/>
      <c r="AL74" s="100"/>
      <c r="AM74" s="100"/>
      <c r="AN74" s="100"/>
      <c r="AO74" s="100"/>
    </row>
    <row r="75" ht="14.25" hidden="1" customHeight="1" outlineLevel="3">
      <c r="A75" s="247"/>
      <c r="B75" s="331"/>
      <c r="C75" s="268"/>
      <c r="D75" s="201"/>
      <c r="E75" s="270" t="s">
        <v>1013</v>
      </c>
      <c r="F75" s="249" t="s">
        <v>135</v>
      </c>
      <c r="G75" s="249" t="s">
        <v>3490</v>
      </c>
      <c r="H75" s="181" t="str">
        <f t="array" ref="H75:AH75">INDIRECT(RIGHT(G75,11))</f>
        <v/>
      </c>
      <c r="I75" s="181"/>
      <c r="J75" s="181"/>
      <c r="K75" s="181"/>
      <c r="L75" s="181"/>
      <c r="M75" s="181"/>
      <c r="N75" s="181"/>
      <c r="O75" s="181"/>
      <c r="P75" s="181"/>
      <c r="Q75" s="181"/>
      <c r="R75" s="181"/>
      <c r="S75" s="181"/>
      <c r="T75" s="181"/>
      <c r="U75" s="181"/>
      <c r="V75" s="181"/>
      <c r="W75" s="286"/>
      <c r="X75" s="181"/>
      <c r="Y75" s="181"/>
      <c r="Z75" s="181"/>
      <c r="AA75" s="181"/>
      <c r="AB75" s="286"/>
      <c r="AC75" s="286"/>
      <c r="AD75" s="286"/>
      <c r="AE75" s="286"/>
      <c r="AF75" s="286"/>
      <c r="AG75" s="286"/>
      <c r="AH75" s="286"/>
      <c r="AI75" s="204"/>
      <c r="AJ75" s="100"/>
      <c r="AK75" s="100"/>
      <c r="AL75" s="100"/>
      <c r="AM75" s="100"/>
      <c r="AN75" s="100"/>
      <c r="AO75" s="100"/>
    </row>
    <row r="76" ht="14.25" hidden="1" customHeight="1" outlineLevel="3">
      <c r="A76" s="247"/>
      <c r="B76" s="331"/>
      <c r="C76" s="268"/>
      <c r="D76" s="201"/>
      <c r="E76" s="270" t="s">
        <v>1015</v>
      </c>
      <c r="F76" s="249" t="s">
        <v>135</v>
      </c>
      <c r="G76" s="249" t="s">
        <v>3491</v>
      </c>
      <c r="H76" s="181">
        <f t="array" ref="H76:AH76">INDIRECT(RIGHT(G76,11))</f>
        <v>1.418392513</v>
      </c>
      <c r="I76" s="181">
        <v>1.40263544035686</v>
      </c>
      <c r="J76" s="181">
        <v>1.4034469888291</v>
      </c>
      <c r="K76" s="181">
        <v>1.40282291577248</v>
      </c>
      <c r="L76" s="181">
        <v>1.37912288022704</v>
      </c>
      <c r="M76" s="181">
        <v>1.37746157649271</v>
      </c>
      <c r="N76" s="181">
        <v>1.33382221121276</v>
      </c>
      <c r="O76" s="181">
        <v>1.31319747466789</v>
      </c>
      <c r="P76" s="181">
        <v>1.31686235021473</v>
      </c>
      <c r="Q76" s="181">
        <v>1.25600182622542</v>
      </c>
      <c r="R76" s="181">
        <v>1.2427305323925</v>
      </c>
      <c r="S76" s="181">
        <v>1.24045777817019</v>
      </c>
      <c r="T76" s="181">
        <v>1.22809733563839</v>
      </c>
      <c r="U76" s="181">
        <v>1.21090370578327</v>
      </c>
      <c r="V76" s="181">
        <v>1.19626148984064</v>
      </c>
      <c r="W76" s="286">
        <v>1.18442076467096</v>
      </c>
      <c r="X76" s="181"/>
      <c r="Y76" s="181"/>
      <c r="Z76" s="181"/>
      <c r="AA76" s="181"/>
      <c r="AB76" s="286"/>
      <c r="AC76" s="286"/>
      <c r="AD76" s="286"/>
      <c r="AE76" s="286"/>
      <c r="AF76" s="286"/>
      <c r="AG76" s="286"/>
      <c r="AH76" s="286"/>
      <c r="AI76" s="204"/>
      <c r="AJ76" s="100"/>
      <c r="AK76" s="100"/>
      <c r="AL76" s="100"/>
      <c r="AM76" s="100"/>
      <c r="AN76" s="100"/>
      <c r="AO76" s="100"/>
    </row>
    <row r="77" ht="14.25" hidden="1" customHeight="1" outlineLevel="3">
      <c r="A77" s="247"/>
      <c r="B77" s="331"/>
      <c r="C77" s="268"/>
      <c r="D77" s="201"/>
      <c r="E77" s="270" t="s">
        <v>1017</v>
      </c>
      <c r="F77" s="249" t="s">
        <v>135</v>
      </c>
      <c r="G77" s="249" t="s">
        <v>3492</v>
      </c>
      <c r="H77" s="181">
        <f t="array" ref="H77:AH77">INDIRECT(RIGHT(G77,11))</f>
        <v>1.772109327</v>
      </c>
      <c r="I77" s="181">
        <v>1.79732965277829</v>
      </c>
      <c r="J77" s="181">
        <v>1.82378963003072</v>
      </c>
      <c r="K77" s="181">
        <v>1.85027133503389</v>
      </c>
      <c r="L77" s="181">
        <v>2.26963197098109</v>
      </c>
      <c r="M77" s="181">
        <v>2.29907003215065</v>
      </c>
      <c r="N77" s="181">
        <v>2.01311303600034</v>
      </c>
      <c r="O77" s="181">
        <v>1.96161519304594</v>
      </c>
      <c r="P77" s="181">
        <v>1.92057573590059</v>
      </c>
      <c r="Q77" s="181">
        <v>1.8735801025629</v>
      </c>
      <c r="R77" s="181">
        <v>1.85371430539726</v>
      </c>
      <c r="S77" s="181">
        <v>1.8892875929325</v>
      </c>
      <c r="T77" s="181">
        <v>1.92705462352438</v>
      </c>
      <c r="U77" s="181">
        <v>1.95417600836791</v>
      </c>
      <c r="V77" s="181">
        <v>1.96951383411263</v>
      </c>
      <c r="W77" s="286">
        <v>1.98868710402563</v>
      </c>
      <c r="X77" s="181"/>
      <c r="Y77" s="181"/>
      <c r="Z77" s="181"/>
      <c r="AA77" s="181"/>
      <c r="AB77" s="286"/>
      <c r="AC77" s="286"/>
      <c r="AD77" s="286"/>
      <c r="AE77" s="286"/>
      <c r="AF77" s="286"/>
      <c r="AG77" s="286"/>
      <c r="AH77" s="286"/>
      <c r="AI77" s="204"/>
      <c r="AJ77" s="100"/>
      <c r="AK77" s="100"/>
      <c r="AL77" s="100"/>
      <c r="AM77" s="100"/>
      <c r="AN77" s="100"/>
      <c r="AO77" s="100"/>
    </row>
    <row r="78" ht="14.25" hidden="1" customHeight="1" outlineLevel="3">
      <c r="A78" s="247"/>
      <c r="B78" s="331"/>
      <c r="C78" s="268"/>
      <c r="D78" s="201"/>
      <c r="E78" s="270" t="s">
        <v>1019</v>
      </c>
      <c r="F78" s="249" t="s">
        <v>135</v>
      </c>
      <c r="G78" s="249" t="s">
        <v>3493</v>
      </c>
      <c r="H78" s="181">
        <f t="array" ref="H78:AH78">INDIRECT(RIGHT(G78,11))</f>
        <v>0.6516603366</v>
      </c>
      <c r="I78" s="181">
        <v>0.679014203707882</v>
      </c>
      <c r="J78" s="181">
        <v>0.819686995487644</v>
      </c>
      <c r="K78" s="181">
        <v>0.840766900988463</v>
      </c>
      <c r="L78" s="181">
        <v>0.479077218204523</v>
      </c>
      <c r="M78" s="181">
        <v>0.526688275325825</v>
      </c>
      <c r="N78" s="181">
        <v>0.856578753930432</v>
      </c>
      <c r="O78" s="181">
        <v>0.941106453613316</v>
      </c>
      <c r="P78" s="181">
        <v>1.01156175017784</v>
      </c>
      <c r="Q78" s="181">
        <v>0.999186121609297</v>
      </c>
      <c r="R78" s="181">
        <v>1.1298634492531</v>
      </c>
      <c r="S78" s="181">
        <v>1.1459566205953</v>
      </c>
      <c r="T78" s="181">
        <v>1.267607259372</v>
      </c>
      <c r="U78" s="181">
        <v>1.300578293478</v>
      </c>
      <c r="V78" s="181">
        <v>1.34465627930731</v>
      </c>
      <c r="W78" s="286">
        <v>1.40535875045476</v>
      </c>
      <c r="X78" s="181"/>
      <c r="Y78" s="181"/>
      <c r="Z78" s="181"/>
      <c r="AA78" s="181"/>
      <c r="AB78" s="286"/>
      <c r="AC78" s="286"/>
      <c r="AD78" s="286"/>
      <c r="AE78" s="286"/>
      <c r="AF78" s="286"/>
      <c r="AG78" s="286"/>
      <c r="AH78" s="286"/>
      <c r="AI78" s="204"/>
      <c r="AJ78" s="100"/>
      <c r="AK78" s="100"/>
      <c r="AL78" s="100"/>
      <c r="AM78" s="100"/>
      <c r="AN78" s="100"/>
      <c r="AO78" s="100"/>
    </row>
    <row r="79" ht="14.25" hidden="1" customHeight="1" outlineLevel="3">
      <c r="A79" s="247"/>
      <c r="B79" s="331"/>
      <c r="C79" s="201"/>
      <c r="D79" s="201"/>
      <c r="E79" s="291" t="s">
        <v>1021</v>
      </c>
      <c r="F79" s="123" t="s">
        <v>135</v>
      </c>
      <c r="G79" s="292" t="s">
        <v>3494</v>
      </c>
      <c r="H79" s="181">
        <f t="array" ref="H79:AH79">INDIRECT(RIGHT(G79,11))</f>
        <v>0.06902566767</v>
      </c>
      <c r="I79" s="181">
        <v>0.0679397083351864</v>
      </c>
      <c r="J79" s="181">
        <v>0.0666275350110838</v>
      </c>
      <c r="K79" s="181">
        <v>0.0612011168102996</v>
      </c>
      <c r="L79" s="181">
        <v>0.05890115766637</v>
      </c>
      <c r="M79" s="181">
        <v>0.056194845374993</v>
      </c>
      <c r="N79" s="181">
        <v>0.0567574353041208</v>
      </c>
      <c r="O79" s="181">
        <v>0.0727745318667751</v>
      </c>
      <c r="P79" s="181">
        <v>0.0828897162319788</v>
      </c>
      <c r="Q79" s="181">
        <v>0.0821525534508792</v>
      </c>
      <c r="R79" s="181">
        <v>0.084442857771301</v>
      </c>
      <c r="S79" s="181">
        <v>0.117822765057122</v>
      </c>
      <c r="T79" s="181">
        <v>0.0585608967492332</v>
      </c>
      <c r="U79" s="181">
        <v>0.0786882258991845</v>
      </c>
      <c r="V79" s="181">
        <v>0.0854880609399722</v>
      </c>
      <c r="W79" s="286">
        <v>0.0869530005947938</v>
      </c>
      <c r="X79" s="181"/>
      <c r="Y79" s="181"/>
      <c r="Z79" s="181"/>
      <c r="AA79" s="181"/>
      <c r="AB79" s="286"/>
      <c r="AC79" s="286"/>
      <c r="AD79" s="286"/>
      <c r="AE79" s="286"/>
      <c r="AF79" s="286"/>
      <c r="AG79" s="286"/>
      <c r="AH79" s="286"/>
      <c r="AI79" s="204"/>
      <c r="AJ79" s="100"/>
      <c r="AK79" s="100"/>
      <c r="AL79" s="100"/>
      <c r="AM79" s="100"/>
      <c r="AN79" s="100"/>
      <c r="AO79" s="100"/>
    </row>
    <row r="80" ht="14.25" hidden="1" customHeight="1" outlineLevel="3">
      <c r="A80" s="247"/>
      <c r="B80" s="331"/>
      <c r="C80" s="201"/>
      <c r="D80" s="201"/>
      <c r="E80" s="122" t="s">
        <v>1023</v>
      </c>
      <c r="F80" s="123" t="s">
        <v>135</v>
      </c>
      <c r="G80" s="123" t="s">
        <v>3495</v>
      </c>
      <c r="H80" s="181" t="str">
        <f t="array" ref="H80:AH80">INDIRECT(RIGHT(G80,11))</f>
        <v/>
      </c>
      <c r="I80" s="181"/>
      <c r="J80" s="181"/>
      <c r="K80" s="181"/>
      <c r="L80" s="181"/>
      <c r="M80" s="181"/>
      <c r="N80" s="181"/>
      <c r="O80" s="181"/>
      <c r="P80" s="181"/>
      <c r="Q80" s="181"/>
      <c r="R80" s="181"/>
      <c r="S80" s="181"/>
      <c r="T80" s="181"/>
      <c r="U80" s="181"/>
      <c r="V80" s="181"/>
      <c r="W80" s="286"/>
      <c r="X80" s="181"/>
      <c r="Y80" s="181"/>
      <c r="Z80" s="181"/>
      <c r="AA80" s="181"/>
      <c r="AB80" s="286"/>
      <c r="AC80" s="286"/>
      <c r="AD80" s="286"/>
      <c r="AE80" s="286"/>
      <c r="AF80" s="286"/>
      <c r="AG80" s="286"/>
      <c r="AH80" s="286"/>
      <c r="AI80" s="204"/>
      <c r="AJ80" s="100"/>
      <c r="AK80" s="100"/>
      <c r="AL80" s="100"/>
      <c r="AM80" s="100"/>
      <c r="AN80" s="100"/>
      <c r="AO80" s="100"/>
    </row>
    <row r="81" ht="14.25" hidden="1" customHeight="1" outlineLevel="3">
      <c r="A81" s="247"/>
      <c r="B81" s="331"/>
      <c r="C81" s="100"/>
      <c r="D81" s="100"/>
      <c r="E81" s="291" t="s">
        <v>1025</v>
      </c>
      <c r="F81" s="123" t="s">
        <v>135</v>
      </c>
      <c r="G81" s="292" t="s">
        <v>3496</v>
      </c>
      <c r="H81" s="181">
        <f t="array" ref="H81:AH81">INDIRECT(RIGHT(G81,11))</f>
        <v>0.00638889638</v>
      </c>
      <c r="I81" s="181">
        <v>0.002159691</v>
      </c>
      <c r="J81" s="181">
        <v>0.002326</v>
      </c>
      <c r="K81" s="181">
        <v>0.003489</v>
      </c>
      <c r="L81" s="181">
        <v>0.0036233265</v>
      </c>
      <c r="M81" s="181">
        <v>0.00361109272624585</v>
      </c>
      <c r="N81" s="181">
        <v>0.0046521163</v>
      </c>
      <c r="O81" s="181">
        <v>0.0058163956</v>
      </c>
      <c r="P81" s="181">
        <v>0.0083948829</v>
      </c>
      <c r="Q81" s="181">
        <v>0.0174481401</v>
      </c>
      <c r="R81" s="181">
        <v>0.0102777777777778</v>
      </c>
      <c r="S81" s="181">
        <v>0.0124999652222244</v>
      </c>
      <c r="T81" s="181">
        <v>0.00944956243549283</v>
      </c>
      <c r="U81" s="181">
        <v>0.00888854259037402</v>
      </c>
      <c r="V81" s="181">
        <v>0.00944441518585362</v>
      </c>
      <c r="W81" s="286">
        <v>0.00999982002496712</v>
      </c>
      <c r="X81" s="181"/>
      <c r="Y81" s="181"/>
      <c r="Z81" s="181"/>
      <c r="AA81" s="181"/>
      <c r="AB81" s="286"/>
      <c r="AC81" s="286"/>
      <c r="AD81" s="286"/>
      <c r="AE81" s="286"/>
      <c r="AF81" s="286"/>
      <c r="AG81" s="286"/>
      <c r="AH81" s="286"/>
      <c r="AI81" s="204"/>
      <c r="AJ81" s="100"/>
      <c r="AK81" s="100"/>
      <c r="AL81" s="100"/>
      <c r="AM81" s="100"/>
      <c r="AN81" s="100"/>
      <c r="AO81" s="100"/>
    </row>
    <row r="82" ht="14.25" hidden="1" customHeight="1" outlineLevel="1">
      <c r="A82" s="247"/>
      <c r="B82" s="331" t="s">
        <v>3457</v>
      </c>
      <c r="C82" s="246"/>
      <c r="D82" s="201"/>
      <c r="E82" s="162"/>
      <c r="F82" s="162"/>
      <c r="G82" s="162"/>
      <c r="H82" s="178"/>
      <c r="I82" s="178"/>
      <c r="J82" s="178"/>
      <c r="K82" s="178"/>
      <c r="L82" s="178"/>
      <c r="M82" s="178"/>
      <c r="N82" s="178"/>
      <c r="O82" s="178"/>
      <c r="P82" s="178"/>
      <c r="Q82" s="178"/>
      <c r="R82" s="178"/>
      <c r="S82" s="178"/>
      <c r="T82" s="178"/>
      <c r="U82" s="178"/>
      <c r="V82" s="178"/>
      <c r="W82" s="178"/>
      <c r="X82" s="178"/>
      <c r="Y82" s="178"/>
      <c r="Z82" s="178"/>
      <c r="AA82" s="178"/>
      <c r="AB82" s="178"/>
      <c r="AC82" s="178"/>
      <c r="AD82" s="178"/>
      <c r="AE82" s="178"/>
      <c r="AF82" s="178"/>
      <c r="AG82" s="178"/>
      <c r="AH82" s="178"/>
      <c r="AI82" s="244"/>
      <c r="AJ82" s="100"/>
      <c r="AK82" s="100"/>
      <c r="AL82" s="100"/>
      <c r="AM82" s="100"/>
      <c r="AN82" s="100"/>
      <c r="AO82" s="100"/>
    </row>
    <row r="83" ht="14.25" hidden="1" customHeight="1" outlineLevel="3">
      <c r="A83" s="247"/>
      <c r="B83" s="331"/>
      <c r="C83" s="295"/>
      <c r="D83" s="201"/>
      <c r="E83" s="287" t="s">
        <v>3497</v>
      </c>
      <c r="F83" s="249" t="s">
        <v>135</v>
      </c>
      <c r="G83" s="249" t="s">
        <v>3498</v>
      </c>
      <c r="H83" s="181">
        <f t="array" ref="H83:AH83">INDIRECT(RIGHT(G83,11))</f>
        <v>3.711747938</v>
      </c>
      <c r="I83" s="181">
        <v>3.75237726405189</v>
      </c>
      <c r="J83" s="181">
        <v>3.85443202041592</v>
      </c>
      <c r="K83" s="181">
        <v>3.85407669953861</v>
      </c>
      <c r="L83" s="181">
        <v>3.94722679493011</v>
      </c>
      <c r="M83" s="181">
        <v>3.9742292166706</v>
      </c>
      <c r="N83" s="181">
        <v>3.97508392701058</v>
      </c>
      <c r="O83" s="181">
        <v>4.02882588997996</v>
      </c>
      <c r="P83" s="181">
        <v>4.12237378371218</v>
      </c>
      <c r="Q83" s="181">
        <v>4.11970244183296</v>
      </c>
      <c r="R83" s="181">
        <v>4.30813545997332</v>
      </c>
      <c r="S83" s="181">
        <v>4.25728242566019</v>
      </c>
      <c r="T83" s="181">
        <v>4.25659135865057</v>
      </c>
      <c r="U83" s="181">
        <v>4.29628660205613</v>
      </c>
      <c r="V83" s="181">
        <v>4.38002774595282</v>
      </c>
      <c r="W83" s="182">
        <v>4.43440964482509</v>
      </c>
      <c r="X83" s="181"/>
      <c r="Y83" s="181"/>
      <c r="Z83" s="181"/>
      <c r="AA83" s="181"/>
      <c r="AB83" s="182"/>
      <c r="AC83" s="182"/>
      <c r="AD83" s="182"/>
      <c r="AE83" s="182"/>
      <c r="AF83" s="182"/>
      <c r="AG83" s="182"/>
      <c r="AH83" s="184"/>
      <c r="AI83" s="204"/>
      <c r="AJ83" s="100"/>
      <c r="AK83" s="100"/>
      <c r="AL83" s="100"/>
      <c r="AM83" s="100"/>
      <c r="AN83" s="100"/>
      <c r="AO83" s="100"/>
    </row>
    <row r="84" ht="14.25" hidden="1" customHeight="1" outlineLevel="3">
      <c r="A84" s="247"/>
      <c r="B84" s="331"/>
      <c r="C84" s="295"/>
      <c r="D84" s="201"/>
      <c r="E84" s="270" t="s">
        <v>1034</v>
      </c>
      <c r="F84" s="249" t="s">
        <v>135</v>
      </c>
      <c r="G84" s="249" t="s">
        <v>3499</v>
      </c>
      <c r="H84" s="181" t="str">
        <f t="array" ref="H84:AH84">INDIRECT(RIGHT(G84,11))</f>
        <v/>
      </c>
      <c r="I84" s="181"/>
      <c r="J84" s="181"/>
      <c r="K84" s="181"/>
      <c r="L84" s="181"/>
      <c r="M84" s="181"/>
      <c r="N84" s="181"/>
      <c r="O84" s="181"/>
      <c r="P84" s="181"/>
      <c r="Q84" s="181"/>
      <c r="R84" s="181"/>
      <c r="S84" s="181"/>
      <c r="T84" s="181"/>
      <c r="U84" s="181"/>
      <c r="V84" s="181"/>
      <c r="W84" s="182"/>
      <c r="X84" s="181"/>
      <c r="Y84" s="181"/>
      <c r="Z84" s="181"/>
      <c r="AA84" s="181"/>
      <c r="AB84" s="182"/>
      <c r="AC84" s="182"/>
      <c r="AD84" s="182"/>
      <c r="AE84" s="182"/>
      <c r="AF84" s="182"/>
      <c r="AG84" s="182"/>
      <c r="AH84" s="184"/>
      <c r="AI84" s="204"/>
      <c r="AJ84" s="100"/>
      <c r="AK84" s="100"/>
      <c r="AL84" s="100"/>
      <c r="AM84" s="100"/>
      <c r="AN84" s="100"/>
      <c r="AO84" s="100"/>
    </row>
    <row r="85" ht="14.25" hidden="1" customHeight="1" outlineLevel="3">
      <c r="A85" s="247"/>
      <c r="B85" s="331"/>
      <c r="C85" s="295"/>
      <c r="D85" s="201"/>
      <c r="E85" s="270" t="s">
        <v>1036</v>
      </c>
      <c r="F85" s="249" t="s">
        <v>135</v>
      </c>
      <c r="G85" s="249" t="s">
        <v>3500</v>
      </c>
      <c r="H85" s="181">
        <f t="array" ref="H85:AH85">INDIRECT(RIGHT(G85,11))</f>
        <v>0</v>
      </c>
      <c r="I85" s="181">
        <v>0.0</v>
      </c>
      <c r="J85" s="181">
        <v>0.0</v>
      </c>
      <c r="K85" s="181">
        <v>0.0</v>
      </c>
      <c r="L85" s="181">
        <v>0.0</v>
      </c>
      <c r="M85" s="181">
        <v>0.0</v>
      </c>
      <c r="N85" s="181">
        <v>0.0</v>
      </c>
      <c r="O85" s="181">
        <v>0.0</v>
      </c>
      <c r="P85" s="181">
        <v>0.0082528806</v>
      </c>
      <c r="Q85" s="181">
        <v>0.0081425119</v>
      </c>
      <c r="R85" s="181">
        <v>0.00808618936642818</v>
      </c>
      <c r="S85" s="181">
        <v>0.00808615872964637</v>
      </c>
      <c r="T85" s="181">
        <v>0.00809029731742624</v>
      </c>
      <c r="U85" s="181">
        <v>0.00808578025536749</v>
      </c>
      <c r="V85" s="181">
        <v>0.00808616646863592</v>
      </c>
      <c r="W85" s="182">
        <v>0.00808618058747297</v>
      </c>
      <c r="X85" s="181"/>
      <c r="Y85" s="181"/>
      <c r="Z85" s="181"/>
      <c r="AA85" s="181"/>
      <c r="AB85" s="182"/>
      <c r="AC85" s="182"/>
      <c r="AD85" s="182"/>
      <c r="AE85" s="182"/>
      <c r="AF85" s="182"/>
      <c r="AG85" s="182"/>
      <c r="AH85" s="184"/>
      <c r="AI85" s="204"/>
      <c r="AJ85" s="100"/>
      <c r="AK85" s="100"/>
      <c r="AL85" s="100"/>
      <c r="AM85" s="100"/>
      <c r="AN85" s="100"/>
      <c r="AO85" s="100"/>
    </row>
    <row r="86" ht="14.25" hidden="1" customHeight="1" outlineLevel="3">
      <c r="A86" s="247"/>
      <c r="B86" s="331"/>
      <c r="C86" s="295"/>
      <c r="D86" s="201"/>
      <c r="E86" s="270" t="s">
        <v>1038</v>
      </c>
      <c r="F86" s="249" t="s">
        <v>135</v>
      </c>
      <c r="G86" s="249" t="s">
        <v>3501</v>
      </c>
      <c r="H86" s="181">
        <f t="array" ref="H86:AH86">INDIRECT(RIGHT(G86,11))</f>
        <v>0.7424910251</v>
      </c>
      <c r="I86" s="181">
        <v>0.72735380280945</v>
      </c>
      <c r="J86" s="181">
        <v>0.533831513716144</v>
      </c>
      <c r="K86" s="181">
        <v>0.381931481224041</v>
      </c>
      <c r="L86" s="181">
        <v>0.395837003612101</v>
      </c>
      <c r="M86" s="181">
        <v>0.331753406907853</v>
      </c>
      <c r="N86" s="181">
        <v>0.242285173141189</v>
      </c>
      <c r="O86" s="181">
        <v>0.287959438792474</v>
      </c>
      <c r="P86" s="181">
        <v>0.533787675234136</v>
      </c>
      <c r="Q86" s="181">
        <v>0.650174958864615</v>
      </c>
      <c r="R86" s="181">
        <v>0.967044452014637</v>
      </c>
      <c r="S86" s="181">
        <v>0.54448042927445</v>
      </c>
      <c r="T86" s="181">
        <v>0.351154414102471</v>
      </c>
      <c r="U86" s="181">
        <v>0.334023986482184</v>
      </c>
      <c r="V86" s="181">
        <v>0.421717241109592</v>
      </c>
      <c r="W86" s="182">
        <v>0.393499326239474</v>
      </c>
      <c r="X86" s="181"/>
      <c r="Y86" s="181"/>
      <c r="Z86" s="181"/>
      <c r="AA86" s="181"/>
      <c r="AB86" s="182"/>
      <c r="AC86" s="182"/>
      <c r="AD86" s="182"/>
      <c r="AE86" s="182"/>
      <c r="AF86" s="182"/>
      <c r="AG86" s="182"/>
      <c r="AH86" s="184"/>
      <c r="AI86" s="204"/>
      <c r="AJ86" s="100"/>
      <c r="AK86" s="100"/>
      <c r="AL86" s="100"/>
      <c r="AM86" s="100"/>
      <c r="AN86" s="100"/>
      <c r="AO86" s="100"/>
    </row>
    <row r="87" ht="14.25" hidden="1" customHeight="1" outlineLevel="3">
      <c r="A87" s="247"/>
      <c r="B87" s="331"/>
      <c r="C87" s="295"/>
      <c r="D87" s="201"/>
      <c r="E87" s="270" t="s">
        <v>1040</v>
      </c>
      <c r="F87" s="249" t="s">
        <v>135</v>
      </c>
      <c r="G87" s="249" t="s">
        <v>3502</v>
      </c>
      <c r="H87" s="181">
        <f t="array" ref="H87:AH87">INDIRECT(RIGHT(G87,11))</f>
        <v>2.154536245</v>
      </c>
      <c r="I87" s="181">
        <v>2.23157684036369</v>
      </c>
      <c r="J87" s="181">
        <v>2.27235854897059</v>
      </c>
      <c r="K87" s="181">
        <v>2.33125269978785</v>
      </c>
      <c r="L87" s="181">
        <v>2.37807637438407</v>
      </c>
      <c r="M87" s="181">
        <v>2.3781237472688</v>
      </c>
      <c r="N87" s="181">
        <v>2.33526607038064</v>
      </c>
      <c r="O87" s="181">
        <v>2.06868384183213</v>
      </c>
      <c r="P87" s="181">
        <v>1.98984903485276</v>
      </c>
      <c r="Q87" s="181">
        <v>1.98281820921722</v>
      </c>
      <c r="R87" s="181">
        <v>2.06942608735137</v>
      </c>
      <c r="S87" s="181">
        <v>2.07959815674843</v>
      </c>
      <c r="T87" s="181">
        <v>2.15108044782138</v>
      </c>
      <c r="U87" s="181">
        <v>2.20305623169216</v>
      </c>
      <c r="V87" s="181">
        <v>2.17976312368745</v>
      </c>
      <c r="W87" s="182">
        <v>2.18553126523316</v>
      </c>
      <c r="X87" s="181"/>
      <c r="Y87" s="181"/>
      <c r="Z87" s="181"/>
      <c r="AA87" s="181"/>
      <c r="AB87" s="182"/>
      <c r="AC87" s="182"/>
      <c r="AD87" s="182"/>
      <c r="AE87" s="182"/>
      <c r="AF87" s="182"/>
      <c r="AG87" s="182"/>
      <c r="AH87" s="184"/>
      <c r="AI87" s="204"/>
      <c r="AJ87" s="100"/>
      <c r="AK87" s="100"/>
      <c r="AL87" s="100"/>
      <c r="AM87" s="100"/>
      <c r="AN87" s="100"/>
      <c r="AO87" s="100"/>
    </row>
    <row r="88" ht="14.25" hidden="1" customHeight="1" outlineLevel="3">
      <c r="A88" s="247"/>
      <c r="B88" s="331"/>
      <c r="C88" s="295"/>
      <c r="D88" s="201"/>
      <c r="E88" s="122" t="s">
        <v>1042</v>
      </c>
      <c r="F88" s="123" t="s">
        <v>135</v>
      </c>
      <c r="G88" s="123" t="s">
        <v>3503</v>
      </c>
      <c r="H88" s="181">
        <f t="array" ref="H88:AH88">INDIRECT(RIGHT(G88,11))</f>
        <v>0.8147206679</v>
      </c>
      <c r="I88" s="181">
        <v>0.793446620878749</v>
      </c>
      <c r="J88" s="181">
        <v>1.04824195772918</v>
      </c>
      <c r="K88" s="181">
        <v>1.14089251852672</v>
      </c>
      <c r="L88" s="181">
        <v>1.17331341693394</v>
      </c>
      <c r="M88" s="181">
        <v>1.26435206249394</v>
      </c>
      <c r="N88" s="181">
        <v>1.39753268348876</v>
      </c>
      <c r="O88" s="181">
        <v>1.67218260935535</v>
      </c>
      <c r="P88" s="181">
        <v>1.59048419302528</v>
      </c>
      <c r="Q88" s="181">
        <v>1.47856676185112</v>
      </c>
      <c r="R88" s="181">
        <v>1.26357873124088</v>
      </c>
      <c r="S88" s="181">
        <v>1.62511768090767</v>
      </c>
      <c r="T88" s="181">
        <v>1.7462661994093</v>
      </c>
      <c r="U88" s="181">
        <v>1.75112060362643</v>
      </c>
      <c r="V88" s="181">
        <v>1.77046121468714</v>
      </c>
      <c r="W88" s="182">
        <v>1.84729287276499</v>
      </c>
      <c r="X88" s="181"/>
      <c r="Y88" s="181"/>
      <c r="Z88" s="181"/>
      <c r="AA88" s="181"/>
      <c r="AB88" s="182"/>
      <c r="AC88" s="182"/>
      <c r="AD88" s="182"/>
      <c r="AE88" s="182"/>
      <c r="AF88" s="182"/>
      <c r="AG88" s="182"/>
      <c r="AH88" s="184"/>
      <c r="AI88" s="204"/>
      <c r="AJ88" s="100"/>
      <c r="AK88" s="100"/>
      <c r="AL88" s="100"/>
      <c r="AM88" s="100"/>
      <c r="AN88" s="100"/>
      <c r="AO88" s="100"/>
    </row>
    <row r="89" ht="14.25" hidden="1" customHeight="1" outlineLevel="1">
      <c r="A89" s="247"/>
      <c r="B89" s="331" t="s">
        <v>3465</v>
      </c>
      <c r="C89" s="246"/>
      <c r="D89" s="201"/>
      <c r="E89" s="162"/>
      <c r="F89" s="162"/>
      <c r="G89" s="162"/>
      <c r="H89" s="178"/>
      <c r="I89" s="178"/>
      <c r="J89" s="178"/>
      <c r="K89" s="178"/>
      <c r="L89" s="178"/>
      <c r="M89" s="178"/>
      <c r="N89" s="178"/>
      <c r="O89" s="178"/>
      <c r="P89" s="178"/>
      <c r="Q89" s="178"/>
      <c r="R89" s="178"/>
      <c r="S89" s="178"/>
      <c r="T89" s="178"/>
      <c r="U89" s="178"/>
      <c r="V89" s="178"/>
      <c r="W89" s="178"/>
      <c r="X89" s="178"/>
      <c r="Y89" s="178"/>
      <c r="Z89" s="178"/>
      <c r="AA89" s="178"/>
      <c r="AB89" s="178"/>
      <c r="AC89" s="178"/>
      <c r="AD89" s="178"/>
      <c r="AE89" s="178"/>
      <c r="AF89" s="178"/>
      <c r="AG89" s="178"/>
      <c r="AH89" s="178"/>
      <c r="AI89" s="244"/>
      <c r="AJ89" s="100"/>
      <c r="AK89" s="100"/>
      <c r="AL89" s="100"/>
      <c r="AM89" s="100"/>
      <c r="AN89" s="100"/>
      <c r="AO89" s="100"/>
    </row>
    <row r="90" ht="14.25" hidden="1" customHeight="1" outlineLevel="3">
      <c r="A90" s="200"/>
      <c r="B90" s="100"/>
      <c r="C90" s="201"/>
      <c r="D90" s="201"/>
      <c r="E90" s="273" t="s">
        <v>3504</v>
      </c>
      <c r="F90" s="123" t="s">
        <v>135</v>
      </c>
      <c r="G90" s="123" t="s">
        <v>3505</v>
      </c>
      <c r="H90" s="274">
        <f t="array" ref="H90:AH90">IF(NOT(edcmterpartner),caltocelscfter,elecfterels)</f>
        <v>16.9384384</v>
      </c>
      <c r="I90" s="274">
        <v>17.3556939729219</v>
      </c>
      <c r="J90" s="274">
        <v>18.0901619383162</v>
      </c>
      <c r="K90" s="274">
        <v>18.3874127693215</v>
      </c>
      <c r="L90" s="274">
        <v>18.9555799542973</v>
      </c>
      <c r="M90" s="274">
        <v>19.6939400417756</v>
      </c>
      <c r="N90" s="274">
        <v>20.6745726415562</v>
      </c>
      <c r="O90" s="274">
        <v>21.5886115528242</v>
      </c>
      <c r="P90" s="274">
        <v>22.2526625214994</v>
      </c>
      <c r="Q90" s="274">
        <v>22.4562543035479</v>
      </c>
      <c r="R90" s="274">
        <v>22.9299078088734</v>
      </c>
      <c r="S90" s="274">
        <v>23.2402431887046</v>
      </c>
      <c r="T90" s="274">
        <v>23.3626866620932</v>
      </c>
      <c r="U90" s="274">
        <v>23.4133089773729</v>
      </c>
      <c r="V90" s="274">
        <v>23.4258943763414</v>
      </c>
      <c r="W90" s="274">
        <v>23.3380488890806</v>
      </c>
      <c r="X90" s="274">
        <v>0.0</v>
      </c>
      <c r="Y90" s="274">
        <v>0.0</v>
      </c>
      <c r="Z90" s="274">
        <v>0.0</v>
      </c>
      <c r="AA90" s="274">
        <v>0.0</v>
      </c>
      <c r="AB90" s="274">
        <v>0.0</v>
      </c>
      <c r="AC90" s="274">
        <v>0.0</v>
      </c>
      <c r="AD90" s="274">
        <v>0.0</v>
      </c>
      <c r="AE90" s="274">
        <v>0.0</v>
      </c>
      <c r="AF90" s="274">
        <v>0.0</v>
      </c>
      <c r="AG90" s="274">
        <v>0.0</v>
      </c>
      <c r="AH90" s="274">
        <v>0.0</v>
      </c>
      <c r="AI90" s="204"/>
      <c r="AJ90" s="275"/>
      <c r="AK90" s="204"/>
      <c r="AL90" s="204"/>
      <c r="AM90" s="251"/>
      <c r="AN90" s="100" t="b">
        <f>_xlfn.ISFORMULA(H90)</f>
        <v>1</v>
      </c>
      <c r="AO90" s="102"/>
    </row>
    <row r="91" ht="14.25" customHeight="1" collapsed="1">
      <c r="A91" s="195"/>
      <c r="B91" s="100"/>
      <c r="C91" s="100"/>
      <c r="D91" s="100"/>
      <c r="E91" s="100"/>
      <c r="F91" s="206"/>
      <c r="G91" s="206"/>
      <c r="H91" s="207"/>
      <c r="I91" s="207"/>
      <c r="J91" s="207"/>
      <c r="K91" s="207"/>
      <c r="L91" s="207"/>
      <c r="M91" s="207"/>
      <c r="N91" s="207"/>
      <c r="O91" s="207"/>
      <c r="P91" s="207"/>
      <c r="Q91" s="207"/>
      <c r="R91" s="207"/>
      <c r="S91" s="207"/>
      <c r="T91" s="207"/>
      <c r="U91" s="207"/>
      <c r="V91" s="207"/>
      <c r="W91" s="208"/>
      <c r="X91" s="208"/>
      <c r="Y91" s="208"/>
      <c r="Z91" s="208"/>
      <c r="AA91" s="208"/>
      <c r="AB91" s="208"/>
      <c r="AC91" s="208"/>
      <c r="AD91" s="208"/>
      <c r="AE91" s="208"/>
      <c r="AF91" s="208"/>
      <c r="AG91" s="208"/>
      <c r="AH91" s="208"/>
      <c r="AI91" s="100"/>
      <c r="AJ91" s="100"/>
      <c r="AK91" s="100"/>
      <c r="AL91" s="100"/>
      <c r="AM91" s="100"/>
      <c r="AN91" s="100"/>
      <c r="AO91" s="100"/>
    </row>
    <row r="92" ht="14.25" customHeight="1">
      <c r="A92" s="438" t="s">
        <v>252</v>
      </c>
      <c r="B92" s="221"/>
      <c r="C92" s="221"/>
      <c r="D92" s="221"/>
      <c r="E92" s="221"/>
      <c r="F92" s="221"/>
      <c r="G92" s="221"/>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6"/>
      <c r="AJ92" s="100"/>
      <c r="AK92" s="100"/>
      <c r="AL92" s="100"/>
      <c r="AM92" s="100"/>
      <c r="AN92" s="100"/>
      <c r="AO92" s="100"/>
    </row>
    <row r="93" ht="14.25" customHeight="1">
      <c r="A93" s="439" t="s">
        <v>3506</v>
      </c>
      <c r="B93" s="246"/>
      <c r="C93" s="246"/>
      <c r="D93" s="201"/>
      <c r="E93" s="162"/>
      <c r="F93" s="100"/>
      <c r="G93" s="100"/>
      <c r="H93" s="100"/>
      <c r="I93" s="178"/>
      <c r="J93" s="178"/>
      <c r="K93" s="178"/>
      <c r="L93" s="178"/>
      <c r="M93" s="178"/>
      <c r="N93" s="178"/>
      <c r="O93" s="178"/>
      <c r="P93" s="178"/>
      <c r="Q93" s="178"/>
      <c r="R93" s="178"/>
      <c r="S93" s="178"/>
      <c r="T93" s="178"/>
      <c r="U93" s="178"/>
      <c r="V93" s="178"/>
      <c r="W93" s="178"/>
      <c r="X93" s="178"/>
      <c r="Y93" s="178"/>
      <c r="Z93" s="178"/>
      <c r="AA93" s="178"/>
      <c r="AB93" s="178"/>
      <c r="AC93" s="178"/>
      <c r="AD93" s="178"/>
      <c r="AE93" s="178"/>
      <c r="AF93" s="178"/>
      <c r="AG93" s="178"/>
      <c r="AH93" s="178"/>
      <c r="AI93" s="244"/>
      <c r="AJ93" s="100"/>
      <c r="AK93" s="100"/>
      <c r="AL93" s="100"/>
      <c r="AM93" s="100"/>
      <c r="AN93" s="100"/>
      <c r="AO93" s="100"/>
    </row>
    <row r="94" ht="14.25" customHeight="1">
      <c r="A94" s="439"/>
      <c r="B94" s="246"/>
      <c r="C94" s="246"/>
      <c r="D94" s="201"/>
      <c r="E94" s="921" t="s">
        <v>3422</v>
      </c>
      <c r="F94" s="325" t="b">
        <f>FALSE()</f>
        <v>0</v>
      </c>
      <c r="G94" s="100"/>
      <c r="H94" s="922"/>
      <c r="I94" s="178"/>
      <c r="J94" s="178"/>
      <c r="K94" s="178"/>
      <c r="L94" s="178"/>
      <c r="M94" s="178"/>
      <c r="N94" s="178"/>
      <c r="O94" s="178"/>
      <c r="P94" s="178"/>
      <c r="Q94" s="178"/>
      <c r="R94" s="178"/>
      <c r="S94" s="178"/>
      <c r="T94" s="178"/>
      <c r="U94" s="178"/>
      <c r="V94" s="178"/>
      <c r="W94" s="178"/>
      <c r="X94" s="178"/>
      <c r="Y94" s="178"/>
      <c r="Z94" s="178"/>
      <c r="AA94" s="178"/>
      <c r="AB94" s="178"/>
      <c r="AC94" s="178"/>
      <c r="AD94" s="178"/>
      <c r="AE94" s="178"/>
      <c r="AF94" s="178"/>
      <c r="AG94" s="178"/>
      <c r="AH94" s="178"/>
      <c r="AI94" s="244"/>
      <c r="AJ94" s="100"/>
      <c r="AK94" s="100"/>
      <c r="AL94" s="100"/>
      <c r="AM94" s="100"/>
      <c r="AN94" s="100"/>
      <c r="AO94" s="100"/>
    </row>
    <row r="95" ht="14.25" customHeight="1">
      <c r="A95" s="326"/>
      <c r="B95" s="201"/>
      <c r="C95" s="201"/>
      <c r="D95" s="201"/>
      <c r="E95" s="299" t="s">
        <v>3507</v>
      </c>
      <c r="F95" s="123" t="s">
        <v>135</v>
      </c>
      <c r="G95" s="123" t="s">
        <v>3508</v>
      </c>
      <c r="H95" s="181">
        <f t="shared" ref="H95:AH95" si="1">SUM(H96:H99)</f>
        <v>0</v>
      </c>
      <c r="I95" s="181">
        <f t="shared" si="1"/>
        <v>0</v>
      </c>
      <c r="J95" s="181">
        <f t="shared" si="1"/>
        <v>0</v>
      </c>
      <c r="K95" s="181">
        <f t="shared" si="1"/>
        <v>0</v>
      </c>
      <c r="L95" s="181">
        <f t="shared" si="1"/>
        <v>0</v>
      </c>
      <c r="M95" s="181">
        <f t="shared" si="1"/>
        <v>0</v>
      </c>
      <c r="N95" s="181">
        <f t="shared" si="1"/>
        <v>0</v>
      </c>
      <c r="O95" s="181">
        <f t="shared" si="1"/>
        <v>0</v>
      </c>
      <c r="P95" s="181">
        <f t="shared" si="1"/>
        <v>0</v>
      </c>
      <c r="Q95" s="181">
        <f t="shared" si="1"/>
        <v>0</v>
      </c>
      <c r="R95" s="181">
        <f t="shared" si="1"/>
        <v>0</v>
      </c>
      <c r="S95" s="181">
        <f t="shared" si="1"/>
        <v>0</v>
      </c>
      <c r="T95" s="181">
        <f t="shared" si="1"/>
        <v>0</v>
      </c>
      <c r="U95" s="181">
        <f t="shared" si="1"/>
        <v>0</v>
      </c>
      <c r="V95" s="181">
        <f t="shared" si="1"/>
        <v>0</v>
      </c>
      <c r="W95" s="274">
        <f t="shared" si="1"/>
        <v>103.2048584</v>
      </c>
      <c r="X95" s="274" t="str">
        <f t="shared" si="1"/>
        <v>#DIV/0!</v>
      </c>
      <c r="Y95" s="274" t="str">
        <f t="shared" si="1"/>
        <v>#DIV/0!</v>
      </c>
      <c r="Z95" s="274" t="str">
        <f t="shared" si="1"/>
        <v>#DIV/0!</v>
      </c>
      <c r="AA95" s="274" t="str">
        <f t="shared" si="1"/>
        <v>#DIV/0!</v>
      </c>
      <c r="AB95" s="274">
        <f t="shared" si="1"/>
        <v>102.4127966</v>
      </c>
      <c r="AC95" s="274">
        <f t="shared" si="1"/>
        <v>83.94051986</v>
      </c>
      <c r="AD95" s="274">
        <f t="shared" si="1"/>
        <v>58.3741552</v>
      </c>
      <c r="AE95" s="274">
        <f t="shared" si="1"/>
        <v>42.21564134</v>
      </c>
      <c r="AF95" s="274">
        <f t="shared" si="1"/>
        <v>32.05590411</v>
      </c>
      <c r="AG95" s="274">
        <f t="shared" si="1"/>
        <v>26.74192669</v>
      </c>
      <c r="AH95" s="274">
        <f t="shared" si="1"/>
        <v>24.34408314</v>
      </c>
      <c r="AI95" s="125"/>
      <c r="AJ95" s="100"/>
      <c r="AK95" s="100"/>
      <c r="AL95" s="100"/>
      <c r="AM95" s="100"/>
      <c r="AN95" s="100"/>
      <c r="AO95" s="100"/>
    </row>
    <row r="96" ht="14.25" customHeight="1">
      <c r="A96" s="326"/>
      <c r="B96" s="201"/>
      <c r="C96" s="201"/>
      <c r="D96" s="201"/>
      <c r="E96" s="273" t="s">
        <v>1748</v>
      </c>
      <c r="F96" s="123" t="s">
        <v>135</v>
      </c>
      <c r="G96" s="123" t="s">
        <v>3509</v>
      </c>
      <c r="H96" s="181">
        <f t="array" ref="H96:AH96">IF(NOT(edcmtrapartner),callqfcftra,lqfcftra)</f>
        <v>0</v>
      </c>
      <c r="I96" s="181">
        <v>0.0</v>
      </c>
      <c r="J96" s="181">
        <v>0.0</v>
      </c>
      <c r="K96" s="181">
        <v>0.0</v>
      </c>
      <c r="L96" s="181">
        <v>0.0</v>
      </c>
      <c r="M96" s="181">
        <v>0.0</v>
      </c>
      <c r="N96" s="181">
        <v>0.0</v>
      </c>
      <c r="O96" s="181">
        <v>0.0</v>
      </c>
      <c r="P96" s="181">
        <v>0.0</v>
      </c>
      <c r="Q96" s="181">
        <v>0.0</v>
      </c>
      <c r="R96" s="181">
        <v>0.0</v>
      </c>
      <c r="S96" s="181">
        <v>0.0</v>
      </c>
      <c r="T96" s="181">
        <v>0.0</v>
      </c>
      <c r="U96" s="181">
        <v>0.0</v>
      </c>
      <c r="V96" s="181">
        <v>0.0</v>
      </c>
      <c r="W96" s="274">
        <v>101.5995551111114</v>
      </c>
      <c r="X96" s="274" t="e">
        <v>#DIV/0!</v>
      </c>
      <c r="Y96" s="274" t="e">
        <v>#DIV/0!</v>
      </c>
      <c r="Z96" s="274" t="e">
        <v>#DIV/0!</v>
      </c>
      <c r="AA96" s="274" t="e">
        <v>#DIV/0!</v>
      </c>
      <c r="AB96" s="274">
        <v>100.3812666875848</v>
      </c>
      <c r="AC96" s="274">
        <v>79.31130629779393</v>
      </c>
      <c r="AD96" s="274">
        <v>50.68565560098577</v>
      </c>
      <c r="AE96" s="274">
        <v>30.324137726975582</v>
      </c>
      <c r="AF96" s="274">
        <v>16.143576021959152</v>
      </c>
      <c r="AG96" s="274">
        <v>6.83045503246964</v>
      </c>
      <c r="AH96" s="274">
        <v>1.1239155341912588</v>
      </c>
      <c r="AI96" s="125"/>
      <c r="AJ96" s="100"/>
      <c r="AK96" s="100"/>
      <c r="AL96" s="100"/>
      <c r="AM96" s="100"/>
      <c r="AN96" s="100"/>
      <c r="AO96" s="100"/>
    </row>
    <row r="97" ht="14.25" customHeight="1">
      <c r="A97" s="326"/>
      <c r="B97" s="201"/>
      <c r="C97" s="201"/>
      <c r="D97" s="201"/>
      <c r="E97" s="273" t="s">
        <v>1750</v>
      </c>
      <c r="F97" s="123" t="s">
        <v>135</v>
      </c>
      <c r="G97" s="123" t="s">
        <v>3510</v>
      </c>
      <c r="H97" s="181">
        <f t="array" ref="H97:AH97">IF(NOT(edcmtrapartner),calgazcftra,gazcftra)</f>
        <v>0</v>
      </c>
      <c r="I97" s="181">
        <v>0.0</v>
      </c>
      <c r="J97" s="181">
        <v>0.0</v>
      </c>
      <c r="K97" s="181">
        <v>0.0</v>
      </c>
      <c r="L97" s="181">
        <v>0.0</v>
      </c>
      <c r="M97" s="181">
        <v>0.0</v>
      </c>
      <c r="N97" s="181">
        <v>0.0</v>
      </c>
      <c r="O97" s="181">
        <v>0.0</v>
      </c>
      <c r="P97" s="181">
        <v>0.0</v>
      </c>
      <c r="Q97" s="181">
        <v>0.0</v>
      </c>
      <c r="R97" s="181">
        <v>0.0</v>
      </c>
      <c r="S97" s="181">
        <v>0.0</v>
      </c>
      <c r="T97" s="181">
        <v>0.0</v>
      </c>
      <c r="U97" s="181">
        <v>0.0</v>
      </c>
      <c r="V97" s="181">
        <v>0.0</v>
      </c>
      <c r="W97" s="274">
        <v>0.03860325453196238</v>
      </c>
      <c r="X97" s="274" t="e">
        <v>#DIV/0!</v>
      </c>
      <c r="Y97" s="274" t="e">
        <v>#DIV/0!</v>
      </c>
      <c r="Z97" s="274" t="e">
        <v>#DIV/0!</v>
      </c>
      <c r="AA97" s="274" t="e">
        <v>#DIV/0!</v>
      </c>
      <c r="AB97" s="274">
        <v>0.324929961361001</v>
      </c>
      <c r="AC97" s="274">
        <v>0.5687577832131143</v>
      </c>
      <c r="AD97" s="274">
        <v>0.9364562501446916</v>
      </c>
      <c r="AE97" s="274">
        <v>2.0253482112132586</v>
      </c>
      <c r="AF97" s="274">
        <v>3.343990293202732</v>
      </c>
      <c r="AG97" s="274">
        <v>5.1009713630862175</v>
      </c>
      <c r="AH97" s="274">
        <v>7.009417520916042</v>
      </c>
      <c r="AI97" s="125"/>
      <c r="AJ97" s="100"/>
      <c r="AK97" s="100"/>
      <c r="AL97" s="100"/>
      <c r="AM97" s="100"/>
      <c r="AN97" s="100"/>
      <c r="AO97" s="100"/>
    </row>
    <row r="98" ht="14.25" customHeight="1">
      <c r="A98" s="326"/>
      <c r="B98" s="201"/>
      <c r="C98" s="201"/>
      <c r="D98" s="201"/>
      <c r="E98" s="273" t="s">
        <v>1752</v>
      </c>
      <c r="F98" s="123" t="s">
        <v>135</v>
      </c>
      <c r="G98" s="123" t="s">
        <v>3511</v>
      </c>
      <c r="H98" s="181">
        <f t="array" ref="H98:AH98">IF(NOT(edcmtrapartner),calhydcftra,hydcftra)</f>
        <v>0</v>
      </c>
      <c r="I98" s="181">
        <v>0.0</v>
      </c>
      <c r="J98" s="181">
        <v>0.0</v>
      </c>
      <c r="K98" s="181">
        <v>0.0</v>
      </c>
      <c r="L98" s="181">
        <v>0.0</v>
      </c>
      <c r="M98" s="181">
        <v>0.0</v>
      </c>
      <c r="N98" s="181">
        <v>0.0</v>
      </c>
      <c r="O98" s="181">
        <v>0.0</v>
      </c>
      <c r="P98" s="181">
        <v>0.0</v>
      </c>
      <c r="Q98" s="181">
        <v>0.0</v>
      </c>
      <c r="R98" s="181">
        <v>0.0</v>
      </c>
      <c r="S98" s="181">
        <v>0.0</v>
      </c>
      <c r="T98" s="181">
        <v>0.0</v>
      </c>
      <c r="U98" s="181">
        <v>0.0</v>
      </c>
      <c r="V98" s="181">
        <v>0.0</v>
      </c>
      <c r="W98" s="274">
        <v>0.0</v>
      </c>
      <c r="X98" s="274" t="e">
        <v>#DIV/0!</v>
      </c>
      <c r="Y98" s="274" t="e">
        <v>#DIV/0!</v>
      </c>
      <c r="Z98" s="274" t="e">
        <v>#DIV/0!</v>
      </c>
      <c r="AA98" s="274" t="e">
        <v>#DIV/0!</v>
      </c>
      <c r="AB98" s="274">
        <v>0.0</v>
      </c>
      <c r="AC98" s="274">
        <v>0.0</v>
      </c>
      <c r="AD98" s="274">
        <v>0.11975845803823298</v>
      </c>
      <c r="AE98" s="274">
        <v>0.6130925499516402</v>
      </c>
      <c r="AF98" s="274">
        <v>1.6541886584238332</v>
      </c>
      <c r="AG98" s="274">
        <v>3.22690004165879</v>
      </c>
      <c r="AH98" s="274">
        <v>4.154198699800668</v>
      </c>
      <c r="AI98" s="125"/>
      <c r="AJ98" s="100"/>
      <c r="AK98" s="100"/>
      <c r="AL98" s="100"/>
      <c r="AM98" s="100"/>
      <c r="AN98" s="100"/>
      <c r="AO98" s="100"/>
    </row>
    <row r="99" ht="14.25" customHeight="1">
      <c r="A99" s="326"/>
      <c r="B99" s="201"/>
      <c r="C99" s="201"/>
      <c r="D99" s="201"/>
      <c r="E99" s="273" t="s">
        <v>1754</v>
      </c>
      <c r="F99" s="123" t="s">
        <v>135</v>
      </c>
      <c r="G99" s="123" t="s">
        <v>3512</v>
      </c>
      <c r="H99" s="181">
        <f t="array" ref="H99:AH99">IF(NOT(edcmtrapartner),calelccftra,elccftra)</f>
        <v>0</v>
      </c>
      <c r="I99" s="181">
        <v>0.0</v>
      </c>
      <c r="J99" s="181">
        <v>0.0</v>
      </c>
      <c r="K99" s="181">
        <v>0.0</v>
      </c>
      <c r="L99" s="181">
        <v>0.0</v>
      </c>
      <c r="M99" s="181">
        <v>0.0</v>
      </c>
      <c r="N99" s="181">
        <v>0.0</v>
      </c>
      <c r="O99" s="181">
        <v>0.0</v>
      </c>
      <c r="P99" s="181">
        <v>0.0</v>
      </c>
      <c r="Q99" s="181">
        <v>0.0</v>
      </c>
      <c r="R99" s="181">
        <v>0.0</v>
      </c>
      <c r="S99" s="181">
        <v>0.0</v>
      </c>
      <c r="T99" s="181">
        <v>0.0</v>
      </c>
      <c r="U99" s="181">
        <v>0.0</v>
      </c>
      <c r="V99" s="181">
        <v>0.0</v>
      </c>
      <c r="W99" s="274">
        <v>1.566700000000003</v>
      </c>
      <c r="X99" s="274" t="e">
        <v>#DIV/0!</v>
      </c>
      <c r="Y99" s="274" t="e">
        <v>#DIV/0!</v>
      </c>
      <c r="Z99" s="274" t="e">
        <v>#DIV/0!</v>
      </c>
      <c r="AA99" s="274" t="e">
        <v>#DIV/0!</v>
      </c>
      <c r="AB99" s="274">
        <v>1.706600000000003</v>
      </c>
      <c r="AC99" s="274">
        <v>4.060455776743059</v>
      </c>
      <c r="AD99" s="274">
        <v>6.632284892406774</v>
      </c>
      <c r="AE99" s="274">
        <v>9.25306285417021</v>
      </c>
      <c r="AF99" s="274">
        <v>10.914149139796265</v>
      </c>
      <c r="AG99" s="274">
        <v>11.583600248135822</v>
      </c>
      <c r="AH99" s="274">
        <v>12.056551389868147</v>
      </c>
      <c r="AI99" s="318"/>
      <c r="AJ99" s="100"/>
      <c r="AK99" s="100"/>
      <c r="AL99" s="100"/>
      <c r="AM99" s="100"/>
      <c r="AN99" s="100"/>
      <c r="AO99" s="100"/>
    </row>
    <row r="100" ht="14.25" customHeight="1">
      <c r="A100" s="195"/>
      <c r="B100" s="393" t="s">
        <v>3513</v>
      </c>
      <c r="C100" s="100"/>
      <c r="D100" s="100"/>
      <c r="E100" s="100"/>
      <c r="F100" s="206"/>
      <c r="G100" s="206"/>
      <c r="H100" s="207"/>
      <c r="I100" s="207"/>
      <c r="J100" s="207"/>
      <c r="K100" s="207"/>
      <c r="L100" s="207"/>
      <c r="M100" s="207"/>
      <c r="N100" s="207"/>
      <c r="O100" s="207"/>
      <c r="P100" s="207"/>
      <c r="Q100" s="207"/>
      <c r="R100" s="207"/>
      <c r="S100" s="207"/>
      <c r="T100" s="207"/>
      <c r="U100" s="207"/>
      <c r="V100" s="207"/>
      <c r="W100" s="274"/>
      <c r="X100" s="274"/>
      <c r="Y100" s="274"/>
      <c r="Z100" s="274"/>
      <c r="AA100" s="274"/>
      <c r="AB100" s="274"/>
      <c r="AC100" s="274"/>
      <c r="AD100" s="274"/>
      <c r="AE100" s="274"/>
      <c r="AF100" s="274"/>
      <c r="AG100" s="274"/>
      <c r="AH100" s="274"/>
      <c r="AI100" s="100"/>
      <c r="AJ100" s="100"/>
      <c r="AK100" s="100"/>
      <c r="AL100" s="100"/>
      <c r="AM100" s="100"/>
      <c r="AN100" s="100"/>
      <c r="AO100" s="100"/>
    </row>
    <row r="101" ht="14.25" customHeight="1">
      <c r="A101" s="326"/>
      <c r="B101" s="201"/>
      <c r="C101" s="201"/>
      <c r="D101" s="201"/>
      <c r="E101" s="273" t="s">
        <v>3514</v>
      </c>
      <c r="F101" s="123" t="s">
        <v>135</v>
      </c>
      <c r="G101" s="123" t="s">
        <v>3515</v>
      </c>
      <c r="H101" s="181">
        <f t="array" ref="H101:AH101">IF(NOT(edcmtrapartner),calcflqfmobavi,lqfcfavi)</f>
        <v>0</v>
      </c>
      <c r="I101" s="181">
        <v>0.0</v>
      </c>
      <c r="J101" s="181">
        <v>0.0</v>
      </c>
      <c r="K101" s="181">
        <v>0.0</v>
      </c>
      <c r="L101" s="181">
        <v>0.0</v>
      </c>
      <c r="M101" s="181">
        <v>0.0</v>
      </c>
      <c r="N101" s="181">
        <v>0.0</v>
      </c>
      <c r="O101" s="181">
        <v>0.0</v>
      </c>
      <c r="P101" s="181">
        <v>0.0</v>
      </c>
      <c r="Q101" s="181">
        <v>0.0</v>
      </c>
      <c r="R101" s="181">
        <v>0.0</v>
      </c>
      <c r="S101" s="181">
        <v>0.0</v>
      </c>
      <c r="T101" s="181">
        <v>0.0</v>
      </c>
      <c r="U101" s="181">
        <v>0.0</v>
      </c>
      <c r="V101" s="181">
        <v>0.0</v>
      </c>
      <c r="W101" s="274">
        <v>11.004044643782347</v>
      </c>
      <c r="X101" s="274">
        <v>0.0</v>
      </c>
      <c r="Y101" s="274">
        <v>0.0</v>
      </c>
      <c r="Z101" s="274">
        <v>0.0</v>
      </c>
      <c r="AA101" s="274">
        <v>0.0</v>
      </c>
      <c r="AB101" s="274">
        <v>13.794659000000001</v>
      </c>
      <c r="AC101" s="274">
        <v>11.869209245172412</v>
      </c>
      <c r="AD101" s="274">
        <v>8.788652872758624</v>
      </c>
      <c r="AE101" s="274" t="e">
        <v>#NAME?</v>
      </c>
      <c r="AF101" s="274">
        <v>5.560457813793104</v>
      </c>
      <c r="AG101" s="274">
        <v>5.23621892586207</v>
      </c>
      <c r="AH101" s="274">
        <v>4.957507386206897</v>
      </c>
      <c r="AI101" s="125"/>
      <c r="AJ101" s="100"/>
      <c r="AK101" s="100"/>
      <c r="AL101" s="100"/>
      <c r="AM101" s="100"/>
      <c r="AN101" s="100"/>
      <c r="AO101" s="100"/>
    </row>
    <row r="102" ht="14.25" customHeight="1">
      <c r="A102" s="326"/>
      <c r="B102" s="201"/>
      <c r="C102" s="201"/>
      <c r="D102" s="201"/>
      <c r="E102" s="273" t="s">
        <v>3516</v>
      </c>
      <c r="F102" s="123" t="s">
        <v>135</v>
      </c>
      <c r="G102" s="123" t="s">
        <v>3517</v>
      </c>
      <c r="H102" s="181">
        <f t="array" ref="H102:AH102">IF(NOT(edcmtrapartner),calcflqffrewati,lqfcffrewati)</f>
        <v>0</v>
      </c>
      <c r="I102" s="181">
        <v>0.0</v>
      </c>
      <c r="J102" s="181">
        <v>0.0</v>
      </c>
      <c r="K102" s="181">
        <v>0.0</v>
      </c>
      <c r="L102" s="181">
        <v>0.0</v>
      </c>
      <c r="M102" s="181">
        <v>0.0</v>
      </c>
      <c r="N102" s="181">
        <v>0.0</v>
      </c>
      <c r="O102" s="181">
        <v>0.0</v>
      </c>
      <c r="P102" s="181">
        <v>0.0</v>
      </c>
      <c r="Q102" s="181">
        <v>0.0</v>
      </c>
      <c r="R102" s="181">
        <v>0.0</v>
      </c>
      <c r="S102" s="181">
        <v>0.0</v>
      </c>
      <c r="T102" s="181">
        <v>0.0</v>
      </c>
      <c r="U102" s="181">
        <v>0.0</v>
      </c>
      <c r="V102" s="181">
        <v>0.0</v>
      </c>
      <c r="W102" s="274">
        <v>87.09216599999999</v>
      </c>
      <c r="X102" s="274">
        <v>87.49288899999996</v>
      </c>
      <c r="Y102" s="274">
        <v>77.70913900000005</v>
      </c>
      <c r="Z102" s="274">
        <v>81.4425000000001</v>
      </c>
      <c r="AA102" s="274">
        <v>83.56624999999991</v>
      </c>
      <c r="AB102" s="274">
        <v>95.345792</v>
      </c>
      <c r="AC102" s="274">
        <v>87.4003093333333</v>
      </c>
      <c r="AD102" s="274">
        <v>69.12569919999999</v>
      </c>
      <c r="AE102" s="274">
        <v>52.91691456</v>
      </c>
      <c r="AF102" s="274">
        <v>38.7739554133333</v>
      </c>
      <c r="AG102" s="274">
        <v>26.69682176</v>
      </c>
      <c r="AH102" s="274">
        <v>16.6855136</v>
      </c>
      <c r="AI102" s="125"/>
      <c r="AJ102" s="100"/>
      <c r="AK102" s="100"/>
      <c r="AL102" s="100"/>
      <c r="AM102" s="100"/>
      <c r="AN102" s="100"/>
      <c r="AO102" s="100"/>
    </row>
    <row r="103" ht="14.25" customHeight="1">
      <c r="A103" s="326"/>
      <c r="B103" s="201"/>
      <c r="C103" s="201"/>
      <c r="D103" s="201"/>
      <c r="E103" s="273" t="s">
        <v>1721</v>
      </c>
      <c r="F103" s="123" t="s">
        <v>135</v>
      </c>
      <c r="G103" s="123" t="s">
        <v>3518</v>
      </c>
      <c r="H103" s="181">
        <f t="array" ref="H103:AH103">IF(NOT(edcmtrapartner),calcfngvfrewati,ngvcffrewati)</f>
        <v>0</v>
      </c>
      <c r="I103" s="181">
        <v>0.0</v>
      </c>
      <c r="J103" s="181">
        <v>0.0</v>
      </c>
      <c r="K103" s="181">
        <v>0.0</v>
      </c>
      <c r="L103" s="181">
        <v>0.0</v>
      </c>
      <c r="M103" s="181">
        <v>0.0</v>
      </c>
      <c r="N103" s="181">
        <v>0.0</v>
      </c>
      <c r="O103" s="181">
        <v>0.0</v>
      </c>
      <c r="P103" s="181">
        <v>0.0</v>
      </c>
      <c r="Q103" s="181">
        <v>0.0</v>
      </c>
      <c r="R103" s="181">
        <v>0.0</v>
      </c>
      <c r="S103" s="181">
        <v>0.0</v>
      </c>
      <c r="T103" s="181">
        <v>0.0</v>
      </c>
      <c r="U103" s="181">
        <v>0.0</v>
      </c>
      <c r="V103" s="181">
        <v>0.0</v>
      </c>
      <c r="W103" s="274">
        <v>0.0</v>
      </c>
      <c r="X103" s="274">
        <v>0.0</v>
      </c>
      <c r="Y103" s="274">
        <v>0.0</v>
      </c>
      <c r="Z103" s="274">
        <v>0.0</v>
      </c>
      <c r="AA103" s="274">
        <v>0.0</v>
      </c>
      <c r="AB103" s="274">
        <v>0.0</v>
      </c>
      <c r="AC103" s="274">
        <v>7.94548266666667</v>
      </c>
      <c r="AD103" s="274">
        <v>13.825139839999999</v>
      </c>
      <c r="AE103" s="274">
        <v>17.63897152</v>
      </c>
      <c r="AF103" s="274">
        <v>19.386977706666702</v>
      </c>
      <c r="AG103" s="274">
        <v>19.0691584</v>
      </c>
      <c r="AH103" s="274">
        <v>16.6855136</v>
      </c>
      <c r="AI103" s="125"/>
      <c r="AJ103" s="100"/>
      <c r="AK103" s="100"/>
      <c r="AL103" s="100"/>
      <c r="AM103" s="100"/>
      <c r="AN103" s="100"/>
      <c r="AO103" s="100"/>
    </row>
    <row r="104" ht="14.25" customHeight="1">
      <c r="A104" s="439" t="s">
        <v>3519</v>
      </c>
      <c r="B104" s="393"/>
      <c r="C104" s="100"/>
      <c r="D104" s="100"/>
      <c r="E104" s="100"/>
      <c r="F104" s="206"/>
      <c r="G104" s="206"/>
      <c r="H104" s="207"/>
      <c r="I104" s="207"/>
      <c r="J104" s="207"/>
      <c r="K104" s="207"/>
      <c r="L104" s="207"/>
      <c r="M104" s="207"/>
      <c r="N104" s="207"/>
      <c r="O104" s="207"/>
      <c r="P104" s="207"/>
      <c r="Q104" s="207"/>
      <c r="R104" s="207"/>
      <c r="S104" s="207"/>
      <c r="T104" s="207"/>
      <c r="U104" s="207"/>
      <c r="V104" s="207"/>
      <c r="W104" s="208"/>
      <c r="X104" s="208"/>
      <c r="Y104" s="208"/>
      <c r="Z104" s="208"/>
      <c r="AA104" s="208"/>
      <c r="AB104" s="208"/>
      <c r="AC104" s="208"/>
      <c r="AD104" s="208"/>
      <c r="AE104" s="208"/>
      <c r="AF104" s="208"/>
      <c r="AG104" s="208"/>
      <c r="AH104" s="208"/>
      <c r="AI104" s="100"/>
      <c r="AJ104" s="100"/>
      <c r="AK104" s="100"/>
      <c r="AL104" s="100"/>
      <c r="AM104" s="100"/>
      <c r="AN104" s="100"/>
      <c r="AO104" s="100"/>
    </row>
    <row r="105" ht="14.25" customHeight="1">
      <c r="A105" s="326"/>
      <c r="B105" s="201"/>
      <c r="C105" s="201"/>
      <c r="D105" s="201"/>
      <c r="E105" s="412" t="s">
        <v>1765</v>
      </c>
      <c r="F105" s="433" t="s">
        <v>261</v>
      </c>
      <c r="G105" s="123" t="s">
        <v>3520</v>
      </c>
      <c r="H105" s="254" t="str">
        <f>pcenrcfcltra</f>
        <v/>
      </c>
      <c r="I105" s="254" t="str">
        <f>pcenrcfcltra</f>
        <v/>
      </c>
      <c r="J105" s="254" t="str">
        <f>pcenrcfcltra</f>
        <v/>
      </c>
      <c r="K105" s="254" t="str">
        <f>pcenrcfcltra</f>
        <v/>
      </c>
      <c r="L105" s="254" t="str">
        <f>pcenrcfcltra</f>
        <v/>
      </c>
      <c r="M105" s="254" t="str">
        <f>pcenrcfcltra</f>
        <v/>
      </c>
      <c r="N105" s="254" t="str">
        <f>pcenrcfcltra</f>
        <v/>
      </c>
      <c r="O105" s="254" t="str">
        <f>pcenrcfcltra</f>
        <v/>
      </c>
      <c r="P105" s="254" t="str">
        <f>pcenrcfcltra</f>
        <v/>
      </c>
      <c r="Q105" s="254">
        <f>pcenrcfcltra</f>
        <v>0.01330165506</v>
      </c>
      <c r="R105" s="254">
        <f>pcenrcfcltra</f>
        <v>0.03634452884</v>
      </c>
      <c r="S105" s="254">
        <f>pcenrcfcltra</f>
        <v>0.03553901909</v>
      </c>
      <c r="T105" s="254">
        <f>pcenrcfcltra</f>
        <v>0.03630897194</v>
      </c>
      <c r="U105" s="254">
        <f>pcenrcfcltra</f>
        <v>0.03658753918</v>
      </c>
      <c r="V105" s="254">
        <f>pcenrcfcltra</f>
        <v>0.04328657208</v>
      </c>
      <c r="W105" s="279">
        <f>pcenrcfcltra</f>
        <v>0.03083685696</v>
      </c>
      <c r="X105" s="254">
        <f>pcenrcfcltra</f>
        <v>0.05258835208</v>
      </c>
      <c r="Y105" s="254">
        <f>pcenrcfcltra</f>
        <v>0.05838670346</v>
      </c>
      <c r="Z105" s="254">
        <f>pcenrcfcltra</f>
        <v>0.05820142296</v>
      </c>
      <c r="AA105" s="254">
        <f>pcenrcfcltra</f>
        <v>0.05957184837</v>
      </c>
      <c r="AB105" s="279">
        <f>pcenrcfcltra</f>
        <v>0.05957184837</v>
      </c>
      <c r="AC105" s="279" t="str">
        <f>pcenrcfcltra</f>
        <v/>
      </c>
      <c r="AD105" s="279" t="str">
        <f>pcenrcfcltra</f>
        <v/>
      </c>
      <c r="AE105" s="279" t="str">
        <f>pcenrcfcltra</f>
        <v/>
      </c>
      <c r="AF105" s="279" t="str">
        <f>pcenrcfcltra</f>
        <v/>
      </c>
      <c r="AG105" s="279" t="str">
        <f>pcenrcfcltra</f>
        <v/>
      </c>
      <c r="AH105" s="279" t="str">
        <f>pcenrcfcltra</f>
        <v/>
      </c>
      <c r="AI105" s="318"/>
      <c r="AJ105" s="100"/>
      <c r="AK105" s="100"/>
      <c r="AL105" s="100"/>
      <c r="AM105" s="100"/>
      <c r="AN105" s="100"/>
      <c r="AO105" s="100"/>
    </row>
    <row r="106" ht="14.25" customHeight="1">
      <c r="A106" s="439" t="s">
        <v>3521</v>
      </c>
      <c r="B106" s="246"/>
      <c r="C106" s="246"/>
      <c r="D106" s="201"/>
      <c r="E106" s="162"/>
      <c r="F106" s="100"/>
      <c r="G106" s="100"/>
      <c r="H106" s="100"/>
      <c r="I106" s="178"/>
      <c r="J106" s="178"/>
      <c r="K106" s="178"/>
      <c r="L106" s="178"/>
      <c r="M106" s="178"/>
      <c r="N106" s="178"/>
      <c r="O106" s="178"/>
      <c r="P106" s="178"/>
      <c r="Q106" s="178"/>
      <c r="R106" s="178"/>
      <c r="S106" s="178"/>
      <c r="T106" s="178"/>
      <c r="U106" s="178"/>
      <c r="V106" s="178"/>
      <c r="W106" s="178"/>
      <c r="X106" s="178"/>
      <c r="Y106" s="178"/>
      <c r="Z106" s="178"/>
      <c r="AA106" s="178"/>
      <c r="AB106" s="178"/>
      <c r="AC106" s="178"/>
      <c r="AD106" s="178"/>
      <c r="AE106" s="178"/>
      <c r="AF106" s="178"/>
      <c r="AG106" s="178"/>
      <c r="AH106" s="178"/>
      <c r="AI106" s="244"/>
      <c r="AJ106" s="100"/>
      <c r="AK106" s="100"/>
      <c r="AL106" s="100"/>
      <c r="AM106" s="100"/>
      <c r="AN106" s="100"/>
      <c r="AO106" s="100"/>
    </row>
    <row r="107" ht="14.25" hidden="1" customHeight="1" outlineLevel="1">
      <c r="A107" s="195"/>
      <c r="B107" s="393" t="s">
        <v>3522</v>
      </c>
      <c r="C107" s="100"/>
      <c r="D107" s="100"/>
      <c r="E107" s="100"/>
      <c r="F107" s="206"/>
      <c r="G107" s="206"/>
      <c r="H107" s="207"/>
      <c r="I107" s="207"/>
      <c r="J107" s="207"/>
      <c r="K107" s="207"/>
      <c r="L107" s="207"/>
      <c r="M107" s="207"/>
      <c r="N107" s="207"/>
      <c r="O107" s="207"/>
      <c r="P107" s="207"/>
      <c r="Q107" s="207"/>
      <c r="R107" s="207"/>
      <c r="S107" s="207"/>
      <c r="T107" s="207"/>
      <c r="U107" s="207"/>
      <c r="V107" s="207"/>
      <c r="W107" s="208"/>
      <c r="X107" s="208"/>
      <c r="Y107" s="208"/>
      <c r="Z107" s="208"/>
      <c r="AA107" s="208"/>
      <c r="AB107" s="208"/>
      <c r="AC107" s="208"/>
      <c r="AD107" s="208"/>
      <c r="AE107" s="208"/>
      <c r="AF107" s="208"/>
      <c r="AG107" s="208"/>
      <c r="AH107" s="208"/>
      <c r="AI107" s="100"/>
      <c r="AJ107" s="100"/>
      <c r="AK107" s="100"/>
      <c r="AL107" s="100"/>
      <c r="AM107" s="100"/>
      <c r="AN107" s="100"/>
      <c r="AO107" s="100"/>
    </row>
    <row r="108" ht="14.25" hidden="1" customHeight="1" outlineLevel="3">
      <c r="A108" s="390"/>
      <c r="B108" s="394"/>
      <c r="C108" s="393"/>
      <c r="D108" s="394"/>
      <c r="E108" s="299" t="s">
        <v>1522</v>
      </c>
      <c r="F108" s="123" t="s">
        <v>135</v>
      </c>
      <c r="G108" s="123" t="s">
        <v>3523</v>
      </c>
      <c r="H108" s="274">
        <f t="array" ref="H108:AH108">INDIRECT(IF(NOT(edcmtrapartner),"recal","")&amp;RIGHT(G108,8))</f>
        <v>0</v>
      </c>
      <c r="I108" s="274">
        <v>0.0</v>
      </c>
      <c r="J108" s="274">
        <v>0.0</v>
      </c>
      <c r="K108" s="274">
        <v>0.0</v>
      </c>
      <c r="L108" s="274">
        <v>0.0</v>
      </c>
      <c r="M108" s="274">
        <v>0.0</v>
      </c>
      <c r="N108" s="274">
        <v>0.0</v>
      </c>
      <c r="O108" s="274">
        <v>0.0</v>
      </c>
      <c r="P108" s="274">
        <v>0.0</v>
      </c>
      <c r="Q108" s="274">
        <v>0.0</v>
      </c>
      <c r="R108" s="274">
        <v>0.0</v>
      </c>
      <c r="S108" s="274">
        <v>0.0</v>
      </c>
      <c r="T108" s="274">
        <v>0.0</v>
      </c>
      <c r="U108" s="274">
        <v>0.0</v>
      </c>
      <c r="V108" s="274">
        <v>0.0</v>
      </c>
      <c r="W108" s="274">
        <v>59.3054603903575</v>
      </c>
      <c r="X108" s="274" t="e">
        <v>#DIV/0!</v>
      </c>
      <c r="Y108" s="274" t="e">
        <v>#DIV/0!</v>
      </c>
      <c r="Z108" s="274" t="e">
        <v>#DIV/0!</v>
      </c>
      <c r="AA108" s="274" t="e">
        <v>#DIV/0!</v>
      </c>
      <c r="AB108" s="274">
        <v>58.85031142246781</v>
      </c>
      <c r="AC108" s="274">
        <v>45.3652625143788</v>
      </c>
      <c r="AD108" s="274">
        <v>26.562245566416742</v>
      </c>
      <c r="AE108" s="274">
        <v>16.929121725876158</v>
      </c>
      <c r="AF108" s="274">
        <v>12.351728891580972</v>
      </c>
      <c r="AG108" s="274">
        <v>9.626597005157507</v>
      </c>
      <c r="AH108" s="274">
        <v>8.131418778384424</v>
      </c>
      <c r="AI108" s="125"/>
      <c r="AJ108" s="125"/>
      <c r="AK108" s="125"/>
      <c r="AL108" s="125"/>
      <c r="AM108" s="251"/>
      <c r="AN108" s="100" t="b">
        <f t="shared" ref="AN108:AN112" si="2">_xlfn.ISFORMULA(H108)</f>
        <v>1</v>
      </c>
      <c r="AO108" s="102"/>
    </row>
    <row r="109" ht="14.25" hidden="1" customHeight="1" outlineLevel="3">
      <c r="A109" s="390"/>
      <c r="B109" s="394"/>
      <c r="C109" s="393"/>
      <c r="D109" s="394"/>
      <c r="E109" s="273" t="s">
        <v>1513</v>
      </c>
      <c r="F109" s="123" t="s">
        <v>135</v>
      </c>
      <c r="G109" s="123" t="s">
        <v>3524</v>
      </c>
      <c r="H109" s="274">
        <f t="array" ref="H109:AH109">INDIRECT(IF(NOT(edcmtrapartner),"recal","")&amp;RIGHT(G109,8))</f>
        <v>0</v>
      </c>
      <c r="I109" s="274">
        <v>0.0</v>
      </c>
      <c r="J109" s="274">
        <v>0.0</v>
      </c>
      <c r="K109" s="274">
        <v>0.0</v>
      </c>
      <c r="L109" s="274">
        <v>0.0</v>
      </c>
      <c r="M109" s="274">
        <v>0.0</v>
      </c>
      <c r="N109" s="274">
        <v>0.0</v>
      </c>
      <c r="O109" s="274">
        <v>0.0</v>
      </c>
      <c r="P109" s="274">
        <v>0.0</v>
      </c>
      <c r="Q109" s="274">
        <v>0.0</v>
      </c>
      <c r="R109" s="274">
        <v>0.0</v>
      </c>
      <c r="S109" s="274">
        <v>0.0</v>
      </c>
      <c r="T109" s="274">
        <v>0.0</v>
      </c>
      <c r="U109" s="274">
        <v>0.0</v>
      </c>
      <c r="V109" s="274">
        <v>0.0</v>
      </c>
      <c r="W109" s="274">
        <v>58.1030169105079</v>
      </c>
      <c r="X109" s="274" t="e">
        <v>#DIV/0!</v>
      </c>
      <c r="Y109" s="274" t="e">
        <v>#DIV/0!</v>
      </c>
      <c r="Z109" s="274" t="e">
        <v>#DIV/0!</v>
      </c>
      <c r="AA109" s="274" t="e">
        <v>#DIV/0!</v>
      </c>
      <c r="AB109" s="274">
        <v>57.3617710802568</v>
      </c>
      <c r="AC109" s="274">
        <v>41.673183081646314</v>
      </c>
      <c r="AD109" s="274">
        <v>21.22214879452839</v>
      </c>
      <c r="AE109" s="274">
        <v>10.193398000399156</v>
      </c>
      <c r="AF109" s="274">
        <v>4.967499126402861</v>
      </c>
      <c r="AG109" s="274">
        <v>2.35007665899425</v>
      </c>
      <c r="AH109" s="274">
        <v>0.5192684375432588</v>
      </c>
      <c r="AI109" s="125"/>
      <c r="AJ109" s="125"/>
      <c r="AK109" s="125"/>
      <c r="AL109" s="125"/>
      <c r="AM109" s="251"/>
      <c r="AN109" s="100" t="b">
        <f t="shared" si="2"/>
        <v>1</v>
      </c>
      <c r="AO109" s="102"/>
    </row>
    <row r="110" ht="14.25" hidden="1" customHeight="1" outlineLevel="3">
      <c r="A110" s="390"/>
      <c r="B110" s="394"/>
      <c r="C110" s="393"/>
      <c r="D110" s="394"/>
      <c r="E110" s="273" t="s">
        <v>1525</v>
      </c>
      <c r="F110" s="123" t="s">
        <v>135</v>
      </c>
      <c r="G110" s="123" t="s">
        <v>3525</v>
      </c>
      <c r="H110" s="274">
        <f t="array" ref="H110:AH110">INDIRECT(IF(NOT(edcmtrapartner),"recal","")&amp;RIGHT(G110,8))</f>
        <v>0</v>
      </c>
      <c r="I110" s="274">
        <v>0.0</v>
      </c>
      <c r="J110" s="274">
        <v>0.0</v>
      </c>
      <c r="K110" s="274">
        <v>0.0</v>
      </c>
      <c r="L110" s="274">
        <v>0.0</v>
      </c>
      <c r="M110" s="274">
        <v>0.0</v>
      </c>
      <c r="N110" s="274">
        <v>0.0</v>
      </c>
      <c r="O110" s="274">
        <v>0.0</v>
      </c>
      <c r="P110" s="274">
        <v>0.0</v>
      </c>
      <c r="Q110" s="274">
        <v>0.0</v>
      </c>
      <c r="R110" s="274">
        <v>0.0</v>
      </c>
      <c r="S110" s="274">
        <v>0.0</v>
      </c>
      <c r="T110" s="274">
        <v>0.0</v>
      </c>
      <c r="U110" s="274">
        <v>0.0</v>
      </c>
      <c r="V110" s="274">
        <v>0.0</v>
      </c>
      <c r="W110" s="274">
        <v>0.0317243571278785</v>
      </c>
      <c r="X110" s="274" t="e">
        <v>#DIV/0!</v>
      </c>
      <c r="Y110" s="274" t="e">
        <v>#DIV/0!</v>
      </c>
      <c r="Z110" s="274" t="e">
        <v>#DIV/0!</v>
      </c>
      <c r="AA110" s="274" t="e">
        <v>#DIV/0!</v>
      </c>
      <c r="AB110" s="274">
        <v>0.130025633658371</v>
      </c>
      <c r="AC110" s="274">
        <v>0.11238785161464265</v>
      </c>
      <c r="AD110" s="274">
        <v>0.04538203976981897</v>
      </c>
      <c r="AE110" s="274">
        <v>0.021276040929513566</v>
      </c>
      <c r="AF110" s="274">
        <v>0.0</v>
      </c>
      <c r="AG110" s="274">
        <v>0.0</v>
      </c>
      <c r="AH110" s="274">
        <v>0.0</v>
      </c>
      <c r="AI110" s="125"/>
      <c r="AJ110" s="318"/>
      <c r="AK110" s="318"/>
      <c r="AL110" s="318"/>
      <c r="AM110" s="251"/>
      <c r="AN110" s="100" t="b">
        <f t="shared" si="2"/>
        <v>1</v>
      </c>
      <c r="AO110" s="102"/>
    </row>
    <row r="111" ht="14.25" hidden="1" customHeight="1" outlineLevel="3">
      <c r="A111" s="390"/>
      <c r="B111" s="394"/>
      <c r="C111" s="393"/>
      <c r="D111" s="394"/>
      <c r="E111" s="273" t="s">
        <v>1527</v>
      </c>
      <c r="F111" s="123" t="s">
        <v>135</v>
      </c>
      <c r="G111" s="123" t="s">
        <v>3526</v>
      </c>
      <c r="H111" s="274">
        <f t="array" ref="H111:AH111">INDIRECT(IF(NOT(edcmtrapartner),"recal","")&amp;RIGHT(G111,8))</f>
        <v>0</v>
      </c>
      <c r="I111" s="274">
        <v>0.0</v>
      </c>
      <c r="J111" s="274">
        <v>0.0</v>
      </c>
      <c r="K111" s="274">
        <v>0.0</v>
      </c>
      <c r="L111" s="274">
        <v>0.0</v>
      </c>
      <c r="M111" s="274">
        <v>0.0</v>
      </c>
      <c r="N111" s="274">
        <v>0.0</v>
      </c>
      <c r="O111" s="274">
        <v>0.0</v>
      </c>
      <c r="P111" s="274">
        <v>0.0</v>
      </c>
      <c r="Q111" s="274">
        <v>0.0</v>
      </c>
      <c r="R111" s="274">
        <v>0.0</v>
      </c>
      <c r="S111" s="274">
        <v>0.0</v>
      </c>
      <c r="T111" s="274">
        <v>0.0</v>
      </c>
      <c r="U111" s="274">
        <v>0.0</v>
      </c>
      <c r="V111" s="274">
        <v>0.0</v>
      </c>
      <c r="W111" s="274">
        <v>0.0</v>
      </c>
      <c r="X111" s="274" t="e">
        <v>#DIV/0!</v>
      </c>
      <c r="Y111" s="274" t="e">
        <v>#DIV/0!</v>
      </c>
      <c r="Z111" s="274" t="e">
        <v>#DIV/0!</v>
      </c>
      <c r="AA111" s="274" t="e">
        <v>#DIV/0!</v>
      </c>
      <c r="AB111" s="274">
        <v>0.0</v>
      </c>
      <c r="AC111" s="274">
        <v>0.0</v>
      </c>
      <c r="AD111" s="274">
        <v>0.0</v>
      </c>
      <c r="AE111" s="274">
        <v>0.0</v>
      </c>
      <c r="AF111" s="274">
        <v>0.0</v>
      </c>
      <c r="AG111" s="274">
        <v>0.0</v>
      </c>
      <c r="AH111" s="274">
        <v>0.0</v>
      </c>
      <c r="AI111" s="125"/>
      <c r="AJ111" s="318"/>
      <c r="AK111" s="318"/>
      <c r="AL111" s="318"/>
      <c r="AM111" s="251"/>
      <c r="AN111" s="100" t="b">
        <f t="shared" si="2"/>
        <v>1</v>
      </c>
      <c r="AO111" s="102"/>
    </row>
    <row r="112" ht="14.25" hidden="1" customHeight="1" outlineLevel="3">
      <c r="A112" s="390"/>
      <c r="B112" s="394"/>
      <c r="C112" s="393"/>
      <c r="D112" s="394"/>
      <c r="E112" s="273" t="s">
        <v>1529</v>
      </c>
      <c r="F112" s="123" t="s">
        <v>135</v>
      </c>
      <c r="G112" s="123" t="s">
        <v>3527</v>
      </c>
      <c r="H112" s="274">
        <f t="array" ref="H112:AH112">INDIRECT(IF(NOT(edcmtrapartner),"recal","")&amp;RIGHT(G112,8))</f>
        <v>0</v>
      </c>
      <c r="I112" s="274">
        <v>0.0</v>
      </c>
      <c r="J112" s="274">
        <v>0.0</v>
      </c>
      <c r="K112" s="274">
        <v>0.0</v>
      </c>
      <c r="L112" s="274">
        <v>0.0</v>
      </c>
      <c r="M112" s="274">
        <v>0.0</v>
      </c>
      <c r="N112" s="274">
        <v>0.0</v>
      </c>
      <c r="O112" s="274">
        <v>0.0</v>
      </c>
      <c r="P112" s="274">
        <v>0.0</v>
      </c>
      <c r="Q112" s="274">
        <v>0.0</v>
      </c>
      <c r="R112" s="274">
        <v>0.0</v>
      </c>
      <c r="S112" s="274">
        <v>0.0</v>
      </c>
      <c r="T112" s="274">
        <v>0.0</v>
      </c>
      <c r="U112" s="274">
        <v>0.0</v>
      </c>
      <c r="V112" s="274">
        <v>0.0</v>
      </c>
      <c r="W112" s="274">
        <v>1.17071912272173</v>
      </c>
      <c r="X112" s="274" t="e">
        <v>#DIV/0!</v>
      </c>
      <c r="Y112" s="274" t="e">
        <v>#DIV/0!</v>
      </c>
      <c r="Z112" s="274" t="e">
        <v>#DIV/0!</v>
      </c>
      <c r="AA112" s="274" t="e">
        <v>#DIV/0!</v>
      </c>
      <c r="AB112" s="274">
        <v>1.35851470855264</v>
      </c>
      <c r="AC112" s="274">
        <v>3.579691581117846</v>
      </c>
      <c r="AD112" s="274">
        <v>5.294714732118532</v>
      </c>
      <c r="AE112" s="274">
        <v>6.714447684547485</v>
      </c>
      <c r="AF112" s="274">
        <v>7.384229765178112</v>
      </c>
      <c r="AG112" s="274">
        <v>7.276520346163258</v>
      </c>
      <c r="AH112" s="274">
        <v>7.612150340841165</v>
      </c>
      <c r="AI112" s="125"/>
      <c r="AJ112" s="318"/>
      <c r="AK112" s="318"/>
      <c r="AL112" s="318"/>
      <c r="AM112" s="251"/>
      <c r="AN112" s="100" t="b">
        <f t="shared" si="2"/>
        <v>1</v>
      </c>
      <c r="AO112" s="102"/>
    </row>
    <row r="113" ht="14.25" hidden="1" customHeight="1" outlineLevel="1">
      <c r="A113" s="195"/>
      <c r="B113" s="393" t="s">
        <v>3528</v>
      </c>
      <c r="C113" s="100"/>
      <c r="D113" s="100"/>
      <c r="E113" s="100"/>
      <c r="F113" s="206"/>
      <c r="G113" s="206"/>
      <c r="H113" s="207"/>
      <c r="I113" s="207"/>
      <c r="J113" s="207"/>
      <c r="K113" s="207"/>
      <c r="L113" s="207"/>
      <c r="M113" s="207"/>
      <c r="N113" s="207"/>
      <c r="O113" s="207"/>
      <c r="P113" s="207"/>
      <c r="Q113" s="207"/>
      <c r="R113" s="207"/>
      <c r="S113" s="207"/>
      <c r="T113" s="207"/>
      <c r="U113" s="207"/>
      <c r="V113" s="207"/>
      <c r="W113" s="208"/>
      <c r="X113" s="208"/>
      <c r="Y113" s="208"/>
      <c r="Z113" s="208"/>
      <c r="AA113" s="208"/>
      <c r="AB113" s="208"/>
      <c r="AC113" s="208"/>
      <c r="AD113" s="208"/>
      <c r="AE113" s="208"/>
      <c r="AF113" s="208"/>
      <c r="AG113" s="208"/>
      <c r="AH113" s="208"/>
      <c r="AI113" s="100"/>
      <c r="AJ113" s="100"/>
      <c r="AK113" s="100"/>
      <c r="AL113" s="100"/>
      <c r="AM113" s="100"/>
      <c r="AN113" s="100"/>
      <c r="AO113" s="100"/>
    </row>
    <row r="114" ht="14.25" hidden="1" customHeight="1" outlineLevel="3">
      <c r="A114" s="200"/>
      <c r="B114" s="201"/>
      <c r="C114" s="201"/>
      <c r="D114" s="201"/>
      <c r="E114" s="299" t="s">
        <v>1735</v>
      </c>
      <c r="F114" s="123" t="s">
        <v>135</v>
      </c>
      <c r="G114" s="123" t="s">
        <v>3529</v>
      </c>
      <c r="H114" s="274">
        <f t="array" ref="H114:AH114">INDIRECT(IF(NOT(edcmtrapartner),"recal","")&amp;RIGHT(G114,8))</f>
        <v>0</v>
      </c>
      <c r="I114" s="274">
        <v>0.0</v>
      </c>
      <c r="J114" s="274">
        <v>0.0</v>
      </c>
      <c r="K114" s="274">
        <v>0.0</v>
      </c>
      <c r="L114" s="274">
        <v>0.0</v>
      </c>
      <c r="M114" s="274">
        <v>0.0</v>
      </c>
      <c r="N114" s="274">
        <v>0.0</v>
      </c>
      <c r="O114" s="274">
        <v>0.0</v>
      </c>
      <c r="P114" s="274">
        <v>0.0</v>
      </c>
      <c r="Q114" s="274">
        <v>0.0</v>
      </c>
      <c r="R114" s="274">
        <v>0.0</v>
      </c>
      <c r="S114" s="274">
        <v>0.0</v>
      </c>
      <c r="T114" s="274">
        <v>0.0</v>
      </c>
      <c r="U114" s="274">
        <v>0.0</v>
      </c>
      <c r="V114" s="274">
        <v>0.0</v>
      </c>
      <c r="W114" s="274">
        <v>43.899397975285865</v>
      </c>
      <c r="X114" s="274" t="e">
        <v>#DIV/0!</v>
      </c>
      <c r="Y114" s="274" t="e">
        <v>#DIV/0!</v>
      </c>
      <c r="Z114" s="274" t="e">
        <v>#DIV/0!</v>
      </c>
      <c r="AA114" s="274" t="e">
        <v>#DIV/0!</v>
      </c>
      <c r="AB114" s="274">
        <v>43.56248522647799</v>
      </c>
      <c r="AC114" s="274">
        <v>38.575257343371305</v>
      </c>
      <c r="AD114" s="274">
        <v>31.811909635158727</v>
      </c>
      <c r="AE114" s="274">
        <v>25.28651961643454</v>
      </c>
      <c r="AF114" s="274">
        <v>19.70417522180101</v>
      </c>
      <c r="AG114" s="274">
        <v>17.11532968019296</v>
      </c>
      <c r="AH114" s="274">
        <v>16.212664366391692</v>
      </c>
      <c r="AI114" s="125"/>
      <c r="AJ114" s="125"/>
      <c r="AK114" s="125"/>
      <c r="AL114" s="125"/>
      <c r="AM114" s="251"/>
      <c r="AN114" s="100" t="b">
        <f t="shared" ref="AN114:AN118" si="3">_xlfn.ISFORMULA(H114)</f>
        <v>1</v>
      </c>
      <c r="AO114" s="102"/>
    </row>
    <row r="115" ht="14.25" hidden="1" customHeight="1" outlineLevel="3">
      <c r="A115" s="200"/>
      <c r="B115" s="201"/>
      <c r="C115" s="201"/>
      <c r="D115" s="201"/>
      <c r="E115" s="273" t="s">
        <v>1726</v>
      </c>
      <c r="F115" s="123" t="s">
        <v>135</v>
      </c>
      <c r="G115" s="123" t="s">
        <v>3530</v>
      </c>
      <c r="H115" s="274">
        <f t="array" ref="H115:AH115">INDIRECT(IF(NOT(edcmtrapartner),"recal","")&amp;RIGHT(G115,8))</f>
        <v>0</v>
      </c>
      <c r="I115" s="274">
        <v>0.0</v>
      </c>
      <c r="J115" s="274">
        <v>0.0</v>
      </c>
      <c r="K115" s="274">
        <v>0.0</v>
      </c>
      <c r="L115" s="274">
        <v>0.0</v>
      </c>
      <c r="M115" s="274">
        <v>0.0</v>
      </c>
      <c r="N115" s="274">
        <v>0.0</v>
      </c>
      <c r="O115" s="274">
        <v>0.0</v>
      </c>
      <c r="P115" s="274">
        <v>0.0</v>
      </c>
      <c r="Q115" s="274">
        <v>0.0</v>
      </c>
      <c r="R115" s="274">
        <v>0.0</v>
      </c>
      <c r="S115" s="274">
        <v>0.0</v>
      </c>
      <c r="T115" s="274">
        <v>0.0</v>
      </c>
      <c r="U115" s="274">
        <v>0.0</v>
      </c>
      <c r="V115" s="274">
        <v>0.0</v>
      </c>
      <c r="W115" s="274">
        <v>43.4965382006035</v>
      </c>
      <c r="X115" s="274" t="e">
        <v>#DIV/0!</v>
      </c>
      <c r="Y115" s="274" t="e">
        <v>#DIV/0!</v>
      </c>
      <c r="Z115" s="274" t="e">
        <v>#DIV/0!</v>
      </c>
      <c r="AA115" s="274" t="e">
        <v>#DIV/0!</v>
      </c>
      <c r="AB115" s="274">
        <v>43.019495607328</v>
      </c>
      <c r="AC115" s="274">
        <v>37.63812321614762</v>
      </c>
      <c r="AD115" s="274">
        <v>29.46350680645738</v>
      </c>
      <c r="AE115" s="274">
        <v>20.130739726576426</v>
      </c>
      <c r="AF115" s="274">
        <v>11.17607689555629</v>
      </c>
      <c r="AG115" s="274">
        <v>4.48037837347539</v>
      </c>
      <c r="AH115" s="274">
        <v>0.604647096648</v>
      </c>
      <c r="AI115" s="125"/>
      <c r="AJ115" s="125"/>
      <c r="AK115" s="125"/>
      <c r="AL115" s="125"/>
      <c r="AM115" s="251"/>
      <c r="AN115" s="100" t="b">
        <f t="shared" si="3"/>
        <v>1</v>
      </c>
      <c r="AO115" s="102"/>
    </row>
    <row r="116" ht="14.25" hidden="1" customHeight="1" outlineLevel="3">
      <c r="A116" s="200"/>
      <c r="B116" s="201"/>
      <c r="C116" s="201"/>
      <c r="D116" s="201"/>
      <c r="E116" s="273" t="s">
        <v>1738</v>
      </c>
      <c r="F116" s="123" t="s">
        <v>135</v>
      </c>
      <c r="G116" s="123" t="s">
        <v>3531</v>
      </c>
      <c r="H116" s="274">
        <f t="array" ref="H116:AH116">INDIRECT(IF(NOT(edcmtrapartner),"recal","")&amp;RIGHT(G116,8))</f>
        <v>0</v>
      </c>
      <c r="I116" s="274">
        <v>0.0</v>
      </c>
      <c r="J116" s="274">
        <v>0.0</v>
      </c>
      <c r="K116" s="274">
        <v>0.0</v>
      </c>
      <c r="L116" s="274">
        <v>0.0</v>
      </c>
      <c r="M116" s="274">
        <v>0.0</v>
      </c>
      <c r="N116" s="274">
        <v>0.0</v>
      </c>
      <c r="O116" s="274">
        <v>0.0</v>
      </c>
      <c r="P116" s="274">
        <v>0.0</v>
      </c>
      <c r="Q116" s="274">
        <v>0.0</v>
      </c>
      <c r="R116" s="274">
        <v>0.0</v>
      </c>
      <c r="S116" s="274">
        <v>0.0</v>
      </c>
      <c r="T116" s="274">
        <v>0.0</v>
      </c>
      <c r="U116" s="274">
        <v>0.0</v>
      </c>
      <c r="V116" s="274">
        <v>0.0</v>
      </c>
      <c r="W116" s="274">
        <v>0.00687889740408388</v>
      </c>
      <c r="X116" s="274" t="e">
        <v>#DIV/0!</v>
      </c>
      <c r="Y116" s="274" t="e">
        <v>#DIV/0!</v>
      </c>
      <c r="Z116" s="274" t="e">
        <v>#DIV/0!</v>
      </c>
      <c r="AA116" s="274" t="e">
        <v>#DIV/0!</v>
      </c>
      <c r="AB116" s="274">
        <v>0.19490432770263</v>
      </c>
      <c r="AC116" s="274">
        <v>0.45636993159847167</v>
      </c>
      <c r="AD116" s="274">
        <v>0.8910742103748726</v>
      </c>
      <c r="AE116" s="274">
        <v>2.004072170283745</v>
      </c>
      <c r="AF116" s="274">
        <v>3.343990293202732</v>
      </c>
      <c r="AG116" s="274">
        <v>5.1009713630862175</v>
      </c>
      <c r="AH116" s="274">
        <v>7.009417520916042</v>
      </c>
      <c r="AI116" s="125"/>
      <c r="AJ116" s="318"/>
      <c r="AK116" s="318"/>
      <c r="AL116" s="318"/>
      <c r="AM116" s="251"/>
      <c r="AN116" s="100" t="b">
        <f t="shared" si="3"/>
        <v>1</v>
      </c>
      <c r="AO116" s="102"/>
    </row>
    <row r="117" ht="14.25" hidden="1" customHeight="1" outlineLevel="3">
      <c r="A117" s="200"/>
      <c r="B117" s="201"/>
      <c r="C117" s="201"/>
      <c r="D117" s="201"/>
      <c r="E117" s="273" t="s">
        <v>1740</v>
      </c>
      <c r="F117" s="123" t="s">
        <v>135</v>
      </c>
      <c r="G117" s="123" t="s">
        <v>3532</v>
      </c>
      <c r="H117" s="274">
        <f t="array" ref="H117:AH117">INDIRECT(IF(NOT(edcmtrapartner),"recal","")&amp;RIGHT(G117,8))</f>
        <v>0</v>
      </c>
      <c r="I117" s="274">
        <v>0.0</v>
      </c>
      <c r="J117" s="274">
        <v>0.0</v>
      </c>
      <c r="K117" s="274">
        <v>0.0</v>
      </c>
      <c r="L117" s="274">
        <v>0.0</v>
      </c>
      <c r="M117" s="274">
        <v>0.0</v>
      </c>
      <c r="N117" s="274">
        <v>0.0</v>
      </c>
      <c r="O117" s="274">
        <v>0.0</v>
      </c>
      <c r="P117" s="274">
        <v>0.0</v>
      </c>
      <c r="Q117" s="274">
        <v>0.0</v>
      </c>
      <c r="R117" s="274">
        <v>0.0</v>
      </c>
      <c r="S117" s="274">
        <v>0.0</v>
      </c>
      <c r="T117" s="274">
        <v>0.0</v>
      </c>
      <c r="U117" s="274">
        <v>0.0</v>
      </c>
      <c r="V117" s="274">
        <v>0.0</v>
      </c>
      <c r="W117" s="274">
        <v>0.0</v>
      </c>
      <c r="X117" s="274">
        <v>0.0</v>
      </c>
      <c r="Y117" s="274">
        <v>0.0</v>
      </c>
      <c r="Z117" s="274">
        <v>0.0</v>
      </c>
      <c r="AA117" s="274">
        <v>0.0</v>
      </c>
      <c r="AB117" s="274">
        <v>0.0</v>
      </c>
      <c r="AC117" s="274">
        <v>0.0</v>
      </c>
      <c r="AD117" s="274">
        <v>0.11975845803823298</v>
      </c>
      <c r="AE117" s="274">
        <v>0.6130925499516402</v>
      </c>
      <c r="AF117" s="274">
        <v>1.6541886584238332</v>
      </c>
      <c r="AG117" s="274">
        <v>3.22690004165879</v>
      </c>
      <c r="AH117" s="274">
        <v>4.154198699800668</v>
      </c>
      <c r="AI117" s="125"/>
      <c r="AJ117" s="318"/>
      <c r="AK117" s="318"/>
      <c r="AL117" s="318"/>
      <c r="AM117" s="251"/>
      <c r="AN117" s="100" t="b">
        <f t="shared" si="3"/>
        <v>1</v>
      </c>
      <c r="AO117" s="102"/>
    </row>
    <row r="118" ht="14.25" hidden="1" customHeight="1" outlineLevel="3">
      <c r="A118" s="200"/>
      <c r="B118" s="201"/>
      <c r="C118" s="201"/>
      <c r="D118" s="201"/>
      <c r="E118" s="273" t="s">
        <v>1742</v>
      </c>
      <c r="F118" s="123" t="s">
        <v>135</v>
      </c>
      <c r="G118" s="123" t="s">
        <v>3533</v>
      </c>
      <c r="H118" s="274">
        <f t="array" ref="H118:AH118">INDIRECT(IF(NOT(edcmtrapartner),"recal","")&amp;RIGHT(G118,8))</f>
        <v>0</v>
      </c>
      <c r="I118" s="274">
        <v>0.0</v>
      </c>
      <c r="J118" s="274">
        <v>0.0</v>
      </c>
      <c r="K118" s="274">
        <v>0.0</v>
      </c>
      <c r="L118" s="274">
        <v>0.0</v>
      </c>
      <c r="M118" s="274">
        <v>0.0</v>
      </c>
      <c r="N118" s="274">
        <v>0.0</v>
      </c>
      <c r="O118" s="274">
        <v>0.0</v>
      </c>
      <c r="P118" s="274">
        <v>0.0</v>
      </c>
      <c r="Q118" s="274">
        <v>0.0</v>
      </c>
      <c r="R118" s="274">
        <v>0.0</v>
      </c>
      <c r="S118" s="274">
        <v>0.0</v>
      </c>
      <c r="T118" s="274">
        <v>0.0</v>
      </c>
      <c r="U118" s="274">
        <v>0.0</v>
      </c>
      <c r="V118" s="274">
        <v>0.0</v>
      </c>
      <c r="W118" s="274">
        <v>0.395980877278273</v>
      </c>
      <c r="X118" s="274" t="e">
        <v>#DIV/0!</v>
      </c>
      <c r="Y118" s="274" t="e">
        <v>#DIV/0!</v>
      </c>
      <c r="Z118" s="274" t="e">
        <v>#DIV/0!</v>
      </c>
      <c r="AA118" s="274" t="e">
        <v>#DIV/0!</v>
      </c>
      <c r="AB118" s="274">
        <v>0.348085291447363</v>
      </c>
      <c r="AC118" s="274">
        <v>0.48076419562521316</v>
      </c>
      <c r="AD118" s="274">
        <v>1.3375701602882417</v>
      </c>
      <c r="AE118" s="274">
        <v>2.5386151696227257</v>
      </c>
      <c r="AF118" s="274">
        <v>3.529919374618152</v>
      </c>
      <c r="AG118" s="274">
        <v>4.307079901972564</v>
      </c>
      <c r="AH118" s="274">
        <v>4.444401049026982</v>
      </c>
      <c r="AI118" s="125"/>
      <c r="AJ118" s="318"/>
      <c r="AK118" s="318"/>
      <c r="AL118" s="318"/>
      <c r="AM118" s="251"/>
      <c r="AN118" s="100" t="b">
        <f t="shared" si="3"/>
        <v>1</v>
      </c>
      <c r="AO118" s="102"/>
    </row>
    <row r="119" ht="14.25" customHeight="1" collapsed="1">
      <c r="A119" s="195"/>
      <c r="B119" s="100"/>
      <c r="C119" s="100"/>
      <c r="D119" s="100"/>
      <c r="E119" s="100"/>
      <c r="F119" s="206"/>
      <c r="G119" s="206"/>
      <c r="H119" s="207"/>
      <c r="I119" s="207"/>
      <c r="J119" s="207"/>
      <c r="K119" s="207"/>
      <c r="L119" s="207"/>
      <c r="M119" s="207"/>
      <c r="N119" s="207"/>
      <c r="O119" s="207"/>
      <c r="P119" s="207"/>
      <c r="Q119" s="207"/>
      <c r="R119" s="207"/>
      <c r="S119" s="207"/>
      <c r="T119" s="207"/>
      <c r="U119" s="207"/>
      <c r="V119" s="207"/>
      <c r="W119" s="208"/>
      <c r="X119" s="208"/>
      <c r="Y119" s="208"/>
      <c r="Z119" s="208"/>
      <c r="AA119" s="208"/>
      <c r="AB119" s="208"/>
      <c r="AC119" s="208"/>
      <c r="AD119" s="208"/>
      <c r="AE119" s="208"/>
      <c r="AF119" s="208"/>
      <c r="AG119" s="208"/>
      <c r="AH119" s="208"/>
      <c r="AI119" s="100"/>
      <c r="AJ119" s="100"/>
      <c r="AK119" s="100"/>
      <c r="AL119" s="100"/>
      <c r="AM119" s="100"/>
      <c r="AN119" s="100"/>
      <c r="AO119" s="100"/>
    </row>
    <row r="120" ht="14.25" customHeight="1">
      <c r="A120" s="923" t="s">
        <v>253</v>
      </c>
      <c r="B120" s="223"/>
      <c r="C120" s="223"/>
      <c r="D120" s="223"/>
      <c r="E120" s="223"/>
      <c r="F120" s="223"/>
      <c r="G120" s="223"/>
      <c r="H120" s="459"/>
      <c r="I120" s="459"/>
      <c r="J120" s="459"/>
      <c r="K120" s="459"/>
      <c r="L120" s="459"/>
      <c r="M120" s="459"/>
      <c r="N120" s="459"/>
      <c r="O120" s="459"/>
      <c r="P120" s="459"/>
      <c r="Q120" s="459"/>
      <c r="R120" s="459"/>
      <c r="S120" s="459"/>
      <c r="T120" s="459"/>
      <c r="U120" s="459"/>
      <c r="V120" s="459"/>
      <c r="W120" s="460"/>
      <c r="X120" s="460"/>
      <c r="Y120" s="460"/>
      <c r="Z120" s="460"/>
      <c r="AA120" s="460"/>
      <c r="AB120" s="460"/>
      <c r="AC120" s="460"/>
      <c r="AD120" s="460"/>
      <c r="AE120" s="460"/>
      <c r="AF120" s="460"/>
      <c r="AG120" s="460"/>
      <c r="AH120" s="460"/>
      <c r="AI120" s="461"/>
      <c r="AJ120" s="100"/>
      <c r="AK120" s="100"/>
      <c r="AL120" s="100"/>
      <c r="AM120" s="100"/>
      <c r="AN120" s="100"/>
      <c r="AO120" s="195"/>
    </row>
    <row r="121" ht="14.25" customHeight="1">
      <c r="A121" s="924" t="s">
        <v>3534</v>
      </c>
      <c r="B121" s="100"/>
      <c r="C121" s="100"/>
      <c r="D121" s="195"/>
      <c r="E121" s="162"/>
      <c r="F121" s="162"/>
      <c r="G121" s="162"/>
      <c r="H121" s="178"/>
      <c r="I121" s="178"/>
      <c r="J121" s="178"/>
      <c r="K121" s="178"/>
      <c r="L121" s="178"/>
      <c r="M121" s="178"/>
      <c r="N121" s="178"/>
      <c r="O121" s="178"/>
      <c r="P121" s="178"/>
      <c r="Q121" s="178"/>
      <c r="R121" s="178"/>
      <c r="S121" s="178"/>
      <c r="T121" s="178"/>
      <c r="U121" s="178"/>
      <c r="V121" s="178"/>
      <c r="W121" s="178"/>
      <c r="X121" s="178"/>
      <c r="Y121" s="178"/>
      <c r="Z121" s="178"/>
      <c r="AA121" s="178"/>
      <c r="AB121" s="178"/>
      <c r="AC121" s="178"/>
      <c r="AD121" s="178"/>
      <c r="AE121" s="178"/>
      <c r="AF121" s="178"/>
      <c r="AG121" s="178"/>
      <c r="AH121" s="178"/>
      <c r="AI121" s="271"/>
      <c r="AJ121" s="100"/>
      <c r="AK121" s="100"/>
      <c r="AL121" s="100"/>
      <c r="AM121" s="100"/>
      <c r="AN121" s="100"/>
      <c r="AO121" s="195"/>
    </row>
    <row r="122" ht="14.25" customHeight="1">
      <c r="A122" s="326"/>
      <c r="B122" s="100"/>
      <c r="C122" s="100"/>
      <c r="D122" s="100"/>
      <c r="E122" s="180" t="s">
        <v>3535</v>
      </c>
      <c r="F122" s="249" t="s">
        <v>135</v>
      </c>
      <c r="G122" s="249" t="s">
        <v>3536</v>
      </c>
      <c r="H122" s="274">
        <f t="shared" ref="H122:AH122" si="4">SUM(H123:H130)</f>
        <v>0</v>
      </c>
      <c r="I122" s="274">
        <f t="shared" si="4"/>
        <v>0</v>
      </c>
      <c r="J122" s="274">
        <f t="shared" si="4"/>
        <v>0</v>
      </c>
      <c r="K122" s="274">
        <f t="shared" si="4"/>
        <v>0</v>
      </c>
      <c r="L122" s="274">
        <f t="shared" si="4"/>
        <v>0</v>
      </c>
      <c r="M122" s="274">
        <f t="shared" si="4"/>
        <v>0</v>
      </c>
      <c r="N122" s="274">
        <f t="shared" si="4"/>
        <v>0</v>
      </c>
      <c r="O122" s="274">
        <f t="shared" si="4"/>
        <v>0</v>
      </c>
      <c r="P122" s="274">
        <f t="shared" si="4"/>
        <v>0</v>
      </c>
      <c r="Q122" s="274">
        <f t="shared" si="4"/>
        <v>0</v>
      </c>
      <c r="R122" s="274">
        <f t="shared" si="4"/>
        <v>142.7725</v>
      </c>
      <c r="S122" s="274">
        <f t="shared" si="4"/>
        <v>137.7632</v>
      </c>
      <c r="T122" s="274">
        <f t="shared" si="4"/>
        <v>135.7637</v>
      </c>
      <c r="U122" s="274">
        <f t="shared" si="4"/>
        <v>141.0646</v>
      </c>
      <c r="V122" s="274">
        <f t="shared" si="4"/>
        <v>139.4801</v>
      </c>
      <c r="W122" s="274">
        <f t="shared" si="4"/>
        <v>139.5678</v>
      </c>
      <c r="X122" s="274">
        <f t="shared" si="4"/>
        <v>137.7594</v>
      </c>
      <c r="Y122" s="274">
        <f t="shared" si="4"/>
        <v>136.6477</v>
      </c>
      <c r="Z122" s="274">
        <f t="shared" si="4"/>
        <v>138.6858</v>
      </c>
      <c r="AA122" s="274">
        <f t="shared" si="4"/>
        <v>138.6691</v>
      </c>
      <c r="AB122" s="274">
        <f t="shared" si="4"/>
        <v>138.6691</v>
      </c>
      <c r="AC122" s="274">
        <f t="shared" si="4"/>
        <v>131.3270874</v>
      </c>
      <c r="AD122" s="274">
        <f t="shared" si="4"/>
        <v>113.8192114</v>
      </c>
      <c r="AE122" s="274">
        <f t="shared" si="4"/>
        <v>91.75484213</v>
      </c>
      <c r="AF122" s="274">
        <f t="shared" si="4"/>
        <v>82.14541572</v>
      </c>
      <c r="AG122" s="274">
        <f t="shared" si="4"/>
        <v>76.33661576</v>
      </c>
      <c r="AH122" s="274">
        <f t="shared" si="4"/>
        <v>74.79479313</v>
      </c>
      <c r="AI122" s="125"/>
      <c r="AJ122" s="100"/>
      <c r="AK122" s="100"/>
      <c r="AL122" s="100"/>
      <c r="AM122" s="100"/>
      <c r="AN122" s="100"/>
      <c r="AO122" s="100"/>
    </row>
    <row r="123" ht="14.25" customHeight="1">
      <c r="A123" s="326"/>
      <c r="B123" s="100"/>
      <c r="C123" s="100"/>
      <c r="D123" s="100"/>
      <c r="E123" s="122" t="s">
        <v>3537</v>
      </c>
      <c r="F123" s="249" t="s">
        <v>135</v>
      </c>
      <c r="G123" s="249" t="s">
        <v>3538</v>
      </c>
      <c r="H123" s="260" t="str">
        <f>cmscfind</f>
        <v/>
      </c>
      <c r="I123" s="260" t="str">
        <f>cmscfind</f>
        <v/>
      </c>
      <c r="J123" s="260" t="str">
        <f>cmscfind</f>
        <v/>
      </c>
      <c r="K123" s="260" t="str">
        <f>cmscfind</f>
        <v/>
      </c>
      <c r="L123" s="260" t="str">
        <f>cmscfind</f>
        <v/>
      </c>
      <c r="M123" s="260" t="str">
        <f>cmscfind</f>
        <v/>
      </c>
      <c r="N123" s="260" t="str">
        <f>cmscfind</f>
        <v/>
      </c>
      <c r="O123" s="260" t="str">
        <f>cmscfind</f>
        <v/>
      </c>
      <c r="P123" s="260" t="str">
        <f>cmscfind</f>
        <v/>
      </c>
      <c r="Q123" s="260" t="str">
        <f>cmscfind</f>
        <v/>
      </c>
      <c r="R123" s="260">
        <f>cmscfind</f>
        <v>17.6468</v>
      </c>
      <c r="S123" s="260">
        <f>cmscfind</f>
        <v>17.0644</v>
      </c>
      <c r="T123" s="260">
        <f>cmscfind</f>
        <v>15.5819</v>
      </c>
      <c r="U123" s="260">
        <f>cmscfind</f>
        <v>18.6272</v>
      </c>
      <c r="V123" s="260">
        <f>cmscfind</f>
        <v>19.1046</v>
      </c>
      <c r="W123" s="182">
        <f>cmscfind</f>
        <v>19.539492</v>
      </c>
      <c r="X123" s="260">
        <f>cmscfind</f>
        <v>21.8822</v>
      </c>
      <c r="Y123" s="260">
        <f>cmscfind</f>
        <v>21.7616</v>
      </c>
      <c r="Z123" s="260">
        <f>cmscfind</f>
        <v>21.7186</v>
      </c>
      <c r="AA123" s="260">
        <f>cmscfind</f>
        <v>21.59995092</v>
      </c>
      <c r="AB123" s="182">
        <f>cmscfind</f>
        <v>21.59995092</v>
      </c>
      <c r="AC123" s="182">
        <f>cmscfind</f>
        <v>15.95592488</v>
      </c>
      <c r="AD123" s="182">
        <f>cmscfind</f>
        <v>9.928340579</v>
      </c>
      <c r="AE123" s="182">
        <f>cmscfind</f>
        <v>5.182921217</v>
      </c>
      <c r="AF123" s="182">
        <f>cmscfind</f>
        <v>0</v>
      </c>
      <c r="AG123" s="182">
        <f>cmscfind</f>
        <v>0</v>
      </c>
      <c r="AH123" s="182">
        <f>cmscfind</f>
        <v>0</v>
      </c>
      <c r="AI123" s="125"/>
      <c r="AJ123" s="100"/>
      <c r="AK123" s="100"/>
      <c r="AL123" s="100"/>
      <c r="AM123" s="100"/>
      <c r="AN123" s="100"/>
      <c r="AO123" s="100"/>
    </row>
    <row r="124" ht="14.25" customHeight="1">
      <c r="A124" s="326"/>
      <c r="B124" s="100"/>
      <c r="C124" s="100"/>
      <c r="D124" s="100"/>
      <c r="E124" s="122" t="s">
        <v>3539</v>
      </c>
      <c r="F124" s="249" t="s">
        <v>135</v>
      </c>
      <c r="G124" s="249" t="s">
        <v>3540</v>
      </c>
      <c r="H124" s="260" t="str">
        <f>enccfind</f>
        <v/>
      </c>
      <c r="I124" s="260" t="str">
        <f>enccfind</f>
        <v/>
      </c>
      <c r="J124" s="260" t="str">
        <f>enccfind</f>
        <v/>
      </c>
      <c r="K124" s="260" t="str">
        <f>enccfind</f>
        <v/>
      </c>
      <c r="L124" s="260" t="str">
        <f>enccfind</f>
        <v/>
      </c>
      <c r="M124" s="260" t="str">
        <f>enccfind</f>
        <v/>
      </c>
      <c r="N124" s="260" t="str">
        <f>enccfind</f>
        <v/>
      </c>
      <c r="O124" s="260" t="str">
        <f>enccfind</f>
        <v/>
      </c>
      <c r="P124" s="260" t="str">
        <f>enccfind</f>
        <v/>
      </c>
      <c r="Q124" s="260" t="str">
        <f>enccfind</f>
        <v/>
      </c>
      <c r="R124" s="260">
        <f>enccfind</f>
        <v>9.0867</v>
      </c>
      <c r="S124" s="260">
        <f>enccfind</f>
        <v>9.45</v>
      </c>
      <c r="T124" s="260">
        <f>enccfind</f>
        <v>8.817</v>
      </c>
      <c r="U124" s="260">
        <f>enccfind</f>
        <v>9.7941</v>
      </c>
      <c r="V124" s="260">
        <f>enccfind</f>
        <v>9.7652</v>
      </c>
      <c r="W124" s="182">
        <f>enccfind</f>
        <v>9.769746</v>
      </c>
      <c r="X124" s="260">
        <f>enccfind</f>
        <v>9.7913</v>
      </c>
      <c r="Y124" s="260">
        <f>enccfind</f>
        <v>9.3616</v>
      </c>
      <c r="Z124" s="260">
        <f>enccfind</f>
        <v>9.9401</v>
      </c>
      <c r="AA124" s="260">
        <f>enccfind</f>
        <v>9.479139872</v>
      </c>
      <c r="AB124" s="182">
        <f>enccfind</f>
        <v>9.479139872</v>
      </c>
      <c r="AC124" s="182">
        <f>enccfind</f>
        <v>9.024695819</v>
      </c>
      <c r="AD124" s="182">
        <f>enccfind</f>
        <v>7.86268462</v>
      </c>
      <c r="AE124" s="182">
        <f>enccfind</f>
        <v>7.003428716</v>
      </c>
      <c r="AF124" s="182">
        <f>enccfind</f>
        <v>6.318878132</v>
      </c>
      <c r="AG124" s="182">
        <f>enccfind</f>
        <v>5.872047366</v>
      </c>
      <c r="AH124" s="182">
        <f>enccfind</f>
        <v>5.753445625</v>
      </c>
      <c r="AI124" s="125"/>
      <c r="AJ124" s="100"/>
      <c r="AK124" s="100"/>
      <c r="AL124" s="100"/>
      <c r="AM124" s="100"/>
      <c r="AN124" s="100"/>
      <c r="AO124" s="100"/>
    </row>
    <row r="125" ht="14.25" customHeight="1">
      <c r="A125" s="326"/>
      <c r="B125" s="100"/>
      <c r="C125" s="100"/>
      <c r="D125" s="100"/>
      <c r="E125" s="122" t="s">
        <v>3541</v>
      </c>
      <c r="F125" s="249" t="s">
        <v>135</v>
      </c>
      <c r="G125" s="249" t="s">
        <v>3542</v>
      </c>
      <c r="H125" s="260" t="str">
        <f>petcfind</f>
        <v/>
      </c>
      <c r="I125" s="260" t="str">
        <f>petcfind</f>
        <v/>
      </c>
      <c r="J125" s="260" t="str">
        <f>petcfind</f>
        <v/>
      </c>
      <c r="K125" s="260" t="str">
        <f>petcfind</f>
        <v/>
      </c>
      <c r="L125" s="260" t="str">
        <f>petcfind</f>
        <v/>
      </c>
      <c r="M125" s="260" t="str">
        <f>petcfind</f>
        <v/>
      </c>
      <c r="N125" s="260" t="str">
        <f>petcfind</f>
        <v/>
      </c>
      <c r="O125" s="260" t="str">
        <f>petcfind</f>
        <v/>
      </c>
      <c r="P125" s="260" t="str">
        <f>petcfind</f>
        <v/>
      </c>
      <c r="Q125" s="260" t="str">
        <f>petcfind</f>
        <v/>
      </c>
      <c r="R125" s="260">
        <f>petcfind</f>
        <v>20.9695</v>
      </c>
      <c r="S125" s="260">
        <f>petcfind</f>
        <v>18.0384</v>
      </c>
      <c r="T125" s="260">
        <f>petcfind</f>
        <v>19.0388</v>
      </c>
      <c r="U125" s="260">
        <f>petcfind</f>
        <v>20.4399</v>
      </c>
      <c r="V125" s="260">
        <f>petcfind</f>
        <v>20.9068</v>
      </c>
      <c r="W125" s="182">
        <f>petcfind</f>
        <v>19.539492</v>
      </c>
      <c r="X125" s="260">
        <f>petcfind</f>
        <v>19.7795</v>
      </c>
      <c r="Y125" s="260">
        <f>petcfind</f>
        <v>16.4273</v>
      </c>
      <c r="Z125" s="260">
        <f>petcfind</f>
        <v>17.1825</v>
      </c>
      <c r="AA125" s="260">
        <f>petcfind</f>
        <v>14.50751062</v>
      </c>
      <c r="AB125" s="182">
        <f>petcfind</f>
        <v>14.50751062</v>
      </c>
      <c r="AC125" s="182">
        <f>petcfind</f>
        <v>10.71672572</v>
      </c>
      <c r="AD125" s="182">
        <f>petcfind</f>
        <v>6.668325632</v>
      </c>
      <c r="AE125" s="182">
        <f>petcfind</f>
        <v>3.4810859</v>
      </c>
      <c r="AF125" s="182">
        <f>petcfind</f>
        <v>2.022041002</v>
      </c>
      <c r="AG125" s="182">
        <f>petcfind</f>
        <v>0</v>
      </c>
      <c r="AH125" s="182">
        <f>petcfind</f>
        <v>0</v>
      </c>
      <c r="AI125" s="125"/>
      <c r="AJ125" s="100"/>
      <c r="AK125" s="100"/>
      <c r="AL125" s="100"/>
      <c r="AM125" s="100"/>
      <c r="AN125" s="100"/>
      <c r="AO125" s="100"/>
    </row>
    <row r="126" ht="14.25" customHeight="1">
      <c r="A126" s="326"/>
      <c r="B126" s="100"/>
      <c r="C126" s="100"/>
      <c r="D126" s="100"/>
      <c r="E126" s="122" t="s">
        <v>3543</v>
      </c>
      <c r="F126" s="249" t="s">
        <v>135</v>
      </c>
      <c r="G126" s="249" t="s">
        <v>3544</v>
      </c>
      <c r="H126" s="260" t="str">
        <f>gazcfind</f>
        <v/>
      </c>
      <c r="I126" s="260" t="str">
        <f>gazcfind</f>
        <v/>
      </c>
      <c r="J126" s="260" t="str">
        <f>gazcfind</f>
        <v/>
      </c>
      <c r="K126" s="260" t="str">
        <f>gazcfind</f>
        <v/>
      </c>
      <c r="L126" s="260" t="str">
        <f>gazcfind</f>
        <v/>
      </c>
      <c r="M126" s="260" t="str">
        <f>gazcfind</f>
        <v/>
      </c>
      <c r="N126" s="260" t="str">
        <f>gazcfind</f>
        <v/>
      </c>
      <c r="O126" s="260" t="str">
        <f>gazcfind</f>
        <v/>
      </c>
      <c r="P126" s="260" t="str">
        <f>gazcfind</f>
        <v/>
      </c>
      <c r="Q126" s="260" t="str">
        <f>gazcfind</f>
        <v/>
      </c>
      <c r="R126" s="260">
        <f>gazcfind</f>
        <v>48.8281</v>
      </c>
      <c r="S126" s="260">
        <f>gazcfind</f>
        <v>47.76</v>
      </c>
      <c r="T126" s="260">
        <f>gazcfind</f>
        <v>47.6908</v>
      </c>
      <c r="U126" s="260">
        <f>gazcfind</f>
        <v>48.599</v>
      </c>
      <c r="V126" s="260">
        <f>gazcfind</f>
        <v>46.5285</v>
      </c>
      <c r="W126" s="182">
        <f>gazcfind</f>
        <v>47.453052</v>
      </c>
      <c r="X126" s="260">
        <f>gazcfind</f>
        <v>47.9422</v>
      </c>
      <c r="Y126" s="260">
        <f>gazcfind</f>
        <v>50.5125</v>
      </c>
      <c r="Z126" s="260">
        <f>gazcfind</f>
        <v>50.7389</v>
      </c>
      <c r="AA126" s="260">
        <f>gazcfind</f>
        <v>49.90785801</v>
      </c>
      <c r="AB126" s="182">
        <f>gazcfind</f>
        <v>49.90785801</v>
      </c>
      <c r="AC126" s="182">
        <f>gazcfind</f>
        <v>42.0675824</v>
      </c>
      <c r="AD126" s="182">
        <f>gazcfind</f>
        <v>31.95445088</v>
      </c>
      <c r="AE126" s="182">
        <f>gazcfind</f>
        <v>15.06080315</v>
      </c>
      <c r="AF126" s="182">
        <f>gazcfind</f>
        <v>11.73505939</v>
      </c>
      <c r="AG126" s="182">
        <f>gazcfind</f>
        <v>7.549775185</v>
      </c>
      <c r="AH126" s="182">
        <f>gazcfind</f>
        <v>7.397287232</v>
      </c>
      <c r="AI126" s="125"/>
      <c r="AJ126" s="100"/>
      <c r="AK126" s="100"/>
      <c r="AL126" s="100"/>
      <c r="AM126" s="100"/>
      <c r="AN126" s="100"/>
      <c r="AO126" s="100"/>
    </row>
    <row r="127" ht="14.25" customHeight="1">
      <c r="A127" s="326"/>
      <c r="B127" s="100"/>
      <c r="C127" s="100"/>
      <c r="D127" s="100"/>
      <c r="E127" s="122" t="s">
        <v>3545</v>
      </c>
      <c r="F127" s="249" t="s">
        <v>135</v>
      </c>
      <c r="G127" s="249" t="s">
        <v>3546</v>
      </c>
      <c r="H127" s="260" t="str">
        <f>elccfind</f>
        <v/>
      </c>
      <c r="I127" s="260" t="str">
        <f>elccfind</f>
        <v/>
      </c>
      <c r="J127" s="260" t="str">
        <f>elccfind</f>
        <v/>
      </c>
      <c r="K127" s="260" t="str">
        <f>elccfind</f>
        <v/>
      </c>
      <c r="L127" s="260" t="str">
        <f>elccfind</f>
        <v/>
      </c>
      <c r="M127" s="260" t="str">
        <f>elccfind</f>
        <v/>
      </c>
      <c r="N127" s="260" t="str">
        <f>elccfind</f>
        <v/>
      </c>
      <c r="O127" s="260" t="str">
        <f>elccfind</f>
        <v/>
      </c>
      <c r="P127" s="260" t="str">
        <f>elccfind</f>
        <v/>
      </c>
      <c r="Q127" s="260" t="str">
        <f>elccfind</f>
        <v/>
      </c>
      <c r="R127" s="260">
        <f>elccfind</f>
        <v>39.8417</v>
      </c>
      <c r="S127" s="260">
        <f>elccfind</f>
        <v>39.249</v>
      </c>
      <c r="T127" s="260">
        <f>elccfind</f>
        <v>38.2689</v>
      </c>
      <c r="U127" s="260">
        <f>elccfind</f>
        <v>37.7682</v>
      </c>
      <c r="V127" s="260">
        <f>elccfind</f>
        <v>37.9387</v>
      </c>
      <c r="W127" s="182">
        <f>elccfind</f>
        <v>37.683306</v>
      </c>
      <c r="X127" s="260">
        <f>elccfind</f>
        <v>38.3642</v>
      </c>
      <c r="Y127" s="260">
        <f>elccfind</f>
        <v>38.5847</v>
      </c>
      <c r="Z127" s="260">
        <f>elccfind</f>
        <v>39.1057</v>
      </c>
      <c r="AA127" s="260">
        <f>elccfind</f>
        <v>37.9001557</v>
      </c>
      <c r="AB127" s="182">
        <f>elccfind</f>
        <v>37.9001557</v>
      </c>
      <c r="AC127" s="182">
        <f>elccfind</f>
        <v>48.79912783</v>
      </c>
      <c r="AD127" s="182">
        <f>elccfind</f>
        <v>53.47859786</v>
      </c>
      <c r="AE127" s="182">
        <f>elccfind</f>
        <v>57.73431443</v>
      </c>
      <c r="AF127" s="182">
        <f>elccfind</f>
        <v>59.21691507</v>
      </c>
      <c r="AG127" s="182">
        <f>elccfind</f>
        <v>60.39820148</v>
      </c>
      <c r="AH127" s="182">
        <f>elccfind</f>
        <v>59.17829786</v>
      </c>
      <c r="AI127" s="125"/>
      <c r="AJ127" s="100"/>
      <c r="AK127" s="100"/>
      <c r="AL127" s="100"/>
      <c r="AM127" s="100"/>
      <c r="AN127" s="100"/>
      <c r="AO127" s="100"/>
    </row>
    <row r="128" ht="14.25" customHeight="1">
      <c r="A128" s="326"/>
      <c r="B128" s="100"/>
      <c r="C128" s="100"/>
      <c r="D128" s="100"/>
      <c r="E128" s="122" t="s">
        <v>3547</v>
      </c>
      <c r="F128" s="249" t="s">
        <v>135</v>
      </c>
      <c r="G128" s="249" t="s">
        <v>3548</v>
      </c>
      <c r="H128" s="260" t="str">
        <f>sthcfind</f>
        <v/>
      </c>
      <c r="I128" s="260" t="str">
        <f>sthcfind</f>
        <v/>
      </c>
      <c r="J128" s="260" t="str">
        <f>sthcfind</f>
        <v/>
      </c>
      <c r="K128" s="260" t="str">
        <f>sthcfind</f>
        <v/>
      </c>
      <c r="L128" s="260" t="str">
        <f>sthcfind</f>
        <v/>
      </c>
      <c r="M128" s="260" t="str">
        <f>sthcfind</f>
        <v/>
      </c>
      <c r="N128" s="260" t="str">
        <f>sthcfind</f>
        <v/>
      </c>
      <c r="O128" s="260" t="str">
        <f>sthcfind</f>
        <v/>
      </c>
      <c r="P128" s="260" t="str">
        <f>sthcfind</f>
        <v/>
      </c>
      <c r="Q128" s="260" t="str">
        <f>sthcfind</f>
        <v/>
      </c>
      <c r="R128" s="260" t="str">
        <f>sthcfind</f>
        <v/>
      </c>
      <c r="S128" s="260" t="str">
        <f>sthcfind</f>
        <v/>
      </c>
      <c r="T128" s="260" t="str">
        <f>sthcfind</f>
        <v/>
      </c>
      <c r="U128" s="260" t="str">
        <f>sthcfind</f>
        <v/>
      </c>
      <c r="V128" s="260" t="str">
        <f>sthcfind</f>
        <v/>
      </c>
      <c r="W128" s="182" t="str">
        <f>sthcfind</f>
        <v/>
      </c>
      <c r="X128" s="260" t="str">
        <f>sthcfind</f>
        <v/>
      </c>
      <c r="Y128" s="260" t="str">
        <f>sthcfind</f>
        <v/>
      </c>
      <c r="Z128" s="260" t="str">
        <f>sthcfind</f>
        <v/>
      </c>
      <c r="AA128" s="260" t="str">
        <f>sthcfind</f>
        <v/>
      </c>
      <c r="AB128" s="182" t="str">
        <f>sthcfind</f>
        <v/>
      </c>
      <c r="AC128" s="182" t="str">
        <f>sthcfind</f>
        <v/>
      </c>
      <c r="AD128" s="182" t="str">
        <f>sthcfind</f>
        <v/>
      </c>
      <c r="AE128" s="182" t="str">
        <f>sthcfind</f>
        <v/>
      </c>
      <c r="AF128" s="182" t="str">
        <f>sthcfind</f>
        <v/>
      </c>
      <c r="AG128" s="182" t="str">
        <f>sthcfind</f>
        <v/>
      </c>
      <c r="AH128" s="182" t="str">
        <f>sthcfind</f>
        <v/>
      </c>
      <c r="AI128" s="125"/>
      <c r="AJ128" s="100"/>
      <c r="AK128" s="100"/>
      <c r="AL128" s="100"/>
      <c r="AM128" s="100"/>
      <c r="AN128" s="100"/>
      <c r="AO128" s="100"/>
    </row>
    <row r="129" ht="14.25" customHeight="1">
      <c r="A129" s="326"/>
      <c r="B129" s="100"/>
      <c r="C129" s="100"/>
      <c r="D129" s="100"/>
      <c r="E129" s="122" t="s">
        <v>3549</v>
      </c>
      <c r="F129" s="249" t="s">
        <v>135</v>
      </c>
      <c r="G129" s="249" t="s">
        <v>3550</v>
      </c>
      <c r="H129" s="260" t="str">
        <f>vapcfind</f>
        <v/>
      </c>
      <c r="I129" s="260" t="str">
        <f>vapcfind</f>
        <v/>
      </c>
      <c r="J129" s="260" t="str">
        <f>vapcfind</f>
        <v/>
      </c>
      <c r="K129" s="260" t="str">
        <f>vapcfind</f>
        <v/>
      </c>
      <c r="L129" s="260" t="str">
        <f>vapcfind</f>
        <v/>
      </c>
      <c r="M129" s="260" t="str">
        <f>vapcfind</f>
        <v/>
      </c>
      <c r="N129" s="260" t="str">
        <f>vapcfind</f>
        <v/>
      </c>
      <c r="O129" s="260" t="str">
        <f>vapcfind</f>
        <v/>
      </c>
      <c r="P129" s="260" t="str">
        <f>vapcfind</f>
        <v/>
      </c>
      <c r="Q129" s="260" t="str">
        <f>vapcfind</f>
        <v/>
      </c>
      <c r="R129" s="260">
        <f>vapcfind</f>
        <v>6.3997</v>
      </c>
      <c r="S129" s="260">
        <f>vapcfind</f>
        <v>6.2014</v>
      </c>
      <c r="T129" s="260">
        <f>vapcfind</f>
        <v>6.3663</v>
      </c>
      <c r="U129" s="260">
        <f>vapcfind</f>
        <v>5.8362</v>
      </c>
      <c r="V129" s="260">
        <f>vapcfind</f>
        <v>5.2363</v>
      </c>
      <c r="W129" s="182">
        <f>vapcfind</f>
        <v>5.582712</v>
      </c>
      <c r="X129" s="260" t="str">
        <f>vapcfind</f>
        <v/>
      </c>
      <c r="Y129" s="260" t="str">
        <f>vapcfind</f>
        <v/>
      </c>
      <c r="Z129" s="260" t="str">
        <f>vapcfind</f>
        <v/>
      </c>
      <c r="AA129" s="260">
        <f>vapcfind</f>
        <v>5.274484871</v>
      </c>
      <c r="AB129" s="182">
        <f>vapcfind</f>
        <v>5.274484871</v>
      </c>
      <c r="AC129" s="182">
        <f>vapcfind</f>
        <v>4.763030794</v>
      </c>
      <c r="AD129" s="182">
        <f>vapcfind</f>
        <v>3.926811791</v>
      </c>
      <c r="AE129" s="182">
        <f>vapcfind</f>
        <v>3.292288704</v>
      </c>
      <c r="AF129" s="182">
        <f>vapcfind</f>
        <v>2.852522128</v>
      </c>
      <c r="AG129" s="182">
        <f>vapcfind</f>
        <v>2.516591728</v>
      </c>
      <c r="AH129" s="182">
        <f>vapcfind</f>
        <v>2.465762411</v>
      </c>
      <c r="AI129" s="125"/>
      <c r="AJ129" s="100"/>
      <c r="AK129" s="100"/>
      <c r="AL129" s="100"/>
      <c r="AM129" s="100"/>
      <c r="AN129" s="100"/>
      <c r="AO129" s="100"/>
    </row>
    <row r="130" ht="14.25" customHeight="1">
      <c r="A130" s="326"/>
      <c r="B130" s="100"/>
      <c r="C130" s="100"/>
      <c r="D130" s="100"/>
      <c r="E130" s="122" t="s">
        <v>3551</v>
      </c>
      <c r="F130" s="123" t="s">
        <v>135</v>
      </c>
      <c r="G130" s="123" t="s">
        <v>3552</v>
      </c>
      <c r="H130" s="260" t="str">
        <f>paccfind</f>
        <v/>
      </c>
      <c r="I130" s="260" t="str">
        <f>paccfind</f>
        <v/>
      </c>
      <c r="J130" s="260" t="str">
        <f>paccfind</f>
        <v/>
      </c>
      <c r="K130" s="260" t="str">
        <f>paccfind</f>
        <v/>
      </c>
      <c r="L130" s="260" t="str">
        <f>paccfind</f>
        <v/>
      </c>
      <c r="M130" s="260" t="str">
        <f>paccfind</f>
        <v/>
      </c>
      <c r="N130" s="260" t="str">
        <f>paccfind</f>
        <v/>
      </c>
      <c r="O130" s="260" t="str">
        <f>paccfind</f>
        <v/>
      </c>
      <c r="P130" s="260" t="str">
        <f>paccfind</f>
        <v/>
      </c>
      <c r="Q130" s="260" t="str">
        <f>paccfind</f>
        <v/>
      </c>
      <c r="R130" s="260" t="str">
        <f>paccfind</f>
        <v/>
      </c>
      <c r="S130" s="260" t="str">
        <f>paccfind</f>
        <v/>
      </c>
      <c r="T130" s="260" t="str">
        <f>paccfind</f>
        <v/>
      </c>
      <c r="U130" s="260" t="str">
        <f>paccfind</f>
        <v/>
      </c>
      <c r="V130" s="260" t="str">
        <f>paccfind</f>
        <v/>
      </c>
      <c r="W130" s="182" t="str">
        <f>paccfind</f>
        <v/>
      </c>
      <c r="X130" s="260" t="str">
        <f>paccfind</f>
        <v/>
      </c>
      <c r="Y130" s="260" t="str">
        <f>paccfind</f>
        <v/>
      </c>
      <c r="Z130" s="260" t="str">
        <f>paccfind</f>
        <v/>
      </c>
      <c r="AA130" s="260" t="str">
        <f>paccfind</f>
        <v/>
      </c>
      <c r="AB130" s="182" t="str">
        <f>paccfind</f>
        <v/>
      </c>
      <c r="AC130" s="182" t="str">
        <f>paccfind</f>
        <v/>
      </c>
      <c r="AD130" s="182" t="str">
        <f>paccfind</f>
        <v/>
      </c>
      <c r="AE130" s="182" t="str">
        <f>paccfind</f>
        <v/>
      </c>
      <c r="AF130" s="182" t="str">
        <f>paccfind</f>
        <v/>
      </c>
      <c r="AG130" s="182" t="str">
        <f>paccfind</f>
        <v/>
      </c>
      <c r="AH130" s="182" t="str">
        <f>paccfind</f>
        <v/>
      </c>
      <c r="AI130" s="125"/>
      <c r="AJ130" s="100"/>
      <c r="AK130" s="100"/>
      <c r="AL130" s="100"/>
      <c r="AM130" s="100"/>
      <c r="AN130" s="100"/>
      <c r="AO130" s="100"/>
    </row>
    <row r="131" ht="14.25" customHeight="1">
      <c r="A131" s="326"/>
      <c r="B131" s="100"/>
      <c r="C131" s="100"/>
      <c r="D131" s="100"/>
      <c r="E131" s="122" t="s">
        <v>3553</v>
      </c>
      <c r="F131" s="123" t="s">
        <v>135</v>
      </c>
      <c r="G131" s="123" t="s">
        <v>3554</v>
      </c>
      <c r="H131" s="260" t="str">
        <f>hydcfind</f>
        <v/>
      </c>
      <c r="I131" s="260" t="str">
        <f>hydcfind</f>
        <v/>
      </c>
      <c r="J131" s="260" t="str">
        <f>hydcfind</f>
        <v/>
      </c>
      <c r="K131" s="260" t="str">
        <f>hydcfind</f>
        <v/>
      </c>
      <c r="L131" s="260" t="str">
        <f>hydcfind</f>
        <v/>
      </c>
      <c r="M131" s="260" t="str">
        <f>hydcfind</f>
        <v/>
      </c>
      <c r="N131" s="260" t="str">
        <f>hydcfind</f>
        <v/>
      </c>
      <c r="O131" s="260" t="str">
        <f>hydcfind</f>
        <v/>
      </c>
      <c r="P131" s="260" t="str">
        <f>hydcfind</f>
        <v/>
      </c>
      <c r="Q131" s="260" t="str">
        <f>hydcfind</f>
        <v/>
      </c>
      <c r="R131" s="260" t="str">
        <f>hydcfind</f>
        <v/>
      </c>
      <c r="S131" s="260" t="str">
        <f>hydcfind</f>
        <v/>
      </c>
      <c r="T131" s="260" t="str">
        <f>hydcfind</f>
        <v/>
      </c>
      <c r="U131" s="260" t="str">
        <f>hydcfind</f>
        <v/>
      </c>
      <c r="V131" s="260" t="str">
        <f>hydcfind</f>
        <v/>
      </c>
      <c r="W131" s="182">
        <f>hydcfind</f>
        <v>0</v>
      </c>
      <c r="X131" s="260" t="str">
        <f>hydcfind</f>
        <v/>
      </c>
      <c r="Y131" s="260" t="str">
        <f>hydcfind</f>
        <v/>
      </c>
      <c r="Z131" s="260" t="str">
        <f>hydcfind</f>
        <v/>
      </c>
      <c r="AA131" s="260">
        <f>hydcfind</f>
        <v>0</v>
      </c>
      <c r="AB131" s="182">
        <f>hydcfind</f>
        <v>0</v>
      </c>
      <c r="AC131" s="182">
        <f>hydcfind</f>
        <v>0</v>
      </c>
      <c r="AD131" s="182">
        <f>hydcfind</f>
        <v>0</v>
      </c>
      <c r="AE131" s="182">
        <f>hydcfind</f>
        <v>9.074654716</v>
      </c>
      <c r="AF131" s="182">
        <f>hydcfind</f>
        <v>8.124271884</v>
      </c>
      <c r="AG131" s="182">
        <f>hydcfind</f>
        <v>7.549775185</v>
      </c>
      <c r="AH131" s="182">
        <f>hydcfind</f>
        <v>7.397287232</v>
      </c>
      <c r="AI131" s="125"/>
      <c r="AJ131" s="100"/>
      <c r="AK131" s="100"/>
      <c r="AL131" s="100"/>
      <c r="AM131" s="100"/>
      <c r="AN131" s="100"/>
      <c r="AO131" s="100"/>
    </row>
    <row r="132" ht="14.25" customHeight="1">
      <c r="A132" s="924" t="s">
        <v>2210</v>
      </c>
      <c r="B132" s="195"/>
      <c r="C132" s="100"/>
      <c r="D132" s="100"/>
      <c r="E132" s="162"/>
      <c r="F132" s="162"/>
      <c r="G132" s="162"/>
      <c r="H132" s="178"/>
      <c r="I132" s="178"/>
      <c r="J132" s="178"/>
      <c r="K132" s="178"/>
      <c r="L132" s="178"/>
      <c r="M132" s="178"/>
      <c r="N132" s="178"/>
      <c r="O132" s="178"/>
      <c r="P132" s="178"/>
      <c r="Q132" s="178"/>
      <c r="R132" s="178"/>
      <c r="S132" s="178"/>
      <c r="T132" s="178"/>
      <c r="U132" s="178"/>
      <c r="V132" s="178"/>
      <c r="W132" s="178"/>
      <c r="X132" s="178"/>
      <c r="Y132" s="178"/>
      <c r="Z132" s="178"/>
      <c r="AA132" s="178"/>
      <c r="AB132" s="178"/>
      <c r="AC132" s="178"/>
      <c r="AD132" s="178"/>
      <c r="AE132" s="178"/>
      <c r="AF132" s="178"/>
      <c r="AG132" s="178"/>
      <c r="AH132" s="178"/>
      <c r="AI132" s="271"/>
      <c r="AJ132" s="271"/>
      <c r="AK132" s="271"/>
      <c r="AL132" s="271"/>
      <c r="AM132" s="100"/>
      <c r="AN132" s="195"/>
      <c r="AO132" s="195"/>
    </row>
    <row r="133" ht="14.25" customHeight="1">
      <c r="A133" s="326"/>
      <c r="B133" s="100"/>
      <c r="C133" s="100"/>
      <c r="D133" s="100"/>
      <c r="E133" s="270" t="s">
        <v>2214</v>
      </c>
      <c r="F133" s="249" t="s">
        <v>135</v>
      </c>
      <c r="G133" s="249" t="s">
        <v>3555</v>
      </c>
      <c r="H133" s="260" t="str">
        <f>cmscfneind</f>
        <v/>
      </c>
      <c r="I133" s="260" t="str">
        <f>cmscfneind</f>
        <v/>
      </c>
      <c r="J133" s="260" t="str">
        <f>cmscfneind</f>
        <v/>
      </c>
      <c r="K133" s="260" t="str">
        <f>cmscfneind</f>
        <v/>
      </c>
      <c r="L133" s="260" t="str">
        <f>cmscfneind</f>
        <v/>
      </c>
      <c r="M133" s="260" t="str">
        <f>cmscfneind</f>
        <v/>
      </c>
      <c r="N133" s="260" t="str">
        <f>cmscfneind</f>
        <v/>
      </c>
      <c r="O133" s="260" t="str">
        <f>cmscfneind</f>
        <v/>
      </c>
      <c r="P133" s="260" t="str">
        <f>cmscfneind</f>
        <v/>
      </c>
      <c r="Q133" s="260" t="str">
        <f>cmscfneind</f>
        <v/>
      </c>
      <c r="R133" s="260" t="str">
        <f>cmscfneind</f>
        <v/>
      </c>
      <c r="S133" s="260" t="str">
        <f>cmscfneind</f>
        <v/>
      </c>
      <c r="T133" s="260" t="str">
        <f>cmscfneind</f>
        <v/>
      </c>
      <c r="U133" s="260" t="str">
        <f>cmscfneind</f>
        <v/>
      </c>
      <c r="V133" s="260" t="str">
        <f>cmscfneind</f>
        <v/>
      </c>
      <c r="W133" s="182">
        <f>cmscfneind</f>
        <v>4.289628</v>
      </c>
      <c r="X133" s="260" t="str">
        <f>cmscfneind</f>
        <v/>
      </c>
      <c r="Y133" s="260" t="str">
        <f>cmscfneind</f>
        <v/>
      </c>
      <c r="Z133" s="260" t="str">
        <f>cmscfneind</f>
        <v/>
      </c>
      <c r="AA133" s="260">
        <f>cmscfneind</f>
        <v>5.0530016</v>
      </c>
      <c r="AB133" s="182">
        <f>cmscfneind</f>
        <v>5.0530016</v>
      </c>
      <c r="AC133" s="182">
        <f>cmscfneind</f>
        <v>4.984318517</v>
      </c>
      <c r="AD133" s="182">
        <f>cmscfneind</f>
        <v>4.915635435</v>
      </c>
      <c r="AE133" s="182">
        <f>cmscfneind</f>
        <v>0</v>
      </c>
      <c r="AF133" s="182">
        <f>cmscfneind</f>
        <v>0</v>
      </c>
      <c r="AG133" s="182">
        <f>cmscfneind</f>
        <v>0</v>
      </c>
      <c r="AH133" s="182">
        <f>cmscfneind</f>
        <v>0</v>
      </c>
      <c r="AI133" s="125"/>
      <c r="AJ133" s="100"/>
      <c r="AK133" s="100"/>
      <c r="AL133" s="100"/>
      <c r="AM133" s="100"/>
      <c r="AN133" s="100"/>
      <c r="AO133" s="100"/>
    </row>
    <row r="134" ht="14.25" customHeight="1">
      <c r="A134" s="326"/>
      <c r="B134" s="100"/>
      <c r="C134" s="100"/>
      <c r="D134" s="100"/>
      <c r="E134" s="270" t="s">
        <v>2218</v>
      </c>
      <c r="F134" s="249" t="s">
        <v>135</v>
      </c>
      <c r="G134" s="249" t="s">
        <v>3556</v>
      </c>
      <c r="H134" s="260" t="str">
        <f>gazcfneind</f>
        <v/>
      </c>
      <c r="I134" s="260" t="str">
        <f>gazcfneind</f>
        <v/>
      </c>
      <c r="J134" s="260" t="str">
        <f>gazcfneind</f>
        <v/>
      </c>
      <c r="K134" s="260" t="str">
        <f>gazcfneind</f>
        <v/>
      </c>
      <c r="L134" s="260" t="str">
        <f>gazcfneind</f>
        <v/>
      </c>
      <c r="M134" s="260" t="str">
        <f>gazcfneind</f>
        <v/>
      </c>
      <c r="N134" s="260" t="str">
        <f>gazcfneind</f>
        <v/>
      </c>
      <c r="O134" s="260" t="str">
        <f>gazcfneind</f>
        <v/>
      </c>
      <c r="P134" s="260" t="str">
        <f>gazcfneind</f>
        <v/>
      </c>
      <c r="Q134" s="260" t="str">
        <f>gazcfneind</f>
        <v/>
      </c>
      <c r="R134" s="260" t="str">
        <f>gazcfneind</f>
        <v/>
      </c>
      <c r="S134" s="260" t="str">
        <f>gazcfneind</f>
        <v/>
      </c>
      <c r="T134" s="260" t="str">
        <f>gazcfneind</f>
        <v/>
      </c>
      <c r="U134" s="260" t="str">
        <f>gazcfneind</f>
        <v/>
      </c>
      <c r="V134" s="260" t="str">
        <f>gazcfneind</f>
        <v/>
      </c>
      <c r="W134" s="182">
        <f>gazcfneind</f>
        <v>6.815544</v>
      </c>
      <c r="X134" s="260" t="str">
        <f>gazcfneind</f>
        <v/>
      </c>
      <c r="Y134" s="260" t="str">
        <f>gazcfneind</f>
        <v/>
      </c>
      <c r="Z134" s="260" t="str">
        <f>gazcfneind</f>
        <v/>
      </c>
      <c r="AA134" s="260">
        <f>gazcfneind</f>
        <v>6.815544</v>
      </c>
      <c r="AB134" s="182">
        <f>gazcfneind</f>
        <v>6.815544</v>
      </c>
      <c r="AC134" s="182">
        <f>gazcfneind</f>
        <v>6.67923312</v>
      </c>
      <c r="AD134" s="182">
        <f>gazcfneind</f>
        <v>6.54292224</v>
      </c>
      <c r="AE134" s="182">
        <f>gazcfneind</f>
        <v>4.956924467</v>
      </c>
      <c r="AF134" s="182">
        <f>gazcfneind</f>
        <v>3.370926695</v>
      </c>
      <c r="AG134" s="182">
        <f>gazcfneind</f>
        <v>2.205434147</v>
      </c>
      <c r="AH134" s="182">
        <f>gazcfneind</f>
        <v>1.0399416</v>
      </c>
      <c r="AI134" s="125"/>
      <c r="AJ134" s="100"/>
      <c r="AK134" s="100"/>
      <c r="AL134" s="100"/>
      <c r="AM134" s="100"/>
      <c r="AN134" s="100"/>
      <c r="AO134" s="100"/>
    </row>
    <row r="135" ht="14.25" customHeight="1">
      <c r="A135" s="326"/>
      <c r="B135" s="100"/>
      <c r="C135" s="100"/>
      <c r="D135" s="100"/>
      <c r="E135" s="122" t="s">
        <v>2220</v>
      </c>
      <c r="F135" s="123" t="s">
        <v>135</v>
      </c>
      <c r="G135" s="123" t="s">
        <v>3557</v>
      </c>
      <c r="H135" s="260" t="str">
        <f>petcfneind</f>
        <v/>
      </c>
      <c r="I135" s="260" t="str">
        <f>petcfneind</f>
        <v/>
      </c>
      <c r="J135" s="260" t="str">
        <f>petcfneind</f>
        <v/>
      </c>
      <c r="K135" s="260" t="str">
        <f>petcfneind</f>
        <v/>
      </c>
      <c r="L135" s="260" t="str">
        <f>petcfneind</f>
        <v/>
      </c>
      <c r="M135" s="260" t="str">
        <f>petcfneind</f>
        <v/>
      </c>
      <c r="N135" s="260" t="str">
        <f>petcfneind</f>
        <v/>
      </c>
      <c r="O135" s="260" t="str">
        <f>petcfneind</f>
        <v/>
      </c>
      <c r="P135" s="260" t="str">
        <f>petcfneind</f>
        <v/>
      </c>
      <c r="Q135" s="260" t="str">
        <f>petcfneind</f>
        <v/>
      </c>
      <c r="R135" s="260" t="str">
        <f>petcfneind</f>
        <v/>
      </c>
      <c r="S135" s="260" t="str">
        <f>petcfneind</f>
        <v/>
      </c>
      <c r="T135" s="260" t="str">
        <f>petcfneind</f>
        <v/>
      </c>
      <c r="U135" s="260" t="str">
        <f>petcfneind</f>
        <v/>
      </c>
      <c r="V135" s="260" t="str">
        <f>petcfneind</f>
        <v/>
      </c>
      <c r="W135" s="182">
        <f>petcfneind</f>
        <v>39.609176</v>
      </c>
      <c r="X135" s="260" t="str">
        <f>petcfneind</f>
        <v/>
      </c>
      <c r="Y135" s="260" t="str">
        <f>petcfneind</f>
        <v/>
      </c>
      <c r="Z135" s="260" t="str">
        <f>petcfneind</f>
        <v/>
      </c>
      <c r="AA135" s="260">
        <f>petcfneind</f>
        <v>39.609176</v>
      </c>
      <c r="AB135" s="182">
        <f>petcfneind</f>
        <v>39.609176</v>
      </c>
      <c r="AC135" s="182">
        <f>petcfneind</f>
        <v>38.81699248</v>
      </c>
      <c r="AD135" s="182">
        <f>petcfneind</f>
        <v>38.02480896</v>
      </c>
      <c r="AE135" s="182">
        <f>petcfneind</f>
        <v>29.08192507</v>
      </c>
      <c r="AF135" s="182">
        <f>petcfneind</f>
        <v>20.13904119</v>
      </c>
      <c r="AG135" s="182">
        <f>petcfneind</f>
        <v>13.69198383</v>
      </c>
      <c r="AH135" s="182">
        <f>petcfneind</f>
        <v>7.24492648</v>
      </c>
      <c r="AI135" s="125"/>
      <c r="AJ135" s="100"/>
      <c r="AK135" s="100"/>
      <c r="AL135" s="100"/>
      <c r="AM135" s="100"/>
      <c r="AN135" s="100"/>
      <c r="AO135" s="100"/>
    </row>
    <row r="136" ht="14.25" customHeight="1">
      <c r="A136" s="326"/>
      <c r="B136" s="100"/>
      <c r="C136" s="100"/>
      <c r="D136" s="100"/>
      <c r="E136" s="122" t="s">
        <v>2222</v>
      </c>
      <c r="F136" s="123" t="s">
        <v>135</v>
      </c>
      <c r="G136" s="123" t="s">
        <v>3558</v>
      </c>
      <c r="H136" s="260" t="str">
        <f>hydcfneind</f>
        <v/>
      </c>
      <c r="I136" s="260" t="str">
        <f>hydcfneind</f>
        <v/>
      </c>
      <c r="J136" s="260" t="str">
        <f>hydcfneind</f>
        <v/>
      </c>
      <c r="K136" s="260" t="str">
        <f>hydcfneind</f>
        <v/>
      </c>
      <c r="L136" s="260" t="str">
        <f>hydcfneind</f>
        <v/>
      </c>
      <c r="M136" s="260" t="str">
        <f>hydcfneind</f>
        <v/>
      </c>
      <c r="N136" s="260" t="str">
        <f>hydcfneind</f>
        <v/>
      </c>
      <c r="O136" s="260" t="str">
        <f>hydcfneind</f>
        <v/>
      </c>
      <c r="P136" s="260" t="str">
        <f>hydcfneind</f>
        <v/>
      </c>
      <c r="Q136" s="260" t="str">
        <f>hydcfneind</f>
        <v/>
      </c>
      <c r="R136" s="260" t="str">
        <f>hydcfneind</f>
        <v/>
      </c>
      <c r="S136" s="260" t="str">
        <f>hydcfneind</f>
        <v/>
      </c>
      <c r="T136" s="260" t="str">
        <f>hydcfneind</f>
        <v/>
      </c>
      <c r="U136" s="260" t="str">
        <f>hydcfneind</f>
        <v/>
      </c>
      <c r="V136" s="260" t="str">
        <f>hydcfneind</f>
        <v/>
      </c>
      <c r="W136" s="182">
        <f>hydcfneind</f>
        <v>0</v>
      </c>
      <c r="X136" s="260" t="str">
        <f>hydcfneind</f>
        <v/>
      </c>
      <c r="Y136" s="260" t="str">
        <f>hydcfneind</f>
        <v/>
      </c>
      <c r="Z136" s="260" t="str">
        <f>hydcfneind</f>
        <v/>
      </c>
      <c r="AA136" s="260">
        <f>hydcfneind</f>
        <v>0</v>
      </c>
      <c r="AB136" s="182">
        <f>hydcfneind</f>
        <v>0</v>
      </c>
      <c r="AC136" s="182">
        <f>hydcfneind</f>
        <v>0</v>
      </c>
      <c r="AD136" s="182">
        <f>hydcfneind</f>
        <v>0</v>
      </c>
      <c r="AE136" s="182">
        <f>hydcfneind</f>
        <v>8.761427263</v>
      </c>
      <c r="AF136" s="182">
        <f>hydcfneind</f>
        <v>17.52285453</v>
      </c>
      <c r="AG136" s="182">
        <f>hydcfneind</f>
        <v>23.23394786</v>
      </c>
      <c r="AH136" s="182">
        <f>hydcfneind</f>
        <v>28.9450412</v>
      </c>
      <c r="AI136" s="125"/>
      <c r="AJ136" s="100"/>
      <c r="AK136" s="100"/>
      <c r="AL136" s="100"/>
      <c r="AM136" s="100"/>
      <c r="AN136" s="100"/>
      <c r="AO136" s="100"/>
    </row>
    <row r="137" ht="14.25" customHeight="1">
      <c r="A137" s="326"/>
      <c r="B137" s="100"/>
      <c r="C137" s="100"/>
      <c r="D137" s="100"/>
      <c r="E137" s="122" t="s">
        <v>2216</v>
      </c>
      <c r="F137" s="123" t="s">
        <v>135</v>
      </c>
      <c r="G137" s="123" t="s">
        <v>3559</v>
      </c>
      <c r="H137" s="260" t="str">
        <f>enccfneind</f>
        <v/>
      </c>
      <c r="I137" s="260" t="str">
        <f>enccfneind</f>
        <v/>
      </c>
      <c r="J137" s="260" t="str">
        <f>enccfneind</f>
        <v/>
      </c>
      <c r="K137" s="260" t="str">
        <f>enccfneind</f>
        <v/>
      </c>
      <c r="L137" s="260" t="str">
        <f>enccfneind</f>
        <v/>
      </c>
      <c r="M137" s="260" t="str">
        <f>enccfneind</f>
        <v/>
      </c>
      <c r="N137" s="260" t="str">
        <f>enccfneind</f>
        <v/>
      </c>
      <c r="O137" s="260" t="str">
        <f>enccfneind</f>
        <v/>
      </c>
      <c r="P137" s="260" t="str">
        <f>enccfneind</f>
        <v/>
      </c>
      <c r="Q137" s="260" t="str">
        <f>enccfneind</f>
        <v/>
      </c>
      <c r="R137" s="260" t="str">
        <f>enccfneind</f>
        <v/>
      </c>
      <c r="S137" s="260" t="str">
        <f>enccfneind</f>
        <v/>
      </c>
      <c r="T137" s="260" t="str">
        <f>enccfneind</f>
        <v/>
      </c>
      <c r="U137" s="260" t="str">
        <f>enccfneind</f>
        <v/>
      </c>
      <c r="V137" s="260" t="str">
        <f>enccfneind</f>
        <v/>
      </c>
      <c r="W137" s="182">
        <f>enccfneind</f>
        <v>0</v>
      </c>
      <c r="X137" s="260" t="str">
        <f>enccfneind</f>
        <v/>
      </c>
      <c r="Y137" s="260" t="str">
        <f>enccfneind</f>
        <v/>
      </c>
      <c r="Z137" s="260" t="str">
        <f>enccfneind</f>
        <v/>
      </c>
      <c r="AA137" s="260">
        <f>enccfneind</f>
        <v>0</v>
      </c>
      <c r="AB137" s="182">
        <f>enccfneind</f>
        <v>0</v>
      </c>
      <c r="AC137" s="182">
        <f>enccfneind</f>
        <v>0</v>
      </c>
      <c r="AD137" s="182">
        <f>enccfneind</f>
        <v>0</v>
      </c>
      <c r="AE137" s="182">
        <f>enccfneind</f>
        <v>0</v>
      </c>
      <c r="AF137" s="182">
        <f>enccfneind</f>
        <v>0</v>
      </c>
      <c r="AG137" s="182">
        <f>enccfneind</f>
        <v>0</v>
      </c>
      <c r="AH137" s="182">
        <f>enccfneind</f>
        <v>0</v>
      </c>
      <c r="AI137" s="125"/>
      <c r="AJ137" s="100"/>
      <c r="AK137" s="100"/>
      <c r="AL137" s="100"/>
      <c r="AM137" s="100"/>
      <c r="AN137" s="100"/>
      <c r="AO137" s="100"/>
    </row>
    <row r="138" ht="14.25" customHeight="1">
      <c r="A138" s="924" t="s">
        <v>2288</v>
      </c>
      <c r="B138" s="195"/>
      <c r="C138" s="100"/>
      <c r="D138" s="100"/>
      <c r="E138" s="162"/>
      <c r="F138" s="162"/>
      <c r="G138" s="162"/>
      <c r="H138" s="178"/>
      <c r="I138" s="178"/>
      <c r="J138" s="178"/>
      <c r="K138" s="178"/>
      <c r="L138" s="178"/>
      <c r="M138" s="178"/>
      <c r="N138" s="178"/>
      <c r="O138" s="178"/>
      <c r="P138" s="178"/>
      <c r="Q138" s="178"/>
      <c r="R138" s="178"/>
      <c r="S138" s="178"/>
      <c r="T138" s="178"/>
      <c r="U138" s="178"/>
      <c r="V138" s="178"/>
      <c r="W138" s="178"/>
      <c r="X138" s="178"/>
      <c r="Y138" s="178"/>
      <c r="Z138" s="178"/>
      <c r="AA138" s="178"/>
      <c r="AB138" s="178"/>
      <c r="AC138" s="178"/>
      <c r="AD138" s="178"/>
      <c r="AE138" s="178"/>
      <c r="AF138" s="178"/>
      <c r="AG138" s="178"/>
      <c r="AH138" s="178"/>
      <c r="AI138" s="271"/>
      <c r="AJ138" s="271"/>
      <c r="AK138" s="271"/>
      <c r="AL138" s="271"/>
      <c r="AM138" s="100"/>
      <c r="AN138" s="195"/>
      <c r="AO138" s="195"/>
    </row>
    <row r="139" ht="14.25" customHeight="1">
      <c r="A139" s="326"/>
      <c r="B139" s="100"/>
      <c r="C139" s="100"/>
      <c r="D139" s="100"/>
      <c r="E139" s="270" t="s">
        <v>2251</v>
      </c>
      <c r="F139" s="249" t="s">
        <v>135</v>
      </c>
      <c r="G139" s="249" t="s">
        <v>2252</v>
      </c>
      <c r="H139" s="260" t="str">
        <f t="array" ref="H139:AH139">cmscfens</f>
        <v/>
      </c>
      <c r="I139" s="181"/>
      <c r="J139" s="181"/>
      <c r="K139" s="181"/>
      <c r="L139" s="181"/>
      <c r="M139" s="181"/>
      <c r="N139" s="181"/>
      <c r="O139" s="181"/>
      <c r="P139" s="181"/>
      <c r="Q139" s="181"/>
      <c r="R139" s="181"/>
      <c r="S139" s="181"/>
      <c r="T139" s="181"/>
      <c r="U139" s="181"/>
      <c r="V139" s="181"/>
      <c r="W139" s="202"/>
      <c r="X139" s="181"/>
      <c r="Y139" s="181"/>
      <c r="Z139" s="181"/>
      <c r="AA139" s="181"/>
      <c r="AB139" s="202"/>
      <c r="AC139" s="202"/>
      <c r="AD139" s="202"/>
      <c r="AE139" s="202"/>
      <c r="AF139" s="202"/>
      <c r="AG139" s="202"/>
      <c r="AH139" s="202"/>
      <c r="AI139" s="125"/>
      <c r="AJ139" s="100"/>
      <c r="AK139" s="100"/>
      <c r="AL139" s="100"/>
      <c r="AM139" s="100"/>
      <c r="AN139" s="100"/>
      <c r="AO139" s="100"/>
    </row>
    <row r="140" ht="14.25" customHeight="1">
      <c r="A140" s="326"/>
      <c r="B140" s="100"/>
      <c r="C140" s="100"/>
      <c r="D140" s="100"/>
      <c r="E140" s="270" t="s">
        <v>2253</v>
      </c>
      <c r="F140" s="249" t="s">
        <v>135</v>
      </c>
      <c r="G140" s="249" t="s">
        <v>2254</v>
      </c>
      <c r="H140" s="260" t="str">
        <f t="array" ref="H140:AH140">enccfens</f>
        <v/>
      </c>
      <c r="I140" s="181"/>
      <c r="J140" s="181"/>
      <c r="K140" s="181"/>
      <c r="L140" s="181"/>
      <c r="M140" s="181"/>
      <c r="N140" s="181"/>
      <c r="O140" s="181"/>
      <c r="P140" s="181"/>
      <c r="Q140" s="181"/>
      <c r="R140" s="181"/>
      <c r="S140" s="181"/>
      <c r="T140" s="181"/>
      <c r="U140" s="181"/>
      <c r="V140" s="181"/>
      <c r="W140" s="202"/>
      <c r="X140" s="181"/>
      <c r="Y140" s="181"/>
      <c r="Z140" s="181"/>
      <c r="AA140" s="181"/>
      <c r="AB140" s="202"/>
      <c r="AC140" s="202"/>
      <c r="AD140" s="202"/>
      <c r="AE140" s="202"/>
      <c r="AF140" s="202"/>
      <c r="AG140" s="202"/>
      <c r="AH140" s="202"/>
      <c r="AI140" s="125"/>
      <c r="AJ140" s="100"/>
      <c r="AK140" s="100"/>
      <c r="AL140" s="100"/>
      <c r="AM140" s="100"/>
      <c r="AN140" s="100"/>
      <c r="AO140" s="100"/>
    </row>
    <row r="141" ht="14.25" customHeight="1">
      <c r="A141" s="326"/>
      <c r="B141" s="100"/>
      <c r="C141" s="100"/>
      <c r="D141" s="100"/>
      <c r="E141" s="270" t="s">
        <v>2255</v>
      </c>
      <c r="F141" s="249" t="s">
        <v>135</v>
      </c>
      <c r="G141" s="249" t="s">
        <v>2256</v>
      </c>
      <c r="H141" s="260" t="str">
        <f t="array" ref="H141:AH141">petcfens</f>
        <v/>
      </c>
      <c r="I141" s="181"/>
      <c r="J141" s="181"/>
      <c r="K141" s="181"/>
      <c r="L141" s="181"/>
      <c r="M141" s="181"/>
      <c r="N141" s="181"/>
      <c r="O141" s="181"/>
      <c r="P141" s="181"/>
      <c r="Q141" s="181"/>
      <c r="R141" s="181"/>
      <c r="S141" s="181"/>
      <c r="T141" s="181"/>
      <c r="U141" s="181"/>
      <c r="V141" s="181"/>
      <c r="W141" s="202"/>
      <c r="X141" s="181"/>
      <c r="Y141" s="181"/>
      <c r="Z141" s="181"/>
      <c r="AA141" s="181"/>
      <c r="AB141" s="202"/>
      <c r="AC141" s="202"/>
      <c r="AD141" s="202"/>
      <c r="AE141" s="202"/>
      <c r="AF141" s="202"/>
      <c r="AG141" s="202"/>
      <c r="AH141" s="202"/>
      <c r="AI141" s="125"/>
      <c r="AJ141" s="100"/>
      <c r="AK141" s="100"/>
      <c r="AL141" s="100"/>
      <c r="AM141" s="100"/>
      <c r="AN141" s="100"/>
      <c r="AO141" s="100"/>
    </row>
    <row r="142" ht="14.25" customHeight="1">
      <c r="A142" s="326"/>
      <c r="B142" s="100"/>
      <c r="C142" s="100"/>
      <c r="D142" s="100"/>
      <c r="E142" s="248" t="s">
        <v>2257</v>
      </c>
      <c r="F142" s="249" t="s">
        <v>135</v>
      </c>
      <c r="G142" s="249" t="s">
        <v>2258</v>
      </c>
      <c r="H142" s="260" t="str">
        <f t="array" ref="H142:AH142">gazcfens</f>
        <v/>
      </c>
      <c r="I142" s="181"/>
      <c r="J142" s="181"/>
      <c r="K142" s="181"/>
      <c r="L142" s="181"/>
      <c r="M142" s="181"/>
      <c r="N142" s="181"/>
      <c r="O142" s="181"/>
      <c r="P142" s="181"/>
      <c r="Q142" s="181"/>
      <c r="R142" s="181"/>
      <c r="S142" s="181"/>
      <c r="T142" s="181"/>
      <c r="U142" s="181"/>
      <c r="V142" s="181"/>
      <c r="W142" s="202"/>
      <c r="X142" s="181"/>
      <c r="Y142" s="181"/>
      <c r="Z142" s="181"/>
      <c r="AA142" s="181"/>
      <c r="AB142" s="202"/>
      <c r="AC142" s="202"/>
      <c r="AD142" s="202"/>
      <c r="AE142" s="202"/>
      <c r="AF142" s="202"/>
      <c r="AG142" s="202"/>
      <c r="AH142" s="202"/>
      <c r="AI142" s="125"/>
      <c r="AJ142" s="100"/>
      <c r="AK142" s="100"/>
      <c r="AL142" s="100"/>
      <c r="AM142" s="100"/>
      <c r="AN142" s="100"/>
      <c r="AO142" s="100"/>
    </row>
    <row r="143" ht="14.25" customHeight="1">
      <c r="A143" s="326"/>
      <c r="B143" s="100"/>
      <c r="C143" s="100"/>
      <c r="D143" s="100"/>
      <c r="E143" s="270" t="s">
        <v>2259</v>
      </c>
      <c r="F143" s="249" t="s">
        <v>135</v>
      </c>
      <c r="G143" s="249" t="s">
        <v>2260</v>
      </c>
      <c r="H143" s="260" t="str">
        <f t="array" ref="H143:AH143">elccfens</f>
        <v/>
      </c>
      <c r="I143" s="181"/>
      <c r="J143" s="181"/>
      <c r="K143" s="181"/>
      <c r="L143" s="181"/>
      <c r="M143" s="181"/>
      <c r="N143" s="181"/>
      <c r="O143" s="181"/>
      <c r="P143" s="181"/>
      <c r="Q143" s="181"/>
      <c r="R143" s="181"/>
      <c r="S143" s="181"/>
      <c r="T143" s="181"/>
      <c r="U143" s="181"/>
      <c r="V143" s="181"/>
      <c r="W143" s="202">
        <v>1.4346</v>
      </c>
      <c r="X143" s="181">
        <v>1.3723</v>
      </c>
      <c r="Y143" s="181">
        <v>1.5138</v>
      </c>
      <c r="Z143" s="181">
        <v>1.556</v>
      </c>
      <c r="AA143" s="181">
        <v>1.6674</v>
      </c>
      <c r="AB143" s="202">
        <v>1.5178</v>
      </c>
      <c r="AC143" s="202">
        <v>1.21424</v>
      </c>
      <c r="AD143" s="202">
        <v>0.9106799999999999</v>
      </c>
      <c r="AE143" s="202">
        <v>0.6071199999999999</v>
      </c>
      <c r="AF143" s="202">
        <v>0.3035599999999999</v>
      </c>
      <c r="AG143" s="202">
        <v>0.0</v>
      </c>
      <c r="AH143" s="202">
        <v>0.0</v>
      </c>
      <c r="AI143" s="125"/>
      <c r="AJ143" s="100"/>
      <c r="AK143" s="100"/>
      <c r="AL143" s="100"/>
      <c r="AM143" s="100"/>
      <c r="AN143" s="100"/>
      <c r="AO143" s="100"/>
    </row>
    <row r="144" ht="14.25" customHeight="1">
      <c r="A144" s="326"/>
      <c r="B144" s="100"/>
      <c r="C144" s="100"/>
      <c r="D144" s="100"/>
      <c r="E144" s="122" t="s">
        <v>2261</v>
      </c>
      <c r="F144" s="123" t="s">
        <v>135</v>
      </c>
      <c r="G144" s="123" t="s">
        <v>2262</v>
      </c>
      <c r="H144" s="260" t="str">
        <f t="array" ref="H144:AH144">vapcfens</f>
        <v/>
      </c>
      <c r="I144" s="181"/>
      <c r="J144" s="181"/>
      <c r="K144" s="181"/>
      <c r="L144" s="181"/>
      <c r="M144" s="181"/>
      <c r="N144" s="181"/>
      <c r="O144" s="181"/>
      <c r="P144" s="181"/>
      <c r="Q144" s="181"/>
      <c r="R144" s="181"/>
      <c r="S144" s="181"/>
      <c r="T144" s="181"/>
      <c r="U144" s="181"/>
      <c r="V144" s="181"/>
      <c r="W144" s="202">
        <v>1.370333</v>
      </c>
      <c r="X144" s="181">
        <v>1.292528</v>
      </c>
      <c r="Y144" s="181">
        <v>1.330028</v>
      </c>
      <c r="Z144" s="181">
        <v>1.449361</v>
      </c>
      <c r="AA144" s="181">
        <v>0.117778</v>
      </c>
      <c r="AB144" s="202">
        <v>0.122167</v>
      </c>
      <c r="AC144" s="202">
        <v>0.0977336</v>
      </c>
      <c r="AD144" s="202">
        <v>0.07330020000000001</v>
      </c>
      <c r="AE144" s="202">
        <v>0.04886680000000001</v>
      </c>
      <c r="AF144" s="202">
        <v>0.024433400000000008</v>
      </c>
      <c r="AG144" s="202">
        <v>0.0</v>
      </c>
      <c r="AH144" s="202">
        <v>0.0</v>
      </c>
      <c r="AI144" s="125"/>
      <c r="AJ144" s="100"/>
      <c r="AK144" s="100"/>
      <c r="AL144" s="100"/>
      <c r="AM144" s="100"/>
      <c r="AN144" s="100"/>
      <c r="AO144" s="100"/>
    </row>
    <row r="145" ht="14.25" customHeight="1">
      <c r="A145" s="195"/>
      <c r="B145" s="100"/>
      <c r="C145" s="100"/>
      <c r="D145" s="100"/>
      <c r="E145" s="100"/>
      <c r="F145" s="206"/>
      <c r="G145" s="206"/>
      <c r="H145" s="207"/>
      <c r="I145" s="207"/>
      <c r="J145" s="207"/>
      <c r="K145" s="207"/>
      <c r="L145" s="207"/>
      <c r="M145" s="207"/>
      <c r="N145" s="207"/>
      <c r="O145" s="207"/>
      <c r="P145" s="207"/>
      <c r="Q145" s="207"/>
      <c r="R145" s="207"/>
      <c r="S145" s="207"/>
      <c r="T145" s="207"/>
      <c r="U145" s="207"/>
      <c r="V145" s="207"/>
      <c r="W145" s="208"/>
      <c r="X145" s="208"/>
      <c r="Y145" s="208"/>
      <c r="Z145" s="208"/>
      <c r="AA145" s="208"/>
      <c r="AB145" s="208"/>
      <c r="AC145" s="208"/>
      <c r="AD145" s="208"/>
      <c r="AE145" s="208"/>
      <c r="AF145" s="208"/>
      <c r="AG145" s="208"/>
      <c r="AH145" s="208"/>
      <c r="AI145" s="100"/>
      <c r="AJ145" s="100"/>
      <c r="AK145" s="100"/>
      <c r="AL145" s="100"/>
      <c r="AM145" s="100"/>
      <c r="AN145" s="100"/>
      <c r="AO145" s="100"/>
    </row>
    <row r="146" ht="14.25" customHeight="1">
      <c r="A146" s="925" t="s">
        <v>2740</v>
      </c>
      <c r="B146" s="225"/>
      <c r="C146" s="225"/>
      <c r="D146" s="225"/>
      <c r="E146" s="225"/>
      <c r="F146" s="225"/>
      <c r="G146" s="225"/>
      <c r="H146" s="826"/>
      <c r="I146" s="826"/>
      <c r="J146" s="826"/>
      <c r="K146" s="826"/>
      <c r="L146" s="826"/>
      <c r="M146" s="826"/>
      <c r="N146" s="826"/>
      <c r="O146" s="826"/>
      <c r="P146" s="826"/>
      <c r="Q146" s="826"/>
      <c r="R146" s="826"/>
      <c r="S146" s="826"/>
      <c r="T146" s="826"/>
      <c r="U146" s="826"/>
      <c r="V146" s="826"/>
      <c r="W146" s="827"/>
      <c r="X146" s="827"/>
      <c r="Y146" s="827"/>
      <c r="Z146" s="827"/>
      <c r="AA146" s="827"/>
      <c r="AB146" s="827"/>
      <c r="AC146" s="827"/>
      <c r="AD146" s="827"/>
      <c r="AE146" s="827"/>
      <c r="AF146" s="827"/>
      <c r="AG146" s="827"/>
      <c r="AH146" s="827"/>
      <c r="AI146" s="828"/>
      <c r="AJ146" s="100"/>
      <c r="AK146" s="100"/>
      <c r="AL146" s="100"/>
      <c r="AM146" s="100"/>
      <c r="AN146" s="195"/>
      <c r="AO146" s="195"/>
    </row>
    <row r="147" ht="14.25" customHeight="1">
      <c r="A147" s="926" t="s">
        <v>2885</v>
      </c>
      <c r="B147" s="100"/>
      <c r="C147" s="100"/>
      <c r="D147" s="195"/>
      <c r="E147" s="162"/>
      <c r="F147" s="195"/>
      <c r="G147" s="195"/>
      <c r="H147" s="195"/>
      <c r="I147" s="178"/>
      <c r="J147" s="178"/>
      <c r="K147" s="178"/>
      <c r="L147" s="178"/>
      <c r="M147" s="178"/>
      <c r="N147" s="178"/>
      <c r="O147" s="178"/>
      <c r="P147" s="178"/>
      <c r="Q147" s="178"/>
      <c r="R147" s="178"/>
      <c r="S147" s="178"/>
      <c r="T147" s="178"/>
      <c r="U147" s="178"/>
      <c r="V147" s="178"/>
      <c r="W147" s="836"/>
      <c r="X147" s="178"/>
      <c r="Y147" s="178"/>
      <c r="Z147" s="178"/>
      <c r="AA147" s="178"/>
      <c r="AB147" s="836"/>
      <c r="AC147" s="836"/>
      <c r="AD147" s="836"/>
      <c r="AE147" s="836"/>
      <c r="AF147" s="836"/>
      <c r="AG147" s="836"/>
      <c r="AH147" s="836"/>
      <c r="AI147" s="244"/>
      <c r="AJ147" s="100"/>
      <c r="AK147" s="100"/>
      <c r="AL147" s="100"/>
      <c r="AM147" s="100"/>
      <c r="AN147" s="195"/>
      <c r="AO147" s="195"/>
    </row>
    <row r="148" ht="14.25" customHeight="1">
      <c r="A148" s="926"/>
      <c r="B148" s="100"/>
      <c r="C148" s="100"/>
      <c r="D148" s="195"/>
      <c r="E148" s="921" t="s">
        <v>3560</v>
      </c>
      <c r="F148" s="325" t="b">
        <f>FALSE()</f>
        <v>0</v>
      </c>
      <c r="G148" s="195"/>
      <c r="H148" s="927"/>
      <c r="I148" s="178"/>
      <c r="J148" s="178"/>
      <c r="K148" s="178"/>
      <c r="L148" s="178"/>
      <c r="M148" s="178"/>
      <c r="N148" s="178"/>
      <c r="O148" s="178"/>
      <c r="P148" s="178"/>
      <c r="Q148" s="178"/>
      <c r="R148" s="178"/>
      <c r="S148" s="178"/>
      <c r="T148" s="178"/>
      <c r="U148" s="178"/>
      <c r="V148" s="178"/>
      <c r="W148" s="836"/>
      <c r="X148" s="178"/>
      <c r="Y148" s="178"/>
      <c r="Z148" s="178"/>
      <c r="AA148" s="178"/>
      <c r="AB148" s="836"/>
      <c r="AC148" s="836"/>
      <c r="AD148" s="836"/>
      <c r="AE148" s="836"/>
      <c r="AF148" s="836"/>
      <c r="AG148" s="836"/>
      <c r="AH148" s="836"/>
      <c r="AI148" s="244"/>
      <c r="AJ148" s="100"/>
      <c r="AK148" s="100"/>
      <c r="AL148" s="100"/>
      <c r="AM148" s="100"/>
      <c r="AN148" s="195"/>
      <c r="AO148" s="195"/>
    </row>
    <row r="149" ht="14.25" customHeight="1">
      <c r="A149" s="326"/>
      <c r="B149" s="100"/>
      <c r="C149" s="852"/>
      <c r="D149" s="100"/>
      <c r="E149" s="180" t="s">
        <v>3561</v>
      </c>
      <c r="F149" s="249" t="s">
        <v>135</v>
      </c>
      <c r="G149" s="249" t="s">
        <v>3562</v>
      </c>
      <c r="H149" s="274">
        <f t="shared" ref="H149:AH149" si="5">SUM(H150:H157)</f>
        <v>0</v>
      </c>
      <c r="I149" s="274">
        <f t="shared" si="5"/>
        <v>0</v>
      </c>
      <c r="J149" s="274">
        <f t="shared" si="5"/>
        <v>0</v>
      </c>
      <c r="K149" s="274">
        <f t="shared" si="5"/>
        <v>0</v>
      </c>
      <c r="L149" s="274">
        <f t="shared" si="5"/>
        <v>0</v>
      </c>
      <c r="M149" s="274">
        <f t="shared" si="5"/>
        <v>0</v>
      </c>
      <c r="N149" s="274">
        <f t="shared" si="5"/>
        <v>0</v>
      </c>
      <c r="O149" s="274">
        <f t="shared" si="5"/>
        <v>0</v>
      </c>
      <c r="P149" s="274">
        <f t="shared" si="5"/>
        <v>0</v>
      </c>
      <c r="Q149" s="274">
        <f t="shared" si="5"/>
        <v>0</v>
      </c>
      <c r="R149" s="274">
        <f t="shared" si="5"/>
        <v>0</v>
      </c>
      <c r="S149" s="274">
        <f t="shared" si="5"/>
        <v>0</v>
      </c>
      <c r="T149" s="274">
        <f t="shared" si="5"/>
        <v>0</v>
      </c>
      <c r="U149" s="274">
        <f t="shared" si="5"/>
        <v>0</v>
      </c>
      <c r="V149" s="274">
        <f t="shared" si="5"/>
        <v>0</v>
      </c>
      <c r="W149" s="274">
        <f t="shared" si="5"/>
        <v>8.307873</v>
      </c>
      <c r="X149" s="274">
        <f t="shared" si="5"/>
        <v>0</v>
      </c>
      <c r="Y149" s="274">
        <f t="shared" si="5"/>
        <v>0</v>
      </c>
      <c r="Z149" s="274">
        <f t="shared" si="5"/>
        <v>0</v>
      </c>
      <c r="AA149" s="274">
        <f t="shared" si="5"/>
        <v>0</v>
      </c>
      <c r="AB149" s="274">
        <f t="shared" si="5"/>
        <v>8.113328151</v>
      </c>
      <c r="AC149" s="274">
        <f t="shared" si="5"/>
        <v>7.441136309</v>
      </c>
      <c r="AD149" s="274">
        <f t="shared" si="5"/>
        <v>6.768944467</v>
      </c>
      <c r="AE149" s="274">
        <f t="shared" si="5"/>
        <v>6.096752625</v>
      </c>
      <c r="AF149" s="274">
        <f t="shared" si="5"/>
        <v>5.424560783</v>
      </c>
      <c r="AG149" s="274">
        <f t="shared" si="5"/>
        <v>4.752368942</v>
      </c>
      <c r="AH149" s="274">
        <f t="shared" si="5"/>
        <v>4.0801771</v>
      </c>
      <c r="AI149" s="275"/>
      <c r="AJ149" s="100"/>
      <c r="AK149" s="100"/>
      <c r="AL149" s="100"/>
      <c r="AM149" s="100"/>
      <c r="AN149" s="100"/>
      <c r="AO149" s="100"/>
    </row>
    <row r="150" ht="14.25" customHeight="1">
      <c r="A150" s="326"/>
      <c r="B150" s="100"/>
      <c r="C150" s="852"/>
      <c r="D150" s="100"/>
      <c r="E150" s="122" t="s">
        <v>2889</v>
      </c>
      <c r="F150" s="249" t="s">
        <v>135</v>
      </c>
      <c r="G150" s="249" t="s">
        <v>3563</v>
      </c>
      <c r="H150" s="181" t="str">
        <f t="array" ref="H150:AH150">IF(NOT(edcmagrpartner),solcmscfagr,cmscfagr)</f>
        <v/>
      </c>
      <c r="I150" s="181"/>
      <c r="J150" s="181"/>
      <c r="K150" s="181"/>
      <c r="L150" s="181"/>
      <c r="M150" s="181"/>
      <c r="N150" s="181"/>
      <c r="O150" s="181"/>
      <c r="P150" s="181"/>
      <c r="Q150" s="181"/>
      <c r="R150" s="181"/>
      <c r="S150" s="181"/>
      <c r="T150" s="181"/>
      <c r="U150" s="181"/>
      <c r="V150" s="181"/>
      <c r="W150" s="202">
        <v>0.102696</v>
      </c>
      <c r="X150" s="181"/>
      <c r="Y150" s="181"/>
      <c r="Z150" s="181"/>
      <c r="AA150" s="181"/>
      <c r="AB150" s="202">
        <v>0.095184061903902</v>
      </c>
      <c r="AC150" s="202">
        <v>0.079320051586585</v>
      </c>
      <c r="AD150" s="202">
        <v>0.063456041269268</v>
      </c>
      <c r="AE150" s="202">
        <v>0.047592030951951</v>
      </c>
      <c r="AF150" s="202">
        <v>0.031728020634634</v>
      </c>
      <c r="AG150" s="202">
        <v>0.015864010317317</v>
      </c>
      <c r="AH150" s="202">
        <v>0.0</v>
      </c>
      <c r="AI150" s="204"/>
      <c r="AJ150" s="100"/>
      <c r="AK150" s="100"/>
      <c r="AL150" s="100"/>
      <c r="AM150" s="100"/>
      <c r="AN150" s="100"/>
      <c r="AO150" s="100"/>
    </row>
    <row r="151" ht="14.25" customHeight="1">
      <c r="A151" s="326"/>
      <c r="B151" s="100"/>
      <c r="C151" s="852"/>
      <c r="D151" s="100"/>
      <c r="E151" s="122" t="s">
        <v>2892</v>
      </c>
      <c r="F151" s="249" t="s">
        <v>135</v>
      </c>
      <c r="G151" s="249" t="s">
        <v>3564</v>
      </c>
      <c r="H151" s="181" t="str">
        <f t="array" ref="H151:AH151">IF(NOT(edcmagrpartner),solenccfagr,enccfagr)</f>
        <v/>
      </c>
      <c r="I151" s="181"/>
      <c r="J151" s="181"/>
      <c r="K151" s="181"/>
      <c r="L151" s="181"/>
      <c r="M151" s="181"/>
      <c r="N151" s="181"/>
      <c r="O151" s="181"/>
      <c r="P151" s="181"/>
      <c r="Q151" s="181"/>
      <c r="R151" s="181"/>
      <c r="S151" s="181"/>
      <c r="T151" s="181"/>
      <c r="U151" s="181"/>
      <c r="V151" s="181"/>
      <c r="W151" s="202">
        <v>0.596337</v>
      </c>
      <c r="X151" s="181"/>
      <c r="Y151" s="181"/>
      <c r="Z151" s="181"/>
      <c r="AA151" s="181"/>
      <c r="AB151" s="202">
        <v>0.573739459393544</v>
      </c>
      <c r="AC151" s="202">
        <v>0.50979571198351</v>
      </c>
      <c r="AD151" s="202">
        <v>0.445851964573475</v>
      </c>
      <c r="AE151" s="202">
        <v>0.381908217163441</v>
      </c>
      <c r="AF151" s="202">
        <v>0.317964469753406</v>
      </c>
      <c r="AG151" s="202">
        <v>0.254020722343371</v>
      </c>
      <c r="AH151" s="202">
        <v>0.190076974933337</v>
      </c>
      <c r="AI151" s="204"/>
      <c r="AJ151" s="100"/>
      <c r="AK151" s="100"/>
      <c r="AL151" s="100"/>
      <c r="AM151" s="100"/>
      <c r="AN151" s="100"/>
      <c r="AO151" s="100"/>
    </row>
    <row r="152" ht="14.25" customHeight="1">
      <c r="A152" s="326"/>
      <c r="B152" s="100"/>
      <c r="C152" s="100"/>
      <c r="D152" s="852"/>
      <c r="E152" s="122" t="s">
        <v>2894</v>
      </c>
      <c r="F152" s="249" t="s">
        <v>135</v>
      </c>
      <c r="G152" s="249" t="s">
        <v>3565</v>
      </c>
      <c r="H152" s="181" t="str">
        <f t="array" ref="H152:AH152">IF(NOT(edcmagrpartner),solpetcfagr,petcfagr)</f>
        <v/>
      </c>
      <c r="I152" s="181"/>
      <c r="J152" s="181"/>
      <c r="K152" s="181"/>
      <c r="L152" s="181"/>
      <c r="M152" s="181"/>
      <c r="N152" s="181"/>
      <c r="O152" s="181"/>
      <c r="P152" s="181"/>
      <c r="Q152" s="181"/>
      <c r="R152" s="181"/>
      <c r="S152" s="181"/>
      <c r="T152" s="181"/>
      <c r="U152" s="181"/>
      <c r="V152" s="181"/>
      <c r="W152" s="202">
        <v>3.511503</v>
      </c>
      <c r="X152" s="181"/>
      <c r="Y152" s="181"/>
      <c r="Z152" s="181"/>
      <c r="AA152" s="181"/>
      <c r="AB152" s="202">
        <v>3.43604871060471</v>
      </c>
      <c r="AC152" s="202">
        <v>2.86337392550392</v>
      </c>
      <c r="AD152" s="202">
        <v>2.29069914040314</v>
      </c>
      <c r="AE152" s="202">
        <v>1.71802435530235</v>
      </c>
      <c r="AF152" s="202">
        <v>1.14534957020157</v>
      </c>
      <c r="AG152" s="202">
        <v>0.572674785100785</v>
      </c>
      <c r="AH152" s="202">
        <v>0.0</v>
      </c>
      <c r="AI152" s="204"/>
      <c r="AJ152" s="100"/>
      <c r="AK152" s="100"/>
      <c r="AL152" s="100"/>
      <c r="AM152" s="100"/>
      <c r="AN152" s="100"/>
      <c r="AO152" s="100"/>
    </row>
    <row r="153" ht="14.25" customHeight="1">
      <c r="A153" s="326"/>
      <c r="B153" s="100"/>
      <c r="C153" s="100"/>
      <c r="D153" s="852"/>
      <c r="E153" s="122" t="s">
        <v>2896</v>
      </c>
      <c r="F153" s="249" t="s">
        <v>135</v>
      </c>
      <c r="G153" s="249" t="s">
        <v>3566</v>
      </c>
      <c r="H153" s="181" t="str">
        <f t="array" ref="H153:AH153">IF(NOT(edcmagrpartner),solgazcfagr,gazcfagr)</f>
        <v/>
      </c>
      <c r="I153" s="181"/>
      <c r="J153" s="181"/>
      <c r="K153" s="181"/>
      <c r="L153" s="181"/>
      <c r="M153" s="181"/>
      <c r="N153" s="181"/>
      <c r="O153" s="181"/>
      <c r="P153" s="181"/>
      <c r="Q153" s="181"/>
      <c r="R153" s="181"/>
      <c r="S153" s="181"/>
      <c r="T153" s="181"/>
      <c r="U153" s="181"/>
      <c r="V153" s="181"/>
      <c r="W153" s="202">
        <v>2.52072</v>
      </c>
      <c r="X153" s="181"/>
      <c r="Y153" s="181"/>
      <c r="Z153" s="181"/>
      <c r="AA153" s="181"/>
      <c r="AB153" s="202">
        <v>2.46007966704691</v>
      </c>
      <c r="AC153" s="202">
        <v>2.49440755503722</v>
      </c>
      <c r="AD153" s="202">
        <v>2.52873544302753</v>
      </c>
      <c r="AE153" s="202">
        <v>2.56306333101783</v>
      </c>
      <c r="AF153" s="202">
        <v>2.59739121900814</v>
      </c>
      <c r="AG153" s="202">
        <v>2.63171910699845</v>
      </c>
      <c r="AH153" s="202">
        <v>2.66604699498876</v>
      </c>
      <c r="AI153" s="204"/>
      <c r="AJ153" s="100"/>
      <c r="AK153" s="100"/>
      <c r="AL153" s="100"/>
      <c r="AM153" s="100"/>
      <c r="AN153" s="100"/>
      <c r="AO153" s="100"/>
    </row>
    <row r="154" ht="14.25" customHeight="1">
      <c r="A154" s="326"/>
      <c r="B154" s="100"/>
      <c r="C154" s="100"/>
      <c r="D154" s="852"/>
      <c r="E154" s="122" t="s">
        <v>2899</v>
      </c>
      <c r="F154" s="123" t="s">
        <v>135</v>
      </c>
      <c r="G154" s="123" t="s">
        <v>3567</v>
      </c>
      <c r="H154" s="181" t="str">
        <f t="array" ref="H154:AH154">IF(NOT(edcmagrpartner),solelccfagr,elccfagr)</f>
        <v/>
      </c>
      <c r="I154" s="181"/>
      <c r="J154" s="181"/>
      <c r="K154" s="181"/>
      <c r="L154" s="181"/>
      <c r="M154" s="181"/>
      <c r="N154" s="181"/>
      <c r="O154" s="181"/>
      <c r="P154" s="181"/>
      <c r="Q154" s="181"/>
      <c r="R154" s="181"/>
      <c r="S154" s="181"/>
      <c r="T154" s="181"/>
      <c r="U154" s="181"/>
      <c r="V154" s="181"/>
      <c r="W154" s="202">
        <v>1.576617</v>
      </c>
      <c r="X154" s="181"/>
      <c r="Y154" s="181"/>
      <c r="Z154" s="181"/>
      <c r="AA154" s="181"/>
      <c r="AB154" s="202">
        <v>1.54827625157545</v>
      </c>
      <c r="AC154" s="202">
        <v>1.49423906464064</v>
      </c>
      <c r="AD154" s="202">
        <v>1.44020187770584</v>
      </c>
      <c r="AE154" s="202">
        <v>1.38616469077103</v>
      </c>
      <c r="AF154" s="202">
        <v>1.33212750383622</v>
      </c>
      <c r="AG154" s="202">
        <v>1.27809031690142</v>
      </c>
      <c r="AH154" s="202">
        <v>1.22405312996661</v>
      </c>
      <c r="AI154" s="204"/>
      <c r="AJ154" s="100"/>
      <c r="AK154" s="100"/>
      <c r="AL154" s="100"/>
      <c r="AM154" s="100"/>
      <c r="AN154" s="100"/>
      <c r="AO154" s="100"/>
    </row>
    <row r="155" ht="14.25" customHeight="1">
      <c r="A155" s="326"/>
      <c r="B155" s="100"/>
      <c r="C155" s="100"/>
      <c r="D155" s="852"/>
      <c r="E155" s="122" t="s">
        <v>2901</v>
      </c>
      <c r="F155" s="249" t="s">
        <v>135</v>
      </c>
      <c r="G155" s="249" t="s">
        <v>3568</v>
      </c>
      <c r="H155" s="181" t="str">
        <f>IF(NOT(edcmagrpartner),,sthcfagr)</f>
        <v/>
      </c>
      <c r="I155" s="181"/>
      <c r="J155" s="181"/>
      <c r="K155" s="181"/>
      <c r="L155" s="181"/>
      <c r="M155" s="181"/>
      <c r="N155" s="181"/>
      <c r="O155" s="181"/>
      <c r="P155" s="181"/>
      <c r="Q155" s="181"/>
      <c r="R155" s="181"/>
      <c r="S155" s="181"/>
      <c r="T155" s="181"/>
      <c r="U155" s="181"/>
      <c r="V155" s="181"/>
      <c r="W155" s="202"/>
      <c r="X155" s="181"/>
      <c r="Y155" s="181"/>
      <c r="Z155" s="181"/>
      <c r="AA155" s="181"/>
      <c r="AB155" s="202"/>
      <c r="AC155" s="202"/>
      <c r="AD155" s="202"/>
      <c r="AE155" s="202"/>
      <c r="AF155" s="202"/>
      <c r="AG155" s="202"/>
      <c r="AH155" s="202"/>
      <c r="AI155" s="275"/>
      <c r="AJ155" s="100"/>
      <c r="AK155" s="100"/>
      <c r="AL155" s="100"/>
      <c r="AM155" s="100"/>
      <c r="AN155" s="100"/>
      <c r="AO155" s="100"/>
    </row>
    <row r="156" ht="14.25" customHeight="1">
      <c r="A156" s="326"/>
      <c r="B156" s="100"/>
      <c r="C156" s="100"/>
      <c r="D156" s="852"/>
      <c r="E156" s="122" t="s">
        <v>2903</v>
      </c>
      <c r="F156" s="249" t="s">
        <v>135</v>
      </c>
      <c r="G156" s="249" t="s">
        <v>3569</v>
      </c>
      <c r="H156" s="181" t="str">
        <f>IF(NOT(edcmagrpartner),,vapcfagr)</f>
        <v/>
      </c>
      <c r="I156" s="181"/>
      <c r="J156" s="181"/>
      <c r="K156" s="181"/>
      <c r="L156" s="181"/>
      <c r="M156" s="181"/>
      <c r="N156" s="181"/>
      <c r="O156" s="181"/>
      <c r="P156" s="181"/>
      <c r="Q156" s="181"/>
      <c r="R156" s="181"/>
      <c r="S156" s="181"/>
      <c r="T156" s="181"/>
      <c r="U156" s="181"/>
      <c r="V156" s="181"/>
      <c r="W156" s="202"/>
      <c r="X156" s="181"/>
      <c r="Y156" s="181"/>
      <c r="Z156" s="181"/>
      <c r="AA156" s="181"/>
      <c r="AB156" s="202"/>
      <c r="AC156" s="202"/>
      <c r="AD156" s="202"/>
      <c r="AE156" s="202"/>
      <c r="AF156" s="202"/>
      <c r="AG156" s="202"/>
      <c r="AH156" s="202"/>
      <c r="AI156" s="275"/>
      <c r="AJ156" s="100"/>
      <c r="AK156" s="100"/>
      <c r="AL156" s="100"/>
      <c r="AM156" s="100"/>
      <c r="AN156" s="100"/>
      <c r="AO156" s="100"/>
    </row>
    <row r="157" ht="14.25" customHeight="1">
      <c r="A157" s="326"/>
      <c r="B157" s="100"/>
      <c r="C157" s="100"/>
      <c r="D157" s="100"/>
      <c r="E157" s="122" t="s">
        <v>2905</v>
      </c>
      <c r="F157" s="123" t="s">
        <v>135</v>
      </c>
      <c r="G157" s="123" t="s">
        <v>3570</v>
      </c>
      <c r="H157" s="181" t="str">
        <f>IF(NOT(edcmagrpartner),,paccfagr)</f>
        <v/>
      </c>
      <c r="I157" s="181"/>
      <c r="J157" s="181"/>
      <c r="K157" s="181"/>
      <c r="L157" s="181"/>
      <c r="M157" s="181"/>
      <c r="N157" s="181"/>
      <c r="O157" s="181"/>
      <c r="P157" s="181"/>
      <c r="Q157" s="181"/>
      <c r="R157" s="181"/>
      <c r="S157" s="181"/>
      <c r="T157" s="181"/>
      <c r="U157" s="181"/>
      <c r="V157" s="181"/>
      <c r="W157" s="202"/>
      <c r="X157" s="181"/>
      <c r="Y157" s="181"/>
      <c r="Z157" s="181"/>
      <c r="AA157" s="181"/>
      <c r="AB157" s="202"/>
      <c r="AC157" s="202"/>
      <c r="AD157" s="202"/>
      <c r="AE157" s="202"/>
      <c r="AF157" s="202"/>
      <c r="AG157" s="202"/>
      <c r="AH157" s="202"/>
      <c r="AI157" s="275"/>
      <c r="AJ157" s="100"/>
      <c r="AK157" s="100"/>
      <c r="AL157" s="100"/>
      <c r="AM157" s="100"/>
      <c r="AN157" s="100"/>
      <c r="AO157" s="100"/>
    </row>
    <row r="158" ht="14.25" customHeight="1">
      <c r="A158" s="863" t="s">
        <v>3571</v>
      </c>
      <c r="B158" s="863"/>
      <c r="C158" s="868"/>
      <c r="D158" s="868"/>
      <c r="E158" s="127"/>
      <c r="F158" s="195"/>
      <c r="G158" s="195"/>
      <c r="H158" s="195"/>
      <c r="I158" s="208"/>
      <c r="J158" s="208"/>
      <c r="K158" s="208"/>
      <c r="L158" s="208"/>
      <c r="M158" s="208"/>
      <c r="N158" s="208"/>
      <c r="O158" s="208"/>
      <c r="P158" s="208"/>
      <c r="Q158" s="208"/>
      <c r="R158" s="208"/>
      <c r="S158" s="208"/>
      <c r="T158" s="208"/>
      <c r="U158" s="208"/>
      <c r="V158" s="208"/>
      <c r="W158" s="208"/>
      <c r="X158" s="208"/>
      <c r="Y158" s="208"/>
      <c r="Z158" s="208"/>
      <c r="AA158" s="208"/>
      <c r="AB158" s="208"/>
      <c r="AC158" s="208"/>
      <c r="AD158" s="208"/>
      <c r="AE158" s="208"/>
      <c r="AF158" s="208"/>
      <c r="AG158" s="208"/>
      <c r="AH158" s="208"/>
      <c r="AI158" s="271"/>
      <c r="AJ158" s="271"/>
      <c r="AK158" s="271"/>
      <c r="AL158" s="271"/>
      <c r="AM158" s="271"/>
      <c r="AN158" s="195"/>
      <c r="AO158" s="195"/>
    </row>
    <row r="159" ht="14.25" customHeight="1">
      <c r="A159" s="926"/>
      <c r="B159" s="100"/>
      <c r="C159" s="100"/>
      <c r="D159" s="195"/>
      <c r="E159" s="921" t="s">
        <v>3560</v>
      </c>
      <c r="F159" s="325" t="b">
        <f>FALSE()</f>
        <v>0</v>
      </c>
      <c r="G159" s="195"/>
      <c r="H159" s="927"/>
      <c r="I159" s="178"/>
      <c r="J159" s="178"/>
      <c r="K159" s="178"/>
      <c r="L159" s="178"/>
      <c r="M159" s="178"/>
      <c r="N159" s="178"/>
      <c r="O159" s="178"/>
      <c r="P159" s="178"/>
      <c r="Q159" s="178"/>
      <c r="R159" s="178"/>
      <c r="S159" s="178"/>
      <c r="T159" s="178"/>
      <c r="U159" s="178"/>
      <c r="V159" s="178"/>
      <c r="W159" s="836"/>
      <c r="X159" s="178"/>
      <c r="Y159" s="178"/>
      <c r="Z159" s="178"/>
      <c r="AA159" s="178"/>
      <c r="AB159" s="836"/>
      <c r="AC159" s="836"/>
      <c r="AD159" s="836"/>
      <c r="AE159" s="836"/>
      <c r="AF159" s="836"/>
      <c r="AG159" s="836"/>
      <c r="AH159" s="836"/>
      <c r="AI159" s="244"/>
      <c r="AJ159" s="100"/>
      <c r="AK159" s="100"/>
      <c r="AL159" s="100"/>
      <c r="AM159" s="100"/>
      <c r="AN159" s="195"/>
      <c r="AO159" s="195"/>
    </row>
    <row r="160" ht="14.25" customHeight="1">
      <c r="A160" s="326"/>
      <c r="B160" s="863"/>
      <c r="C160" s="863"/>
      <c r="D160" s="868"/>
      <c r="E160" s="122" t="s">
        <v>3000</v>
      </c>
      <c r="F160" s="123" t="s">
        <v>135</v>
      </c>
      <c r="G160" s="123" t="s">
        <v>3572</v>
      </c>
      <c r="H160" s="181">
        <f t="array" ref="H160:AH160">IF(NOT(edcmbiopartner),solprodomboi,prodomboi)</f>
        <v>0</v>
      </c>
      <c r="I160" s="181">
        <v>0.0</v>
      </c>
      <c r="J160" s="181">
        <v>0.0</v>
      </c>
      <c r="K160" s="181">
        <v>0.0</v>
      </c>
      <c r="L160" s="181">
        <v>0.0</v>
      </c>
      <c r="M160" s="181">
        <v>0.0</v>
      </c>
      <c r="N160" s="181">
        <v>0.0</v>
      </c>
      <c r="O160" s="181">
        <v>0.0</v>
      </c>
      <c r="P160" s="181">
        <v>0.0</v>
      </c>
      <c r="Q160" s="181">
        <v>0.0</v>
      </c>
      <c r="R160" s="181">
        <v>0.0</v>
      </c>
      <c r="S160" s="181">
        <v>0.0</v>
      </c>
      <c r="T160" s="181">
        <v>0.0</v>
      </c>
      <c r="U160" s="181">
        <v>0.0</v>
      </c>
      <c r="V160" s="181">
        <v>0.0</v>
      </c>
      <c r="W160" s="202">
        <v>15.9544344534222</v>
      </c>
      <c r="X160" s="181">
        <v>15.95357156511921</v>
      </c>
      <c r="Y160" s="181">
        <v>15.9509898476795</v>
      </c>
      <c r="Z160" s="181">
        <v>15.94671008757375</v>
      </c>
      <c r="AA160" s="181">
        <v>15.94076674291395</v>
      </c>
      <c r="AB160" s="202">
        <v>15.93320766601664</v>
      </c>
      <c r="AC160" s="202">
        <v>15.873731529375018</v>
      </c>
      <c r="AD160" s="202">
        <v>15.78778602178626</v>
      </c>
      <c r="AE160" s="202">
        <v>15.69239370508067</v>
      </c>
      <c r="AF160" s="202">
        <v>15.606448197491812</v>
      </c>
      <c r="AG160" s="202">
        <v>15.54697206085029</v>
      </c>
      <c r="AH160" s="202">
        <v>15.52574527344463</v>
      </c>
      <c r="AI160" s="204"/>
      <c r="AJ160" s="100"/>
      <c r="AK160" s="100"/>
      <c r="AL160" s="100"/>
      <c r="AM160" s="100"/>
      <c r="AN160" s="195"/>
      <c r="AO160" s="195"/>
    </row>
    <row r="161" ht="14.25" customHeight="1">
      <c r="A161" s="326"/>
      <c r="B161" s="863"/>
      <c r="C161" s="863"/>
      <c r="D161" s="868"/>
      <c r="E161" s="122" t="s">
        <v>3008</v>
      </c>
      <c r="F161" s="123" t="s">
        <v>135</v>
      </c>
      <c r="G161" s="123" t="s">
        <v>3573</v>
      </c>
      <c r="H161" s="181" t="str">
        <f t="array" ref="H161:AH161">IF(NOT(edcmbiopartner),solprodomblq,prodomblq)</f>
        <v/>
      </c>
      <c r="I161" s="181"/>
      <c r="J161" s="181"/>
      <c r="K161" s="181"/>
      <c r="L161" s="181"/>
      <c r="M161" s="181"/>
      <c r="N161" s="181"/>
      <c r="O161" s="181"/>
      <c r="P161" s="181"/>
      <c r="Q161" s="181"/>
      <c r="R161" s="181"/>
      <c r="S161" s="181"/>
      <c r="T161" s="181"/>
      <c r="U161" s="181"/>
      <c r="V161" s="181"/>
      <c r="W161" s="202">
        <v>5.243331</v>
      </c>
      <c r="X161" s="181">
        <v>5.24065027595684</v>
      </c>
      <c r="Y161" s="181">
        <v>5.23262968744112</v>
      </c>
      <c r="Z161" s="181">
        <v>5.21933381151553</v>
      </c>
      <c r="AA161" s="181">
        <v>5.20086969875518</v>
      </c>
      <c r="AB161" s="202">
        <v>5.17738601133929</v>
      </c>
      <c r="AC161" s="202">
        <v>4.99261225912361</v>
      </c>
      <c r="AD161" s="202">
        <v>4.72560645108065</v>
      </c>
      <c r="AE161" s="202">
        <v>4.42925236210464</v>
      </c>
      <c r="AF161" s="202">
        <v>4.16224655406168</v>
      </c>
      <c r="AG161" s="202">
        <v>3.977472801846</v>
      </c>
      <c r="AH161" s="202">
        <v>3.91152781318529</v>
      </c>
      <c r="AI161" s="493"/>
      <c r="AJ161" s="100"/>
      <c r="AK161" s="100"/>
      <c r="AL161" s="100"/>
      <c r="AM161" s="100"/>
      <c r="AN161" s="195"/>
      <c r="AO161" s="195"/>
    </row>
    <row r="162" ht="14.25" customHeight="1">
      <c r="A162" s="195"/>
      <c r="B162" s="100"/>
      <c r="C162" s="100"/>
      <c r="D162" s="100"/>
      <c r="E162" s="100"/>
      <c r="F162" s="206"/>
      <c r="G162" s="206"/>
      <c r="H162" s="207"/>
      <c r="I162" s="207"/>
      <c r="J162" s="207"/>
      <c r="K162" s="207"/>
      <c r="L162" s="207"/>
      <c r="M162" s="207"/>
      <c r="N162" s="207"/>
      <c r="O162" s="207"/>
      <c r="P162" s="207"/>
      <c r="Q162" s="207"/>
      <c r="R162" s="207"/>
      <c r="S162" s="207"/>
      <c r="T162" s="207"/>
      <c r="U162" s="207"/>
      <c r="V162" s="207"/>
      <c r="W162" s="208"/>
      <c r="X162" s="208"/>
      <c r="Y162" s="208"/>
      <c r="Z162" s="208"/>
      <c r="AA162" s="208"/>
      <c r="AB162" s="208"/>
      <c r="AC162" s="208"/>
      <c r="AD162" s="208"/>
      <c r="AE162" s="208"/>
      <c r="AF162" s="208"/>
      <c r="AG162" s="208"/>
      <c r="AH162" s="208"/>
      <c r="AI162" s="100"/>
      <c r="AJ162" s="100"/>
      <c r="AK162" s="100"/>
      <c r="AL162" s="100"/>
      <c r="AM162" s="100"/>
      <c r="AN162" s="100"/>
      <c r="AO162" s="100"/>
    </row>
    <row r="163" ht="14.25" customHeight="1">
      <c r="A163" s="928" t="s">
        <v>248</v>
      </c>
      <c r="B163" s="929"/>
      <c r="C163" s="929"/>
      <c r="D163" s="929"/>
      <c r="E163" s="929"/>
      <c r="F163" s="929"/>
      <c r="G163" s="929"/>
      <c r="H163" s="930"/>
      <c r="I163" s="930"/>
      <c r="J163" s="930"/>
      <c r="K163" s="930"/>
      <c r="L163" s="930"/>
      <c r="M163" s="930"/>
      <c r="N163" s="930"/>
      <c r="O163" s="930"/>
      <c r="P163" s="930"/>
      <c r="Q163" s="930"/>
      <c r="R163" s="930"/>
      <c r="S163" s="930"/>
      <c r="T163" s="930"/>
      <c r="U163" s="930"/>
      <c r="V163" s="930"/>
      <c r="W163" s="931"/>
      <c r="X163" s="931"/>
      <c r="Y163" s="931"/>
      <c r="Z163" s="931"/>
      <c r="AA163" s="931"/>
      <c r="AB163" s="931"/>
      <c r="AC163" s="931"/>
      <c r="AD163" s="931"/>
      <c r="AE163" s="931"/>
      <c r="AF163" s="931"/>
      <c r="AG163" s="931"/>
      <c r="AH163" s="931"/>
      <c r="AI163" s="932"/>
      <c r="AJ163" s="933"/>
      <c r="AK163" s="933"/>
      <c r="AL163" s="933"/>
      <c r="AM163" s="933"/>
      <c r="AN163" s="934"/>
      <c r="AO163" s="934"/>
    </row>
    <row r="164" ht="14.25" customHeight="1">
      <c r="A164" s="926" t="s">
        <v>3574</v>
      </c>
      <c r="B164" s="100"/>
      <c r="C164" s="100"/>
      <c r="D164" s="195"/>
      <c r="E164" s="162"/>
      <c r="F164" s="836"/>
      <c r="G164" s="836"/>
      <c r="H164" s="178"/>
      <c r="I164" s="178"/>
      <c r="J164" s="178"/>
      <c r="K164" s="178"/>
      <c r="L164" s="178"/>
      <c r="M164" s="178"/>
      <c r="N164" s="178"/>
      <c r="O164" s="178"/>
      <c r="P164" s="178"/>
      <c r="Q164" s="178"/>
      <c r="R164" s="178"/>
      <c r="S164" s="178"/>
      <c r="T164" s="178"/>
      <c r="U164" s="178"/>
      <c r="V164" s="178"/>
      <c r="W164" s="836"/>
      <c r="X164" s="178"/>
      <c r="Y164" s="178"/>
      <c r="Z164" s="178"/>
      <c r="AA164" s="178"/>
      <c r="AB164" s="836"/>
      <c r="AC164" s="836"/>
      <c r="AD164" s="836"/>
      <c r="AE164" s="836"/>
      <c r="AF164" s="836"/>
      <c r="AG164" s="836"/>
      <c r="AH164" s="836"/>
      <c r="AI164" s="244"/>
      <c r="AJ164" s="100"/>
      <c r="AK164" s="100"/>
      <c r="AL164" s="100"/>
      <c r="AM164" s="100"/>
      <c r="AN164" s="195"/>
      <c r="AO164" s="195"/>
    </row>
    <row r="165" ht="14.25" customHeight="1">
      <c r="A165" s="326"/>
      <c r="B165" s="100"/>
      <c r="C165" s="852"/>
      <c r="D165" s="100"/>
      <c r="E165" s="287" t="s">
        <v>3575</v>
      </c>
      <c r="F165" s="249" t="s">
        <v>135</v>
      </c>
      <c r="G165" s="249"/>
      <c r="H165" s="274" t="str">
        <f t="shared" ref="H165:AH165" si="6">SUM(H166:H174)</f>
        <v>#REF!</v>
      </c>
      <c r="I165" s="274" t="str">
        <f t="shared" si="6"/>
        <v>#REF!</v>
      </c>
      <c r="J165" s="274" t="str">
        <f t="shared" si="6"/>
        <v>#REF!</v>
      </c>
      <c r="K165" s="274" t="str">
        <f t="shared" si="6"/>
        <v>#REF!</v>
      </c>
      <c r="L165" s="274" t="str">
        <f t="shared" si="6"/>
        <v>#REF!</v>
      </c>
      <c r="M165" s="274" t="str">
        <f t="shared" si="6"/>
        <v>#REF!</v>
      </c>
      <c r="N165" s="274" t="str">
        <f t="shared" si="6"/>
        <v>#REF!</v>
      </c>
      <c r="O165" s="274" t="str">
        <f t="shared" si="6"/>
        <v>#REF!</v>
      </c>
      <c r="P165" s="274" t="str">
        <f t="shared" si="6"/>
        <v>#REF!</v>
      </c>
      <c r="Q165" s="274" t="str">
        <f t="shared" si="6"/>
        <v>#REF!</v>
      </c>
      <c r="R165" s="274" t="str">
        <f t="shared" si="6"/>
        <v>#REF!</v>
      </c>
      <c r="S165" s="274" t="str">
        <f t="shared" si="6"/>
        <v>#REF!</v>
      </c>
      <c r="T165" s="274" t="str">
        <f t="shared" si="6"/>
        <v>#REF!</v>
      </c>
      <c r="U165" s="274" t="str">
        <f t="shared" si="6"/>
        <v>#REF!</v>
      </c>
      <c r="V165" s="274" t="str">
        <f t="shared" si="6"/>
        <v>#REF!</v>
      </c>
      <c r="W165" s="274" t="str">
        <f t="shared" si="6"/>
        <v>#REF!</v>
      </c>
      <c r="X165" s="274" t="str">
        <f t="shared" si="6"/>
        <v>#DIV/0!</v>
      </c>
      <c r="Y165" s="274" t="str">
        <f t="shared" si="6"/>
        <v>#DIV/0!</v>
      </c>
      <c r="Z165" s="274" t="str">
        <f t="shared" si="6"/>
        <v>#DIV/0!</v>
      </c>
      <c r="AA165" s="274" t="str">
        <f t="shared" si="6"/>
        <v>#DIV/0!</v>
      </c>
      <c r="AB165" s="274" t="str">
        <f t="shared" si="6"/>
        <v>#REF!</v>
      </c>
      <c r="AC165" s="274" t="str">
        <f t="shared" si="6"/>
        <v>#REF!</v>
      </c>
      <c r="AD165" s="274" t="str">
        <f t="shared" si="6"/>
        <v>#REF!</v>
      </c>
      <c r="AE165" s="274" t="str">
        <f t="shared" si="6"/>
        <v>#REF!</v>
      </c>
      <c r="AF165" s="274" t="str">
        <f t="shared" si="6"/>
        <v>#REF!</v>
      </c>
      <c r="AG165" s="274" t="str">
        <f t="shared" si="6"/>
        <v>#REF!</v>
      </c>
      <c r="AH165" s="274" t="str">
        <f t="shared" si="6"/>
        <v>#REF!</v>
      </c>
      <c r="AI165" s="275"/>
      <c r="AJ165" s="100"/>
      <c r="AK165" s="100"/>
      <c r="AL165" s="100"/>
      <c r="AM165" s="100"/>
      <c r="AN165" s="100"/>
      <c r="AO165" s="100"/>
    </row>
    <row r="166" ht="14.25" customHeight="1">
      <c r="A166" s="326"/>
      <c r="B166" s="100"/>
      <c r="C166" s="852"/>
      <c r="D166" s="100"/>
      <c r="E166" s="270" t="s">
        <v>225</v>
      </c>
      <c r="F166" s="249" t="s">
        <v>135</v>
      </c>
      <c r="G166" s="249"/>
      <c r="H166" s="181">
        <f t="shared" ref="H166:AH166" si="7">SUM(H6,H51,H123,H133,H139,H150)</f>
        <v>0.003</v>
      </c>
      <c r="I166" s="181">
        <f t="shared" si="7"/>
        <v>0.0029</v>
      </c>
      <c r="J166" s="181">
        <f t="shared" si="7"/>
        <v>0.0029</v>
      </c>
      <c r="K166" s="181">
        <f t="shared" si="7"/>
        <v>0.0028</v>
      </c>
      <c r="L166" s="181">
        <f t="shared" si="7"/>
        <v>0.0028</v>
      </c>
      <c r="M166" s="181">
        <f t="shared" si="7"/>
        <v>0.0029</v>
      </c>
      <c r="N166" s="181">
        <f t="shared" si="7"/>
        <v>0.0028</v>
      </c>
      <c r="O166" s="181">
        <f t="shared" si="7"/>
        <v>0.0027</v>
      </c>
      <c r="P166" s="181">
        <f t="shared" si="7"/>
        <v>0.0027</v>
      </c>
      <c r="Q166" s="181">
        <f t="shared" si="7"/>
        <v>0.0026</v>
      </c>
      <c r="R166" s="181">
        <f t="shared" si="7"/>
        <v>17.6494</v>
      </c>
      <c r="S166" s="181">
        <f t="shared" si="7"/>
        <v>17.067</v>
      </c>
      <c r="T166" s="181">
        <f t="shared" si="7"/>
        <v>15.5846</v>
      </c>
      <c r="U166" s="181">
        <f t="shared" si="7"/>
        <v>18.6299</v>
      </c>
      <c r="V166" s="181">
        <f t="shared" si="7"/>
        <v>19.1073</v>
      </c>
      <c r="W166" s="202">
        <f t="shared" si="7"/>
        <v>25.027016</v>
      </c>
      <c r="X166" s="202">
        <f t="shared" si="7"/>
        <v>21.8849</v>
      </c>
      <c r="Y166" s="202">
        <f t="shared" si="7"/>
        <v>21.7643</v>
      </c>
      <c r="Z166" s="202">
        <f t="shared" si="7"/>
        <v>21.7186</v>
      </c>
      <c r="AA166" s="202">
        <f t="shared" si="7"/>
        <v>26.65295252</v>
      </c>
      <c r="AB166" s="202">
        <f t="shared" si="7"/>
        <v>27.63968741</v>
      </c>
      <c r="AC166" s="202">
        <f t="shared" si="7"/>
        <v>21.19095271</v>
      </c>
      <c r="AD166" s="202">
        <f t="shared" si="7"/>
        <v>14.90743206</v>
      </c>
      <c r="AE166" s="202">
        <f t="shared" si="7"/>
        <v>5.230513248</v>
      </c>
      <c r="AF166" s="202">
        <f t="shared" si="7"/>
        <v>0.03172802063</v>
      </c>
      <c r="AG166" s="202">
        <f t="shared" si="7"/>
        <v>0.01586401032</v>
      </c>
      <c r="AH166" s="202">
        <f t="shared" si="7"/>
        <v>0</v>
      </c>
      <c r="AI166" s="204"/>
      <c r="AJ166" s="100"/>
      <c r="AK166" s="100"/>
      <c r="AL166" s="100"/>
      <c r="AM166" s="100"/>
      <c r="AN166" s="100"/>
      <c r="AO166" s="100"/>
    </row>
    <row r="167" ht="14.25" customHeight="1">
      <c r="A167" s="326"/>
      <c r="B167" s="100"/>
      <c r="C167" s="852"/>
      <c r="D167" s="100"/>
      <c r="E167" s="270" t="s">
        <v>227</v>
      </c>
      <c r="F167" s="249" t="s">
        <v>135</v>
      </c>
      <c r="G167" s="249"/>
      <c r="H167" s="181">
        <f t="shared" ref="H167:AH167" si="8">SUM(H7,H52,H124,
H137, H140,H151)</f>
        <v>0.0144</v>
      </c>
      <c r="I167" s="181">
        <f t="shared" si="8"/>
        <v>0.0475</v>
      </c>
      <c r="J167" s="181">
        <f t="shared" si="8"/>
        <v>0.0397</v>
      </c>
      <c r="K167" s="181">
        <f t="shared" si="8"/>
        <v>0.0369</v>
      </c>
      <c r="L167" s="181">
        <f t="shared" si="8"/>
        <v>0.0591</v>
      </c>
      <c r="M167" s="181">
        <f t="shared" si="8"/>
        <v>0.0722</v>
      </c>
      <c r="N167" s="181">
        <f t="shared" si="8"/>
        <v>0.0744</v>
      </c>
      <c r="O167" s="181">
        <f t="shared" si="8"/>
        <v>0.0817</v>
      </c>
      <c r="P167" s="181">
        <f t="shared" si="8"/>
        <v>0.0807</v>
      </c>
      <c r="Q167" s="181">
        <f t="shared" si="8"/>
        <v>0.1072</v>
      </c>
      <c r="R167" s="181">
        <f t="shared" si="8"/>
        <v>9.3499</v>
      </c>
      <c r="S167" s="181">
        <f t="shared" si="8"/>
        <v>9.7758</v>
      </c>
      <c r="T167" s="181">
        <f t="shared" si="8"/>
        <v>9.4557</v>
      </c>
      <c r="U167" s="181">
        <f t="shared" si="8"/>
        <v>10.5098</v>
      </c>
      <c r="V167" s="181">
        <f t="shared" si="8"/>
        <v>10.7719</v>
      </c>
      <c r="W167" s="202">
        <f t="shared" si="8"/>
        <v>17.34686979</v>
      </c>
      <c r="X167" s="202">
        <f t="shared" si="8"/>
        <v>10.0822</v>
      </c>
      <c r="Y167" s="202">
        <f t="shared" si="8"/>
        <v>9.6621</v>
      </c>
      <c r="Z167" s="202">
        <f t="shared" si="8"/>
        <v>9.9401</v>
      </c>
      <c r="AA167" s="202">
        <f t="shared" si="8"/>
        <v>9.479139872</v>
      </c>
      <c r="AB167" s="202">
        <f t="shared" si="8"/>
        <v>16.96293377</v>
      </c>
      <c r="AC167" s="202">
        <f t="shared" si="8"/>
        <v>16.50921192</v>
      </c>
      <c r="AD167" s="202">
        <f t="shared" si="8"/>
        <v>14.85841299</v>
      </c>
      <c r="AE167" s="202">
        <f t="shared" si="8"/>
        <v>13.47283813</v>
      </c>
      <c r="AF167" s="202">
        <f t="shared" si="8"/>
        <v>12.15041878</v>
      </c>
      <c r="AG167" s="202">
        <f t="shared" si="8"/>
        <v>11.40952883</v>
      </c>
      <c r="AH167" s="202">
        <f t="shared" si="8"/>
        <v>10.80681397</v>
      </c>
      <c r="AI167" s="204"/>
      <c r="AJ167" s="100"/>
      <c r="AK167" s="100"/>
      <c r="AL167" s="100"/>
      <c r="AM167" s="100"/>
      <c r="AN167" s="100"/>
      <c r="AO167" s="100"/>
    </row>
    <row r="168" ht="14.25" customHeight="1">
      <c r="A168" s="326"/>
      <c r="B168" s="100"/>
      <c r="C168" s="100"/>
      <c r="D168" s="852"/>
      <c r="E168" s="270" t="s">
        <v>3576</v>
      </c>
      <c r="F168" s="249" t="s">
        <v>135</v>
      </c>
      <c r="G168" s="249"/>
      <c r="H168" s="181">
        <f t="shared" ref="H168:AH168" si="9">SUM(H8,H53,H96,H125,H135,H141,H152)</f>
        <v>11.8471</v>
      </c>
      <c r="I168" s="181">
        <f t="shared" si="9"/>
        <v>12.2576</v>
      </c>
      <c r="J168" s="181">
        <f t="shared" si="9"/>
        <v>15.3736</v>
      </c>
      <c r="K168" s="181">
        <f t="shared" si="9"/>
        <v>17.9202</v>
      </c>
      <c r="L168" s="181">
        <f t="shared" si="9"/>
        <v>16.5663</v>
      </c>
      <c r="M168" s="181">
        <f t="shared" si="9"/>
        <v>16.9371</v>
      </c>
      <c r="N168" s="181">
        <f t="shared" si="9"/>
        <v>14.7798</v>
      </c>
      <c r="O168" s="181">
        <f t="shared" si="9"/>
        <v>12.8663</v>
      </c>
      <c r="P168" s="181">
        <f t="shared" si="9"/>
        <v>15.4347</v>
      </c>
      <c r="Q168" s="181">
        <f t="shared" si="9"/>
        <v>12.9794</v>
      </c>
      <c r="R168" s="181">
        <f t="shared" si="9"/>
        <v>35.5516</v>
      </c>
      <c r="S168" s="181">
        <f t="shared" si="9"/>
        <v>30.42</v>
      </c>
      <c r="T168" s="181">
        <f t="shared" si="9"/>
        <v>31.1152</v>
      </c>
      <c r="U168" s="181">
        <f t="shared" si="9"/>
        <v>33.4134</v>
      </c>
      <c r="V168" s="181">
        <f t="shared" si="9"/>
        <v>31.2349</v>
      </c>
      <c r="W168" s="202">
        <f t="shared" si="9"/>
        <v>206.7071906</v>
      </c>
      <c r="X168" s="202" t="str">
        <f t="shared" si="9"/>
        <v>#DIV/0!</v>
      </c>
      <c r="Y168" s="202" t="str">
        <f t="shared" si="9"/>
        <v>#DIV/0!</v>
      </c>
      <c r="Z168" s="202" t="str">
        <f t="shared" si="9"/>
        <v>#DIV/0!</v>
      </c>
      <c r="AA168" s="202" t="str">
        <f t="shared" si="9"/>
        <v>#DIV/0!</v>
      </c>
      <c r="AB168" s="202">
        <f t="shared" si="9"/>
        <v>195.8854795</v>
      </c>
      <c r="AC168" s="202">
        <f t="shared" si="9"/>
        <v>158.5965308</v>
      </c>
      <c r="AD168" s="202">
        <f t="shared" si="9"/>
        <v>110.1133262</v>
      </c>
      <c r="AE168" s="202">
        <f t="shared" si="9"/>
        <v>71.25958545</v>
      </c>
      <c r="AF168" s="202">
        <f t="shared" si="9"/>
        <v>43.87587506</v>
      </c>
      <c r="AG168" s="202">
        <f t="shared" si="9"/>
        <v>21.8172934</v>
      </c>
      <c r="AH168" s="202">
        <f t="shared" si="9"/>
        <v>8.368842014</v>
      </c>
      <c r="AI168" s="204"/>
      <c r="AJ168" s="100"/>
      <c r="AK168" s="100"/>
      <c r="AL168" s="100"/>
      <c r="AM168" s="100"/>
      <c r="AN168" s="100"/>
      <c r="AO168" s="100"/>
    </row>
    <row r="169" ht="14.25" customHeight="1">
      <c r="A169" s="326"/>
      <c r="B169" s="100"/>
      <c r="C169" s="100"/>
      <c r="D169" s="852"/>
      <c r="E169" s="270" t="s">
        <v>231</v>
      </c>
      <c r="F169" s="249" t="s">
        <v>135</v>
      </c>
      <c r="G169" s="249"/>
      <c r="H169" s="181">
        <f t="shared" ref="H169:AH169" si="10">SUM(H9,H54,H97,H126,H134,H142,H153)</f>
        <v>15.0041</v>
      </c>
      <c r="I169" s="181">
        <f t="shared" si="10"/>
        <v>16.2997</v>
      </c>
      <c r="J169" s="181">
        <f t="shared" si="10"/>
        <v>15.6805</v>
      </c>
      <c r="K169" s="181">
        <f t="shared" si="10"/>
        <v>17.201</v>
      </c>
      <c r="L169" s="181">
        <f t="shared" si="10"/>
        <v>18.7758</v>
      </c>
      <c r="M169" s="181">
        <f t="shared" si="10"/>
        <v>18.4436</v>
      </c>
      <c r="N169" s="181">
        <f t="shared" si="10"/>
        <v>18.6056</v>
      </c>
      <c r="O169" s="181">
        <f t="shared" si="10"/>
        <v>17.9579</v>
      </c>
      <c r="P169" s="181">
        <f t="shared" si="10"/>
        <v>20.5062</v>
      </c>
      <c r="Q169" s="181">
        <f t="shared" si="10"/>
        <v>20.5415</v>
      </c>
      <c r="R169" s="181">
        <f t="shared" si="10"/>
        <v>77.1428</v>
      </c>
      <c r="S169" s="181">
        <f t="shared" si="10"/>
        <v>71.9887</v>
      </c>
      <c r="T169" s="181">
        <f t="shared" si="10"/>
        <v>73.2557</v>
      </c>
      <c r="U169" s="181">
        <f t="shared" si="10"/>
        <v>76.9515</v>
      </c>
      <c r="V169" s="181">
        <f t="shared" si="10"/>
        <v>70.2755</v>
      </c>
      <c r="W169" s="202">
        <f t="shared" si="10"/>
        <v>115.7599405</v>
      </c>
      <c r="X169" s="202" t="str">
        <f t="shared" si="10"/>
        <v>#DIV/0!</v>
      </c>
      <c r="Y169" s="202" t="str">
        <f t="shared" si="10"/>
        <v>#DIV/0!</v>
      </c>
      <c r="Z169" s="202" t="str">
        <f t="shared" si="10"/>
        <v>#DIV/0!</v>
      </c>
      <c r="AA169" s="202" t="str">
        <f t="shared" si="10"/>
        <v>#DIV/0!</v>
      </c>
      <c r="AB169" s="202">
        <f t="shared" si="10"/>
        <v>114.0596606</v>
      </c>
      <c r="AC169" s="202">
        <f t="shared" si="10"/>
        <v>92.02356742</v>
      </c>
      <c r="AD169" s="202">
        <f t="shared" si="10"/>
        <v>70.36398836</v>
      </c>
      <c r="AE169" s="202">
        <f t="shared" si="10"/>
        <v>42.81276905</v>
      </c>
      <c r="AF169" s="202">
        <f t="shared" si="10"/>
        <v>31.48624589</v>
      </c>
      <c r="AG169" s="202">
        <f t="shared" si="10"/>
        <v>21.21192201</v>
      </c>
      <c r="AH169" s="202">
        <f t="shared" si="10"/>
        <v>19.01980905</v>
      </c>
      <c r="AI169" s="204"/>
      <c r="AJ169" s="100"/>
      <c r="AK169" s="100"/>
      <c r="AL169" s="100"/>
      <c r="AM169" s="100"/>
      <c r="AN169" s="100"/>
      <c r="AO169" s="100"/>
    </row>
    <row r="170" ht="14.25" customHeight="1">
      <c r="A170" s="326"/>
      <c r="B170" s="100"/>
      <c r="C170" s="100"/>
      <c r="D170" s="852"/>
      <c r="E170" s="270" t="s">
        <v>3577</v>
      </c>
      <c r="F170" s="249" t="s">
        <v>135</v>
      </c>
      <c r="G170" s="249"/>
      <c r="H170" s="181">
        <f t="shared" ref="H170:AH170" si="11">SUM(H98,H131,H136)</f>
        <v>0</v>
      </c>
      <c r="I170" s="181">
        <f t="shared" si="11"/>
        <v>0</v>
      </c>
      <c r="J170" s="181">
        <f t="shared" si="11"/>
        <v>0</v>
      </c>
      <c r="K170" s="181">
        <f t="shared" si="11"/>
        <v>0</v>
      </c>
      <c r="L170" s="181">
        <f t="shared" si="11"/>
        <v>0</v>
      </c>
      <c r="M170" s="181">
        <f t="shared" si="11"/>
        <v>0</v>
      </c>
      <c r="N170" s="181">
        <f t="shared" si="11"/>
        <v>0</v>
      </c>
      <c r="O170" s="181">
        <f t="shared" si="11"/>
        <v>0</v>
      </c>
      <c r="P170" s="181">
        <f t="shared" si="11"/>
        <v>0</v>
      </c>
      <c r="Q170" s="181">
        <f t="shared" si="11"/>
        <v>0</v>
      </c>
      <c r="R170" s="181">
        <f t="shared" si="11"/>
        <v>0</v>
      </c>
      <c r="S170" s="181">
        <f t="shared" si="11"/>
        <v>0</v>
      </c>
      <c r="T170" s="181">
        <f t="shared" si="11"/>
        <v>0</v>
      </c>
      <c r="U170" s="181">
        <f t="shared" si="11"/>
        <v>0</v>
      </c>
      <c r="V170" s="181">
        <f t="shared" si="11"/>
        <v>0</v>
      </c>
      <c r="W170" s="202">
        <f t="shared" si="11"/>
        <v>0</v>
      </c>
      <c r="X170" s="202" t="str">
        <f t="shared" si="11"/>
        <v>#DIV/0!</v>
      </c>
      <c r="Y170" s="202" t="str">
        <f t="shared" si="11"/>
        <v>#DIV/0!</v>
      </c>
      <c r="Z170" s="202" t="str">
        <f t="shared" si="11"/>
        <v>#DIV/0!</v>
      </c>
      <c r="AA170" s="202" t="str">
        <f t="shared" si="11"/>
        <v>#DIV/0!</v>
      </c>
      <c r="AB170" s="202">
        <f t="shared" si="11"/>
        <v>0</v>
      </c>
      <c r="AC170" s="202">
        <f t="shared" si="11"/>
        <v>0</v>
      </c>
      <c r="AD170" s="202">
        <f t="shared" si="11"/>
        <v>0.119758458</v>
      </c>
      <c r="AE170" s="202">
        <f t="shared" si="11"/>
        <v>18.44917453</v>
      </c>
      <c r="AF170" s="202">
        <f t="shared" si="11"/>
        <v>27.30131507</v>
      </c>
      <c r="AG170" s="202">
        <f t="shared" si="11"/>
        <v>34.01062309</v>
      </c>
      <c r="AH170" s="202">
        <f t="shared" si="11"/>
        <v>40.49652713</v>
      </c>
      <c r="AI170" s="204"/>
      <c r="AJ170" s="100"/>
      <c r="AK170" s="100"/>
      <c r="AL170" s="100"/>
      <c r="AM170" s="100"/>
      <c r="AN170" s="100"/>
      <c r="AO170" s="100"/>
    </row>
    <row r="171" ht="14.25" customHeight="1">
      <c r="A171" s="326"/>
      <c r="B171" s="100"/>
      <c r="C171" s="100"/>
      <c r="D171" s="852"/>
      <c r="E171" s="270" t="s">
        <v>233</v>
      </c>
      <c r="F171" s="123" t="s">
        <v>135</v>
      </c>
      <c r="G171" s="123"/>
      <c r="H171" s="181" t="str">
        <f t="shared" ref="H171:AH171" si="12">SUM(H10,H55,H99,H127,H143,H154)</f>
        <v>#REF!</v>
      </c>
      <c r="I171" s="181" t="str">
        <f t="shared" si="12"/>
        <v>#REF!</v>
      </c>
      <c r="J171" s="181" t="str">
        <f t="shared" si="12"/>
        <v>#REF!</v>
      </c>
      <c r="K171" s="181" t="str">
        <f t="shared" si="12"/>
        <v>#REF!</v>
      </c>
      <c r="L171" s="181" t="str">
        <f t="shared" si="12"/>
        <v>#REF!</v>
      </c>
      <c r="M171" s="181" t="str">
        <f t="shared" si="12"/>
        <v>#REF!</v>
      </c>
      <c r="N171" s="181" t="str">
        <f t="shared" si="12"/>
        <v>#REF!</v>
      </c>
      <c r="O171" s="181" t="str">
        <f t="shared" si="12"/>
        <v>#REF!</v>
      </c>
      <c r="P171" s="181" t="str">
        <f t="shared" si="12"/>
        <v>#REF!</v>
      </c>
      <c r="Q171" s="181" t="str">
        <f t="shared" si="12"/>
        <v>#REF!</v>
      </c>
      <c r="R171" s="181" t="str">
        <f t="shared" si="12"/>
        <v>#REF!</v>
      </c>
      <c r="S171" s="181" t="str">
        <f t="shared" si="12"/>
        <v>#REF!</v>
      </c>
      <c r="T171" s="181" t="str">
        <f t="shared" si="12"/>
        <v>#REF!</v>
      </c>
      <c r="U171" s="181" t="str">
        <f t="shared" si="12"/>
        <v>#REF!</v>
      </c>
      <c r="V171" s="181" t="str">
        <f t="shared" si="12"/>
        <v>#REF!</v>
      </c>
      <c r="W171" s="202" t="str">
        <f t="shared" si="12"/>
        <v>#REF!</v>
      </c>
      <c r="X171" s="202" t="str">
        <f t="shared" si="12"/>
        <v>#REF!</v>
      </c>
      <c r="Y171" s="202" t="str">
        <f t="shared" si="12"/>
        <v>#REF!</v>
      </c>
      <c r="Z171" s="202" t="str">
        <f t="shared" si="12"/>
        <v>#REF!</v>
      </c>
      <c r="AA171" s="202" t="str">
        <f t="shared" si="12"/>
        <v>#REF!</v>
      </c>
      <c r="AB171" s="202" t="str">
        <f t="shared" si="12"/>
        <v>#REF!</v>
      </c>
      <c r="AC171" s="202" t="str">
        <f t="shared" si="12"/>
        <v>#REF!</v>
      </c>
      <c r="AD171" s="202" t="str">
        <f t="shared" si="12"/>
        <v>#REF!</v>
      </c>
      <c r="AE171" s="202" t="str">
        <f t="shared" si="12"/>
        <v>#REF!</v>
      </c>
      <c r="AF171" s="202" t="str">
        <f t="shared" si="12"/>
        <v>#REF!</v>
      </c>
      <c r="AG171" s="202" t="str">
        <f t="shared" si="12"/>
        <v>#REF!</v>
      </c>
      <c r="AH171" s="202" t="str">
        <f t="shared" si="12"/>
        <v>#REF!</v>
      </c>
      <c r="AI171" s="204"/>
      <c r="AJ171" s="100"/>
      <c r="AK171" s="100"/>
      <c r="AL171" s="100"/>
      <c r="AM171" s="100"/>
      <c r="AN171" s="100"/>
      <c r="AO171" s="100"/>
    </row>
    <row r="172" ht="14.25" customHeight="1">
      <c r="A172" s="326"/>
      <c r="B172" s="100"/>
      <c r="C172" s="100"/>
      <c r="D172" s="852"/>
      <c r="E172" s="270" t="s">
        <v>239</v>
      </c>
      <c r="F172" s="249" t="s">
        <v>135</v>
      </c>
      <c r="G172" s="249"/>
      <c r="H172" s="181">
        <f t="shared" ref="H172:AH172" si="13">SUM(H13,H58,H128,H155)</f>
        <v>0</v>
      </c>
      <c r="I172" s="181">
        <f t="shared" si="13"/>
        <v>0</v>
      </c>
      <c r="J172" s="181">
        <f t="shared" si="13"/>
        <v>0</v>
      </c>
      <c r="K172" s="181">
        <f t="shared" si="13"/>
        <v>0</v>
      </c>
      <c r="L172" s="181">
        <f t="shared" si="13"/>
        <v>0</v>
      </c>
      <c r="M172" s="181">
        <f t="shared" si="13"/>
        <v>0</v>
      </c>
      <c r="N172" s="181">
        <f t="shared" si="13"/>
        <v>0</v>
      </c>
      <c r="O172" s="181">
        <f t="shared" si="13"/>
        <v>0</v>
      </c>
      <c r="P172" s="181">
        <f t="shared" si="13"/>
        <v>0</v>
      </c>
      <c r="Q172" s="181">
        <f t="shared" si="13"/>
        <v>0</v>
      </c>
      <c r="R172" s="181">
        <f t="shared" si="13"/>
        <v>0</v>
      </c>
      <c r="S172" s="181">
        <f t="shared" si="13"/>
        <v>0</v>
      </c>
      <c r="T172" s="181">
        <f t="shared" si="13"/>
        <v>0</v>
      </c>
      <c r="U172" s="181">
        <f t="shared" si="13"/>
        <v>0</v>
      </c>
      <c r="V172" s="181">
        <f t="shared" si="13"/>
        <v>0</v>
      </c>
      <c r="W172" s="202">
        <f t="shared" si="13"/>
        <v>0.2597642641</v>
      </c>
      <c r="X172" s="202">
        <f t="shared" si="13"/>
        <v>0</v>
      </c>
      <c r="Y172" s="202">
        <f t="shared" si="13"/>
        <v>0</v>
      </c>
      <c r="Z172" s="202">
        <f t="shared" si="13"/>
        <v>0</v>
      </c>
      <c r="AA172" s="202">
        <f t="shared" si="13"/>
        <v>0</v>
      </c>
      <c r="AB172" s="202">
        <f t="shared" si="13"/>
        <v>0.3220053154</v>
      </c>
      <c r="AC172" s="202">
        <f t="shared" si="13"/>
        <v>0.4226957417</v>
      </c>
      <c r="AD172" s="202">
        <f t="shared" si="13"/>
        <v>0.4766308108</v>
      </c>
      <c r="AE172" s="202">
        <f t="shared" si="13"/>
        <v>0.6381043261</v>
      </c>
      <c r="AF172" s="202">
        <f t="shared" si="13"/>
        <v>0.8470124624</v>
      </c>
      <c r="AG172" s="202">
        <f t="shared" si="13"/>
        <v>1.057988991</v>
      </c>
      <c r="AH172" s="202">
        <f t="shared" si="13"/>
        <v>1.19379698</v>
      </c>
      <c r="AI172" s="275"/>
      <c r="AJ172" s="100"/>
      <c r="AK172" s="100"/>
      <c r="AL172" s="100"/>
      <c r="AM172" s="100"/>
      <c r="AN172" s="100"/>
      <c r="AO172" s="100"/>
    </row>
    <row r="173" ht="14.25" customHeight="1">
      <c r="A173" s="326"/>
      <c r="B173" s="100"/>
      <c r="C173" s="100"/>
      <c r="D173" s="852"/>
      <c r="E173" s="270" t="s">
        <v>3578</v>
      </c>
      <c r="F173" s="249" t="s">
        <v>135</v>
      </c>
      <c r="G173" s="249"/>
      <c r="H173" s="181">
        <f t="shared" ref="H173:AH173" si="14">SUM(H11,H56,H129,H144,H156)</f>
        <v>0.1633</v>
      </c>
      <c r="I173" s="181">
        <f t="shared" si="14"/>
        <v>0.1669</v>
      </c>
      <c r="J173" s="181">
        <f t="shared" si="14"/>
        <v>0.1685</v>
      </c>
      <c r="K173" s="181">
        <f t="shared" si="14"/>
        <v>0.1649</v>
      </c>
      <c r="L173" s="181">
        <f t="shared" si="14"/>
        <v>0.1633</v>
      </c>
      <c r="M173" s="181">
        <f t="shared" si="14"/>
        <v>0.1524</v>
      </c>
      <c r="N173" s="181">
        <f t="shared" si="14"/>
        <v>0.5711</v>
      </c>
      <c r="O173" s="181">
        <f t="shared" si="14"/>
        <v>0.5753</v>
      </c>
      <c r="P173" s="181">
        <f t="shared" si="14"/>
        <v>0.8253</v>
      </c>
      <c r="Q173" s="181">
        <f t="shared" si="14"/>
        <v>0.8056</v>
      </c>
      <c r="R173" s="181">
        <f t="shared" si="14"/>
        <v>7.2936</v>
      </c>
      <c r="S173" s="181">
        <f t="shared" si="14"/>
        <v>7.2387</v>
      </c>
      <c r="T173" s="181">
        <f t="shared" si="14"/>
        <v>6.8865</v>
      </c>
      <c r="U173" s="181">
        <f t="shared" si="14"/>
        <v>6.6058</v>
      </c>
      <c r="V173" s="181">
        <f t="shared" si="14"/>
        <v>6.029</v>
      </c>
      <c r="W173" s="202">
        <f t="shared" si="14"/>
        <v>7.555926621</v>
      </c>
      <c r="X173" s="202">
        <f t="shared" si="14"/>
        <v>1.292528</v>
      </c>
      <c r="Y173" s="202">
        <f t="shared" si="14"/>
        <v>1.330028</v>
      </c>
      <c r="Z173" s="202">
        <f t="shared" si="14"/>
        <v>1.449361</v>
      </c>
      <c r="AA173" s="202">
        <f t="shared" si="14"/>
        <v>5.392262871</v>
      </c>
      <c r="AB173" s="202">
        <f t="shared" si="14"/>
        <v>6.27993472</v>
      </c>
      <c r="AC173" s="202">
        <f t="shared" si="14"/>
        <v>11.03834035</v>
      </c>
      <c r="AD173" s="202">
        <f t="shared" si="14"/>
        <v>12.39583172</v>
      </c>
      <c r="AE173" s="202">
        <f t="shared" si="14"/>
        <v>13.19701751</v>
      </c>
      <c r="AF173" s="202">
        <f t="shared" si="14"/>
        <v>13.51325777</v>
      </c>
      <c r="AG173" s="202">
        <f t="shared" si="14"/>
        <v>14.38995532</v>
      </c>
      <c r="AH173" s="202">
        <f t="shared" si="14"/>
        <v>14.60875256</v>
      </c>
      <c r="AI173" s="275"/>
      <c r="AJ173" s="100"/>
      <c r="AK173" s="100"/>
      <c r="AL173" s="100"/>
      <c r="AM173" s="100"/>
      <c r="AN173" s="100"/>
      <c r="AO173" s="100"/>
    </row>
    <row r="174" ht="14.25" customHeight="1">
      <c r="A174" s="326"/>
      <c r="B174" s="100"/>
      <c r="C174" s="100"/>
      <c r="D174" s="100"/>
      <c r="E174" s="122" t="s">
        <v>237</v>
      </c>
      <c r="F174" s="123" t="s">
        <v>135</v>
      </c>
      <c r="G174" s="123"/>
      <c r="H174" s="181">
        <f t="shared" ref="H174:AH174" si="15">SUM(H12,H57,H130,H157)</f>
        <v>0</v>
      </c>
      <c r="I174" s="181">
        <f t="shared" si="15"/>
        <v>0</v>
      </c>
      <c r="J174" s="181">
        <f t="shared" si="15"/>
        <v>0</v>
      </c>
      <c r="K174" s="181">
        <f t="shared" si="15"/>
        <v>0</v>
      </c>
      <c r="L174" s="181">
        <f t="shared" si="15"/>
        <v>0</v>
      </c>
      <c r="M174" s="181">
        <f t="shared" si="15"/>
        <v>0</v>
      </c>
      <c r="N174" s="181">
        <f t="shared" si="15"/>
        <v>0</v>
      </c>
      <c r="O174" s="181">
        <f t="shared" si="15"/>
        <v>0</v>
      </c>
      <c r="P174" s="181">
        <f t="shared" si="15"/>
        <v>0</v>
      </c>
      <c r="Q174" s="181">
        <f t="shared" si="15"/>
        <v>0</v>
      </c>
      <c r="R174" s="181">
        <f t="shared" si="15"/>
        <v>0</v>
      </c>
      <c r="S174" s="181">
        <f t="shared" si="15"/>
        <v>0</v>
      </c>
      <c r="T174" s="181">
        <f t="shared" si="15"/>
        <v>0</v>
      </c>
      <c r="U174" s="181">
        <f t="shared" si="15"/>
        <v>0</v>
      </c>
      <c r="V174" s="181">
        <f t="shared" si="15"/>
        <v>0</v>
      </c>
      <c r="W174" s="202">
        <f t="shared" si="15"/>
        <v>1.347912178</v>
      </c>
      <c r="X174" s="202">
        <f t="shared" si="15"/>
        <v>0</v>
      </c>
      <c r="Y174" s="202">
        <f t="shared" si="15"/>
        <v>0</v>
      </c>
      <c r="Z174" s="202">
        <f t="shared" si="15"/>
        <v>0</v>
      </c>
      <c r="AA174" s="202">
        <f t="shared" si="15"/>
        <v>0</v>
      </c>
      <c r="AB174" s="202">
        <f t="shared" si="15"/>
        <v>4.659425678</v>
      </c>
      <c r="AC174" s="202">
        <f t="shared" si="15"/>
        <v>10.34821316</v>
      </c>
      <c r="AD174" s="202">
        <f t="shared" si="15"/>
        <v>15.34649922</v>
      </c>
      <c r="AE174" s="202">
        <f t="shared" si="15"/>
        <v>17.7368782</v>
      </c>
      <c r="AF174" s="202">
        <f t="shared" si="15"/>
        <v>16.98606886</v>
      </c>
      <c r="AG174" s="202">
        <f t="shared" si="15"/>
        <v>18.5638667</v>
      </c>
      <c r="AH174" s="202">
        <f t="shared" si="15"/>
        <v>18.23307919</v>
      </c>
      <c r="AI174" s="275"/>
      <c r="AJ174" s="100"/>
      <c r="AK174" s="100"/>
      <c r="AL174" s="100"/>
      <c r="AM174" s="100"/>
      <c r="AN174" s="100"/>
      <c r="AO174" s="100"/>
    </row>
    <row r="175" ht="14.25" customHeight="1">
      <c r="A175" s="926" t="s">
        <v>3579</v>
      </c>
      <c r="B175" s="100"/>
      <c r="C175" s="100"/>
      <c r="D175" s="195"/>
      <c r="E175" s="162"/>
      <c r="F175" s="836"/>
      <c r="G175" s="836"/>
      <c r="H175" s="178"/>
      <c r="I175" s="178"/>
      <c r="J175" s="178"/>
      <c r="K175" s="178"/>
      <c r="L175" s="178"/>
      <c r="M175" s="178"/>
      <c r="N175" s="178"/>
      <c r="O175" s="178"/>
      <c r="P175" s="178"/>
      <c r="Q175" s="178"/>
      <c r="R175" s="178"/>
      <c r="S175" s="178"/>
      <c r="T175" s="178"/>
      <c r="U175" s="178"/>
      <c r="V175" s="178"/>
      <c r="W175" s="836"/>
      <c r="X175" s="178"/>
      <c r="Y175" s="178"/>
      <c r="Z175" s="178"/>
      <c r="AA175" s="178"/>
      <c r="AB175" s="836"/>
      <c r="AC175" s="836"/>
      <c r="AD175" s="836"/>
      <c r="AE175" s="836"/>
      <c r="AF175" s="836"/>
      <c r="AG175" s="836"/>
      <c r="AH175" s="836"/>
      <c r="AI175" s="244"/>
      <c r="AJ175" s="100"/>
      <c r="AK175" s="100"/>
      <c r="AL175" s="100"/>
      <c r="AM175" s="100"/>
      <c r="AN175" s="195"/>
      <c r="AO175" s="195"/>
    </row>
    <row r="176" ht="14.25" customHeight="1">
      <c r="A176" s="326"/>
      <c r="B176" s="100"/>
      <c r="C176" s="852"/>
      <c r="D176" s="100"/>
      <c r="E176" s="287" t="s">
        <v>3580</v>
      </c>
      <c r="F176" s="249" t="s">
        <v>135</v>
      </c>
      <c r="G176" s="249"/>
      <c r="H176" s="274">
        <f t="shared" ref="H176:AH176" si="16">SUM(H177:H185)</f>
        <v>268.7973</v>
      </c>
      <c r="I176" s="274">
        <f t="shared" si="16"/>
        <v>273.9625</v>
      </c>
      <c r="J176" s="274">
        <f t="shared" si="16"/>
        <v>271.1324</v>
      </c>
      <c r="K176" s="274">
        <f t="shared" si="16"/>
        <v>291.2949</v>
      </c>
      <c r="L176" s="274">
        <f t="shared" si="16"/>
        <v>291.4063</v>
      </c>
      <c r="M176" s="274">
        <f t="shared" si="16"/>
        <v>287.6996</v>
      </c>
      <c r="N176" s="274">
        <f t="shared" si="16"/>
        <v>282.2459</v>
      </c>
      <c r="O176" s="274">
        <f t="shared" si="16"/>
        <v>272.4232</v>
      </c>
      <c r="P176" s="274">
        <f t="shared" si="16"/>
        <v>290.144</v>
      </c>
      <c r="Q176" s="274">
        <f t="shared" si="16"/>
        <v>280.6085</v>
      </c>
      <c r="R176" s="274">
        <f t="shared" si="16"/>
        <v>434.9101</v>
      </c>
      <c r="S176" s="274">
        <f t="shared" si="16"/>
        <v>404.9013</v>
      </c>
      <c r="T176" s="274">
        <f t="shared" si="16"/>
        <v>407.496</v>
      </c>
      <c r="U176" s="274">
        <f t="shared" si="16"/>
        <v>424.6401</v>
      </c>
      <c r="V176" s="274">
        <f t="shared" si="16"/>
        <v>397.873</v>
      </c>
      <c r="W176" s="274">
        <f t="shared" si="16"/>
        <v>455.7298394</v>
      </c>
      <c r="X176" s="274">
        <f t="shared" si="16"/>
        <v>350.100589</v>
      </c>
      <c r="Y176" s="274">
        <f t="shared" si="16"/>
        <v>345.5299866</v>
      </c>
      <c r="Z176" s="274">
        <f t="shared" si="16"/>
        <v>244.7512052</v>
      </c>
      <c r="AA176" s="274">
        <f t="shared" si="16"/>
        <v>294.3447962</v>
      </c>
      <c r="AB176" s="274">
        <f t="shared" si="16"/>
        <v>349.7944067</v>
      </c>
      <c r="AC176" s="274">
        <f t="shared" si="16"/>
        <v>231.6343166</v>
      </c>
      <c r="AD176" s="274">
        <f t="shared" si="16"/>
        <v>204.381351</v>
      </c>
      <c r="AE176" s="274">
        <f t="shared" si="16"/>
        <v>167.7214409</v>
      </c>
      <c r="AF176" s="274">
        <f t="shared" si="16"/>
        <v>148.1492913</v>
      </c>
      <c r="AG176" s="274">
        <f t="shared" si="16"/>
        <v>138.9547597</v>
      </c>
      <c r="AH176" s="274">
        <f t="shared" si="16"/>
        <v>134.2576789</v>
      </c>
      <c r="AI176" s="275"/>
      <c r="AJ176" s="100"/>
      <c r="AK176" s="100"/>
      <c r="AL176" s="100"/>
      <c r="AM176" s="100"/>
      <c r="AN176" s="100"/>
      <c r="AO176" s="100"/>
    </row>
    <row r="177" ht="14.25" customHeight="1">
      <c r="A177" s="326"/>
      <c r="B177" s="100"/>
      <c r="C177" s="852"/>
      <c r="D177" s="100"/>
      <c r="E177" s="270" t="s">
        <v>225</v>
      </c>
      <c r="F177" s="249" t="s">
        <v>135</v>
      </c>
      <c r="G177" s="249"/>
      <c r="H177" s="181">
        <f>IFERROR(__xludf.DUMMYFUNCTION("SUM(SINGLE(cmscfres),SINGLE(cmscfter),SINGLE(cmscfind),SINGLE(cmscfneind),SINGLE(cmscfens),SINGLE(cmscfagr))"),2.2984)</f>
        <v>2.2984</v>
      </c>
      <c r="I177" s="181">
        <f>IFERROR(__xludf.DUMMYFUNCTION("SUM(SINGLE(cmscfres),SINGLE(cmscfter),SINGLE(cmscfind),SINGLE(cmscfneind),SINGLE(cmscfens),SINGLE(cmscfagr))"),2.5219)</f>
        <v>2.5219</v>
      </c>
      <c r="J177" s="181">
        <f>IFERROR(__xludf.DUMMYFUNCTION("SUM(SINGLE(cmscfres),SINGLE(cmscfter),SINGLE(cmscfind),SINGLE(cmscfneind),SINGLE(cmscfens),SINGLE(cmscfagr))"),2.2409)</f>
        <v>2.2409</v>
      </c>
      <c r="K177" s="181">
        <f>IFERROR(__xludf.DUMMYFUNCTION("SUM(SINGLE(cmscfres),SINGLE(cmscfter),SINGLE(cmscfind),SINGLE(cmscfneind),SINGLE(cmscfens),SINGLE(cmscfagr))"),1.7067)</f>
        <v>1.7067</v>
      </c>
      <c r="L177" s="181">
        <f>IFERROR(__xludf.DUMMYFUNCTION("SUM(SINGLE(cmscfres),SINGLE(cmscfter),SINGLE(cmscfind),SINGLE(cmscfneind),SINGLE(cmscfens),SINGLE(cmscfagr))"),1.5134)</f>
        <v>1.5134</v>
      </c>
      <c r="M177" s="181">
        <f>IFERROR(__xludf.DUMMYFUNCTION("SUM(SINGLE(cmscfres),SINGLE(cmscfter),SINGLE(cmscfind),SINGLE(cmscfneind),SINGLE(cmscfens),SINGLE(cmscfagr))"),1.4984)</f>
        <v>1.4984</v>
      </c>
      <c r="N177" s="181">
        <f>IFERROR(__xludf.DUMMYFUNCTION("SUM(SINGLE(cmscfres),SINGLE(cmscfter),SINGLE(cmscfind),SINGLE(cmscfneind),SINGLE(cmscfens),SINGLE(cmscfagr))"),1.4728999999999999)</f>
        <v>1.4729</v>
      </c>
      <c r="O177" s="181">
        <f>IFERROR(__xludf.DUMMYFUNCTION("SUM(SINGLE(cmscfres),SINGLE(cmscfter),SINGLE(cmscfind),SINGLE(cmscfneind),SINGLE(cmscfens),SINGLE(cmscfagr))"),1.3440999999999999)</f>
        <v>1.3441</v>
      </c>
      <c r="P177" s="181">
        <f>IFERROR(__xludf.DUMMYFUNCTION("SUM(SINGLE(cmscfres),SINGLE(cmscfter),SINGLE(cmscfind),SINGLE(cmscfneind),SINGLE(cmscfens),SINGLE(cmscfagr))"),1.8686)</f>
        <v>1.8686</v>
      </c>
      <c r="Q177" s="181">
        <f>IFERROR(__xludf.DUMMYFUNCTION("SUM(SINGLE(cmscfres),SINGLE(cmscfter),SINGLE(cmscfind),SINGLE(cmscfneind),SINGLE(cmscfens),SINGLE(cmscfagr))"),2.6885000000000003)</f>
        <v>2.6885</v>
      </c>
      <c r="R177" s="181">
        <f>IFERROR(__xludf.DUMMYFUNCTION("SUM(SINGLE(cmscfres),SINGLE(cmscfter),SINGLE(cmscfind),SINGLE(cmscfneind),SINGLE(cmscfens),SINGLE(cmscfagr))"),19.0247)</f>
        <v>19.0247</v>
      </c>
      <c r="S177" s="181">
        <f>IFERROR(__xludf.DUMMYFUNCTION("SUM(SINGLE(cmscfres),SINGLE(cmscfter),SINGLE(cmscfind),SINGLE(cmscfneind),SINGLE(cmscfens),SINGLE(cmscfagr))"),18.268299999999996)</f>
        <v>18.2683</v>
      </c>
      <c r="T177" s="181">
        <f>IFERROR(__xludf.DUMMYFUNCTION("SUM(SINGLE(cmscfres),SINGLE(cmscfter),SINGLE(cmscfind),SINGLE(cmscfneind),SINGLE(cmscfens),SINGLE(cmscfagr))"),16.7685)</f>
        <v>16.7685</v>
      </c>
      <c r="U177" s="181">
        <f>IFERROR(__xludf.DUMMYFUNCTION("SUM(SINGLE(cmscfres),SINGLE(cmscfter),SINGLE(cmscfind),SINGLE(cmscfneind),SINGLE(cmscfens),SINGLE(cmscfagr))"),19.980999999999998)</f>
        <v>19.981</v>
      </c>
      <c r="V177" s="181">
        <f>IFERROR(__xludf.DUMMYFUNCTION("SUM(SINGLE(cmscfres),SINGLE(cmscfter),SINGLE(cmscfind),SINGLE(cmscfneind),SINGLE(cmscfens),SINGLE(cmscfagr))"),20.1671)</f>
        <v>20.1671</v>
      </c>
      <c r="W177" s="202">
        <f>IFERROR(__xludf.DUMMYFUNCTION("SUM(SINGLE(cmscfres),SINGLE(cmscfter),SINGLE(cmscfind),SINGLE(cmscfneind),SINGLE(cmscfens),SINGLE(cmscfagr))"),25.029620000000005)</f>
        <v>25.02962</v>
      </c>
      <c r="X177" s="202">
        <f>IFERROR(__xludf.DUMMYFUNCTION("SUM(SINGLE(cmscfres),SINGLE(cmscfter),SINGLE(cmscfind),SINGLE(cmscfneind),SINGLE(cmscfens),SINGLE(cmscfagr))"),22.9633)</f>
        <v>22.9633</v>
      </c>
      <c r="Y177" s="202">
        <f>IFERROR(__xludf.DUMMYFUNCTION("SUM(SINGLE(cmscfres),SINGLE(cmscfter),SINGLE(cmscfind),SINGLE(cmscfneind),SINGLE(cmscfens),SINGLE(cmscfagr))"),22.7789)</f>
        <v>22.7789</v>
      </c>
      <c r="Z177" s="202">
        <f>IFERROR(__xludf.DUMMYFUNCTION("SUM(SINGLE(cmscfres),SINGLE(cmscfter),SINGLE(cmscfind),SINGLE(cmscfneind),SINGLE(cmscfens),SINGLE(cmscfagr))"),21.7186)</f>
        <v>21.7186</v>
      </c>
      <c r="AA177" s="202">
        <f>IFERROR(__xludf.DUMMYFUNCTION("SUM(SINGLE(cmscfres),SINGLE(cmscfter),SINGLE(cmscfind),SINGLE(cmscfneind),SINGLE(cmscfens),SINGLE(cmscfagr))"),26.652952524763798)</f>
        <v>26.65295252</v>
      </c>
      <c r="AB177" s="202">
        <f>IFERROR(__xludf.DUMMYFUNCTION("SUM(SINGLE(cmscfres),SINGLE(cmscfter),SINGLE(cmscfind),SINGLE(cmscfneind),SINGLE(cmscfens),SINGLE(cmscfagr))"),26.652952524763798)</f>
        <v>26.65295252</v>
      </c>
      <c r="AC177" s="202">
        <f>IFERROR(__xludf.DUMMYFUNCTION("SUM(SINGLE(cmscfres),SINGLE(cmscfter),SINGLE(cmscfind),SINGLE(cmscfneind),SINGLE(cmscfens),SINGLE(cmscfagr))"),20.94024339373057)</f>
        <v>20.94024339</v>
      </c>
      <c r="AD177" s="202">
        <f>IFERROR(__xludf.DUMMYFUNCTION("SUM(SINGLE(cmscfres),SINGLE(cmscfter),SINGLE(cmscfind),SINGLE(cmscfneind),SINGLE(cmscfens),SINGLE(cmscfagr))"),14.843976013792329)</f>
        <v>14.84397601</v>
      </c>
      <c r="AE177" s="202">
        <f>IFERROR(__xludf.DUMMYFUNCTION("SUM(SINGLE(cmscfres),SINGLE(cmscfter),SINGLE(cmscfind),SINGLE(cmscfneind),SINGLE(cmscfens),SINGLE(cmscfagr))"),5.182921217261602)</f>
        <v>5.182921217</v>
      </c>
      <c r="AF177" s="202">
        <f>IFERROR(__xludf.DUMMYFUNCTION("SUM(SINGLE(cmscfres),SINGLE(cmscfter),SINGLE(cmscfind),SINGLE(cmscfneind),SINGLE(cmscfens),SINGLE(cmscfagr))"),0.0)</f>
        <v>0</v>
      </c>
      <c r="AG177" s="202">
        <f>IFERROR(__xludf.DUMMYFUNCTION("SUM(SINGLE(cmscfres),SINGLE(cmscfter),SINGLE(cmscfind),SINGLE(cmscfneind),SINGLE(cmscfens),SINGLE(cmscfagr))"),0.0)</f>
        <v>0</v>
      </c>
      <c r="AH177" s="202">
        <f>IFERROR(__xludf.DUMMYFUNCTION("SUM(SINGLE(cmscfres),SINGLE(cmscfter),SINGLE(cmscfind),SINGLE(cmscfneind),SINGLE(cmscfens),SINGLE(cmscfagr))"),0.0)</f>
        <v>0</v>
      </c>
      <c r="AI177" s="204"/>
      <c r="AJ177" s="100"/>
      <c r="AK177" s="100"/>
      <c r="AL177" s="100"/>
      <c r="AM177" s="100"/>
      <c r="AN177" s="100"/>
      <c r="AO177" s="100"/>
    </row>
    <row r="178" ht="14.25" customHeight="1">
      <c r="A178" s="326"/>
      <c r="B178" s="100"/>
      <c r="C178" s="852"/>
      <c r="D178" s="100"/>
      <c r="E178" s="270" t="s">
        <v>227</v>
      </c>
      <c r="F178" s="249" t="s">
        <v>135</v>
      </c>
      <c r="G178" s="249"/>
      <c r="H178" s="181">
        <f>IFERROR(__xludf.DUMMYFUNCTION("SUM(SINGLE(enccfres),SINGLE(enccfter),SINGLE(enccfind),SINGLE(enccfens),SINGLE(enccfagr))"),1.7858)</f>
        <v>1.7858</v>
      </c>
      <c r="I178" s="181">
        <f>IFERROR(__xludf.DUMMYFUNCTION("SUM(SINGLE(enccfres),SINGLE(enccfter),SINGLE(enccfind),SINGLE(enccfens),SINGLE(enccfagr))"),2.0413)</f>
        <v>2.0413</v>
      </c>
      <c r="J178" s="181">
        <f>IFERROR(__xludf.DUMMYFUNCTION("SUM(SINGLE(enccfres),SINGLE(enccfter),SINGLE(enccfind),SINGLE(enccfens),SINGLE(enccfagr))"),1.7797)</f>
        <v>1.7797</v>
      </c>
      <c r="K178" s="181">
        <f>IFERROR(__xludf.DUMMYFUNCTION("SUM(SINGLE(enccfres),SINGLE(enccfter),SINGLE(enccfind),SINGLE(enccfens),SINGLE(enccfagr))"),2.2695000000000003)</f>
        <v>2.2695</v>
      </c>
      <c r="L178" s="181">
        <f>IFERROR(__xludf.DUMMYFUNCTION("SUM(SINGLE(enccfres),SINGLE(enccfter),SINGLE(enccfind),SINGLE(enccfens),SINGLE(enccfagr))"),2.2861)</f>
        <v>2.2861</v>
      </c>
      <c r="M178" s="181">
        <f>IFERROR(__xludf.DUMMYFUNCTION("SUM(SINGLE(enccfres),SINGLE(enccfter),SINGLE(enccfind),SINGLE(enccfens),SINGLE(enccfagr))"),2.3506)</f>
        <v>2.3506</v>
      </c>
      <c r="N178" s="181">
        <f>IFERROR(__xludf.DUMMYFUNCTION("SUM(SINGLE(enccfres),SINGLE(enccfter),SINGLE(enccfind),SINGLE(enccfens),SINGLE(enccfagr))"),2.5763)</f>
        <v>2.5763</v>
      </c>
      <c r="O178" s="181">
        <f>IFERROR(__xludf.DUMMYFUNCTION("SUM(SINGLE(enccfres),SINGLE(enccfter),SINGLE(enccfind),SINGLE(enccfens),SINGLE(enccfagr))"),2.5892000000000004)</f>
        <v>2.5892</v>
      </c>
      <c r="P178" s="181">
        <f>IFERROR(__xludf.DUMMYFUNCTION("SUM(SINGLE(enccfres),SINGLE(enccfter),SINGLE(enccfind),SINGLE(enccfens),SINGLE(enccfagr))"),2.8633)</f>
        <v>2.8633</v>
      </c>
      <c r="Q178" s="181">
        <f>IFERROR(__xludf.DUMMYFUNCTION("SUM(SINGLE(enccfres),SINGLE(enccfter),SINGLE(enccfind),SINGLE(enccfens),SINGLE(enccfagr))"),3.1266000000000003)</f>
        <v>3.1266</v>
      </c>
      <c r="R178" s="181">
        <f>IFERROR(__xludf.DUMMYFUNCTION("SUM(SINGLE(enccfres),SINGLE(enccfter),SINGLE(enccfind),SINGLE(enccfens),SINGLE(enccfagr))"),12.4728)</f>
        <v>12.4728</v>
      </c>
      <c r="S178" s="181">
        <f>IFERROR(__xludf.DUMMYFUNCTION("SUM(SINGLE(enccfres),SINGLE(enccfter),SINGLE(enccfind),SINGLE(enccfens),SINGLE(enccfagr))"),12.8055)</f>
        <v>12.8055</v>
      </c>
      <c r="T178" s="181">
        <f>IFERROR(__xludf.DUMMYFUNCTION("SUM(SINGLE(enccfres),SINGLE(enccfter),SINGLE(enccfind),SINGLE(enccfens),SINGLE(enccfagr))"),16.4621)</f>
        <v>16.4621</v>
      </c>
      <c r="U178" s="181">
        <f>IFERROR(__xludf.DUMMYFUNCTION("SUM(SINGLE(enccfres),SINGLE(enccfter),SINGLE(enccfind),SINGLE(enccfens),SINGLE(enccfagr))"),18.1564)</f>
        <v>18.1564</v>
      </c>
      <c r="V178" s="181">
        <f>IFERROR(__xludf.DUMMYFUNCTION("SUM(SINGLE(enccfres),SINGLE(enccfter),SINGLE(enccfind),SINGLE(enccfens),SINGLE(enccfagr))"),16.9688)</f>
        <v>16.9688</v>
      </c>
      <c r="W178" s="202">
        <f>IFERROR(__xludf.DUMMYFUNCTION("SUM(SINGLE(enccfres),SINGLE(enccfter),SINGLE(enccfind),SINGLE(enccfens),SINGLE(enccfagr))"),17.548510185813893)</f>
        <v>17.54851019</v>
      </c>
      <c r="X178" s="202">
        <f>IFERROR(__xludf.DUMMYFUNCTION("SUM(SINGLE(enccfres),SINGLE(enccfter),SINGLE(enccfind),SINGLE(enccfens),SINGLE(enccfagr))"),18.3282)</f>
        <v>18.3282</v>
      </c>
      <c r="Y178" s="202">
        <f>IFERROR(__xludf.DUMMYFUNCTION("SUM(SINGLE(enccfres),SINGLE(enccfter),SINGLE(enccfind),SINGLE(enccfens),SINGLE(enccfagr))"),17.443099999999998)</f>
        <v>17.4431</v>
      </c>
      <c r="Z178" s="202">
        <f>IFERROR(__xludf.DUMMYFUNCTION("SUM(SINGLE(enccfres),SINGLE(enccfter),SINGLE(enccfind),SINGLE(enccfens),SINGLE(enccfagr))"),9.9401)</f>
        <v>9.9401</v>
      </c>
      <c r="AA178" s="202">
        <f>IFERROR(__xludf.DUMMYFUNCTION("SUM(SINGLE(enccfres),SINGLE(enccfter),SINGLE(enccfind),SINGLE(enccfens),SINGLE(enccfagr))"),9.479139871589487)</f>
        <v>9.479139872</v>
      </c>
      <c r="AB178" s="202">
        <f>IFERROR(__xludf.DUMMYFUNCTION("SUM(SINGLE(enccfres),SINGLE(enccfter),SINGLE(enccfind),SINGLE(enccfens),SINGLE(enccfagr))"),9.710616284888816)</f>
        <v>9.710616285</v>
      </c>
      <c r="AC178" s="202">
        <f>IFERROR(__xludf.DUMMYFUNCTION("SUM(SINGLE(enccfres),SINGLE(enccfter),SINGLE(enccfind),SINGLE(enccfens),SINGLE(enccfagr))"),9.553068482400414)</f>
        <v>9.553068482</v>
      </c>
      <c r="AD178" s="202">
        <f>IFERROR(__xludf.DUMMYFUNCTION("SUM(SINGLE(enccfres),SINGLE(enccfter),SINGLE(enccfind),SINGLE(enccfens),SINGLE(enccfagr))"),8.569087659742992)</f>
        <v>8.56908766</v>
      </c>
      <c r="AE178" s="202">
        <f>IFERROR(__xludf.DUMMYFUNCTION("SUM(SINGLE(enccfres),SINGLE(enccfter),SINGLE(enccfind),SINGLE(enccfens),SINGLE(enccfagr))"),7.794914583393733)</f>
        <v>7.794914583</v>
      </c>
      <c r="AF178" s="202">
        <f>IFERROR(__xludf.DUMMYFUNCTION("SUM(SINGLE(enccfres),SINGLE(enccfter),SINGLE(enccfind),SINGLE(enccfens),SINGLE(enccfagr))"),7.084612292955342)</f>
        <v>7.084612293</v>
      </c>
      <c r="AG178" s="202">
        <f>IFERROR(__xludf.DUMMYFUNCTION("SUM(SINGLE(enccfres),SINGLE(enccfter),SINGLE(enccfind),SINGLE(enccfens),SINGLE(enccfagr))"),6.8727158098399475)</f>
        <v>6.87271581</v>
      </c>
      <c r="AH178" s="202">
        <f>IFERROR(__xludf.DUMMYFUNCTION("SUM(SINGLE(enccfres),SINGLE(enccfter),SINGLE(enccfind),SINGLE(enccfens),SINGLE(enccfagr))"),6.700695087137497)</f>
        <v>6.700695087</v>
      </c>
      <c r="AI178" s="204"/>
      <c r="AJ178" s="100"/>
      <c r="AK178" s="100"/>
      <c r="AL178" s="100"/>
      <c r="AM178" s="100"/>
      <c r="AN178" s="100"/>
      <c r="AO178" s="100"/>
    </row>
    <row r="179" ht="14.25" customHeight="1">
      <c r="A179" s="326"/>
      <c r="B179" s="100"/>
      <c r="C179" s="100"/>
      <c r="D179" s="852"/>
      <c r="E179" s="270" t="s">
        <v>3576</v>
      </c>
      <c r="F179" s="249" t="s">
        <v>135</v>
      </c>
      <c r="G179" s="249"/>
      <c r="H179" s="181">
        <f>IFERROR(__xludf.DUMMYFUNCTION("SUM(SINGLE(petcfres),SINGLE(petcfter),SINGLE(lqfcftra),SINGLE(petcfind),SINGLE(petcfneind),SINGLE(petcfens),SINGLE(petcfagr))"),173.1064)</f>
        <v>173.1064</v>
      </c>
      <c r="I179" s="181">
        <f>IFERROR(__xludf.DUMMYFUNCTION("SUM(SINGLE(petcfres),SINGLE(petcfter),SINGLE(lqfcftra),SINGLE(petcfind),SINGLE(petcfneind),SINGLE(petcfens),SINGLE(petcfagr))"),171.5463)</f>
        <v>171.5463</v>
      </c>
      <c r="J179" s="181">
        <f>IFERROR(__xludf.DUMMYFUNCTION("SUM(SINGLE(petcfres),SINGLE(petcfter),SINGLE(lqfcftra),SINGLE(petcfind),SINGLE(petcfneind),SINGLE(petcfens),SINGLE(petcfagr))"),168.92770000000002)</f>
        <v>168.9277</v>
      </c>
      <c r="K179" s="181">
        <f>IFERROR(__xludf.DUMMYFUNCTION("SUM(SINGLE(petcfres),SINGLE(petcfter),SINGLE(lqfcftra),SINGLE(petcfind),SINGLE(petcfneind),SINGLE(petcfens),SINGLE(petcfagr))"),184.3435)</f>
        <v>184.3435</v>
      </c>
      <c r="L179" s="181">
        <f>IFERROR(__xludf.DUMMYFUNCTION("SUM(SINGLE(petcfres),SINGLE(petcfter),SINGLE(lqfcftra),SINGLE(petcfind),SINGLE(petcfneind),SINGLE(petcfens),SINGLE(petcfagr))"),183.6012)</f>
        <v>183.6012</v>
      </c>
      <c r="M179" s="181">
        <f>IFERROR(__xludf.DUMMYFUNCTION("SUM(SINGLE(petcfres),SINGLE(petcfter),SINGLE(lqfcftra),SINGLE(petcfind),SINGLE(petcfneind),SINGLE(petcfens),SINGLE(petcfagr))"),180.28240000000002)</f>
        <v>180.2824</v>
      </c>
      <c r="N179" s="181">
        <f>IFERROR(__xludf.DUMMYFUNCTION("SUM(SINGLE(petcfres),SINGLE(petcfter),SINGLE(lqfcftra),SINGLE(petcfind),SINGLE(petcfneind),SINGLE(petcfens),SINGLE(petcfagr))"),173.6685)</f>
        <v>173.6685</v>
      </c>
      <c r="O179" s="181">
        <f>IFERROR(__xludf.DUMMYFUNCTION("SUM(SINGLE(petcfres),SINGLE(petcfter),SINGLE(lqfcftra),SINGLE(petcfind),SINGLE(petcfneind),SINGLE(petcfens),SINGLE(petcfagr))"),167.0368)</f>
        <v>167.0368</v>
      </c>
      <c r="P179" s="181">
        <f>IFERROR(__xludf.DUMMYFUNCTION("SUM(SINGLE(petcfres),SINGLE(petcfter),SINGLE(lqfcftra),SINGLE(petcfind),SINGLE(petcfneind),SINGLE(petcfens),SINGLE(petcfagr))"),177.9453)</f>
        <v>177.9453</v>
      </c>
      <c r="Q179" s="181">
        <f>IFERROR(__xludf.DUMMYFUNCTION("SUM(SINGLE(petcfres),SINGLE(petcfter),SINGLE(lqfcftra),SINGLE(petcfind),SINGLE(petcfneind),SINGLE(petcfens),SINGLE(petcfagr))"),166.3674)</f>
        <v>166.3674</v>
      </c>
      <c r="R179" s="181">
        <f>IFERROR(__xludf.DUMMYFUNCTION("SUM(SINGLE(petcfres),SINGLE(petcfter),SINGLE(lqfcftra),SINGLE(petcfind),SINGLE(petcfneind),SINGLE(petcfens),SINGLE(petcfagr))"),191.1031)</f>
        <v>191.1031</v>
      </c>
      <c r="S179" s="181">
        <f>IFERROR(__xludf.DUMMYFUNCTION("SUM(SINGLE(petcfres),SINGLE(petcfter),SINGLE(lqfcftra),SINGLE(petcfind),SINGLE(petcfneind),SINGLE(petcfens),SINGLE(petcfagr))"),179.2996)</f>
        <v>179.2996</v>
      </c>
      <c r="T179" s="181">
        <f>IFERROR(__xludf.DUMMYFUNCTION("SUM(SINGLE(petcfres),SINGLE(petcfter),SINGLE(lqfcftra),SINGLE(petcfind),SINGLE(petcfneind),SINGLE(petcfens),SINGLE(petcfagr))"),176.35060000000001)</f>
        <v>176.3506</v>
      </c>
      <c r="U179" s="181">
        <f>IFERROR(__xludf.DUMMYFUNCTION("SUM(SINGLE(petcfres),SINGLE(petcfter),SINGLE(lqfcftra),SINGLE(petcfind),SINGLE(petcfneind),SINGLE(petcfens),SINGLE(petcfagr))"),179.8613)</f>
        <v>179.8613</v>
      </c>
      <c r="V179" s="181">
        <f>IFERROR(__xludf.DUMMYFUNCTION("SUM(SINGLE(petcfres),SINGLE(petcfter),SINGLE(lqfcftra),SINGLE(petcfind),SINGLE(petcfneind),SINGLE(petcfens),SINGLE(petcfagr))"),172.8702)</f>
        <v>172.8702</v>
      </c>
      <c r="W179" s="202">
        <f>IFERROR(__xludf.DUMMYFUNCTION("SUM(SINGLE(petcfres),SINGLE(petcfter),SINGLE(lqfcftra),SINGLE(petcfind),SINGLE(petcfneind),SINGLE(petcfens),SINGLE(petcfagr))"),205.1986486957565)</f>
        <v>205.1986487</v>
      </c>
      <c r="X179" s="202">
        <f>IFERROR(__xludf.DUMMYFUNCTION("SUM(SINGLE(petcfres),SINGLE(petcfter),SINGLE(lqfcftra),SINGLE(petcfind),SINGLE(petcfneind),SINGLE(petcfens),SINGLE(petcfagr))"),155.48077752777797)</f>
        <v>155.4807775</v>
      </c>
      <c r="Y179" s="202">
        <f>IFERROR(__xludf.DUMMYFUNCTION("SUM(SINGLE(petcfres),SINGLE(petcfter),SINGLE(lqfcftra),SINGLE(petcfind),SINGLE(petcfneind),SINGLE(petcfens),SINGLE(petcfagr))"),150.335578723689)</f>
        <v>150.3355787</v>
      </c>
      <c r="Z179" s="202">
        <f>IFERROR(__xludf.DUMMYFUNCTION("SUM(SINGLE(petcfres),SINGLE(petcfter),SINGLE(lqfcftra),SINGLE(petcfind),SINGLE(petcfneind),SINGLE(petcfens),SINGLE(petcfagr))"),118.40190661257701)</f>
        <v>118.4019066</v>
      </c>
      <c r="AA179" s="202">
        <f>IFERROR(__xludf.DUMMYFUNCTION("SUM(SINGLE(petcfres),SINGLE(petcfter),SINGLE(lqfcftra),SINGLE(petcfind),SINGLE(petcfneind),SINGLE(petcfens),SINGLE(petcfagr))"),154.4979533078253)</f>
        <v>154.4979533</v>
      </c>
      <c r="AB179" s="202">
        <f>IFERROR(__xludf.DUMMYFUNCTION("SUM(SINGLE(petcfres),SINGLE(petcfter),SINGLE(lqfcftra),SINGLE(petcfind),SINGLE(petcfneind),SINGLE(petcfens),SINGLE(petcfagr))"),163.68942205325067)</f>
        <v>163.6894221</v>
      </c>
      <c r="AC179" s="202">
        <f>IFERROR(__xludf.DUMMYFUNCTION("SUM(SINGLE(petcfres),SINGLE(petcfter),SINGLE(lqfcftra),SINGLE(petcfind),SINGLE(petcfneind),SINGLE(petcfens),SINGLE(petcfagr))"),56.15097479313498)</f>
        <v>56.15097479</v>
      </c>
      <c r="AD179" s="202">
        <f>IFERROR(__xludf.DUMMYFUNCTION("SUM(SINGLE(petcfres),SINGLE(petcfter),SINGLE(lqfcftra),SINGLE(petcfind),SINGLE(petcfneind),SINGLE(petcfens),SINGLE(petcfagr))"),49.001890627613534)</f>
        <v>49.00189063</v>
      </c>
      <c r="AE179" s="202">
        <f>IFERROR(__xludf.DUMMYFUNCTION("SUM(SINGLE(petcfres),SINGLE(petcfter),SINGLE(lqfcftra),SINGLE(petcfind),SINGLE(petcfneind),SINGLE(petcfens),SINGLE(petcfagr))"),35.11609807220826)</f>
        <v>35.11609807</v>
      </c>
      <c r="AF179" s="202">
        <f>IFERROR(__xludf.DUMMYFUNCTION("SUM(SINGLE(petcfres),SINGLE(petcfter),SINGLE(lqfcftra),SINGLE(petcfind),SINGLE(petcfneind),SINGLE(petcfens),SINGLE(petcfagr))"),23.38335024094255)</f>
        <v>23.38335024</v>
      </c>
      <c r="AG179" s="202">
        <f>IFERROR(__xludf.DUMMYFUNCTION("SUM(SINGLE(petcfres),SINGLE(petcfter),SINGLE(lqfcftra),SINGLE(petcfind),SINGLE(petcfneind),SINGLE(petcfens),SINGLE(petcfagr))"),13.6919838346144)</f>
        <v>13.69198383</v>
      </c>
      <c r="AH179" s="202">
        <f>IFERROR(__xludf.DUMMYFUNCTION("SUM(SINGLE(petcfres),SINGLE(petcfter),SINGLE(lqfcftra),SINGLE(petcfind),SINGLE(petcfneind),SINGLE(petcfens),SINGLE(petcfagr))"),7.24492648)</f>
        <v>7.24492648</v>
      </c>
      <c r="AI179" s="204"/>
      <c r="AJ179" s="100"/>
      <c r="AK179" s="100"/>
      <c r="AL179" s="100"/>
      <c r="AM179" s="100"/>
      <c r="AN179" s="100"/>
      <c r="AO179" s="100"/>
    </row>
    <row r="180" ht="14.25" customHeight="1">
      <c r="A180" s="326"/>
      <c r="B180" s="100"/>
      <c r="C180" s="100"/>
      <c r="D180" s="852"/>
      <c r="E180" s="270" t="s">
        <v>231</v>
      </c>
      <c r="F180" s="249" t="s">
        <v>135</v>
      </c>
      <c r="G180" s="249"/>
      <c r="H180" s="181">
        <f>IFERROR(__xludf.DUMMYFUNCTION("SUM(SINGLE(gazcfres),SINGLE(gazcfter),SINGLE(gazcftra),SINGLE(gazcfind),SINGLE(gazcfneind),SINGLE(gazcfens),SINGLE(gazcfagr))"),54.8589)</f>
        <v>54.8589</v>
      </c>
      <c r="I180" s="181">
        <f>IFERROR(__xludf.DUMMYFUNCTION("SUM(SINGLE(gazcfres),SINGLE(gazcfter),SINGLE(gazcftra),SINGLE(gazcfind),SINGLE(gazcfneind),SINGLE(gazcfens),SINGLE(gazcfagr))"),59.997)</f>
        <v>59.997</v>
      </c>
      <c r="J180" s="181">
        <f>IFERROR(__xludf.DUMMYFUNCTION("SUM(SINGLE(gazcfres),SINGLE(gazcfter),SINGLE(gazcftra),SINGLE(gazcfind),SINGLE(gazcfneind),SINGLE(gazcfens),SINGLE(gazcfagr))"),57.4455)</f>
        <v>57.4455</v>
      </c>
      <c r="K180" s="181">
        <f>IFERROR(__xludf.DUMMYFUNCTION("SUM(SINGLE(gazcfres),SINGLE(gazcfter),SINGLE(gazcftra),SINGLE(gazcfind),SINGLE(gazcfneind),SINGLE(gazcfens),SINGLE(gazcfagr))"),61.9107)</f>
        <v>61.9107</v>
      </c>
      <c r="L180" s="181">
        <f>IFERROR(__xludf.DUMMYFUNCTION("SUM(SINGLE(gazcfres),SINGLE(gazcfter),SINGLE(gazcftra),SINGLE(gazcfind),SINGLE(gazcfneind),SINGLE(gazcfens),SINGLE(gazcfagr))"),61.965399999999995)</f>
        <v>61.9654</v>
      </c>
      <c r="M180" s="181">
        <f>IFERROR(__xludf.DUMMYFUNCTION("SUM(SINGLE(gazcfres),SINGLE(gazcfter),SINGLE(gazcftra),SINGLE(gazcfind),SINGLE(gazcfneind),SINGLE(gazcfens),SINGLE(gazcfagr))"),60.852500000000006)</f>
        <v>60.8525</v>
      </c>
      <c r="N180" s="181">
        <f>IFERROR(__xludf.DUMMYFUNCTION("SUM(SINGLE(gazcfres),SINGLE(gazcfter),SINGLE(gazcftra),SINGLE(gazcfind),SINGLE(gazcfneind),SINGLE(gazcfens),SINGLE(gazcfagr))"),60.75999999999999)</f>
        <v>60.76</v>
      </c>
      <c r="O180" s="181">
        <f>IFERROR(__xludf.DUMMYFUNCTION("SUM(SINGLE(gazcfres),SINGLE(gazcfter),SINGLE(gazcftra),SINGLE(gazcfind),SINGLE(gazcfneind),SINGLE(gazcfens),SINGLE(gazcfagr))"),57.159000000000006)</f>
        <v>57.159</v>
      </c>
      <c r="P180" s="181">
        <f>IFERROR(__xludf.DUMMYFUNCTION("SUM(SINGLE(gazcfres),SINGLE(gazcfter),SINGLE(gazcftra),SINGLE(gazcfind),SINGLE(gazcfneind),SINGLE(gazcfens),SINGLE(gazcfagr))"),62.1013)</f>
        <v>62.1013</v>
      </c>
      <c r="Q180" s="181">
        <f>IFERROR(__xludf.DUMMYFUNCTION("SUM(SINGLE(gazcfres),SINGLE(gazcfter),SINGLE(gazcftra),SINGLE(gazcfind),SINGLE(gazcfneind),SINGLE(gazcfens),SINGLE(gazcfagr))"),62.6817)</f>
        <v>62.6817</v>
      </c>
      <c r="R180" s="181">
        <f>IFERROR(__xludf.DUMMYFUNCTION("SUM(SINGLE(gazcfres),SINGLE(gazcfter),SINGLE(gazcftra),SINGLE(gazcfind),SINGLE(gazcfneind),SINGLE(gazcfens),SINGLE(gazcfagr))"),120.00369999999998)</f>
        <v>120.0037</v>
      </c>
      <c r="S180" s="181">
        <f>IFERROR(__xludf.DUMMYFUNCTION("SUM(SINGLE(gazcfres),SINGLE(gazcfter),SINGLE(gazcftra),SINGLE(gazcfind),SINGLE(gazcfneind),SINGLE(gazcfens),SINGLE(gazcfagr))"),104.57710000000002)</f>
        <v>104.5771</v>
      </c>
      <c r="T180" s="181">
        <f>IFERROR(__xludf.DUMMYFUNCTION("SUM(SINGLE(gazcfres),SINGLE(gazcfter),SINGLE(gazcftra),SINGLE(gazcfind),SINGLE(gazcfneind),SINGLE(gazcfens),SINGLE(gazcfagr))"),108.5337)</f>
        <v>108.5337</v>
      </c>
      <c r="U180" s="181">
        <f>IFERROR(__xludf.DUMMYFUNCTION("SUM(SINGLE(gazcfres),SINGLE(gazcfter),SINGLE(gazcftra),SINGLE(gazcfind),SINGLE(gazcfneind),SINGLE(gazcfens),SINGLE(gazcfagr))"),117.0464)</f>
        <v>117.0464</v>
      </c>
      <c r="V180" s="181">
        <f>IFERROR(__xludf.DUMMYFUNCTION("SUM(SINGLE(gazcfres),SINGLE(gazcfter),SINGLE(gazcftra),SINGLE(gazcfind),SINGLE(gazcfneind),SINGLE(gazcfens),SINGLE(gazcfagr))"),100.5064)</f>
        <v>100.5064</v>
      </c>
      <c r="W180" s="202">
        <f>IFERROR(__xludf.DUMMYFUNCTION("SUM(SINGLE(gazcfres),SINGLE(gazcfter),SINGLE(gazcftra),SINGLE(gazcfind),SINGLE(gazcfneind),SINGLE(gazcfens),SINGLE(gazcfagr))"),116.50876795144708)</f>
        <v>116.508768</v>
      </c>
      <c r="X180" s="202">
        <f>IFERROR(__xludf.DUMMYFUNCTION("SUM(SINGLE(gazcfres),SINGLE(gazcfter),SINGLE(gazcftra),SINGLE(gazcfind),SINGLE(gazcfneind),SINGLE(gazcfens),SINGLE(gazcfagr))"),90.20338352108824)</f>
        <v>90.20338352</v>
      </c>
      <c r="Y180" s="202">
        <f>IFERROR(__xludf.DUMMYFUNCTION("SUM(SINGLE(gazcfres),SINGLE(gazcfter),SINGLE(gazcftra),SINGLE(gazcfind),SINGLE(gazcfneind),SINGLE(gazcfens),SINGLE(gazcfagr))"),92.15317987387972)</f>
        <v>92.15317987</v>
      </c>
      <c r="Z180" s="202">
        <f>IFERROR(__xludf.DUMMYFUNCTION("SUM(SINGLE(gazcfres),SINGLE(gazcfter),SINGLE(gazcftra),SINGLE(gazcfind),SINGLE(gazcfneind),SINGLE(gazcfens),SINGLE(gazcfagr))"),50.90823760305649)</f>
        <v>50.9082376</v>
      </c>
      <c r="AA180" s="202">
        <f>IFERROR(__xludf.DUMMYFUNCTION("SUM(SINGLE(gazcfres),SINGLE(gazcfter),SINGLE(gazcftra),SINGLE(gazcfind),SINGLE(gazcfneind),SINGLE(gazcfens),SINGLE(gazcfagr))"),57.048331972248455)</f>
        <v>57.04833197</v>
      </c>
      <c r="AB180" s="202">
        <f>IFERROR(__xludf.DUMMYFUNCTION("SUM(SINGLE(gazcfres),SINGLE(gazcfter),SINGLE(gazcftra),SINGLE(gazcfind),SINGLE(gazcfneind),SINGLE(gazcfens),SINGLE(gazcfagr))"),79.65737602631566)</f>
        <v>79.65737603</v>
      </c>
      <c r="AC180" s="202">
        <f>IFERROR(__xludf.DUMMYFUNCTION("SUM(SINGLE(gazcfres),SINGLE(gazcfter),SINGLE(gazcftra),SINGLE(gazcfind),SINGLE(gazcfneind),SINGLE(gazcfens),SINGLE(gazcfagr))"),65.02384915247788)</f>
        <v>65.02384915</v>
      </c>
      <c r="AD180" s="202">
        <f>IFERROR(__xludf.DUMMYFUNCTION("SUM(SINGLE(gazcfres),SINGLE(gazcfter),SINGLE(gazcftra),SINGLE(gazcfind),SINGLE(gazcfneind),SINGLE(gazcfens),SINGLE(gazcfagr))"),49.09598991434259)</f>
        <v>49.09598991</v>
      </c>
      <c r="AE180" s="202">
        <f>IFERROR(__xludf.DUMMYFUNCTION("SUM(SINGLE(gazcfres),SINGLE(gazcfter),SINGLE(gazcftra),SINGLE(gazcfind),SINGLE(gazcfneind),SINGLE(gazcfens),SINGLE(gazcfagr))"),26.297774941518675)</f>
        <v>26.29777494</v>
      </c>
      <c r="AF180" s="202">
        <f>IFERROR(__xludf.DUMMYFUNCTION("SUM(SINGLE(gazcfres),SINGLE(gazcfter),SINGLE(gazcftra),SINGLE(gazcfind),SINGLE(gazcfneind),SINGLE(gazcfens),SINGLE(gazcfagr))"),18.112503642177376)</f>
        <v>18.11250364</v>
      </c>
      <c r="AG180" s="202">
        <f>IFERROR(__xludf.DUMMYFUNCTION("SUM(SINGLE(gazcfres),SINGLE(gazcfter),SINGLE(gazcftra),SINGLE(gazcfind),SINGLE(gazcfneind),SINGLE(gazcfens),SINGLE(gazcfagr))"),9.755209332809951)</f>
        <v>9.755209333</v>
      </c>
      <c r="AH180" s="202">
        <f>IFERROR(__xludf.DUMMYFUNCTION("SUM(SINGLE(gazcfres),SINGLE(gazcfter),SINGLE(gazcftra),SINGLE(gazcfind),SINGLE(gazcfneind),SINGLE(gazcfens),SINGLE(gazcfagr))"),8.437228832416034)</f>
        <v>8.437228832</v>
      </c>
      <c r="AI180" s="204"/>
      <c r="AJ180" s="100"/>
      <c r="AK180" s="100"/>
      <c r="AL180" s="100"/>
      <c r="AM180" s="100"/>
      <c r="AN180" s="100"/>
      <c r="AO180" s="100"/>
    </row>
    <row r="181" ht="14.25" customHeight="1">
      <c r="A181" s="326"/>
      <c r="B181" s="100"/>
      <c r="C181" s="100"/>
      <c r="D181" s="852"/>
      <c r="E181" s="270" t="s">
        <v>3577</v>
      </c>
      <c r="F181" s="249" t="s">
        <v>135</v>
      </c>
      <c r="G181" s="249"/>
      <c r="H181" s="181">
        <f>IFERROR(__xludf.DUMMYFUNCTION("SUM(SINGLE(hydcftra),SINGLE(hydcfneind))"),0.0)</f>
        <v>0</v>
      </c>
      <c r="I181" s="181">
        <f>IFERROR(__xludf.DUMMYFUNCTION("SUM(SINGLE(hydcftra),SINGLE(hydcfneind))"),0.0)</f>
        <v>0</v>
      </c>
      <c r="J181" s="181">
        <f>IFERROR(__xludf.DUMMYFUNCTION("SUM(SINGLE(hydcftra),SINGLE(hydcfneind))"),0.0)</f>
        <v>0</v>
      </c>
      <c r="K181" s="181">
        <f>IFERROR(__xludf.DUMMYFUNCTION("SUM(SINGLE(hydcftra),SINGLE(hydcfneind))"),0.0)</f>
        <v>0</v>
      </c>
      <c r="L181" s="181">
        <f>IFERROR(__xludf.DUMMYFUNCTION("SUM(SINGLE(hydcftra),SINGLE(hydcfneind))"),0.0)</f>
        <v>0</v>
      </c>
      <c r="M181" s="181">
        <f>IFERROR(__xludf.DUMMYFUNCTION("SUM(SINGLE(hydcftra),SINGLE(hydcfneind))"),0.0)</f>
        <v>0</v>
      </c>
      <c r="N181" s="181">
        <f>IFERROR(__xludf.DUMMYFUNCTION("SUM(SINGLE(hydcftra),SINGLE(hydcfneind))"),0.0)</f>
        <v>0</v>
      </c>
      <c r="O181" s="181">
        <f>IFERROR(__xludf.DUMMYFUNCTION("SUM(SINGLE(hydcftra),SINGLE(hydcfneind))"),0.0)</f>
        <v>0</v>
      </c>
      <c r="P181" s="181">
        <f>IFERROR(__xludf.DUMMYFUNCTION("SUM(SINGLE(hydcftra),SINGLE(hydcfneind))"),0.0)</f>
        <v>0</v>
      </c>
      <c r="Q181" s="181">
        <f>IFERROR(__xludf.DUMMYFUNCTION("SUM(SINGLE(hydcftra),SINGLE(hydcfneind))"),0.0)</f>
        <v>0</v>
      </c>
      <c r="R181" s="181">
        <f>IFERROR(__xludf.DUMMYFUNCTION("SUM(SINGLE(hydcftra),SINGLE(hydcfneind))"),0.0)</f>
        <v>0</v>
      </c>
      <c r="S181" s="181">
        <f>IFERROR(__xludf.DUMMYFUNCTION("SUM(SINGLE(hydcftra),SINGLE(hydcfneind))"),0.0)</f>
        <v>0</v>
      </c>
      <c r="T181" s="181">
        <f>IFERROR(__xludf.DUMMYFUNCTION("SUM(SINGLE(hydcftra),SINGLE(hydcfneind))"),0.0)</f>
        <v>0</v>
      </c>
      <c r="U181" s="181">
        <f>IFERROR(__xludf.DUMMYFUNCTION("SUM(SINGLE(hydcftra),SINGLE(hydcfneind))"),0.0)</f>
        <v>0</v>
      </c>
      <c r="V181" s="181">
        <f>IFERROR(__xludf.DUMMYFUNCTION("SUM(SINGLE(hydcftra),SINGLE(hydcfneind))"),0.0)</f>
        <v>0</v>
      </c>
      <c r="W181" s="202">
        <f>IFERROR(__xludf.DUMMYFUNCTION("SUM(SINGLE(hydcftra),SINGLE(hydcfneind))"),0.0)</f>
        <v>0</v>
      </c>
      <c r="X181" s="202">
        <f>IFERROR(__xludf.DUMMYFUNCTION("SUM(SINGLE(hydcftra),SINGLE(hydcfneind))"),0.0)</f>
        <v>0</v>
      </c>
      <c r="Y181" s="202">
        <f>IFERROR(__xludf.DUMMYFUNCTION("SUM(SINGLE(hydcftra),SINGLE(hydcfneind))"),0.0)</f>
        <v>0</v>
      </c>
      <c r="Z181" s="202">
        <f>IFERROR(__xludf.DUMMYFUNCTION("SUM(SINGLE(hydcftra),SINGLE(hydcfneind))"),0.0)</f>
        <v>0</v>
      </c>
      <c r="AA181" s="202">
        <f>IFERROR(__xludf.DUMMYFUNCTION("SUM(SINGLE(hydcftra),SINGLE(hydcfneind))"),0.0)</f>
        <v>0</v>
      </c>
      <c r="AB181" s="202">
        <f>IFERROR(__xludf.DUMMYFUNCTION("SUM(SINGLE(hydcftra),SINGLE(hydcfneind))"),0.0)</f>
        <v>0</v>
      </c>
      <c r="AC181" s="202">
        <f>IFERROR(__xludf.DUMMYFUNCTION("SUM(SINGLE(hydcftra),SINGLE(hydcfneind))"),0.0)</f>
        <v>0</v>
      </c>
      <c r="AD181" s="202">
        <f>IFERROR(__xludf.DUMMYFUNCTION("SUM(SINGLE(hydcftra),SINGLE(hydcfneind))"),0.0)</f>
        <v>0</v>
      </c>
      <c r="AE181" s="202">
        <f>IFERROR(__xludf.DUMMYFUNCTION("SUM(SINGLE(hydcftra),SINGLE(hydcfneind))"),8.761427262767997)</f>
        <v>8.761427263</v>
      </c>
      <c r="AF181" s="202">
        <f>IFERROR(__xludf.DUMMYFUNCTION("SUM(SINGLE(hydcftra),SINGLE(hydcfneind))"),17.522854525535994)</f>
        <v>17.52285453</v>
      </c>
      <c r="AG181" s="202">
        <f>IFERROR(__xludf.DUMMYFUNCTION("SUM(SINGLE(hydcftra),SINGLE(hydcfneind))"),23.233947862767998)</f>
        <v>23.23394786</v>
      </c>
      <c r="AH181" s="202">
        <f>IFERROR(__xludf.DUMMYFUNCTION("SUM(SINGLE(hydcftra),SINGLE(hydcfneind))"),28.945041200000002)</f>
        <v>28.9450412</v>
      </c>
      <c r="AI181" s="204"/>
      <c r="AJ181" s="100"/>
      <c r="AK181" s="100"/>
      <c r="AL181" s="100"/>
      <c r="AM181" s="100"/>
      <c r="AN181" s="100"/>
      <c r="AO181" s="100"/>
    </row>
    <row r="182" ht="14.25" customHeight="1">
      <c r="A182" s="326"/>
      <c r="B182" s="100"/>
      <c r="C182" s="100"/>
      <c r="D182" s="852"/>
      <c r="E182" s="270" t="s">
        <v>233</v>
      </c>
      <c r="F182" s="123" t="s">
        <v>135</v>
      </c>
      <c r="G182" s="123"/>
      <c r="H182" s="181">
        <f>IFERROR(__xludf.DUMMYFUNCTION("SUM(SINGLE(elccfres),SINGLE(elccfter),SINGLE(elccftra),SINGLE(elccfind),SINGLE(elccfens),SINGLE(elccfagr))"),36.3821)</f>
        <v>36.3821</v>
      </c>
      <c r="I182" s="181">
        <f>IFERROR(__xludf.DUMMYFUNCTION("SUM(SINGLE(elccfres),SINGLE(elccfter),SINGLE(elccftra),SINGLE(elccfind),SINGLE(elccfens),SINGLE(elccfagr))"),37.512)</f>
        <v>37.512</v>
      </c>
      <c r="J182" s="181">
        <f>IFERROR(__xludf.DUMMYFUNCTION("SUM(SINGLE(elccfres),SINGLE(elccfter),SINGLE(elccftra),SINGLE(elccfind),SINGLE(elccfens),SINGLE(elccfagr))"),40.389100000000006)</f>
        <v>40.3891</v>
      </c>
      <c r="K182" s="181">
        <f>IFERROR(__xludf.DUMMYFUNCTION("SUM(SINGLE(elccfres),SINGLE(elccfter),SINGLE(elccftra),SINGLE(elccfind),SINGLE(elccfens),SINGLE(elccfagr))"),40.7213)</f>
        <v>40.7213</v>
      </c>
      <c r="L182" s="181">
        <f>IFERROR(__xludf.DUMMYFUNCTION("SUM(SINGLE(elccfres),SINGLE(elccfter),SINGLE(elccftra),SINGLE(elccfind),SINGLE(elccfens),SINGLE(elccfagr))"),41.6998)</f>
        <v>41.6998</v>
      </c>
      <c r="M182" s="181">
        <f>IFERROR(__xludf.DUMMYFUNCTION("SUM(SINGLE(elccfres),SINGLE(elccfter),SINGLE(elccftra),SINGLE(elccfind),SINGLE(elccfens),SINGLE(elccfagr))"),42.400299999999994)</f>
        <v>42.4003</v>
      </c>
      <c r="N182" s="181">
        <f>IFERROR(__xludf.DUMMYFUNCTION("SUM(SINGLE(elccfres),SINGLE(elccfter),SINGLE(elccftra),SINGLE(elccfind),SINGLE(elccfens),SINGLE(elccfagr))"),42.909)</f>
        <v>42.909</v>
      </c>
      <c r="O182" s="181">
        <f>IFERROR(__xludf.DUMMYFUNCTION("SUM(SINGLE(elccfres),SINGLE(elccfter),SINGLE(elccftra),SINGLE(elccfind),SINGLE(elccfens),SINGLE(elccfagr))"),43.4131)</f>
        <v>43.4131</v>
      </c>
      <c r="P182" s="181">
        <f>IFERROR(__xludf.DUMMYFUNCTION("SUM(SINGLE(elccfres),SINGLE(elccfter),SINGLE(elccftra),SINGLE(elccfind),SINGLE(elccfens),SINGLE(elccfagr))"),44.176)</f>
        <v>44.176</v>
      </c>
      <c r="Q182" s="181">
        <f>IFERROR(__xludf.DUMMYFUNCTION("SUM(SINGLE(elccfres),SINGLE(elccfter),SINGLE(elccftra),SINGLE(elccfind),SINGLE(elccfens),SINGLE(elccfagr))"),44.507299999999994)</f>
        <v>44.5073</v>
      </c>
      <c r="R182" s="181">
        <f>IFERROR(__xludf.DUMMYFUNCTION("SUM(SINGLE(elccfres),SINGLE(elccfter),SINGLE(elccftra),SINGLE(elccfind),SINGLE(elccfens),SINGLE(elccfagr))"),84.8228)</f>
        <v>84.8228</v>
      </c>
      <c r="S182" s="181">
        <f>IFERROR(__xludf.DUMMYFUNCTION("SUM(SINGLE(elccfres),SINGLE(elccfter),SINGLE(elccftra),SINGLE(elccfind),SINGLE(elccfens),SINGLE(elccfagr))"),82.5136)</f>
        <v>82.5136</v>
      </c>
      <c r="T182" s="181">
        <f>IFERROR(__xludf.DUMMYFUNCTION("SUM(SINGLE(elccfres),SINGLE(elccfter),SINGLE(elccftra),SINGLE(elccfind),SINGLE(elccfens),SINGLE(elccfagr))"),82.39909999999999)</f>
        <v>82.3991</v>
      </c>
      <c r="U182" s="181">
        <f>IFERROR(__xludf.DUMMYFUNCTION("SUM(SINGLE(elccfres),SINGLE(elccfter),SINGLE(elccftra),SINGLE(elccfind),SINGLE(elccfens),SINGLE(elccfagr))"),82.9029)</f>
        <v>82.9029</v>
      </c>
      <c r="V182" s="181">
        <f>IFERROR(__xludf.DUMMYFUNCTION("SUM(SINGLE(elccfres),SINGLE(elccfter),SINGLE(elccftra),SINGLE(elccfind),SINGLE(elccfens),SINGLE(elccfagr))"),81.2584)</f>
        <v>81.2584</v>
      </c>
      <c r="W182" s="202">
        <f>IFERROR(__xludf.DUMMYFUNCTION("SUM(SINGLE(elccfres),SINGLE(elccfter),SINGLE(elccftra),SINGLE(elccfind),SINGLE(elccfens),SINGLE(elccfagr))"),83.70853068547133)</f>
        <v>83.70853069</v>
      </c>
      <c r="X182" s="202">
        <f>IFERROR(__xludf.DUMMYFUNCTION("SUM(SINGLE(elccfres),SINGLE(elccfter),SINGLE(elccftra),SINGLE(elccfind),SINGLE(elccfens),SINGLE(elccfagr))"),61.76570000000001)</f>
        <v>61.7657</v>
      </c>
      <c r="Y182" s="202">
        <f>IFERROR(__xludf.DUMMYFUNCTION("SUM(SINGLE(elccfres),SINGLE(elccfter),SINGLE(elccftra),SINGLE(elccfind),SINGLE(elccfens),SINGLE(elccfagr))"),61.426800000000014)</f>
        <v>61.4268</v>
      </c>
      <c r="Z182" s="202">
        <f>IFERROR(__xludf.DUMMYFUNCTION("SUM(SINGLE(elccfres),SINGLE(elccfter),SINGLE(elccftra),SINGLE(elccfind),SINGLE(elccfens),SINGLE(elccfagr))"),42.333)</f>
        <v>42.333</v>
      </c>
      <c r="AA182" s="202">
        <f>IFERROR(__xludf.DUMMYFUNCTION("SUM(SINGLE(elccfres),SINGLE(elccfter),SINGLE(elccftra),SINGLE(elccfind),SINGLE(elccfens),SINGLE(elccfagr))"),41.274155701898955)</f>
        <v>41.2741557</v>
      </c>
      <c r="AB182" s="202">
        <f>IFERROR(__xludf.DUMMYFUNCTION("SUM(SINGLE(elccfres),SINGLE(elccfter),SINGLE(elccftra),SINGLE(elccfind),SINGLE(elccfens),SINGLE(elccfagr))"),63.97445763093706)</f>
        <v>63.97445763</v>
      </c>
      <c r="AC182" s="202">
        <f>IFERROR(__xludf.DUMMYFUNCTION("SUM(SINGLE(elccfres),SINGLE(elccfter),SINGLE(elccftra),SINGLE(elccfind),SINGLE(elccfens),SINGLE(elccfagr))"),72.02376365665424)</f>
        <v>72.02376366</v>
      </c>
      <c r="AD182" s="202">
        <f>IFERROR(__xludf.DUMMYFUNCTION("SUM(SINGLE(elccfres),SINGLE(elccfter),SINGLE(elccftra),SINGLE(elccfind),SINGLE(elccfens),SINGLE(elccfagr))"),74.29081815281013)</f>
        <v>74.29081815</v>
      </c>
      <c r="AE182" s="202">
        <f>IFERROR(__xludf.DUMMYFUNCTION("SUM(SINGLE(elccfres),SINGLE(elccfter),SINGLE(elccftra),SINGLE(elccfind),SINGLE(elccfens),SINGLE(elccfagr))"),75.86578784994643)</f>
        <v>75.86578785</v>
      </c>
      <c r="AF182" s="202">
        <f>IFERROR(__xludf.DUMMYFUNCTION("SUM(SINGLE(elccfres),SINGLE(elccfter),SINGLE(elccftra),SINGLE(elccfind),SINGLE(elccfens),SINGLE(elccfagr))"),73.8557543752773)</f>
        <v>73.85575438</v>
      </c>
      <c r="AG182" s="202">
        <f>IFERROR(__xludf.DUMMYFUNCTION("SUM(SINGLE(elccfres),SINGLE(elccfter),SINGLE(elccftra),SINGLE(elccfind),SINGLE(elccfens),SINGLE(elccfagr))"),75.77916821487982)</f>
        <v>75.77916821</v>
      </c>
      <c r="AH182" s="202">
        <f>IFERROR(__xludf.DUMMYFUNCTION("SUM(SINGLE(elccfres),SINGLE(elccfter),SINGLE(elccftra),SINGLE(elccfind),SINGLE(elccfens),SINGLE(elccfagr))"),73.73817786400987)</f>
        <v>73.73817786</v>
      </c>
      <c r="AI182" s="204"/>
      <c r="AJ182" s="100"/>
      <c r="AK182" s="100"/>
      <c r="AL182" s="100"/>
      <c r="AM182" s="100"/>
      <c r="AN182" s="100"/>
      <c r="AO182" s="100"/>
    </row>
    <row r="183" ht="14.25" customHeight="1">
      <c r="A183" s="326"/>
      <c r="B183" s="100"/>
      <c r="C183" s="100"/>
      <c r="D183" s="852"/>
      <c r="E183" s="270" t="s">
        <v>239</v>
      </c>
      <c r="F183" s="249" t="s">
        <v>135</v>
      </c>
      <c r="G183" s="249"/>
      <c r="H183" s="181">
        <f>IFERROR(__xludf.DUMMYFUNCTION("SUM(SINGLE(sthcfres),SINGLE(sthcfter),SINGLE(sthcfind),SINGLE(sthcfagr))"),0.0)</f>
        <v>0</v>
      </c>
      <c r="I183" s="181">
        <f>IFERROR(__xludf.DUMMYFUNCTION("SUM(SINGLE(sthcfres),SINGLE(sthcfter),SINGLE(sthcfind),SINGLE(sthcfagr))"),0.0)</f>
        <v>0</v>
      </c>
      <c r="J183" s="181">
        <f>IFERROR(__xludf.DUMMYFUNCTION("SUM(SINGLE(sthcfres),SINGLE(sthcfter),SINGLE(sthcfind),SINGLE(sthcfagr))"),0.0)</f>
        <v>0</v>
      </c>
      <c r="K183" s="181">
        <f>IFERROR(__xludf.DUMMYFUNCTION("SUM(SINGLE(sthcfres),SINGLE(sthcfter),SINGLE(sthcfind),SINGLE(sthcfagr))"),0.0)</f>
        <v>0</v>
      </c>
      <c r="L183" s="181">
        <f>IFERROR(__xludf.DUMMYFUNCTION("SUM(SINGLE(sthcfres),SINGLE(sthcfter),SINGLE(sthcfind),SINGLE(sthcfagr))"),0.0)</f>
        <v>0</v>
      </c>
      <c r="M183" s="181">
        <f>IFERROR(__xludf.DUMMYFUNCTION("SUM(SINGLE(sthcfres),SINGLE(sthcfter),SINGLE(sthcfind),SINGLE(sthcfagr))"),0.0)</f>
        <v>0</v>
      </c>
      <c r="N183" s="181">
        <f>IFERROR(__xludf.DUMMYFUNCTION("SUM(SINGLE(sthcfres),SINGLE(sthcfter),SINGLE(sthcfind),SINGLE(sthcfagr))"),0.0)</f>
        <v>0</v>
      </c>
      <c r="O183" s="181">
        <f>IFERROR(__xludf.DUMMYFUNCTION("SUM(SINGLE(sthcfres),SINGLE(sthcfter),SINGLE(sthcfind),SINGLE(sthcfagr))"),0.0)</f>
        <v>0</v>
      </c>
      <c r="P183" s="181">
        <f>IFERROR(__xludf.DUMMYFUNCTION("SUM(SINGLE(sthcfres),SINGLE(sthcfter),SINGLE(sthcfind),SINGLE(sthcfagr))"),0.0)</f>
        <v>0</v>
      </c>
      <c r="Q183" s="181">
        <f>IFERROR(__xludf.DUMMYFUNCTION("SUM(SINGLE(sthcfres),SINGLE(sthcfter),SINGLE(sthcfind),SINGLE(sthcfagr))"),0.0)</f>
        <v>0</v>
      </c>
      <c r="R183" s="181">
        <f>IFERROR(__xludf.DUMMYFUNCTION("SUM(SINGLE(sthcfres),SINGLE(sthcfter),SINGLE(sthcfind),SINGLE(sthcfagr))"),0.0)</f>
        <v>0</v>
      </c>
      <c r="S183" s="181">
        <f>IFERROR(__xludf.DUMMYFUNCTION("SUM(SINGLE(sthcfres),SINGLE(sthcfter),SINGLE(sthcfind),SINGLE(sthcfagr))"),0.0)</f>
        <v>0</v>
      </c>
      <c r="T183" s="181">
        <f>IFERROR(__xludf.DUMMYFUNCTION("SUM(SINGLE(sthcfres),SINGLE(sthcfter),SINGLE(sthcfind),SINGLE(sthcfagr))"),0.0)</f>
        <v>0</v>
      </c>
      <c r="U183" s="181">
        <f>IFERROR(__xludf.DUMMYFUNCTION("SUM(SINGLE(sthcfres),SINGLE(sthcfter),SINGLE(sthcfind),SINGLE(sthcfagr))"),0.0)</f>
        <v>0</v>
      </c>
      <c r="V183" s="181">
        <f>IFERROR(__xludf.DUMMYFUNCTION("SUM(SINGLE(sthcfres),SINGLE(sthcfter),SINGLE(sthcfind),SINGLE(sthcfagr))"),0.0)</f>
        <v>0</v>
      </c>
      <c r="W183" s="202">
        <f>IFERROR(__xludf.DUMMYFUNCTION("SUM(SINGLE(sthcfres),SINGLE(sthcfter),SINGLE(sthcfind),SINGLE(sthcfagr))"),0.0150693581424262)</f>
        <v>0.01506935814</v>
      </c>
      <c r="X183" s="202">
        <f>IFERROR(__xludf.DUMMYFUNCTION("SUM(SINGLE(sthcfres),SINGLE(sthcfter),SINGLE(sthcfind),SINGLE(sthcfagr))"),0.0)</f>
        <v>0</v>
      </c>
      <c r="Y183" s="202">
        <f>IFERROR(__xludf.DUMMYFUNCTION("SUM(SINGLE(sthcfres),SINGLE(sthcfter),SINGLE(sthcfind),SINGLE(sthcfagr))"),0.0)</f>
        <v>0</v>
      </c>
      <c r="Z183" s="202">
        <f>IFERROR(__xludf.DUMMYFUNCTION("SUM(SINGLE(sthcfres),SINGLE(sthcfter),SINGLE(sthcfind),SINGLE(sthcfagr))"),0.0)</f>
        <v>0</v>
      </c>
      <c r="AA183" s="202">
        <f>IFERROR(__xludf.DUMMYFUNCTION("SUM(SINGLE(sthcfres),SINGLE(sthcfter),SINGLE(sthcfind),SINGLE(sthcfagr))"),0.0)</f>
        <v>0</v>
      </c>
      <c r="AB183" s="202">
        <f>IFERROR(__xludf.DUMMYFUNCTION("SUM(SINGLE(sthcfres),SINGLE(sthcfter),SINGLE(sthcfind),SINGLE(sthcfagr))"),0.0152147661491425)</f>
        <v>0.01521476615</v>
      </c>
      <c r="AC183" s="202">
        <f>IFERROR(__xludf.DUMMYFUNCTION("SUM(SINGLE(sthcfres),SINGLE(sthcfter),SINGLE(sthcfind),SINGLE(sthcfagr))"),0.0556012207590252)</f>
        <v>0.05560122076</v>
      </c>
      <c r="AD183" s="202">
        <f>IFERROR(__xludf.DUMMYFUNCTION("SUM(SINGLE(sthcfres),SINGLE(sthcfter),SINGLE(sthcfind),SINGLE(sthcfagr))"),0.0809299846194281)</f>
        <v>0.08092998462</v>
      </c>
      <c r="AE183" s="202">
        <f>IFERROR(__xludf.DUMMYFUNCTION("SUM(SINGLE(sthcfres),SINGLE(sthcfter),SINGLE(sthcfind),SINGLE(sthcfagr))"),0.0939829295133638)</f>
        <v>0.09398292951</v>
      </c>
      <c r="AF183" s="202">
        <f>IFERROR(__xludf.DUMMYFUNCTION("SUM(SINGLE(sthcfres),SINGLE(sthcfter),SINGLE(sthcfind),SINGLE(sthcfagr))"),0.0927382426010799)</f>
        <v>0.0927382426</v>
      </c>
      <c r="AG183" s="202">
        <f>IFERROR(__xludf.DUMMYFUNCTION("SUM(SINGLE(sthcfres),SINGLE(sthcfter),SINGLE(sthcfind),SINGLE(sthcfagr))"),0.123512213715203)</f>
        <v>0.1235122137</v>
      </c>
      <c r="AH183" s="202">
        <f>IFERROR(__xludf.DUMMYFUNCTION("SUM(SINGLE(sthcfres),SINGLE(sthcfter),SINGLE(sthcfind),SINGLE(sthcfagr))"),0.116918724435097)</f>
        <v>0.1169187244</v>
      </c>
      <c r="AI183" s="275"/>
      <c r="AJ183" s="100"/>
      <c r="AK183" s="100"/>
      <c r="AL183" s="100"/>
      <c r="AM183" s="100"/>
      <c r="AN183" s="100"/>
      <c r="AO183" s="100"/>
    </row>
    <row r="184" ht="14.25" customHeight="1">
      <c r="A184" s="326"/>
      <c r="B184" s="100"/>
      <c r="C184" s="100"/>
      <c r="D184" s="852"/>
      <c r="E184" s="270" t="s">
        <v>3578</v>
      </c>
      <c r="F184" s="249" t="s">
        <v>135</v>
      </c>
      <c r="G184" s="249"/>
      <c r="H184" s="181">
        <f>IFERROR(__xludf.DUMMYFUNCTION("SUM(SINGLE(vapcfres),SINGLE(vapcfter),SINGLE(vapcfind),SINGLE(vapcfens),SINGLE(vapcfagr))"),0.3657)</f>
        <v>0.3657</v>
      </c>
      <c r="I184" s="181">
        <f>IFERROR(__xludf.DUMMYFUNCTION("SUM(SINGLE(vapcfres),SINGLE(vapcfter),SINGLE(vapcfind),SINGLE(vapcfens),SINGLE(vapcfagr))"),0.344)</f>
        <v>0.344</v>
      </c>
      <c r="J184" s="181">
        <f>IFERROR(__xludf.DUMMYFUNCTION("SUM(SINGLE(vapcfres),SINGLE(vapcfter),SINGLE(vapcfind),SINGLE(vapcfens),SINGLE(vapcfagr))"),0.34950000000000003)</f>
        <v>0.3495</v>
      </c>
      <c r="K184" s="181">
        <f>IFERROR(__xludf.DUMMYFUNCTION("SUM(SINGLE(vapcfres),SINGLE(vapcfter),SINGLE(vapcfind),SINGLE(vapcfens),SINGLE(vapcfagr))"),0.34319999999999995)</f>
        <v>0.3432</v>
      </c>
      <c r="L184" s="181">
        <f>IFERROR(__xludf.DUMMYFUNCTION("SUM(SINGLE(vapcfres),SINGLE(vapcfter),SINGLE(vapcfind),SINGLE(vapcfens),SINGLE(vapcfagr))"),0.34040000000000004)</f>
        <v>0.3404</v>
      </c>
      <c r="M184" s="181">
        <f>IFERROR(__xludf.DUMMYFUNCTION("SUM(SINGLE(vapcfres),SINGLE(vapcfter),SINGLE(vapcfind),SINGLE(vapcfens),SINGLE(vapcfagr))"),0.3154)</f>
        <v>0.3154</v>
      </c>
      <c r="N184" s="181">
        <f>IFERROR(__xludf.DUMMYFUNCTION("SUM(SINGLE(vapcfres),SINGLE(vapcfter),SINGLE(vapcfind),SINGLE(vapcfens),SINGLE(vapcfagr))"),0.8592000000000001)</f>
        <v>0.8592</v>
      </c>
      <c r="O184" s="181">
        <f>IFERROR(__xludf.DUMMYFUNCTION("SUM(SINGLE(vapcfres),SINGLE(vapcfter),SINGLE(vapcfind),SINGLE(vapcfens),SINGLE(vapcfagr))"),0.881)</f>
        <v>0.881</v>
      </c>
      <c r="P184" s="181">
        <f>IFERROR(__xludf.DUMMYFUNCTION("SUM(SINGLE(vapcfres),SINGLE(vapcfter),SINGLE(vapcfind),SINGLE(vapcfens),SINGLE(vapcfagr))"),1.1895)</f>
        <v>1.1895</v>
      </c>
      <c r="Q184" s="181">
        <f>IFERROR(__xludf.DUMMYFUNCTION("SUM(SINGLE(vapcfres),SINGLE(vapcfter),SINGLE(vapcfind),SINGLE(vapcfens),SINGLE(vapcfagr))"),1.237)</f>
        <v>1.237</v>
      </c>
      <c r="R184" s="181">
        <f>IFERROR(__xludf.DUMMYFUNCTION("SUM(SINGLE(vapcfres),SINGLE(vapcfter),SINGLE(vapcfind),SINGLE(vapcfens),SINGLE(vapcfagr))"),7.483)</f>
        <v>7.483</v>
      </c>
      <c r="S184" s="181">
        <f>IFERROR(__xludf.DUMMYFUNCTION("SUM(SINGLE(vapcfres),SINGLE(vapcfter),SINGLE(vapcfind),SINGLE(vapcfens),SINGLE(vapcfagr))"),7.4372)</f>
        <v>7.4372</v>
      </c>
      <c r="T184" s="181">
        <f>IFERROR(__xludf.DUMMYFUNCTION("SUM(SINGLE(vapcfres),SINGLE(vapcfter),SINGLE(vapcfind),SINGLE(vapcfens),SINGLE(vapcfagr))"),6.982)</f>
        <v>6.982</v>
      </c>
      <c r="U184" s="181">
        <f>IFERROR(__xludf.DUMMYFUNCTION("SUM(SINGLE(vapcfres),SINGLE(vapcfter),SINGLE(vapcfind),SINGLE(vapcfens),SINGLE(vapcfagr))"),6.6921)</f>
        <v>6.6921</v>
      </c>
      <c r="V184" s="181">
        <f>IFERROR(__xludf.DUMMYFUNCTION("SUM(SINGLE(vapcfres),SINGLE(vapcfter),SINGLE(vapcfind),SINGLE(vapcfens),SINGLE(vapcfagr))"),6.1021)</f>
        <v>6.1021</v>
      </c>
      <c r="W184" s="202">
        <f>IFERROR(__xludf.DUMMYFUNCTION("SUM(SINGLE(vapcfres),SINGLE(vapcfter),SINGLE(vapcfind),SINGLE(vapcfens),SINGLE(vapcfagr))"),7.607256360445322)</f>
        <v>7.60725636</v>
      </c>
      <c r="X184" s="202">
        <f>IFERROR(__xludf.DUMMYFUNCTION("SUM(SINGLE(vapcfres),SINGLE(vapcfter),SINGLE(vapcfind),SINGLE(vapcfens),SINGLE(vapcfagr))"),1.3592279999999999)</f>
        <v>1.359228</v>
      </c>
      <c r="Y184" s="202">
        <f>IFERROR(__xludf.DUMMYFUNCTION("SUM(SINGLE(vapcfres),SINGLE(vapcfter),SINGLE(vapcfind),SINGLE(vapcfens),SINGLE(vapcfagr))"),1.392428)</f>
        <v>1.392428</v>
      </c>
      <c r="Z184" s="202">
        <f>IFERROR(__xludf.DUMMYFUNCTION("SUM(SINGLE(vapcfres),SINGLE(vapcfter),SINGLE(vapcfind),SINGLE(vapcfens),SINGLE(vapcfagr))"),1.449361)</f>
        <v>1.449361</v>
      </c>
      <c r="AA184" s="202">
        <f>IFERROR(__xludf.DUMMYFUNCTION("SUM(SINGLE(vapcfres),SINGLE(vapcfter),SINGLE(vapcfind),SINGLE(vapcfens),SINGLE(vapcfagr))"),5.392262870620001)</f>
        <v>5.392262871</v>
      </c>
      <c r="AB184" s="202">
        <f>IFERROR(__xludf.DUMMYFUNCTION("SUM(SINGLE(vapcfres),SINGLE(vapcfter),SINGLE(vapcfind),SINGLE(vapcfens),SINGLE(vapcfagr))"),5.979836747587074)</f>
        <v>5.979836748</v>
      </c>
      <c r="AC184" s="202">
        <f>IFERROR(__xludf.DUMMYFUNCTION("SUM(SINGLE(vapcfres),SINGLE(vapcfter),SINGLE(vapcfind),SINGLE(vapcfens),SINGLE(vapcfagr))"),6.297505285129224)</f>
        <v>6.297505285</v>
      </c>
      <c r="AD184" s="202">
        <f>IFERROR(__xludf.DUMMYFUNCTION("SUM(SINGLE(vapcfres),SINGLE(vapcfter),SINGLE(vapcfind),SINGLE(vapcfens),SINGLE(vapcfagr))"),5.954298816592215)</f>
        <v>5.954298817</v>
      </c>
      <c r="AE184" s="202">
        <f>IFERROR(__xludf.DUMMYFUNCTION("SUM(SINGLE(vapcfres),SINGLE(vapcfter),SINGLE(vapcfind),SINGLE(vapcfens),SINGLE(vapcfagr))"),5.5474302082665385)</f>
        <v>5.547430208</v>
      </c>
      <c r="AF184" s="202">
        <f>IFERROR(__xludf.DUMMYFUNCTION("SUM(SINGLE(vapcfres),SINGLE(vapcfter),SINGLE(vapcfind),SINGLE(vapcfens),SINGLE(vapcfagr))"),5.020616395948529)</f>
        <v>5.020616396</v>
      </c>
      <c r="AG184" s="202">
        <f>IFERROR(__xludf.DUMMYFUNCTION("SUM(SINGLE(vapcfres),SINGLE(vapcfter),SINGLE(vapcfind),SINGLE(vapcfens),SINGLE(vapcfagr))"),5.329685262424494)</f>
        <v>5.329685262</v>
      </c>
      <c r="AH184" s="202">
        <f>IFERROR(__xludf.DUMMYFUNCTION("SUM(SINGLE(vapcfres),SINGLE(vapcfter),SINGLE(vapcfind),SINGLE(vapcfens),SINGLE(vapcfagr))"),5.128683735037004)</f>
        <v>5.128683735</v>
      </c>
      <c r="AI184" s="275"/>
      <c r="AJ184" s="100"/>
      <c r="AK184" s="100"/>
      <c r="AL184" s="100"/>
      <c r="AM184" s="100"/>
      <c r="AN184" s="100"/>
      <c r="AO184" s="100"/>
    </row>
    <row r="185" ht="14.25" customHeight="1">
      <c r="A185" s="326"/>
      <c r="B185" s="100"/>
      <c r="C185" s="100"/>
      <c r="D185" s="100"/>
      <c r="E185" s="122" t="s">
        <v>237</v>
      </c>
      <c r="F185" s="123" t="s">
        <v>135</v>
      </c>
      <c r="G185" s="123"/>
      <c r="H185" s="181">
        <f>IFERROR(__xludf.DUMMYFUNCTION("SUM(SINGLE(paccfres),SINGLE(paccfter),SINGLE(paccfind),SINGLE(paccfagr))"),0.0)</f>
        <v>0</v>
      </c>
      <c r="I185" s="181">
        <f>IFERROR(__xludf.DUMMYFUNCTION("SUM(SINGLE(paccfres),SINGLE(paccfter),SINGLE(paccfind),SINGLE(paccfagr))"),0.0)</f>
        <v>0</v>
      </c>
      <c r="J185" s="181">
        <f>IFERROR(__xludf.DUMMYFUNCTION("SUM(SINGLE(paccfres),SINGLE(paccfter),SINGLE(paccfind),SINGLE(paccfagr))"),0.0)</f>
        <v>0</v>
      </c>
      <c r="K185" s="181">
        <f>IFERROR(__xludf.DUMMYFUNCTION("SUM(SINGLE(paccfres),SINGLE(paccfter),SINGLE(paccfind),SINGLE(paccfagr))"),0.0)</f>
        <v>0</v>
      </c>
      <c r="L185" s="181">
        <f>IFERROR(__xludf.DUMMYFUNCTION("SUM(SINGLE(paccfres),SINGLE(paccfter),SINGLE(paccfind),SINGLE(paccfagr))"),0.0)</f>
        <v>0</v>
      </c>
      <c r="M185" s="181">
        <f>IFERROR(__xludf.DUMMYFUNCTION("SUM(SINGLE(paccfres),SINGLE(paccfter),SINGLE(paccfind),SINGLE(paccfagr))"),0.0)</f>
        <v>0</v>
      </c>
      <c r="N185" s="181">
        <f>IFERROR(__xludf.DUMMYFUNCTION("SUM(SINGLE(paccfres),SINGLE(paccfter),SINGLE(paccfind),SINGLE(paccfagr))"),0.0)</f>
        <v>0</v>
      </c>
      <c r="O185" s="181">
        <f>IFERROR(__xludf.DUMMYFUNCTION("SUM(SINGLE(paccfres),SINGLE(paccfter),SINGLE(paccfind),SINGLE(paccfagr))"),0.0)</f>
        <v>0</v>
      </c>
      <c r="P185" s="181">
        <f>IFERROR(__xludf.DUMMYFUNCTION("SUM(SINGLE(paccfres),SINGLE(paccfter),SINGLE(paccfind),SINGLE(paccfagr))"),0.0)</f>
        <v>0</v>
      </c>
      <c r="Q185" s="181">
        <f>IFERROR(__xludf.DUMMYFUNCTION("SUM(SINGLE(paccfres),SINGLE(paccfter),SINGLE(paccfind),SINGLE(paccfagr))"),0.0)</f>
        <v>0</v>
      </c>
      <c r="R185" s="181">
        <f>IFERROR(__xludf.DUMMYFUNCTION("SUM(SINGLE(paccfres),SINGLE(paccfter),SINGLE(paccfind),SINGLE(paccfagr))"),0.0)</f>
        <v>0</v>
      </c>
      <c r="S185" s="181">
        <f>IFERROR(__xludf.DUMMYFUNCTION("SUM(SINGLE(paccfres),SINGLE(paccfter),SINGLE(paccfind),SINGLE(paccfagr))"),0.0)</f>
        <v>0</v>
      </c>
      <c r="T185" s="181">
        <f>IFERROR(__xludf.DUMMYFUNCTION("SUM(SINGLE(paccfres),SINGLE(paccfter),SINGLE(paccfind),SINGLE(paccfagr))"),0.0)</f>
        <v>0</v>
      </c>
      <c r="U185" s="181">
        <f>IFERROR(__xludf.DUMMYFUNCTION("SUM(SINGLE(paccfres),SINGLE(paccfter),SINGLE(paccfind),SINGLE(paccfagr))"),0.0)</f>
        <v>0</v>
      </c>
      <c r="V185" s="181">
        <f>IFERROR(__xludf.DUMMYFUNCTION("SUM(SINGLE(paccfres),SINGLE(paccfter),SINGLE(paccfind),SINGLE(paccfagr))"),0.0)</f>
        <v>0</v>
      </c>
      <c r="W185" s="202">
        <f>IFERROR(__xludf.DUMMYFUNCTION("SUM(SINGLE(paccfres),SINGLE(paccfter),SINGLE(paccfind),SINGLE(paccfagr))"),0.113436128566484)</f>
        <v>0.1134361286</v>
      </c>
      <c r="X185" s="202">
        <f>IFERROR(__xludf.DUMMYFUNCTION("SUM(SINGLE(paccfres),SINGLE(paccfter),SINGLE(paccfind),SINGLE(paccfagr))"),0.0)</f>
        <v>0</v>
      </c>
      <c r="Y185" s="202">
        <f>IFERROR(__xludf.DUMMYFUNCTION("SUM(SINGLE(paccfres),SINGLE(paccfter),SINGLE(paccfind),SINGLE(paccfagr))"),0.0)</f>
        <v>0</v>
      </c>
      <c r="Z185" s="202">
        <f>IFERROR(__xludf.DUMMYFUNCTION("SUM(SINGLE(paccfres),SINGLE(paccfter),SINGLE(paccfind),SINGLE(paccfagr))"),0.0)</f>
        <v>0</v>
      </c>
      <c r="AA185" s="202">
        <f>IFERROR(__xludf.DUMMYFUNCTION("SUM(SINGLE(paccfres),SINGLE(paccfter),SINGLE(paccfind),SINGLE(paccfagr))"),0.0)</f>
        <v>0</v>
      </c>
      <c r="AB185" s="202">
        <f>IFERROR(__xludf.DUMMYFUNCTION("SUM(SINGLE(paccfres),SINGLE(paccfter),SINGLE(paccfind),SINGLE(paccfagr))"),0.114530702150081)</f>
        <v>0.1145307022</v>
      </c>
      <c r="AC185" s="202">
        <f>IFERROR(__xludf.DUMMYFUNCTION("SUM(SINGLE(paccfres),SINGLE(paccfter),SINGLE(paccfind),SINGLE(paccfagr))"),1.58931057168932)</f>
        <v>1.589310572</v>
      </c>
      <c r="AD185" s="202">
        <f>IFERROR(__xludf.DUMMYFUNCTION("SUM(SINGLE(paccfres),SINGLE(paccfter),SINGLE(paccfind),SINGLE(paccfagr))"),2.54435982116396)</f>
        <v>2.544359821</v>
      </c>
      <c r="AE185" s="202">
        <f>IFERROR(__xludf.DUMMYFUNCTION("SUM(SINGLE(paccfres),SINGLE(paccfter),SINGLE(paccfind),SINGLE(paccfagr))"),3.06110380503889)</f>
        <v>3.061103805</v>
      </c>
      <c r="AF185" s="202">
        <f>IFERROR(__xludf.DUMMYFUNCTION("SUM(SINGLE(paccfres),SINGLE(paccfter),SINGLE(paccfind),SINGLE(paccfagr))"),3.07686155341403)</f>
        <v>3.076861553</v>
      </c>
      <c r="AG185" s="202">
        <f>IFERROR(__xludf.DUMMYFUNCTION("SUM(SINGLE(paccfres),SINGLE(paccfter),SINGLE(paccfind),SINGLE(paccfagr))"),4.16853721288809)</f>
        <v>4.168537213</v>
      </c>
      <c r="AH185" s="202">
        <f>IFERROR(__xludf.DUMMYFUNCTION("SUM(SINGLE(paccfres),SINGLE(paccfter),SINGLE(paccfind),SINGLE(paccfagr))"),3.94600694968454)</f>
        <v>3.94600695</v>
      </c>
      <c r="AI185" s="275"/>
      <c r="AJ185" s="100"/>
      <c r="AK185" s="100"/>
      <c r="AL185" s="100"/>
      <c r="AM185" s="100"/>
      <c r="AN185" s="100"/>
      <c r="AO185" s="100"/>
    </row>
    <row r="186" ht="14.25" customHeight="1">
      <c r="A186" s="926" t="s">
        <v>3581</v>
      </c>
      <c r="B186" s="100"/>
      <c r="C186" s="100"/>
      <c r="D186" s="195"/>
      <c r="E186" s="162"/>
      <c r="F186" s="836"/>
      <c r="G186" s="836"/>
      <c r="H186" s="178"/>
      <c r="I186" s="178"/>
      <c r="J186" s="178"/>
      <c r="K186" s="178"/>
      <c r="L186" s="178"/>
      <c r="M186" s="178"/>
      <c r="N186" s="178"/>
      <c r="O186" s="178"/>
      <c r="P186" s="178"/>
      <c r="Q186" s="178"/>
      <c r="R186" s="178"/>
      <c r="S186" s="178"/>
      <c r="T186" s="178"/>
      <c r="U186" s="178"/>
      <c r="V186" s="178"/>
      <c r="W186" s="836"/>
      <c r="X186" s="178"/>
      <c r="Y186" s="178"/>
      <c r="Z186" s="178"/>
      <c r="AA186" s="178"/>
      <c r="AB186" s="836"/>
      <c r="AC186" s="836"/>
      <c r="AD186" s="836"/>
      <c r="AE186" s="836"/>
      <c r="AF186" s="836"/>
      <c r="AG186" s="836"/>
      <c r="AH186" s="836"/>
      <c r="AI186" s="244"/>
      <c r="AJ186" s="100"/>
      <c r="AK186" s="100"/>
      <c r="AL186" s="100"/>
      <c r="AM186" s="100"/>
      <c r="AN186" s="195"/>
      <c r="AO186" s="195"/>
    </row>
    <row r="187" ht="14.25" customHeight="1">
      <c r="A187" s="326"/>
      <c r="B187" s="100"/>
      <c r="C187" s="852"/>
      <c r="D187" s="100"/>
      <c r="E187" s="287" t="s">
        <v>3582</v>
      </c>
      <c r="F187" s="249" t="s">
        <v>135</v>
      </c>
      <c r="G187" s="249"/>
      <c r="H187" s="274" t="str">
        <f t="shared" ref="H187:AH187" si="17">SUM(H188:H196)</f>
        <v>#DIV/0!</v>
      </c>
      <c r="I187" s="274" t="str">
        <f t="shared" si="17"/>
        <v>#DIV/0!</v>
      </c>
      <c r="J187" s="274" t="str">
        <f t="shared" si="17"/>
        <v>#DIV/0!</v>
      </c>
      <c r="K187" s="274" t="str">
        <f t="shared" si="17"/>
        <v>#DIV/0!</v>
      </c>
      <c r="L187" s="274" t="str">
        <f t="shared" si="17"/>
        <v>#DIV/0!</v>
      </c>
      <c r="M187" s="274" t="str">
        <f t="shared" si="17"/>
        <v>#DIV/0!</v>
      </c>
      <c r="N187" s="274" t="str">
        <f t="shared" si="17"/>
        <v>#DIV/0!</v>
      </c>
      <c r="O187" s="274" t="str">
        <f t="shared" si="17"/>
        <v>#DIV/0!</v>
      </c>
      <c r="P187" s="274" t="str">
        <f t="shared" si="17"/>
        <v>#DIV/0!</v>
      </c>
      <c r="Q187" s="274" t="str">
        <f t="shared" si="17"/>
        <v>#DIV/0!</v>
      </c>
      <c r="R187" s="274" t="str">
        <f t="shared" si="17"/>
        <v>#DIV/0!</v>
      </c>
      <c r="S187" s="274" t="str">
        <f t="shared" si="17"/>
        <v>#DIV/0!</v>
      </c>
      <c r="T187" s="274" t="str">
        <f t="shared" si="17"/>
        <v>#DIV/0!</v>
      </c>
      <c r="U187" s="274" t="str">
        <f t="shared" si="17"/>
        <v>#DIV/0!</v>
      </c>
      <c r="V187" s="274" t="str">
        <f t="shared" si="17"/>
        <v>#DIV/0!</v>
      </c>
      <c r="W187" s="274" t="str">
        <f t="shared" si="17"/>
        <v>#DIV/0!</v>
      </c>
      <c r="X187" s="274" t="str">
        <f t="shared" si="17"/>
        <v>#DIV/0!</v>
      </c>
      <c r="Y187" s="274" t="str">
        <f t="shared" si="17"/>
        <v>#DIV/0!</v>
      </c>
      <c r="Z187" s="274" t="str">
        <f t="shared" si="17"/>
        <v>#DIV/0!</v>
      </c>
      <c r="AA187" s="274" t="str">
        <f t="shared" si="17"/>
        <v>#DIV/0!</v>
      </c>
      <c r="AB187" s="274" t="str">
        <f t="shared" si="17"/>
        <v>#DIV/0!</v>
      </c>
      <c r="AC187" s="274" t="str">
        <f t="shared" si="17"/>
        <v>#DIV/0!</v>
      </c>
      <c r="AD187" s="274" t="str">
        <f t="shared" si="17"/>
        <v>#REF!</v>
      </c>
      <c r="AE187" s="274" t="str">
        <f t="shared" si="17"/>
        <v>#REF!</v>
      </c>
      <c r="AF187" s="274" t="str">
        <f t="shared" si="17"/>
        <v>#REF!</v>
      </c>
      <c r="AG187" s="274" t="str">
        <f t="shared" si="17"/>
        <v>#REF!</v>
      </c>
      <c r="AH187" s="274" t="str">
        <f t="shared" si="17"/>
        <v>#DIV/0!</v>
      </c>
      <c r="AI187" s="275"/>
      <c r="AJ187" s="100"/>
      <c r="AK187" s="100"/>
      <c r="AL187" s="100"/>
      <c r="AM187" s="100"/>
      <c r="AN187" s="100"/>
      <c r="AO187" s="100"/>
    </row>
    <row r="188" ht="14.25" customHeight="1">
      <c r="A188" s="326"/>
      <c r="B188" s="100"/>
      <c r="C188" s="852"/>
      <c r="D188" s="100"/>
      <c r="E188" s="270" t="s">
        <v>225</v>
      </c>
      <c r="F188" s="249" t="s">
        <v>135</v>
      </c>
      <c r="G188" s="249"/>
      <c r="H188" s="181">
        <f t="shared" ref="H188:AH188" si="18">H177/H166-1</f>
        <v>765.1333333</v>
      </c>
      <c r="I188" s="181">
        <f t="shared" si="18"/>
        <v>868.6206897</v>
      </c>
      <c r="J188" s="181">
        <f t="shared" si="18"/>
        <v>771.7241379</v>
      </c>
      <c r="K188" s="181">
        <f t="shared" si="18"/>
        <v>608.5357143</v>
      </c>
      <c r="L188" s="181">
        <f t="shared" si="18"/>
        <v>539.5</v>
      </c>
      <c r="M188" s="181">
        <f t="shared" si="18"/>
        <v>515.6896552</v>
      </c>
      <c r="N188" s="181">
        <f t="shared" si="18"/>
        <v>525.0357143</v>
      </c>
      <c r="O188" s="181">
        <f t="shared" si="18"/>
        <v>496.8148148</v>
      </c>
      <c r="P188" s="181">
        <f t="shared" si="18"/>
        <v>691.0740741</v>
      </c>
      <c r="Q188" s="181">
        <f t="shared" si="18"/>
        <v>1033.038462</v>
      </c>
      <c r="R188" s="181">
        <f t="shared" si="18"/>
        <v>0.07792332884</v>
      </c>
      <c r="S188" s="181">
        <f t="shared" si="18"/>
        <v>0.07038729712</v>
      </c>
      <c r="T188" s="181">
        <f t="shared" si="18"/>
        <v>0.07596601774</v>
      </c>
      <c r="U188" s="181">
        <f t="shared" si="18"/>
        <v>0.07252320195</v>
      </c>
      <c r="V188" s="181">
        <f t="shared" si="18"/>
        <v>0.05546571206</v>
      </c>
      <c r="W188" s="339">
        <f t="shared" si="18"/>
        <v>0.000104047562</v>
      </c>
      <c r="X188" s="339">
        <f t="shared" si="18"/>
        <v>0.04927598481</v>
      </c>
      <c r="Y188" s="339">
        <f t="shared" si="18"/>
        <v>0.04661762611</v>
      </c>
      <c r="Z188" s="339">
        <f t="shared" si="18"/>
        <v>0</v>
      </c>
      <c r="AA188" s="339">
        <f t="shared" si="18"/>
        <v>0</v>
      </c>
      <c r="AB188" s="339">
        <f t="shared" si="18"/>
        <v>-0.03569992928</v>
      </c>
      <c r="AC188" s="339">
        <f t="shared" si="18"/>
        <v>-0.01183096005</v>
      </c>
      <c r="AD188" s="339">
        <f t="shared" si="18"/>
        <v>-0.004256671507</v>
      </c>
      <c r="AE188" s="339">
        <f t="shared" si="18"/>
        <v>-0.009098921787</v>
      </c>
      <c r="AF188" s="339">
        <f t="shared" si="18"/>
        <v>-1</v>
      </c>
      <c r="AG188" s="339">
        <f t="shared" si="18"/>
        <v>-1</v>
      </c>
      <c r="AH188" s="339" t="str">
        <f t="shared" si="18"/>
        <v>#DIV/0!</v>
      </c>
      <c r="AI188" s="204"/>
      <c r="AJ188" s="100"/>
      <c r="AK188" s="100"/>
      <c r="AL188" s="100"/>
      <c r="AM188" s="100"/>
      <c r="AN188" s="100"/>
      <c r="AO188" s="100"/>
    </row>
    <row r="189" ht="14.25" customHeight="1">
      <c r="A189" s="326"/>
      <c r="B189" s="100"/>
      <c r="C189" s="852"/>
      <c r="D189" s="100"/>
      <c r="E189" s="270" t="s">
        <v>227</v>
      </c>
      <c r="F189" s="249" t="s">
        <v>135</v>
      </c>
      <c r="G189" s="249"/>
      <c r="H189" s="181">
        <f t="shared" ref="H189:AH189" si="19">H178/H167-1</f>
        <v>123.0138889</v>
      </c>
      <c r="I189" s="181">
        <f t="shared" si="19"/>
        <v>41.97473684</v>
      </c>
      <c r="J189" s="181">
        <f t="shared" si="19"/>
        <v>43.82871537</v>
      </c>
      <c r="K189" s="181">
        <f t="shared" si="19"/>
        <v>60.50406504</v>
      </c>
      <c r="L189" s="181">
        <f t="shared" si="19"/>
        <v>37.68189509</v>
      </c>
      <c r="M189" s="181">
        <f t="shared" si="19"/>
        <v>31.5567867</v>
      </c>
      <c r="N189" s="181">
        <f t="shared" si="19"/>
        <v>33.62768817</v>
      </c>
      <c r="O189" s="181">
        <f t="shared" si="19"/>
        <v>30.69155447</v>
      </c>
      <c r="P189" s="181">
        <f t="shared" si="19"/>
        <v>34.48079306</v>
      </c>
      <c r="Q189" s="181">
        <f t="shared" si="19"/>
        <v>28.16604478</v>
      </c>
      <c r="R189" s="181">
        <f t="shared" si="19"/>
        <v>0.3340035722</v>
      </c>
      <c r="S189" s="181">
        <f t="shared" si="19"/>
        <v>0.3099183699</v>
      </c>
      <c r="T189" s="181">
        <f t="shared" si="19"/>
        <v>0.7409710545</v>
      </c>
      <c r="U189" s="181">
        <f t="shared" si="19"/>
        <v>0.7275685551</v>
      </c>
      <c r="V189" s="181">
        <f t="shared" si="19"/>
        <v>0.5752838404</v>
      </c>
      <c r="W189" s="339">
        <f t="shared" si="19"/>
        <v>0.01162402218</v>
      </c>
      <c r="X189" s="339">
        <f t="shared" si="19"/>
        <v>0.8178770506</v>
      </c>
      <c r="Y189" s="339">
        <f t="shared" si="19"/>
        <v>0.8053114747</v>
      </c>
      <c r="Z189" s="339">
        <f t="shared" si="19"/>
        <v>0</v>
      </c>
      <c r="AA189" s="339">
        <f t="shared" si="19"/>
        <v>0</v>
      </c>
      <c r="AB189" s="339">
        <f t="shared" si="19"/>
        <v>-0.4275391028</v>
      </c>
      <c r="AC189" s="339">
        <f t="shared" si="19"/>
        <v>-0.4213492124</v>
      </c>
      <c r="AD189" s="339">
        <f t="shared" si="19"/>
        <v>-0.4232837876</v>
      </c>
      <c r="AE189" s="339">
        <f t="shared" si="19"/>
        <v>-0.4214348524</v>
      </c>
      <c r="AF189" s="339">
        <f t="shared" si="19"/>
        <v>-0.4169244349</v>
      </c>
      <c r="AG189" s="339">
        <f t="shared" si="19"/>
        <v>-0.3976336871</v>
      </c>
      <c r="AH189" s="339">
        <f t="shared" si="19"/>
        <v>-0.3799564693</v>
      </c>
      <c r="AI189" s="204"/>
      <c r="AJ189" s="100"/>
      <c r="AK189" s="100"/>
      <c r="AL189" s="100"/>
      <c r="AM189" s="100"/>
      <c r="AN189" s="100"/>
      <c r="AO189" s="100"/>
    </row>
    <row r="190" ht="14.25" customHeight="1">
      <c r="A190" s="326"/>
      <c r="B190" s="100"/>
      <c r="C190" s="100"/>
      <c r="D190" s="852"/>
      <c r="E190" s="270" t="s">
        <v>3576</v>
      </c>
      <c r="F190" s="249" t="s">
        <v>135</v>
      </c>
      <c r="G190" s="249"/>
      <c r="H190" s="181">
        <f t="shared" ref="H190:AH190" si="20">H179/H168-1</f>
        <v>13.61171088</v>
      </c>
      <c r="I190" s="181">
        <f t="shared" si="20"/>
        <v>12.99509692</v>
      </c>
      <c r="J190" s="181">
        <f t="shared" si="20"/>
        <v>9.988168028</v>
      </c>
      <c r="K190" s="181">
        <f t="shared" si="20"/>
        <v>9.28691086</v>
      </c>
      <c r="L190" s="181">
        <f t="shared" si="20"/>
        <v>10.0828127</v>
      </c>
      <c r="M190" s="181">
        <f t="shared" si="20"/>
        <v>9.644230712</v>
      </c>
      <c r="N190" s="181">
        <f t="shared" si="20"/>
        <v>10.75039581</v>
      </c>
      <c r="O190" s="181">
        <f t="shared" si="20"/>
        <v>11.98250468</v>
      </c>
      <c r="P190" s="181">
        <f t="shared" si="20"/>
        <v>10.52891213</v>
      </c>
      <c r="Q190" s="181">
        <f t="shared" si="20"/>
        <v>11.8178036</v>
      </c>
      <c r="R190" s="181">
        <f t="shared" si="20"/>
        <v>4.375372698</v>
      </c>
      <c r="S190" s="181">
        <f t="shared" si="20"/>
        <v>4.894135437</v>
      </c>
      <c r="T190" s="181">
        <f t="shared" si="20"/>
        <v>4.667667249</v>
      </c>
      <c r="U190" s="181">
        <f t="shared" si="20"/>
        <v>4.382909252</v>
      </c>
      <c r="V190" s="181">
        <f t="shared" si="20"/>
        <v>4.53452068</v>
      </c>
      <c r="W190" s="339">
        <f t="shared" si="20"/>
        <v>-0.007297965433</v>
      </c>
      <c r="X190" s="339" t="str">
        <f t="shared" si="20"/>
        <v>#DIV/0!</v>
      </c>
      <c r="Y190" s="339" t="str">
        <f t="shared" si="20"/>
        <v>#DIV/0!</v>
      </c>
      <c r="Z190" s="339" t="str">
        <f t="shared" si="20"/>
        <v>#DIV/0!</v>
      </c>
      <c r="AA190" s="339" t="str">
        <f t="shared" si="20"/>
        <v>#DIV/0!</v>
      </c>
      <c r="AB190" s="339">
        <f t="shared" si="20"/>
        <v>-0.1643616336</v>
      </c>
      <c r="AC190" s="339">
        <f t="shared" si="20"/>
        <v>-0.6459508003</v>
      </c>
      <c r="AD190" s="339">
        <f t="shared" si="20"/>
        <v>-0.5549867368</v>
      </c>
      <c r="AE190" s="339">
        <f t="shared" si="20"/>
        <v>-0.5072087797</v>
      </c>
      <c r="AF190" s="339">
        <f t="shared" si="20"/>
        <v>-0.4670567776</v>
      </c>
      <c r="AG190" s="339">
        <f t="shared" si="20"/>
        <v>-0.3724251866</v>
      </c>
      <c r="AH190" s="339">
        <f t="shared" si="20"/>
        <v>-0.1342976164</v>
      </c>
      <c r="AI190" s="204"/>
      <c r="AJ190" s="100"/>
      <c r="AK190" s="100"/>
      <c r="AL190" s="100"/>
      <c r="AM190" s="100"/>
      <c r="AN190" s="100"/>
      <c r="AO190" s="100"/>
    </row>
    <row r="191" ht="14.25" customHeight="1">
      <c r="A191" s="326"/>
      <c r="B191" s="100"/>
      <c r="C191" s="100"/>
      <c r="D191" s="852"/>
      <c r="E191" s="270" t="s">
        <v>231</v>
      </c>
      <c r="F191" s="249" t="s">
        <v>135</v>
      </c>
      <c r="G191" s="249"/>
      <c r="H191" s="181">
        <f t="shared" ref="H191:AH191" si="21">H180/H169-1</f>
        <v>2.656260622</v>
      </c>
      <c r="I191" s="181">
        <f t="shared" si="21"/>
        <v>2.680865292</v>
      </c>
      <c r="J191" s="181">
        <f t="shared" si="21"/>
        <v>2.663499251</v>
      </c>
      <c r="K191" s="181">
        <f t="shared" si="21"/>
        <v>2.599250044</v>
      </c>
      <c r="L191" s="181">
        <f t="shared" si="21"/>
        <v>2.300280148</v>
      </c>
      <c r="M191" s="181">
        <f t="shared" si="21"/>
        <v>2.299382984</v>
      </c>
      <c r="N191" s="181">
        <f t="shared" si="21"/>
        <v>2.26568345</v>
      </c>
      <c r="O191" s="181">
        <f t="shared" si="21"/>
        <v>2.182944554</v>
      </c>
      <c r="P191" s="181">
        <f t="shared" si="21"/>
        <v>2.028415796</v>
      </c>
      <c r="Q191" s="181">
        <f t="shared" si="21"/>
        <v>2.051466543</v>
      </c>
      <c r="R191" s="181">
        <f t="shared" si="21"/>
        <v>0.5556046708</v>
      </c>
      <c r="S191" s="181">
        <f t="shared" si="21"/>
        <v>0.4526877135</v>
      </c>
      <c r="T191" s="181">
        <f t="shared" si="21"/>
        <v>0.4815734475</v>
      </c>
      <c r="U191" s="181">
        <f t="shared" si="21"/>
        <v>0.5210411753</v>
      </c>
      <c r="V191" s="181">
        <f t="shared" si="21"/>
        <v>0.4301769464</v>
      </c>
      <c r="W191" s="339">
        <f t="shared" si="21"/>
        <v>0.006468795972</v>
      </c>
      <c r="X191" s="339" t="str">
        <f t="shared" si="21"/>
        <v>#DIV/0!</v>
      </c>
      <c r="Y191" s="339" t="str">
        <f t="shared" si="21"/>
        <v>#DIV/0!</v>
      </c>
      <c r="Z191" s="339" t="str">
        <f t="shared" si="21"/>
        <v>#DIV/0!</v>
      </c>
      <c r="AA191" s="339" t="str">
        <f t="shared" si="21"/>
        <v>#DIV/0!</v>
      </c>
      <c r="AB191" s="339">
        <f t="shared" si="21"/>
        <v>-0.3016165786</v>
      </c>
      <c r="AC191" s="339">
        <f t="shared" si="21"/>
        <v>-0.293400039</v>
      </c>
      <c r="AD191" s="339">
        <f t="shared" si="21"/>
        <v>-0.3022568638</v>
      </c>
      <c r="AE191" s="339">
        <f t="shared" si="21"/>
        <v>-0.385749263</v>
      </c>
      <c r="AF191" s="339">
        <f t="shared" si="21"/>
        <v>-0.4247487076</v>
      </c>
      <c r="AG191" s="339">
        <f t="shared" si="21"/>
        <v>-0.5401072413</v>
      </c>
      <c r="AH191" s="339">
        <f t="shared" si="21"/>
        <v>-0.556397816</v>
      </c>
      <c r="AI191" s="204"/>
      <c r="AJ191" s="100"/>
      <c r="AK191" s="100"/>
      <c r="AL191" s="100"/>
      <c r="AM191" s="100"/>
      <c r="AN191" s="100"/>
      <c r="AO191" s="100"/>
    </row>
    <row r="192" ht="14.25" customHeight="1">
      <c r="A192" s="326"/>
      <c r="B192" s="100"/>
      <c r="C192" s="100"/>
      <c r="D192" s="852"/>
      <c r="E192" s="270" t="s">
        <v>3577</v>
      </c>
      <c r="F192" s="249" t="s">
        <v>135</v>
      </c>
      <c r="G192" s="249"/>
      <c r="H192" s="181" t="str">
        <f t="shared" ref="H192:AH192" si="22">H181/H170-1</f>
        <v>#DIV/0!</v>
      </c>
      <c r="I192" s="181" t="str">
        <f t="shared" si="22"/>
        <v>#DIV/0!</v>
      </c>
      <c r="J192" s="181" t="str">
        <f t="shared" si="22"/>
        <v>#DIV/0!</v>
      </c>
      <c r="K192" s="181" t="str">
        <f t="shared" si="22"/>
        <v>#DIV/0!</v>
      </c>
      <c r="L192" s="181" t="str">
        <f t="shared" si="22"/>
        <v>#DIV/0!</v>
      </c>
      <c r="M192" s="181" t="str">
        <f t="shared" si="22"/>
        <v>#DIV/0!</v>
      </c>
      <c r="N192" s="181" t="str">
        <f t="shared" si="22"/>
        <v>#DIV/0!</v>
      </c>
      <c r="O192" s="181" t="str">
        <f t="shared" si="22"/>
        <v>#DIV/0!</v>
      </c>
      <c r="P192" s="181" t="str">
        <f t="shared" si="22"/>
        <v>#DIV/0!</v>
      </c>
      <c r="Q192" s="181" t="str">
        <f t="shared" si="22"/>
        <v>#DIV/0!</v>
      </c>
      <c r="R192" s="181" t="str">
        <f t="shared" si="22"/>
        <v>#DIV/0!</v>
      </c>
      <c r="S192" s="181" t="str">
        <f t="shared" si="22"/>
        <v>#DIV/0!</v>
      </c>
      <c r="T192" s="181" t="str">
        <f t="shared" si="22"/>
        <v>#DIV/0!</v>
      </c>
      <c r="U192" s="181" t="str">
        <f t="shared" si="22"/>
        <v>#DIV/0!</v>
      </c>
      <c r="V192" s="181" t="str">
        <f t="shared" si="22"/>
        <v>#DIV/0!</v>
      </c>
      <c r="W192" s="339" t="str">
        <f t="shared" si="22"/>
        <v>#DIV/0!</v>
      </c>
      <c r="X192" s="339" t="str">
        <f t="shared" si="22"/>
        <v>#DIV/0!</v>
      </c>
      <c r="Y192" s="339" t="str">
        <f t="shared" si="22"/>
        <v>#DIV/0!</v>
      </c>
      <c r="Z192" s="339" t="str">
        <f t="shared" si="22"/>
        <v>#DIV/0!</v>
      </c>
      <c r="AA192" s="339" t="str">
        <f t="shared" si="22"/>
        <v>#DIV/0!</v>
      </c>
      <c r="AB192" s="339" t="str">
        <f t="shared" si="22"/>
        <v>#DIV/0!</v>
      </c>
      <c r="AC192" s="339" t="str">
        <f t="shared" si="22"/>
        <v>#DIV/0!</v>
      </c>
      <c r="AD192" s="339">
        <f t="shared" si="22"/>
        <v>-1</v>
      </c>
      <c r="AE192" s="339">
        <f t="shared" si="22"/>
        <v>-0.5251046463</v>
      </c>
      <c r="AF192" s="339">
        <f t="shared" si="22"/>
        <v>-0.3581681146</v>
      </c>
      <c r="AG192" s="339">
        <f t="shared" si="22"/>
        <v>-0.3168620345</v>
      </c>
      <c r="AH192" s="339">
        <f t="shared" si="22"/>
        <v>-0.2852463347</v>
      </c>
      <c r="AI192" s="204"/>
      <c r="AJ192" s="100"/>
      <c r="AK192" s="100"/>
      <c r="AL192" s="100"/>
      <c r="AM192" s="100"/>
      <c r="AN192" s="100"/>
      <c r="AO192" s="100"/>
    </row>
    <row r="193" ht="14.25" customHeight="1">
      <c r="A193" s="326"/>
      <c r="B193" s="100"/>
      <c r="C193" s="100"/>
      <c r="D193" s="852"/>
      <c r="E193" s="270" t="s">
        <v>233</v>
      </c>
      <c r="F193" s="123" t="s">
        <v>135</v>
      </c>
      <c r="G193" s="123"/>
      <c r="H193" s="181" t="str">
        <f t="shared" ref="H193:AH193" si="23">H182/H171-1</f>
        <v>#REF!</v>
      </c>
      <c r="I193" s="181" t="str">
        <f t="shared" si="23"/>
        <v>#REF!</v>
      </c>
      <c r="J193" s="181" t="str">
        <f t="shared" si="23"/>
        <v>#REF!</v>
      </c>
      <c r="K193" s="181" t="str">
        <f t="shared" si="23"/>
        <v>#REF!</v>
      </c>
      <c r="L193" s="181" t="str">
        <f t="shared" si="23"/>
        <v>#REF!</v>
      </c>
      <c r="M193" s="181" t="str">
        <f t="shared" si="23"/>
        <v>#REF!</v>
      </c>
      <c r="N193" s="181" t="str">
        <f t="shared" si="23"/>
        <v>#REF!</v>
      </c>
      <c r="O193" s="181" t="str">
        <f t="shared" si="23"/>
        <v>#REF!</v>
      </c>
      <c r="P193" s="181" t="str">
        <f t="shared" si="23"/>
        <v>#REF!</v>
      </c>
      <c r="Q193" s="181" t="str">
        <f t="shared" si="23"/>
        <v>#REF!</v>
      </c>
      <c r="R193" s="181" t="str">
        <f t="shared" si="23"/>
        <v>#REF!</v>
      </c>
      <c r="S193" s="181" t="str">
        <f t="shared" si="23"/>
        <v>#REF!</v>
      </c>
      <c r="T193" s="181" t="str">
        <f t="shared" si="23"/>
        <v>#REF!</v>
      </c>
      <c r="U193" s="181" t="str">
        <f t="shared" si="23"/>
        <v>#REF!</v>
      </c>
      <c r="V193" s="181" t="str">
        <f t="shared" si="23"/>
        <v>#REF!</v>
      </c>
      <c r="W193" s="339" t="str">
        <f t="shared" si="23"/>
        <v>#REF!</v>
      </c>
      <c r="X193" s="339" t="str">
        <f t="shared" si="23"/>
        <v>#REF!</v>
      </c>
      <c r="Y193" s="339" t="str">
        <f t="shared" si="23"/>
        <v>#REF!</v>
      </c>
      <c r="Z193" s="339" t="str">
        <f t="shared" si="23"/>
        <v>#REF!</v>
      </c>
      <c r="AA193" s="339" t="str">
        <f t="shared" si="23"/>
        <v>#REF!</v>
      </c>
      <c r="AB193" s="339" t="str">
        <f t="shared" si="23"/>
        <v>#REF!</v>
      </c>
      <c r="AC193" s="339" t="str">
        <f t="shared" si="23"/>
        <v>#REF!</v>
      </c>
      <c r="AD193" s="339" t="str">
        <f t="shared" si="23"/>
        <v>#REF!</v>
      </c>
      <c r="AE193" s="339" t="str">
        <f t="shared" si="23"/>
        <v>#REF!</v>
      </c>
      <c r="AF193" s="339" t="str">
        <f t="shared" si="23"/>
        <v>#REF!</v>
      </c>
      <c r="AG193" s="339" t="str">
        <f t="shared" si="23"/>
        <v>#REF!</v>
      </c>
      <c r="AH193" s="339" t="str">
        <f t="shared" si="23"/>
        <v>#REF!</v>
      </c>
      <c r="AI193" s="204"/>
      <c r="AJ193" s="100"/>
      <c r="AK193" s="100"/>
      <c r="AL193" s="100"/>
      <c r="AM193" s="100"/>
      <c r="AN193" s="100"/>
      <c r="AO193" s="100"/>
    </row>
    <row r="194" ht="14.25" customHeight="1">
      <c r="A194" s="326"/>
      <c r="B194" s="100"/>
      <c r="C194" s="100"/>
      <c r="D194" s="852"/>
      <c r="E194" s="270" t="s">
        <v>239</v>
      </c>
      <c r="F194" s="249" t="s">
        <v>135</v>
      </c>
      <c r="G194" s="249"/>
      <c r="H194" s="181" t="str">
        <f t="shared" ref="H194:AH194" si="24">H183/H172-1</f>
        <v>#DIV/0!</v>
      </c>
      <c r="I194" s="181" t="str">
        <f t="shared" si="24"/>
        <v>#DIV/0!</v>
      </c>
      <c r="J194" s="181" t="str">
        <f t="shared" si="24"/>
        <v>#DIV/0!</v>
      </c>
      <c r="K194" s="181" t="str">
        <f t="shared" si="24"/>
        <v>#DIV/0!</v>
      </c>
      <c r="L194" s="181" t="str">
        <f t="shared" si="24"/>
        <v>#DIV/0!</v>
      </c>
      <c r="M194" s="181" t="str">
        <f t="shared" si="24"/>
        <v>#DIV/0!</v>
      </c>
      <c r="N194" s="181" t="str">
        <f t="shared" si="24"/>
        <v>#DIV/0!</v>
      </c>
      <c r="O194" s="181" t="str">
        <f t="shared" si="24"/>
        <v>#DIV/0!</v>
      </c>
      <c r="P194" s="181" t="str">
        <f t="shared" si="24"/>
        <v>#DIV/0!</v>
      </c>
      <c r="Q194" s="181" t="str">
        <f t="shared" si="24"/>
        <v>#DIV/0!</v>
      </c>
      <c r="R194" s="181" t="str">
        <f t="shared" si="24"/>
        <v>#DIV/0!</v>
      </c>
      <c r="S194" s="181" t="str">
        <f t="shared" si="24"/>
        <v>#DIV/0!</v>
      </c>
      <c r="T194" s="181" t="str">
        <f t="shared" si="24"/>
        <v>#DIV/0!</v>
      </c>
      <c r="U194" s="181" t="str">
        <f t="shared" si="24"/>
        <v>#DIV/0!</v>
      </c>
      <c r="V194" s="181" t="str">
        <f t="shared" si="24"/>
        <v>#DIV/0!</v>
      </c>
      <c r="W194" s="339">
        <f t="shared" si="24"/>
        <v>-0.9419883324</v>
      </c>
      <c r="X194" s="339" t="str">
        <f t="shared" si="24"/>
        <v>#DIV/0!</v>
      </c>
      <c r="Y194" s="339" t="str">
        <f t="shared" si="24"/>
        <v>#DIV/0!</v>
      </c>
      <c r="Z194" s="339" t="str">
        <f t="shared" si="24"/>
        <v>#DIV/0!</v>
      </c>
      <c r="AA194" s="339" t="str">
        <f t="shared" si="24"/>
        <v>#DIV/0!</v>
      </c>
      <c r="AB194" s="339">
        <f t="shared" si="24"/>
        <v>-0.9527499534</v>
      </c>
      <c r="AC194" s="339">
        <f t="shared" si="24"/>
        <v>-0.868460419</v>
      </c>
      <c r="AD194" s="339">
        <f t="shared" si="24"/>
        <v>-0.8302040431</v>
      </c>
      <c r="AE194" s="339">
        <f t="shared" si="24"/>
        <v>-0.8527154171</v>
      </c>
      <c r="AF194" s="339">
        <f t="shared" si="24"/>
        <v>-0.89051136</v>
      </c>
      <c r="AG194" s="339">
        <f t="shared" si="24"/>
        <v>-0.8832575625</v>
      </c>
      <c r="AH194" s="339">
        <f t="shared" si="24"/>
        <v>-0.9020614674</v>
      </c>
      <c r="AI194" s="275"/>
      <c r="AJ194" s="100"/>
      <c r="AK194" s="100"/>
      <c r="AL194" s="100"/>
      <c r="AM194" s="100"/>
      <c r="AN194" s="100"/>
      <c r="AO194" s="100"/>
    </row>
    <row r="195" ht="14.25" customHeight="1">
      <c r="A195" s="326"/>
      <c r="B195" s="100"/>
      <c r="C195" s="100"/>
      <c r="D195" s="852"/>
      <c r="E195" s="270" t="s">
        <v>3578</v>
      </c>
      <c r="F195" s="249" t="s">
        <v>135</v>
      </c>
      <c r="G195" s="249"/>
      <c r="H195" s="181">
        <f t="shared" ref="H195:AH195" si="25">H184/H173-1</f>
        <v>1.23943662</v>
      </c>
      <c r="I195" s="181">
        <f t="shared" si="25"/>
        <v>1.06111444</v>
      </c>
      <c r="J195" s="181">
        <f t="shared" si="25"/>
        <v>1.074183976</v>
      </c>
      <c r="K195" s="181">
        <f t="shared" si="25"/>
        <v>1.081261371</v>
      </c>
      <c r="L195" s="181">
        <f t="shared" si="25"/>
        <v>1.084507042</v>
      </c>
      <c r="M195" s="181">
        <f t="shared" si="25"/>
        <v>1.069553806</v>
      </c>
      <c r="N195" s="181">
        <f t="shared" si="25"/>
        <v>0.5044650674</v>
      </c>
      <c r="O195" s="181">
        <f t="shared" si="25"/>
        <v>0.5313749348</v>
      </c>
      <c r="P195" s="181">
        <f t="shared" si="25"/>
        <v>0.4412940749</v>
      </c>
      <c r="Q195" s="181">
        <f t="shared" si="25"/>
        <v>0.5355014896</v>
      </c>
      <c r="R195" s="181">
        <f t="shared" si="25"/>
        <v>0.02596797192</v>
      </c>
      <c r="S195" s="181">
        <f t="shared" si="25"/>
        <v>0.02742205092</v>
      </c>
      <c r="T195" s="181">
        <f t="shared" si="25"/>
        <v>0.01386771219</v>
      </c>
      <c r="U195" s="181">
        <f t="shared" si="25"/>
        <v>0.01306427685</v>
      </c>
      <c r="V195" s="181">
        <f t="shared" si="25"/>
        <v>0.01212473047</v>
      </c>
      <c r="W195" s="339">
        <f t="shared" si="25"/>
        <v>0.006793308293</v>
      </c>
      <c r="X195" s="339">
        <f t="shared" si="25"/>
        <v>0.05160429793</v>
      </c>
      <c r="Y195" s="339">
        <f t="shared" si="25"/>
        <v>0.04691630552</v>
      </c>
      <c r="Z195" s="339">
        <f t="shared" si="25"/>
        <v>0</v>
      </c>
      <c r="AA195" s="339">
        <f t="shared" si="25"/>
        <v>0</v>
      </c>
      <c r="AB195" s="339">
        <f t="shared" si="25"/>
        <v>-0.0477867981</v>
      </c>
      <c r="AC195" s="339">
        <f t="shared" si="25"/>
        <v>-0.4294880315</v>
      </c>
      <c r="AD195" s="339">
        <f t="shared" si="25"/>
        <v>-0.519653142</v>
      </c>
      <c r="AE195" s="339">
        <f t="shared" si="25"/>
        <v>-0.5796451583</v>
      </c>
      <c r="AF195" s="339">
        <f t="shared" si="25"/>
        <v>-0.6284673555</v>
      </c>
      <c r="AG195" s="339">
        <f t="shared" si="25"/>
        <v>-0.6296246136</v>
      </c>
      <c r="AH195" s="339">
        <f t="shared" si="25"/>
        <v>-0.6489307548</v>
      </c>
      <c r="AI195" s="275"/>
      <c r="AJ195" s="100"/>
      <c r="AK195" s="100"/>
      <c r="AL195" s="100"/>
      <c r="AM195" s="100"/>
      <c r="AN195" s="100"/>
      <c r="AO195" s="100"/>
    </row>
    <row r="196" ht="14.25" customHeight="1">
      <c r="A196" s="326"/>
      <c r="B196" s="100"/>
      <c r="C196" s="100"/>
      <c r="D196" s="100"/>
      <c r="E196" s="122" t="s">
        <v>237</v>
      </c>
      <c r="F196" s="123" t="s">
        <v>135</v>
      </c>
      <c r="G196" s="123"/>
      <c r="H196" s="181" t="str">
        <f t="shared" ref="H196:AH196" si="26">H185/H174-1</f>
        <v>#DIV/0!</v>
      </c>
      <c r="I196" s="181" t="str">
        <f t="shared" si="26"/>
        <v>#DIV/0!</v>
      </c>
      <c r="J196" s="181" t="str">
        <f t="shared" si="26"/>
        <v>#DIV/0!</v>
      </c>
      <c r="K196" s="181" t="str">
        <f t="shared" si="26"/>
        <v>#DIV/0!</v>
      </c>
      <c r="L196" s="181" t="str">
        <f t="shared" si="26"/>
        <v>#DIV/0!</v>
      </c>
      <c r="M196" s="181" t="str">
        <f t="shared" si="26"/>
        <v>#DIV/0!</v>
      </c>
      <c r="N196" s="181" t="str">
        <f t="shared" si="26"/>
        <v>#DIV/0!</v>
      </c>
      <c r="O196" s="181" t="str">
        <f t="shared" si="26"/>
        <v>#DIV/0!</v>
      </c>
      <c r="P196" s="181" t="str">
        <f t="shared" si="26"/>
        <v>#DIV/0!</v>
      </c>
      <c r="Q196" s="181" t="str">
        <f t="shared" si="26"/>
        <v>#DIV/0!</v>
      </c>
      <c r="R196" s="181" t="str">
        <f t="shared" si="26"/>
        <v>#DIV/0!</v>
      </c>
      <c r="S196" s="181" t="str">
        <f t="shared" si="26"/>
        <v>#DIV/0!</v>
      </c>
      <c r="T196" s="181" t="str">
        <f t="shared" si="26"/>
        <v>#DIV/0!</v>
      </c>
      <c r="U196" s="181" t="str">
        <f t="shared" si="26"/>
        <v>#DIV/0!</v>
      </c>
      <c r="V196" s="181" t="str">
        <f t="shared" si="26"/>
        <v>#DIV/0!</v>
      </c>
      <c r="W196" s="339">
        <f t="shared" si="26"/>
        <v>-0.9158430865</v>
      </c>
      <c r="X196" s="339" t="str">
        <f t="shared" si="26"/>
        <v>#DIV/0!</v>
      </c>
      <c r="Y196" s="339" t="str">
        <f t="shared" si="26"/>
        <v>#DIV/0!</v>
      </c>
      <c r="Z196" s="339" t="str">
        <f t="shared" si="26"/>
        <v>#DIV/0!</v>
      </c>
      <c r="AA196" s="339" t="str">
        <f t="shared" si="26"/>
        <v>#DIV/0!</v>
      </c>
      <c r="AB196" s="339">
        <f t="shared" si="26"/>
        <v>-0.9754195667</v>
      </c>
      <c r="AC196" s="339">
        <f t="shared" si="26"/>
        <v>-0.8464169082</v>
      </c>
      <c r="AD196" s="339">
        <f t="shared" si="26"/>
        <v>-0.8342058482</v>
      </c>
      <c r="AE196" s="339">
        <f t="shared" si="26"/>
        <v>-0.8274158637</v>
      </c>
      <c r="AF196" s="339">
        <f t="shared" si="26"/>
        <v>-0.8188597032</v>
      </c>
      <c r="AG196" s="339">
        <f t="shared" si="26"/>
        <v>-0.7754488717</v>
      </c>
      <c r="AH196" s="339">
        <f t="shared" si="26"/>
        <v>-0.7835797833</v>
      </c>
      <c r="AI196" s="275"/>
      <c r="AJ196" s="100"/>
      <c r="AK196" s="100"/>
      <c r="AL196" s="100"/>
      <c r="AM196" s="100"/>
      <c r="AN196" s="100"/>
      <c r="AO196" s="100"/>
    </row>
    <row r="197" ht="14.25" customHeight="1">
      <c r="A197" s="195"/>
      <c r="B197" s="100"/>
      <c r="C197" s="100"/>
      <c r="D197" s="100"/>
      <c r="E197" s="100"/>
      <c r="F197" s="206"/>
      <c r="G197" s="206"/>
      <c r="H197" s="207"/>
      <c r="I197" s="207"/>
      <c r="J197" s="207"/>
      <c r="K197" s="207"/>
      <c r="L197" s="207"/>
      <c r="M197" s="207"/>
      <c r="N197" s="207"/>
      <c r="O197" s="207"/>
      <c r="P197" s="207"/>
      <c r="Q197" s="207"/>
      <c r="R197" s="207"/>
      <c r="S197" s="207"/>
      <c r="T197" s="207"/>
      <c r="U197" s="207"/>
      <c r="V197" s="207"/>
      <c r="W197" s="208"/>
      <c r="X197" s="208"/>
      <c r="Y197" s="208"/>
      <c r="Z197" s="208"/>
      <c r="AA197" s="208"/>
      <c r="AB197" s="208"/>
      <c r="AC197" s="208"/>
      <c r="AD197" s="208"/>
      <c r="AE197" s="208"/>
      <c r="AF197" s="208"/>
      <c r="AG197" s="208"/>
      <c r="AH197" s="208"/>
      <c r="AI197" s="100"/>
      <c r="AJ197" s="100"/>
      <c r="AK197" s="100"/>
      <c r="AL197" s="100"/>
      <c r="AM197" s="100"/>
      <c r="AN197" s="100"/>
      <c r="AO197" s="100"/>
    </row>
    <row r="198" ht="14.25" customHeight="1">
      <c r="A198" s="863" t="s">
        <v>3583</v>
      </c>
      <c r="B198" s="100"/>
      <c r="C198" s="100"/>
      <c r="D198" s="100"/>
      <c r="E198" s="100"/>
      <c r="F198" s="206"/>
      <c r="G198" s="206"/>
      <c r="H198" s="207"/>
      <c r="I198" s="207"/>
      <c r="J198" s="207"/>
      <c r="K198" s="207"/>
      <c r="L198" s="207"/>
      <c r="M198" s="207"/>
      <c r="N198" s="207"/>
      <c r="O198" s="207"/>
      <c r="P198" s="207"/>
      <c r="Q198" s="207"/>
      <c r="R198" s="207"/>
      <c r="S198" s="207"/>
      <c r="T198" s="207"/>
      <c r="U198" s="207"/>
      <c r="V198" s="207"/>
      <c r="W198" s="208"/>
      <c r="X198" s="208"/>
      <c r="Y198" s="208"/>
      <c r="Z198" s="208"/>
      <c r="AA198" s="208"/>
      <c r="AB198" s="208"/>
      <c r="AC198" s="208"/>
      <c r="AD198" s="208"/>
      <c r="AE198" s="208"/>
      <c r="AF198" s="208"/>
      <c r="AG198" s="208"/>
      <c r="AH198" s="208"/>
      <c r="AI198" s="100"/>
      <c r="AJ198" s="100"/>
      <c r="AK198" s="100"/>
      <c r="AL198" s="100"/>
      <c r="AM198" s="100"/>
      <c r="AN198" s="100"/>
      <c r="AO198" s="100"/>
    </row>
    <row r="199" ht="14.25" hidden="1" customHeight="1">
      <c r="A199" s="195"/>
      <c r="B199" s="100"/>
      <c r="C199" s="100"/>
      <c r="D199" s="100"/>
      <c r="E199" s="100" t="s">
        <v>3584</v>
      </c>
      <c r="F199" s="249" t="s">
        <v>3585</v>
      </c>
      <c r="G199" s="206"/>
      <c r="H199" s="207"/>
      <c r="I199" s="207"/>
      <c r="J199" s="207"/>
      <c r="K199" s="207"/>
      <c r="L199" s="207"/>
      <c r="M199" s="207"/>
      <c r="N199" s="207"/>
      <c r="O199" s="207"/>
      <c r="P199" s="207"/>
      <c r="Q199" s="207"/>
      <c r="R199" s="207"/>
      <c r="S199" s="207"/>
      <c r="T199" s="207"/>
      <c r="U199" s="207"/>
      <c r="V199" s="207"/>
      <c r="W199" s="182">
        <v>141114.0</v>
      </c>
      <c r="X199" s="182">
        <v>13791.0</v>
      </c>
      <c r="Y199" s="182">
        <v>13825.0</v>
      </c>
      <c r="Z199" s="208"/>
      <c r="AA199" s="208"/>
      <c r="AB199" s="208"/>
      <c r="AC199" s="208"/>
      <c r="AD199" s="208"/>
      <c r="AE199" s="208"/>
      <c r="AF199" s="208"/>
      <c r="AG199" s="208"/>
      <c r="AH199" s="208"/>
      <c r="AI199" s="100"/>
      <c r="AJ199" s="100"/>
      <c r="AK199" s="100"/>
      <c r="AL199" s="100"/>
      <c r="AM199" s="100"/>
      <c r="AN199" s="100"/>
      <c r="AO199" s="100"/>
    </row>
    <row r="200" ht="14.25" hidden="1" customHeight="1">
      <c r="A200" s="195"/>
      <c r="B200" s="100"/>
      <c r="C200" s="100"/>
      <c r="D200" s="100"/>
      <c r="E200" s="100" t="s">
        <v>3584</v>
      </c>
      <c r="F200" s="249" t="s">
        <v>135</v>
      </c>
      <c r="G200" s="206"/>
      <c r="H200" s="207"/>
      <c r="I200" s="207"/>
      <c r="J200" s="207"/>
      <c r="K200" s="207"/>
      <c r="L200" s="207"/>
      <c r="M200" s="207"/>
      <c r="N200" s="207"/>
      <c r="O200" s="207"/>
      <c r="P200" s="207"/>
      <c r="Q200" s="207"/>
      <c r="R200" s="207"/>
      <c r="S200" s="207"/>
      <c r="T200" s="207"/>
      <c r="U200" s="207"/>
      <c r="V200" s="207"/>
      <c r="W200" s="274">
        <f t="shared" ref="W200:Y200" si="27">W199*11.6278/k</f>
        <v>1640.845369</v>
      </c>
      <c r="X200" s="274">
        <f t="shared" si="27"/>
        <v>160.3589898</v>
      </c>
      <c r="Y200" s="274">
        <f t="shared" si="27"/>
        <v>160.754335</v>
      </c>
      <c r="Z200" s="208"/>
      <c r="AA200" s="208"/>
      <c r="AB200" s="208"/>
      <c r="AC200" s="208"/>
      <c r="AD200" s="208"/>
      <c r="AE200" s="208"/>
      <c r="AF200" s="208"/>
      <c r="AG200" s="208"/>
      <c r="AH200" s="208"/>
      <c r="AI200" s="100"/>
      <c r="AJ200" s="100"/>
      <c r="AK200" s="100"/>
      <c r="AL200" s="100"/>
      <c r="AM200" s="100"/>
      <c r="AN200" s="100"/>
      <c r="AO200" s="100"/>
    </row>
    <row r="201" ht="14.25" customHeight="1">
      <c r="A201" s="195"/>
      <c r="B201" s="100"/>
      <c r="C201" s="100"/>
      <c r="D201" s="100"/>
      <c r="E201" s="100" t="s">
        <v>3586</v>
      </c>
      <c r="F201" s="123" t="s">
        <v>135</v>
      </c>
      <c r="G201" s="206"/>
      <c r="H201" s="274">
        <f t="shared" ref="H201:AH201" si="28">SUM(H207,H213,H219,H225,H230)</f>
        <v>268.7972</v>
      </c>
      <c r="I201" s="274">
        <f t="shared" si="28"/>
        <v>273.9625</v>
      </c>
      <c r="J201" s="274">
        <f t="shared" si="28"/>
        <v>271.1325</v>
      </c>
      <c r="K201" s="274">
        <f t="shared" si="28"/>
        <v>291.295</v>
      </c>
      <c r="L201" s="274">
        <f t="shared" si="28"/>
        <v>291.4064</v>
      </c>
      <c r="M201" s="274">
        <f t="shared" si="28"/>
        <v>287.6998</v>
      </c>
      <c r="N201" s="274">
        <f t="shared" si="28"/>
        <v>282.246</v>
      </c>
      <c r="O201" s="274">
        <f t="shared" si="28"/>
        <v>272.4231</v>
      </c>
      <c r="P201" s="274">
        <f t="shared" si="28"/>
        <v>290.1441</v>
      </c>
      <c r="Q201" s="274">
        <f t="shared" si="28"/>
        <v>280.6084</v>
      </c>
      <c r="R201" s="274">
        <f t="shared" si="28"/>
        <v>434.9104</v>
      </c>
      <c r="S201" s="274">
        <f t="shared" si="28"/>
        <v>404.9013</v>
      </c>
      <c r="T201" s="274">
        <f t="shared" si="28"/>
        <v>407.4962</v>
      </c>
      <c r="U201" s="274">
        <f t="shared" si="28"/>
        <v>424.6402</v>
      </c>
      <c r="V201" s="274">
        <f t="shared" si="28"/>
        <v>397.873</v>
      </c>
      <c r="W201" s="274">
        <f t="shared" si="28"/>
        <v>402.2106584</v>
      </c>
      <c r="X201" s="274">
        <f t="shared" si="28"/>
        <v>352.363261</v>
      </c>
      <c r="Y201" s="274">
        <f t="shared" si="28"/>
        <v>346.7573586</v>
      </c>
      <c r="Z201" s="274">
        <f t="shared" si="28"/>
        <v>340.3950442</v>
      </c>
      <c r="AA201" s="274">
        <f t="shared" si="28"/>
        <v>241.0818966</v>
      </c>
      <c r="AB201" s="274">
        <f t="shared" si="28"/>
        <v>296.6767181</v>
      </c>
      <c r="AC201" s="274">
        <f t="shared" si="28"/>
        <v>174.7588671</v>
      </c>
      <c r="AD201" s="274">
        <f t="shared" si="28"/>
        <v>153.9140042</v>
      </c>
      <c r="AE201" s="274">
        <f t="shared" si="28"/>
        <v>134.5547846</v>
      </c>
      <c r="AF201" s="274">
        <f t="shared" si="28"/>
        <v>114.9127473</v>
      </c>
      <c r="AG201" s="274">
        <f t="shared" si="28"/>
        <v>109.7176621</v>
      </c>
      <c r="AH201" s="274">
        <f t="shared" si="28"/>
        <v>104.4250568</v>
      </c>
      <c r="AI201" s="100"/>
      <c r="AJ201" s="100"/>
      <c r="AK201" s="100"/>
      <c r="AL201" s="100"/>
      <c r="AM201" s="100"/>
      <c r="AN201" s="100"/>
      <c r="AO201" s="100"/>
    </row>
    <row r="202" ht="14.25" customHeight="1">
      <c r="A202" s="195"/>
      <c r="B202" s="100"/>
      <c r="C202" s="100"/>
      <c r="D202" s="100"/>
      <c r="E202" s="100" t="s">
        <v>811</v>
      </c>
      <c r="F202" s="123" t="s">
        <v>135</v>
      </c>
      <c r="G202" s="206"/>
      <c r="H202" s="274" t="str">
        <f t="shared" ref="H202:AH202" si="29">H5+H50+H95+H122+SUM(H133:H144)+H149</f>
        <v>#REF!</v>
      </c>
      <c r="I202" s="274" t="str">
        <f t="shared" si="29"/>
        <v>#REF!</v>
      </c>
      <c r="J202" s="274" t="str">
        <f t="shared" si="29"/>
        <v>#REF!</v>
      </c>
      <c r="K202" s="274" t="str">
        <f t="shared" si="29"/>
        <v>#REF!</v>
      </c>
      <c r="L202" s="274" t="str">
        <f t="shared" si="29"/>
        <v>#REF!</v>
      </c>
      <c r="M202" s="274" t="str">
        <f t="shared" si="29"/>
        <v>#REF!</v>
      </c>
      <c r="N202" s="274" t="str">
        <f t="shared" si="29"/>
        <v>#REF!</v>
      </c>
      <c r="O202" s="274" t="str">
        <f t="shared" si="29"/>
        <v>#REF!</v>
      </c>
      <c r="P202" s="274" t="str">
        <f t="shared" si="29"/>
        <v>#REF!</v>
      </c>
      <c r="Q202" s="274" t="str">
        <f t="shared" si="29"/>
        <v>#REF!</v>
      </c>
      <c r="R202" s="274" t="str">
        <f t="shared" si="29"/>
        <v>#REF!</v>
      </c>
      <c r="S202" s="274" t="str">
        <f t="shared" si="29"/>
        <v>#REF!</v>
      </c>
      <c r="T202" s="274" t="str">
        <f t="shared" si="29"/>
        <v>#REF!</v>
      </c>
      <c r="U202" s="274" t="str">
        <f t="shared" si="29"/>
        <v>#REF!</v>
      </c>
      <c r="V202" s="274" t="str">
        <f t="shared" si="29"/>
        <v>#REF!</v>
      </c>
      <c r="W202" s="274" t="str">
        <f t="shared" si="29"/>
        <v>#REF!</v>
      </c>
      <c r="X202" s="274" t="str">
        <f t="shared" si="29"/>
        <v>#REF!</v>
      </c>
      <c r="Y202" s="274" t="str">
        <f t="shared" si="29"/>
        <v>#REF!</v>
      </c>
      <c r="Z202" s="274" t="str">
        <f t="shared" si="29"/>
        <v>#REF!</v>
      </c>
      <c r="AA202" s="274" t="str">
        <f t="shared" si="29"/>
        <v>#REF!</v>
      </c>
      <c r="AB202" s="274" t="str">
        <f t="shared" si="29"/>
        <v>#REF!</v>
      </c>
      <c r="AC202" s="274" t="str">
        <f t="shared" si="29"/>
        <v>#REF!</v>
      </c>
      <c r="AD202" s="274" t="str">
        <f t="shared" si="29"/>
        <v>#REF!</v>
      </c>
      <c r="AE202" s="274" t="str">
        <f t="shared" si="29"/>
        <v>#REF!</v>
      </c>
      <c r="AF202" s="274" t="str">
        <f t="shared" si="29"/>
        <v>#REF!</v>
      </c>
      <c r="AG202" s="274" t="str">
        <f t="shared" si="29"/>
        <v>#REF!</v>
      </c>
      <c r="AH202" s="274" t="str">
        <f t="shared" si="29"/>
        <v>#REF!</v>
      </c>
      <c r="AI202" s="100"/>
      <c r="AJ202" s="100"/>
      <c r="AK202" s="100"/>
      <c r="AL202" s="100"/>
      <c r="AM202" s="100"/>
      <c r="AN202" s="100"/>
      <c r="AO202" s="100"/>
    </row>
    <row r="203" ht="14.25" customHeight="1">
      <c r="A203" s="195"/>
      <c r="B203" s="100"/>
      <c r="C203" s="100"/>
      <c r="D203" s="100"/>
      <c r="E203" s="100" t="s">
        <v>3581</v>
      </c>
      <c r="F203" s="123" t="s">
        <v>261</v>
      </c>
      <c r="G203" s="206"/>
      <c r="H203" s="935" t="str">
        <f t="shared" ref="H203:AH203" si="30">H202/H201-1</f>
        <v>#REF!</v>
      </c>
      <c r="I203" s="935" t="str">
        <f t="shared" si="30"/>
        <v>#REF!</v>
      </c>
      <c r="J203" s="935" t="str">
        <f t="shared" si="30"/>
        <v>#REF!</v>
      </c>
      <c r="K203" s="935" t="str">
        <f t="shared" si="30"/>
        <v>#REF!</v>
      </c>
      <c r="L203" s="935" t="str">
        <f t="shared" si="30"/>
        <v>#REF!</v>
      </c>
      <c r="M203" s="935" t="str">
        <f t="shared" si="30"/>
        <v>#REF!</v>
      </c>
      <c r="N203" s="935" t="str">
        <f t="shared" si="30"/>
        <v>#REF!</v>
      </c>
      <c r="O203" s="935" t="str">
        <f t="shared" si="30"/>
        <v>#REF!</v>
      </c>
      <c r="P203" s="935" t="str">
        <f t="shared" si="30"/>
        <v>#REF!</v>
      </c>
      <c r="Q203" s="935" t="str">
        <f t="shared" si="30"/>
        <v>#REF!</v>
      </c>
      <c r="R203" s="935" t="str">
        <f t="shared" si="30"/>
        <v>#REF!</v>
      </c>
      <c r="S203" s="935" t="str">
        <f t="shared" si="30"/>
        <v>#REF!</v>
      </c>
      <c r="T203" s="935" t="str">
        <f t="shared" si="30"/>
        <v>#REF!</v>
      </c>
      <c r="U203" s="935" t="str">
        <f t="shared" si="30"/>
        <v>#REF!</v>
      </c>
      <c r="V203" s="935" t="str">
        <f t="shared" si="30"/>
        <v>#REF!</v>
      </c>
      <c r="W203" s="935" t="str">
        <f t="shared" si="30"/>
        <v>#REF!</v>
      </c>
      <c r="X203" s="935" t="str">
        <f t="shared" si="30"/>
        <v>#REF!</v>
      </c>
      <c r="Y203" s="935" t="str">
        <f t="shared" si="30"/>
        <v>#REF!</v>
      </c>
      <c r="Z203" s="935" t="str">
        <f t="shared" si="30"/>
        <v>#REF!</v>
      </c>
      <c r="AA203" s="935" t="str">
        <f t="shared" si="30"/>
        <v>#REF!</v>
      </c>
      <c r="AB203" s="935" t="str">
        <f t="shared" si="30"/>
        <v>#REF!</v>
      </c>
      <c r="AC203" s="935" t="str">
        <f t="shared" si="30"/>
        <v>#REF!</v>
      </c>
      <c r="AD203" s="935" t="str">
        <f t="shared" si="30"/>
        <v>#REF!</v>
      </c>
      <c r="AE203" s="935" t="str">
        <f t="shared" si="30"/>
        <v>#REF!</v>
      </c>
      <c r="AF203" s="935" t="str">
        <f t="shared" si="30"/>
        <v>#REF!</v>
      </c>
      <c r="AG203" s="935" t="str">
        <f t="shared" si="30"/>
        <v>#REF!</v>
      </c>
      <c r="AH203" s="935" t="str">
        <f t="shared" si="30"/>
        <v>#REF!</v>
      </c>
      <c r="AI203" s="100"/>
      <c r="AJ203" s="100"/>
      <c r="AK203" s="100"/>
      <c r="AL203" s="100"/>
      <c r="AM203" s="100"/>
      <c r="AN203" s="100"/>
      <c r="AO203" s="100"/>
    </row>
    <row r="204" ht="14.25" customHeight="1">
      <c r="A204" s="863" t="s">
        <v>23</v>
      </c>
      <c r="B204" s="100"/>
      <c r="C204" s="100"/>
      <c r="D204" s="100"/>
      <c r="E204" s="100"/>
      <c r="F204" s="206"/>
      <c r="G204" s="206"/>
      <c r="H204" s="208"/>
      <c r="I204" s="208"/>
      <c r="J204" s="208"/>
      <c r="K204" s="208"/>
      <c r="L204" s="208"/>
      <c r="M204" s="208"/>
      <c r="N204" s="208"/>
      <c r="O204" s="208"/>
      <c r="P204" s="208"/>
      <c r="Q204" s="208"/>
      <c r="R204" s="208"/>
      <c r="S204" s="208"/>
      <c r="T204" s="208"/>
      <c r="U204" s="208"/>
      <c r="V204" s="208"/>
      <c r="W204" s="208"/>
      <c r="X204" s="208"/>
      <c r="Y204" s="208"/>
      <c r="Z204" s="208"/>
      <c r="AA204" s="208"/>
      <c r="AB204" s="208"/>
      <c r="AC204" s="208"/>
      <c r="AD204" s="208"/>
      <c r="AE204" s="208"/>
      <c r="AF204" s="208"/>
      <c r="AG204" s="208"/>
      <c r="AH204" s="208"/>
      <c r="AI204" s="100"/>
      <c r="AJ204" s="100"/>
      <c r="AK204" s="100"/>
      <c r="AL204" s="100"/>
      <c r="AM204" s="100"/>
      <c r="AN204" s="100"/>
      <c r="AO204" s="100"/>
    </row>
    <row r="205" ht="14.25" hidden="1" customHeight="1">
      <c r="A205" s="195"/>
      <c r="B205" s="100"/>
      <c r="C205" s="100"/>
      <c r="D205" s="100"/>
      <c r="E205" s="100" t="s">
        <v>3584</v>
      </c>
      <c r="F205" s="249" t="s">
        <v>3585</v>
      </c>
      <c r="G205" s="206"/>
      <c r="H205" s="182">
        <v>40165.0</v>
      </c>
      <c r="I205" s="182">
        <v>40165.0</v>
      </c>
      <c r="J205" s="182">
        <v>40165.0</v>
      </c>
      <c r="K205" s="182">
        <v>40165.0</v>
      </c>
      <c r="L205" s="182">
        <v>40165.0</v>
      </c>
      <c r="M205" s="182">
        <v>40165.0</v>
      </c>
      <c r="N205" s="182">
        <v>40165.0</v>
      </c>
      <c r="O205" s="182">
        <v>40165.0</v>
      </c>
      <c r="P205" s="182">
        <v>40165.0</v>
      </c>
      <c r="Q205" s="182">
        <v>40165.0</v>
      </c>
      <c r="R205" s="182">
        <v>40165.0</v>
      </c>
      <c r="S205" s="182">
        <v>40165.0</v>
      </c>
      <c r="T205" s="182">
        <v>40165.0</v>
      </c>
      <c r="U205" s="182">
        <v>40165.0</v>
      </c>
      <c r="V205" s="182">
        <v>40165.0</v>
      </c>
      <c r="W205" s="182">
        <v>40165.0</v>
      </c>
      <c r="X205" s="182">
        <v>4586.0</v>
      </c>
      <c r="Y205" s="182">
        <v>4496.0</v>
      </c>
      <c r="Z205" s="182">
        <v>40165.0</v>
      </c>
      <c r="AA205" s="182">
        <v>40165.0</v>
      </c>
      <c r="AB205" s="182">
        <v>40165.0</v>
      </c>
      <c r="AC205" s="182">
        <v>40165.0</v>
      </c>
      <c r="AD205" s="182">
        <v>40165.0</v>
      </c>
      <c r="AE205" s="182">
        <v>40165.0</v>
      </c>
      <c r="AF205" s="182">
        <v>40165.0</v>
      </c>
      <c r="AG205" s="182">
        <v>40165.0</v>
      </c>
      <c r="AH205" s="182">
        <v>40165.0</v>
      </c>
      <c r="AI205" s="100"/>
      <c r="AJ205" s="100"/>
      <c r="AK205" s="100"/>
      <c r="AL205" s="100"/>
      <c r="AM205" s="100"/>
      <c r="AN205" s="100"/>
      <c r="AO205" s="100"/>
    </row>
    <row r="206" ht="14.25" hidden="1" customHeight="1">
      <c r="A206" s="195"/>
      <c r="B206" s="100"/>
      <c r="C206" s="100"/>
      <c r="D206" s="100"/>
      <c r="E206" s="100" t="s">
        <v>3584</v>
      </c>
      <c r="F206" s="249" t="s">
        <v>135</v>
      </c>
      <c r="G206" s="206"/>
      <c r="H206" s="274">
        <f t="shared" ref="H206:AH206" si="31">H205*11.6278/k</f>
        <v>467.030587</v>
      </c>
      <c r="I206" s="274">
        <f t="shared" si="31"/>
        <v>467.030587</v>
      </c>
      <c r="J206" s="274">
        <f t="shared" si="31"/>
        <v>467.030587</v>
      </c>
      <c r="K206" s="274">
        <f t="shared" si="31"/>
        <v>467.030587</v>
      </c>
      <c r="L206" s="274">
        <f t="shared" si="31"/>
        <v>467.030587</v>
      </c>
      <c r="M206" s="274">
        <f t="shared" si="31"/>
        <v>467.030587</v>
      </c>
      <c r="N206" s="274">
        <f t="shared" si="31"/>
        <v>467.030587</v>
      </c>
      <c r="O206" s="274">
        <f t="shared" si="31"/>
        <v>467.030587</v>
      </c>
      <c r="P206" s="274">
        <f t="shared" si="31"/>
        <v>467.030587</v>
      </c>
      <c r="Q206" s="274">
        <f t="shared" si="31"/>
        <v>467.030587</v>
      </c>
      <c r="R206" s="274">
        <f t="shared" si="31"/>
        <v>467.030587</v>
      </c>
      <c r="S206" s="274">
        <f t="shared" si="31"/>
        <v>467.030587</v>
      </c>
      <c r="T206" s="274">
        <f t="shared" si="31"/>
        <v>467.030587</v>
      </c>
      <c r="U206" s="274">
        <f t="shared" si="31"/>
        <v>467.030587</v>
      </c>
      <c r="V206" s="274">
        <f t="shared" si="31"/>
        <v>467.030587</v>
      </c>
      <c r="W206" s="274">
        <f t="shared" si="31"/>
        <v>467.030587</v>
      </c>
      <c r="X206" s="274">
        <f t="shared" si="31"/>
        <v>53.3250908</v>
      </c>
      <c r="Y206" s="274">
        <f t="shared" si="31"/>
        <v>52.2785888</v>
      </c>
      <c r="Z206" s="274">
        <f t="shared" si="31"/>
        <v>467.030587</v>
      </c>
      <c r="AA206" s="274">
        <f t="shared" si="31"/>
        <v>467.030587</v>
      </c>
      <c r="AB206" s="274">
        <f t="shared" si="31"/>
        <v>467.030587</v>
      </c>
      <c r="AC206" s="274">
        <f t="shared" si="31"/>
        <v>467.030587</v>
      </c>
      <c r="AD206" s="274">
        <f t="shared" si="31"/>
        <v>467.030587</v>
      </c>
      <c r="AE206" s="274">
        <f t="shared" si="31"/>
        <v>467.030587</v>
      </c>
      <c r="AF206" s="274">
        <f t="shared" si="31"/>
        <v>467.030587</v>
      </c>
      <c r="AG206" s="274">
        <f t="shared" si="31"/>
        <v>467.030587</v>
      </c>
      <c r="AH206" s="274">
        <f t="shared" si="31"/>
        <v>467.030587</v>
      </c>
      <c r="AI206" s="100"/>
      <c r="AJ206" s="100"/>
      <c r="AK206" s="100"/>
      <c r="AL206" s="100"/>
      <c r="AM206" s="100"/>
      <c r="AN206" s="100"/>
      <c r="AO206" s="100"/>
    </row>
    <row r="207" ht="14.25" customHeight="1">
      <c r="A207" s="195"/>
      <c r="B207" s="100"/>
      <c r="C207" s="100"/>
      <c r="D207" s="100"/>
      <c r="E207" s="100" t="s">
        <v>3586</v>
      </c>
      <c r="F207" s="123" t="s">
        <v>135</v>
      </c>
      <c r="G207" s="206"/>
      <c r="H207" s="274">
        <f>toccfres</f>
        <v>103.9789</v>
      </c>
      <c r="I207" s="274">
        <f>toccfres</f>
        <v>108.4738</v>
      </c>
      <c r="J207" s="274">
        <f>toccfres</f>
        <v>100.9048</v>
      </c>
      <c r="K207" s="274">
        <f>toccfres</f>
        <v>108.6862</v>
      </c>
      <c r="L207" s="274">
        <f>toccfres</f>
        <v>106.8171</v>
      </c>
      <c r="M207" s="274">
        <f>toccfres</f>
        <v>105.692</v>
      </c>
      <c r="N207" s="274">
        <f>toccfres</f>
        <v>100.658</v>
      </c>
      <c r="O207" s="274">
        <f>toccfres</f>
        <v>91.4352</v>
      </c>
      <c r="P207" s="274">
        <f>toccfres</f>
        <v>103.5977</v>
      </c>
      <c r="Q207" s="274">
        <f>toccfres</f>
        <v>97.617</v>
      </c>
      <c r="R207" s="274">
        <f>toccfres</f>
        <v>105.8648</v>
      </c>
      <c r="S207" s="274">
        <f>toccfres</f>
        <v>89.9621</v>
      </c>
      <c r="T207" s="274">
        <f>toccfres</f>
        <v>96.5115</v>
      </c>
      <c r="U207" s="274">
        <f>toccfres</f>
        <v>104.3397</v>
      </c>
      <c r="V207" s="274">
        <f>toccfres</f>
        <v>86.8244</v>
      </c>
      <c r="W207" s="274">
        <f>toccfres</f>
        <v>96.0487</v>
      </c>
      <c r="X207" s="274">
        <f>toccfres</f>
        <v>96.4058</v>
      </c>
      <c r="Y207" s="274">
        <f>toccfres</f>
        <v>94.2582</v>
      </c>
      <c r="Z207" s="274">
        <f>toccfres</f>
        <v>94.215</v>
      </c>
      <c r="AA207" s="274" t="str">
        <f>toccfres</f>
        <v/>
      </c>
      <c r="AB207" s="274" t="str">
        <f>toccfres</f>
        <v/>
      </c>
      <c r="AC207" s="274" t="str">
        <f>toccfres</f>
        <v/>
      </c>
      <c r="AD207" s="274" t="str">
        <f>toccfres</f>
        <v/>
      </c>
      <c r="AE207" s="274" t="str">
        <f>toccfres</f>
        <v/>
      </c>
      <c r="AF207" s="274" t="str">
        <f>toccfres</f>
        <v/>
      </c>
      <c r="AG207" s="274" t="str">
        <f>toccfres</f>
        <v/>
      </c>
      <c r="AH207" s="274" t="str">
        <f>toccfres</f>
        <v/>
      </c>
      <c r="AI207" s="100"/>
      <c r="AJ207" s="100"/>
      <c r="AK207" s="100"/>
      <c r="AL207" s="100"/>
      <c r="AM207" s="100"/>
      <c r="AN207" s="100"/>
      <c r="AO207" s="100"/>
    </row>
    <row r="208" ht="14.25" customHeight="1">
      <c r="A208" s="195"/>
      <c r="B208" s="100"/>
      <c r="C208" s="100"/>
      <c r="D208" s="100"/>
      <c r="E208" s="100" t="s">
        <v>811</v>
      </c>
      <c r="F208" s="123" t="s">
        <v>135</v>
      </c>
      <c r="G208" s="206"/>
      <c r="H208" s="274" t="str">
        <f t="shared" ref="H208:AH208" si="32">H5</f>
        <v>#REF!</v>
      </c>
      <c r="I208" s="274" t="str">
        <f t="shared" si="32"/>
        <v>#REF!</v>
      </c>
      <c r="J208" s="274" t="str">
        <f t="shared" si="32"/>
        <v>#REF!</v>
      </c>
      <c r="K208" s="274" t="str">
        <f t="shared" si="32"/>
        <v>#REF!</v>
      </c>
      <c r="L208" s="274" t="str">
        <f t="shared" si="32"/>
        <v>#REF!</v>
      </c>
      <c r="M208" s="274" t="str">
        <f t="shared" si="32"/>
        <v>#REF!</v>
      </c>
      <c r="N208" s="274" t="str">
        <f t="shared" si="32"/>
        <v>#REF!</v>
      </c>
      <c r="O208" s="274" t="str">
        <f t="shared" si="32"/>
        <v>#REF!</v>
      </c>
      <c r="P208" s="274" t="str">
        <f t="shared" si="32"/>
        <v>#REF!</v>
      </c>
      <c r="Q208" s="274" t="str">
        <f t="shared" si="32"/>
        <v>#REF!</v>
      </c>
      <c r="R208" s="274" t="str">
        <f t="shared" si="32"/>
        <v>#REF!</v>
      </c>
      <c r="S208" s="274" t="str">
        <f t="shared" si="32"/>
        <v>#REF!</v>
      </c>
      <c r="T208" s="274" t="str">
        <f t="shared" si="32"/>
        <v>#REF!</v>
      </c>
      <c r="U208" s="274" t="str">
        <f t="shared" si="32"/>
        <v>#REF!</v>
      </c>
      <c r="V208" s="274" t="str">
        <f t="shared" si="32"/>
        <v>#REF!</v>
      </c>
      <c r="W208" s="274" t="str">
        <f t="shared" si="32"/>
        <v>#REF!</v>
      </c>
      <c r="X208" s="274" t="str">
        <f t="shared" si="32"/>
        <v>#REF!</v>
      </c>
      <c r="Y208" s="274" t="str">
        <f t="shared" si="32"/>
        <v>#REF!</v>
      </c>
      <c r="Z208" s="274" t="str">
        <f t="shared" si="32"/>
        <v>#REF!</v>
      </c>
      <c r="AA208" s="274" t="str">
        <f t="shared" si="32"/>
        <v>#REF!</v>
      </c>
      <c r="AB208" s="274" t="str">
        <f t="shared" si="32"/>
        <v>#REF!</v>
      </c>
      <c r="AC208" s="274" t="str">
        <f t="shared" si="32"/>
        <v>#REF!</v>
      </c>
      <c r="AD208" s="274" t="str">
        <f t="shared" si="32"/>
        <v>#REF!</v>
      </c>
      <c r="AE208" s="274" t="str">
        <f t="shared" si="32"/>
        <v>#REF!</v>
      </c>
      <c r="AF208" s="274" t="str">
        <f t="shared" si="32"/>
        <v>#REF!</v>
      </c>
      <c r="AG208" s="274" t="str">
        <f t="shared" si="32"/>
        <v>#REF!</v>
      </c>
      <c r="AH208" s="274" t="str">
        <f t="shared" si="32"/>
        <v>#REF!</v>
      </c>
      <c r="AI208" s="100"/>
      <c r="AJ208" s="100"/>
      <c r="AK208" s="100"/>
      <c r="AL208" s="100"/>
      <c r="AM208" s="100"/>
      <c r="AN208" s="100"/>
      <c r="AO208" s="100"/>
    </row>
    <row r="209" ht="14.25" customHeight="1">
      <c r="A209" s="195"/>
      <c r="B209" s="100"/>
      <c r="C209" s="100"/>
      <c r="D209" s="100"/>
      <c r="E209" s="100" t="s">
        <v>3581</v>
      </c>
      <c r="F209" s="123" t="s">
        <v>261</v>
      </c>
      <c r="G209" s="206"/>
      <c r="H209" s="935" t="str">
        <f t="shared" ref="H209:AH209" si="33">H208/H207-1</f>
        <v>#REF!</v>
      </c>
      <c r="I209" s="935" t="str">
        <f t="shared" si="33"/>
        <v>#REF!</v>
      </c>
      <c r="J209" s="935" t="str">
        <f t="shared" si="33"/>
        <v>#REF!</v>
      </c>
      <c r="K209" s="935" t="str">
        <f t="shared" si="33"/>
        <v>#REF!</v>
      </c>
      <c r="L209" s="935" t="str">
        <f t="shared" si="33"/>
        <v>#REF!</v>
      </c>
      <c r="M209" s="935" t="str">
        <f t="shared" si="33"/>
        <v>#REF!</v>
      </c>
      <c r="N209" s="935" t="str">
        <f t="shared" si="33"/>
        <v>#REF!</v>
      </c>
      <c r="O209" s="935" t="str">
        <f t="shared" si="33"/>
        <v>#REF!</v>
      </c>
      <c r="P209" s="935" t="str">
        <f t="shared" si="33"/>
        <v>#REF!</v>
      </c>
      <c r="Q209" s="935" t="str">
        <f t="shared" si="33"/>
        <v>#REF!</v>
      </c>
      <c r="R209" s="935" t="str">
        <f t="shared" si="33"/>
        <v>#REF!</v>
      </c>
      <c r="S209" s="935" t="str">
        <f t="shared" si="33"/>
        <v>#REF!</v>
      </c>
      <c r="T209" s="935" t="str">
        <f t="shared" si="33"/>
        <v>#REF!</v>
      </c>
      <c r="U209" s="935" t="str">
        <f t="shared" si="33"/>
        <v>#REF!</v>
      </c>
      <c r="V209" s="935" t="str">
        <f t="shared" si="33"/>
        <v>#REF!</v>
      </c>
      <c r="W209" s="935" t="str">
        <f t="shared" si="33"/>
        <v>#REF!</v>
      </c>
      <c r="X209" s="935" t="str">
        <f t="shared" si="33"/>
        <v>#REF!</v>
      </c>
      <c r="Y209" s="935" t="str">
        <f t="shared" si="33"/>
        <v>#REF!</v>
      </c>
      <c r="Z209" s="935" t="str">
        <f t="shared" si="33"/>
        <v>#REF!</v>
      </c>
      <c r="AA209" s="935" t="str">
        <f t="shared" si="33"/>
        <v>#REF!</v>
      </c>
      <c r="AB209" s="935" t="str">
        <f t="shared" si="33"/>
        <v>#REF!</v>
      </c>
      <c r="AC209" s="935" t="str">
        <f t="shared" si="33"/>
        <v>#REF!</v>
      </c>
      <c r="AD209" s="935" t="str">
        <f t="shared" si="33"/>
        <v>#REF!</v>
      </c>
      <c r="AE209" s="935" t="str">
        <f t="shared" si="33"/>
        <v>#REF!</v>
      </c>
      <c r="AF209" s="935" t="str">
        <f t="shared" si="33"/>
        <v>#REF!</v>
      </c>
      <c r="AG209" s="935" t="str">
        <f t="shared" si="33"/>
        <v>#REF!</v>
      </c>
      <c r="AH209" s="935" t="str">
        <f t="shared" si="33"/>
        <v>#REF!</v>
      </c>
      <c r="AI209" s="100"/>
      <c r="AJ209" s="100"/>
      <c r="AK209" s="100"/>
      <c r="AL209" s="100"/>
      <c r="AM209" s="100"/>
      <c r="AN209" s="100"/>
      <c r="AO209" s="100"/>
    </row>
    <row r="210" ht="14.25" customHeight="1">
      <c r="A210" s="863" t="s">
        <v>25</v>
      </c>
      <c r="B210" s="100"/>
      <c r="C210" s="100"/>
      <c r="D210" s="100"/>
      <c r="E210" s="100"/>
      <c r="F210" s="206"/>
      <c r="G210" s="206"/>
      <c r="H210" s="208"/>
      <c r="I210" s="208"/>
      <c r="J210" s="208"/>
      <c r="K210" s="208"/>
      <c r="L210" s="208"/>
      <c r="M210" s="208"/>
      <c r="N210" s="208"/>
      <c r="O210" s="208"/>
      <c r="P210" s="208"/>
      <c r="Q210" s="208"/>
      <c r="R210" s="208"/>
      <c r="S210" s="208"/>
      <c r="T210" s="208"/>
      <c r="U210" s="208"/>
      <c r="V210" s="208"/>
      <c r="W210" s="208"/>
      <c r="X210" s="208"/>
      <c r="Y210" s="208"/>
      <c r="Z210" s="208"/>
      <c r="AA210" s="208"/>
      <c r="AB210" s="208"/>
      <c r="AC210" s="208"/>
      <c r="AD210" s="208"/>
      <c r="AE210" s="208"/>
      <c r="AF210" s="208"/>
      <c r="AG210" s="208"/>
      <c r="AH210" s="208"/>
      <c r="AI210" s="100"/>
      <c r="AJ210" s="100"/>
      <c r="AK210" s="100"/>
      <c r="AL210" s="100"/>
      <c r="AM210" s="100"/>
      <c r="AN210" s="100"/>
      <c r="AO210" s="100"/>
    </row>
    <row r="211" ht="14.25" hidden="1" customHeight="1">
      <c r="A211" s="195"/>
      <c r="B211" s="100"/>
      <c r="C211" s="100"/>
      <c r="D211" s="100"/>
      <c r="E211" s="100" t="s">
        <v>3584</v>
      </c>
      <c r="F211" s="249" t="s">
        <v>3585</v>
      </c>
      <c r="G211" s="206"/>
      <c r="H211" s="182">
        <v>22128.0</v>
      </c>
      <c r="I211" s="182">
        <v>22128.0</v>
      </c>
      <c r="J211" s="182">
        <v>22128.0</v>
      </c>
      <c r="K211" s="182">
        <v>22128.0</v>
      </c>
      <c r="L211" s="182">
        <v>22128.0</v>
      </c>
      <c r="M211" s="182">
        <v>22128.0</v>
      </c>
      <c r="N211" s="182">
        <v>22128.0</v>
      </c>
      <c r="O211" s="182">
        <v>22128.0</v>
      </c>
      <c r="P211" s="182">
        <v>22128.0</v>
      </c>
      <c r="Q211" s="182">
        <v>22128.0</v>
      </c>
      <c r="R211" s="182">
        <v>22128.0</v>
      </c>
      <c r="S211" s="182">
        <v>22128.0</v>
      </c>
      <c r="T211" s="182">
        <v>22128.0</v>
      </c>
      <c r="U211" s="182">
        <v>22128.0</v>
      </c>
      <c r="V211" s="182">
        <v>22128.0</v>
      </c>
      <c r="W211" s="182">
        <v>22128.0</v>
      </c>
      <c r="X211" s="182">
        <v>1930.0</v>
      </c>
      <c r="Y211" s="182">
        <v>1983.0</v>
      </c>
      <c r="Z211" s="182">
        <v>22128.0</v>
      </c>
      <c r="AA211" s="182">
        <v>22128.0</v>
      </c>
      <c r="AB211" s="182">
        <v>22128.0</v>
      </c>
      <c r="AC211" s="182">
        <v>22128.0</v>
      </c>
      <c r="AD211" s="182">
        <v>22128.0</v>
      </c>
      <c r="AE211" s="182">
        <v>22128.0</v>
      </c>
      <c r="AF211" s="182">
        <v>22128.0</v>
      </c>
      <c r="AG211" s="182">
        <v>22128.0</v>
      </c>
      <c r="AH211" s="182">
        <v>22128.0</v>
      </c>
      <c r="AI211" s="100"/>
      <c r="AJ211" s="100"/>
      <c r="AK211" s="100"/>
      <c r="AL211" s="100"/>
      <c r="AM211" s="100"/>
      <c r="AN211" s="100"/>
      <c r="AO211" s="100"/>
    </row>
    <row r="212" ht="14.25" hidden="1" customHeight="1">
      <c r="A212" s="195"/>
      <c r="B212" s="100"/>
      <c r="C212" s="100"/>
      <c r="D212" s="100"/>
      <c r="E212" s="100" t="s">
        <v>3584</v>
      </c>
      <c r="F212" s="249" t="s">
        <v>135</v>
      </c>
      <c r="G212" s="206"/>
      <c r="H212" s="274">
        <f t="shared" ref="H212:AH212" si="34">H211*11.6278/k</f>
        <v>257.2999584</v>
      </c>
      <c r="I212" s="274">
        <f t="shared" si="34"/>
        <v>257.2999584</v>
      </c>
      <c r="J212" s="274">
        <f t="shared" si="34"/>
        <v>257.2999584</v>
      </c>
      <c r="K212" s="274">
        <f t="shared" si="34"/>
        <v>257.2999584</v>
      </c>
      <c r="L212" s="274">
        <f t="shared" si="34"/>
        <v>257.2999584</v>
      </c>
      <c r="M212" s="274">
        <f t="shared" si="34"/>
        <v>257.2999584</v>
      </c>
      <c r="N212" s="274">
        <f t="shared" si="34"/>
        <v>257.2999584</v>
      </c>
      <c r="O212" s="274">
        <f t="shared" si="34"/>
        <v>257.2999584</v>
      </c>
      <c r="P212" s="274">
        <f t="shared" si="34"/>
        <v>257.2999584</v>
      </c>
      <c r="Q212" s="274">
        <f t="shared" si="34"/>
        <v>257.2999584</v>
      </c>
      <c r="R212" s="274">
        <f t="shared" si="34"/>
        <v>257.2999584</v>
      </c>
      <c r="S212" s="274">
        <f t="shared" si="34"/>
        <v>257.2999584</v>
      </c>
      <c r="T212" s="274">
        <f t="shared" si="34"/>
        <v>257.2999584</v>
      </c>
      <c r="U212" s="274">
        <f t="shared" si="34"/>
        <v>257.2999584</v>
      </c>
      <c r="V212" s="274">
        <f t="shared" si="34"/>
        <v>257.2999584</v>
      </c>
      <c r="W212" s="274">
        <f t="shared" si="34"/>
        <v>257.2999584</v>
      </c>
      <c r="X212" s="274">
        <f t="shared" si="34"/>
        <v>22.441654</v>
      </c>
      <c r="Y212" s="274">
        <f t="shared" si="34"/>
        <v>23.0579274</v>
      </c>
      <c r="Z212" s="274">
        <f t="shared" si="34"/>
        <v>257.2999584</v>
      </c>
      <c r="AA212" s="274">
        <f t="shared" si="34"/>
        <v>257.2999584</v>
      </c>
      <c r="AB212" s="274">
        <f t="shared" si="34"/>
        <v>257.2999584</v>
      </c>
      <c r="AC212" s="274">
        <f t="shared" si="34"/>
        <v>257.2999584</v>
      </c>
      <c r="AD212" s="274">
        <f t="shared" si="34"/>
        <v>257.2999584</v>
      </c>
      <c r="AE212" s="274">
        <f t="shared" si="34"/>
        <v>257.2999584</v>
      </c>
      <c r="AF212" s="274">
        <f t="shared" si="34"/>
        <v>257.2999584</v>
      </c>
      <c r="AG212" s="274">
        <f t="shared" si="34"/>
        <v>257.2999584</v>
      </c>
      <c r="AH212" s="274">
        <f t="shared" si="34"/>
        <v>257.2999584</v>
      </c>
      <c r="AI212" s="100"/>
      <c r="AJ212" s="100"/>
      <c r="AK212" s="100"/>
      <c r="AL212" s="100"/>
      <c r="AM212" s="100"/>
      <c r="AN212" s="100"/>
      <c r="AO212" s="100"/>
    </row>
    <row r="213" ht="14.25" customHeight="1">
      <c r="A213" s="195"/>
      <c r="B213" s="100"/>
      <c r="C213" s="100"/>
      <c r="D213" s="100"/>
      <c r="E213" s="100" t="s">
        <v>3586</v>
      </c>
      <c r="F213" s="123" t="s">
        <v>135</v>
      </c>
      <c r="G213" s="206"/>
      <c r="H213" s="274">
        <f>toccfter</f>
        <v>40.9532</v>
      </c>
      <c r="I213" s="274">
        <f>toccfter</f>
        <v>43.3793</v>
      </c>
      <c r="J213" s="274">
        <f>toccfter</f>
        <v>48.3636</v>
      </c>
      <c r="K213" s="274">
        <f>toccfter</f>
        <v>52.3538</v>
      </c>
      <c r="L213" s="274">
        <f>toccfter</f>
        <v>53.2736</v>
      </c>
      <c r="M213" s="274">
        <f>toccfter</f>
        <v>54.1836</v>
      </c>
      <c r="N213" s="274">
        <f>toccfter</f>
        <v>52.998</v>
      </c>
      <c r="O213" s="274">
        <f>toccfter</f>
        <v>50.9518</v>
      </c>
      <c r="P213" s="274">
        <f>toccfter</f>
        <v>56.7959</v>
      </c>
      <c r="Q213" s="274">
        <f>toccfter</f>
        <v>54.8641</v>
      </c>
      <c r="R213" s="274">
        <f>toccfter</f>
        <v>58.8697</v>
      </c>
      <c r="S213" s="274">
        <f>toccfter</f>
        <v>51.7192</v>
      </c>
      <c r="T213" s="274">
        <f>toccfter</f>
        <v>52.777</v>
      </c>
      <c r="U213" s="274">
        <f>toccfter</f>
        <v>57.0083</v>
      </c>
      <c r="V213" s="274">
        <f>toccfter</f>
        <v>49.174</v>
      </c>
      <c r="W213" s="274">
        <f>toccfter</f>
        <v>55.0635</v>
      </c>
      <c r="X213" s="274" t="str">
        <f>toccfter</f>
        <v/>
      </c>
      <c r="Y213" s="274" t="str">
        <f>toccfter</f>
        <v/>
      </c>
      <c r="Z213" s="274" t="str">
        <f>toccfter</f>
        <v/>
      </c>
      <c r="AA213" s="274" t="str">
        <f>toccfter</f>
        <v/>
      </c>
      <c r="AB213" s="274">
        <f>toccfter</f>
        <v>55.59482149</v>
      </c>
      <c r="AC213" s="274">
        <f>toccfter</f>
        <v>48.51471139</v>
      </c>
      <c r="AD213" s="274">
        <f>toccfter</f>
        <v>40.0947928</v>
      </c>
      <c r="AE213" s="274">
        <f>toccfter</f>
        <v>32.51033514</v>
      </c>
      <c r="AF213" s="274">
        <f>toccfter</f>
        <v>24.64305974</v>
      </c>
      <c r="AG213" s="274">
        <f>toccfter</f>
        <v>23.48677814</v>
      </c>
      <c r="AH213" s="274">
        <f>toccfter</f>
        <v>22.23297646</v>
      </c>
      <c r="AI213" s="100"/>
      <c r="AJ213" s="100"/>
      <c r="AK213" s="100"/>
      <c r="AL213" s="100"/>
      <c r="AM213" s="100"/>
      <c r="AN213" s="100"/>
      <c r="AO213" s="100"/>
    </row>
    <row r="214" ht="14.25" customHeight="1">
      <c r="A214" s="195"/>
      <c r="B214" s="100"/>
      <c r="C214" s="100"/>
      <c r="D214" s="100"/>
      <c r="E214" s="100" t="s">
        <v>811</v>
      </c>
      <c r="F214" s="123" t="s">
        <v>135</v>
      </c>
      <c r="G214" s="206"/>
      <c r="H214" s="274">
        <f t="shared" ref="H214:AH214" si="35">H50</f>
        <v>40.9532</v>
      </c>
      <c r="I214" s="274">
        <f t="shared" si="35"/>
        <v>43.3793</v>
      </c>
      <c r="J214" s="274">
        <f t="shared" si="35"/>
        <v>48.3636</v>
      </c>
      <c r="K214" s="274">
        <f t="shared" si="35"/>
        <v>52.3538</v>
      </c>
      <c r="L214" s="274">
        <f t="shared" si="35"/>
        <v>53.2736</v>
      </c>
      <c r="M214" s="274">
        <f t="shared" si="35"/>
        <v>54.1836</v>
      </c>
      <c r="N214" s="274">
        <f t="shared" si="35"/>
        <v>52.998</v>
      </c>
      <c r="O214" s="274">
        <f t="shared" si="35"/>
        <v>50.9518</v>
      </c>
      <c r="P214" s="274">
        <f t="shared" si="35"/>
        <v>56.7959</v>
      </c>
      <c r="Q214" s="274">
        <f t="shared" si="35"/>
        <v>54.8641</v>
      </c>
      <c r="R214" s="274">
        <f t="shared" si="35"/>
        <v>58.8697</v>
      </c>
      <c r="S214" s="274">
        <f t="shared" si="35"/>
        <v>51.7192</v>
      </c>
      <c r="T214" s="274">
        <f t="shared" si="35"/>
        <v>52.777</v>
      </c>
      <c r="U214" s="274">
        <f t="shared" si="35"/>
        <v>57.0083</v>
      </c>
      <c r="V214" s="274">
        <f t="shared" si="35"/>
        <v>49.174</v>
      </c>
      <c r="W214" s="274">
        <f t="shared" si="35"/>
        <v>55.0635</v>
      </c>
      <c r="X214" s="274" t="str">
        <f t="shared" si="35"/>
        <v/>
      </c>
      <c r="Y214" s="274" t="str">
        <f t="shared" si="35"/>
        <v/>
      </c>
      <c r="Z214" s="274" t="str">
        <f t="shared" si="35"/>
        <v/>
      </c>
      <c r="AA214" s="274" t="str">
        <f t="shared" si="35"/>
        <v/>
      </c>
      <c r="AB214" s="274">
        <f t="shared" si="35"/>
        <v>55.59482149</v>
      </c>
      <c r="AC214" s="274">
        <f t="shared" si="35"/>
        <v>48.51471139</v>
      </c>
      <c r="AD214" s="274">
        <f t="shared" si="35"/>
        <v>40.0947928</v>
      </c>
      <c r="AE214" s="274">
        <f t="shared" si="35"/>
        <v>32.51033514</v>
      </c>
      <c r="AF214" s="274">
        <f t="shared" si="35"/>
        <v>24.64305974</v>
      </c>
      <c r="AG214" s="274">
        <f t="shared" si="35"/>
        <v>23.48677814</v>
      </c>
      <c r="AH214" s="274">
        <f t="shared" si="35"/>
        <v>22.23297646</v>
      </c>
      <c r="AI214" s="100"/>
      <c r="AJ214" s="100"/>
      <c r="AK214" s="100"/>
      <c r="AL214" s="100"/>
      <c r="AM214" s="100"/>
      <c r="AN214" s="100"/>
      <c r="AO214" s="100"/>
    </row>
    <row r="215" ht="14.25" customHeight="1">
      <c r="A215" s="195"/>
      <c r="B215" s="100"/>
      <c r="C215" s="100"/>
      <c r="D215" s="100"/>
      <c r="E215" s="100" t="s">
        <v>3581</v>
      </c>
      <c r="F215" s="123" t="s">
        <v>261</v>
      </c>
      <c r="G215" s="206"/>
      <c r="H215" s="935">
        <f t="shared" ref="H215:AH215" si="36">H214/H213-1</f>
        <v>0</v>
      </c>
      <c r="I215" s="935">
        <f t="shared" si="36"/>
        <v>0</v>
      </c>
      <c r="J215" s="935">
        <f t="shared" si="36"/>
        <v>0</v>
      </c>
      <c r="K215" s="935">
        <f t="shared" si="36"/>
        <v>0</v>
      </c>
      <c r="L215" s="935">
        <f t="shared" si="36"/>
        <v>0</v>
      </c>
      <c r="M215" s="935">
        <f t="shared" si="36"/>
        <v>0</v>
      </c>
      <c r="N215" s="935">
        <f t="shared" si="36"/>
        <v>0</v>
      </c>
      <c r="O215" s="935">
        <f t="shared" si="36"/>
        <v>0</v>
      </c>
      <c r="P215" s="935">
        <f t="shared" si="36"/>
        <v>0</v>
      </c>
      <c r="Q215" s="935">
        <f t="shared" si="36"/>
        <v>0</v>
      </c>
      <c r="R215" s="935">
        <f t="shared" si="36"/>
        <v>0</v>
      </c>
      <c r="S215" s="935">
        <f t="shared" si="36"/>
        <v>0</v>
      </c>
      <c r="T215" s="935">
        <f t="shared" si="36"/>
        <v>0</v>
      </c>
      <c r="U215" s="935">
        <f t="shared" si="36"/>
        <v>0</v>
      </c>
      <c r="V215" s="935">
        <f t="shared" si="36"/>
        <v>0</v>
      </c>
      <c r="W215" s="935">
        <f t="shared" si="36"/>
        <v>0</v>
      </c>
      <c r="X215" s="935" t="str">
        <f t="shared" si="36"/>
        <v>#DIV/0!</v>
      </c>
      <c r="Y215" s="935" t="str">
        <f t="shared" si="36"/>
        <v>#DIV/0!</v>
      </c>
      <c r="Z215" s="935" t="str">
        <f t="shared" si="36"/>
        <v>#DIV/0!</v>
      </c>
      <c r="AA215" s="935" t="str">
        <f t="shared" si="36"/>
        <v>#DIV/0!</v>
      </c>
      <c r="AB215" s="935">
        <f t="shared" si="36"/>
        <v>0</v>
      </c>
      <c r="AC215" s="935">
        <f t="shared" si="36"/>
        <v>0</v>
      </c>
      <c r="AD215" s="935">
        <f t="shared" si="36"/>
        <v>0</v>
      </c>
      <c r="AE215" s="935">
        <f t="shared" si="36"/>
        <v>0</v>
      </c>
      <c r="AF215" s="935">
        <f t="shared" si="36"/>
        <v>0</v>
      </c>
      <c r="AG215" s="935">
        <f t="shared" si="36"/>
        <v>0</v>
      </c>
      <c r="AH215" s="935">
        <f t="shared" si="36"/>
        <v>0</v>
      </c>
      <c r="AI215" s="100"/>
      <c r="AJ215" s="100"/>
      <c r="AK215" s="100"/>
      <c r="AL215" s="100"/>
      <c r="AM215" s="100"/>
      <c r="AN215" s="100"/>
      <c r="AO215" s="100"/>
    </row>
    <row r="216" ht="14.25" customHeight="1">
      <c r="A216" s="863" t="s">
        <v>27</v>
      </c>
      <c r="B216" s="100"/>
      <c r="C216" s="100"/>
      <c r="D216" s="100"/>
      <c r="E216" s="100"/>
      <c r="F216" s="206"/>
      <c r="G216" s="206"/>
      <c r="H216" s="208"/>
      <c r="I216" s="208"/>
      <c r="J216" s="208"/>
      <c r="K216" s="208"/>
      <c r="L216" s="208"/>
      <c r="M216" s="208"/>
      <c r="N216" s="208"/>
      <c r="O216" s="208"/>
      <c r="P216" s="208"/>
      <c r="Q216" s="208"/>
      <c r="R216" s="208"/>
      <c r="S216" s="208"/>
      <c r="T216" s="208"/>
      <c r="U216" s="208"/>
      <c r="V216" s="208"/>
      <c r="W216" s="208"/>
      <c r="X216" s="208"/>
      <c r="Y216" s="208"/>
      <c r="Z216" s="208"/>
      <c r="AA216" s="208"/>
      <c r="AB216" s="208"/>
      <c r="AC216" s="208"/>
      <c r="AD216" s="208"/>
      <c r="AE216" s="208"/>
      <c r="AF216" s="208"/>
      <c r="AG216" s="208"/>
      <c r="AH216" s="208"/>
      <c r="AI216" s="100"/>
      <c r="AJ216" s="100"/>
      <c r="AK216" s="100"/>
      <c r="AL216" s="100"/>
      <c r="AM216" s="100"/>
      <c r="AN216" s="100"/>
      <c r="AO216" s="100"/>
    </row>
    <row r="217" ht="14.25" hidden="1" customHeight="1">
      <c r="A217" s="195"/>
      <c r="B217" s="100"/>
      <c r="C217" s="100"/>
      <c r="D217" s="100"/>
      <c r="E217" s="100" t="s">
        <v>3584</v>
      </c>
      <c r="F217" s="249" t="s">
        <v>3585</v>
      </c>
      <c r="G217" s="206"/>
      <c r="H217" s="182">
        <v>45664.0</v>
      </c>
      <c r="I217" s="182">
        <v>45664.0</v>
      </c>
      <c r="J217" s="182">
        <v>45664.0</v>
      </c>
      <c r="K217" s="182">
        <v>45664.0</v>
      </c>
      <c r="L217" s="182">
        <v>45664.0</v>
      </c>
      <c r="M217" s="182">
        <v>45664.0</v>
      </c>
      <c r="N217" s="182">
        <v>45664.0</v>
      </c>
      <c r="O217" s="182">
        <v>45664.0</v>
      </c>
      <c r="P217" s="182">
        <v>45664.0</v>
      </c>
      <c r="Q217" s="182">
        <v>45664.0</v>
      </c>
      <c r="R217" s="182">
        <v>45664.0</v>
      </c>
      <c r="S217" s="182">
        <v>45664.0</v>
      </c>
      <c r="T217" s="182">
        <v>45664.0</v>
      </c>
      <c r="U217" s="182">
        <v>45664.0</v>
      </c>
      <c r="V217" s="182">
        <v>45664.0</v>
      </c>
      <c r="W217" s="182">
        <v>45664.0</v>
      </c>
      <c r="X217" s="182">
        <v>4291.0</v>
      </c>
      <c r="Y217" s="182">
        <v>4296.0</v>
      </c>
      <c r="Z217" s="182">
        <v>45664.0</v>
      </c>
      <c r="AA217" s="182">
        <v>45664.0</v>
      </c>
      <c r="AB217" s="182">
        <v>45664.0</v>
      </c>
      <c r="AC217" s="182">
        <v>45664.0</v>
      </c>
      <c r="AD217" s="182">
        <v>45664.0</v>
      </c>
      <c r="AE217" s="182">
        <v>45664.0</v>
      </c>
      <c r="AF217" s="182">
        <v>45664.0</v>
      </c>
      <c r="AG217" s="182">
        <v>45664.0</v>
      </c>
      <c r="AH217" s="182">
        <v>45664.0</v>
      </c>
      <c r="AI217" s="100"/>
      <c r="AJ217" s="100"/>
      <c r="AK217" s="100"/>
      <c r="AL217" s="100"/>
      <c r="AM217" s="100"/>
      <c r="AN217" s="100"/>
      <c r="AO217" s="100"/>
    </row>
    <row r="218" ht="14.25" hidden="1" customHeight="1">
      <c r="A218" s="195"/>
      <c r="B218" s="100"/>
      <c r="C218" s="100"/>
      <c r="D218" s="100"/>
      <c r="E218" s="100" t="s">
        <v>3584</v>
      </c>
      <c r="F218" s="249" t="s">
        <v>135</v>
      </c>
      <c r="G218" s="206"/>
      <c r="H218" s="274">
        <f t="shared" ref="H218:AH218" si="37">H217*11.6278/k</f>
        <v>530.9718592</v>
      </c>
      <c r="I218" s="274">
        <f t="shared" si="37"/>
        <v>530.9718592</v>
      </c>
      <c r="J218" s="274">
        <f t="shared" si="37"/>
        <v>530.9718592</v>
      </c>
      <c r="K218" s="274">
        <f t="shared" si="37"/>
        <v>530.9718592</v>
      </c>
      <c r="L218" s="274">
        <f t="shared" si="37"/>
        <v>530.9718592</v>
      </c>
      <c r="M218" s="274">
        <f t="shared" si="37"/>
        <v>530.9718592</v>
      </c>
      <c r="N218" s="274">
        <f t="shared" si="37"/>
        <v>530.9718592</v>
      </c>
      <c r="O218" s="274">
        <f t="shared" si="37"/>
        <v>530.9718592</v>
      </c>
      <c r="P218" s="274">
        <f t="shared" si="37"/>
        <v>530.9718592</v>
      </c>
      <c r="Q218" s="274">
        <f t="shared" si="37"/>
        <v>530.9718592</v>
      </c>
      <c r="R218" s="274">
        <f t="shared" si="37"/>
        <v>530.9718592</v>
      </c>
      <c r="S218" s="274">
        <f t="shared" si="37"/>
        <v>530.9718592</v>
      </c>
      <c r="T218" s="274">
        <f t="shared" si="37"/>
        <v>530.9718592</v>
      </c>
      <c r="U218" s="274">
        <f t="shared" si="37"/>
        <v>530.9718592</v>
      </c>
      <c r="V218" s="274">
        <f t="shared" si="37"/>
        <v>530.9718592</v>
      </c>
      <c r="W218" s="274">
        <f t="shared" si="37"/>
        <v>530.9718592</v>
      </c>
      <c r="X218" s="274">
        <f t="shared" si="37"/>
        <v>49.8948898</v>
      </c>
      <c r="Y218" s="274">
        <f t="shared" si="37"/>
        <v>49.9530288</v>
      </c>
      <c r="Z218" s="274">
        <f t="shared" si="37"/>
        <v>530.9718592</v>
      </c>
      <c r="AA218" s="274">
        <f t="shared" si="37"/>
        <v>530.9718592</v>
      </c>
      <c r="AB218" s="274">
        <f t="shared" si="37"/>
        <v>530.9718592</v>
      </c>
      <c r="AC218" s="274">
        <f t="shared" si="37"/>
        <v>530.9718592</v>
      </c>
      <c r="AD218" s="274">
        <f t="shared" si="37"/>
        <v>530.9718592</v>
      </c>
      <c r="AE218" s="274">
        <f t="shared" si="37"/>
        <v>530.9718592</v>
      </c>
      <c r="AF218" s="274">
        <f t="shared" si="37"/>
        <v>530.9718592</v>
      </c>
      <c r="AG218" s="274">
        <f t="shared" si="37"/>
        <v>530.9718592</v>
      </c>
      <c r="AH218" s="274">
        <f t="shared" si="37"/>
        <v>530.9718592</v>
      </c>
      <c r="AI218" s="100"/>
      <c r="AJ218" s="100"/>
      <c r="AK218" s="100"/>
      <c r="AL218" s="100"/>
      <c r="AM218" s="100"/>
      <c r="AN218" s="100"/>
      <c r="AO218" s="100"/>
    </row>
    <row r="219" ht="14.25" customHeight="1">
      <c r="A219" s="195"/>
      <c r="B219" s="100"/>
      <c r="C219" s="100"/>
      <c r="D219" s="100"/>
      <c r="E219" s="100" t="s">
        <v>3586</v>
      </c>
      <c r="F219" s="123" t="s">
        <v>135</v>
      </c>
      <c r="G219" s="206"/>
      <c r="H219" s="274">
        <f>toccftra</f>
        <v>112.4328</v>
      </c>
      <c r="I219" s="274">
        <f>toccftra</f>
        <v>111.0595</v>
      </c>
      <c r="J219" s="274">
        <f>toccftra</f>
        <v>112.2845</v>
      </c>
      <c r="K219" s="274">
        <f>toccftra</f>
        <v>118.4517</v>
      </c>
      <c r="L219" s="274">
        <f>toccftra</f>
        <v>119.2802</v>
      </c>
      <c r="M219" s="274">
        <f>toccftra</f>
        <v>116.191</v>
      </c>
      <c r="N219" s="274">
        <f>toccftra</f>
        <v>118.3554</v>
      </c>
      <c r="O219" s="274">
        <f>toccftra</f>
        <v>121.0215</v>
      </c>
      <c r="P219" s="274">
        <f>toccftra</f>
        <v>120.4635</v>
      </c>
      <c r="Q219" s="274">
        <f>toccftra</f>
        <v>119.5796</v>
      </c>
      <c r="R219" s="274">
        <f>toccftra</f>
        <v>118.6724</v>
      </c>
      <c r="S219" s="274">
        <f>toccftra</f>
        <v>117.5324</v>
      </c>
      <c r="T219" s="274">
        <f>toccftra</f>
        <v>114.3657</v>
      </c>
      <c r="U219" s="274">
        <f>toccftra</f>
        <v>112.7119</v>
      </c>
      <c r="V219" s="274">
        <f>toccftra</f>
        <v>114.1761</v>
      </c>
      <c r="W219" s="274">
        <f>toccftra</f>
        <v>103.2048584</v>
      </c>
      <c r="X219" s="274">
        <f>toccftra</f>
        <v>104.325761</v>
      </c>
      <c r="Y219" s="274">
        <f>toccftra</f>
        <v>102.6193586</v>
      </c>
      <c r="Z219" s="274">
        <f>toccftra</f>
        <v>103.0600442</v>
      </c>
      <c r="AA219" s="274">
        <f>toccftra</f>
        <v>102.4127966</v>
      </c>
      <c r="AB219" s="274">
        <f>toccftra</f>
        <v>102.4127966</v>
      </c>
      <c r="AC219" s="274" t="str">
        <f>toccftra</f>
        <v/>
      </c>
      <c r="AD219" s="274" t="str">
        <f>toccftra</f>
        <v/>
      </c>
      <c r="AE219" s="274" t="str">
        <f>toccftra</f>
        <v/>
      </c>
      <c r="AF219" s="274" t="str">
        <f>toccftra</f>
        <v/>
      </c>
      <c r="AG219" s="274" t="str">
        <f>toccftra</f>
        <v/>
      </c>
      <c r="AH219" s="274" t="str">
        <f>toccftra</f>
        <v/>
      </c>
      <c r="AI219" s="100"/>
      <c r="AJ219" s="100"/>
      <c r="AK219" s="100"/>
      <c r="AL219" s="100"/>
      <c r="AM219" s="100"/>
      <c r="AN219" s="100"/>
      <c r="AO219" s="100"/>
    </row>
    <row r="220" ht="14.25" customHeight="1">
      <c r="A220" s="195"/>
      <c r="B220" s="100"/>
      <c r="C220" s="100"/>
      <c r="D220" s="100"/>
      <c r="E220" s="100" t="s">
        <v>811</v>
      </c>
      <c r="F220" s="123" t="s">
        <v>135</v>
      </c>
      <c r="G220" s="206"/>
      <c r="H220" s="274">
        <f t="shared" ref="H220:AH220" si="38">H95</f>
        <v>0</v>
      </c>
      <c r="I220" s="274">
        <f t="shared" si="38"/>
        <v>0</v>
      </c>
      <c r="J220" s="274">
        <f t="shared" si="38"/>
        <v>0</v>
      </c>
      <c r="K220" s="274">
        <f t="shared" si="38"/>
        <v>0</v>
      </c>
      <c r="L220" s="274">
        <f t="shared" si="38"/>
        <v>0</v>
      </c>
      <c r="M220" s="274">
        <f t="shared" si="38"/>
        <v>0</v>
      </c>
      <c r="N220" s="274">
        <f t="shared" si="38"/>
        <v>0</v>
      </c>
      <c r="O220" s="274">
        <f t="shared" si="38"/>
        <v>0</v>
      </c>
      <c r="P220" s="274">
        <f t="shared" si="38"/>
        <v>0</v>
      </c>
      <c r="Q220" s="274">
        <f t="shared" si="38"/>
        <v>0</v>
      </c>
      <c r="R220" s="274">
        <f t="shared" si="38"/>
        <v>0</v>
      </c>
      <c r="S220" s="274">
        <f t="shared" si="38"/>
        <v>0</v>
      </c>
      <c r="T220" s="274">
        <f t="shared" si="38"/>
        <v>0</v>
      </c>
      <c r="U220" s="274">
        <f t="shared" si="38"/>
        <v>0</v>
      </c>
      <c r="V220" s="274">
        <f t="shared" si="38"/>
        <v>0</v>
      </c>
      <c r="W220" s="274">
        <f t="shared" si="38"/>
        <v>103.2048584</v>
      </c>
      <c r="X220" s="274" t="str">
        <f t="shared" si="38"/>
        <v>#DIV/0!</v>
      </c>
      <c r="Y220" s="274" t="str">
        <f t="shared" si="38"/>
        <v>#DIV/0!</v>
      </c>
      <c r="Z220" s="274" t="str">
        <f t="shared" si="38"/>
        <v>#DIV/0!</v>
      </c>
      <c r="AA220" s="274" t="str">
        <f t="shared" si="38"/>
        <v>#DIV/0!</v>
      </c>
      <c r="AB220" s="274">
        <f t="shared" si="38"/>
        <v>102.4127966</v>
      </c>
      <c r="AC220" s="274">
        <f t="shared" si="38"/>
        <v>83.94051986</v>
      </c>
      <c r="AD220" s="274">
        <f t="shared" si="38"/>
        <v>58.3741552</v>
      </c>
      <c r="AE220" s="274">
        <f t="shared" si="38"/>
        <v>42.21564134</v>
      </c>
      <c r="AF220" s="274">
        <f t="shared" si="38"/>
        <v>32.05590411</v>
      </c>
      <c r="AG220" s="274">
        <f t="shared" si="38"/>
        <v>26.74192669</v>
      </c>
      <c r="AH220" s="274">
        <f t="shared" si="38"/>
        <v>24.34408314</v>
      </c>
      <c r="AI220" s="100"/>
      <c r="AJ220" s="100"/>
      <c r="AK220" s="100"/>
      <c r="AL220" s="100"/>
      <c r="AM220" s="100"/>
      <c r="AN220" s="100"/>
      <c r="AO220" s="100"/>
    </row>
    <row r="221" ht="14.25" customHeight="1">
      <c r="A221" s="195"/>
      <c r="B221" s="100"/>
      <c r="C221" s="100"/>
      <c r="D221" s="100"/>
      <c r="E221" s="100" t="s">
        <v>3581</v>
      </c>
      <c r="F221" s="123" t="s">
        <v>261</v>
      </c>
      <c r="G221" s="206"/>
      <c r="H221" s="935">
        <f t="shared" ref="H221:AH221" si="39">H220/H219-1</f>
        <v>-1</v>
      </c>
      <c r="I221" s="935">
        <f t="shared" si="39"/>
        <v>-1</v>
      </c>
      <c r="J221" s="935">
        <f t="shared" si="39"/>
        <v>-1</v>
      </c>
      <c r="K221" s="935">
        <f t="shared" si="39"/>
        <v>-1</v>
      </c>
      <c r="L221" s="935">
        <f t="shared" si="39"/>
        <v>-1</v>
      </c>
      <c r="M221" s="935">
        <f t="shared" si="39"/>
        <v>-1</v>
      </c>
      <c r="N221" s="935">
        <f t="shared" si="39"/>
        <v>-1</v>
      </c>
      <c r="O221" s="935">
        <f t="shared" si="39"/>
        <v>-1</v>
      </c>
      <c r="P221" s="935">
        <f t="shared" si="39"/>
        <v>-1</v>
      </c>
      <c r="Q221" s="935">
        <f t="shared" si="39"/>
        <v>-1</v>
      </c>
      <c r="R221" s="935">
        <f t="shared" si="39"/>
        <v>-1</v>
      </c>
      <c r="S221" s="935">
        <f t="shared" si="39"/>
        <v>-1</v>
      </c>
      <c r="T221" s="935">
        <f t="shared" si="39"/>
        <v>-1</v>
      </c>
      <c r="U221" s="935">
        <f t="shared" si="39"/>
        <v>-1</v>
      </c>
      <c r="V221" s="935">
        <f t="shared" si="39"/>
        <v>-1</v>
      </c>
      <c r="W221" s="935">
        <f t="shared" si="39"/>
        <v>0</v>
      </c>
      <c r="X221" s="935" t="str">
        <f t="shared" si="39"/>
        <v>#DIV/0!</v>
      </c>
      <c r="Y221" s="935" t="str">
        <f t="shared" si="39"/>
        <v>#DIV/0!</v>
      </c>
      <c r="Z221" s="935" t="str">
        <f t="shared" si="39"/>
        <v>#DIV/0!</v>
      </c>
      <c r="AA221" s="935" t="str">
        <f t="shared" si="39"/>
        <v>#DIV/0!</v>
      </c>
      <c r="AB221" s="935">
        <f t="shared" si="39"/>
        <v>0</v>
      </c>
      <c r="AC221" s="935" t="str">
        <f t="shared" si="39"/>
        <v>#DIV/0!</v>
      </c>
      <c r="AD221" s="935" t="str">
        <f t="shared" si="39"/>
        <v>#DIV/0!</v>
      </c>
      <c r="AE221" s="935" t="str">
        <f t="shared" si="39"/>
        <v>#DIV/0!</v>
      </c>
      <c r="AF221" s="935" t="str">
        <f t="shared" si="39"/>
        <v>#DIV/0!</v>
      </c>
      <c r="AG221" s="935" t="str">
        <f t="shared" si="39"/>
        <v>#DIV/0!</v>
      </c>
      <c r="AH221" s="935" t="str">
        <f t="shared" si="39"/>
        <v>#DIV/0!</v>
      </c>
      <c r="AI221" s="100"/>
      <c r="AJ221" s="100"/>
      <c r="AK221" s="100"/>
      <c r="AL221" s="100"/>
      <c r="AM221" s="100"/>
      <c r="AN221" s="100"/>
      <c r="AO221" s="100"/>
    </row>
    <row r="222" ht="14.25" customHeight="1">
      <c r="A222" s="863" t="s">
        <v>30</v>
      </c>
      <c r="B222" s="100"/>
      <c r="C222" s="100"/>
      <c r="D222" s="100"/>
      <c r="E222" s="100"/>
      <c r="F222" s="206"/>
      <c r="G222" s="206"/>
      <c r="H222" s="208"/>
      <c r="I222" s="208"/>
      <c r="J222" s="208"/>
      <c r="K222" s="208"/>
      <c r="L222" s="208"/>
      <c r="M222" s="208"/>
      <c r="N222" s="208"/>
      <c r="O222" s="208"/>
      <c r="P222" s="208"/>
      <c r="Q222" s="208"/>
      <c r="R222" s="208"/>
      <c r="S222" s="208"/>
      <c r="T222" s="208"/>
      <c r="U222" s="208"/>
      <c r="V222" s="208"/>
      <c r="W222" s="208"/>
      <c r="X222" s="208"/>
      <c r="Y222" s="208"/>
      <c r="Z222" s="208"/>
      <c r="AA222" s="208"/>
      <c r="AB222" s="208"/>
      <c r="AC222" s="208"/>
      <c r="AD222" s="208"/>
      <c r="AE222" s="208"/>
      <c r="AF222" s="208"/>
      <c r="AG222" s="208"/>
      <c r="AH222" s="208"/>
      <c r="AI222" s="100"/>
      <c r="AJ222" s="100"/>
      <c r="AK222" s="100"/>
      <c r="AL222" s="100"/>
      <c r="AM222" s="100"/>
      <c r="AN222" s="100"/>
      <c r="AO222" s="100"/>
    </row>
    <row r="223" ht="14.25" hidden="1" customHeight="1">
      <c r="A223" s="195"/>
      <c r="B223" s="100"/>
      <c r="C223" s="100"/>
      <c r="D223" s="100"/>
      <c r="E223" s="100" t="s">
        <v>3584</v>
      </c>
      <c r="F223" s="249" t="s">
        <v>3585</v>
      </c>
      <c r="G223" s="206"/>
      <c r="H223" s="182">
        <v>27906.0</v>
      </c>
      <c r="I223" s="182">
        <v>27906.0</v>
      </c>
      <c r="J223" s="182">
        <v>27906.0</v>
      </c>
      <c r="K223" s="182">
        <v>27906.0</v>
      </c>
      <c r="L223" s="182">
        <v>27906.0</v>
      </c>
      <c r="M223" s="182">
        <v>27906.0</v>
      </c>
      <c r="N223" s="182">
        <v>27906.0</v>
      </c>
      <c r="O223" s="182">
        <v>27906.0</v>
      </c>
      <c r="P223" s="182">
        <v>27906.0</v>
      </c>
      <c r="Q223" s="182">
        <v>27906.0</v>
      </c>
      <c r="R223" s="182">
        <v>27906.0</v>
      </c>
      <c r="S223" s="182">
        <v>27906.0</v>
      </c>
      <c r="T223" s="182">
        <v>27906.0</v>
      </c>
      <c r="U223" s="182">
        <v>27906.0</v>
      </c>
      <c r="V223" s="182">
        <v>27906.0</v>
      </c>
      <c r="W223" s="182">
        <v>27906.0</v>
      </c>
      <c r="X223" s="182">
        <v>2209.0</v>
      </c>
      <c r="Y223" s="182">
        <v>2306.0</v>
      </c>
      <c r="Z223" s="182">
        <v>27906.0</v>
      </c>
      <c r="AA223" s="182">
        <v>27906.0</v>
      </c>
      <c r="AB223" s="182">
        <v>27906.0</v>
      </c>
      <c r="AC223" s="182">
        <v>27906.0</v>
      </c>
      <c r="AD223" s="182">
        <v>27906.0</v>
      </c>
      <c r="AE223" s="182">
        <v>27906.0</v>
      </c>
      <c r="AF223" s="182">
        <v>27906.0</v>
      </c>
      <c r="AG223" s="182">
        <v>27906.0</v>
      </c>
      <c r="AH223" s="182">
        <v>27906.0</v>
      </c>
      <c r="AI223" s="100"/>
      <c r="AJ223" s="100"/>
      <c r="AK223" s="100"/>
      <c r="AL223" s="100"/>
      <c r="AM223" s="100"/>
      <c r="AN223" s="100"/>
      <c r="AO223" s="100"/>
    </row>
    <row r="224" ht="14.25" hidden="1" customHeight="1">
      <c r="A224" s="195"/>
      <c r="B224" s="100"/>
      <c r="C224" s="100"/>
      <c r="D224" s="100"/>
      <c r="E224" s="100" t="s">
        <v>3584</v>
      </c>
      <c r="F224" s="249" t="s">
        <v>135</v>
      </c>
      <c r="G224" s="206"/>
      <c r="H224" s="274">
        <f t="shared" ref="H224:AH224" si="40">H223*11.6278/k</f>
        <v>324.4853868</v>
      </c>
      <c r="I224" s="274">
        <f t="shared" si="40"/>
        <v>324.4853868</v>
      </c>
      <c r="J224" s="274">
        <f t="shared" si="40"/>
        <v>324.4853868</v>
      </c>
      <c r="K224" s="274">
        <f t="shared" si="40"/>
        <v>324.4853868</v>
      </c>
      <c r="L224" s="274">
        <f t="shared" si="40"/>
        <v>324.4853868</v>
      </c>
      <c r="M224" s="274">
        <f t="shared" si="40"/>
        <v>324.4853868</v>
      </c>
      <c r="N224" s="274">
        <f t="shared" si="40"/>
        <v>324.4853868</v>
      </c>
      <c r="O224" s="274">
        <f t="shared" si="40"/>
        <v>324.4853868</v>
      </c>
      <c r="P224" s="274">
        <f t="shared" si="40"/>
        <v>324.4853868</v>
      </c>
      <c r="Q224" s="274">
        <f t="shared" si="40"/>
        <v>324.4853868</v>
      </c>
      <c r="R224" s="274">
        <f t="shared" si="40"/>
        <v>324.4853868</v>
      </c>
      <c r="S224" s="274">
        <f t="shared" si="40"/>
        <v>324.4853868</v>
      </c>
      <c r="T224" s="274">
        <f t="shared" si="40"/>
        <v>324.4853868</v>
      </c>
      <c r="U224" s="274">
        <f t="shared" si="40"/>
        <v>324.4853868</v>
      </c>
      <c r="V224" s="274">
        <f t="shared" si="40"/>
        <v>324.4853868</v>
      </c>
      <c r="W224" s="274">
        <f t="shared" si="40"/>
        <v>324.4853868</v>
      </c>
      <c r="X224" s="274">
        <f t="shared" si="40"/>
        <v>25.6858102</v>
      </c>
      <c r="Y224" s="274">
        <f t="shared" si="40"/>
        <v>26.8137068</v>
      </c>
      <c r="Z224" s="274">
        <f t="shared" si="40"/>
        <v>324.4853868</v>
      </c>
      <c r="AA224" s="274">
        <f t="shared" si="40"/>
        <v>324.4853868</v>
      </c>
      <c r="AB224" s="274">
        <f t="shared" si="40"/>
        <v>324.4853868</v>
      </c>
      <c r="AC224" s="274">
        <f t="shared" si="40"/>
        <v>324.4853868</v>
      </c>
      <c r="AD224" s="274">
        <f t="shared" si="40"/>
        <v>324.4853868</v>
      </c>
      <c r="AE224" s="274">
        <f t="shared" si="40"/>
        <v>324.4853868</v>
      </c>
      <c r="AF224" s="274">
        <f t="shared" si="40"/>
        <v>324.4853868</v>
      </c>
      <c r="AG224" s="274">
        <f t="shared" si="40"/>
        <v>324.4853868</v>
      </c>
      <c r="AH224" s="274">
        <f t="shared" si="40"/>
        <v>324.4853868</v>
      </c>
      <c r="AI224" s="100"/>
      <c r="AJ224" s="100"/>
      <c r="AK224" s="100"/>
      <c r="AL224" s="100"/>
      <c r="AM224" s="100"/>
      <c r="AN224" s="100"/>
      <c r="AO224" s="100"/>
    </row>
    <row r="225" ht="14.25" customHeight="1">
      <c r="A225" s="195"/>
      <c r="B225" s="100"/>
      <c r="C225" s="100"/>
      <c r="D225" s="100"/>
      <c r="E225" s="100" t="s">
        <v>3586</v>
      </c>
      <c r="F225" s="123" t="s">
        <v>135</v>
      </c>
      <c r="G225" s="206"/>
      <c r="H225" s="274" t="str">
        <f>toccfind</f>
        <v/>
      </c>
      <c r="I225" s="274" t="str">
        <f>toccfind</f>
        <v/>
      </c>
      <c r="J225" s="274" t="str">
        <f>toccfind</f>
        <v/>
      </c>
      <c r="K225" s="274" t="str">
        <f>toccfind</f>
        <v/>
      </c>
      <c r="L225" s="274" t="str">
        <f>toccfind</f>
        <v/>
      </c>
      <c r="M225" s="274" t="str">
        <f>toccfind</f>
        <v/>
      </c>
      <c r="N225" s="274" t="str">
        <f>toccfind</f>
        <v/>
      </c>
      <c r="O225" s="274" t="str">
        <f>toccfind</f>
        <v/>
      </c>
      <c r="P225" s="274" t="str">
        <f>toccfind</f>
        <v/>
      </c>
      <c r="Q225" s="274" t="str">
        <f>toccfind</f>
        <v/>
      </c>
      <c r="R225" s="274">
        <f>toccfind</f>
        <v>142.7726</v>
      </c>
      <c r="S225" s="274">
        <f>toccfind</f>
        <v>137.7632</v>
      </c>
      <c r="T225" s="274">
        <f>toccfind</f>
        <v>135.7638</v>
      </c>
      <c r="U225" s="274">
        <f>toccfind</f>
        <v>141.0645</v>
      </c>
      <c r="V225" s="274">
        <f>toccfind</f>
        <v>139.4801</v>
      </c>
      <c r="W225" s="274">
        <f>toccfind</f>
        <v>139.5678</v>
      </c>
      <c r="X225" s="274">
        <f>toccfind</f>
        <v>142.687</v>
      </c>
      <c r="Y225" s="274">
        <f>toccfind</f>
        <v>140.7188</v>
      </c>
      <c r="Z225" s="274">
        <f>toccfind</f>
        <v>143.12</v>
      </c>
      <c r="AA225" s="274">
        <f>toccfind</f>
        <v>138.6691</v>
      </c>
      <c r="AB225" s="274">
        <f>toccfind</f>
        <v>138.6691</v>
      </c>
      <c r="AC225" s="274">
        <f>toccfind</f>
        <v>126.2441557</v>
      </c>
      <c r="AD225" s="274">
        <f>toccfind</f>
        <v>113.8192114</v>
      </c>
      <c r="AE225" s="274">
        <f>toccfind</f>
        <v>102.0444495</v>
      </c>
      <c r="AF225" s="274">
        <f>toccfind</f>
        <v>90.26968761</v>
      </c>
      <c r="AG225" s="274">
        <f>toccfind</f>
        <v>86.23088398</v>
      </c>
      <c r="AH225" s="274">
        <f>toccfind</f>
        <v>82.19208036</v>
      </c>
      <c r="AI225" s="100"/>
      <c r="AJ225" s="100"/>
      <c r="AK225" s="100"/>
      <c r="AL225" s="100"/>
      <c r="AM225" s="100"/>
      <c r="AN225" s="100"/>
      <c r="AO225" s="100"/>
    </row>
    <row r="226" ht="14.25" customHeight="1">
      <c r="A226" s="195"/>
      <c r="B226" s="100"/>
      <c r="C226" s="100"/>
      <c r="D226" s="100"/>
      <c r="E226" s="100" t="s">
        <v>811</v>
      </c>
      <c r="F226" s="123" t="s">
        <v>135</v>
      </c>
      <c r="G226" s="206"/>
      <c r="H226" s="274">
        <f t="shared" ref="H226:AH226" si="41">H122+SUM(H133:H144)</f>
        <v>0</v>
      </c>
      <c r="I226" s="274">
        <f t="shared" si="41"/>
        <v>0</v>
      </c>
      <c r="J226" s="274">
        <f t="shared" si="41"/>
        <v>0</v>
      </c>
      <c r="K226" s="274">
        <f t="shared" si="41"/>
        <v>0</v>
      </c>
      <c r="L226" s="274">
        <f t="shared" si="41"/>
        <v>0</v>
      </c>
      <c r="M226" s="274">
        <f t="shared" si="41"/>
        <v>0</v>
      </c>
      <c r="N226" s="274">
        <f t="shared" si="41"/>
        <v>0</v>
      </c>
      <c r="O226" s="274">
        <f t="shared" si="41"/>
        <v>0</v>
      </c>
      <c r="P226" s="274">
        <f t="shared" si="41"/>
        <v>0</v>
      </c>
      <c r="Q226" s="274">
        <f t="shared" si="41"/>
        <v>0</v>
      </c>
      <c r="R226" s="274">
        <f t="shared" si="41"/>
        <v>142.7725</v>
      </c>
      <c r="S226" s="274">
        <f t="shared" si="41"/>
        <v>137.7632</v>
      </c>
      <c r="T226" s="274">
        <f t="shared" si="41"/>
        <v>135.7637</v>
      </c>
      <c r="U226" s="274">
        <f t="shared" si="41"/>
        <v>141.0646</v>
      </c>
      <c r="V226" s="274">
        <f t="shared" si="41"/>
        <v>139.4801</v>
      </c>
      <c r="W226" s="274">
        <f t="shared" si="41"/>
        <v>193.087081</v>
      </c>
      <c r="X226" s="274">
        <f t="shared" si="41"/>
        <v>140.424228</v>
      </c>
      <c r="Y226" s="274">
        <f t="shared" si="41"/>
        <v>139.491528</v>
      </c>
      <c r="Z226" s="274">
        <f t="shared" si="41"/>
        <v>141.691161</v>
      </c>
      <c r="AA226" s="274">
        <f t="shared" si="41"/>
        <v>191.9319996</v>
      </c>
      <c r="AB226" s="274">
        <f t="shared" si="41"/>
        <v>191.7867886</v>
      </c>
      <c r="AC226" s="274">
        <f t="shared" si="41"/>
        <v>183.1196052</v>
      </c>
      <c r="AD226" s="274">
        <f t="shared" si="41"/>
        <v>164.2865582</v>
      </c>
      <c r="AE226" s="274">
        <f t="shared" si="41"/>
        <v>135.2111057</v>
      </c>
      <c r="AF226" s="274">
        <f t="shared" si="41"/>
        <v>123.5062315</v>
      </c>
      <c r="AG226" s="274">
        <f t="shared" si="41"/>
        <v>115.4679816</v>
      </c>
      <c r="AH226" s="274">
        <f t="shared" si="41"/>
        <v>112.0247024</v>
      </c>
      <c r="AI226" s="100"/>
      <c r="AJ226" s="100"/>
      <c r="AK226" s="100"/>
      <c r="AL226" s="100"/>
      <c r="AM226" s="100"/>
      <c r="AN226" s="100"/>
      <c r="AO226" s="100"/>
    </row>
    <row r="227" ht="14.25" customHeight="1">
      <c r="A227" s="195"/>
      <c r="B227" s="100"/>
      <c r="C227" s="100"/>
      <c r="D227" s="100"/>
      <c r="E227" s="100" t="s">
        <v>3581</v>
      </c>
      <c r="F227" s="123" t="s">
        <v>261</v>
      </c>
      <c r="G227" s="206"/>
      <c r="H227" s="935" t="str">
        <f t="shared" ref="H227:AH227" si="42">H226/H225-1</f>
        <v>#DIV/0!</v>
      </c>
      <c r="I227" s="935" t="str">
        <f t="shared" si="42"/>
        <v>#DIV/0!</v>
      </c>
      <c r="J227" s="935" t="str">
        <f t="shared" si="42"/>
        <v>#DIV/0!</v>
      </c>
      <c r="K227" s="935" t="str">
        <f t="shared" si="42"/>
        <v>#DIV/0!</v>
      </c>
      <c r="L227" s="935" t="str">
        <f t="shared" si="42"/>
        <v>#DIV/0!</v>
      </c>
      <c r="M227" s="935" t="str">
        <f t="shared" si="42"/>
        <v>#DIV/0!</v>
      </c>
      <c r="N227" s="935" t="str">
        <f t="shared" si="42"/>
        <v>#DIV/0!</v>
      </c>
      <c r="O227" s="935" t="str">
        <f t="shared" si="42"/>
        <v>#DIV/0!</v>
      </c>
      <c r="P227" s="935" t="str">
        <f t="shared" si="42"/>
        <v>#DIV/0!</v>
      </c>
      <c r="Q227" s="935" t="str">
        <f t="shared" si="42"/>
        <v>#DIV/0!</v>
      </c>
      <c r="R227" s="935">
        <f t="shared" si="42"/>
        <v>-0.0000007004145053</v>
      </c>
      <c r="S227" s="935">
        <f t="shared" si="42"/>
        <v>0</v>
      </c>
      <c r="T227" s="935">
        <f t="shared" si="42"/>
        <v>-0.0000007365733723</v>
      </c>
      <c r="U227" s="935">
        <f t="shared" si="42"/>
        <v>0.000000708895576</v>
      </c>
      <c r="V227" s="935">
        <f t="shared" si="42"/>
        <v>0</v>
      </c>
      <c r="W227" s="935">
        <f t="shared" si="42"/>
        <v>0.3834643879</v>
      </c>
      <c r="X227" s="935">
        <f t="shared" si="42"/>
        <v>-0.01585829122</v>
      </c>
      <c r="Y227" s="935">
        <f t="shared" si="42"/>
        <v>-0.008721450154</v>
      </c>
      <c r="Z227" s="935">
        <f t="shared" si="42"/>
        <v>-0.009983503354</v>
      </c>
      <c r="AA227" s="935">
        <f t="shared" si="42"/>
        <v>0.3841007088</v>
      </c>
      <c r="AB227" s="935">
        <f t="shared" si="42"/>
        <v>0.3830535325</v>
      </c>
      <c r="AC227" s="935">
        <f t="shared" si="42"/>
        <v>0.4505194651</v>
      </c>
      <c r="AD227" s="935">
        <f t="shared" si="42"/>
        <v>0.4433991963</v>
      </c>
      <c r="AE227" s="935">
        <f t="shared" si="42"/>
        <v>0.3250216589</v>
      </c>
      <c r="AF227" s="935">
        <f t="shared" si="42"/>
        <v>0.3681916356</v>
      </c>
      <c r="AG227" s="935">
        <f t="shared" si="42"/>
        <v>0.3390559887</v>
      </c>
      <c r="AH227" s="935">
        <f t="shared" si="42"/>
        <v>0.3629622455</v>
      </c>
      <c r="AI227" s="100"/>
      <c r="AJ227" s="100"/>
      <c r="AK227" s="100"/>
      <c r="AL227" s="100"/>
      <c r="AM227" s="100"/>
      <c r="AN227" s="100"/>
      <c r="AO227" s="100"/>
    </row>
    <row r="228" ht="14.25" customHeight="1">
      <c r="A228" s="863" t="s">
        <v>34</v>
      </c>
      <c r="B228" s="100"/>
      <c r="C228" s="100"/>
      <c r="D228" s="100"/>
      <c r="E228" s="100"/>
      <c r="F228" s="206"/>
      <c r="G228" s="206"/>
      <c r="H228" s="208"/>
      <c r="I228" s="208"/>
      <c r="J228" s="208"/>
      <c r="K228" s="208"/>
      <c r="L228" s="208"/>
      <c r="M228" s="208"/>
      <c r="N228" s="208"/>
      <c r="O228" s="208"/>
      <c r="P228" s="208"/>
      <c r="Q228" s="208"/>
      <c r="R228" s="208"/>
      <c r="S228" s="208"/>
      <c r="T228" s="208"/>
      <c r="U228" s="208"/>
      <c r="V228" s="208"/>
      <c r="W228" s="208"/>
      <c r="X228" s="208"/>
      <c r="Y228" s="208"/>
      <c r="Z228" s="208"/>
      <c r="AA228" s="208"/>
      <c r="AB228" s="208"/>
      <c r="AC228" s="208"/>
      <c r="AD228" s="208"/>
      <c r="AE228" s="208"/>
      <c r="AF228" s="208"/>
      <c r="AG228" s="208"/>
      <c r="AH228" s="208"/>
      <c r="AI228" s="100"/>
      <c r="AJ228" s="100"/>
      <c r="AK228" s="100"/>
      <c r="AL228" s="100"/>
      <c r="AM228" s="100"/>
      <c r="AN228" s="100"/>
      <c r="AO228" s="100"/>
    </row>
    <row r="229" ht="14.25" hidden="1" customHeight="1">
      <c r="A229" s="195"/>
      <c r="B229" s="100"/>
      <c r="C229" s="100"/>
      <c r="D229" s="100"/>
      <c r="E229" s="100" t="s">
        <v>3584</v>
      </c>
      <c r="F229" s="249" t="s">
        <v>135</v>
      </c>
      <c r="G229" s="206"/>
      <c r="H229" s="274">
        <f t="shared" ref="H229:AH229" si="43">H200-H206-H212-H218-H224</f>
        <v>-1579.787791</v>
      </c>
      <c r="I229" s="274">
        <f t="shared" si="43"/>
        <v>-1579.787791</v>
      </c>
      <c r="J229" s="274">
        <f t="shared" si="43"/>
        <v>-1579.787791</v>
      </c>
      <c r="K229" s="274">
        <f t="shared" si="43"/>
        <v>-1579.787791</v>
      </c>
      <c r="L229" s="274">
        <f t="shared" si="43"/>
        <v>-1579.787791</v>
      </c>
      <c r="M229" s="274">
        <f t="shared" si="43"/>
        <v>-1579.787791</v>
      </c>
      <c r="N229" s="274">
        <f t="shared" si="43"/>
        <v>-1579.787791</v>
      </c>
      <c r="O229" s="274">
        <f t="shared" si="43"/>
        <v>-1579.787791</v>
      </c>
      <c r="P229" s="274">
        <f t="shared" si="43"/>
        <v>-1579.787791</v>
      </c>
      <c r="Q229" s="274">
        <f t="shared" si="43"/>
        <v>-1579.787791</v>
      </c>
      <c r="R229" s="274">
        <f t="shared" si="43"/>
        <v>-1579.787791</v>
      </c>
      <c r="S229" s="274">
        <f t="shared" si="43"/>
        <v>-1579.787791</v>
      </c>
      <c r="T229" s="274">
        <f t="shared" si="43"/>
        <v>-1579.787791</v>
      </c>
      <c r="U229" s="274">
        <f t="shared" si="43"/>
        <v>-1579.787791</v>
      </c>
      <c r="V229" s="274">
        <f t="shared" si="43"/>
        <v>-1579.787791</v>
      </c>
      <c r="W229" s="274">
        <f t="shared" si="43"/>
        <v>61.0575778</v>
      </c>
      <c r="X229" s="274">
        <f t="shared" si="43"/>
        <v>9.011545</v>
      </c>
      <c r="Y229" s="274">
        <f t="shared" si="43"/>
        <v>8.6510832</v>
      </c>
      <c r="Z229" s="274">
        <f t="shared" si="43"/>
        <v>-1579.787791</v>
      </c>
      <c r="AA229" s="274">
        <f t="shared" si="43"/>
        <v>-1579.787791</v>
      </c>
      <c r="AB229" s="274">
        <f t="shared" si="43"/>
        <v>-1579.787791</v>
      </c>
      <c r="AC229" s="274">
        <f t="shared" si="43"/>
        <v>-1579.787791</v>
      </c>
      <c r="AD229" s="274">
        <f t="shared" si="43"/>
        <v>-1579.787791</v>
      </c>
      <c r="AE229" s="274">
        <f t="shared" si="43"/>
        <v>-1579.787791</v>
      </c>
      <c r="AF229" s="274">
        <f t="shared" si="43"/>
        <v>-1579.787791</v>
      </c>
      <c r="AG229" s="274">
        <f t="shared" si="43"/>
        <v>-1579.787791</v>
      </c>
      <c r="AH229" s="274">
        <f t="shared" si="43"/>
        <v>-1579.787791</v>
      </c>
      <c r="AI229" s="100"/>
      <c r="AJ229" s="100"/>
      <c r="AK229" s="100"/>
      <c r="AL229" s="100"/>
      <c r="AM229" s="100"/>
      <c r="AN229" s="100"/>
      <c r="AO229" s="100"/>
    </row>
    <row r="230" ht="14.25" customHeight="1">
      <c r="A230" s="195"/>
      <c r="B230" s="100"/>
      <c r="C230" s="100"/>
      <c r="D230" s="100"/>
      <c r="E230" s="100" t="s">
        <v>3586</v>
      </c>
      <c r="F230" s="123" t="s">
        <v>135</v>
      </c>
      <c r="G230" s="206"/>
      <c r="H230" s="274">
        <f>toccfagr</f>
        <v>11.4323</v>
      </c>
      <c r="I230" s="274">
        <f>toccfagr</f>
        <v>11.0499</v>
      </c>
      <c r="J230" s="274">
        <f>toccfagr</f>
        <v>9.5796</v>
      </c>
      <c r="K230" s="274">
        <f>toccfagr</f>
        <v>11.8033</v>
      </c>
      <c r="L230" s="274">
        <f>toccfagr</f>
        <v>12.0355</v>
      </c>
      <c r="M230" s="274">
        <f>toccfagr</f>
        <v>11.6332</v>
      </c>
      <c r="N230" s="274">
        <f>toccfagr</f>
        <v>10.2346</v>
      </c>
      <c r="O230" s="274">
        <f>toccfagr</f>
        <v>9.0146</v>
      </c>
      <c r="P230" s="274">
        <f>toccfagr</f>
        <v>9.287</v>
      </c>
      <c r="Q230" s="274">
        <f>toccfagr</f>
        <v>8.5477</v>
      </c>
      <c r="R230" s="274">
        <f>toccfagr</f>
        <v>8.7309</v>
      </c>
      <c r="S230" s="274">
        <f>toccfagr</f>
        <v>7.9244</v>
      </c>
      <c r="T230" s="274">
        <f>toccfagr</f>
        <v>8.0782</v>
      </c>
      <c r="U230" s="274">
        <f>toccfagr</f>
        <v>9.5158</v>
      </c>
      <c r="V230" s="274">
        <f>toccfagr</f>
        <v>8.2184</v>
      </c>
      <c r="W230" s="274">
        <f>toccfagr</f>
        <v>8.3258</v>
      </c>
      <c r="X230" s="274">
        <f>toccfagr</f>
        <v>8.9447</v>
      </c>
      <c r="Y230" s="274">
        <f>toccfagr</f>
        <v>9.161</v>
      </c>
      <c r="Z230" s="274" t="str">
        <f>toccfagr</f>
        <v/>
      </c>
      <c r="AA230" s="274" t="str">
        <f>toccfagr</f>
        <v/>
      </c>
      <c r="AB230" s="274" t="str">
        <f>toccfagr</f>
        <v/>
      </c>
      <c r="AC230" s="274" t="str">
        <f>toccfagr</f>
        <v/>
      </c>
      <c r="AD230" s="274" t="str">
        <f>toccfagr</f>
        <v/>
      </c>
      <c r="AE230" s="274" t="str">
        <f>toccfagr</f>
        <v/>
      </c>
      <c r="AF230" s="274" t="str">
        <f>toccfagr</f>
        <v/>
      </c>
      <c r="AG230" s="274" t="str">
        <f>toccfagr</f>
        <v/>
      </c>
      <c r="AH230" s="274" t="str">
        <f>toccfagr</f>
        <v/>
      </c>
      <c r="AI230" s="100"/>
      <c r="AJ230" s="100"/>
      <c r="AK230" s="100"/>
      <c r="AL230" s="100"/>
      <c r="AM230" s="100"/>
      <c r="AN230" s="100"/>
      <c r="AO230" s="100"/>
    </row>
    <row r="231" ht="14.25" customHeight="1">
      <c r="A231" s="195"/>
      <c r="B231" s="100"/>
      <c r="C231" s="100"/>
      <c r="D231" s="100"/>
      <c r="E231" s="100" t="s">
        <v>811</v>
      </c>
      <c r="F231" s="123" t="s">
        <v>135</v>
      </c>
      <c r="G231" s="206"/>
      <c r="H231" s="274">
        <f t="shared" ref="H231:AH231" si="44">H149</f>
        <v>0</v>
      </c>
      <c r="I231" s="274">
        <f t="shared" si="44"/>
        <v>0</v>
      </c>
      <c r="J231" s="274">
        <f t="shared" si="44"/>
        <v>0</v>
      </c>
      <c r="K231" s="274">
        <f t="shared" si="44"/>
        <v>0</v>
      </c>
      <c r="L231" s="274">
        <f t="shared" si="44"/>
        <v>0</v>
      </c>
      <c r="M231" s="274">
        <f t="shared" si="44"/>
        <v>0</v>
      </c>
      <c r="N231" s="274">
        <f t="shared" si="44"/>
        <v>0</v>
      </c>
      <c r="O231" s="274">
        <f t="shared" si="44"/>
        <v>0</v>
      </c>
      <c r="P231" s="274">
        <f t="shared" si="44"/>
        <v>0</v>
      </c>
      <c r="Q231" s="274">
        <f t="shared" si="44"/>
        <v>0</v>
      </c>
      <c r="R231" s="274">
        <f t="shared" si="44"/>
        <v>0</v>
      </c>
      <c r="S231" s="274">
        <f t="shared" si="44"/>
        <v>0</v>
      </c>
      <c r="T231" s="274">
        <f t="shared" si="44"/>
        <v>0</v>
      </c>
      <c r="U231" s="274">
        <f t="shared" si="44"/>
        <v>0</v>
      </c>
      <c r="V231" s="274">
        <f t="shared" si="44"/>
        <v>0</v>
      </c>
      <c r="W231" s="274">
        <f t="shared" si="44"/>
        <v>8.307873</v>
      </c>
      <c r="X231" s="274">
        <f t="shared" si="44"/>
        <v>0</v>
      </c>
      <c r="Y231" s="274">
        <f t="shared" si="44"/>
        <v>0</v>
      </c>
      <c r="Z231" s="274">
        <f t="shared" si="44"/>
        <v>0</v>
      </c>
      <c r="AA231" s="274">
        <f t="shared" si="44"/>
        <v>0</v>
      </c>
      <c r="AB231" s="274">
        <f t="shared" si="44"/>
        <v>8.113328151</v>
      </c>
      <c r="AC231" s="274">
        <f t="shared" si="44"/>
        <v>7.441136309</v>
      </c>
      <c r="AD231" s="274">
        <f t="shared" si="44"/>
        <v>6.768944467</v>
      </c>
      <c r="AE231" s="274">
        <f t="shared" si="44"/>
        <v>6.096752625</v>
      </c>
      <c r="AF231" s="274">
        <f t="shared" si="44"/>
        <v>5.424560783</v>
      </c>
      <c r="AG231" s="274">
        <f t="shared" si="44"/>
        <v>4.752368942</v>
      </c>
      <c r="AH231" s="274">
        <f t="shared" si="44"/>
        <v>4.0801771</v>
      </c>
      <c r="AI231" s="100"/>
      <c r="AJ231" s="100"/>
      <c r="AK231" s="100"/>
      <c r="AL231" s="100"/>
      <c r="AM231" s="100"/>
      <c r="AN231" s="100"/>
      <c r="AO231" s="100"/>
    </row>
    <row r="232" ht="14.25" customHeight="1">
      <c r="A232" s="195"/>
      <c r="B232" s="100"/>
      <c r="C232" s="100"/>
      <c r="D232" s="100"/>
      <c r="E232" s="100" t="s">
        <v>3581</v>
      </c>
      <c r="F232" s="123" t="s">
        <v>261</v>
      </c>
      <c r="G232" s="206"/>
      <c r="H232" s="935">
        <f t="shared" ref="H232:AH232" si="45">H231/H230-1</f>
        <v>-1</v>
      </c>
      <c r="I232" s="935">
        <f t="shared" si="45"/>
        <v>-1</v>
      </c>
      <c r="J232" s="935">
        <f t="shared" si="45"/>
        <v>-1</v>
      </c>
      <c r="K232" s="935">
        <f t="shared" si="45"/>
        <v>-1</v>
      </c>
      <c r="L232" s="935">
        <f t="shared" si="45"/>
        <v>-1</v>
      </c>
      <c r="M232" s="935">
        <f t="shared" si="45"/>
        <v>-1</v>
      </c>
      <c r="N232" s="935">
        <f t="shared" si="45"/>
        <v>-1</v>
      </c>
      <c r="O232" s="935">
        <f t="shared" si="45"/>
        <v>-1</v>
      </c>
      <c r="P232" s="935">
        <f t="shared" si="45"/>
        <v>-1</v>
      </c>
      <c r="Q232" s="935">
        <f t="shared" si="45"/>
        <v>-1</v>
      </c>
      <c r="R232" s="935">
        <f t="shared" si="45"/>
        <v>-1</v>
      </c>
      <c r="S232" s="935">
        <f t="shared" si="45"/>
        <v>-1</v>
      </c>
      <c r="T232" s="935">
        <f t="shared" si="45"/>
        <v>-1</v>
      </c>
      <c r="U232" s="935">
        <f t="shared" si="45"/>
        <v>-1</v>
      </c>
      <c r="V232" s="935">
        <f t="shared" si="45"/>
        <v>-1</v>
      </c>
      <c r="W232" s="935">
        <f t="shared" si="45"/>
        <v>-0.002153186481</v>
      </c>
      <c r="X232" s="935">
        <f t="shared" si="45"/>
        <v>-1</v>
      </c>
      <c r="Y232" s="935">
        <f t="shared" si="45"/>
        <v>-1</v>
      </c>
      <c r="Z232" s="935" t="str">
        <f t="shared" si="45"/>
        <v>#DIV/0!</v>
      </c>
      <c r="AA232" s="935" t="str">
        <f t="shared" si="45"/>
        <v>#DIV/0!</v>
      </c>
      <c r="AB232" s="935" t="str">
        <f t="shared" si="45"/>
        <v>#DIV/0!</v>
      </c>
      <c r="AC232" s="935" t="str">
        <f t="shared" si="45"/>
        <v>#DIV/0!</v>
      </c>
      <c r="AD232" s="935" t="str">
        <f t="shared" si="45"/>
        <v>#DIV/0!</v>
      </c>
      <c r="AE232" s="935" t="str">
        <f t="shared" si="45"/>
        <v>#DIV/0!</v>
      </c>
      <c r="AF232" s="935" t="str">
        <f t="shared" si="45"/>
        <v>#DIV/0!</v>
      </c>
      <c r="AG232" s="935" t="str">
        <f t="shared" si="45"/>
        <v>#DIV/0!</v>
      </c>
      <c r="AH232" s="935" t="str">
        <f t="shared" si="45"/>
        <v>#DIV/0!</v>
      </c>
      <c r="AI232" s="100"/>
      <c r="AJ232" s="100"/>
      <c r="AK232" s="100"/>
      <c r="AL232" s="100"/>
      <c r="AM232" s="100"/>
      <c r="AN232" s="100"/>
      <c r="AO232" s="100"/>
    </row>
    <row r="233" ht="14.25" customHeight="1">
      <c r="A233" s="195"/>
      <c r="B233" s="100"/>
      <c r="C233" s="100"/>
      <c r="D233" s="100"/>
      <c r="E233" s="100"/>
      <c r="F233" s="206"/>
      <c r="G233" s="206"/>
      <c r="H233" s="207"/>
      <c r="I233" s="207"/>
      <c r="J233" s="207"/>
      <c r="K233" s="207"/>
      <c r="L233" s="207"/>
      <c r="M233" s="207"/>
      <c r="N233" s="207"/>
      <c r="O233" s="207"/>
      <c r="P233" s="207"/>
      <c r="Q233" s="207"/>
      <c r="R233" s="207"/>
      <c r="S233" s="207"/>
      <c r="T233" s="207"/>
      <c r="U233" s="207"/>
      <c r="V233" s="207"/>
      <c r="W233" s="208"/>
      <c r="X233" s="208"/>
      <c r="Y233" s="208"/>
      <c r="Z233" s="208"/>
      <c r="AA233" s="208"/>
      <c r="AB233" s="208"/>
      <c r="AC233" s="208"/>
      <c r="AD233" s="208"/>
      <c r="AE233" s="208"/>
      <c r="AF233" s="208"/>
      <c r="AG233" s="208"/>
      <c r="AH233" s="208"/>
      <c r="AI233" s="100"/>
      <c r="AJ233" s="100"/>
      <c r="AK233" s="100"/>
      <c r="AL233" s="100"/>
      <c r="AM233" s="100"/>
      <c r="AN233" s="100"/>
      <c r="AO233" s="100"/>
    </row>
    <row r="234" ht="21.75" customHeight="1">
      <c r="A234" s="928" t="s">
        <v>3587</v>
      </c>
      <c r="B234" s="929"/>
      <c r="C234" s="929"/>
      <c r="D234" s="929"/>
      <c r="E234" s="929"/>
      <c r="F234" s="929"/>
      <c r="G234" s="929"/>
      <c r="H234" s="930"/>
      <c r="I234" s="930"/>
      <c r="J234" s="930"/>
      <c r="K234" s="930"/>
      <c r="L234" s="930"/>
      <c r="M234" s="930"/>
      <c r="N234" s="930"/>
      <c r="O234" s="930"/>
      <c r="P234" s="930"/>
      <c r="Q234" s="930"/>
      <c r="R234" s="930"/>
      <c r="S234" s="930"/>
      <c r="T234" s="930"/>
      <c r="U234" s="930"/>
      <c r="V234" s="930"/>
      <c r="W234" s="931"/>
      <c r="X234" s="931"/>
      <c r="Y234" s="931"/>
      <c r="Z234" s="931"/>
      <c r="AA234" s="931"/>
      <c r="AB234" s="931"/>
      <c r="AC234" s="931"/>
      <c r="AD234" s="931"/>
      <c r="AE234" s="931"/>
      <c r="AF234" s="931"/>
      <c r="AG234" s="931"/>
      <c r="AH234" s="931"/>
      <c r="AI234" s="932"/>
      <c r="AJ234" s="933"/>
      <c r="AK234" s="933"/>
      <c r="AL234" s="933"/>
      <c r="AM234" s="933"/>
      <c r="AN234" s="934"/>
      <c r="AO234" s="934"/>
    </row>
    <row r="235" ht="14.25" customHeight="1">
      <c r="A235" s="195"/>
      <c r="B235" s="100"/>
      <c r="C235" s="100"/>
      <c r="D235" s="100"/>
      <c r="E235" s="100"/>
      <c r="F235" s="206"/>
      <c r="G235" s="206"/>
      <c r="H235" s="207"/>
      <c r="I235" s="207"/>
      <c r="J235" s="207"/>
      <c r="K235" s="207"/>
      <c r="L235" s="207"/>
      <c r="M235" s="207"/>
      <c r="N235" s="207"/>
      <c r="O235" s="207"/>
      <c r="P235" s="207"/>
      <c r="Q235" s="207"/>
      <c r="R235" s="207"/>
      <c r="S235" s="207"/>
      <c r="T235" s="207"/>
      <c r="U235" s="207"/>
      <c r="V235" s="207"/>
      <c r="W235" s="208"/>
      <c r="X235" s="208"/>
      <c r="Y235" s="208"/>
      <c r="Z235" s="208"/>
      <c r="AA235" s="208"/>
      <c r="AB235" s="208"/>
      <c r="AC235" s="208"/>
      <c r="AD235" s="208"/>
      <c r="AE235" s="208"/>
      <c r="AF235" s="208"/>
      <c r="AG235" s="208"/>
      <c r="AH235" s="208"/>
      <c r="AI235" s="100"/>
      <c r="AJ235" s="100"/>
      <c r="AK235" s="100"/>
      <c r="AL235" s="100"/>
      <c r="AM235" s="100"/>
      <c r="AN235" s="100"/>
      <c r="AO235" s="100"/>
    </row>
    <row r="236" ht="14.25" customHeight="1">
      <c r="A236" s="195"/>
      <c r="B236" s="100"/>
      <c r="C236" s="100"/>
      <c r="D236" s="100"/>
      <c r="E236" s="100"/>
      <c r="F236" s="206"/>
      <c r="G236" s="206"/>
      <c r="H236" s="207"/>
      <c r="I236" s="207"/>
      <c r="J236" s="207"/>
      <c r="K236" s="207"/>
      <c r="L236" s="207"/>
      <c r="M236" s="207"/>
      <c r="N236" s="207"/>
      <c r="O236" s="207"/>
      <c r="P236" s="207"/>
      <c r="Q236" s="207"/>
      <c r="R236" s="207"/>
      <c r="S236" s="207"/>
      <c r="T236" s="207"/>
      <c r="U236" s="207"/>
      <c r="V236" s="207"/>
      <c r="W236" s="208"/>
      <c r="X236" s="208"/>
      <c r="Y236" s="208"/>
      <c r="Z236" s="208"/>
      <c r="AA236" s="208"/>
      <c r="AB236" s="208"/>
      <c r="AC236" s="208"/>
      <c r="AD236" s="208"/>
      <c r="AE236" s="208"/>
      <c r="AF236" s="208"/>
      <c r="AG236" s="208"/>
      <c r="AH236" s="208"/>
      <c r="AI236" s="100"/>
      <c r="AJ236" s="100"/>
      <c r="AK236" s="100"/>
      <c r="AL236" s="100"/>
      <c r="AM236" s="100"/>
      <c r="AN236" s="100"/>
      <c r="AO236" s="100"/>
    </row>
    <row r="237" ht="14.25" customHeight="1">
      <c r="A237" s="195"/>
      <c r="B237" s="100"/>
      <c r="C237" s="100"/>
      <c r="D237" s="100"/>
      <c r="E237" s="100"/>
      <c r="F237" s="206"/>
      <c r="G237" s="206"/>
      <c r="H237" s="207"/>
      <c r="I237" s="207"/>
      <c r="J237" s="207"/>
      <c r="K237" s="207"/>
      <c r="L237" s="207"/>
      <c r="M237" s="207"/>
      <c r="N237" s="207"/>
      <c r="O237" s="207"/>
      <c r="P237" s="207"/>
      <c r="Q237" s="207"/>
      <c r="R237" s="207"/>
      <c r="S237" s="207"/>
      <c r="T237" s="207"/>
      <c r="U237" s="207"/>
      <c r="V237" s="207"/>
      <c r="W237" s="208"/>
      <c r="X237" s="208"/>
      <c r="Y237" s="208"/>
      <c r="Z237" s="208"/>
      <c r="AA237" s="208"/>
      <c r="AB237" s="208"/>
      <c r="AC237" s="208"/>
      <c r="AD237" s="208"/>
      <c r="AE237" s="208"/>
      <c r="AF237" s="208"/>
      <c r="AG237" s="208"/>
      <c r="AH237" s="208"/>
      <c r="AI237" s="100"/>
      <c r="AJ237" s="100"/>
      <c r="AK237" s="100"/>
      <c r="AL237" s="100"/>
      <c r="AM237" s="100"/>
      <c r="AN237" s="100"/>
      <c r="AO237" s="100"/>
    </row>
    <row r="238" ht="14.25" customHeight="1">
      <c r="A238" s="195"/>
      <c r="B238" s="100"/>
      <c r="C238" s="100"/>
      <c r="D238" s="100"/>
      <c r="E238" s="100"/>
      <c r="F238" s="206"/>
      <c r="G238" s="206"/>
      <c r="H238" s="207"/>
      <c r="I238" s="207"/>
      <c r="J238" s="207"/>
      <c r="K238" s="207"/>
      <c r="L238" s="207"/>
      <c r="M238" s="207"/>
      <c r="N238" s="207"/>
      <c r="O238" s="207"/>
      <c r="P238" s="207"/>
      <c r="Q238" s="207"/>
      <c r="R238" s="207"/>
      <c r="S238" s="207"/>
      <c r="T238" s="207"/>
      <c r="U238" s="207"/>
      <c r="V238" s="207"/>
      <c r="W238" s="208"/>
      <c r="X238" s="208"/>
      <c r="Y238" s="208"/>
      <c r="Z238" s="208"/>
      <c r="AA238" s="208"/>
      <c r="AB238" s="208"/>
      <c r="AC238" s="208"/>
      <c r="AD238" s="208"/>
      <c r="AE238" s="208"/>
      <c r="AF238" s="208"/>
      <c r="AG238" s="208"/>
      <c r="AH238" s="208"/>
      <c r="AI238" s="100"/>
      <c r="AJ238" s="100"/>
      <c r="AK238" s="100"/>
      <c r="AL238" s="100"/>
      <c r="AM238" s="100"/>
      <c r="AN238" s="100"/>
      <c r="AO238" s="100"/>
    </row>
    <row r="239" ht="14.25" customHeight="1">
      <c r="A239" s="195"/>
      <c r="B239" s="100"/>
      <c r="C239" s="100"/>
      <c r="D239" s="100"/>
      <c r="E239" s="100"/>
      <c r="F239" s="206"/>
      <c r="G239" s="206"/>
      <c r="H239" s="207"/>
      <c r="I239" s="207"/>
      <c r="J239" s="207"/>
      <c r="K239" s="207"/>
      <c r="L239" s="207"/>
      <c r="M239" s="207"/>
      <c r="N239" s="207"/>
      <c r="O239" s="207"/>
      <c r="P239" s="207"/>
      <c r="Q239" s="207"/>
      <c r="R239" s="207"/>
      <c r="S239" s="207"/>
      <c r="T239" s="207"/>
      <c r="U239" s="207"/>
      <c r="V239" s="207"/>
      <c r="W239" s="208"/>
      <c r="X239" s="208"/>
      <c r="Y239" s="208"/>
      <c r="Z239" s="208"/>
      <c r="AA239" s="208"/>
      <c r="AB239" s="208"/>
      <c r="AC239" s="208"/>
      <c r="AD239" s="208"/>
      <c r="AE239" s="208"/>
      <c r="AF239" s="208"/>
      <c r="AG239" s="208"/>
      <c r="AH239" s="208"/>
      <c r="AI239" s="100"/>
      <c r="AJ239" s="100"/>
      <c r="AK239" s="100"/>
      <c r="AL239" s="100"/>
      <c r="AM239" s="100"/>
      <c r="AN239" s="100"/>
      <c r="AO239" s="100"/>
    </row>
    <row r="240" ht="14.25" customHeight="1">
      <c r="A240" s="195"/>
      <c r="B240" s="100"/>
      <c r="C240" s="100"/>
      <c r="D240" s="100"/>
      <c r="E240" s="100"/>
      <c r="F240" s="206"/>
      <c r="G240" s="206"/>
      <c r="H240" s="207"/>
      <c r="I240" s="207"/>
      <c r="J240" s="207"/>
      <c r="K240" s="207"/>
      <c r="L240" s="207"/>
      <c r="M240" s="207"/>
      <c r="N240" s="207"/>
      <c r="O240" s="207"/>
      <c r="P240" s="207"/>
      <c r="Q240" s="207"/>
      <c r="R240" s="207"/>
      <c r="S240" s="207"/>
      <c r="T240" s="207"/>
      <c r="U240" s="207"/>
      <c r="V240" s="207"/>
      <c r="W240" s="208"/>
      <c r="X240" s="208"/>
      <c r="Y240" s="208"/>
      <c r="Z240" s="208"/>
      <c r="AA240" s="208"/>
      <c r="AB240" s="208"/>
      <c r="AC240" s="208"/>
      <c r="AD240" s="208"/>
      <c r="AE240" s="208"/>
      <c r="AF240" s="208"/>
      <c r="AG240" s="208"/>
      <c r="AH240" s="208"/>
      <c r="AI240" s="100"/>
      <c r="AJ240" s="100"/>
      <c r="AK240" s="100"/>
      <c r="AL240" s="100"/>
      <c r="AM240" s="100"/>
      <c r="AN240" s="100"/>
      <c r="AO240" s="100"/>
    </row>
    <row r="241" ht="14.25" customHeight="1">
      <c r="A241" s="195"/>
      <c r="B241" s="100"/>
      <c r="C241" s="100"/>
      <c r="D241" s="100"/>
      <c r="E241" s="100"/>
      <c r="F241" s="206"/>
      <c r="G241" s="206"/>
      <c r="H241" s="207"/>
      <c r="I241" s="207"/>
      <c r="J241" s="207"/>
      <c r="K241" s="207"/>
      <c r="L241" s="207"/>
      <c r="M241" s="207"/>
      <c r="N241" s="207"/>
      <c r="O241" s="207"/>
      <c r="P241" s="207"/>
      <c r="Q241" s="207"/>
      <c r="R241" s="207"/>
      <c r="S241" s="207"/>
      <c r="T241" s="207"/>
      <c r="U241" s="207"/>
      <c r="V241" s="207"/>
      <c r="W241" s="208"/>
      <c r="X241" s="208"/>
      <c r="Y241" s="208"/>
      <c r="Z241" s="208"/>
      <c r="AA241" s="208"/>
      <c r="AB241" s="208"/>
      <c r="AC241" s="208"/>
      <c r="AD241" s="208"/>
      <c r="AE241" s="208"/>
      <c r="AF241" s="208"/>
      <c r="AG241" s="208"/>
      <c r="AH241" s="208"/>
      <c r="AI241" s="100"/>
      <c r="AJ241" s="100"/>
      <c r="AK241" s="100"/>
      <c r="AL241" s="100"/>
      <c r="AM241" s="100"/>
      <c r="AN241" s="100"/>
      <c r="AO241" s="100"/>
    </row>
    <row r="242" ht="14.25" customHeight="1">
      <c r="A242" s="195"/>
      <c r="B242" s="100"/>
      <c r="C242" s="100"/>
      <c r="D242" s="100"/>
      <c r="E242" s="100"/>
      <c r="F242" s="206"/>
      <c r="G242" s="206"/>
      <c r="H242" s="207"/>
      <c r="I242" s="207"/>
      <c r="J242" s="207"/>
      <c r="K242" s="207"/>
      <c r="L242" s="207"/>
      <c r="M242" s="207"/>
      <c r="N242" s="207"/>
      <c r="O242" s="207"/>
      <c r="P242" s="207"/>
      <c r="Q242" s="207"/>
      <c r="R242" s="207"/>
      <c r="S242" s="207"/>
      <c r="T242" s="207"/>
      <c r="U242" s="207"/>
      <c r="V242" s="207"/>
      <c r="W242" s="208"/>
      <c r="X242" s="208"/>
      <c r="Y242" s="208"/>
      <c r="Z242" s="208"/>
      <c r="AA242" s="208"/>
      <c r="AB242" s="208"/>
      <c r="AC242" s="208"/>
      <c r="AD242" s="208"/>
      <c r="AE242" s="208"/>
      <c r="AF242" s="208"/>
      <c r="AG242" s="208"/>
      <c r="AH242" s="208"/>
      <c r="AI242" s="100"/>
      <c r="AJ242" s="100"/>
      <c r="AK242" s="100"/>
      <c r="AL242" s="100"/>
      <c r="AM242" s="100"/>
      <c r="AN242" s="100"/>
      <c r="AO242" s="100"/>
    </row>
    <row r="243" ht="14.25" customHeight="1">
      <c r="A243" s="195"/>
      <c r="B243" s="100"/>
      <c r="C243" s="100"/>
      <c r="D243" s="100"/>
      <c r="E243" s="100"/>
      <c r="F243" s="206"/>
      <c r="G243" s="206"/>
      <c r="H243" s="207"/>
      <c r="I243" s="207"/>
      <c r="J243" s="207"/>
      <c r="K243" s="207"/>
      <c r="L243" s="207"/>
      <c r="M243" s="207"/>
      <c r="N243" s="207"/>
      <c r="O243" s="207"/>
      <c r="P243" s="207"/>
      <c r="Q243" s="207"/>
      <c r="R243" s="207"/>
      <c r="S243" s="207"/>
      <c r="T243" s="207"/>
      <c r="U243" s="207"/>
      <c r="V243" s="207"/>
      <c r="W243" s="208"/>
      <c r="X243" s="208"/>
      <c r="Y243" s="208"/>
      <c r="Z243" s="208"/>
      <c r="AA243" s="208"/>
      <c r="AB243" s="208"/>
      <c r="AC243" s="208"/>
      <c r="AD243" s="208"/>
      <c r="AE243" s="208"/>
      <c r="AF243" s="208"/>
      <c r="AG243" s="208"/>
      <c r="AH243" s="208"/>
      <c r="AI243" s="100"/>
      <c r="AJ243" s="100"/>
      <c r="AK243" s="100"/>
      <c r="AL243" s="100"/>
      <c r="AM243" s="100"/>
      <c r="AN243" s="100"/>
      <c r="AO243" s="100"/>
    </row>
    <row r="244" ht="14.25" customHeight="1">
      <c r="A244" s="195"/>
      <c r="B244" s="100"/>
      <c r="C244" s="100"/>
      <c r="D244" s="100"/>
      <c r="E244" s="100"/>
      <c r="F244" s="206"/>
      <c r="G244" s="206"/>
      <c r="H244" s="207"/>
      <c r="I244" s="207"/>
      <c r="J244" s="207"/>
      <c r="K244" s="207"/>
      <c r="L244" s="207"/>
      <c r="M244" s="207"/>
      <c r="N244" s="207"/>
      <c r="O244" s="207"/>
      <c r="P244" s="207"/>
      <c r="Q244" s="207"/>
      <c r="R244" s="207"/>
      <c r="S244" s="207"/>
      <c r="T244" s="207"/>
      <c r="U244" s="207"/>
      <c r="V244" s="207"/>
      <c r="W244" s="208"/>
      <c r="X244" s="208"/>
      <c r="Y244" s="208"/>
      <c r="Z244" s="208"/>
      <c r="AA244" s="208"/>
      <c r="AB244" s="208"/>
      <c r="AC244" s="208"/>
      <c r="AD244" s="208"/>
      <c r="AE244" s="208"/>
      <c r="AF244" s="208"/>
      <c r="AG244" s="208"/>
      <c r="AH244" s="208"/>
      <c r="AI244" s="100"/>
      <c r="AJ244" s="100"/>
      <c r="AK244" s="100"/>
      <c r="AL244" s="100"/>
      <c r="AM244" s="100"/>
      <c r="AN244" s="100"/>
      <c r="AO244" s="100"/>
    </row>
    <row r="245" ht="14.25" customHeight="1">
      <c r="A245" s="195"/>
      <c r="B245" s="100"/>
      <c r="C245" s="100"/>
      <c r="D245" s="100"/>
      <c r="E245" s="100"/>
      <c r="F245" s="206"/>
      <c r="G245" s="206"/>
      <c r="H245" s="207"/>
      <c r="I245" s="207"/>
      <c r="J245" s="207"/>
      <c r="K245" s="207"/>
      <c r="L245" s="207"/>
      <c r="M245" s="207"/>
      <c r="N245" s="207"/>
      <c r="O245" s="207"/>
      <c r="P245" s="207"/>
      <c r="Q245" s="207"/>
      <c r="R245" s="207"/>
      <c r="S245" s="207"/>
      <c r="T245" s="207"/>
      <c r="U245" s="207"/>
      <c r="V245" s="207"/>
      <c r="W245" s="208"/>
      <c r="X245" s="208"/>
      <c r="Y245" s="208"/>
      <c r="Z245" s="208"/>
      <c r="AA245" s="208"/>
      <c r="AB245" s="208"/>
      <c r="AC245" s="208"/>
      <c r="AD245" s="208"/>
      <c r="AE245" s="208"/>
      <c r="AF245" s="208"/>
      <c r="AG245" s="208"/>
      <c r="AH245" s="208"/>
      <c r="AI245" s="100"/>
      <c r="AJ245" s="100"/>
      <c r="AK245" s="100"/>
      <c r="AL245" s="100"/>
      <c r="AM245" s="100"/>
      <c r="AN245" s="100"/>
      <c r="AO245" s="100"/>
    </row>
    <row r="246" ht="14.25" customHeight="1">
      <c r="A246" s="195"/>
      <c r="B246" s="100"/>
      <c r="C246" s="100"/>
      <c r="D246" s="100"/>
      <c r="E246" s="100"/>
      <c r="F246" s="206"/>
      <c r="G246" s="206"/>
      <c r="H246" s="207"/>
      <c r="I246" s="207"/>
      <c r="J246" s="207"/>
      <c r="K246" s="207"/>
      <c r="L246" s="207"/>
      <c r="M246" s="207"/>
      <c r="N246" s="207"/>
      <c r="O246" s="207"/>
      <c r="P246" s="207"/>
      <c r="Q246" s="207"/>
      <c r="R246" s="207"/>
      <c r="S246" s="207"/>
      <c r="T246" s="207"/>
      <c r="U246" s="207"/>
      <c r="V246" s="207"/>
      <c r="W246" s="208"/>
      <c r="X246" s="208"/>
      <c r="Y246" s="208"/>
      <c r="Z246" s="208"/>
      <c r="AA246" s="208"/>
      <c r="AB246" s="208"/>
      <c r="AC246" s="208"/>
      <c r="AD246" s="208"/>
      <c r="AE246" s="208"/>
      <c r="AF246" s="208"/>
      <c r="AG246" s="208"/>
      <c r="AH246" s="208"/>
      <c r="AI246" s="100"/>
      <c r="AJ246" s="100"/>
      <c r="AK246" s="100"/>
      <c r="AL246" s="100"/>
      <c r="AM246" s="100"/>
      <c r="AN246" s="100"/>
      <c r="AO246" s="100"/>
    </row>
    <row r="247" ht="14.25" customHeight="1">
      <c r="A247" s="195"/>
      <c r="B247" s="100"/>
      <c r="C247" s="100"/>
      <c r="D247" s="100"/>
      <c r="E247" s="100"/>
      <c r="F247" s="206"/>
      <c r="G247" s="206"/>
      <c r="H247" s="207"/>
      <c r="I247" s="207"/>
      <c r="J247" s="207"/>
      <c r="K247" s="207"/>
      <c r="L247" s="207"/>
      <c r="M247" s="207"/>
      <c r="N247" s="207"/>
      <c r="O247" s="207"/>
      <c r="P247" s="207"/>
      <c r="Q247" s="207"/>
      <c r="R247" s="207"/>
      <c r="S247" s="207"/>
      <c r="T247" s="207"/>
      <c r="U247" s="207"/>
      <c r="V247" s="207"/>
      <c r="W247" s="208"/>
      <c r="X247" s="208"/>
      <c r="Y247" s="208"/>
      <c r="Z247" s="208"/>
      <c r="AA247" s="208"/>
      <c r="AB247" s="208"/>
      <c r="AC247" s="208"/>
      <c r="AD247" s="208"/>
      <c r="AE247" s="208"/>
      <c r="AF247" s="208"/>
      <c r="AG247" s="208"/>
      <c r="AH247" s="208"/>
      <c r="AI247" s="100"/>
      <c r="AJ247" s="100"/>
      <c r="AK247" s="100"/>
      <c r="AL247" s="100"/>
      <c r="AM247" s="100"/>
      <c r="AN247" s="100"/>
      <c r="AO247" s="100"/>
    </row>
    <row r="248" ht="14.25" customHeight="1">
      <c r="A248" s="195"/>
      <c r="B248" s="100"/>
      <c r="C248" s="100"/>
      <c r="D248" s="100"/>
      <c r="E248" s="100"/>
      <c r="F248" s="206"/>
      <c r="G248" s="206"/>
      <c r="H248" s="207"/>
      <c r="I248" s="207"/>
      <c r="J248" s="207"/>
      <c r="K248" s="207"/>
      <c r="L248" s="207"/>
      <c r="M248" s="207"/>
      <c r="N248" s="207"/>
      <c r="O248" s="207"/>
      <c r="P248" s="207"/>
      <c r="Q248" s="207"/>
      <c r="R248" s="207"/>
      <c r="S248" s="207"/>
      <c r="T248" s="207"/>
      <c r="U248" s="207"/>
      <c r="V248" s="207"/>
      <c r="W248" s="208"/>
      <c r="X248" s="208"/>
      <c r="Y248" s="208"/>
      <c r="Z248" s="208"/>
      <c r="AA248" s="208"/>
      <c r="AB248" s="208"/>
      <c r="AC248" s="208"/>
      <c r="AD248" s="208"/>
      <c r="AE248" s="208"/>
      <c r="AF248" s="208"/>
      <c r="AG248" s="208"/>
      <c r="AH248" s="208"/>
      <c r="AI248" s="100"/>
      <c r="AJ248" s="100"/>
      <c r="AK248" s="100"/>
      <c r="AL248" s="100"/>
      <c r="AM248" s="100"/>
      <c r="AN248" s="100"/>
      <c r="AO248" s="100"/>
    </row>
    <row r="249" ht="14.25" customHeight="1">
      <c r="A249" s="195"/>
      <c r="B249" s="100"/>
      <c r="C249" s="100"/>
      <c r="D249" s="100"/>
      <c r="E249" s="100"/>
      <c r="F249" s="206"/>
      <c r="G249" s="206"/>
      <c r="H249" s="207"/>
      <c r="I249" s="207"/>
      <c r="J249" s="207"/>
      <c r="K249" s="207"/>
      <c r="L249" s="207"/>
      <c r="M249" s="207"/>
      <c r="N249" s="207"/>
      <c r="O249" s="207"/>
      <c r="P249" s="207"/>
      <c r="Q249" s="207"/>
      <c r="R249" s="207"/>
      <c r="S249" s="207"/>
      <c r="T249" s="207"/>
      <c r="U249" s="207"/>
      <c r="V249" s="207"/>
      <c r="W249" s="208"/>
      <c r="X249" s="208"/>
      <c r="Y249" s="208"/>
      <c r="Z249" s="208"/>
      <c r="AA249" s="208"/>
      <c r="AB249" s="208"/>
      <c r="AC249" s="208"/>
      <c r="AD249" s="208"/>
      <c r="AE249" s="208"/>
      <c r="AF249" s="208"/>
      <c r="AG249" s="208"/>
      <c r="AH249" s="208"/>
      <c r="AI249" s="100"/>
      <c r="AJ249" s="100"/>
      <c r="AK249" s="100"/>
      <c r="AL249" s="100"/>
      <c r="AM249" s="100"/>
      <c r="AN249" s="100"/>
      <c r="AO249" s="100"/>
    </row>
    <row r="250" ht="14.25" customHeight="1">
      <c r="A250" s="195"/>
      <c r="B250" s="100"/>
      <c r="C250" s="100"/>
      <c r="D250" s="100"/>
      <c r="E250" s="100"/>
      <c r="F250" s="206"/>
      <c r="G250" s="206"/>
      <c r="H250" s="207"/>
      <c r="I250" s="207"/>
      <c r="J250" s="207"/>
      <c r="K250" s="207"/>
      <c r="L250" s="207"/>
      <c r="M250" s="207"/>
      <c r="N250" s="207"/>
      <c r="O250" s="207"/>
      <c r="P250" s="207"/>
      <c r="Q250" s="207"/>
      <c r="R250" s="207"/>
      <c r="S250" s="207"/>
      <c r="T250" s="207"/>
      <c r="U250" s="207"/>
      <c r="V250" s="207"/>
      <c r="W250" s="208"/>
      <c r="X250" s="208"/>
      <c r="Y250" s="208"/>
      <c r="Z250" s="208"/>
      <c r="AA250" s="208"/>
      <c r="AB250" s="208"/>
      <c r="AC250" s="208"/>
      <c r="AD250" s="208"/>
      <c r="AE250" s="208"/>
      <c r="AF250" s="208"/>
      <c r="AG250" s="208"/>
      <c r="AH250" s="208"/>
      <c r="AI250" s="100"/>
      <c r="AJ250" s="100"/>
      <c r="AK250" s="100"/>
      <c r="AL250" s="100"/>
      <c r="AM250" s="100"/>
      <c r="AN250" s="100"/>
      <c r="AO250" s="100"/>
    </row>
    <row r="251" ht="14.25" customHeight="1">
      <c r="A251" s="195"/>
      <c r="B251" s="100"/>
      <c r="C251" s="100"/>
      <c r="D251" s="100"/>
      <c r="E251" s="100"/>
      <c r="F251" s="206"/>
      <c r="G251" s="206"/>
      <c r="H251" s="207"/>
      <c r="I251" s="207"/>
      <c r="J251" s="207"/>
      <c r="K251" s="207"/>
      <c r="L251" s="207"/>
      <c r="M251" s="207"/>
      <c r="N251" s="207"/>
      <c r="O251" s="207"/>
      <c r="P251" s="207"/>
      <c r="Q251" s="207"/>
      <c r="R251" s="207"/>
      <c r="S251" s="207"/>
      <c r="T251" s="207"/>
      <c r="U251" s="207"/>
      <c r="V251" s="207"/>
      <c r="W251" s="208"/>
      <c r="X251" s="208"/>
      <c r="Y251" s="208"/>
      <c r="Z251" s="208"/>
      <c r="AA251" s="208"/>
      <c r="AB251" s="208"/>
      <c r="AC251" s="208"/>
      <c r="AD251" s="208"/>
      <c r="AE251" s="208"/>
      <c r="AF251" s="208"/>
      <c r="AG251" s="208"/>
      <c r="AH251" s="208"/>
      <c r="AI251" s="100"/>
      <c r="AJ251" s="100"/>
      <c r="AK251" s="100"/>
      <c r="AL251" s="100"/>
      <c r="AM251" s="100"/>
      <c r="AN251" s="100"/>
      <c r="AO251" s="100"/>
    </row>
    <row r="252" ht="14.25" customHeight="1">
      <c r="A252" s="195"/>
      <c r="B252" s="100"/>
      <c r="C252" s="100"/>
      <c r="D252" s="100"/>
      <c r="E252" s="100"/>
      <c r="F252" s="206"/>
      <c r="G252" s="206"/>
      <c r="H252" s="207"/>
      <c r="I252" s="207"/>
      <c r="J252" s="207"/>
      <c r="K252" s="207"/>
      <c r="L252" s="207"/>
      <c r="M252" s="207"/>
      <c r="N252" s="207"/>
      <c r="O252" s="207"/>
      <c r="P252" s="207"/>
      <c r="Q252" s="207"/>
      <c r="R252" s="207"/>
      <c r="S252" s="207"/>
      <c r="T252" s="207"/>
      <c r="U252" s="207"/>
      <c r="V252" s="207"/>
      <c r="W252" s="208"/>
      <c r="X252" s="208"/>
      <c r="Y252" s="208"/>
      <c r="Z252" s="208"/>
      <c r="AA252" s="208"/>
      <c r="AB252" s="208"/>
      <c r="AC252" s="208"/>
      <c r="AD252" s="208"/>
      <c r="AE252" s="208"/>
      <c r="AF252" s="208"/>
      <c r="AG252" s="208"/>
      <c r="AH252" s="208"/>
      <c r="AI252" s="100"/>
      <c r="AJ252" s="100"/>
      <c r="AK252" s="100"/>
      <c r="AL252" s="100"/>
      <c r="AM252" s="100"/>
      <c r="AN252" s="100"/>
      <c r="AO252" s="100"/>
    </row>
    <row r="253" ht="14.25" customHeight="1">
      <c r="A253" s="195"/>
      <c r="B253" s="100"/>
      <c r="C253" s="100"/>
      <c r="D253" s="100"/>
      <c r="E253" s="100"/>
      <c r="F253" s="206"/>
      <c r="G253" s="206"/>
      <c r="H253" s="207"/>
      <c r="I253" s="207"/>
      <c r="J253" s="207"/>
      <c r="K253" s="207"/>
      <c r="L253" s="207"/>
      <c r="M253" s="207"/>
      <c r="N253" s="207"/>
      <c r="O253" s="207"/>
      <c r="P253" s="207"/>
      <c r="Q253" s="207"/>
      <c r="R253" s="207"/>
      <c r="S253" s="207"/>
      <c r="T253" s="207"/>
      <c r="U253" s="207"/>
      <c r="V253" s="207"/>
      <c r="W253" s="208"/>
      <c r="X253" s="208"/>
      <c r="Y253" s="208"/>
      <c r="Z253" s="208"/>
      <c r="AA253" s="208"/>
      <c r="AB253" s="208"/>
      <c r="AC253" s="208"/>
      <c r="AD253" s="208"/>
      <c r="AE253" s="208"/>
      <c r="AF253" s="208"/>
      <c r="AG253" s="208"/>
      <c r="AH253" s="208"/>
      <c r="AI253" s="100"/>
      <c r="AJ253" s="100"/>
      <c r="AK253" s="100"/>
      <c r="AL253" s="100"/>
      <c r="AM253" s="100"/>
      <c r="AN253" s="100"/>
      <c r="AO253" s="100"/>
    </row>
    <row r="254" ht="14.25" customHeight="1">
      <c r="A254" s="195"/>
      <c r="B254" s="100"/>
      <c r="C254" s="100"/>
      <c r="D254" s="100"/>
      <c r="E254" s="100"/>
      <c r="F254" s="206"/>
      <c r="G254" s="206"/>
      <c r="H254" s="207"/>
      <c r="I254" s="207"/>
      <c r="J254" s="207"/>
      <c r="K254" s="207"/>
      <c r="L254" s="207"/>
      <c r="M254" s="207"/>
      <c r="N254" s="207"/>
      <c r="O254" s="207"/>
      <c r="P254" s="207"/>
      <c r="Q254" s="207"/>
      <c r="R254" s="207"/>
      <c r="S254" s="207"/>
      <c r="T254" s="207"/>
      <c r="U254" s="207"/>
      <c r="V254" s="207"/>
      <c r="W254" s="208"/>
      <c r="X254" s="208"/>
      <c r="Y254" s="208"/>
      <c r="Z254" s="208"/>
      <c r="AA254" s="208"/>
      <c r="AB254" s="208"/>
      <c r="AC254" s="208"/>
      <c r="AD254" s="208"/>
      <c r="AE254" s="208"/>
      <c r="AF254" s="208"/>
      <c r="AG254" s="208"/>
      <c r="AH254" s="208"/>
      <c r="AI254" s="100"/>
      <c r="AJ254" s="100"/>
      <c r="AK254" s="100"/>
      <c r="AL254" s="100"/>
      <c r="AM254" s="100"/>
      <c r="AN254" s="100"/>
      <c r="AO254" s="100"/>
    </row>
    <row r="255" ht="14.25" customHeight="1">
      <c r="A255" s="195"/>
      <c r="B255" s="100"/>
      <c r="C255" s="100"/>
      <c r="D255" s="100"/>
      <c r="E255" s="100"/>
      <c r="F255" s="206"/>
      <c r="G255" s="206"/>
      <c r="H255" s="207"/>
      <c r="I255" s="207"/>
      <c r="J255" s="207"/>
      <c r="K255" s="207"/>
      <c r="L255" s="207"/>
      <c r="M255" s="207"/>
      <c r="N255" s="207"/>
      <c r="O255" s="207"/>
      <c r="P255" s="207"/>
      <c r="Q255" s="207"/>
      <c r="R255" s="207"/>
      <c r="S255" s="207"/>
      <c r="T255" s="207"/>
      <c r="U255" s="207"/>
      <c r="V255" s="207"/>
      <c r="W255" s="208"/>
      <c r="X255" s="208"/>
      <c r="Y255" s="208"/>
      <c r="Z255" s="208"/>
      <c r="AA255" s="208"/>
      <c r="AB255" s="208"/>
      <c r="AC255" s="208"/>
      <c r="AD255" s="208"/>
      <c r="AE255" s="208"/>
      <c r="AF255" s="208"/>
      <c r="AG255" s="208"/>
      <c r="AH255" s="208"/>
      <c r="AI255" s="100"/>
      <c r="AJ255" s="100"/>
      <c r="AK255" s="100"/>
      <c r="AL255" s="100"/>
      <c r="AM255" s="100"/>
      <c r="AN255" s="100"/>
      <c r="AO255" s="100"/>
    </row>
    <row r="256" ht="14.25" customHeight="1">
      <c r="A256" s="195"/>
      <c r="B256" s="100"/>
      <c r="C256" s="100"/>
      <c r="D256" s="100"/>
      <c r="E256" s="100"/>
      <c r="F256" s="206"/>
      <c r="G256" s="206"/>
      <c r="H256" s="207"/>
      <c r="I256" s="207"/>
      <c r="J256" s="207"/>
      <c r="K256" s="207"/>
      <c r="L256" s="207"/>
      <c r="M256" s="207"/>
      <c r="N256" s="207"/>
      <c r="O256" s="207"/>
      <c r="P256" s="207"/>
      <c r="Q256" s="207"/>
      <c r="R256" s="207"/>
      <c r="S256" s="207"/>
      <c r="T256" s="207"/>
      <c r="U256" s="207"/>
      <c r="V256" s="207"/>
      <c r="W256" s="208"/>
      <c r="X256" s="208"/>
      <c r="Y256" s="208"/>
      <c r="Z256" s="208"/>
      <c r="AA256" s="208"/>
      <c r="AB256" s="208"/>
      <c r="AC256" s="208"/>
      <c r="AD256" s="208"/>
      <c r="AE256" s="208"/>
      <c r="AF256" s="208"/>
      <c r="AG256" s="208"/>
      <c r="AH256" s="208"/>
      <c r="AI256" s="100"/>
      <c r="AJ256" s="100"/>
      <c r="AK256" s="100"/>
      <c r="AL256" s="100"/>
      <c r="AM256" s="100"/>
      <c r="AN256" s="100"/>
      <c r="AO256" s="100"/>
    </row>
    <row r="257" ht="14.25" customHeight="1">
      <c r="A257" s="195"/>
      <c r="B257" s="100"/>
      <c r="C257" s="100"/>
      <c r="D257" s="100"/>
      <c r="E257" s="100"/>
      <c r="F257" s="206"/>
      <c r="G257" s="206"/>
      <c r="H257" s="207"/>
      <c r="I257" s="207"/>
      <c r="J257" s="207"/>
      <c r="K257" s="207"/>
      <c r="L257" s="207"/>
      <c r="M257" s="207"/>
      <c r="N257" s="207"/>
      <c r="O257" s="207"/>
      <c r="P257" s="207"/>
      <c r="Q257" s="207"/>
      <c r="R257" s="207"/>
      <c r="S257" s="207"/>
      <c r="T257" s="207"/>
      <c r="U257" s="207"/>
      <c r="V257" s="207"/>
      <c r="W257" s="208"/>
      <c r="X257" s="208"/>
      <c r="Y257" s="208"/>
      <c r="Z257" s="208"/>
      <c r="AA257" s="208"/>
      <c r="AB257" s="208"/>
      <c r="AC257" s="208"/>
      <c r="AD257" s="208"/>
      <c r="AE257" s="208"/>
      <c r="AF257" s="208"/>
      <c r="AG257" s="208"/>
      <c r="AH257" s="208"/>
      <c r="AI257" s="100"/>
      <c r="AJ257" s="100"/>
      <c r="AK257" s="100"/>
      <c r="AL257" s="100"/>
      <c r="AM257" s="100"/>
      <c r="AN257" s="100"/>
      <c r="AO257" s="100"/>
    </row>
    <row r="258" ht="14.25" customHeight="1">
      <c r="A258" s="195"/>
      <c r="B258" s="100"/>
      <c r="C258" s="100"/>
      <c r="D258" s="100"/>
      <c r="E258" s="100"/>
      <c r="F258" s="206"/>
      <c r="G258" s="206"/>
      <c r="H258" s="207"/>
      <c r="I258" s="207"/>
      <c r="J258" s="207"/>
      <c r="K258" s="207"/>
      <c r="L258" s="207"/>
      <c r="M258" s="207"/>
      <c r="N258" s="207"/>
      <c r="O258" s="207"/>
      <c r="P258" s="207"/>
      <c r="Q258" s="207"/>
      <c r="R258" s="207"/>
      <c r="S258" s="207"/>
      <c r="T258" s="207"/>
      <c r="U258" s="207"/>
      <c r="V258" s="207"/>
      <c r="W258" s="208"/>
      <c r="X258" s="208"/>
      <c r="Y258" s="208"/>
      <c r="Z258" s="208"/>
      <c r="AA258" s="208"/>
      <c r="AB258" s="208"/>
      <c r="AC258" s="208"/>
      <c r="AD258" s="208"/>
      <c r="AE258" s="208"/>
      <c r="AF258" s="208"/>
      <c r="AG258" s="208"/>
      <c r="AH258" s="208"/>
      <c r="AI258" s="100"/>
      <c r="AJ258" s="100"/>
      <c r="AK258" s="100"/>
      <c r="AL258" s="100"/>
      <c r="AM258" s="100"/>
      <c r="AN258" s="100"/>
      <c r="AO258" s="100"/>
    </row>
    <row r="259" ht="14.25" customHeight="1">
      <c r="A259" s="195"/>
      <c r="B259" s="100"/>
      <c r="C259" s="100"/>
      <c r="D259" s="100"/>
      <c r="E259" s="100"/>
      <c r="F259" s="206"/>
      <c r="G259" s="206"/>
      <c r="H259" s="207"/>
      <c r="I259" s="207"/>
      <c r="J259" s="207"/>
      <c r="K259" s="207"/>
      <c r="L259" s="207"/>
      <c r="M259" s="207"/>
      <c r="N259" s="207"/>
      <c r="O259" s="207"/>
      <c r="P259" s="207"/>
      <c r="Q259" s="207"/>
      <c r="R259" s="207"/>
      <c r="S259" s="207"/>
      <c r="T259" s="207"/>
      <c r="U259" s="207"/>
      <c r="V259" s="207"/>
      <c r="W259" s="208"/>
      <c r="X259" s="208"/>
      <c r="Y259" s="208"/>
      <c r="Z259" s="208"/>
      <c r="AA259" s="208"/>
      <c r="AB259" s="208"/>
      <c r="AC259" s="208"/>
      <c r="AD259" s="208"/>
      <c r="AE259" s="208"/>
      <c r="AF259" s="208"/>
      <c r="AG259" s="208"/>
      <c r="AH259" s="208"/>
      <c r="AI259" s="100"/>
      <c r="AJ259" s="100"/>
      <c r="AK259" s="100"/>
      <c r="AL259" s="100"/>
      <c r="AM259" s="100"/>
      <c r="AN259" s="100"/>
      <c r="AO259" s="100"/>
    </row>
    <row r="260" ht="14.25" customHeight="1">
      <c r="A260" s="195"/>
      <c r="B260" s="100"/>
      <c r="C260" s="100"/>
      <c r="D260" s="100"/>
      <c r="E260" s="100"/>
      <c r="F260" s="206"/>
      <c r="G260" s="206"/>
      <c r="H260" s="207"/>
      <c r="I260" s="207"/>
      <c r="J260" s="207"/>
      <c r="K260" s="207"/>
      <c r="L260" s="207"/>
      <c r="M260" s="207"/>
      <c r="N260" s="207"/>
      <c r="O260" s="207"/>
      <c r="P260" s="207"/>
      <c r="Q260" s="207"/>
      <c r="R260" s="207"/>
      <c r="S260" s="207"/>
      <c r="T260" s="207"/>
      <c r="U260" s="207"/>
      <c r="V260" s="207"/>
      <c r="W260" s="208"/>
      <c r="X260" s="208"/>
      <c r="Y260" s="208"/>
      <c r="Z260" s="208"/>
      <c r="AA260" s="208"/>
      <c r="AB260" s="208"/>
      <c r="AC260" s="208"/>
      <c r="AD260" s="208"/>
      <c r="AE260" s="208"/>
      <c r="AF260" s="208"/>
      <c r="AG260" s="208"/>
      <c r="AH260" s="208"/>
      <c r="AI260" s="100"/>
      <c r="AJ260" s="100"/>
      <c r="AK260" s="100"/>
      <c r="AL260" s="100"/>
      <c r="AM260" s="100"/>
      <c r="AN260" s="100"/>
      <c r="AO260" s="100"/>
    </row>
    <row r="261" ht="14.25" customHeight="1">
      <c r="A261" s="195"/>
      <c r="B261" s="100"/>
      <c r="C261" s="100"/>
      <c r="D261" s="100"/>
      <c r="E261" s="100"/>
      <c r="F261" s="206"/>
      <c r="G261" s="206"/>
      <c r="H261" s="207"/>
      <c r="I261" s="207"/>
      <c r="J261" s="207"/>
      <c r="K261" s="207"/>
      <c r="L261" s="207"/>
      <c r="M261" s="207"/>
      <c r="N261" s="207"/>
      <c r="O261" s="207"/>
      <c r="P261" s="207"/>
      <c r="Q261" s="207"/>
      <c r="R261" s="207"/>
      <c r="S261" s="207"/>
      <c r="T261" s="207"/>
      <c r="U261" s="207"/>
      <c r="V261" s="207"/>
      <c r="W261" s="208"/>
      <c r="X261" s="208"/>
      <c r="Y261" s="208"/>
      <c r="Z261" s="208"/>
      <c r="AA261" s="208"/>
      <c r="AB261" s="208"/>
      <c r="AC261" s="208"/>
      <c r="AD261" s="208"/>
      <c r="AE261" s="208"/>
      <c r="AF261" s="208"/>
      <c r="AG261" s="208"/>
      <c r="AH261" s="208"/>
      <c r="AI261" s="100"/>
      <c r="AJ261" s="100"/>
      <c r="AK261" s="100"/>
      <c r="AL261" s="100"/>
      <c r="AM261" s="100"/>
      <c r="AN261" s="100"/>
      <c r="AO261" s="100"/>
    </row>
    <row r="262" ht="14.25" customHeight="1">
      <c r="A262" s="195"/>
      <c r="B262" s="100"/>
      <c r="C262" s="100"/>
      <c r="D262" s="100"/>
      <c r="E262" s="100"/>
      <c r="F262" s="206"/>
      <c r="G262" s="206"/>
      <c r="H262" s="207"/>
      <c r="I262" s="207"/>
      <c r="J262" s="207"/>
      <c r="K262" s="207"/>
      <c r="L262" s="207"/>
      <c r="M262" s="207"/>
      <c r="N262" s="207"/>
      <c r="O262" s="207"/>
      <c r="P262" s="207"/>
      <c r="Q262" s="207"/>
      <c r="R262" s="207"/>
      <c r="S262" s="207"/>
      <c r="T262" s="207"/>
      <c r="U262" s="207"/>
      <c r="V262" s="207"/>
      <c r="W262" s="208"/>
      <c r="X262" s="208"/>
      <c r="Y262" s="208"/>
      <c r="Z262" s="208"/>
      <c r="AA262" s="208"/>
      <c r="AB262" s="208"/>
      <c r="AC262" s="208"/>
      <c r="AD262" s="208"/>
      <c r="AE262" s="208"/>
      <c r="AF262" s="208"/>
      <c r="AG262" s="208"/>
      <c r="AH262" s="208"/>
      <c r="AI262" s="100"/>
      <c r="AJ262" s="100"/>
      <c r="AK262" s="100"/>
      <c r="AL262" s="100"/>
      <c r="AM262" s="100"/>
      <c r="AN262" s="100"/>
      <c r="AO262" s="100"/>
    </row>
    <row r="263" ht="14.25" customHeight="1">
      <c r="A263" s="195"/>
      <c r="B263" s="100"/>
      <c r="C263" s="100"/>
      <c r="D263" s="100"/>
      <c r="E263" s="100"/>
      <c r="F263" s="206"/>
      <c r="G263" s="206"/>
      <c r="H263" s="207"/>
      <c r="I263" s="207"/>
      <c r="J263" s="207"/>
      <c r="K263" s="207"/>
      <c r="L263" s="207"/>
      <c r="M263" s="207"/>
      <c r="N263" s="207"/>
      <c r="O263" s="207"/>
      <c r="P263" s="207"/>
      <c r="Q263" s="207"/>
      <c r="R263" s="207"/>
      <c r="S263" s="207"/>
      <c r="T263" s="207"/>
      <c r="U263" s="207"/>
      <c r="V263" s="207"/>
      <c r="W263" s="208"/>
      <c r="X263" s="208"/>
      <c r="Y263" s="208"/>
      <c r="Z263" s="208"/>
      <c r="AA263" s="208"/>
      <c r="AB263" s="208"/>
      <c r="AC263" s="208"/>
      <c r="AD263" s="208"/>
      <c r="AE263" s="208"/>
      <c r="AF263" s="208"/>
      <c r="AG263" s="208"/>
      <c r="AH263" s="208"/>
      <c r="AI263" s="100"/>
      <c r="AJ263" s="100"/>
      <c r="AK263" s="100"/>
      <c r="AL263" s="100"/>
      <c r="AM263" s="100"/>
      <c r="AN263" s="100"/>
      <c r="AO263" s="100"/>
    </row>
    <row r="264" ht="14.25" customHeight="1">
      <c r="A264" s="195"/>
      <c r="B264" s="100"/>
      <c r="C264" s="100"/>
      <c r="D264" s="100"/>
      <c r="E264" s="100"/>
      <c r="F264" s="206"/>
      <c r="G264" s="206"/>
      <c r="H264" s="207"/>
      <c r="I264" s="207"/>
      <c r="J264" s="207"/>
      <c r="K264" s="207"/>
      <c r="L264" s="207"/>
      <c r="M264" s="207"/>
      <c r="N264" s="207"/>
      <c r="O264" s="207"/>
      <c r="P264" s="207"/>
      <c r="Q264" s="207"/>
      <c r="R264" s="207"/>
      <c r="S264" s="207"/>
      <c r="T264" s="207"/>
      <c r="U264" s="207"/>
      <c r="V264" s="207"/>
      <c r="W264" s="208"/>
      <c r="X264" s="208"/>
      <c r="Y264" s="208"/>
      <c r="Z264" s="208"/>
      <c r="AA264" s="208"/>
      <c r="AB264" s="208"/>
      <c r="AC264" s="208"/>
      <c r="AD264" s="208"/>
      <c r="AE264" s="208"/>
      <c r="AF264" s="208"/>
      <c r="AG264" s="208"/>
      <c r="AH264" s="208"/>
      <c r="AI264" s="100"/>
      <c r="AJ264" s="100"/>
      <c r="AK264" s="100"/>
      <c r="AL264" s="100"/>
      <c r="AM264" s="100"/>
      <c r="AN264" s="100"/>
      <c r="AO264" s="100"/>
    </row>
    <row r="265" ht="14.25" customHeight="1">
      <c r="A265" s="195"/>
      <c r="B265" s="100"/>
      <c r="C265" s="100"/>
      <c r="D265" s="100"/>
      <c r="E265" s="100"/>
      <c r="F265" s="206"/>
      <c r="G265" s="206"/>
      <c r="H265" s="207"/>
      <c r="I265" s="207"/>
      <c r="J265" s="207"/>
      <c r="K265" s="207"/>
      <c r="L265" s="207"/>
      <c r="M265" s="207"/>
      <c r="N265" s="207"/>
      <c r="O265" s="207"/>
      <c r="P265" s="207"/>
      <c r="Q265" s="207"/>
      <c r="R265" s="207"/>
      <c r="S265" s="207"/>
      <c r="T265" s="207"/>
      <c r="U265" s="207"/>
      <c r="V265" s="207"/>
      <c r="W265" s="208"/>
      <c r="X265" s="208"/>
      <c r="Y265" s="208"/>
      <c r="Z265" s="208"/>
      <c r="AA265" s="208"/>
      <c r="AB265" s="208"/>
      <c r="AC265" s="208"/>
      <c r="AD265" s="208"/>
      <c r="AE265" s="208"/>
      <c r="AF265" s="208"/>
      <c r="AG265" s="208"/>
      <c r="AH265" s="208"/>
      <c r="AI265" s="100"/>
      <c r="AJ265" s="100"/>
      <c r="AK265" s="100"/>
      <c r="AL265" s="100"/>
      <c r="AM265" s="100"/>
      <c r="AN265" s="100"/>
      <c r="AO265" s="100"/>
    </row>
    <row r="266" ht="14.25" customHeight="1">
      <c r="A266" s="195"/>
      <c r="B266" s="100"/>
      <c r="C266" s="100"/>
      <c r="D266" s="100"/>
      <c r="E266" s="100"/>
      <c r="F266" s="206"/>
      <c r="G266" s="206"/>
      <c r="H266" s="207"/>
      <c r="I266" s="207"/>
      <c r="J266" s="207"/>
      <c r="K266" s="207"/>
      <c r="L266" s="207"/>
      <c r="M266" s="207"/>
      <c r="N266" s="207"/>
      <c r="O266" s="207"/>
      <c r="P266" s="207"/>
      <c r="Q266" s="207"/>
      <c r="R266" s="207"/>
      <c r="S266" s="207"/>
      <c r="T266" s="207"/>
      <c r="U266" s="207"/>
      <c r="V266" s="207"/>
      <c r="W266" s="208"/>
      <c r="X266" s="208"/>
      <c r="Y266" s="208"/>
      <c r="Z266" s="208"/>
      <c r="AA266" s="208"/>
      <c r="AB266" s="208"/>
      <c r="AC266" s="208"/>
      <c r="AD266" s="208"/>
      <c r="AE266" s="208"/>
      <c r="AF266" s="208"/>
      <c r="AG266" s="208"/>
      <c r="AH266" s="208"/>
      <c r="AI266" s="100"/>
      <c r="AJ266" s="100"/>
      <c r="AK266" s="100"/>
      <c r="AL266" s="100"/>
      <c r="AM266" s="100"/>
      <c r="AN266" s="100"/>
      <c r="AO266" s="100"/>
    </row>
    <row r="267" ht="14.25" customHeight="1">
      <c r="A267" s="195"/>
      <c r="B267" s="100"/>
      <c r="C267" s="100"/>
      <c r="D267" s="100"/>
      <c r="E267" s="100"/>
      <c r="F267" s="206"/>
      <c r="G267" s="206"/>
      <c r="H267" s="207"/>
      <c r="I267" s="207"/>
      <c r="J267" s="207"/>
      <c r="K267" s="207"/>
      <c r="L267" s="207"/>
      <c r="M267" s="207"/>
      <c r="N267" s="207"/>
      <c r="O267" s="207"/>
      <c r="P267" s="207"/>
      <c r="Q267" s="207"/>
      <c r="R267" s="207"/>
      <c r="S267" s="207"/>
      <c r="T267" s="207"/>
      <c r="U267" s="207"/>
      <c r="V267" s="207"/>
      <c r="W267" s="208"/>
      <c r="X267" s="208"/>
      <c r="Y267" s="208"/>
      <c r="Z267" s="208"/>
      <c r="AA267" s="208"/>
      <c r="AB267" s="208"/>
      <c r="AC267" s="208"/>
      <c r="AD267" s="208"/>
      <c r="AE267" s="208"/>
      <c r="AF267" s="208"/>
      <c r="AG267" s="208"/>
      <c r="AH267" s="208"/>
      <c r="AI267" s="100"/>
      <c r="AJ267" s="100"/>
      <c r="AK267" s="100"/>
      <c r="AL267" s="100"/>
      <c r="AM267" s="100"/>
      <c r="AN267" s="100"/>
      <c r="AO267" s="100"/>
    </row>
    <row r="268" ht="14.25" customHeight="1">
      <c r="A268" s="195"/>
      <c r="B268" s="100"/>
      <c r="C268" s="100"/>
      <c r="D268" s="100"/>
      <c r="E268" s="100"/>
      <c r="F268" s="206"/>
      <c r="G268" s="206"/>
      <c r="H268" s="207"/>
      <c r="I268" s="207"/>
      <c r="J268" s="207"/>
      <c r="K268" s="207"/>
      <c r="L268" s="207"/>
      <c r="M268" s="207"/>
      <c r="N268" s="207"/>
      <c r="O268" s="207"/>
      <c r="P268" s="207"/>
      <c r="Q268" s="207"/>
      <c r="R268" s="207"/>
      <c r="S268" s="207"/>
      <c r="T268" s="207"/>
      <c r="U268" s="207"/>
      <c r="V268" s="207"/>
      <c r="W268" s="208"/>
      <c r="X268" s="208"/>
      <c r="Y268" s="208"/>
      <c r="Z268" s="208"/>
      <c r="AA268" s="208"/>
      <c r="AB268" s="208"/>
      <c r="AC268" s="208"/>
      <c r="AD268" s="208"/>
      <c r="AE268" s="208"/>
      <c r="AF268" s="208"/>
      <c r="AG268" s="208"/>
      <c r="AH268" s="208"/>
      <c r="AI268" s="100"/>
      <c r="AJ268" s="100"/>
      <c r="AK268" s="100"/>
      <c r="AL268" s="100"/>
      <c r="AM268" s="100"/>
      <c r="AN268" s="100"/>
      <c r="AO268" s="100"/>
    </row>
    <row r="269" ht="14.25" customHeight="1">
      <c r="A269" s="195"/>
      <c r="B269" s="100"/>
      <c r="C269" s="100"/>
      <c r="D269" s="100"/>
      <c r="E269" s="100"/>
      <c r="F269" s="206"/>
      <c r="G269" s="206"/>
      <c r="H269" s="207"/>
      <c r="I269" s="207"/>
      <c r="J269" s="207"/>
      <c r="K269" s="207"/>
      <c r="L269" s="207"/>
      <c r="M269" s="207"/>
      <c r="N269" s="207"/>
      <c r="O269" s="207"/>
      <c r="P269" s="207"/>
      <c r="Q269" s="207"/>
      <c r="R269" s="207"/>
      <c r="S269" s="207"/>
      <c r="T269" s="207"/>
      <c r="U269" s="207"/>
      <c r="V269" s="207"/>
      <c r="W269" s="208"/>
      <c r="X269" s="208"/>
      <c r="Y269" s="208"/>
      <c r="Z269" s="208"/>
      <c r="AA269" s="208"/>
      <c r="AB269" s="208"/>
      <c r="AC269" s="208"/>
      <c r="AD269" s="208"/>
      <c r="AE269" s="208"/>
      <c r="AF269" s="208"/>
      <c r="AG269" s="208"/>
      <c r="AH269" s="208"/>
      <c r="AI269" s="100"/>
      <c r="AJ269" s="100"/>
      <c r="AK269" s="100"/>
      <c r="AL269" s="100"/>
      <c r="AM269" s="100"/>
      <c r="AN269" s="100"/>
      <c r="AO269" s="100"/>
    </row>
    <row r="270" ht="14.25" customHeight="1">
      <c r="A270" s="195"/>
      <c r="B270" s="100"/>
      <c r="C270" s="100"/>
      <c r="D270" s="100"/>
      <c r="E270" s="100"/>
      <c r="F270" s="206"/>
      <c r="G270" s="206"/>
      <c r="H270" s="207"/>
      <c r="I270" s="207"/>
      <c r="J270" s="207"/>
      <c r="K270" s="207"/>
      <c r="L270" s="207"/>
      <c r="M270" s="207"/>
      <c r="N270" s="207"/>
      <c r="O270" s="207"/>
      <c r="P270" s="207"/>
      <c r="Q270" s="207"/>
      <c r="R270" s="207"/>
      <c r="S270" s="207"/>
      <c r="T270" s="207"/>
      <c r="U270" s="207"/>
      <c r="V270" s="207"/>
      <c r="W270" s="208"/>
      <c r="X270" s="208"/>
      <c r="Y270" s="208"/>
      <c r="Z270" s="208"/>
      <c r="AA270" s="208"/>
      <c r="AB270" s="208"/>
      <c r="AC270" s="208"/>
      <c r="AD270" s="208"/>
      <c r="AE270" s="208"/>
      <c r="AF270" s="208"/>
      <c r="AG270" s="208"/>
      <c r="AH270" s="208"/>
      <c r="AI270" s="100"/>
      <c r="AJ270" s="100"/>
      <c r="AK270" s="100"/>
      <c r="AL270" s="100"/>
      <c r="AM270" s="100"/>
      <c r="AN270" s="100"/>
      <c r="AO270" s="100"/>
    </row>
    <row r="271" ht="14.25" customHeight="1">
      <c r="A271" s="195"/>
      <c r="B271" s="100"/>
      <c r="C271" s="100"/>
      <c r="D271" s="100"/>
      <c r="E271" s="100"/>
      <c r="F271" s="206"/>
      <c r="G271" s="206"/>
      <c r="H271" s="207"/>
      <c r="I271" s="207"/>
      <c r="J271" s="207"/>
      <c r="K271" s="207"/>
      <c r="L271" s="207"/>
      <c r="M271" s="207"/>
      <c r="N271" s="207"/>
      <c r="O271" s="207"/>
      <c r="P271" s="207"/>
      <c r="Q271" s="207"/>
      <c r="R271" s="207"/>
      <c r="S271" s="207"/>
      <c r="T271" s="207"/>
      <c r="U271" s="207"/>
      <c r="V271" s="207"/>
      <c r="W271" s="208"/>
      <c r="X271" s="208"/>
      <c r="Y271" s="208"/>
      <c r="Z271" s="208"/>
      <c r="AA271" s="208"/>
      <c r="AB271" s="208"/>
      <c r="AC271" s="208"/>
      <c r="AD271" s="208"/>
      <c r="AE271" s="208"/>
      <c r="AF271" s="208"/>
      <c r="AG271" s="208"/>
      <c r="AH271" s="208"/>
      <c r="AI271" s="100"/>
      <c r="AJ271" s="100"/>
      <c r="AK271" s="100"/>
      <c r="AL271" s="100"/>
      <c r="AM271" s="100"/>
      <c r="AN271" s="100"/>
      <c r="AO271" s="100"/>
    </row>
    <row r="272" ht="14.25" customHeight="1">
      <c r="A272" s="195"/>
      <c r="B272" s="100"/>
      <c r="C272" s="100"/>
      <c r="D272" s="100"/>
      <c r="E272" s="100"/>
      <c r="F272" s="206"/>
      <c r="G272" s="206"/>
      <c r="H272" s="207"/>
      <c r="I272" s="207"/>
      <c r="J272" s="207"/>
      <c r="K272" s="207"/>
      <c r="L272" s="207"/>
      <c r="M272" s="207"/>
      <c r="N272" s="207"/>
      <c r="O272" s="207"/>
      <c r="P272" s="207"/>
      <c r="Q272" s="207"/>
      <c r="R272" s="207"/>
      <c r="S272" s="207"/>
      <c r="T272" s="207"/>
      <c r="U272" s="207"/>
      <c r="V272" s="207"/>
      <c r="W272" s="208"/>
      <c r="X272" s="208"/>
      <c r="Y272" s="208"/>
      <c r="Z272" s="208"/>
      <c r="AA272" s="208"/>
      <c r="AB272" s="208"/>
      <c r="AC272" s="208"/>
      <c r="AD272" s="208"/>
      <c r="AE272" s="208"/>
      <c r="AF272" s="208"/>
      <c r="AG272" s="208"/>
      <c r="AH272" s="208"/>
      <c r="AI272" s="100"/>
      <c r="AJ272" s="100"/>
      <c r="AK272" s="100"/>
      <c r="AL272" s="100"/>
      <c r="AM272" s="100"/>
      <c r="AN272" s="100"/>
      <c r="AO272" s="100"/>
    </row>
    <row r="273" ht="14.25" customHeight="1">
      <c r="A273" s="195"/>
      <c r="B273" s="100"/>
      <c r="C273" s="100"/>
      <c r="D273" s="100"/>
      <c r="E273" s="100"/>
      <c r="F273" s="206"/>
      <c r="G273" s="206"/>
      <c r="H273" s="207"/>
      <c r="I273" s="207"/>
      <c r="J273" s="207"/>
      <c r="K273" s="207"/>
      <c r="L273" s="207"/>
      <c r="M273" s="207"/>
      <c r="N273" s="207"/>
      <c r="O273" s="207"/>
      <c r="P273" s="207"/>
      <c r="Q273" s="207"/>
      <c r="R273" s="207"/>
      <c r="S273" s="207"/>
      <c r="T273" s="207"/>
      <c r="U273" s="207"/>
      <c r="V273" s="207"/>
      <c r="W273" s="208"/>
      <c r="X273" s="208"/>
      <c r="Y273" s="208"/>
      <c r="Z273" s="208"/>
      <c r="AA273" s="208"/>
      <c r="AB273" s="208"/>
      <c r="AC273" s="208"/>
      <c r="AD273" s="208"/>
      <c r="AE273" s="208"/>
      <c r="AF273" s="208"/>
      <c r="AG273" s="208"/>
      <c r="AH273" s="208"/>
      <c r="AI273" s="100"/>
      <c r="AJ273" s="100"/>
      <c r="AK273" s="100"/>
      <c r="AL273" s="100"/>
      <c r="AM273" s="100"/>
      <c r="AN273" s="100"/>
      <c r="AO273" s="100"/>
    </row>
    <row r="274" ht="14.25" customHeight="1">
      <c r="A274" s="195"/>
      <c r="B274" s="100"/>
      <c r="C274" s="100"/>
      <c r="D274" s="100"/>
      <c r="E274" s="100"/>
      <c r="F274" s="206"/>
      <c r="G274" s="206"/>
      <c r="H274" s="207"/>
      <c r="I274" s="207"/>
      <c r="J274" s="207"/>
      <c r="K274" s="207"/>
      <c r="L274" s="207"/>
      <c r="M274" s="207"/>
      <c r="N274" s="207"/>
      <c r="O274" s="207"/>
      <c r="P274" s="207"/>
      <c r="Q274" s="207"/>
      <c r="R274" s="207"/>
      <c r="S274" s="207"/>
      <c r="T274" s="207"/>
      <c r="U274" s="207"/>
      <c r="V274" s="207"/>
      <c r="W274" s="208"/>
      <c r="X274" s="208"/>
      <c r="Y274" s="208"/>
      <c r="Z274" s="208"/>
      <c r="AA274" s="208"/>
      <c r="AB274" s="208"/>
      <c r="AC274" s="208"/>
      <c r="AD274" s="208"/>
      <c r="AE274" s="208"/>
      <c r="AF274" s="208"/>
      <c r="AG274" s="208"/>
      <c r="AH274" s="208"/>
      <c r="AI274" s="100"/>
      <c r="AJ274" s="100"/>
      <c r="AK274" s="100"/>
      <c r="AL274" s="100"/>
      <c r="AM274" s="100"/>
      <c r="AN274" s="100"/>
      <c r="AO274" s="100"/>
    </row>
    <row r="275" ht="14.25" customHeight="1">
      <c r="A275" s="195"/>
      <c r="B275" s="100"/>
      <c r="C275" s="100"/>
      <c r="D275" s="100"/>
      <c r="E275" s="100"/>
      <c r="F275" s="206"/>
      <c r="G275" s="206"/>
      <c r="H275" s="207"/>
      <c r="I275" s="207"/>
      <c r="J275" s="207"/>
      <c r="K275" s="207"/>
      <c r="L275" s="207"/>
      <c r="M275" s="207"/>
      <c r="N275" s="207"/>
      <c r="O275" s="207"/>
      <c r="P275" s="207"/>
      <c r="Q275" s="207"/>
      <c r="R275" s="207"/>
      <c r="S275" s="207"/>
      <c r="T275" s="207"/>
      <c r="U275" s="207"/>
      <c r="V275" s="207"/>
      <c r="W275" s="208"/>
      <c r="X275" s="208"/>
      <c r="Y275" s="208"/>
      <c r="Z275" s="208"/>
      <c r="AA275" s="208"/>
      <c r="AB275" s="208"/>
      <c r="AC275" s="208"/>
      <c r="AD275" s="208"/>
      <c r="AE275" s="208"/>
      <c r="AF275" s="208"/>
      <c r="AG275" s="208"/>
      <c r="AH275" s="208"/>
      <c r="AI275" s="100"/>
      <c r="AJ275" s="100"/>
      <c r="AK275" s="100"/>
      <c r="AL275" s="100"/>
      <c r="AM275" s="100"/>
      <c r="AN275" s="100"/>
      <c r="AO275" s="100"/>
    </row>
    <row r="276" ht="14.25" customHeight="1">
      <c r="A276" s="195"/>
      <c r="B276" s="100"/>
      <c r="C276" s="100"/>
      <c r="D276" s="100"/>
      <c r="E276" s="100"/>
      <c r="F276" s="206"/>
      <c r="G276" s="206"/>
      <c r="H276" s="207"/>
      <c r="I276" s="207"/>
      <c r="J276" s="207"/>
      <c r="K276" s="207"/>
      <c r="L276" s="207"/>
      <c r="M276" s="207"/>
      <c r="N276" s="207"/>
      <c r="O276" s="207"/>
      <c r="P276" s="207"/>
      <c r="Q276" s="207"/>
      <c r="R276" s="207"/>
      <c r="S276" s="207"/>
      <c r="T276" s="207"/>
      <c r="U276" s="207"/>
      <c r="V276" s="207"/>
      <c r="W276" s="208"/>
      <c r="X276" s="208"/>
      <c r="Y276" s="208"/>
      <c r="Z276" s="208"/>
      <c r="AA276" s="208"/>
      <c r="AB276" s="208"/>
      <c r="AC276" s="208"/>
      <c r="AD276" s="208"/>
      <c r="AE276" s="208"/>
      <c r="AF276" s="208"/>
      <c r="AG276" s="208"/>
      <c r="AH276" s="208"/>
      <c r="AI276" s="100"/>
      <c r="AJ276" s="100"/>
      <c r="AK276" s="100"/>
      <c r="AL276" s="100"/>
      <c r="AM276" s="100"/>
      <c r="AN276" s="100"/>
      <c r="AO276" s="100"/>
    </row>
    <row r="277" ht="14.25" customHeight="1">
      <c r="A277" s="195"/>
      <c r="B277" s="100"/>
      <c r="C277" s="100"/>
      <c r="D277" s="100"/>
      <c r="E277" s="100"/>
      <c r="F277" s="206"/>
      <c r="G277" s="206"/>
      <c r="H277" s="207"/>
      <c r="I277" s="207"/>
      <c r="J277" s="207"/>
      <c r="K277" s="207"/>
      <c r="L277" s="207"/>
      <c r="M277" s="207"/>
      <c r="N277" s="207"/>
      <c r="O277" s="207"/>
      <c r="P277" s="207"/>
      <c r="Q277" s="207"/>
      <c r="R277" s="207"/>
      <c r="S277" s="207"/>
      <c r="T277" s="207"/>
      <c r="U277" s="207"/>
      <c r="V277" s="207"/>
      <c r="W277" s="208"/>
      <c r="X277" s="208"/>
      <c r="Y277" s="208"/>
      <c r="Z277" s="208"/>
      <c r="AA277" s="208"/>
      <c r="AB277" s="208"/>
      <c r="AC277" s="208"/>
      <c r="AD277" s="208"/>
      <c r="AE277" s="208"/>
      <c r="AF277" s="208"/>
      <c r="AG277" s="208"/>
      <c r="AH277" s="208"/>
      <c r="AI277" s="100"/>
      <c r="AJ277" s="100"/>
      <c r="AK277" s="100"/>
      <c r="AL277" s="100"/>
      <c r="AM277" s="100"/>
      <c r="AN277" s="100"/>
      <c r="AO277" s="100"/>
    </row>
    <row r="278" ht="14.25" customHeight="1">
      <c r="A278" s="195"/>
      <c r="B278" s="100"/>
      <c r="C278" s="100"/>
      <c r="D278" s="100"/>
      <c r="E278" s="100"/>
      <c r="F278" s="206"/>
      <c r="G278" s="206"/>
      <c r="H278" s="207"/>
      <c r="I278" s="207"/>
      <c r="J278" s="207"/>
      <c r="K278" s="207"/>
      <c r="L278" s="207"/>
      <c r="M278" s="207"/>
      <c r="N278" s="207"/>
      <c r="O278" s="207"/>
      <c r="P278" s="207"/>
      <c r="Q278" s="207"/>
      <c r="R278" s="207"/>
      <c r="S278" s="207"/>
      <c r="T278" s="207"/>
      <c r="U278" s="207"/>
      <c r="V278" s="207"/>
      <c r="W278" s="208"/>
      <c r="X278" s="208"/>
      <c r="Y278" s="208"/>
      <c r="Z278" s="208"/>
      <c r="AA278" s="208"/>
      <c r="AB278" s="208"/>
      <c r="AC278" s="208"/>
      <c r="AD278" s="208"/>
      <c r="AE278" s="208"/>
      <c r="AF278" s="208"/>
      <c r="AG278" s="208"/>
      <c r="AH278" s="208"/>
      <c r="AI278" s="100"/>
      <c r="AJ278" s="100"/>
      <c r="AK278" s="100"/>
      <c r="AL278" s="100"/>
      <c r="AM278" s="100"/>
      <c r="AN278" s="100"/>
      <c r="AO278" s="100"/>
    </row>
    <row r="279" ht="14.25" customHeight="1">
      <c r="A279" s="195"/>
      <c r="B279" s="100"/>
      <c r="C279" s="100"/>
      <c r="D279" s="100"/>
      <c r="E279" s="100"/>
      <c r="F279" s="206"/>
      <c r="G279" s="206"/>
      <c r="H279" s="207"/>
      <c r="I279" s="207"/>
      <c r="J279" s="207"/>
      <c r="K279" s="207"/>
      <c r="L279" s="207"/>
      <c r="M279" s="207"/>
      <c r="N279" s="207"/>
      <c r="O279" s="207"/>
      <c r="P279" s="207"/>
      <c r="Q279" s="207"/>
      <c r="R279" s="207"/>
      <c r="S279" s="207"/>
      <c r="T279" s="207"/>
      <c r="U279" s="207"/>
      <c r="V279" s="207"/>
      <c r="W279" s="208"/>
      <c r="X279" s="208"/>
      <c r="Y279" s="208"/>
      <c r="Z279" s="208"/>
      <c r="AA279" s="208"/>
      <c r="AB279" s="208"/>
      <c r="AC279" s="208"/>
      <c r="AD279" s="208"/>
      <c r="AE279" s="208"/>
      <c r="AF279" s="208"/>
      <c r="AG279" s="208"/>
      <c r="AH279" s="208"/>
      <c r="AI279" s="100"/>
      <c r="AJ279" s="100"/>
      <c r="AK279" s="100"/>
      <c r="AL279" s="100"/>
      <c r="AM279" s="100"/>
      <c r="AN279" s="100"/>
      <c r="AO279" s="100"/>
    </row>
    <row r="280" ht="14.25" customHeight="1">
      <c r="A280" s="195"/>
      <c r="B280" s="100"/>
      <c r="C280" s="100"/>
      <c r="D280" s="100"/>
      <c r="E280" s="100"/>
      <c r="F280" s="206"/>
      <c r="G280" s="206"/>
      <c r="H280" s="207"/>
      <c r="I280" s="207"/>
      <c r="J280" s="207"/>
      <c r="K280" s="207"/>
      <c r="L280" s="207"/>
      <c r="M280" s="207"/>
      <c r="N280" s="207"/>
      <c r="O280" s="207"/>
      <c r="P280" s="207"/>
      <c r="Q280" s="207"/>
      <c r="R280" s="207"/>
      <c r="S280" s="207"/>
      <c r="T280" s="207"/>
      <c r="U280" s="207"/>
      <c r="V280" s="207"/>
      <c r="W280" s="208"/>
      <c r="X280" s="208"/>
      <c r="Y280" s="208"/>
      <c r="Z280" s="208"/>
      <c r="AA280" s="208"/>
      <c r="AB280" s="208"/>
      <c r="AC280" s="208"/>
      <c r="AD280" s="208"/>
      <c r="AE280" s="208"/>
      <c r="AF280" s="208"/>
      <c r="AG280" s="208"/>
      <c r="AH280" s="208"/>
      <c r="AI280" s="100"/>
      <c r="AJ280" s="100"/>
      <c r="AK280" s="100"/>
      <c r="AL280" s="100"/>
      <c r="AM280" s="100"/>
      <c r="AN280" s="100"/>
      <c r="AO280" s="100"/>
    </row>
    <row r="281" ht="14.25" customHeight="1">
      <c r="A281" s="195"/>
      <c r="B281" s="100"/>
      <c r="C281" s="100"/>
      <c r="D281" s="100"/>
      <c r="E281" s="100"/>
      <c r="F281" s="206"/>
      <c r="G281" s="206"/>
      <c r="H281" s="207"/>
      <c r="I281" s="207"/>
      <c r="J281" s="207"/>
      <c r="K281" s="207"/>
      <c r="L281" s="207"/>
      <c r="M281" s="207"/>
      <c r="N281" s="207"/>
      <c r="O281" s="207"/>
      <c r="P281" s="207"/>
      <c r="Q281" s="207"/>
      <c r="R281" s="207"/>
      <c r="S281" s="207"/>
      <c r="T281" s="207"/>
      <c r="U281" s="207"/>
      <c r="V281" s="207"/>
      <c r="W281" s="208"/>
      <c r="X281" s="208"/>
      <c r="Y281" s="208"/>
      <c r="Z281" s="208"/>
      <c r="AA281" s="208"/>
      <c r="AB281" s="208"/>
      <c r="AC281" s="208"/>
      <c r="AD281" s="208"/>
      <c r="AE281" s="208"/>
      <c r="AF281" s="208"/>
      <c r="AG281" s="208"/>
      <c r="AH281" s="208"/>
      <c r="AI281" s="100"/>
      <c r="AJ281" s="100"/>
      <c r="AK281" s="100"/>
      <c r="AL281" s="100"/>
      <c r="AM281" s="100"/>
      <c r="AN281" s="100"/>
      <c r="AO281" s="100"/>
    </row>
    <row r="282" ht="14.25" customHeight="1">
      <c r="A282" s="195"/>
      <c r="B282" s="100"/>
      <c r="C282" s="100"/>
      <c r="D282" s="100"/>
      <c r="E282" s="100"/>
      <c r="F282" s="206"/>
      <c r="G282" s="206"/>
      <c r="H282" s="207"/>
      <c r="I282" s="207"/>
      <c r="J282" s="207"/>
      <c r="K282" s="207"/>
      <c r="L282" s="207"/>
      <c r="M282" s="207"/>
      <c r="N282" s="207"/>
      <c r="O282" s="207"/>
      <c r="P282" s="207"/>
      <c r="Q282" s="207"/>
      <c r="R282" s="207"/>
      <c r="S282" s="207"/>
      <c r="T282" s="207"/>
      <c r="U282" s="207"/>
      <c r="V282" s="207"/>
      <c r="W282" s="208"/>
      <c r="X282" s="208"/>
      <c r="Y282" s="208"/>
      <c r="Z282" s="208"/>
      <c r="AA282" s="208"/>
      <c r="AB282" s="208"/>
      <c r="AC282" s="208"/>
      <c r="AD282" s="208"/>
      <c r="AE282" s="208"/>
      <c r="AF282" s="208"/>
      <c r="AG282" s="208"/>
      <c r="AH282" s="208"/>
      <c r="AI282" s="100"/>
      <c r="AJ282" s="100"/>
      <c r="AK282" s="100"/>
      <c r="AL282" s="100"/>
      <c r="AM282" s="100"/>
      <c r="AN282" s="100"/>
      <c r="AO282" s="100"/>
    </row>
    <row r="283" ht="14.25" customHeight="1">
      <c r="A283" s="195"/>
      <c r="B283" s="100"/>
      <c r="C283" s="100"/>
      <c r="D283" s="100"/>
      <c r="E283" s="100"/>
      <c r="F283" s="206"/>
      <c r="G283" s="206"/>
      <c r="H283" s="207"/>
      <c r="I283" s="207"/>
      <c r="J283" s="207"/>
      <c r="K283" s="207"/>
      <c r="L283" s="207"/>
      <c r="M283" s="207"/>
      <c r="N283" s="207"/>
      <c r="O283" s="207"/>
      <c r="P283" s="207"/>
      <c r="Q283" s="207"/>
      <c r="R283" s="207"/>
      <c r="S283" s="207"/>
      <c r="T283" s="207"/>
      <c r="U283" s="207"/>
      <c r="V283" s="207"/>
      <c r="W283" s="208"/>
      <c r="X283" s="208"/>
      <c r="Y283" s="208"/>
      <c r="Z283" s="208"/>
      <c r="AA283" s="208"/>
      <c r="AB283" s="208"/>
      <c r="AC283" s="208"/>
      <c r="AD283" s="208"/>
      <c r="AE283" s="208"/>
      <c r="AF283" s="208"/>
      <c r="AG283" s="208"/>
      <c r="AH283" s="208"/>
      <c r="AI283" s="100"/>
      <c r="AJ283" s="100"/>
      <c r="AK283" s="100"/>
      <c r="AL283" s="100"/>
      <c r="AM283" s="100"/>
      <c r="AN283" s="100"/>
      <c r="AO283" s="100"/>
    </row>
    <row r="284" ht="14.25" customHeight="1">
      <c r="A284" s="195"/>
      <c r="B284" s="100"/>
      <c r="C284" s="100"/>
      <c r="D284" s="100"/>
      <c r="E284" s="100"/>
      <c r="F284" s="206"/>
      <c r="G284" s="206"/>
      <c r="H284" s="207"/>
      <c r="I284" s="207"/>
      <c r="J284" s="207"/>
      <c r="K284" s="207"/>
      <c r="L284" s="207"/>
      <c r="M284" s="207"/>
      <c r="N284" s="207"/>
      <c r="O284" s="207"/>
      <c r="P284" s="207"/>
      <c r="Q284" s="207"/>
      <c r="R284" s="207"/>
      <c r="S284" s="207"/>
      <c r="T284" s="207"/>
      <c r="U284" s="207"/>
      <c r="V284" s="207"/>
      <c r="W284" s="208"/>
      <c r="X284" s="208"/>
      <c r="Y284" s="208"/>
      <c r="Z284" s="208"/>
      <c r="AA284" s="208"/>
      <c r="AB284" s="208"/>
      <c r="AC284" s="208"/>
      <c r="AD284" s="208"/>
      <c r="AE284" s="208"/>
      <c r="AF284" s="208"/>
      <c r="AG284" s="208"/>
      <c r="AH284" s="208"/>
      <c r="AI284" s="100"/>
      <c r="AJ284" s="100"/>
      <c r="AK284" s="100"/>
      <c r="AL284" s="100"/>
      <c r="AM284" s="100"/>
      <c r="AN284" s="100"/>
      <c r="AO284" s="100"/>
    </row>
    <row r="285" ht="14.25" customHeight="1">
      <c r="A285" s="195"/>
      <c r="B285" s="100"/>
      <c r="C285" s="100"/>
      <c r="D285" s="100"/>
      <c r="E285" s="100"/>
      <c r="F285" s="206"/>
      <c r="G285" s="206"/>
      <c r="H285" s="207"/>
      <c r="I285" s="207"/>
      <c r="J285" s="207"/>
      <c r="K285" s="207"/>
      <c r="L285" s="207"/>
      <c r="M285" s="207"/>
      <c r="N285" s="207"/>
      <c r="O285" s="207"/>
      <c r="P285" s="207"/>
      <c r="Q285" s="207"/>
      <c r="R285" s="207"/>
      <c r="S285" s="207"/>
      <c r="T285" s="207"/>
      <c r="U285" s="207"/>
      <c r="V285" s="207"/>
      <c r="W285" s="208"/>
      <c r="X285" s="208"/>
      <c r="Y285" s="208"/>
      <c r="Z285" s="208"/>
      <c r="AA285" s="208"/>
      <c r="AB285" s="208"/>
      <c r="AC285" s="208"/>
      <c r="AD285" s="208"/>
      <c r="AE285" s="208"/>
      <c r="AF285" s="208"/>
      <c r="AG285" s="208"/>
      <c r="AH285" s="208"/>
      <c r="AI285" s="100"/>
      <c r="AJ285" s="100"/>
      <c r="AK285" s="100"/>
      <c r="AL285" s="100"/>
      <c r="AM285" s="100"/>
      <c r="AN285" s="100"/>
      <c r="AO285" s="100"/>
    </row>
    <row r="286" ht="14.25" customHeight="1">
      <c r="A286" s="195"/>
      <c r="B286" s="100"/>
      <c r="C286" s="100"/>
      <c r="D286" s="100"/>
      <c r="E286" s="100"/>
      <c r="F286" s="206"/>
      <c r="G286" s="206"/>
      <c r="H286" s="207"/>
      <c r="I286" s="207"/>
      <c r="J286" s="207"/>
      <c r="K286" s="207"/>
      <c r="L286" s="207"/>
      <c r="M286" s="207"/>
      <c r="N286" s="207"/>
      <c r="O286" s="207"/>
      <c r="P286" s="207"/>
      <c r="Q286" s="207"/>
      <c r="R286" s="207"/>
      <c r="S286" s="207"/>
      <c r="T286" s="207"/>
      <c r="U286" s="207"/>
      <c r="V286" s="207"/>
      <c r="W286" s="208"/>
      <c r="X286" s="208"/>
      <c r="Y286" s="208"/>
      <c r="Z286" s="208"/>
      <c r="AA286" s="208"/>
      <c r="AB286" s="208"/>
      <c r="AC286" s="208"/>
      <c r="AD286" s="208"/>
      <c r="AE286" s="208"/>
      <c r="AF286" s="208"/>
      <c r="AG286" s="208"/>
      <c r="AH286" s="208"/>
      <c r="AI286" s="100"/>
      <c r="AJ286" s="100"/>
      <c r="AK286" s="100"/>
      <c r="AL286" s="100"/>
      <c r="AM286" s="100"/>
      <c r="AN286" s="100"/>
      <c r="AO286" s="100"/>
    </row>
    <row r="287" ht="14.25" customHeight="1">
      <c r="A287" s="195"/>
      <c r="B287" s="100"/>
      <c r="C287" s="100"/>
      <c r="D287" s="100"/>
      <c r="E287" s="100"/>
      <c r="F287" s="206"/>
      <c r="G287" s="206"/>
      <c r="H287" s="207"/>
      <c r="I287" s="207"/>
      <c r="J287" s="207"/>
      <c r="K287" s="207"/>
      <c r="L287" s="207"/>
      <c r="M287" s="207"/>
      <c r="N287" s="207"/>
      <c r="O287" s="207"/>
      <c r="P287" s="207"/>
      <c r="Q287" s="207"/>
      <c r="R287" s="207"/>
      <c r="S287" s="207"/>
      <c r="T287" s="207"/>
      <c r="U287" s="207"/>
      <c r="V287" s="207"/>
      <c r="W287" s="208"/>
      <c r="X287" s="208"/>
      <c r="Y287" s="208"/>
      <c r="Z287" s="208"/>
      <c r="AA287" s="208"/>
      <c r="AB287" s="208"/>
      <c r="AC287" s="208"/>
      <c r="AD287" s="208"/>
      <c r="AE287" s="208"/>
      <c r="AF287" s="208"/>
      <c r="AG287" s="208"/>
      <c r="AH287" s="208"/>
      <c r="AI287" s="100"/>
      <c r="AJ287" s="100"/>
      <c r="AK287" s="100"/>
      <c r="AL287" s="100"/>
      <c r="AM287" s="100"/>
      <c r="AN287" s="100"/>
      <c r="AO287" s="100"/>
    </row>
    <row r="288" ht="14.25" customHeight="1">
      <c r="A288" s="195"/>
      <c r="B288" s="100"/>
      <c r="C288" s="100"/>
      <c r="D288" s="100"/>
      <c r="E288" s="100"/>
      <c r="F288" s="206"/>
      <c r="G288" s="206"/>
      <c r="H288" s="207"/>
      <c r="I288" s="207"/>
      <c r="J288" s="207"/>
      <c r="K288" s="207"/>
      <c r="L288" s="207"/>
      <c r="M288" s="207"/>
      <c r="N288" s="207"/>
      <c r="O288" s="207"/>
      <c r="P288" s="207"/>
      <c r="Q288" s="207"/>
      <c r="R288" s="207"/>
      <c r="S288" s="207"/>
      <c r="T288" s="207"/>
      <c r="U288" s="207"/>
      <c r="V288" s="207"/>
      <c r="W288" s="208"/>
      <c r="X288" s="208"/>
      <c r="Y288" s="208"/>
      <c r="Z288" s="208"/>
      <c r="AA288" s="208"/>
      <c r="AB288" s="208"/>
      <c r="AC288" s="208"/>
      <c r="AD288" s="208"/>
      <c r="AE288" s="208"/>
      <c r="AF288" s="208"/>
      <c r="AG288" s="208"/>
      <c r="AH288" s="208"/>
      <c r="AI288" s="100"/>
      <c r="AJ288" s="100"/>
      <c r="AK288" s="100"/>
      <c r="AL288" s="100"/>
      <c r="AM288" s="100"/>
      <c r="AN288" s="100"/>
      <c r="AO288" s="100"/>
    </row>
    <row r="289" ht="14.25" customHeight="1">
      <c r="A289" s="195"/>
      <c r="B289" s="100"/>
      <c r="C289" s="100"/>
      <c r="D289" s="100"/>
      <c r="E289" s="100"/>
      <c r="F289" s="206"/>
      <c r="G289" s="206"/>
      <c r="H289" s="207"/>
      <c r="I289" s="207"/>
      <c r="J289" s="207"/>
      <c r="K289" s="207"/>
      <c r="L289" s="207"/>
      <c r="M289" s="207"/>
      <c r="N289" s="207"/>
      <c r="O289" s="207"/>
      <c r="P289" s="207"/>
      <c r="Q289" s="207"/>
      <c r="R289" s="207"/>
      <c r="S289" s="207"/>
      <c r="T289" s="207"/>
      <c r="U289" s="207"/>
      <c r="V289" s="207"/>
      <c r="W289" s="208"/>
      <c r="X289" s="208"/>
      <c r="Y289" s="208"/>
      <c r="Z289" s="208"/>
      <c r="AA289" s="208"/>
      <c r="AB289" s="208"/>
      <c r="AC289" s="208"/>
      <c r="AD289" s="208"/>
      <c r="AE289" s="208"/>
      <c r="AF289" s="208"/>
      <c r="AG289" s="208"/>
      <c r="AH289" s="208"/>
      <c r="AI289" s="100"/>
      <c r="AJ289" s="100"/>
      <c r="AK289" s="100"/>
      <c r="AL289" s="100"/>
      <c r="AM289" s="100"/>
      <c r="AN289" s="100"/>
      <c r="AO289" s="100"/>
    </row>
    <row r="290" ht="14.25" customHeight="1">
      <c r="A290" s="195"/>
      <c r="B290" s="100"/>
      <c r="C290" s="100"/>
      <c r="D290" s="100"/>
      <c r="E290" s="100"/>
      <c r="F290" s="206"/>
      <c r="G290" s="206"/>
      <c r="H290" s="207"/>
      <c r="I290" s="207"/>
      <c r="J290" s="207"/>
      <c r="K290" s="207"/>
      <c r="L290" s="207"/>
      <c r="M290" s="207"/>
      <c r="N290" s="207"/>
      <c r="O290" s="207"/>
      <c r="P290" s="207"/>
      <c r="Q290" s="207"/>
      <c r="R290" s="207"/>
      <c r="S290" s="207"/>
      <c r="T290" s="207"/>
      <c r="U290" s="207"/>
      <c r="V290" s="207"/>
      <c r="W290" s="208"/>
      <c r="X290" s="208"/>
      <c r="Y290" s="208"/>
      <c r="Z290" s="208"/>
      <c r="AA290" s="208"/>
      <c r="AB290" s="208"/>
      <c r="AC290" s="208"/>
      <c r="AD290" s="208"/>
      <c r="AE290" s="208"/>
      <c r="AF290" s="208"/>
      <c r="AG290" s="208"/>
      <c r="AH290" s="208"/>
      <c r="AI290" s="100"/>
      <c r="AJ290" s="100"/>
      <c r="AK290" s="100"/>
      <c r="AL290" s="100"/>
      <c r="AM290" s="100"/>
      <c r="AN290" s="100"/>
      <c r="AO290" s="100"/>
    </row>
    <row r="291" ht="14.25" customHeight="1">
      <c r="A291" s="195"/>
      <c r="B291" s="100"/>
      <c r="C291" s="100"/>
      <c r="D291" s="100"/>
      <c r="E291" s="100"/>
      <c r="F291" s="206"/>
      <c r="G291" s="206"/>
      <c r="H291" s="207"/>
      <c r="I291" s="207"/>
      <c r="J291" s="207"/>
      <c r="K291" s="207"/>
      <c r="L291" s="207"/>
      <c r="M291" s="207"/>
      <c r="N291" s="207"/>
      <c r="O291" s="207"/>
      <c r="P291" s="207"/>
      <c r="Q291" s="207"/>
      <c r="R291" s="207"/>
      <c r="S291" s="207"/>
      <c r="T291" s="207"/>
      <c r="U291" s="207"/>
      <c r="V291" s="207"/>
      <c r="W291" s="208"/>
      <c r="X291" s="208"/>
      <c r="Y291" s="208"/>
      <c r="Z291" s="208"/>
      <c r="AA291" s="208"/>
      <c r="AB291" s="208"/>
      <c r="AC291" s="208"/>
      <c r="AD291" s="208"/>
      <c r="AE291" s="208"/>
      <c r="AF291" s="208"/>
      <c r="AG291" s="208"/>
      <c r="AH291" s="208"/>
      <c r="AI291" s="100"/>
      <c r="AJ291" s="100"/>
      <c r="AK291" s="100"/>
      <c r="AL291" s="100"/>
      <c r="AM291" s="100"/>
      <c r="AN291" s="100"/>
      <c r="AO291" s="100"/>
    </row>
    <row r="292" ht="14.25" customHeight="1">
      <c r="A292" s="195"/>
      <c r="B292" s="100"/>
      <c r="C292" s="100"/>
      <c r="D292" s="100"/>
      <c r="E292" s="100"/>
      <c r="F292" s="206"/>
      <c r="G292" s="206"/>
      <c r="H292" s="207"/>
      <c r="I292" s="207"/>
      <c r="J292" s="207"/>
      <c r="K292" s="207"/>
      <c r="L292" s="207"/>
      <c r="M292" s="207"/>
      <c r="N292" s="207"/>
      <c r="O292" s="207"/>
      <c r="P292" s="207"/>
      <c r="Q292" s="207"/>
      <c r="R292" s="207"/>
      <c r="S292" s="207"/>
      <c r="T292" s="207"/>
      <c r="U292" s="207"/>
      <c r="V292" s="207"/>
      <c r="W292" s="208"/>
      <c r="X292" s="208"/>
      <c r="Y292" s="208"/>
      <c r="Z292" s="208"/>
      <c r="AA292" s="208"/>
      <c r="AB292" s="208"/>
      <c r="AC292" s="208"/>
      <c r="AD292" s="208"/>
      <c r="AE292" s="208"/>
      <c r="AF292" s="208"/>
      <c r="AG292" s="208"/>
      <c r="AH292" s="208"/>
      <c r="AI292" s="100"/>
      <c r="AJ292" s="100"/>
      <c r="AK292" s="100"/>
      <c r="AL292" s="100"/>
      <c r="AM292" s="100"/>
      <c r="AN292" s="100"/>
      <c r="AO292" s="100"/>
    </row>
    <row r="293" ht="14.25" customHeight="1">
      <c r="A293" s="195"/>
      <c r="B293" s="100"/>
      <c r="C293" s="100"/>
      <c r="D293" s="100"/>
      <c r="E293" s="100"/>
      <c r="F293" s="206"/>
      <c r="G293" s="206"/>
      <c r="H293" s="207"/>
      <c r="I293" s="207"/>
      <c r="J293" s="207"/>
      <c r="K293" s="207"/>
      <c r="L293" s="207"/>
      <c r="M293" s="207"/>
      <c r="N293" s="207"/>
      <c r="O293" s="207"/>
      <c r="P293" s="207"/>
      <c r="Q293" s="207"/>
      <c r="R293" s="207"/>
      <c r="S293" s="207"/>
      <c r="T293" s="207"/>
      <c r="U293" s="207"/>
      <c r="V293" s="207"/>
      <c r="W293" s="208"/>
      <c r="X293" s="208"/>
      <c r="Y293" s="208"/>
      <c r="Z293" s="208"/>
      <c r="AA293" s="208"/>
      <c r="AB293" s="208"/>
      <c r="AC293" s="208"/>
      <c r="AD293" s="208"/>
      <c r="AE293" s="208"/>
      <c r="AF293" s="208"/>
      <c r="AG293" s="208"/>
      <c r="AH293" s="208"/>
      <c r="AI293" s="100"/>
      <c r="AJ293" s="100"/>
      <c r="AK293" s="100"/>
      <c r="AL293" s="100"/>
      <c r="AM293" s="100"/>
      <c r="AN293" s="100"/>
      <c r="AO293" s="100"/>
    </row>
    <row r="294" ht="14.25" customHeight="1">
      <c r="A294" s="195"/>
      <c r="B294" s="100"/>
      <c r="C294" s="100"/>
      <c r="D294" s="100"/>
      <c r="E294" s="100"/>
      <c r="F294" s="206"/>
      <c r="G294" s="206"/>
      <c r="H294" s="207"/>
      <c r="I294" s="207"/>
      <c r="J294" s="207"/>
      <c r="K294" s="207"/>
      <c r="L294" s="207"/>
      <c r="M294" s="207"/>
      <c r="N294" s="207"/>
      <c r="O294" s="207"/>
      <c r="P294" s="207"/>
      <c r="Q294" s="207"/>
      <c r="R294" s="207"/>
      <c r="S294" s="207"/>
      <c r="T294" s="207"/>
      <c r="U294" s="207"/>
      <c r="V294" s="207"/>
      <c r="W294" s="208"/>
      <c r="X294" s="208"/>
      <c r="Y294" s="208"/>
      <c r="Z294" s="208"/>
      <c r="AA294" s="208"/>
      <c r="AB294" s="208"/>
      <c r="AC294" s="208"/>
      <c r="AD294" s="208"/>
      <c r="AE294" s="208"/>
      <c r="AF294" s="208"/>
      <c r="AG294" s="208"/>
      <c r="AH294" s="208"/>
      <c r="AI294" s="100"/>
      <c r="AJ294" s="100"/>
      <c r="AK294" s="100"/>
      <c r="AL294" s="100"/>
      <c r="AM294" s="100"/>
      <c r="AN294" s="100"/>
      <c r="AO294" s="100"/>
    </row>
    <row r="295" ht="14.25" customHeight="1">
      <c r="A295" s="195"/>
      <c r="B295" s="100"/>
      <c r="C295" s="100"/>
      <c r="D295" s="100"/>
      <c r="E295" s="100"/>
      <c r="F295" s="206"/>
      <c r="G295" s="206"/>
      <c r="H295" s="207"/>
      <c r="I295" s="207"/>
      <c r="J295" s="207"/>
      <c r="K295" s="207"/>
      <c r="L295" s="207"/>
      <c r="M295" s="207"/>
      <c r="N295" s="207"/>
      <c r="O295" s="207"/>
      <c r="P295" s="207"/>
      <c r="Q295" s="207"/>
      <c r="R295" s="207"/>
      <c r="S295" s="207"/>
      <c r="T295" s="207"/>
      <c r="U295" s="207"/>
      <c r="V295" s="207"/>
      <c r="W295" s="208"/>
      <c r="X295" s="208"/>
      <c r="Y295" s="208"/>
      <c r="Z295" s="208"/>
      <c r="AA295" s="208"/>
      <c r="AB295" s="208"/>
      <c r="AC295" s="208"/>
      <c r="AD295" s="208"/>
      <c r="AE295" s="208"/>
      <c r="AF295" s="208"/>
      <c r="AG295" s="208"/>
      <c r="AH295" s="208"/>
      <c r="AI295" s="100"/>
      <c r="AJ295" s="100"/>
      <c r="AK295" s="100"/>
      <c r="AL295" s="100"/>
      <c r="AM295" s="100"/>
      <c r="AN295" s="100"/>
      <c r="AO295" s="100"/>
    </row>
    <row r="296" ht="14.25" customHeight="1">
      <c r="A296" s="195"/>
      <c r="B296" s="100"/>
      <c r="C296" s="100"/>
      <c r="D296" s="100"/>
      <c r="E296" s="100"/>
      <c r="F296" s="206"/>
      <c r="G296" s="206"/>
      <c r="H296" s="207"/>
      <c r="I296" s="207"/>
      <c r="J296" s="207"/>
      <c r="K296" s="207"/>
      <c r="L296" s="207"/>
      <c r="M296" s="207"/>
      <c r="N296" s="207"/>
      <c r="O296" s="207"/>
      <c r="P296" s="207"/>
      <c r="Q296" s="207"/>
      <c r="R296" s="207"/>
      <c r="S296" s="207"/>
      <c r="T296" s="207"/>
      <c r="U296" s="207"/>
      <c r="V296" s="207"/>
      <c r="W296" s="208"/>
      <c r="X296" s="208"/>
      <c r="Y296" s="208"/>
      <c r="Z296" s="208"/>
      <c r="AA296" s="208"/>
      <c r="AB296" s="208"/>
      <c r="AC296" s="208"/>
      <c r="AD296" s="208"/>
      <c r="AE296" s="208"/>
      <c r="AF296" s="208"/>
      <c r="AG296" s="208"/>
      <c r="AH296" s="208"/>
      <c r="AI296" s="100"/>
      <c r="AJ296" s="100"/>
      <c r="AK296" s="100"/>
      <c r="AL296" s="100"/>
      <c r="AM296" s="100"/>
      <c r="AN296" s="100"/>
      <c r="AO296" s="100"/>
    </row>
    <row r="297" ht="14.25" customHeight="1">
      <c r="A297" s="195"/>
      <c r="B297" s="100"/>
      <c r="C297" s="100"/>
      <c r="D297" s="100"/>
      <c r="E297" s="100"/>
      <c r="F297" s="206"/>
      <c r="G297" s="206"/>
      <c r="H297" s="207"/>
      <c r="I297" s="207"/>
      <c r="J297" s="207"/>
      <c r="K297" s="207"/>
      <c r="L297" s="207"/>
      <c r="M297" s="207"/>
      <c r="N297" s="207"/>
      <c r="O297" s="207"/>
      <c r="P297" s="207"/>
      <c r="Q297" s="207"/>
      <c r="R297" s="207"/>
      <c r="S297" s="207"/>
      <c r="T297" s="207"/>
      <c r="U297" s="207"/>
      <c r="V297" s="207"/>
      <c r="W297" s="208"/>
      <c r="X297" s="208"/>
      <c r="Y297" s="208"/>
      <c r="Z297" s="208"/>
      <c r="AA297" s="208"/>
      <c r="AB297" s="208"/>
      <c r="AC297" s="208"/>
      <c r="AD297" s="208"/>
      <c r="AE297" s="208"/>
      <c r="AF297" s="208"/>
      <c r="AG297" s="208"/>
      <c r="AH297" s="208"/>
      <c r="AI297" s="100"/>
      <c r="AJ297" s="100"/>
      <c r="AK297" s="100"/>
      <c r="AL297" s="100"/>
      <c r="AM297" s="100"/>
      <c r="AN297" s="100"/>
      <c r="AO297" s="100"/>
    </row>
    <row r="298" ht="14.25" customHeight="1">
      <c r="A298" s="195"/>
      <c r="B298" s="100"/>
      <c r="C298" s="100"/>
      <c r="D298" s="100"/>
      <c r="E298" s="100"/>
      <c r="F298" s="206"/>
      <c r="G298" s="206"/>
      <c r="H298" s="207"/>
      <c r="I298" s="207"/>
      <c r="J298" s="207"/>
      <c r="K298" s="207"/>
      <c r="L298" s="207"/>
      <c r="M298" s="207"/>
      <c r="N298" s="207"/>
      <c r="O298" s="207"/>
      <c r="P298" s="207"/>
      <c r="Q298" s="207"/>
      <c r="R298" s="207"/>
      <c r="S298" s="207"/>
      <c r="T298" s="207"/>
      <c r="U298" s="207"/>
      <c r="V298" s="207"/>
      <c r="W298" s="208"/>
      <c r="X298" s="208"/>
      <c r="Y298" s="208"/>
      <c r="Z298" s="208"/>
      <c r="AA298" s="208"/>
      <c r="AB298" s="208"/>
      <c r="AC298" s="208"/>
      <c r="AD298" s="208"/>
      <c r="AE298" s="208"/>
      <c r="AF298" s="208"/>
      <c r="AG298" s="208"/>
      <c r="AH298" s="208"/>
      <c r="AI298" s="100"/>
      <c r="AJ298" s="100"/>
      <c r="AK298" s="100"/>
      <c r="AL298" s="100"/>
      <c r="AM298" s="100"/>
      <c r="AN298" s="100"/>
      <c r="AO298" s="100"/>
    </row>
    <row r="299" ht="14.25" customHeight="1">
      <c r="A299" s="195"/>
      <c r="B299" s="100"/>
      <c r="C299" s="100"/>
      <c r="D299" s="100"/>
      <c r="E299" s="100"/>
      <c r="F299" s="206"/>
      <c r="G299" s="206"/>
      <c r="H299" s="207"/>
      <c r="I299" s="207"/>
      <c r="J299" s="207"/>
      <c r="K299" s="207"/>
      <c r="L299" s="207"/>
      <c r="M299" s="207"/>
      <c r="N299" s="207"/>
      <c r="O299" s="207"/>
      <c r="P299" s="207"/>
      <c r="Q299" s="207"/>
      <c r="R299" s="207"/>
      <c r="S299" s="207"/>
      <c r="T299" s="207"/>
      <c r="U299" s="207"/>
      <c r="V299" s="207"/>
      <c r="W299" s="208"/>
      <c r="X299" s="208"/>
      <c r="Y299" s="208"/>
      <c r="Z299" s="208"/>
      <c r="AA299" s="208"/>
      <c r="AB299" s="208"/>
      <c r="AC299" s="208"/>
      <c r="AD299" s="208"/>
      <c r="AE299" s="208"/>
      <c r="AF299" s="208"/>
      <c r="AG299" s="208"/>
      <c r="AH299" s="208"/>
      <c r="AI299" s="100"/>
      <c r="AJ299" s="100"/>
      <c r="AK299" s="100"/>
      <c r="AL299" s="100"/>
      <c r="AM299" s="100"/>
      <c r="AN299" s="100"/>
      <c r="AO299" s="100"/>
    </row>
    <row r="300" ht="14.25" customHeight="1">
      <c r="A300" s="195"/>
      <c r="B300" s="100"/>
      <c r="C300" s="100"/>
      <c r="D300" s="100"/>
      <c r="E300" s="100"/>
      <c r="F300" s="206"/>
      <c r="G300" s="206"/>
      <c r="H300" s="207"/>
      <c r="I300" s="207"/>
      <c r="J300" s="207"/>
      <c r="K300" s="207"/>
      <c r="L300" s="207"/>
      <c r="M300" s="207"/>
      <c r="N300" s="207"/>
      <c r="O300" s="207"/>
      <c r="P300" s="207"/>
      <c r="Q300" s="207"/>
      <c r="R300" s="207"/>
      <c r="S300" s="207"/>
      <c r="T300" s="207"/>
      <c r="U300" s="207"/>
      <c r="V300" s="207"/>
      <c r="W300" s="208"/>
      <c r="X300" s="208"/>
      <c r="Y300" s="208"/>
      <c r="Z300" s="208"/>
      <c r="AA300" s="208"/>
      <c r="AB300" s="208"/>
      <c r="AC300" s="208"/>
      <c r="AD300" s="208"/>
      <c r="AE300" s="208"/>
      <c r="AF300" s="208"/>
      <c r="AG300" s="208"/>
      <c r="AH300" s="208"/>
      <c r="AI300" s="100"/>
      <c r="AJ300" s="100"/>
      <c r="AK300" s="100"/>
      <c r="AL300" s="100"/>
      <c r="AM300" s="100"/>
      <c r="AN300" s="100"/>
      <c r="AO300" s="100"/>
    </row>
    <row r="301" ht="14.25" customHeight="1">
      <c r="A301" s="195"/>
      <c r="B301" s="100"/>
      <c r="C301" s="100"/>
      <c r="D301" s="100"/>
      <c r="E301" s="100"/>
      <c r="F301" s="206"/>
      <c r="G301" s="206"/>
      <c r="H301" s="207"/>
      <c r="I301" s="207"/>
      <c r="J301" s="207"/>
      <c r="K301" s="207"/>
      <c r="L301" s="207"/>
      <c r="M301" s="207"/>
      <c r="N301" s="207"/>
      <c r="O301" s="207"/>
      <c r="P301" s="207"/>
      <c r="Q301" s="207"/>
      <c r="R301" s="207"/>
      <c r="S301" s="207"/>
      <c r="T301" s="207"/>
      <c r="U301" s="207"/>
      <c r="V301" s="207"/>
      <c r="W301" s="208"/>
      <c r="X301" s="208"/>
      <c r="Y301" s="208"/>
      <c r="Z301" s="208"/>
      <c r="AA301" s="208"/>
      <c r="AB301" s="208"/>
      <c r="AC301" s="208"/>
      <c r="AD301" s="208"/>
      <c r="AE301" s="208"/>
      <c r="AF301" s="208"/>
      <c r="AG301" s="208"/>
      <c r="AH301" s="208"/>
      <c r="AI301" s="100"/>
      <c r="AJ301" s="100"/>
      <c r="AK301" s="100"/>
      <c r="AL301" s="100"/>
      <c r="AM301" s="100"/>
      <c r="AN301" s="100"/>
      <c r="AO301" s="100"/>
    </row>
    <row r="302" ht="14.25" customHeight="1">
      <c r="A302" s="195"/>
      <c r="B302" s="100"/>
      <c r="C302" s="100"/>
      <c r="D302" s="100"/>
      <c r="E302" s="100"/>
      <c r="F302" s="206"/>
      <c r="G302" s="206"/>
      <c r="H302" s="207"/>
      <c r="I302" s="207"/>
      <c r="J302" s="207"/>
      <c r="K302" s="207"/>
      <c r="L302" s="207"/>
      <c r="M302" s="207"/>
      <c r="N302" s="207"/>
      <c r="O302" s="207"/>
      <c r="P302" s="207"/>
      <c r="Q302" s="207"/>
      <c r="R302" s="207"/>
      <c r="S302" s="207"/>
      <c r="T302" s="207"/>
      <c r="U302" s="207"/>
      <c r="V302" s="207"/>
      <c r="W302" s="208"/>
      <c r="X302" s="208"/>
      <c r="Y302" s="208"/>
      <c r="Z302" s="208"/>
      <c r="AA302" s="208"/>
      <c r="AB302" s="208"/>
      <c r="AC302" s="208"/>
      <c r="AD302" s="208"/>
      <c r="AE302" s="208"/>
      <c r="AF302" s="208"/>
      <c r="AG302" s="208"/>
      <c r="AH302" s="208"/>
      <c r="AI302" s="100"/>
      <c r="AJ302" s="100"/>
      <c r="AK302" s="100"/>
      <c r="AL302" s="100"/>
      <c r="AM302" s="100"/>
      <c r="AN302" s="100"/>
      <c r="AO302" s="100"/>
    </row>
    <row r="303" ht="14.25" customHeight="1">
      <c r="A303" s="195"/>
      <c r="B303" s="100"/>
      <c r="C303" s="100"/>
      <c r="D303" s="100"/>
      <c r="E303" s="100"/>
      <c r="F303" s="206"/>
      <c r="G303" s="206"/>
      <c r="H303" s="207"/>
      <c r="I303" s="207"/>
      <c r="J303" s="207"/>
      <c r="K303" s="207"/>
      <c r="L303" s="207"/>
      <c r="M303" s="207"/>
      <c r="N303" s="207"/>
      <c r="O303" s="207"/>
      <c r="P303" s="207"/>
      <c r="Q303" s="207"/>
      <c r="R303" s="207"/>
      <c r="S303" s="207"/>
      <c r="T303" s="207"/>
      <c r="U303" s="207"/>
      <c r="V303" s="207"/>
      <c r="W303" s="208"/>
      <c r="X303" s="208"/>
      <c r="Y303" s="208"/>
      <c r="Z303" s="208"/>
      <c r="AA303" s="208"/>
      <c r="AB303" s="208"/>
      <c r="AC303" s="208"/>
      <c r="AD303" s="208"/>
      <c r="AE303" s="208"/>
      <c r="AF303" s="208"/>
      <c r="AG303" s="208"/>
      <c r="AH303" s="208"/>
      <c r="AI303" s="100"/>
      <c r="AJ303" s="100"/>
      <c r="AK303" s="100"/>
      <c r="AL303" s="100"/>
      <c r="AM303" s="100"/>
      <c r="AN303" s="100"/>
      <c r="AO303" s="100"/>
    </row>
    <row r="304" ht="14.25" customHeight="1">
      <c r="A304" s="195"/>
      <c r="B304" s="100"/>
      <c r="C304" s="100"/>
      <c r="D304" s="100"/>
      <c r="E304" s="100"/>
      <c r="F304" s="206"/>
      <c r="G304" s="206"/>
      <c r="H304" s="207"/>
      <c r="I304" s="207"/>
      <c r="J304" s="207"/>
      <c r="K304" s="207"/>
      <c r="L304" s="207"/>
      <c r="M304" s="207"/>
      <c r="N304" s="207"/>
      <c r="O304" s="207"/>
      <c r="P304" s="207"/>
      <c r="Q304" s="207"/>
      <c r="R304" s="207"/>
      <c r="S304" s="207"/>
      <c r="T304" s="207"/>
      <c r="U304" s="207"/>
      <c r="V304" s="207"/>
      <c r="W304" s="208"/>
      <c r="X304" s="208"/>
      <c r="Y304" s="208"/>
      <c r="Z304" s="208"/>
      <c r="AA304" s="208"/>
      <c r="AB304" s="208"/>
      <c r="AC304" s="208"/>
      <c r="AD304" s="208"/>
      <c r="AE304" s="208"/>
      <c r="AF304" s="208"/>
      <c r="AG304" s="208"/>
      <c r="AH304" s="208"/>
      <c r="AI304" s="100"/>
      <c r="AJ304" s="100"/>
      <c r="AK304" s="100"/>
      <c r="AL304" s="100"/>
      <c r="AM304" s="100"/>
      <c r="AN304" s="100"/>
      <c r="AO304" s="100"/>
    </row>
    <row r="305" ht="14.25" customHeight="1">
      <c r="A305" s="195"/>
      <c r="B305" s="100"/>
      <c r="C305" s="100"/>
      <c r="D305" s="100"/>
      <c r="E305" s="100"/>
      <c r="F305" s="206"/>
      <c r="G305" s="206"/>
      <c r="H305" s="207"/>
      <c r="I305" s="207"/>
      <c r="J305" s="207"/>
      <c r="K305" s="207"/>
      <c r="L305" s="207"/>
      <c r="M305" s="207"/>
      <c r="N305" s="207"/>
      <c r="O305" s="207"/>
      <c r="P305" s="207"/>
      <c r="Q305" s="207"/>
      <c r="R305" s="207"/>
      <c r="S305" s="207"/>
      <c r="T305" s="207"/>
      <c r="U305" s="207"/>
      <c r="V305" s="207"/>
      <c r="W305" s="208"/>
      <c r="X305" s="208"/>
      <c r="Y305" s="208"/>
      <c r="Z305" s="208"/>
      <c r="AA305" s="208"/>
      <c r="AB305" s="208"/>
      <c r="AC305" s="208"/>
      <c r="AD305" s="208"/>
      <c r="AE305" s="208"/>
      <c r="AF305" s="208"/>
      <c r="AG305" s="208"/>
      <c r="AH305" s="208"/>
      <c r="AI305" s="100"/>
      <c r="AJ305" s="100"/>
      <c r="AK305" s="100"/>
      <c r="AL305" s="100"/>
      <c r="AM305" s="100"/>
      <c r="AN305" s="100"/>
      <c r="AO305" s="100"/>
    </row>
    <row r="306" ht="14.25" customHeight="1">
      <c r="A306" s="195"/>
      <c r="B306" s="100"/>
      <c r="C306" s="100"/>
      <c r="D306" s="100"/>
      <c r="E306" s="100"/>
      <c r="F306" s="206"/>
      <c r="G306" s="206"/>
      <c r="H306" s="207"/>
      <c r="I306" s="207"/>
      <c r="J306" s="207"/>
      <c r="K306" s="207"/>
      <c r="L306" s="207"/>
      <c r="M306" s="207"/>
      <c r="N306" s="207"/>
      <c r="O306" s="207"/>
      <c r="P306" s="207"/>
      <c r="Q306" s="207"/>
      <c r="R306" s="207"/>
      <c r="S306" s="207"/>
      <c r="T306" s="207"/>
      <c r="U306" s="207"/>
      <c r="V306" s="207"/>
      <c r="W306" s="208"/>
      <c r="X306" s="208"/>
      <c r="Y306" s="208"/>
      <c r="Z306" s="208"/>
      <c r="AA306" s="208"/>
      <c r="AB306" s="208"/>
      <c r="AC306" s="208"/>
      <c r="AD306" s="208"/>
      <c r="AE306" s="208"/>
      <c r="AF306" s="208"/>
      <c r="AG306" s="208"/>
      <c r="AH306" s="208"/>
      <c r="AI306" s="100"/>
      <c r="AJ306" s="100"/>
      <c r="AK306" s="100"/>
      <c r="AL306" s="100"/>
      <c r="AM306" s="100"/>
      <c r="AN306" s="100"/>
      <c r="AO306" s="100"/>
    </row>
    <row r="307" ht="14.25" customHeight="1">
      <c r="A307" s="195"/>
      <c r="B307" s="100"/>
      <c r="C307" s="100"/>
      <c r="D307" s="100"/>
      <c r="E307" s="100"/>
      <c r="F307" s="206"/>
      <c r="G307" s="206"/>
      <c r="H307" s="207"/>
      <c r="I307" s="207"/>
      <c r="J307" s="207"/>
      <c r="K307" s="207"/>
      <c r="L307" s="207"/>
      <c r="M307" s="207"/>
      <c r="N307" s="207"/>
      <c r="O307" s="207"/>
      <c r="P307" s="207"/>
      <c r="Q307" s="207"/>
      <c r="R307" s="207"/>
      <c r="S307" s="207"/>
      <c r="T307" s="207"/>
      <c r="U307" s="207"/>
      <c r="V307" s="207"/>
      <c r="W307" s="208"/>
      <c r="X307" s="208"/>
      <c r="Y307" s="208"/>
      <c r="Z307" s="208"/>
      <c r="AA307" s="208"/>
      <c r="AB307" s="208"/>
      <c r="AC307" s="208"/>
      <c r="AD307" s="208"/>
      <c r="AE307" s="208"/>
      <c r="AF307" s="208"/>
      <c r="AG307" s="208"/>
      <c r="AH307" s="208"/>
      <c r="AI307" s="100"/>
      <c r="AJ307" s="100"/>
      <c r="AK307" s="100"/>
      <c r="AL307" s="100"/>
      <c r="AM307" s="100"/>
      <c r="AN307" s="100"/>
      <c r="AO307" s="100"/>
    </row>
    <row r="308" ht="14.25" customHeight="1">
      <c r="A308" s="195"/>
      <c r="B308" s="100"/>
      <c r="C308" s="100"/>
      <c r="D308" s="100"/>
      <c r="E308" s="100"/>
      <c r="F308" s="206"/>
      <c r="G308" s="206"/>
      <c r="H308" s="207"/>
      <c r="I308" s="207"/>
      <c r="J308" s="207"/>
      <c r="K308" s="207"/>
      <c r="L308" s="207"/>
      <c r="M308" s="207"/>
      <c r="N308" s="207"/>
      <c r="O308" s="207"/>
      <c r="P308" s="207"/>
      <c r="Q308" s="207"/>
      <c r="R308" s="207"/>
      <c r="S308" s="207"/>
      <c r="T308" s="207"/>
      <c r="U308" s="207"/>
      <c r="V308" s="207"/>
      <c r="W308" s="208"/>
      <c r="X308" s="208"/>
      <c r="Y308" s="208"/>
      <c r="Z308" s="208"/>
      <c r="AA308" s="208"/>
      <c r="AB308" s="208"/>
      <c r="AC308" s="208"/>
      <c r="AD308" s="208"/>
      <c r="AE308" s="208"/>
      <c r="AF308" s="208"/>
      <c r="AG308" s="208"/>
      <c r="AH308" s="208"/>
      <c r="AI308" s="100"/>
      <c r="AJ308" s="100"/>
      <c r="AK308" s="100"/>
      <c r="AL308" s="100"/>
      <c r="AM308" s="100"/>
      <c r="AN308" s="100"/>
      <c r="AO308" s="100"/>
    </row>
    <row r="309" ht="14.25" customHeight="1">
      <c r="A309" s="195"/>
      <c r="B309" s="100"/>
      <c r="C309" s="100"/>
      <c r="D309" s="100"/>
      <c r="E309" s="100"/>
      <c r="F309" s="206"/>
      <c r="G309" s="206"/>
      <c r="H309" s="207"/>
      <c r="I309" s="207"/>
      <c r="J309" s="207"/>
      <c r="K309" s="207"/>
      <c r="L309" s="207"/>
      <c r="M309" s="207"/>
      <c r="N309" s="207"/>
      <c r="O309" s="207"/>
      <c r="P309" s="207"/>
      <c r="Q309" s="207"/>
      <c r="R309" s="207"/>
      <c r="S309" s="207"/>
      <c r="T309" s="207"/>
      <c r="U309" s="207"/>
      <c r="V309" s="207"/>
      <c r="W309" s="208"/>
      <c r="X309" s="208"/>
      <c r="Y309" s="208"/>
      <c r="Z309" s="208"/>
      <c r="AA309" s="208"/>
      <c r="AB309" s="208"/>
      <c r="AC309" s="208"/>
      <c r="AD309" s="208"/>
      <c r="AE309" s="208"/>
      <c r="AF309" s="208"/>
      <c r="AG309" s="208"/>
      <c r="AH309" s="208"/>
      <c r="AI309" s="100"/>
      <c r="AJ309" s="100"/>
      <c r="AK309" s="100"/>
      <c r="AL309" s="100"/>
      <c r="AM309" s="100"/>
      <c r="AN309" s="100"/>
      <c r="AO309" s="100"/>
    </row>
    <row r="310" ht="14.25" customHeight="1">
      <c r="A310" s="195"/>
      <c r="B310" s="100"/>
      <c r="C310" s="100"/>
      <c r="D310" s="100"/>
      <c r="E310" s="100"/>
      <c r="F310" s="206"/>
      <c r="G310" s="206"/>
      <c r="H310" s="207"/>
      <c r="I310" s="207"/>
      <c r="J310" s="207"/>
      <c r="K310" s="207"/>
      <c r="L310" s="207"/>
      <c r="M310" s="207"/>
      <c r="N310" s="207"/>
      <c r="O310" s="207"/>
      <c r="P310" s="207"/>
      <c r="Q310" s="207"/>
      <c r="R310" s="207"/>
      <c r="S310" s="207"/>
      <c r="T310" s="207"/>
      <c r="U310" s="207"/>
      <c r="V310" s="207"/>
      <c r="W310" s="208"/>
      <c r="X310" s="208"/>
      <c r="Y310" s="208"/>
      <c r="Z310" s="208"/>
      <c r="AA310" s="208"/>
      <c r="AB310" s="208"/>
      <c r="AC310" s="208"/>
      <c r="AD310" s="208"/>
      <c r="AE310" s="208"/>
      <c r="AF310" s="208"/>
      <c r="AG310" s="208"/>
      <c r="AH310" s="208"/>
      <c r="AI310" s="100"/>
      <c r="AJ310" s="100"/>
      <c r="AK310" s="100"/>
      <c r="AL310" s="100"/>
      <c r="AM310" s="100"/>
      <c r="AN310" s="100"/>
      <c r="AO310" s="100"/>
    </row>
    <row r="311" ht="14.25" customHeight="1">
      <c r="A311" s="195"/>
      <c r="B311" s="100"/>
      <c r="C311" s="100"/>
      <c r="D311" s="100"/>
      <c r="E311" s="100"/>
      <c r="F311" s="206"/>
      <c r="G311" s="206"/>
      <c r="H311" s="207"/>
      <c r="I311" s="207"/>
      <c r="J311" s="207"/>
      <c r="K311" s="207"/>
      <c r="L311" s="207"/>
      <c r="M311" s="207"/>
      <c r="N311" s="207"/>
      <c r="O311" s="207"/>
      <c r="P311" s="207"/>
      <c r="Q311" s="207"/>
      <c r="R311" s="207"/>
      <c r="S311" s="207"/>
      <c r="T311" s="207"/>
      <c r="U311" s="207"/>
      <c r="V311" s="207"/>
      <c r="W311" s="208"/>
      <c r="X311" s="208"/>
      <c r="Y311" s="208"/>
      <c r="Z311" s="208"/>
      <c r="AA311" s="208"/>
      <c r="AB311" s="208"/>
      <c r="AC311" s="208"/>
      <c r="AD311" s="208"/>
      <c r="AE311" s="208"/>
      <c r="AF311" s="208"/>
      <c r="AG311" s="208"/>
      <c r="AH311" s="208"/>
      <c r="AI311" s="100"/>
      <c r="AJ311" s="100"/>
      <c r="AK311" s="100"/>
      <c r="AL311" s="100"/>
      <c r="AM311" s="100"/>
      <c r="AN311" s="100"/>
      <c r="AO311" s="100"/>
    </row>
    <row r="312" ht="14.25" customHeight="1">
      <c r="A312" s="195"/>
      <c r="B312" s="100"/>
      <c r="C312" s="100"/>
      <c r="D312" s="100"/>
      <c r="E312" s="100"/>
      <c r="F312" s="206"/>
      <c r="G312" s="206"/>
      <c r="H312" s="207"/>
      <c r="I312" s="207"/>
      <c r="J312" s="207"/>
      <c r="K312" s="207"/>
      <c r="L312" s="207"/>
      <c r="M312" s="207"/>
      <c r="N312" s="207"/>
      <c r="O312" s="207"/>
      <c r="P312" s="207"/>
      <c r="Q312" s="207"/>
      <c r="R312" s="207"/>
      <c r="S312" s="207"/>
      <c r="T312" s="207"/>
      <c r="U312" s="207"/>
      <c r="V312" s="207"/>
      <c r="W312" s="208"/>
      <c r="X312" s="208"/>
      <c r="Y312" s="208"/>
      <c r="Z312" s="208"/>
      <c r="AA312" s="208"/>
      <c r="AB312" s="208"/>
      <c r="AC312" s="208"/>
      <c r="AD312" s="208"/>
      <c r="AE312" s="208"/>
      <c r="AF312" s="208"/>
      <c r="AG312" s="208"/>
      <c r="AH312" s="208"/>
      <c r="AI312" s="100"/>
      <c r="AJ312" s="100"/>
      <c r="AK312" s="100"/>
      <c r="AL312" s="100"/>
      <c r="AM312" s="100"/>
      <c r="AN312" s="100"/>
      <c r="AO312" s="100"/>
    </row>
    <row r="313" ht="14.25" customHeight="1">
      <c r="A313" s="195"/>
      <c r="B313" s="100"/>
      <c r="C313" s="100"/>
      <c r="D313" s="100"/>
      <c r="E313" s="100"/>
      <c r="F313" s="206"/>
      <c r="G313" s="206"/>
      <c r="H313" s="207"/>
      <c r="I313" s="207"/>
      <c r="J313" s="207"/>
      <c r="K313" s="207"/>
      <c r="L313" s="207"/>
      <c r="M313" s="207"/>
      <c r="N313" s="207"/>
      <c r="O313" s="207"/>
      <c r="P313" s="207"/>
      <c r="Q313" s="207"/>
      <c r="R313" s="207"/>
      <c r="S313" s="207"/>
      <c r="T313" s="207"/>
      <c r="U313" s="207"/>
      <c r="V313" s="207"/>
      <c r="W313" s="208"/>
      <c r="X313" s="208"/>
      <c r="Y313" s="208"/>
      <c r="Z313" s="208"/>
      <c r="AA313" s="208"/>
      <c r="AB313" s="208"/>
      <c r="AC313" s="208"/>
      <c r="AD313" s="208"/>
      <c r="AE313" s="208"/>
      <c r="AF313" s="208"/>
      <c r="AG313" s="208"/>
      <c r="AH313" s="208"/>
      <c r="AI313" s="100"/>
      <c r="AJ313" s="100"/>
      <c r="AK313" s="100"/>
      <c r="AL313" s="100"/>
      <c r="AM313" s="100"/>
      <c r="AN313" s="100"/>
      <c r="AO313" s="100"/>
    </row>
    <row r="314" ht="14.25" customHeight="1">
      <c r="A314" s="195"/>
      <c r="B314" s="100"/>
      <c r="C314" s="100"/>
      <c r="D314" s="100"/>
      <c r="E314" s="100"/>
      <c r="F314" s="206"/>
      <c r="G314" s="206"/>
      <c r="H314" s="207"/>
      <c r="I314" s="207"/>
      <c r="J314" s="207"/>
      <c r="K314" s="207"/>
      <c r="L314" s="207"/>
      <c r="M314" s="207"/>
      <c r="N314" s="207"/>
      <c r="O314" s="207"/>
      <c r="P314" s="207"/>
      <c r="Q314" s="207"/>
      <c r="R314" s="207"/>
      <c r="S314" s="207"/>
      <c r="T314" s="207"/>
      <c r="U314" s="207"/>
      <c r="V314" s="207"/>
      <c r="W314" s="208"/>
      <c r="X314" s="208"/>
      <c r="Y314" s="208"/>
      <c r="Z314" s="208"/>
      <c r="AA314" s="208"/>
      <c r="AB314" s="208"/>
      <c r="AC314" s="208"/>
      <c r="AD314" s="208"/>
      <c r="AE314" s="208"/>
      <c r="AF314" s="208"/>
      <c r="AG314" s="208"/>
      <c r="AH314" s="208"/>
      <c r="AI314" s="100"/>
      <c r="AJ314" s="100"/>
      <c r="AK314" s="100"/>
      <c r="AL314" s="100"/>
      <c r="AM314" s="100"/>
      <c r="AN314" s="100"/>
      <c r="AO314" s="100"/>
    </row>
    <row r="315" ht="14.25" customHeight="1">
      <c r="A315" s="195"/>
      <c r="B315" s="100"/>
      <c r="C315" s="100"/>
      <c r="D315" s="100"/>
      <c r="E315" s="100"/>
      <c r="F315" s="206"/>
      <c r="G315" s="206"/>
      <c r="H315" s="207"/>
      <c r="I315" s="207"/>
      <c r="J315" s="207"/>
      <c r="K315" s="207"/>
      <c r="L315" s="207"/>
      <c r="M315" s="207"/>
      <c r="N315" s="207"/>
      <c r="O315" s="207"/>
      <c r="P315" s="207"/>
      <c r="Q315" s="207"/>
      <c r="R315" s="207"/>
      <c r="S315" s="207"/>
      <c r="T315" s="207"/>
      <c r="U315" s="207"/>
      <c r="V315" s="207"/>
      <c r="W315" s="208"/>
      <c r="X315" s="208"/>
      <c r="Y315" s="208"/>
      <c r="Z315" s="208"/>
      <c r="AA315" s="208"/>
      <c r="AB315" s="208"/>
      <c r="AC315" s="208"/>
      <c r="AD315" s="208"/>
      <c r="AE315" s="208"/>
      <c r="AF315" s="208"/>
      <c r="AG315" s="208"/>
      <c r="AH315" s="208"/>
      <c r="AI315" s="100"/>
      <c r="AJ315" s="100"/>
      <c r="AK315" s="100"/>
      <c r="AL315" s="100"/>
      <c r="AM315" s="100"/>
      <c r="AN315" s="100"/>
      <c r="AO315" s="100"/>
    </row>
    <row r="316" ht="14.25" customHeight="1">
      <c r="A316" s="195"/>
      <c r="B316" s="100"/>
      <c r="C316" s="100"/>
      <c r="D316" s="100"/>
      <c r="E316" s="100"/>
      <c r="F316" s="206"/>
      <c r="G316" s="206"/>
      <c r="H316" s="207"/>
      <c r="I316" s="207"/>
      <c r="J316" s="207"/>
      <c r="K316" s="207"/>
      <c r="L316" s="207"/>
      <c r="M316" s="207"/>
      <c r="N316" s="207"/>
      <c r="O316" s="207"/>
      <c r="P316" s="207"/>
      <c r="Q316" s="207"/>
      <c r="R316" s="207"/>
      <c r="S316" s="207"/>
      <c r="T316" s="207"/>
      <c r="U316" s="207"/>
      <c r="V316" s="207"/>
      <c r="W316" s="208"/>
      <c r="X316" s="208"/>
      <c r="Y316" s="208"/>
      <c r="Z316" s="208"/>
      <c r="AA316" s="208"/>
      <c r="AB316" s="208"/>
      <c r="AC316" s="208"/>
      <c r="AD316" s="208"/>
      <c r="AE316" s="208"/>
      <c r="AF316" s="208"/>
      <c r="AG316" s="208"/>
      <c r="AH316" s="208"/>
      <c r="AI316" s="100"/>
      <c r="AJ316" s="100"/>
      <c r="AK316" s="100"/>
      <c r="AL316" s="100"/>
      <c r="AM316" s="100"/>
      <c r="AN316" s="100"/>
      <c r="AO316" s="100"/>
    </row>
    <row r="317" ht="14.25" customHeight="1">
      <c r="A317" s="195"/>
      <c r="B317" s="100"/>
      <c r="C317" s="100"/>
      <c r="D317" s="100"/>
      <c r="E317" s="100"/>
      <c r="F317" s="206"/>
      <c r="G317" s="206"/>
      <c r="H317" s="207"/>
      <c r="I317" s="207"/>
      <c r="J317" s="207"/>
      <c r="K317" s="207"/>
      <c r="L317" s="207"/>
      <c r="M317" s="207"/>
      <c r="N317" s="207"/>
      <c r="O317" s="207"/>
      <c r="P317" s="207"/>
      <c r="Q317" s="207"/>
      <c r="R317" s="207"/>
      <c r="S317" s="207"/>
      <c r="T317" s="207"/>
      <c r="U317" s="207"/>
      <c r="V317" s="207"/>
      <c r="W317" s="208"/>
      <c r="X317" s="208"/>
      <c r="Y317" s="208"/>
      <c r="Z317" s="208"/>
      <c r="AA317" s="208"/>
      <c r="AB317" s="208"/>
      <c r="AC317" s="208"/>
      <c r="AD317" s="208"/>
      <c r="AE317" s="208"/>
      <c r="AF317" s="208"/>
      <c r="AG317" s="208"/>
      <c r="AH317" s="208"/>
      <c r="AI317" s="100"/>
      <c r="AJ317" s="100"/>
      <c r="AK317" s="100"/>
      <c r="AL317" s="100"/>
      <c r="AM317" s="100"/>
      <c r="AN317" s="100"/>
      <c r="AO317" s="100"/>
    </row>
    <row r="318" ht="14.25" customHeight="1">
      <c r="A318" s="195"/>
      <c r="B318" s="100"/>
      <c r="C318" s="100"/>
      <c r="D318" s="100"/>
      <c r="E318" s="100"/>
      <c r="F318" s="206"/>
      <c r="G318" s="206"/>
      <c r="H318" s="207"/>
      <c r="I318" s="207"/>
      <c r="J318" s="207"/>
      <c r="K318" s="207"/>
      <c r="L318" s="207"/>
      <c r="M318" s="207"/>
      <c r="N318" s="207"/>
      <c r="O318" s="207"/>
      <c r="P318" s="207"/>
      <c r="Q318" s="207"/>
      <c r="R318" s="207"/>
      <c r="S318" s="207"/>
      <c r="T318" s="207"/>
      <c r="U318" s="207"/>
      <c r="V318" s="207"/>
      <c r="W318" s="208"/>
      <c r="X318" s="208"/>
      <c r="Y318" s="208"/>
      <c r="Z318" s="208"/>
      <c r="AA318" s="208"/>
      <c r="AB318" s="208"/>
      <c r="AC318" s="208"/>
      <c r="AD318" s="208"/>
      <c r="AE318" s="208"/>
      <c r="AF318" s="208"/>
      <c r="AG318" s="208"/>
      <c r="AH318" s="208"/>
      <c r="AI318" s="100"/>
      <c r="AJ318" s="100"/>
      <c r="AK318" s="100"/>
      <c r="AL318" s="100"/>
      <c r="AM318" s="100"/>
      <c r="AN318" s="100"/>
      <c r="AO318" s="100"/>
    </row>
    <row r="319" ht="14.25" customHeight="1">
      <c r="A319" s="195"/>
      <c r="B319" s="100"/>
      <c r="C319" s="100"/>
      <c r="D319" s="100"/>
      <c r="E319" s="100"/>
      <c r="F319" s="206"/>
      <c r="G319" s="206"/>
      <c r="H319" s="207"/>
      <c r="I319" s="207"/>
      <c r="J319" s="207"/>
      <c r="K319" s="207"/>
      <c r="L319" s="207"/>
      <c r="M319" s="207"/>
      <c r="N319" s="207"/>
      <c r="O319" s="207"/>
      <c r="P319" s="207"/>
      <c r="Q319" s="207"/>
      <c r="R319" s="207"/>
      <c r="S319" s="207"/>
      <c r="T319" s="207"/>
      <c r="U319" s="207"/>
      <c r="V319" s="207"/>
      <c r="W319" s="208"/>
      <c r="X319" s="208"/>
      <c r="Y319" s="208"/>
      <c r="Z319" s="208"/>
      <c r="AA319" s="208"/>
      <c r="AB319" s="208"/>
      <c r="AC319" s="208"/>
      <c r="AD319" s="208"/>
      <c r="AE319" s="208"/>
      <c r="AF319" s="208"/>
      <c r="AG319" s="208"/>
      <c r="AH319" s="208"/>
      <c r="AI319" s="100"/>
      <c r="AJ319" s="100"/>
      <c r="AK319" s="100"/>
      <c r="AL319" s="100"/>
      <c r="AM319" s="100"/>
      <c r="AN319" s="100"/>
      <c r="AO319" s="100"/>
    </row>
    <row r="320" ht="14.25" customHeight="1">
      <c r="A320" s="195"/>
      <c r="B320" s="100"/>
      <c r="C320" s="100"/>
      <c r="D320" s="100"/>
      <c r="E320" s="100"/>
      <c r="F320" s="206"/>
      <c r="G320" s="206"/>
      <c r="H320" s="207"/>
      <c r="I320" s="207"/>
      <c r="J320" s="207"/>
      <c r="K320" s="207"/>
      <c r="L320" s="207"/>
      <c r="M320" s="207"/>
      <c r="N320" s="207"/>
      <c r="O320" s="207"/>
      <c r="P320" s="207"/>
      <c r="Q320" s="207"/>
      <c r="R320" s="207"/>
      <c r="S320" s="207"/>
      <c r="T320" s="207"/>
      <c r="U320" s="207"/>
      <c r="V320" s="207"/>
      <c r="W320" s="208"/>
      <c r="X320" s="208"/>
      <c r="Y320" s="208"/>
      <c r="Z320" s="208"/>
      <c r="AA320" s="208"/>
      <c r="AB320" s="208"/>
      <c r="AC320" s="208"/>
      <c r="AD320" s="208"/>
      <c r="AE320" s="208"/>
      <c r="AF320" s="208"/>
      <c r="AG320" s="208"/>
      <c r="AH320" s="208"/>
      <c r="AI320" s="100"/>
      <c r="AJ320" s="100"/>
      <c r="AK320" s="100"/>
      <c r="AL320" s="100"/>
      <c r="AM320" s="100"/>
      <c r="AN320" s="100"/>
      <c r="AO320" s="100"/>
    </row>
    <row r="321" ht="14.25" customHeight="1">
      <c r="A321" s="195"/>
      <c r="B321" s="100"/>
      <c r="C321" s="100"/>
      <c r="D321" s="100"/>
      <c r="E321" s="100"/>
      <c r="F321" s="206"/>
      <c r="G321" s="206"/>
      <c r="H321" s="207"/>
      <c r="I321" s="207"/>
      <c r="J321" s="207"/>
      <c r="K321" s="207"/>
      <c r="L321" s="207"/>
      <c r="M321" s="207"/>
      <c r="N321" s="207"/>
      <c r="O321" s="207"/>
      <c r="P321" s="207"/>
      <c r="Q321" s="207"/>
      <c r="R321" s="207"/>
      <c r="S321" s="207"/>
      <c r="T321" s="207"/>
      <c r="U321" s="207"/>
      <c r="V321" s="207"/>
      <c r="W321" s="208"/>
      <c r="X321" s="208"/>
      <c r="Y321" s="208"/>
      <c r="Z321" s="208"/>
      <c r="AA321" s="208"/>
      <c r="AB321" s="208"/>
      <c r="AC321" s="208"/>
      <c r="AD321" s="208"/>
      <c r="AE321" s="208"/>
      <c r="AF321" s="208"/>
      <c r="AG321" s="208"/>
      <c r="AH321" s="208"/>
      <c r="AI321" s="100"/>
      <c r="AJ321" s="100"/>
      <c r="AK321" s="100"/>
      <c r="AL321" s="100"/>
      <c r="AM321" s="100"/>
      <c r="AN321" s="100"/>
      <c r="AO321" s="100"/>
    </row>
    <row r="322" ht="14.25" customHeight="1">
      <c r="A322" s="195"/>
      <c r="B322" s="100"/>
      <c r="C322" s="100"/>
      <c r="D322" s="100"/>
      <c r="E322" s="100"/>
      <c r="F322" s="206"/>
      <c r="G322" s="206"/>
      <c r="H322" s="207"/>
      <c r="I322" s="207"/>
      <c r="J322" s="207"/>
      <c r="K322" s="207"/>
      <c r="L322" s="207"/>
      <c r="M322" s="207"/>
      <c r="N322" s="207"/>
      <c r="O322" s="207"/>
      <c r="P322" s="207"/>
      <c r="Q322" s="207"/>
      <c r="R322" s="207"/>
      <c r="S322" s="207"/>
      <c r="T322" s="207"/>
      <c r="U322" s="207"/>
      <c r="V322" s="207"/>
      <c r="W322" s="208"/>
      <c r="X322" s="208"/>
      <c r="Y322" s="208"/>
      <c r="Z322" s="208"/>
      <c r="AA322" s="208"/>
      <c r="AB322" s="208"/>
      <c r="AC322" s="208"/>
      <c r="AD322" s="208"/>
      <c r="AE322" s="208"/>
      <c r="AF322" s="208"/>
      <c r="AG322" s="208"/>
      <c r="AH322" s="208"/>
      <c r="AI322" s="100"/>
      <c r="AJ322" s="100"/>
      <c r="AK322" s="100"/>
      <c r="AL322" s="100"/>
      <c r="AM322" s="100"/>
      <c r="AN322" s="100"/>
      <c r="AO322" s="100"/>
    </row>
    <row r="323" ht="14.25" customHeight="1">
      <c r="A323" s="195"/>
      <c r="B323" s="100"/>
      <c r="C323" s="100"/>
      <c r="D323" s="100"/>
      <c r="E323" s="100"/>
      <c r="F323" s="206"/>
      <c r="G323" s="206"/>
      <c r="H323" s="207"/>
      <c r="I323" s="207"/>
      <c r="J323" s="207"/>
      <c r="K323" s="207"/>
      <c r="L323" s="207"/>
      <c r="M323" s="207"/>
      <c r="N323" s="207"/>
      <c r="O323" s="207"/>
      <c r="P323" s="207"/>
      <c r="Q323" s="207"/>
      <c r="R323" s="207"/>
      <c r="S323" s="207"/>
      <c r="T323" s="207"/>
      <c r="U323" s="207"/>
      <c r="V323" s="207"/>
      <c r="W323" s="208"/>
      <c r="X323" s="208"/>
      <c r="Y323" s="208"/>
      <c r="Z323" s="208"/>
      <c r="AA323" s="208"/>
      <c r="AB323" s="208"/>
      <c r="AC323" s="208"/>
      <c r="AD323" s="208"/>
      <c r="AE323" s="208"/>
      <c r="AF323" s="208"/>
      <c r="AG323" s="208"/>
      <c r="AH323" s="208"/>
      <c r="AI323" s="100"/>
      <c r="AJ323" s="100"/>
      <c r="AK323" s="100"/>
      <c r="AL323" s="100"/>
      <c r="AM323" s="100"/>
      <c r="AN323" s="100"/>
      <c r="AO323" s="100"/>
    </row>
    <row r="324" ht="14.25" customHeight="1">
      <c r="A324" s="195"/>
      <c r="B324" s="100"/>
      <c r="C324" s="100"/>
      <c r="D324" s="100"/>
      <c r="E324" s="100"/>
      <c r="F324" s="206"/>
      <c r="G324" s="206"/>
      <c r="H324" s="207"/>
      <c r="I324" s="207"/>
      <c r="J324" s="207"/>
      <c r="K324" s="207"/>
      <c r="L324" s="207"/>
      <c r="M324" s="207"/>
      <c r="N324" s="207"/>
      <c r="O324" s="207"/>
      <c r="P324" s="207"/>
      <c r="Q324" s="207"/>
      <c r="R324" s="207"/>
      <c r="S324" s="207"/>
      <c r="T324" s="207"/>
      <c r="U324" s="207"/>
      <c r="V324" s="207"/>
      <c r="W324" s="208"/>
      <c r="X324" s="208"/>
      <c r="Y324" s="208"/>
      <c r="Z324" s="208"/>
      <c r="AA324" s="208"/>
      <c r="AB324" s="208"/>
      <c r="AC324" s="208"/>
      <c r="AD324" s="208"/>
      <c r="AE324" s="208"/>
      <c r="AF324" s="208"/>
      <c r="AG324" s="208"/>
      <c r="AH324" s="208"/>
      <c r="AI324" s="100"/>
      <c r="AJ324" s="100"/>
      <c r="AK324" s="100"/>
      <c r="AL324" s="100"/>
      <c r="AM324" s="100"/>
      <c r="AN324" s="100"/>
      <c r="AO324" s="100"/>
    </row>
    <row r="325" ht="14.25" customHeight="1">
      <c r="A325" s="195"/>
      <c r="B325" s="100"/>
      <c r="C325" s="100"/>
      <c r="D325" s="100"/>
      <c r="E325" s="100"/>
      <c r="F325" s="206"/>
      <c r="G325" s="206"/>
      <c r="H325" s="207"/>
      <c r="I325" s="207"/>
      <c r="J325" s="207"/>
      <c r="K325" s="207"/>
      <c r="L325" s="207"/>
      <c r="M325" s="207"/>
      <c r="N325" s="207"/>
      <c r="O325" s="207"/>
      <c r="P325" s="207"/>
      <c r="Q325" s="207"/>
      <c r="R325" s="207"/>
      <c r="S325" s="207"/>
      <c r="T325" s="207"/>
      <c r="U325" s="207"/>
      <c r="V325" s="207"/>
      <c r="W325" s="208"/>
      <c r="X325" s="208"/>
      <c r="Y325" s="208"/>
      <c r="Z325" s="208"/>
      <c r="AA325" s="208"/>
      <c r="AB325" s="208"/>
      <c r="AC325" s="208"/>
      <c r="AD325" s="208"/>
      <c r="AE325" s="208"/>
      <c r="AF325" s="208"/>
      <c r="AG325" s="208"/>
      <c r="AH325" s="208"/>
      <c r="AI325" s="100"/>
      <c r="AJ325" s="100"/>
      <c r="AK325" s="100"/>
      <c r="AL325" s="100"/>
      <c r="AM325" s="100"/>
      <c r="AN325" s="100"/>
      <c r="AO325" s="100"/>
    </row>
    <row r="326" ht="14.25" customHeight="1">
      <c r="A326" s="195"/>
      <c r="B326" s="100"/>
      <c r="C326" s="100"/>
      <c r="D326" s="100"/>
      <c r="E326" s="100"/>
      <c r="F326" s="206"/>
      <c r="G326" s="206"/>
      <c r="H326" s="207"/>
      <c r="I326" s="207"/>
      <c r="J326" s="207"/>
      <c r="K326" s="207"/>
      <c r="L326" s="207"/>
      <c r="M326" s="207"/>
      <c r="N326" s="207"/>
      <c r="O326" s="207"/>
      <c r="P326" s="207"/>
      <c r="Q326" s="207"/>
      <c r="R326" s="207"/>
      <c r="S326" s="207"/>
      <c r="T326" s="207"/>
      <c r="U326" s="207"/>
      <c r="V326" s="207"/>
      <c r="W326" s="208"/>
      <c r="X326" s="208"/>
      <c r="Y326" s="208"/>
      <c r="Z326" s="208"/>
      <c r="AA326" s="208"/>
      <c r="AB326" s="208"/>
      <c r="AC326" s="208"/>
      <c r="AD326" s="208"/>
      <c r="AE326" s="208"/>
      <c r="AF326" s="208"/>
      <c r="AG326" s="208"/>
      <c r="AH326" s="208"/>
      <c r="AI326" s="100"/>
      <c r="AJ326" s="100"/>
      <c r="AK326" s="100"/>
      <c r="AL326" s="100"/>
      <c r="AM326" s="100"/>
      <c r="AN326" s="100"/>
      <c r="AO326" s="100"/>
    </row>
    <row r="327" ht="14.25" customHeight="1">
      <c r="A327" s="195"/>
      <c r="B327" s="100"/>
      <c r="C327" s="100"/>
      <c r="D327" s="100"/>
      <c r="E327" s="100"/>
      <c r="F327" s="206"/>
      <c r="G327" s="206"/>
      <c r="H327" s="207"/>
      <c r="I327" s="207"/>
      <c r="J327" s="207"/>
      <c r="K327" s="207"/>
      <c r="L327" s="207"/>
      <c r="M327" s="207"/>
      <c r="N327" s="207"/>
      <c r="O327" s="207"/>
      <c r="P327" s="207"/>
      <c r="Q327" s="207"/>
      <c r="R327" s="207"/>
      <c r="S327" s="207"/>
      <c r="T327" s="207"/>
      <c r="U327" s="207"/>
      <c r="V327" s="207"/>
      <c r="W327" s="208"/>
      <c r="X327" s="208"/>
      <c r="Y327" s="208"/>
      <c r="Z327" s="208"/>
      <c r="AA327" s="208"/>
      <c r="AB327" s="208"/>
      <c r="AC327" s="208"/>
      <c r="AD327" s="208"/>
      <c r="AE327" s="208"/>
      <c r="AF327" s="208"/>
      <c r="AG327" s="208"/>
      <c r="AH327" s="208"/>
      <c r="AI327" s="100"/>
      <c r="AJ327" s="100"/>
      <c r="AK327" s="100"/>
      <c r="AL327" s="100"/>
      <c r="AM327" s="100"/>
      <c r="AN327" s="100"/>
      <c r="AO327" s="100"/>
    </row>
    <row r="328" ht="14.25" customHeight="1">
      <c r="A328" s="195"/>
      <c r="B328" s="100"/>
      <c r="C328" s="100"/>
      <c r="D328" s="100"/>
      <c r="E328" s="100"/>
      <c r="F328" s="206"/>
      <c r="G328" s="206"/>
      <c r="H328" s="207"/>
      <c r="I328" s="207"/>
      <c r="J328" s="207"/>
      <c r="K328" s="207"/>
      <c r="L328" s="207"/>
      <c r="M328" s="207"/>
      <c r="N328" s="207"/>
      <c r="O328" s="207"/>
      <c r="P328" s="207"/>
      <c r="Q328" s="207"/>
      <c r="R328" s="207"/>
      <c r="S328" s="207"/>
      <c r="T328" s="207"/>
      <c r="U328" s="207"/>
      <c r="V328" s="207"/>
      <c r="W328" s="208"/>
      <c r="X328" s="208"/>
      <c r="Y328" s="208"/>
      <c r="Z328" s="208"/>
      <c r="AA328" s="208"/>
      <c r="AB328" s="208"/>
      <c r="AC328" s="208"/>
      <c r="AD328" s="208"/>
      <c r="AE328" s="208"/>
      <c r="AF328" s="208"/>
      <c r="AG328" s="208"/>
      <c r="AH328" s="208"/>
      <c r="AI328" s="100"/>
      <c r="AJ328" s="100"/>
      <c r="AK328" s="100"/>
      <c r="AL328" s="100"/>
      <c r="AM328" s="100"/>
      <c r="AN328" s="100"/>
      <c r="AO328" s="100"/>
    </row>
    <row r="329" ht="14.25" customHeight="1">
      <c r="A329" s="195"/>
      <c r="B329" s="100"/>
      <c r="C329" s="100"/>
      <c r="D329" s="100"/>
      <c r="E329" s="100"/>
      <c r="F329" s="206"/>
      <c r="G329" s="206"/>
      <c r="H329" s="207"/>
      <c r="I329" s="207"/>
      <c r="J329" s="207"/>
      <c r="K329" s="207"/>
      <c r="L329" s="207"/>
      <c r="M329" s="207"/>
      <c r="N329" s="207"/>
      <c r="O329" s="207"/>
      <c r="P329" s="207"/>
      <c r="Q329" s="207"/>
      <c r="R329" s="207"/>
      <c r="S329" s="207"/>
      <c r="T329" s="207"/>
      <c r="U329" s="207"/>
      <c r="V329" s="207"/>
      <c r="W329" s="208"/>
      <c r="X329" s="208"/>
      <c r="Y329" s="208"/>
      <c r="Z329" s="208"/>
      <c r="AA329" s="208"/>
      <c r="AB329" s="208"/>
      <c r="AC329" s="208"/>
      <c r="AD329" s="208"/>
      <c r="AE329" s="208"/>
      <c r="AF329" s="208"/>
      <c r="AG329" s="208"/>
      <c r="AH329" s="208"/>
      <c r="AI329" s="100"/>
      <c r="AJ329" s="100"/>
      <c r="AK329" s="100"/>
      <c r="AL329" s="100"/>
      <c r="AM329" s="100"/>
      <c r="AN329" s="100"/>
      <c r="AO329" s="100"/>
    </row>
    <row r="330" ht="14.25" customHeight="1">
      <c r="A330" s="195"/>
      <c r="B330" s="100"/>
      <c r="C330" s="100"/>
      <c r="D330" s="100"/>
      <c r="E330" s="100"/>
      <c r="F330" s="206"/>
      <c r="G330" s="206"/>
      <c r="H330" s="207"/>
      <c r="I330" s="207"/>
      <c r="J330" s="207"/>
      <c r="K330" s="207"/>
      <c r="L330" s="207"/>
      <c r="M330" s="207"/>
      <c r="N330" s="207"/>
      <c r="O330" s="207"/>
      <c r="P330" s="207"/>
      <c r="Q330" s="207"/>
      <c r="R330" s="207"/>
      <c r="S330" s="207"/>
      <c r="T330" s="207"/>
      <c r="U330" s="207"/>
      <c r="V330" s="207"/>
      <c r="W330" s="208"/>
      <c r="X330" s="208"/>
      <c r="Y330" s="208"/>
      <c r="Z330" s="208"/>
      <c r="AA330" s="208"/>
      <c r="AB330" s="208"/>
      <c r="AC330" s="208"/>
      <c r="AD330" s="208"/>
      <c r="AE330" s="208"/>
      <c r="AF330" s="208"/>
      <c r="AG330" s="208"/>
      <c r="AH330" s="208"/>
      <c r="AI330" s="100"/>
      <c r="AJ330" s="100"/>
      <c r="AK330" s="100"/>
      <c r="AL330" s="100"/>
      <c r="AM330" s="100"/>
      <c r="AN330" s="100"/>
      <c r="AO330" s="100"/>
    </row>
    <row r="331" ht="14.25" customHeight="1">
      <c r="A331" s="195"/>
      <c r="B331" s="100"/>
      <c r="C331" s="100"/>
      <c r="D331" s="100"/>
      <c r="E331" s="100"/>
      <c r="F331" s="206"/>
      <c r="G331" s="206"/>
      <c r="H331" s="207"/>
      <c r="I331" s="207"/>
      <c r="J331" s="207"/>
      <c r="K331" s="207"/>
      <c r="L331" s="207"/>
      <c r="M331" s="207"/>
      <c r="N331" s="207"/>
      <c r="O331" s="207"/>
      <c r="P331" s="207"/>
      <c r="Q331" s="207"/>
      <c r="R331" s="207"/>
      <c r="S331" s="207"/>
      <c r="T331" s="207"/>
      <c r="U331" s="207"/>
      <c r="V331" s="207"/>
      <c r="W331" s="208"/>
      <c r="X331" s="208"/>
      <c r="Y331" s="208"/>
      <c r="Z331" s="208"/>
      <c r="AA331" s="208"/>
      <c r="AB331" s="208"/>
      <c r="AC331" s="208"/>
      <c r="AD331" s="208"/>
      <c r="AE331" s="208"/>
      <c r="AF331" s="208"/>
      <c r="AG331" s="208"/>
      <c r="AH331" s="208"/>
      <c r="AI331" s="100"/>
      <c r="AJ331" s="100"/>
      <c r="AK331" s="100"/>
      <c r="AL331" s="100"/>
      <c r="AM331" s="100"/>
      <c r="AN331" s="100"/>
      <c r="AO331" s="100"/>
    </row>
    <row r="332" ht="14.25" customHeight="1">
      <c r="A332" s="195"/>
      <c r="B332" s="100"/>
      <c r="C332" s="100"/>
      <c r="D332" s="100"/>
      <c r="E332" s="100"/>
      <c r="F332" s="206"/>
      <c r="G332" s="206"/>
      <c r="H332" s="207"/>
      <c r="I332" s="207"/>
      <c r="J332" s="207"/>
      <c r="K332" s="207"/>
      <c r="L332" s="207"/>
      <c r="M332" s="207"/>
      <c r="N332" s="207"/>
      <c r="O332" s="207"/>
      <c r="P332" s="207"/>
      <c r="Q332" s="207"/>
      <c r="R332" s="207"/>
      <c r="S332" s="207"/>
      <c r="T332" s="207"/>
      <c r="U332" s="207"/>
      <c r="V332" s="207"/>
      <c r="W332" s="208"/>
      <c r="X332" s="208"/>
      <c r="Y332" s="208"/>
      <c r="Z332" s="208"/>
      <c r="AA332" s="208"/>
      <c r="AB332" s="208"/>
      <c r="AC332" s="208"/>
      <c r="AD332" s="208"/>
      <c r="AE332" s="208"/>
      <c r="AF332" s="208"/>
      <c r="AG332" s="208"/>
      <c r="AH332" s="208"/>
      <c r="AI332" s="100"/>
      <c r="AJ332" s="100"/>
      <c r="AK332" s="100"/>
      <c r="AL332" s="100"/>
      <c r="AM332" s="100"/>
      <c r="AN332" s="100"/>
      <c r="AO332" s="100"/>
    </row>
    <row r="333" ht="14.25" customHeight="1">
      <c r="A333" s="195"/>
      <c r="B333" s="100"/>
      <c r="C333" s="100"/>
      <c r="D333" s="100"/>
      <c r="E333" s="100"/>
      <c r="F333" s="206"/>
      <c r="G333" s="206"/>
      <c r="H333" s="207"/>
      <c r="I333" s="207"/>
      <c r="J333" s="207"/>
      <c r="K333" s="207"/>
      <c r="L333" s="207"/>
      <c r="M333" s="207"/>
      <c r="N333" s="207"/>
      <c r="O333" s="207"/>
      <c r="P333" s="207"/>
      <c r="Q333" s="207"/>
      <c r="R333" s="207"/>
      <c r="S333" s="207"/>
      <c r="T333" s="207"/>
      <c r="U333" s="207"/>
      <c r="V333" s="207"/>
      <c r="W333" s="208"/>
      <c r="X333" s="208"/>
      <c r="Y333" s="208"/>
      <c r="Z333" s="208"/>
      <c r="AA333" s="208"/>
      <c r="AB333" s="208"/>
      <c r="AC333" s="208"/>
      <c r="AD333" s="208"/>
      <c r="AE333" s="208"/>
      <c r="AF333" s="208"/>
      <c r="AG333" s="208"/>
      <c r="AH333" s="208"/>
      <c r="AI333" s="100"/>
      <c r="AJ333" s="100"/>
      <c r="AK333" s="100"/>
      <c r="AL333" s="100"/>
      <c r="AM333" s="100"/>
      <c r="AN333" s="100"/>
      <c r="AO333" s="100"/>
    </row>
    <row r="334" ht="14.25" customHeight="1">
      <c r="A334" s="195"/>
      <c r="B334" s="100"/>
      <c r="C334" s="100"/>
      <c r="D334" s="100"/>
      <c r="E334" s="100"/>
      <c r="F334" s="206"/>
      <c r="G334" s="206"/>
      <c r="H334" s="207"/>
      <c r="I334" s="207"/>
      <c r="J334" s="207"/>
      <c r="K334" s="207"/>
      <c r="L334" s="207"/>
      <c r="M334" s="207"/>
      <c r="N334" s="207"/>
      <c r="O334" s="207"/>
      <c r="P334" s="207"/>
      <c r="Q334" s="207"/>
      <c r="R334" s="207"/>
      <c r="S334" s="207"/>
      <c r="T334" s="207"/>
      <c r="U334" s="207"/>
      <c r="V334" s="207"/>
      <c r="W334" s="208"/>
      <c r="X334" s="208"/>
      <c r="Y334" s="208"/>
      <c r="Z334" s="208"/>
      <c r="AA334" s="208"/>
      <c r="AB334" s="208"/>
      <c r="AC334" s="208"/>
      <c r="AD334" s="208"/>
      <c r="AE334" s="208"/>
      <c r="AF334" s="208"/>
      <c r="AG334" s="208"/>
      <c r="AH334" s="208"/>
      <c r="AI334" s="100"/>
      <c r="AJ334" s="100"/>
      <c r="AK334" s="100"/>
      <c r="AL334" s="100"/>
      <c r="AM334" s="100"/>
      <c r="AN334" s="100"/>
      <c r="AO334" s="100"/>
    </row>
    <row r="335" ht="14.25" customHeight="1">
      <c r="A335" s="195"/>
      <c r="B335" s="100"/>
      <c r="C335" s="100"/>
      <c r="D335" s="100"/>
      <c r="E335" s="100"/>
      <c r="F335" s="206"/>
      <c r="G335" s="206"/>
      <c r="H335" s="207"/>
      <c r="I335" s="207"/>
      <c r="J335" s="207"/>
      <c r="K335" s="207"/>
      <c r="L335" s="207"/>
      <c r="M335" s="207"/>
      <c r="N335" s="207"/>
      <c r="O335" s="207"/>
      <c r="P335" s="207"/>
      <c r="Q335" s="207"/>
      <c r="R335" s="207"/>
      <c r="S335" s="207"/>
      <c r="T335" s="207"/>
      <c r="U335" s="207"/>
      <c r="V335" s="207"/>
      <c r="W335" s="208"/>
      <c r="X335" s="208"/>
      <c r="Y335" s="208"/>
      <c r="Z335" s="208"/>
      <c r="AA335" s="208"/>
      <c r="AB335" s="208"/>
      <c r="AC335" s="208"/>
      <c r="AD335" s="208"/>
      <c r="AE335" s="208"/>
      <c r="AF335" s="208"/>
      <c r="AG335" s="208"/>
      <c r="AH335" s="208"/>
      <c r="AI335" s="100"/>
      <c r="AJ335" s="100"/>
      <c r="AK335" s="100"/>
      <c r="AL335" s="100"/>
      <c r="AM335" s="100"/>
      <c r="AN335" s="100"/>
      <c r="AO335" s="100"/>
    </row>
    <row r="336" ht="14.25" customHeight="1">
      <c r="A336" s="195"/>
      <c r="B336" s="100"/>
      <c r="C336" s="100"/>
      <c r="D336" s="100"/>
      <c r="E336" s="100"/>
      <c r="F336" s="206"/>
      <c r="G336" s="206"/>
      <c r="H336" s="207"/>
      <c r="I336" s="207"/>
      <c r="J336" s="207"/>
      <c r="K336" s="207"/>
      <c r="L336" s="207"/>
      <c r="M336" s="207"/>
      <c r="N336" s="207"/>
      <c r="O336" s="207"/>
      <c r="P336" s="207"/>
      <c r="Q336" s="207"/>
      <c r="R336" s="207"/>
      <c r="S336" s="207"/>
      <c r="T336" s="207"/>
      <c r="U336" s="207"/>
      <c r="V336" s="207"/>
      <c r="W336" s="208"/>
      <c r="X336" s="208"/>
      <c r="Y336" s="208"/>
      <c r="Z336" s="208"/>
      <c r="AA336" s="208"/>
      <c r="AB336" s="208"/>
      <c r="AC336" s="208"/>
      <c r="AD336" s="208"/>
      <c r="AE336" s="208"/>
      <c r="AF336" s="208"/>
      <c r="AG336" s="208"/>
      <c r="AH336" s="208"/>
      <c r="AI336" s="100"/>
      <c r="AJ336" s="100"/>
      <c r="AK336" s="100"/>
      <c r="AL336" s="100"/>
      <c r="AM336" s="100"/>
      <c r="AN336" s="100"/>
      <c r="AO336" s="100"/>
    </row>
    <row r="337" ht="14.25" customHeight="1">
      <c r="A337" s="195"/>
      <c r="B337" s="100"/>
      <c r="C337" s="100"/>
      <c r="D337" s="100"/>
      <c r="E337" s="100"/>
      <c r="F337" s="206"/>
      <c r="G337" s="206"/>
      <c r="H337" s="207"/>
      <c r="I337" s="207"/>
      <c r="J337" s="207"/>
      <c r="K337" s="207"/>
      <c r="L337" s="207"/>
      <c r="M337" s="207"/>
      <c r="N337" s="207"/>
      <c r="O337" s="207"/>
      <c r="P337" s="207"/>
      <c r="Q337" s="207"/>
      <c r="R337" s="207"/>
      <c r="S337" s="207"/>
      <c r="T337" s="207"/>
      <c r="U337" s="207"/>
      <c r="V337" s="207"/>
      <c r="W337" s="208"/>
      <c r="X337" s="208"/>
      <c r="Y337" s="208"/>
      <c r="Z337" s="208"/>
      <c r="AA337" s="208"/>
      <c r="AB337" s="208"/>
      <c r="AC337" s="208"/>
      <c r="AD337" s="208"/>
      <c r="AE337" s="208"/>
      <c r="AF337" s="208"/>
      <c r="AG337" s="208"/>
      <c r="AH337" s="208"/>
      <c r="AI337" s="100"/>
      <c r="AJ337" s="100"/>
      <c r="AK337" s="100"/>
      <c r="AL337" s="100"/>
      <c r="AM337" s="100"/>
      <c r="AN337" s="100"/>
      <c r="AO337" s="100"/>
    </row>
    <row r="338" ht="14.25" customHeight="1">
      <c r="A338" s="195"/>
      <c r="B338" s="100"/>
      <c r="C338" s="100"/>
      <c r="D338" s="100"/>
      <c r="E338" s="100"/>
      <c r="F338" s="206"/>
      <c r="G338" s="206"/>
      <c r="H338" s="207"/>
      <c r="I338" s="207"/>
      <c r="J338" s="207"/>
      <c r="K338" s="207"/>
      <c r="L338" s="207"/>
      <c r="M338" s="207"/>
      <c r="N338" s="207"/>
      <c r="O338" s="207"/>
      <c r="P338" s="207"/>
      <c r="Q338" s="207"/>
      <c r="R338" s="207"/>
      <c r="S338" s="207"/>
      <c r="T338" s="207"/>
      <c r="U338" s="207"/>
      <c r="V338" s="207"/>
      <c r="W338" s="208"/>
      <c r="X338" s="208"/>
      <c r="Y338" s="208"/>
      <c r="Z338" s="208"/>
      <c r="AA338" s="208"/>
      <c r="AB338" s="208"/>
      <c r="AC338" s="208"/>
      <c r="AD338" s="208"/>
      <c r="AE338" s="208"/>
      <c r="AF338" s="208"/>
      <c r="AG338" s="208"/>
      <c r="AH338" s="208"/>
      <c r="AI338" s="100"/>
      <c r="AJ338" s="100"/>
      <c r="AK338" s="100"/>
      <c r="AL338" s="100"/>
      <c r="AM338" s="100"/>
      <c r="AN338" s="100"/>
      <c r="AO338" s="100"/>
    </row>
    <row r="339" ht="14.25" customHeight="1">
      <c r="A339" s="195"/>
      <c r="B339" s="100"/>
      <c r="C339" s="100"/>
      <c r="D339" s="100"/>
      <c r="E339" s="100"/>
      <c r="F339" s="206"/>
      <c r="G339" s="206"/>
      <c r="H339" s="207"/>
      <c r="I339" s="207"/>
      <c r="J339" s="207"/>
      <c r="K339" s="207"/>
      <c r="L339" s="207"/>
      <c r="M339" s="207"/>
      <c r="N339" s="207"/>
      <c r="O339" s="207"/>
      <c r="P339" s="207"/>
      <c r="Q339" s="207"/>
      <c r="R339" s="207"/>
      <c r="S339" s="207"/>
      <c r="T339" s="207"/>
      <c r="U339" s="207"/>
      <c r="V339" s="207"/>
      <c r="W339" s="208"/>
      <c r="X339" s="208"/>
      <c r="Y339" s="208"/>
      <c r="Z339" s="208"/>
      <c r="AA339" s="208"/>
      <c r="AB339" s="208"/>
      <c r="AC339" s="208"/>
      <c r="AD339" s="208"/>
      <c r="AE339" s="208"/>
      <c r="AF339" s="208"/>
      <c r="AG339" s="208"/>
      <c r="AH339" s="208"/>
      <c r="AI339" s="100"/>
      <c r="AJ339" s="100"/>
      <c r="AK339" s="100"/>
      <c r="AL339" s="100"/>
      <c r="AM339" s="100"/>
      <c r="AN339" s="100"/>
      <c r="AO339" s="100"/>
    </row>
    <row r="340" ht="14.25" customHeight="1">
      <c r="A340" s="195"/>
      <c r="B340" s="100"/>
      <c r="C340" s="100"/>
      <c r="D340" s="100"/>
      <c r="E340" s="100"/>
      <c r="F340" s="206"/>
      <c r="G340" s="206"/>
      <c r="H340" s="207"/>
      <c r="I340" s="207"/>
      <c r="J340" s="207"/>
      <c r="K340" s="207"/>
      <c r="L340" s="207"/>
      <c r="M340" s="207"/>
      <c r="N340" s="207"/>
      <c r="O340" s="207"/>
      <c r="P340" s="207"/>
      <c r="Q340" s="207"/>
      <c r="R340" s="207"/>
      <c r="S340" s="207"/>
      <c r="T340" s="207"/>
      <c r="U340" s="207"/>
      <c r="V340" s="207"/>
      <c r="W340" s="208"/>
      <c r="X340" s="208"/>
      <c r="Y340" s="208"/>
      <c r="Z340" s="208"/>
      <c r="AA340" s="208"/>
      <c r="AB340" s="208"/>
      <c r="AC340" s="208"/>
      <c r="AD340" s="208"/>
      <c r="AE340" s="208"/>
      <c r="AF340" s="208"/>
      <c r="AG340" s="208"/>
      <c r="AH340" s="208"/>
      <c r="AI340" s="100"/>
      <c r="AJ340" s="100"/>
      <c r="AK340" s="100"/>
      <c r="AL340" s="100"/>
      <c r="AM340" s="100"/>
      <c r="AN340" s="100"/>
      <c r="AO340" s="100"/>
    </row>
    <row r="341" ht="14.25" customHeight="1">
      <c r="A341" s="195"/>
      <c r="B341" s="100"/>
      <c r="C341" s="100"/>
      <c r="D341" s="100"/>
      <c r="E341" s="100"/>
      <c r="F341" s="206"/>
      <c r="G341" s="206"/>
      <c r="H341" s="207"/>
      <c r="I341" s="207"/>
      <c r="J341" s="207"/>
      <c r="K341" s="207"/>
      <c r="L341" s="207"/>
      <c r="M341" s="207"/>
      <c r="N341" s="207"/>
      <c r="O341" s="207"/>
      <c r="P341" s="207"/>
      <c r="Q341" s="207"/>
      <c r="R341" s="207"/>
      <c r="S341" s="207"/>
      <c r="T341" s="207"/>
      <c r="U341" s="207"/>
      <c r="V341" s="207"/>
      <c r="W341" s="208"/>
      <c r="X341" s="208"/>
      <c r="Y341" s="208"/>
      <c r="Z341" s="208"/>
      <c r="AA341" s="208"/>
      <c r="AB341" s="208"/>
      <c r="AC341" s="208"/>
      <c r="AD341" s="208"/>
      <c r="AE341" s="208"/>
      <c r="AF341" s="208"/>
      <c r="AG341" s="208"/>
      <c r="AH341" s="208"/>
      <c r="AI341" s="100"/>
      <c r="AJ341" s="100"/>
      <c r="AK341" s="100"/>
      <c r="AL341" s="100"/>
      <c r="AM341" s="100"/>
      <c r="AN341" s="100"/>
      <c r="AO341" s="100"/>
    </row>
    <row r="342" ht="14.25" customHeight="1">
      <c r="A342" s="195"/>
      <c r="B342" s="100"/>
      <c r="C342" s="100"/>
      <c r="D342" s="100"/>
      <c r="E342" s="100"/>
      <c r="F342" s="206"/>
      <c r="G342" s="206"/>
      <c r="H342" s="207"/>
      <c r="I342" s="207"/>
      <c r="J342" s="207"/>
      <c r="K342" s="207"/>
      <c r="L342" s="207"/>
      <c r="M342" s="207"/>
      <c r="N342" s="207"/>
      <c r="O342" s="207"/>
      <c r="P342" s="207"/>
      <c r="Q342" s="207"/>
      <c r="R342" s="207"/>
      <c r="S342" s="207"/>
      <c r="T342" s="207"/>
      <c r="U342" s="207"/>
      <c r="V342" s="207"/>
      <c r="W342" s="208"/>
      <c r="X342" s="208"/>
      <c r="Y342" s="208"/>
      <c r="Z342" s="208"/>
      <c r="AA342" s="208"/>
      <c r="AB342" s="208"/>
      <c r="AC342" s="208"/>
      <c r="AD342" s="208"/>
      <c r="AE342" s="208"/>
      <c r="AF342" s="208"/>
      <c r="AG342" s="208"/>
      <c r="AH342" s="208"/>
      <c r="AI342" s="100"/>
      <c r="AJ342" s="100"/>
      <c r="AK342" s="100"/>
      <c r="AL342" s="100"/>
      <c r="AM342" s="100"/>
      <c r="AN342" s="100"/>
      <c r="AO342" s="100"/>
    </row>
    <row r="343" ht="14.25" customHeight="1">
      <c r="A343" s="195"/>
      <c r="B343" s="100"/>
      <c r="C343" s="100"/>
      <c r="D343" s="100"/>
      <c r="E343" s="100"/>
      <c r="F343" s="206"/>
      <c r="G343" s="206"/>
      <c r="H343" s="207"/>
      <c r="I343" s="207"/>
      <c r="J343" s="207"/>
      <c r="K343" s="207"/>
      <c r="L343" s="207"/>
      <c r="M343" s="207"/>
      <c r="N343" s="207"/>
      <c r="O343" s="207"/>
      <c r="P343" s="207"/>
      <c r="Q343" s="207"/>
      <c r="R343" s="207"/>
      <c r="S343" s="207"/>
      <c r="T343" s="207"/>
      <c r="U343" s="207"/>
      <c r="V343" s="207"/>
      <c r="W343" s="208"/>
      <c r="X343" s="208"/>
      <c r="Y343" s="208"/>
      <c r="Z343" s="208"/>
      <c r="AA343" s="208"/>
      <c r="AB343" s="208"/>
      <c r="AC343" s="208"/>
      <c r="AD343" s="208"/>
      <c r="AE343" s="208"/>
      <c r="AF343" s="208"/>
      <c r="AG343" s="208"/>
      <c r="AH343" s="208"/>
      <c r="AI343" s="100"/>
      <c r="AJ343" s="100"/>
      <c r="AK343" s="100"/>
      <c r="AL343" s="100"/>
      <c r="AM343" s="100"/>
      <c r="AN343" s="100"/>
      <c r="AO343" s="100"/>
    </row>
    <row r="344" ht="14.25" customHeight="1">
      <c r="A344" s="195"/>
      <c r="B344" s="100"/>
      <c r="C344" s="100"/>
      <c r="D344" s="100"/>
      <c r="E344" s="100"/>
      <c r="F344" s="206"/>
      <c r="G344" s="206"/>
      <c r="H344" s="207"/>
      <c r="I344" s="207"/>
      <c r="J344" s="207"/>
      <c r="K344" s="207"/>
      <c r="L344" s="207"/>
      <c r="M344" s="207"/>
      <c r="N344" s="207"/>
      <c r="O344" s="207"/>
      <c r="P344" s="207"/>
      <c r="Q344" s="207"/>
      <c r="R344" s="207"/>
      <c r="S344" s="207"/>
      <c r="T344" s="207"/>
      <c r="U344" s="207"/>
      <c r="V344" s="207"/>
      <c r="W344" s="208"/>
      <c r="X344" s="208"/>
      <c r="Y344" s="208"/>
      <c r="Z344" s="208"/>
      <c r="AA344" s="208"/>
      <c r="AB344" s="208"/>
      <c r="AC344" s="208"/>
      <c r="AD344" s="208"/>
      <c r="AE344" s="208"/>
      <c r="AF344" s="208"/>
      <c r="AG344" s="208"/>
      <c r="AH344" s="208"/>
      <c r="AI344" s="100"/>
      <c r="AJ344" s="100"/>
      <c r="AK344" s="100"/>
      <c r="AL344" s="100"/>
      <c r="AM344" s="100"/>
      <c r="AN344" s="100"/>
      <c r="AO344" s="100"/>
    </row>
    <row r="345" ht="14.25" customHeight="1">
      <c r="A345" s="195"/>
      <c r="B345" s="100"/>
      <c r="C345" s="100"/>
      <c r="D345" s="100"/>
      <c r="E345" s="100"/>
      <c r="F345" s="206"/>
      <c r="G345" s="206"/>
      <c r="H345" s="207"/>
      <c r="I345" s="207"/>
      <c r="J345" s="207"/>
      <c r="K345" s="207"/>
      <c r="L345" s="207"/>
      <c r="M345" s="207"/>
      <c r="N345" s="207"/>
      <c r="O345" s="207"/>
      <c r="P345" s="207"/>
      <c r="Q345" s="207"/>
      <c r="R345" s="207"/>
      <c r="S345" s="207"/>
      <c r="T345" s="207"/>
      <c r="U345" s="207"/>
      <c r="V345" s="207"/>
      <c r="W345" s="208"/>
      <c r="X345" s="208"/>
      <c r="Y345" s="208"/>
      <c r="Z345" s="208"/>
      <c r="AA345" s="208"/>
      <c r="AB345" s="208"/>
      <c r="AC345" s="208"/>
      <c r="AD345" s="208"/>
      <c r="AE345" s="208"/>
      <c r="AF345" s="208"/>
      <c r="AG345" s="208"/>
      <c r="AH345" s="208"/>
      <c r="AI345" s="100"/>
      <c r="AJ345" s="100"/>
      <c r="AK345" s="100"/>
      <c r="AL345" s="100"/>
      <c r="AM345" s="100"/>
      <c r="AN345" s="100"/>
      <c r="AO345" s="100"/>
    </row>
    <row r="346" ht="14.25" customHeight="1">
      <c r="A346" s="195"/>
      <c r="B346" s="100"/>
      <c r="C346" s="100"/>
      <c r="D346" s="100"/>
      <c r="E346" s="100"/>
      <c r="F346" s="206"/>
      <c r="G346" s="206"/>
      <c r="H346" s="207"/>
      <c r="I346" s="207"/>
      <c r="J346" s="207"/>
      <c r="K346" s="207"/>
      <c r="L346" s="207"/>
      <c r="M346" s="207"/>
      <c r="N346" s="207"/>
      <c r="O346" s="207"/>
      <c r="P346" s="207"/>
      <c r="Q346" s="207"/>
      <c r="R346" s="207"/>
      <c r="S346" s="207"/>
      <c r="T346" s="207"/>
      <c r="U346" s="207"/>
      <c r="V346" s="207"/>
      <c r="W346" s="208"/>
      <c r="X346" s="208"/>
      <c r="Y346" s="208"/>
      <c r="Z346" s="208"/>
      <c r="AA346" s="208"/>
      <c r="AB346" s="208"/>
      <c r="AC346" s="208"/>
      <c r="AD346" s="208"/>
      <c r="AE346" s="208"/>
      <c r="AF346" s="208"/>
      <c r="AG346" s="208"/>
      <c r="AH346" s="208"/>
      <c r="AI346" s="100"/>
      <c r="AJ346" s="100"/>
      <c r="AK346" s="100"/>
      <c r="AL346" s="100"/>
      <c r="AM346" s="100"/>
      <c r="AN346" s="100"/>
      <c r="AO346" s="100"/>
    </row>
    <row r="347" ht="14.25" customHeight="1">
      <c r="A347" s="195"/>
      <c r="B347" s="100"/>
      <c r="C347" s="100"/>
      <c r="D347" s="100"/>
      <c r="E347" s="100"/>
      <c r="F347" s="206"/>
      <c r="G347" s="206"/>
      <c r="H347" s="207"/>
      <c r="I347" s="207"/>
      <c r="J347" s="207"/>
      <c r="K347" s="207"/>
      <c r="L347" s="207"/>
      <c r="M347" s="207"/>
      <c r="N347" s="207"/>
      <c r="O347" s="207"/>
      <c r="P347" s="207"/>
      <c r="Q347" s="207"/>
      <c r="R347" s="207"/>
      <c r="S347" s="207"/>
      <c r="T347" s="207"/>
      <c r="U347" s="207"/>
      <c r="V347" s="207"/>
      <c r="W347" s="208"/>
      <c r="X347" s="208"/>
      <c r="Y347" s="208"/>
      <c r="Z347" s="208"/>
      <c r="AA347" s="208"/>
      <c r="AB347" s="208"/>
      <c r="AC347" s="208"/>
      <c r="AD347" s="208"/>
      <c r="AE347" s="208"/>
      <c r="AF347" s="208"/>
      <c r="AG347" s="208"/>
      <c r="AH347" s="208"/>
      <c r="AI347" s="100"/>
      <c r="AJ347" s="100"/>
      <c r="AK347" s="100"/>
      <c r="AL347" s="100"/>
      <c r="AM347" s="100"/>
      <c r="AN347" s="100"/>
      <c r="AO347" s="100"/>
    </row>
    <row r="348" ht="14.25" customHeight="1">
      <c r="A348" s="195"/>
      <c r="B348" s="100"/>
      <c r="C348" s="100"/>
      <c r="D348" s="100"/>
      <c r="E348" s="100"/>
      <c r="F348" s="206"/>
      <c r="G348" s="206"/>
      <c r="H348" s="207"/>
      <c r="I348" s="207"/>
      <c r="J348" s="207"/>
      <c r="K348" s="207"/>
      <c r="L348" s="207"/>
      <c r="M348" s="207"/>
      <c r="N348" s="207"/>
      <c r="O348" s="207"/>
      <c r="P348" s="207"/>
      <c r="Q348" s="207"/>
      <c r="R348" s="207"/>
      <c r="S348" s="207"/>
      <c r="T348" s="207"/>
      <c r="U348" s="207"/>
      <c r="V348" s="207"/>
      <c r="W348" s="208"/>
      <c r="X348" s="208"/>
      <c r="Y348" s="208"/>
      <c r="Z348" s="208"/>
      <c r="AA348" s="208"/>
      <c r="AB348" s="208"/>
      <c r="AC348" s="208"/>
      <c r="AD348" s="208"/>
      <c r="AE348" s="208"/>
      <c r="AF348" s="208"/>
      <c r="AG348" s="208"/>
      <c r="AH348" s="208"/>
      <c r="AI348" s="100"/>
      <c r="AJ348" s="100"/>
      <c r="AK348" s="100"/>
      <c r="AL348" s="100"/>
      <c r="AM348" s="100"/>
      <c r="AN348" s="100"/>
      <c r="AO348" s="100"/>
    </row>
    <row r="349" ht="14.25" customHeight="1">
      <c r="A349" s="195"/>
      <c r="B349" s="100"/>
      <c r="C349" s="100"/>
      <c r="D349" s="100"/>
      <c r="E349" s="100"/>
      <c r="F349" s="206"/>
      <c r="G349" s="206"/>
      <c r="H349" s="207"/>
      <c r="I349" s="207"/>
      <c r="J349" s="207"/>
      <c r="K349" s="207"/>
      <c r="L349" s="207"/>
      <c r="M349" s="207"/>
      <c r="N349" s="207"/>
      <c r="O349" s="207"/>
      <c r="P349" s="207"/>
      <c r="Q349" s="207"/>
      <c r="R349" s="207"/>
      <c r="S349" s="207"/>
      <c r="T349" s="207"/>
      <c r="U349" s="207"/>
      <c r="V349" s="207"/>
      <c r="W349" s="208"/>
      <c r="X349" s="208"/>
      <c r="Y349" s="208"/>
      <c r="Z349" s="208"/>
      <c r="AA349" s="208"/>
      <c r="AB349" s="208"/>
      <c r="AC349" s="208"/>
      <c r="AD349" s="208"/>
      <c r="AE349" s="208"/>
      <c r="AF349" s="208"/>
      <c r="AG349" s="208"/>
      <c r="AH349" s="208"/>
      <c r="AI349" s="100"/>
      <c r="AJ349" s="100"/>
      <c r="AK349" s="100"/>
      <c r="AL349" s="100"/>
      <c r="AM349" s="100"/>
      <c r="AN349" s="100"/>
      <c r="AO349" s="100"/>
    </row>
    <row r="350" ht="14.25" customHeight="1">
      <c r="A350" s="195"/>
      <c r="B350" s="100"/>
      <c r="C350" s="100"/>
      <c r="D350" s="100"/>
      <c r="E350" s="100"/>
      <c r="F350" s="206"/>
      <c r="G350" s="206"/>
      <c r="H350" s="207"/>
      <c r="I350" s="207"/>
      <c r="J350" s="207"/>
      <c r="K350" s="207"/>
      <c r="L350" s="207"/>
      <c r="M350" s="207"/>
      <c r="N350" s="207"/>
      <c r="O350" s="207"/>
      <c r="P350" s="207"/>
      <c r="Q350" s="207"/>
      <c r="R350" s="207"/>
      <c r="S350" s="207"/>
      <c r="T350" s="207"/>
      <c r="U350" s="207"/>
      <c r="V350" s="207"/>
      <c r="W350" s="208"/>
      <c r="X350" s="208"/>
      <c r="Y350" s="208"/>
      <c r="Z350" s="208"/>
      <c r="AA350" s="208"/>
      <c r="AB350" s="208"/>
      <c r="AC350" s="208"/>
      <c r="AD350" s="208"/>
      <c r="AE350" s="208"/>
      <c r="AF350" s="208"/>
      <c r="AG350" s="208"/>
      <c r="AH350" s="208"/>
      <c r="AI350" s="100"/>
      <c r="AJ350" s="100"/>
      <c r="AK350" s="100"/>
      <c r="AL350" s="100"/>
      <c r="AM350" s="100"/>
      <c r="AN350" s="100"/>
      <c r="AO350" s="100"/>
    </row>
    <row r="351" ht="14.25" customHeight="1">
      <c r="A351" s="195"/>
      <c r="B351" s="100"/>
      <c r="C351" s="100"/>
      <c r="D351" s="100"/>
      <c r="E351" s="100"/>
      <c r="F351" s="206"/>
      <c r="G351" s="206"/>
      <c r="H351" s="207"/>
      <c r="I351" s="207"/>
      <c r="J351" s="207"/>
      <c r="K351" s="207"/>
      <c r="L351" s="207"/>
      <c r="M351" s="207"/>
      <c r="N351" s="207"/>
      <c r="O351" s="207"/>
      <c r="P351" s="207"/>
      <c r="Q351" s="207"/>
      <c r="R351" s="207"/>
      <c r="S351" s="207"/>
      <c r="T351" s="207"/>
      <c r="U351" s="207"/>
      <c r="V351" s="207"/>
      <c r="W351" s="208"/>
      <c r="X351" s="208"/>
      <c r="Y351" s="208"/>
      <c r="Z351" s="208"/>
      <c r="AA351" s="208"/>
      <c r="AB351" s="208"/>
      <c r="AC351" s="208"/>
      <c r="AD351" s="208"/>
      <c r="AE351" s="208"/>
      <c r="AF351" s="208"/>
      <c r="AG351" s="208"/>
      <c r="AH351" s="208"/>
      <c r="AI351" s="100"/>
      <c r="AJ351" s="100"/>
      <c r="AK351" s="100"/>
      <c r="AL351" s="100"/>
      <c r="AM351" s="100"/>
      <c r="AN351" s="100"/>
      <c r="AO351" s="100"/>
    </row>
    <row r="352" ht="14.25" customHeight="1">
      <c r="A352" s="195"/>
      <c r="B352" s="100"/>
      <c r="C352" s="100"/>
      <c r="D352" s="100"/>
      <c r="E352" s="100"/>
      <c r="F352" s="206"/>
      <c r="G352" s="206"/>
      <c r="H352" s="207"/>
      <c r="I352" s="207"/>
      <c r="J352" s="207"/>
      <c r="K352" s="207"/>
      <c r="L352" s="207"/>
      <c r="M352" s="207"/>
      <c r="N352" s="207"/>
      <c r="O352" s="207"/>
      <c r="P352" s="207"/>
      <c r="Q352" s="207"/>
      <c r="R352" s="207"/>
      <c r="S352" s="207"/>
      <c r="T352" s="207"/>
      <c r="U352" s="207"/>
      <c r="V352" s="207"/>
      <c r="W352" s="208"/>
      <c r="X352" s="208"/>
      <c r="Y352" s="208"/>
      <c r="Z352" s="208"/>
      <c r="AA352" s="208"/>
      <c r="AB352" s="208"/>
      <c r="AC352" s="208"/>
      <c r="AD352" s="208"/>
      <c r="AE352" s="208"/>
      <c r="AF352" s="208"/>
      <c r="AG352" s="208"/>
      <c r="AH352" s="208"/>
      <c r="AI352" s="100"/>
      <c r="AJ352" s="100"/>
      <c r="AK352" s="100"/>
      <c r="AL352" s="100"/>
      <c r="AM352" s="100"/>
      <c r="AN352" s="100"/>
      <c r="AO352" s="100"/>
    </row>
    <row r="353" ht="14.25" customHeight="1">
      <c r="A353" s="195"/>
      <c r="B353" s="100"/>
      <c r="C353" s="100"/>
      <c r="D353" s="100"/>
      <c r="E353" s="100"/>
      <c r="F353" s="206"/>
      <c r="G353" s="206"/>
      <c r="H353" s="207"/>
      <c r="I353" s="207"/>
      <c r="J353" s="207"/>
      <c r="K353" s="207"/>
      <c r="L353" s="207"/>
      <c r="M353" s="207"/>
      <c r="N353" s="207"/>
      <c r="O353" s="207"/>
      <c r="P353" s="207"/>
      <c r="Q353" s="207"/>
      <c r="R353" s="207"/>
      <c r="S353" s="207"/>
      <c r="T353" s="207"/>
      <c r="U353" s="207"/>
      <c r="V353" s="207"/>
      <c r="W353" s="208"/>
      <c r="X353" s="208"/>
      <c r="Y353" s="208"/>
      <c r="Z353" s="208"/>
      <c r="AA353" s="208"/>
      <c r="AB353" s="208"/>
      <c r="AC353" s="208"/>
      <c r="AD353" s="208"/>
      <c r="AE353" s="208"/>
      <c r="AF353" s="208"/>
      <c r="AG353" s="208"/>
      <c r="AH353" s="208"/>
      <c r="AI353" s="100"/>
      <c r="AJ353" s="100"/>
      <c r="AK353" s="100"/>
      <c r="AL353" s="100"/>
      <c r="AM353" s="100"/>
      <c r="AN353" s="100"/>
      <c r="AO353" s="100"/>
    </row>
    <row r="354" ht="14.25" customHeight="1">
      <c r="A354" s="195"/>
      <c r="B354" s="100"/>
      <c r="C354" s="100"/>
      <c r="D354" s="100"/>
      <c r="E354" s="100"/>
      <c r="F354" s="206"/>
      <c r="G354" s="206"/>
      <c r="H354" s="207"/>
      <c r="I354" s="207"/>
      <c r="J354" s="207"/>
      <c r="K354" s="207"/>
      <c r="L354" s="207"/>
      <c r="M354" s="207"/>
      <c r="N354" s="207"/>
      <c r="O354" s="207"/>
      <c r="P354" s="207"/>
      <c r="Q354" s="207"/>
      <c r="R354" s="207"/>
      <c r="S354" s="207"/>
      <c r="T354" s="207"/>
      <c r="U354" s="207"/>
      <c r="V354" s="207"/>
      <c r="W354" s="208"/>
      <c r="X354" s="208"/>
      <c r="Y354" s="208"/>
      <c r="Z354" s="208"/>
      <c r="AA354" s="208"/>
      <c r="AB354" s="208"/>
      <c r="AC354" s="208"/>
      <c r="AD354" s="208"/>
      <c r="AE354" s="208"/>
      <c r="AF354" s="208"/>
      <c r="AG354" s="208"/>
      <c r="AH354" s="208"/>
      <c r="AI354" s="100"/>
      <c r="AJ354" s="100"/>
      <c r="AK354" s="100"/>
      <c r="AL354" s="100"/>
      <c r="AM354" s="100"/>
      <c r="AN354" s="100"/>
      <c r="AO354" s="100"/>
    </row>
    <row r="355" ht="14.25" customHeight="1">
      <c r="A355" s="195"/>
      <c r="B355" s="100"/>
      <c r="C355" s="100"/>
      <c r="D355" s="100"/>
      <c r="E355" s="100"/>
      <c r="F355" s="206"/>
      <c r="G355" s="206"/>
      <c r="H355" s="207"/>
      <c r="I355" s="207"/>
      <c r="J355" s="207"/>
      <c r="K355" s="207"/>
      <c r="L355" s="207"/>
      <c r="M355" s="207"/>
      <c r="N355" s="207"/>
      <c r="O355" s="207"/>
      <c r="P355" s="207"/>
      <c r="Q355" s="207"/>
      <c r="R355" s="207"/>
      <c r="S355" s="207"/>
      <c r="T355" s="207"/>
      <c r="U355" s="207"/>
      <c r="V355" s="207"/>
      <c r="W355" s="208"/>
      <c r="X355" s="208"/>
      <c r="Y355" s="208"/>
      <c r="Z355" s="208"/>
      <c r="AA355" s="208"/>
      <c r="AB355" s="208"/>
      <c r="AC355" s="208"/>
      <c r="AD355" s="208"/>
      <c r="AE355" s="208"/>
      <c r="AF355" s="208"/>
      <c r="AG355" s="208"/>
      <c r="AH355" s="208"/>
      <c r="AI355" s="100"/>
      <c r="AJ355" s="100"/>
      <c r="AK355" s="100"/>
      <c r="AL355" s="100"/>
      <c r="AM355" s="100"/>
      <c r="AN355" s="100"/>
      <c r="AO355" s="100"/>
    </row>
    <row r="356" ht="14.25" customHeight="1">
      <c r="A356" s="195"/>
      <c r="B356" s="100"/>
      <c r="C356" s="100"/>
      <c r="D356" s="100"/>
      <c r="E356" s="100"/>
      <c r="F356" s="206"/>
      <c r="G356" s="206"/>
      <c r="H356" s="207"/>
      <c r="I356" s="207"/>
      <c r="J356" s="207"/>
      <c r="K356" s="207"/>
      <c r="L356" s="207"/>
      <c r="M356" s="207"/>
      <c r="N356" s="207"/>
      <c r="O356" s="207"/>
      <c r="P356" s="207"/>
      <c r="Q356" s="207"/>
      <c r="R356" s="207"/>
      <c r="S356" s="207"/>
      <c r="T356" s="207"/>
      <c r="U356" s="207"/>
      <c r="V356" s="207"/>
      <c r="W356" s="208"/>
      <c r="X356" s="208"/>
      <c r="Y356" s="208"/>
      <c r="Z356" s="208"/>
      <c r="AA356" s="208"/>
      <c r="AB356" s="208"/>
      <c r="AC356" s="208"/>
      <c r="AD356" s="208"/>
      <c r="AE356" s="208"/>
      <c r="AF356" s="208"/>
      <c r="AG356" s="208"/>
      <c r="AH356" s="208"/>
      <c r="AI356" s="100"/>
      <c r="AJ356" s="100"/>
      <c r="AK356" s="100"/>
      <c r="AL356" s="100"/>
      <c r="AM356" s="100"/>
      <c r="AN356" s="100"/>
      <c r="AO356" s="100"/>
    </row>
    <row r="357" ht="14.25" customHeight="1">
      <c r="A357" s="195"/>
      <c r="B357" s="100"/>
      <c r="C357" s="100"/>
      <c r="D357" s="100"/>
      <c r="E357" s="100"/>
      <c r="F357" s="206"/>
      <c r="G357" s="206"/>
      <c r="H357" s="207"/>
      <c r="I357" s="207"/>
      <c r="J357" s="207"/>
      <c r="K357" s="207"/>
      <c r="L357" s="207"/>
      <c r="M357" s="207"/>
      <c r="N357" s="207"/>
      <c r="O357" s="207"/>
      <c r="P357" s="207"/>
      <c r="Q357" s="207"/>
      <c r="R357" s="207"/>
      <c r="S357" s="207"/>
      <c r="T357" s="207"/>
      <c r="U357" s="207"/>
      <c r="V357" s="207"/>
      <c r="W357" s="208"/>
      <c r="X357" s="208"/>
      <c r="Y357" s="208"/>
      <c r="Z357" s="208"/>
      <c r="AA357" s="208"/>
      <c r="AB357" s="208"/>
      <c r="AC357" s="208"/>
      <c r="AD357" s="208"/>
      <c r="AE357" s="208"/>
      <c r="AF357" s="208"/>
      <c r="AG357" s="208"/>
      <c r="AH357" s="208"/>
      <c r="AI357" s="100"/>
      <c r="AJ357" s="100"/>
      <c r="AK357" s="100"/>
      <c r="AL357" s="100"/>
      <c r="AM357" s="100"/>
      <c r="AN357" s="100"/>
      <c r="AO357" s="100"/>
    </row>
    <row r="358" ht="14.25" customHeight="1">
      <c r="A358" s="195"/>
      <c r="B358" s="100"/>
      <c r="C358" s="100"/>
      <c r="D358" s="100"/>
      <c r="E358" s="100"/>
      <c r="F358" s="206"/>
      <c r="G358" s="206"/>
      <c r="H358" s="207"/>
      <c r="I358" s="207"/>
      <c r="J358" s="207"/>
      <c r="K358" s="207"/>
      <c r="L358" s="207"/>
      <c r="M358" s="207"/>
      <c r="N358" s="207"/>
      <c r="O358" s="207"/>
      <c r="P358" s="207"/>
      <c r="Q358" s="207"/>
      <c r="R358" s="207"/>
      <c r="S358" s="207"/>
      <c r="T358" s="207"/>
      <c r="U358" s="207"/>
      <c r="V358" s="207"/>
      <c r="W358" s="208"/>
      <c r="X358" s="208"/>
      <c r="Y358" s="208"/>
      <c r="Z358" s="208"/>
      <c r="AA358" s="208"/>
      <c r="AB358" s="208"/>
      <c r="AC358" s="208"/>
      <c r="AD358" s="208"/>
      <c r="AE358" s="208"/>
      <c r="AF358" s="208"/>
      <c r="AG358" s="208"/>
      <c r="AH358" s="208"/>
      <c r="AI358" s="100"/>
      <c r="AJ358" s="100"/>
      <c r="AK358" s="100"/>
      <c r="AL358" s="100"/>
      <c r="AM358" s="100"/>
      <c r="AN358" s="100"/>
      <c r="AO358" s="100"/>
    </row>
    <row r="359" ht="14.25" customHeight="1">
      <c r="A359" s="195"/>
      <c r="B359" s="100"/>
      <c r="C359" s="100"/>
      <c r="D359" s="100"/>
      <c r="E359" s="100"/>
      <c r="F359" s="206"/>
      <c r="G359" s="206"/>
      <c r="H359" s="207"/>
      <c r="I359" s="207"/>
      <c r="J359" s="207"/>
      <c r="K359" s="207"/>
      <c r="L359" s="207"/>
      <c r="M359" s="207"/>
      <c r="N359" s="207"/>
      <c r="O359" s="207"/>
      <c r="P359" s="207"/>
      <c r="Q359" s="207"/>
      <c r="R359" s="207"/>
      <c r="S359" s="207"/>
      <c r="T359" s="207"/>
      <c r="U359" s="207"/>
      <c r="V359" s="207"/>
      <c r="W359" s="208"/>
      <c r="X359" s="208"/>
      <c r="Y359" s="208"/>
      <c r="Z359" s="208"/>
      <c r="AA359" s="208"/>
      <c r="AB359" s="208"/>
      <c r="AC359" s="208"/>
      <c r="AD359" s="208"/>
      <c r="AE359" s="208"/>
      <c r="AF359" s="208"/>
      <c r="AG359" s="208"/>
      <c r="AH359" s="208"/>
      <c r="AI359" s="100"/>
      <c r="AJ359" s="100"/>
      <c r="AK359" s="100"/>
      <c r="AL359" s="100"/>
      <c r="AM359" s="100"/>
      <c r="AN359" s="100"/>
      <c r="AO359" s="100"/>
    </row>
    <row r="360" ht="14.25" customHeight="1">
      <c r="A360" s="195"/>
      <c r="B360" s="100"/>
      <c r="C360" s="100"/>
      <c r="D360" s="100"/>
      <c r="E360" s="100"/>
      <c r="F360" s="206"/>
      <c r="G360" s="206"/>
      <c r="H360" s="207"/>
      <c r="I360" s="207"/>
      <c r="J360" s="207"/>
      <c r="K360" s="207"/>
      <c r="L360" s="207"/>
      <c r="M360" s="207"/>
      <c r="N360" s="207"/>
      <c r="O360" s="207"/>
      <c r="P360" s="207"/>
      <c r="Q360" s="207"/>
      <c r="R360" s="207"/>
      <c r="S360" s="207"/>
      <c r="T360" s="207"/>
      <c r="U360" s="207"/>
      <c r="V360" s="207"/>
      <c r="W360" s="208"/>
      <c r="X360" s="208"/>
      <c r="Y360" s="208"/>
      <c r="Z360" s="208"/>
      <c r="AA360" s="208"/>
      <c r="AB360" s="208"/>
      <c r="AC360" s="208"/>
      <c r="AD360" s="208"/>
      <c r="AE360" s="208"/>
      <c r="AF360" s="208"/>
      <c r="AG360" s="208"/>
      <c r="AH360" s="208"/>
      <c r="AI360" s="100"/>
      <c r="AJ360" s="100"/>
      <c r="AK360" s="100"/>
      <c r="AL360" s="100"/>
      <c r="AM360" s="100"/>
      <c r="AN360" s="100"/>
      <c r="AO360" s="100"/>
    </row>
    <row r="361" ht="14.25" customHeight="1">
      <c r="A361" s="195"/>
      <c r="B361" s="100"/>
      <c r="C361" s="100"/>
      <c r="D361" s="100"/>
      <c r="E361" s="100"/>
      <c r="F361" s="206"/>
      <c r="G361" s="206"/>
      <c r="H361" s="207"/>
      <c r="I361" s="207"/>
      <c r="J361" s="207"/>
      <c r="K361" s="207"/>
      <c r="L361" s="207"/>
      <c r="M361" s="207"/>
      <c r="N361" s="207"/>
      <c r="O361" s="207"/>
      <c r="P361" s="207"/>
      <c r="Q361" s="207"/>
      <c r="R361" s="207"/>
      <c r="S361" s="207"/>
      <c r="T361" s="207"/>
      <c r="U361" s="207"/>
      <c r="V361" s="207"/>
      <c r="W361" s="208"/>
      <c r="X361" s="208"/>
      <c r="Y361" s="208"/>
      <c r="Z361" s="208"/>
      <c r="AA361" s="208"/>
      <c r="AB361" s="208"/>
      <c r="AC361" s="208"/>
      <c r="AD361" s="208"/>
      <c r="AE361" s="208"/>
      <c r="AF361" s="208"/>
      <c r="AG361" s="208"/>
      <c r="AH361" s="208"/>
      <c r="AI361" s="100"/>
      <c r="AJ361" s="100"/>
      <c r="AK361" s="100"/>
      <c r="AL361" s="100"/>
      <c r="AM361" s="100"/>
      <c r="AN361" s="100"/>
      <c r="AO361" s="100"/>
    </row>
    <row r="362" ht="14.25" customHeight="1">
      <c r="A362" s="195"/>
      <c r="B362" s="100"/>
      <c r="C362" s="100"/>
      <c r="D362" s="100"/>
      <c r="E362" s="100"/>
      <c r="F362" s="206"/>
      <c r="G362" s="206"/>
      <c r="H362" s="207"/>
      <c r="I362" s="207"/>
      <c r="J362" s="207"/>
      <c r="K362" s="207"/>
      <c r="L362" s="207"/>
      <c r="M362" s="207"/>
      <c r="N362" s="207"/>
      <c r="O362" s="207"/>
      <c r="P362" s="207"/>
      <c r="Q362" s="207"/>
      <c r="R362" s="207"/>
      <c r="S362" s="207"/>
      <c r="T362" s="207"/>
      <c r="U362" s="207"/>
      <c r="V362" s="207"/>
      <c r="W362" s="208"/>
      <c r="X362" s="208"/>
      <c r="Y362" s="208"/>
      <c r="Z362" s="208"/>
      <c r="AA362" s="208"/>
      <c r="AB362" s="208"/>
      <c r="AC362" s="208"/>
      <c r="AD362" s="208"/>
      <c r="AE362" s="208"/>
      <c r="AF362" s="208"/>
      <c r="AG362" s="208"/>
      <c r="AH362" s="208"/>
      <c r="AI362" s="100"/>
      <c r="AJ362" s="100"/>
      <c r="AK362" s="100"/>
      <c r="AL362" s="100"/>
      <c r="AM362" s="100"/>
      <c r="AN362" s="100"/>
      <c r="AO362" s="100"/>
    </row>
    <row r="363" ht="14.25" customHeight="1">
      <c r="A363" s="195"/>
      <c r="B363" s="100"/>
      <c r="C363" s="100"/>
      <c r="D363" s="100"/>
      <c r="E363" s="100"/>
      <c r="F363" s="206"/>
      <c r="G363" s="206"/>
      <c r="H363" s="207"/>
      <c r="I363" s="207"/>
      <c r="J363" s="207"/>
      <c r="K363" s="207"/>
      <c r="L363" s="207"/>
      <c r="M363" s="207"/>
      <c r="N363" s="207"/>
      <c r="O363" s="207"/>
      <c r="P363" s="207"/>
      <c r="Q363" s="207"/>
      <c r="R363" s="207"/>
      <c r="S363" s="207"/>
      <c r="T363" s="207"/>
      <c r="U363" s="207"/>
      <c r="V363" s="207"/>
      <c r="W363" s="208"/>
      <c r="X363" s="208"/>
      <c r="Y363" s="208"/>
      <c r="Z363" s="208"/>
      <c r="AA363" s="208"/>
      <c r="AB363" s="208"/>
      <c r="AC363" s="208"/>
      <c r="AD363" s="208"/>
      <c r="AE363" s="208"/>
      <c r="AF363" s="208"/>
      <c r="AG363" s="208"/>
      <c r="AH363" s="208"/>
      <c r="AI363" s="100"/>
      <c r="AJ363" s="100"/>
      <c r="AK363" s="100"/>
      <c r="AL363" s="100"/>
      <c r="AM363" s="100"/>
      <c r="AN363" s="100"/>
      <c r="AO363" s="100"/>
    </row>
    <row r="364" ht="14.25" customHeight="1">
      <c r="A364" s="195"/>
      <c r="B364" s="100"/>
      <c r="C364" s="100"/>
      <c r="D364" s="100"/>
      <c r="E364" s="100"/>
      <c r="F364" s="206"/>
      <c r="G364" s="206"/>
      <c r="H364" s="207"/>
      <c r="I364" s="207"/>
      <c r="J364" s="207"/>
      <c r="K364" s="207"/>
      <c r="L364" s="207"/>
      <c r="M364" s="207"/>
      <c r="N364" s="207"/>
      <c r="O364" s="207"/>
      <c r="P364" s="207"/>
      <c r="Q364" s="207"/>
      <c r="R364" s="207"/>
      <c r="S364" s="207"/>
      <c r="T364" s="207"/>
      <c r="U364" s="207"/>
      <c r="V364" s="207"/>
      <c r="W364" s="208"/>
      <c r="X364" s="208"/>
      <c r="Y364" s="208"/>
      <c r="Z364" s="208"/>
      <c r="AA364" s="208"/>
      <c r="AB364" s="208"/>
      <c r="AC364" s="208"/>
      <c r="AD364" s="208"/>
      <c r="AE364" s="208"/>
      <c r="AF364" s="208"/>
      <c r="AG364" s="208"/>
      <c r="AH364" s="208"/>
      <c r="AI364" s="100"/>
      <c r="AJ364" s="100"/>
      <c r="AK364" s="100"/>
      <c r="AL364" s="100"/>
      <c r="AM364" s="100"/>
      <c r="AN364" s="100"/>
      <c r="AO364" s="100"/>
    </row>
    <row r="365" ht="14.25" customHeight="1">
      <c r="A365" s="195"/>
      <c r="B365" s="100"/>
      <c r="C365" s="100"/>
      <c r="D365" s="100"/>
      <c r="E365" s="100"/>
      <c r="F365" s="206"/>
      <c r="G365" s="206"/>
      <c r="H365" s="207"/>
      <c r="I365" s="207"/>
      <c r="J365" s="207"/>
      <c r="K365" s="207"/>
      <c r="L365" s="207"/>
      <c r="M365" s="207"/>
      <c r="N365" s="207"/>
      <c r="O365" s="207"/>
      <c r="P365" s="207"/>
      <c r="Q365" s="207"/>
      <c r="R365" s="207"/>
      <c r="S365" s="207"/>
      <c r="T365" s="207"/>
      <c r="U365" s="207"/>
      <c r="V365" s="207"/>
      <c r="W365" s="208"/>
      <c r="X365" s="208"/>
      <c r="Y365" s="208"/>
      <c r="Z365" s="208"/>
      <c r="AA365" s="208"/>
      <c r="AB365" s="208"/>
      <c r="AC365" s="208"/>
      <c r="AD365" s="208"/>
      <c r="AE365" s="208"/>
      <c r="AF365" s="208"/>
      <c r="AG365" s="208"/>
      <c r="AH365" s="208"/>
      <c r="AI365" s="100"/>
      <c r="AJ365" s="100"/>
      <c r="AK365" s="100"/>
      <c r="AL365" s="100"/>
      <c r="AM365" s="100"/>
      <c r="AN365" s="100"/>
      <c r="AO365" s="100"/>
    </row>
    <row r="366" ht="14.25" customHeight="1">
      <c r="A366" s="195"/>
      <c r="B366" s="100"/>
      <c r="C366" s="100"/>
      <c r="D366" s="100"/>
      <c r="E366" s="100"/>
      <c r="F366" s="206"/>
      <c r="G366" s="206"/>
      <c r="H366" s="207"/>
      <c r="I366" s="207"/>
      <c r="J366" s="207"/>
      <c r="K366" s="207"/>
      <c r="L366" s="207"/>
      <c r="M366" s="207"/>
      <c r="N366" s="207"/>
      <c r="O366" s="207"/>
      <c r="P366" s="207"/>
      <c r="Q366" s="207"/>
      <c r="R366" s="207"/>
      <c r="S366" s="207"/>
      <c r="T366" s="207"/>
      <c r="U366" s="207"/>
      <c r="V366" s="207"/>
      <c r="W366" s="208"/>
      <c r="X366" s="208"/>
      <c r="Y366" s="208"/>
      <c r="Z366" s="208"/>
      <c r="AA366" s="208"/>
      <c r="AB366" s="208"/>
      <c r="AC366" s="208"/>
      <c r="AD366" s="208"/>
      <c r="AE366" s="208"/>
      <c r="AF366" s="208"/>
      <c r="AG366" s="208"/>
      <c r="AH366" s="208"/>
      <c r="AI366" s="100"/>
      <c r="AJ366" s="100"/>
      <c r="AK366" s="100"/>
      <c r="AL366" s="100"/>
      <c r="AM366" s="100"/>
      <c r="AN366" s="100"/>
      <c r="AO366" s="100"/>
    </row>
    <row r="367" ht="14.25" customHeight="1">
      <c r="A367" s="195"/>
      <c r="B367" s="100"/>
      <c r="C367" s="100"/>
      <c r="D367" s="100"/>
      <c r="E367" s="100"/>
      <c r="F367" s="206"/>
      <c r="G367" s="206"/>
      <c r="H367" s="207"/>
      <c r="I367" s="207"/>
      <c r="J367" s="207"/>
      <c r="K367" s="207"/>
      <c r="L367" s="207"/>
      <c r="M367" s="207"/>
      <c r="N367" s="207"/>
      <c r="O367" s="207"/>
      <c r="P367" s="207"/>
      <c r="Q367" s="207"/>
      <c r="R367" s="207"/>
      <c r="S367" s="207"/>
      <c r="T367" s="207"/>
      <c r="U367" s="207"/>
      <c r="V367" s="207"/>
      <c r="W367" s="208"/>
      <c r="X367" s="208"/>
      <c r="Y367" s="208"/>
      <c r="Z367" s="208"/>
      <c r="AA367" s="208"/>
      <c r="AB367" s="208"/>
      <c r="AC367" s="208"/>
      <c r="AD367" s="208"/>
      <c r="AE367" s="208"/>
      <c r="AF367" s="208"/>
      <c r="AG367" s="208"/>
      <c r="AH367" s="208"/>
      <c r="AI367" s="100"/>
      <c r="AJ367" s="100"/>
      <c r="AK367" s="100"/>
      <c r="AL367" s="100"/>
      <c r="AM367" s="100"/>
      <c r="AN367" s="100"/>
      <c r="AO367" s="100"/>
    </row>
    <row r="368" ht="14.25" customHeight="1">
      <c r="A368" s="195"/>
      <c r="B368" s="100"/>
      <c r="C368" s="100"/>
      <c r="D368" s="100"/>
      <c r="E368" s="100"/>
      <c r="F368" s="206"/>
      <c r="G368" s="206"/>
      <c r="H368" s="207"/>
      <c r="I368" s="207"/>
      <c r="J368" s="207"/>
      <c r="K368" s="207"/>
      <c r="L368" s="207"/>
      <c r="M368" s="207"/>
      <c r="N368" s="207"/>
      <c r="O368" s="207"/>
      <c r="P368" s="207"/>
      <c r="Q368" s="207"/>
      <c r="R368" s="207"/>
      <c r="S368" s="207"/>
      <c r="T368" s="207"/>
      <c r="U368" s="207"/>
      <c r="V368" s="207"/>
      <c r="W368" s="208"/>
      <c r="X368" s="208"/>
      <c r="Y368" s="208"/>
      <c r="Z368" s="208"/>
      <c r="AA368" s="208"/>
      <c r="AB368" s="208"/>
      <c r="AC368" s="208"/>
      <c r="AD368" s="208"/>
      <c r="AE368" s="208"/>
      <c r="AF368" s="208"/>
      <c r="AG368" s="208"/>
      <c r="AH368" s="208"/>
      <c r="AI368" s="100"/>
      <c r="AJ368" s="100"/>
      <c r="AK368" s="100"/>
      <c r="AL368" s="100"/>
      <c r="AM368" s="100"/>
      <c r="AN368" s="100"/>
      <c r="AO368" s="100"/>
    </row>
    <row r="369" ht="14.25" customHeight="1">
      <c r="A369" s="195"/>
      <c r="B369" s="100"/>
      <c r="C369" s="100"/>
      <c r="D369" s="100"/>
      <c r="E369" s="100"/>
      <c r="F369" s="206"/>
      <c r="G369" s="206"/>
      <c r="H369" s="207"/>
      <c r="I369" s="207"/>
      <c r="J369" s="207"/>
      <c r="K369" s="207"/>
      <c r="L369" s="207"/>
      <c r="M369" s="207"/>
      <c r="N369" s="207"/>
      <c r="O369" s="207"/>
      <c r="P369" s="207"/>
      <c r="Q369" s="207"/>
      <c r="R369" s="207"/>
      <c r="S369" s="207"/>
      <c r="T369" s="207"/>
      <c r="U369" s="207"/>
      <c r="V369" s="207"/>
      <c r="W369" s="208"/>
      <c r="X369" s="208"/>
      <c r="Y369" s="208"/>
      <c r="Z369" s="208"/>
      <c r="AA369" s="208"/>
      <c r="AB369" s="208"/>
      <c r="AC369" s="208"/>
      <c r="AD369" s="208"/>
      <c r="AE369" s="208"/>
      <c r="AF369" s="208"/>
      <c r="AG369" s="208"/>
      <c r="AH369" s="208"/>
      <c r="AI369" s="100"/>
      <c r="AJ369" s="100"/>
      <c r="AK369" s="100"/>
      <c r="AL369" s="100"/>
      <c r="AM369" s="100"/>
      <c r="AN369" s="100"/>
      <c r="AO369" s="100"/>
    </row>
    <row r="370" ht="14.25" customHeight="1">
      <c r="A370" s="195"/>
      <c r="B370" s="100"/>
      <c r="C370" s="100"/>
      <c r="D370" s="100"/>
      <c r="E370" s="100"/>
      <c r="F370" s="206"/>
      <c r="G370" s="206"/>
      <c r="H370" s="207"/>
      <c r="I370" s="207"/>
      <c r="J370" s="207"/>
      <c r="K370" s="207"/>
      <c r="L370" s="207"/>
      <c r="M370" s="207"/>
      <c r="N370" s="207"/>
      <c r="O370" s="207"/>
      <c r="P370" s="207"/>
      <c r="Q370" s="207"/>
      <c r="R370" s="207"/>
      <c r="S370" s="207"/>
      <c r="T370" s="207"/>
      <c r="U370" s="207"/>
      <c r="V370" s="207"/>
      <c r="W370" s="208"/>
      <c r="X370" s="208"/>
      <c r="Y370" s="208"/>
      <c r="Z370" s="208"/>
      <c r="AA370" s="208"/>
      <c r="AB370" s="208"/>
      <c r="AC370" s="208"/>
      <c r="AD370" s="208"/>
      <c r="AE370" s="208"/>
      <c r="AF370" s="208"/>
      <c r="AG370" s="208"/>
      <c r="AH370" s="208"/>
      <c r="AI370" s="100"/>
      <c r="AJ370" s="100"/>
      <c r="AK370" s="100"/>
      <c r="AL370" s="100"/>
      <c r="AM370" s="100"/>
      <c r="AN370" s="100"/>
      <c r="AO370" s="100"/>
    </row>
    <row r="371" ht="14.25" customHeight="1">
      <c r="A371" s="195"/>
      <c r="B371" s="100"/>
      <c r="C371" s="100"/>
      <c r="D371" s="100"/>
      <c r="E371" s="100"/>
      <c r="F371" s="206"/>
      <c r="G371" s="206"/>
      <c r="H371" s="207"/>
      <c r="I371" s="207"/>
      <c r="J371" s="207"/>
      <c r="K371" s="207"/>
      <c r="L371" s="207"/>
      <c r="M371" s="207"/>
      <c r="N371" s="207"/>
      <c r="O371" s="207"/>
      <c r="P371" s="207"/>
      <c r="Q371" s="207"/>
      <c r="R371" s="207"/>
      <c r="S371" s="207"/>
      <c r="T371" s="207"/>
      <c r="U371" s="207"/>
      <c r="V371" s="207"/>
      <c r="W371" s="208"/>
      <c r="X371" s="208"/>
      <c r="Y371" s="208"/>
      <c r="Z371" s="208"/>
      <c r="AA371" s="208"/>
      <c r="AB371" s="208"/>
      <c r="AC371" s="208"/>
      <c r="AD371" s="208"/>
      <c r="AE371" s="208"/>
      <c r="AF371" s="208"/>
      <c r="AG371" s="208"/>
      <c r="AH371" s="208"/>
      <c r="AI371" s="100"/>
      <c r="AJ371" s="100"/>
      <c r="AK371" s="100"/>
      <c r="AL371" s="100"/>
      <c r="AM371" s="100"/>
      <c r="AN371" s="100"/>
      <c r="AO371" s="100"/>
    </row>
    <row r="372" ht="14.25" customHeight="1">
      <c r="A372" s="195"/>
      <c r="B372" s="100"/>
      <c r="C372" s="100"/>
      <c r="D372" s="100"/>
      <c r="E372" s="100"/>
      <c r="F372" s="206"/>
      <c r="G372" s="206"/>
      <c r="H372" s="207"/>
      <c r="I372" s="207"/>
      <c r="J372" s="207"/>
      <c r="K372" s="207"/>
      <c r="L372" s="207"/>
      <c r="M372" s="207"/>
      <c r="N372" s="207"/>
      <c r="O372" s="207"/>
      <c r="P372" s="207"/>
      <c r="Q372" s="207"/>
      <c r="R372" s="207"/>
      <c r="S372" s="207"/>
      <c r="T372" s="207"/>
      <c r="U372" s="207"/>
      <c r="V372" s="207"/>
      <c r="W372" s="208"/>
      <c r="X372" s="208"/>
      <c r="Y372" s="208"/>
      <c r="Z372" s="208"/>
      <c r="AA372" s="208"/>
      <c r="AB372" s="208"/>
      <c r="AC372" s="208"/>
      <c r="AD372" s="208"/>
      <c r="AE372" s="208"/>
      <c r="AF372" s="208"/>
      <c r="AG372" s="208"/>
      <c r="AH372" s="208"/>
      <c r="AI372" s="100"/>
      <c r="AJ372" s="100"/>
      <c r="AK372" s="100"/>
      <c r="AL372" s="100"/>
      <c r="AM372" s="100"/>
      <c r="AN372" s="100"/>
      <c r="AO372" s="100"/>
    </row>
    <row r="373" ht="14.25" customHeight="1">
      <c r="A373" s="195"/>
      <c r="B373" s="100"/>
      <c r="C373" s="100"/>
      <c r="D373" s="100"/>
      <c r="E373" s="100"/>
      <c r="F373" s="206"/>
      <c r="G373" s="206"/>
      <c r="H373" s="207"/>
      <c r="I373" s="207"/>
      <c r="J373" s="207"/>
      <c r="K373" s="207"/>
      <c r="L373" s="207"/>
      <c r="M373" s="207"/>
      <c r="N373" s="207"/>
      <c r="O373" s="207"/>
      <c r="P373" s="207"/>
      <c r="Q373" s="207"/>
      <c r="R373" s="207"/>
      <c r="S373" s="207"/>
      <c r="T373" s="207"/>
      <c r="U373" s="207"/>
      <c r="V373" s="207"/>
      <c r="W373" s="208"/>
      <c r="X373" s="208"/>
      <c r="Y373" s="208"/>
      <c r="Z373" s="208"/>
      <c r="AA373" s="208"/>
      <c r="AB373" s="208"/>
      <c r="AC373" s="208"/>
      <c r="AD373" s="208"/>
      <c r="AE373" s="208"/>
      <c r="AF373" s="208"/>
      <c r="AG373" s="208"/>
      <c r="AH373" s="208"/>
      <c r="AI373" s="100"/>
      <c r="AJ373" s="100"/>
      <c r="AK373" s="100"/>
      <c r="AL373" s="100"/>
      <c r="AM373" s="100"/>
      <c r="AN373" s="100"/>
      <c r="AO373" s="100"/>
    </row>
    <row r="374" ht="14.25" customHeight="1">
      <c r="A374" s="195"/>
      <c r="B374" s="100"/>
      <c r="C374" s="100"/>
      <c r="D374" s="100"/>
      <c r="E374" s="100"/>
      <c r="F374" s="206"/>
      <c r="G374" s="206"/>
      <c r="H374" s="207"/>
      <c r="I374" s="207"/>
      <c r="J374" s="207"/>
      <c r="K374" s="207"/>
      <c r="L374" s="207"/>
      <c r="M374" s="207"/>
      <c r="N374" s="207"/>
      <c r="O374" s="207"/>
      <c r="P374" s="207"/>
      <c r="Q374" s="207"/>
      <c r="R374" s="207"/>
      <c r="S374" s="207"/>
      <c r="T374" s="207"/>
      <c r="U374" s="207"/>
      <c r="V374" s="207"/>
      <c r="W374" s="208"/>
      <c r="X374" s="208"/>
      <c r="Y374" s="208"/>
      <c r="Z374" s="208"/>
      <c r="AA374" s="208"/>
      <c r="AB374" s="208"/>
      <c r="AC374" s="208"/>
      <c r="AD374" s="208"/>
      <c r="AE374" s="208"/>
      <c r="AF374" s="208"/>
      <c r="AG374" s="208"/>
      <c r="AH374" s="208"/>
      <c r="AI374" s="100"/>
      <c r="AJ374" s="100"/>
      <c r="AK374" s="100"/>
      <c r="AL374" s="100"/>
      <c r="AM374" s="100"/>
      <c r="AN374" s="100"/>
      <c r="AO374" s="100"/>
    </row>
    <row r="375" ht="14.25" customHeight="1">
      <c r="A375" s="195"/>
      <c r="B375" s="100"/>
      <c r="C375" s="100"/>
      <c r="D375" s="100"/>
      <c r="E375" s="100"/>
      <c r="F375" s="206"/>
      <c r="G375" s="206"/>
      <c r="H375" s="207"/>
      <c r="I375" s="207"/>
      <c r="J375" s="207"/>
      <c r="K375" s="207"/>
      <c r="L375" s="207"/>
      <c r="M375" s="207"/>
      <c r="N375" s="207"/>
      <c r="O375" s="207"/>
      <c r="P375" s="207"/>
      <c r="Q375" s="207"/>
      <c r="R375" s="207"/>
      <c r="S375" s="207"/>
      <c r="T375" s="207"/>
      <c r="U375" s="207"/>
      <c r="V375" s="207"/>
      <c r="W375" s="208"/>
      <c r="X375" s="208"/>
      <c r="Y375" s="208"/>
      <c r="Z375" s="208"/>
      <c r="AA375" s="208"/>
      <c r="AB375" s="208"/>
      <c r="AC375" s="208"/>
      <c r="AD375" s="208"/>
      <c r="AE375" s="208"/>
      <c r="AF375" s="208"/>
      <c r="AG375" s="208"/>
      <c r="AH375" s="208"/>
      <c r="AI375" s="100"/>
      <c r="AJ375" s="100"/>
      <c r="AK375" s="100"/>
      <c r="AL375" s="100"/>
      <c r="AM375" s="100"/>
      <c r="AN375" s="100"/>
      <c r="AO375" s="100"/>
    </row>
    <row r="376" ht="14.25" customHeight="1">
      <c r="A376" s="195"/>
      <c r="B376" s="100"/>
      <c r="C376" s="100"/>
      <c r="D376" s="100"/>
      <c r="E376" s="100"/>
      <c r="F376" s="206"/>
      <c r="G376" s="206"/>
      <c r="H376" s="207"/>
      <c r="I376" s="207"/>
      <c r="J376" s="207"/>
      <c r="K376" s="207"/>
      <c r="L376" s="207"/>
      <c r="M376" s="207"/>
      <c r="N376" s="207"/>
      <c r="O376" s="207"/>
      <c r="P376" s="207"/>
      <c r="Q376" s="207"/>
      <c r="R376" s="207"/>
      <c r="S376" s="207"/>
      <c r="T376" s="207"/>
      <c r="U376" s="207"/>
      <c r="V376" s="207"/>
      <c r="W376" s="208"/>
      <c r="X376" s="208"/>
      <c r="Y376" s="208"/>
      <c r="Z376" s="208"/>
      <c r="AA376" s="208"/>
      <c r="AB376" s="208"/>
      <c r="AC376" s="208"/>
      <c r="AD376" s="208"/>
      <c r="AE376" s="208"/>
      <c r="AF376" s="208"/>
      <c r="AG376" s="208"/>
      <c r="AH376" s="208"/>
      <c r="AI376" s="100"/>
      <c r="AJ376" s="100"/>
      <c r="AK376" s="100"/>
      <c r="AL376" s="100"/>
      <c r="AM376" s="100"/>
      <c r="AN376" s="100"/>
      <c r="AO376" s="100"/>
    </row>
    <row r="377" ht="14.25" customHeight="1">
      <c r="A377" s="195"/>
      <c r="B377" s="100"/>
      <c r="C377" s="100"/>
      <c r="D377" s="100"/>
      <c r="E377" s="100"/>
      <c r="F377" s="206"/>
      <c r="G377" s="206"/>
      <c r="H377" s="207"/>
      <c r="I377" s="207"/>
      <c r="J377" s="207"/>
      <c r="K377" s="207"/>
      <c r="L377" s="207"/>
      <c r="M377" s="207"/>
      <c r="N377" s="207"/>
      <c r="O377" s="207"/>
      <c r="P377" s="207"/>
      <c r="Q377" s="207"/>
      <c r="R377" s="207"/>
      <c r="S377" s="207"/>
      <c r="T377" s="207"/>
      <c r="U377" s="207"/>
      <c r="V377" s="207"/>
      <c r="W377" s="208"/>
      <c r="X377" s="208"/>
      <c r="Y377" s="208"/>
      <c r="Z377" s="208"/>
      <c r="AA377" s="208"/>
      <c r="AB377" s="208"/>
      <c r="AC377" s="208"/>
      <c r="AD377" s="208"/>
      <c r="AE377" s="208"/>
      <c r="AF377" s="208"/>
      <c r="AG377" s="208"/>
      <c r="AH377" s="208"/>
      <c r="AI377" s="100"/>
      <c r="AJ377" s="100"/>
      <c r="AK377" s="100"/>
      <c r="AL377" s="100"/>
      <c r="AM377" s="100"/>
      <c r="AN377" s="100"/>
      <c r="AO377" s="100"/>
    </row>
    <row r="378" ht="14.25" customHeight="1">
      <c r="A378" s="195"/>
      <c r="B378" s="100"/>
      <c r="C378" s="100"/>
      <c r="D378" s="100"/>
      <c r="E378" s="100"/>
      <c r="F378" s="206"/>
      <c r="G378" s="206"/>
      <c r="H378" s="207"/>
      <c r="I378" s="207"/>
      <c r="J378" s="207"/>
      <c r="K378" s="207"/>
      <c r="L378" s="207"/>
      <c r="M378" s="207"/>
      <c r="N378" s="207"/>
      <c r="O378" s="207"/>
      <c r="P378" s="207"/>
      <c r="Q378" s="207"/>
      <c r="R378" s="207"/>
      <c r="S378" s="207"/>
      <c r="T378" s="207"/>
      <c r="U378" s="207"/>
      <c r="V378" s="207"/>
      <c r="W378" s="208"/>
      <c r="X378" s="208"/>
      <c r="Y378" s="208"/>
      <c r="Z378" s="208"/>
      <c r="AA378" s="208"/>
      <c r="AB378" s="208"/>
      <c r="AC378" s="208"/>
      <c r="AD378" s="208"/>
      <c r="AE378" s="208"/>
      <c r="AF378" s="208"/>
      <c r="AG378" s="208"/>
      <c r="AH378" s="208"/>
      <c r="AI378" s="100"/>
      <c r="AJ378" s="100"/>
      <c r="AK378" s="100"/>
      <c r="AL378" s="100"/>
      <c r="AM378" s="100"/>
      <c r="AN378" s="100"/>
      <c r="AO378" s="100"/>
    </row>
    <row r="379" ht="14.25" customHeight="1">
      <c r="A379" s="195"/>
      <c r="B379" s="100"/>
      <c r="C379" s="100"/>
      <c r="D379" s="100"/>
      <c r="E379" s="100"/>
      <c r="F379" s="206"/>
      <c r="G379" s="206"/>
      <c r="H379" s="207"/>
      <c r="I379" s="207"/>
      <c r="J379" s="207"/>
      <c r="K379" s="207"/>
      <c r="L379" s="207"/>
      <c r="M379" s="207"/>
      <c r="N379" s="207"/>
      <c r="O379" s="207"/>
      <c r="P379" s="207"/>
      <c r="Q379" s="207"/>
      <c r="R379" s="207"/>
      <c r="S379" s="207"/>
      <c r="T379" s="207"/>
      <c r="U379" s="207"/>
      <c r="V379" s="207"/>
      <c r="W379" s="208"/>
      <c r="X379" s="208"/>
      <c r="Y379" s="208"/>
      <c r="Z379" s="208"/>
      <c r="AA379" s="208"/>
      <c r="AB379" s="208"/>
      <c r="AC379" s="208"/>
      <c r="AD379" s="208"/>
      <c r="AE379" s="208"/>
      <c r="AF379" s="208"/>
      <c r="AG379" s="208"/>
      <c r="AH379" s="208"/>
      <c r="AI379" s="100"/>
      <c r="AJ379" s="100"/>
      <c r="AK379" s="100"/>
      <c r="AL379" s="100"/>
      <c r="AM379" s="100"/>
      <c r="AN379" s="100"/>
      <c r="AO379" s="100"/>
    </row>
    <row r="380" ht="14.25" customHeight="1">
      <c r="A380" s="195"/>
      <c r="B380" s="100"/>
      <c r="C380" s="100"/>
      <c r="D380" s="100"/>
      <c r="E380" s="100"/>
      <c r="F380" s="206"/>
      <c r="G380" s="206"/>
      <c r="H380" s="207"/>
      <c r="I380" s="207"/>
      <c r="J380" s="207"/>
      <c r="K380" s="207"/>
      <c r="L380" s="207"/>
      <c r="M380" s="207"/>
      <c r="N380" s="207"/>
      <c r="O380" s="207"/>
      <c r="P380" s="207"/>
      <c r="Q380" s="207"/>
      <c r="R380" s="207"/>
      <c r="S380" s="207"/>
      <c r="T380" s="207"/>
      <c r="U380" s="207"/>
      <c r="V380" s="207"/>
      <c r="W380" s="208"/>
      <c r="X380" s="208"/>
      <c r="Y380" s="208"/>
      <c r="Z380" s="208"/>
      <c r="AA380" s="208"/>
      <c r="AB380" s="208"/>
      <c r="AC380" s="208"/>
      <c r="AD380" s="208"/>
      <c r="AE380" s="208"/>
      <c r="AF380" s="208"/>
      <c r="AG380" s="208"/>
      <c r="AH380" s="208"/>
      <c r="AI380" s="100"/>
      <c r="AJ380" s="100"/>
      <c r="AK380" s="100"/>
      <c r="AL380" s="100"/>
      <c r="AM380" s="100"/>
      <c r="AN380" s="100"/>
      <c r="AO380" s="100"/>
    </row>
    <row r="381" ht="14.25" customHeight="1">
      <c r="A381" s="195"/>
      <c r="B381" s="100"/>
      <c r="C381" s="100"/>
      <c r="D381" s="100"/>
      <c r="E381" s="100"/>
      <c r="F381" s="206"/>
      <c r="G381" s="206"/>
      <c r="H381" s="207"/>
      <c r="I381" s="207"/>
      <c r="J381" s="207"/>
      <c r="K381" s="207"/>
      <c r="L381" s="207"/>
      <c r="M381" s="207"/>
      <c r="N381" s="207"/>
      <c r="O381" s="207"/>
      <c r="P381" s="207"/>
      <c r="Q381" s="207"/>
      <c r="R381" s="207"/>
      <c r="S381" s="207"/>
      <c r="T381" s="207"/>
      <c r="U381" s="207"/>
      <c r="V381" s="207"/>
      <c r="W381" s="208"/>
      <c r="X381" s="208"/>
      <c r="Y381" s="208"/>
      <c r="Z381" s="208"/>
      <c r="AA381" s="208"/>
      <c r="AB381" s="208"/>
      <c r="AC381" s="208"/>
      <c r="AD381" s="208"/>
      <c r="AE381" s="208"/>
      <c r="AF381" s="208"/>
      <c r="AG381" s="208"/>
      <c r="AH381" s="208"/>
      <c r="AI381" s="100"/>
      <c r="AJ381" s="100"/>
      <c r="AK381" s="100"/>
      <c r="AL381" s="100"/>
      <c r="AM381" s="100"/>
      <c r="AN381" s="100"/>
      <c r="AO381" s="100"/>
    </row>
    <row r="382" ht="14.25" customHeight="1">
      <c r="A382" s="195"/>
      <c r="B382" s="100"/>
      <c r="C382" s="100"/>
      <c r="D382" s="100"/>
      <c r="E382" s="100"/>
      <c r="F382" s="206"/>
      <c r="G382" s="206"/>
      <c r="H382" s="207"/>
      <c r="I382" s="207"/>
      <c r="J382" s="207"/>
      <c r="K382" s="207"/>
      <c r="L382" s="207"/>
      <c r="M382" s="207"/>
      <c r="N382" s="207"/>
      <c r="O382" s="207"/>
      <c r="P382" s="207"/>
      <c r="Q382" s="207"/>
      <c r="R382" s="207"/>
      <c r="S382" s="207"/>
      <c r="T382" s="207"/>
      <c r="U382" s="207"/>
      <c r="V382" s="207"/>
      <c r="W382" s="208"/>
      <c r="X382" s="208"/>
      <c r="Y382" s="208"/>
      <c r="Z382" s="208"/>
      <c r="AA382" s="208"/>
      <c r="AB382" s="208"/>
      <c r="AC382" s="208"/>
      <c r="AD382" s="208"/>
      <c r="AE382" s="208"/>
      <c r="AF382" s="208"/>
      <c r="AG382" s="208"/>
      <c r="AH382" s="208"/>
      <c r="AI382" s="100"/>
      <c r="AJ382" s="100"/>
      <c r="AK382" s="100"/>
      <c r="AL382" s="100"/>
      <c r="AM382" s="100"/>
      <c r="AN382" s="100"/>
      <c r="AO382" s="100"/>
    </row>
    <row r="383" ht="14.25" customHeight="1">
      <c r="A383" s="195"/>
      <c r="B383" s="100"/>
      <c r="C383" s="100"/>
      <c r="D383" s="100"/>
      <c r="E383" s="100"/>
      <c r="F383" s="206"/>
      <c r="G383" s="206"/>
      <c r="H383" s="207"/>
      <c r="I383" s="207"/>
      <c r="J383" s="207"/>
      <c r="K383" s="207"/>
      <c r="L383" s="207"/>
      <c r="M383" s="207"/>
      <c r="N383" s="207"/>
      <c r="O383" s="207"/>
      <c r="P383" s="207"/>
      <c r="Q383" s="207"/>
      <c r="R383" s="207"/>
      <c r="S383" s="207"/>
      <c r="T383" s="207"/>
      <c r="U383" s="207"/>
      <c r="V383" s="207"/>
      <c r="W383" s="208"/>
      <c r="X383" s="208"/>
      <c r="Y383" s="208"/>
      <c r="Z383" s="208"/>
      <c r="AA383" s="208"/>
      <c r="AB383" s="208"/>
      <c r="AC383" s="208"/>
      <c r="AD383" s="208"/>
      <c r="AE383" s="208"/>
      <c r="AF383" s="208"/>
      <c r="AG383" s="208"/>
      <c r="AH383" s="208"/>
      <c r="AI383" s="100"/>
      <c r="AJ383" s="100"/>
      <c r="AK383" s="100"/>
      <c r="AL383" s="100"/>
      <c r="AM383" s="100"/>
      <c r="AN383" s="100"/>
      <c r="AO383" s="100"/>
    </row>
    <row r="384" ht="14.25" customHeight="1">
      <c r="A384" s="195"/>
      <c r="B384" s="100"/>
      <c r="C384" s="100"/>
      <c r="D384" s="100"/>
      <c r="E384" s="100"/>
      <c r="F384" s="206"/>
      <c r="G384" s="206"/>
      <c r="H384" s="207"/>
      <c r="I384" s="207"/>
      <c r="J384" s="207"/>
      <c r="K384" s="207"/>
      <c r="L384" s="207"/>
      <c r="M384" s="207"/>
      <c r="N384" s="207"/>
      <c r="O384" s="207"/>
      <c r="P384" s="207"/>
      <c r="Q384" s="207"/>
      <c r="R384" s="207"/>
      <c r="S384" s="207"/>
      <c r="T384" s="207"/>
      <c r="U384" s="207"/>
      <c r="V384" s="207"/>
      <c r="W384" s="208"/>
      <c r="X384" s="208"/>
      <c r="Y384" s="208"/>
      <c r="Z384" s="208"/>
      <c r="AA384" s="208"/>
      <c r="AB384" s="208"/>
      <c r="AC384" s="208"/>
      <c r="AD384" s="208"/>
      <c r="AE384" s="208"/>
      <c r="AF384" s="208"/>
      <c r="AG384" s="208"/>
      <c r="AH384" s="208"/>
      <c r="AI384" s="100"/>
      <c r="AJ384" s="100"/>
      <c r="AK384" s="100"/>
      <c r="AL384" s="100"/>
      <c r="AM384" s="100"/>
      <c r="AN384" s="100"/>
      <c r="AO384" s="100"/>
    </row>
    <row r="385" ht="14.25" customHeight="1">
      <c r="A385" s="195"/>
      <c r="B385" s="100"/>
      <c r="C385" s="100"/>
      <c r="D385" s="100"/>
      <c r="E385" s="100"/>
      <c r="F385" s="206"/>
      <c r="G385" s="206"/>
      <c r="H385" s="207"/>
      <c r="I385" s="207"/>
      <c r="J385" s="207"/>
      <c r="K385" s="207"/>
      <c r="L385" s="207"/>
      <c r="M385" s="207"/>
      <c r="N385" s="207"/>
      <c r="O385" s="207"/>
      <c r="P385" s="207"/>
      <c r="Q385" s="207"/>
      <c r="R385" s="207"/>
      <c r="S385" s="207"/>
      <c r="T385" s="207"/>
      <c r="U385" s="207"/>
      <c r="V385" s="207"/>
      <c r="W385" s="208"/>
      <c r="X385" s="208"/>
      <c r="Y385" s="208"/>
      <c r="Z385" s="208"/>
      <c r="AA385" s="208"/>
      <c r="AB385" s="208"/>
      <c r="AC385" s="208"/>
      <c r="AD385" s="208"/>
      <c r="AE385" s="208"/>
      <c r="AF385" s="208"/>
      <c r="AG385" s="208"/>
      <c r="AH385" s="208"/>
      <c r="AI385" s="100"/>
      <c r="AJ385" s="100"/>
      <c r="AK385" s="100"/>
      <c r="AL385" s="100"/>
      <c r="AM385" s="100"/>
      <c r="AN385" s="100"/>
      <c r="AO385" s="100"/>
    </row>
    <row r="386" ht="14.25" customHeight="1">
      <c r="A386" s="195"/>
      <c r="B386" s="100"/>
      <c r="C386" s="100"/>
      <c r="D386" s="100"/>
      <c r="E386" s="100"/>
      <c r="F386" s="206"/>
      <c r="G386" s="206"/>
      <c r="H386" s="207"/>
      <c r="I386" s="207"/>
      <c r="J386" s="207"/>
      <c r="K386" s="207"/>
      <c r="L386" s="207"/>
      <c r="M386" s="207"/>
      <c r="N386" s="207"/>
      <c r="O386" s="207"/>
      <c r="P386" s="207"/>
      <c r="Q386" s="207"/>
      <c r="R386" s="207"/>
      <c r="S386" s="207"/>
      <c r="T386" s="207"/>
      <c r="U386" s="207"/>
      <c r="V386" s="207"/>
      <c r="W386" s="208"/>
      <c r="X386" s="208"/>
      <c r="Y386" s="208"/>
      <c r="Z386" s="208"/>
      <c r="AA386" s="208"/>
      <c r="AB386" s="208"/>
      <c r="AC386" s="208"/>
      <c r="AD386" s="208"/>
      <c r="AE386" s="208"/>
      <c r="AF386" s="208"/>
      <c r="AG386" s="208"/>
      <c r="AH386" s="208"/>
      <c r="AI386" s="100"/>
      <c r="AJ386" s="100"/>
      <c r="AK386" s="100"/>
      <c r="AL386" s="100"/>
      <c r="AM386" s="100"/>
      <c r="AN386" s="100"/>
      <c r="AO386" s="100"/>
    </row>
    <row r="387" ht="14.25" customHeight="1">
      <c r="A387" s="195"/>
      <c r="B387" s="100"/>
      <c r="C387" s="100"/>
      <c r="D387" s="100"/>
      <c r="E387" s="100"/>
      <c r="F387" s="206"/>
      <c r="G387" s="206"/>
      <c r="H387" s="207"/>
      <c r="I387" s="207"/>
      <c r="J387" s="207"/>
      <c r="K387" s="207"/>
      <c r="L387" s="207"/>
      <c r="M387" s="207"/>
      <c r="N387" s="207"/>
      <c r="O387" s="207"/>
      <c r="P387" s="207"/>
      <c r="Q387" s="207"/>
      <c r="R387" s="207"/>
      <c r="S387" s="207"/>
      <c r="T387" s="207"/>
      <c r="U387" s="207"/>
      <c r="V387" s="207"/>
      <c r="W387" s="208"/>
      <c r="X387" s="208"/>
      <c r="Y387" s="208"/>
      <c r="Z387" s="208"/>
      <c r="AA387" s="208"/>
      <c r="AB387" s="208"/>
      <c r="AC387" s="208"/>
      <c r="AD387" s="208"/>
      <c r="AE387" s="208"/>
      <c r="AF387" s="208"/>
      <c r="AG387" s="208"/>
      <c r="AH387" s="208"/>
      <c r="AI387" s="100"/>
      <c r="AJ387" s="100"/>
      <c r="AK387" s="100"/>
      <c r="AL387" s="100"/>
      <c r="AM387" s="100"/>
      <c r="AN387" s="100"/>
      <c r="AO387" s="100"/>
    </row>
    <row r="388" ht="14.25" customHeight="1">
      <c r="A388" s="195"/>
      <c r="B388" s="100"/>
      <c r="C388" s="100"/>
      <c r="D388" s="100"/>
      <c r="E388" s="100"/>
      <c r="F388" s="206"/>
      <c r="G388" s="206"/>
      <c r="H388" s="207"/>
      <c r="I388" s="207"/>
      <c r="J388" s="207"/>
      <c r="K388" s="207"/>
      <c r="L388" s="207"/>
      <c r="M388" s="207"/>
      <c r="N388" s="207"/>
      <c r="O388" s="207"/>
      <c r="P388" s="207"/>
      <c r="Q388" s="207"/>
      <c r="R388" s="207"/>
      <c r="S388" s="207"/>
      <c r="T388" s="207"/>
      <c r="U388" s="207"/>
      <c r="V388" s="207"/>
      <c r="W388" s="208"/>
      <c r="X388" s="208"/>
      <c r="Y388" s="208"/>
      <c r="Z388" s="208"/>
      <c r="AA388" s="208"/>
      <c r="AB388" s="208"/>
      <c r="AC388" s="208"/>
      <c r="AD388" s="208"/>
      <c r="AE388" s="208"/>
      <c r="AF388" s="208"/>
      <c r="AG388" s="208"/>
      <c r="AH388" s="208"/>
      <c r="AI388" s="100"/>
      <c r="AJ388" s="100"/>
      <c r="AK388" s="100"/>
      <c r="AL388" s="100"/>
      <c r="AM388" s="100"/>
      <c r="AN388" s="100"/>
      <c r="AO388" s="100"/>
    </row>
    <row r="389" ht="14.25" customHeight="1">
      <c r="A389" s="195"/>
      <c r="B389" s="100"/>
      <c r="C389" s="100"/>
      <c r="D389" s="100"/>
      <c r="E389" s="100"/>
      <c r="F389" s="206"/>
      <c r="G389" s="206"/>
      <c r="H389" s="207"/>
      <c r="I389" s="207"/>
      <c r="J389" s="207"/>
      <c r="K389" s="207"/>
      <c r="L389" s="207"/>
      <c r="M389" s="207"/>
      <c r="N389" s="207"/>
      <c r="O389" s="207"/>
      <c r="P389" s="207"/>
      <c r="Q389" s="207"/>
      <c r="R389" s="207"/>
      <c r="S389" s="207"/>
      <c r="T389" s="207"/>
      <c r="U389" s="207"/>
      <c r="V389" s="207"/>
      <c r="W389" s="208"/>
      <c r="X389" s="208"/>
      <c r="Y389" s="208"/>
      <c r="Z389" s="208"/>
      <c r="AA389" s="208"/>
      <c r="AB389" s="208"/>
      <c r="AC389" s="208"/>
      <c r="AD389" s="208"/>
      <c r="AE389" s="208"/>
      <c r="AF389" s="208"/>
      <c r="AG389" s="208"/>
      <c r="AH389" s="208"/>
      <c r="AI389" s="100"/>
      <c r="AJ389" s="100"/>
      <c r="AK389" s="100"/>
      <c r="AL389" s="100"/>
      <c r="AM389" s="100"/>
      <c r="AN389" s="100"/>
      <c r="AO389" s="100"/>
    </row>
    <row r="390" ht="14.25" customHeight="1">
      <c r="A390" s="195"/>
      <c r="B390" s="100"/>
      <c r="C390" s="100"/>
      <c r="D390" s="100"/>
      <c r="E390" s="100"/>
      <c r="F390" s="206"/>
      <c r="G390" s="206"/>
      <c r="H390" s="207"/>
      <c r="I390" s="207"/>
      <c r="J390" s="207"/>
      <c r="K390" s="207"/>
      <c r="L390" s="207"/>
      <c r="M390" s="207"/>
      <c r="N390" s="207"/>
      <c r="O390" s="207"/>
      <c r="P390" s="207"/>
      <c r="Q390" s="207"/>
      <c r="R390" s="207"/>
      <c r="S390" s="207"/>
      <c r="T390" s="207"/>
      <c r="U390" s="207"/>
      <c r="V390" s="207"/>
      <c r="W390" s="208"/>
      <c r="X390" s="208"/>
      <c r="Y390" s="208"/>
      <c r="Z390" s="208"/>
      <c r="AA390" s="208"/>
      <c r="AB390" s="208"/>
      <c r="AC390" s="208"/>
      <c r="AD390" s="208"/>
      <c r="AE390" s="208"/>
      <c r="AF390" s="208"/>
      <c r="AG390" s="208"/>
      <c r="AH390" s="208"/>
      <c r="AI390" s="100"/>
      <c r="AJ390" s="100"/>
      <c r="AK390" s="100"/>
      <c r="AL390" s="100"/>
      <c r="AM390" s="100"/>
      <c r="AN390" s="100"/>
      <c r="AO390" s="100"/>
    </row>
    <row r="391" ht="14.25" customHeight="1">
      <c r="A391" s="195"/>
      <c r="B391" s="100"/>
      <c r="C391" s="100"/>
      <c r="D391" s="100"/>
      <c r="E391" s="100"/>
      <c r="F391" s="206"/>
      <c r="G391" s="206"/>
      <c r="H391" s="207"/>
      <c r="I391" s="207"/>
      <c r="J391" s="207"/>
      <c r="K391" s="207"/>
      <c r="L391" s="207"/>
      <c r="M391" s="207"/>
      <c r="N391" s="207"/>
      <c r="O391" s="207"/>
      <c r="P391" s="207"/>
      <c r="Q391" s="207"/>
      <c r="R391" s="207"/>
      <c r="S391" s="207"/>
      <c r="T391" s="207"/>
      <c r="U391" s="207"/>
      <c r="V391" s="207"/>
      <c r="W391" s="208"/>
      <c r="X391" s="208"/>
      <c r="Y391" s="208"/>
      <c r="Z391" s="208"/>
      <c r="AA391" s="208"/>
      <c r="AB391" s="208"/>
      <c r="AC391" s="208"/>
      <c r="AD391" s="208"/>
      <c r="AE391" s="208"/>
      <c r="AF391" s="208"/>
      <c r="AG391" s="208"/>
      <c r="AH391" s="208"/>
      <c r="AI391" s="100"/>
      <c r="AJ391" s="100"/>
      <c r="AK391" s="100"/>
      <c r="AL391" s="100"/>
      <c r="AM391" s="100"/>
      <c r="AN391" s="100"/>
      <c r="AO391" s="100"/>
    </row>
    <row r="392" ht="14.25" customHeight="1">
      <c r="A392" s="195"/>
      <c r="B392" s="100"/>
      <c r="C392" s="100"/>
      <c r="D392" s="100"/>
      <c r="E392" s="100"/>
      <c r="F392" s="206"/>
      <c r="G392" s="206"/>
      <c r="H392" s="207"/>
      <c r="I392" s="207"/>
      <c r="J392" s="207"/>
      <c r="K392" s="207"/>
      <c r="L392" s="207"/>
      <c r="M392" s="207"/>
      <c r="N392" s="207"/>
      <c r="O392" s="207"/>
      <c r="P392" s="207"/>
      <c r="Q392" s="207"/>
      <c r="R392" s="207"/>
      <c r="S392" s="207"/>
      <c r="T392" s="207"/>
      <c r="U392" s="207"/>
      <c r="V392" s="207"/>
      <c r="W392" s="208"/>
      <c r="X392" s="208"/>
      <c r="Y392" s="208"/>
      <c r="Z392" s="208"/>
      <c r="AA392" s="208"/>
      <c r="AB392" s="208"/>
      <c r="AC392" s="208"/>
      <c r="AD392" s="208"/>
      <c r="AE392" s="208"/>
      <c r="AF392" s="208"/>
      <c r="AG392" s="208"/>
      <c r="AH392" s="208"/>
      <c r="AI392" s="100"/>
      <c r="AJ392" s="100"/>
      <c r="AK392" s="100"/>
      <c r="AL392" s="100"/>
      <c r="AM392" s="100"/>
      <c r="AN392" s="100"/>
      <c r="AO392" s="100"/>
    </row>
    <row r="393" ht="14.25" customHeight="1">
      <c r="A393" s="195"/>
      <c r="B393" s="100"/>
      <c r="C393" s="100"/>
      <c r="D393" s="100"/>
      <c r="E393" s="100"/>
      <c r="F393" s="206"/>
      <c r="G393" s="206"/>
      <c r="H393" s="207"/>
      <c r="I393" s="207"/>
      <c r="J393" s="207"/>
      <c r="K393" s="207"/>
      <c r="L393" s="207"/>
      <c r="M393" s="207"/>
      <c r="N393" s="207"/>
      <c r="O393" s="207"/>
      <c r="P393" s="207"/>
      <c r="Q393" s="207"/>
      <c r="R393" s="207"/>
      <c r="S393" s="207"/>
      <c r="T393" s="207"/>
      <c r="U393" s="207"/>
      <c r="V393" s="207"/>
      <c r="W393" s="208"/>
      <c r="X393" s="208"/>
      <c r="Y393" s="208"/>
      <c r="Z393" s="208"/>
      <c r="AA393" s="208"/>
      <c r="AB393" s="208"/>
      <c r="AC393" s="208"/>
      <c r="AD393" s="208"/>
      <c r="AE393" s="208"/>
      <c r="AF393" s="208"/>
      <c r="AG393" s="208"/>
      <c r="AH393" s="208"/>
      <c r="AI393" s="100"/>
      <c r="AJ393" s="100"/>
      <c r="AK393" s="100"/>
      <c r="AL393" s="100"/>
      <c r="AM393" s="100"/>
      <c r="AN393" s="100"/>
      <c r="AO393" s="100"/>
    </row>
    <row r="394" ht="14.25" customHeight="1">
      <c r="A394" s="195"/>
      <c r="B394" s="100"/>
      <c r="C394" s="100"/>
      <c r="D394" s="100"/>
      <c r="E394" s="100"/>
      <c r="F394" s="206"/>
      <c r="G394" s="206"/>
      <c r="H394" s="207"/>
      <c r="I394" s="207"/>
      <c r="J394" s="207"/>
      <c r="K394" s="207"/>
      <c r="L394" s="207"/>
      <c r="M394" s="207"/>
      <c r="N394" s="207"/>
      <c r="O394" s="207"/>
      <c r="P394" s="207"/>
      <c r="Q394" s="207"/>
      <c r="R394" s="207"/>
      <c r="S394" s="207"/>
      <c r="T394" s="207"/>
      <c r="U394" s="207"/>
      <c r="V394" s="207"/>
      <c r="W394" s="208"/>
      <c r="X394" s="208"/>
      <c r="Y394" s="208"/>
      <c r="Z394" s="208"/>
      <c r="AA394" s="208"/>
      <c r="AB394" s="208"/>
      <c r="AC394" s="208"/>
      <c r="AD394" s="208"/>
      <c r="AE394" s="208"/>
      <c r="AF394" s="208"/>
      <c r="AG394" s="208"/>
      <c r="AH394" s="208"/>
      <c r="AI394" s="100"/>
      <c r="AJ394" s="100"/>
      <c r="AK394" s="100"/>
      <c r="AL394" s="100"/>
      <c r="AM394" s="100"/>
      <c r="AN394" s="100"/>
      <c r="AO394" s="100"/>
    </row>
    <row r="395" ht="14.25" customHeight="1">
      <c r="A395" s="195"/>
      <c r="B395" s="100"/>
      <c r="C395" s="100"/>
      <c r="D395" s="100"/>
      <c r="E395" s="100"/>
      <c r="F395" s="206"/>
      <c r="G395" s="206"/>
      <c r="H395" s="207"/>
      <c r="I395" s="207"/>
      <c r="J395" s="207"/>
      <c r="K395" s="207"/>
      <c r="L395" s="207"/>
      <c r="M395" s="207"/>
      <c r="N395" s="207"/>
      <c r="O395" s="207"/>
      <c r="P395" s="207"/>
      <c r="Q395" s="207"/>
      <c r="R395" s="207"/>
      <c r="S395" s="207"/>
      <c r="T395" s="207"/>
      <c r="U395" s="207"/>
      <c r="V395" s="207"/>
      <c r="W395" s="208"/>
      <c r="X395" s="208"/>
      <c r="Y395" s="208"/>
      <c r="Z395" s="208"/>
      <c r="AA395" s="208"/>
      <c r="AB395" s="208"/>
      <c r="AC395" s="208"/>
      <c r="AD395" s="208"/>
      <c r="AE395" s="208"/>
      <c r="AF395" s="208"/>
      <c r="AG395" s="208"/>
      <c r="AH395" s="208"/>
      <c r="AI395" s="100"/>
      <c r="AJ395" s="100"/>
      <c r="AK395" s="100"/>
      <c r="AL395" s="100"/>
      <c r="AM395" s="100"/>
      <c r="AN395" s="100"/>
      <c r="AO395" s="100"/>
    </row>
    <row r="396" ht="14.25" customHeight="1">
      <c r="A396" s="195"/>
      <c r="B396" s="100"/>
      <c r="C396" s="100"/>
      <c r="D396" s="100"/>
      <c r="E396" s="100"/>
      <c r="F396" s="206"/>
      <c r="G396" s="206"/>
      <c r="H396" s="207"/>
      <c r="I396" s="207"/>
      <c r="J396" s="207"/>
      <c r="K396" s="207"/>
      <c r="L396" s="207"/>
      <c r="M396" s="207"/>
      <c r="N396" s="207"/>
      <c r="O396" s="207"/>
      <c r="P396" s="207"/>
      <c r="Q396" s="207"/>
      <c r="R396" s="207"/>
      <c r="S396" s="207"/>
      <c r="T396" s="207"/>
      <c r="U396" s="207"/>
      <c r="V396" s="207"/>
      <c r="W396" s="208"/>
      <c r="X396" s="208"/>
      <c r="Y396" s="208"/>
      <c r="Z396" s="208"/>
      <c r="AA396" s="208"/>
      <c r="AB396" s="208"/>
      <c r="AC396" s="208"/>
      <c r="AD396" s="208"/>
      <c r="AE396" s="208"/>
      <c r="AF396" s="208"/>
      <c r="AG396" s="208"/>
      <c r="AH396" s="208"/>
      <c r="AI396" s="100"/>
      <c r="AJ396" s="100"/>
      <c r="AK396" s="100"/>
      <c r="AL396" s="100"/>
      <c r="AM396" s="100"/>
      <c r="AN396" s="100"/>
      <c r="AO396" s="100"/>
    </row>
    <row r="397" ht="14.25" customHeight="1">
      <c r="A397" s="195"/>
      <c r="B397" s="100"/>
      <c r="C397" s="100"/>
      <c r="D397" s="100"/>
      <c r="E397" s="100"/>
      <c r="F397" s="206"/>
      <c r="G397" s="206"/>
      <c r="H397" s="207"/>
      <c r="I397" s="207"/>
      <c r="J397" s="207"/>
      <c r="K397" s="207"/>
      <c r="L397" s="207"/>
      <c r="M397" s="207"/>
      <c r="N397" s="207"/>
      <c r="O397" s="207"/>
      <c r="P397" s="207"/>
      <c r="Q397" s="207"/>
      <c r="R397" s="207"/>
      <c r="S397" s="207"/>
      <c r="T397" s="207"/>
      <c r="U397" s="207"/>
      <c r="V397" s="207"/>
      <c r="W397" s="208"/>
      <c r="X397" s="208"/>
      <c r="Y397" s="208"/>
      <c r="Z397" s="208"/>
      <c r="AA397" s="208"/>
      <c r="AB397" s="208"/>
      <c r="AC397" s="208"/>
      <c r="AD397" s="208"/>
      <c r="AE397" s="208"/>
      <c r="AF397" s="208"/>
      <c r="AG397" s="208"/>
      <c r="AH397" s="208"/>
      <c r="AI397" s="100"/>
      <c r="AJ397" s="100"/>
      <c r="AK397" s="100"/>
      <c r="AL397" s="100"/>
      <c r="AM397" s="100"/>
      <c r="AN397" s="100"/>
      <c r="AO397" s="100"/>
    </row>
    <row r="398" ht="14.25" customHeight="1">
      <c r="A398" s="195"/>
      <c r="B398" s="100"/>
      <c r="C398" s="100"/>
      <c r="D398" s="100"/>
      <c r="E398" s="100"/>
      <c r="F398" s="206"/>
      <c r="G398" s="206"/>
      <c r="H398" s="207"/>
      <c r="I398" s="207"/>
      <c r="J398" s="207"/>
      <c r="K398" s="207"/>
      <c r="L398" s="207"/>
      <c r="M398" s="207"/>
      <c r="N398" s="207"/>
      <c r="O398" s="207"/>
      <c r="P398" s="207"/>
      <c r="Q398" s="207"/>
      <c r="R398" s="207"/>
      <c r="S398" s="207"/>
      <c r="T398" s="207"/>
      <c r="U398" s="207"/>
      <c r="V398" s="207"/>
      <c r="W398" s="208"/>
      <c r="X398" s="208"/>
      <c r="Y398" s="208"/>
      <c r="Z398" s="208"/>
      <c r="AA398" s="208"/>
      <c r="AB398" s="208"/>
      <c r="AC398" s="208"/>
      <c r="AD398" s="208"/>
      <c r="AE398" s="208"/>
      <c r="AF398" s="208"/>
      <c r="AG398" s="208"/>
      <c r="AH398" s="208"/>
      <c r="AI398" s="100"/>
      <c r="AJ398" s="100"/>
      <c r="AK398" s="100"/>
      <c r="AL398" s="100"/>
      <c r="AM398" s="100"/>
      <c r="AN398" s="100"/>
      <c r="AO398" s="100"/>
    </row>
    <row r="399" ht="14.25" customHeight="1">
      <c r="A399" s="195"/>
      <c r="B399" s="100"/>
      <c r="C399" s="100"/>
      <c r="D399" s="100"/>
      <c r="E399" s="100"/>
      <c r="F399" s="206"/>
      <c r="G399" s="206"/>
      <c r="H399" s="207"/>
      <c r="I399" s="207"/>
      <c r="J399" s="207"/>
      <c r="K399" s="207"/>
      <c r="L399" s="207"/>
      <c r="M399" s="207"/>
      <c r="N399" s="207"/>
      <c r="O399" s="207"/>
      <c r="P399" s="207"/>
      <c r="Q399" s="207"/>
      <c r="R399" s="207"/>
      <c r="S399" s="207"/>
      <c r="T399" s="207"/>
      <c r="U399" s="207"/>
      <c r="V399" s="207"/>
      <c r="W399" s="208"/>
      <c r="X399" s="208"/>
      <c r="Y399" s="208"/>
      <c r="Z399" s="208"/>
      <c r="AA399" s="208"/>
      <c r="AB399" s="208"/>
      <c r="AC399" s="208"/>
      <c r="AD399" s="208"/>
      <c r="AE399" s="208"/>
      <c r="AF399" s="208"/>
      <c r="AG399" s="208"/>
      <c r="AH399" s="208"/>
      <c r="AI399" s="100"/>
      <c r="AJ399" s="100"/>
      <c r="AK399" s="100"/>
      <c r="AL399" s="100"/>
      <c r="AM399" s="100"/>
      <c r="AN399" s="100"/>
      <c r="AO399" s="100"/>
    </row>
    <row r="400" ht="14.25" customHeight="1">
      <c r="A400" s="195"/>
      <c r="B400" s="100"/>
      <c r="C400" s="100"/>
      <c r="D400" s="100"/>
      <c r="E400" s="100"/>
      <c r="F400" s="206"/>
      <c r="G400" s="206"/>
      <c r="H400" s="207"/>
      <c r="I400" s="207"/>
      <c r="J400" s="207"/>
      <c r="K400" s="207"/>
      <c r="L400" s="207"/>
      <c r="M400" s="207"/>
      <c r="N400" s="207"/>
      <c r="O400" s="207"/>
      <c r="P400" s="207"/>
      <c r="Q400" s="207"/>
      <c r="R400" s="207"/>
      <c r="S400" s="207"/>
      <c r="T400" s="207"/>
      <c r="U400" s="207"/>
      <c r="V400" s="207"/>
      <c r="W400" s="208"/>
      <c r="X400" s="208"/>
      <c r="Y400" s="208"/>
      <c r="Z400" s="208"/>
      <c r="AA400" s="208"/>
      <c r="AB400" s="208"/>
      <c r="AC400" s="208"/>
      <c r="AD400" s="208"/>
      <c r="AE400" s="208"/>
      <c r="AF400" s="208"/>
      <c r="AG400" s="208"/>
      <c r="AH400" s="208"/>
      <c r="AI400" s="100"/>
      <c r="AJ400" s="100"/>
      <c r="AK400" s="100"/>
      <c r="AL400" s="100"/>
      <c r="AM400" s="100"/>
      <c r="AN400" s="100"/>
      <c r="AO400" s="100"/>
    </row>
    <row r="401" ht="14.25" customHeight="1">
      <c r="A401" s="195"/>
      <c r="B401" s="100"/>
      <c r="C401" s="100"/>
      <c r="D401" s="100"/>
      <c r="E401" s="100"/>
      <c r="F401" s="206"/>
      <c r="G401" s="206"/>
      <c r="H401" s="207"/>
      <c r="I401" s="207"/>
      <c r="J401" s="207"/>
      <c r="K401" s="207"/>
      <c r="L401" s="207"/>
      <c r="M401" s="207"/>
      <c r="N401" s="207"/>
      <c r="O401" s="207"/>
      <c r="P401" s="207"/>
      <c r="Q401" s="207"/>
      <c r="R401" s="207"/>
      <c r="S401" s="207"/>
      <c r="T401" s="207"/>
      <c r="U401" s="207"/>
      <c r="V401" s="207"/>
      <c r="W401" s="208"/>
      <c r="X401" s="208"/>
      <c r="Y401" s="208"/>
      <c r="Z401" s="208"/>
      <c r="AA401" s="208"/>
      <c r="AB401" s="208"/>
      <c r="AC401" s="208"/>
      <c r="AD401" s="208"/>
      <c r="AE401" s="208"/>
      <c r="AF401" s="208"/>
      <c r="AG401" s="208"/>
      <c r="AH401" s="208"/>
      <c r="AI401" s="100"/>
      <c r="AJ401" s="100"/>
      <c r="AK401" s="100"/>
      <c r="AL401" s="100"/>
      <c r="AM401" s="100"/>
      <c r="AN401" s="100"/>
      <c r="AO401" s="100"/>
    </row>
    <row r="402" ht="14.25" customHeight="1">
      <c r="A402" s="195"/>
      <c r="B402" s="100"/>
      <c r="C402" s="100"/>
      <c r="D402" s="100"/>
      <c r="E402" s="100"/>
      <c r="F402" s="206"/>
      <c r="G402" s="206"/>
      <c r="H402" s="207"/>
      <c r="I402" s="207"/>
      <c r="J402" s="207"/>
      <c r="K402" s="207"/>
      <c r="L402" s="207"/>
      <c r="M402" s="207"/>
      <c r="N402" s="207"/>
      <c r="O402" s="207"/>
      <c r="P402" s="207"/>
      <c r="Q402" s="207"/>
      <c r="R402" s="207"/>
      <c r="S402" s="207"/>
      <c r="T402" s="207"/>
      <c r="U402" s="207"/>
      <c r="V402" s="207"/>
      <c r="W402" s="208"/>
      <c r="X402" s="208"/>
      <c r="Y402" s="208"/>
      <c r="Z402" s="208"/>
      <c r="AA402" s="208"/>
      <c r="AB402" s="208"/>
      <c r="AC402" s="208"/>
      <c r="AD402" s="208"/>
      <c r="AE402" s="208"/>
      <c r="AF402" s="208"/>
      <c r="AG402" s="208"/>
      <c r="AH402" s="208"/>
      <c r="AI402" s="100"/>
      <c r="AJ402" s="100"/>
      <c r="AK402" s="100"/>
      <c r="AL402" s="100"/>
      <c r="AM402" s="100"/>
      <c r="AN402" s="100"/>
      <c r="AO402" s="100"/>
    </row>
    <row r="403" ht="14.25" customHeight="1">
      <c r="A403" s="195"/>
      <c r="B403" s="100"/>
      <c r="C403" s="100"/>
      <c r="D403" s="100"/>
      <c r="E403" s="100"/>
      <c r="F403" s="206"/>
      <c r="G403" s="206"/>
      <c r="H403" s="207"/>
      <c r="I403" s="207"/>
      <c r="J403" s="207"/>
      <c r="K403" s="207"/>
      <c r="L403" s="207"/>
      <c r="M403" s="207"/>
      <c r="N403" s="207"/>
      <c r="O403" s="207"/>
      <c r="P403" s="207"/>
      <c r="Q403" s="207"/>
      <c r="R403" s="207"/>
      <c r="S403" s="207"/>
      <c r="T403" s="207"/>
      <c r="U403" s="207"/>
      <c r="V403" s="207"/>
      <c r="W403" s="208"/>
      <c r="X403" s="208"/>
      <c r="Y403" s="208"/>
      <c r="Z403" s="208"/>
      <c r="AA403" s="208"/>
      <c r="AB403" s="208"/>
      <c r="AC403" s="208"/>
      <c r="AD403" s="208"/>
      <c r="AE403" s="208"/>
      <c r="AF403" s="208"/>
      <c r="AG403" s="208"/>
      <c r="AH403" s="208"/>
      <c r="AI403" s="100"/>
      <c r="AJ403" s="100"/>
      <c r="AK403" s="100"/>
      <c r="AL403" s="100"/>
      <c r="AM403" s="100"/>
      <c r="AN403" s="100"/>
      <c r="AO403" s="100"/>
    </row>
    <row r="404" ht="14.25" customHeight="1">
      <c r="A404" s="195"/>
      <c r="B404" s="100"/>
      <c r="C404" s="100"/>
      <c r="D404" s="100"/>
      <c r="E404" s="100"/>
      <c r="F404" s="206"/>
      <c r="G404" s="206"/>
      <c r="H404" s="207"/>
      <c r="I404" s="207"/>
      <c r="J404" s="207"/>
      <c r="K404" s="207"/>
      <c r="L404" s="207"/>
      <c r="M404" s="207"/>
      <c r="N404" s="207"/>
      <c r="O404" s="207"/>
      <c r="P404" s="207"/>
      <c r="Q404" s="207"/>
      <c r="R404" s="207"/>
      <c r="S404" s="207"/>
      <c r="T404" s="207"/>
      <c r="U404" s="207"/>
      <c r="V404" s="207"/>
      <c r="W404" s="208"/>
      <c r="X404" s="208"/>
      <c r="Y404" s="208"/>
      <c r="Z404" s="208"/>
      <c r="AA404" s="208"/>
      <c r="AB404" s="208"/>
      <c r="AC404" s="208"/>
      <c r="AD404" s="208"/>
      <c r="AE404" s="208"/>
      <c r="AF404" s="208"/>
      <c r="AG404" s="208"/>
      <c r="AH404" s="208"/>
      <c r="AI404" s="100"/>
      <c r="AJ404" s="100"/>
      <c r="AK404" s="100"/>
      <c r="AL404" s="100"/>
      <c r="AM404" s="100"/>
      <c r="AN404" s="100"/>
      <c r="AO404" s="100"/>
    </row>
    <row r="405" ht="14.25" customHeight="1">
      <c r="A405" s="195"/>
      <c r="B405" s="100"/>
      <c r="C405" s="100"/>
      <c r="D405" s="100"/>
      <c r="E405" s="100"/>
      <c r="F405" s="206"/>
      <c r="G405" s="206"/>
      <c r="H405" s="207"/>
      <c r="I405" s="207"/>
      <c r="J405" s="207"/>
      <c r="K405" s="207"/>
      <c r="L405" s="207"/>
      <c r="M405" s="207"/>
      <c r="N405" s="207"/>
      <c r="O405" s="207"/>
      <c r="P405" s="207"/>
      <c r="Q405" s="207"/>
      <c r="R405" s="207"/>
      <c r="S405" s="207"/>
      <c r="T405" s="207"/>
      <c r="U405" s="207"/>
      <c r="V405" s="207"/>
      <c r="W405" s="208"/>
      <c r="X405" s="208"/>
      <c r="Y405" s="208"/>
      <c r="Z405" s="208"/>
      <c r="AA405" s="208"/>
      <c r="AB405" s="208"/>
      <c r="AC405" s="208"/>
      <c r="AD405" s="208"/>
      <c r="AE405" s="208"/>
      <c r="AF405" s="208"/>
      <c r="AG405" s="208"/>
      <c r="AH405" s="208"/>
      <c r="AI405" s="100"/>
      <c r="AJ405" s="100"/>
      <c r="AK405" s="100"/>
      <c r="AL405" s="100"/>
      <c r="AM405" s="100"/>
      <c r="AN405" s="100"/>
      <c r="AO405" s="100"/>
    </row>
    <row r="406" ht="14.25" customHeight="1">
      <c r="A406" s="195"/>
      <c r="B406" s="100"/>
      <c r="C406" s="100"/>
      <c r="D406" s="100"/>
      <c r="E406" s="100"/>
      <c r="F406" s="206"/>
      <c r="G406" s="206"/>
      <c r="H406" s="207"/>
      <c r="I406" s="207"/>
      <c r="J406" s="207"/>
      <c r="K406" s="207"/>
      <c r="L406" s="207"/>
      <c r="M406" s="207"/>
      <c r="N406" s="207"/>
      <c r="O406" s="207"/>
      <c r="P406" s="207"/>
      <c r="Q406" s="207"/>
      <c r="R406" s="207"/>
      <c r="S406" s="207"/>
      <c r="T406" s="207"/>
      <c r="U406" s="207"/>
      <c r="V406" s="207"/>
      <c r="W406" s="208"/>
      <c r="X406" s="208"/>
      <c r="Y406" s="208"/>
      <c r="Z406" s="208"/>
      <c r="AA406" s="208"/>
      <c r="AB406" s="208"/>
      <c r="AC406" s="208"/>
      <c r="AD406" s="208"/>
      <c r="AE406" s="208"/>
      <c r="AF406" s="208"/>
      <c r="AG406" s="208"/>
      <c r="AH406" s="208"/>
      <c r="AI406" s="100"/>
      <c r="AJ406" s="100"/>
      <c r="AK406" s="100"/>
      <c r="AL406" s="100"/>
      <c r="AM406" s="100"/>
      <c r="AN406" s="100"/>
      <c r="AO406" s="100"/>
    </row>
    <row r="407" ht="14.25" customHeight="1">
      <c r="A407" s="195"/>
      <c r="B407" s="100"/>
      <c r="C407" s="100"/>
      <c r="D407" s="100"/>
      <c r="E407" s="100"/>
      <c r="F407" s="206"/>
      <c r="G407" s="206"/>
      <c r="H407" s="207"/>
      <c r="I407" s="207"/>
      <c r="J407" s="207"/>
      <c r="K407" s="207"/>
      <c r="L407" s="207"/>
      <c r="M407" s="207"/>
      <c r="N407" s="207"/>
      <c r="O407" s="207"/>
      <c r="P407" s="207"/>
      <c r="Q407" s="207"/>
      <c r="R407" s="207"/>
      <c r="S407" s="207"/>
      <c r="T407" s="207"/>
      <c r="U407" s="207"/>
      <c r="V407" s="207"/>
      <c r="W407" s="208"/>
      <c r="X407" s="208"/>
      <c r="Y407" s="208"/>
      <c r="Z407" s="208"/>
      <c r="AA407" s="208"/>
      <c r="AB407" s="208"/>
      <c r="AC407" s="208"/>
      <c r="AD407" s="208"/>
      <c r="AE407" s="208"/>
      <c r="AF407" s="208"/>
      <c r="AG407" s="208"/>
      <c r="AH407" s="208"/>
      <c r="AI407" s="100"/>
      <c r="AJ407" s="100"/>
      <c r="AK407" s="100"/>
      <c r="AL407" s="100"/>
      <c r="AM407" s="100"/>
      <c r="AN407" s="100"/>
      <c r="AO407" s="100"/>
    </row>
    <row r="408" ht="14.25" customHeight="1">
      <c r="A408" s="195"/>
      <c r="B408" s="100"/>
      <c r="C408" s="100"/>
      <c r="D408" s="100"/>
      <c r="E408" s="100"/>
      <c r="F408" s="206"/>
      <c r="G408" s="206"/>
      <c r="H408" s="207"/>
      <c r="I408" s="207"/>
      <c r="J408" s="207"/>
      <c r="K408" s="207"/>
      <c r="L408" s="207"/>
      <c r="M408" s="207"/>
      <c r="N408" s="207"/>
      <c r="O408" s="207"/>
      <c r="P408" s="207"/>
      <c r="Q408" s="207"/>
      <c r="R408" s="207"/>
      <c r="S408" s="207"/>
      <c r="T408" s="207"/>
      <c r="U408" s="207"/>
      <c r="V408" s="207"/>
      <c r="W408" s="208"/>
      <c r="X408" s="208"/>
      <c r="Y408" s="208"/>
      <c r="Z408" s="208"/>
      <c r="AA408" s="208"/>
      <c r="AB408" s="208"/>
      <c r="AC408" s="208"/>
      <c r="AD408" s="208"/>
      <c r="AE408" s="208"/>
      <c r="AF408" s="208"/>
      <c r="AG408" s="208"/>
      <c r="AH408" s="208"/>
      <c r="AI408" s="100"/>
      <c r="AJ408" s="100"/>
      <c r="AK408" s="100"/>
      <c r="AL408" s="100"/>
      <c r="AM408" s="100"/>
      <c r="AN408" s="100"/>
      <c r="AO408" s="100"/>
    </row>
    <row r="409" ht="14.25" customHeight="1">
      <c r="A409" s="195"/>
      <c r="B409" s="100"/>
      <c r="C409" s="100"/>
      <c r="D409" s="100"/>
      <c r="E409" s="100"/>
      <c r="F409" s="206"/>
      <c r="G409" s="206"/>
      <c r="H409" s="207"/>
      <c r="I409" s="207"/>
      <c r="J409" s="207"/>
      <c r="K409" s="207"/>
      <c r="L409" s="207"/>
      <c r="M409" s="207"/>
      <c r="N409" s="207"/>
      <c r="O409" s="207"/>
      <c r="P409" s="207"/>
      <c r="Q409" s="207"/>
      <c r="R409" s="207"/>
      <c r="S409" s="207"/>
      <c r="T409" s="207"/>
      <c r="U409" s="207"/>
      <c r="V409" s="207"/>
      <c r="W409" s="208"/>
      <c r="X409" s="208"/>
      <c r="Y409" s="208"/>
      <c r="Z409" s="208"/>
      <c r="AA409" s="208"/>
      <c r="AB409" s="208"/>
      <c r="AC409" s="208"/>
      <c r="AD409" s="208"/>
      <c r="AE409" s="208"/>
      <c r="AF409" s="208"/>
      <c r="AG409" s="208"/>
      <c r="AH409" s="208"/>
      <c r="AI409" s="100"/>
      <c r="AJ409" s="100"/>
      <c r="AK409" s="100"/>
      <c r="AL409" s="100"/>
      <c r="AM409" s="100"/>
      <c r="AN409" s="100"/>
      <c r="AO409" s="100"/>
    </row>
    <row r="410" ht="14.25" customHeight="1">
      <c r="A410" s="195"/>
      <c r="B410" s="100"/>
      <c r="C410" s="100"/>
      <c r="D410" s="100"/>
      <c r="E410" s="100"/>
      <c r="F410" s="206"/>
      <c r="G410" s="206"/>
      <c r="H410" s="207"/>
      <c r="I410" s="207"/>
      <c r="J410" s="207"/>
      <c r="K410" s="207"/>
      <c r="L410" s="207"/>
      <c r="M410" s="207"/>
      <c r="N410" s="207"/>
      <c r="O410" s="207"/>
      <c r="P410" s="207"/>
      <c r="Q410" s="207"/>
      <c r="R410" s="207"/>
      <c r="S410" s="207"/>
      <c r="T410" s="207"/>
      <c r="U410" s="207"/>
      <c r="V410" s="207"/>
      <c r="W410" s="208"/>
      <c r="X410" s="208"/>
      <c r="Y410" s="208"/>
      <c r="Z410" s="208"/>
      <c r="AA410" s="208"/>
      <c r="AB410" s="208"/>
      <c r="AC410" s="208"/>
      <c r="AD410" s="208"/>
      <c r="AE410" s="208"/>
      <c r="AF410" s="208"/>
      <c r="AG410" s="208"/>
      <c r="AH410" s="208"/>
      <c r="AI410" s="100"/>
      <c r="AJ410" s="100"/>
      <c r="AK410" s="100"/>
      <c r="AL410" s="100"/>
      <c r="AM410" s="100"/>
      <c r="AN410" s="100"/>
      <c r="AO410" s="100"/>
    </row>
    <row r="411" ht="14.25" customHeight="1">
      <c r="A411" s="195"/>
      <c r="B411" s="100"/>
      <c r="C411" s="100"/>
      <c r="D411" s="100"/>
      <c r="E411" s="100"/>
      <c r="F411" s="206"/>
      <c r="G411" s="206"/>
      <c r="H411" s="207"/>
      <c r="I411" s="207"/>
      <c r="J411" s="207"/>
      <c r="K411" s="207"/>
      <c r="L411" s="207"/>
      <c r="M411" s="207"/>
      <c r="N411" s="207"/>
      <c r="O411" s="207"/>
      <c r="P411" s="207"/>
      <c r="Q411" s="207"/>
      <c r="R411" s="207"/>
      <c r="S411" s="207"/>
      <c r="T411" s="207"/>
      <c r="U411" s="207"/>
      <c r="V411" s="207"/>
      <c r="W411" s="208"/>
      <c r="X411" s="208"/>
      <c r="Y411" s="208"/>
      <c r="Z411" s="208"/>
      <c r="AA411" s="208"/>
      <c r="AB411" s="208"/>
      <c r="AC411" s="208"/>
      <c r="AD411" s="208"/>
      <c r="AE411" s="208"/>
      <c r="AF411" s="208"/>
      <c r="AG411" s="208"/>
      <c r="AH411" s="208"/>
      <c r="AI411" s="100"/>
      <c r="AJ411" s="100"/>
      <c r="AK411" s="100"/>
      <c r="AL411" s="100"/>
      <c r="AM411" s="100"/>
      <c r="AN411" s="100"/>
      <c r="AO411" s="100"/>
    </row>
    <row r="412" ht="14.25" customHeight="1">
      <c r="A412" s="195"/>
      <c r="B412" s="100"/>
      <c r="C412" s="100"/>
      <c r="D412" s="100"/>
      <c r="E412" s="100"/>
      <c r="F412" s="206"/>
      <c r="G412" s="206"/>
      <c r="H412" s="207"/>
      <c r="I412" s="207"/>
      <c r="J412" s="207"/>
      <c r="K412" s="207"/>
      <c r="L412" s="207"/>
      <c r="M412" s="207"/>
      <c r="N412" s="207"/>
      <c r="O412" s="207"/>
      <c r="P412" s="207"/>
      <c r="Q412" s="207"/>
      <c r="R412" s="207"/>
      <c r="S412" s="207"/>
      <c r="T412" s="207"/>
      <c r="U412" s="207"/>
      <c r="V412" s="207"/>
      <c r="W412" s="208"/>
      <c r="X412" s="208"/>
      <c r="Y412" s="208"/>
      <c r="Z412" s="208"/>
      <c r="AA412" s="208"/>
      <c r="AB412" s="208"/>
      <c r="AC412" s="208"/>
      <c r="AD412" s="208"/>
      <c r="AE412" s="208"/>
      <c r="AF412" s="208"/>
      <c r="AG412" s="208"/>
      <c r="AH412" s="208"/>
      <c r="AI412" s="100"/>
      <c r="AJ412" s="100"/>
      <c r="AK412" s="100"/>
      <c r="AL412" s="100"/>
      <c r="AM412" s="100"/>
      <c r="AN412" s="100"/>
      <c r="AO412" s="100"/>
    </row>
    <row r="413" ht="14.25" customHeight="1">
      <c r="A413" s="195"/>
      <c r="B413" s="100"/>
      <c r="C413" s="100"/>
      <c r="D413" s="100"/>
      <c r="E413" s="100"/>
      <c r="F413" s="206"/>
      <c r="G413" s="206"/>
      <c r="H413" s="207"/>
      <c r="I413" s="207"/>
      <c r="J413" s="207"/>
      <c r="K413" s="207"/>
      <c r="L413" s="207"/>
      <c r="M413" s="207"/>
      <c r="N413" s="207"/>
      <c r="O413" s="207"/>
      <c r="P413" s="207"/>
      <c r="Q413" s="207"/>
      <c r="R413" s="207"/>
      <c r="S413" s="207"/>
      <c r="T413" s="207"/>
      <c r="U413" s="207"/>
      <c r="V413" s="207"/>
      <c r="W413" s="208"/>
      <c r="X413" s="208"/>
      <c r="Y413" s="208"/>
      <c r="Z413" s="208"/>
      <c r="AA413" s="208"/>
      <c r="AB413" s="208"/>
      <c r="AC413" s="208"/>
      <c r="AD413" s="208"/>
      <c r="AE413" s="208"/>
      <c r="AF413" s="208"/>
      <c r="AG413" s="208"/>
      <c r="AH413" s="208"/>
      <c r="AI413" s="100"/>
      <c r="AJ413" s="100"/>
      <c r="AK413" s="100"/>
      <c r="AL413" s="100"/>
      <c r="AM413" s="100"/>
      <c r="AN413" s="100"/>
      <c r="AO413" s="100"/>
    </row>
    <row r="414" ht="14.25" customHeight="1">
      <c r="A414" s="195"/>
      <c r="B414" s="100"/>
      <c r="C414" s="100"/>
      <c r="D414" s="100"/>
      <c r="E414" s="100"/>
      <c r="F414" s="206"/>
      <c r="G414" s="206"/>
      <c r="H414" s="207"/>
      <c r="I414" s="207"/>
      <c r="J414" s="207"/>
      <c r="K414" s="207"/>
      <c r="L414" s="207"/>
      <c r="M414" s="207"/>
      <c r="N414" s="207"/>
      <c r="O414" s="207"/>
      <c r="P414" s="207"/>
      <c r="Q414" s="207"/>
      <c r="R414" s="207"/>
      <c r="S414" s="207"/>
      <c r="T414" s="207"/>
      <c r="U414" s="207"/>
      <c r="V414" s="207"/>
      <c r="W414" s="208"/>
      <c r="X414" s="208"/>
      <c r="Y414" s="208"/>
      <c r="Z414" s="208"/>
      <c r="AA414" s="208"/>
      <c r="AB414" s="208"/>
      <c r="AC414" s="208"/>
      <c r="AD414" s="208"/>
      <c r="AE414" s="208"/>
      <c r="AF414" s="208"/>
      <c r="AG414" s="208"/>
      <c r="AH414" s="208"/>
      <c r="AI414" s="100"/>
      <c r="AJ414" s="100"/>
      <c r="AK414" s="100"/>
      <c r="AL414" s="100"/>
      <c r="AM414" s="100"/>
      <c r="AN414" s="100"/>
      <c r="AO414" s="100"/>
    </row>
    <row r="415" ht="14.25" customHeight="1">
      <c r="A415" s="195"/>
      <c r="B415" s="100"/>
      <c r="C415" s="100"/>
      <c r="D415" s="100"/>
      <c r="E415" s="100"/>
      <c r="F415" s="206"/>
      <c r="G415" s="206"/>
      <c r="H415" s="207"/>
      <c r="I415" s="207"/>
      <c r="J415" s="207"/>
      <c r="K415" s="207"/>
      <c r="L415" s="207"/>
      <c r="M415" s="207"/>
      <c r="N415" s="207"/>
      <c r="O415" s="207"/>
      <c r="P415" s="207"/>
      <c r="Q415" s="207"/>
      <c r="R415" s="207"/>
      <c r="S415" s="207"/>
      <c r="T415" s="207"/>
      <c r="U415" s="207"/>
      <c r="V415" s="207"/>
      <c r="W415" s="208"/>
      <c r="X415" s="208"/>
      <c r="Y415" s="208"/>
      <c r="Z415" s="208"/>
      <c r="AA415" s="208"/>
      <c r="AB415" s="208"/>
      <c r="AC415" s="208"/>
      <c r="AD415" s="208"/>
      <c r="AE415" s="208"/>
      <c r="AF415" s="208"/>
      <c r="AG415" s="208"/>
      <c r="AH415" s="208"/>
      <c r="AI415" s="100"/>
      <c r="AJ415" s="100"/>
      <c r="AK415" s="100"/>
      <c r="AL415" s="100"/>
      <c r="AM415" s="100"/>
      <c r="AN415" s="100"/>
      <c r="AO415" s="100"/>
    </row>
    <row r="416" ht="14.25" customHeight="1">
      <c r="A416" s="195"/>
      <c r="B416" s="100"/>
      <c r="C416" s="100"/>
      <c r="D416" s="100"/>
      <c r="E416" s="100"/>
      <c r="F416" s="206"/>
      <c r="G416" s="206"/>
      <c r="H416" s="207"/>
      <c r="I416" s="207"/>
      <c r="J416" s="207"/>
      <c r="K416" s="207"/>
      <c r="L416" s="207"/>
      <c r="M416" s="207"/>
      <c r="N416" s="207"/>
      <c r="O416" s="207"/>
      <c r="P416" s="207"/>
      <c r="Q416" s="207"/>
      <c r="R416" s="207"/>
      <c r="S416" s="207"/>
      <c r="T416" s="207"/>
      <c r="U416" s="207"/>
      <c r="V416" s="207"/>
      <c r="W416" s="208"/>
      <c r="X416" s="208"/>
      <c r="Y416" s="208"/>
      <c r="Z416" s="208"/>
      <c r="AA416" s="208"/>
      <c r="AB416" s="208"/>
      <c r="AC416" s="208"/>
      <c r="AD416" s="208"/>
      <c r="AE416" s="208"/>
      <c r="AF416" s="208"/>
      <c r="AG416" s="208"/>
      <c r="AH416" s="208"/>
      <c r="AI416" s="100"/>
      <c r="AJ416" s="100"/>
      <c r="AK416" s="100"/>
      <c r="AL416" s="100"/>
      <c r="AM416" s="100"/>
      <c r="AN416" s="100"/>
      <c r="AO416" s="100"/>
    </row>
    <row r="417" ht="14.25" customHeight="1">
      <c r="A417" s="195"/>
      <c r="B417" s="100"/>
      <c r="C417" s="100"/>
      <c r="D417" s="100"/>
      <c r="E417" s="100"/>
      <c r="F417" s="206"/>
      <c r="G417" s="206"/>
      <c r="H417" s="207"/>
      <c r="I417" s="207"/>
      <c r="J417" s="207"/>
      <c r="K417" s="207"/>
      <c r="L417" s="207"/>
      <c r="M417" s="207"/>
      <c r="N417" s="207"/>
      <c r="O417" s="207"/>
      <c r="P417" s="207"/>
      <c r="Q417" s="207"/>
      <c r="R417" s="207"/>
      <c r="S417" s="207"/>
      <c r="T417" s="207"/>
      <c r="U417" s="207"/>
      <c r="V417" s="207"/>
      <c r="W417" s="208"/>
      <c r="X417" s="208"/>
      <c r="Y417" s="208"/>
      <c r="Z417" s="208"/>
      <c r="AA417" s="208"/>
      <c r="AB417" s="208"/>
      <c r="AC417" s="208"/>
      <c r="AD417" s="208"/>
      <c r="AE417" s="208"/>
      <c r="AF417" s="208"/>
      <c r="AG417" s="208"/>
      <c r="AH417" s="208"/>
      <c r="AI417" s="100"/>
      <c r="AJ417" s="100"/>
      <c r="AK417" s="100"/>
      <c r="AL417" s="100"/>
      <c r="AM417" s="100"/>
      <c r="AN417" s="100"/>
      <c r="AO417" s="100"/>
    </row>
    <row r="418" ht="14.25" customHeight="1">
      <c r="A418" s="195"/>
      <c r="B418" s="100"/>
      <c r="C418" s="100"/>
      <c r="D418" s="100"/>
      <c r="E418" s="100"/>
      <c r="F418" s="206"/>
      <c r="G418" s="206"/>
      <c r="H418" s="207"/>
      <c r="I418" s="207"/>
      <c r="J418" s="207"/>
      <c r="K418" s="207"/>
      <c r="L418" s="207"/>
      <c r="M418" s="207"/>
      <c r="N418" s="207"/>
      <c r="O418" s="207"/>
      <c r="P418" s="207"/>
      <c r="Q418" s="207"/>
      <c r="R418" s="207"/>
      <c r="S418" s="207"/>
      <c r="T418" s="207"/>
      <c r="U418" s="207"/>
      <c r="V418" s="207"/>
      <c r="W418" s="208"/>
      <c r="X418" s="208"/>
      <c r="Y418" s="208"/>
      <c r="Z418" s="208"/>
      <c r="AA418" s="208"/>
      <c r="AB418" s="208"/>
      <c r="AC418" s="208"/>
      <c r="AD418" s="208"/>
      <c r="AE418" s="208"/>
      <c r="AF418" s="208"/>
      <c r="AG418" s="208"/>
      <c r="AH418" s="208"/>
      <c r="AI418" s="100"/>
      <c r="AJ418" s="100"/>
      <c r="AK418" s="100"/>
      <c r="AL418" s="100"/>
      <c r="AM418" s="100"/>
      <c r="AN418" s="100"/>
      <c r="AO418" s="100"/>
    </row>
    <row r="419" ht="14.25" customHeight="1">
      <c r="A419" s="195"/>
      <c r="B419" s="100"/>
      <c r="C419" s="100"/>
      <c r="D419" s="100"/>
      <c r="E419" s="100"/>
      <c r="F419" s="206"/>
      <c r="G419" s="206"/>
      <c r="H419" s="207"/>
      <c r="I419" s="207"/>
      <c r="J419" s="207"/>
      <c r="K419" s="207"/>
      <c r="L419" s="207"/>
      <c r="M419" s="207"/>
      <c r="N419" s="207"/>
      <c r="O419" s="207"/>
      <c r="P419" s="207"/>
      <c r="Q419" s="207"/>
      <c r="R419" s="207"/>
      <c r="S419" s="207"/>
      <c r="T419" s="207"/>
      <c r="U419" s="207"/>
      <c r="V419" s="207"/>
      <c r="W419" s="208"/>
      <c r="X419" s="208"/>
      <c r="Y419" s="208"/>
      <c r="Z419" s="208"/>
      <c r="AA419" s="208"/>
      <c r="AB419" s="208"/>
      <c r="AC419" s="208"/>
      <c r="AD419" s="208"/>
      <c r="AE419" s="208"/>
      <c r="AF419" s="208"/>
      <c r="AG419" s="208"/>
      <c r="AH419" s="208"/>
      <c r="AI419" s="100"/>
      <c r="AJ419" s="100"/>
      <c r="AK419" s="100"/>
      <c r="AL419" s="100"/>
      <c r="AM419" s="100"/>
      <c r="AN419" s="100"/>
      <c r="AO419" s="100"/>
    </row>
    <row r="420" ht="14.25" customHeight="1">
      <c r="A420" s="195"/>
      <c r="B420" s="100"/>
      <c r="C420" s="100"/>
      <c r="D420" s="100"/>
      <c r="E420" s="100"/>
      <c r="F420" s="206"/>
      <c r="G420" s="206"/>
      <c r="H420" s="207"/>
      <c r="I420" s="207"/>
      <c r="J420" s="207"/>
      <c r="K420" s="207"/>
      <c r="L420" s="207"/>
      <c r="M420" s="207"/>
      <c r="N420" s="207"/>
      <c r="O420" s="207"/>
      <c r="P420" s="207"/>
      <c r="Q420" s="207"/>
      <c r="R420" s="207"/>
      <c r="S420" s="207"/>
      <c r="T420" s="207"/>
      <c r="U420" s="207"/>
      <c r="V420" s="207"/>
      <c r="W420" s="208"/>
      <c r="X420" s="208"/>
      <c r="Y420" s="208"/>
      <c r="Z420" s="208"/>
      <c r="AA420" s="208"/>
      <c r="AB420" s="208"/>
      <c r="AC420" s="208"/>
      <c r="AD420" s="208"/>
      <c r="AE420" s="208"/>
      <c r="AF420" s="208"/>
      <c r="AG420" s="208"/>
      <c r="AH420" s="208"/>
      <c r="AI420" s="100"/>
      <c r="AJ420" s="100"/>
      <c r="AK420" s="100"/>
      <c r="AL420" s="100"/>
      <c r="AM420" s="100"/>
      <c r="AN420" s="100"/>
      <c r="AO420" s="100"/>
    </row>
    <row r="421" ht="14.25" customHeight="1">
      <c r="A421" s="195"/>
      <c r="B421" s="100"/>
      <c r="C421" s="100"/>
      <c r="D421" s="100"/>
      <c r="E421" s="100"/>
      <c r="F421" s="206"/>
      <c r="G421" s="206"/>
      <c r="H421" s="207"/>
      <c r="I421" s="207"/>
      <c r="J421" s="207"/>
      <c r="K421" s="207"/>
      <c r="L421" s="207"/>
      <c r="M421" s="207"/>
      <c r="N421" s="207"/>
      <c r="O421" s="207"/>
      <c r="P421" s="207"/>
      <c r="Q421" s="207"/>
      <c r="R421" s="207"/>
      <c r="S421" s="207"/>
      <c r="T421" s="207"/>
      <c r="U421" s="207"/>
      <c r="V421" s="207"/>
      <c r="W421" s="208"/>
      <c r="X421" s="208"/>
      <c r="Y421" s="208"/>
      <c r="Z421" s="208"/>
      <c r="AA421" s="208"/>
      <c r="AB421" s="208"/>
      <c r="AC421" s="208"/>
      <c r="AD421" s="208"/>
      <c r="AE421" s="208"/>
      <c r="AF421" s="208"/>
      <c r="AG421" s="208"/>
      <c r="AH421" s="208"/>
      <c r="AI421" s="100"/>
      <c r="AJ421" s="100"/>
      <c r="AK421" s="100"/>
      <c r="AL421" s="100"/>
      <c r="AM421" s="100"/>
      <c r="AN421" s="100"/>
      <c r="AO421" s="100"/>
    </row>
    <row r="422" ht="14.25" customHeight="1">
      <c r="A422" s="195"/>
      <c r="B422" s="100"/>
      <c r="C422" s="100"/>
      <c r="D422" s="100"/>
      <c r="E422" s="100"/>
      <c r="F422" s="206"/>
      <c r="G422" s="206"/>
      <c r="H422" s="207"/>
      <c r="I422" s="207"/>
      <c r="J422" s="207"/>
      <c r="K422" s="207"/>
      <c r="L422" s="207"/>
      <c r="M422" s="207"/>
      <c r="N422" s="207"/>
      <c r="O422" s="207"/>
      <c r="P422" s="207"/>
      <c r="Q422" s="207"/>
      <c r="R422" s="207"/>
      <c r="S422" s="207"/>
      <c r="T422" s="207"/>
      <c r="U422" s="207"/>
      <c r="V422" s="207"/>
      <c r="W422" s="208"/>
      <c r="X422" s="208"/>
      <c r="Y422" s="208"/>
      <c r="Z422" s="208"/>
      <c r="AA422" s="208"/>
      <c r="AB422" s="208"/>
      <c r="AC422" s="208"/>
      <c r="AD422" s="208"/>
      <c r="AE422" s="208"/>
      <c r="AF422" s="208"/>
      <c r="AG422" s="208"/>
      <c r="AH422" s="208"/>
      <c r="AI422" s="100"/>
      <c r="AJ422" s="100"/>
      <c r="AK422" s="100"/>
      <c r="AL422" s="100"/>
      <c r="AM422" s="100"/>
      <c r="AN422" s="100"/>
      <c r="AO422" s="100"/>
    </row>
    <row r="423" ht="14.25" customHeight="1">
      <c r="A423" s="195"/>
      <c r="B423" s="100"/>
      <c r="C423" s="100"/>
      <c r="D423" s="100"/>
      <c r="E423" s="100"/>
      <c r="F423" s="206"/>
      <c r="G423" s="206"/>
      <c r="H423" s="207"/>
      <c r="I423" s="207"/>
      <c r="J423" s="207"/>
      <c r="K423" s="207"/>
      <c r="L423" s="207"/>
      <c r="M423" s="207"/>
      <c r="N423" s="207"/>
      <c r="O423" s="207"/>
      <c r="P423" s="207"/>
      <c r="Q423" s="207"/>
      <c r="R423" s="207"/>
      <c r="S423" s="207"/>
      <c r="T423" s="207"/>
      <c r="U423" s="207"/>
      <c r="V423" s="207"/>
      <c r="W423" s="208"/>
      <c r="X423" s="208"/>
      <c r="Y423" s="208"/>
      <c r="Z423" s="208"/>
      <c r="AA423" s="208"/>
      <c r="AB423" s="208"/>
      <c r="AC423" s="208"/>
      <c r="AD423" s="208"/>
      <c r="AE423" s="208"/>
      <c r="AF423" s="208"/>
      <c r="AG423" s="208"/>
      <c r="AH423" s="208"/>
      <c r="AI423" s="100"/>
      <c r="AJ423" s="100"/>
      <c r="AK423" s="100"/>
      <c r="AL423" s="100"/>
      <c r="AM423" s="100"/>
      <c r="AN423" s="100"/>
      <c r="AO423" s="100"/>
    </row>
    <row r="424" ht="14.25" customHeight="1">
      <c r="A424" s="195"/>
      <c r="B424" s="100"/>
      <c r="C424" s="100"/>
      <c r="D424" s="100"/>
      <c r="E424" s="100"/>
      <c r="F424" s="206"/>
      <c r="G424" s="206"/>
      <c r="H424" s="207"/>
      <c r="I424" s="207"/>
      <c r="J424" s="207"/>
      <c r="K424" s="207"/>
      <c r="L424" s="207"/>
      <c r="M424" s="207"/>
      <c r="N424" s="207"/>
      <c r="O424" s="207"/>
      <c r="P424" s="207"/>
      <c r="Q424" s="207"/>
      <c r="R424" s="207"/>
      <c r="S424" s="207"/>
      <c r="T424" s="207"/>
      <c r="U424" s="207"/>
      <c r="V424" s="207"/>
      <c r="W424" s="208"/>
      <c r="X424" s="208"/>
      <c r="Y424" s="208"/>
      <c r="Z424" s="208"/>
      <c r="AA424" s="208"/>
      <c r="AB424" s="208"/>
      <c r="AC424" s="208"/>
      <c r="AD424" s="208"/>
      <c r="AE424" s="208"/>
      <c r="AF424" s="208"/>
      <c r="AG424" s="208"/>
      <c r="AH424" s="208"/>
      <c r="AI424" s="100"/>
      <c r="AJ424" s="100"/>
      <c r="AK424" s="100"/>
      <c r="AL424" s="100"/>
      <c r="AM424" s="100"/>
      <c r="AN424" s="100"/>
      <c r="AO424" s="100"/>
    </row>
    <row r="425" ht="14.25" customHeight="1">
      <c r="A425" s="195"/>
      <c r="B425" s="100"/>
      <c r="C425" s="100"/>
      <c r="D425" s="100"/>
      <c r="E425" s="100"/>
      <c r="F425" s="206"/>
      <c r="G425" s="206"/>
      <c r="H425" s="207"/>
      <c r="I425" s="207"/>
      <c r="J425" s="207"/>
      <c r="K425" s="207"/>
      <c r="L425" s="207"/>
      <c r="M425" s="207"/>
      <c r="N425" s="207"/>
      <c r="O425" s="207"/>
      <c r="P425" s="207"/>
      <c r="Q425" s="207"/>
      <c r="R425" s="207"/>
      <c r="S425" s="207"/>
      <c r="T425" s="207"/>
      <c r="U425" s="207"/>
      <c r="V425" s="207"/>
      <c r="W425" s="208"/>
      <c r="X425" s="208"/>
      <c r="Y425" s="208"/>
      <c r="Z425" s="208"/>
      <c r="AA425" s="208"/>
      <c r="AB425" s="208"/>
      <c r="AC425" s="208"/>
      <c r="AD425" s="208"/>
      <c r="AE425" s="208"/>
      <c r="AF425" s="208"/>
      <c r="AG425" s="208"/>
      <c r="AH425" s="208"/>
      <c r="AI425" s="100"/>
      <c r="AJ425" s="100"/>
      <c r="AK425" s="100"/>
      <c r="AL425" s="100"/>
      <c r="AM425" s="100"/>
      <c r="AN425" s="100"/>
      <c r="AO425" s="100"/>
    </row>
    <row r="426" ht="14.25" customHeight="1">
      <c r="A426" s="195"/>
      <c r="B426" s="100"/>
      <c r="C426" s="100"/>
      <c r="D426" s="100"/>
      <c r="E426" s="100"/>
      <c r="F426" s="206"/>
      <c r="G426" s="206"/>
      <c r="H426" s="207"/>
      <c r="I426" s="207"/>
      <c r="J426" s="207"/>
      <c r="K426" s="207"/>
      <c r="L426" s="207"/>
      <c r="M426" s="207"/>
      <c r="N426" s="207"/>
      <c r="O426" s="207"/>
      <c r="P426" s="207"/>
      <c r="Q426" s="207"/>
      <c r="R426" s="207"/>
      <c r="S426" s="207"/>
      <c r="T426" s="207"/>
      <c r="U426" s="207"/>
      <c r="V426" s="207"/>
      <c r="W426" s="208"/>
      <c r="X426" s="208"/>
      <c r="Y426" s="208"/>
      <c r="Z426" s="208"/>
      <c r="AA426" s="208"/>
      <c r="AB426" s="208"/>
      <c r="AC426" s="208"/>
      <c r="AD426" s="208"/>
      <c r="AE426" s="208"/>
      <c r="AF426" s="208"/>
      <c r="AG426" s="208"/>
      <c r="AH426" s="208"/>
      <c r="AI426" s="100"/>
      <c r="AJ426" s="100"/>
      <c r="AK426" s="100"/>
      <c r="AL426" s="100"/>
      <c r="AM426" s="100"/>
      <c r="AN426" s="100"/>
      <c r="AO426" s="100"/>
    </row>
    <row r="427" ht="14.25" customHeight="1">
      <c r="A427" s="195"/>
      <c r="B427" s="100"/>
      <c r="C427" s="100"/>
      <c r="D427" s="100"/>
      <c r="E427" s="100"/>
      <c r="F427" s="206"/>
      <c r="G427" s="206"/>
      <c r="H427" s="207"/>
      <c r="I427" s="207"/>
      <c r="J427" s="207"/>
      <c r="K427" s="207"/>
      <c r="L427" s="207"/>
      <c r="M427" s="207"/>
      <c r="N427" s="207"/>
      <c r="O427" s="207"/>
      <c r="P427" s="207"/>
      <c r="Q427" s="207"/>
      <c r="R427" s="207"/>
      <c r="S427" s="207"/>
      <c r="T427" s="207"/>
      <c r="U427" s="207"/>
      <c r="V427" s="207"/>
      <c r="W427" s="208"/>
      <c r="X427" s="208"/>
      <c r="Y427" s="208"/>
      <c r="Z427" s="208"/>
      <c r="AA427" s="208"/>
      <c r="AB427" s="208"/>
      <c r="AC427" s="208"/>
      <c r="AD427" s="208"/>
      <c r="AE427" s="208"/>
      <c r="AF427" s="208"/>
      <c r="AG427" s="208"/>
      <c r="AH427" s="208"/>
      <c r="AI427" s="100"/>
      <c r="AJ427" s="100"/>
      <c r="AK427" s="100"/>
      <c r="AL427" s="100"/>
      <c r="AM427" s="100"/>
      <c r="AN427" s="100"/>
      <c r="AO427" s="100"/>
    </row>
    <row r="428" ht="14.25" customHeight="1">
      <c r="A428" s="195"/>
      <c r="B428" s="100"/>
      <c r="C428" s="100"/>
      <c r="D428" s="100"/>
      <c r="E428" s="100"/>
      <c r="F428" s="206"/>
      <c r="G428" s="206"/>
      <c r="H428" s="207"/>
      <c r="I428" s="207"/>
      <c r="J428" s="207"/>
      <c r="K428" s="207"/>
      <c r="L428" s="207"/>
      <c r="M428" s="207"/>
      <c r="N428" s="207"/>
      <c r="O428" s="207"/>
      <c r="P428" s="207"/>
      <c r="Q428" s="207"/>
      <c r="R428" s="207"/>
      <c r="S428" s="207"/>
      <c r="T428" s="207"/>
      <c r="U428" s="207"/>
      <c r="V428" s="207"/>
      <c r="W428" s="208"/>
      <c r="X428" s="208"/>
      <c r="Y428" s="208"/>
      <c r="Z428" s="208"/>
      <c r="AA428" s="208"/>
      <c r="AB428" s="208"/>
      <c r="AC428" s="208"/>
      <c r="AD428" s="208"/>
      <c r="AE428" s="208"/>
      <c r="AF428" s="208"/>
      <c r="AG428" s="208"/>
      <c r="AH428" s="208"/>
      <c r="AI428" s="100"/>
      <c r="AJ428" s="100"/>
      <c r="AK428" s="100"/>
      <c r="AL428" s="100"/>
      <c r="AM428" s="100"/>
      <c r="AN428" s="100"/>
      <c r="AO428" s="100"/>
    </row>
    <row r="429" ht="14.25" customHeight="1">
      <c r="A429" s="195"/>
      <c r="B429" s="100"/>
      <c r="C429" s="100"/>
      <c r="D429" s="100"/>
      <c r="E429" s="100"/>
      <c r="F429" s="206"/>
      <c r="G429" s="206"/>
      <c r="H429" s="207"/>
      <c r="I429" s="207"/>
      <c r="J429" s="207"/>
      <c r="K429" s="207"/>
      <c r="L429" s="207"/>
      <c r="M429" s="207"/>
      <c r="N429" s="207"/>
      <c r="O429" s="207"/>
      <c r="P429" s="207"/>
      <c r="Q429" s="207"/>
      <c r="R429" s="207"/>
      <c r="S429" s="207"/>
      <c r="T429" s="207"/>
      <c r="U429" s="207"/>
      <c r="V429" s="207"/>
      <c r="W429" s="208"/>
      <c r="X429" s="208"/>
      <c r="Y429" s="208"/>
      <c r="Z429" s="208"/>
      <c r="AA429" s="208"/>
      <c r="AB429" s="208"/>
      <c r="AC429" s="208"/>
      <c r="AD429" s="208"/>
      <c r="AE429" s="208"/>
      <c r="AF429" s="208"/>
      <c r="AG429" s="208"/>
      <c r="AH429" s="208"/>
      <c r="AI429" s="100"/>
      <c r="AJ429" s="100"/>
      <c r="AK429" s="100"/>
      <c r="AL429" s="100"/>
      <c r="AM429" s="100"/>
      <c r="AN429" s="100"/>
      <c r="AO429" s="100"/>
    </row>
    <row r="430" ht="14.25" customHeight="1">
      <c r="A430" s="195"/>
      <c r="B430" s="100"/>
      <c r="C430" s="100"/>
      <c r="D430" s="100"/>
      <c r="E430" s="100"/>
      <c r="F430" s="206"/>
      <c r="G430" s="206"/>
      <c r="H430" s="207"/>
      <c r="I430" s="207"/>
      <c r="J430" s="207"/>
      <c r="K430" s="207"/>
      <c r="L430" s="207"/>
      <c r="M430" s="207"/>
      <c r="N430" s="207"/>
      <c r="O430" s="207"/>
      <c r="P430" s="207"/>
      <c r="Q430" s="207"/>
      <c r="R430" s="207"/>
      <c r="S430" s="207"/>
      <c r="T430" s="207"/>
      <c r="U430" s="207"/>
      <c r="V430" s="207"/>
      <c r="W430" s="208"/>
      <c r="X430" s="208"/>
      <c r="Y430" s="208"/>
      <c r="Z430" s="208"/>
      <c r="AA430" s="208"/>
      <c r="AB430" s="208"/>
      <c r="AC430" s="208"/>
      <c r="AD430" s="208"/>
      <c r="AE430" s="208"/>
      <c r="AF430" s="208"/>
      <c r="AG430" s="208"/>
      <c r="AH430" s="208"/>
      <c r="AI430" s="100"/>
      <c r="AJ430" s="100"/>
      <c r="AK430" s="100"/>
      <c r="AL430" s="100"/>
      <c r="AM430" s="100"/>
      <c r="AN430" s="100"/>
      <c r="AO430" s="100"/>
    </row>
    <row r="431" ht="14.25" customHeight="1">
      <c r="A431" s="195"/>
      <c r="B431" s="100"/>
      <c r="C431" s="100"/>
      <c r="D431" s="100"/>
      <c r="E431" s="100"/>
      <c r="F431" s="206"/>
      <c r="G431" s="206"/>
      <c r="H431" s="207"/>
      <c r="I431" s="207"/>
      <c r="J431" s="207"/>
      <c r="K431" s="207"/>
      <c r="L431" s="207"/>
      <c r="M431" s="207"/>
      <c r="N431" s="207"/>
      <c r="O431" s="207"/>
      <c r="P431" s="207"/>
      <c r="Q431" s="207"/>
      <c r="R431" s="207"/>
      <c r="S431" s="207"/>
      <c r="T431" s="207"/>
      <c r="U431" s="207"/>
      <c r="V431" s="207"/>
      <c r="W431" s="208"/>
      <c r="X431" s="208"/>
      <c r="Y431" s="208"/>
      <c r="Z431" s="208"/>
      <c r="AA431" s="208"/>
      <c r="AB431" s="208"/>
      <c r="AC431" s="208"/>
      <c r="AD431" s="208"/>
      <c r="AE431" s="208"/>
      <c r="AF431" s="208"/>
      <c r="AG431" s="208"/>
      <c r="AH431" s="208"/>
      <c r="AI431" s="100"/>
      <c r="AJ431" s="100"/>
      <c r="AK431" s="100"/>
      <c r="AL431" s="100"/>
      <c r="AM431" s="100"/>
      <c r="AN431" s="100"/>
      <c r="AO431" s="100"/>
    </row>
    <row r="432" ht="14.25" customHeight="1">
      <c r="A432" s="195"/>
      <c r="B432" s="100"/>
      <c r="C432" s="100"/>
      <c r="D432" s="100"/>
      <c r="E432" s="100"/>
      <c r="F432" s="206"/>
      <c r="G432" s="206"/>
      <c r="H432" s="207"/>
      <c r="I432" s="207"/>
      <c r="J432" s="207"/>
      <c r="K432" s="207"/>
      <c r="L432" s="207"/>
      <c r="M432" s="207"/>
      <c r="N432" s="207"/>
      <c r="O432" s="207"/>
      <c r="P432" s="207"/>
      <c r="Q432" s="207"/>
      <c r="R432" s="207"/>
      <c r="S432" s="207"/>
      <c r="T432" s="207"/>
      <c r="U432" s="207"/>
      <c r="V432" s="207"/>
      <c r="W432" s="208"/>
      <c r="X432" s="208"/>
      <c r="Y432" s="208"/>
      <c r="Z432" s="208"/>
      <c r="AA432" s="208"/>
      <c r="AB432" s="208"/>
      <c r="AC432" s="208"/>
      <c r="AD432" s="208"/>
      <c r="AE432" s="208"/>
      <c r="AF432" s="208"/>
      <c r="AG432" s="208"/>
      <c r="AH432" s="208"/>
      <c r="AI432" s="100"/>
      <c r="AJ432" s="100"/>
      <c r="AK432" s="100"/>
      <c r="AL432" s="100"/>
      <c r="AM432" s="100"/>
      <c r="AN432" s="100"/>
      <c r="AO432" s="100"/>
    </row>
    <row r="433" ht="14.25" customHeight="1">
      <c r="A433" s="195"/>
      <c r="B433" s="100"/>
      <c r="C433" s="100"/>
      <c r="D433" s="100"/>
      <c r="E433" s="100"/>
      <c r="F433" s="206"/>
      <c r="G433" s="206"/>
      <c r="H433" s="207"/>
      <c r="I433" s="207"/>
      <c r="J433" s="207"/>
      <c r="K433" s="207"/>
      <c r="L433" s="207"/>
      <c r="M433" s="207"/>
      <c r="N433" s="207"/>
      <c r="O433" s="207"/>
      <c r="P433" s="207"/>
      <c r="Q433" s="207"/>
      <c r="R433" s="207"/>
      <c r="S433" s="207"/>
      <c r="T433" s="207"/>
      <c r="U433" s="207"/>
      <c r="V433" s="207"/>
      <c r="W433" s="208"/>
      <c r="X433" s="208"/>
      <c r="Y433" s="208"/>
      <c r="Z433" s="208"/>
      <c r="AA433" s="208"/>
      <c r="AB433" s="208"/>
      <c r="AC433" s="208"/>
      <c r="AD433" s="208"/>
      <c r="AE433" s="208"/>
      <c r="AF433" s="208"/>
      <c r="AG433" s="208"/>
      <c r="AH433" s="208"/>
      <c r="AI433" s="100"/>
      <c r="AJ433" s="100"/>
      <c r="AK433" s="100"/>
      <c r="AL433" s="100"/>
      <c r="AM433" s="100"/>
      <c r="AN433" s="100"/>
      <c r="AO433" s="100"/>
    </row>
    <row r="434" ht="14.25" customHeight="1">
      <c r="A434" s="195"/>
      <c r="B434" s="100"/>
      <c r="C434" s="100"/>
      <c r="D434" s="100"/>
      <c r="E434" s="100"/>
      <c r="F434" s="206"/>
      <c r="G434" s="206"/>
      <c r="H434" s="207"/>
      <c r="I434" s="207"/>
      <c r="J434" s="207"/>
      <c r="K434" s="207"/>
      <c r="L434" s="207"/>
      <c r="M434" s="207"/>
      <c r="N434" s="207"/>
      <c r="O434" s="207"/>
      <c r="P434" s="207"/>
      <c r="Q434" s="207"/>
      <c r="R434" s="207"/>
      <c r="S434" s="207"/>
      <c r="T434" s="207"/>
      <c r="U434" s="207"/>
      <c r="V434" s="207"/>
      <c r="W434" s="208"/>
      <c r="X434" s="208"/>
      <c r="Y434" s="208"/>
      <c r="Z434" s="208"/>
      <c r="AA434" s="208"/>
      <c r="AB434" s="208"/>
      <c r="AC434" s="208"/>
      <c r="AD434" s="208"/>
      <c r="AE434" s="208"/>
      <c r="AF434" s="208"/>
      <c r="AG434" s="208"/>
      <c r="AH434" s="208"/>
      <c r="AI434" s="100"/>
      <c r="AJ434" s="100"/>
      <c r="AK434" s="100"/>
      <c r="AL434" s="100"/>
      <c r="AM434" s="100"/>
      <c r="AN434" s="100"/>
      <c r="AO434" s="100"/>
    </row>
    <row r="435" ht="14.25" customHeight="1">
      <c r="A435" s="195"/>
      <c r="B435" s="100"/>
      <c r="C435" s="100"/>
      <c r="D435" s="100"/>
      <c r="E435" s="100"/>
      <c r="F435" s="206"/>
      <c r="G435" s="206"/>
      <c r="H435" s="207"/>
      <c r="I435" s="207"/>
      <c r="J435" s="207"/>
      <c r="K435" s="207"/>
      <c r="L435" s="207"/>
      <c r="M435" s="207"/>
      <c r="N435" s="207"/>
      <c r="O435" s="207"/>
      <c r="P435" s="207"/>
      <c r="Q435" s="207"/>
      <c r="R435" s="207"/>
      <c r="S435" s="207"/>
      <c r="T435" s="207"/>
      <c r="U435" s="207"/>
      <c r="V435" s="207"/>
      <c r="W435" s="208"/>
      <c r="X435" s="208"/>
      <c r="Y435" s="208"/>
      <c r="Z435" s="208"/>
      <c r="AA435" s="208"/>
      <c r="AB435" s="208"/>
      <c r="AC435" s="208"/>
      <c r="AD435" s="208"/>
      <c r="AE435" s="208"/>
      <c r="AF435" s="208"/>
      <c r="AG435" s="208"/>
      <c r="AH435" s="208"/>
      <c r="AI435" s="100"/>
      <c r="AJ435" s="100"/>
      <c r="AK435" s="100"/>
      <c r="AL435" s="100"/>
      <c r="AM435" s="100"/>
      <c r="AN435" s="100"/>
      <c r="AO435" s="100"/>
    </row>
    <row r="436" ht="14.25" customHeight="1">
      <c r="A436" s="195"/>
      <c r="B436" s="100"/>
      <c r="C436" s="100"/>
      <c r="D436" s="100"/>
      <c r="E436" s="100"/>
      <c r="F436" s="206"/>
      <c r="G436" s="206"/>
      <c r="H436" s="207"/>
      <c r="I436" s="207"/>
      <c r="J436" s="207"/>
      <c r="K436" s="207"/>
      <c r="L436" s="207"/>
      <c r="M436" s="207"/>
      <c r="N436" s="207"/>
      <c r="O436" s="207"/>
      <c r="P436" s="207"/>
      <c r="Q436" s="207"/>
      <c r="R436" s="207"/>
      <c r="S436" s="207"/>
      <c r="T436" s="207"/>
      <c r="U436" s="207"/>
      <c r="V436" s="207"/>
      <c r="W436" s="208"/>
      <c r="X436" s="208"/>
      <c r="Y436" s="208"/>
      <c r="Z436" s="208"/>
      <c r="AA436" s="208"/>
      <c r="AB436" s="208"/>
      <c r="AC436" s="208"/>
      <c r="AD436" s="208"/>
      <c r="AE436" s="208"/>
      <c r="AF436" s="208"/>
      <c r="AG436" s="208"/>
      <c r="AH436" s="208"/>
      <c r="AI436" s="100"/>
      <c r="AJ436" s="100"/>
      <c r="AK436" s="100"/>
      <c r="AL436" s="100"/>
      <c r="AM436" s="100"/>
      <c r="AN436" s="100"/>
      <c r="AO436" s="100"/>
    </row>
    <row r="437" ht="14.25" customHeight="1">
      <c r="A437" s="195"/>
      <c r="B437" s="100"/>
      <c r="C437" s="100"/>
      <c r="D437" s="100"/>
      <c r="E437" s="100"/>
      <c r="F437" s="206"/>
      <c r="G437" s="206"/>
      <c r="H437" s="207"/>
      <c r="I437" s="207"/>
      <c r="J437" s="207"/>
      <c r="K437" s="207"/>
      <c r="L437" s="207"/>
      <c r="M437" s="207"/>
      <c r="N437" s="207"/>
      <c r="O437" s="207"/>
      <c r="P437" s="207"/>
      <c r="Q437" s="207"/>
      <c r="R437" s="207"/>
      <c r="S437" s="207"/>
      <c r="T437" s="207"/>
      <c r="U437" s="207"/>
      <c r="V437" s="207"/>
      <c r="W437" s="208"/>
      <c r="X437" s="208"/>
      <c r="Y437" s="208"/>
      <c r="Z437" s="208"/>
      <c r="AA437" s="208"/>
      <c r="AB437" s="208"/>
      <c r="AC437" s="208"/>
      <c r="AD437" s="208"/>
      <c r="AE437" s="208"/>
      <c r="AF437" s="208"/>
      <c r="AG437" s="208"/>
      <c r="AH437" s="208"/>
      <c r="AI437" s="100"/>
      <c r="AJ437" s="100"/>
      <c r="AK437" s="100"/>
      <c r="AL437" s="100"/>
      <c r="AM437" s="100"/>
      <c r="AN437" s="100"/>
      <c r="AO437" s="100"/>
    </row>
    <row r="438" ht="14.25" customHeight="1">
      <c r="A438" s="195"/>
      <c r="B438" s="100"/>
      <c r="C438" s="100"/>
      <c r="D438" s="100"/>
      <c r="E438" s="100"/>
      <c r="F438" s="206"/>
      <c r="G438" s="206"/>
      <c r="H438" s="207"/>
      <c r="I438" s="207"/>
      <c r="J438" s="207"/>
      <c r="K438" s="207"/>
      <c r="L438" s="207"/>
      <c r="M438" s="207"/>
      <c r="N438" s="207"/>
      <c r="O438" s="207"/>
      <c r="P438" s="207"/>
      <c r="Q438" s="207"/>
      <c r="R438" s="207"/>
      <c r="S438" s="207"/>
      <c r="T438" s="207"/>
      <c r="U438" s="207"/>
      <c r="V438" s="207"/>
      <c r="W438" s="208"/>
      <c r="X438" s="208"/>
      <c r="Y438" s="208"/>
      <c r="Z438" s="208"/>
      <c r="AA438" s="208"/>
      <c r="AB438" s="208"/>
      <c r="AC438" s="208"/>
      <c r="AD438" s="208"/>
      <c r="AE438" s="208"/>
      <c r="AF438" s="208"/>
      <c r="AG438" s="208"/>
      <c r="AH438" s="208"/>
      <c r="AI438" s="100"/>
      <c r="AJ438" s="100"/>
      <c r="AK438" s="100"/>
      <c r="AL438" s="100"/>
      <c r="AM438" s="100"/>
      <c r="AN438" s="100"/>
      <c r="AO438" s="100"/>
    </row>
    <row r="439" ht="14.25" customHeight="1">
      <c r="A439" s="195"/>
      <c r="B439" s="100"/>
      <c r="C439" s="100"/>
      <c r="D439" s="100"/>
      <c r="E439" s="100"/>
      <c r="F439" s="206"/>
      <c r="G439" s="206"/>
      <c r="H439" s="207"/>
      <c r="I439" s="207"/>
      <c r="J439" s="207"/>
      <c r="K439" s="207"/>
      <c r="L439" s="207"/>
      <c r="M439" s="207"/>
      <c r="N439" s="207"/>
      <c r="O439" s="207"/>
      <c r="P439" s="207"/>
      <c r="Q439" s="207"/>
      <c r="R439" s="207"/>
      <c r="S439" s="207"/>
      <c r="T439" s="207"/>
      <c r="U439" s="207"/>
      <c r="V439" s="207"/>
      <c r="W439" s="208"/>
      <c r="X439" s="208"/>
      <c r="Y439" s="208"/>
      <c r="Z439" s="208"/>
      <c r="AA439" s="208"/>
      <c r="AB439" s="208"/>
      <c r="AC439" s="208"/>
      <c r="AD439" s="208"/>
      <c r="AE439" s="208"/>
      <c r="AF439" s="208"/>
      <c r="AG439" s="208"/>
      <c r="AH439" s="208"/>
      <c r="AI439" s="100"/>
      <c r="AJ439" s="100"/>
      <c r="AK439" s="100"/>
      <c r="AL439" s="100"/>
      <c r="AM439" s="100"/>
      <c r="AN439" s="100"/>
      <c r="AO439" s="100"/>
    </row>
    <row r="440" ht="14.25" customHeight="1">
      <c r="A440" s="195"/>
      <c r="B440" s="100"/>
      <c r="C440" s="100"/>
      <c r="D440" s="100"/>
      <c r="E440" s="100"/>
      <c r="F440" s="206"/>
      <c r="G440" s="206"/>
      <c r="H440" s="207"/>
      <c r="I440" s="207"/>
      <c r="J440" s="207"/>
      <c r="K440" s="207"/>
      <c r="L440" s="207"/>
      <c r="M440" s="207"/>
      <c r="N440" s="207"/>
      <c r="O440" s="207"/>
      <c r="P440" s="207"/>
      <c r="Q440" s="207"/>
      <c r="R440" s="207"/>
      <c r="S440" s="207"/>
      <c r="T440" s="207"/>
      <c r="U440" s="207"/>
      <c r="V440" s="207"/>
      <c r="W440" s="208"/>
      <c r="X440" s="208"/>
      <c r="Y440" s="208"/>
      <c r="Z440" s="208"/>
      <c r="AA440" s="208"/>
      <c r="AB440" s="208"/>
      <c r="AC440" s="208"/>
      <c r="AD440" s="208"/>
      <c r="AE440" s="208"/>
      <c r="AF440" s="208"/>
      <c r="AG440" s="208"/>
      <c r="AH440" s="208"/>
      <c r="AI440" s="100"/>
      <c r="AJ440" s="100"/>
      <c r="AK440" s="100"/>
      <c r="AL440" s="100"/>
      <c r="AM440" s="100"/>
      <c r="AN440" s="100"/>
      <c r="AO440" s="100"/>
    </row>
    <row r="441" ht="14.25" customHeight="1">
      <c r="A441" s="195"/>
      <c r="B441" s="100"/>
      <c r="C441" s="100"/>
      <c r="D441" s="100"/>
      <c r="E441" s="100"/>
      <c r="F441" s="206"/>
      <c r="G441" s="206"/>
      <c r="H441" s="207"/>
      <c r="I441" s="207"/>
      <c r="J441" s="207"/>
      <c r="K441" s="207"/>
      <c r="L441" s="207"/>
      <c r="M441" s="207"/>
      <c r="N441" s="207"/>
      <c r="O441" s="207"/>
      <c r="P441" s="207"/>
      <c r="Q441" s="207"/>
      <c r="R441" s="207"/>
      <c r="S441" s="207"/>
      <c r="T441" s="207"/>
      <c r="U441" s="207"/>
      <c r="V441" s="207"/>
      <c r="W441" s="208"/>
      <c r="X441" s="208"/>
      <c r="Y441" s="208"/>
      <c r="Z441" s="208"/>
      <c r="AA441" s="208"/>
      <c r="AB441" s="208"/>
      <c r="AC441" s="208"/>
      <c r="AD441" s="208"/>
      <c r="AE441" s="208"/>
      <c r="AF441" s="208"/>
      <c r="AG441" s="208"/>
      <c r="AH441" s="208"/>
      <c r="AI441" s="100"/>
      <c r="AJ441" s="100"/>
      <c r="AK441" s="100"/>
      <c r="AL441" s="100"/>
      <c r="AM441" s="100"/>
      <c r="AN441" s="100"/>
      <c r="AO441" s="100"/>
    </row>
    <row r="442" ht="14.25" customHeight="1">
      <c r="A442" s="195"/>
      <c r="B442" s="100"/>
      <c r="C442" s="100"/>
      <c r="D442" s="100"/>
      <c r="E442" s="100"/>
      <c r="F442" s="206"/>
      <c r="G442" s="206"/>
      <c r="H442" s="207"/>
      <c r="I442" s="207"/>
      <c r="J442" s="207"/>
      <c r="K442" s="207"/>
      <c r="L442" s="207"/>
      <c r="M442" s="207"/>
      <c r="N442" s="207"/>
      <c r="O442" s="207"/>
      <c r="P442" s="207"/>
      <c r="Q442" s="207"/>
      <c r="R442" s="207"/>
      <c r="S442" s="207"/>
      <c r="T442" s="207"/>
      <c r="U442" s="207"/>
      <c r="V442" s="207"/>
      <c r="W442" s="208"/>
      <c r="X442" s="208"/>
      <c r="Y442" s="208"/>
      <c r="Z442" s="208"/>
      <c r="AA442" s="208"/>
      <c r="AB442" s="208"/>
      <c r="AC442" s="208"/>
      <c r="AD442" s="208"/>
      <c r="AE442" s="208"/>
      <c r="AF442" s="208"/>
      <c r="AG442" s="208"/>
      <c r="AH442" s="208"/>
      <c r="AI442" s="100"/>
      <c r="AJ442" s="100"/>
      <c r="AK442" s="100"/>
      <c r="AL442" s="100"/>
      <c r="AM442" s="100"/>
      <c r="AN442" s="100"/>
      <c r="AO442" s="100"/>
    </row>
    <row r="443" ht="14.25" customHeight="1">
      <c r="A443" s="195"/>
      <c r="B443" s="100"/>
      <c r="C443" s="100"/>
      <c r="D443" s="100"/>
      <c r="E443" s="100"/>
      <c r="F443" s="206"/>
      <c r="G443" s="206"/>
      <c r="H443" s="207"/>
      <c r="I443" s="207"/>
      <c r="J443" s="207"/>
      <c r="K443" s="207"/>
      <c r="L443" s="207"/>
      <c r="M443" s="207"/>
      <c r="N443" s="207"/>
      <c r="O443" s="207"/>
      <c r="P443" s="207"/>
      <c r="Q443" s="207"/>
      <c r="R443" s="207"/>
      <c r="S443" s="207"/>
      <c r="T443" s="207"/>
      <c r="U443" s="207"/>
      <c r="V443" s="207"/>
      <c r="W443" s="208"/>
      <c r="X443" s="208"/>
      <c r="Y443" s="208"/>
      <c r="Z443" s="208"/>
      <c r="AA443" s="208"/>
      <c r="AB443" s="208"/>
      <c r="AC443" s="208"/>
      <c r="AD443" s="208"/>
      <c r="AE443" s="208"/>
      <c r="AF443" s="208"/>
      <c r="AG443" s="208"/>
      <c r="AH443" s="208"/>
      <c r="AI443" s="100"/>
      <c r="AJ443" s="100"/>
      <c r="AK443" s="100"/>
      <c r="AL443" s="100"/>
      <c r="AM443" s="100"/>
      <c r="AN443" s="100"/>
      <c r="AO443" s="100"/>
    </row>
    <row r="444" ht="14.25" customHeight="1">
      <c r="A444" s="195"/>
      <c r="B444" s="100"/>
      <c r="C444" s="100"/>
      <c r="D444" s="100"/>
      <c r="E444" s="100"/>
      <c r="F444" s="206"/>
      <c r="G444" s="206"/>
      <c r="H444" s="207"/>
      <c r="I444" s="207"/>
      <c r="J444" s="207"/>
      <c r="K444" s="207"/>
      <c r="L444" s="207"/>
      <c r="M444" s="207"/>
      <c r="N444" s="207"/>
      <c r="O444" s="207"/>
      <c r="P444" s="207"/>
      <c r="Q444" s="207"/>
      <c r="R444" s="207"/>
      <c r="S444" s="207"/>
      <c r="T444" s="207"/>
      <c r="U444" s="207"/>
      <c r="V444" s="207"/>
      <c r="W444" s="208"/>
      <c r="X444" s="208"/>
      <c r="Y444" s="208"/>
      <c r="Z444" s="208"/>
      <c r="AA444" s="208"/>
      <c r="AB444" s="208"/>
      <c r="AC444" s="208"/>
      <c r="AD444" s="208"/>
      <c r="AE444" s="208"/>
      <c r="AF444" s="208"/>
      <c r="AG444" s="208"/>
      <c r="AH444" s="208"/>
      <c r="AI444" s="100"/>
      <c r="AJ444" s="100"/>
      <c r="AK444" s="100"/>
      <c r="AL444" s="100"/>
      <c r="AM444" s="100"/>
      <c r="AN444" s="100"/>
      <c r="AO444" s="100"/>
    </row>
    <row r="445" ht="14.25" customHeight="1">
      <c r="A445" s="195"/>
      <c r="B445" s="100"/>
      <c r="C445" s="100"/>
      <c r="D445" s="100"/>
      <c r="E445" s="100"/>
      <c r="F445" s="206"/>
      <c r="G445" s="206"/>
      <c r="H445" s="207"/>
      <c r="I445" s="207"/>
      <c r="J445" s="207"/>
      <c r="K445" s="207"/>
      <c r="L445" s="207"/>
      <c r="M445" s="207"/>
      <c r="N445" s="207"/>
      <c r="O445" s="207"/>
      <c r="P445" s="207"/>
      <c r="Q445" s="207"/>
      <c r="R445" s="207"/>
      <c r="S445" s="207"/>
      <c r="T445" s="207"/>
      <c r="U445" s="207"/>
      <c r="V445" s="207"/>
      <c r="W445" s="208"/>
      <c r="X445" s="208"/>
      <c r="Y445" s="208"/>
      <c r="Z445" s="208"/>
      <c r="AA445" s="208"/>
      <c r="AB445" s="208"/>
      <c r="AC445" s="208"/>
      <c r="AD445" s="208"/>
      <c r="AE445" s="208"/>
      <c r="AF445" s="208"/>
      <c r="AG445" s="208"/>
      <c r="AH445" s="208"/>
      <c r="AI445" s="100"/>
      <c r="AJ445" s="100"/>
      <c r="AK445" s="100"/>
      <c r="AL445" s="100"/>
      <c r="AM445" s="100"/>
      <c r="AN445" s="100"/>
      <c r="AO445" s="100"/>
    </row>
    <row r="446" ht="14.25" customHeight="1">
      <c r="A446" s="195"/>
      <c r="B446" s="100"/>
      <c r="C446" s="100"/>
      <c r="D446" s="100"/>
      <c r="E446" s="100"/>
      <c r="F446" s="206"/>
      <c r="G446" s="206"/>
      <c r="H446" s="207"/>
      <c r="I446" s="207"/>
      <c r="J446" s="207"/>
      <c r="K446" s="207"/>
      <c r="L446" s="207"/>
      <c r="M446" s="207"/>
      <c r="N446" s="207"/>
      <c r="O446" s="207"/>
      <c r="P446" s="207"/>
      <c r="Q446" s="207"/>
      <c r="R446" s="207"/>
      <c r="S446" s="207"/>
      <c r="T446" s="207"/>
      <c r="U446" s="207"/>
      <c r="V446" s="207"/>
      <c r="W446" s="208"/>
      <c r="X446" s="208"/>
      <c r="Y446" s="208"/>
      <c r="Z446" s="208"/>
      <c r="AA446" s="208"/>
      <c r="AB446" s="208"/>
      <c r="AC446" s="208"/>
      <c r="AD446" s="208"/>
      <c r="AE446" s="208"/>
      <c r="AF446" s="208"/>
      <c r="AG446" s="208"/>
      <c r="AH446" s="208"/>
      <c r="AI446" s="100"/>
      <c r="AJ446" s="100"/>
      <c r="AK446" s="100"/>
      <c r="AL446" s="100"/>
      <c r="AM446" s="100"/>
      <c r="AN446" s="100"/>
      <c r="AO446" s="100"/>
    </row>
    <row r="447" ht="14.25" customHeight="1">
      <c r="A447" s="195"/>
      <c r="B447" s="100"/>
      <c r="C447" s="100"/>
      <c r="D447" s="100"/>
      <c r="E447" s="100"/>
      <c r="F447" s="206"/>
      <c r="G447" s="206"/>
      <c r="H447" s="207"/>
      <c r="I447" s="207"/>
      <c r="J447" s="207"/>
      <c r="K447" s="207"/>
      <c r="L447" s="207"/>
      <c r="M447" s="207"/>
      <c r="N447" s="207"/>
      <c r="O447" s="207"/>
      <c r="P447" s="207"/>
      <c r="Q447" s="207"/>
      <c r="R447" s="207"/>
      <c r="S447" s="207"/>
      <c r="T447" s="207"/>
      <c r="U447" s="207"/>
      <c r="V447" s="207"/>
      <c r="W447" s="208"/>
      <c r="X447" s="208"/>
      <c r="Y447" s="208"/>
      <c r="Z447" s="208"/>
      <c r="AA447" s="208"/>
      <c r="AB447" s="208"/>
      <c r="AC447" s="208"/>
      <c r="AD447" s="208"/>
      <c r="AE447" s="208"/>
      <c r="AF447" s="208"/>
      <c r="AG447" s="208"/>
      <c r="AH447" s="208"/>
      <c r="AI447" s="100"/>
      <c r="AJ447" s="100"/>
      <c r="AK447" s="100"/>
      <c r="AL447" s="100"/>
      <c r="AM447" s="100"/>
      <c r="AN447" s="100"/>
      <c r="AO447" s="100"/>
    </row>
    <row r="448" ht="14.25" customHeight="1">
      <c r="A448" s="195"/>
      <c r="B448" s="100"/>
      <c r="C448" s="100"/>
      <c r="D448" s="100"/>
      <c r="E448" s="100"/>
      <c r="F448" s="206"/>
      <c r="G448" s="206"/>
      <c r="H448" s="207"/>
      <c r="I448" s="207"/>
      <c r="J448" s="207"/>
      <c r="K448" s="207"/>
      <c r="L448" s="207"/>
      <c r="M448" s="207"/>
      <c r="N448" s="207"/>
      <c r="O448" s="207"/>
      <c r="P448" s="207"/>
      <c r="Q448" s="207"/>
      <c r="R448" s="207"/>
      <c r="S448" s="207"/>
      <c r="T448" s="207"/>
      <c r="U448" s="207"/>
      <c r="V448" s="207"/>
      <c r="W448" s="208"/>
      <c r="X448" s="208"/>
      <c r="Y448" s="208"/>
      <c r="Z448" s="208"/>
      <c r="AA448" s="208"/>
      <c r="AB448" s="208"/>
      <c r="AC448" s="208"/>
      <c r="AD448" s="208"/>
      <c r="AE448" s="208"/>
      <c r="AF448" s="208"/>
      <c r="AG448" s="208"/>
      <c r="AH448" s="208"/>
      <c r="AI448" s="100"/>
      <c r="AJ448" s="100"/>
      <c r="AK448" s="100"/>
      <c r="AL448" s="100"/>
      <c r="AM448" s="100"/>
      <c r="AN448" s="100"/>
      <c r="AO448" s="100"/>
    </row>
    <row r="449" ht="14.25" customHeight="1">
      <c r="A449" s="195"/>
      <c r="B449" s="100"/>
      <c r="C449" s="100"/>
      <c r="D449" s="100"/>
      <c r="E449" s="100"/>
      <c r="F449" s="206"/>
      <c r="G449" s="206"/>
      <c r="H449" s="207"/>
      <c r="I449" s="207"/>
      <c r="J449" s="207"/>
      <c r="K449" s="207"/>
      <c r="L449" s="207"/>
      <c r="M449" s="207"/>
      <c r="N449" s="207"/>
      <c r="O449" s="207"/>
      <c r="P449" s="207"/>
      <c r="Q449" s="207"/>
      <c r="R449" s="207"/>
      <c r="S449" s="207"/>
      <c r="T449" s="207"/>
      <c r="U449" s="207"/>
      <c r="V449" s="207"/>
      <c r="W449" s="208"/>
      <c r="X449" s="208"/>
      <c r="Y449" s="208"/>
      <c r="Z449" s="208"/>
      <c r="AA449" s="208"/>
      <c r="AB449" s="208"/>
      <c r="AC449" s="208"/>
      <c r="AD449" s="208"/>
      <c r="AE449" s="208"/>
      <c r="AF449" s="208"/>
      <c r="AG449" s="208"/>
      <c r="AH449" s="208"/>
      <c r="AI449" s="100"/>
      <c r="AJ449" s="100"/>
      <c r="AK449" s="100"/>
      <c r="AL449" s="100"/>
      <c r="AM449" s="100"/>
      <c r="AN449" s="100"/>
      <c r="AO449" s="100"/>
    </row>
    <row r="450" ht="14.25" customHeight="1">
      <c r="A450" s="195"/>
      <c r="B450" s="100"/>
      <c r="C450" s="100"/>
      <c r="D450" s="100"/>
      <c r="E450" s="100"/>
      <c r="F450" s="206"/>
      <c r="G450" s="206"/>
      <c r="H450" s="207"/>
      <c r="I450" s="207"/>
      <c r="J450" s="207"/>
      <c r="K450" s="207"/>
      <c r="L450" s="207"/>
      <c r="M450" s="207"/>
      <c r="N450" s="207"/>
      <c r="O450" s="207"/>
      <c r="P450" s="207"/>
      <c r="Q450" s="207"/>
      <c r="R450" s="207"/>
      <c r="S450" s="207"/>
      <c r="T450" s="207"/>
      <c r="U450" s="207"/>
      <c r="V450" s="207"/>
      <c r="W450" s="208"/>
      <c r="X450" s="208"/>
      <c r="Y450" s="208"/>
      <c r="Z450" s="208"/>
      <c r="AA450" s="208"/>
      <c r="AB450" s="208"/>
      <c r="AC450" s="208"/>
      <c r="AD450" s="208"/>
      <c r="AE450" s="208"/>
      <c r="AF450" s="208"/>
      <c r="AG450" s="208"/>
      <c r="AH450" s="208"/>
      <c r="AI450" s="100"/>
      <c r="AJ450" s="100"/>
      <c r="AK450" s="100"/>
      <c r="AL450" s="100"/>
      <c r="AM450" s="100"/>
      <c r="AN450" s="100"/>
      <c r="AO450" s="100"/>
    </row>
    <row r="451" ht="14.25" customHeight="1">
      <c r="A451" s="195"/>
      <c r="B451" s="100"/>
      <c r="C451" s="100"/>
      <c r="D451" s="100"/>
      <c r="E451" s="100"/>
      <c r="F451" s="206"/>
      <c r="G451" s="206"/>
      <c r="H451" s="207"/>
      <c r="I451" s="207"/>
      <c r="J451" s="207"/>
      <c r="K451" s="207"/>
      <c r="L451" s="207"/>
      <c r="M451" s="207"/>
      <c r="N451" s="207"/>
      <c r="O451" s="207"/>
      <c r="P451" s="207"/>
      <c r="Q451" s="207"/>
      <c r="R451" s="207"/>
      <c r="S451" s="207"/>
      <c r="T451" s="207"/>
      <c r="U451" s="207"/>
      <c r="V451" s="207"/>
      <c r="W451" s="208"/>
      <c r="X451" s="208"/>
      <c r="Y451" s="208"/>
      <c r="Z451" s="208"/>
      <c r="AA451" s="208"/>
      <c r="AB451" s="208"/>
      <c r="AC451" s="208"/>
      <c r="AD451" s="208"/>
      <c r="AE451" s="208"/>
      <c r="AF451" s="208"/>
      <c r="AG451" s="208"/>
      <c r="AH451" s="208"/>
      <c r="AI451" s="100"/>
      <c r="AJ451" s="100"/>
      <c r="AK451" s="100"/>
      <c r="AL451" s="100"/>
      <c r="AM451" s="100"/>
      <c r="AN451" s="100"/>
      <c r="AO451" s="100"/>
    </row>
    <row r="452" ht="14.25" customHeight="1">
      <c r="A452" s="195"/>
      <c r="B452" s="100"/>
      <c r="C452" s="100"/>
      <c r="D452" s="100"/>
      <c r="E452" s="100"/>
      <c r="F452" s="206"/>
      <c r="G452" s="206"/>
      <c r="H452" s="207"/>
      <c r="I452" s="207"/>
      <c r="J452" s="207"/>
      <c r="K452" s="207"/>
      <c r="L452" s="207"/>
      <c r="M452" s="207"/>
      <c r="N452" s="207"/>
      <c r="O452" s="207"/>
      <c r="P452" s="207"/>
      <c r="Q452" s="207"/>
      <c r="R452" s="207"/>
      <c r="S452" s="207"/>
      <c r="T452" s="207"/>
      <c r="U452" s="207"/>
      <c r="V452" s="207"/>
      <c r="W452" s="208"/>
      <c r="X452" s="208"/>
      <c r="Y452" s="208"/>
      <c r="Z452" s="208"/>
      <c r="AA452" s="208"/>
      <c r="AB452" s="208"/>
      <c r="AC452" s="208"/>
      <c r="AD452" s="208"/>
      <c r="AE452" s="208"/>
      <c r="AF452" s="208"/>
      <c r="AG452" s="208"/>
      <c r="AH452" s="208"/>
      <c r="AI452" s="100"/>
      <c r="AJ452" s="100"/>
      <c r="AK452" s="100"/>
      <c r="AL452" s="100"/>
      <c r="AM452" s="100"/>
      <c r="AN452" s="100"/>
      <c r="AO452" s="100"/>
    </row>
    <row r="453" ht="14.25" customHeight="1">
      <c r="A453" s="195"/>
      <c r="B453" s="100"/>
      <c r="C453" s="100"/>
      <c r="D453" s="100"/>
      <c r="E453" s="100"/>
      <c r="F453" s="206"/>
      <c r="G453" s="206"/>
      <c r="H453" s="207"/>
      <c r="I453" s="207"/>
      <c r="J453" s="207"/>
      <c r="K453" s="207"/>
      <c r="L453" s="207"/>
      <c r="M453" s="207"/>
      <c r="N453" s="207"/>
      <c r="O453" s="207"/>
      <c r="P453" s="207"/>
      <c r="Q453" s="207"/>
      <c r="R453" s="207"/>
      <c r="S453" s="207"/>
      <c r="T453" s="207"/>
      <c r="U453" s="207"/>
      <c r="V453" s="207"/>
      <c r="W453" s="208"/>
      <c r="X453" s="208"/>
      <c r="Y453" s="208"/>
      <c r="Z453" s="208"/>
      <c r="AA453" s="208"/>
      <c r="AB453" s="208"/>
      <c r="AC453" s="208"/>
      <c r="AD453" s="208"/>
      <c r="AE453" s="208"/>
      <c r="AF453" s="208"/>
      <c r="AG453" s="208"/>
      <c r="AH453" s="208"/>
      <c r="AI453" s="100"/>
      <c r="AJ453" s="100"/>
      <c r="AK453" s="100"/>
      <c r="AL453" s="100"/>
      <c r="AM453" s="100"/>
      <c r="AN453" s="100"/>
      <c r="AO453" s="100"/>
    </row>
    <row r="454" ht="14.25" customHeight="1">
      <c r="A454" s="195"/>
      <c r="B454" s="100"/>
      <c r="C454" s="100"/>
      <c r="D454" s="100"/>
      <c r="E454" s="100"/>
      <c r="F454" s="206"/>
      <c r="G454" s="206"/>
      <c r="H454" s="207"/>
      <c r="I454" s="207"/>
      <c r="J454" s="207"/>
      <c r="K454" s="207"/>
      <c r="L454" s="207"/>
      <c r="M454" s="207"/>
      <c r="N454" s="207"/>
      <c r="O454" s="207"/>
      <c r="P454" s="207"/>
      <c r="Q454" s="207"/>
      <c r="R454" s="207"/>
      <c r="S454" s="207"/>
      <c r="T454" s="207"/>
      <c r="U454" s="207"/>
      <c r="V454" s="207"/>
      <c r="W454" s="208"/>
      <c r="X454" s="208"/>
      <c r="Y454" s="208"/>
      <c r="Z454" s="208"/>
      <c r="AA454" s="208"/>
      <c r="AB454" s="208"/>
      <c r="AC454" s="208"/>
      <c r="AD454" s="208"/>
      <c r="AE454" s="208"/>
      <c r="AF454" s="208"/>
      <c r="AG454" s="208"/>
      <c r="AH454" s="208"/>
      <c r="AI454" s="100"/>
      <c r="AJ454" s="100"/>
      <c r="AK454" s="100"/>
      <c r="AL454" s="100"/>
      <c r="AM454" s="100"/>
      <c r="AN454" s="100"/>
      <c r="AO454" s="100"/>
    </row>
    <row r="455" ht="14.25" customHeight="1">
      <c r="A455" s="195"/>
      <c r="B455" s="100"/>
      <c r="C455" s="100"/>
      <c r="D455" s="100"/>
      <c r="E455" s="100"/>
      <c r="F455" s="206"/>
      <c r="G455" s="206"/>
      <c r="H455" s="207"/>
      <c r="I455" s="207"/>
      <c r="J455" s="207"/>
      <c r="K455" s="207"/>
      <c r="L455" s="207"/>
      <c r="M455" s="207"/>
      <c r="N455" s="207"/>
      <c r="O455" s="207"/>
      <c r="P455" s="207"/>
      <c r="Q455" s="207"/>
      <c r="R455" s="207"/>
      <c r="S455" s="207"/>
      <c r="T455" s="207"/>
      <c r="U455" s="207"/>
      <c r="V455" s="207"/>
      <c r="W455" s="208"/>
      <c r="X455" s="208"/>
      <c r="Y455" s="208"/>
      <c r="Z455" s="208"/>
      <c r="AA455" s="208"/>
      <c r="AB455" s="208"/>
      <c r="AC455" s="208"/>
      <c r="AD455" s="208"/>
      <c r="AE455" s="208"/>
      <c r="AF455" s="208"/>
      <c r="AG455" s="208"/>
      <c r="AH455" s="208"/>
      <c r="AI455" s="100"/>
      <c r="AJ455" s="100"/>
      <c r="AK455" s="100"/>
      <c r="AL455" s="100"/>
      <c r="AM455" s="100"/>
      <c r="AN455" s="100"/>
      <c r="AO455" s="100"/>
    </row>
    <row r="456" ht="14.25" customHeight="1">
      <c r="A456" s="195"/>
      <c r="B456" s="100"/>
      <c r="C456" s="100"/>
      <c r="D456" s="100"/>
      <c r="E456" s="100"/>
      <c r="F456" s="206"/>
      <c r="G456" s="206"/>
      <c r="H456" s="207"/>
      <c r="I456" s="207"/>
      <c r="J456" s="207"/>
      <c r="K456" s="207"/>
      <c r="L456" s="207"/>
      <c r="M456" s="207"/>
      <c r="N456" s="207"/>
      <c r="O456" s="207"/>
      <c r="P456" s="207"/>
      <c r="Q456" s="207"/>
      <c r="R456" s="207"/>
      <c r="S456" s="207"/>
      <c r="T456" s="207"/>
      <c r="U456" s="207"/>
      <c r="V456" s="207"/>
      <c r="W456" s="208"/>
      <c r="X456" s="208"/>
      <c r="Y456" s="208"/>
      <c r="Z456" s="208"/>
      <c r="AA456" s="208"/>
      <c r="AB456" s="208"/>
      <c r="AC456" s="208"/>
      <c r="AD456" s="208"/>
      <c r="AE456" s="208"/>
      <c r="AF456" s="208"/>
      <c r="AG456" s="208"/>
      <c r="AH456" s="208"/>
      <c r="AI456" s="100"/>
      <c r="AJ456" s="100"/>
      <c r="AK456" s="100"/>
      <c r="AL456" s="100"/>
      <c r="AM456" s="100"/>
      <c r="AN456" s="100"/>
      <c r="AO456" s="100"/>
    </row>
    <row r="457" ht="14.25" customHeight="1">
      <c r="A457" s="195"/>
      <c r="B457" s="100"/>
      <c r="C457" s="100"/>
      <c r="D457" s="100"/>
      <c r="E457" s="100"/>
      <c r="F457" s="206"/>
      <c r="G457" s="206"/>
      <c r="H457" s="207"/>
      <c r="I457" s="207"/>
      <c r="J457" s="207"/>
      <c r="K457" s="207"/>
      <c r="L457" s="207"/>
      <c r="M457" s="207"/>
      <c r="N457" s="207"/>
      <c r="O457" s="207"/>
      <c r="P457" s="207"/>
      <c r="Q457" s="207"/>
      <c r="R457" s="207"/>
      <c r="S457" s="207"/>
      <c r="T457" s="207"/>
      <c r="U457" s="207"/>
      <c r="V457" s="207"/>
      <c r="W457" s="208"/>
      <c r="X457" s="208"/>
      <c r="Y457" s="208"/>
      <c r="Z457" s="208"/>
      <c r="AA457" s="208"/>
      <c r="AB457" s="208"/>
      <c r="AC457" s="208"/>
      <c r="AD457" s="208"/>
      <c r="AE457" s="208"/>
      <c r="AF457" s="208"/>
      <c r="AG457" s="208"/>
      <c r="AH457" s="208"/>
      <c r="AI457" s="100"/>
      <c r="AJ457" s="100"/>
      <c r="AK457" s="100"/>
      <c r="AL457" s="100"/>
      <c r="AM457" s="100"/>
      <c r="AN457" s="100"/>
      <c r="AO457" s="100"/>
    </row>
    <row r="458" ht="14.25" customHeight="1">
      <c r="A458" s="195"/>
      <c r="B458" s="100"/>
      <c r="C458" s="100"/>
      <c r="D458" s="100"/>
      <c r="E458" s="100"/>
      <c r="F458" s="206"/>
      <c r="G458" s="206"/>
      <c r="H458" s="207"/>
      <c r="I458" s="207"/>
      <c r="J458" s="207"/>
      <c r="K458" s="207"/>
      <c r="L458" s="207"/>
      <c r="M458" s="207"/>
      <c r="N458" s="207"/>
      <c r="O458" s="207"/>
      <c r="P458" s="207"/>
      <c r="Q458" s="207"/>
      <c r="R458" s="207"/>
      <c r="S458" s="207"/>
      <c r="T458" s="207"/>
      <c r="U458" s="207"/>
      <c r="V458" s="207"/>
      <c r="W458" s="208"/>
      <c r="X458" s="208"/>
      <c r="Y458" s="208"/>
      <c r="Z458" s="208"/>
      <c r="AA458" s="208"/>
      <c r="AB458" s="208"/>
      <c r="AC458" s="208"/>
      <c r="AD458" s="208"/>
      <c r="AE458" s="208"/>
      <c r="AF458" s="208"/>
      <c r="AG458" s="208"/>
      <c r="AH458" s="208"/>
      <c r="AI458" s="100"/>
      <c r="AJ458" s="100"/>
      <c r="AK458" s="100"/>
      <c r="AL458" s="100"/>
      <c r="AM458" s="100"/>
      <c r="AN458" s="100"/>
      <c r="AO458" s="100"/>
    </row>
    <row r="459" ht="14.25" customHeight="1">
      <c r="A459" s="195"/>
      <c r="B459" s="100"/>
      <c r="C459" s="100"/>
      <c r="D459" s="100"/>
      <c r="E459" s="100"/>
      <c r="F459" s="206"/>
      <c r="G459" s="206"/>
      <c r="H459" s="207"/>
      <c r="I459" s="207"/>
      <c r="J459" s="207"/>
      <c r="K459" s="207"/>
      <c r="L459" s="207"/>
      <c r="M459" s="207"/>
      <c r="N459" s="207"/>
      <c r="O459" s="207"/>
      <c r="P459" s="207"/>
      <c r="Q459" s="207"/>
      <c r="R459" s="207"/>
      <c r="S459" s="207"/>
      <c r="T459" s="207"/>
      <c r="U459" s="207"/>
      <c r="V459" s="207"/>
      <c r="W459" s="208"/>
      <c r="X459" s="208"/>
      <c r="Y459" s="208"/>
      <c r="Z459" s="208"/>
      <c r="AA459" s="208"/>
      <c r="AB459" s="208"/>
      <c r="AC459" s="208"/>
      <c r="AD459" s="208"/>
      <c r="AE459" s="208"/>
      <c r="AF459" s="208"/>
      <c r="AG459" s="208"/>
      <c r="AH459" s="208"/>
      <c r="AI459" s="100"/>
      <c r="AJ459" s="100"/>
      <c r="AK459" s="100"/>
      <c r="AL459" s="100"/>
      <c r="AM459" s="100"/>
      <c r="AN459" s="100"/>
      <c r="AO459" s="100"/>
    </row>
    <row r="460" ht="14.25" customHeight="1">
      <c r="A460" s="195"/>
      <c r="B460" s="100"/>
      <c r="C460" s="100"/>
      <c r="D460" s="100"/>
      <c r="E460" s="100"/>
      <c r="F460" s="206"/>
      <c r="G460" s="206"/>
      <c r="H460" s="207"/>
      <c r="I460" s="207"/>
      <c r="J460" s="207"/>
      <c r="K460" s="207"/>
      <c r="L460" s="207"/>
      <c r="M460" s="207"/>
      <c r="N460" s="207"/>
      <c r="O460" s="207"/>
      <c r="P460" s="207"/>
      <c r="Q460" s="207"/>
      <c r="R460" s="207"/>
      <c r="S460" s="207"/>
      <c r="T460" s="207"/>
      <c r="U460" s="207"/>
      <c r="V460" s="207"/>
      <c r="W460" s="208"/>
      <c r="X460" s="208"/>
      <c r="Y460" s="208"/>
      <c r="Z460" s="208"/>
      <c r="AA460" s="208"/>
      <c r="AB460" s="208"/>
      <c r="AC460" s="208"/>
      <c r="AD460" s="208"/>
      <c r="AE460" s="208"/>
      <c r="AF460" s="208"/>
      <c r="AG460" s="208"/>
      <c r="AH460" s="208"/>
      <c r="AI460" s="100"/>
      <c r="AJ460" s="100"/>
      <c r="AK460" s="100"/>
      <c r="AL460" s="100"/>
      <c r="AM460" s="100"/>
      <c r="AN460" s="100"/>
      <c r="AO460" s="100"/>
    </row>
    <row r="461" ht="14.25" customHeight="1">
      <c r="A461" s="195"/>
      <c r="B461" s="100"/>
      <c r="C461" s="100"/>
      <c r="D461" s="100"/>
      <c r="E461" s="100"/>
      <c r="F461" s="206"/>
      <c r="G461" s="206"/>
      <c r="H461" s="207"/>
      <c r="I461" s="207"/>
      <c r="J461" s="207"/>
      <c r="K461" s="207"/>
      <c r="L461" s="207"/>
      <c r="M461" s="207"/>
      <c r="N461" s="207"/>
      <c r="O461" s="207"/>
      <c r="P461" s="207"/>
      <c r="Q461" s="207"/>
      <c r="R461" s="207"/>
      <c r="S461" s="207"/>
      <c r="T461" s="207"/>
      <c r="U461" s="207"/>
      <c r="V461" s="207"/>
      <c r="W461" s="208"/>
      <c r="X461" s="208"/>
      <c r="Y461" s="208"/>
      <c r="Z461" s="208"/>
      <c r="AA461" s="208"/>
      <c r="AB461" s="208"/>
      <c r="AC461" s="208"/>
      <c r="AD461" s="208"/>
      <c r="AE461" s="208"/>
      <c r="AF461" s="208"/>
      <c r="AG461" s="208"/>
      <c r="AH461" s="208"/>
      <c r="AI461" s="100"/>
      <c r="AJ461" s="100"/>
      <c r="AK461" s="100"/>
      <c r="AL461" s="100"/>
      <c r="AM461" s="100"/>
      <c r="AN461" s="100"/>
      <c r="AO461" s="100"/>
    </row>
    <row r="462" ht="14.25" customHeight="1">
      <c r="A462" s="195"/>
      <c r="B462" s="100"/>
      <c r="C462" s="100"/>
      <c r="D462" s="100"/>
      <c r="E462" s="100"/>
      <c r="F462" s="206"/>
      <c r="G462" s="206"/>
      <c r="H462" s="207"/>
      <c r="I462" s="207"/>
      <c r="J462" s="207"/>
      <c r="K462" s="207"/>
      <c r="L462" s="207"/>
      <c r="M462" s="207"/>
      <c r="N462" s="207"/>
      <c r="O462" s="207"/>
      <c r="P462" s="207"/>
      <c r="Q462" s="207"/>
      <c r="R462" s="207"/>
      <c r="S462" s="207"/>
      <c r="T462" s="207"/>
      <c r="U462" s="207"/>
      <c r="V462" s="207"/>
      <c r="W462" s="208"/>
      <c r="X462" s="208"/>
      <c r="Y462" s="208"/>
      <c r="Z462" s="208"/>
      <c r="AA462" s="208"/>
      <c r="AB462" s="208"/>
      <c r="AC462" s="208"/>
      <c r="AD462" s="208"/>
      <c r="AE462" s="208"/>
      <c r="AF462" s="208"/>
      <c r="AG462" s="208"/>
      <c r="AH462" s="208"/>
      <c r="AI462" s="100"/>
      <c r="AJ462" s="100"/>
      <c r="AK462" s="100"/>
      <c r="AL462" s="100"/>
      <c r="AM462" s="100"/>
      <c r="AN462" s="100"/>
      <c r="AO462" s="100"/>
    </row>
    <row r="463" ht="14.25" customHeight="1">
      <c r="A463" s="195"/>
      <c r="B463" s="100"/>
      <c r="C463" s="100"/>
      <c r="D463" s="100"/>
      <c r="E463" s="100"/>
      <c r="F463" s="206"/>
      <c r="G463" s="206"/>
      <c r="H463" s="207"/>
      <c r="I463" s="207"/>
      <c r="J463" s="207"/>
      <c r="K463" s="207"/>
      <c r="L463" s="207"/>
      <c r="M463" s="207"/>
      <c r="N463" s="207"/>
      <c r="O463" s="207"/>
      <c r="P463" s="207"/>
      <c r="Q463" s="207"/>
      <c r="R463" s="207"/>
      <c r="S463" s="207"/>
      <c r="T463" s="207"/>
      <c r="U463" s="207"/>
      <c r="V463" s="207"/>
      <c r="W463" s="208"/>
      <c r="X463" s="208"/>
      <c r="Y463" s="208"/>
      <c r="Z463" s="208"/>
      <c r="AA463" s="208"/>
      <c r="AB463" s="208"/>
      <c r="AC463" s="208"/>
      <c r="AD463" s="208"/>
      <c r="AE463" s="208"/>
      <c r="AF463" s="208"/>
      <c r="AG463" s="208"/>
      <c r="AH463" s="208"/>
      <c r="AI463" s="100"/>
      <c r="AJ463" s="100"/>
      <c r="AK463" s="100"/>
      <c r="AL463" s="100"/>
      <c r="AM463" s="100"/>
      <c r="AN463" s="100"/>
      <c r="AO463" s="100"/>
    </row>
    <row r="464" ht="14.25" customHeight="1">
      <c r="A464" s="195"/>
      <c r="B464" s="100"/>
      <c r="C464" s="100"/>
      <c r="D464" s="100"/>
      <c r="E464" s="100"/>
      <c r="F464" s="206"/>
      <c r="G464" s="206"/>
      <c r="H464" s="207"/>
      <c r="I464" s="207"/>
      <c r="J464" s="207"/>
      <c r="K464" s="207"/>
      <c r="L464" s="207"/>
      <c r="M464" s="207"/>
      <c r="N464" s="207"/>
      <c r="O464" s="207"/>
      <c r="P464" s="207"/>
      <c r="Q464" s="207"/>
      <c r="R464" s="207"/>
      <c r="S464" s="207"/>
      <c r="T464" s="207"/>
      <c r="U464" s="207"/>
      <c r="V464" s="207"/>
      <c r="W464" s="208"/>
      <c r="X464" s="208"/>
      <c r="Y464" s="208"/>
      <c r="Z464" s="208"/>
      <c r="AA464" s="208"/>
      <c r="AB464" s="208"/>
      <c r="AC464" s="208"/>
      <c r="AD464" s="208"/>
      <c r="AE464" s="208"/>
      <c r="AF464" s="208"/>
      <c r="AG464" s="208"/>
      <c r="AH464" s="208"/>
      <c r="AI464" s="100"/>
      <c r="AJ464" s="100"/>
      <c r="AK464" s="100"/>
      <c r="AL464" s="100"/>
      <c r="AM464" s="100"/>
      <c r="AN464" s="100"/>
      <c r="AO464" s="100"/>
    </row>
    <row r="465" ht="14.25" customHeight="1">
      <c r="A465" s="195"/>
      <c r="B465" s="100"/>
      <c r="C465" s="100"/>
      <c r="D465" s="100"/>
      <c r="E465" s="100"/>
      <c r="F465" s="206"/>
      <c r="G465" s="206"/>
      <c r="H465" s="207"/>
      <c r="I465" s="207"/>
      <c r="J465" s="207"/>
      <c r="K465" s="207"/>
      <c r="L465" s="207"/>
      <c r="M465" s="207"/>
      <c r="N465" s="207"/>
      <c r="O465" s="207"/>
      <c r="P465" s="207"/>
      <c r="Q465" s="207"/>
      <c r="R465" s="207"/>
      <c r="S465" s="207"/>
      <c r="T465" s="207"/>
      <c r="U465" s="207"/>
      <c r="V465" s="207"/>
      <c r="W465" s="208"/>
      <c r="X465" s="208"/>
      <c r="Y465" s="208"/>
      <c r="Z465" s="208"/>
      <c r="AA465" s="208"/>
      <c r="AB465" s="208"/>
      <c r="AC465" s="208"/>
      <c r="AD465" s="208"/>
      <c r="AE465" s="208"/>
      <c r="AF465" s="208"/>
      <c r="AG465" s="208"/>
      <c r="AH465" s="208"/>
      <c r="AI465" s="100"/>
      <c r="AJ465" s="100"/>
      <c r="AK465" s="100"/>
      <c r="AL465" s="100"/>
      <c r="AM465" s="100"/>
      <c r="AN465" s="100"/>
      <c r="AO465" s="100"/>
    </row>
    <row r="466" ht="14.25" customHeight="1">
      <c r="A466" s="195"/>
      <c r="B466" s="100"/>
      <c r="C466" s="100"/>
      <c r="D466" s="100"/>
      <c r="E466" s="100"/>
      <c r="F466" s="206"/>
      <c r="G466" s="206"/>
      <c r="H466" s="207"/>
      <c r="I466" s="207"/>
      <c r="J466" s="207"/>
      <c r="K466" s="207"/>
      <c r="L466" s="207"/>
      <c r="M466" s="207"/>
      <c r="N466" s="207"/>
      <c r="O466" s="207"/>
      <c r="P466" s="207"/>
      <c r="Q466" s="207"/>
      <c r="R466" s="207"/>
      <c r="S466" s="207"/>
      <c r="T466" s="207"/>
      <c r="U466" s="207"/>
      <c r="V466" s="207"/>
      <c r="W466" s="208"/>
      <c r="X466" s="208"/>
      <c r="Y466" s="208"/>
      <c r="Z466" s="208"/>
      <c r="AA466" s="208"/>
      <c r="AB466" s="208"/>
      <c r="AC466" s="208"/>
      <c r="AD466" s="208"/>
      <c r="AE466" s="208"/>
      <c r="AF466" s="208"/>
      <c r="AG466" s="208"/>
      <c r="AH466" s="208"/>
      <c r="AI466" s="100"/>
      <c r="AJ466" s="100"/>
      <c r="AK466" s="100"/>
      <c r="AL466" s="100"/>
      <c r="AM466" s="100"/>
      <c r="AN466" s="100"/>
      <c r="AO466" s="100"/>
    </row>
    <row r="467" ht="14.25" customHeight="1">
      <c r="A467" s="195"/>
      <c r="B467" s="100"/>
      <c r="C467" s="100"/>
      <c r="D467" s="100"/>
      <c r="E467" s="100"/>
      <c r="F467" s="206"/>
      <c r="G467" s="206"/>
      <c r="H467" s="207"/>
      <c r="I467" s="207"/>
      <c r="J467" s="207"/>
      <c r="K467" s="207"/>
      <c r="L467" s="207"/>
      <c r="M467" s="207"/>
      <c r="N467" s="207"/>
      <c r="O467" s="207"/>
      <c r="P467" s="207"/>
      <c r="Q467" s="207"/>
      <c r="R467" s="207"/>
      <c r="S467" s="207"/>
      <c r="T467" s="207"/>
      <c r="U467" s="207"/>
      <c r="V467" s="207"/>
      <c r="W467" s="208"/>
      <c r="X467" s="208"/>
      <c r="Y467" s="208"/>
      <c r="Z467" s="208"/>
      <c r="AA467" s="208"/>
      <c r="AB467" s="208"/>
      <c r="AC467" s="208"/>
      <c r="AD467" s="208"/>
      <c r="AE467" s="208"/>
      <c r="AF467" s="208"/>
      <c r="AG467" s="208"/>
      <c r="AH467" s="208"/>
      <c r="AI467" s="100"/>
      <c r="AJ467" s="100"/>
      <c r="AK467" s="100"/>
      <c r="AL467" s="100"/>
      <c r="AM467" s="100"/>
      <c r="AN467" s="100"/>
      <c r="AO467" s="100"/>
    </row>
    <row r="468" ht="14.25" customHeight="1">
      <c r="A468" s="195"/>
      <c r="B468" s="100"/>
      <c r="C468" s="100"/>
      <c r="D468" s="100"/>
      <c r="E468" s="100"/>
      <c r="F468" s="206"/>
      <c r="G468" s="206"/>
      <c r="H468" s="207"/>
      <c r="I468" s="207"/>
      <c r="J468" s="207"/>
      <c r="K468" s="207"/>
      <c r="L468" s="207"/>
      <c r="M468" s="207"/>
      <c r="N468" s="207"/>
      <c r="O468" s="207"/>
      <c r="P468" s="207"/>
      <c r="Q468" s="207"/>
      <c r="R468" s="207"/>
      <c r="S468" s="207"/>
      <c r="T468" s="207"/>
      <c r="U468" s="207"/>
      <c r="V468" s="207"/>
      <c r="W468" s="208"/>
      <c r="X468" s="208"/>
      <c r="Y468" s="208"/>
      <c r="Z468" s="208"/>
      <c r="AA468" s="208"/>
      <c r="AB468" s="208"/>
      <c r="AC468" s="208"/>
      <c r="AD468" s="208"/>
      <c r="AE468" s="208"/>
      <c r="AF468" s="208"/>
      <c r="AG468" s="208"/>
      <c r="AH468" s="208"/>
      <c r="AI468" s="100"/>
      <c r="AJ468" s="100"/>
      <c r="AK468" s="100"/>
      <c r="AL468" s="100"/>
      <c r="AM468" s="100"/>
      <c r="AN468" s="100"/>
      <c r="AO468" s="100"/>
    </row>
    <row r="469" ht="14.25" customHeight="1">
      <c r="A469" s="195"/>
      <c r="B469" s="100"/>
      <c r="C469" s="100"/>
      <c r="D469" s="100"/>
      <c r="E469" s="100"/>
      <c r="F469" s="206"/>
      <c r="G469" s="206"/>
      <c r="H469" s="207"/>
      <c r="I469" s="207"/>
      <c r="J469" s="207"/>
      <c r="K469" s="207"/>
      <c r="L469" s="207"/>
      <c r="M469" s="207"/>
      <c r="N469" s="207"/>
      <c r="O469" s="207"/>
      <c r="P469" s="207"/>
      <c r="Q469" s="207"/>
      <c r="R469" s="207"/>
      <c r="S469" s="207"/>
      <c r="T469" s="207"/>
      <c r="U469" s="207"/>
      <c r="V469" s="207"/>
      <c r="W469" s="208"/>
      <c r="X469" s="208"/>
      <c r="Y469" s="208"/>
      <c r="Z469" s="208"/>
      <c r="AA469" s="208"/>
      <c r="AB469" s="208"/>
      <c r="AC469" s="208"/>
      <c r="AD469" s="208"/>
      <c r="AE469" s="208"/>
      <c r="AF469" s="208"/>
      <c r="AG469" s="208"/>
      <c r="AH469" s="208"/>
      <c r="AI469" s="100"/>
      <c r="AJ469" s="100"/>
      <c r="AK469" s="100"/>
      <c r="AL469" s="100"/>
      <c r="AM469" s="100"/>
      <c r="AN469" s="100"/>
      <c r="AO469" s="100"/>
    </row>
    <row r="470" ht="14.25" customHeight="1">
      <c r="A470" s="195"/>
      <c r="B470" s="100"/>
      <c r="C470" s="100"/>
      <c r="D470" s="100"/>
      <c r="E470" s="100"/>
      <c r="F470" s="206"/>
      <c r="G470" s="206"/>
      <c r="H470" s="207"/>
      <c r="I470" s="207"/>
      <c r="J470" s="207"/>
      <c r="K470" s="207"/>
      <c r="L470" s="207"/>
      <c r="M470" s="207"/>
      <c r="N470" s="207"/>
      <c r="O470" s="207"/>
      <c r="P470" s="207"/>
      <c r="Q470" s="207"/>
      <c r="R470" s="207"/>
      <c r="S470" s="207"/>
      <c r="T470" s="207"/>
      <c r="U470" s="207"/>
      <c r="V470" s="207"/>
      <c r="W470" s="208"/>
      <c r="X470" s="208"/>
      <c r="Y470" s="208"/>
      <c r="Z470" s="208"/>
      <c r="AA470" s="208"/>
      <c r="AB470" s="208"/>
      <c r="AC470" s="208"/>
      <c r="AD470" s="208"/>
      <c r="AE470" s="208"/>
      <c r="AF470" s="208"/>
      <c r="AG470" s="208"/>
      <c r="AH470" s="208"/>
      <c r="AI470" s="100"/>
      <c r="AJ470" s="100"/>
      <c r="AK470" s="100"/>
      <c r="AL470" s="100"/>
      <c r="AM470" s="100"/>
      <c r="AN470" s="100"/>
      <c r="AO470" s="100"/>
    </row>
    <row r="471" ht="14.25" customHeight="1">
      <c r="A471" s="195"/>
      <c r="B471" s="100"/>
      <c r="C471" s="100"/>
      <c r="D471" s="100"/>
      <c r="E471" s="100"/>
      <c r="F471" s="206"/>
      <c r="G471" s="206"/>
      <c r="H471" s="207"/>
      <c r="I471" s="207"/>
      <c r="J471" s="207"/>
      <c r="K471" s="207"/>
      <c r="L471" s="207"/>
      <c r="M471" s="207"/>
      <c r="N471" s="207"/>
      <c r="O471" s="207"/>
      <c r="P471" s="207"/>
      <c r="Q471" s="207"/>
      <c r="R471" s="207"/>
      <c r="S471" s="207"/>
      <c r="T471" s="207"/>
      <c r="U471" s="207"/>
      <c r="V471" s="207"/>
      <c r="W471" s="208"/>
      <c r="X471" s="208"/>
      <c r="Y471" s="208"/>
      <c r="Z471" s="208"/>
      <c r="AA471" s="208"/>
      <c r="AB471" s="208"/>
      <c r="AC471" s="208"/>
      <c r="AD471" s="208"/>
      <c r="AE471" s="208"/>
      <c r="AF471" s="208"/>
      <c r="AG471" s="208"/>
      <c r="AH471" s="208"/>
      <c r="AI471" s="100"/>
      <c r="AJ471" s="100"/>
      <c r="AK471" s="100"/>
      <c r="AL471" s="100"/>
      <c r="AM471" s="100"/>
      <c r="AN471" s="100"/>
      <c r="AO471" s="100"/>
    </row>
    <row r="472" ht="14.25" customHeight="1">
      <c r="A472" s="195"/>
      <c r="B472" s="100"/>
      <c r="C472" s="100"/>
      <c r="D472" s="100"/>
      <c r="E472" s="100"/>
      <c r="F472" s="206"/>
      <c r="G472" s="206"/>
      <c r="H472" s="207"/>
      <c r="I472" s="207"/>
      <c r="J472" s="207"/>
      <c r="K472" s="207"/>
      <c r="L472" s="207"/>
      <c r="M472" s="207"/>
      <c r="N472" s="207"/>
      <c r="O472" s="207"/>
      <c r="P472" s="207"/>
      <c r="Q472" s="207"/>
      <c r="R472" s="207"/>
      <c r="S472" s="207"/>
      <c r="T472" s="207"/>
      <c r="U472" s="207"/>
      <c r="V472" s="207"/>
      <c r="W472" s="208"/>
      <c r="X472" s="208"/>
      <c r="Y472" s="208"/>
      <c r="Z472" s="208"/>
      <c r="AA472" s="208"/>
      <c r="AB472" s="208"/>
      <c r="AC472" s="208"/>
      <c r="AD472" s="208"/>
      <c r="AE472" s="208"/>
      <c r="AF472" s="208"/>
      <c r="AG472" s="208"/>
      <c r="AH472" s="208"/>
      <c r="AI472" s="100"/>
      <c r="AJ472" s="100"/>
      <c r="AK472" s="100"/>
      <c r="AL472" s="100"/>
      <c r="AM472" s="100"/>
      <c r="AN472" s="100"/>
      <c r="AO472" s="100"/>
    </row>
    <row r="473" ht="14.25" customHeight="1">
      <c r="A473" s="195"/>
      <c r="B473" s="100"/>
      <c r="C473" s="100"/>
      <c r="D473" s="100"/>
      <c r="E473" s="100"/>
      <c r="F473" s="206"/>
      <c r="G473" s="206"/>
      <c r="H473" s="207"/>
      <c r="I473" s="207"/>
      <c r="J473" s="207"/>
      <c r="K473" s="207"/>
      <c r="L473" s="207"/>
      <c r="M473" s="207"/>
      <c r="N473" s="207"/>
      <c r="O473" s="207"/>
      <c r="P473" s="207"/>
      <c r="Q473" s="207"/>
      <c r="R473" s="207"/>
      <c r="S473" s="207"/>
      <c r="T473" s="207"/>
      <c r="U473" s="207"/>
      <c r="V473" s="207"/>
      <c r="W473" s="208"/>
      <c r="X473" s="208"/>
      <c r="Y473" s="208"/>
      <c r="Z473" s="208"/>
      <c r="AA473" s="208"/>
      <c r="AB473" s="208"/>
      <c r="AC473" s="208"/>
      <c r="AD473" s="208"/>
      <c r="AE473" s="208"/>
      <c r="AF473" s="208"/>
      <c r="AG473" s="208"/>
      <c r="AH473" s="208"/>
      <c r="AI473" s="100"/>
      <c r="AJ473" s="100"/>
      <c r="AK473" s="100"/>
      <c r="AL473" s="100"/>
      <c r="AM473" s="100"/>
      <c r="AN473" s="100"/>
      <c r="AO473" s="100"/>
    </row>
    <row r="474" ht="14.25" customHeight="1">
      <c r="A474" s="195"/>
      <c r="B474" s="100"/>
      <c r="C474" s="100"/>
      <c r="D474" s="100"/>
      <c r="E474" s="100"/>
      <c r="F474" s="206"/>
      <c r="G474" s="206"/>
      <c r="H474" s="207"/>
      <c r="I474" s="207"/>
      <c r="J474" s="207"/>
      <c r="K474" s="207"/>
      <c r="L474" s="207"/>
      <c r="M474" s="207"/>
      <c r="N474" s="207"/>
      <c r="O474" s="207"/>
      <c r="P474" s="207"/>
      <c r="Q474" s="207"/>
      <c r="R474" s="207"/>
      <c r="S474" s="207"/>
      <c r="T474" s="207"/>
      <c r="U474" s="207"/>
      <c r="V474" s="207"/>
      <c r="W474" s="208"/>
      <c r="X474" s="208"/>
      <c r="Y474" s="208"/>
      <c r="Z474" s="208"/>
      <c r="AA474" s="208"/>
      <c r="AB474" s="208"/>
      <c r="AC474" s="208"/>
      <c r="AD474" s="208"/>
      <c r="AE474" s="208"/>
      <c r="AF474" s="208"/>
      <c r="AG474" s="208"/>
      <c r="AH474" s="208"/>
      <c r="AI474" s="100"/>
      <c r="AJ474" s="100"/>
      <c r="AK474" s="100"/>
      <c r="AL474" s="100"/>
      <c r="AM474" s="100"/>
      <c r="AN474" s="100"/>
      <c r="AO474" s="100"/>
    </row>
    <row r="475" ht="14.25" customHeight="1">
      <c r="A475" s="195"/>
      <c r="B475" s="100"/>
      <c r="C475" s="100"/>
      <c r="D475" s="100"/>
      <c r="E475" s="100"/>
      <c r="F475" s="206"/>
      <c r="G475" s="206"/>
      <c r="H475" s="207"/>
      <c r="I475" s="207"/>
      <c r="J475" s="207"/>
      <c r="K475" s="207"/>
      <c r="L475" s="207"/>
      <c r="M475" s="207"/>
      <c r="N475" s="207"/>
      <c r="O475" s="207"/>
      <c r="P475" s="207"/>
      <c r="Q475" s="207"/>
      <c r="R475" s="207"/>
      <c r="S475" s="207"/>
      <c r="T475" s="207"/>
      <c r="U475" s="207"/>
      <c r="V475" s="207"/>
      <c r="W475" s="208"/>
      <c r="X475" s="208"/>
      <c r="Y475" s="208"/>
      <c r="Z475" s="208"/>
      <c r="AA475" s="208"/>
      <c r="AB475" s="208"/>
      <c r="AC475" s="208"/>
      <c r="AD475" s="208"/>
      <c r="AE475" s="208"/>
      <c r="AF475" s="208"/>
      <c r="AG475" s="208"/>
      <c r="AH475" s="208"/>
      <c r="AI475" s="100"/>
      <c r="AJ475" s="100"/>
      <c r="AK475" s="100"/>
      <c r="AL475" s="100"/>
      <c r="AM475" s="100"/>
      <c r="AN475" s="100"/>
      <c r="AO475" s="100"/>
    </row>
    <row r="476" ht="14.25" customHeight="1">
      <c r="A476" s="195"/>
      <c r="B476" s="100"/>
      <c r="C476" s="100"/>
      <c r="D476" s="100"/>
      <c r="E476" s="100"/>
      <c r="F476" s="206"/>
      <c r="G476" s="206"/>
      <c r="H476" s="207"/>
      <c r="I476" s="207"/>
      <c r="J476" s="207"/>
      <c r="K476" s="207"/>
      <c r="L476" s="207"/>
      <c r="M476" s="207"/>
      <c r="N476" s="207"/>
      <c r="O476" s="207"/>
      <c r="P476" s="207"/>
      <c r="Q476" s="207"/>
      <c r="R476" s="207"/>
      <c r="S476" s="207"/>
      <c r="T476" s="207"/>
      <c r="U476" s="207"/>
      <c r="V476" s="207"/>
      <c r="W476" s="208"/>
      <c r="X476" s="208"/>
      <c r="Y476" s="208"/>
      <c r="Z476" s="208"/>
      <c r="AA476" s="208"/>
      <c r="AB476" s="208"/>
      <c r="AC476" s="208"/>
      <c r="AD476" s="208"/>
      <c r="AE476" s="208"/>
      <c r="AF476" s="208"/>
      <c r="AG476" s="208"/>
      <c r="AH476" s="208"/>
      <c r="AI476" s="100"/>
      <c r="AJ476" s="100"/>
      <c r="AK476" s="100"/>
      <c r="AL476" s="100"/>
      <c r="AM476" s="100"/>
      <c r="AN476" s="100"/>
      <c r="AO476" s="100"/>
    </row>
    <row r="477" ht="14.25" customHeight="1">
      <c r="A477" s="195"/>
      <c r="B477" s="100"/>
      <c r="C477" s="100"/>
      <c r="D477" s="100"/>
      <c r="E477" s="100"/>
      <c r="F477" s="206"/>
      <c r="G477" s="206"/>
      <c r="H477" s="207"/>
      <c r="I477" s="207"/>
      <c r="J477" s="207"/>
      <c r="K477" s="207"/>
      <c r="L477" s="207"/>
      <c r="M477" s="207"/>
      <c r="N477" s="207"/>
      <c r="O477" s="207"/>
      <c r="P477" s="207"/>
      <c r="Q477" s="207"/>
      <c r="R477" s="207"/>
      <c r="S477" s="207"/>
      <c r="T477" s="207"/>
      <c r="U477" s="207"/>
      <c r="V477" s="207"/>
      <c r="W477" s="208"/>
      <c r="X477" s="208"/>
      <c r="Y477" s="208"/>
      <c r="Z477" s="208"/>
      <c r="AA477" s="208"/>
      <c r="AB477" s="208"/>
      <c r="AC477" s="208"/>
      <c r="AD477" s="208"/>
      <c r="AE477" s="208"/>
      <c r="AF477" s="208"/>
      <c r="AG477" s="208"/>
      <c r="AH477" s="208"/>
      <c r="AI477" s="100"/>
      <c r="AJ477" s="100"/>
      <c r="AK477" s="100"/>
      <c r="AL477" s="100"/>
      <c r="AM477" s="100"/>
      <c r="AN477" s="100"/>
      <c r="AO477" s="100"/>
    </row>
    <row r="478" ht="14.25" customHeight="1">
      <c r="A478" s="195"/>
      <c r="B478" s="100"/>
      <c r="C478" s="100"/>
      <c r="D478" s="100"/>
      <c r="E478" s="100"/>
      <c r="F478" s="206"/>
      <c r="G478" s="206"/>
      <c r="H478" s="207"/>
      <c r="I478" s="207"/>
      <c r="J478" s="207"/>
      <c r="K478" s="207"/>
      <c r="L478" s="207"/>
      <c r="M478" s="207"/>
      <c r="N478" s="207"/>
      <c r="O478" s="207"/>
      <c r="P478" s="207"/>
      <c r="Q478" s="207"/>
      <c r="R478" s="207"/>
      <c r="S478" s="207"/>
      <c r="T478" s="207"/>
      <c r="U478" s="207"/>
      <c r="V478" s="207"/>
      <c r="W478" s="208"/>
      <c r="X478" s="208"/>
      <c r="Y478" s="208"/>
      <c r="Z478" s="208"/>
      <c r="AA478" s="208"/>
      <c r="AB478" s="208"/>
      <c r="AC478" s="208"/>
      <c r="AD478" s="208"/>
      <c r="AE478" s="208"/>
      <c r="AF478" s="208"/>
      <c r="AG478" s="208"/>
      <c r="AH478" s="208"/>
      <c r="AI478" s="100"/>
      <c r="AJ478" s="100"/>
      <c r="AK478" s="100"/>
      <c r="AL478" s="100"/>
      <c r="AM478" s="100"/>
      <c r="AN478" s="100"/>
      <c r="AO478" s="100"/>
    </row>
    <row r="479" ht="14.25" customHeight="1">
      <c r="A479" s="195"/>
      <c r="B479" s="100"/>
      <c r="C479" s="100"/>
      <c r="D479" s="100"/>
      <c r="E479" s="100"/>
      <c r="F479" s="206"/>
      <c r="G479" s="206"/>
      <c r="H479" s="207"/>
      <c r="I479" s="207"/>
      <c r="J479" s="207"/>
      <c r="K479" s="207"/>
      <c r="L479" s="207"/>
      <c r="M479" s="207"/>
      <c r="N479" s="207"/>
      <c r="O479" s="207"/>
      <c r="P479" s="207"/>
      <c r="Q479" s="207"/>
      <c r="R479" s="207"/>
      <c r="S479" s="207"/>
      <c r="T479" s="207"/>
      <c r="U479" s="207"/>
      <c r="V479" s="207"/>
      <c r="W479" s="208"/>
      <c r="X479" s="208"/>
      <c r="Y479" s="208"/>
      <c r="Z479" s="208"/>
      <c r="AA479" s="208"/>
      <c r="AB479" s="208"/>
      <c r="AC479" s="208"/>
      <c r="AD479" s="208"/>
      <c r="AE479" s="208"/>
      <c r="AF479" s="208"/>
      <c r="AG479" s="208"/>
      <c r="AH479" s="208"/>
      <c r="AI479" s="100"/>
      <c r="AJ479" s="100"/>
      <c r="AK479" s="100"/>
      <c r="AL479" s="100"/>
      <c r="AM479" s="100"/>
      <c r="AN479" s="100"/>
      <c r="AO479" s="100"/>
    </row>
    <row r="480" ht="14.25" customHeight="1">
      <c r="A480" s="195"/>
      <c r="B480" s="100"/>
      <c r="C480" s="100"/>
      <c r="D480" s="100"/>
      <c r="E480" s="100"/>
      <c r="F480" s="206"/>
      <c r="G480" s="206"/>
      <c r="H480" s="207"/>
      <c r="I480" s="207"/>
      <c r="J480" s="207"/>
      <c r="K480" s="207"/>
      <c r="L480" s="207"/>
      <c r="M480" s="207"/>
      <c r="N480" s="207"/>
      <c r="O480" s="207"/>
      <c r="P480" s="207"/>
      <c r="Q480" s="207"/>
      <c r="R480" s="207"/>
      <c r="S480" s="207"/>
      <c r="T480" s="207"/>
      <c r="U480" s="207"/>
      <c r="V480" s="207"/>
      <c r="W480" s="208"/>
      <c r="X480" s="208"/>
      <c r="Y480" s="208"/>
      <c r="Z480" s="208"/>
      <c r="AA480" s="208"/>
      <c r="AB480" s="208"/>
      <c r="AC480" s="208"/>
      <c r="AD480" s="208"/>
      <c r="AE480" s="208"/>
      <c r="AF480" s="208"/>
      <c r="AG480" s="208"/>
      <c r="AH480" s="208"/>
      <c r="AI480" s="100"/>
      <c r="AJ480" s="100"/>
      <c r="AK480" s="100"/>
      <c r="AL480" s="100"/>
      <c r="AM480" s="100"/>
      <c r="AN480" s="100"/>
      <c r="AO480" s="100"/>
    </row>
    <row r="481" ht="14.25" customHeight="1">
      <c r="A481" s="195"/>
      <c r="B481" s="100"/>
      <c r="C481" s="100"/>
      <c r="D481" s="100"/>
      <c r="E481" s="100"/>
      <c r="F481" s="206"/>
      <c r="G481" s="206"/>
      <c r="H481" s="207"/>
      <c r="I481" s="207"/>
      <c r="J481" s="207"/>
      <c r="K481" s="207"/>
      <c r="L481" s="207"/>
      <c r="M481" s="207"/>
      <c r="N481" s="207"/>
      <c r="O481" s="207"/>
      <c r="P481" s="207"/>
      <c r="Q481" s="207"/>
      <c r="R481" s="207"/>
      <c r="S481" s="207"/>
      <c r="T481" s="207"/>
      <c r="U481" s="207"/>
      <c r="V481" s="207"/>
      <c r="W481" s="208"/>
      <c r="X481" s="208"/>
      <c r="Y481" s="208"/>
      <c r="Z481" s="208"/>
      <c r="AA481" s="208"/>
      <c r="AB481" s="208"/>
      <c r="AC481" s="208"/>
      <c r="AD481" s="208"/>
      <c r="AE481" s="208"/>
      <c r="AF481" s="208"/>
      <c r="AG481" s="208"/>
      <c r="AH481" s="208"/>
      <c r="AI481" s="100"/>
      <c r="AJ481" s="100"/>
      <c r="AK481" s="100"/>
      <c r="AL481" s="100"/>
      <c r="AM481" s="100"/>
      <c r="AN481" s="100"/>
      <c r="AO481" s="100"/>
    </row>
    <row r="482" ht="14.25" customHeight="1">
      <c r="A482" s="195"/>
      <c r="B482" s="100"/>
      <c r="C482" s="100"/>
      <c r="D482" s="100"/>
      <c r="E482" s="100"/>
      <c r="F482" s="206"/>
      <c r="G482" s="206"/>
      <c r="H482" s="207"/>
      <c r="I482" s="207"/>
      <c r="J482" s="207"/>
      <c r="K482" s="207"/>
      <c r="L482" s="207"/>
      <c r="M482" s="207"/>
      <c r="N482" s="207"/>
      <c r="O482" s="207"/>
      <c r="P482" s="207"/>
      <c r="Q482" s="207"/>
      <c r="R482" s="207"/>
      <c r="S482" s="207"/>
      <c r="T482" s="207"/>
      <c r="U482" s="207"/>
      <c r="V482" s="207"/>
      <c r="W482" s="208"/>
      <c r="X482" s="208"/>
      <c r="Y482" s="208"/>
      <c r="Z482" s="208"/>
      <c r="AA482" s="208"/>
      <c r="AB482" s="208"/>
      <c r="AC482" s="208"/>
      <c r="AD482" s="208"/>
      <c r="AE482" s="208"/>
      <c r="AF482" s="208"/>
      <c r="AG482" s="208"/>
      <c r="AH482" s="208"/>
      <c r="AI482" s="100"/>
      <c r="AJ482" s="100"/>
      <c r="AK482" s="100"/>
      <c r="AL482" s="100"/>
      <c r="AM482" s="100"/>
      <c r="AN482" s="100"/>
      <c r="AO482" s="100"/>
    </row>
    <row r="483" ht="14.25" customHeight="1">
      <c r="A483" s="195"/>
      <c r="B483" s="100"/>
      <c r="C483" s="100"/>
      <c r="D483" s="100"/>
      <c r="E483" s="100"/>
      <c r="F483" s="206"/>
      <c r="G483" s="206"/>
      <c r="H483" s="207"/>
      <c r="I483" s="207"/>
      <c r="J483" s="207"/>
      <c r="K483" s="207"/>
      <c r="L483" s="207"/>
      <c r="M483" s="207"/>
      <c r="N483" s="207"/>
      <c r="O483" s="207"/>
      <c r="P483" s="207"/>
      <c r="Q483" s="207"/>
      <c r="R483" s="207"/>
      <c r="S483" s="207"/>
      <c r="T483" s="207"/>
      <c r="U483" s="207"/>
      <c r="V483" s="207"/>
      <c r="W483" s="208"/>
      <c r="X483" s="208"/>
      <c r="Y483" s="208"/>
      <c r="Z483" s="208"/>
      <c r="AA483" s="208"/>
      <c r="AB483" s="208"/>
      <c r="AC483" s="208"/>
      <c r="AD483" s="208"/>
      <c r="AE483" s="208"/>
      <c r="AF483" s="208"/>
      <c r="AG483" s="208"/>
      <c r="AH483" s="208"/>
      <c r="AI483" s="100"/>
      <c r="AJ483" s="100"/>
      <c r="AK483" s="100"/>
      <c r="AL483" s="100"/>
      <c r="AM483" s="100"/>
      <c r="AN483" s="100"/>
      <c r="AO483" s="100"/>
    </row>
    <row r="484" ht="14.25" customHeight="1">
      <c r="A484" s="195"/>
      <c r="B484" s="100"/>
      <c r="C484" s="100"/>
      <c r="D484" s="100"/>
      <c r="E484" s="100"/>
      <c r="F484" s="206"/>
      <c r="G484" s="206"/>
      <c r="H484" s="207"/>
      <c r="I484" s="207"/>
      <c r="J484" s="207"/>
      <c r="K484" s="207"/>
      <c r="L484" s="207"/>
      <c r="M484" s="207"/>
      <c r="N484" s="207"/>
      <c r="O484" s="207"/>
      <c r="P484" s="207"/>
      <c r="Q484" s="207"/>
      <c r="R484" s="207"/>
      <c r="S484" s="207"/>
      <c r="T484" s="207"/>
      <c r="U484" s="207"/>
      <c r="V484" s="207"/>
      <c r="W484" s="208"/>
      <c r="X484" s="208"/>
      <c r="Y484" s="208"/>
      <c r="Z484" s="208"/>
      <c r="AA484" s="208"/>
      <c r="AB484" s="208"/>
      <c r="AC484" s="208"/>
      <c r="AD484" s="208"/>
      <c r="AE484" s="208"/>
      <c r="AF484" s="208"/>
      <c r="AG484" s="208"/>
      <c r="AH484" s="208"/>
      <c r="AI484" s="100"/>
      <c r="AJ484" s="100"/>
      <c r="AK484" s="100"/>
      <c r="AL484" s="100"/>
      <c r="AM484" s="100"/>
      <c r="AN484" s="100"/>
      <c r="AO484" s="100"/>
    </row>
    <row r="485" ht="14.25" customHeight="1">
      <c r="A485" s="195"/>
      <c r="B485" s="100"/>
      <c r="C485" s="100"/>
      <c r="D485" s="100"/>
      <c r="E485" s="100"/>
      <c r="F485" s="206"/>
      <c r="G485" s="206"/>
      <c r="H485" s="207"/>
      <c r="I485" s="207"/>
      <c r="J485" s="207"/>
      <c r="K485" s="207"/>
      <c r="L485" s="207"/>
      <c r="M485" s="207"/>
      <c r="N485" s="207"/>
      <c r="O485" s="207"/>
      <c r="P485" s="207"/>
      <c r="Q485" s="207"/>
      <c r="R485" s="207"/>
      <c r="S485" s="207"/>
      <c r="T485" s="207"/>
      <c r="U485" s="207"/>
      <c r="V485" s="207"/>
      <c r="W485" s="208"/>
      <c r="X485" s="208"/>
      <c r="Y485" s="208"/>
      <c r="Z485" s="208"/>
      <c r="AA485" s="208"/>
      <c r="AB485" s="208"/>
      <c r="AC485" s="208"/>
      <c r="AD485" s="208"/>
      <c r="AE485" s="208"/>
      <c r="AF485" s="208"/>
      <c r="AG485" s="208"/>
      <c r="AH485" s="208"/>
      <c r="AI485" s="100"/>
      <c r="AJ485" s="100"/>
      <c r="AK485" s="100"/>
      <c r="AL485" s="100"/>
      <c r="AM485" s="100"/>
      <c r="AN485" s="100"/>
      <c r="AO485" s="100"/>
    </row>
    <row r="486" ht="14.25" customHeight="1">
      <c r="A486" s="195"/>
      <c r="B486" s="100"/>
      <c r="C486" s="100"/>
      <c r="D486" s="100"/>
      <c r="E486" s="100"/>
      <c r="F486" s="206"/>
      <c r="G486" s="206"/>
      <c r="H486" s="207"/>
      <c r="I486" s="207"/>
      <c r="J486" s="207"/>
      <c r="K486" s="207"/>
      <c r="L486" s="207"/>
      <c r="M486" s="207"/>
      <c r="N486" s="207"/>
      <c r="O486" s="207"/>
      <c r="P486" s="207"/>
      <c r="Q486" s="207"/>
      <c r="R486" s="207"/>
      <c r="S486" s="207"/>
      <c r="T486" s="207"/>
      <c r="U486" s="207"/>
      <c r="V486" s="207"/>
      <c r="W486" s="208"/>
      <c r="X486" s="208"/>
      <c r="Y486" s="208"/>
      <c r="Z486" s="208"/>
      <c r="AA486" s="208"/>
      <c r="AB486" s="208"/>
      <c r="AC486" s="208"/>
      <c r="AD486" s="208"/>
      <c r="AE486" s="208"/>
      <c r="AF486" s="208"/>
      <c r="AG486" s="208"/>
      <c r="AH486" s="208"/>
      <c r="AI486" s="100"/>
      <c r="AJ486" s="100"/>
      <c r="AK486" s="100"/>
      <c r="AL486" s="100"/>
      <c r="AM486" s="100"/>
      <c r="AN486" s="100"/>
      <c r="AO486" s="100"/>
    </row>
    <row r="487" ht="14.25" customHeight="1">
      <c r="A487" s="195"/>
      <c r="B487" s="100"/>
      <c r="C487" s="100"/>
      <c r="D487" s="100"/>
      <c r="E487" s="100"/>
      <c r="F487" s="206"/>
      <c r="G487" s="206"/>
      <c r="H487" s="207"/>
      <c r="I487" s="207"/>
      <c r="J487" s="207"/>
      <c r="K487" s="207"/>
      <c r="L487" s="207"/>
      <c r="M487" s="207"/>
      <c r="N487" s="207"/>
      <c r="O487" s="207"/>
      <c r="P487" s="207"/>
      <c r="Q487" s="207"/>
      <c r="R487" s="207"/>
      <c r="S487" s="207"/>
      <c r="T487" s="207"/>
      <c r="U487" s="207"/>
      <c r="V487" s="207"/>
      <c r="W487" s="208"/>
      <c r="X487" s="208"/>
      <c r="Y487" s="208"/>
      <c r="Z487" s="208"/>
      <c r="AA487" s="208"/>
      <c r="AB487" s="208"/>
      <c r="AC487" s="208"/>
      <c r="AD487" s="208"/>
      <c r="AE487" s="208"/>
      <c r="AF487" s="208"/>
      <c r="AG487" s="208"/>
      <c r="AH487" s="208"/>
      <c r="AI487" s="100"/>
      <c r="AJ487" s="100"/>
      <c r="AK487" s="100"/>
      <c r="AL487" s="100"/>
      <c r="AM487" s="100"/>
      <c r="AN487" s="100"/>
      <c r="AO487" s="100"/>
    </row>
    <row r="488" ht="14.25" customHeight="1">
      <c r="A488" s="195"/>
      <c r="B488" s="100"/>
      <c r="C488" s="100"/>
      <c r="D488" s="100"/>
      <c r="E488" s="100"/>
      <c r="F488" s="206"/>
      <c r="G488" s="206"/>
      <c r="H488" s="207"/>
      <c r="I488" s="207"/>
      <c r="J488" s="207"/>
      <c r="K488" s="207"/>
      <c r="L488" s="207"/>
      <c r="M488" s="207"/>
      <c r="N488" s="207"/>
      <c r="O488" s="207"/>
      <c r="P488" s="207"/>
      <c r="Q488" s="207"/>
      <c r="R488" s="207"/>
      <c r="S488" s="207"/>
      <c r="T488" s="207"/>
      <c r="U488" s="207"/>
      <c r="V488" s="207"/>
      <c r="W488" s="208"/>
      <c r="X488" s="208"/>
      <c r="Y488" s="208"/>
      <c r="Z488" s="208"/>
      <c r="AA488" s="208"/>
      <c r="AB488" s="208"/>
      <c r="AC488" s="208"/>
      <c r="AD488" s="208"/>
      <c r="AE488" s="208"/>
      <c r="AF488" s="208"/>
      <c r="AG488" s="208"/>
      <c r="AH488" s="208"/>
      <c r="AI488" s="100"/>
      <c r="AJ488" s="100"/>
      <c r="AK488" s="100"/>
      <c r="AL488" s="100"/>
      <c r="AM488" s="100"/>
      <c r="AN488" s="100"/>
      <c r="AO488" s="100"/>
    </row>
    <row r="489" ht="14.25" customHeight="1">
      <c r="A489" s="195"/>
      <c r="B489" s="100"/>
      <c r="C489" s="100"/>
      <c r="D489" s="100"/>
      <c r="E489" s="100"/>
      <c r="F489" s="206"/>
      <c r="G489" s="206"/>
      <c r="H489" s="207"/>
      <c r="I489" s="207"/>
      <c r="J489" s="207"/>
      <c r="K489" s="207"/>
      <c r="L489" s="207"/>
      <c r="M489" s="207"/>
      <c r="N489" s="207"/>
      <c r="O489" s="207"/>
      <c r="P489" s="207"/>
      <c r="Q489" s="207"/>
      <c r="R489" s="207"/>
      <c r="S489" s="207"/>
      <c r="T489" s="207"/>
      <c r="U489" s="207"/>
      <c r="V489" s="207"/>
      <c r="W489" s="208"/>
      <c r="X489" s="208"/>
      <c r="Y489" s="208"/>
      <c r="Z489" s="208"/>
      <c r="AA489" s="208"/>
      <c r="AB489" s="208"/>
      <c r="AC489" s="208"/>
      <c r="AD489" s="208"/>
      <c r="AE489" s="208"/>
      <c r="AF489" s="208"/>
      <c r="AG489" s="208"/>
      <c r="AH489" s="208"/>
      <c r="AI489" s="100"/>
      <c r="AJ489" s="100"/>
      <c r="AK489" s="100"/>
      <c r="AL489" s="100"/>
      <c r="AM489" s="100"/>
      <c r="AN489" s="100"/>
      <c r="AO489" s="100"/>
    </row>
    <row r="490" ht="14.25" customHeight="1">
      <c r="A490" s="195"/>
      <c r="B490" s="100"/>
      <c r="C490" s="100"/>
      <c r="D490" s="100"/>
      <c r="E490" s="100"/>
      <c r="F490" s="206"/>
      <c r="G490" s="206"/>
      <c r="H490" s="207"/>
      <c r="I490" s="207"/>
      <c r="J490" s="207"/>
      <c r="K490" s="207"/>
      <c r="L490" s="207"/>
      <c r="M490" s="207"/>
      <c r="N490" s="207"/>
      <c r="O490" s="207"/>
      <c r="P490" s="207"/>
      <c r="Q490" s="207"/>
      <c r="R490" s="207"/>
      <c r="S490" s="207"/>
      <c r="T490" s="207"/>
      <c r="U490" s="207"/>
      <c r="V490" s="207"/>
      <c r="W490" s="208"/>
      <c r="X490" s="208"/>
      <c r="Y490" s="208"/>
      <c r="Z490" s="208"/>
      <c r="AA490" s="208"/>
      <c r="AB490" s="208"/>
      <c r="AC490" s="208"/>
      <c r="AD490" s="208"/>
      <c r="AE490" s="208"/>
      <c r="AF490" s="208"/>
      <c r="AG490" s="208"/>
      <c r="AH490" s="208"/>
      <c r="AI490" s="100"/>
      <c r="AJ490" s="100"/>
      <c r="AK490" s="100"/>
      <c r="AL490" s="100"/>
      <c r="AM490" s="100"/>
      <c r="AN490" s="100"/>
      <c r="AO490" s="100"/>
    </row>
    <row r="491" ht="14.25" customHeight="1">
      <c r="A491" s="195"/>
      <c r="B491" s="100"/>
      <c r="C491" s="100"/>
      <c r="D491" s="100"/>
      <c r="E491" s="100"/>
      <c r="F491" s="206"/>
      <c r="G491" s="206"/>
      <c r="H491" s="207"/>
      <c r="I491" s="207"/>
      <c r="J491" s="207"/>
      <c r="K491" s="207"/>
      <c r="L491" s="207"/>
      <c r="M491" s="207"/>
      <c r="N491" s="207"/>
      <c r="O491" s="207"/>
      <c r="P491" s="207"/>
      <c r="Q491" s="207"/>
      <c r="R491" s="207"/>
      <c r="S491" s="207"/>
      <c r="T491" s="207"/>
      <c r="U491" s="207"/>
      <c r="V491" s="207"/>
      <c r="W491" s="208"/>
      <c r="X491" s="208"/>
      <c r="Y491" s="208"/>
      <c r="Z491" s="208"/>
      <c r="AA491" s="208"/>
      <c r="AB491" s="208"/>
      <c r="AC491" s="208"/>
      <c r="AD491" s="208"/>
      <c r="AE491" s="208"/>
      <c r="AF491" s="208"/>
      <c r="AG491" s="208"/>
      <c r="AH491" s="208"/>
      <c r="AI491" s="100"/>
      <c r="AJ491" s="100"/>
      <c r="AK491" s="100"/>
      <c r="AL491" s="100"/>
      <c r="AM491" s="100"/>
      <c r="AN491" s="100"/>
      <c r="AO491" s="100"/>
    </row>
    <row r="492" ht="14.25" customHeight="1">
      <c r="A492" s="195"/>
      <c r="B492" s="100"/>
      <c r="C492" s="100"/>
      <c r="D492" s="100"/>
      <c r="E492" s="100"/>
      <c r="F492" s="206"/>
      <c r="G492" s="206"/>
      <c r="H492" s="207"/>
      <c r="I492" s="207"/>
      <c r="J492" s="207"/>
      <c r="K492" s="207"/>
      <c r="L492" s="207"/>
      <c r="M492" s="207"/>
      <c r="N492" s="207"/>
      <c r="O492" s="207"/>
      <c r="P492" s="207"/>
      <c r="Q492" s="207"/>
      <c r="R492" s="207"/>
      <c r="S492" s="207"/>
      <c r="T492" s="207"/>
      <c r="U492" s="207"/>
      <c r="V492" s="207"/>
      <c r="W492" s="208"/>
      <c r="X492" s="208"/>
      <c r="Y492" s="208"/>
      <c r="Z492" s="208"/>
      <c r="AA492" s="208"/>
      <c r="AB492" s="208"/>
      <c r="AC492" s="208"/>
      <c r="AD492" s="208"/>
      <c r="AE492" s="208"/>
      <c r="AF492" s="208"/>
      <c r="AG492" s="208"/>
      <c r="AH492" s="208"/>
      <c r="AI492" s="100"/>
      <c r="AJ492" s="100"/>
      <c r="AK492" s="100"/>
      <c r="AL492" s="100"/>
      <c r="AM492" s="100"/>
      <c r="AN492" s="100"/>
      <c r="AO492" s="100"/>
    </row>
    <row r="493" ht="14.25" customHeight="1">
      <c r="A493" s="195"/>
      <c r="B493" s="100"/>
      <c r="C493" s="100"/>
      <c r="D493" s="100"/>
      <c r="E493" s="100"/>
      <c r="F493" s="206"/>
      <c r="G493" s="206"/>
      <c r="H493" s="207"/>
      <c r="I493" s="207"/>
      <c r="J493" s="207"/>
      <c r="K493" s="207"/>
      <c r="L493" s="207"/>
      <c r="M493" s="207"/>
      <c r="N493" s="207"/>
      <c r="O493" s="207"/>
      <c r="P493" s="207"/>
      <c r="Q493" s="207"/>
      <c r="R493" s="207"/>
      <c r="S493" s="207"/>
      <c r="T493" s="207"/>
      <c r="U493" s="207"/>
      <c r="V493" s="207"/>
      <c r="W493" s="208"/>
      <c r="X493" s="208"/>
      <c r="Y493" s="208"/>
      <c r="Z493" s="208"/>
      <c r="AA493" s="208"/>
      <c r="AB493" s="208"/>
      <c r="AC493" s="208"/>
      <c r="AD493" s="208"/>
      <c r="AE493" s="208"/>
      <c r="AF493" s="208"/>
      <c r="AG493" s="208"/>
      <c r="AH493" s="208"/>
      <c r="AI493" s="100"/>
      <c r="AJ493" s="100"/>
      <c r="AK493" s="100"/>
      <c r="AL493" s="100"/>
      <c r="AM493" s="100"/>
      <c r="AN493" s="100"/>
      <c r="AO493" s="100"/>
    </row>
    <row r="494" ht="14.25" customHeight="1">
      <c r="A494" s="195"/>
      <c r="B494" s="100"/>
      <c r="C494" s="100"/>
      <c r="D494" s="100"/>
      <c r="E494" s="100"/>
      <c r="F494" s="206"/>
      <c r="G494" s="206"/>
      <c r="H494" s="207"/>
      <c r="I494" s="207"/>
      <c r="J494" s="207"/>
      <c r="K494" s="207"/>
      <c r="L494" s="207"/>
      <c r="M494" s="207"/>
      <c r="N494" s="207"/>
      <c r="O494" s="207"/>
      <c r="P494" s="207"/>
      <c r="Q494" s="207"/>
      <c r="R494" s="207"/>
      <c r="S494" s="207"/>
      <c r="T494" s="207"/>
      <c r="U494" s="207"/>
      <c r="V494" s="207"/>
      <c r="W494" s="208"/>
      <c r="X494" s="208"/>
      <c r="Y494" s="208"/>
      <c r="Z494" s="208"/>
      <c r="AA494" s="208"/>
      <c r="AB494" s="208"/>
      <c r="AC494" s="208"/>
      <c r="AD494" s="208"/>
      <c r="AE494" s="208"/>
      <c r="AF494" s="208"/>
      <c r="AG494" s="208"/>
      <c r="AH494" s="208"/>
      <c r="AI494" s="100"/>
      <c r="AJ494" s="100"/>
      <c r="AK494" s="100"/>
      <c r="AL494" s="100"/>
      <c r="AM494" s="100"/>
      <c r="AN494" s="100"/>
      <c r="AO494" s="100"/>
    </row>
    <row r="495" ht="14.25" customHeight="1">
      <c r="A495" s="195"/>
      <c r="B495" s="100"/>
      <c r="C495" s="100"/>
      <c r="D495" s="100"/>
      <c r="E495" s="100"/>
      <c r="F495" s="206"/>
      <c r="G495" s="206"/>
      <c r="H495" s="207"/>
      <c r="I495" s="207"/>
      <c r="J495" s="207"/>
      <c r="K495" s="207"/>
      <c r="L495" s="207"/>
      <c r="M495" s="207"/>
      <c r="N495" s="207"/>
      <c r="O495" s="207"/>
      <c r="P495" s="207"/>
      <c r="Q495" s="207"/>
      <c r="R495" s="207"/>
      <c r="S495" s="207"/>
      <c r="T495" s="207"/>
      <c r="U495" s="207"/>
      <c r="V495" s="207"/>
      <c r="W495" s="208"/>
      <c r="X495" s="208"/>
      <c r="Y495" s="208"/>
      <c r="Z495" s="208"/>
      <c r="AA495" s="208"/>
      <c r="AB495" s="208"/>
      <c r="AC495" s="208"/>
      <c r="AD495" s="208"/>
      <c r="AE495" s="208"/>
      <c r="AF495" s="208"/>
      <c r="AG495" s="208"/>
      <c r="AH495" s="208"/>
      <c r="AI495" s="100"/>
      <c r="AJ495" s="100"/>
      <c r="AK495" s="100"/>
      <c r="AL495" s="100"/>
      <c r="AM495" s="100"/>
      <c r="AN495" s="100"/>
      <c r="AO495" s="100"/>
    </row>
    <row r="496" ht="14.25" customHeight="1">
      <c r="A496" s="195"/>
      <c r="B496" s="100"/>
      <c r="C496" s="100"/>
      <c r="D496" s="100"/>
      <c r="E496" s="100"/>
      <c r="F496" s="206"/>
      <c r="G496" s="206"/>
      <c r="H496" s="207"/>
      <c r="I496" s="207"/>
      <c r="J496" s="207"/>
      <c r="K496" s="207"/>
      <c r="L496" s="207"/>
      <c r="M496" s="207"/>
      <c r="N496" s="207"/>
      <c r="O496" s="207"/>
      <c r="P496" s="207"/>
      <c r="Q496" s="207"/>
      <c r="R496" s="207"/>
      <c r="S496" s="207"/>
      <c r="T496" s="207"/>
      <c r="U496" s="207"/>
      <c r="V496" s="207"/>
      <c r="W496" s="208"/>
      <c r="X496" s="208"/>
      <c r="Y496" s="208"/>
      <c r="Z496" s="208"/>
      <c r="AA496" s="208"/>
      <c r="AB496" s="208"/>
      <c r="AC496" s="208"/>
      <c r="AD496" s="208"/>
      <c r="AE496" s="208"/>
      <c r="AF496" s="208"/>
      <c r="AG496" s="208"/>
      <c r="AH496" s="208"/>
      <c r="AI496" s="100"/>
      <c r="AJ496" s="100"/>
      <c r="AK496" s="100"/>
      <c r="AL496" s="100"/>
      <c r="AM496" s="100"/>
      <c r="AN496" s="100"/>
      <c r="AO496" s="100"/>
    </row>
    <row r="497" ht="14.25" customHeight="1">
      <c r="A497" s="195"/>
      <c r="B497" s="100"/>
      <c r="C497" s="100"/>
      <c r="D497" s="100"/>
      <c r="E497" s="100"/>
      <c r="F497" s="206"/>
      <c r="G497" s="206"/>
      <c r="H497" s="207"/>
      <c r="I497" s="207"/>
      <c r="J497" s="207"/>
      <c r="K497" s="207"/>
      <c r="L497" s="207"/>
      <c r="M497" s="207"/>
      <c r="N497" s="207"/>
      <c r="O497" s="207"/>
      <c r="P497" s="207"/>
      <c r="Q497" s="207"/>
      <c r="R497" s="207"/>
      <c r="S497" s="207"/>
      <c r="T497" s="207"/>
      <c r="U497" s="207"/>
      <c r="V497" s="207"/>
      <c r="W497" s="208"/>
      <c r="X497" s="208"/>
      <c r="Y497" s="208"/>
      <c r="Z497" s="208"/>
      <c r="AA497" s="208"/>
      <c r="AB497" s="208"/>
      <c r="AC497" s="208"/>
      <c r="AD497" s="208"/>
      <c r="AE497" s="208"/>
      <c r="AF497" s="208"/>
      <c r="AG497" s="208"/>
      <c r="AH497" s="208"/>
      <c r="AI497" s="100"/>
      <c r="AJ497" s="100"/>
      <c r="AK497" s="100"/>
      <c r="AL497" s="100"/>
      <c r="AM497" s="100"/>
      <c r="AN497" s="100"/>
      <c r="AO497" s="100"/>
    </row>
    <row r="498" ht="14.25" customHeight="1">
      <c r="A498" s="195"/>
      <c r="B498" s="100"/>
      <c r="C498" s="100"/>
      <c r="D498" s="100"/>
      <c r="E498" s="100"/>
      <c r="F498" s="206"/>
      <c r="G498" s="206"/>
      <c r="H498" s="207"/>
      <c r="I498" s="207"/>
      <c r="J498" s="207"/>
      <c r="K498" s="207"/>
      <c r="L498" s="207"/>
      <c r="M498" s="207"/>
      <c r="N498" s="207"/>
      <c r="O498" s="207"/>
      <c r="P498" s="207"/>
      <c r="Q498" s="207"/>
      <c r="R498" s="207"/>
      <c r="S498" s="207"/>
      <c r="T498" s="207"/>
      <c r="U498" s="207"/>
      <c r="V498" s="207"/>
      <c r="W498" s="208"/>
      <c r="X498" s="208"/>
      <c r="Y498" s="208"/>
      <c r="Z498" s="208"/>
      <c r="AA498" s="208"/>
      <c r="AB498" s="208"/>
      <c r="AC498" s="208"/>
      <c r="AD498" s="208"/>
      <c r="AE498" s="208"/>
      <c r="AF498" s="208"/>
      <c r="AG498" s="208"/>
      <c r="AH498" s="208"/>
      <c r="AI498" s="100"/>
      <c r="AJ498" s="100"/>
      <c r="AK498" s="100"/>
      <c r="AL498" s="100"/>
      <c r="AM498" s="100"/>
      <c r="AN498" s="100"/>
      <c r="AO498" s="100"/>
    </row>
    <row r="499" ht="14.25" customHeight="1">
      <c r="A499" s="195"/>
      <c r="B499" s="100"/>
      <c r="C499" s="100"/>
      <c r="D499" s="100"/>
      <c r="E499" s="100"/>
      <c r="F499" s="206"/>
      <c r="G499" s="206"/>
      <c r="H499" s="207"/>
      <c r="I499" s="207"/>
      <c r="J499" s="207"/>
      <c r="K499" s="207"/>
      <c r="L499" s="207"/>
      <c r="M499" s="207"/>
      <c r="N499" s="207"/>
      <c r="O499" s="207"/>
      <c r="P499" s="207"/>
      <c r="Q499" s="207"/>
      <c r="R499" s="207"/>
      <c r="S499" s="207"/>
      <c r="T499" s="207"/>
      <c r="U499" s="207"/>
      <c r="V499" s="207"/>
      <c r="W499" s="208"/>
      <c r="X499" s="208"/>
      <c r="Y499" s="208"/>
      <c r="Z499" s="208"/>
      <c r="AA499" s="208"/>
      <c r="AB499" s="208"/>
      <c r="AC499" s="208"/>
      <c r="AD499" s="208"/>
      <c r="AE499" s="208"/>
      <c r="AF499" s="208"/>
      <c r="AG499" s="208"/>
      <c r="AH499" s="208"/>
      <c r="AI499" s="100"/>
      <c r="AJ499" s="100"/>
      <c r="AK499" s="100"/>
      <c r="AL499" s="100"/>
      <c r="AM499" s="100"/>
      <c r="AN499" s="100"/>
      <c r="AO499" s="100"/>
    </row>
    <row r="500" ht="14.25" customHeight="1">
      <c r="A500" s="195"/>
      <c r="B500" s="100"/>
      <c r="C500" s="100"/>
      <c r="D500" s="100"/>
      <c r="E500" s="100"/>
      <c r="F500" s="206"/>
      <c r="G500" s="206"/>
      <c r="H500" s="207"/>
      <c r="I500" s="207"/>
      <c r="J500" s="207"/>
      <c r="K500" s="207"/>
      <c r="L500" s="207"/>
      <c r="M500" s="207"/>
      <c r="N500" s="207"/>
      <c r="O500" s="207"/>
      <c r="P500" s="207"/>
      <c r="Q500" s="207"/>
      <c r="R500" s="207"/>
      <c r="S500" s="207"/>
      <c r="T500" s="207"/>
      <c r="U500" s="207"/>
      <c r="V500" s="207"/>
      <c r="W500" s="208"/>
      <c r="X500" s="208"/>
      <c r="Y500" s="208"/>
      <c r="Z500" s="208"/>
      <c r="AA500" s="208"/>
      <c r="AB500" s="208"/>
      <c r="AC500" s="208"/>
      <c r="AD500" s="208"/>
      <c r="AE500" s="208"/>
      <c r="AF500" s="208"/>
      <c r="AG500" s="208"/>
      <c r="AH500" s="208"/>
      <c r="AI500" s="100"/>
      <c r="AJ500" s="100"/>
      <c r="AK500" s="100"/>
      <c r="AL500" s="100"/>
      <c r="AM500" s="100"/>
      <c r="AN500" s="100"/>
      <c r="AO500" s="100"/>
    </row>
    <row r="501" ht="14.25" customHeight="1">
      <c r="A501" s="195"/>
      <c r="B501" s="100"/>
      <c r="C501" s="100"/>
      <c r="D501" s="100"/>
      <c r="E501" s="100"/>
      <c r="F501" s="206"/>
      <c r="G501" s="206"/>
      <c r="H501" s="207"/>
      <c r="I501" s="207"/>
      <c r="J501" s="207"/>
      <c r="K501" s="207"/>
      <c r="L501" s="207"/>
      <c r="M501" s="207"/>
      <c r="N501" s="207"/>
      <c r="O501" s="207"/>
      <c r="P501" s="207"/>
      <c r="Q501" s="207"/>
      <c r="R501" s="207"/>
      <c r="S501" s="207"/>
      <c r="T501" s="207"/>
      <c r="U501" s="207"/>
      <c r="V501" s="207"/>
      <c r="W501" s="208"/>
      <c r="X501" s="208"/>
      <c r="Y501" s="208"/>
      <c r="Z501" s="208"/>
      <c r="AA501" s="208"/>
      <c r="AB501" s="208"/>
      <c r="AC501" s="208"/>
      <c r="AD501" s="208"/>
      <c r="AE501" s="208"/>
      <c r="AF501" s="208"/>
      <c r="AG501" s="208"/>
      <c r="AH501" s="208"/>
      <c r="AI501" s="100"/>
      <c r="AJ501" s="100"/>
      <c r="AK501" s="100"/>
      <c r="AL501" s="100"/>
      <c r="AM501" s="100"/>
      <c r="AN501" s="100"/>
      <c r="AO501" s="100"/>
    </row>
    <row r="502" ht="14.25" customHeight="1">
      <c r="A502" s="195"/>
      <c r="B502" s="100"/>
      <c r="C502" s="100"/>
      <c r="D502" s="100"/>
      <c r="E502" s="100"/>
      <c r="F502" s="206"/>
      <c r="G502" s="206"/>
      <c r="H502" s="207"/>
      <c r="I502" s="207"/>
      <c r="J502" s="207"/>
      <c r="K502" s="207"/>
      <c r="L502" s="207"/>
      <c r="M502" s="207"/>
      <c r="N502" s="207"/>
      <c r="O502" s="207"/>
      <c r="P502" s="207"/>
      <c r="Q502" s="207"/>
      <c r="R502" s="207"/>
      <c r="S502" s="207"/>
      <c r="T502" s="207"/>
      <c r="U502" s="207"/>
      <c r="V502" s="207"/>
      <c r="W502" s="208"/>
      <c r="X502" s="208"/>
      <c r="Y502" s="208"/>
      <c r="Z502" s="208"/>
      <c r="AA502" s="208"/>
      <c r="AB502" s="208"/>
      <c r="AC502" s="208"/>
      <c r="AD502" s="208"/>
      <c r="AE502" s="208"/>
      <c r="AF502" s="208"/>
      <c r="AG502" s="208"/>
      <c r="AH502" s="208"/>
      <c r="AI502" s="100"/>
      <c r="AJ502" s="100"/>
      <c r="AK502" s="100"/>
      <c r="AL502" s="100"/>
      <c r="AM502" s="100"/>
      <c r="AN502" s="100"/>
      <c r="AO502" s="100"/>
    </row>
    <row r="503" ht="14.25" customHeight="1">
      <c r="A503" s="195"/>
      <c r="B503" s="100"/>
      <c r="C503" s="100"/>
      <c r="D503" s="100"/>
      <c r="E503" s="100"/>
      <c r="F503" s="206"/>
      <c r="G503" s="206"/>
      <c r="H503" s="207"/>
      <c r="I503" s="207"/>
      <c r="J503" s="207"/>
      <c r="K503" s="207"/>
      <c r="L503" s="207"/>
      <c r="M503" s="207"/>
      <c r="N503" s="207"/>
      <c r="O503" s="207"/>
      <c r="P503" s="207"/>
      <c r="Q503" s="207"/>
      <c r="R503" s="207"/>
      <c r="S503" s="207"/>
      <c r="T503" s="207"/>
      <c r="U503" s="207"/>
      <c r="V503" s="207"/>
      <c r="W503" s="208"/>
      <c r="X503" s="208"/>
      <c r="Y503" s="208"/>
      <c r="Z503" s="208"/>
      <c r="AA503" s="208"/>
      <c r="AB503" s="208"/>
      <c r="AC503" s="208"/>
      <c r="AD503" s="208"/>
      <c r="AE503" s="208"/>
      <c r="AF503" s="208"/>
      <c r="AG503" s="208"/>
      <c r="AH503" s="208"/>
      <c r="AI503" s="100"/>
      <c r="AJ503" s="100"/>
      <c r="AK503" s="100"/>
      <c r="AL503" s="100"/>
      <c r="AM503" s="100"/>
      <c r="AN503" s="100"/>
      <c r="AO503" s="100"/>
    </row>
    <row r="504" ht="14.25" customHeight="1">
      <c r="A504" s="195"/>
      <c r="B504" s="100"/>
      <c r="C504" s="100"/>
      <c r="D504" s="100"/>
      <c r="E504" s="100"/>
      <c r="F504" s="206"/>
      <c r="G504" s="206"/>
      <c r="H504" s="207"/>
      <c r="I504" s="207"/>
      <c r="J504" s="207"/>
      <c r="K504" s="207"/>
      <c r="L504" s="207"/>
      <c r="M504" s="207"/>
      <c r="N504" s="207"/>
      <c r="O504" s="207"/>
      <c r="P504" s="207"/>
      <c r="Q504" s="207"/>
      <c r="R504" s="207"/>
      <c r="S504" s="207"/>
      <c r="T504" s="207"/>
      <c r="U504" s="207"/>
      <c r="V504" s="207"/>
      <c r="W504" s="208"/>
      <c r="X504" s="208"/>
      <c r="Y504" s="208"/>
      <c r="Z504" s="208"/>
      <c r="AA504" s="208"/>
      <c r="AB504" s="208"/>
      <c r="AC504" s="208"/>
      <c r="AD504" s="208"/>
      <c r="AE504" s="208"/>
      <c r="AF504" s="208"/>
      <c r="AG504" s="208"/>
      <c r="AH504" s="208"/>
      <c r="AI504" s="100"/>
      <c r="AJ504" s="100"/>
      <c r="AK504" s="100"/>
      <c r="AL504" s="100"/>
      <c r="AM504" s="100"/>
      <c r="AN504" s="100"/>
      <c r="AO504" s="100"/>
    </row>
    <row r="505" ht="14.25" customHeight="1">
      <c r="A505" s="195"/>
      <c r="B505" s="100"/>
      <c r="C505" s="100"/>
      <c r="D505" s="100"/>
      <c r="E505" s="100"/>
      <c r="F505" s="206"/>
      <c r="G505" s="206"/>
      <c r="H505" s="207"/>
      <c r="I505" s="207"/>
      <c r="J505" s="207"/>
      <c r="K505" s="207"/>
      <c r="L505" s="207"/>
      <c r="M505" s="207"/>
      <c r="N505" s="207"/>
      <c r="O505" s="207"/>
      <c r="P505" s="207"/>
      <c r="Q505" s="207"/>
      <c r="R505" s="207"/>
      <c r="S505" s="207"/>
      <c r="T505" s="207"/>
      <c r="U505" s="207"/>
      <c r="V505" s="207"/>
      <c r="W505" s="208"/>
      <c r="X505" s="208"/>
      <c r="Y505" s="208"/>
      <c r="Z505" s="208"/>
      <c r="AA505" s="208"/>
      <c r="AB505" s="208"/>
      <c r="AC505" s="208"/>
      <c r="AD505" s="208"/>
      <c r="AE505" s="208"/>
      <c r="AF505" s="208"/>
      <c r="AG505" s="208"/>
      <c r="AH505" s="208"/>
      <c r="AI505" s="100"/>
      <c r="AJ505" s="100"/>
      <c r="AK505" s="100"/>
      <c r="AL505" s="100"/>
      <c r="AM505" s="100"/>
      <c r="AN505" s="100"/>
      <c r="AO505" s="100"/>
    </row>
    <row r="506" ht="14.25" customHeight="1">
      <c r="A506" s="195"/>
      <c r="B506" s="100"/>
      <c r="C506" s="100"/>
      <c r="D506" s="100"/>
      <c r="E506" s="100"/>
      <c r="F506" s="206"/>
      <c r="G506" s="206"/>
      <c r="H506" s="207"/>
      <c r="I506" s="207"/>
      <c r="J506" s="207"/>
      <c r="K506" s="207"/>
      <c r="L506" s="207"/>
      <c r="M506" s="207"/>
      <c r="N506" s="207"/>
      <c r="O506" s="207"/>
      <c r="P506" s="207"/>
      <c r="Q506" s="207"/>
      <c r="R506" s="207"/>
      <c r="S506" s="207"/>
      <c r="T506" s="207"/>
      <c r="U506" s="207"/>
      <c r="V506" s="207"/>
      <c r="W506" s="208"/>
      <c r="X506" s="208"/>
      <c r="Y506" s="208"/>
      <c r="Z506" s="208"/>
      <c r="AA506" s="208"/>
      <c r="AB506" s="208"/>
      <c r="AC506" s="208"/>
      <c r="AD506" s="208"/>
      <c r="AE506" s="208"/>
      <c r="AF506" s="208"/>
      <c r="AG506" s="208"/>
      <c r="AH506" s="208"/>
      <c r="AI506" s="100"/>
      <c r="AJ506" s="100"/>
      <c r="AK506" s="100"/>
      <c r="AL506" s="100"/>
      <c r="AM506" s="100"/>
      <c r="AN506" s="100"/>
      <c r="AO506" s="100"/>
    </row>
    <row r="507" ht="14.25" customHeight="1">
      <c r="A507" s="195"/>
      <c r="B507" s="100"/>
      <c r="C507" s="100"/>
      <c r="D507" s="100"/>
      <c r="E507" s="100"/>
      <c r="F507" s="206"/>
      <c r="G507" s="206"/>
      <c r="H507" s="207"/>
      <c r="I507" s="207"/>
      <c r="J507" s="207"/>
      <c r="K507" s="207"/>
      <c r="L507" s="207"/>
      <c r="M507" s="207"/>
      <c r="N507" s="207"/>
      <c r="O507" s="207"/>
      <c r="P507" s="207"/>
      <c r="Q507" s="207"/>
      <c r="R507" s="207"/>
      <c r="S507" s="207"/>
      <c r="T507" s="207"/>
      <c r="U507" s="207"/>
      <c r="V507" s="207"/>
      <c r="W507" s="208"/>
      <c r="X507" s="208"/>
      <c r="Y507" s="208"/>
      <c r="Z507" s="208"/>
      <c r="AA507" s="208"/>
      <c r="AB507" s="208"/>
      <c r="AC507" s="208"/>
      <c r="AD507" s="208"/>
      <c r="AE507" s="208"/>
      <c r="AF507" s="208"/>
      <c r="AG507" s="208"/>
      <c r="AH507" s="208"/>
      <c r="AI507" s="100"/>
      <c r="AJ507" s="100"/>
      <c r="AK507" s="100"/>
      <c r="AL507" s="100"/>
      <c r="AM507" s="100"/>
      <c r="AN507" s="100"/>
      <c r="AO507" s="100"/>
    </row>
    <row r="508" ht="14.25" customHeight="1">
      <c r="A508" s="195"/>
      <c r="B508" s="100"/>
      <c r="C508" s="100"/>
      <c r="D508" s="100"/>
      <c r="E508" s="100"/>
      <c r="F508" s="206"/>
      <c r="G508" s="206"/>
      <c r="H508" s="207"/>
      <c r="I508" s="207"/>
      <c r="J508" s="207"/>
      <c r="K508" s="207"/>
      <c r="L508" s="207"/>
      <c r="M508" s="207"/>
      <c r="N508" s="207"/>
      <c r="O508" s="207"/>
      <c r="P508" s="207"/>
      <c r="Q508" s="207"/>
      <c r="R508" s="207"/>
      <c r="S508" s="207"/>
      <c r="T508" s="207"/>
      <c r="U508" s="207"/>
      <c r="V508" s="207"/>
      <c r="W508" s="208"/>
      <c r="X508" s="208"/>
      <c r="Y508" s="208"/>
      <c r="Z508" s="208"/>
      <c r="AA508" s="208"/>
      <c r="AB508" s="208"/>
      <c r="AC508" s="208"/>
      <c r="AD508" s="208"/>
      <c r="AE508" s="208"/>
      <c r="AF508" s="208"/>
      <c r="AG508" s="208"/>
      <c r="AH508" s="208"/>
      <c r="AI508" s="100"/>
      <c r="AJ508" s="100"/>
      <c r="AK508" s="100"/>
      <c r="AL508" s="100"/>
      <c r="AM508" s="100"/>
      <c r="AN508" s="100"/>
      <c r="AO508" s="100"/>
    </row>
    <row r="509" ht="14.25" customHeight="1">
      <c r="A509" s="195"/>
      <c r="B509" s="100"/>
      <c r="C509" s="100"/>
      <c r="D509" s="100"/>
      <c r="E509" s="100"/>
      <c r="F509" s="206"/>
      <c r="G509" s="206"/>
      <c r="H509" s="207"/>
      <c r="I509" s="207"/>
      <c r="J509" s="207"/>
      <c r="K509" s="207"/>
      <c r="L509" s="207"/>
      <c r="M509" s="207"/>
      <c r="N509" s="207"/>
      <c r="O509" s="207"/>
      <c r="P509" s="207"/>
      <c r="Q509" s="207"/>
      <c r="R509" s="207"/>
      <c r="S509" s="207"/>
      <c r="T509" s="207"/>
      <c r="U509" s="207"/>
      <c r="V509" s="207"/>
      <c r="W509" s="208"/>
      <c r="X509" s="208"/>
      <c r="Y509" s="208"/>
      <c r="Z509" s="208"/>
      <c r="AA509" s="208"/>
      <c r="AB509" s="208"/>
      <c r="AC509" s="208"/>
      <c r="AD509" s="208"/>
      <c r="AE509" s="208"/>
      <c r="AF509" s="208"/>
      <c r="AG509" s="208"/>
      <c r="AH509" s="208"/>
      <c r="AI509" s="100"/>
      <c r="AJ509" s="100"/>
      <c r="AK509" s="100"/>
      <c r="AL509" s="100"/>
      <c r="AM509" s="100"/>
      <c r="AN509" s="100"/>
      <c r="AO509" s="100"/>
    </row>
    <row r="510" ht="14.25" customHeight="1">
      <c r="A510" s="195"/>
      <c r="B510" s="100"/>
      <c r="C510" s="100"/>
      <c r="D510" s="100"/>
      <c r="E510" s="100"/>
      <c r="F510" s="206"/>
      <c r="G510" s="206"/>
      <c r="H510" s="207"/>
      <c r="I510" s="207"/>
      <c r="J510" s="207"/>
      <c r="K510" s="207"/>
      <c r="L510" s="207"/>
      <c r="M510" s="207"/>
      <c r="N510" s="207"/>
      <c r="O510" s="207"/>
      <c r="P510" s="207"/>
      <c r="Q510" s="207"/>
      <c r="R510" s="207"/>
      <c r="S510" s="207"/>
      <c r="T510" s="207"/>
      <c r="U510" s="207"/>
      <c r="V510" s="207"/>
      <c r="W510" s="208"/>
      <c r="X510" s="208"/>
      <c r="Y510" s="208"/>
      <c r="Z510" s="208"/>
      <c r="AA510" s="208"/>
      <c r="AB510" s="208"/>
      <c r="AC510" s="208"/>
      <c r="AD510" s="208"/>
      <c r="AE510" s="208"/>
      <c r="AF510" s="208"/>
      <c r="AG510" s="208"/>
      <c r="AH510" s="208"/>
      <c r="AI510" s="100"/>
      <c r="AJ510" s="100"/>
      <c r="AK510" s="100"/>
      <c r="AL510" s="100"/>
      <c r="AM510" s="100"/>
      <c r="AN510" s="100"/>
      <c r="AO510" s="100"/>
    </row>
    <row r="511" ht="14.25" customHeight="1">
      <c r="A511" s="195"/>
      <c r="B511" s="100"/>
      <c r="C511" s="100"/>
      <c r="D511" s="100"/>
      <c r="E511" s="100"/>
      <c r="F511" s="206"/>
      <c r="G511" s="206"/>
      <c r="H511" s="207"/>
      <c r="I511" s="207"/>
      <c r="J511" s="207"/>
      <c r="K511" s="207"/>
      <c r="L511" s="207"/>
      <c r="M511" s="207"/>
      <c r="N511" s="207"/>
      <c r="O511" s="207"/>
      <c r="P511" s="207"/>
      <c r="Q511" s="207"/>
      <c r="R511" s="207"/>
      <c r="S511" s="207"/>
      <c r="T511" s="207"/>
      <c r="U511" s="207"/>
      <c r="V511" s="207"/>
      <c r="W511" s="208"/>
      <c r="X511" s="208"/>
      <c r="Y511" s="208"/>
      <c r="Z511" s="208"/>
      <c r="AA511" s="208"/>
      <c r="AB511" s="208"/>
      <c r="AC511" s="208"/>
      <c r="AD511" s="208"/>
      <c r="AE511" s="208"/>
      <c r="AF511" s="208"/>
      <c r="AG511" s="208"/>
      <c r="AH511" s="208"/>
      <c r="AI511" s="100"/>
      <c r="AJ511" s="100"/>
      <c r="AK511" s="100"/>
      <c r="AL511" s="100"/>
      <c r="AM511" s="100"/>
      <c r="AN511" s="100"/>
      <c r="AO511" s="100"/>
    </row>
    <row r="512" ht="14.25" customHeight="1">
      <c r="A512" s="195"/>
      <c r="B512" s="100"/>
      <c r="C512" s="100"/>
      <c r="D512" s="100"/>
      <c r="E512" s="100"/>
      <c r="F512" s="206"/>
      <c r="G512" s="206"/>
      <c r="H512" s="207"/>
      <c r="I512" s="207"/>
      <c r="J512" s="207"/>
      <c r="K512" s="207"/>
      <c r="L512" s="207"/>
      <c r="M512" s="207"/>
      <c r="N512" s="207"/>
      <c r="O512" s="207"/>
      <c r="P512" s="207"/>
      <c r="Q512" s="207"/>
      <c r="R512" s="207"/>
      <c r="S512" s="207"/>
      <c r="T512" s="207"/>
      <c r="U512" s="207"/>
      <c r="V512" s="207"/>
      <c r="W512" s="208"/>
      <c r="X512" s="208"/>
      <c r="Y512" s="208"/>
      <c r="Z512" s="208"/>
      <c r="AA512" s="208"/>
      <c r="AB512" s="208"/>
      <c r="AC512" s="208"/>
      <c r="AD512" s="208"/>
      <c r="AE512" s="208"/>
      <c r="AF512" s="208"/>
      <c r="AG512" s="208"/>
      <c r="AH512" s="208"/>
      <c r="AI512" s="100"/>
      <c r="AJ512" s="100"/>
      <c r="AK512" s="100"/>
      <c r="AL512" s="100"/>
      <c r="AM512" s="100"/>
      <c r="AN512" s="100"/>
      <c r="AO512" s="100"/>
    </row>
    <row r="513" ht="14.25" customHeight="1">
      <c r="A513" s="195"/>
      <c r="B513" s="100"/>
      <c r="C513" s="100"/>
      <c r="D513" s="100"/>
      <c r="E513" s="100"/>
      <c r="F513" s="206"/>
      <c r="G513" s="206"/>
      <c r="H513" s="207"/>
      <c r="I513" s="207"/>
      <c r="J513" s="207"/>
      <c r="K513" s="207"/>
      <c r="L513" s="207"/>
      <c r="M513" s="207"/>
      <c r="N513" s="207"/>
      <c r="O513" s="207"/>
      <c r="P513" s="207"/>
      <c r="Q513" s="207"/>
      <c r="R513" s="207"/>
      <c r="S513" s="207"/>
      <c r="T513" s="207"/>
      <c r="U513" s="207"/>
      <c r="V513" s="207"/>
      <c r="W513" s="208"/>
      <c r="X513" s="208"/>
      <c r="Y513" s="208"/>
      <c r="Z513" s="208"/>
      <c r="AA513" s="208"/>
      <c r="AB513" s="208"/>
      <c r="AC513" s="208"/>
      <c r="AD513" s="208"/>
      <c r="AE513" s="208"/>
      <c r="AF513" s="208"/>
      <c r="AG513" s="208"/>
      <c r="AH513" s="208"/>
      <c r="AI513" s="100"/>
      <c r="AJ513" s="100"/>
      <c r="AK513" s="100"/>
      <c r="AL513" s="100"/>
      <c r="AM513" s="100"/>
      <c r="AN513" s="100"/>
      <c r="AO513" s="100"/>
    </row>
    <row r="514" ht="14.25" customHeight="1">
      <c r="A514" s="195"/>
      <c r="B514" s="100"/>
      <c r="C514" s="100"/>
      <c r="D514" s="100"/>
      <c r="E514" s="100"/>
      <c r="F514" s="206"/>
      <c r="G514" s="206"/>
      <c r="H514" s="207"/>
      <c r="I514" s="207"/>
      <c r="J514" s="207"/>
      <c r="K514" s="207"/>
      <c r="L514" s="207"/>
      <c r="M514" s="207"/>
      <c r="N514" s="207"/>
      <c r="O514" s="207"/>
      <c r="P514" s="207"/>
      <c r="Q514" s="207"/>
      <c r="R514" s="207"/>
      <c r="S514" s="207"/>
      <c r="T514" s="207"/>
      <c r="U514" s="207"/>
      <c r="V514" s="207"/>
      <c r="W514" s="208"/>
      <c r="X514" s="208"/>
      <c r="Y514" s="208"/>
      <c r="Z514" s="208"/>
      <c r="AA514" s="208"/>
      <c r="AB514" s="208"/>
      <c r="AC514" s="208"/>
      <c r="AD514" s="208"/>
      <c r="AE514" s="208"/>
      <c r="AF514" s="208"/>
      <c r="AG514" s="208"/>
      <c r="AH514" s="208"/>
      <c r="AI514" s="100"/>
      <c r="AJ514" s="100"/>
      <c r="AK514" s="100"/>
      <c r="AL514" s="100"/>
      <c r="AM514" s="100"/>
      <c r="AN514" s="100"/>
      <c r="AO514" s="100"/>
    </row>
    <row r="515" ht="14.25" customHeight="1">
      <c r="A515" s="195"/>
      <c r="B515" s="100"/>
      <c r="C515" s="100"/>
      <c r="D515" s="100"/>
      <c r="E515" s="100"/>
      <c r="F515" s="206"/>
      <c r="G515" s="206"/>
      <c r="H515" s="207"/>
      <c r="I515" s="207"/>
      <c r="J515" s="207"/>
      <c r="K515" s="207"/>
      <c r="L515" s="207"/>
      <c r="M515" s="207"/>
      <c r="N515" s="207"/>
      <c r="O515" s="207"/>
      <c r="P515" s="207"/>
      <c r="Q515" s="207"/>
      <c r="R515" s="207"/>
      <c r="S515" s="207"/>
      <c r="T515" s="207"/>
      <c r="U515" s="207"/>
      <c r="V515" s="207"/>
      <c r="W515" s="208"/>
      <c r="X515" s="208"/>
      <c r="Y515" s="208"/>
      <c r="Z515" s="208"/>
      <c r="AA515" s="208"/>
      <c r="AB515" s="208"/>
      <c r="AC515" s="208"/>
      <c r="AD515" s="208"/>
      <c r="AE515" s="208"/>
      <c r="AF515" s="208"/>
      <c r="AG515" s="208"/>
      <c r="AH515" s="208"/>
      <c r="AI515" s="100"/>
      <c r="AJ515" s="100"/>
      <c r="AK515" s="100"/>
      <c r="AL515" s="100"/>
      <c r="AM515" s="100"/>
      <c r="AN515" s="100"/>
      <c r="AO515" s="100"/>
    </row>
    <row r="516" ht="14.25" customHeight="1">
      <c r="A516" s="195"/>
      <c r="B516" s="100"/>
      <c r="C516" s="100"/>
      <c r="D516" s="100"/>
      <c r="E516" s="100"/>
      <c r="F516" s="206"/>
      <c r="G516" s="206"/>
      <c r="H516" s="207"/>
      <c r="I516" s="207"/>
      <c r="J516" s="207"/>
      <c r="K516" s="207"/>
      <c r="L516" s="207"/>
      <c r="M516" s="207"/>
      <c r="N516" s="207"/>
      <c r="O516" s="207"/>
      <c r="P516" s="207"/>
      <c r="Q516" s="207"/>
      <c r="R516" s="207"/>
      <c r="S516" s="207"/>
      <c r="T516" s="207"/>
      <c r="U516" s="207"/>
      <c r="V516" s="207"/>
      <c r="W516" s="208"/>
      <c r="X516" s="208"/>
      <c r="Y516" s="208"/>
      <c r="Z516" s="208"/>
      <c r="AA516" s="208"/>
      <c r="AB516" s="208"/>
      <c r="AC516" s="208"/>
      <c r="AD516" s="208"/>
      <c r="AE516" s="208"/>
      <c r="AF516" s="208"/>
      <c r="AG516" s="208"/>
      <c r="AH516" s="208"/>
      <c r="AI516" s="100"/>
      <c r="AJ516" s="100"/>
      <c r="AK516" s="100"/>
      <c r="AL516" s="100"/>
      <c r="AM516" s="100"/>
      <c r="AN516" s="100"/>
      <c r="AO516" s="100"/>
    </row>
    <row r="517" ht="14.25" customHeight="1">
      <c r="A517" s="195"/>
      <c r="B517" s="100"/>
      <c r="C517" s="100"/>
      <c r="D517" s="100"/>
      <c r="E517" s="100"/>
      <c r="F517" s="206"/>
      <c r="G517" s="206"/>
      <c r="H517" s="207"/>
      <c r="I517" s="207"/>
      <c r="J517" s="207"/>
      <c r="K517" s="207"/>
      <c r="L517" s="207"/>
      <c r="M517" s="207"/>
      <c r="N517" s="207"/>
      <c r="O517" s="207"/>
      <c r="P517" s="207"/>
      <c r="Q517" s="207"/>
      <c r="R517" s="207"/>
      <c r="S517" s="207"/>
      <c r="T517" s="207"/>
      <c r="U517" s="207"/>
      <c r="V517" s="207"/>
      <c r="W517" s="208"/>
      <c r="X517" s="208"/>
      <c r="Y517" s="208"/>
      <c r="Z517" s="208"/>
      <c r="AA517" s="208"/>
      <c r="AB517" s="208"/>
      <c r="AC517" s="208"/>
      <c r="AD517" s="208"/>
      <c r="AE517" s="208"/>
      <c r="AF517" s="208"/>
      <c r="AG517" s="208"/>
      <c r="AH517" s="208"/>
      <c r="AI517" s="100"/>
      <c r="AJ517" s="100"/>
      <c r="AK517" s="100"/>
      <c r="AL517" s="100"/>
      <c r="AM517" s="100"/>
      <c r="AN517" s="100"/>
      <c r="AO517" s="100"/>
    </row>
    <row r="518" ht="14.25" customHeight="1">
      <c r="A518" s="195"/>
      <c r="B518" s="100"/>
      <c r="C518" s="100"/>
      <c r="D518" s="100"/>
      <c r="E518" s="100"/>
      <c r="F518" s="206"/>
      <c r="G518" s="206"/>
      <c r="H518" s="207"/>
      <c r="I518" s="207"/>
      <c r="J518" s="207"/>
      <c r="K518" s="207"/>
      <c r="L518" s="207"/>
      <c r="M518" s="207"/>
      <c r="N518" s="207"/>
      <c r="O518" s="207"/>
      <c r="P518" s="207"/>
      <c r="Q518" s="207"/>
      <c r="R518" s="207"/>
      <c r="S518" s="207"/>
      <c r="T518" s="207"/>
      <c r="U518" s="207"/>
      <c r="V518" s="207"/>
      <c r="W518" s="208"/>
      <c r="X518" s="208"/>
      <c r="Y518" s="208"/>
      <c r="Z518" s="208"/>
      <c r="AA518" s="208"/>
      <c r="AB518" s="208"/>
      <c r="AC518" s="208"/>
      <c r="AD518" s="208"/>
      <c r="AE518" s="208"/>
      <c r="AF518" s="208"/>
      <c r="AG518" s="208"/>
      <c r="AH518" s="208"/>
      <c r="AI518" s="100"/>
      <c r="AJ518" s="100"/>
      <c r="AK518" s="100"/>
      <c r="AL518" s="100"/>
      <c r="AM518" s="100"/>
      <c r="AN518" s="100"/>
      <c r="AO518" s="100"/>
    </row>
    <row r="519" ht="14.25" customHeight="1">
      <c r="A519" s="195"/>
      <c r="B519" s="100"/>
      <c r="C519" s="100"/>
      <c r="D519" s="100"/>
      <c r="E519" s="100"/>
      <c r="F519" s="206"/>
      <c r="G519" s="206"/>
      <c r="H519" s="207"/>
      <c r="I519" s="207"/>
      <c r="J519" s="207"/>
      <c r="K519" s="207"/>
      <c r="L519" s="207"/>
      <c r="M519" s="207"/>
      <c r="N519" s="207"/>
      <c r="O519" s="207"/>
      <c r="P519" s="207"/>
      <c r="Q519" s="207"/>
      <c r="R519" s="207"/>
      <c r="S519" s="207"/>
      <c r="T519" s="207"/>
      <c r="U519" s="207"/>
      <c r="V519" s="207"/>
      <c r="W519" s="208"/>
      <c r="X519" s="208"/>
      <c r="Y519" s="208"/>
      <c r="Z519" s="208"/>
      <c r="AA519" s="208"/>
      <c r="AB519" s="208"/>
      <c r="AC519" s="208"/>
      <c r="AD519" s="208"/>
      <c r="AE519" s="208"/>
      <c r="AF519" s="208"/>
      <c r="AG519" s="208"/>
      <c r="AH519" s="208"/>
      <c r="AI519" s="100"/>
      <c r="AJ519" s="100"/>
      <c r="AK519" s="100"/>
      <c r="AL519" s="100"/>
      <c r="AM519" s="100"/>
      <c r="AN519" s="100"/>
      <c r="AO519" s="100"/>
    </row>
    <row r="520" ht="14.25" customHeight="1">
      <c r="A520" s="195"/>
      <c r="B520" s="100"/>
      <c r="C520" s="100"/>
      <c r="D520" s="100"/>
      <c r="E520" s="100"/>
      <c r="F520" s="206"/>
      <c r="G520" s="206"/>
      <c r="H520" s="207"/>
      <c r="I520" s="207"/>
      <c r="J520" s="207"/>
      <c r="K520" s="207"/>
      <c r="L520" s="207"/>
      <c r="M520" s="207"/>
      <c r="N520" s="207"/>
      <c r="O520" s="207"/>
      <c r="P520" s="207"/>
      <c r="Q520" s="207"/>
      <c r="R520" s="207"/>
      <c r="S520" s="207"/>
      <c r="T520" s="207"/>
      <c r="U520" s="207"/>
      <c r="V520" s="207"/>
      <c r="W520" s="208"/>
      <c r="X520" s="208"/>
      <c r="Y520" s="208"/>
      <c r="Z520" s="208"/>
      <c r="AA520" s="208"/>
      <c r="AB520" s="208"/>
      <c r="AC520" s="208"/>
      <c r="AD520" s="208"/>
      <c r="AE520" s="208"/>
      <c r="AF520" s="208"/>
      <c r="AG520" s="208"/>
      <c r="AH520" s="208"/>
      <c r="AI520" s="100"/>
      <c r="AJ520" s="100"/>
      <c r="AK520" s="100"/>
      <c r="AL520" s="100"/>
      <c r="AM520" s="100"/>
      <c r="AN520" s="100"/>
      <c r="AO520" s="100"/>
    </row>
    <row r="521" ht="14.25" customHeight="1">
      <c r="A521" s="195"/>
      <c r="B521" s="100"/>
      <c r="C521" s="100"/>
      <c r="D521" s="100"/>
      <c r="E521" s="100"/>
      <c r="F521" s="206"/>
      <c r="G521" s="206"/>
      <c r="H521" s="207"/>
      <c r="I521" s="207"/>
      <c r="J521" s="207"/>
      <c r="K521" s="207"/>
      <c r="L521" s="207"/>
      <c r="M521" s="207"/>
      <c r="N521" s="207"/>
      <c r="O521" s="207"/>
      <c r="P521" s="207"/>
      <c r="Q521" s="207"/>
      <c r="R521" s="207"/>
      <c r="S521" s="207"/>
      <c r="T521" s="207"/>
      <c r="U521" s="207"/>
      <c r="V521" s="207"/>
      <c r="W521" s="208"/>
      <c r="X521" s="208"/>
      <c r="Y521" s="208"/>
      <c r="Z521" s="208"/>
      <c r="AA521" s="208"/>
      <c r="AB521" s="208"/>
      <c r="AC521" s="208"/>
      <c r="AD521" s="208"/>
      <c r="AE521" s="208"/>
      <c r="AF521" s="208"/>
      <c r="AG521" s="208"/>
      <c r="AH521" s="208"/>
      <c r="AI521" s="100"/>
      <c r="AJ521" s="100"/>
      <c r="AK521" s="100"/>
      <c r="AL521" s="100"/>
      <c r="AM521" s="100"/>
      <c r="AN521" s="100"/>
      <c r="AO521" s="100"/>
    </row>
    <row r="522" ht="14.25" customHeight="1">
      <c r="A522" s="195"/>
      <c r="B522" s="100"/>
      <c r="C522" s="100"/>
      <c r="D522" s="100"/>
      <c r="E522" s="100"/>
      <c r="F522" s="206"/>
      <c r="G522" s="206"/>
      <c r="H522" s="207"/>
      <c r="I522" s="207"/>
      <c r="J522" s="207"/>
      <c r="K522" s="207"/>
      <c r="L522" s="207"/>
      <c r="M522" s="207"/>
      <c r="N522" s="207"/>
      <c r="O522" s="207"/>
      <c r="P522" s="207"/>
      <c r="Q522" s="207"/>
      <c r="R522" s="207"/>
      <c r="S522" s="207"/>
      <c r="T522" s="207"/>
      <c r="U522" s="207"/>
      <c r="V522" s="207"/>
      <c r="W522" s="208"/>
      <c r="X522" s="208"/>
      <c r="Y522" s="208"/>
      <c r="Z522" s="208"/>
      <c r="AA522" s="208"/>
      <c r="AB522" s="208"/>
      <c r="AC522" s="208"/>
      <c r="AD522" s="208"/>
      <c r="AE522" s="208"/>
      <c r="AF522" s="208"/>
      <c r="AG522" s="208"/>
      <c r="AH522" s="208"/>
      <c r="AI522" s="100"/>
      <c r="AJ522" s="100"/>
      <c r="AK522" s="100"/>
      <c r="AL522" s="100"/>
      <c r="AM522" s="100"/>
      <c r="AN522" s="100"/>
      <c r="AO522" s="100"/>
    </row>
    <row r="523" ht="14.25" customHeight="1">
      <c r="A523" s="195"/>
      <c r="B523" s="100"/>
      <c r="C523" s="100"/>
      <c r="D523" s="100"/>
      <c r="E523" s="100"/>
      <c r="F523" s="206"/>
      <c r="G523" s="206"/>
      <c r="H523" s="207"/>
      <c r="I523" s="207"/>
      <c r="J523" s="207"/>
      <c r="K523" s="207"/>
      <c r="L523" s="207"/>
      <c r="M523" s="207"/>
      <c r="N523" s="207"/>
      <c r="O523" s="207"/>
      <c r="P523" s="207"/>
      <c r="Q523" s="207"/>
      <c r="R523" s="207"/>
      <c r="S523" s="207"/>
      <c r="T523" s="207"/>
      <c r="U523" s="207"/>
      <c r="V523" s="207"/>
      <c r="W523" s="208"/>
      <c r="X523" s="208"/>
      <c r="Y523" s="208"/>
      <c r="Z523" s="208"/>
      <c r="AA523" s="208"/>
      <c r="AB523" s="208"/>
      <c r="AC523" s="208"/>
      <c r="AD523" s="208"/>
      <c r="AE523" s="208"/>
      <c r="AF523" s="208"/>
      <c r="AG523" s="208"/>
      <c r="AH523" s="208"/>
      <c r="AI523" s="100"/>
      <c r="AJ523" s="100"/>
      <c r="AK523" s="100"/>
      <c r="AL523" s="100"/>
      <c r="AM523" s="100"/>
      <c r="AN523" s="100"/>
      <c r="AO523" s="100"/>
    </row>
    <row r="524" ht="14.25" customHeight="1">
      <c r="A524" s="195"/>
      <c r="B524" s="100"/>
      <c r="C524" s="100"/>
      <c r="D524" s="100"/>
      <c r="E524" s="100"/>
      <c r="F524" s="206"/>
      <c r="G524" s="206"/>
      <c r="H524" s="207"/>
      <c r="I524" s="207"/>
      <c r="J524" s="207"/>
      <c r="K524" s="207"/>
      <c r="L524" s="207"/>
      <c r="M524" s="207"/>
      <c r="N524" s="207"/>
      <c r="O524" s="207"/>
      <c r="P524" s="207"/>
      <c r="Q524" s="207"/>
      <c r="R524" s="207"/>
      <c r="S524" s="207"/>
      <c r="T524" s="207"/>
      <c r="U524" s="207"/>
      <c r="V524" s="207"/>
      <c r="W524" s="208"/>
      <c r="X524" s="208"/>
      <c r="Y524" s="208"/>
      <c r="Z524" s="208"/>
      <c r="AA524" s="208"/>
      <c r="AB524" s="208"/>
      <c r="AC524" s="208"/>
      <c r="AD524" s="208"/>
      <c r="AE524" s="208"/>
      <c r="AF524" s="208"/>
      <c r="AG524" s="208"/>
      <c r="AH524" s="208"/>
      <c r="AI524" s="100"/>
      <c r="AJ524" s="100"/>
      <c r="AK524" s="100"/>
      <c r="AL524" s="100"/>
      <c r="AM524" s="100"/>
      <c r="AN524" s="100"/>
      <c r="AO524" s="100"/>
    </row>
    <row r="525" ht="14.25" customHeight="1">
      <c r="A525" s="195"/>
      <c r="B525" s="100"/>
      <c r="C525" s="100"/>
      <c r="D525" s="100"/>
      <c r="E525" s="100"/>
      <c r="F525" s="206"/>
      <c r="G525" s="206"/>
      <c r="H525" s="207"/>
      <c r="I525" s="207"/>
      <c r="J525" s="207"/>
      <c r="K525" s="207"/>
      <c r="L525" s="207"/>
      <c r="M525" s="207"/>
      <c r="N525" s="207"/>
      <c r="O525" s="207"/>
      <c r="P525" s="207"/>
      <c r="Q525" s="207"/>
      <c r="R525" s="207"/>
      <c r="S525" s="207"/>
      <c r="T525" s="207"/>
      <c r="U525" s="207"/>
      <c r="V525" s="207"/>
      <c r="W525" s="208"/>
      <c r="X525" s="208"/>
      <c r="Y525" s="208"/>
      <c r="Z525" s="208"/>
      <c r="AA525" s="208"/>
      <c r="AB525" s="208"/>
      <c r="AC525" s="208"/>
      <c r="AD525" s="208"/>
      <c r="AE525" s="208"/>
      <c r="AF525" s="208"/>
      <c r="AG525" s="208"/>
      <c r="AH525" s="208"/>
      <c r="AI525" s="100"/>
      <c r="AJ525" s="100"/>
      <c r="AK525" s="100"/>
      <c r="AL525" s="100"/>
      <c r="AM525" s="100"/>
      <c r="AN525" s="100"/>
      <c r="AO525" s="100"/>
    </row>
    <row r="526" ht="14.25" customHeight="1">
      <c r="A526" s="195"/>
      <c r="B526" s="100"/>
      <c r="C526" s="100"/>
      <c r="D526" s="100"/>
      <c r="E526" s="100"/>
      <c r="F526" s="206"/>
      <c r="G526" s="206"/>
      <c r="H526" s="207"/>
      <c r="I526" s="207"/>
      <c r="J526" s="207"/>
      <c r="K526" s="207"/>
      <c r="L526" s="207"/>
      <c r="M526" s="207"/>
      <c r="N526" s="207"/>
      <c r="O526" s="207"/>
      <c r="P526" s="207"/>
      <c r="Q526" s="207"/>
      <c r="R526" s="207"/>
      <c r="S526" s="207"/>
      <c r="T526" s="207"/>
      <c r="U526" s="207"/>
      <c r="V526" s="207"/>
      <c r="W526" s="208"/>
      <c r="X526" s="208"/>
      <c r="Y526" s="208"/>
      <c r="Z526" s="208"/>
      <c r="AA526" s="208"/>
      <c r="AB526" s="208"/>
      <c r="AC526" s="208"/>
      <c r="AD526" s="208"/>
      <c r="AE526" s="208"/>
      <c r="AF526" s="208"/>
      <c r="AG526" s="208"/>
      <c r="AH526" s="208"/>
      <c r="AI526" s="100"/>
      <c r="AJ526" s="100"/>
      <c r="AK526" s="100"/>
      <c r="AL526" s="100"/>
      <c r="AM526" s="100"/>
      <c r="AN526" s="100"/>
      <c r="AO526" s="100"/>
    </row>
    <row r="527" ht="14.25" customHeight="1">
      <c r="A527" s="195"/>
      <c r="B527" s="100"/>
      <c r="C527" s="100"/>
      <c r="D527" s="100"/>
      <c r="E527" s="100"/>
      <c r="F527" s="206"/>
      <c r="G527" s="206"/>
      <c r="H527" s="207"/>
      <c r="I527" s="207"/>
      <c r="J527" s="207"/>
      <c r="K527" s="207"/>
      <c r="L527" s="207"/>
      <c r="M527" s="207"/>
      <c r="N527" s="207"/>
      <c r="O527" s="207"/>
      <c r="P527" s="207"/>
      <c r="Q527" s="207"/>
      <c r="R527" s="207"/>
      <c r="S527" s="207"/>
      <c r="T527" s="207"/>
      <c r="U527" s="207"/>
      <c r="V527" s="207"/>
      <c r="W527" s="208"/>
      <c r="X527" s="208"/>
      <c r="Y527" s="208"/>
      <c r="Z527" s="208"/>
      <c r="AA527" s="208"/>
      <c r="AB527" s="208"/>
      <c r="AC527" s="208"/>
      <c r="AD527" s="208"/>
      <c r="AE527" s="208"/>
      <c r="AF527" s="208"/>
      <c r="AG527" s="208"/>
      <c r="AH527" s="208"/>
      <c r="AI527" s="100"/>
      <c r="AJ527" s="100"/>
      <c r="AK527" s="100"/>
      <c r="AL527" s="100"/>
      <c r="AM527" s="100"/>
      <c r="AN527" s="100"/>
      <c r="AO527" s="100"/>
    </row>
    <row r="528" ht="14.25" customHeight="1">
      <c r="A528" s="195"/>
      <c r="B528" s="100"/>
      <c r="C528" s="100"/>
      <c r="D528" s="100"/>
      <c r="E528" s="100"/>
      <c r="F528" s="206"/>
      <c r="G528" s="206"/>
      <c r="H528" s="207"/>
      <c r="I528" s="207"/>
      <c r="J528" s="207"/>
      <c r="K528" s="207"/>
      <c r="L528" s="207"/>
      <c r="M528" s="207"/>
      <c r="N528" s="207"/>
      <c r="O528" s="207"/>
      <c r="P528" s="207"/>
      <c r="Q528" s="207"/>
      <c r="R528" s="207"/>
      <c r="S528" s="207"/>
      <c r="T528" s="207"/>
      <c r="U528" s="207"/>
      <c r="V528" s="207"/>
      <c r="W528" s="208"/>
      <c r="X528" s="208"/>
      <c r="Y528" s="208"/>
      <c r="Z528" s="208"/>
      <c r="AA528" s="208"/>
      <c r="AB528" s="208"/>
      <c r="AC528" s="208"/>
      <c r="AD528" s="208"/>
      <c r="AE528" s="208"/>
      <c r="AF528" s="208"/>
      <c r="AG528" s="208"/>
      <c r="AH528" s="208"/>
      <c r="AI528" s="100"/>
      <c r="AJ528" s="100"/>
      <c r="AK528" s="100"/>
      <c r="AL528" s="100"/>
      <c r="AM528" s="100"/>
      <c r="AN528" s="100"/>
      <c r="AO528" s="100"/>
    </row>
    <row r="529" ht="14.25" customHeight="1">
      <c r="A529" s="195"/>
      <c r="B529" s="100"/>
      <c r="C529" s="100"/>
      <c r="D529" s="100"/>
      <c r="E529" s="100"/>
      <c r="F529" s="206"/>
      <c r="G529" s="206"/>
      <c r="H529" s="207"/>
      <c r="I529" s="207"/>
      <c r="J529" s="207"/>
      <c r="K529" s="207"/>
      <c r="L529" s="207"/>
      <c r="M529" s="207"/>
      <c r="N529" s="207"/>
      <c r="O529" s="207"/>
      <c r="P529" s="207"/>
      <c r="Q529" s="207"/>
      <c r="R529" s="207"/>
      <c r="S529" s="207"/>
      <c r="T529" s="207"/>
      <c r="U529" s="207"/>
      <c r="V529" s="207"/>
      <c r="W529" s="208"/>
      <c r="X529" s="208"/>
      <c r="Y529" s="208"/>
      <c r="Z529" s="208"/>
      <c r="AA529" s="208"/>
      <c r="AB529" s="208"/>
      <c r="AC529" s="208"/>
      <c r="AD529" s="208"/>
      <c r="AE529" s="208"/>
      <c r="AF529" s="208"/>
      <c r="AG529" s="208"/>
      <c r="AH529" s="208"/>
      <c r="AI529" s="100"/>
      <c r="AJ529" s="100"/>
      <c r="AK529" s="100"/>
      <c r="AL529" s="100"/>
      <c r="AM529" s="100"/>
      <c r="AN529" s="100"/>
      <c r="AO529" s="100"/>
    </row>
    <row r="530" ht="14.25" customHeight="1">
      <c r="A530" s="195"/>
      <c r="B530" s="100"/>
      <c r="C530" s="100"/>
      <c r="D530" s="100"/>
      <c r="E530" s="100"/>
      <c r="F530" s="206"/>
      <c r="G530" s="206"/>
      <c r="H530" s="207"/>
      <c r="I530" s="207"/>
      <c r="J530" s="207"/>
      <c r="K530" s="207"/>
      <c r="L530" s="207"/>
      <c r="M530" s="207"/>
      <c r="N530" s="207"/>
      <c r="O530" s="207"/>
      <c r="P530" s="207"/>
      <c r="Q530" s="207"/>
      <c r="R530" s="207"/>
      <c r="S530" s="207"/>
      <c r="T530" s="207"/>
      <c r="U530" s="207"/>
      <c r="V530" s="207"/>
      <c r="W530" s="208"/>
      <c r="X530" s="208"/>
      <c r="Y530" s="208"/>
      <c r="Z530" s="208"/>
      <c r="AA530" s="208"/>
      <c r="AB530" s="208"/>
      <c r="AC530" s="208"/>
      <c r="AD530" s="208"/>
      <c r="AE530" s="208"/>
      <c r="AF530" s="208"/>
      <c r="AG530" s="208"/>
      <c r="AH530" s="208"/>
      <c r="AI530" s="100"/>
      <c r="AJ530" s="100"/>
      <c r="AK530" s="100"/>
      <c r="AL530" s="100"/>
      <c r="AM530" s="100"/>
      <c r="AN530" s="100"/>
      <c r="AO530" s="100"/>
    </row>
    <row r="531" ht="14.25" customHeight="1">
      <c r="A531" s="195"/>
      <c r="B531" s="100"/>
      <c r="C531" s="100"/>
      <c r="D531" s="100"/>
      <c r="E531" s="100"/>
      <c r="F531" s="206"/>
      <c r="G531" s="206"/>
      <c r="H531" s="207"/>
      <c r="I531" s="207"/>
      <c r="J531" s="207"/>
      <c r="K531" s="207"/>
      <c r="L531" s="207"/>
      <c r="M531" s="207"/>
      <c r="N531" s="207"/>
      <c r="O531" s="207"/>
      <c r="P531" s="207"/>
      <c r="Q531" s="207"/>
      <c r="R531" s="207"/>
      <c r="S531" s="207"/>
      <c r="T531" s="207"/>
      <c r="U531" s="207"/>
      <c r="V531" s="207"/>
      <c r="W531" s="208"/>
      <c r="X531" s="208"/>
      <c r="Y531" s="208"/>
      <c r="Z531" s="208"/>
      <c r="AA531" s="208"/>
      <c r="AB531" s="208"/>
      <c r="AC531" s="208"/>
      <c r="AD531" s="208"/>
      <c r="AE531" s="208"/>
      <c r="AF531" s="208"/>
      <c r="AG531" s="208"/>
      <c r="AH531" s="208"/>
      <c r="AI531" s="100"/>
      <c r="AJ531" s="100"/>
      <c r="AK531" s="100"/>
      <c r="AL531" s="100"/>
      <c r="AM531" s="100"/>
      <c r="AN531" s="100"/>
      <c r="AO531" s="100"/>
    </row>
    <row r="532" ht="14.25" customHeight="1">
      <c r="A532" s="195"/>
      <c r="B532" s="100"/>
      <c r="C532" s="100"/>
      <c r="D532" s="100"/>
      <c r="E532" s="100"/>
      <c r="F532" s="206"/>
      <c r="G532" s="206"/>
      <c r="H532" s="207"/>
      <c r="I532" s="207"/>
      <c r="J532" s="207"/>
      <c r="K532" s="207"/>
      <c r="L532" s="207"/>
      <c r="M532" s="207"/>
      <c r="N532" s="207"/>
      <c r="O532" s="207"/>
      <c r="P532" s="207"/>
      <c r="Q532" s="207"/>
      <c r="R532" s="207"/>
      <c r="S532" s="207"/>
      <c r="T532" s="207"/>
      <c r="U532" s="207"/>
      <c r="V532" s="207"/>
      <c r="W532" s="208"/>
      <c r="X532" s="208"/>
      <c r="Y532" s="208"/>
      <c r="Z532" s="208"/>
      <c r="AA532" s="208"/>
      <c r="AB532" s="208"/>
      <c r="AC532" s="208"/>
      <c r="AD532" s="208"/>
      <c r="AE532" s="208"/>
      <c r="AF532" s="208"/>
      <c r="AG532" s="208"/>
      <c r="AH532" s="208"/>
      <c r="AI532" s="100"/>
      <c r="AJ532" s="100"/>
      <c r="AK532" s="100"/>
      <c r="AL532" s="100"/>
      <c r="AM532" s="100"/>
      <c r="AN532" s="100"/>
      <c r="AO532" s="100"/>
    </row>
    <row r="533" ht="14.25" customHeight="1">
      <c r="A533" s="195"/>
      <c r="B533" s="100"/>
      <c r="C533" s="100"/>
      <c r="D533" s="100"/>
      <c r="E533" s="100"/>
      <c r="F533" s="206"/>
      <c r="G533" s="206"/>
      <c r="H533" s="207"/>
      <c r="I533" s="207"/>
      <c r="J533" s="207"/>
      <c r="K533" s="207"/>
      <c r="L533" s="207"/>
      <c r="M533" s="207"/>
      <c r="N533" s="207"/>
      <c r="O533" s="207"/>
      <c r="P533" s="207"/>
      <c r="Q533" s="207"/>
      <c r="R533" s="207"/>
      <c r="S533" s="207"/>
      <c r="T533" s="207"/>
      <c r="U533" s="207"/>
      <c r="V533" s="207"/>
      <c r="W533" s="208"/>
      <c r="X533" s="208"/>
      <c r="Y533" s="208"/>
      <c r="Z533" s="208"/>
      <c r="AA533" s="208"/>
      <c r="AB533" s="208"/>
      <c r="AC533" s="208"/>
      <c r="AD533" s="208"/>
      <c r="AE533" s="208"/>
      <c r="AF533" s="208"/>
      <c r="AG533" s="208"/>
      <c r="AH533" s="208"/>
      <c r="AI533" s="100"/>
      <c r="AJ533" s="100"/>
      <c r="AK533" s="100"/>
      <c r="AL533" s="100"/>
      <c r="AM533" s="100"/>
      <c r="AN533" s="100"/>
      <c r="AO533" s="100"/>
    </row>
    <row r="534" ht="14.25" customHeight="1">
      <c r="A534" s="195"/>
      <c r="B534" s="100"/>
      <c r="C534" s="100"/>
      <c r="D534" s="100"/>
      <c r="E534" s="100"/>
      <c r="F534" s="206"/>
      <c r="G534" s="206"/>
      <c r="H534" s="207"/>
      <c r="I534" s="207"/>
      <c r="J534" s="207"/>
      <c r="K534" s="207"/>
      <c r="L534" s="207"/>
      <c r="M534" s="207"/>
      <c r="N534" s="207"/>
      <c r="O534" s="207"/>
      <c r="P534" s="207"/>
      <c r="Q534" s="207"/>
      <c r="R534" s="207"/>
      <c r="S534" s="207"/>
      <c r="T534" s="207"/>
      <c r="U534" s="207"/>
      <c r="V534" s="207"/>
      <c r="W534" s="208"/>
      <c r="X534" s="208"/>
      <c r="Y534" s="208"/>
      <c r="Z534" s="208"/>
      <c r="AA534" s="208"/>
      <c r="AB534" s="208"/>
      <c r="AC534" s="208"/>
      <c r="AD534" s="208"/>
      <c r="AE534" s="208"/>
      <c r="AF534" s="208"/>
      <c r="AG534" s="208"/>
      <c r="AH534" s="208"/>
      <c r="AI534" s="100"/>
      <c r="AJ534" s="100"/>
      <c r="AK534" s="100"/>
      <c r="AL534" s="100"/>
      <c r="AM534" s="100"/>
      <c r="AN534" s="100"/>
      <c r="AO534" s="100"/>
    </row>
    <row r="535" ht="14.25" customHeight="1">
      <c r="A535" s="195"/>
      <c r="B535" s="100"/>
      <c r="C535" s="100"/>
      <c r="D535" s="100"/>
      <c r="E535" s="100"/>
      <c r="F535" s="206"/>
      <c r="G535" s="206"/>
      <c r="H535" s="207"/>
      <c r="I535" s="207"/>
      <c r="J535" s="207"/>
      <c r="K535" s="207"/>
      <c r="L535" s="207"/>
      <c r="M535" s="207"/>
      <c r="N535" s="207"/>
      <c r="O535" s="207"/>
      <c r="P535" s="207"/>
      <c r="Q535" s="207"/>
      <c r="R535" s="207"/>
      <c r="S535" s="207"/>
      <c r="T535" s="207"/>
      <c r="U535" s="207"/>
      <c r="V535" s="207"/>
      <c r="W535" s="208"/>
      <c r="X535" s="208"/>
      <c r="Y535" s="208"/>
      <c r="Z535" s="208"/>
      <c r="AA535" s="208"/>
      <c r="AB535" s="208"/>
      <c r="AC535" s="208"/>
      <c r="AD535" s="208"/>
      <c r="AE535" s="208"/>
      <c r="AF535" s="208"/>
      <c r="AG535" s="208"/>
      <c r="AH535" s="208"/>
      <c r="AI535" s="100"/>
      <c r="AJ535" s="100"/>
      <c r="AK535" s="100"/>
      <c r="AL535" s="100"/>
      <c r="AM535" s="100"/>
      <c r="AN535" s="100"/>
      <c r="AO535" s="100"/>
    </row>
    <row r="536" ht="14.25" customHeight="1">
      <c r="A536" s="195"/>
      <c r="B536" s="100"/>
      <c r="C536" s="100"/>
      <c r="D536" s="100"/>
      <c r="E536" s="100"/>
      <c r="F536" s="206"/>
      <c r="G536" s="206"/>
      <c r="H536" s="207"/>
      <c r="I536" s="207"/>
      <c r="J536" s="207"/>
      <c r="K536" s="207"/>
      <c r="L536" s="207"/>
      <c r="M536" s="207"/>
      <c r="N536" s="207"/>
      <c r="O536" s="207"/>
      <c r="P536" s="207"/>
      <c r="Q536" s="207"/>
      <c r="R536" s="207"/>
      <c r="S536" s="207"/>
      <c r="T536" s="207"/>
      <c r="U536" s="207"/>
      <c r="V536" s="207"/>
      <c r="W536" s="208"/>
      <c r="X536" s="208"/>
      <c r="Y536" s="208"/>
      <c r="Z536" s="208"/>
      <c r="AA536" s="208"/>
      <c r="AB536" s="208"/>
      <c r="AC536" s="208"/>
      <c r="AD536" s="208"/>
      <c r="AE536" s="208"/>
      <c r="AF536" s="208"/>
      <c r="AG536" s="208"/>
      <c r="AH536" s="208"/>
      <c r="AI536" s="100"/>
      <c r="AJ536" s="100"/>
      <c r="AK536" s="100"/>
      <c r="AL536" s="100"/>
      <c r="AM536" s="100"/>
      <c r="AN536" s="100"/>
      <c r="AO536" s="100"/>
    </row>
    <row r="537" ht="14.25" customHeight="1">
      <c r="A537" s="195"/>
      <c r="B537" s="100"/>
      <c r="C537" s="100"/>
      <c r="D537" s="100"/>
      <c r="E537" s="100"/>
      <c r="F537" s="206"/>
      <c r="G537" s="206"/>
      <c r="H537" s="207"/>
      <c r="I537" s="207"/>
      <c r="J537" s="207"/>
      <c r="K537" s="207"/>
      <c r="L537" s="207"/>
      <c r="M537" s="207"/>
      <c r="N537" s="207"/>
      <c r="O537" s="207"/>
      <c r="P537" s="207"/>
      <c r="Q537" s="207"/>
      <c r="R537" s="207"/>
      <c r="S537" s="207"/>
      <c r="T537" s="207"/>
      <c r="U537" s="207"/>
      <c r="V537" s="207"/>
      <c r="W537" s="208"/>
      <c r="X537" s="208"/>
      <c r="Y537" s="208"/>
      <c r="Z537" s="208"/>
      <c r="AA537" s="208"/>
      <c r="AB537" s="208"/>
      <c r="AC537" s="208"/>
      <c r="AD537" s="208"/>
      <c r="AE537" s="208"/>
      <c r="AF537" s="208"/>
      <c r="AG537" s="208"/>
      <c r="AH537" s="208"/>
      <c r="AI537" s="100"/>
      <c r="AJ537" s="100"/>
      <c r="AK537" s="100"/>
      <c r="AL537" s="100"/>
      <c r="AM537" s="100"/>
      <c r="AN537" s="100"/>
      <c r="AO537" s="100"/>
    </row>
    <row r="538" ht="14.25" customHeight="1">
      <c r="A538" s="195"/>
      <c r="B538" s="100"/>
      <c r="C538" s="100"/>
      <c r="D538" s="100"/>
      <c r="E538" s="100"/>
      <c r="F538" s="206"/>
      <c r="G538" s="206"/>
      <c r="H538" s="207"/>
      <c r="I538" s="207"/>
      <c r="J538" s="207"/>
      <c r="K538" s="207"/>
      <c r="L538" s="207"/>
      <c r="M538" s="207"/>
      <c r="N538" s="207"/>
      <c r="O538" s="207"/>
      <c r="P538" s="207"/>
      <c r="Q538" s="207"/>
      <c r="R538" s="207"/>
      <c r="S538" s="207"/>
      <c r="T538" s="207"/>
      <c r="U538" s="207"/>
      <c r="V538" s="207"/>
      <c r="W538" s="208"/>
      <c r="X538" s="208"/>
      <c r="Y538" s="208"/>
      <c r="Z538" s="208"/>
      <c r="AA538" s="208"/>
      <c r="AB538" s="208"/>
      <c r="AC538" s="208"/>
      <c r="AD538" s="208"/>
      <c r="AE538" s="208"/>
      <c r="AF538" s="208"/>
      <c r="AG538" s="208"/>
      <c r="AH538" s="208"/>
      <c r="AI538" s="100"/>
      <c r="AJ538" s="100"/>
      <c r="AK538" s="100"/>
      <c r="AL538" s="100"/>
      <c r="AM538" s="100"/>
      <c r="AN538" s="100"/>
      <c r="AO538" s="100"/>
    </row>
    <row r="539" ht="14.25" customHeight="1">
      <c r="A539" s="195"/>
      <c r="B539" s="100"/>
      <c r="C539" s="100"/>
      <c r="D539" s="100"/>
      <c r="E539" s="100"/>
      <c r="F539" s="206"/>
      <c r="G539" s="206"/>
      <c r="H539" s="207"/>
      <c r="I539" s="207"/>
      <c r="J539" s="207"/>
      <c r="K539" s="207"/>
      <c r="L539" s="207"/>
      <c r="M539" s="207"/>
      <c r="N539" s="207"/>
      <c r="O539" s="207"/>
      <c r="P539" s="207"/>
      <c r="Q539" s="207"/>
      <c r="R539" s="207"/>
      <c r="S539" s="207"/>
      <c r="T539" s="207"/>
      <c r="U539" s="207"/>
      <c r="V539" s="207"/>
      <c r="W539" s="208"/>
      <c r="X539" s="208"/>
      <c r="Y539" s="208"/>
      <c r="Z539" s="208"/>
      <c r="AA539" s="208"/>
      <c r="AB539" s="208"/>
      <c r="AC539" s="208"/>
      <c r="AD539" s="208"/>
      <c r="AE539" s="208"/>
      <c r="AF539" s="208"/>
      <c r="AG539" s="208"/>
      <c r="AH539" s="208"/>
      <c r="AI539" s="100"/>
      <c r="AJ539" s="100"/>
      <c r="AK539" s="100"/>
      <c r="AL539" s="100"/>
      <c r="AM539" s="100"/>
      <c r="AN539" s="100"/>
      <c r="AO539" s="100"/>
    </row>
    <row r="540" ht="14.25" customHeight="1">
      <c r="A540" s="195"/>
      <c r="B540" s="100"/>
      <c r="C540" s="100"/>
      <c r="D540" s="100"/>
      <c r="E540" s="100"/>
      <c r="F540" s="206"/>
      <c r="G540" s="206"/>
      <c r="H540" s="207"/>
      <c r="I540" s="207"/>
      <c r="J540" s="207"/>
      <c r="K540" s="207"/>
      <c r="L540" s="207"/>
      <c r="M540" s="207"/>
      <c r="N540" s="207"/>
      <c r="O540" s="207"/>
      <c r="P540" s="207"/>
      <c r="Q540" s="207"/>
      <c r="R540" s="207"/>
      <c r="S540" s="207"/>
      <c r="T540" s="207"/>
      <c r="U540" s="207"/>
      <c r="V540" s="207"/>
      <c r="W540" s="208"/>
      <c r="X540" s="208"/>
      <c r="Y540" s="208"/>
      <c r="Z540" s="208"/>
      <c r="AA540" s="208"/>
      <c r="AB540" s="208"/>
      <c r="AC540" s="208"/>
      <c r="AD540" s="208"/>
      <c r="AE540" s="208"/>
      <c r="AF540" s="208"/>
      <c r="AG540" s="208"/>
      <c r="AH540" s="208"/>
      <c r="AI540" s="100"/>
      <c r="AJ540" s="100"/>
      <c r="AK540" s="100"/>
      <c r="AL540" s="100"/>
      <c r="AM540" s="100"/>
      <c r="AN540" s="100"/>
      <c r="AO540" s="100"/>
    </row>
    <row r="541" ht="14.25" customHeight="1">
      <c r="A541" s="195"/>
      <c r="B541" s="100"/>
      <c r="C541" s="100"/>
      <c r="D541" s="100"/>
      <c r="E541" s="100"/>
      <c r="F541" s="206"/>
      <c r="G541" s="206"/>
      <c r="H541" s="207"/>
      <c r="I541" s="207"/>
      <c r="J541" s="207"/>
      <c r="K541" s="207"/>
      <c r="L541" s="207"/>
      <c r="M541" s="207"/>
      <c r="N541" s="207"/>
      <c r="O541" s="207"/>
      <c r="P541" s="207"/>
      <c r="Q541" s="207"/>
      <c r="R541" s="207"/>
      <c r="S541" s="207"/>
      <c r="T541" s="207"/>
      <c r="U541" s="207"/>
      <c r="V541" s="207"/>
      <c r="W541" s="208"/>
      <c r="X541" s="208"/>
      <c r="Y541" s="208"/>
      <c r="Z541" s="208"/>
      <c r="AA541" s="208"/>
      <c r="AB541" s="208"/>
      <c r="AC541" s="208"/>
      <c r="AD541" s="208"/>
      <c r="AE541" s="208"/>
      <c r="AF541" s="208"/>
      <c r="AG541" s="208"/>
      <c r="AH541" s="208"/>
      <c r="AI541" s="100"/>
      <c r="AJ541" s="100"/>
      <c r="AK541" s="100"/>
      <c r="AL541" s="100"/>
      <c r="AM541" s="100"/>
      <c r="AN541" s="100"/>
      <c r="AO541" s="100"/>
    </row>
    <row r="542" ht="14.25" customHeight="1">
      <c r="A542" s="195"/>
      <c r="B542" s="100"/>
      <c r="C542" s="100"/>
      <c r="D542" s="100"/>
      <c r="E542" s="100"/>
      <c r="F542" s="206"/>
      <c r="G542" s="206"/>
      <c r="H542" s="207"/>
      <c r="I542" s="207"/>
      <c r="J542" s="207"/>
      <c r="K542" s="207"/>
      <c r="L542" s="207"/>
      <c r="M542" s="207"/>
      <c r="N542" s="207"/>
      <c r="O542" s="207"/>
      <c r="P542" s="207"/>
      <c r="Q542" s="207"/>
      <c r="R542" s="207"/>
      <c r="S542" s="207"/>
      <c r="T542" s="207"/>
      <c r="U542" s="207"/>
      <c r="V542" s="207"/>
      <c r="W542" s="208"/>
      <c r="X542" s="208"/>
      <c r="Y542" s="208"/>
      <c r="Z542" s="208"/>
      <c r="AA542" s="208"/>
      <c r="AB542" s="208"/>
      <c r="AC542" s="208"/>
      <c r="AD542" s="208"/>
      <c r="AE542" s="208"/>
      <c r="AF542" s="208"/>
      <c r="AG542" s="208"/>
      <c r="AH542" s="208"/>
      <c r="AI542" s="100"/>
      <c r="AJ542" s="100"/>
      <c r="AK542" s="100"/>
      <c r="AL542" s="100"/>
      <c r="AM542" s="100"/>
      <c r="AN542" s="100"/>
      <c r="AO542" s="100"/>
    </row>
    <row r="543" ht="14.25" customHeight="1">
      <c r="A543" s="195"/>
      <c r="B543" s="100"/>
      <c r="C543" s="100"/>
      <c r="D543" s="100"/>
      <c r="E543" s="100"/>
      <c r="F543" s="206"/>
      <c r="G543" s="206"/>
      <c r="H543" s="207"/>
      <c r="I543" s="207"/>
      <c r="J543" s="207"/>
      <c r="K543" s="207"/>
      <c r="L543" s="207"/>
      <c r="M543" s="207"/>
      <c r="N543" s="207"/>
      <c r="O543" s="207"/>
      <c r="P543" s="207"/>
      <c r="Q543" s="207"/>
      <c r="R543" s="207"/>
      <c r="S543" s="207"/>
      <c r="T543" s="207"/>
      <c r="U543" s="207"/>
      <c r="V543" s="207"/>
      <c r="W543" s="208"/>
      <c r="X543" s="208"/>
      <c r="Y543" s="208"/>
      <c r="Z543" s="208"/>
      <c r="AA543" s="208"/>
      <c r="AB543" s="208"/>
      <c r="AC543" s="208"/>
      <c r="AD543" s="208"/>
      <c r="AE543" s="208"/>
      <c r="AF543" s="208"/>
      <c r="AG543" s="208"/>
      <c r="AH543" s="208"/>
      <c r="AI543" s="100"/>
      <c r="AJ543" s="100"/>
      <c r="AK543" s="100"/>
      <c r="AL543" s="100"/>
      <c r="AM543" s="100"/>
      <c r="AN543" s="100"/>
      <c r="AO543" s="100"/>
    </row>
    <row r="544" ht="14.25" customHeight="1">
      <c r="A544" s="195"/>
      <c r="B544" s="100"/>
      <c r="C544" s="100"/>
      <c r="D544" s="100"/>
      <c r="E544" s="100"/>
      <c r="F544" s="206"/>
      <c r="G544" s="206"/>
      <c r="H544" s="207"/>
      <c r="I544" s="207"/>
      <c r="J544" s="207"/>
      <c r="K544" s="207"/>
      <c r="L544" s="207"/>
      <c r="M544" s="207"/>
      <c r="N544" s="207"/>
      <c r="O544" s="207"/>
      <c r="P544" s="207"/>
      <c r="Q544" s="207"/>
      <c r="R544" s="207"/>
      <c r="S544" s="207"/>
      <c r="T544" s="207"/>
      <c r="U544" s="207"/>
      <c r="V544" s="207"/>
      <c r="W544" s="208"/>
      <c r="X544" s="208"/>
      <c r="Y544" s="208"/>
      <c r="Z544" s="208"/>
      <c r="AA544" s="208"/>
      <c r="AB544" s="208"/>
      <c r="AC544" s="208"/>
      <c r="AD544" s="208"/>
      <c r="AE544" s="208"/>
      <c r="AF544" s="208"/>
      <c r="AG544" s="208"/>
      <c r="AH544" s="208"/>
      <c r="AI544" s="100"/>
      <c r="AJ544" s="100"/>
      <c r="AK544" s="100"/>
      <c r="AL544" s="100"/>
      <c r="AM544" s="100"/>
      <c r="AN544" s="100"/>
      <c r="AO544" s="100"/>
    </row>
    <row r="545" ht="14.25" customHeight="1">
      <c r="A545" s="195"/>
      <c r="B545" s="100"/>
      <c r="C545" s="100"/>
      <c r="D545" s="100"/>
      <c r="E545" s="100"/>
      <c r="F545" s="206"/>
      <c r="G545" s="206"/>
      <c r="H545" s="207"/>
      <c r="I545" s="207"/>
      <c r="J545" s="207"/>
      <c r="K545" s="207"/>
      <c r="L545" s="207"/>
      <c r="M545" s="207"/>
      <c r="N545" s="207"/>
      <c r="O545" s="207"/>
      <c r="P545" s="207"/>
      <c r="Q545" s="207"/>
      <c r="R545" s="207"/>
      <c r="S545" s="207"/>
      <c r="T545" s="207"/>
      <c r="U545" s="207"/>
      <c r="V545" s="207"/>
      <c r="W545" s="208"/>
      <c r="X545" s="208"/>
      <c r="Y545" s="208"/>
      <c r="Z545" s="208"/>
      <c r="AA545" s="208"/>
      <c r="AB545" s="208"/>
      <c r="AC545" s="208"/>
      <c r="AD545" s="208"/>
      <c r="AE545" s="208"/>
      <c r="AF545" s="208"/>
      <c r="AG545" s="208"/>
      <c r="AH545" s="208"/>
      <c r="AI545" s="100"/>
      <c r="AJ545" s="100"/>
      <c r="AK545" s="100"/>
      <c r="AL545" s="100"/>
      <c r="AM545" s="100"/>
      <c r="AN545" s="100"/>
      <c r="AO545" s="100"/>
    </row>
    <row r="546" ht="14.25" customHeight="1">
      <c r="A546" s="195"/>
      <c r="B546" s="100"/>
      <c r="C546" s="100"/>
      <c r="D546" s="100"/>
      <c r="E546" s="100"/>
      <c r="F546" s="206"/>
      <c r="G546" s="206"/>
      <c r="H546" s="207"/>
      <c r="I546" s="207"/>
      <c r="J546" s="207"/>
      <c r="K546" s="207"/>
      <c r="L546" s="207"/>
      <c r="M546" s="207"/>
      <c r="N546" s="207"/>
      <c r="O546" s="207"/>
      <c r="P546" s="207"/>
      <c r="Q546" s="207"/>
      <c r="R546" s="207"/>
      <c r="S546" s="207"/>
      <c r="T546" s="207"/>
      <c r="U546" s="207"/>
      <c r="V546" s="207"/>
      <c r="W546" s="208"/>
      <c r="X546" s="208"/>
      <c r="Y546" s="208"/>
      <c r="Z546" s="208"/>
      <c r="AA546" s="208"/>
      <c r="AB546" s="208"/>
      <c r="AC546" s="208"/>
      <c r="AD546" s="208"/>
      <c r="AE546" s="208"/>
      <c r="AF546" s="208"/>
      <c r="AG546" s="208"/>
      <c r="AH546" s="208"/>
      <c r="AI546" s="100"/>
      <c r="AJ546" s="100"/>
      <c r="AK546" s="100"/>
      <c r="AL546" s="100"/>
      <c r="AM546" s="100"/>
      <c r="AN546" s="100"/>
      <c r="AO546" s="100"/>
    </row>
    <row r="547" ht="14.25" customHeight="1">
      <c r="A547" s="195"/>
      <c r="B547" s="100"/>
      <c r="C547" s="100"/>
      <c r="D547" s="100"/>
      <c r="E547" s="100"/>
      <c r="F547" s="206"/>
      <c r="G547" s="206"/>
      <c r="H547" s="207"/>
      <c r="I547" s="207"/>
      <c r="J547" s="207"/>
      <c r="K547" s="207"/>
      <c r="L547" s="207"/>
      <c r="M547" s="207"/>
      <c r="N547" s="207"/>
      <c r="O547" s="207"/>
      <c r="P547" s="207"/>
      <c r="Q547" s="207"/>
      <c r="R547" s="207"/>
      <c r="S547" s="207"/>
      <c r="T547" s="207"/>
      <c r="U547" s="207"/>
      <c r="V547" s="207"/>
      <c r="W547" s="208"/>
      <c r="X547" s="208"/>
      <c r="Y547" s="208"/>
      <c r="Z547" s="208"/>
      <c r="AA547" s="208"/>
      <c r="AB547" s="208"/>
      <c r="AC547" s="208"/>
      <c r="AD547" s="208"/>
      <c r="AE547" s="208"/>
      <c r="AF547" s="208"/>
      <c r="AG547" s="208"/>
      <c r="AH547" s="208"/>
      <c r="AI547" s="100"/>
      <c r="AJ547" s="100"/>
      <c r="AK547" s="100"/>
      <c r="AL547" s="100"/>
      <c r="AM547" s="100"/>
      <c r="AN547" s="100"/>
      <c r="AO547" s="100"/>
    </row>
    <row r="548" ht="14.25" customHeight="1">
      <c r="A548" s="195"/>
      <c r="B548" s="100"/>
      <c r="C548" s="100"/>
      <c r="D548" s="100"/>
      <c r="E548" s="100"/>
      <c r="F548" s="206"/>
      <c r="G548" s="206"/>
      <c r="H548" s="207"/>
      <c r="I548" s="207"/>
      <c r="J548" s="207"/>
      <c r="K548" s="207"/>
      <c r="L548" s="207"/>
      <c r="M548" s="207"/>
      <c r="N548" s="207"/>
      <c r="O548" s="207"/>
      <c r="P548" s="207"/>
      <c r="Q548" s="207"/>
      <c r="R548" s="207"/>
      <c r="S548" s="207"/>
      <c r="T548" s="207"/>
      <c r="U548" s="207"/>
      <c r="V548" s="207"/>
      <c r="W548" s="208"/>
      <c r="X548" s="208"/>
      <c r="Y548" s="208"/>
      <c r="Z548" s="208"/>
      <c r="AA548" s="208"/>
      <c r="AB548" s="208"/>
      <c r="AC548" s="208"/>
      <c r="AD548" s="208"/>
      <c r="AE548" s="208"/>
      <c r="AF548" s="208"/>
      <c r="AG548" s="208"/>
      <c r="AH548" s="208"/>
      <c r="AI548" s="100"/>
      <c r="AJ548" s="100"/>
      <c r="AK548" s="100"/>
      <c r="AL548" s="100"/>
      <c r="AM548" s="100"/>
      <c r="AN548" s="100"/>
      <c r="AO548" s="100"/>
    </row>
    <row r="549" ht="14.25" customHeight="1">
      <c r="A549" s="195"/>
      <c r="B549" s="100"/>
      <c r="C549" s="100"/>
      <c r="D549" s="100"/>
      <c r="E549" s="100"/>
      <c r="F549" s="206"/>
      <c r="G549" s="206"/>
      <c r="H549" s="207"/>
      <c r="I549" s="207"/>
      <c r="J549" s="207"/>
      <c r="K549" s="207"/>
      <c r="L549" s="207"/>
      <c r="M549" s="207"/>
      <c r="N549" s="207"/>
      <c r="O549" s="207"/>
      <c r="P549" s="207"/>
      <c r="Q549" s="207"/>
      <c r="R549" s="207"/>
      <c r="S549" s="207"/>
      <c r="T549" s="207"/>
      <c r="U549" s="207"/>
      <c r="V549" s="207"/>
      <c r="W549" s="208"/>
      <c r="X549" s="208"/>
      <c r="Y549" s="208"/>
      <c r="Z549" s="208"/>
      <c r="AA549" s="208"/>
      <c r="AB549" s="208"/>
      <c r="AC549" s="208"/>
      <c r="AD549" s="208"/>
      <c r="AE549" s="208"/>
      <c r="AF549" s="208"/>
      <c r="AG549" s="208"/>
      <c r="AH549" s="208"/>
      <c r="AI549" s="100"/>
      <c r="AJ549" s="100"/>
      <c r="AK549" s="100"/>
      <c r="AL549" s="100"/>
      <c r="AM549" s="100"/>
      <c r="AN549" s="100"/>
      <c r="AO549" s="100"/>
    </row>
    <row r="550" ht="14.25" customHeight="1">
      <c r="A550" s="195"/>
      <c r="B550" s="100"/>
      <c r="C550" s="100"/>
      <c r="D550" s="100"/>
      <c r="E550" s="100"/>
      <c r="F550" s="206"/>
      <c r="G550" s="206"/>
      <c r="H550" s="207"/>
      <c r="I550" s="207"/>
      <c r="J550" s="207"/>
      <c r="K550" s="207"/>
      <c r="L550" s="207"/>
      <c r="M550" s="207"/>
      <c r="N550" s="207"/>
      <c r="O550" s="207"/>
      <c r="P550" s="207"/>
      <c r="Q550" s="207"/>
      <c r="R550" s="207"/>
      <c r="S550" s="207"/>
      <c r="T550" s="207"/>
      <c r="U550" s="207"/>
      <c r="V550" s="207"/>
      <c r="W550" s="208"/>
      <c r="X550" s="208"/>
      <c r="Y550" s="208"/>
      <c r="Z550" s="208"/>
      <c r="AA550" s="208"/>
      <c r="AB550" s="208"/>
      <c r="AC550" s="208"/>
      <c r="AD550" s="208"/>
      <c r="AE550" s="208"/>
      <c r="AF550" s="208"/>
      <c r="AG550" s="208"/>
      <c r="AH550" s="208"/>
      <c r="AI550" s="100"/>
      <c r="AJ550" s="100"/>
      <c r="AK550" s="100"/>
      <c r="AL550" s="100"/>
      <c r="AM550" s="100"/>
      <c r="AN550" s="100"/>
      <c r="AO550" s="100"/>
    </row>
    <row r="551" ht="14.25" customHeight="1">
      <c r="A551" s="195"/>
      <c r="B551" s="100"/>
      <c r="C551" s="100"/>
      <c r="D551" s="100"/>
      <c r="E551" s="100"/>
      <c r="F551" s="206"/>
      <c r="G551" s="206"/>
      <c r="H551" s="207"/>
      <c r="I551" s="207"/>
      <c r="J551" s="207"/>
      <c r="K551" s="207"/>
      <c r="L551" s="207"/>
      <c r="M551" s="207"/>
      <c r="N551" s="207"/>
      <c r="O551" s="207"/>
      <c r="P551" s="207"/>
      <c r="Q551" s="207"/>
      <c r="R551" s="207"/>
      <c r="S551" s="207"/>
      <c r="T551" s="207"/>
      <c r="U551" s="207"/>
      <c r="V551" s="207"/>
      <c r="W551" s="208"/>
      <c r="X551" s="208"/>
      <c r="Y551" s="208"/>
      <c r="Z551" s="208"/>
      <c r="AA551" s="208"/>
      <c r="AB551" s="208"/>
      <c r="AC551" s="208"/>
      <c r="AD551" s="208"/>
      <c r="AE551" s="208"/>
      <c r="AF551" s="208"/>
      <c r="AG551" s="208"/>
      <c r="AH551" s="208"/>
      <c r="AI551" s="100"/>
      <c r="AJ551" s="100"/>
      <c r="AK551" s="100"/>
      <c r="AL551" s="100"/>
      <c r="AM551" s="100"/>
      <c r="AN551" s="100"/>
      <c r="AO551" s="100"/>
    </row>
    <row r="552" ht="14.25" customHeight="1">
      <c r="A552" s="195"/>
      <c r="B552" s="100"/>
      <c r="C552" s="100"/>
      <c r="D552" s="100"/>
      <c r="E552" s="100"/>
      <c r="F552" s="206"/>
      <c r="G552" s="206"/>
      <c r="H552" s="207"/>
      <c r="I552" s="207"/>
      <c r="J552" s="207"/>
      <c r="K552" s="207"/>
      <c r="L552" s="207"/>
      <c r="M552" s="207"/>
      <c r="N552" s="207"/>
      <c r="O552" s="207"/>
      <c r="P552" s="207"/>
      <c r="Q552" s="207"/>
      <c r="R552" s="207"/>
      <c r="S552" s="207"/>
      <c r="T552" s="207"/>
      <c r="U552" s="207"/>
      <c r="V552" s="207"/>
      <c r="W552" s="208"/>
      <c r="X552" s="208"/>
      <c r="Y552" s="208"/>
      <c r="Z552" s="208"/>
      <c r="AA552" s="208"/>
      <c r="AB552" s="208"/>
      <c r="AC552" s="208"/>
      <c r="AD552" s="208"/>
      <c r="AE552" s="208"/>
      <c r="AF552" s="208"/>
      <c r="AG552" s="208"/>
      <c r="AH552" s="208"/>
      <c r="AI552" s="100"/>
      <c r="AJ552" s="100"/>
      <c r="AK552" s="100"/>
      <c r="AL552" s="100"/>
      <c r="AM552" s="100"/>
      <c r="AN552" s="100"/>
      <c r="AO552" s="100"/>
    </row>
    <row r="553" ht="14.25" customHeight="1">
      <c r="A553" s="195"/>
      <c r="B553" s="100"/>
      <c r="C553" s="100"/>
      <c r="D553" s="100"/>
      <c r="E553" s="100"/>
      <c r="F553" s="206"/>
      <c r="G553" s="206"/>
      <c r="H553" s="207"/>
      <c r="I553" s="207"/>
      <c r="J553" s="207"/>
      <c r="K553" s="207"/>
      <c r="L553" s="207"/>
      <c r="M553" s="207"/>
      <c r="N553" s="207"/>
      <c r="O553" s="207"/>
      <c r="P553" s="207"/>
      <c r="Q553" s="207"/>
      <c r="R553" s="207"/>
      <c r="S553" s="207"/>
      <c r="T553" s="207"/>
      <c r="U553" s="207"/>
      <c r="V553" s="207"/>
      <c r="W553" s="208"/>
      <c r="X553" s="208"/>
      <c r="Y553" s="208"/>
      <c r="Z553" s="208"/>
      <c r="AA553" s="208"/>
      <c r="AB553" s="208"/>
      <c r="AC553" s="208"/>
      <c r="AD553" s="208"/>
      <c r="AE553" s="208"/>
      <c r="AF553" s="208"/>
      <c r="AG553" s="208"/>
      <c r="AH553" s="208"/>
      <c r="AI553" s="100"/>
      <c r="AJ553" s="100"/>
      <c r="AK553" s="100"/>
      <c r="AL553" s="100"/>
      <c r="AM553" s="100"/>
      <c r="AN553" s="100"/>
      <c r="AO553" s="100"/>
    </row>
    <row r="554" ht="14.25" customHeight="1">
      <c r="A554" s="195"/>
      <c r="B554" s="100"/>
      <c r="C554" s="100"/>
      <c r="D554" s="100"/>
      <c r="E554" s="100"/>
      <c r="F554" s="206"/>
      <c r="G554" s="206"/>
      <c r="H554" s="207"/>
      <c r="I554" s="207"/>
      <c r="J554" s="207"/>
      <c r="K554" s="207"/>
      <c r="L554" s="207"/>
      <c r="M554" s="207"/>
      <c r="N554" s="207"/>
      <c r="O554" s="207"/>
      <c r="P554" s="207"/>
      <c r="Q554" s="207"/>
      <c r="R554" s="207"/>
      <c r="S554" s="207"/>
      <c r="T554" s="207"/>
      <c r="U554" s="207"/>
      <c r="V554" s="207"/>
      <c r="W554" s="208"/>
      <c r="X554" s="208"/>
      <c r="Y554" s="208"/>
      <c r="Z554" s="208"/>
      <c r="AA554" s="208"/>
      <c r="AB554" s="208"/>
      <c r="AC554" s="208"/>
      <c r="AD554" s="208"/>
      <c r="AE554" s="208"/>
      <c r="AF554" s="208"/>
      <c r="AG554" s="208"/>
      <c r="AH554" s="208"/>
      <c r="AI554" s="100"/>
      <c r="AJ554" s="100"/>
      <c r="AK554" s="100"/>
      <c r="AL554" s="100"/>
      <c r="AM554" s="100"/>
      <c r="AN554" s="100"/>
      <c r="AO554" s="100"/>
    </row>
    <row r="555" ht="14.25" customHeight="1">
      <c r="A555" s="195"/>
      <c r="B555" s="100"/>
      <c r="C555" s="100"/>
      <c r="D555" s="100"/>
      <c r="E555" s="100"/>
      <c r="F555" s="206"/>
      <c r="G555" s="206"/>
      <c r="H555" s="207"/>
      <c r="I555" s="207"/>
      <c r="J555" s="207"/>
      <c r="K555" s="207"/>
      <c r="L555" s="207"/>
      <c r="M555" s="207"/>
      <c r="N555" s="207"/>
      <c r="O555" s="207"/>
      <c r="P555" s="207"/>
      <c r="Q555" s="207"/>
      <c r="R555" s="207"/>
      <c r="S555" s="207"/>
      <c r="T555" s="207"/>
      <c r="U555" s="207"/>
      <c r="V555" s="207"/>
      <c r="W555" s="208"/>
      <c r="X555" s="208"/>
      <c r="Y555" s="208"/>
      <c r="Z555" s="208"/>
      <c r="AA555" s="208"/>
      <c r="AB555" s="208"/>
      <c r="AC555" s="208"/>
      <c r="AD555" s="208"/>
      <c r="AE555" s="208"/>
      <c r="AF555" s="208"/>
      <c r="AG555" s="208"/>
      <c r="AH555" s="208"/>
      <c r="AI555" s="100"/>
      <c r="AJ555" s="100"/>
      <c r="AK555" s="100"/>
      <c r="AL555" s="100"/>
      <c r="AM555" s="100"/>
      <c r="AN555" s="100"/>
      <c r="AO555" s="100"/>
    </row>
    <row r="556" ht="14.25" customHeight="1">
      <c r="A556" s="195"/>
      <c r="B556" s="100"/>
      <c r="C556" s="100"/>
      <c r="D556" s="100"/>
      <c r="E556" s="100"/>
      <c r="F556" s="206"/>
      <c r="G556" s="206"/>
      <c r="H556" s="207"/>
      <c r="I556" s="207"/>
      <c r="J556" s="207"/>
      <c r="K556" s="207"/>
      <c r="L556" s="207"/>
      <c r="M556" s="207"/>
      <c r="N556" s="207"/>
      <c r="O556" s="207"/>
      <c r="P556" s="207"/>
      <c r="Q556" s="207"/>
      <c r="R556" s="207"/>
      <c r="S556" s="207"/>
      <c r="T556" s="207"/>
      <c r="U556" s="207"/>
      <c r="V556" s="207"/>
      <c r="W556" s="208"/>
      <c r="X556" s="208"/>
      <c r="Y556" s="208"/>
      <c r="Z556" s="208"/>
      <c r="AA556" s="208"/>
      <c r="AB556" s="208"/>
      <c r="AC556" s="208"/>
      <c r="AD556" s="208"/>
      <c r="AE556" s="208"/>
      <c r="AF556" s="208"/>
      <c r="AG556" s="208"/>
      <c r="AH556" s="208"/>
      <c r="AI556" s="100"/>
      <c r="AJ556" s="100"/>
      <c r="AK556" s="100"/>
      <c r="AL556" s="100"/>
      <c r="AM556" s="100"/>
      <c r="AN556" s="100"/>
      <c r="AO556" s="100"/>
    </row>
    <row r="557" ht="14.25" customHeight="1">
      <c r="A557" s="195"/>
      <c r="B557" s="100"/>
      <c r="C557" s="100"/>
      <c r="D557" s="100"/>
      <c r="E557" s="100"/>
      <c r="F557" s="206"/>
      <c r="G557" s="206"/>
      <c r="H557" s="207"/>
      <c r="I557" s="207"/>
      <c r="J557" s="207"/>
      <c r="K557" s="207"/>
      <c r="L557" s="207"/>
      <c r="M557" s="207"/>
      <c r="N557" s="207"/>
      <c r="O557" s="207"/>
      <c r="P557" s="207"/>
      <c r="Q557" s="207"/>
      <c r="R557" s="207"/>
      <c r="S557" s="207"/>
      <c r="T557" s="207"/>
      <c r="U557" s="207"/>
      <c r="V557" s="207"/>
      <c r="W557" s="208"/>
      <c r="X557" s="208"/>
      <c r="Y557" s="208"/>
      <c r="Z557" s="208"/>
      <c r="AA557" s="208"/>
      <c r="AB557" s="208"/>
      <c r="AC557" s="208"/>
      <c r="AD557" s="208"/>
      <c r="AE557" s="208"/>
      <c r="AF557" s="208"/>
      <c r="AG557" s="208"/>
      <c r="AH557" s="208"/>
      <c r="AI557" s="100"/>
      <c r="AJ557" s="100"/>
      <c r="AK557" s="100"/>
      <c r="AL557" s="100"/>
      <c r="AM557" s="100"/>
      <c r="AN557" s="100"/>
      <c r="AO557" s="100"/>
    </row>
    <row r="558" ht="14.25" customHeight="1">
      <c r="A558" s="195"/>
      <c r="B558" s="100"/>
      <c r="C558" s="100"/>
      <c r="D558" s="100"/>
      <c r="E558" s="100"/>
      <c r="F558" s="206"/>
      <c r="G558" s="206"/>
      <c r="H558" s="207"/>
      <c r="I558" s="207"/>
      <c r="J558" s="207"/>
      <c r="K558" s="207"/>
      <c r="L558" s="207"/>
      <c r="M558" s="207"/>
      <c r="N558" s="207"/>
      <c r="O558" s="207"/>
      <c r="P558" s="207"/>
      <c r="Q558" s="207"/>
      <c r="R558" s="207"/>
      <c r="S558" s="207"/>
      <c r="T558" s="207"/>
      <c r="U558" s="207"/>
      <c r="V558" s="207"/>
      <c r="W558" s="208"/>
      <c r="X558" s="208"/>
      <c r="Y558" s="208"/>
      <c r="Z558" s="208"/>
      <c r="AA558" s="208"/>
      <c r="AB558" s="208"/>
      <c r="AC558" s="208"/>
      <c r="AD558" s="208"/>
      <c r="AE558" s="208"/>
      <c r="AF558" s="208"/>
      <c r="AG558" s="208"/>
      <c r="AH558" s="208"/>
      <c r="AI558" s="100"/>
      <c r="AJ558" s="100"/>
      <c r="AK558" s="100"/>
      <c r="AL558" s="100"/>
      <c r="AM558" s="100"/>
      <c r="AN558" s="100"/>
      <c r="AO558" s="100"/>
    </row>
    <row r="559" ht="14.25" customHeight="1">
      <c r="A559" s="195"/>
      <c r="B559" s="100"/>
      <c r="C559" s="100"/>
      <c r="D559" s="100"/>
      <c r="E559" s="100"/>
      <c r="F559" s="206"/>
      <c r="G559" s="206"/>
      <c r="H559" s="207"/>
      <c r="I559" s="207"/>
      <c r="J559" s="207"/>
      <c r="K559" s="207"/>
      <c r="L559" s="207"/>
      <c r="M559" s="207"/>
      <c r="N559" s="207"/>
      <c r="O559" s="207"/>
      <c r="P559" s="207"/>
      <c r="Q559" s="207"/>
      <c r="R559" s="207"/>
      <c r="S559" s="207"/>
      <c r="T559" s="207"/>
      <c r="U559" s="207"/>
      <c r="V559" s="207"/>
      <c r="W559" s="208"/>
      <c r="X559" s="208"/>
      <c r="Y559" s="208"/>
      <c r="Z559" s="208"/>
      <c r="AA559" s="208"/>
      <c r="AB559" s="208"/>
      <c r="AC559" s="208"/>
      <c r="AD559" s="208"/>
      <c r="AE559" s="208"/>
      <c r="AF559" s="208"/>
      <c r="AG559" s="208"/>
      <c r="AH559" s="208"/>
      <c r="AI559" s="100"/>
      <c r="AJ559" s="100"/>
      <c r="AK559" s="100"/>
      <c r="AL559" s="100"/>
      <c r="AM559" s="100"/>
      <c r="AN559" s="100"/>
      <c r="AO559" s="100"/>
    </row>
    <row r="560" ht="14.25" customHeight="1">
      <c r="A560" s="195"/>
      <c r="B560" s="100"/>
      <c r="C560" s="100"/>
      <c r="D560" s="100"/>
      <c r="E560" s="100"/>
      <c r="F560" s="206"/>
      <c r="G560" s="206"/>
      <c r="H560" s="207"/>
      <c r="I560" s="207"/>
      <c r="J560" s="207"/>
      <c r="K560" s="207"/>
      <c r="L560" s="207"/>
      <c r="M560" s="207"/>
      <c r="N560" s="207"/>
      <c r="O560" s="207"/>
      <c r="P560" s="207"/>
      <c r="Q560" s="207"/>
      <c r="R560" s="207"/>
      <c r="S560" s="207"/>
      <c r="T560" s="207"/>
      <c r="U560" s="207"/>
      <c r="V560" s="207"/>
      <c r="W560" s="208"/>
      <c r="X560" s="208"/>
      <c r="Y560" s="208"/>
      <c r="Z560" s="208"/>
      <c r="AA560" s="208"/>
      <c r="AB560" s="208"/>
      <c r="AC560" s="208"/>
      <c r="AD560" s="208"/>
      <c r="AE560" s="208"/>
      <c r="AF560" s="208"/>
      <c r="AG560" s="208"/>
      <c r="AH560" s="208"/>
      <c r="AI560" s="100"/>
      <c r="AJ560" s="100"/>
      <c r="AK560" s="100"/>
      <c r="AL560" s="100"/>
      <c r="AM560" s="100"/>
      <c r="AN560" s="100"/>
      <c r="AO560" s="100"/>
    </row>
    <row r="561" ht="14.25" customHeight="1">
      <c r="A561" s="195"/>
      <c r="B561" s="100"/>
      <c r="C561" s="100"/>
      <c r="D561" s="100"/>
      <c r="E561" s="100"/>
      <c r="F561" s="206"/>
      <c r="G561" s="206"/>
      <c r="H561" s="207"/>
      <c r="I561" s="207"/>
      <c r="J561" s="207"/>
      <c r="K561" s="207"/>
      <c r="L561" s="207"/>
      <c r="M561" s="207"/>
      <c r="N561" s="207"/>
      <c r="O561" s="207"/>
      <c r="P561" s="207"/>
      <c r="Q561" s="207"/>
      <c r="R561" s="207"/>
      <c r="S561" s="207"/>
      <c r="T561" s="207"/>
      <c r="U561" s="207"/>
      <c r="V561" s="207"/>
      <c r="W561" s="208"/>
      <c r="X561" s="208"/>
      <c r="Y561" s="208"/>
      <c r="Z561" s="208"/>
      <c r="AA561" s="208"/>
      <c r="AB561" s="208"/>
      <c r="AC561" s="208"/>
      <c r="AD561" s="208"/>
      <c r="AE561" s="208"/>
      <c r="AF561" s="208"/>
      <c r="AG561" s="208"/>
      <c r="AH561" s="208"/>
      <c r="AI561" s="100"/>
      <c r="AJ561" s="100"/>
      <c r="AK561" s="100"/>
      <c r="AL561" s="100"/>
      <c r="AM561" s="100"/>
      <c r="AN561" s="100"/>
      <c r="AO561" s="100"/>
    </row>
    <row r="562" ht="14.25" customHeight="1">
      <c r="A562" s="195"/>
      <c r="B562" s="100"/>
      <c r="C562" s="100"/>
      <c r="D562" s="100"/>
      <c r="E562" s="100"/>
      <c r="F562" s="206"/>
      <c r="G562" s="206"/>
      <c r="H562" s="207"/>
      <c r="I562" s="207"/>
      <c r="J562" s="207"/>
      <c r="K562" s="207"/>
      <c r="L562" s="207"/>
      <c r="M562" s="207"/>
      <c r="N562" s="207"/>
      <c r="O562" s="207"/>
      <c r="P562" s="207"/>
      <c r="Q562" s="207"/>
      <c r="R562" s="207"/>
      <c r="S562" s="207"/>
      <c r="T562" s="207"/>
      <c r="U562" s="207"/>
      <c r="V562" s="207"/>
      <c r="W562" s="208"/>
      <c r="X562" s="208"/>
      <c r="Y562" s="208"/>
      <c r="Z562" s="208"/>
      <c r="AA562" s="208"/>
      <c r="AB562" s="208"/>
      <c r="AC562" s="208"/>
      <c r="AD562" s="208"/>
      <c r="AE562" s="208"/>
      <c r="AF562" s="208"/>
      <c r="AG562" s="208"/>
      <c r="AH562" s="208"/>
      <c r="AI562" s="100"/>
      <c r="AJ562" s="100"/>
      <c r="AK562" s="100"/>
      <c r="AL562" s="100"/>
      <c r="AM562" s="100"/>
      <c r="AN562" s="100"/>
      <c r="AO562" s="100"/>
    </row>
    <row r="563" ht="14.25" customHeight="1">
      <c r="A563" s="195"/>
      <c r="B563" s="100"/>
      <c r="C563" s="100"/>
      <c r="D563" s="100"/>
      <c r="E563" s="100"/>
      <c r="F563" s="206"/>
      <c r="G563" s="206"/>
      <c r="H563" s="207"/>
      <c r="I563" s="207"/>
      <c r="J563" s="207"/>
      <c r="K563" s="207"/>
      <c r="L563" s="207"/>
      <c r="M563" s="207"/>
      <c r="N563" s="207"/>
      <c r="O563" s="207"/>
      <c r="P563" s="207"/>
      <c r="Q563" s="207"/>
      <c r="R563" s="207"/>
      <c r="S563" s="207"/>
      <c r="T563" s="207"/>
      <c r="U563" s="207"/>
      <c r="V563" s="207"/>
      <c r="W563" s="208"/>
      <c r="X563" s="208"/>
      <c r="Y563" s="208"/>
      <c r="Z563" s="208"/>
      <c r="AA563" s="208"/>
      <c r="AB563" s="208"/>
      <c r="AC563" s="208"/>
      <c r="AD563" s="208"/>
      <c r="AE563" s="208"/>
      <c r="AF563" s="208"/>
      <c r="AG563" s="208"/>
      <c r="AH563" s="208"/>
      <c r="AI563" s="100"/>
      <c r="AJ563" s="100"/>
      <c r="AK563" s="100"/>
      <c r="AL563" s="100"/>
      <c r="AM563" s="100"/>
      <c r="AN563" s="100"/>
      <c r="AO563" s="100"/>
    </row>
    <row r="564" ht="14.25" customHeight="1">
      <c r="A564" s="195"/>
      <c r="B564" s="100"/>
      <c r="C564" s="100"/>
      <c r="D564" s="100"/>
      <c r="E564" s="100"/>
      <c r="F564" s="206"/>
      <c r="G564" s="206"/>
      <c r="H564" s="207"/>
      <c r="I564" s="207"/>
      <c r="J564" s="207"/>
      <c r="K564" s="207"/>
      <c r="L564" s="207"/>
      <c r="M564" s="207"/>
      <c r="N564" s="207"/>
      <c r="O564" s="207"/>
      <c r="P564" s="207"/>
      <c r="Q564" s="207"/>
      <c r="R564" s="207"/>
      <c r="S564" s="207"/>
      <c r="T564" s="207"/>
      <c r="U564" s="207"/>
      <c r="V564" s="207"/>
      <c r="W564" s="208"/>
      <c r="X564" s="208"/>
      <c r="Y564" s="208"/>
      <c r="Z564" s="208"/>
      <c r="AA564" s="208"/>
      <c r="AB564" s="208"/>
      <c r="AC564" s="208"/>
      <c r="AD564" s="208"/>
      <c r="AE564" s="208"/>
      <c r="AF564" s="208"/>
      <c r="AG564" s="208"/>
      <c r="AH564" s="208"/>
      <c r="AI564" s="100"/>
      <c r="AJ564" s="100"/>
      <c r="AK564" s="100"/>
      <c r="AL564" s="100"/>
      <c r="AM564" s="100"/>
      <c r="AN564" s="100"/>
      <c r="AO564" s="100"/>
    </row>
    <row r="565" ht="14.25" customHeight="1">
      <c r="A565" s="195"/>
      <c r="B565" s="100"/>
      <c r="C565" s="100"/>
      <c r="D565" s="100"/>
      <c r="E565" s="100"/>
      <c r="F565" s="206"/>
      <c r="G565" s="206"/>
      <c r="H565" s="207"/>
      <c r="I565" s="207"/>
      <c r="J565" s="207"/>
      <c r="K565" s="207"/>
      <c r="L565" s="207"/>
      <c r="M565" s="207"/>
      <c r="N565" s="207"/>
      <c r="O565" s="207"/>
      <c r="P565" s="207"/>
      <c r="Q565" s="207"/>
      <c r="R565" s="207"/>
      <c r="S565" s="207"/>
      <c r="T565" s="207"/>
      <c r="U565" s="207"/>
      <c r="V565" s="207"/>
      <c r="W565" s="208"/>
      <c r="X565" s="208"/>
      <c r="Y565" s="208"/>
      <c r="Z565" s="208"/>
      <c r="AA565" s="208"/>
      <c r="AB565" s="208"/>
      <c r="AC565" s="208"/>
      <c r="AD565" s="208"/>
      <c r="AE565" s="208"/>
      <c r="AF565" s="208"/>
      <c r="AG565" s="208"/>
      <c r="AH565" s="208"/>
      <c r="AI565" s="100"/>
      <c r="AJ565" s="100"/>
      <c r="AK565" s="100"/>
      <c r="AL565" s="100"/>
      <c r="AM565" s="100"/>
      <c r="AN565" s="100"/>
      <c r="AO565" s="100"/>
    </row>
    <row r="566" ht="14.25" customHeight="1">
      <c r="A566" s="195"/>
      <c r="B566" s="100"/>
      <c r="C566" s="100"/>
      <c r="D566" s="100"/>
      <c r="E566" s="100"/>
      <c r="F566" s="206"/>
      <c r="G566" s="206"/>
      <c r="H566" s="207"/>
      <c r="I566" s="207"/>
      <c r="J566" s="207"/>
      <c r="K566" s="207"/>
      <c r="L566" s="207"/>
      <c r="M566" s="207"/>
      <c r="N566" s="207"/>
      <c r="O566" s="207"/>
      <c r="P566" s="207"/>
      <c r="Q566" s="207"/>
      <c r="R566" s="207"/>
      <c r="S566" s="207"/>
      <c r="T566" s="207"/>
      <c r="U566" s="207"/>
      <c r="V566" s="207"/>
      <c r="W566" s="208"/>
      <c r="X566" s="208"/>
      <c r="Y566" s="208"/>
      <c r="Z566" s="208"/>
      <c r="AA566" s="208"/>
      <c r="AB566" s="208"/>
      <c r="AC566" s="208"/>
      <c r="AD566" s="208"/>
      <c r="AE566" s="208"/>
      <c r="AF566" s="208"/>
      <c r="AG566" s="208"/>
      <c r="AH566" s="208"/>
      <c r="AI566" s="100"/>
      <c r="AJ566" s="100"/>
      <c r="AK566" s="100"/>
      <c r="AL566" s="100"/>
      <c r="AM566" s="100"/>
      <c r="AN566" s="100"/>
      <c r="AO566" s="100"/>
    </row>
    <row r="567" ht="14.25" customHeight="1">
      <c r="A567" s="195"/>
      <c r="B567" s="100"/>
      <c r="C567" s="100"/>
      <c r="D567" s="100"/>
      <c r="E567" s="100"/>
      <c r="F567" s="206"/>
      <c r="G567" s="206"/>
      <c r="H567" s="207"/>
      <c r="I567" s="207"/>
      <c r="J567" s="207"/>
      <c r="K567" s="207"/>
      <c r="L567" s="207"/>
      <c r="M567" s="207"/>
      <c r="N567" s="207"/>
      <c r="O567" s="207"/>
      <c r="P567" s="207"/>
      <c r="Q567" s="207"/>
      <c r="R567" s="207"/>
      <c r="S567" s="207"/>
      <c r="T567" s="207"/>
      <c r="U567" s="207"/>
      <c r="V567" s="207"/>
      <c r="W567" s="208"/>
      <c r="X567" s="208"/>
      <c r="Y567" s="208"/>
      <c r="Z567" s="208"/>
      <c r="AA567" s="208"/>
      <c r="AB567" s="208"/>
      <c r="AC567" s="208"/>
      <c r="AD567" s="208"/>
      <c r="AE567" s="208"/>
      <c r="AF567" s="208"/>
      <c r="AG567" s="208"/>
      <c r="AH567" s="208"/>
      <c r="AI567" s="100"/>
      <c r="AJ567" s="100"/>
      <c r="AK567" s="100"/>
      <c r="AL567" s="100"/>
      <c r="AM567" s="100"/>
      <c r="AN567" s="100"/>
      <c r="AO567" s="100"/>
    </row>
    <row r="568" ht="14.25" customHeight="1">
      <c r="A568" s="195"/>
      <c r="B568" s="100"/>
      <c r="C568" s="100"/>
      <c r="D568" s="100"/>
      <c r="E568" s="100"/>
      <c r="F568" s="206"/>
      <c r="G568" s="206"/>
      <c r="H568" s="207"/>
      <c r="I568" s="207"/>
      <c r="J568" s="207"/>
      <c r="K568" s="207"/>
      <c r="L568" s="207"/>
      <c r="M568" s="207"/>
      <c r="N568" s="207"/>
      <c r="O568" s="207"/>
      <c r="P568" s="207"/>
      <c r="Q568" s="207"/>
      <c r="R568" s="207"/>
      <c r="S568" s="207"/>
      <c r="T568" s="207"/>
      <c r="U568" s="207"/>
      <c r="V568" s="207"/>
      <c r="W568" s="208"/>
      <c r="X568" s="208"/>
      <c r="Y568" s="208"/>
      <c r="Z568" s="208"/>
      <c r="AA568" s="208"/>
      <c r="AB568" s="208"/>
      <c r="AC568" s="208"/>
      <c r="AD568" s="208"/>
      <c r="AE568" s="208"/>
      <c r="AF568" s="208"/>
      <c r="AG568" s="208"/>
      <c r="AH568" s="208"/>
      <c r="AI568" s="100"/>
      <c r="AJ568" s="100"/>
      <c r="AK568" s="100"/>
      <c r="AL568" s="100"/>
      <c r="AM568" s="100"/>
      <c r="AN568" s="100"/>
      <c r="AO568" s="100"/>
    </row>
    <row r="569" ht="14.25" customHeight="1">
      <c r="A569" s="195"/>
      <c r="B569" s="100"/>
      <c r="C569" s="100"/>
      <c r="D569" s="100"/>
      <c r="E569" s="100"/>
      <c r="F569" s="206"/>
      <c r="G569" s="206"/>
      <c r="H569" s="207"/>
      <c r="I569" s="207"/>
      <c r="J569" s="207"/>
      <c r="K569" s="207"/>
      <c r="L569" s="207"/>
      <c r="M569" s="207"/>
      <c r="N569" s="207"/>
      <c r="O569" s="207"/>
      <c r="P569" s="207"/>
      <c r="Q569" s="207"/>
      <c r="R569" s="207"/>
      <c r="S569" s="207"/>
      <c r="T569" s="207"/>
      <c r="U569" s="207"/>
      <c r="V569" s="207"/>
      <c r="W569" s="208"/>
      <c r="X569" s="208"/>
      <c r="Y569" s="208"/>
      <c r="Z569" s="208"/>
      <c r="AA569" s="208"/>
      <c r="AB569" s="208"/>
      <c r="AC569" s="208"/>
      <c r="AD569" s="208"/>
      <c r="AE569" s="208"/>
      <c r="AF569" s="208"/>
      <c r="AG569" s="208"/>
      <c r="AH569" s="208"/>
      <c r="AI569" s="100"/>
      <c r="AJ569" s="100"/>
      <c r="AK569" s="100"/>
      <c r="AL569" s="100"/>
      <c r="AM569" s="100"/>
      <c r="AN569" s="100"/>
      <c r="AO569" s="100"/>
    </row>
    <row r="570" ht="14.25" customHeight="1">
      <c r="A570" s="195"/>
      <c r="B570" s="100"/>
      <c r="C570" s="100"/>
      <c r="D570" s="100"/>
      <c r="E570" s="100"/>
      <c r="F570" s="206"/>
      <c r="G570" s="206"/>
      <c r="H570" s="207"/>
      <c r="I570" s="207"/>
      <c r="J570" s="207"/>
      <c r="K570" s="207"/>
      <c r="L570" s="207"/>
      <c r="M570" s="207"/>
      <c r="N570" s="207"/>
      <c r="O570" s="207"/>
      <c r="P570" s="207"/>
      <c r="Q570" s="207"/>
      <c r="R570" s="207"/>
      <c r="S570" s="207"/>
      <c r="T570" s="207"/>
      <c r="U570" s="207"/>
      <c r="V570" s="207"/>
      <c r="W570" s="208"/>
      <c r="X570" s="208"/>
      <c r="Y570" s="208"/>
      <c r="Z570" s="208"/>
      <c r="AA570" s="208"/>
      <c r="AB570" s="208"/>
      <c r="AC570" s="208"/>
      <c r="AD570" s="208"/>
      <c r="AE570" s="208"/>
      <c r="AF570" s="208"/>
      <c r="AG570" s="208"/>
      <c r="AH570" s="208"/>
      <c r="AI570" s="100"/>
      <c r="AJ570" s="100"/>
      <c r="AK570" s="100"/>
      <c r="AL570" s="100"/>
      <c r="AM570" s="100"/>
      <c r="AN570" s="100"/>
      <c r="AO570" s="100"/>
    </row>
    <row r="571" ht="14.25" customHeight="1">
      <c r="A571" s="195"/>
      <c r="B571" s="100"/>
      <c r="C571" s="100"/>
      <c r="D571" s="100"/>
      <c r="E571" s="100"/>
      <c r="F571" s="206"/>
      <c r="G571" s="206"/>
      <c r="H571" s="207"/>
      <c r="I571" s="207"/>
      <c r="J571" s="207"/>
      <c r="K571" s="207"/>
      <c r="L571" s="207"/>
      <c r="M571" s="207"/>
      <c r="N571" s="207"/>
      <c r="O571" s="207"/>
      <c r="P571" s="207"/>
      <c r="Q571" s="207"/>
      <c r="R571" s="207"/>
      <c r="S571" s="207"/>
      <c r="T571" s="207"/>
      <c r="U571" s="207"/>
      <c r="V571" s="207"/>
      <c r="W571" s="208"/>
      <c r="X571" s="208"/>
      <c r="Y571" s="208"/>
      <c r="Z571" s="208"/>
      <c r="AA571" s="208"/>
      <c r="AB571" s="208"/>
      <c r="AC571" s="208"/>
      <c r="AD571" s="208"/>
      <c r="AE571" s="208"/>
      <c r="AF571" s="208"/>
      <c r="AG571" s="208"/>
      <c r="AH571" s="208"/>
      <c r="AI571" s="100"/>
      <c r="AJ571" s="100"/>
      <c r="AK571" s="100"/>
      <c r="AL571" s="100"/>
      <c r="AM571" s="100"/>
      <c r="AN571" s="100"/>
      <c r="AO571" s="100"/>
    </row>
    <row r="572" ht="14.25" customHeight="1">
      <c r="A572" s="195"/>
      <c r="B572" s="100"/>
      <c r="C572" s="100"/>
      <c r="D572" s="100"/>
      <c r="E572" s="100"/>
      <c r="F572" s="206"/>
      <c r="G572" s="206"/>
      <c r="H572" s="207"/>
      <c r="I572" s="207"/>
      <c r="J572" s="207"/>
      <c r="K572" s="207"/>
      <c r="L572" s="207"/>
      <c r="M572" s="207"/>
      <c r="N572" s="207"/>
      <c r="O572" s="207"/>
      <c r="P572" s="207"/>
      <c r="Q572" s="207"/>
      <c r="R572" s="207"/>
      <c r="S572" s="207"/>
      <c r="T572" s="207"/>
      <c r="U572" s="207"/>
      <c r="V572" s="207"/>
      <c r="W572" s="208"/>
      <c r="X572" s="208"/>
      <c r="Y572" s="208"/>
      <c r="Z572" s="208"/>
      <c r="AA572" s="208"/>
      <c r="AB572" s="208"/>
      <c r="AC572" s="208"/>
      <c r="AD572" s="208"/>
      <c r="AE572" s="208"/>
      <c r="AF572" s="208"/>
      <c r="AG572" s="208"/>
      <c r="AH572" s="208"/>
      <c r="AI572" s="100"/>
      <c r="AJ572" s="100"/>
      <c r="AK572" s="100"/>
      <c r="AL572" s="100"/>
      <c r="AM572" s="100"/>
      <c r="AN572" s="100"/>
      <c r="AO572" s="100"/>
    </row>
    <row r="573" ht="14.25" customHeight="1">
      <c r="A573" s="195"/>
      <c r="B573" s="100"/>
      <c r="C573" s="100"/>
      <c r="D573" s="100"/>
      <c r="E573" s="100"/>
      <c r="F573" s="206"/>
      <c r="G573" s="206"/>
      <c r="H573" s="207"/>
      <c r="I573" s="207"/>
      <c r="J573" s="207"/>
      <c r="K573" s="207"/>
      <c r="L573" s="207"/>
      <c r="M573" s="207"/>
      <c r="N573" s="207"/>
      <c r="O573" s="207"/>
      <c r="P573" s="207"/>
      <c r="Q573" s="207"/>
      <c r="R573" s="207"/>
      <c r="S573" s="207"/>
      <c r="T573" s="207"/>
      <c r="U573" s="207"/>
      <c r="V573" s="207"/>
      <c r="W573" s="208"/>
      <c r="X573" s="208"/>
      <c r="Y573" s="208"/>
      <c r="Z573" s="208"/>
      <c r="AA573" s="208"/>
      <c r="AB573" s="208"/>
      <c r="AC573" s="208"/>
      <c r="AD573" s="208"/>
      <c r="AE573" s="208"/>
      <c r="AF573" s="208"/>
      <c r="AG573" s="208"/>
      <c r="AH573" s="208"/>
      <c r="AI573" s="100"/>
      <c r="AJ573" s="100"/>
      <c r="AK573" s="100"/>
      <c r="AL573" s="100"/>
      <c r="AM573" s="100"/>
      <c r="AN573" s="100"/>
      <c r="AO573" s="100"/>
    </row>
    <row r="574" ht="14.25" customHeight="1">
      <c r="A574" s="195"/>
      <c r="B574" s="100"/>
      <c r="C574" s="100"/>
      <c r="D574" s="100"/>
      <c r="E574" s="100"/>
      <c r="F574" s="206"/>
      <c r="G574" s="206"/>
      <c r="H574" s="207"/>
      <c r="I574" s="207"/>
      <c r="J574" s="207"/>
      <c r="K574" s="207"/>
      <c r="L574" s="207"/>
      <c r="M574" s="207"/>
      <c r="N574" s="207"/>
      <c r="O574" s="207"/>
      <c r="P574" s="207"/>
      <c r="Q574" s="207"/>
      <c r="R574" s="207"/>
      <c r="S574" s="207"/>
      <c r="T574" s="207"/>
      <c r="U574" s="207"/>
      <c r="V574" s="207"/>
      <c r="W574" s="208"/>
      <c r="X574" s="208"/>
      <c r="Y574" s="208"/>
      <c r="Z574" s="208"/>
      <c r="AA574" s="208"/>
      <c r="AB574" s="208"/>
      <c r="AC574" s="208"/>
      <c r="AD574" s="208"/>
      <c r="AE574" s="208"/>
      <c r="AF574" s="208"/>
      <c r="AG574" s="208"/>
      <c r="AH574" s="208"/>
      <c r="AI574" s="100"/>
      <c r="AJ574" s="100"/>
      <c r="AK574" s="100"/>
      <c r="AL574" s="100"/>
      <c r="AM574" s="100"/>
      <c r="AN574" s="100"/>
      <c r="AO574" s="100"/>
    </row>
    <row r="575" ht="14.25" customHeight="1">
      <c r="A575" s="195"/>
      <c r="B575" s="100"/>
      <c r="C575" s="100"/>
      <c r="D575" s="100"/>
      <c r="E575" s="100"/>
      <c r="F575" s="206"/>
      <c r="G575" s="206"/>
      <c r="H575" s="207"/>
      <c r="I575" s="207"/>
      <c r="J575" s="207"/>
      <c r="K575" s="207"/>
      <c r="L575" s="207"/>
      <c r="M575" s="207"/>
      <c r="N575" s="207"/>
      <c r="O575" s="207"/>
      <c r="P575" s="207"/>
      <c r="Q575" s="207"/>
      <c r="R575" s="207"/>
      <c r="S575" s="207"/>
      <c r="T575" s="207"/>
      <c r="U575" s="207"/>
      <c r="V575" s="207"/>
      <c r="W575" s="208"/>
      <c r="X575" s="208"/>
      <c r="Y575" s="208"/>
      <c r="Z575" s="208"/>
      <c r="AA575" s="208"/>
      <c r="AB575" s="208"/>
      <c r="AC575" s="208"/>
      <c r="AD575" s="208"/>
      <c r="AE575" s="208"/>
      <c r="AF575" s="208"/>
      <c r="AG575" s="208"/>
      <c r="AH575" s="208"/>
      <c r="AI575" s="100"/>
      <c r="AJ575" s="100"/>
      <c r="AK575" s="100"/>
      <c r="AL575" s="100"/>
      <c r="AM575" s="100"/>
      <c r="AN575" s="100"/>
      <c r="AO575" s="100"/>
    </row>
    <row r="576" ht="14.25" customHeight="1">
      <c r="A576" s="195"/>
      <c r="B576" s="100"/>
      <c r="C576" s="100"/>
      <c r="D576" s="100"/>
      <c r="E576" s="100"/>
      <c r="F576" s="206"/>
      <c r="G576" s="206"/>
      <c r="H576" s="207"/>
      <c r="I576" s="207"/>
      <c r="J576" s="207"/>
      <c r="K576" s="207"/>
      <c r="L576" s="207"/>
      <c r="M576" s="207"/>
      <c r="N576" s="207"/>
      <c r="O576" s="207"/>
      <c r="P576" s="207"/>
      <c r="Q576" s="207"/>
      <c r="R576" s="207"/>
      <c r="S576" s="207"/>
      <c r="T576" s="207"/>
      <c r="U576" s="207"/>
      <c r="V576" s="207"/>
      <c r="W576" s="208"/>
      <c r="X576" s="208"/>
      <c r="Y576" s="208"/>
      <c r="Z576" s="208"/>
      <c r="AA576" s="208"/>
      <c r="AB576" s="208"/>
      <c r="AC576" s="208"/>
      <c r="AD576" s="208"/>
      <c r="AE576" s="208"/>
      <c r="AF576" s="208"/>
      <c r="AG576" s="208"/>
      <c r="AH576" s="208"/>
      <c r="AI576" s="100"/>
      <c r="AJ576" s="100"/>
      <c r="AK576" s="100"/>
      <c r="AL576" s="100"/>
      <c r="AM576" s="100"/>
      <c r="AN576" s="100"/>
      <c r="AO576" s="100"/>
    </row>
    <row r="577" ht="14.25" customHeight="1">
      <c r="A577" s="195"/>
      <c r="B577" s="100"/>
      <c r="C577" s="100"/>
      <c r="D577" s="100"/>
      <c r="E577" s="100"/>
      <c r="F577" s="206"/>
      <c r="G577" s="206"/>
      <c r="H577" s="207"/>
      <c r="I577" s="207"/>
      <c r="J577" s="207"/>
      <c r="K577" s="207"/>
      <c r="L577" s="207"/>
      <c r="M577" s="207"/>
      <c r="N577" s="207"/>
      <c r="O577" s="207"/>
      <c r="P577" s="207"/>
      <c r="Q577" s="207"/>
      <c r="R577" s="207"/>
      <c r="S577" s="207"/>
      <c r="T577" s="207"/>
      <c r="U577" s="207"/>
      <c r="V577" s="207"/>
      <c r="W577" s="208"/>
      <c r="X577" s="208"/>
      <c r="Y577" s="208"/>
      <c r="Z577" s="208"/>
      <c r="AA577" s="208"/>
      <c r="AB577" s="208"/>
      <c r="AC577" s="208"/>
      <c r="AD577" s="208"/>
      <c r="AE577" s="208"/>
      <c r="AF577" s="208"/>
      <c r="AG577" s="208"/>
      <c r="AH577" s="208"/>
      <c r="AI577" s="100"/>
      <c r="AJ577" s="100"/>
      <c r="AK577" s="100"/>
      <c r="AL577" s="100"/>
      <c r="AM577" s="100"/>
      <c r="AN577" s="100"/>
      <c r="AO577" s="100"/>
    </row>
    <row r="578" ht="14.25" customHeight="1">
      <c r="A578" s="195"/>
      <c r="B578" s="100"/>
      <c r="C578" s="100"/>
      <c r="D578" s="100"/>
      <c r="E578" s="100"/>
      <c r="F578" s="206"/>
      <c r="G578" s="206"/>
      <c r="H578" s="207"/>
      <c r="I578" s="207"/>
      <c r="J578" s="207"/>
      <c r="K578" s="207"/>
      <c r="L578" s="207"/>
      <c r="M578" s="207"/>
      <c r="N578" s="207"/>
      <c r="O578" s="207"/>
      <c r="P578" s="207"/>
      <c r="Q578" s="207"/>
      <c r="R578" s="207"/>
      <c r="S578" s="207"/>
      <c r="T578" s="207"/>
      <c r="U578" s="207"/>
      <c r="V578" s="207"/>
      <c r="W578" s="208"/>
      <c r="X578" s="208"/>
      <c r="Y578" s="208"/>
      <c r="Z578" s="208"/>
      <c r="AA578" s="208"/>
      <c r="AB578" s="208"/>
      <c r="AC578" s="208"/>
      <c r="AD578" s="208"/>
      <c r="AE578" s="208"/>
      <c r="AF578" s="208"/>
      <c r="AG578" s="208"/>
      <c r="AH578" s="208"/>
      <c r="AI578" s="100"/>
      <c r="AJ578" s="100"/>
      <c r="AK578" s="100"/>
      <c r="AL578" s="100"/>
      <c r="AM578" s="100"/>
      <c r="AN578" s="100"/>
      <c r="AO578" s="100"/>
    </row>
    <row r="579" ht="14.25" customHeight="1">
      <c r="A579" s="195"/>
      <c r="B579" s="100"/>
      <c r="C579" s="100"/>
      <c r="D579" s="100"/>
      <c r="E579" s="100"/>
      <c r="F579" s="206"/>
      <c r="G579" s="206"/>
      <c r="H579" s="207"/>
      <c r="I579" s="207"/>
      <c r="J579" s="207"/>
      <c r="K579" s="207"/>
      <c r="L579" s="207"/>
      <c r="M579" s="207"/>
      <c r="N579" s="207"/>
      <c r="O579" s="207"/>
      <c r="P579" s="207"/>
      <c r="Q579" s="207"/>
      <c r="R579" s="207"/>
      <c r="S579" s="207"/>
      <c r="T579" s="207"/>
      <c r="U579" s="207"/>
      <c r="V579" s="207"/>
      <c r="W579" s="208"/>
      <c r="X579" s="208"/>
      <c r="Y579" s="208"/>
      <c r="Z579" s="208"/>
      <c r="AA579" s="208"/>
      <c r="AB579" s="208"/>
      <c r="AC579" s="208"/>
      <c r="AD579" s="208"/>
      <c r="AE579" s="208"/>
      <c r="AF579" s="208"/>
      <c r="AG579" s="208"/>
      <c r="AH579" s="208"/>
      <c r="AI579" s="100"/>
      <c r="AJ579" s="100"/>
      <c r="AK579" s="100"/>
      <c r="AL579" s="100"/>
      <c r="AM579" s="100"/>
      <c r="AN579" s="100"/>
      <c r="AO579" s="100"/>
    </row>
    <row r="580" ht="14.25" customHeight="1">
      <c r="A580" s="195"/>
      <c r="B580" s="100"/>
      <c r="C580" s="100"/>
      <c r="D580" s="100"/>
      <c r="E580" s="100"/>
      <c r="F580" s="206"/>
      <c r="G580" s="206"/>
      <c r="H580" s="207"/>
      <c r="I580" s="207"/>
      <c r="J580" s="207"/>
      <c r="K580" s="207"/>
      <c r="L580" s="207"/>
      <c r="M580" s="207"/>
      <c r="N580" s="207"/>
      <c r="O580" s="207"/>
      <c r="P580" s="207"/>
      <c r="Q580" s="207"/>
      <c r="R580" s="207"/>
      <c r="S580" s="207"/>
      <c r="T580" s="207"/>
      <c r="U580" s="207"/>
      <c r="V580" s="207"/>
      <c r="W580" s="208"/>
      <c r="X580" s="208"/>
      <c r="Y580" s="208"/>
      <c r="Z580" s="208"/>
      <c r="AA580" s="208"/>
      <c r="AB580" s="208"/>
      <c r="AC580" s="208"/>
      <c r="AD580" s="208"/>
      <c r="AE580" s="208"/>
      <c r="AF580" s="208"/>
      <c r="AG580" s="208"/>
      <c r="AH580" s="208"/>
      <c r="AI580" s="100"/>
      <c r="AJ580" s="100"/>
      <c r="AK580" s="100"/>
      <c r="AL580" s="100"/>
      <c r="AM580" s="100"/>
      <c r="AN580" s="100"/>
      <c r="AO580" s="100"/>
    </row>
    <row r="581" ht="14.25" customHeight="1">
      <c r="A581" s="195"/>
      <c r="B581" s="100"/>
      <c r="C581" s="100"/>
      <c r="D581" s="100"/>
      <c r="E581" s="100"/>
      <c r="F581" s="206"/>
      <c r="G581" s="206"/>
      <c r="H581" s="207"/>
      <c r="I581" s="207"/>
      <c r="J581" s="207"/>
      <c r="K581" s="207"/>
      <c r="L581" s="207"/>
      <c r="M581" s="207"/>
      <c r="N581" s="207"/>
      <c r="O581" s="207"/>
      <c r="P581" s="207"/>
      <c r="Q581" s="207"/>
      <c r="R581" s="207"/>
      <c r="S581" s="207"/>
      <c r="T581" s="207"/>
      <c r="U581" s="207"/>
      <c r="V581" s="207"/>
      <c r="W581" s="208"/>
      <c r="X581" s="208"/>
      <c r="Y581" s="208"/>
      <c r="Z581" s="208"/>
      <c r="AA581" s="208"/>
      <c r="AB581" s="208"/>
      <c r="AC581" s="208"/>
      <c r="AD581" s="208"/>
      <c r="AE581" s="208"/>
      <c r="AF581" s="208"/>
      <c r="AG581" s="208"/>
      <c r="AH581" s="208"/>
      <c r="AI581" s="100"/>
      <c r="AJ581" s="100"/>
      <c r="AK581" s="100"/>
      <c r="AL581" s="100"/>
      <c r="AM581" s="100"/>
      <c r="AN581" s="100"/>
      <c r="AO581" s="100"/>
    </row>
    <row r="582" ht="14.25" customHeight="1">
      <c r="A582" s="195"/>
      <c r="B582" s="100"/>
      <c r="C582" s="100"/>
      <c r="D582" s="100"/>
      <c r="E582" s="100"/>
      <c r="F582" s="206"/>
      <c r="G582" s="206"/>
      <c r="H582" s="207"/>
      <c r="I582" s="207"/>
      <c r="J582" s="207"/>
      <c r="K582" s="207"/>
      <c r="L582" s="207"/>
      <c r="M582" s="207"/>
      <c r="N582" s="207"/>
      <c r="O582" s="207"/>
      <c r="P582" s="207"/>
      <c r="Q582" s="207"/>
      <c r="R582" s="207"/>
      <c r="S582" s="207"/>
      <c r="T582" s="207"/>
      <c r="U582" s="207"/>
      <c r="V582" s="207"/>
      <c r="W582" s="208"/>
      <c r="X582" s="208"/>
      <c r="Y582" s="208"/>
      <c r="Z582" s="208"/>
      <c r="AA582" s="208"/>
      <c r="AB582" s="208"/>
      <c r="AC582" s="208"/>
      <c r="AD582" s="208"/>
      <c r="AE582" s="208"/>
      <c r="AF582" s="208"/>
      <c r="AG582" s="208"/>
      <c r="AH582" s="208"/>
      <c r="AI582" s="100"/>
      <c r="AJ582" s="100"/>
      <c r="AK582" s="100"/>
      <c r="AL582" s="100"/>
      <c r="AM582" s="100"/>
      <c r="AN582" s="100"/>
      <c r="AO582" s="100"/>
    </row>
    <row r="583" ht="14.25" customHeight="1">
      <c r="A583" s="195"/>
      <c r="B583" s="100"/>
      <c r="C583" s="100"/>
      <c r="D583" s="100"/>
      <c r="E583" s="100"/>
      <c r="F583" s="206"/>
      <c r="G583" s="206"/>
      <c r="H583" s="207"/>
      <c r="I583" s="207"/>
      <c r="J583" s="207"/>
      <c r="K583" s="207"/>
      <c r="L583" s="207"/>
      <c r="M583" s="207"/>
      <c r="N583" s="207"/>
      <c r="O583" s="207"/>
      <c r="P583" s="207"/>
      <c r="Q583" s="207"/>
      <c r="R583" s="207"/>
      <c r="S583" s="207"/>
      <c r="T583" s="207"/>
      <c r="U583" s="207"/>
      <c r="V583" s="207"/>
      <c r="W583" s="208"/>
      <c r="X583" s="208"/>
      <c r="Y583" s="208"/>
      <c r="Z583" s="208"/>
      <c r="AA583" s="208"/>
      <c r="AB583" s="208"/>
      <c r="AC583" s="208"/>
      <c r="AD583" s="208"/>
      <c r="AE583" s="208"/>
      <c r="AF583" s="208"/>
      <c r="AG583" s="208"/>
      <c r="AH583" s="208"/>
      <c r="AI583" s="100"/>
      <c r="AJ583" s="100"/>
      <c r="AK583" s="100"/>
      <c r="AL583" s="100"/>
      <c r="AM583" s="100"/>
      <c r="AN583" s="100"/>
      <c r="AO583" s="100"/>
    </row>
    <row r="584" ht="14.25" customHeight="1">
      <c r="A584" s="195"/>
      <c r="B584" s="100"/>
      <c r="C584" s="100"/>
      <c r="D584" s="100"/>
      <c r="E584" s="100"/>
      <c r="F584" s="206"/>
      <c r="G584" s="206"/>
      <c r="H584" s="207"/>
      <c r="I584" s="207"/>
      <c r="J584" s="207"/>
      <c r="K584" s="207"/>
      <c r="L584" s="207"/>
      <c r="M584" s="207"/>
      <c r="N584" s="207"/>
      <c r="O584" s="207"/>
      <c r="P584" s="207"/>
      <c r="Q584" s="207"/>
      <c r="R584" s="207"/>
      <c r="S584" s="207"/>
      <c r="T584" s="207"/>
      <c r="U584" s="207"/>
      <c r="V584" s="207"/>
      <c r="W584" s="208"/>
      <c r="X584" s="208"/>
      <c r="Y584" s="208"/>
      <c r="Z584" s="208"/>
      <c r="AA584" s="208"/>
      <c r="AB584" s="208"/>
      <c r="AC584" s="208"/>
      <c r="AD584" s="208"/>
      <c r="AE584" s="208"/>
      <c r="AF584" s="208"/>
      <c r="AG584" s="208"/>
      <c r="AH584" s="208"/>
      <c r="AI584" s="100"/>
      <c r="AJ584" s="100"/>
      <c r="AK584" s="100"/>
      <c r="AL584" s="100"/>
      <c r="AM584" s="100"/>
      <c r="AN584" s="100"/>
      <c r="AO584" s="100"/>
    </row>
    <row r="585" ht="14.25" customHeight="1">
      <c r="A585" s="195"/>
      <c r="B585" s="100"/>
      <c r="C585" s="100"/>
      <c r="D585" s="100"/>
      <c r="E585" s="100"/>
      <c r="F585" s="206"/>
      <c r="G585" s="206"/>
      <c r="H585" s="207"/>
      <c r="I585" s="207"/>
      <c r="J585" s="207"/>
      <c r="K585" s="207"/>
      <c r="L585" s="207"/>
      <c r="M585" s="207"/>
      <c r="N585" s="207"/>
      <c r="O585" s="207"/>
      <c r="P585" s="207"/>
      <c r="Q585" s="207"/>
      <c r="R585" s="207"/>
      <c r="S585" s="207"/>
      <c r="T585" s="207"/>
      <c r="U585" s="207"/>
      <c r="V585" s="207"/>
      <c r="W585" s="208"/>
      <c r="X585" s="208"/>
      <c r="Y585" s="208"/>
      <c r="Z585" s="208"/>
      <c r="AA585" s="208"/>
      <c r="AB585" s="208"/>
      <c r="AC585" s="208"/>
      <c r="AD585" s="208"/>
      <c r="AE585" s="208"/>
      <c r="AF585" s="208"/>
      <c r="AG585" s="208"/>
      <c r="AH585" s="208"/>
      <c r="AI585" s="100"/>
      <c r="AJ585" s="100"/>
      <c r="AK585" s="100"/>
      <c r="AL585" s="100"/>
      <c r="AM585" s="100"/>
      <c r="AN585" s="100"/>
      <c r="AO585" s="100"/>
    </row>
    <row r="586" ht="14.25" customHeight="1">
      <c r="A586" s="195"/>
      <c r="B586" s="100"/>
      <c r="C586" s="100"/>
      <c r="D586" s="100"/>
      <c r="E586" s="100"/>
      <c r="F586" s="206"/>
      <c r="G586" s="206"/>
      <c r="H586" s="207"/>
      <c r="I586" s="207"/>
      <c r="J586" s="207"/>
      <c r="K586" s="207"/>
      <c r="L586" s="207"/>
      <c r="M586" s="207"/>
      <c r="N586" s="207"/>
      <c r="O586" s="207"/>
      <c r="P586" s="207"/>
      <c r="Q586" s="207"/>
      <c r="R586" s="207"/>
      <c r="S586" s="207"/>
      <c r="T586" s="207"/>
      <c r="U586" s="207"/>
      <c r="V586" s="207"/>
      <c r="W586" s="208"/>
      <c r="X586" s="208"/>
      <c r="Y586" s="208"/>
      <c r="Z586" s="208"/>
      <c r="AA586" s="208"/>
      <c r="AB586" s="208"/>
      <c r="AC586" s="208"/>
      <c r="AD586" s="208"/>
      <c r="AE586" s="208"/>
      <c r="AF586" s="208"/>
      <c r="AG586" s="208"/>
      <c r="AH586" s="208"/>
      <c r="AI586" s="100"/>
      <c r="AJ586" s="100"/>
      <c r="AK586" s="100"/>
      <c r="AL586" s="100"/>
      <c r="AM586" s="100"/>
      <c r="AN586" s="100"/>
      <c r="AO586" s="100"/>
    </row>
    <row r="587" ht="14.25" customHeight="1">
      <c r="A587" s="195"/>
      <c r="B587" s="100"/>
      <c r="C587" s="100"/>
      <c r="D587" s="100"/>
      <c r="E587" s="100"/>
      <c r="F587" s="206"/>
      <c r="G587" s="206"/>
      <c r="H587" s="207"/>
      <c r="I587" s="207"/>
      <c r="J587" s="207"/>
      <c r="K587" s="207"/>
      <c r="L587" s="207"/>
      <c r="M587" s="207"/>
      <c r="N587" s="207"/>
      <c r="O587" s="207"/>
      <c r="P587" s="207"/>
      <c r="Q587" s="207"/>
      <c r="R587" s="207"/>
      <c r="S587" s="207"/>
      <c r="T587" s="207"/>
      <c r="U587" s="207"/>
      <c r="V587" s="207"/>
      <c r="W587" s="208"/>
      <c r="X587" s="208"/>
      <c r="Y587" s="208"/>
      <c r="Z587" s="208"/>
      <c r="AA587" s="208"/>
      <c r="AB587" s="208"/>
      <c r="AC587" s="208"/>
      <c r="AD587" s="208"/>
      <c r="AE587" s="208"/>
      <c r="AF587" s="208"/>
      <c r="AG587" s="208"/>
      <c r="AH587" s="208"/>
      <c r="AI587" s="100"/>
      <c r="AJ587" s="100"/>
      <c r="AK587" s="100"/>
      <c r="AL587" s="100"/>
      <c r="AM587" s="100"/>
      <c r="AN587" s="100"/>
      <c r="AO587" s="100"/>
    </row>
    <row r="588" ht="14.25" customHeight="1">
      <c r="A588" s="195"/>
      <c r="B588" s="100"/>
      <c r="C588" s="100"/>
      <c r="D588" s="100"/>
      <c r="E588" s="100"/>
      <c r="F588" s="206"/>
      <c r="G588" s="206"/>
      <c r="H588" s="207"/>
      <c r="I588" s="207"/>
      <c r="J588" s="207"/>
      <c r="K588" s="207"/>
      <c r="L588" s="207"/>
      <c r="M588" s="207"/>
      <c r="N588" s="207"/>
      <c r="O588" s="207"/>
      <c r="P588" s="207"/>
      <c r="Q588" s="207"/>
      <c r="R588" s="207"/>
      <c r="S588" s="207"/>
      <c r="T588" s="207"/>
      <c r="U588" s="207"/>
      <c r="V588" s="207"/>
      <c r="W588" s="208"/>
      <c r="X588" s="208"/>
      <c r="Y588" s="208"/>
      <c r="Z588" s="208"/>
      <c r="AA588" s="208"/>
      <c r="AB588" s="208"/>
      <c r="AC588" s="208"/>
      <c r="AD588" s="208"/>
      <c r="AE588" s="208"/>
      <c r="AF588" s="208"/>
      <c r="AG588" s="208"/>
      <c r="AH588" s="208"/>
      <c r="AI588" s="100"/>
      <c r="AJ588" s="100"/>
      <c r="AK588" s="100"/>
      <c r="AL588" s="100"/>
      <c r="AM588" s="100"/>
      <c r="AN588" s="100"/>
      <c r="AO588" s="100"/>
    </row>
    <row r="589" ht="14.25" customHeight="1">
      <c r="A589" s="195"/>
      <c r="B589" s="100"/>
      <c r="C589" s="100"/>
      <c r="D589" s="100"/>
      <c r="E589" s="100"/>
      <c r="F589" s="206"/>
      <c r="G589" s="206"/>
      <c r="H589" s="207"/>
      <c r="I589" s="207"/>
      <c r="J589" s="207"/>
      <c r="K589" s="207"/>
      <c r="L589" s="207"/>
      <c r="M589" s="207"/>
      <c r="N589" s="207"/>
      <c r="O589" s="207"/>
      <c r="P589" s="207"/>
      <c r="Q589" s="207"/>
      <c r="R589" s="207"/>
      <c r="S589" s="207"/>
      <c r="T589" s="207"/>
      <c r="U589" s="207"/>
      <c r="V589" s="207"/>
      <c r="W589" s="208"/>
      <c r="X589" s="208"/>
      <c r="Y589" s="208"/>
      <c r="Z589" s="208"/>
      <c r="AA589" s="208"/>
      <c r="AB589" s="208"/>
      <c r="AC589" s="208"/>
      <c r="AD589" s="208"/>
      <c r="AE589" s="208"/>
      <c r="AF589" s="208"/>
      <c r="AG589" s="208"/>
      <c r="AH589" s="208"/>
      <c r="AI589" s="100"/>
      <c r="AJ589" s="100"/>
      <c r="AK589" s="100"/>
      <c r="AL589" s="100"/>
      <c r="AM589" s="100"/>
      <c r="AN589" s="100"/>
      <c r="AO589" s="100"/>
    </row>
    <row r="590" ht="14.25" customHeight="1">
      <c r="A590" s="195"/>
      <c r="B590" s="100"/>
      <c r="C590" s="100"/>
      <c r="D590" s="100"/>
      <c r="E590" s="100"/>
      <c r="F590" s="206"/>
      <c r="G590" s="206"/>
      <c r="H590" s="207"/>
      <c r="I590" s="207"/>
      <c r="J590" s="207"/>
      <c r="K590" s="207"/>
      <c r="L590" s="207"/>
      <c r="M590" s="207"/>
      <c r="N590" s="207"/>
      <c r="O590" s="207"/>
      <c r="P590" s="207"/>
      <c r="Q590" s="207"/>
      <c r="R590" s="207"/>
      <c r="S590" s="207"/>
      <c r="T590" s="207"/>
      <c r="U590" s="207"/>
      <c r="V590" s="207"/>
      <c r="W590" s="208"/>
      <c r="X590" s="208"/>
      <c r="Y590" s="208"/>
      <c r="Z590" s="208"/>
      <c r="AA590" s="208"/>
      <c r="AB590" s="208"/>
      <c r="AC590" s="208"/>
      <c r="AD590" s="208"/>
      <c r="AE590" s="208"/>
      <c r="AF590" s="208"/>
      <c r="AG590" s="208"/>
      <c r="AH590" s="208"/>
      <c r="AI590" s="100"/>
      <c r="AJ590" s="100"/>
      <c r="AK590" s="100"/>
      <c r="AL590" s="100"/>
      <c r="AM590" s="100"/>
      <c r="AN590" s="100"/>
      <c r="AO590" s="100"/>
    </row>
    <row r="591" ht="14.25" customHeight="1">
      <c r="A591" s="195"/>
      <c r="B591" s="100"/>
      <c r="C591" s="100"/>
      <c r="D591" s="100"/>
      <c r="E591" s="100"/>
      <c r="F591" s="206"/>
      <c r="G591" s="206"/>
      <c r="H591" s="207"/>
      <c r="I591" s="207"/>
      <c r="J591" s="207"/>
      <c r="K591" s="207"/>
      <c r="L591" s="207"/>
      <c r="M591" s="207"/>
      <c r="N591" s="207"/>
      <c r="O591" s="207"/>
      <c r="P591" s="207"/>
      <c r="Q591" s="207"/>
      <c r="R591" s="207"/>
      <c r="S591" s="207"/>
      <c r="T591" s="207"/>
      <c r="U591" s="207"/>
      <c r="V591" s="207"/>
      <c r="W591" s="208"/>
      <c r="X591" s="208"/>
      <c r="Y591" s="208"/>
      <c r="Z591" s="208"/>
      <c r="AA591" s="208"/>
      <c r="AB591" s="208"/>
      <c r="AC591" s="208"/>
      <c r="AD591" s="208"/>
      <c r="AE591" s="208"/>
      <c r="AF591" s="208"/>
      <c r="AG591" s="208"/>
      <c r="AH591" s="208"/>
      <c r="AI591" s="100"/>
      <c r="AJ591" s="100"/>
      <c r="AK591" s="100"/>
      <c r="AL591" s="100"/>
      <c r="AM591" s="100"/>
      <c r="AN591" s="100"/>
      <c r="AO591" s="100"/>
    </row>
    <row r="592" ht="14.25" customHeight="1">
      <c r="A592" s="195"/>
      <c r="B592" s="100"/>
      <c r="C592" s="100"/>
      <c r="D592" s="100"/>
      <c r="E592" s="100"/>
      <c r="F592" s="206"/>
      <c r="G592" s="206"/>
      <c r="H592" s="207"/>
      <c r="I592" s="207"/>
      <c r="J592" s="207"/>
      <c r="K592" s="207"/>
      <c r="L592" s="207"/>
      <c r="M592" s="207"/>
      <c r="N592" s="207"/>
      <c r="O592" s="207"/>
      <c r="P592" s="207"/>
      <c r="Q592" s="207"/>
      <c r="R592" s="207"/>
      <c r="S592" s="207"/>
      <c r="T592" s="207"/>
      <c r="U592" s="207"/>
      <c r="V592" s="207"/>
      <c r="W592" s="208"/>
      <c r="X592" s="208"/>
      <c r="Y592" s="208"/>
      <c r="Z592" s="208"/>
      <c r="AA592" s="208"/>
      <c r="AB592" s="208"/>
      <c r="AC592" s="208"/>
      <c r="AD592" s="208"/>
      <c r="AE592" s="208"/>
      <c r="AF592" s="208"/>
      <c r="AG592" s="208"/>
      <c r="AH592" s="208"/>
      <c r="AI592" s="100"/>
      <c r="AJ592" s="100"/>
      <c r="AK592" s="100"/>
      <c r="AL592" s="100"/>
      <c r="AM592" s="100"/>
      <c r="AN592" s="100"/>
      <c r="AO592" s="100"/>
    </row>
    <row r="593" ht="14.25" customHeight="1">
      <c r="A593" s="195"/>
      <c r="B593" s="100"/>
      <c r="C593" s="100"/>
      <c r="D593" s="100"/>
      <c r="E593" s="100"/>
      <c r="F593" s="206"/>
      <c r="G593" s="206"/>
      <c r="H593" s="207"/>
      <c r="I593" s="207"/>
      <c r="J593" s="207"/>
      <c r="K593" s="207"/>
      <c r="L593" s="207"/>
      <c r="M593" s="207"/>
      <c r="N593" s="207"/>
      <c r="O593" s="207"/>
      <c r="P593" s="207"/>
      <c r="Q593" s="207"/>
      <c r="R593" s="207"/>
      <c r="S593" s="207"/>
      <c r="T593" s="207"/>
      <c r="U593" s="207"/>
      <c r="V593" s="207"/>
      <c r="W593" s="208"/>
      <c r="X593" s="208"/>
      <c r="Y593" s="208"/>
      <c r="Z593" s="208"/>
      <c r="AA593" s="208"/>
      <c r="AB593" s="208"/>
      <c r="AC593" s="208"/>
      <c r="AD593" s="208"/>
      <c r="AE593" s="208"/>
      <c r="AF593" s="208"/>
      <c r="AG593" s="208"/>
      <c r="AH593" s="208"/>
      <c r="AI593" s="100"/>
      <c r="AJ593" s="100"/>
      <c r="AK593" s="100"/>
      <c r="AL593" s="100"/>
      <c r="AM593" s="100"/>
      <c r="AN593" s="100"/>
      <c r="AO593" s="100"/>
    </row>
    <row r="594" ht="14.25" customHeight="1">
      <c r="A594" s="195"/>
      <c r="B594" s="100"/>
      <c r="C594" s="100"/>
      <c r="D594" s="100"/>
      <c r="E594" s="100"/>
      <c r="F594" s="206"/>
      <c r="G594" s="206"/>
      <c r="H594" s="207"/>
      <c r="I594" s="207"/>
      <c r="J594" s="207"/>
      <c r="K594" s="207"/>
      <c r="L594" s="207"/>
      <c r="M594" s="207"/>
      <c r="N594" s="207"/>
      <c r="O594" s="207"/>
      <c r="P594" s="207"/>
      <c r="Q594" s="207"/>
      <c r="R594" s="207"/>
      <c r="S594" s="207"/>
      <c r="T594" s="207"/>
      <c r="U594" s="207"/>
      <c r="V594" s="207"/>
      <c r="W594" s="208"/>
      <c r="X594" s="208"/>
      <c r="Y594" s="208"/>
      <c r="Z594" s="208"/>
      <c r="AA594" s="208"/>
      <c r="AB594" s="208"/>
      <c r="AC594" s="208"/>
      <c r="AD594" s="208"/>
      <c r="AE594" s="208"/>
      <c r="AF594" s="208"/>
      <c r="AG594" s="208"/>
      <c r="AH594" s="208"/>
      <c r="AI594" s="100"/>
      <c r="AJ594" s="100"/>
      <c r="AK594" s="100"/>
      <c r="AL594" s="100"/>
      <c r="AM594" s="100"/>
      <c r="AN594" s="100"/>
      <c r="AO594" s="100"/>
    </row>
    <row r="595" ht="14.25" customHeight="1">
      <c r="A595" s="195"/>
      <c r="B595" s="100"/>
      <c r="C595" s="100"/>
      <c r="D595" s="100"/>
      <c r="E595" s="100"/>
      <c r="F595" s="206"/>
      <c r="G595" s="206"/>
      <c r="H595" s="207"/>
      <c r="I595" s="207"/>
      <c r="J595" s="207"/>
      <c r="K595" s="207"/>
      <c r="L595" s="207"/>
      <c r="M595" s="207"/>
      <c r="N595" s="207"/>
      <c r="O595" s="207"/>
      <c r="P595" s="207"/>
      <c r="Q595" s="207"/>
      <c r="R595" s="207"/>
      <c r="S595" s="207"/>
      <c r="T595" s="207"/>
      <c r="U595" s="207"/>
      <c r="V595" s="207"/>
      <c r="W595" s="208"/>
      <c r="X595" s="208"/>
      <c r="Y595" s="208"/>
      <c r="Z595" s="208"/>
      <c r="AA595" s="208"/>
      <c r="AB595" s="208"/>
      <c r="AC595" s="208"/>
      <c r="AD595" s="208"/>
      <c r="AE595" s="208"/>
      <c r="AF595" s="208"/>
      <c r="AG595" s="208"/>
      <c r="AH595" s="208"/>
      <c r="AI595" s="100"/>
      <c r="AJ595" s="100"/>
      <c r="AK595" s="100"/>
      <c r="AL595" s="100"/>
      <c r="AM595" s="100"/>
      <c r="AN595" s="100"/>
      <c r="AO595" s="100"/>
    </row>
    <row r="596" ht="14.25" customHeight="1">
      <c r="A596" s="195"/>
      <c r="B596" s="100"/>
      <c r="C596" s="100"/>
      <c r="D596" s="100"/>
      <c r="E596" s="100"/>
      <c r="F596" s="206"/>
      <c r="G596" s="206"/>
      <c r="H596" s="207"/>
      <c r="I596" s="207"/>
      <c r="J596" s="207"/>
      <c r="K596" s="207"/>
      <c r="L596" s="207"/>
      <c r="M596" s="207"/>
      <c r="N596" s="207"/>
      <c r="O596" s="207"/>
      <c r="P596" s="207"/>
      <c r="Q596" s="207"/>
      <c r="R596" s="207"/>
      <c r="S596" s="207"/>
      <c r="T596" s="207"/>
      <c r="U596" s="207"/>
      <c r="V596" s="207"/>
      <c r="W596" s="208"/>
      <c r="X596" s="208"/>
      <c r="Y596" s="208"/>
      <c r="Z596" s="208"/>
      <c r="AA596" s="208"/>
      <c r="AB596" s="208"/>
      <c r="AC596" s="208"/>
      <c r="AD596" s="208"/>
      <c r="AE596" s="208"/>
      <c r="AF596" s="208"/>
      <c r="AG596" s="208"/>
      <c r="AH596" s="208"/>
      <c r="AI596" s="100"/>
      <c r="AJ596" s="100"/>
      <c r="AK596" s="100"/>
      <c r="AL596" s="100"/>
      <c r="AM596" s="100"/>
      <c r="AN596" s="100"/>
      <c r="AO596" s="100"/>
    </row>
    <row r="597" ht="14.25" customHeight="1">
      <c r="A597" s="195"/>
      <c r="B597" s="100"/>
      <c r="C597" s="100"/>
      <c r="D597" s="100"/>
      <c r="E597" s="100"/>
      <c r="F597" s="206"/>
      <c r="G597" s="206"/>
      <c r="H597" s="207"/>
      <c r="I597" s="207"/>
      <c r="J597" s="207"/>
      <c r="K597" s="207"/>
      <c r="L597" s="207"/>
      <c r="M597" s="207"/>
      <c r="N597" s="207"/>
      <c r="O597" s="207"/>
      <c r="P597" s="207"/>
      <c r="Q597" s="207"/>
      <c r="R597" s="207"/>
      <c r="S597" s="207"/>
      <c r="T597" s="207"/>
      <c r="U597" s="207"/>
      <c r="V597" s="207"/>
      <c r="W597" s="208"/>
      <c r="X597" s="208"/>
      <c r="Y597" s="208"/>
      <c r="Z597" s="208"/>
      <c r="AA597" s="208"/>
      <c r="AB597" s="208"/>
      <c r="AC597" s="208"/>
      <c r="AD597" s="208"/>
      <c r="AE597" s="208"/>
      <c r="AF597" s="208"/>
      <c r="AG597" s="208"/>
      <c r="AH597" s="208"/>
      <c r="AI597" s="100"/>
      <c r="AJ597" s="100"/>
      <c r="AK597" s="100"/>
      <c r="AL597" s="100"/>
      <c r="AM597" s="100"/>
      <c r="AN597" s="100"/>
      <c r="AO597" s="100"/>
    </row>
    <row r="598" ht="14.25" customHeight="1">
      <c r="A598" s="195"/>
      <c r="B598" s="100"/>
      <c r="C598" s="100"/>
      <c r="D598" s="100"/>
      <c r="E598" s="100"/>
      <c r="F598" s="206"/>
      <c r="G598" s="206"/>
      <c r="H598" s="207"/>
      <c r="I598" s="207"/>
      <c r="J598" s="207"/>
      <c r="K598" s="207"/>
      <c r="L598" s="207"/>
      <c r="M598" s="207"/>
      <c r="N598" s="207"/>
      <c r="O598" s="207"/>
      <c r="P598" s="207"/>
      <c r="Q598" s="207"/>
      <c r="R598" s="207"/>
      <c r="S598" s="207"/>
      <c r="T598" s="207"/>
      <c r="U598" s="207"/>
      <c r="V598" s="207"/>
      <c r="W598" s="208"/>
      <c r="X598" s="208"/>
      <c r="Y598" s="208"/>
      <c r="Z598" s="208"/>
      <c r="AA598" s="208"/>
      <c r="AB598" s="208"/>
      <c r="AC598" s="208"/>
      <c r="AD598" s="208"/>
      <c r="AE598" s="208"/>
      <c r="AF598" s="208"/>
      <c r="AG598" s="208"/>
      <c r="AH598" s="208"/>
      <c r="AI598" s="100"/>
      <c r="AJ598" s="100"/>
      <c r="AK598" s="100"/>
      <c r="AL598" s="100"/>
      <c r="AM598" s="100"/>
      <c r="AN598" s="100"/>
      <c r="AO598" s="100"/>
    </row>
    <row r="599" ht="14.25" customHeight="1">
      <c r="A599" s="195"/>
      <c r="B599" s="100"/>
      <c r="C599" s="100"/>
      <c r="D599" s="100"/>
      <c r="E599" s="100"/>
      <c r="F599" s="206"/>
      <c r="G599" s="206"/>
      <c r="H599" s="207"/>
      <c r="I599" s="207"/>
      <c r="J599" s="207"/>
      <c r="K599" s="207"/>
      <c r="L599" s="207"/>
      <c r="M599" s="207"/>
      <c r="N599" s="207"/>
      <c r="O599" s="207"/>
      <c r="P599" s="207"/>
      <c r="Q599" s="207"/>
      <c r="R599" s="207"/>
      <c r="S599" s="207"/>
      <c r="T599" s="207"/>
      <c r="U599" s="207"/>
      <c r="V599" s="207"/>
      <c r="W599" s="208"/>
      <c r="X599" s="208"/>
      <c r="Y599" s="208"/>
      <c r="Z599" s="208"/>
      <c r="AA599" s="208"/>
      <c r="AB599" s="208"/>
      <c r="AC599" s="208"/>
      <c r="AD599" s="208"/>
      <c r="AE599" s="208"/>
      <c r="AF599" s="208"/>
      <c r="AG599" s="208"/>
      <c r="AH599" s="208"/>
      <c r="AI599" s="100"/>
      <c r="AJ599" s="100"/>
      <c r="AK599" s="100"/>
      <c r="AL599" s="100"/>
      <c r="AM599" s="100"/>
      <c r="AN599" s="100"/>
      <c r="AO599" s="100"/>
    </row>
    <row r="600" ht="14.25" customHeight="1">
      <c r="A600" s="195"/>
      <c r="B600" s="100"/>
      <c r="C600" s="100"/>
      <c r="D600" s="100"/>
      <c r="E600" s="100"/>
      <c r="F600" s="206"/>
      <c r="G600" s="206"/>
      <c r="H600" s="207"/>
      <c r="I600" s="207"/>
      <c r="J600" s="207"/>
      <c r="K600" s="207"/>
      <c r="L600" s="207"/>
      <c r="M600" s="207"/>
      <c r="N600" s="207"/>
      <c r="O600" s="207"/>
      <c r="P600" s="207"/>
      <c r="Q600" s="207"/>
      <c r="R600" s="207"/>
      <c r="S600" s="207"/>
      <c r="T600" s="207"/>
      <c r="U600" s="207"/>
      <c r="V600" s="207"/>
      <c r="W600" s="208"/>
      <c r="X600" s="208"/>
      <c r="Y600" s="208"/>
      <c r="Z600" s="208"/>
      <c r="AA600" s="208"/>
      <c r="AB600" s="208"/>
      <c r="AC600" s="208"/>
      <c r="AD600" s="208"/>
      <c r="AE600" s="208"/>
      <c r="AF600" s="208"/>
      <c r="AG600" s="208"/>
      <c r="AH600" s="208"/>
      <c r="AI600" s="100"/>
      <c r="AJ600" s="100"/>
      <c r="AK600" s="100"/>
      <c r="AL600" s="100"/>
      <c r="AM600" s="100"/>
      <c r="AN600" s="100"/>
      <c r="AO600" s="100"/>
    </row>
    <row r="601" ht="14.25" customHeight="1">
      <c r="A601" s="195"/>
      <c r="B601" s="100"/>
      <c r="C601" s="100"/>
      <c r="D601" s="100"/>
      <c r="E601" s="100"/>
      <c r="F601" s="206"/>
      <c r="G601" s="206"/>
      <c r="H601" s="207"/>
      <c r="I601" s="207"/>
      <c r="J601" s="207"/>
      <c r="K601" s="207"/>
      <c r="L601" s="207"/>
      <c r="M601" s="207"/>
      <c r="N601" s="207"/>
      <c r="O601" s="207"/>
      <c r="P601" s="207"/>
      <c r="Q601" s="207"/>
      <c r="R601" s="207"/>
      <c r="S601" s="207"/>
      <c r="T601" s="207"/>
      <c r="U601" s="207"/>
      <c r="V601" s="207"/>
      <c r="W601" s="208"/>
      <c r="X601" s="208"/>
      <c r="Y601" s="208"/>
      <c r="Z601" s="208"/>
      <c r="AA601" s="208"/>
      <c r="AB601" s="208"/>
      <c r="AC601" s="208"/>
      <c r="AD601" s="208"/>
      <c r="AE601" s="208"/>
      <c r="AF601" s="208"/>
      <c r="AG601" s="208"/>
      <c r="AH601" s="208"/>
      <c r="AI601" s="100"/>
      <c r="AJ601" s="100"/>
      <c r="AK601" s="100"/>
      <c r="AL601" s="100"/>
      <c r="AM601" s="100"/>
      <c r="AN601" s="100"/>
      <c r="AO601" s="100"/>
    </row>
    <row r="602" ht="14.25" customHeight="1">
      <c r="A602" s="195"/>
      <c r="B602" s="100"/>
      <c r="C602" s="100"/>
      <c r="D602" s="100"/>
      <c r="E602" s="100"/>
      <c r="F602" s="206"/>
      <c r="G602" s="206"/>
      <c r="H602" s="207"/>
      <c r="I602" s="207"/>
      <c r="J602" s="207"/>
      <c r="K602" s="207"/>
      <c r="L602" s="207"/>
      <c r="M602" s="207"/>
      <c r="N602" s="207"/>
      <c r="O602" s="207"/>
      <c r="P602" s="207"/>
      <c r="Q602" s="207"/>
      <c r="R602" s="207"/>
      <c r="S602" s="207"/>
      <c r="T602" s="207"/>
      <c r="U602" s="207"/>
      <c r="V602" s="207"/>
      <c r="W602" s="208"/>
      <c r="X602" s="208"/>
      <c r="Y602" s="208"/>
      <c r="Z602" s="208"/>
      <c r="AA602" s="208"/>
      <c r="AB602" s="208"/>
      <c r="AC602" s="208"/>
      <c r="AD602" s="208"/>
      <c r="AE602" s="208"/>
      <c r="AF602" s="208"/>
      <c r="AG602" s="208"/>
      <c r="AH602" s="208"/>
      <c r="AI602" s="100"/>
      <c r="AJ602" s="100"/>
      <c r="AK602" s="100"/>
      <c r="AL602" s="100"/>
      <c r="AM602" s="100"/>
      <c r="AN602" s="100"/>
      <c r="AO602" s="100"/>
    </row>
    <row r="603" ht="14.25" customHeight="1">
      <c r="A603" s="195"/>
      <c r="B603" s="100"/>
      <c r="C603" s="100"/>
      <c r="D603" s="100"/>
      <c r="E603" s="100"/>
      <c r="F603" s="206"/>
      <c r="G603" s="206"/>
      <c r="H603" s="207"/>
      <c r="I603" s="207"/>
      <c r="J603" s="207"/>
      <c r="K603" s="207"/>
      <c r="L603" s="207"/>
      <c r="M603" s="207"/>
      <c r="N603" s="207"/>
      <c r="O603" s="207"/>
      <c r="P603" s="207"/>
      <c r="Q603" s="207"/>
      <c r="R603" s="207"/>
      <c r="S603" s="207"/>
      <c r="T603" s="207"/>
      <c r="U603" s="207"/>
      <c r="V603" s="207"/>
      <c r="W603" s="208"/>
      <c r="X603" s="208"/>
      <c r="Y603" s="208"/>
      <c r="Z603" s="208"/>
      <c r="AA603" s="208"/>
      <c r="AB603" s="208"/>
      <c r="AC603" s="208"/>
      <c r="AD603" s="208"/>
      <c r="AE603" s="208"/>
      <c r="AF603" s="208"/>
      <c r="AG603" s="208"/>
      <c r="AH603" s="208"/>
      <c r="AI603" s="100"/>
      <c r="AJ603" s="100"/>
      <c r="AK603" s="100"/>
      <c r="AL603" s="100"/>
      <c r="AM603" s="100"/>
      <c r="AN603" s="100"/>
      <c r="AO603" s="100"/>
    </row>
    <row r="604" ht="14.25" customHeight="1">
      <c r="A604" s="195"/>
      <c r="B604" s="100"/>
      <c r="C604" s="100"/>
      <c r="D604" s="100"/>
      <c r="E604" s="100"/>
      <c r="F604" s="206"/>
      <c r="G604" s="206"/>
      <c r="H604" s="207"/>
      <c r="I604" s="207"/>
      <c r="J604" s="207"/>
      <c r="K604" s="207"/>
      <c r="L604" s="207"/>
      <c r="M604" s="207"/>
      <c r="N604" s="207"/>
      <c r="O604" s="207"/>
      <c r="P604" s="207"/>
      <c r="Q604" s="207"/>
      <c r="R604" s="207"/>
      <c r="S604" s="207"/>
      <c r="T604" s="207"/>
      <c r="U604" s="207"/>
      <c r="V604" s="207"/>
      <c r="W604" s="208"/>
      <c r="X604" s="208"/>
      <c r="Y604" s="208"/>
      <c r="Z604" s="208"/>
      <c r="AA604" s="208"/>
      <c r="AB604" s="208"/>
      <c r="AC604" s="208"/>
      <c r="AD604" s="208"/>
      <c r="AE604" s="208"/>
      <c r="AF604" s="208"/>
      <c r="AG604" s="208"/>
      <c r="AH604" s="208"/>
      <c r="AI604" s="100"/>
      <c r="AJ604" s="100"/>
      <c r="AK604" s="100"/>
      <c r="AL604" s="100"/>
      <c r="AM604" s="100"/>
      <c r="AN604" s="100"/>
      <c r="AO604" s="100"/>
    </row>
    <row r="605" ht="14.25" customHeight="1">
      <c r="A605" s="195"/>
      <c r="B605" s="100"/>
      <c r="C605" s="100"/>
      <c r="D605" s="100"/>
      <c r="E605" s="100"/>
      <c r="F605" s="206"/>
      <c r="G605" s="206"/>
      <c r="H605" s="207"/>
      <c r="I605" s="207"/>
      <c r="J605" s="207"/>
      <c r="K605" s="207"/>
      <c r="L605" s="207"/>
      <c r="M605" s="207"/>
      <c r="N605" s="207"/>
      <c r="O605" s="207"/>
      <c r="P605" s="207"/>
      <c r="Q605" s="207"/>
      <c r="R605" s="207"/>
      <c r="S605" s="207"/>
      <c r="T605" s="207"/>
      <c r="U605" s="207"/>
      <c r="V605" s="207"/>
      <c r="W605" s="208"/>
      <c r="X605" s="208"/>
      <c r="Y605" s="208"/>
      <c r="Z605" s="208"/>
      <c r="AA605" s="208"/>
      <c r="AB605" s="208"/>
      <c r="AC605" s="208"/>
      <c r="AD605" s="208"/>
      <c r="AE605" s="208"/>
      <c r="AF605" s="208"/>
      <c r="AG605" s="208"/>
      <c r="AH605" s="208"/>
      <c r="AI605" s="100"/>
      <c r="AJ605" s="100"/>
      <c r="AK605" s="100"/>
      <c r="AL605" s="100"/>
      <c r="AM605" s="100"/>
      <c r="AN605" s="100"/>
      <c r="AO605" s="100"/>
    </row>
    <row r="606" ht="14.25" customHeight="1">
      <c r="A606" s="195"/>
      <c r="B606" s="100"/>
      <c r="C606" s="100"/>
      <c r="D606" s="100"/>
      <c r="E606" s="100"/>
      <c r="F606" s="206"/>
      <c r="G606" s="206"/>
      <c r="H606" s="207"/>
      <c r="I606" s="207"/>
      <c r="J606" s="207"/>
      <c r="K606" s="207"/>
      <c r="L606" s="207"/>
      <c r="M606" s="207"/>
      <c r="N606" s="207"/>
      <c r="O606" s="207"/>
      <c r="P606" s="207"/>
      <c r="Q606" s="207"/>
      <c r="R606" s="207"/>
      <c r="S606" s="207"/>
      <c r="T606" s="207"/>
      <c r="U606" s="207"/>
      <c r="V606" s="207"/>
      <c r="W606" s="208"/>
      <c r="X606" s="208"/>
      <c r="Y606" s="208"/>
      <c r="Z606" s="208"/>
      <c r="AA606" s="208"/>
      <c r="AB606" s="208"/>
      <c r="AC606" s="208"/>
      <c r="AD606" s="208"/>
      <c r="AE606" s="208"/>
      <c r="AF606" s="208"/>
      <c r="AG606" s="208"/>
      <c r="AH606" s="208"/>
      <c r="AI606" s="100"/>
      <c r="AJ606" s="100"/>
      <c r="AK606" s="100"/>
      <c r="AL606" s="100"/>
      <c r="AM606" s="100"/>
      <c r="AN606" s="100"/>
      <c r="AO606" s="100"/>
    </row>
    <row r="607" ht="14.25" customHeight="1">
      <c r="A607" s="195"/>
      <c r="B607" s="100"/>
      <c r="C607" s="100"/>
      <c r="D607" s="100"/>
      <c r="E607" s="100"/>
      <c r="F607" s="206"/>
      <c r="G607" s="206"/>
      <c r="H607" s="207"/>
      <c r="I607" s="207"/>
      <c r="J607" s="207"/>
      <c r="K607" s="207"/>
      <c r="L607" s="207"/>
      <c r="M607" s="207"/>
      <c r="N607" s="207"/>
      <c r="O607" s="207"/>
      <c r="P607" s="207"/>
      <c r="Q607" s="207"/>
      <c r="R607" s="207"/>
      <c r="S607" s="207"/>
      <c r="T607" s="207"/>
      <c r="U607" s="207"/>
      <c r="V607" s="207"/>
      <c r="W607" s="208"/>
      <c r="X607" s="208"/>
      <c r="Y607" s="208"/>
      <c r="Z607" s="208"/>
      <c r="AA607" s="208"/>
      <c r="AB607" s="208"/>
      <c r="AC607" s="208"/>
      <c r="AD607" s="208"/>
      <c r="AE607" s="208"/>
      <c r="AF607" s="208"/>
      <c r="AG607" s="208"/>
      <c r="AH607" s="208"/>
      <c r="AI607" s="100"/>
      <c r="AJ607" s="100"/>
      <c r="AK607" s="100"/>
      <c r="AL607" s="100"/>
      <c r="AM607" s="100"/>
      <c r="AN607" s="100"/>
      <c r="AO607" s="100"/>
    </row>
    <row r="608" ht="14.25" customHeight="1">
      <c r="A608" s="195"/>
      <c r="B608" s="100"/>
      <c r="C608" s="100"/>
      <c r="D608" s="100"/>
      <c r="E608" s="100"/>
      <c r="F608" s="206"/>
      <c r="G608" s="206"/>
      <c r="H608" s="207"/>
      <c r="I608" s="207"/>
      <c r="J608" s="207"/>
      <c r="K608" s="207"/>
      <c r="L608" s="207"/>
      <c r="M608" s="207"/>
      <c r="N608" s="207"/>
      <c r="O608" s="207"/>
      <c r="P608" s="207"/>
      <c r="Q608" s="207"/>
      <c r="R608" s="207"/>
      <c r="S608" s="207"/>
      <c r="T608" s="207"/>
      <c r="U608" s="207"/>
      <c r="V608" s="207"/>
      <c r="W608" s="208"/>
      <c r="X608" s="208"/>
      <c r="Y608" s="208"/>
      <c r="Z608" s="208"/>
      <c r="AA608" s="208"/>
      <c r="AB608" s="208"/>
      <c r="AC608" s="208"/>
      <c r="AD608" s="208"/>
      <c r="AE608" s="208"/>
      <c r="AF608" s="208"/>
      <c r="AG608" s="208"/>
      <c r="AH608" s="208"/>
      <c r="AI608" s="100"/>
      <c r="AJ608" s="100"/>
      <c r="AK608" s="100"/>
      <c r="AL608" s="100"/>
      <c r="AM608" s="100"/>
      <c r="AN608" s="100"/>
      <c r="AO608" s="100"/>
    </row>
    <row r="609" ht="14.25" customHeight="1">
      <c r="A609" s="195"/>
      <c r="B609" s="100"/>
      <c r="C609" s="100"/>
      <c r="D609" s="100"/>
      <c r="E609" s="100"/>
      <c r="F609" s="206"/>
      <c r="G609" s="206"/>
      <c r="H609" s="207"/>
      <c r="I609" s="207"/>
      <c r="J609" s="207"/>
      <c r="K609" s="207"/>
      <c r="L609" s="207"/>
      <c r="M609" s="207"/>
      <c r="N609" s="207"/>
      <c r="O609" s="207"/>
      <c r="P609" s="207"/>
      <c r="Q609" s="207"/>
      <c r="R609" s="207"/>
      <c r="S609" s="207"/>
      <c r="T609" s="207"/>
      <c r="U609" s="207"/>
      <c r="V609" s="207"/>
      <c r="W609" s="208"/>
      <c r="X609" s="208"/>
      <c r="Y609" s="208"/>
      <c r="Z609" s="208"/>
      <c r="AA609" s="208"/>
      <c r="AB609" s="208"/>
      <c r="AC609" s="208"/>
      <c r="AD609" s="208"/>
      <c r="AE609" s="208"/>
      <c r="AF609" s="208"/>
      <c r="AG609" s="208"/>
      <c r="AH609" s="208"/>
      <c r="AI609" s="100"/>
      <c r="AJ609" s="100"/>
      <c r="AK609" s="100"/>
      <c r="AL609" s="100"/>
      <c r="AM609" s="100"/>
      <c r="AN609" s="100"/>
      <c r="AO609" s="100"/>
    </row>
    <row r="610" ht="14.25" customHeight="1">
      <c r="A610" s="195"/>
      <c r="B610" s="100"/>
      <c r="C610" s="100"/>
      <c r="D610" s="100"/>
      <c r="E610" s="100"/>
      <c r="F610" s="206"/>
      <c r="G610" s="206"/>
      <c r="H610" s="207"/>
      <c r="I610" s="207"/>
      <c r="J610" s="207"/>
      <c r="K610" s="207"/>
      <c r="L610" s="207"/>
      <c r="M610" s="207"/>
      <c r="N610" s="207"/>
      <c r="O610" s="207"/>
      <c r="P610" s="207"/>
      <c r="Q610" s="207"/>
      <c r="R610" s="207"/>
      <c r="S610" s="207"/>
      <c r="T610" s="207"/>
      <c r="U610" s="207"/>
      <c r="V610" s="207"/>
      <c r="W610" s="208"/>
      <c r="X610" s="208"/>
      <c r="Y610" s="208"/>
      <c r="Z610" s="208"/>
      <c r="AA610" s="208"/>
      <c r="AB610" s="208"/>
      <c r="AC610" s="208"/>
      <c r="AD610" s="208"/>
      <c r="AE610" s="208"/>
      <c r="AF610" s="208"/>
      <c r="AG610" s="208"/>
      <c r="AH610" s="208"/>
      <c r="AI610" s="100"/>
      <c r="AJ610" s="100"/>
      <c r="AK610" s="100"/>
      <c r="AL610" s="100"/>
      <c r="AM610" s="100"/>
      <c r="AN610" s="100"/>
      <c r="AO610" s="100"/>
    </row>
    <row r="611" ht="14.25" customHeight="1">
      <c r="A611" s="195"/>
      <c r="B611" s="100"/>
      <c r="C611" s="100"/>
      <c r="D611" s="100"/>
      <c r="E611" s="100"/>
      <c r="F611" s="206"/>
      <c r="G611" s="206"/>
      <c r="H611" s="207"/>
      <c r="I611" s="207"/>
      <c r="J611" s="207"/>
      <c r="K611" s="207"/>
      <c r="L611" s="207"/>
      <c r="M611" s="207"/>
      <c r="N611" s="207"/>
      <c r="O611" s="207"/>
      <c r="P611" s="207"/>
      <c r="Q611" s="207"/>
      <c r="R611" s="207"/>
      <c r="S611" s="207"/>
      <c r="T611" s="207"/>
      <c r="U611" s="207"/>
      <c r="V611" s="207"/>
      <c r="W611" s="208"/>
      <c r="X611" s="208"/>
      <c r="Y611" s="208"/>
      <c r="Z611" s="208"/>
      <c r="AA611" s="208"/>
      <c r="AB611" s="208"/>
      <c r="AC611" s="208"/>
      <c r="AD611" s="208"/>
      <c r="AE611" s="208"/>
      <c r="AF611" s="208"/>
      <c r="AG611" s="208"/>
      <c r="AH611" s="208"/>
      <c r="AI611" s="100"/>
      <c r="AJ611" s="100"/>
      <c r="AK611" s="100"/>
      <c r="AL611" s="100"/>
      <c r="AM611" s="100"/>
      <c r="AN611" s="100"/>
      <c r="AO611" s="100"/>
    </row>
    <row r="612" ht="14.25" customHeight="1">
      <c r="A612" s="195"/>
      <c r="B612" s="100"/>
      <c r="C612" s="100"/>
      <c r="D612" s="100"/>
      <c r="E612" s="100"/>
      <c r="F612" s="206"/>
      <c r="G612" s="206"/>
      <c r="H612" s="207"/>
      <c r="I612" s="207"/>
      <c r="J612" s="207"/>
      <c r="K612" s="207"/>
      <c r="L612" s="207"/>
      <c r="M612" s="207"/>
      <c r="N612" s="207"/>
      <c r="O612" s="207"/>
      <c r="P612" s="207"/>
      <c r="Q612" s="207"/>
      <c r="R612" s="207"/>
      <c r="S612" s="207"/>
      <c r="T612" s="207"/>
      <c r="U612" s="207"/>
      <c r="V612" s="207"/>
      <c r="W612" s="208"/>
      <c r="X612" s="208"/>
      <c r="Y612" s="208"/>
      <c r="Z612" s="208"/>
      <c r="AA612" s="208"/>
      <c r="AB612" s="208"/>
      <c r="AC612" s="208"/>
      <c r="AD612" s="208"/>
      <c r="AE612" s="208"/>
      <c r="AF612" s="208"/>
      <c r="AG612" s="208"/>
      <c r="AH612" s="208"/>
      <c r="AI612" s="100"/>
      <c r="AJ612" s="100"/>
      <c r="AK612" s="100"/>
      <c r="AL612" s="100"/>
      <c r="AM612" s="100"/>
      <c r="AN612" s="100"/>
      <c r="AO612" s="100"/>
    </row>
    <row r="613" ht="14.25" customHeight="1">
      <c r="A613" s="195"/>
      <c r="B613" s="100"/>
      <c r="C613" s="100"/>
      <c r="D613" s="100"/>
      <c r="E613" s="100"/>
      <c r="F613" s="206"/>
      <c r="G613" s="206"/>
      <c r="H613" s="207"/>
      <c r="I613" s="207"/>
      <c r="J613" s="207"/>
      <c r="K613" s="207"/>
      <c r="L613" s="207"/>
      <c r="M613" s="207"/>
      <c r="N613" s="207"/>
      <c r="O613" s="207"/>
      <c r="P613" s="207"/>
      <c r="Q613" s="207"/>
      <c r="R613" s="207"/>
      <c r="S613" s="207"/>
      <c r="T613" s="207"/>
      <c r="U613" s="207"/>
      <c r="V613" s="207"/>
      <c r="W613" s="208"/>
      <c r="X613" s="208"/>
      <c r="Y613" s="208"/>
      <c r="Z613" s="208"/>
      <c r="AA613" s="208"/>
      <c r="AB613" s="208"/>
      <c r="AC613" s="208"/>
      <c r="AD613" s="208"/>
      <c r="AE613" s="208"/>
      <c r="AF613" s="208"/>
      <c r="AG613" s="208"/>
      <c r="AH613" s="208"/>
      <c r="AI613" s="100"/>
      <c r="AJ613" s="100"/>
      <c r="AK613" s="100"/>
      <c r="AL613" s="100"/>
      <c r="AM613" s="100"/>
      <c r="AN613" s="100"/>
      <c r="AO613" s="100"/>
    </row>
    <row r="614" ht="14.25" customHeight="1">
      <c r="A614" s="195"/>
      <c r="B614" s="100"/>
      <c r="C614" s="100"/>
      <c r="D614" s="100"/>
      <c r="E614" s="100"/>
      <c r="F614" s="206"/>
      <c r="G614" s="206"/>
      <c r="H614" s="207"/>
      <c r="I614" s="207"/>
      <c r="J614" s="207"/>
      <c r="K614" s="207"/>
      <c r="L614" s="207"/>
      <c r="M614" s="207"/>
      <c r="N614" s="207"/>
      <c r="O614" s="207"/>
      <c r="P614" s="207"/>
      <c r="Q614" s="207"/>
      <c r="R614" s="207"/>
      <c r="S614" s="207"/>
      <c r="T614" s="207"/>
      <c r="U614" s="207"/>
      <c r="V614" s="207"/>
      <c r="W614" s="208"/>
      <c r="X614" s="208"/>
      <c r="Y614" s="208"/>
      <c r="Z614" s="208"/>
      <c r="AA614" s="208"/>
      <c r="AB614" s="208"/>
      <c r="AC614" s="208"/>
      <c r="AD614" s="208"/>
      <c r="AE614" s="208"/>
      <c r="AF614" s="208"/>
      <c r="AG614" s="208"/>
      <c r="AH614" s="208"/>
      <c r="AI614" s="100"/>
      <c r="AJ614" s="100"/>
      <c r="AK614" s="100"/>
      <c r="AL614" s="100"/>
      <c r="AM614" s="100"/>
      <c r="AN614" s="100"/>
      <c r="AO614" s="100"/>
    </row>
    <row r="615" ht="14.25" customHeight="1">
      <c r="A615" s="195"/>
      <c r="B615" s="100"/>
      <c r="C615" s="100"/>
      <c r="D615" s="100"/>
      <c r="E615" s="100"/>
      <c r="F615" s="206"/>
      <c r="G615" s="206"/>
      <c r="H615" s="207"/>
      <c r="I615" s="207"/>
      <c r="J615" s="207"/>
      <c r="K615" s="207"/>
      <c r="L615" s="207"/>
      <c r="M615" s="207"/>
      <c r="N615" s="207"/>
      <c r="O615" s="207"/>
      <c r="P615" s="207"/>
      <c r="Q615" s="207"/>
      <c r="R615" s="207"/>
      <c r="S615" s="207"/>
      <c r="T615" s="207"/>
      <c r="U615" s="207"/>
      <c r="V615" s="207"/>
      <c r="W615" s="208"/>
      <c r="X615" s="208"/>
      <c r="Y615" s="208"/>
      <c r="Z615" s="208"/>
      <c r="AA615" s="208"/>
      <c r="AB615" s="208"/>
      <c r="AC615" s="208"/>
      <c r="AD615" s="208"/>
      <c r="AE615" s="208"/>
      <c r="AF615" s="208"/>
      <c r="AG615" s="208"/>
      <c r="AH615" s="208"/>
      <c r="AI615" s="100"/>
      <c r="AJ615" s="100"/>
      <c r="AK615" s="100"/>
      <c r="AL615" s="100"/>
      <c r="AM615" s="100"/>
      <c r="AN615" s="100"/>
      <c r="AO615" s="100"/>
    </row>
    <row r="616" ht="14.25" customHeight="1">
      <c r="A616" s="195"/>
      <c r="B616" s="100"/>
      <c r="C616" s="100"/>
      <c r="D616" s="100"/>
      <c r="E616" s="100"/>
      <c r="F616" s="206"/>
      <c r="G616" s="206"/>
      <c r="H616" s="207"/>
      <c r="I616" s="207"/>
      <c r="J616" s="207"/>
      <c r="K616" s="207"/>
      <c r="L616" s="207"/>
      <c r="M616" s="207"/>
      <c r="N616" s="207"/>
      <c r="O616" s="207"/>
      <c r="P616" s="207"/>
      <c r="Q616" s="207"/>
      <c r="R616" s="207"/>
      <c r="S616" s="207"/>
      <c r="T616" s="207"/>
      <c r="U616" s="207"/>
      <c r="V616" s="207"/>
      <c r="W616" s="208"/>
      <c r="X616" s="208"/>
      <c r="Y616" s="208"/>
      <c r="Z616" s="208"/>
      <c r="AA616" s="208"/>
      <c r="AB616" s="208"/>
      <c r="AC616" s="208"/>
      <c r="AD616" s="208"/>
      <c r="AE616" s="208"/>
      <c r="AF616" s="208"/>
      <c r="AG616" s="208"/>
      <c r="AH616" s="208"/>
      <c r="AI616" s="100"/>
      <c r="AJ616" s="100"/>
      <c r="AK616" s="100"/>
      <c r="AL616" s="100"/>
      <c r="AM616" s="100"/>
      <c r="AN616" s="100"/>
      <c r="AO616" s="100"/>
    </row>
    <row r="617" ht="14.25" customHeight="1">
      <c r="A617" s="195"/>
      <c r="B617" s="100"/>
      <c r="C617" s="100"/>
      <c r="D617" s="100"/>
      <c r="E617" s="100"/>
      <c r="F617" s="206"/>
      <c r="G617" s="206"/>
      <c r="H617" s="207"/>
      <c r="I617" s="207"/>
      <c r="J617" s="207"/>
      <c r="K617" s="207"/>
      <c r="L617" s="207"/>
      <c r="M617" s="207"/>
      <c r="N617" s="207"/>
      <c r="O617" s="207"/>
      <c r="P617" s="207"/>
      <c r="Q617" s="207"/>
      <c r="R617" s="207"/>
      <c r="S617" s="207"/>
      <c r="T617" s="207"/>
      <c r="U617" s="207"/>
      <c r="V617" s="207"/>
      <c r="W617" s="208"/>
      <c r="X617" s="208"/>
      <c r="Y617" s="208"/>
      <c r="Z617" s="208"/>
      <c r="AA617" s="208"/>
      <c r="AB617" s="208"/>
      <c r="AC617" s="208"/>
      <c r="AD617" s="208"/>
      <c r="AE617" s="208"/>
      <c r="AF617" s="208"/>
      <c r="AG617" s="208"/>
      <c r="AH617" s="208"/>
      <c r="AI617" s="100"/>
      <c r="AJ617" s="100"/>
      <c r="AK617" s="100"/>
      <c r="AL617" s="100"/>
      <c r="AM617" s="100"/>
      <c r="AN617" s="100"/>
      <c r="AO617" s="100"/>
    </row>
    <row r="618" ht="14.25" customHeight="1">
      <c r="A618" s="195"/>
      <c r="B618" s="100"/>
      <c r="C618" s="100"/>
      <c r="D618" s="100"/>
      <c r="E618" s="100"/>
      <c r="F618" s="206"/>
      <c r="G618" s="206"/>
      <c r="H618" s="207"/>
      <c r="I618" s="207"/>
      <c r="J618" s="207"/>
      <c r="K618" s="207"/>
      <c r="L618" s="207"/>
      <c r="M618" s="207"/>
      <c r="N618" s="207"/>
      <c r="O618" s="207"/>
      <c r="P618" s="207"/>
      <c r="Q618" s="207"/>
      <c r="R618" s="207"/>
      <c r="S618" s="207"/>
      <c r="T618" s="207"/>
      <c r="U618" s="207"/>
      <c r="V618" s="207"/>
      <c r="W618" s="208"/>
      <c r="X618" s="208"/>
      <c r="Y618" s="208"/>
      <c r="Z618" s="208"/>
      <c r="AA618" s="208"/>
      <c r="AB618" s="208"/>
      <c r="AC618" s="208"/>
      <c r="AD618" s="208"/>
      <c r="AE618" s="208"/>
      <c r="AF618" s="208"/>
      <c r="AG618" s="208"/>
      <c r="AH618" s="208"/>
      <c r="AI618" s="100"/>
      <c r="AJ618" s="100"/>
      <c r="AK618" s="100"/>
      <c r="AL618" s="100"/>
      <c r="AM618" s="100"/>
      <c r="AN618" s="100"/>
      <c r="AO618" s="100"/>
    </row>
    <row r="619" ht="14.25" customHeight="1">
      <c r="A619" s="195"/>
      <c r="B619" s="100"/>
      <c r="C619" s="100"/>
      <c r="D619" s="100"/>
      <c r="E619" s="100"/>
      <c r="F619" s="206"/>
      <c r="G619" s="206"/>
      <c r="H619" s="207"/>
      <c r="I619" s="207"/>
      <c r="J619" s="207"/>
      <c r="K619" s="207"/>
      <c r="L619" s="207"/>
      <c r="M619" s="207"/>
      <c r="N619" s="207"/>
      <c r="O619" s="207"/>
      <c r="P619" s="207"/>
      <c r="Q619" s="207"/>
      <c r="R619" s="207"/>
      <c r="S619" s="207"/>
      <c r="T619" s="207"/>
      <c r="U619" s="207"/>
      <c r="V619" s="207"/>
      <c r="W619" s="208"/>
      <c r="X619" s="208"/>
      <c r="Y619" s="208"/>
      <c r="Z619" s="208"/>
      <c r="AA619" s="208"/>
      <c r="AB619" s="208"/>
      <c r="AC619" s="208"/>
      <c r="AD619" s="208"/>
      <c r="AE619" s="208"/>
      <c r="AF619" s="208"/>
      <c r="AG619" s="208"/>
      <c r="AH619" s="208"/>
      <c r="AI619" s="100"/>
      <c r="AJ619" s="100"/>
      <c r="AK619" s="100"/>
      <c r="AL619" s="100"/>
      <c r="AM619" s="100"/>
      <c r="AN619" s="100"/>
      <c r="AO619" s="100"/>
    </row>
    <row r="620" ht="14.25" customHeight="1">
      <c r="A620" s="195"/>
      <c r="B620" s="100"/>
      <c r="C620" s="100"/>
      <c r="D620" s="100"/>
      <c r="E620" s="100"/>
      <c r="F620" s="206"/>
      <c r="G620" s="206"/>
      <c r="H620" s="207"/>
      <c r="I620" s="207"/>
      <c r="J620" s="207"/>
      <c r="K620" s="207"/>
      <c r="L620" s="207"/>
      <c r="M620" s="207"/>
      <c r="N620" s="207"/>
      <c r="O620" s="207"/>
      <c r="P620" s="207"/>
      <c r="Q620" s="207"/>
      <c r="R620" s="207"/>
      <c r="S620" s="207"/>
      <c r="T620" s="207"/>
      <c r="U620" s="207"/>
      <c r="V620" s="207"/>
      <c r="W620" s="208"/>
      <c r="X620" s="208"/>
      <c r="Y620" s="208"/>
      <c r="Z620" s="208"/>
      <c r="AA620" s="208"/>
      <c r="AB620" s="208"/>
      <c r="AC620" s="208"/>
      <c r="AD620" s="208"/>
      <c r="AE620" s="208"/>
      <c r="AF620" s="208"/>
      <c r="AG620" s="208"/>
      <c r="AH620" s="208"/>
      <c r="AI620" s="100"/>
      <c r="AJ620" s="100"/>
      <c r="AK620" s="100"/>
      <c r="AL620" s="100"/>
      <c r="AM620" s="100"/>
      <c r="AN620" s="100"/>
      <c r="AO620" s="100"/>
    </row>
    <row r="621" ht="14.25" customHeight="1">
      <c r="A621" s="195"/>
      <c r="B621" s="100"/>
      <c r="C621" s="100"/>
      <c r="D621" s="100"/>
      <c r="E621" s="100"/>
      <c r="F621" s="206"/>
      <c r="G621" s="206"/>
      <c r="H621" s="207"/>
      <c r="I621" s="207"/>
      <c r="J621" s="207"/>
      <c r="K621" s="207"/>
      <c r="L621" s="207"/>
      <c r="M621" s="207"/>
      <c r="N621" s="207"/>
      <c r="O621" s="207"/>
      <c r="P621" s="207"/>
      <c r="Q621" s="207"/>
      <c r="R621" s="207"/>
      <c r="S621" s="207"/>
      <c r="T621" s="207"/>
      <c r="U621" s="207"/>
      <c r="V621" s="207"/>
      <c r="W621" s="208"/>
      <c r="X621" s="208"/>
      <c r="Y621" s="208"/>
      <c r="Z621" s="208"/>
      <c r="AA621" s="208"/>
      <c r="AB621" s="208"/>
      <c r="AC621" s="208"/>
      <c r="AD621" s="208"/>
      <c r="AE621" s="208"/>
      <c r="AF621" s="208"/>
      <c r="AG621" s="208"/>
      <c r="AH621" s="208"/>
      <c r="AI621" s="100"/>
      <c r="AJ621" s="100"/>
      <c r="AK621" s="100"/>
      <c r="AL621" s="100"/>
      <c r="AM621" s="100"/>
      <c r="AN621" s="100"/>
      <c r="AO621" s="100"/>
    </row>
    <row r="622" ht="14.25" customHeight="1">
      <c r="A622" s="195"/>
      <c r="B622" s="100"/>
      <c r="C622" s="100"/>
      <c r="D622" s="100"/>
      <c r="E622" s="100"/>
      <c r="F622" s="206"/>
      <c r="G622" s="206"/>
      <c r="H622" s="207"/>
      <c r="I622" s="207"/>
      <c r="J622" s="207"/>
      <c r="K622" s="207"/>
      <c r="L622" s="207"/>
      <c r="M622" s="207"/>
      <c r="N622" s="207"/>
      <c r="O622" s="207"/>
      <c r="P622" s="207"/>
      <c r="Q622" s="207"/>
      <c r="R622" s="207"/>
      <c r="S622" s="207"/>
      <c r="T622" s="207"/>
      <c r="U622" s="207"/>
      <c r="V622" s="207"/>
      <c r="W622" s="208"/>
      <c r="X622" s="208"/>
      <c r="Y622" s="208"/>
      <c r="Z622" s="208"/>
      <c r="AA622" s="208"/>
      <c r="AB622" s="208"/>
      <c r="AC622" s="208"/>
      <c r="AD622" s="208"/>
      <c r="AE622" s="208"/>
      <c r="AF622" s="208"/>
      <c r="AG622" s="208"/>
      <c r="AH622" s="208"/>
      <c r="AI622" s="100"/>
      <c r="AJ622" s="100"/>
      <c r="AK622" s="100"/>
      <c r="AL622" s="100"/>
      <c r="AM622" s="100"/>
      <c r="AN622" s="100"/>
      <c r="AO622" s="100"/>
    </row>
    <row r="623" ht="14.25" customHeight="1">
      <c r="A623" s="195"/>
      <c r="B623" s="100"/>
      <c r="C623" s="100"/>
      <c r="D623" s="100"/>
      <c r="E623" s="100"/>
      <c r="F623" s="206"/>
      <c r="G623" s="206"/>
      <c r="H623" s="207"/>
      <c r="I623" s="207"/>
      <c r="J623" s="207"/>
      <c r="K623" s="207"/>
      <c r="L623" s="207"/>
      <c r="M623" s="207"/>
      <c r="N623" s="207"/>
      <c r="O623" s="207"/>
      <c r="P623" s="207"/>
      <c r="Q623" s="207"/>
      <c r="R623" s="207"/>
      <c r="S623" s="207"/>
      <c r="T623" s="207"/>
      <c r="U623" s="207"/>
      <c r="V623" s="207"/>
      <c r="W623" s="208"/>
      <c r="X623" s="208"/>
      <c r="Y623" s="208"/>
      <c r="Z623" s="208"/>
      <c r="AA623" s="208"/>
      <c r="AB623" s="208"/>
      <c r="AC623" s="208"/>
      <c r="AD623" s="208"/>
      <c r="AE623" s="208"/>
      <c r="AF623" s="208"/>
      <c r="AG623" s="208"/>
      <c r="AH623" s="208"/>
      <c r="AI623" s="100"/>
      <c r="AJ623" s="100"/>
      <c r="AK623" s="100"/>
      <c r="AL623" s="100"/>
      <c r="AM623" s="100"/>
      <c r="AN623" s="100"/>
      <c r="AO623" s="100"/>
    </row>
    <row r="624" ht="14.25" customHeight="1">
      <c r="A624" s="195"/>
      <c r="B624" s="100"/>
      <c r="C624" s="100"/>
      <c r="D624" s="100"/>
      <c r="E624" s="100"/>
      <c r="F624" s="206"/>
      <c r="G624" s="206"/>
      <c r="H624" s="207"/>
      <c r="I624" s="207"/>
      <c r="J624" s="207"/>
      <c r="K624" s="207"/>
      <c r="L624" s="207"/>
      <c r="M624" s="207"/>
      <c r="N624" s="207"/>
      <c r="O624" s="207"/>
      <c r="P624" s="207"/>
      <c r="Q624" s="207"/>
      <c r="R624" s="207"/>
      <c r="S624" s="207"/>
      <c r="T624" s="207"/>
      <c r="U624" s="207"/>
      <c r="V624" s="207"/>
      <c r="W624" s="208"/>
      <c r="X624" s="208"/>
      <c r="Y624" s="208"/>
      <c r="Z624" s="208"/>
      <c r="AA624" s="208"/>
      <c r="AB624" s="208"/>
      <c r="AC624" s="208"/>
      <c r="AD624" s="208"/>
      <c r="AE624" s="208"/>
      <c r="AF624" s="208"/>
      <c r="AG624" s="208"/>
      <c r="AH624" s="208"/>
      <c r="AI624" s="100"/>
      <c r="AJ624" s="100"/>
      <c r="AK624" s="100"/>
      <c r="AL624" s="100"/>
      <c r="AM624" s="100"/>
      <c r="AN624" s="100"/>
      <c r="AO624" s="100"/>
    </row>
    <row r="625" ht="14.25" customHeight="1">
      <c r="A625" s="195"/>
      <c r="B625" s="100"/>
      <c r="C625" s="100"/>
      <c r="D625" s="100"/>
      <c r="E625" s="100"/>
      <c r="F625" s="206"/>
      <c r="G625" s="206"/>
      <c r="H625" s="207"/>
      <c r="I625" s="207"/>
      <c r="J625" s="207"/>
      <c r="K625" s="207"/>
      <c r="L625" s="207"/>
      <c r="M625" s="207"/>
      <c r="N625" s="207"/>
      <c r="O625" s="207"/>
      <c r="P625" s="207"/>
      <c r="Q625" s="207"/>
      <c r="R625" s="207"/>
      <c r="S625" s="207"/>
      <c r="T625" s="207"/>
      <c r="U625" s="207"/>
      <c r="V625" s="207"/>
      <c r="W625" s="208"/>
      <c r="X625" s="208"/>
      <c r="Y625" s="208"/>
      <c r="Z625" s="208"/>
      <c r="AA625" s="208"/>
      <c r="AB625" s="208"/>
      <c r="AC625" s="208"/>
      <c r="AD625" s="208"/>
      <c r="AE625" s="208"/>
      <c r="AF625" s="208"/>
      <c r="AG625" s="208"/>
      <c r="AH625" s="208"/>
      <c r="AI625" s="100"/>
      <c r="AJ625" s="100"/>
      <c r="AK625" s="100"/>
      <c r="AL625" s="100"/>
      <c r="AM625" s="100"/>
      <c r="AN625" s="100"/>
      <c r="AO625" s="100"/>
    </row>
    <row r="626" ht="14.25" customHeight="1">
      <c r="A626" s="195"/>
      <c r="B626" s="100"/>
      <c r="C626" s="100"/>
      <c r="D626" s="100"/>
      <c r="E626" s="100"/>
      <c r="F626" s="206"/>
      <c r="G626" s="206"/>
      <c r="H626" s="207"/>
      <c r="I626" s="207"/>
      <c r="J626" s="207"/>
      <c r="K626" s="207"/>
      <c r="L626" s="207"/>
      <c r="M626" s="207"/>
      <c r="N626" s="207"/>
      <c r="O626" s="207"/>
      <c r="P626" s="207"/>
      <c r="Q626" s="207"/>
      <c r="R626" s="207"/>
      <c r="S626" s="207"/>
      <c r="T626" s="207"/>
      <c r="U626" s="207"/>
      <c r="V626" s="207"/>
      <c r="W626" s="208"/>
      <c r="X626" s="208"/>
      <c r="Y626" s="208"/>
      <c r="Z626" s="208"/>
      <c r="AA626" s="208"/>
      <c r="AB626" s="208"/>
      <c r="AC626" s="208"/>
      <c r="AD626" s="208"/>
      <c r="AE626" s="208"/>
      <c r="AF626" s="208"/>
      <c r="AG626" s="208"/>
      <c r="AH626" s="208"/>
      <c r="AI626" s="100"/>
      <c r="AJ626" s="100"/>
      <c r="AK626" s="100"/>
      <c r="AL626" s="100"/>
      <c r="AM626" s="100"/>
      <c r="AN626" s="100"/>
      <c r="AO626" s="100"/>
    </row>
    <row r="627" ht="14.25" customHeight="1">
      <c r="A627" s="195"/>
      <c r="B627" s="100"/>
      <c r="C627" s="100"/>
      <c r="D627" s="100"/>
      <c r="E627" s="100"/>
      <c r="F627" s="206"/>
      <c r="G627" s="206"/>
      <c r="H627" s="207"/>
      <c r="I627" s="207"/>
      <c r="J627" s="207"/>
      <c r="K627" s="207"/>
      <c r="L627" s="207"/>
      <c r="M627" s="207"/>
      <c r="N627" s="207"/>
      <c r="O627" s="207"/>
      <c r="P627" s="207"/>
      <c r="Q627" s="207"/>
      <c r="R627" s="207"/>
      <c r="S627" s="207"/>
      <c r="T627" s="207"/>
      <c r="U627" s="207"/>
      <c r="V627" s="207"/>
      <c r="W627" s="208"/>
      <c r="X627" s="208"/>
      <c r="Y627" s="208"/>
      <c r="Z627" s="208"/>
      <c r="AA627" s="208"/>
      <c r="AB627" s="208"/>
      <c r="AC627" s="208"/>
      <c r="AD627" s="208"/>
      <c r="AE627" s="208"/>
      <c r="AF627" s="208"/>
      <c r="AG627" s="208"/>
      <c r="AH627" s="208"/>
      <c r="AI627" s="100"/>
      <c r="AJ627" s="100"/>
      <c r="AK627" s="100"/>
      <c r="AL627" s="100"/>
      <c r="AM627" s="100"/>
      <c r="AN627" s="100"/>
      <c r="AO627" s="100"/>
    </row>
    <row r="628" ht="14.25" customHeight="1">
      <c r="A628" s="195"/>
      <c r="B628" s="100"/>
      <c r="C628" s="100"/>
      <c r="D628" s="100"/>
      <c r="E628" s="100"/>
      <c r="F628" s="206"/>
      <c r="G628" s="206"/>
      <c r="H628" s="207"/>
      <c r="I628" s="207"/>
      <c r="J628" s="207"/>
      <c r="K628" s="207"/>
      <c r="L628" s="207"/>
      <c r="M628" s="207"/>
      <c r="N628" s="207"/>
      <c r="O628" s="207"/>
      <c r="P628" s="207"/>
      <c r="Q628" s="207"/>
      <c r="R628" s="207"/>
      <c r="S628" s="207"/>
      <c r="T628" s="207"/>
      <c r="U628" s="207"/>
      <c r="V628" s="207"/>
      <c r="W628" s="208"/>
      <c r="X628" s="208"/>
      <c r="Y628" s="208"/>
      <c r="Z628" s="208"/>
      <c r="AA628" s="208"/>
      <c r="AB628" s="208"/>
      <c r="AC628" s="208"/>
      <c r="AD628" s="208"/>
      <c r="AE628" s="208"/>
      <c r="AF628" s="208"/>
      <c r="AG628" s="208"/>
      <c r="AH628" s="208"/>
      <c r="AI628" s="100"/>
      <c r="AJ628" s="100"/>
      <c r="AK628" s="100"/>
      <c r="AL628" s="100"/>
      <c r="AM628" s="100"/>
      <c r="AN628" s="100"/>
      <c r="AO628" s="100"/>
    </row>
    <row r="629" ht="14.25" customHeight="1">
      <c r="A629" s="195"/>
      <c r="B629" s="100"/>
      <c r="C629" s="100"/>
      <c r="D629" s="100"/>
      <c r="E629" s="100"/>
      <c r="F629" s="206"/>
      <c r="G629" s="206"/>
      <c r="H629" s="207"/>
      <c r="I629" s="207"/>
      <c r="J629" s="207"/>
      <c r="K629" s="207"/>
      <c r="L629" s="207"/>
      <c r="M629" s="207"/>
      <c r="N629" s="207"/>
      <c r="O629" s="207"/>
      <c r="P629" s="207"/>
      <c r="Q629" s="207"/>
      <c r="R629" s="207"/>
      <c r="S629" s="207"/>
      <c r="T629" s="207"/>
      <c r="U629" s="207"/>
      <c r="V629" s="207"/>
      <c r="W629" s="208"/>
      <c r="X629" s="208"/>
      <c r="Y629" s="208"/>
      <c r="Z629" s="208"/>
      <c r="AA629" s="208"/>
      <c r="AB629" s="208"/>
      <c r="AC629" s="208"/>
      <c r="AD629" s="208"/>
      <c r="AE629" s="208"/>
      <c r="AF629" s="208"/>
      <c r="AG629" s="208"/>
      <c r="AH629" s="208"/>
      <c r="AI629" s="100"/>
      <c r="AJ629" s="100"/>
      <c r="AK629" s="100"/>
      <c r="AL629" s="100"/>
      <c r="AM629" s="100"/>
      <c r="AN629" s="100"/>
      <c r="AO629" s="100"/>
    </row>
    <row r="630" ht="14.25" customHeight="1">
      <c r="A630" s="195"/>
      <c r="B630" s="100"/>
      <c r="C630" s="100"/>
      <c r="D630" s="100"/>
      <c r="E630" s="100"/>
      <c r="F630" s="206"/>
      <c r="G630" s="206"/>
      <c r="H630" s="207"/>
      <c r="I630" s="207"/>
      <c r="J630" s="207"/>
      <c r="K630" s="207"/>
      <c r="L630" s="207"/>
      <c r="M630" s="207"/>
      <c r="N630" s="207"/>
      <c r="O630" s="207"/>
      <c r="P630" s="207"/>
      <c r="Q630" s="207"/>
      <c r="R630" s="207"/>
      <c r="S630" s="207"/>
      <c r="T630" s="207"/>
      <c r="U630" s="207"/>
      <c r="V630" s="207"/>
      <c r="W630" s="208"/>
      <c r="X630" s="208"/>
      <c r="Y630" s="208"/>
      <c r="Z630" s="208"/>
      <c r="AA630" s="208"/>
      <c r="AB630" s="208"/>
      <c r="AC630" s="208"/>
      <c r="AD630" s="208"/>
      <c r="AE630" s="208"/>
      <c r="AF630" s="208"/>
      <c r="AG630" s="208"/>
      <c r="AH630" s="208"/>
      <c r="AI630" s="100"/>
      <c r="AJ630" s="100"/>
      <c r="AK630" s="100"/>
      <c r="AL630" s="100"/>
      <c r="AM630" s="100"/>
      <c r="AN630" s="100"/>
      <c r="AO630" s="100"/>
    </row>
    <row r="631" ht="14.25" customHeight="1">
      <c r="A631" s="195"/>
      <c r="B631" s="100"/>
      <c r="C631" s="100"/>
      <c r="D631" s="100"/>
      <c r="E631" s="100"/>
      <c r="F631" s="206"/>
      <c r="G631" s="206"/>
      <c r="H631" s="207"/>
      <c r="I631" s="207"/>
      <c r="J631" s="207"/>
      <c r="K631" s="207"/>
      <c r="L631" s="207"/>
      <c r="M631" s="207"/>
      <c r="N631" s="207"/>
      <c r="O631" s="207"/>
      <c r="P631" s="207"/>
      <c r="Q631" s="207"/>
      <c r="R631" s="207"/>
      <c r="S631" s="207"/>
      <c r="T631" s="207"/>
      <c r="U631" s="207"/>
      <c r="V631" s="207"/>
      <c r="W631" s="208"/>
      <c r="X631" s="208"/>
      <c r="Y631" s="208"/>
      <c r="Z631" s="208"/>
      <c r="AA631" s="208"/>
      <c r="AB631" s="208"/>
      <c r="AC631" s="208"/>
      <c r="AD631" s="208"/>
      <c r="AE631" s="208"/>
      <c r="AF631" s="208"/>
      <c r="AG631" s="208"/>
      <c r="AH631" s="208"/>
      <c r="AI631" s="100"/>
      <c r="AJ631" s="100"/>
      <c r="AK631" s="100"/>
      <c r="AL631" s="100"/>
      <c r="AM631" s="100"/>
      <c r="AN631" s="100"/>
      <c r="AO631" s="100"/>
    </row>
    <row r="632" ht="14.25" customHeight="1">
      <c r="A632" s="195"/>
      <c r="B632" s="100"/>
      <c r="C632" s="100"/>
      <c r="D632" s="100"/>
      <c r="E632" s="100"/>
      <c r="F632" s="206"/>
      <c r="G632" s="206"/>
      <c r="H632" s="207"/>
      <c r="I632" s="207"/>
      <c r="J632" s="207"/>
      <c r="K632" s="207"/>
      <c r="L632" s="207"/>
      <c r="M632" s="207"/>
      <c r="N632" s="207"/>
      <c r="O632" s="207"/>
      <c r="P632" s="207"/>
      <c r="Q632" s="207"/>
      <c r="R632" s="207"/>
      <c r="S632" s="207"/>
      <c r="T632" s="207"/>
      <c r="U632" s="207"/>
      <c r="V632" s="207"/>
      <c r="W632" s="208"/>
      <c r="X632" s="208"/>
      <c r="Y632" s="208"/>
      <c r="Z632" s="208"/>
      <c r="AA632" s="208"/>
      <c r="AB632" s="208"/>
      <c r="AC632" s="208"/>
      <c r="AD632" s="208"/>
      <c r="AE632" s="208"/>
      <c r="AF632" s="208"/>
      <c r="AG632" s="208"/>
      <c r="AH632" s="208"/>
      <c r="AI632" s="100"/>
      <c r="AJ632" s="100"/>
      <c r="AK632" s="100"/>
      <c r="AL632" s="100"/>
      <c r="AM632" s="100"/>
      <c r="AN632" s="100"/>
      <c r="AO632" s="100"/>
    </row>
    <row r="633" ht="14.25" customHeight="1">
      <c r="A633" s="195"/>
      <c r="B633" s="100"/>
      <c r="C633" s="100"/>
      <c r="D633" s="100"/>
      <c r="E633" s="100"/>
      <c r="F633" s="206"/>
      <c r="G633" s="206"/>
      <c r="H633" s="207"/>
      <c r="I633" s="207"/>
      <c r="J633" s="207"/>
      <c r="K633" s="207"/>
      <c r="L633" s="207"/>
      <c r="M633" s="207"/>
      <c r="N633" s="207"/>
      <c r="O633" s="207"/>
      <c r="P633" s="207"/>
      <c r="Q633" s="207"/>
      <c r="R633" s="207"/>
      <c r="S633" s="207"/>
      <c r="T633" s="207"/>
      <c r="U633" s="207"/>
      <c r="V633" s="207"/>
      <c r="W633" s="208"/>
      <c r="X633" s="208"/>
      <c r="Y633" s="208"/>
      <c r="Z633" s="208"/>
      <c r="AA633" s="208"/>
      <c r="AB633" s="208"/>
      <c r="AC633" s="208"/>
      <c r="AD633" s="208"/>
      <c r="AE633" s="208"/>
      <c r="AF633" s="208"/>
      <c r="AG633" s="208"/>
      <c r="AH633" s="208"/>
      <c r="AI633" s="100"/>
      <c r="AJ633" s="100"/>
      <c r="AK633" s="100"/>
      <c r="AL633" s="100"/>
      <c r="AM633" s="100"/>
      <c r="AN633" s="100"/>
      <c r="AO633" s="100"/>
    </row>
    <row r="634" ht="14.25" customHeight="1">
      <c r="A634" s="195"/>
      <c r="B634" s="100"/>
      <c r="C634" s="100"/>
      <c r="D634" s="100"/>
      <c r="E634" s="100"/>
      <c r="F634" s="206"/>
      <c r="G634" s="206"/>
      <c r="H634" s="207"/>
      <c r="I634" s="207"/>
      <c r="J634" s="207"/>
      <c r="K634" s="207"/>
      <c r="L634" s="207"/>
      <c r="M634" s="207"/>
      <c r="N634" s="207"/>
      <c r="O634" s="207"/>
      <c r="P634" s="207"/>
      <c r="Q634" s="207"/>
      <c r="R634" s="207"/>
      <c r="S634" s="207"/>
      <c r="T634" s="207"/>
      <c r="U634" s="207"/>
      <c r="V634" s="207"/>
      <c r="W634" s="208"/>
      <c r="X634" s="208"/>
      <c r="Y634" s="208"/>
      <c r="Z634" s="208"/>
      <c r="AA634" s="208"/>
      <c r="AB634" s="208"/>
      <c r="AC634" s="208"/>
      <c r="AD634" s="208"/>
      <c r="AE634" s="208"/>
      <c r="AF634" s="208"/>
      <c r="AG634" s="208"/>
      <c r="AH634" s="208"/>
      <c r="AI634" s="100"/>
      <c r="AJ634" s="100"/>
      <c r="AK634" s="100"/>
      <c r="AL634" s="100"/>
      <c r="AM634" s="100"/>
      <c r="AN634" s="100"/>
      <c r="AO634" s="100"/>
    </row>
    <row r="635" ht="14.25" customHeight="1">
      <c r="A635" s="195"/>
      <c r="B635" s="100"/>
      <c r="C635" s="100"/>
      <c r="D635" s="100"/>
      <c r="E635" s="100"/>
      <c r="F635" s="206"/>
      <c r="G635" s="206"/>
      <c r="H635" s="207"/>
      <c r="I635" s="207"/>
      <c r="J635" s="207"/>
      <c r="K635" s="207"/>
      <c r="L635" s="207"/>
      <c r="M635" s="207"/>
      <c r="N635" s="207"/>
      <c r="O635" s="207"/>
      <c r="P635" s="207"/>
      <c r="Q635" s="207"/>
      <c r="R635" s="207"/>
      <c r="S635" s="207"/>
      <c r="T635" s="207"/>
      <c r="U635" s="207"/>
      <c r="V635" s="207"/>
      <c r="W635" s="208"/>
      <c r="X635" s="208"/>
      <c r="Y635" s="208"/>
      <c r="Z635" s="208"/>
      <c r="AA635" s="208"/>
      <c r="AB635" s="208"/>
      <c r="AC635" s="208"/>
      <c r="AD635" s="208"/>
      <c r="AE635" s="208"/>
      <c r="AF635" s="208"/>
      <c r="AG635" s="208"/>
      <c r="AH635" s="208"/>
      <c r="AI635" s="100"/>
      <c r="AJ635" s="100"/>
      <c r="AK635" s="100"/>
      <c r="AL635" s="100"/>
      <c r="AM635" s="100"/>
      <c r="AN635" s="100"/>
      <c r="AO635" s="100"/>
    </row>
    <row r="636" ht="14.25" customHeight="1">
      <c r="A636" s="195"/>
      <c r="B636" s="100"/>
      <c r="C636" s="100"/>
      <c r="D636" s="100"/>
      <c r="E636" s="100"/>
      <c r="F636" s="206"/>
      <c r="G636" s="206"/>
      <c r="H636" s="207"/>
      <c r="I636" s="207"/>
      <c r="J636" s="207"/>
      <c r="K636" s="207"/>
      <c r="L636" s="207"/>
      <c r="M636" s="207"/>
      <c r="N636" s="207"/>
      <c r="O636" s="207"/>
      <c r="P636" s="207"/>
      <c r="Q636" s="207"/>
      <c r="R636" s="207"/>
      <c r="S636" s="207"/>
      <c r="T636" s="207"/>
      <c r="U636" s="207"/>
      <c r="V636" s="207"/>
      <c r="W636" s="208"/>
      <c r="X636" s="208"/>
      <c r="Y636" s="208"/>
      <c r="Z636" s="208"/>
      <c r="AA636" s="208"/>
      <c r="AB636" s="208"/>
      <c r="AC636" s="208"/>
      <c r="AD636" s="208"/>
      <c r="AE636" s="208"/>
      <c r="AF636" s="208"/>
      <c r="AG636" s="208"/>
      <c r="AH636" s="208"/>
      <c r="AI636" s="100"/>
      <c r="AJ636" s="100"/>
      <c r="AK636" s="100"/>
      <c r="AL636" s="100"/>
      <c r="AM636" s="100"/>
      <c r="AN636" s="100"/>
      <c r="AO636" s="100"/>
    </row>
    <row r="637" ht="14.25" customHeight="1">
      <c r="A637" s="195"/>
      <c r="B637" s="100"/>
      <c r="C637" s="100"/>
      <c r="D637" s="100"/>
      <c r="E637" s="100"/>
      <c r="F637" s="206"/>
      <c r="G637" s="206"/>
      <c r="H637" s="207"/>
      <c r="I637" s="207"/>
      <c r="J637" s="207"/>
      <c r="K637" s="207"/>
      <c r="L637" s="207"/>
      <c r="M637" s="207"/>
      <c r="N637" s="207"/>
      <c r="O637" s="207"/>
      <c r="P637" s="207"/>
      <c r="Q637" s="207"/>
      <c r="R637" s="207"/>
      <c r="S637" s="207"/>
      <c r="T637" s="207"/>
      <c r="U637" s="207"/>
      <c r="V637" s="207"/>
      <c r="W637" s="208"/>
      <c r="X637" s="208"/>
      <c r="Y637" s="208"/>
      <c r="Z637" s="208"/>
      <c r="AA637" s="208"/>
      <c r="AB637" s="208"/>
      <c r="AC637" s="208"/>
      <c r="AD637" s="208"/>
      <c r="AE637" s="208"/>
      <c r="AF637" s="208"/>
      <c r="AG637" s="208"/>
      <c r="AH637" s="208"/>
      <c r="AI637" s="100"/>
      <c r="AJ637" s="100"/>
      <c r="AK637" s="100"/>
      <c r="AL637" s="100"/>
      <c r="AM637" s="100"/>
      <c r="AN637" s="100"/>
      <c r="AO637" s="100"/>
    </row>
    <row r="638" ht="14.25" customHeight="1">
      <c r="A638" s="195"/>
      <c r="B638" s="100"/>
      <c r="C638" s="100"/>
      <c r="D638" s="100"/>
      <c r="E638" s="100"/>
      <c r="F638" s="206"/>
      <c r="G638" s="206"/>
      <c r="H638" s="207"/>
      <c r="I638" s="207"/>
      <c r="J638" s="207"/>
      <c r="K638" s="207"/>
      <c r="L638" s="207"/>
      <c r="M638" s="207"/>
      <c r="N638" s="207"/>
      <c r="O638" s="207"/>
      <c r="P638" s="207"/>
      <c r="Q638" s="207"/>
      <c r="R638" s="207"/>
      <c r="S638" s="207"/>
      <c r="T638" s="207"/>
      <c r="U638" s="207"/>
      <c r="V638" s="207"/>
      <c r="W638" s="208"/>
      <c r="X638" s="208"/>
      <c r="Y638" s="208"/>
      <c r="Z638" s="208"/>
      <c r="AA638" s="208"/>
      <c r="AB638" s="208"/>
      <c r="AC638" s="208"/>
      <c r="AD638" s="208"/>
      <c r="AE638" s="208"/>
      <c r="AF638" s="208"/>
      <c r="AG638" s="208"/>
      <c r="AH638" s="208"/>
      <c r="AI638" s="100"/>
      <c r="AJ638" s="100"/>
      <c r="AK638" s="100"/>
      <c r="AL638" s="100"/>
      <c r="AM638" s="100"/>
      <c r="AN638" s="100"/>
      <c r="AO638" s="100"/>
    </row>
    <row r="639" ht="14.25" customHeight="1">
      <c r="A639" s="195"/>
      <c r="B639" s="100"/>
      <c r="C639" s="100"/>
      <c r="D639" s="100"/>
      <c r="E639" s="100"/>
      <c r="F639" s="206"/>
      <c r="G639" s="206"/>
      <c r="H639" s="207"/>
      <c r="I639" s="207"/>
      <c r="J639" s="207"/>
      <c r="K639" s="207"/>
      <c r="L639" s="207"/>
      <c r="M639" s="207"/>
      <c r="N639" s="207"/>
      <c r="O639" s="207"/>
      <c r="P639" s="207"/>
      <c r="Q639" s="207"/>
      <c r="R639" s="207"/>
      <c r="S639" s="207"/>
      <c r="T639" s="207"/>
      <c r="U639" s="207"/>
      <c r="V639" s="207"/>
      <c r="W639" s="208"/>
      <c r="X639" s="208"/>
      <c r="Y639" s="208"/>
      <c r="Z639" s="208"/>
      <c r="AA639" s="208"/>
      <c r="AB639" s="208"/>
      <c r="AC639" s="208"/>
      <c r="AD639" s="208"/>
      <c r="AE639" s="208"/>
      <c r="AF639" s="208"/>
      <c r="AG639" s="208"/>
      <c r="AH639" s="208"/>
      <c r="AI639" s="100"/>
      <c r="AJ639" s="100"/>
      <c r="AK639" s="100"/>
      <c r="AL639" s="100"/>
      <c r="AM639" s="100"/>
      <c r="AN639" s="100"/>
      <c r="AO639" s="100"/>
    </row>
    <row r="640" ht="14.25" customHeight="1">
      <c r="A640" s="195"/>
      <c r="B640" s="100"/>
      <c r="C640" s="100"/>
      <c r="D640" s="100"/>
      <c r="E640" s="100"/>
      <c r="F640" s="206"/>
      <c r="G640" s="206"/>
      <c r="H640" s="207"/>
      <c r="I640" s="207"/>
      <c r="J640" s="207"/>
      <c r="K640" s="207"/>
      <c r="L640" s="207"/>
      <c r="M640" s="207"/>
      <c r="N640" s="207"/>
      <c r="O640" s="207"/>
      <c r="P640" s="207"/>
      <c r="Q640" s="207"/>
      <c r="R640" s="207"/>
      <c r="S640" s="207"/>
      <c r="T640" s="207"/>
      <c r="U640" s="207"/>
      <c r="V640" s="207"/>
      <c r="W640" s="208"/>
      <c r="X640" s="208"/>
      <c r="Y640" s="208"/>
      <c r="Z640" s="208"/>
      <c r="AA640" s="208"/>
      <c r="AB640" s="208"/>
      <c r="AC640" s="208"/>
      <c r="AD640" s="208"/>
      <c r="AE640" s="208"/>
      <c r="AF640" s="208"/>
      <c r="AG640" s="208"/>
      <c r="AH640" s="208"/>
      <c r="AI640" s="100"/>
      <c r="AJ640" s="100"/>
      <c r="AK640" s="100"/>
      <c r="AL640" s="100"/>
      <c r="AM640" s="100"/>
      <c r="AN640" s="100"/>
      <c r="AO640" s="100"/>
    </row>
    <row r="641" ht="14.25" customHeight="1">
      <c r="A641" s="195"/>
      <c r="B641" s="100"/>
      <c r="C641" s="100"/>
      <c r="D641" s="100"/>
      <c r="E641" s="100"/>
      <c r="F641" s="206"/>
      <c r="G641" s="206"/>
      <c r="H641" s="207"/>
      <c r="I641" s="207"/>
      <c r="J641" s="207"/>
      <c r="K641" s="207"/>
      <c r="L641" s="207"/>
      <c r="M641" s="207"/>
      <c r="N641" s="207"/>
      <c r="O641" s="207"/>
      <c r="P641" s="207"/>
      <c r="Q641" s="207"/>
      <c r="R641" s="207"/>
      <c r="S641" s="207"/>
      <c r="T641" s="207"/>
      <c r="U641" s="207"/>
      <c r="V641" s="207"/>
      <c r="W641" s="208"/>
      <c r="X641" s="208"/>
      <c r="Y641" s="208"/>
      <c r="Z641" s="208"/>
      <c r="AA641" s="208"/>
      <c r="AB641" s="208"/>
      <c r="AC641" s="208"/>
      <c r="AD641" s="208"/>
      <c r="AE641" s="208"/>
      <c r="AF641" s="208"/>
      <c r="AG641" s="208"/>
      <c r="AH641" s="208"/>
      <c r="AI641" s="100"/>
      <c r="AJ641" s="100"/>
      <c r="AK641" s="100"/>
      <c r="AL641" s="100"/>
      <c r="AM641" s="100"/>
      <c r="AN641" s="100"/>
      <c r="AO641" s="100"/>
    </row>
    <row r="642" ht="14.25" customHeight="1">
      <c r="A642" s="195"/>
      <c r="B642" s="100"/>
      <c r="C642" s="100"/>
      <c r="D642" s="100"/>
      <c r="E642" s="100"/>
      <c r="F642" s="206"/>
      <c r="G642" s="206"/>
      <c r="H642" s="207"/>
      <c r="I642" s="207"/>
      <c r="J642" s="207"/>
      <c r="K642" s="207"/>
      <c r="L642" s="207"/>
      <c r="M642" s="207"/>
      <c r="N642" s="207"/>
      <c r="O642" s="207"/>
      <c r="P642" s="207"/>
      <c r="Q642" s="207"/>
      <c r="R642" s="207"/>
      <c r="S642" s="207"/>
      <c r="T642" s="207"/>
      <c r="U642" s="207"/>
      <c r="V642" s="207"/>
      <c r="W642" s="208"/>
      <c r="X642" s="208"/>
      <c r="Y642" s="208"/>
      <c r="Z642" s="208"/>
      <c r="AA642" s="208"/>
      <c r="AB642" s="208"/>
      <c r="AC642" s="208"/>
      <c r="AD642" s="208"/>
      <c r="AE642" s="208"/>
      <c r="AF642" s="208"/>
      <c r="AG642" s="208"/>
      <c r="AH642" s="208"/>
      <c r="AI642" s="100"/>
      <c r="AJ642" s="100"/>
      <c r="AK642" s="100"/>
      <c r="AL642" s="100"/>
      <c r="AM642" s="100"/>
      <c r="AN642" s="100"/>
      <c r="AO642" s="100"/>
    </row>
    <row r="643" ht="14.25" customHeight="1">
      <c r="A643" s="195"/>
      <c r="B643" s="100"/>
      <c r="C643" s="100"/>
      <c r="D643" s="100"/>
      <c r="E643" s="100"/>
      <c r="F643" s="206"/>
      <c r="G643" s="206"/>
      <c r="H643" s="207"/>
      <c r="I643" s="207"/>
      <c r="J643" s="207"/>
      <c r="K643" s="207"/>
      <c r="L643" s="207"/>
      <c r="M643" s="207"/>
      <c r="N643" s="207"/>
      <c r="O643" s="207"/>
      <c r="P643" s="207"/>
      <c r="Q643" s="207"/>
      <c r="R643" s="207"/>
      <c r="S643" s="207"/>
      <c r="T643" s="207"/>
      <c r="U643" s="207"/>
      <c r="V643" s="207"/>
      <c r="W643" s="208"/>
      <c r="X643" s="208"/>
      <c r="Y643" s="208"/>
      <c r="Z643" s="208"/>
      <c r="AA643" s="208"/>
      <c r="AB643" s="208"/>
      <c r="AC643" s="208"/>
      <c r="AD643" s="208"/>
      <c r="AE643" s="208"/>
      <c r="AF643" s="208"/>
      <c r="AG643" s="208"/>
      <c r="AH643" s="208"/>
      <c r="AI643" s="100"/>
      <c r="AJ643" s="100"/>
      <c r="AK643" s="100"/>
      <c r="AL643" s="100"/>
      <c r="AM643" s="100"/>
      <c r="AN643" s="100"/>
      <c r="AO643" s="100"/>
    </row>
    <row r="644" ht="14.25" customHeight="1">
      <c r="A644" s="195"/>
      <c r="B644" s="100"/>
      <c r="C644" s="100"/>
      <c r="D644" s="100"/>
      <c r="E644" s="100"/>
      <c r="F644" s="206"/>
      <c r="G644" s="206"/>
      <c r="H644" s="207"/>
      <c r="I644" s="207"/>
      <c r="J644" s="207"/>
      <c r="K644" s="207"/>
      <c r="L644" s="207"/>
      <c r="M644" s="207"/>
      <c r="N644" s="207"/>
      <c r="O644" s="207"/>
      <c r="P644" s="207"/>
      <c r="Q644" s="207"/>
      <c r="R644" s="207"/>
      <c r="S644" s="207"/>
      <c r="T644" s="207"/>
      <c r="U644" s="207"/>
      <c r="V644" s="207"/>
      <c r="W644" s="208"/>
      <c r="X644" s="208"/>
      <c r="Y644" s="208"/>
      <c r="Z644" s="208"/>
      <c r="AA644" s="208"/>
      <c r="AB644" s="208"/>
      <c r="AC644" s="208"/>
      <c r="AD644" s="208"/>
      <c r="AE644" s="208"/>
      <c r="AF644" s="208"/>
      <c r="AG644" s="208"/>
      <c r="AH644" s="208"/>
      <c r="AI644" s="100"/>
      <c r="AJ644" s="100"/>
      <c r="AK644" s="100"/>
      <c r="AL644" s="100"/>
      <c r="AM644" s="100"/>
      <c r="AN644" s="100"/>
      <c r="AO644" s="100"/>
    </row>
    <row r="645" ht="14.25" customHeight="1">
      <c r="A645" s="195"/>
      <c r="B645" s="100"/>
      <c r="C645" s="100"/>
      <c r="D645" s="100"/>
      <c r="E645" s="100"/>
      <c r="F645" s="206"/>
      <c r="G645" s="206"/>
      <c r="H645" s="207"/>
      <c r="I645" s="207"/>
      <c r="J645" s="207"/>
      <c r="K645" s="207"/>
      <c r="L645" s="207"/>
      <c r="M645" s="207"/>
      <c r="N645" s="207"/>
      <c r="O645" s="207"/>
      <c r="P645" s="207"/>
      <c r="Q645" s="207"/>
      <c r="R645" s="207"/>
      <c r="S645" s="207"/>
      <c r="T645" s="207"/>
      <c r="U645" s="207"/>
      <c r="V645" s="207"/>
      <c r="W645" s="208"/>
      <c r="X645" s="208"/>
      <c r="Y645" s="208"/>
      <c r="Z645" s="208"/>
      <c r="AA645" s="208"/>
      <c r="AB645" s="208"/>
      <c r="AC645" s="208"/>
      <c r="AD645" s="208"/>
      <c r="AE645" s="208"/>
      <c r="AF645" s="208"/>
      <c r="AG645" s="208"/>
      <c r="AH645" s="208"/>
      <c r="AI645" s="100"/>
      <c r="AJ645" s="100"/>
      <c r="AK645" s="100"/>
      <c r="AL645" s="100"/>
      <c r="AM645" s="100"/>
      <c r="AN645" s="100"/>
      <c r="AO645" s="100"/>
    </row>
    <row r="646" ht="14.25" customHeight="1">
      <c r="A646" s="195"/>
      <c r="B646" s="100"/>
      <c r="C646" s="100"/>
      <c r="D646" s="100"/>
      <c r="E646" s="100"/>
      <c r="F646" s="206"/>
      <c r="G646" s="206"/>
      <c r="H646" s="207"/>
      <c r="I646" s="207"/>
      <c r="J646" s="207"/>
      <c r="K646" s="207"/>
      <c r="L646" s="207"/>
      <c r="M646" s="207"/>
      <c r="N646" s="207"/>
      <c r="O646" s="207"/>
      <c r="P646" s="207"/>
      <c r="Q646" s="207"/>
      <c r="R646" s="207"/>
      <c r="S646" s="207"/>
      <c r="T646" s="207"/>
      <c r="U646" s="207"/>
      <c r="V646" s="207"/>
      <c r="W646" s="208"/>
      <c r="X646" s="208"/>
      <c r="Y646" s="208"/>
      <c r="Z646" s="208"/>
      <c r="AA646" s="208"/>
      <c r="AB646" s="208"/>
      <c r="AC646" s="208"/>
      <c r="AD646" s="208"/>
      <c r="AE646" s="208"/>
      <c r="AF646" s="208"/>
      <c r="AG646" s="208"/>
      <c r="AH646" s="208"/>
      <c r="AI646" s="100"/>
      <c r="AJ646" s="100"/>
      <c r="AK646" s="100"/>
      <c r="AL646" s="100"/>
      <c r="AM646" s="100"/>
      <c r="AN646" s="100"/>
      <c r="AO646" s="100"/>
    </row>
    <row r="647" ht="14.25" customHeight="1">
      <c r="A647" s="195"/>
      <c r="B647" s="100"/>
      <c r="C647" s="100"/>
      <c r="D647" s="100"/>
      <c r="E647" s="100"/>
      <c r="F647" s="206"/>
      <c r="G647" s="206"/>
      <c r="H647" s="207"/>
      <c r="I647" s="207"/>
      <c r="J647" s="207"/>
      <c r="K647" s="207"/>
      <c r="L647" s="207"/>
      <c r="M647" s="207"/>
      <c r="N647" s="207"/>
      <c r="O647" s="207"/>
      <c r="P647" s="207"/>
      <c r="Q647" s="207"/>
      <c r="R647" s="207"/>
      <c r="S647" s="207"/>
      <c r="T647" s="207"/>
      <c r="U647" s="207"/>
      <c r="V647" s="207"/>
      <c r="W647" s="208"/>
      <c r="X647" s="208"/>
      <c r="Y647" s="208"/>
      <c r="Z647" s="208"/>
      <c r="AA647" s="208"/>
      <c r="AB647" s="208"/>
      <c r="AC647" s="208"/>
      <c r="AD647" s="208"/>
      <c r="AE647" s="208"/>
      <c r="AF647" s="208"/>
      <c r="AG647" s="208"/>
      <c r="AH647" s="208"/>
      <c r="AI647" s="100"/>
      <c r="AJ647" s="100"/>
      <c r="AK647" s="100"/>
      <c r="AL647" s="100"/>
      <c r="AM647" s="100"/>
      <c r="AN647" s="100"/>
      <c r="AO647" s="100"/>
    </row>
    <row r="648" ht="14.25" customHeight="1">
      <c r="A648" s="195"/>
      <c r="B648" s="100"/>
      <c r="C648" s="100"/>
      <c r="D648" s="100"/>
      <c r="E648" s="100"/>
      <c r="F648" s="206"/>
      <c r="G648" s="206"/>
      <c r="H648" s="207"/>
      <c r="I648" s="207"/>
      <c r="J648" s="207"/>
      <c r="K648" s="207"/>
      <c r="L648" s="207"/>
      <c r="M648" s="207"/>
      <c r="N648" s="207"/>
      <c r="O648" s="207"/>
      <c r="P648" s="207"/>
      <c r="Q648" s="207"/>
      <c r="R648" s="207"/>
      <c r="S648" s="207"/>
      <c r="T648" s="207"/>
      <c r="U648" s="207"/>
      <c r="V648" s="207"/>
      <c r="W648" s="208"/>
      <c r="X648" s="208"/>
      <c r="Y648" s="208"/>
      <c r="Z648" s="208"/>
      <c r="AA648" s="208"/>
      <c r="AB648" s="208"/>
      <c r="AC648" s="208"/>
      <c r="AD648" s="208"/>
      <c r="AE648" s="208"/>
      <c r="AF648" s="208"/>
      <c r="AG648" s="208"/>
      <c r="AH648" s="208"/>
      <c r="AI648" s="100"/>
      <c r="AJ648" s="100"/>
      <c r="AK648" s="100"/>
      <c r="AL648" s="100"/>
      <c r="AM648" s="100"/>
      <c r="AN648" s="100"/>
      <c r="AO648" s="100"/>
    </row>
    <row r="649" ht="14.25" customHeight="1">
      <c r="A649" s="195"/>
      <c r="B649" s="100"/>
      <c r="C649" s="100"/>
      <c r="D649" s="100"/>
      <c r="E649" s="100"/>
      <c r="F649" s="206"/>
      <c r="G649" s="206"/>
      <c r="H649" s="207"/>
      <c r="I649" s="207"/>
      <c r="J649" s="207"/>
      <c r="K649" s="207"/>
      <c r="L649" s="207"/>
      <c r="M649" s="207"/>
      <c r="N649" s="207"/>
      <c r="O649" s="207"/>
      <c r="P649" s="207"/>
      <c r="Q649" s="207"/>
      <c r="R649" s="207"/>
      <c r="S649" s="207"/>
      <c r="T649" s="207"/>
      <c r="U649" s="207"/>
      <c r="V649" s="207"/>
      <c r="W649" s="208"/>
      <c r="X649" s="208"/>
      <c r="Y649" s="208"/>
      <c r="Z649" s="208"/>
      <c r="AA649" s="208"/>
      <c r="AB649" s="208"/>
      <c r="AC649" s="208"/>
      <c r="AD649" s="208"/>
      <c r="AE649" s="208"/>
      <c r="AF649" s="208"/>
      <c r="AG649" s="208"/>
      <c r="AH649" s="208"/>
      <c r="AI649" s="100"/>
      <c r="AJ649" s="100"/>
      <c r="AK649" s="100"/>
      <c r="AL649" s="100"/>
      <c r="AM649" s="100"/>
      <c r="AN649" s="100"/>
      <c r="AO649" s="100"/>
    </row>
    <row r="650" ht="14.25" customHeight="1">
      <c r="A650" s="195"/>
      <c r="B650" s="100"/>
      <c r="C650" s="100"/>
      <c r="D650" s="100"/>
      <c r="E650" s="100"/>
      <c r="F650" s="206"/>
      <c r="G650" s="206"/>
      <c r="H650" s="207"/>
      <c r="I650" s="207"/>
      <c r="J650" s="207"/>
      <c r="K650" s="207"/>
      <c r="L650" s="207"/>
      <c r="M650" s="207"/>
      <c r="N650" s="207"/>
      <c r="O650" s="207"/>
      <c r="P650" s="207"/>
      <c r="Q650" s="207"/>
      <c r="R650" s="207"/>
      <c r="S650" s="207"/>
      <c r="T650" s="207"/>
      <c r="U650" s="207"/>
      <c r="V650" s="207"/>
      <c r="W650" s="208"/>
      <c r="X650" s="208"/>
      <c r="Y650" s="208"/>
      <c r="Z650" s="208"/>
      <c r="AA650" s="208"/>
      <c r="AB650" s="208"/>
      <c r="AC650" s="208"/>
      <c r="AD650" s="208"/>
      <c r="AE650" s="208"/>
      <c r="AF650" s="208"/>
      <c r="AG650" s="208"/>
      <c r="AH650" s="208"/>
      <c r="AI650" s="100"/>
      <c r="AJ650" s="100"/>
      <c r="AK650" s="100"/>
      <c r="AL650" s="100"/>
      <c r="AM650" s="100"/>
      <c r="AN650" s="100"/>
      <c r="AO650" s="100"/>
    </row>
    <row r="651" ht="14.25" customHeight="1">
      <c r="A651" s="195"/>
      <c r="B651" s="100"/>
      <c r="C651" s="100"/>
      <c r="D651" s="100"/>
      <c r="E651" s="100"/>
      <c r="F651" s="206"/>
      <c r="G651" s="206"/>
      <c r="H651" s="207"/>
      <c r="I651" s="207"/>
      <c r="J651" s="207"/>
      <c r="K651" s="207"/>
      <c r="L651" s="207"/>
      <c r="M651" s="207"/>
      <c r="N651" s="207"/>
      <c r="O651" s="207"/>
      <c r="P651" s="207"/>
      <c r="Q651" s="207"/>
      <c r="R651" s="207"/>
      <c r="S651" s="207"/>
      <c r="T651" s="207"/>
      <c r="U651" s="207"/>
      <c r="V651" s="207"/>
      <c r="W651" s="208"/>
      <c r="X651" s="208"/>
      <c r="Y651" s="208"/>
      <c r="Z651" s="208"/>
      <c r="AA651" s="208"/>
      <c r="AB651" s="208"/>
      <c r="AC651" s="208"/>
      <c r="AD651" s="208"/>
      <c r="AE651" s="208"/>
      <c r="AF651" s="208"/>
      <c r="AG651" s="208"/>
      <c r="AH651" s="208"/>
      <c r="AI651" s="100"/>
      <c r="AJ651" s="100"/>
      <c r="AK651" s="100"/>
      <c r="AL651" s="100"/>
      <c r="AM651" s="100"/>
      <c r="AN651" s="100"/>
      <c r="AO651" s="100"/>
    </row>
    <row r="652" ht="14.25" customHeight="1">
      <c r="A652" s="195"/>
      <c r="B652" s="100"/>
      <c r="C652" s="100"/>
      <c r="D652" s="100"/>
      <c r="E652" s="100"/>
      <c r="F652" s="206"/>
      <c r="G652" s="206"/>
      <c r="H652" s="207"/>
      <c r="I652" s="207"/>
      <c r="J652" s="207"/>
      <c r="K652" s="207"/>
      <c r="L652" s="207"/>
      <c r="M652" s="207"/>
      <c r="N652" s="207"/>
      <c r="O652" s="207"/>
      <c r="P652" s="207"/>
      <c r="Q652" s="207"/>
      <c r="R652" s="207"/>
      <c r="S652" s="207"/>
      <c r="T652" s="207"/>
      <c r="U652" s="207"/>
      <c r="V652" s="207"/>
      <c r="W652" s="208"/>
      <c r="X652" s="208"/>
      <c r="Y652" s="208"/>
      <c r="Z652" s="208"/>
      <c r="AA652" s="208"/>
      <c r="AB652" s="208"/>
      <c r="AC652" s="208"/>
      <c r="AD652" s="208"/>
      <c r="AE652" s="208"/>
      <c r="AF652" s="208"/>
      <c r="AG652" s="208"/>
      <c r="AH652" s="208"/>
      <c r="AI652" s="100"/>
      <c r="AJ652" s="100"/>
      <c r="AK652" s="100"/>
      <c r="AL652" s="100"/>
      <c r="AM652" s="100"/>
      <c r="AN652" s="100"/>
      <c r="AO652" s="100"/>
    </row>
    <row r="653" ht="14.25" customHeight="1">
      <c r="A653" s="195"/>
      <c r="B653" s="100"/>
      <c r="C653" s="100"/>
      <c r="D653" s="100"/>
      <c r="E653" s="100"/>
      <c r="F653" s="206"/>
      <c r="G653" s="206"/>
      <c r="H653" s="207"/>
      <c r="I653" s="207"/>
      <c r="J653" s="207"/>
      <c r="K653" s="207"/>
      <c r="L653" s="207"/>
      <c r="M653" s="207"/>
      <c r="N653" s="207"/>
      <c r="O653" s="207"/>
      <c r="P653" s="207"/>
      <c r="Q653" s="207"/>
      <c r="R653" s="207"/>
      <c r="S653" s="207"/>
      <c r="T653" s="207"/>
      <c r="U653" s="207"/>
      <c r="V653" s="207"/>
      <c r="W653" s="208"/>
      <c r="X653" s="208"/>
      <c r="Y653" s="208"/>
      <c r="Z653" s="208"/>
      <c r="AA653" s="208"/>
      <c r="AB653" s="208"/>
      <c r="AC653" s="208"/>
      <c r="AD653" s="208"/>
      <c r="AE653" s="208"/>
      <c r="AF653" s="208"/>
      <c r="AG653" s="208"/>
      <c r="AH653" s="208"/>
      <c r="AI653" s="100"/>
      <c r="AJ653" s="100"/>
      <c r="AK653" s="100"/>
      <c r="AL653" s="100"/>
      <c r="AM653" s="100"/>
      <c r="AN653" s="100"/>
      <c r="AO653" s="100"/>
    </row>
    <row r="654" ht="14.25" customHeight="1">
      <c r="A654" s="195"/>
      <c r="B654" s="100"/>
      <c r="C654" s="100"/>
      <c r="D654" s="100"/>
      <c r="E654" s="100"/>
      <c r="F654" s="206"/>
      <c r="G654" s="206"/>
      <c r="H654" s="207"/>
      <c r="I654" s="207"/>
      <c r="J654" s="207"/>
      <c r="K654" s="207"/>
      <c r="L654" s="207"/>
      <c r="M654" s="207"/>
      <c r="N654" s="207"/>
      <c r="O654" s="207"/>
      <c r="P654" s="207"/>
      <c r="Q654" s="207"/>
      <c r="R654" s="207"/>
      <c r="S654" s="207"/>
      <c r="T654" s="207"/>
      <c r="U654" s="207"/>
      <c r="V654" s="207"/>
      <c r="W654" s="208"/>
      <c r="X654" s="208"/>
      <c r="Y654" s="208"/>
      <c r="Z654" s="208"/>
      <c r="AA654" s="208"/>
      <c r="AB654" s="208"/>
      <c r="AC654" s="208"/>
      <c r="AD654" s="208"/>
      <c r="AE654" s="208"/>
      <c r="AF654" s="208"/>
      <c r="AG654" s="208"/>
      <c r="AH654" s="208"/>
      <c r="AI654" s="100"/>
      <c r="AJ654" s="100"/>
      <c r="AK654" s="100"/>
      <c r="AL654" s="100"/>
      <c r="AM654" s="100"/>
      <c r="AN654" s="100"/>
      <c r="AO654" s="100"/>
    </row>
    <row r="655" ht="14.25" customHeight="1">
      <c r="A655" s="195"/>
      <c r="B655" s="100"/>
      <c r="C655" s="100"/>
      <c r="D655" s="100"/>
      <c r="E655" s="100"/>
      <c r="F655" s="206"/>
      <c r="G655" s="206"/>
      <c r="H655" s="207"/>
      <c r="I655" s="207"/>
      <c r="J655" s="207"/>
      <c r="K655" s="207"/>
      <c r="L655" s="207"/>
      <c r="M655" s="207"/>
      <c r="N655" s="207"/>
      <c r="O655" s="207"/>
      <c r="P655" s="207"/>
      <c r="Q655" s="207"/>
      <c r="R655" s="207"/>
      <c r="S655" s="207"/>
      <c r="T655" s="207"/>
      <c r="U655" s="207"/>
      <c r="V655" s="207"/>
      <c r="W655" s="208"/>
      <c r="X655" s="208"/>
      <c r="Y655" s="208"/>
      <c r="Z655" s="208"/>
      <c r="AA655" s="208"/>
      <c r="AB655" s="208"/>
      <c r="AC655" s="208"/>
      <c r="AD655" s="208"/>
      <c r="AE655" s="208"/>
      <c r="AF655" s="208"/>
      <c r="AG655" s="208"/>
      <c r="AH655" s="208"/>
      <c r="AI655" s="100"/>
      <c r="AJ655" s="100"/>
      <c r="AK655" s="100"/>
      <c r="AL655" s="100"/>
      <c r="AM655" s="100"/>
      <c r="AN655" s="100"/>
      <c r="AO655" s="100"/>
    </row>
    <row r="656" ht="14.25" customHeight="1">
      <c r="A656" s="195"/>
      <c r="B656" s="100"/>
      <c r="C656" s="100"/>
      <c r="D656" s="100"/>
      <c r="E656" s="100"/>
      <c r="F656" s="206"/>
      <c r="G656" s="206"/>
      <c r="H656" s="207"/>
      <c r="I656" s="207"/>
      <c r="J656" s="207"/>
      <c r="K656" s="207"/>
      <c r="L656" s="207"/>
      <c r="M656" s="207"/>
      <c r="N656" s="207"/>
      <c r="O656" s="207"/>
      <c r="P656" s="207"/>
      <c r="Q656" s="207"/>
      <c r="R656" s="207"/>
      <c r="S656" s="207"/>
      <c r="T656" s="207"/>
      <c r="U656" s="207"/>
      <c r="V656" s="207"/>
      <c r="W656" s="208"/>
      <c r="X656" s="208"/>
      <c r="Y656" s="208"/>
      <c r="Z656" s="208"/>
      <c r="AA656" s="208"/>
      <c r="AB656" s="208"/>
      <c r="AC656" s="208"/>
      <c r="AD656" s="208"/>
      <c r="AE656" s="208"/>
      <c r="AF656" s="208"/>
      <c r="AG656" s="208"/>
      <c r="AH656" s="208"/>
      <c r="AI656" s="100"/>
      <c r="AJ656" s="100"/>
      <c r="AK656" s="100"/>
      <c r="AL656" s="100"/>
      <c r="AM656" s="100"/>
      <c r="AN656" s="100"/>
      <c r="AO656" s="100"/>
    </row>
    <row r="657" ht="14.25" customHeight="1">
      <c r="A657" s="195"/>
      <c r="B657" s="100"/>
      <c r="C657" s="100"/>
      <c r="D657" s="100"/>
      <c r="E657" s="100"/>
      <c r="F657" s="206"/>
      <c r="G657" s="206"/>
      <c r="H657" s="207"/>
      <c r="I657" s="207"/>
      <c r="J657" s="207"/>
      <c r="K657" s="207"/>
      <c r="L657" s="207"/>
      <c r="M657" s="207"/>
      <c r="N657" s="207"/>
      <c r="O657" s="207"/>
      <c r="P657" s="207"/>
      <c r="Q657" s="207"/>
      <c r="R657" s="207"/>
      <c r="S657" s="207"/>
      <c r="T657" s="207"/>
      <c r="U657" s="207"/>
      <c r="V657" s="207"/>
      <c r="W657" s="208"/>
      <c r="X657" s="208"/>
      <c r="Y657" s="208"/>
      <c r="Z657" s="208"/>
      <c r="AA657" s="208"/>
      <c r="AB657" s="208"/>
      <c r="AC657" s="208"/>
      <c r="AD657" s="208"/>
      <c r="AE657" s="208"/>
      <c r="AF657" s="208"/>
      <c r="AG657" s="208"/>
      <c r="AH657" s="208"/>
      <c r="AI657" s="100"/>
      <c r="AJ657" s="100"/>
      <c r="AK657" s="100"/>
      <c r="AL657" s="100"/>
      <c r="AM657" s="100"/>
      <c r="AN657" s="100"/>
      <c r="AO657" s="100"/>
    </row>
    <row r="658" ht="14.25" customHeight="1">
      <c r="A658" s="195"/>
      <c r="B658" s="100"/>
      <c r="C658" s="100"/>
      <c r="D658" s="100"/>
      <c r="E658" s="100"/>
      <c r="F658" s="206"/>
      <c r="G658" s="206"/>
      <c r="H658" s="207"/>
      <c r="I658" s="207"/>
      <c r="J658" s="207"/>
      <c r="K658" s="207"/>
      <c r="L658" s="207"/>
      <c r="M658" s="207"/>
      <c r="N658" s="207"/>
      <c r="O658" s="207"/>
      <c r="P658" s="207"/>
      <c r="Q658" s="207"/>
      <c r="R658" s="207"/>
      <c r="S658" s="207"/>
      <c r="T658" s="207"/>
      <c r="U658" s="207"/>
      <c r="V658" s="207"/>
      <c r="W658" s="208"/>
      <c r="X658" s="208"/>
      <c r="Y658" s="208"/>
      <c r="Z658" s="208"/>
      <c r="AA658" s="208"/>
      <c r="AB658" s="208"/>
      <c r="AC658" s="208"/>
      <c r="AD658" s="208"/>
      <c r="AE658" s="208"/>
      <c r="AF658" s="208"/>
      <c r="AG658" s="208"/>
      <c r="AH658" s="208"/>
      <c r="AI658" s="100"/>
      <c r="AJ658" s="100"/>
      <c r="AK658" s="100"/>
      <c r="AL658" s="100"/>
      <c r="AM658" s="100"/>
      <c r="AN658" s="100"/>
      <c r="AO658" s="100"/>
    </row>
    <row r="659" ht="14.25" customHeight="1">
      <c r="A659" s="195"/>
      <c r="B659" s="100"/>
      <c r="C659" s="100"/>
      <c r="D659" s="100"/>
      <c r="E659" s="100"/>
      <c r="F659" s="206"/>
      <c r="G659" s="206"/>
      <c r="H659" s="207"/>
      <c r="I659" s="207"/>
      <c r="J659" s="207"/>
      <c r="K659" s="207"/>
      <c r="L659" s="207"/>
      <c r="M659" s="207"/>
      <c r="N659" s="207"/>
      <c r="O659" s="207"/>
      <c r="P659" s="207"/>
      <c r="Q659" s="207"/>
      <c r="R659" s="207"/>
      <c r="S659" s="207"/>
      <c r="T659" s="207"/>
      <c r="U659" s="207"/>
      <c r="V659" s="207"/>
      <c r="W659" s="208"/>
      <c r="X659" s="208"/>
      <c r="Y659" s="208"/>
      <c r="Z659" s="208"/>
      <c r="AA659" s="208"/>
      <c r="AB659" s="208"/>
      <c r="AC659" s="208"/>
      <c r="AD659" s="208"/>
      <c r="AE659" s="208"/>
      <c r="AF659" s="208"/>
      <c r="AG659" s="208"/>
      <c r="AH659" s="208"/>
      <c r="AI659" s="100"/>
      <c r="AJ659" s="100"/>
      <c r="AK659" s="100"/>
      <c r="AL659" s="100"/>
      <c r="AM659" s="100"/>
      <c r="AN659" s="100"/>
      <c r="AO659" s="100"/>
    </row>
    <row r="660" ht="14.25" customHeight="1">
      <c r="A660" s="195"/>
      <c r="B660" s="100"/>
      <c r="C660" s="100"/>
      <c r="D660" s="100"/>
      <c r="E660" s="100"/>
      <c r="F660" s="206"/>
      <c r="G660" s="206"/>
      <c r="H660" s="207"/>
      <c r="I660" s="207"/>
      <c r="J660" s="207"/>
      <c r="K660" s="207"/>
      <c r="L660" s="207"/>
      <c r="M660" s="207"/>
      <c r="N660" s="207"/>
      <c r="O660" s="207"/>
      <c r="P660" s="207"/>
      <c r="Q660" s="207"/>
      <c r="R660" s="207"/>
      <c r="S660" s="207"/>
      <c r="T660" s="207"/>
      <c r="U660" s="207"/>
      <c r="V660" s="207"/>
      <c r="W660" s="208"/>
      <c r="X660" s="208"/>
      <c r="Y660" s="208"/>
      <c r="Z660" s="208"/>
      <c r="AA660" s="208"/>
      <c r="AB660" s="208"/>
      <c r="AC660" s="208"/>
      <c r="AD660" s="208"/>
      <c r="AE660" s="208"/>
      <c r="AF660" s="208"/>
      <c r="AG660" s="208"/>
      <c r="AH660" s="208"/>
      <c r="AI660" s="100"/>
      <c r="AJ660" s="100"/>
      <c r="AK660" s="100"/>
      <c r="AL660" s="100"/>
      <c r="AM660" s="100"/>
      <c r="AN660" s="100"/>
      <c r="AO660" s="100"/>
    </row>
    <row r="661" ht="14.25" customHeight="1">
      <c r="A661" s="195"/>
      <c r="B661" s="100"/>
      <c r="C661" s="100"/>
      <c r="D661" s="100"/>
      <c r="E661" s="100"/>
      <c r="F661" s="206"/>
      <c r="G661" s="206"/>
      <c r="H661" s="207"/>
      <c r="I661" s="207"/>
      <c r="J661" s="207"/>
      <c r="K661" s="207"/>
      <c r="L661" s="207"/>
      <c r="M661" s="207"/>
      <c r="N661" s="207"/>
      <c r="O661" s="207"/>
      <c r="P661" s="207"/>
      <c r="Q661" s="207"/>
      <c r="R661" s="207"/>
      <c r="S661" s="207"/>
      <c r="T661" s="207"/>
      <c r="U661" s="207"/>
      <c r="V661" s="207"/>
      <c r="W661" s="208"/>
      <c r="X661" s="208"/>
      <c r="Y661" s="208"/>
      <c r="Z661" s="208"/>
      <c r="AA661" s="208"/>
      <c r="AB661" s="208"/>
      <c r="AC661" s="208"/>
      <c r="AD661" s="208"/>
      <c r="AE661" s="208"/>
      <c r="AF661" s="208"/>
      <c r="AG661" s="208"/>
      <c r="AH661" s="208"/>
      <c r="AI661" s="100"/>
      <c r="AJ661" s="100"/>
      <c r="AK661" s="100"/>
      <c r="AL661" s="100"/>
      <c r="AM661" s="100"/>
      <c r="AN661" s="100"/>
      <c r="AO661" s="100"/>
    </row>
    <row r="662" ht="14.25" customHeight="1">
      <c r="A662" s="195"/>
      <c r="B662" s="100"/>
      <c r="C662" s="100"/>
      <c r="D662" s="100"/>
      <c r="E662" s="100"/>
      <c r="F662" s="206"/>
      <c r="G662" s="206"/>
      <c r="H662" s="207"/>
      <c r="I662" s="207"/>
      <c r="J662" s="207"/>
      <c r="K662" s="207"/>
      <c r="L662" s="207"/>
      <c r="M662" s="207"/>
      <c r="N662" s="207"/>
      <c r="O662" s="207"/>
      <c r="P662" s="207"/>
      <c r="Q662" s="207"/>
      <c r="R662" s="207"/>
      <c r="S662" s="207"/>
      <c r="T662" s="207"/>
      <c r="U662" s="207"/>
      <c r="V662" s="207"/>
      <c r="W662" s="208"/>
      <c r="X662" s="208"/>
      <c r="Y662" s="208"/>
      <c r="Z662" s="208"/>
      <c r="AA662" s="208"/>
      <c r="AB662" s="208"/>
      <c r="AC662" s="208"/>
      <c r="AD662" s="208"/>
      <c r="AE662" s="208"/>
      <c r="AF662" s="208"/>
      <c r="AG662" s="208"/>
      <c r="AH662" s="208"/>
      <c r="AI662" s="100"/>
      <c r="AJ662" s="100"/>
      <c r="AK662" s="100"/>
      <c r="AL662" s="100"/>
      <c r="AM662" s="100"/>
      <c r="AN662" s="100"/>
      <c r="AO662" s="100"/>
    </row>
    <row r="663" ht="14.25" customHeight="1">
      <c r="A663" s="195"/>
      <c r="B663" s="100"/>
      <c r="C663" s="100"/>
      <c r="D663" s="100"/>
      <c r="E663" s="100"/>
      <c r="F663" s="206"/>
      <c r="G663" s="206"/>
      <c r="H663" s="207"/>
      <c r="I663" s="207"/>
      <c r="J663" s="207"/>
      <c r="K663" s="207"/>
      <c r="L663" s="207"/>
      <c r="M663" s="207"/>
      <c r="N663" s="207"/>
      <c r="O663" s="207"/>
      <c r="P663" s="207"/>
      <c r="Q663" s="207"/>
      <c r="R663" s="207"/>
      <c r="S663" s="207"/>
      <c r="T663" s="207"/>
      <c r="U663" s="207"/>
      <c r="V663" s="207"/>
      <c r="W663" s="208"/>
      <c r="X663" s="208"/>
      <c r="Y663" s="208"/>
      <c r="Z663" s="208"/>
      <c r="AA663" s="208"/>
      <c r="AB663" s="208"/>
      <c r="AC663" s="208"/>
      <c r="AD663" s="208"/>
      <c r="AE663" s="208"/>
      <c r="AF663" s="208"/>
      <c r="AG663" s="208"/>
      <c r="AH663" s="208"/>
      <c r="AI663" s="100"/>
      <c r="AJ663" s="100"/>
      <c r="AK663" s="100"/>
      <c r="AL663" s="100"/>
      <c r="AM663" s="100"/>
      <c r="AN663" s="100"/>
      <c r="AO663" s="100"/>
    </row>
    <row r="664" ht="14.25" customHeight="1">
      <c r="A664" s="195"/>
      <c r="B664" s="100"/>
      <c r="C664" s="100"/>
      <c r="D664" s="100"/>
      <c r="E664" s="100"/>
      <c r="F664" s="206"/>
      <c r="G664" s="206"/>
      <c r="H664" s="207"/>
      <c r="I664" s="207"/>
      <c r="J664" s="207"/>
      <c r="K664" s="207"/>
      <c r="L664" s="207"/>
      <c r="M664" s="207"/>
      <c r="N664" s="207"/>
      <c r="O664" s="207"/>
      <c r="P664" s="207"/>
      <c r="Q664" s="207"/>
      <c r="R664" s="207"/>
      <c r="S664" s="207"/>
      <c r="T664" s="207"/>
      <c r="U664" s="207"/>
      <c r="V664" s="207"/>
      <c r="W664" s="208"/>
      <c r="X664" s="208"/>
      <c r="Y664" s="208"/>
      <c r="Z664" s="208"/>
      <c r="AA664" s="208"/>
      <c r="AB664" s="208"/>
      <c r="AC664" s="208"/>
      <c r="AD664" s="208"/>
      <c r="AE664" s="208"/>
      <c r="AF664" s="208"/>
      <c r="AG664" s="208"/>
      <c r="AH664" s="208"/>
      <c r="AI664" s="100"/>
      <c r="AJ664" s="100"/>
      <c r="AK664" s="100"/>
      <c r="AL664" s="100"/>
      <c r="AM664" s="100"/>
      <c r="AN664" s="100"/>
      <c r="AO664" s="100"/>
    </row>
    <row r="665" ht="14.25" customHeight="1">
      <c r="A665" s="195"/>
      <c r="B665" s="100"/>
      <c r="C665" s="100"/>
      <c r="D665" s="100"/>
      <c r="E665" s="100"/>
      <c r="F665" s="206"/>
      <c r="G665" s="206"/>
      <c r="H665" s="207"/>
      <c r="I665" s="207"/>
      <c r="J665" s="207"/>
      <c r="K665" s="207"/>
      <c r="L665" s="207"/>
      <c r="M665" s="207"/>
      <c r="N665" s="207"/>
      <c r="O665" s="207"/>
      <c r="P665" s="207"/>
      <c r="Q665" s="207"/>
      <c r="R665" s="207"/>
      <c r="S665" s="207"/>
      <c r="T665" s="207"/>
      <c r="U665" s="207"/>
      <c r="V665" s="207"/>
      <c r="W665" s="208"/>
      <c r="X665" s="208"/>
      <c r="Y665" s="208"/>
      <c r="Z665" s="208"/>
      <c r="AA665" s="208"/>
      <c r="AB665" s="208"/>
      <c r="AC665" s="208"/>
      <c r="AD665" s="208"/>
      <c r="AE665" s="208"/>
      <c r="AF665" s="208"/>
      <c r="AG665" s="208"/>
      <c r="AH665" s="208"/>
      <c r="AI665" s="100"/>
      <c r="AJ665" s="100"/>
      <c r="AK665" s="100"/>
      <c r="AL665" s="100"/>
      <c r="AM665" s="100"/>
      <c r="AN665" s="100"/>
      <c r="AO665" s="100"/>
    </row>
    <row r="666" ht="14.25" customHeight="1">
      <c r="A666" s="195"/>
      <c r="B666" s="100"/>
      <c r="C666" s="100"/>
      <c r="D666" s="100"/>
      <c r="E666" s="100"/>
      <c r="F666" s="206"/>
      <c r="G666" s="206"/>
      <c r="H666" s="207"/>
      <c r="I666" s="207"/>
      <c r="J666" s="207"/>
      <c r="K666" s="207"/>
      <c r="L666" s="207"/>
      <c r="M666" s="207"/>
      <c r="N666" s="207"/>
      <c r="O666" s="207"/>
      <c r="P666" s="207"/>
      <c r="Q666" s="207"/>
      <c r="R666" s="207"/>
      <c r="S666" s="207"/>
      <c r="T666" s="207"/>
      <c r="U666" s="207"/>
      <c r="V666" s="207"/>
      <c r="W666" s="208"/>
      <c r="X666" s="208"/>
      <c r="Y666" s="208"/>
      <c r="Z666" s="208"/>
      <c r="AA666" s="208"/>
      <c r="AB666" s="208"/>
      <c r="AC666" s="208"/>
      <c r="AD666" s="208"/>
      <c r="AE666" s="208"/>
      <c r="AF666" s="208"/>
      <c r="AG666" s="208"/>
      <c r="AH666" s="208"/>
      <c r="AI666" s="100"/>
      <c r="AJ666" s="100"/>
      <c r="AK666" s="100"/>
      <c r="AL666" s="100"/>
      <c r="AM666" s="100"/>
      <c r="AN666" s="100"/>
      <c r="AO666" s="100"/>
    </row>
    <row r="667" ht="14.25" customHeight="1">
      <c r="A667" s="195"/>
      <c r="B667" s="100"/>
      <c r="C667" s="100"/>
      <c r="D667" s="100"/>
      <c r="E667" s="100"/>
      <c r="F667" s="206"/>
      <c r="G667" s="206"/>
      <c r="H667" s="207"/>
      <c r="I667" s="207"/>
      <c r="J667" s="207"/>
      <c r="K667" s="207"/>
      <c r="L667" s="207"/>
      <c r="M667" s="207"/>
      <c r="N667" s="207"/>
      <c r="O667" s="207"/>
      <c r="P667" s="207"/>
      <c r="Q667" s="207"/>
      <c r="R667" s="207"/>
      <c r="S667" s="207"/>
      <c r="T667" s="207"/>
      <c r="U667" s="207"/>
      <c r="V667" s="207"/>
      <c r="W667" s="208"/>
      <c r="X667" s="208"/>
      <c r="Y667" s="208"/>
      <c r="Z667" s="208"/>
      <c r="AA667" s="208"/>
      <c r="AB667" s="208"/>
      <c r="AC667" s="208"/>
      <c r="AD667" s="208"/>
      <c r="AE667" s="208"/>
      <c r="AF667" s="208"/>
      <c r="AG667" s="208"/>
      <c r="AH667" s="208"/>
      <c r="AI667" s="100"/>
      <c r="AJ667" s="100"/>
      <c r="AK667" s="100"/>
      <c r="AL667" s="100"/>
      <c r="AM667" s="100"/>
      <c r="AN667" s="100"/>
      <c r="AO667" s="100"/>
    </row>
    <row r="668" ht="14.25" customHeight="1">
      <c r="A668" s="195"/>
      <c r="B668" s="100"/>
      <c r="C668" s="100"/>
      <c r="D668" s="100"/>
      <c r="E668" s="100"/>
      <c r="F668" s="206"/>
      <c r="G668" s="206"/>
      <c r="H668" s="207"/>
      <c r="I668" s="207"/>
      <c r="J668" s="207"/>
      <c r="K668" s="207"/>
      <c r="L668" s="207"/>
      <c r="M668" s="207"/>
      <c r="N668" s="207"/>
      <c r="O668" s="207"/>
      <c r="P668" s="207"/>
      <c r="Q668" s="207"/>
      <c r="R668" s="207"/>
      <c r="S668" s="207"/>
      <c r="T668" s="207"/>
      <c r="U668" s="207"/>
      <c r="V668" s="207"/>
      <c r="W668" s="208"/>
      <c r="X668" s="208"/>
      <c r="Y668" s="208"/>
      <c r="Z668" s="208"/>
      <c r="AA668" s="208"/>
      <c r="AB668" s="208"/>
      <c r="AC668" s="208"/>
      <c r="AD668" s="208"/>
      <c r="AE668" s="208"/>
      <c r="AF668" s="208"/>
      <c r="AG668" s="208"/>
      <c r="AH668" s="208"/>
      <c r="AI668" s="100"/>
      <c r="AJ668" s="100"/>
      <c r="AK668" s="100"/>
      <c r="AL668" s="100"/>
      <c r="AM668" s="100"/>
      <c r="AN668" s="100"/>
      <c r="AO668" s="100"/>
    </row>
    <row r="669" ht="14.25" customHeight="1">
      <c r="A669" s="195"/>
      <c r="B669" s="100"/>
      <c r="C669" s="100"/>
      <c r="D669" s="100"/>
      <c r="E669" s="100"/>
      <c r="F669" s="206"/>
      <c r="G669" s="206"/>
      <c r="H669" s="207"/>
      <c r="I669" s="207"/>
      <c r="J669" s="207"/>
      <c r="K669" s="207"/>
      <c r="L669" s="207"/>
      <c r="M669" s="207"/>
      <c r="N669" s="207"/>
      <c r="O669" s="207"/>
      <c r="P669" s="207"/>
      <c r="Q669" s="207"/>
      <c r="R669" s="207"/>
      <c r="S669" s="207"/>
      <c r="T669" s="207"/>
      <c r="U669" s="207"/>
      <c r="V669" s="207"/>
      <c r="W669" s="208"/>
      <c r="X669" s="208"/>
      <c r="Y669" s="208"/>
      <c r="Z669" s="208"/>
      <c r="AA669" s="208"/>
      <c r="AB669" s="208"/>
      <c r="AC669" s="208"/>
      <c r="AD669" s="208"/>
      <c r="AE669" s="208"/>
      <c r="AF669" s="208"/>
      <c r="AG669" s="208"/>
      <c r="AH669" s="208"/>
      <c r="AI669" s="100"/>
      <c r="AJ669" s="100"/>
      <c r="AK669" s="100"/>
      <c r="AL669" s="100"/>
      <c r="AM669" s="100"/>
      <c r="AN669" s="100"/>
      <c r="AO669" s="100"/>
    </row>
    <row r="670" ht="14.25" customHeight="1">
      <c r="A670" s="195"/>
      <c r="B670" s="100"/>
      <c r="C670" s="100"/>
      <c r="D670" s="100"/>
      <c r="E670" s="100"/>
      <c r="F670" s="206"/>
      <c r="G670" s="206"/>
      <c r="H670" s="207"/>
      <c r="I670" s="207"/>
      <c r="J670" s="207"/>
      <c r="K670" s="207"/>
      <c r="L670" s="207"/>
      <c r="M670" s="207"/>
      <c r="N670" s="207"/>
      <c r="O670" s="207"/>
      <c r="P670" s="207"/>
      <c r="Q670" s="207"/>
      <c r="R670" s="207"/>
      <c r="S670" s="207"/>
      <c r="T670" s="207"/>
      <c r="U670" s="207"/>
      <c r="V670" s="207"/>
      <c r="W670" s="208"/>
      <c r="X670" s="208"/>
      <c r="Y670" s="208"/>
      <c r="Z670" s="208"/>
      <c r="AA670" s="208"/>
      <c r="AB670" s="208"/>
      <c r="AC670" s="208"/>
      <c r="AD670" s="208"/>
      <c r="AE670" s="208"/>
      <c r="AF670" s="208"/>
      <c r="AG670" s="208"/>
      <c r="AH670" s="208"/>
      <c r="AI670" s="100"/>
      <c r="AJ670" s="100"/>
      <c r="AK670" s="100"/>
      <c r="AL670" s="100"/>
      <c r="AM670" s="100"/>
      <c r="AN670" s="100"/>
      <c r="AO670" s="100"/>
    </row>
    <row r="671" ht="14.25" customHeight="1">
      <c r="A671" s="195"/>
      <c r="B671" s="100"/>
      <c r="C671" s="100"/>
      <c r="D671" s="100"/>
      <c r="E671" s="100"/>
      <c r="F671" s="206"/>
      <c r="G671" s="206"/>
      <c r="H671" s="207"/>
      <c r="I671" s="207"/>
      <c r="J671" s="207"/>
      <c r="K671" s="207"/>
      <c r="L671" s="207"/>
      <c r="M671" s="207"/>
      <c r="N671" s="207"/>
      <c r="O671" s="207"/>
      <c r="P671" s="207"/>
      <c r="Q671" s="207"/>
      <c r="R671" s="207"/>
      <c r="S671" s="207"/>
      <c r="T671" s="207"/>
      <c r="U671" s="207"/>
      <c r="V671" s="207"/>
      <c r="W671" s="208"/>
      <c r="X671" s="208"/>
      <c r="Y671" s="208"/>
      <c r="Z671" s="208"/>
      <c r="AA671" s="208"/>
      <c r="AB671" s="208"/>
      <c r="AC671" s="208"/>
      <c r="AD671" s="208"/>
      <c r="AE671" s="208"/>
      <c r="AF671" s="208"/>
      <c r="AG671" s="208"/>
      <c r="AH671" s="208"/>
      <c r="AI671" s="100"/>
      <c r="AJ671" s="100"/>
      <c r="AK671" s="100"/>
      <c r="AL671" s="100"/>
      <c r="AM671" s="100"/>
      <c r="AN671" s="100"/>
      <c r="AO671" s="100"/>
    </row>
    <row r="672" ht="14.25" customHeight="1">
      <c r="A672" s="195"/>
      <c r="B672" s="100"/>
      <c r="C672" s="100"/>
      <c r="D672" s="100"/>
      <c r="E672" s="100"/>
      <c r="F672" s="206"/>
      <c r="G672" s="206"/>
      <c r="H672" s="207"/>
      <c r="I672" s="207"/>
      <c r="J672" s="207"/>
      <c r="K672" s="207"/>
      <c r="L672" s="207"/>
      <c r="M672" s="207"/>
      <c r="N672" s="207"/>
      <c r="O672" s="207"/>
      <c r="P672" s="207"/>
      <c r="Q672" s="207"/>
      <c r="R672" s="207"/>
      <c r="S672" s="207"/>
      <c r="T672" s="207"/>
      <c r="U672" s="207"/>
      <c r="V672" s="207"/>
      <c r="W672" s="208"/>
      <c r="X672" s="208"/>
      <c r="Y672" s="208"/>
      <c r="Z672" s="208"/>
      <c r="AA672" s="208"/>
      <c r="AB672" s="208"/>
      <c r="AC672" s="208"/>
      <c r="AD672" s="208"/>
      <c r="AE672" s="208"/>
      <c r="AF672" s="208"/>
      <c r="AG672" s="208"/>
      <c r="AH672" s="208"/>
      <c r="AI672" s="100"/>
      <c r="AJ672" s="100"/>
      <c r="AK672" s="100"/>
      <c r="AL672" s="100"/>
      <c r="AM672" s="100"/>
      <c r="AN672" s="100"/>
      <c r="AO672" s="100"/>
    </row>
    <row r="673" ht="14.25" customHeight="1">
      <c r="A673" s="195"/>
      <c r="B673" s="100"/>
      <c r="C673" s="100"/>
      <c r="D673" s="100"/>
      <c r="E673" s="100"/>
      <c r="F673" s="206"/>
      <c r="G673" s="206"/>
      <c r="H673" s="207"/>
      <c r="I673" s="207"/>
      <c r="J673" s="207"/>
      <c r="K673" s="207"/>
      <c r="L673" s="207"/>
      <c r="M673" s="207"/>
      <c r="N673" s="207"/>
      <c r="O673" s="207"/>
      <c r="P673" s="207"/>
      <c r="Q673" s="207"/>
      <c r="R673" s="207"/>
      <c r="S673" s="207"/>
      <c r="T673" s="207"/>
      <c r="U673" s="207"/>
      <c r="V673" s="207"/>
      <c r="W673" s="208"/>
      <c r="X673" s="208"/>
      <c r="Y673" s="208"/>
      <c r="Z673" s="208"/>
      <c r="AA673" s="208"/>
      <c r="AB673" s="208"/>
      <c r="AC673" s="208"/>
      <c r="AD673" s="208"/>
      <c r="AE673" s="208"/>
      <c r="AF673" s="208"/>
      <c r="AG673" s="208"/>
      <c r="AH673" s="208"/>
      <c r="AI673" s="100"/>
      <c r="AJ673" s="100"/>
      <c r="AK673" s="100"/>
      <c r="AL673" s="100"/>
      <c r="AM673" s="100"/>
      <c r="AN673" s="100"/>
      <c r="AO673" s="100"/>
    </row>
    <row r="674" ht="14.25" customHeight="1">
      <c r="A674" s="195"/>
      <c r="B674" s="100"/>
      <c r="C674" s="100"/>
      <c r="D674" s="100"/>
      <c r="E674" s="100"/>
      <c r="F674" s="206"/>
      <c r="G674" s="206"/>
      <c r="H674" s="207"/>
      <c r="I674" s="207"/>
      <c r="J674" s="207"/>
      <c r="K674" s="207"/>
      <c r="L674" s="207"/>
      <c r="M674" s="207"/>
      <c r="N674" s="207"/>
      <c r="O674" s="207"/>
      <c r="P674" s="207"/>
      <c r="Q674" s="207"/>
      <c r="R674" s="207"/>
      <c r="S674" s="207"/>
      <c r="T674" s="207"/>
      <c r="U674" s="207"/>
      <c r="V674" s="207"/>
      <c r="W674" s="208"/>
      <c r="X674" s="208"/>
      <c r="Y674" s="208"/>
      <c r="Z674" s="208"/>
      <c r="AA674" s="208"/>
      <c r="AB674" s="208"/>
      <c r="AC674" s="208"/>
      <c r="AD674" s="208"/>
      <c r="AE674" s="208"/>
      <c r="AF674" s="208"/>
      <c r="AG674" s="208"/>
      <c r="AH674" s="208"/>
      <c r="AI674" s="100"/>
      <c r="AJ674" s="100"/>
      <c r="AK674" s="100"/>
      <c r="AL674" s="100"/>
      <c r="AM674" s="100"/>
      <c r="AN674" s="100"/>
      <c r="AO674" s="100"/>
    </row>
    <row r="675" ht="14.25" customHeight="1">
      <c r="A675" s="195"/>
      <c r="B675" s="100"/>
      <c r="C675" s="100"/>
      <c r="D675" s="100"/>
      <c r="E675" s="100"/>
      <c r="F675" s="206"/>
      <c r="G675" s="206"/>
      <c r="H675" s="207"/>
      <c r="I675" s="207"/>
      <c r="J675" s="207"/>
      <c r="K675" s="207"/>
      <c r="L675" s="207"/>
      <c r="M675" s="207"/>
      <c r="N675" s="207"/>
      <c r="O675" s="207"/>
      <c r="P675" s="207"/>
      <c r="Q675" s="207"/>
      <c r="R675" s="207"/>
      <c r="S675" s="207"/>
      <c r="T675" s="207"/>
      <c r="U675" s="207"/>
      <c r="V675" s="207"/>
      <c r="W675" s="208"/>
      <c r="X675" s="208"/>
      <c r="Y675" s="208"/>
      <c r="Z675" s="208"/>
      <c r="AA675" s="208"/>
      <c r="AB675" s="208"/>
      <c r="AC675" s="208"/>
      <c r="AD675" s="208"/>
      <c r="AE675" s="208"/>
      <c r="AF675" s="208"/>
      <c r="AG675" s="208"/>
      <c r="AH675" s="208"/>
      <c r="AI675" s="100"/>
      <c r="AJ675" s="100"/>
      <c r="AK675" s="100"/>
      <c r="AL675" s="100"/>
      <c r="AM675" s="100"/>
      <c r="AN675" s="100"/>
      <c r="AO675" s="100"/>
    </row>
    <row r="676" ht="14.25" customHeight="1">
      <c r="A676" s="195"/>
      <c r="B676" s="100"/>
      <c r="C676" s="100"/>
      <c r="D676" s="100"/>
      <c r="E676" s="100"/>
      <c r="F676" s="206"/>
      <c r="G676" s="206"/>
      <c r="H676" s="207"/>
      <c r="I676" s="207"/>
      <c r="J676" s="207"/>
      <c r="K676" s="207"/>
      <c r="L676" s="207"/>
      <c r="M676" s="207"/>
      <c r="N676" s="207"/>
      <c r="O676" s="207"/>
      <c r="P676" s="207"/>
      <c r="Q676" s="207"/>
      <c r="R676" s="207"/>
      <c r="S676" s="207"/>
      <c r="T676" s="207"/>
      <c r="U676" s="207"/>
      <c r="V676" s="207"/>
      <c r="W676" s="208"/>
      <c r="X676" s="208"/>
      <c r="Y676" s="208"/>
      <c r="Z676" s="208"/>
      <c r="AA676" s="208"/>
      <c r="AB676" s="208"/>
      <c r="AC676" s="208"/>
      <c r="AD676" s="208"/>
      <c r="AE676" s="208"/>
      <c r="AF676" s="208"/>
      <c r="AG676" s="208"/>
      <c r="AH676" s="208"/>
      <c r="AI676" s="100"/>
      <c r="AJ676" s="100"/>
      <c r="AK676" s="100"/>
      <c r="AL676" s="100"/>
      <c r="AM676" s="100"/>
      <c r="AN676" s="100"/>
      <c r="AO676" s="100"/>
    </row>
    <row r="677" ht="14.25" customHeight="1">
      <c r="A677" s="195"/>
      <c r="B677" s="100"/>
      <c r="C677" s="100"/>
      <c r="D677" s="100"/>
      <c r="E677" s="100"/>
      <c r="F677" s="206"/>
      <c r="G677" s="206"/>
      <c r="H677" s="207"/>
      <c r="I677" s="207"/>
      <c r="J677" s="207"/>
      <c r="K677" s="207"/>
      <c r="L677" s="207"/>
      <c r="M677" s="207"/>
      <c r="N677" s="207"/>
      <c r="O677" s="207"/>
      <c r="P677" s="207"/>
      <c r="Q677" s="207"/>
      <c r="R677" s="207"/>
      <c r="S677" s="207"/>
      <c r="T677" s="207"/>
      <c r="U677" s="207"/>
      <c r="V677" s="207"/>
      <c r="W677" s="208"/>
      <c r="X677" s="208"/>
      <c r="Y677" s="208"/>
      <c r="Z677" s="208"/>
      <c r="AA677" s="208"/>
      <c r="AB677" s="208"/>
      <c r="AC677" s="208"/>
      <c r="AD677" s="208"/>
      <c r="AE677" s="208"/>
      <c r="AF677" s="208"/>
      <c r="AG677" s="208"/>
      <c r="AH677" s="208"/>
      <c r="AI677" s="100"/>
      <c r="AJ677" s="100"/>
      <c r="AK677" s="100"/>
      <c r="AL677" s="100"/>
      <c r="AM677" s="100"/>
      <c r="AN677" s="100"/>
      <c r="AO677" s="100"/>
    </row>
    <row r="678" ht="14.25" customHeight="1">
      <c r="A678" s="195"/>
      <c r="B678" s="100"/>
      <c r="C678" s="100"/>
      <c r="D678" s="100"/>
      <c r="E678" s="100"/>
      <c r="F678" s="206"/>
      <c r="G678" s="206"/>
      <c r="H678" s="207"/>
      <c r="I678" s="207"/>
      <c r="J678" s="207"/>
      <c r="K678" s="207"/>
      <c r="L678" s="207"/>
      <c r="M678" s="207"/>
      <c r="N678" s="207"/>
      <c r="O678" s="207"/>
      <c r="P678" s="207"/>
      <c r="Q678" s="207"/>
      <c r="R678" s="207"/>
      <c r="S678" s="207"/>
      <c r="T678" s="207"/>
      <c r="U678" s="207"/>
      <c r="V678" s="207"/>
      <c r="W678" s="208"/>
      <c r="X678" s="208"/>
      <c r="Y678" s="208"/>
      <c r="Z678" s="208"/>
      <c r="AA678" s="208"/>
      <c r="AB678" s="208"/>
      <c r="AC678" s="208"/>
      <c r="AD678" s="208"/>
      <c r="AE678" s="208"/>
      <c r="AF678" s="208"/>
      <c r="AG678" s="208"/>
      <c r="AH678" s="208"/>
      <c r="AI678" s="100"/>
      <c r="AJ678" s="100"/>
      <c r="AK678" s="100"/>
      <c r="AL678" s="100"/>
      <c r="AM678" s="100"/>
      <c r="AN678" s="100"/>
      <c r="AO678" s="100"/>
    </row>
    <row r="679" ht="14.25" customHeight="1">
      <c r="A679" s="195"/>
      <c r="B679" s="100"/>
      <c r="C679" s="100"/>
      <c r="D679" s="100"/>
      <c r="E679" s="100"/>
      <c r="F679" s="206"/>
      <c r="G679" s="206"/>
      <c r="H679" s="207"/>
      <c r="I679" s="207"/>
      <c r="J679" s="207"/>
      <c r="K679" s="207"/>
      <c r="L679" s="207"/>
      <c r="M679" s="207"/>
      <c r="N679" s="207"/>
      <c r="O679" s="207"/>
      <c r="P679" s="207"/>
      <c r="Q679" s="207"/>
      <c r="R679" s="207"/>
      <c r="S679" s="207"/>
      <c r="T679" s="207"/>
      <c r="U679" s="207"/>
      <c r="V679" s="207"/>
      <c r="W679" s="208"/>
      <c r="X679" s="208"/>
      <c r="Y679" s="208"/>
      <c r="Z679" s="208"/>
      <c r="AA679" s="208"/>
      <c r="AB679" s="208"/>
      <c r="AC679" s="208"/>
      <c r="AD679" s="208"/>
      <c r="AE679" s="208"/>
      <c r="AF679" s="208"/>
      <c r="AG679" s="208"/>
      <c r="AH679" s="208"/>
      <c r="AI679" s="100"/>
      <c r="AJ679" s="100"/>
      <c r="AK679" s="100"/>
      <c r="AL679" s="100"/>
      <c r="AM679" s="100"/>
      <c r="AN679" s="100"/>
      <c r="AO679" s="100"/>
    </row>
    <row r="680" ht="14.25" customHeight="1">
      <c r="A680" s="195"/>
      <c r="B680" s="100"/>
      <c r="C680" s="100"/>
      <c r="D680" s="100"/>
      <c r="E680" s="100"/>
      <c r="F680" s="206"/>
      <c r="G680" s="206"/>
      <c r="H680" s="207"/>
      <c r="I680" s="207"/>
      <c r="J680" s="207"/>
      <c r="K680" s="207"/>
      <c r="L680" s="207"/>
      <c r="M680" s="207"/>
      <c r="N680" s="207"/>
      <c r="O680" s="207"/>
      <c r="P680" s="207"/>
      <c r="Q680" s="207"/>
      <c r="R680" s="207"/>
      <c r="S680" s="207"/>
      <c r="T680" s="207"/>
      <c r="U680" s="207"/>
      <c r="V680" s="207"/>
      <c r="W680" s="208"/>
      <c r="X680" s="208"/>
      <c r="Y680" s="208"/>
      <c r="Z680" s="208"/>
      <c r="AA680" s="208"/>
      <c r="AB680" s="208"/>
      <c r="AC680" s="208"/>
      <c r="AD680" s="208"/>
      <c r="AE680" s="208"/>
      <c r="AF680" s="208"/>
      <c r="AG680" s="208"/>
      <c r="AH680" s="208"/>
      <c r="AI680" s="100"/>
      <c r="AJ680" s="100"/>
      <c r="AK680" s="100"/>
      <c r="AL680" s="100"/>
      <c r="AM680" s="100"/>
      <c r="AN680" s="100"/>
      <c r="AO680" s="100"/>
    </row>
    <row r="681" ht="14.25" customHeight="1">
      <c r="A681" s="195"/>
      <c r="B681" s="100"/>
      <c r="C681" s="100"/>
      <c r="D681" s="100"/>
      <c r="E681" s="100"/>
      <c r="F681" s="206"/>
      <c r="G681" s="206"/>
      <c r="H681" s="207"/>
      <c r="I681" s="207"/>
      <c r="J681" s="207"/>
      <c r="K681" s="207"/>
      <c r="L681" s="207"/>
      <c r="M681" s="207"/>
      <c r="N681" s="207"/>
      <c r="O681" s="207"/>
      <c r="P681" s="207"/>
      <c r="Q681" s="207"/>
      <c r="R681" s="207"/>
      <c r="S681" s="207"/>
      <c r="T681" s="207"/>
      <c r="U681" s="207"/>
      <c r="V681" s="207"/>
      <c r="W681" s="208"/>
      <c r="X681" s="208"/>
      <c r="Y681" s="208"/>
      <c r="Z681" s="208"/>
      <c r="AA681" s="208"/>
      <c r="AB681" s="208"/>
      <c r="AC681" s="208"/>
      <c r="AD681" s="208"/>
      <c r="AE681" s="208"/>
      <c r="AF681" s="208"/>
      <c r="AG681" s="208"/>
      <c r="AH681" s="208"/>
      <c r="AI681" s="100"/>
      <c r="AJ681" s="100"/>
      <c r="AK681" s="100"/>
      <c r="AL681" s="100"/>
      <c r="AM681" s="100"/>
      <c r="AN681" s="100"/>
      <c r="AO681" s="100"/>
    </row>
    <row r="682" ht="14.25" customHeight="1">
      <c r="A682" s="195"/>
      <c r="B682" s="100"/>
      <c r="C682" s="100"/>
      <c r="D682" s="100"/>
      <c r="E682" s="100"/>
      <c r="F682" s="206"/>
      <c r="G682" s="206"/>
      <c r="H682" s="207"/>
      <c r="I682" s="207"/>
      <c r="J682" s="207"/>
      <c r="K682" s="207"/>
      <c r="L682" s="207"/>
      <c r="M682" s="207"/>
      <c r="N682" s="207"/>
      <c r="O682" s="207"/>
      <c r="P682" s="207"/>
      <c r="Q682" s="207"/>
      <c r="R682" s="207"/>
      <c r="S682" s="207"/>
      <c r="T682" s="207"/>
      <c r="U682" s="207"/>
      <c r="V682" s="207"/>
      <c r="W682" s="208"/>
      <c r="X682" s="208"/>
      <c r="Y682" s="208"/>
      <c r="Z682" s="208"/>
      <c r="AA682" s="208"/>
      <c r="AB682" s="208"/>
      <c r="AC682" s="208"/>
      <c r="AD682" s="208"/>
      <c r="AE682" s="208"/>
      <c r="AF682" s="208"/>
      <c r="AG682" s="208"/>
      <c r="AH682" s="208"/>
      <c r="AI682" s="100"/>
      <c r="AJ682" s="100"/>
      <c r="AK682" s="100"/>
      <c r="AL682" s="100"/>
      <c r="AM682" s="100"/>
      <c r="AN682" s="100"/>
      <c r="AO682" s="100"/>
    </row>
    <row r="683" ht="14.25" customHeight="1">
      <c r="A683" s="195"/>
      <c r="B683" s="100"/>
      <c r="C683" s="100"/>
      <c r="D683" s="100"/>
      <c r="E683" s="100"/>
      <c r="F683" s="206"/>
      <c r="G683" s="206"/>
      <c r="H683" s="207"/>
      <c r="I683" s="207"/>
      <c r="J683" s="207"/>
      <c r="K683" s="207"/>
      <c r="L683" s="207"/>
      <c r="M683" s="207"/>
      <c r="N683" s="207"/>
      <c r="O683" s="207"/>
      <c r="P683" s="207"/>
      <c r="Q683" s="207"/>
      <c r="R683" s="207"/>
      <c r="S683" s="207"/>
      <c r="T683" s="207"/>
      <c r="U683" s="207"/>
      <c r="V683" s="207"/>
      <c r="W683" s="208"/>
      <c r="X683" s="208"/>
      <c r="Y683" s="208"/>
      <c r="Z683" s="208"/>
      <c r="AA683" s="208"/>
      <c r="AB683" s="208"/>
      <c r="AC683" s="208"/>
      <c r="AD683" s="208"/>
      <c r="AE683" s="208"/>
      <c r="AF683" s="208"/>
      <c r="AG683" s="208"/>
      <c r="AH683" s="208"/>
      <c r="AI683" s="100"/>
      <c r="AJ683" s="100"/>
      <c r="AK683" s="100"/>
      <c r="AL683" s="100"/>
      <c r="AM683" s="100"/>
      <c r="AN683" s="100"/>
      <c r="AO683" s="100"/>
    </row>
    <row r="684" ht="14.25" customHeight="1">
      <c r="A684" s="195"/>
      <c r="B684" s="100"/>
      <c r="C684" s="100"/>
      <c r="D684" s="100"/>
      <c r="E684" s="100"/>
      <c r="F684" s="206"/>
      <c r="G684" s="206"/>
      <c r="H684" s="207"/>
      <c r="I684" s="207"/>
      <c r="J684" s="207"/>
      <c r="K684" s="207"/>
      <c r="L684" s="207"/>
      <c r="M684" s="207"/>
      <c r="N684" s="207"/>
      <c r="O684" s="207"/>
      <c r="P684" s="207"/>
      <c r="Q684" s="207"/>
      <c r="R684" s="207"/>
      <c r="S684" s="207"/>
      <c r="T684" s="207"/>
      <c r="U684" s="207"/>
      <c r="V684" s="207"/>
      <c r="W684" s="208"/>
      <c r="X684" s="208"/>
      <c r="Y684" s="208"/>
      <c r="Z684" s="208"/>
      <c r="AA684" s="208"/>
      <c r="AB684" s="208"/>
      <c r="AC684" s="208"/>
      <c r="AD684" s="208"/>
      <c r="AE684" s="208"/>
      <c r="AF684" s="208"/>
      <c r="AG684" s="208"/>
      <c r="AH684" s="208"/>
      <c r="AI684" s="100"/>
      <c r="AJ684" s="100"/>
      <c r="AK684" s="100"/>
      <c r="AL684" s="100"/>
      <c r="AM684" s="100"/>
      <c r="AN684" s="100"/>
      <c r="AO684" s="100"/>
    </row>
    <row r="685" ht="14.25" customHeight="1">
      <c r="A685" s="195"/>
      <c r="B685" s="100"/>
      <c r="C685" s="100"/>
      <c r="D685" s="100"/>
      <c r="E685" s="100"/>
      <c r="F685" s="206"/>
      <c r="G685" s="206"/>
      <c r="H685" s="207"/>
      <c r="I685" s="207"/>
      <c r="J685" s="207"/>
      <c r="K685" s="207"/>
      <c r="L685" s="207"/>
      <c r="M685" s="207"/>
      <c r="N685" s="207"/>
      <c r="O685" s="207"/>
      <c r="P685" s="207"/>
      <c r="Q685" s="207"/>
      <c r="R685" s="207"/>
      <c r="S685" s="207"/>
      <c r="T685" s="207"/>
      <c r="U685" s="207"/>
      <c r="V685" s="207"/>
      <c r="W685" s="208"/>
      <c r="X685" s="208"/>
      <c r="Y685" s="208"/>
      <c r="Z685" s="208"/>
      <c r="AA685" s="208"/>
      <c r="AB685" s="208"/>
      <c r="AC685" s="208"/>
      <c r="AD685" s="208"/>
      <c r="AE685" s="208"/>
      <c r="AF685" s="208"/>
      <c r="AG685" s="208"/>
      <c r="AH685" s="208"/>
      <c r="AI685" s="100"/>
      <c r="AJ685" s="100"/>
      <c r="AK685" s="100"/>
      <c r="AL685" s="100"/>
      <c r="AM685" s="100"/>
      <c r="AN685" s="100"/>
      <c r="AO685" s="100"/>
    </row>
    <row r="686" ht="14.25" customHeight="1">
      <c r="A686" s="195"/>
      <c r="B686" s="100"/>
      <c r="C686" s="100"/>
      <c r="D686" s="100"/>
      <c r="E686" s="100"/>
      <c r="F686" s="206"/>
      <c r="G686" s="206"/>
      <c r="H686" s="207"/>
      <c r="I686" s="207"/>
      <c r="J686" s="207"/>
      <c r="K686" s="207"/>
      <c r="L686" s="207"/>
      <c r="M686" s="207"/>
      <c r="N686" s="207"/>
      <c r="O686" s="207"/>
      <c r="P686" s="207"/>
      <c r="Q686" s="207"/>
      <c r="R686" s="207"/>
      <c r="S686" s="207"/>
      <c r="T686" s="207"/>
      <c r="U686" s="207"/>
      <c r="V686" s="207"/>
      <c r="W686" s="208"/>
      <c r="X686" s="208"/>
      <c r="Y686" s="208"/>
      <c r="Z686" s="208"/>
      <c r="AA686" s="208"/>
      <c r="AB686" s="208"/>
      <c r="AC686" s="208"/>
      <c r="AD686" s="208"/>
      <c r="AE686" s="208"/>
      <c r="AF686" s="208"/>
      <c r="AG686" s="208"/>
      <c r="AH686" s="208"/>
      <c r="AI686" s="100"/>
      <c r="AJ686" s="100"/>
      <c r="AK686" s="100"/>
      <c r="AL686" s="100"/>
      <c r="AM686" s="100"/>
      <c r="AN686" s="100"/>
      <c r="AO686" s="100"/>
    </row>
    <row r="687" ht="14.25" customHeight="1">
      <c r="A687" s="195"/>
      <c r="B687" s="100"/>
      <c r="C687" s="100"/>
      <c r="D687" s="100"/>
      <c r="E687" s="100"/>
      <c r="F687" s="206"/>
      <c r="G687" s="206"/>
      <c r="H687" s="207"/>
      <c r="I687" s="207"/>
      <c r="J687" s="207"/>
      <c r="K687" s="207"/>
      <c r="L687" s="207"/>
      <c r="M687" s="207"/>
      <c r="N687" s="207"/>
      <c r="O687" s="207"/>
      <c r="P687" s="207"/>
      <c r="Q687" s="207"/>
      <c r="R687" s="207"/>
      <c r="S687" s="207"/>
      <c r="T687" s="207"/>
      <c r="U687" s="207"/>
      <c r="V687" s="207"/>
      <c r="W687" s="208"/>
      <c r="X687" s="208"/>
      <c r="Y687" s="208"/>
      <c r="Z687" s="208"/>
      <c r="AA687" s="208"/>
      <c r="AB687" s="208"/>
      <c r="AC687" s="208"/>
      <c r="AD687" s="208"/>
      <c r="AE687" s="208"/>
      <c r="AF687" s="208"/>
      <c r="AG687" s="208"/>
      <c r="AH687" s="208"/>
      <c r="AI687" s="100"/>
      <c r="AJ687" s="100"/>
      <c r="AK687" s="100"/>
      <c r="AL687" s="100"/>
      <c r="AM687" s="100"/>
      <c r="AN687" s="100"/>
      <c r="AO687" s="100"/>
    </row>
    <row r="688" ht="14.25" customHeight="1">
      <c r="A688" s="195"/>
      <c r="B688" s="100"/>
      <c r="C688" s="100"/>
      <c r="D688" s="100"/>
      <c r="E688" s="100"/>
      <c r="F688" s="206"/>
      <c r="G688" s="206"/>
      <c r="H688" s="207"/>
      <c r="I688" s="207"/>
      <c r="J688" s="207"/>
      <c r="K688" s="207"/>
      <c r="L688" s="207"/>
      <c r="M688" s="207"/>
      <c r="N688" s="207"/>
      <c r="O688" s="207"/>
      <c r="P688" s="207"/>
      <c r="Q688" s="207"/>
      <c r="R688" s="207"/>
      <c r="S688" s="207"/>
      <c r="T688" s="207"/>
      <c r="U688" s="207"/>
      <c r="V688" s="207"/>
      <c r="W688" s="208"/>
      <c r="X688" s="208"/>
      <c r="Y688" s="208"/>
      <c r="Z688" s="208"/>
      <c r="AA688" s="208"/>
      <c r="AB688" s="208"/>
      <c r="AC688" s="208"/>
      <c r="AD688" s="208"/>
      <c r="AE688" s="208"/>
      <c r="AF688" s="208"/>
      <c r="AG688" s="208"/>
      <c r="AH688" s="208"/>
      <c r="AI688" s="100"/>
      <c r="AJ688" s="100"/>
      <c r="AK688" s="100"/>
      <c r="AL688" s="100"/>
      <c r="AM688" s="100"/>
      <c r="AN688" s="100"/>
      <c r="AO688" s="100"/>
    </row>
    <row r="689" ht="14.25" customHeight="1">
      <c r="A689" s="195"/>
      <c r="B689" s="100"/>
      <c r="C689" s="100"/>
      <c r="D689" s="100"/>
      <c r="E689" s="100"/>
      <c r="F689" s="206"/>
      <c r="G689" s="206"/>
      <c r="H689" s="207"/>
      <c r="I689" s="207"/>
      <c r="J689" s="207"/>
      <c r="K689" s="207"/>
      <c r="L689" s="207"/>
      <c r="M689" s="207"/>
      <c r="N689" s="207"/>
      <c r="O689" s="207"/>
      <c r="P689" s="207"/>
      <c r="Q689" s="207"/>
      <c r="R689" s="207"/>
      <c r="S689" s="207"/>
      <c r="T689" s="207"/>
      <c r="U689" s="207"/>
      <c r="V689" s="207"/>
      <c r="W689" s="208"/>
      <c r="X689" s="208"/>
      <c r="Y689" s="208"/>
      <c r="Z689" s="208"/>
      <c r="AA689" s="208"/>
      <c r="AB689" s="208"/>
      <c r="AC689" s="208"/>
      <c r="AD689" s="208"/>
      <c r="AE689" s="208"/>
      <c r="AF689" s="208"/>
      <c r="AG689" s="208"/>
      <c r="AH689" s="208"/>
      <c r="AI689" s="100"/>
      <c r="AJ689" s="100"/>
      <c r="AK689" s="100"/>
      <c r="AL689" s="100"/>
      <c r="AM689" s="100"/>
      <c r="AN689" s="100"/>
      <c r="AO689" s="100"/>
    </row>
    <row r="690" ht="14.25" customHeight="1">
      <c r="A690" s="195"/>
      <c r="B690" s="100"/>
      <c r="C690" s="100"/>
      <c r="D690" s="100"/>
      <c r="E690" s="100"/>
      <c r="F690" s="206"/>
      <c r="G690" s="206"/>
      <c r="H690" s="207"/>
      <c r="I690" s="207"/>
      <c r="J690" s="207"/>
      <c r="K690" s="207"/>
      <c r="L690" s="207"/>
      <c r="M690" s="207"/>
      <c r="N690" s="207"/>
      <c r="O690" s="207"/>
      <c r="P690" s="207"/>
      <c r="Q690" s="207"/>
      <c r="R690" s="207"/>
      <c r="S690" s="207"/>
      <c r="T690" s="207"/>
      <c r="U690" s="207"/>
      <c r="V690" s="207"/>
      <c r="W690" s="208"/>
      <c r="X690" s="208"/>
      <c r="Y690" s="208"/>
      <c r="Z690" s="208"/>
      <c r="AA690" s="208"/>
      <c r="AB690" s="208"/>
      <c r="AC690" s="208"/>
      <c r="AD690" s="208"/>
      <c r="AE690" s="208"/>
      <c r="AF690" s="208"/>
      <c r="AG690" s="208"/>
      <c r="AH690" s="208"/>
      <c r="AI690" s="100"/>
      <c r="AJ690" s="100"/>
      <c r="AK690" s="100"/>
      <c r="AL690" s="100"/>
      <c r="AM690" s="100"/>
      <c r="AN690" s="100"/>
      <c r="AO690" s="100"/>
    </row>
    <row r="691" ht="14.25" customHeight="1">
      <c r="A691" s="195"/>
      <c r="B691" s="100"/>
      <c r="C691" s="100"/>
      <c r="D691" s="100"/>
      <c r="E691" s="100"/>
      <c r="F691" s="206"/>
      <c r="G691" s="206"/>
      <c r="H691" s="207"/>
      <c r="I691" s="207"/>
      <c r="J691" s="207"/>
      <c r="K691" s="207"/>
      <c r="L691" s="207"/>
      <c r="M691" s="207"/>
      <c r="N691" s="207"/>
      <c r="O691" s="207"/>
      <c r="P691" s="207"/>
      <c r="Q691" s="207"/>
      <c r="R691" s="207"/>
      <c r="S691" s="207"/>
      <c r="T691" s="207"/>
      <c r="U691" s="207"/>
      <c r="V691" s="207"/>
      <c r="W691" s="208"/>
      <c r="X691" s="208"/>
      <c r="Y691" s="208"/>
      <c r="Z691" s="208"/>
      <c r="AA691" s="208"/>
      <c r="AB691" s="208"/>
      <c r="AC691" s="208"/>
      <c r="AD691" s="208"/>
      <c r="AE691" s="208"/>
      <c r="AF691" s="208"/>
      <c r="AG691" s="208"/>
      <c r="AH691" s="208"/>
      <c r="AI691" s="100"/>
      <c r="AJ691" s="100"/>
      <c r="AK691" s="100"/>
      <c r="AL691" s="100"/>
      <c r="AM691" s="100"/>
      <c r="AN691" s="100"/>
      <c r="AO691" s="100"/>
    </row>
    <row r="692" ht="14.25" customHeight="1">
      <c r="A692" s="195"/>
      <c r="B692" s="100"/>
      <c r="C692" s="100"/>
      <c r="D692" s="100"/>
      <c r="E692" s="100"/>
      <c r="F692" s="206"/>
      <c r="G692" s="206"/>
      <c r="H692" s="207"/>
      <c r="I692" s="207"/>
      <c r="J692" s="207"/>
      <c r="K692" s="207"/>
      <c r="L692" s="207"/>
      <c r="M692" s="207"/>
      <c r="N692" s="207"/>
      <c r="O692" s="207"/>
      <c r="P692" s="207"/>
      <c r="Q692" s="207"/>
      <c r="R692" s="207"/>
      <c r="S692" s="207"/>
      <c r="T692" s="207"/>
      <c r="U692" s="207"/>
      <c r="V692" s="207"/>
      <c r="W692" s="208"/>
      <c r="X692" s="208"/>
      <c r="Y692" s="208"/>
      <c r="Z692" s="208"/>
      <c r="AA692" s="208"/>
      <c r="AB692" s="208"/>
      <c r="AC692" s="208"/>
      <c r="AD692" s="208"/>
      <c r="AE692" s="208"/>
      <c r="AF692" s="208"/>
      <c r="AG692" s="208"/>
      <c r="AH692" s="208"/>
      <c r="AI692" s="100"/>
      <c r="AJ692" s="100"/>
      <c r="AK692" s="100"/>
      <c r="AL692" s="100"/>
      <c r="AM692" s="100"/>
      <c r="AN692" s="100"/>
      <c r="AO692" s="100"/>
    </row>
    <row r="693" ht="14.25" customHeight="1">
      <c r="A693" s="195"/>
      <c r="B693" s="100"/>
      <c r="C693" s="100"/>
      <c r="D693" s="100"/>
      <c r="E693" s="100"/>
      <c r="F693" s="206"/>
      <c r="G693" s="206"/>
      <c r="H693" s="207"/>
      <c r="I693" s="207"/>
      <c r="J693" s="207"/>
      <c r="K693" s="207"/>
      <c r="L693" s="207"/>
      <c r="M693" s="207"/>
      <c r="N693" s="207"/>
      <c r="O693" s="207"/>
      <c r="P693" s="207"/>
      <c r="Q693" s="207"/>
      <c r="R693" s="207"/>
      <c r="S693" s="207"/>
      <c r="T693" s="207"/>
      <c r="U693" s="207"/>
      <c r="V693" s="207"/>
      <c r="W693" s="208"/>
      <c r="X693" s="208"/>
      <c r="Y693" s="208"/>
      <c r="Z693" s="208"/>
      <c r="AA693" s="208"/>
      <c r="AB693" s="208"/>
      <c r="AC693" s="208"/>
      <c r="AD693" s="208"/>
      <c r="AE693" s="208"/>
      <c r="AF693" s="208"/>
      <c r="AG693" s="208"/>
      <c r="AH693" s="208"/>
      <c r="AI693" s="100"/>
      <c r="AJ693" s="100"/>
      <c r="AK693" s="100"/>
      <c r="AL693" s="100"/>
      <c r="AM693" s="100"/>
      <c r="AN693" s="100"/>
      <c r="AO693" s="100"/>
    </row>
    <row r="694" ht="14.25" customHeight="1">
      <c r="A694" s="195"/>
      <c r="B694" s="100"/>
      <c r="C694" s="100"/>
      <c r="D694" s="100"/>
      <c r="E694" s="100"/>
      <c r="F694" s="206"/>
      <c r="G694" s="206"/>
      <c r="H694" s="207"/>
      <c r="I694" s="207"/>
      <c r="J694" s="207"/>
      <c r="K694" s="207"/>
      <c r="L694" s="207"/>
      <c r="M694" s="207"/>
      <c r="N694" s="207"/>
      <c r="O694" s="207"/>
      <c r="P694" s="207"/>
      <c r="Q694" s="207"/>
      <c r="R694" s="207"/>
      <c r="S694" s="207"/>
      <c r="T694" s="207"/>
      <c r="U694" s="207"/>
      <c r="V694" s="207"/>
      <c r="W694" s="208"/>
      <c r="X694" s="208"/>
      <c r="Y694" s="208"/>
      <c r="Z694" s="208"/>
      <c r="AA694" s="208"/>
      <c r="AB694" s="208"/>
      <c r="AC694" s="208"/>
      <c r="AD694" s="208"/>
      <c r="AE694" s="208"/>
      <c r="AF694" s="208"/>
      <c r="AG694" s="208"/>
      <c r="AH694" s="208"/>
      <c r="AI694" s="100"/>
      <c r="AJ694" s="100"/>
      <c r="AK694" s="100"/>
      <c r="AL694" s="100"/>
      <c r="AM694" s="100"/>
      <c r="AN694" s="100"/>
      <c r="AO694" s="100"/>
    </row>
    <row r="695" ht="14.25" customHeight="1">
      <c r="A695" s="195"/>
      <c r="B695" s="100"/>
      <c r="C695" s="100"/>
      <c r="D695" s="100"/>
      <c r="E695" s="100"/>
      <c r="F695" s="206"/>
      <c r="G695" s="206"/>
      <c r="H695" s="207"/>
      <c r="I695" s="207"/>
      <c r="J695" s="207"/>
      <c r="K695" s="207"/>
      <c r="L695" s="207"/>
      <c r="M695" s="207"/>
      <c r="N695" s="207"/>
      <c r="O695" s="207"/>
      <c r="P695" s="207"/>
      <c r="Q695" s="207"/>
      <c r="R695" s="207"/>
      <c r="S695" s="207"/>
      <c r="T695" s="207"/>
      <c r="U695" s="207"/>
      <c r="V695" s="207"/>
      <c r="W695" s="208"/>
      <c r="X695" s="208"/>
      <c r="Y695" s="208"/>
      <c r="Z695" s="208"/>
      <c r="AA695" s="208"/>
      <c r="AB695" s="208"/>
      <c r="AC695" s="208"/>
      <c r="AD695" s="208"/>
      <c r="AE695" s="208"/>
      <c r="AF695" s="208"/>
      <c r="AG695" s="208"/>
      <c r="AH695" s="208"/>
      <c r="AI695" s="100"/>
      <c r="AJ695" s="100"/>
      <c r="AK695" s="100"/>
      <c r="AL695" s="100"/>
      <c r="AM695" s="100"/>
      <c r="AN695" s="100"/>
      <c r="AO695" s="100"/>
    </row>
    <row r="696" ht="14.25" customHeight="1">
      <c r="A696" s="195"/>
      <c r="B696" s="100"/>
      <c r="C696" s="100"/>
      <c r="D696" s="100"/>
      <c r="E696" s="100"/>
      <c r="F696" s="206"/>
      <c r="G696" s="206"/>
      <c r="H696" s="207"/>
      <c r="I696" s="207"/>
      <c r="J696" s="207"/>
      <c r="K696" s="207"/>
      <c r="L696" s="207"/>
      <c r="M696" s="207"/>
      <c r="N696" s="207"/>
      <c r="O696" s="207"/>
      <c r="P696" s="207"/>
      <c r="Q696" s="207"/>
      <c r="R696" s="207"/>
      <c r="S696" s="207"/>
      <c r="T696" s="207"/>
      <c r="U696" s="207"/>
      <c r="V696" s="207"/>
      <c r="W696" s="208"/>
      <c r="X696" s="208"/>
      <c r="Y696" s="208"/>
      <c r="Z696" s="208"/>
      <c r="AA696" s="208"/>
      <c r="AB696" s="208"/>
      <c r="AC696" s="208"/>
      <c r="AD696" s="208"/>
      <c r="AE696" s="208"/>
      <c r="AF696" s="208"/>
      <c r="AG696" s="208"/>
      <c r="AH696" s="208"/>
      <c r="AI696" s="100"/>
      <c r="AJ696" s="100"/>
      <c r="AK696" s="100"/>
      <c r="AL696" s="100"/>
      <c r="AM696" s="100"/>
      <c r="AN696" s="100"/>
      <c r="AO696" s="100"/>
    </row>
    <row r="697" ht="14.25" customHeight="1">
      <c r="A697" s="195"/>
      <c r="B697" s="100"/>
      <c r="C697" s="100"/>
      <c r="D697" s="100"/>
      <c r="E697" s="100"/>
      <c r="F697" s="206"/>
      <c r="G697" s="206"/>
      <c r="H697" s="207"/>
      <c r="I697" s="207"/>
      <c r="J697" s="207"/>
      <c r="K697" s="207"/>
      <c r="L697" s="207"/>
      <c r="M697" s="207"/>
      <c r="N697" s="207"/>
      <c r="O697" s="207"/>
      <c r="P697" s="207"/>
      <c r="Q697" s="207"/>
      <c r="R697" s="207"/>
      <c r="S697" s="207"/>
      <c r="T697" s="207"/>
      <c r="U697" s="207"/>
      <c r="V697" s="207"/>
      <c r="W697" s="208"/>
      <c r="X697" s="208"/>
      <c r="Y697" s="208"/>
      <c r="Z697" s="208"/>
      <c r="AA697" s="208"/>
      <c r="AB697" s="208"/>
      <c r="AC697" s="208"/>
      <c r="AD697" s="208"/>
      <c r="AE697" s="208"/>
      <c r="AF697" s="208"/>
      <c r="AG697" s="208"/>
      <c r="AH697" s="208"/>
      <c r="AI697" s="100"/>
      <c r="AJ697" s="100"/>
      <c r="AK697" s="100"/>
      <c r="AL697" s="100"/>
      <c r="AM697" s="100"/>
      <c r="AN697" s="100"/>
      <c r="AO697" s="100"/>
    </row>
    <row r="698" ht="14.25" customHeight="1">
      <c r="A698" s="195"/>
      <c r="B698" s="100"/>
      <c r="C698" s="100"/>
      <c r="D698" s="100"/>
      <c r="E698" s="100"/>
      <c r="F698" s="206"/>
      <c r="G698" s="206"/>
      <c r="H698" s="207"/>
      <c r="I698" s="207"/>
      <c r="J698" s="207"/>
      <c r="K698" s="207"/>
      <c r="L698" s="207"/>
      <c r="M698" s="207"/>
      <c r="N698" s="207"/>
      <c r="O698" s="207"/>
      <c r="P698" s="207"/>
      <c r="Q698" s="207"/>
      <c r="R698" s="207"/>
      <c r="S698" s="207"/>
      <c r="T698" s="207"/>
      <c r="U698" s="207"/>
      <c r="V698" s="207"/>
      <c r="W698" s="208"/>
      <c r="X698" s="208"/>
      <c r="Y698" s="208"/>
      <c r="Z698" s="208"/>
      <c r="AA698" s="208"/>
      <c r="AB698" s="208"/>
      <c r="AC698" s="208"/>
      <c r="AD698" s="208"/>
      <c r="AE698" s="208"/>
      <c r="AF698" s="208"/>
      <c r="AG698" s="208"/>
      <c r="AH698" s="208"/>
      <c r="AI698" s="100"/>
      <c r="AJ698" s="100"/>
      <c r="AK698" s="100"/>
      <c r="AL698" s="100"/>
      <c r="AM698" s="100"/>
      <c r="AN698" s="100"/>
      <c r="AO698" s="100"/>
    </row>
    <row r="699" ht="14.25" customHeight="1">
      <c r="A699" s="195"/>
      <c r="B699" s="100"/>
      <c r="C699" s="100"/>
      <c r="D699" s="100"/>
      <c r="E699" s="100"/>
      <c r="F699" s="206"/>
      <c r="G699" s="206"/>
      <c r="H699" s="207"/>
      <c r="I699" s="207"/>
      <c r="J699" s="207"/>
      <c r="K699" s="207"/>
      <c r="L699" s="207"/>
      <c r="M699" s="207"/>
      <c r="N699" s="207"/>
      <c r="O699" s="207"/>
      <c r="P699" s="207"/>
      <c r="Q699" s="207"/>
      <c r="R699" s="207"/>
      <c r="S699" s="207"/>
      <c r="T699" s="207"/>
      <c r="U699" s="207"/>
      <c r="V699" s="207"/>
      <c r="W699" s="208"/>
      <c r="X699" s="208"/>
      <c r="Y699" s="208"/>
      <c r="Z699" s="208"/>
      <c r="AA699" s="208"/>
      <c r="AB699" s="208"/>
      <c r="AC699" s="208"/>
      <c r="AD699" s="208"/>
      <c r="AE699" s="208"/>
      <c r="AF699" s="208"/>
      <c r="AG699" s="208"/>
      <c r="AH699" s="208"/>
      <c r="AI699" s="100"/>
      <c r="AJ699" s="100"/>
      <c r="AK699" s="100"/>
      <c r="AL699" s="100"/>
      <c r="AM699" s="100"/>
      <c r="AN699" s="100"/>
      <c r="AO699" s="100"/>
    </row>
    <row r="700" ht="14.25" customHeight="1">
      <c r="A700" s="195"/>
      <c r="B700" s="100"/>
      <c r="C700" s="100"/>
      <c r="D700" s="100"/>
      <c r="E700" s="100"/>
      <c r="F700" s="206"/>
      <c r="G700" s="206"/>
      <c r="H700" s="207"/>
      <c r="I700" s="207"/>
      <c r="J700" s="207"/>
      <c r="K700" s="207"/>
      <c r="L700" s="207"/>
      <c r="M700" s="207"/>
      <c r="N700" s="207"/>
      <c r="O700" s="207"/>
      <c r="P700" s="207"/>
      <c r="Q700" s="207"/>
      <c r="R700" s="207"/>
      <c r="S700" s="207"/>
      <c r="T700" s="207"/>
      <c r="U700" s="207"/>
      <c r="V700" s="207"/>
      <c r="W700" s="208"/>
      <c r="X700" s="208"/>
      <c r="Y700" s="208"/>
      <c r="Z700" s="208"/>
      <c r="AA700" s="208"/>
      <c r="AB700" s="208"/>
      <c r="AC700" s="208"/>
      <c r="AD700" s="208"/>
      <c r="AE700" s="208"/>
      <c r="AF700" s="208"/>
      <c r="AG700" s="208"/>
      <c r="AH700" s="208"/>
      <c r="AI700" s="100"/>
      <c r="AJ700" s="100"/>
      <c r="AK700" s="100"/>
      <c r="AL700" s="100"/>
      <c r="AM700" s="100"/>
      <c r="AN700" s="100"/>
      <c r="AO700" s="100"/>
    </row>
    <row r="701" ht="14.25" customHeight="1">
      <c r="A701" s="195"/>
      <c r="B701" s="100"/>
      <c r="C701" s="100"/>
      <c r="D701" s="100"/>
      <c r="E701" s="100"/>
      <c r="F701" s="206"/>
      <c r="G701" s="206"/>
      <c r="H701" s="207"/>
      <c r="I701" s="207"/>
      <c r="J701" s="207"/>
      <c r="K701" s="207"/>
      <c r="L701" s="207"/>
      <c r="M701" s="207"/>
      <c r="N701" s="207"/>
      <c r="O701" s="207"/>
      <c r="P701" s="207"/>
      <c r="Q701" s="207"/>
      <c r="R701" s="207"/>
      <c r="S701" s="207"/>
      <c r="T701" s="207"/>
      <c r="U701" s="207"/>
      <c r="V701" s="207"/>
      <c r="W701" s="208"/>
      <c r="X701" s="208"/>
      <c r="Y701" s="208"/>
      <c r="Z701" s="208"/>
      <c r="AA701" s="208"/>
      <c r="AB701" s="208"/>
      <c r="AC701" s="208"/>
      <c r="AD701" s="208"/>
      <c r="AE701" s="208"/>
      <c r="AF701" s="208"/>
      <c r="AG701" s="208"/>
      <c r="AH701" s="208"/>
      <c r="AI701" s="100"/>
      <c r="AJ701" s="100"/>
      <c r="AK701" s="100"/>
      <c r="AL701" s="100"/>
      <c r="AM701" s="100"/>
      <c r="AN701" s="100"/>
      <c r="AO701" s="100"/>
    </row>
    <row r="702" ht="14.25" customHeight="1">
      <c r="A702" s="195"/>
      <c r="B702" s="100"/>
      <c r="C702" s="100"/>
      <c r="D702" s="100"/>
      <c r="E702" s="100"/>
      <c r="F702" s="206"/>
      <c r="G702" s="206"/>
      <c r="H702" s="207"/>
      <c r="I702" s="207"/>
      <c r="J702" s="207"/>
      <c r="K702" s="207"/>
      <c r="L702" s="207"/>
      <c r="M702" s="207"/>
      <c r="N702" s="207"/>
      <c r="O702" s="207"/>
      <c r="P702" s="207"/>
      <c r="Q702" s="207"/>
      <c r="R702" s="207"/>
      <c r="S702" s="207"/>
      <c r="T702" s="207"/>
      <c r="U702" s="207"/>
      <c r="V702" s="207"/>
      <c r="W702" s="208"/>
      <c r="X702" s="208"/>
      <c r="Y702" s="208"/>
      <c r="Z702" s="208"/>
      <c r="AA702" s="208"/>
      <c r="AB702" s="208"/>
      <c r="AC702" s="208"/>
      <c r="AD702" s="208"/>
      <c r="AE702" s="208"/>
      <c r="AF702" s="208"/>
      <c r="AG702" s="208"/>
      <c r="AH702" s="208"/>
      <c r="AI702" s="100"/>
      <c r="AJ702" s="100"/>
      <c r="AK702" s="100"/>
      <c r="AL702" s="100"/>
      <c r="AM702" s="100"/>
      <c r="AN702" s="100"/>
      <c r="AO702" s="100"/>
    </row>
    <row r="703" ht="14.25" customHeight="1">
      <c r="A703" s="195"/>
      <c r="B703" s="100"/>
      <c r="C703" s="100"/>
      <c r="D703" s="100"/>
      <c r="E703" s="100"/>
      <c r="F703" s="206"/>
      <c r="G703" s="206"/>
      <c r="H703" s="207"/>
      <c r="I703" s="207"/>
      <c r="J703" s="207"/>
      <c r="K703" s="207"/>
      <c r="L703" s="207"/>
      <c r="M703" s="207"/>
      <c r="N703" s="207"/>
      <c r="O703" s="207"/>
      <c r="P703" s="207"/>
      <c r="Q703" s="207"/>
      <c r="R703" s="207"/>
      <c r="S703" s="207"/>
      <c r="T703" s="207"/>
      <c r="U703" s="207"/>
      <c r="V703" s="207"/>
      <c r="W703" s="208"/>
      <c r="X703" s="208"/>
      <c r="Y703" s="208"/>
      <c r="Z703" s="208"/>
      <c r="AA703" s="208"/>
      <c r="AB703" s="208"/>
      <c r="AC703" s="208"/>
      <c r="AD703" s="208"/>
      <c r="AE703" s="208"/>
      <c r="AF703" s="208"/>
      <c r="AG703" s="208"/>
      <c r="AH703" s="208"/>
      <c r="AI703" s="100"/>
      <c r="AJ703" s="100"/>
      <c r="AK703" s="100"/>
      <c r="AL703" s="100"/>
      <c r="AM703" s="100"/>
      <c r="AN703" s="100"/>
      <c r="AO703" s="100"/>
    </row>
    <row r="704" ht="14.25" customHeight="1">
      <c r="A704" s="195"/>
      <c r="B704" s="100"/>
      <c r="C704" s="100"/>
      <c r="D704" s="100"/>
      <c r="E704" s="100"/>
      <c r="F704" s="206"/>
      <c r="G704" s="206"/>
      <c r="H704" s="207"/>
      <c r="I704" s="207"/>
      <c r="J704" s="207"/>
      <c r="K704" s="207"/>
      <c r="L704" s="207"/>
      <c r="M704" s="207"/>
      <c r="N704" s="207"/>
      <c r="O704" s="207"/>
      <c r="P704" s="207"/>
      <c r="Q704" s="207"/>
      <c r="R704" s="207"/>
      <c r="S704" s="207"/>
      <c r="T704" s="207"/>
      <c r="U704" s="207"/>
      <c r="V704" s="207"/>
      <c r="W704" s="208"/>
      <c r="X704" s="208"/>
      <c r="Y704" s="208"/>
      <c r="Z704" s="208"/>
      <c r="AA704" s="208"/>
      <c r="AB704" s="208"/>
      <c r="AC704" s="208"/>
      <c r="AD704" s="208"/>
      <c r="AE704" s="208"/>
      <c r="AF704" s="208"/>
      <c r="AG704" s="208"/>
      <c r="AH704" s="208"/>
      <c r="AI704" s="100"/>
      <c r="AJ704" s="100"/>
      <c r="AK704" s="100"/>
      <c r="AL704" s="100"/>
      <c r="AM704" s="100"/>
      <c r="AN704" s="100"/>
      <c r="AO704" s="100"/>
    </row>
    <row r="705" ht="14.25" customHeight="1">
      <c r="A705" s="195"/>
      <c r="B705" s="100"/>
      <c r="C705" s="100"/>
      <c r="D705" s="100"/>
      <c r="E705" s="100"/>
      <c r="F705" s="206"/>
      <c r="G705" s="206"/>
      <c r="H705" s="207"/>
      <c r="I705" s="207"/>
      <c r="J705" s="207"/>
      <c r="K705" s="207"/>
      <c r="L705" s="207"/>
      <c r="M705" s="207"/>
      <c r="N705" s="207"/>
      <c r="O705" s="207"/>
      <c r="P705" s="207"/>
      <c r="Q705" s="207"/>
      <c r="R705" s="207"/>
      <c r="S705" s="207"/>
      <c r="T705" s="207"/>
      <c r="U705" s="207"/>
      <c r="V705" s="207"/>
      <c r="W705" s="208"/>
      <c r="X705" s="208"/>
      <c r="Y705" s="208"/>
      <c r="Z705" s="208"/>
      <c r="AA705" s="208"/>
      <c r="AB705" s="208"/>
      <c r="AC705" s="208"/>
      <c r="AD705" s="208"/>
      <c r="AE705" s="208"/>
      <c r="AF705" s="208"/>
      <c r="AG705" s="208"/>
      <c r="AH705" s="208"/>
      <c r="AI705" s="100"/>
      <c r="AJ705" s="100"/>
      <c r="AK705" s="100"/>
      <c r="AL705" s="100"/>
      <c r="AM705" s="100"/>
      <c r="AN705" s="100"/>
      <c r="AO705" s="100"/>
    </row>
    <row r="706" ht="14.25" customHeight="1">
      <c r="A706" s="195"/>
      <c r="B706" s="100"/>
      <c r="C706" s="100"/>
      <c r="D706" s="100"/>
      <c r="E706" s="100"/>
      <c r="F706" s="206"/>
      <c r="G706" s="206"/>
      <c r="H706" s="207"/>
      <c r="I706" s="207"/>
      <c r="J706" s="207"/>
      <c r="K706" s="207"/>
      <c r="L706" s="207"/>
      <c r="M706" s="207"/>
      <c r="N706" s="207"/>
      <c r="O706" s="207"/>
      <c r="P706" s="207"/>
      <c r="Q706" s="207"/>
      <c r="R706" s="207"/>
      <c r="S706" s="207"/>
      <c r="T706" s="207"/>
      <c r="U706" s="207"/>
      <c r="V706" s="207"/>
      <c r="W706" s="208"/>
      <c r="X706" s="208"/>
      <c r="Y706" s="208"/>
      <c r="Z706" s="208"/>
      <c r="AA706" s="208"/>
      <c r="AB706" s="208"/>
      <c r="AC706" s="208"/>
      <c r="AD706" s="208"/>
      <c r="AE706" s="208"/>
      <c r="AF706" s="208"/>
      <c r="AG706" s="208"/>
      <c r="AH706" s="208"/>
      <c r="AI706" s="100"/>
      <c r="AJ706" s="100"/>
      <c r="AK706" s="100"/>
      <c r="AL706" s="100"/>
      <c r="AM706" s="100"/>
      <c r="AN706" s="100"/>
      <c r="AO706" s="100"/>
    </row>
    <row r="707" ht="14.25" customHeight="1">
      <c r="A707" s="195"/>
      <c r="B707" s="100"/>
      <c r="C707" s="100"/>
      <c r="D707" s="100"/>
      <c r="E707" s="100"/>
      <c r="F707" s="206"/>
      <c r="G707" s="206"/>
      <c r="H707" s="207"/>
      <c r="I707" s="207"/>
      <c r="J707" s="207"/>
      <c r="K707" s="207"/>
      <c r="L707" s="207"/>
      <c r="M707" s="207"/>
      <c r="N707" s="207"/>
      <c r="O707" s="207"/>
      <c r="P707" s="207"/>
      <c r="Q707" s="207"/>
      <c r="R707" s="207"/>
      <c r="S707" s="207"/>
      <c r="T707" s="207"/>
      <c r="U707" s="207"/>
      <c r="V707" s="207"/>
      <c r="W707" s="208"/>
      <c r="X707" s="208"/>
      <c r="Y707" s="208"/>
      <c r="Z707" s="208"/>
      <c r="AA707" s="208"/>
      <c r="AB707" s="208"/>
      <c r="AC707" s="208"/>
      <c r="AD707" s="208"/>
      <c r="AE707" s="208"/>
      <c r="AF707" s="208"/>
      <c r="AG707" s="208"/>
      <c r="AH707" s="208"/>
      <c r="AI707" s="100"/>
      <c r="AJ707" s="100"/>
      <c r="AK707" s="100"/>
      <c r="AL707" s="100"/>
      <c r="AM707" s="100"/>
      <c r="AN707" s="100"/>
      <c r="AO707" s="100"/>
    </row>
    <row r="708" ht="14.25" customHeight="1">
      <c r="A708" s="195"/>
      <c r="B708" s="100"/>
      <c r="C708" s="100"/>
      <c r="D708" s="100"/>
      <c r="E708" s="100"/>
      <c r="F708" s="206"/>
      <c r="G708" s="206"/>
      <c r="H708" s="207"/>
      <c r="I708" s="207"/>
      <c r="J708" s="207"/>
      <c r="K708" s="207"/>
      <c r="L708" s="207"/>
      <c r="M708" s="207"/>
      <c r="N708" s="207"/>
      <c r="O708" s="207"/>
      <c r="P708" s="207"/>
      <c r="Q708" s="207"/>
      <c r="R708" s="207"/>
      <c r="S708" s="207"/>
      <c r="T708" s="207"/>
      <c r="U708" s="207"/>
      <c r="V708" s="207"/>
      <c r="W708" s="208"/>
      <c r="X708" s="208"/>
      <c r="Y708" s="208"/>
      <c r="Z708" s="208"/>
      <c r="AA708" s="208"/>
      <c r="AB708" s="208"/>
      <c r="AC708" s="208"/>
      <c r="AD708" s="208"/>
      <c r="AE708" s="208"/>
      <c r="AF708" s="208"/>
      <c r="AG708" s="208"/>
      <c r="AH708" s="208"/>
      <c r="AI708" s="100"/>
      <c r="AJ708" s="100"/>
      <c r="AK708" s="100"/>
      <c r="AL708" s="100"/>
      <c r="AM708" s="100"/>
      <c r="AN708" s="100"/>
      <c r="AO708" s="100"/>
    </row>
    <row r="709" ht="14.25" customHeight="1">
      <c r="A709" s="195"/>
      <c r="B709" s="100"/>
      <c r="C709" s="100"/>
      <c r="D709" s="100"/>
      <c r="E709" s="100"/>
      <c r="F709" s="206"/>
      <c r="G709" s="206"/>
      <c r="H709" s="207"/>
      <c r="I709" s="207"/>
      <c r="J709" s="207"/>
      <c r="K709" s="207"/>
      <c r="L709" s="207"/>
      <c r="M709" s="207"/>
      <c r="N709" s="207"/>
      <c r="O709" s="207"/>
      <c r="P709" s="207"/>
      <c r="Q709" s="207"/>
      <c r="R709" s="207"/>
      <c r="S709" s="207"/>
      <c r="T709" s="207"/>
      <c r="U709" s="207"/>
      <c r="V709" s="207"/>
      <c r="W709" s="208"/>
      <c r="X709" s="208"/>
      <c r="Y709" s="208"/>
      <c r="Z709" s="208"/>
      <c r="AA709" s="208"/>
      <c r="AB709" s="208"/>
      <c r="AC709" s="208"/>
      <c r="AD709" s="208"/>
      <c r="AE709" s="208"/>
      <c r="AF709" s="208"/>
      <c r="AG709" s="208"/>
      <c r="AH709" s="208"/>
      <c r="AI709" s="100"/>
      <c r="AJ709" s="100"/>
      <c r="AK709" s="100"/>
      <c r="AL709" s="100"/>
      <c r="AM709" s="100"/>
      <c r="AN709" s="100"/>
      <c r="AO709" s="100"/>
    </row>
    <row r="710" ht="14.25" customHeight="1">
      <c r="A710" s="195"/>
      <c r="B710" s="100"/>
      <c r="C710" s="100"/>
      <c r="D710" s="100"/>
      <c r="E710" s="100"/>
      <c r="F710" s="206"/>
      <c r="G710" s="206"/>
      <c r="H710" s="207"/>
      <c r="I710" s="207"/>
      <c r="J710" s="207"/>
      <c r="K710" s="207"/>
      <c r="L710" s="207"/>
      <c r="M710" s="207"/>
      <c r="N710" s="207"/>
      <c r="O710" s="207"/>
      <c r="P710" s="207"/>
      <c r="Q710" s="207"/>
      <c r="R710" s="207"/>
      <c r="S710" s="207"/>
      <c r="T710" s="207"/>
      <c r="U710" s="207"/>
      <c r="V710" s="207"/>
      <c r="W710" s="208"/>
      <c r="X710" s="208"/>
      <c r="Y710" s="208"/>
      <c r="Z710" s="208"/>
      <c r="AA710" s="208"/>
      <c r="AB710" s="208"/>
      <c r="AC710" s="208"/>
      <c r="AD710" s="208"/>
      <c r="AE710" s="208"/>
      <c r="AF710" s="208"/>
      <c r="AG710" s="208"/>
      <c r="AH710" s="208"/>
      <c r="AI710" s="100"/>
      <c r="AJ710" s="100"/>
      <c r="AK710" s="100"/>
      <c r="AL710" s="100"/>
      <c r="AM710" s="100"/>
      <c r="AN710" s="100"/>
      <c r="AO710" s="100"/>
    </row>
    <row r="711" ht="14.25" customHeight="1">
      <c r="A711" s="195"/>
      <c r="B711" s="100"/>
      <c r="C711" s="100"/>
      <c r="D711" s="100"/>
      <c r="E711" s="100"/>
      <c r="F711" s="206"/>
      <c r="G711" s="206"/>
      <c r="H711" s="207"/>
      <c r="I711" s="207"/>
      <c r="J711" s="207"/>
      <c r="K711" s="207"/>
      <c r="L711" s="207"/>
      <c r="M711" s="207"/>
      <c r="N711" s="207"/>
      <c r="O711" s="207"/>
      <c r="P711" s="207"/>
      <c r="Q711" s="207"/>
      <c r="R711" s="207"/>
      <c r="S711" s="207"/>
      <c r="T711" s="207"/>
      <c r="U711" s="207"/>
      <c r="V711" s="207"/>
      <c r="W711" s="208"/>
      <c r="X711" s="208"/>
      <c r="Y711" s="208"/>
      <c r="Z711" s="208"/>
      <c r="AA711" s="208"/>
      <c r="AB711" s="208"/>
      <c r="AC711" s="208"/>
      <c r="AD711" s="208"/>
      <c r="AE711" s="208"/>
      <c r="AF711" s="208"/>
      <c r="AG711" s="208"/>
      <c r="AH711" s="208"/>
      <c r="AI711" s="100"/>
      <c r="AJ711" s="100"/>
      <c r="AK711" s="100"/>
      <c r="AL711" s="100"/>
      <c r="AM711" s="100"/>
      <c r="AN711" s="100"/>
      <c r="AO711" s="100"/>
    </row>
    <row r="712" ht="14.25" customHeight="1">
      <c r="A712" s="195"/>
      <c r="B712" s="100"/>
      <c r="C712" s="100"/>
      <c r="D712" s="100"/>
      <c r="E712" s="100"/>
      <c r="F712" s="206"/>
      <c r="G712" s="206"/>
      <c r="H712" s="207"/>
      <c r="I712" s="207"/>
      <c r="J712" s="207"/>
      <c r="K712" s="207"/>
      <c r="L712" s="207"/>
      <c r="M712" s="207"/>
      <c r="N712" s="207"/>
      <c r="O712" s="207"/>
      <c r="P712" s="207"/>
      <c r="Q712" s="207"/>
      <c r="R712" s="207"/>
      <c r="S712" s="207"/>
      <c r="T712" s="207"/>
      <c r="U712" s="207"/>
      <c r="V712" s="207"/>
      <c r="W712" s="208"/>
      <c r="X712" s="208"/>
      <c r="Y712" s="208"/>
      <c r="Z712" s="208"/>
      <c r="AA712" s="208"/>
      <c r="AB712" s="208"/>
      <c r="AC712" s="208"/>
      <c r="AD712" s="208"/>
      <c r="AE712" s="208"/>
      <c r="AF712" s="208"/>
      <c r="AG712" s="208"/>
      <c r="AH712" s="208"/>
      <c r="AI712" s="100"/>
      <c r="AJ712" s="100"/>
      <c r="AK712" s="100"/>
      <c r="AL712" s="100"/>
      <c r="AM712" s="100"/>
      <c r="AN712" s="100"/>
      <c r="AO712" s="100"/>
    </row>
    <row r="713" ht="14.25" customHeight="1">
      <c r="A713" s="195"/>
      <c r="B713" s="100"/>
      <c r="C713" s="100"/>
      <c r="D713" s="100"/>
      <c r="E713" s="100"/>
      <c r="F713" s="206"/>
      <c r="G713" s="206"/>
      <c r="H713" s="207"/>
      <c r="I713" s="207"/>
      <c r="J713" s="207"/>
      <c r="K713" s="207"/>
      <c r="L713" s="207"/>
      <c r="M713" s="207"/>
      <c r="N713" s="207"/>
      <c r="O713" s="207"/>
      <c r="P713" s="207"/>
      <c r="Q713" s="207"/>
      <c r="R713" s="207"/>
      <c r="S713" s="207"/>
      <c r="T713" s="207"/>
      <c r="U713" s="207"/>
      <c r="V713" s="207"/>
      <c r="W713" s="208"/>
      <c r="X713" s="208"/>
      <c r="Y713" s="208"/>
      <c r="Z713" s="208"/>
      <c r="AA713" s="208"/>
      <c r="AB713" s="208"/>
      <c r="AC713" s="208"/>
      <c r="AD713" s="208"/>
      <c r="AE713" s="208"/>
      <c r="AF713" s="208"/>
      <c r="AG713" s="208"/>
      <c r="AH713" s="208"/>
      <c r="AI713" s="100"/>
      <c r="AJ713" s="100"/>
      <c r="AK713" s="100"/>
      <c r="AL713" s="100"/>
      <c r="AM713" s="100"/>
      <c r="AN713" s="100"/>
      <c r="AO713" s="100"/>
    </row>
    <row r="714" ht="14.25" customHeight="1">
      <c r="A714" s="195"/>
      <c r="B714" s="100"/>
      <c r="C714" s="100"/>
      <c r="D714" s="100"/>
      <c r="E714" s="100"/>
      <c r="F714" s="206"/>
      <c r="G714" s="206"/>
      <c r="H714" s="207"/>
      <c r="I714" s="207"/>
      <c r="J714" s="207"/>
      <c r="K714" s="207"/>
      <c r="L714" s="207"/>
      <c r="M714" s="207"/>
      <c r="N714" s="207"/>
      <c r="O714" s="207"/>
      <c r="P714" s="207"/>
      <c r="Q714" s="207"/>
      <c r="R714" s="207"/>
      <c r="S714" s="207"/>
      <c r="T714" s="207"/>
      <c r="U714" s="207"/>
      <c r="V714" s="207"/>
      <c r="W714" s="208"/>
      <c r="X714" s="208"/>
      <c r="Y714" s="208"/>
      <c r="Z714" s="208"/>
      <c r="AA714" s="208"/>
      <c r="AB714" s="208"/>
      <c r="AC714" s="208"/>
      <c r="AD714" s="208"/>
      <c r="AE714" s="208"/>
      <c r="AF714" s="208"/>
      <c r="AG714" s="208"/>
      <c r="AH714" s="208"/>
      <c r="AI714" s="100"/>
      <c r="AJ714" s="100"/>
      <c r="AK714" s="100"/>
      <c r="AL714" s="100"/>
      <c r="AM714" s="100"/>
      <c r="AN714" s="100"/>
      <c r="AO714" s="100"/>
    </row>
    <row r="715" ht="14.25" customHeight="1">
      <c r="A715" s="195"/>
      <c r="B715" s="100"/>
      <c r="C715" s="100"/>
      <c r="D715" s="100"/>
      <c r="E715" s="100"/>
      <c r="F715" s="206"/>
      <c r="G715" s="206"/>
      <c r="H715" s="207"/>
      <c r="I715" s="207"/>
      <c r="J715" s="207"/>
      <c r="K715" s="207"/>
      <c r="L715" s="207"/>
      <c r="M715" s="207"/>
      <c r="N715" s="207"/>
      <c r="O715" s="207"/>
      <c r="P715" s="207"/>
      <c r="Q715" s="207"/>
      <c r="R715" s="207"/>
      <c r="S715" s="207"/>
      <c r="T715" s="207"/>
      <c r="U715" s="207"/>
      <c r="V715" s="207"/>
      <c r="W715" s="208"/>
      <c r="X715" s="208"/>
      <c r="Y715" s="208"/>
      <c r="Z715" s="208"/>
      <c r="AA715" s="208"/>
      <c r="AB715" s="208"/>
      <c r="AC715" s="208"/>
      <c r="AD715" s="208"/>
      <c r="AE715" s="208"/>
      <c r="AF715" s="208"/>
      <c r="AG715" s="208"/>
      <c r="AH715" s="208"/>
      <c r="AI715" s="100"/>
      <c r="AJ715" s="100"/>
      <c r="AK715" s="100"/>
      <c r="AL715" s="100"/>
      <c r="AM715" s="100"/>
      <c r="AN715" s="100"/>
      <c r="AO715" s="100"/>
    </row>
    <row r="716" ht="14.25" customHeight="1">
      <c r="A716" s="195"/>
      <c r="B716" s="100"/>
      <c r="C716" s="100"/>
      <c r="D716" s="100"/>
      <c r="E716" s="100"/>
      <c r="F716" s="206"/>
      <c r="G716" s="206"/>
      <c r="H716" s="207"/>
      <c r="I716" s="207"/>
      <c r="J716" s="207"/>
      <c r="K716" s="207"/>
      <c r="L716" s="207"/>
      <c r="M716" s="207"/>
      <c r="N716" s="207"/>
      <c r="O716" s="207"/>
      <c r="P716" s="207"/>
      <c r="Q716" s="207"/>
      <c r="R716" s="207"/>
      <c r="S716" s="207"/>
      <c r="T716" s="207"/>
      <c r="U716" s="207"/>
      <c r="V716" s="207"/>
      <c r="W716" s="208"/>
      <c r="X716" s="208"/>
      <c r="Y716" s="208"/>
      <c r="Z716" s="208"/>
      <c r="AA716" s="208"/>
      <c r="AB716" s="208"/>
      <c r="AC716" s="208"/>
      <c r="AD716" s="208"/>
      <c r="AE716" s="208"/>
      <c r="AF716" s="208"/>
      <c r="AG716" s="208"/>
      <c r="AH716" s="208"/>
      <c r="AI716" s="100"/>
      <c r="AJ716" s="100"/>
      <c r="AK716" s="100"/>
      <c r="AL716" s="100"/>
      <c r="AM716" s="100"/>
      <c r="AN716" s="100"/>
      <c r="AO716" s="100"/>
    </row>
    <row r="717" ht="14.25" customHeight="1">
      <c r="A717" s="195"/>
      <c r="B717" s="100"/>
      <c r="C717" s="100"/>
      <c r="D717" s="100"/>
      <c r="E717" s="100"/>
      <c r="F717" s="206"/>
      <c r="G717" s="206"/>
      <c r="H717" s="207"/>
      <c r="I717" s="207"/>
      <c r="J717" s="207"/>
      <c r="K717" s="207"/>
      <c r="L717" s="207"/>
      <c r="M717" s="207"/>
      <c r="N717" s="207"/>
      <c r="O717" s="207"/>
      <c r="P717" s="207"/>
      <c r="Q717" s="207"/>
      <c r="R717" s="207"/>
      <c r="S717" s="207"/>
      <c r="T717" s="207"/>
      <c r="U717" s="207"/>
      <c r="V717" s="207"/>
      <c r="W717" s="208"/>
      <c r="X717" s="208"/>
      <c r="Y717" s="208"/>
      <c r="Z717" s="208"/>
      <c r="AA717" s="208"/>
      <c r="AB717" s="208"/>
      <c r="AC717" s="208"/>
      <c r="AD717" s="208"/>
      <c r="AE717" s="208"/>
      <c r="AF717" s="208"/>
      <c r="AG717" s="208"/>
      <c r="AH717" s="208"/>
      <c r="AI717" s="100"/>
      <c r="AJ717" s="100"/>
      <c r="AK717" s="100"/>
      <c r="AL717" s="100"/>
      <c r="AM717" s="100"/>
      <c r="AN717" s="100"/>
      <c r="AO717" s="100"/>
    </row>
    <row r="718" ht="14.25" customHeight="1">
      <c r="A718" s="195"/>
      <c r="B718" s="100"/>
      <c r="C718" s="100"/>
      <c r="D718" s="100"/>
      <c r="E718" s="100"/>
      <c r="F718" s="206"/>
      <c r="G718" s="206"/>
      <c r="H718" s="207"/>
      <c r="I718" s="207"/>
      <c r="J718" s="207"/>
      <c r="K718" s="207"/>
      <c r="L718" s="207"/>
      <c r="M718" s="207"/>
      <c r="N718" s="207"/>
      <c r="O718" s="207"/>
      <c r="P718" s="207"/>
      <c r="Q718" s="207"/>
      <c r="R718" s="207"/>
      <c r="S718" s="207"/>
      <c r="T718" s="207"/>
      <c r="U718" s="207"/>
      <c r="V718" s="207"/>
      <c r="W718" s="208"/>
      <c r="X718" s="208"/>
      <c r="Y718" s="208"/>
      <c r="Z718" s="208"/>
      <c r="AA718" s="208"/>
      <c r="AB718" s="208"/>
      <c r="AC718" s="208"/>
      <c r="AD718" s="208"/>
      <c r="AE718" s="208"/>
      <c r="AF718" s="208"/>
      <c r="AG718" s="208"/>
      <c r="AH718" s="208"/>
      <c r="AI718" s="100"/>
      <c r="AJ718" s="100"/>
      <c r="AK718" s="100"/>
      <c r="AL718" s="100"/>
      <c r="AM718" s="100"/>
      <c r="AN718" s="100"/>
      <c r="AO718" s="100"/>
    </row>
    <row r="719" ht="14.25" customHeight="1">
      <c r="A719" s="195"/>
      <c r="B719" s="100"/>
      <c r="C719" s="100"/>
      <c r="D719" s="100"/>
      <c r="E719" s="100"/>
      <c r="F719" s="206"/>
      <c r="G719" s="206"/>
      <c r="H719" s="207"/>
      <c r="I719" s="207"/>
      <c r="J719" s="207"/>
      <c r="K719" s="207"/>
      <c r="L719" s="207"/>
      <c r="M719" s="207"/>
      <c r="N719" s="207"/>
      <c r="O719" s="207"/>
      <c r="P719" s="207"/>
      <c r="Q719" s="207"/>
      <c r="R719" s="207"/>
      <c r="S719" s="207"/>
      <c r="T719" s="207"/>
      <c r="U719" s="207"/>
      <c r="V719" s="207"/>
      <c r="W719" s="208"/>
      <c r="X719" s="208"/>
      <c r="Y719" s="208"/>
      <c r="Z719" s="208"/>
      <c r="AA719" s="208"/>
      <c r="AB719" s="208"/>
      <c r="AC719" s="208"/>
      <c r="AD719" s="208"/>
      <c r="AE719" s="208"/>
      <c r="AF719" s="208"/>
      <c r="AG719" s="208"/>
      <c r="AH719" s="208"/>
      <c r="AI719" s="100"/>
      <c r="AJ719" s="100"/>
      <c r="AK719" s="100"/>
      <c r="AL719" s="100"/>
      <c r="AM719" s="100"/>
      <c r="AN719" s="100"/>
      <c r="AO719" s="100"/>
    </row>
    <row r="720" ht="14.25" customHeight="1">
      <c r="A720" s="195"/>
      <c r="B720" s="100"/>
      <c r="C720" s="100"/>
      <c r="D720" s="100"/>
      <c r="E720" s="100"/>
      <c r="F720" s="206"/>
      <c r="G720" s="206"/>
      <c r="H720" s="207"/>
      <c r="I720" s="207"/>
      <c r="J720" s="207"/>
      <c r="K720" s="207"/>
      <c r="L720" s="207"/>
      <c r="M720" s="207"/>
      <c r="N720" s="207"/>
      <c r="O720" s="207"/>
      <c r="P720" s="207"/>
      <c r="Q720" s="207"/>
      <c r="R720" s="207"/>
      <c r="S720" s="207"/>
      <c r="T720" s="207"/>
      <c r="U720" s="207"/>
      <c r="V720" s="207"/>
      <c r="W720" s="208"/>
      <c r="X720" s="208"/>
      <c r="Y720" s="208"/>
      <c r="Z720" s="208"/>
      <c r="AA720" s="208"/>
      <c r="AB720" s="208"/>
      <c r="AC720" s="208"/>
      <c r="AD720" s="208"/>
      <c r="AE720" s="208"/>
      <c r="AF720" s="208"/>
      <c r="AG720" s="208"/>
      <c r="AH720" s="208"/>
      <c r="AI720" s="100"/>
      <c r="AJ720" s="100"/>
      <c r="AK720" s="100"/>
      <c r="AL720" s="100"/>
      <c r="AM720" s="100"/>
      <c r="AN720" s="100"/>
      <c r="AO720" s="100"/>
    </row>
    <row r="721" ht="14.25" customHeight="1">
      <c r="A721" s="195"/>
      <c r="B721" s="100"/>
      <c r="C721" s="100"/>
      <c r="D721" s="100"/>
      <c r="E721" s="100"/>
      <c r="F721" s="206"/>
      <c r="G721" s="206"/>
      <c r="H721" s="207"/>
      <c r="I721" s="207"/>
      <c r="J721" s="207"/>
      <c r="K721" s="207"/>
      <c r="L721" s="207"/>
      <c r="M721" s="207"/>
      <c r="N721" s="207"/>
      <c r="O721" s="207"/>
      <c r="P721" s="207"/>
      <c r="Q721" s="207"/>
      <c r="R721" s="207"/>
      <c r="S721" s="207"/>
      <c r="T721" s="207"/>
      <c r="U721" s="207"/>
      <c r="V721" s="207"/>
      <c r="W721" s="208"/>
      <c r="X721" s="208"/>
      <c r="Y721" s="208"/>
      <c r="Z721" s="208"/>
      <c r="AA721" s="208"/>
      <c r="AB721" s="208"/>
      <c r="AC721" s="208"/>
      <c r="AD721" s="208"/>
      <c r="AE721" s="208"/>
      <c r="AF721" s="208"/>
      <c r="AG721" s="208"/>
      <c r="AH721" s="208"/>
      <c r="AI721" s="100"/>
      <c r="AJ721" s="100"/>
      <c r="AK721" s="100"/>
      <c r="AL721" s="100"/>
      <c r="AM721" s="100"/>
      <c r="AN721" s="100"/>
      <c r="AO721" s="100"/>
    </row>
    <row r="722" ht="14.25" customHeight="1">
      <c r="A722" s="195"/>
      <c r="B722" s="100"/>
      <c r="C722" s="100"/>
      <c r="D722" s="100"/>
      <c r="E722" s="100"/>
      <c r="F722" s="206"/>
      <c r="G722" s="206"/>
      <c r="H722" s="207"/>
      <c r="I722" s="207"/>
      <c r="J722" s="207"/>
      <c r="K722" s="207"/>
      <c r="L722" s="207"/>
      <c r="M722" s="207"/>
      <c r="N722" s="207"/>
      <c r="O722" s="207"/>
      <c r="P722" s="207"/>
      <c r="Q722" s="207"/>
      <c r="R722" s="207"/>
      <c r="S722" s="207"/>
      <c r="T722" s="207"/>
      <c r="U722" s="207"/>
      <c r="V722" s="207"/>
      <c r="W722" s="208"/>
      <c r="X722" s="208"/>
      <c r="Y722" s="208"/>
      <c r="Z722" s="208"/>
      <c r="AA722" s="208"/>
      <c r="AB722" s="208"/>
      <c r="AC722" s="208"/>
      <c r="AD722" s="208"/>
      <c r="AE722" s="208"/>
      <c r="AF722" s="208"/>
      <c r="AG722" s="208"/>
      <c r="AH722" s="208"/>
      <c r="AI722" s="100"/>
      <c r="AJ722" s="100"/>
      <c r="AK722" s="100"/>
      <c r="AL722" s="100"/>
      <c r="AM722" s="100"/>
      <c r="AN722" s="100"/>
      <c r="AO722" s="100"/>
    </row>
    <row r="723" ht="14.25" customHeight="1">
      <c r="A723" s="195"/>
      <c r="B723" s="100"/>
      <c r="C723" s="100"/>
      <c r="D723" s="100"/>
      <c r="E723" s="100"/>
      <c r="F723" s="206"/>
      <c r="G723" s="206"/>
      <c r="H723" s="207"/>
      <c r="I723" s="207"/>
      <c r="J723" s="207"/>
      <c r="K723" s="207"/>
      <c r="L723" s="207"/>
      <c r="M723" s="207"/>
      <c r="N723" s="207"/>
      <c r="O723" s="207"/>
      <c r="P723" s="207"/>
      <c r="Q723" s="207"/>
      <c r="R723" s="207"/>
      <c r="S723" s="207"/>
      <c r="T723" s="207"/>
      <c r="U723" s="207"/>
      <c r="V723" s="207"/>
      <c r="W723" s="208"/>
      <c r="X723" s="208"/>
      <c r="Y723" s="208"/>
      <c r="Z723" s="208"/>
      <c r="AA723" s="208"/>
      <c r="AB723" s="208"/>
      <c r="AC723" s="208"/>
      <c r="AD723" s="208"/>
      <c r="AE723" s="208"/>
      <c r="AF723" s="208"/>
      <c r="AG723" s="208"/>
      <c r="AH723" s="208"/>
      <c r="AI723" s="100"/>
      <c r="AJ723" s="100"/>
      <c r="AK723" s="100"/>
      <c r="AL723" s="100"/>
      <c r="AM723" s="100"/>
      <c r="AN723" s="100"/>
      <c r="AO723" s="100"/>
    </row>
    <row r="724" ht="14.25" customHeight="1">
      <c r="A724" s="195"/>
      <c r="B724" s="100"/>
      <c r="C724" s="100"/>
      <c r="D724" s="100"/>
      <c r="E724" s="100"/>
      <c r="F724" s="206"/>
      <c r="G724" s="206"/>
      <c r="H724" s="207"/>
      <c r="I724" s="207"/>
      <c r="J724" s="207"/>
      <c r="K724" s="207"/>
      <c r="L724" s="207"/>
      <c r="M724" s="207"/>
      <c r="N724" s="207"/>
      <c r="O724" s="207"/>
      <c r="P724" s="207"/>
      <c r="Q724" s="207"/>
      <c r="R724" s="207"/>
      <c r="S724" s="207"/>
      <c r="T724" s="207"/>
      <c r="U724" s="207"/>
      <c r="V724" s="207"/>
      <c r="W724" s="208"/>
      <c r="X724" s="208"/>
      <c r="Y724" s="208"/>
      <c r="Z724" s="208"/>
      <c r="AA724" s="208"/>
      <c r="AB724" s="208"/>
      <c r="AC724" s="208"/>
      <c r="AD724" s="208"/>
      <c r="AE724" s="208"/>
      <c r="AF724" s="208"/>
      <c r="AG724" s="208"/>
      <c r="AH724" s="208"/>
      <c r="AI724" s="100"/>
      <c r="AJ724" s="100"/>
      <c r="AK724" s="100"/>
      <c r="AL724" s="100"/>
      <c r="AM724" s="100"/>
      <c r="AN724" s="100"/>
      <c r="AO724" s="100"/>
    </row>
    <row r="725" ht="14.25" customHeight="1">
      <c r="A725" s="195"/>
      <c r="B725" s="100"/>
      <c r="C725" s="100"/>
      <c r="D725" s="100"/>
      <c r="E725" s="100"/>
      <c r="F725" s="206"/>
      <c r="G725" s="206"/>
      <c r="H725" s="207"/>
      <c r="I725" s="207"/>
      <c r="J725" s="207"/>
      <c r="K725" s="207"/>
      <c r="L725" s="207"/>
      <c r="M725" s="207"/>
      <c r="N725" s="207"/>
      <c r="O725" s="207"/>
      <c r="P725" s="207"/>
      <c r="Q725" s="207"/>
      <c r="R725" s="207"/>
      <c r="S725" s="207"/>
      <c r="T725" s="207"/>
      <c r="U725" s="207"/>
      <c r="V725" s="207"/>
      <c r="W725" s="208"/>
      <c r="X725" s="208"/>
      <c r="Y725" s="208"/>
      <c r="Z725" s="208"/>
      <c r="AA725" s="208"/>
      <c r="AB725" s="208"/>
      <c r="AC725" s="208"/>
      <c r="AD725" s="208"/>
      <c r="AE725" s="208"/>
      <c r="AF725" s="208"/>
      <c r="AG725" s="208"/>
      <c r="AH725" s="208"/>
      <c r="AI725" s="100"/>
      <c r="AJ725" s="100"/>
      <c r="AK725" s="100"/>
      <c r="AL725" s="100"/>
      <c r="AM725" s="100"/>
      <c r="AN725" s="100"/>
      <c r="AO725" s="100"/>
    </row>
    <row r="726" ht="14.25" customHeight="1">
      <c r="A726" s="195"/>
      <c r="B726" s="100"/>
      <c r="C726" s="100"/>
      <c r="D726" s="100"/>
      <c r="E726" s="100"/>
      <c r="F726" s="206"/>
      <c r="G726" s="206"/>
      <c r="H726" s="207"/>
      <c r="I726" s="207"/>
      <c r="J726" s="207"/>
      <c r="K726" s="207"/>
      <c r="L726" s="207"/>
      <c r="M726" s="207"/>
      <c r="N726" s="207"/>
      <c r="O726" s="207"/>
      <c r="P726" s="207"/>
      <c r="Q726" s="207"/>
      <c r="R726" s="207"/>
      <c r="S726" s="207"/>
      <c r="T726" s="207"/>
      <c r="U726" s="207"/>
      <c r="V726" s="207"/>
      <c r="W726" s="208"/>
      <c r="X726" s="208"/>
      <c r="Y726" s="208"/>
      <c r="Z726" s="208"/>
      <c r="AA726" s="208"/>
      <c r="AB726" s="208"/>
      <c r="AC726" s="208"/>
      <c r="AD726" s="208"/>
      <c r="AE726" s="208"/>
      <c r="AF726" s="208"/>
      <c r="AG726" s="208"/>
      <c r="AH726" s="208"/>
      <c r="AI726" s="100"/>
      <c r="AJ726" s="100"/>
      <c r="AK726" s="100"/>
      <c r="AL726" s="100"/>
      <c r="AM726" s="100"/>
      <c r="AN726" s="100"/>
      <c r="AO726" s="100"/>
    </row>
    <row r="727" ht="14.25" customHeight="1">
      <c r="A727" s="195"/>
      <c r="B727" s="100"/>
      <c r="C727" s="100"/>
      <c r="D727" s="100"/>
      <c r="E727" s="100"/>
      <c r="F727" s="206"/>
      <c r="G727" s="206"/>
      <c r="H727" s="207"/>
      <c r="I727" s="207"/>
      <c r="J727" s="207"/>
      <c r="K727" s="207"/>
      <c r="L727" s="207"/>
      <c r="M727" s="207"/>
      <c r="N727" s="207"/>
      <c r="O727" s="207"/>
      <c r="P727" s="207"/>
      <c r="Q727" s="207"/>
      <c r="R727" s="207"/>
      <c r="S727" s="207"/>
      <c r="T727" s="207"/>
      <c r="U727" s="207"/>
      <c r="V727" s="207"/>
      <c r="W727" s="208"/>
      <c r="X727" s="208"/>
      <c r="Y727" s="208"/>
      <c r="Z727" s="208"/>
      <c r="AA727" s="208"/>
      <c r="AB727" s="208"/>
      <c r="AC727" s="208"/>
      <c r="AD727" s="208"/>
      <c r="AE727" s="208"/>
      <c r="AF727" s="208"/>
      <c r="AG727" s="208"/>
      <c r="AH727" s="208"/>
      <c r="AI727" s="100"/>
      <c r="AJ727" s="100"/>
      <c r="AK727" s="100"/>
      <c r="AL727" s="100"/>
      <c r="AM727" s="100"/>
      <c r="AN727" s="100"/>
      <c r="AO727" s="100"/>
    </row>
    <row r="728" ht="14.25" customHeight="1">
      <c r="A728" s="195"/>
      <c r="B728" s="100"/>
      <c r="C728" s="100"/>
      <c r="D728" s="100"/>
      <c r="E728" s="100"/>
      <c r="F728" s="206"/>
      <c r="G728" s="206"/>
      <c r="H728" s="207"/>
      <c r="I728" s="207"/>
      <c r="J728" s="207"/>
      <c r="K728" s="207"/>
      <c r="L728" s="207"/>
      <c r="M728" s="207"/>
      <c r="N728" s="207"/>
      <c r="O728" s="207"/>
      <c r="P728" s="207"/>
      <c r="Q728" s="207"/>
      <c r="R728" s="207"/>
      <c r="S728" s="207"/>
      <c r="T728" s="207"/>
      <c r="U728" s="207"/>
      <c r="V728" s="207"/>
      <c r="W728" s="208"/>
      <c r="X728" s="208"/>
      <c r="Y728" s="208"/>
      <c r="Z728" s="208"/>
      <c r="AA728" s="208"/>
      <c r="AB728" s="208"/>
      <c r="AC728" s="208"/>
      <c r="AD728" s="208"/>
      <c r="AE728" s="208"/>
      <c r="AF728" s="208"/>
      <c r="AG728" s="208"/>
      <c r="AH728" s="208"/>
      <c r="AI728" s="100"/>
      <c r="AJ728" s="100"/>
      <c r="AK728" s="100"/>
      <c r="AL728" s="100"/>
      <c r="AM728" s="100"/>
      <c r="AN728" s="100"/>
      <c r="AO728" s="100"/>
    </row>
    <row r="729" ht="14.25" customHeight="1">
      <c r="A729" s="195"/>
      <c r="B729" s="100"/>
      <c r="C729" s="100"/>
      <c r="D729" s="100"/>
      <c r="E729" s="100"/>
      <c r="F729" s="206"/>
      <c r="G729" s="206"/>
      <c r="H729" s="207"/>
      <c r="I729" s="207"/>
      <c r="J729" s="207"/>
      <c r="K729" s="207"/>
      <c r="L729" s="207"/>
      <c r="M729" s="207"/>
      <c r="N729" s="207"/>
      <c r="O729" s="207"/>
      <c r="P729" s="207"/>
      <c r="Q729" s="207"/>
      <c r="R729" s="207"/>
      <c r="S729" s="207"/>
      <c r="T729" s="207"/>
      <c r="U729" s="207"/>
      <c r="V729" s="207"/>
      <c r="W729" s="208"/>
      <c r="X729" s="208"/>
      <c r="Y729" s="208"/>
      <c r="Z729" s="208"/>
      <c r="AA729" s="208"/>
      <c r="AB729" s="208"/>
      <c r="AC729" s="208"/>
      <c r="AD729" s="208"/>
      <c r="AE729" s="208"/>
      <c r="AF729" s="208"/>
      <c r="AG729" s="208"/>
      <c r="AH729" s="208"/>
      <c r="AI729" s="100"/>
      <c r="AJ729" s="100"/>
      <c r="AK729" s="100"/>
      <c r="AL729" s="100"/>
      <c r="AM729" s="100"/>
      <c r="AN729" s="100"/>
      <c r="AO729" s="100"/>
    </row>
    <row r="730" ht="14.25" customHeight="1">
      <c r="A730" s="195"/>
      <c r="B730" s="100"/>
      <c r="C730" s="100"/>
      <c r="D730" s="100"/>
      <c r="E730" s="100"/>
      <c r="F730" s="206"/>
      <c r="G730" s="206"/>
      <c r="H730" s="207"/>
      <c r="I730" s="207"/>
      <c r="J730" s="207"/>
      <c r="K730" s="207"/>
      <c r="L730" s="207"/>
      <c r="M730" s="207"/>
      <c r="N730" s="207"/>
      <c r="O730" s="207"/>
      <c r="P730" s="207"/>
      <c r="Q730" s="207"/>
      <c r="R730" s="207"/>
      <c r="S730" s="207"/>
      <c r="T730" s="207"/>
      <c r="U730" s="207"/>
      <c r="V730" s="207"/>
      <c r="W730" s="208"/>
      <c r="X730" s="208"/>
      <c r="Y730" s="208"/>
      <c r="Z730" s="208"/>
      <c r="AA730" s="208"/>
      <c r="AB730" s="208"/>
      <c r="AC730" s="208"/>
      <c r="AD730" s="208"/>
      <c r="AE730" s="208"/>
      <c r="AF730" s="208"/>
      <c r="AG730" s="208"/>
      <c r="AH730" s="208"/>
      <c r="AI730" s="100"/>
      <c r="AJ730" s="100"/>
      <c r="AK730" s="100"/>
      <c r="AL730" s="100"/>
      <c r="AM730" s="100"/>
      <c r="AN730" s="100"/>
      <c r="AO730" s="100"/>
    </row>
    <row r="731" ht="14.25" customHeight="1">
      <c r="A731" s="195"/>
      <c r="B731" s="100"/>
      <c r="C731" s="100"/>
      <c r="D731" s="100"/>
      <c r="E731" s="100"/>
      <c r="F731" s="206"/>
      <c r="G731" s="206"/>
      <c r="H731" s="207"/>
      <c r="I731" s="207"/>
      <c r="J731" s="207"/>
      <c r="K731" s="207"/>
      <c r="L731" s="207"/>
      <c r="M731" s="207"/>
      <c r="N731" s="207"/>
      <c r="O731" s="207"/>
      <c r="P731" s="207"/>
      <c r="Q731" s="207"/>
      <c r="R731" s="207"/>
      <c r="S731" s="207"/>
      <c r="T731" s="207"/>
      <c r="U731" s="207"/>
      <c r="V731" s="207"/>
      <c r="W731" s="208"/>
      <c r="X731" s="208"/>
      <c r="Y731" s="208"/>
      <c r="Z731" s="208"/>
      <c r="AA731" s="208"/>
      <c r="AB731" s="208"/>
      <c r="AC731" s="208"/>
      <c r="AD731" s="208"/>
      <c r="AE731" s="208"/>
      <c r="AF731" s="208"/>
      <c r="AG731" s="208"/>
      <c r="AH731" s="208"/>
      <c r="AI731" s="100"/>
      <c r="AJ731" s="100"/>
      <c r="AK731" s="100"/>
      <c r="AL731" s="100"/>
      <c r="AM731" s="100"/>
      <c r="AN731" s="100"/>
      <c r="AO731" s="100"/>
    </row>
    <row r="732" ht="14.25" customHeight="1">
      <c r="A732" s="195"/>
      <c r="B732" s="100"/>
      <c r="C732" s="100"/>
      <c r="D732" s="100"/>
      <c r="E732" s="100"/>
      <c r="F732" s="206"/>
      <c r="G732" s="206"/>
      <c r="H732" s="207"/>
      <c r="I732" s="207"/>
      <c r="J732" s="207"/>
      <c r="K732" s="207"/>
      <c r="L732" s="207"/>
      <c r="M732" s="207"/>
      <c r="N732" s="207"/>
      <c r="O732" s="207"/>
      <c r="P732" s="207"/>
      <c r="Q732" s="207"/>
      <c r="R732" s="207"/>
      <c r="S732" s="207"/>
      <c r="T732" s="207"/>
      <c r="U732" s="207"/>
      <c r="V732" s="207"/>
      <c r="W732" s="208"/>
      <c r="X732" s="208"/>
      <c r="Y732" s="208"/>
      <c r="Z732" s="208"/>
      <c r="AA732" s="208"/>
      <c r="AB732" s="208"/>
      <c r="AC732" s="208"/>
      <c r="AD732" s="208"/>
      <c r="AE732" s="208"/>
      <c r="AF732" s="208"/>
      <c r="AG732" s="208"/>
      <c r="AH732" s="208"/>
      <c r="AI732" s="100"/>
      <c r="AJ732" s="100"/>
      <c r="AK732" s="100"/>
      <c r="AL732" s="100"/>
      <c r="AM732" s="100"/>
      <c r="AN732" s="100"/>
      <c r="AO732" s="100"/>
    </row>
    <row r="733" ht="14.25" customHeight="1">
      <c r="A733" s="195"/>
      <c r="B733" s="100"/>
      <c r="C733" s="100"/>
      <c r="D733" s="100"/>
      <c r="E733" s="100"/>
      <c r="F733" s="206"/>
      <c r="G733" s="206"/>
      <c r="H733" s="207"/>
      <c r="I733" s="207"/>
      <c r="J733" s="207"/>
      <c r="K733" s="207"/>
      <c r="L733" s="207"/>
      <c r="M733" s="207"/>
      <c r="N733" s="207"/>
      <c r="O733" s="207"/>
      <c r="P733" s="207"/>
      <c r="Q733" s="207"/>
      <c r="R733" s="207"/>
      <c r="S733" s="207"/>
      <c r="T733" s="207"/>
      <c r="U733" s="207"/>
      <c r="V733" s="207"/>
      <c r="W733" s="208"/>
      <c r="X733" s="208"/>
      <c r="Y733" s="208"/>
      <c r="Z733" s="208"/>
      <c r="AA733" s="208"/>
      <c r="AB733" s="208"/>
      <c r="AC733" s="208"/>
      <c r="AD733" s="208"/>
      <c r="AE733" s="208"/>
      <c r="AF733" s="208"/>
      <c r="AG733" s="208"/>
      <c r="AH733" s="208"/>
      <c r="AI733" s="100"/>
      <c r="AJ733" s="100"/>
      <c r="AK733" s="100"/>
      <c r="AL733" s="100"/>
      <c r="AM733" s="100"/>
      <c r="AN733" s="100"/>
      <c r="AO733" s="100"/>
    </row>
    <row r="734" ht="14.25" customHeight="1">
      <c r="A734" s="195"/>
      <c r="B734" s="100"/>
      <c r="C734" s="100"/>
      <c r="D734" s="100"/>
      <c r="E734" s="100"/>
      <c r="F734" s="206"/>
      <c r="G734" s="206"/>
      <c r="H734" s="207"/>
      <c r="I734" s="207"/>
      <c r="J734" s="207"/>
      <c r="K734" s="207"/>
      <c r="L734" s="207"/>
      <c r="M734" s="207"/>
      <c r="N734" s="207"/>
      <c r="O734" s="207"/>
      <c r="P734" s="207"/>
      <c r="Q734" s="207"/>
      <c r="R734" s="207"/>
      <c r="S734" s="207"/>
      <c r="T734" s="207"/>
      <c r="U734" s="207"/>
      <c r="V734" s="207"/>
      <c r="W734" s="208"/>
      <c r="X734" s="208"/>
      <c r="Y734" s="208"/>
      <c r="Z734" s="208"/>
      <c r="AA734" s="208"/>
      <c r="AB734" s="208"/>
      <c r="AC734" s="208"/>
      <c r="AD734" s="208"/>
      <c r="AE734" s="208"/>
      <c r="AF734" s="208"/>
      <c r="AG734" s="208"/>
      <c r="AH734" s="208"/>
      <c r="AI734" s="100"/>
      <c r="AJ734" s="100"/>
      <c r="AK734" s="100"/>
      <c r="AL734" s="100"/>
      <c r="AM734" s="100"/>
      <c r="AN734" s="100"/>
      <c r="AO734" s="100"/>
    </row>
    <row r="735" ht="14.25" customHeight="1">
      <c r="A735" s="195"/>
      <c r="B735" s="100"/>
      <c r="C735" s="100"/>
      <c r="D735" s="100"/>
      <c r="E735" s="100"/>
      <c r="F735" s="206"/>
      <c r="G735" s="206"/>
      <c r="H735" s="207"/>
      <c r="I735" s="207"/>
      <c r="J735" s="207"/>
      <c r="K735" s="207"/>
      <c r="L735" s="207"/>
      <c r="M735" s="207"/>
      <c r="N735" s="207"/>
      <c r="O735" s="207"/>
      <c r="P735" s="207"/>
      <c r="Q735" s="207"/>
      <c r="R735" s="207"/>
      <c r="S735" s="207"/>
      <c r="T735" s="207"/>
      <c r="U735" s="207"/>
      <c r="V735" s="207"/>
      <c r="W735" s="208"/>
      <c r="X735" s="208"/>
      <c r="Y735" s="208"/>
      <c r="Z735" s="208"/>
      <c r="AA735" s="208"/>
      <c r="AB735" s="208"/>
      <c r="AC735" s="208"/>
      <c r="AD735" s="208"/>
      <c r="AE735" s="208"/>
      <c r="AF735" s="208"/>
      <c r="AG735" s="208"/>
      <c r="AH735" s="208"/>
      <c r="AI735" s="100"/>
      <c r="AJ735" s="100"/>
      <c r="AK735" s="100"/>
      <c r="AL735" s="100"/>
      <c r="AM735" s="100"/>
      <c r="AN735" s="100"/>
      <c r="AO735" s="100"/>
    </row>
    <row r="736" ht="14.25" customHeight="1">
      <c r="A736" s="195"/>
      <c r="B736" s="100"/>
      <c r="C736" s="100"/>
      <c r="D736" s="100"/>
      <c r="E736" s="100"/>
      <c r="F736" s="206"/>
      <c r="G736" s="206"/>
      <c r="H736" s="207"/>
      <c r="I736" s="207"/>
      <c r="J736" s="207"/>
      <c r="K736" s="207"/>
      <c r="L736" s="207"/>
      <c r="M736" s="207"/>
      <c r="N736" s="207"/>
      <c r="O736" s="207"/>
      <c r="P736" s="207"/>
      <c r="Q736" s="207"/>
      <c r="R736" s="207"/>
      <c r="S736" s="207"/>
      <c r="T736" s="207"/>
      <c r="U736" s="207"/>
      <c r="V736" s="207"/>
      <c r="W736" s="208"/>
      <c r="X736" s="208"/>
      <c r="Y736" s="208"/>
      <c r="Z736" s="208"/>
      <c r="AA736" s="208"/>
      <c r="AB736" s="208"/>
      <c r="AC736" s="208"/>
      <c r="AD736" s="208"/>
      <c r="AE736" s="208"/>
      <c r="AF736" s="208"/>
      <c r="AG736" s="208"/>
      <c r="AH736" s="208"/>
      <c r="AI736" s="100"/>
      <c r="AJ736" s="100"/>
      <c r="AK736" s="100"/>
      <c r="AL736" s="100"/>
      <c r="AM736" s="100"/>
      <c r="AN736" s="100"/>
      <c r="AO736" s="100"/>
    </row>
    <row r="737" ht="14.25" customHeight="1">
      <c r="A737" s="195"/>
      <c r="B737" s="100"/>
      <c r="C737" s="100"/>
      <c r="D737" s="100"/>
      <c r="E737" s="100"/>
      <c r="F737" s="206"/>
      <c r="G737" s="206"/>
      <c r="H737" s="207"/>
      <c r="I737" s="207"/>
      <c r="J737" s="207"/>
      <c r="K737" s="207"/>
      <c r="L737" s="207"/>
      <c r="M737" s="207"/>
      <c r="N737" s="207"/>
      <c r="O737" s="207"/>
      <c r="P737" s="207"/>
      <c r="Q737" s="207"/>
      <c r="R737" s="207"/>
      <c r="S737" s="207"/>
      <c r="T737" s="207"/>
      <c r="U737" s="207"/>
      <c r="V737" s="207"/>
      <c r="W737" s="208"/>
      <c r="X737" s="208"/>
      <c r="Y737" s="208"/>
      <c r="Z737" s="208"/>
      <c r="AA737" s="208"/>
      <c r="AB737" s="208"/>
      <c r="AC737" s="208"/>
      <c r="AD737" s="208"/>
      <c r="AE737" s="208"/>
      <c r="AF737" s="208"/>
      <c r="AG737" s="208"/>
      <c r="AH737" s="208"/>
      <c r="AI737" s="100"/>
      <c r="AJ737" s="100"/>
      <c r="AK737" s="100"/>
      <c r="AL737" s="100"/>
      <c r="AM737" s="100"/>
      <c r="AN737" s="100"/>
      <c r="AO737" s="100"/>
    </row>
    <row r="738" ht="14.25" customHeight="1">
      <c r="A738" s="195"/>
      <c r="B738" s="100"/>
      <c r="C738" s="100"/>
      <c r="D738" s="100"/>
      <c r="E738" s="100"/>
      <c r="F738" s="206"/>
      <c r="G738" s="206"/>
      <c r="H738" s="207"/>
      <c r="I738" s="207"/>
      <c r="J738" s="207"/>
      <c r="K738" s="207"/>
      <c r="L738" s="207"/>
      <c r="M738" s="207"/>
      <c r="N738" s="207"/>
      <c r="O738" s="207"/>
      <c r="P738" s="207"/>
      <c r="Q738" s="207"/>
      <c r="R738" s="207"/>
      <c r="S738" s="207"/>
      <c r="T738" s="207"/>
      <c r="U738" s="207"/>
      <c r="V738" s="207"/>
      <c r="W738" s="208"/>
      <c r="X738" s="208"/>
      <c r="Y738" s="208"/>
      <c r="Z738" s="208"/>
      <c r="AA738" s="208"/>
      <c r="AB738" s="208"/>
      <c r="AC738" s="208"/>
      <c r="AD738" s="208"/>
      <c r="AE738" s="208"/>
      <c r="AF738" s="208"/>
      <c r="AG738" s="208"/>
      <c r="AH738" s="208"/>
      <c r="AI738" s="100"/>
      <c r="AJ738" s="100"/>
      <c r="AK738" s="100"/>
      <c r="AL738" s="100"/>
      <c r="AM738" s="100"/>
      <c r="AN738" s="100"/>
      <c r="AO738" s="100"/>
    </row>
    <row r="739" ht="14.25" customHeight="1">
      <c r="A739" s="195"/>
      <c r="B739" s="100"/>
      <c r="C739" s="100"/>
      <c r="D739" s="100"/>
      <c r="E739" s="100"/>
      <c r="F739" s="206"/>
      <c r="G739" s="206"/>
      <c r="H739" s="207"/>
      <c r="I739" s="207"/>
      <c r="J739" s="207"/>
      <c r="K739" s="207"/>
      <c r="L739" s="207"/>
      <c r="M739" s="207"/>
      <c r="N739" s="207"/>
      <c r="O739" s="207"/>
      <c r="P739" s="207"/>
      <c r="Q739" s="207"/>
      <c r="R739" s="207"/>
      <c r="S739" s="207"/>
      <c r="T739" s="207"/>
      <c r="U739" s="207"/>
      <c r="V739" s="207"/>
      <c r="W739" s="208"/>
      <c r="X739" s="208"/>
      <c r="Y739" s="208"/>
      <c r="Z739" s="208"/>
      <c r="AA739" s="208"/>
      <c r="AB739" s="208"/>
      <c r="AC739" s="208"/>
      <c r="AD739" s="208"/>
      <c r="AE739" s="208"/>
      <c r="AF739" s="208"/>
      <c r="AG739" s="208"/>
      <c r="AH739" s="208"/>
      <c r="AI739" s="100"/>
      <c r="AJ739" s="100"/>
      <c r="AK739" s="100"/>
      <c r="AL739" s="100"/>
      <c r="AM739" s="100"/>
      <c r="AN739" s="100"/>
      <c r="AO739" s="100"/>
    </row>
    <row r="740" ht="14.25" customHeight="1">
      <c r="A740" s="195"/>
      <c r="B740" s="100"/>
      <c r="C740" s="100"/>
      <c r="D740" s="100"/>
      <c r="E740" s="100"/>
      <c r="F740" s="206"/>
      <c r="G740" s="206"/>
      <c r="H740" s="207"/>
      <c r="I740" s="207"/>
      <c r="J740" s="207"/>
      <c r="K740" s="207"/>
      <c r="L740" s="207"/>
      <c r="M740" s="207"/>
      <c r="N740" s="207"/>
      <c r="O740" s="207"/>
      <c r="P740" s="207"/>
      <c r="Q740" s="207"/>
      <c r="R740" s="207"/>
      <c r="S740" s="207"/>
      <c r="T740" s="207"/>
      <c r="U740" s="207"/>
      <c r="V740" s="207"/>
      <c r="W740" s="208"/>
      <c r="X740" s="208"/>
      <c r="Y740" s="208"/>
      <c r="Z740" s="208"/>
      <c r="AA740" s="208"/>
      <c r="AB740" s="208"/>
      <c r="AC740" s="208"/>
      <c r="AD740" s="208"/>
      <c r="AE740" s="208"/>
      <c r="AF740" s="208"/>
      <c r="AG740" s="208"/>
      <c r="AH740" s="208"/>
      <c r="AI740" s="100"/>
      <c r="AJ740" s="100"/>
      <c r="AK740" s="100"/>
      <c r="AL740" s="100"/>
      <c r="AM740" s="100"/>
      <c r="AN740" s="100"/>
      <c r="AO740" s="100"/>
    </row>
    <row r="741" ht="14.25" customHeight="1">
      <c r="A741" s="195"/>
      <c r="B741" s="100"/>
      <c r="C741" s="100"/>
      <c r="D741" s="100"/>
      <c r="E741" s="100"/>
      <c r="F741" s="206"/>
      <c r="G741" s="206"/>
      <c r="H741" s="207"/>
      <c r="I741" s="207"/>
      <c r="J741" s="207"/>
      <c r="K741" s="207"/>
      <c r="L741" s="207"/>
      <c r="M741" s="207"/>
      <c r="N741" s="207"/>
      <c r="O741" s="207"/>
      <c r="P741" s="207"/>
      <c r="Q741" s="207"/>
      <c r="R741" s="207"/>
      <c r="S741" s="207"/>
      <c r="T741" s="207"/>
      <c r="U741" s="207"/>
      <c r="V741" s="207"/>
      <c r="W741" s="208"/>
      <c r="X741" s="208"/>
      <c r="Y741" s="208"/>
      <c r="Z741" s="208"/>
      <c r="AA741" s="208"/>
      <c r="AB741" s="208"/>
      <c r="AC741" s="208"/>
      <c r="AD741" s="208"/>
      <c r="AE741" s="208"/>
      <c r="AF741" s="208"/>
      <c r="AG741" s="208"/>
      <c r="AH741" s="208"/>
      <c r="AI741" s="100"/>
      <c r="AJ741" s="100"/>
      <c r="AK741" s="100"/>
      <c r="AL741" s="100"/>
      <c r="AM741" s="100"/>
      <c r="AN741" s="100"/>
      <c r="AO741" s="100"/>
    </row>
    <row r="742" ht="14.25" customHeight="1">
      <c r="A742" s="195"/>
      <c r="B742" s="100"/>
      <c r="C742" s="100"/>
      <c r="D742" s="100"/>
      <c r="E742" s="100"/>
      <c r="F742" s="206"/>
      <c r="G742" s="206"/>
      <c r="H742" s="207"/>
      <c r="I742" s="207"/>
      <c r="J742" s="207"/>
      <c r="K742" s="207"/>
      <c r="L742" s="207"/>
      <c r="M742" s="207"/>
      <c r="N742" s="207"/>
      <c r="O742" s="207"/>
      <c r="P742" s="207"/>
      <c r="Q742" s="207"/>
      <c r="R742" s="207"/>
      <c r="S742" s="207"/>
      <c r="T742" s="207"/>
      <c r="U742" s="207"/>
      <c r="V742" s="207"/>
      <c r="W742" s="208"/>
      <c r="X742" s="208"/>
      <c r="Y742" s="208"/>
      <c r="Z742" s="208"/>
      <c r="AA742" s="208"/>
      <c r="AB742" s="208"/>
      <c r="AC742" s="208"/>
      <c r="AD742" s="208"/>
      <c r="AE742" s="208"/>
      <c r="AF742" s="208"/>
      <c r="AG742" s="208"/>
      <c r="AH742" s="208"/>
      <c r="AI742" s="100"/>
      <c r="AJ742" s="100"/>
      <c r="AK742" s="100"/>
      <c r="AL742" s="100"/>
      <c r="AM742" s="100"/>
      <c r="AN742" s="100"/>
      <c r="AO742" s="100"/>
    </row>
    <row r="743" ht="14.25" customHeight="1">
      <c r="A743" s="195"/>
      <c r="B743" s="100"/>
      <c r="C743" s="100"/>
      <c r="D743" s="100"/>
      <c r="E743" s="100"/>
      <c r="F743" s="206"/>
      <c r="G743" s="206"/>
      <c r="H743" s="207"/>
      <c r="I743" s="207"/>
      <c r="J743" s="207"/>
      <c r="K743" s="207"/>
      <c r="L743" s="207"/>
      <c r="M743" s="207"/>
      <c r="N743" s="207"/>
      <c r="O743" s="207"/>
      <c r="P743" s="207"/>
      <c r="Q743" s="207"/>
      <c r="R743" s="207"/>
      <c r="S743" s="207"/>
      <c r="T743" s="207"/>
      <c r="U743" s="207"/>
      <c r="V743" s="207"/>
      <c r="W743" s="208"/>
      <c r="X743" s="208"/>
      <c r="Y743" s="208"/>
      <c r="Z743" s="208"/>
      <c r="AA743" s="208"/>
      <c r="AB743" s="208"/>
      <c r="AC743" s="208"/>
      <c r="AD743" s="208"/>
      <c r="AE743" s="208"/>
      <c r="AF743" s="208"/>
      <c r="AG743" s="208"/>
      <c r="AH743" s="208"/>
      <c r="AI743" s="100"/>
      <c r="AJ743" s="100"/>
      <c r="AK743" s="100"/>
      <c r="AL743" s="100"/>
      <c r="AM743" s="100"/>
      <c r="AN743" s="100"/>
      <c r="AO743" s="100"/>
    </row>
    <row r="744" ht="14.25" customHeight="1">
      <c r="A744" s="195"/>
      <c r="B744" s="100"/>
      <c r="C744" s="100"/>
      <c r="D744" s="100"/>
      <c r="E744" s="100"/>
      <c r="F744" s="206"/>
      <c r="G744" s="206"/>
      <c r="H744" s="207"/>
      <c r="I744" s="207"/>
      <c r="J744" s="207"/>
      <c r="K744" s="207"/>
      <c r="L744" s="207"/>
      <c r="M744" s="207"/>
      <c r="N744" s="207"/>
      <c r="O744" s="207"/>
      <c r="P744" s="207"/>
      <c r="Q744" s="207"/>
      <c r="R744" s="207"/>
      <c r="S744" s="207"/>
      <c r="T744" s="207"/>
      <c r="U744" s="207"/>
      <c r="V744" s="207"/>
      <c r="W744" s="208"/>
      <c r="X744" s="208"/>
      <c r="Y744" s="208"/>
      <c r="Z744" s="208"/>
      <c r="AA744" s="208"/>
      <c r="AB744" s="208"/>
      <c r="AC744" s="208"/>
      <c r="AD744" s="208"/>
      <c r="AE744" s="208"/>
      <c r="AF744" s="208"/>
      <c r="AG744" s="208"/>
      <c r="AH744" s="208"/>
      <c r="AI744" s="100"/>
      <c r="AJ744" s="100"/>
      <c r="AK744" s="100"/>
      <c r="AL744" s="100"/>
      <c r="AM744" s="100"/>
      <c r="AN744" s="100"/>
      <c r="AO744" s="100"/>
    </row>
    <row r="745" ht="14.25" customHeight="1">
      <c r="A745" s="195"/>
      <c r="B745" s="100"/>
      <c r="C745" s="100"/>
      <c r="D745" s="100"/>
      <c r="E745" s="100"/>
      <c r="F745" s="206"/>
      <c r="G745" s="206"/>
      <c r="H745" s="207"/>
      <c r="I745" s="207"/>
      <c r="J745" s="207"/>
      <c r="K745" s="207"/>
      <c r="L745" s="207"/>
      <c r="M745" s="207"/>
      <c r="N745" s="207"/>
      <c r="O745" s="207"/>
      <c r="P745" s="207"/>
      <c r="Q745" s="207"/>
      <c r="R745" s="207"/>
      <c r="S745" s="207"/>
      <c r="T745" s="207"/>
      <c r="U745" s="207"/>
      <c r="V745" s="207"/>
      <c r="W745" s="208"/>
      <c r="X745" s="208"/>
      <c r="Y745" s="208"/>
      <c r="Z745" s="208"/>
      <c r="AA745" s="208"/>
      <c r="AB745" s="208"/>
      <c r="AC745" s="208"/>
      <c r="AD745" s="208"/>
      <c r="AE745" s="208"/>
      <c r="AF745" s="208"/>
      <c r="AG745" s="208"/>
      <c r="AH745" s="208"/>
      <c r="AI745" s="100"/>
      <c r="AJ745" s="100"/>
      <c r="AK745" s="100"/>
      <c r="AL745" s="100"/>
      <c r="AM745" s="100"/>
      <c r="AN745" s="100"/>
      <c r="AO745" s="100"/>
    </row>
    <row r="746" ht="14.25" customHeight="1">
      <c r="A746" s="195"/>
      <c r="B746" s="100"/>
      <c r="C746" s="100"/>
      <c r="D746" s="100"/>
      <c r="E746" s="100"/>
      <c r="F746" s="206"/>
      <c r="G746" s="206"/>
      <c r="H746" s="207"/>
      <c r="I746" s="207"/>
      <c r="J746" s="207"/>
      <c r="K746" s="207"/>
      <c r="L746" s="207"/>
      <c r="M746" s="207"/>
      <c r="N746" s="207"/>
      <c r="O746" s="207"/>
      <c r="P746" s="207"/>
      <c r="Q746" s="207"/>
      <c r="R746" s="207"/>
      <c r="S746" s="207"/>
      <c r="T746" s="207"/>
      <c r="U746" s="207"/>
      <c r="V746" s="207"/>
      <c r="W746" s="208"/>
      <c r="X746" s="208"/>
      <c r="Y746" s="208"/>
      <c r="Z746" s="208"/>
      <c r="AA746" s="208"/>
      <c r="AB746" s="208"/>
      <c r="AC746" s="208"/>
      <c r="AD746" s="208"/>
      <c r="AE746" s="208"/>
      <c r="AF746" s="208"/>
      <c r="AG746" s="208"/>
      <c r="AH746" s="208"/>
      <c r="AI746" s="100"/>
      <c r="AJ746" s="100"/>
      <c r="AK746" s="100"/>
      <c r="AL746" s="100"/>
      <c r="AM746" s="100"/>
      <c r="AN746" s="100"/>
      <c r="AO746" s="100"/>
    </row>
    <row r="747" ht="14.25" customHeight="1">
      <c r="A747" s="195"/>
      <c r="B747" s="100"/>
      <c r="C747" s="100"/>
      <c r="D747" s="100"/>
      <c r="E747" s="100"/>
      <c r="F747" s="206"/>
      <c r="G747" s="206"/>
      <c r="H747" s="207"/>
      <c r="I747" s="207"/>
      <c r="J747" s="207"/>
      <c r="K747" s="207"/>
      <c r="L747" s="207"/>
      <c r="M747" s="207"/>
      <c r="N747" s="207"/>
      <c r="O747" s="207"/>
      <c r="P747" s="207"/>
      <c r="Q747" s="207"/>
      <c r="R747" s="207"/>
      <c r="S747" s="207"/>
      <c r="T747" s="207"/>
      <c r="U747" s="207"/>
      <c r="V747" s="207"/>
      <c r="W747" s="208"/>
      <c r="X747" s="208"/>
      <c r="Y747" s="208"/>
      <c r="Z747" s="208"/>
      <c r="AA747" s="208"/>
      <c r="AB747" s="208"/>
      <c r="AC747" s="208"/>
      <c r="AD747" s="208"/>
      <c r="AE747" s="208"/>
      <c r="AF747" s="208"/>
      <c r="AG747" s="208"/>
      <c r="AH747" s="208"/>
      <c r="AI747" s="100"/>
      <c r="AJ747" s="100"/>
      <c r="AK747" s="100"/>
      <c r="AL747" s="100"/>
      <c r="AM747" s="100"/>
      <c r="AN747" s="100"/>
      <c r="AO747" s="100"/>
    </row>
    <row r="748" ht="14.25" customHeight="1">
      <c r="A748" s="195"/>
      <c r="B748" s="100"/>
      <c r="C748" s="100"/>
      <c r="D748" s="100"/>
      <c r="E748" s="100"/>
      <c r="F748" s="206"/>
      <c r="G748" s="206"/>
      <c r="H748" s="207"/>
      <c r="I748" s="207"/>
      <c r="J748" s="207"/>
      <c r="K748" s="207"/>
      <c r="L748" s="207"/>
      <c r="M748" s="207"/>
      <c r="N748" s="207"/>
      <c r="O748" s="207"/>
      <c r="P748" s="207"/>
      <c r="Q748" s="207"/>
      <c r="R748" s="207"/>
      <c r="S748" s="207"/>
      <c r="T748" s="207"/>
      <c r="U748" s="207"/>
      <c r="V748" s="207"/>
      <c r="W748" s="208"/>
      <c r="X748" s="208"/>
      <c r="Y748" s="208"/>
      <c r="Z748" s="208"/>
      <c r="AA748" s="208"/>
      <c r="AB748" s="208"/>
      <c r="AC748" s="208"/>
      <c r="AD748" s="208"/>
      <c r="AE748" s="208"/>
      <c r="AF748" s="208"/>
      <c r="AG748" s="208"/>
      <c r="AH748" s="208"/>
      <c r="AI748" s="100"/>
      <c r="AJ748" s="100"/>
      <c r="AK748" s="100"/>
      <c r="AL748" s="100"/>
      <c r="AM748" s="100"/>
      <c r="AN748" s="100"/>
      <c r="AO748" s="100"/>
    </row>
    <row r="749" ht="14.25" customHeight="1">
      <c r="A749" s="195"/>
      <c r="B749" s="100"/>
      <c r="C749" s="100"/>
      <c r="D749" s="100"/>
      <c r="E749" s="100"/>
      <c r="F749" s="206"/>
      <c r="G749" s="206"/>
      <c r="H749" s="207"/>
      <c r="I749" s="207"/>
      <c r="J749" s="207"/>
      <c r="K749" s="207"/>
      <c r="L749" s="207"/>
      <c r="M749" s="207"/>
      <c r="N749" s="207"/>
      <c r="O749" s="207"/>
      <c r="P749" s="207"/>
      <c r="Q749" s="207"/>
      <c r="R749" s="207"/>
      <c r="S749" s="207"/>
      <c r="T749" s="207"/>
      <c r="U749" s="207"/>
      <c r="V749" s="207"/>
      <c r="W749" s="208"/>
      <c r="X749" s="208"/>
      <c r="Y749" s="208"/>
      <c r="Z749" s="208"/>
      <c r="AA749" s="208"/>
      <c r="AB749" s="208"/>
      <c r="AC749" s="208"/>
      <c r="AD749" s="208"/>
      <c r="AE749" s="208"/>
      <c r="AF749" s="208"/>
      <c r="AG749" s="208"/>
      <c r="AH749" s="208"/>
      <c r="AI749" s="100"/>
      <c r="AJ749" s="100"/>
      <c r="AK749" s="100"/>
      <c r="AL749" s="100"/>
      <c r="AM749" s="100"/>
      <c r="AN749" s="100"/>
      <c r="AO749" s="100"/>
    </row>
    <row r="750" ht="14.25" customHeight="1">
      <c r="A750" s="195"/>
      <c r="B750" s="100"/>
      <c r="C750" s="100"/>
      <c r="D750" s="100"/>
      <c r="E750" s="100"/>
      <c r="F750" s="206"/>
      <c r="G750" s="206"/>
      <c r="H750" s="207"/>
      <c r="I750" s="207"/>
      <c r="J750" s="207"/>
      <c r="K750" s="207"/>
      <c r="L750" s="207"/>
      <c r="M750" s="207"/>
      <c r="N750" s="207"/>
      <c r="O750" s="207"/>
      <c r="P750" s="207"/>
      <c r="Q750" s="207"/>
      <c r="R750" s="207"/>
      <c r="S750" s="207"/>
      <c r="T750" s="207"/>
      <c r="U750" s="207"/>
      <c r="V750" s="207"/>
      <c r="W750" s="208"/>
      <c r="X750" s="208"/>
      <c r="Y750" s="208"/>
      <c r="Z750" s="208"/>
      <c r="AA750" s="208"/>
      <c r="AB750" s="208"/>
      <c r="AC750" s="208"/>
      <c r="AD750" s="208"/>
      <c r="AE750" s="208"/>
      <c r="AF750" s="208"/>
      <c r="AG750" s="208"/>
      <c r="AH750" s="208"/>
      <c r="AI750" s="100"/>
      <c r="AJ750" s="100"/>
      <c r="AK750" s="100"/>
      <c r="AL750" s="100"/>
      <c r="AM750" s="100"/>
      <c r="AN750" s="100"/>
      <c r="AO750" s="100"/>
    </row>
    <row r="751" ht="14.25" customHeight="1">
      <c r="A751" s="195"/>
      <c r="B751" s="100"/>
      <c r="C751" s="100"/>
      <c r="D751" s="100"/>
      <c r="E751" s="100"/>
      <c r="F751" s="206"/>
      <c r="G751" s="206"/>
      <c r="H751" s="207"/>
      <c r="I751" s="207"/>
      <c r="J751" s="207"/>
      <c r="K751" s="207"/>
      <c r="L751" s="207"/>
      <c r="M751" s="207"/>
      <c r="N751" s="207"/>
      <c r="O751" s="207"/>
      <c r="P751" s="207"/>
      <c r="Q751" s="207"/>
      <c r="R751" s="207"/>
      <c r="S751" s="207"/>
      <c r="T751" s="207"/>
      <c r="U751" s="207"/>
      <c r="V751" s="207"/>
      <c r="W751" s="208"/>
      <c r="X751" s="208"/>
      <c r="Y751" s="208"/>
      <c r="Z751" s="208"/>
      <c r="AA751" s="208"/>
      <c r="AB751" s="208"/>
      <c r="AC751" s="208"/>
      <c r="AD751" s="208"/>
      <c r="AE751" s="208"/>
      <c r="AF751" s="208"/>
      <c r="AG751" s="208"/>
      <c r="AH751" s="208"/>
      <c r="AI751" s="100"/>
      <c r="AJ751" s="100"/>
      <c r="AK751" s="100"/>
      <c r="AL751" s="100"/>
      <c r="AM751" s="100"/>
      <c r="AN751" s="100"/>
      <c r="AO751" s="100"/>
    </row>
    <row r="752" ht="14.25" customHeight="1">
      <c r="A752" s="195"/>
      <c r="B752" s="100"/>
      <c r="C752" s="100"/>
      <c r="D752" s="100"/>
      <c r="E752" s="100"/>
      <c r="F752" s="206"/>
      <c r="G752" s="206"/>
      <c r="H752" s="207"/>
      <c r="I752" s="207"/>
      <c r="J752" s="207"/>
      <c r="K752" s="207"/>
      <c r="L752" s="207"/>
      <c r="M752" s="207"/>
      <c r="N752" s="207"/>
      <c r="O752" s="207"/>
      <c r="P752" s="207"/>
      <c r="Q752" s="207"/>
      <c r="R752" s="207"/>
      <c r="S752" s="207"/>
      <c r="T752" s="207"/>
      <c r="U752" s="207"/>
      <c r="V752" s="207"/>
      <c r="W752" s="208"/>
      <c r="X752" s="208"/>
      <c r="Y752" s="208"/>
      <c r="Z752" s="208"/>
      <c r="AA752" s="208"/>
      <c r="AB752" s="208"/>
      <c r="AC752" s="208"/>
      <c r="AD752" s="208"/>
      <c r="AE752" s="208"/>
      <c r="AF752" s="208"/>
      <c r="AG752" s="208"/>
      <c r="AH752" s="208"/>
      <c r="AI752" s="100"/>
      <c r="AJ752" s="100"/>
      <c r="AK752" s="100"/>
      <c r="AL752" s="100"/>
      <c r="AM752" s="100"/>
      <c r="AN752" s="100"/>
      <c r="AO752" s="100"/>
    </row>
    <row r="753" ht="14.25" customHeight="1">
      <c r="A753" s="195"/>
      <c r="B753" s="100"/>
      <c r="C753" s="100"/>
      <c r="D753" s="100"/>
      <c r="E753" s="100"/>
      <c r="F753" s="206"/>
      <c r="G753" s="206"/>
      <c r="H753" s="207"/>
      <c r="I753" s="207"/>
      <c r="J753" s="207"/>
      <c r="K753" s="207"/>
      <c r="L753" s="207"/>
      <c r="M753" s="207"/>
      <c r="N753" s="207"/>
      <c r="O753" s="207"/>
      <c r="P753" s="207"/>
      <c r="Q753" s="207"/>
      <c r="R753" s="207"/>
      <c r="S753" s="207"/>
      <c r="T753" s="207"/>
      <c r="U753" s="207"/>
      <c r="V753" s="207"/>
      <c r="W753" s="208"/>
      <c r="X753" s="208"/>
      <c r="Y753" s="208"/>
      <c r="Z753" s="208"/>
      <c r="AA753" s="208"/>
      <c r="AB753" s="208"/>
      <c r="AC753" s="208"/>
      <c r="AD753" s="208"/>
      <c r="AE753" s="208"/>
      <c r="AF753" s="208"/>
      <c r="AG753" s="208"/>
      <c r="AH753" s="208"/>
      <c r="AI753" s="100"/>
      <c r="AJ753" s="100"/>
      <c r="AK753" s="100"/>
      <c r="AL753" s="100"/>
      <c r="AM753" s="100"/>
      <c r="AN753" s="100"/>
      <c r="AO753" s="100"/>
    </row>
    <row r="754" ht="14.25" customHeight="1">
      <c r="A754" s="195"/>
      <c r="B754" s="100"/>
      <c r="C754" s="100"/>
      <c r="D754" s="100"/>
      <c r="E754" s="100"/>
      <c r="F754" s="206"/>
      <c r="G754" s="206"/>
      <c r="H754" s="207"/>
      <c r="I754" s="207"/>
      <c r="J754" s="207"/>
      <c r="K754" s="207"/>
      <c r="L754" s="207"/>
      <c r="M754" s="207"/>
      <c r="N754" s="207"/>
      <c r="O754" s="207"/>
      <c r="P754" s="207"/>
      <c r="Q754" s="207"/>
      <c r="R754" s="207"/>
      <c r="S754" s="207"/>
      <c r="T754" s="207"/>
      <c r="U754" s="207"/>
      <c r="V754" s="207"/>
      <c r="W754" s="208"/>
      <c r="X754" s="208"/>
      <c r="Y754" s="208"/>
      <c r="Z754" s="208"/>
      <c r="AA754" s="208"/>
      <c r="AB754" s="208"/>
      <c r="AC754" s="208"/>
      <c r="AD754" s="208"/>
      <c r="AE754" s="208"/>
      <c r="AF754" s="208"/>
      <c r="AG754" s="208"/>
      <c r="AH754" s="208"/>
      <c r="AI754" s="100"/>
      <c r="AJ754" s="100"/>
      <c r="AK754" s="100"/>
      <c r="AL754" s="100"/>
      <c r="AM754" s="100"/>
      <c r="AN754" s="100"/>
      <c r="AO754" s="100"/>
    </row>
    <row r="755" ht="14.25" customHeight="1">
      <c r="A755" s="195"/>
      <c r="B755" s="100"/>
      <c r="C755" s="100"/>
      <c r="D755" s="100"/>
      <c r="E755" s="100"/>
      <c r="F755" s="206"/>
      <c r="G755" s="206"/>
      <c r="H755" s="207"/>
      <c r="I755" s="207"/>
      <c r="J755" s="207"/>
      <c r="K755" s="207"/>
      <c r="L755" s="207"/>
      <c r="M755" s="207"/>
      <c r="N755" s="207"/>
      <c r="O755" s="207"/>
      <c r="P755" s="207"/>
      <c r="Q755" s="207"/>
      <c r="R755" s="207"/>
      <c r="S755" s="207"/>
      <c r="T755" s="207"/>
      <c r="U755" s="207"/>
      <c r="V755" s="207"/>
      <c r="W755" s="208"/>
      <c r="X755" s="208"/>
      <c r="Y755" s="208"/>
      <c r="Z755" s="208"/>
      <c r="AA755" s="208"/>
      <c r="AB755" s="208"/>
      <c r="AC755" s="208"/>
      <c r="AD755" s="208"/>
      <c r="AE755" s="208"/>
      <c r="AF755" s="208"/>
      <c r="AG755" s="208"/>
      <c r="AH755" s="208"/>
      <c r="AI755" s="100"/>
      <c r="AJ755" s="100"/>
      <c r="AK755" s="100"/>
      <c r="AL755" s="100"/>
      <c r="AM755" s="100"/>
      <c r="AN755" s="100"/>
      <c r="AO755" s="100"/>
    </row>
    <row r="756" ht="14.25" customHeight="1">
      <c r="A756" s="195"/>
      <c r="B756" s="100"/>
      <c r="C756" s="100"/>
      <c r="D756" s="100"/>
      <c r="E756" s="100"/>
      <c r="F756" s="206"/>
      <c r="G756" s="206"/>
      <c r="H756" s="207"/>
      <c r="I756" s="207"/>
      <c r="J756" s="207"/>
      <c r="K756" s="207"/>
      <c r="L756" s="207"/>
      <c r="M756" s="207"/>
      <c r="N756" s="207"/>
      <c r="O756" s="207"/>
      <c r="P756" s="207"/>
      <c r="Q756" s="207"/>
      <c r="R756" s="207"/>
      <c r="S756" s="207"/>
      <c r="T756" s="207"/>
      <c r="U756" s="207"/>
      <c r="V756" s="207"/>
      <c r="W756" s="208"/>
      <c r="X756" s="208"/>
      <c r="Y756" s="208"/>
      <c r="Z756" s="208"/>
      <c r="AA756" s="208"/>
      <c r="AB756" s="208"/>
      <c r="AC756" s="208"/>
      <c r="AD756" s="208"/>
      <c r="AE756" s="208"/>
      <c r="AF756" s="208"/>
      <c r="AG756" s="208"/>
      <c r="AH756" s="208"/>
      <c r="AI756" s="100"/>
      <c r="AJ756" s="100"/>
      <c r="AK756" s="100"/>
      <c r="AL756" s="100"/>
      <c r="AM756" s="100"/>
      <c r="AN756" s="100"/>
      <c r="AO756" s="100"/>
    </row>
    <row r="757" ht="14.25" customHeight="1">
      <c r="A757" s="195"/>
      <c r="B757" s="100"/>
      <c r="C757" s="100"/>
      <c r="D757" s="100"/>
      <c r="E757" s="100"/>
      <c r="F757" s="206"/>
      <c r="G757" s="206"/>
      <c r="H757" s="207"/>
      <c r="I757" s="207"/>
      <c r="J757" s="207"/>
      <c r="K757" s="207"/>
      <c r="L757" s="207"/>
      <c r="M757" s="207"/>
      <c r="N757" s="207"/>
      <c r="O757" s="207"/>
      <c r="P757" s="207"/>
      <c r="Q757" s="207"/>
      <c r="R757" s="207"/>
      <c r="S757" s="207"/>
      <c r="T757" s="207"/>
      <c r="U757" s="207"/>
      <c r="V757" s="207"/>
      <c r="W757" s="208"/>
      <c r="X757" s="208"/>
      <c r="Y757" s="208"/>
      <c r="Z757" s="208"/>
      <c r="AA757" s="208"/>
      <c r="AB757" s="208"/>
      <c r="AC757" s="208"/>
      <c r="AD757" s="208"/>
      <c r="AE757" s="208"/>
      <c r="AF757" s="208"/>
      <c r="AG757" s="208"/>
      <c r="AH757" s="208"/>
      <c r="AI757" s="100"/>
      <c r="AJ757" s="100"/>
      <c r="AK757" s="100"/>
      <c r="AL757" s="100"/>
      <c r="AM757" s="100"/>
      <c r="AN757" s="100"/>
      <c r="AO757" s="100"/>
    </row>
    <row r="758" ht="14.25" customHeight="1">
      <c r="A758" s="195"/>
      <c r="B758" s="100"/>
      <c r="C758" s="100"/>
      <c r="D758" s="100"/>
      <c r="E758" s="100"/>
      <c r="F758" s="206"/>
      <c r="G758" s="206"/>
      <c r="H758" s="207"/>
      <c r="I758" s="207"/>
      <c r="J758" s="207"/>
      <c r="K758" s="207"/>
      <c r="L758" s="207"/>
      <c r="M758" s="207"/>
      <c r="N758" s="207"/>
      <c r="O758" s="207"/>
      <c r="P758" s="207"/>
      <c r="Q758" s="207"/>
      <c r="R758" s="207"/>
      <c r="S758" s="207"/>
      <c r="T758" s="207"/>
      <c r="U758" s="207"/>
      <c r="V758" s="207"/>
      <c r="W758" s="208"/>
      <c r="X758" s="208"/>
      <c r="Y758" s="208"/>
      <c r="Z758" s="208"/>
      <c r="AA758" s="208"/>
      <c r="AB758" s="208"/>
      <c r="AC758" s="208"/>
      <c r="AD758" s="208"/>
      <c r="AE758" s="208"/>
      <c r="AF758" s="208"/>
      <c r="AG758" s="208"/>
      <c r="AH758" s="208"/>
      <c r="AI758" s="100"/>
      <c r="AJ758" s="100"/>
      <c r="AK758" s="100"/>
      <c r="AL758" s="100"/>
      <c r="AM758" s="100"/>
      <c r="AN758" s="100"/>
      <c r="AO758" s="100"/>
    </row>
    <row r="759" ht="14.25" customHeight="1">
      <c r="A759" s="195"/>
      <c r="B759" s="100"/>
      <c r="C759" s="100"/>
      <c r="D759" s="100"/>
      <c r="E759" s="100"/>
      <c r="F759" s="206"/>
      <c r="G759" s="206"/>
      <c r="H759" s="207"/>
      <c r="I759" s="207"/>
      <c r="J759" s="207"/>
      <c r="K759" s="207"/>
      <c r="L759" s="207"/>
      <c r="M759" s="207"/>
      <c r="N759" s="207"/>
      <c r="O759" s="207"/>
      <c r="P759" s="207"/>
      <c r="Q759" s="207"/>
      <c r="R759" s="207"/>
      <c r="S759" s="207"/>
      <c r="T759" s="207"/>
      <c r="U759" s="207"/>
      <c r="V759" s="207"/>
      <c r="W759" s="208"/>
      <c r="X759" s="208"/>
      <c r="Y759" s="208"/>
      <c r="Z759" s="208"/>
      <c r="AA759" s="208"/>
      <c r="AB759" s="208"/>
      <c r="AC759" s="208"/>
      <c r="AD759" s="208"/>
      <c r="AE759" s="208"/>
      <c r="AF759" s="208"/>
      <c r="AG759" s="208"/>
      <c r="AH759" s="208"/>
      <c r="AI759" s="100"/>
      <c r="AJ759" s="100"/>
      <c r="AK759" s="100"/>
      <c r="AL759" s="100"/>
      <c r="AM759" s="100"/>
      <c r="AN759" s="100"/>
      <c r="AO759" s="100"/>
    </row>
    <row r="760" ht="14.25" customHeight="1">
      <c r="A760" s="195"/>
      <c r="B760" s="100"/>
      <c r="C760" s="100"/>
      <c r="D760" s="100"/>
      <c r="E760" s="100"/>
      <c r="F760" s="206"/>
      <c r="G760" s="206"/>
      <c r="H760" s="207"/>
      <c r="I760" s="207"/>
      <c r="J760" s="207"/>
      <c r="K760" s="207"/>
      <c r="L760" s="207"/>
      <c r="M760" s="207"/>
      <c r="N760" s="207"/>
      <c r="O760" s="207"/>
      <c r="P760" s="207"/>
      <c r="Q760" s="207"/>
      <c r="R760" s="207"/>
      <c r="S760" s="207"/>
      <c r="T760" s="207"/>
      <c r="U760" s="207"/>
      <c r="V760" s="207"/>
      <c r="W760" s="208"/>
      <c r="X760" s="208"/>
      <c r="Y760" s="208"/>
      <c r="Z760" s="208"/>
      <c r="AA760" s="208"/>
      <c r="AB760" s="208"/>
      <c r="AC760" s="208"/>
      <c r="AD760" s="208"/>
      <c r="AE760" s="208"/>
      <c r="AF760" s="208"/>
      <c r="AG760" s="208"/>
      <c r="AH760" s="208"/>
      <c r="AI760" s="100"/>
      <c r="AJ760" s="100"/>
      <c r="AK760" s="100"/>
      <c r="AL760" s="100"/>
      <c r="AM760" s="100"/>
      <c r="AN760" s="100"/>
      <c r="AO760" s="100"/>
    </row>
    <row r="761" ht="14.25" customHeight="1">
      <c r="A761" s="195"/>
      <c r="B761" s="100"/>
      <c r="C761" s="100"/>
      <c r="D761" s="100"/>
      <c r="E761" s="100"/>
      <c r="F761" s="206"/>
      <c r="G761" s="206"/>
      <c r="H761" s="207"/>
      <c r="I761" s="207"/>
      <c r="J761" s="207"/>
      <c r="K761" s="207"/>
      <c r="L761" s="207"/>
      <c r="M761" s="207"/>
      <c r="N761" s="207"/>
      <c r="O761" s="207"/>
      <c r="P761" s="207"/>
      <c r="Q761" s="207"/>
      <c r="R761" s="207"/>
      <c r="S761" s="207"/>
      <c r="T761" s="207"/>
      <c r="U761" s="207"/>
      <c r="V761" s="207"/>
      <c r="W761" s="208"/>
      <c r="X761" s="208"/>
      <c r="Y761" s="208"/>
      <c r="Z761" s="208"/>
      <c r="AA761" s="208"/>
      <c r="AB761" s="208"/>
      <c r="AC761" s="208"/>
      <c r="AD761" s="208"/>
      <c r="AE761" s="208"/>
      <c r="AF761" s="208"/>
      <c r="AG761" s="208"/>
      <c r="AH761" s="208"/>
      <c r="AI761" s="100"/>
      <c r="AJ761" s="100"/>
      <c r="AK761" s="100"/>
      <c r="AL761" s="100"/>
      <c r="AM761" s="100"/>
      <c r="AN761" s="100"/>
      <c r="AO761" s="100"/>
    </row>
    <row r="762" ht="14.25" customHeight="1">
      <c r="A762" s="195"/>
      <c r="B762" s="100"/>
      <c r="C762" s="100"/>
      <c r="D762" s="100"/>
      <c r="E762" s="100"/>
      <c r="F762" s="206"/>
      <c r="G762" s="206"/>
      <c r="H762" s="207"/>
      <c r="I762" s="207"/>
      <c r="J762" s="207"/>
      <c r="K762" s="207"/>
      <c r="L762" s="207"/>
      <c r="M762" s="207"/>
      <c r="N762" s="207"/>
      <c r="O762" s="207"/>
      <c r="P762" s="207"/>
      <c r="Q762" s="207"/>
      <c r="R762" s="207"/>
      <c r="S762" s="207"/>
      <c r="T762" s="207"/>
      <c r="U762" s="207"/>
      <c r="V762" s="207"/>
      <c r="W762" s="208"/>
      <c r="X762" s="208"/>
      <c r="Y762" s="208"/>
      <c r="Z762" s="208"/>
      <c r="AA762" s="208"/>
      <c r="AB762" s="208"/>
      <c r="AC762" s="208"/>
      <c r="AD762" s="208"/>
      <c r="AE762" s="208"/>
      <c r="AF762" s="208"/>
      <c r="AG762" s="208"/>
      <c r="AH762" s="208"/>
      <c r="AI762" s="100"/>
      <c r="AJ762" s="100"/>
      <c r="AK762" s="100"/>
      <c r="AL762" s="100"/>
      <c r="AM762" s="100"/>
      <c r="AN762" s="100"/>
      <c r="AO762" s="100"/>
    </row>
    <row r="763" ht="14.25" customHeight="1">
      <c r="A763" s="195"/>
      <c r="B763" s="100"/>
      <c r="C763" s="100"/>
      <c r="D763" s="100"/>
      <c r="E763" s="100"/>
      <c r="F763" s="206"/>
      <c r="G763" s="206"/>
      <c r="H763" s="207"/>
      <c r="I763" s="207"/>
      <c r="J763" s="207"/>
      <c r="K763" s="207"/>
      <c r="L763" s="207"/>
      <c r="M763" s="207"/>
      <c r="N763" s="207"/>
      <c r="O763" s="207"/>
      <c r="P763" s="207"/>
      <c r="Q763" s="207"/>
      <c r="R763" s="207"/>
      <c r="S763" s="207"/>
      <c r="T763" s="207"/>
      <c r="U763" s="207"/>
      <c r="V763" s="207"/>
      <c r="W763" s="208"/>
      <c r="X763" s="208"/>
      <c r="Y763" s="208"/>
      <c r="Z763" s="208"/>
      <c r="AA763" s="208"/>
      <c r="AB763" s="208"/>
      <c r="AC763" s="208"/>
      <c r="AD763" s="208"/>
      <c r="AE763" s="208"/>
      <c r="AF763" s="208"/>
      <c r="AG763" s="208"/>
      <c r="AH763" s="208"/>
      <c r="AI763" s="100"/>
      <c r="AJ763" s="100"/>
      <c r="AK763" s="100"/>
      <c r="AL763" s="100"/>
      <c r="AM763" s="100"/>
      <c r="AN763" s="100"/>
      <c r="AO763" s="100"/>
    </row>
    <row r="764" ht="14.25" customHeight="1">
      <c r="A764" s="195"/>
      <c r="B764" s="100"/>
      <c r="C764" s="100"/>
      <c r="D764" s="100"/>
      <c r="E764" s="100"/>
      <c r="F764" s="206"/>
      <c r="G764" s="206"/>
      <c r="H764" s="207"/>
      <c r="I764" s="207"/>
      <c r="J764" s="207"/>
      <c r="K764" s="207"/>
      <c r="L764" s="207"/>
      <c r="M764" s="207"/>
      <c r="N764" s="207"/>
      <c r="O764" s="207"/>
      <c r="P764" s="207"/>
      <c r="Q764" s="207"/>
      <c r="R764" s="207"/>
      <c r="S764" s="207"/>
      <c r="T764" s="207"/>
      <c r="U764" s="207"/>
      <c r="V764" s="207"/>
      <c r="W764" s="208"/>
      <c r="X764" s="208"/>
      <c r="Y764" s="208"/>
      <c r="Z764" s="208"/>
      <c r="AA764" s="208"/>
      <c r="AB764" s="208"/>
      <c r="AC764" s="208"/>
      <c r="AD764" s="208"/>
      <c r="AE764" s="208"/>
      <c r="AF764" s="208"/>
      <c r="AG764" s="208"/>
      <c r="AH764" s="208"/>
      <c r="AI764" s="100"/>
      <c r="AJ764" s="100"/>
      <c r="AK764" s="100"/>
      <c r="AL764" s="100"/>
      <c r="AM764" s="100"/>
      <c r="AN764" s="100"/>
      <c r="AO764" s="100"/>
    </row>
    <row r="765" ht="14.25" customHeight="1">
      <c r="A765" s="195"/>
      <c r="B765" s="100"/>
      <c r="C765" s="100"/>
      <c r="D765" s="100"/>
      <c r="E765" s="100"/>
      <c r="F765" s="206"/>
      <c r="G765" s="206"/>
      <c r="H765" s="207"/>
      <c r="I765" s="207"/>
      <c r="J765" s="207"/>
      <c r="K765" s="207"/>
      <c r="L765" s="207"/>
      <c r="M765" s="207"/>
      <c r="N765" s="207"/>
      <c r="O765" s="207"/>
      <c r="P765" s="207"/>
      <c r="Q765" s="207"/>
      <c r="R765" s="207"/>
      <c r="S765" s="207"/>
      <c r="T765" s="207"/>
      <c r="U765" s="207"/>
      <c r="V765" s="207"/>
      <c r="W765" s="208"/>
      <c r="X765" s="208"/>
      <c r="Y765" s="208"/>
      <c r="Z765" s="208"/>
      <c r="AA765" s="208"/>
      <c r="AB765" s="208"/>
      <c r="AC765" s="208"/>
      <c r="AD765" s="208"/>
      <c r="AE765" s="208"/>
      <c r="AF765" s="208"/>
      <c r="AG765" s="208"/>
      <c r="AH765" s="208"/>
      <c r="AI765" s="100"/>
      <c r="AJ765" s="100"/>
      <c r="AK765" s="100"/>
      <c r="AL765" s="100"/>
      <c r="AM765" s="100"/>
      <c r="AN765" s="100"/>
      <c r="AO765" s="100"/>
    </row>
    <row r="766" ht="14.25" customHeight="1">
      <c r="A766" s="195"/>
      <c r="B766" s="100"/>
      <c r="C766" s="100"/>
      <c r="D766" s="100"/>
      <c r="E766" s="100"/>
      <c r="F766" s="206"/>
      <c r="G766" s="206"/>
      <c r="H766" s="207"/>
      <c r="I766" s="207"/>
      <c r="J766" s="207"/>
      <c r="K766" s="207"/>
      <c r="L766" s="207"/>
      <c r="M766" s="207"/>
      <c r="N766" s="207"/>
      <c r="O766" s="207"/>
      <c r="P766" s="207"/>
      <c r="Q766" s="207"/>
      <c r="R766" s="207"/>
      <c r="S766" s="207"/>
      <c r="T766" s="207"/>
      <c r="U766" s="207"/>
      <c r="V766" s="207"/>
      <c r="W766" s="208"/>
      <c r="X766" s="208"/>
      <c r="Y766" s="208"/>
      <c r="Z766" s="208"/>
      <c r="AA766" s="208"/>
      <c r="AB766" s="208"/>
      <c r="AC766" s="208"/>
      <c r="AD766" s="208"/>
      <c r="AE766" s="208"/>
      <c r="AF766" s="208"/>
      <c r="AG766" s="208"/>
      <c r="AH766" s="208"/>
      <c r="AI766" s="100"/>
      <c r="AJ766" s="100"/>
      <c r="AK766" s="100"/>
      <c r="AL766" s="100"/>
      <c r="AM766" s="100"/>
      <c r="AN766" s="100"/>
      <c r="AO766" s="100"/>
    </row>
    <row r="767" ht="14.25" customHeight="1">
      <c r="A767" s="195"/>
      <c r="B767" s="100"/>
      <c r="C767" s="100"/>
      <c r="D767" s="100"/>
      <c r="E767" s="100"/>
      <c r="F767" s="206"/>
      <c r="G767" s="206"/>
      <c r="H767" s="207"/>
      <c r="I767" s="207"/>
      <c r="J767" s="207"/>
      <c r="K767" s="207"/>
      <c r="L767" s="207"/>
      <c r="M767" s="207"/>
      <c r="N767" s="207"/>
      <c r="O767" s="207"/>
      <c r="P767" s="207"/>
      <c r="Q767" s="207"/>
      <c r="R767" s="207"/>
      <c r="S767" s="207"/>
      <c r="T767" s="207"/>
      <c r="U767" s="207"/>
      <c r="V767" s="207"/>
      <c r="W767" s="208"/>
      <c r="X767" s="208"/>
      <c r="Y767" s="208"/>
      <c r="Z767" s="208"/>
      <c r="AA767" s="208"/>
      <c r="AB767" s="208"/>
      <c r="AC767" s="208"/>
      <c r="AD767" s="208"/>
      <c r="AE767" s="208"/>
      <c r="AF767" s="208"/>
      <c r="AG767" s="208"/>
      <c r="AH767" s="208"/>
      <c r="AI767" s="100"/>
      <c r="AJ767" s="100"/>
      <c r="AK767" s="100"/>
      <c r="AL767" s="100"/>
      <c r="AM767" s="100"/>
      <c r="AN767" s="100"/>
      <c r="AO767" s="100"/>
    </row>
    <row r="768" ht="14.25" customHeight="1">
      <c r="A768" s="195"/>
      <c r="B768" s="100"/>
      <c r="C768" s="100"/>
      <c r="D768" s="100"/>
      <c r="E768" s="100"/>
      <c r="F768" s="206"/>
      <c r="G768" s="206"/>
      <c r="H768" s="207"/>
      <c r="I768" s="207"/>
      <c r="J768" s="207"/>
      <c r="K768" s="207"/>
      <c r="L768" s="207"/>
      <c r="M768" s="207"/>
      <c r="N768" s="207"/>
      <c r="O768" s="207"/>
      <c r="P768" s="207"/>
      <c r="Q768" s="207"/>
      <c r="R768" s="207"/>
      <c r="S768" s="207"/>
      <c r="T768" s="207"/>
      <c r="U768" s="207"/>
      <c r="V768" s="207"/>
      <c r="W768" s="208"/>
      <c r="X768" s="208"/>
      <c r="Y768" s="208"/>
      <c r="Z768" s="208"/>
      <c r="AA768" s="208"/>
      <c r="AB768" s="208"/>
      <c r="AC768" s="208"/>
      <c r="AD768" s="208"/>
      <c r="AE768" s="208"/>
      <c r="AF768" s="208"/>
      <c r="AG768" s="208"/>
      <c r="AH768" s="208"/>
      <c r="AI768" s="100"/>
      <c r="AJ768" s="100"/>
      <c r="AK768" s="100"/>
      <c r="AL768" s="100"/>
      <c r="AM768" s="100"/>
      <c r="AN768" s="100"/>
      <c r="AO768" s="100"/>
    </row>
    <row r="769" ht="14.25" customHeight="1">
      <c r="A769" s="195"/>
      <c r="B769" s="100"/>
      <c r="C769" s="100"/>
      <c r="D769" s="100"/>
      <c r="E769" s="100"/>
      <c r="F769" s="206"/>
      <c r="G769" s="206"/>
      <c r="H769" s="207"/>
      <c r="I769" s="207"/>
      <c r="J769" s="207"/>
      <c r="K769" s="207"/>
      <c r="L769" s="207"/>
      <c r="M769" s="207"/>
      <c r="N769" s="207"/>
      <c r="O769" s="207"/>
      <c r="P769" s="207"/>
      <c r="Q769" s="207"/>
      <c r="R769" s="207"/>
      <c r="S769" s="207"/>
      <c r="T769" s="207"/>
      <c r="U769" s="207"/>
      <c r="V769" s="207"/>
      <c r="W769" s="208"/>
      <c r="X769" s="208"/>
      <c r="Y769" s="208"/>
      <c r="Z769" s="208"/>
      <c r="AA769" s="208"/>
      <c r="AB769" s="208"/>
      <c r="AC769" s="208"/>
      <c r="AD769" s="208"/>
      <c r="AE769" s="208"/>
      <c r="AF769" s="208"/>
      <c r="AG769" s="208"/>
      <c r="AH769" s="208"/>
      <c r="AI769" s="100"/>
      <c r="AJ769" s="100"/>
      <c r="AK769" s="100"/>
      <c r="AL769" s="100"/>
      <c r="AM769" s="100"/>
      <c r="AN769" s="100"/>
      <c r="AO769" s="100"/>
    </row>
    <row r="770" ht="14.25" customHeight="1">
      <c r="A770" s="195"/>
      <c r="B770" s="100"/>
      <c r="C770" s="100"/>
      <c r="D770" s="100"/>
      <c r="E770" s="100"/>
      <c r="F770" s="206"/>
      <c r="G770" s="206"/>
      <c r="H770" s="207"/>
      <c r="I770" s="207"/>
      <c r="J770" s="207"/>
      <c r="K770" s="207"/>
      <c r="L770" s="207"/>
      <c r="M770" s="207"/>
      <c r="N770" s="207"/>
      <c r="O770" s="207"/>
      <c r="P770" s="207"/>
      <c r="Q770" s="207"/>
      <c r="R770" s="207"/>
      <c r="S770" s="207"/>
      <c r="T770" s="207"/>
      <c r="U770" s="207"/>
      <c r="V770" s="207"/>
      <c r="W770" s="208"/>
      <c r="X770" s="208"/>
      <c r="Y770" s="208"/>
      <c r="Z770" s="208"/>
      <c r="AA770" s="208"/>
      <c r="AB770" s="208"/>
      <c r="AC770" s="208"/>
      <c r="AD770" s="208"/>
      <c r="AE770" s="208"/>
      <c r="AF770" s="208"/>
      <c r="AG770" s="208"/>
      <c r="AH770" s="208"/>
      <c r="AI770" s="100"/>
      <c r="AJ770" s="100"/>
      <c r="AK770" s="100"/>
      <c r="AL770" s="100"/>
      <c r="AM770" s="100"/>
      <c r="AN770" s="100"/>
      <c r="AO770" s="100"/>
    </row>
    <row r="771" ht="14.25" customHeight="1">
      <c r="A771" s="195"/>
      <c r="B771" s="100"/>
      <c r="C771" s="100"/>
      <c r="D771" s="100"/>
      <c r="E771" s="100"/>
      <c r="F771" s="206"/>
      <c r="G771" s="206"/>
      <c r="H771" s="207"/>
      <c r="I771" s="207"/>
      <c r="J771" s="207"/>
      <c r="K771" s="207"/>
      <c r="L771" s="207"/>
      <c r="M771" s="207"/>
      <c r="N771" s="207"/>
      <c r="O771" s="207"/>
      <c r="P771" s="207"/>
      <c r="Q771" s="207"/>
      <c r="R771" s="207"/>
      <c r="S771" s="207"/>
      <c r="T771" s="207"/>
      <c r="U771" s="207"/>
      <c r="V771" s="207"/>
      <c r="W771" s="208"/>
      <c r="X771" s="208"/>
      <c r="Y771" s="208"/>
      <c r="Z771" s="208"/>
      <c r="AA771" s="208"/>
      <c r="AB771" s="208"/>
      <c r="AC771" s="208"/>
      <c r="AD771" s="208"/>
      <c r="AE771" s="208"/>
      <c r="AF771" s="208"/>
      <c r="AG771" s="208"/>
      <c r="AH771" s="208"/>
      <c r="AI771" s="100"/>
      <c r="AJ771" s="100"/>
      <c r="AK771" s="100"/>
      <c r="AL771" s="100"/>
      <c r="AM771" s="100"/>
      <c r="AN771" s="100"/>
      <c r="AO771" s="100"/>
    </row>
    <row r="772" ht="14.25" customHeight="1">
      <c r="A772" s="195"/>
      <c r="B772" s="100"/>
      <c r="C772" s="100"/>
      <c r="D772" s="100"/>
      <c r="E772" s="100"/>
      <c r="F772" s="206"/>
      <c r="G772" s="206"/>
      <c r="H772" s="207"/>
      <c r="I772" s="207"/>
      <c r="J772" s="207"/>
      <c r="K772" s="207"/>
      <c r="L772" s="207"/>
      <c r="M772" s="207"/>
      <c r="N772" s="207"/>
      <c r="O772" s="207"/>
      <c r="P772" s="207"/>
      <c r="Q772" s="207"/>
      <c r="R772" s="207"/>
      <c r="S772" s="207"/>
      <c r="T772" s="207"/>
      <c r="U772" s="207"/>
      <c r="V772" s="207"/>
      <c r="W772" s="208"/>
      <c r="X772" s="208"/>
      <c r="Y772" s="208"/>
      <c r="Z772" s="208"/>
      <c r="AA772" s="208"/>
      <c r="AB772" s="208"/>
      <c r="AC772" s="208"/>
      <c r="AD772" s="208"/>
      <c r="AE772" s="208"/>
      <c r="AF772" s="208"/>
      <c r="AG772" s="208"/>
      <c r="AH772" s="208"/>
      <c r="AI772" s="100"/>
      <c r="AJ772" s="100"/>
      <c r="AK772" s="100"/>
      <c r="AL772" s="100"/>
      <c r="AM772" s="100"/>
      <c r="AN772" s="100"/>
      <c r="AO772" s="100"/>
    </row>
    <row r="773" ht="14.25" customHeight="1">
      <c r="A773" s="195"/>
      <c r="B773" s="100"/>
      <c r="C773" s="100"/>
      <c r="D773" s="100"/>
      <c r="E773" s="100"/>
      <c r="F773" s="206"/>
      <c r="G773" s="206"/>
      <c r="H773" s="207"/>
      <c r="I773" s="207"/>
      <c r="J773" s="207"/>
      <c r="K773" s="207"/>
      <c r="L773" s="207"/>
      <c r="M773" s="207"/>
      <c r="N773" s="207"/>
      <c r="O773" s="207"/>
      <c r="P773" s="207"/>
      <c r="Q773" s="207"/>
      <c r="R773" s="207"/>
      <c r="S773" s="207"/>
      <c r="T773" s="207"/>
      <c r="U773" s="207"/>
      <c r="V773" s="207"/>
      <c r="W773" s="208"/>
      <c r="X773" s="208"/>
      <c r="Y773" s="208"/>
      <c r="Z773" s="208"/>
      <c r="AA773" s="208"/>
      <c r="AB773" s="208"/>
      <c r="AC773" s="208"/>
      <c r="AD773" s="208"/>
      <c r="AE773" s="208"/>
      <c r="AF773" s="208"/>
      <c r="AG773" s="208"/>
      <c r="AH773" s="208"/>
      <c r="AI773" s="100"/>
      <c r="AJ773" s="100"/>
      <c r="AK773" s="100"/>
      <c r="AL773" s="100"/>
      <c r="AM773" s="100"/>
      <c r="AN773" s="100"/>
      <c r="AO773" s="100"/>
    </row>
    <row r="774" ht="14.25" customHeight="1">
      <c r="A774" s="195"/>
      <c r="B774" s="100"/>
      <c r="C774" s="100"/>
      <c r="D774" s="100"/>
      <c r="E774" s="100"/>
      <c r="F774" s="206"/>
      <c r="G774" s="206"/>
      <c r="H774" s="207"/>
      <c r="I774" s="207"/>
      <c r="J774" s="207"/>
      <c r="K774" s="207"/>
      <c r="L774" s="207"/>
      <c r="M774" s="207"/>
      <c r="N774" s="207"/>
      <c r="O774" s="207"/>
      <c r="P774" s="207"/>
      <c r="Q774" s="207"/>
      <c r="R774" s="207"/>
      <c r="S774" s="207"/>
      <c r="T774" s="207"/>
      <c r="U774" s="207"/>
      <c r="V774" s="207"/>
      <c r="W774" s="208"/>
      <c r="X774" s="208"/>
      <c r="Y774" s="208"/>
      <c r="Z774" s="208"/>
      <c r="AA774" s="208"/>
      <c r="AB774" s="208"/>
      <c r="AC774" s="208"/>
      <c r="AD774" s="208"/>
      <c r="AE774" s="208"/>
      <c r="AF774" s="208"/>
      <c r="AG774" s="208"/>
      <c r="AH774" s="208"/>
      <c r="AI774" s="100"/>
      <c r="AJ774" s="100"/>
      <c r="AK774" s="100"/>
      <c r="AL774" s="100"/>
      <c r="AM774" s="100"/>
      <c r="AN774" s="100"/>
      <c r="AO774" s="100"/>
    </row>
    <row r="775" ht="14.25" customHeight="1">
      <c r="A775" s="195"/>
      <c r="B775" s="100"/>
      <c r="C775" s="100"/>
      <c r="D775" s="100"/>
      <c r="E775" s="100"/>
      <c r="F775" s="206"/>
      <c r="G775" s="206"/>
      <c r="H775" s="207"/>
      <c r="I775" s="207"/>
      <c r="J775" s="207"/>
      <c r="K775" s="207"/>
      <c r="L775" s="207"/>
      <c r="M775" s="207"/>
      <c r="N775" s="207"/>
      <c r="O775" s="207"/>
      <c r="P775" s="207"/>
      <c r="Q775" s="207"/>
      <c r="R775" s="207"/>
      <c r="S775" s="207"/>
      <c r="T775" s="207"/>
      <c r="U775" s="207"/>
      <c r="V775" s="207"/>
      <c r="W775" s="208"/>
      <c r="X775" s="208"/>
      <c r="Y775" s="208"/>
      <c r="Z775" s="208"/>
      <c r="AA775" s="208"/>
      <c r="AB775" s="208"/>
      <c r="AC775" s="208"/>
      <c r="AD775" s="208"/>
      <c r="AE775" s="208"/>
      <c r="AF775" s="208"/>
      <c r="AG775" s="208"/>
      <c r="AH775" s="208"/>
      <c r="AI775" s="100"/>
      <c r="AJ775" s="100"/>
      <c r="AK775" s="100"/>
      <c r="AL775" s="100"/>
      <c r="AM775" s="100"/>
      <c r="AN775" s="100"/>
      <c r="AO775" s="100"/>
    </row>
    <row r="776" ht="14.25" customHeight="1">
      <c r="A776" s="195"/>
      <c r="B776" s="100"/>
      <c r="C776" s="100"/>
      <c r="D776" s="100"/>
      <c r="E776" s="100"/>
      <c r="F776" s="206"/>
      <c r="G776" s="206"/>
      <c r="H776" s="207"/>
      <c r="I776" s="207"/>
      <c r="J776" s="207"/>
      <c r="K776" s="207"/>
      <c r="L776" s="207"/>
      <c r="M776" s="207"/>
      <c r="N776" s="207"/>
      <c r="O776" s="207"/>
      <c r="P776" s="207"/>
      <c r="Q776" s="207"/>
      <c r="R776" s="207"/>
      <c r="S776" s="207"/>
      <c r="T776" s="207"/>
      <c r="U776" s="207"/>
      <c r="V776" s="207"/>
      <c r="W776" s="208"/>
      <c r="X776" s="208"/>
      <c r="Y776" s="208"/>
      <c r="Z776" s="208"/>
      <c r="AA776" s="208"/>
      <c r="AB776" s="208"/>
      <c r="AC776" s="208"/>
      <c r="AD776" s="208"/>
      <c r="AE776" s="208"/>
      <c r="AF776" s="208"/>
      <c r="AG776" s="208"/>
      <c r="AH776" s="208"/>
      <c r="AI776" s="100"/>
      <c r="AJ776" s="100"/>
      <c r="AK776" s="100"/>
      <c r="AL776" s="100"/>
      <c r="AM776" s="100"/>
      <c r="AN776" s="100"/>
      <c r="AO776" s="100"/>
    </row>
    <row r="777" ht="14.25" customHeight="1">
      <c r="A777" s="195"/>
      <c r="B777" s="100"/>
      <c r="C777" s="100"/>
      <c r="D777" s="100"/>
      <c r="E777" s="100"/>
      <c r="F777" s="206"/>
      <c r="G777" s="206"/>
      <c r="H777" s="207"/>
      <c r="I777" s="207"/>
      <c r="J777" s="207"/>
      <c r="K777" s="207"/>
      <c r="L777" s="207"/>
      <c r="M777" s="207"/>
      <c r="N777" s="207"/>
      <c r="O777" s="207"/>
      <c r="P777" s="207"/>
      <c r="Q777" s="207"/>
      <c r="R777" s="207"/>
      <c r="S777" s="207"/>
      <c r="T777" s="207"/>
      <c r="U777" s="207"/>
      <c r="V777" s="207"/>
      <c r="W777" s="208"/>
      <c r="X777" s="208"/>
      <c r="Y777" s="208"/>
      <c r="Z777" s="208"/>
      <c r="AA777" s="208"/>
      <c r="AB777" s="208"/>
      <c r="AC777" s="208"/>
      <c r="AD777" s="208"/>
      <c r="AE777" s="208"/>
      <c r="AF777" s="208"/>
      <c r="AG777" s="208"/>
      <c r="AH777" s="208"/>
      <c r="AI777" s="100"/>
      <c r="AJ777" s="100"/>
      <c r="AK777" s="100"/>
      <c r="AL777" s="100"/>
      <c r="AM777" s="100"/>
      <c r="AN777" s="100"/>
      <c r="AO777" s="100"/>
    </row>
    <row r="778" ht="14.25" customHeight="1">
      <c r="A778" s="195"/>
      <c r="B778" s="100"/>
      <c r="C778" s="100"/>
      <c r="D778" s="100"/>
      <c r="E778" s="100"/>
      <c r="F778" s="206"/>
      <c r="G778" s="206"/>
      <c r="H778" s="207"/>
      <c r="I778" s="207"/>
      <c r="J778" s="207"/>
      <c r="K778" s="207"/>
      <c r="L778" s="207"/>
      <c r="M778" s="207"/>
      <c r="N778" s="207"/>
      <c r="O778" s="207"/>
      <c r="P778" s="207"/>
      <c r="Q778" s="207"/>
      <c r="R778" s="207"/>
      <c r="S778" s="207"/>
      <c r="T778" s="207"/>
      <c r="U778" s="207"/>
      <c r="V778" s="207"/>
      <c r="W778" s="208"/>
      <c r="X778" s="208"/>
      <c r="Y778" s="208"/>
      <c r="Z778" s="208"/>
      <c r="AA778" s="208"/>
      <c r="AB778" s="208"/>
      <c r="AC778" s="208"/>
      <c r="AD778" s="208"/>
      <c r="AE778" s="208"/>
      <c r="AF778" s="208"/>
      <c r="AG778" s="208"/>
      <c r="AH778" s="208"/>
      <c r="AI778" s="100"/>
      <c r="AJ778" s="100"/>
      <c r="AK778" s="100"/>
      <c r="AL778" s="100"/>
      <c r="AM778" s="100"/>
      <c r="AN778" s="100"/>
      <c r="AO778" s="100"/>
    </row>
    <row r="779" ht="14.25" customHeight="1">
      <c r="A779" s="195"/>
      <c r="B779" s="100"/>
      <c r="C779" s="100"/>
      <c r="D779" s="100"/>
      <c r="E779" s="100"/>
      <c r="F779" s="206"/>
      <c r="G779" s="206"/>
      <c r="H779" s="207"/>
      <c r="I779" s="207"/>
      <c r="J779" s="207"/>
      <c r="K779" s="207"/>
      <c r="L779" s="207"/>
      <c r="M779" s="207"/>
      <c r="N779" s="207"/>
      <c r="O779" s="207"/>
      <c r="P779" s="207"/>
      <c r="Q779" s="207"/>
      <c r="R779" s="207"/>
      <c r="S779" s="207"/>
      <c r="T779" s="207"/>
      <c r="U779" s="207"/>
      <c r="V779" s="207"/>
      <c r="W779" s="208"/>
      <c r="X779" s="208"/>
      <c r="Y779" s="208"/>
      <c r="Z779" s="208"/>
      <c r="AA779" s="208"/>
      <c r="AB779" s="208"/>
      <c r="AC779" s="208"/>
      <c r="AD779" s="208"/>
      <c r="AE779" s="208"/>
      <c r="AF779" s="208"/>
      <c r="AG779" s="208"/>
      <c r="AH779" s="208"/>
      <c r="AI779" s="100"/>
      <c r="AJ779" s="100"/>
      <c r="AK779" s="100"/>
      <c r="AL779" s="100"/>
      <c r="AM779" s="100"/>
      <c r="AN779" s="100"/>
      <c r="AO779" s="100"/>
    </row>
    <row r="780" ht="14.25" customHeight="1">
      <c r="A780" s="195"/>
      <c r="B780" s="100"/>
      <c r="C780" s="100"/>
      <c r="D780" s="100"/>
      <c r="E780" s="100"/>
      <c r="F780" s="206"/>
      <c r="G780" s="206"/>
      <c r="H780" s="207"/>
      <c r="I780" s="207"/>
      <c r="J780" s="207"/>
      <c r="K780" s="207"/>
      <c r="L780" s="207"/>
      <c r="M780" s="207"/>
      <c r="N780" s="207"/>
      <c r="O780" s="207"/>
      <c r="P780" s="207"/>
      <c r="Q780" s="207"/>
      <c r="R780" s="207"/>
      <c r="S780" s="207"/>
      <c r="T780" s="207"/>
      <c r="U780" s="207"/>
      <c r="V780" s="207"/>
      <c r="W780" s="208"/>
      <c r="X780" s="208"/>
      <c r="Y780" s="208"/>
      <c r="Z780" s="208"/>
      <c r="AA780" s="208"/>
      <c r="AB780" s="208"/>
      <c r="AC780" s="208"/>
      <c r="AD780" s="208"/>
      <c r="AE780" s="208"/>
      <c r="AF780" s="208"/>
      <c r="AG780" s="208"/>
      <c r="AH780" s="208"/>
      <c r="AI780" s="100"/>
      <c r="AJ780" s="100"/>
      <c r="AK780" s="100"/>
      <c r="AL780" s="100"/>
      <c r="AM780" s="100"/>
      <c r="AN780" s="100"/>
      <c r="AO780" s="100"/>
    </row>
    <row r="781" ht="14.25" customHeight="1">
      <c r="A781" s="195"/>
      <c r="B781" s="100"/>
      <c r="C781" s="100"/>
      <c r="D781" s="100"/>
      <c r="E781" s="100"/>
      <c r="F781" s="206"/>
      <c r="G781" s="206"/>
      <c r="H781" s="207"/>
      <c r="I781" s="207"/>
      <c r="J781" s="207"/>
      <c r="K781" s="207"/>
      <c r="L781" s="207"/>
      <c r="M781" s="207"/>
      <c r="N781" s="207"/>
      <c r="O781" s="207"/>
      <c r="P781" s="207"/>
      <c r="Q781" s="207"/>
      <c r="R781" s="207"/>
      <c r="S781" s="207"/>
      <c r="T781" s="207"/>
      <c r="U781" s="207"/>
      <c r="V781" s="207"/>
      <c r="W781" s="208"/>
      <c r="X781" s="208"/>
      <c r="Y781" s="208"/>
      <c r="Z781" s="208"/>
      <c r="AA781" s="208"/>
      <c r="AB781" s="208"/>
      <c r="AC781" s="208"/>
      <c r="AD781" s="208"/>
      <c r="AE781" s="208"/>
      <c r="AF781" s="208"/>
      <c r="AG781" s="208"/>
      <c r="AH781" s="208"/>
      <c r="AI781" s="100"/>
      <c r="AJ781" s="100"/>
      <c r="AK781" s="100"/>
      <c r="AL781" s="100"/>
      <c r="AM781" s="100"/>
      <c r="AN781" s="100"/>
      <c r="AO781" s="100"/>
    </row>
    <row r="782" ht="14.25" customHeight="1">
      <c r="A782" s="195"/>
      <c r="B782" s="100"/>
      <c r="C782" s="100"/>
      <c r="D782" s="100"/>
      <c r="E782" s="100"/>
      <c r="F782" s="206"/>
      <c r="G782" s="206"/>
      <c r="H782" s="207"/>
      <c r="I782" s="207"/>
      <c r="J782" s="207"/>
      <c r="K782" s="207"/>
      <c r="L782" s="207"/>
      <c r="M782" s="207"/>
      <c r="N782" s="207"/>
      <c r="O782" s="207"/>
      <c r="P782" s="207"/>
      <c r="Q782" s="207"/>
      <c r="R782" s="207"/>
      <c r="S782" s="207"/>
      <c r="T782" s="207"/>
      <c r="U782" s="207"/>
      <c r="V782" s="207"/>
      <c r="W782" s="208"/>
      <c r="X782" s="208"/>
      <c r="Y782" s="208"/>
      <c r="Z782" s="208"/>
      <c r="AA782" s="208"/>
      <c r="AB782" s="208"/>
      <c r="AC782" s="208"/>
      <c r="AD782" s="208"/>
      <c r="AE782" s="208"/>
      <c r="AF782" s="208"/>
      <c r="AG782" s="208"/>
      <c r="AH782" s="208"/>
      <c r="AI782" s="100"/>
      <c r="AJ782" s="100"/>
      <c r="AK782" s="100"/>
      <c r="AL782" s="100"/>
      <c r="AM782" s="100"/>
      <c r="AN782" s="100"/>
      <c r="AO782" s="100"/>
    </row>
    <row r="783" ht="14.25" customHeight="1">
      <c r="A783" s="195"/>
      <c r="B783" s="100"/>
      <c r="C783" s="100"/>
      <c r="D783" s="100"/>
      <c r="E783" s="100"/>
      <c r="F783" s="206"/>
      <c r="G783" s="206"/>
      <c r="H783" s="207"/>
      <c r="I783" s="207"/>
      <c r="J783" s="207"/>
      <c r="K783" s="207"/>
      <c r="L783" s="207"/>
      <c r="M783" s="207"/>
      <c r="N783" s="207"/>
      <c r="O783" s="207"/>
      <c r="P783" s="207"/>
      <c r="Q783" s="207"/>
      <c r="R783" s="207"/>
      <c r="S783" s="207"/>
      <c r="T783" s="207"/>
      <c r="U783" s="207"/>
      <c r="V783" s="207"/>
      <c r="W783" s="208"/>
      <c r="X783" s="208"/>
      <c r="Y783" s="208"/>
      <c r="Z783" s="208"/>
      <c r="AA783" s="208"/>
      <c r="AB783" s="208"/>
      <c r="AC783" s="208"/>
      <c r="AD783" s="208"/>
      <c r="AE783" s="208"/>
      <c r="AF783" s="208"/>
      <c r="AG783" s="208"/>
      <c r="AH783" s="208"/>
      <c r="AI783" s="100"/>
      <c r="AJ783" s="100"/>
      <c r="AK783" s="100"/>
      <c r="AL783" s="100"/>
      <c r="AM783" s="100"/>
      <c r="AN783" s="100"/>
      <c r="AO783" s="100"/>
    </row>
    <row r="784" ht="14.25" customHeight="1">
      <c r="A784" s="195"/>
      <c r="B784" s="100"/>
      <c r="C784" s="100"/>
      <c r="D784" s="100"/>
      <c r="E784" s="100"/>
      <c r="F784" s="206"/>
      <c r="G784" s="206"/>
      <c r="H784" s="207"/>
      <c r="I784" s="207"/>
      <c r="J784" s="207"/>
      <c r="K784" s="207"/>
      <c r="L784" s="207"/>
      <c r="M784" s="207"/>
      <c r="N784" s="207"/>
      <c r="O784" s="207"/>
      <c r="P784" s="207"/>
      <c r="Q784" s="207"/>
      <c r="R784" s="207"/>
      <c r="S784" s="207"/>
      <c r="T784" s="207"/>
      <c r="U784" s="207"/>
      <c r="V784" s="207"/>
      <c r="W784" s="208"/>
      <c r="X784" s="208"/>
      <c r="Y784" s="208"/>
      <c r="Z784" s="208"/>
      <c r="AA784" s="208"/>
      <c r="AB784" s="208"/>
      <c r="AC784" s="208"/>
      <c r="AD784" s="208"/>
      <c r="AE784" s="208"/>
      <c r="AF784" s="208"/>
      <c r="AG784" s="208"/>
      <c r="AH784" s="208"/>
      <c r="AI784" s="100"/>
      <c r="AJ784" s="100"/>
      <c r="AK784" s="100"/>
      <c r="AL784" s="100"/>
      <c r="AM784" s="100"/>
      <c r="AN784" s="100"/>
      <c r="AO784" s="100"/>
    </row>
    <row r="785" ht="14.25" customHeight="1">
      <c r="A785" s="195"/>
      <c r="B785" s="100"/>
      <c r="C785" s="100"/>
      <c r="D785" s="100"/>
      <c r="E785" s="100"/>
      <c r="F785" s="206"/>
      <c r="G785" s="206"/>
      <c r="H785" s="207"/>
      <c r="I785" s="207"/>
      <c r="J785" s="207"/>
      <c r="K785" s="207"/>
      <c r="L785" s="207"/>
      <c r="M785" s="207"/>
      <c r="N785" s="207"/>
      <c r="O785" s="207"/>
      <c r="P785" s="207"/>
      <c r="Q785" s="207"/>
      <c r="R785" s="207"/>
      <c r="S785" s="207"/>
      <c r="T785" s="207"/>
      <c r="U785" s="207"/>
      <c r="V785" s="207"/>
      <c r="W785" s="208"/>
      <c r="X785" s="208"/>
      <c r="Y785" s="208"/>
      <c r="Z785" s="208"/>
      <c r="AA785" s="208"/>
      <c r="AB785" s="208"/>
      <c r="AC785" s="208"/>
      <c r="AD785" s="208"/>
      <c r="AE785" s="208"/>
      <c r="AF785" s="208"/>
      <c r="AG785" s="208"/>
      <c r="AH785" s="208"/>
      <c r="AI785" s="100"/>
      <c r="AJ785" s="100"/>
      <c r="AK785" s="100"/>
      <c r="AL785" s="100"/>
      <c r="AM785" s="100"/>
      <c r="AN785" s="100"/>
      <c r="AO785" s="100"/>
    </row>
    <row r="786" ht="14.25" customHeight="1">
      <c r="A786" s="195"/>
      <c r="B786" s="100"/>
      <c r="C786" s="100"/>
      <c r="D786" s="100"/>
      <c r="E786" s="100"/>
      <c r="F786" s="206"/>
      <c r="G786" s="206"/>
      <c r="H786" s="207"/>
      <c r="I786" s="207"/>
      <c r="J786" s="207"/>
      <c r="K786" s="207"/>
      <c r="L786" s="207"/>
      <c r="M786" s="207"/>
      <c r="N786" s="207"/>
      <c r="O786" s="207"/>
      <c r="P786" s="207"/>
      <c r="Q786" s="207"/>
      <c r="R786" s="207"/>
      <c r="S786" s="207"/>
      <c r="T786" s="207"/>
      <c r="U786" s="207"/>
      <c r="V786" s="207"/>
      <c r="W786" s="208"/>
      <c r="X786" s="208"/>
      <c r="Y786" s="208"/>
      <c r="Z786" s="208"/>
      <c r="AA786" s="208"/>
      <c r="AB786" s="208"/>
      <c r="AC786" s="208"/>
      <c r="AD786" s="208"/>
      <c r="AE786" s="208"/>
      <c r="AF786" s="208"/>
      <c r="AG786" s="208"/>
      <c r="AH786" s="208"/>
      <c r="AI786" s="100"/>
      <c r="AJ786" s="100"/>
      <c r="AK786" s="100"/>
      <c r="AL786" s="100"/>
      <c r="AM786" s="100"/>
      <c r="AN786" s="100"/>
      <c r="AO786" s="100"/>
    </row>
    <row r="787" ht="14.25" customHeight="1">
      <c r="A787" s="195"/>
      <c r="B787" s="100"/>
      <c r="C787" s="100"/>
      <c r="D787" s="100"/>
      <c r="E787" s="100"/>
      <c r="F787" s="206"/>
      <c r="G787" s="206"/>
      <c r="H787" s="207"/>
      <c r="I787" s="207"/>
      <c r="J787" s="207"/>
      <c r="K787" s="207"/>
      <c r="L787" s="207"/>
      <c r="M787" s="207"/>
      <c r="N787" s="207"/>
      <c r="O787" s="207"/>
      <c r="P787" s="207"/>
      <c r="Q787" s="207"/>
      <c r="R787" s="207"/>
      <c r="S787" s="207"/>
      <c r="T787" s="207"/>
      <c r="U787" s="207"/>
      <c r="V787" s="207"/>
      <c r="W787" s="208"/>
      <c r="X787" s="208"/>
      <c r="Y787" s="208"/>
      <c r="Z787" s="208"/>
      <c r="AA787" s="208"/>
      <c r="AB787" s="208"/>
      <c r="AC787" s="208"/>
      <c r="AD787" s="208"/>
      <c r="AE787" s="208"/>
      <c r="AF787" s="208"/>
      <c r="AG787" s="208"/>
      <c r="AH787" s="208"/>
      <c r="AI787" s="100"/>
      <c r="AJ787" s="100"/>
      <c r="AK787" s="100"/>
      <c r="AL787" s="100"/>
      <c r="AM787" s="100"/>
      <c r="AN787" s="100"/>
      <c r="AO787" s="100"/>
    </row>
    <row r="788" ht="14.25" customHeight="1">
      <c r="A788" s="195"/>
      <c r="B788" s="100"/>
      <c r="C788" s="100"/>
      <c r="D788" s="100"/>
      <c r="E788" s="100"/>
      <c r="F788" s="206"/>
      <c r="G788" s="206"/>
      <c r="H788" s="207"/>
      <c r="I788" s="207"/>
      <c r="J788" s="207"/>
      <c r="K788" s="207"/>
      <c r="L788" s="207"/>
      <c r="M788" s="207"/>
      <c r="N788" s="207"/>
      <c r="O788" s="207"/>
      <c r="P788" s="207"/>
      <c r="Q788" s="207"/>
      <c r="R788" s="207"/>
      <c r="S788" s="207"/>
      <c r="T788" s="207"/>
      <c r="U788" s="207"/>
      <c r="V788" s="207"/>
      <c r="W788" s="208"/>
      <c r="X788" s="208"/>
      <c r="Y788" s="208"/>
      <c r="Z788" s="208"/>
      <c r="AA788" s="208"/>
      <c r="AB788" s="208"/>
      <c r="AC788" s="208"/>
      <c r="AD788" s="208"/>
      <c r="AE788" s="208"/>
      <c r="AF788" s="208"/>
      <c r="AG788" s="208"/>
      <c r="AH788" s="208"/>
      <c r="AI788" s="100"/>
      <c r="AJ788" s="100"/>
      <c r="AK788" s="100"/>
      <c r="AL788" s="100"/>
      <c r="AM788" s="100"/>
      <c r="AN788" s="100"/>
      <c r="AO788" s="100"/>
    </row>
    <row r="789" ht="14.25" customHeight="1">
      <c r="A789" s="195"/>
      <c r="B789" s="100"/>
      <c r="C789" s="100"/>
      <c r="D789" s="100"/>
      <c r="E789" s="100"/>
      <c r="F789" s="206"/>
      <c r="G789" s="206"/>
      <c r="H789" s="207"/>
      <c r="I789" s="207"/>
      <c r="J789" s="207"/>
      <c r="K789" s="207"/>
      <c r="L789" s="207"/>
      <c r="M789" s="207"/>
      <c r="N789" s="207"/>
      <c r="O789" s="207"/>
      <c r="P789" s="207"/>
      <c r="Q789" s="207"/>
      <c r="R789" s="207"/>
      <c r="S789" s="207"/>
      <c r="T789" s="207"/>
      <c r="U789" s="207"/>
      <c r="V789" s="207"/>
      <c r="W789" s="208"/>
      <c r="X789" s="208"/>
      <c r="Y789" s="208"/>
      <c r="Z789" s="208"/>
      <c r="AA789" s="208"/>
      <c r="AB789" s="208"/>
      <c r="AC789" s="208"/>
      <c r="AD789" s="208"/>
      <c r="AE789" s="208"/>
      <c r="AF789" s="208"/>
      <c r="AG789" s="208"/>
      <c r="AH789" s="208"/>
      <c r="AI789" s="100"/>
      <c r="AJ789" s="100"/>
      <c r="AK789" s="100"/>
      <c r="AL789" s="100"/>
      <c r="AM789" s="100"/>
      <c r="AN789" s="100"/>
      <c r="AO789" s="100"/>
    </row>
    <row r="790" ht="14.25" customHeight="1">
      <c r="A790" s="195"/>
      <c r="B790" s="100"/>
      <c r="C790" s="100"/>
      <c r="D790" s="100"/>
      <c r="E790" s="100"/>
      <c r="F790" s="206"/>
      <c r="G790" s="206"/>
      <c r="H790" s="207"/>
      <c r="I790" s="207"/>
      <c r="J790" s="207"/>
      <c r="K790" s="207"/>
      <c r="L790" s="207"/>
      <c r="M790" s="207"/>
      <c r="N790" s="207"/>
      <c r="O790" s="207"/>
      <c r="P790" s="207"/>
      <c r="Q790" s="207"/>
      <c r="R790" s="207"/>
      <c r="S790" s="207"/>
      <c r="T790" s="207"/>
      <c r="U790" s="207"/>
      <c r="V790" s="207"/>
      <c r="W790" s="208"/>
      <c r="X790" s="208"/>
      <c r="Y790" s="208"/>
      <c r="Z790" s="208"/>
      <c r="AA790" s="208"/>
      <c r="AB790" s="208"/>
      <c r="AC790" s="208"/>
      <c r="AD790" s="208"/>
      <c r="AE790" s="208"/>
      <c r="AF790" s="208"/>
      <c r="AG790" s="208"/>
      <c r="AH790" s="208"/>
      <c r="AI790" s="100"/>
      <c r="AJ790" s="100"/>
      <c r="AK790" s="100"/>
      <c r="AL790" s="100"/>
      <c r="AM790" s="100"/>
      <c r="AN790" s="100"/>
      <c r="AO790" s="100"/>
    </row>
    <row r="791" ht="14.25" customHeight="1">
      <c r="A791" s="195"/>
      <c r="B791" s="100"/>
      <c r="C791" s="100"/>
      <c r="D791" s="100"/>
      <c r="E791" s="100"/>
      <c r="F791" s="206"/>
      <c r="G791" s="206"/>
      <c r="H791" s="207"/>
      <c r="I791" s="207"/>
      <c r="J791" s="207"/>
      <c r="K791" s="207"/>
      <c r="L791" s="207"/>
      <c r="M791" s="207"/>
      <c r="N791" s="207"/>
      <c r="O791" s="207"/>
      <c r="P791" s="207"/>
      <c r="Q791" s="207"/>
      <c r="R791" s="207"/>
      <c r="S791" s="207"/>
      <c r="T791" s="207"/>
      <c r="U791" s="207"/>
      <c r="V791" s="207"/>
      <c r="W791" s="208"/>
      <c r="X791" s="208"/>
      <c r="Y791" s="208"/>
      <c r="Z791" s="208"/>
      <c r="AA791" s="208"/>
      <c r="AB791" s="208"/>
      <c r="AC791" s="208"/>
      <c r="AD791" s="208"/>
      <c r="AE791" s="208"/>
      <c r="AF791" s="208"/>
      <c r="AG791" s="208"/>
      <c r="AH791" s="208"/>
      <c r="AI791" s="100"/>
      <c r="AJ791" s="100"/>
      <c r="AK791" s="100"/>
      <c r="AL791" s="100"/>
      <c r="AM791" s="100"/>
      <c r="AN791" s="100"/>
      <c r="AO791" s="100"/>
    </row>
    <row r="792" ht="14.25" customHeight="1">
      <c r="A792" s="195"/>
      <c r="B792" s="100"/>
      <c r="C792" s="100"/>
      <c r="D792" s="100"/>
      <c r="E792" s="100"/>
      <c r="F792" s="206"/>
      <c r="G792" s="206"/>
      <c r="H792" s="207"/>
      <c r="I792" s="207"/>
      <c r="J792" s="207"/>
      <c r="K792" s="207"/>
      <c r="L792" s="207"/>
      <c r="M792" s="207"/>
      <c r="N792" s="207"/>
      <c r="O792" s="207"/>
      <c r="P792" s="207"/>
      <c r="Q792" s="207"/>
      <c r="R792" s="207"/>
      <c r="S792" s="207"/>
      <c r="T792" s="207"/>
      <c r="U792" s="207"/>
      <c r="V792" s="207"/>
      <c r="W792" s="208"/>
      <c r="X792" s="208"/>
      <c r="Y792" s="208"/>
      <c r="Z792" s="208"/>
      <c r="AA792" s="208"/>
      <c r="AB792" s="208"/>
      <c r="AC792" s="208"/>
      <c r="AD792" s="208"/>
      <c r="AE792" s="208"/>
      <c r="AF792" s="208"/>
      <c r="AG792" s="208"/>
      <c r="AH792" s="208"/>
      <c r="AI792" s="100"/>
      <c r="AJ792" s="100"/>
      <c r="AK792" s="100"/>
      <c r="AL792" s="100"/>
      <c r="AM792" s="100"/>
      <c r="AN792" s="100"/>
      <c r="AO792" s="100"/>
    </row>
    <row r="793" ht="14.25" customHeight="1">
      <c r="A793" s="195"/>
      <c r="B793" s="100"/>
      <c r="C793" s="100"/>
      <c r="D793" s="100"/>
      <c r="E793" s="100"/>
      <c r="F793" s="206"/>
      <c r="G793" s="206"/>
      <c r="H793" s="207"/>
      <c r="I793" s="207"/>
      <c r="J793" s="207"/>
      <c r="K793" s="207"/>
      <c r="L793" s="207"/>
      <c r="M793" s="207"/>
      <c r="N793" s="207"/>
      <c r="O793" s="207"/>
      <c r="P793" s="207"/>
      <c r="Q793" s="207"/>
      <c r="R793" s="207"/>
      <c r="S793" s="207"/>
      <c r="T793" s="207"/>
      <c r="U793" s="207"/>
      <c r="V793" s="207"/>
      <c r="W793" s="208"/>
      <c r="X793" s="208"/>
      <c r="Y793" s="208"/>
      <c r="Z793" s="208"/>
      <c r="AA793" s="208"/>
      <c r="AB793" s="208"/>
      <c r="AC793" s="208"/>
      <c r="AD793" s="208"/>
      <c r="AE793" s="208"/>
      <c r="AF793" s="208"/>
      <c r="AG793" s="208"/>
      <c r="AH793" s="208"/>
      <c r="AI793" s="100"/>
      <c r="AJ793" s="100"/>
      <c r="AK793" s="100"/>
      <c r="AL793" s="100"/>
      <c r="AM793" s="100"/>
      <c r="AN793" s="100"/>
      <c r="AO793" s="100"/>
    </row>
    <row r="794" ht="14.25" customHeight="1">
      <c r="A794" s="195"/>
      <c r="B794" s="100"/>
      <c r="C794" s="100"/>
      <c r="D794" s="100"/>
      <c r="E794" s="100"/>
      <c r="F794" s="206"/>
      <c r="G794" s="206"/>
      <c r="H794" s="207"/>
      <c r="I794" s="207"/>
      <c r="J794" s="207"/>
      <c r="K794" s="207"/>
      <c r="L794" s="207"/>
      <c r="M794" s="207"/>
      <c r="N794" s="207"/>
      <c r="O794" s="207"/>
      <c r="P794" s="207"/>
      <c r="Q794" s="207"/>
      <c r="R794" s="207"/>
      <c r="S794" s="207"/>
      <c r="T794" s="207"/>
      <c r="U794" s="207"/>
      <c r="V794" s="207"/>
      <c r="W794" s="208"/>
      <c r="X794" s="208"/>
      <c r="Y794" s="208"/>
      <c r="Z794" s="208"/>
      <c r="AA794" s="208"/>
      <c r="AB794" s="208"/>
      <c r="AC794" s="208"/>
      <c r="AD794" s="208"/>
      <c r="AE794" s="208"/>
      <c r="AF794" s="208"/>
      <c r="AG794" s="208"/>
      <c r="AH794" s="208"/>
      <c r="AI794" s="100"/>
      <c r="AJ794" s="100"/>
      <c r="AK794" s="100"/>
      <c r="AL794" s="100"/>
      <c r="AM794" s="100"/>
      <c r="AN794" s="100"/>
      <c r="AO794" s="100"/>
    </row>
    <row r="795" ht="14.25" customHeight="1">
      <c r="A795" s="195"/>
      <c r="B795" s="100"/>
      <c r="C795" s="100"/>
      <c r="D795" s="100"/>
      <c r="E795" s="100"/>
      <c r="F795" s="206"/>
      <c r="G795" s="206"/>
      <c r="H795" s="207"/>
      <c r="I795" s="207"/>
      <c r="J795" s="207"/>
      <c r="K795" s="207"/>
      <c r="L795" s="207"/>
      <c r="M795" s="207"/>
      <c r="N795" s="207"/>
      <c r="O795" s="207"/>
      <c r="P795" s="207"/>
      <c r="Q795" s="207"/>
      <c r="R795" s="207"/>
      <c r="S795" s="207"/>
      <c r="T795" s="207"/>
      <c r="U795" s="207"/>
      <c r="V795" s="207"/>
      <c r="W795" s="208"/>
      <c r="X795" s="208"/>
      <c r="Y795" s="208"/>
      <c r="Z795" s="208"/>
      <c r="AA795" s="208"/>
      <c r="AB795" s="208"/>
      <c r="AC795" s="208"/>
      <c r="AD795" s="208"/>
      <c r="AE795" s="208"/>
      <c r="AF795" s="208"/>
      <c r="AG795" s="208"/>
      <c r="AH795" s="208"/>
      <c r="AI795" s="100"/>
      <c r="AJ795" s="100"/>
      <c r="AK795" s="100"/>
      <c r="AL795" s="100"/>
      <c r="AM795" s="100"/>
      <c r="AN795" s="100"/>
      <c r="AO795" s="100"/>
    </row>
    <row r="796" ht="14.25" customHeight="1">
      <c r="A796" s="195"/>
      <c r="B796" s="100"/>
      <c r="C796" s="100"/>
      <c r="D796" s="100"/>
      <c r="E796" s="100"/>
      <c r="F796" s="206"/>
      <c r="G796" s="206"/>
      <c r="H796" s="207"/>
      <c r="I796" s="207"/>
      <c r="J796" s="207"/>
      <c r="K796" s="207"/>
      <c r="L796" s="207"/>
      <c r="M796" s="207"/>
      <c r="N796" s="207"/>
      <c r="O796" s="207"/>
      <c r="P796" s="207"/>
      <c r="Q796" s="207"/>
      <c r="R796" s="207"/>
      <c r="S796" s="207"/>
      <c r="T796" s="207"/>
      <c r="U796" s="207"/>
      <c r="V796" s="207"/>
      <c r="W796" s="208"/>
      <c r="X796" s="208"/>
      <c r="Y796" s="208"/>
      <c r="Z796" s="208"/>
      <c r="AA796" s="208"/>
      <c r="AB796" s="208"/>
      <c r="AC796" s="208"/>
      <c r="AD796" s="208"/>
      <c r="AE796" s="208"/>
      <c r="AF796" s="208"/>
      <c r="AG796" s="208"/>
      <c r="AH796" s="208"/>
      <c r="AI796" s="100"/>
      <c r="AJ796" s="100"/>
      <c r="AK796" s="100"/>
      <c r="AL796" s="100"/>
      <c r="AM796" s="100"/>
      <c r="AN796" s="100"/>
      <c r="AO796" s="100"/>
    </row>
    <row r="797" ht="14.25" customHeight="1">
      <c r="A797" s="195"/>
      <c r="B797" s="100"/>
      <c r="C797" s="100"/>
      <c r="D797" s="100"/>
      <c r="E797" s="100"/>
      <c r="F797" s="206"/>
      <c r="G797" s="206"/>
      <c r="H797" s="207"/>
      <c r="I797" s="207"/>
      <c r="J797" s="207"/>
      <c r="K797" s="207"/>
      <c r="L797" s="207"/>
      <c r="M797" s="207"/>
      <c r="N797" s="207"/>
      <c r="O797" s="207"/>
      <c r="P797" s="207"/>
      <c r="Q797" s="207"/>
      <c r="R797" s="207"/>
      <c r="S797" s="207"/>
      <c r="T797" s="207"/>
      <c r="U797" s="207"/>
      <c r="V797" s="207"/>
      <c r="W797" s="208"/>
      <c r="X797" s="208"/>
      <c r="Y797" s="208"/>
      <c r="Z797" s="208"/>
      <c r="AA797" s="208"/>
      <c r="AB797" s="208"/>
      <c r="AC797" s="208"/>
      <c r="AD797" s="208"/>
      <c r="AE797" s="208"/>
      <c r="AF797" s="208"/>
      <c r="AG797" s="208"/>
      <c r="AH797" s="208"/>
      <c r="AI797" s="100"/>
      <c r="AJ797" s="100"/>
      <c r="AK797" s="100"/>
      <c r="AL797" s="100"/>
      <c r="AM797" s="100"/>
      <c r="AN797" s="100"/>
      <c r="AO797" s="100"/>
    </row>
    <row r="798" ht="14.25" customHeight="1">
      <c r="A798" s="195"/>
      <c r="B798" s="100"/>
      <c r="C798" s="100"/>
      <c r="D798" s="100"/>
      <c r="E798" s="100"/>
      <c r="F798" s="206"/>
      <c r="G798" s="206"/>
      <c r="H798" s="207"/>
      <c r="I798" s="207"/>
      <c r="J798" s="207"/>
      <c r="K798" s="207"/>
      <c r="L798" s="207"/>
      <c r="M798" s="207"/>
      <c r="N798" s="207"/>
      <c r="O798" s="207"/>
      <c r="P798" s="207"/>
      <c r="Q798" s="207"/>
      <c r="R798" s="207"/>
      <c r="S798" s="207"/>
      <c r="T798" s="207"/>
      <c r="U798" s="207"/>
      <c r="V798" s="207"/>
      <c r="W798" s="208"/>
      <c r="X798" s="208"/>
      <c r="Y798" s="208"/>
      <c r="Z798" s="208"/>
      <c r="AA798" s="208"/>
      <c r="AB798" s="208"/>
      <c r="AC798" s="208"/>
      <c r="AD798" s="208"/>
      <c r="AE798" s="208"/>
      <c r="AF798" s="208"/>
      <c r="AG798" s="208"/>
      <c r="AH798" s="208"/>
      <c r="AI798" s="100"/>
      <c r="AJ798" s="100"/>
      <c r="AK798" s="100"/>
      <c r="AL798" s="100"/>
      <c r="AM798" s="100"/>
      <c r="AN798" s="100"/>
      <c r="AO798" s="100"/>
    </row>
    <row r="799" ht="14.25" customHeight="1">
      <c r="A799" s="195"/>
      <c r="B799" s="100"/>
      <c r="C799" s="100"/>
      <c r="D799" s="100"/>
      <c r="E799" s="100"/>
      <c r="F799" s="206"/>
      <c r="G799" s="206"/>
      <c r="H799" s="207"/>
      <c r="I799" s="207"/>
      <c r="J799" s="207"/>
      <c r="K799" s="207"/>
      <c r="L799" s="207"/>
      <c r="M799" s="207"/>
      <c r="N799" s="207"/>
      <c r="O799" s="207"/>
      <c r="P799" s="207"/>
      <c r="Q799" s="207"/>
      <c r="R799" s="207"/>
      <c r="S799" s="207"/>
      <c r="T799" s="207"/>
      <c r="U799" s="207"/>
      <c r="V799" s="207"/>
      <c r="W799" s="208"/>
      <c r="X799" s="208"/>
      <c r="Y799" s="208"/>
      <c r="Z799" s="208"/>
      <c r="AA799" s="208"/>
      <c r="AB799" s="208"/>
      <c r="AC799" s="208"/>
      <c r="AD799" s="208"/>
      <c r="AE799" s="208"/>
      <c r="AF799" s="208"/>
      <c r="AG799" s="208"/>
      <c r="AH799" s="208"/>
      <c r="AI799" s="100"/>
      <c r="AJ799" s="100"/>
      <c r="AK799" s="100"/>
      <c r="AL799" s="100"/>
      <c r="AM799" s="100"/>
      <c r="AN799" s="100"/>
      <c r="AO799" s="100"/>
    </row>
    <row r="800" ht="14.25" customHeight="1">
      <c r="A800" s="195"/>
      <c r="B800" s="100"/>
      <c r="C800" s="100"/>
      <c r="D800" s="100"/>
      <c r="E800" s="100"/>
      <c r="F800" s="206"/>
      <c r="G800" s="206"/>
      <c r="H800" s="207"/>
      <c r="I800" s="207"/>
      <c r="J800" s="207"/>
      <c r="K800" s="207"/>
      <c r="L800" s="207"/>
      <c r="M800" s="207"/>
      <c r="N800" s="207"/>
      <c r="O800" s="207"/>
      <c r="P800" s="207"/>
      <c r="Q800" s="207"/>
      <c r="R800" s="207"/>
      <c r="S800" s="207"/>
      <c r="T800" s="207"/>
      <c r="U800" s="207"/>
      <c r="V800" s="207"/>
      <c r="W800" s="208"/>
      <c r="X800" s="208"/>
      <c r="Y800" s="208"/>
      <c r="Z800" s="208"/>
      <c r="AA800" s="208"/>
      <c r="AB800" s="208"/>
      <c r="AC800" s="208"/>
      <c r="AD800" s="208"/>
      <c r="AE800" s="208"/>
      <c r="AF800" s="208"/>
      <c r="AG800" s="208"/>
      <c r="AH800" s="208"/>
      <c r="AI800" s="100"/>
      <c r="AJ800" s="100"/>
      <c r="AK800" s="100"/>
      <c r="AL800" s="100"/>
      <c r="AM800" s="100"/>
      <c r="AN800" s="100"/>
      <c r="AO800" s="100"/>
    </row>
    <row r="801" ht="14.25" customHeight="1">
      <c r="A801" s="195"/>
      <c r="B801" s="100"/>
      <c r="C801" s="100"/>
      <c r="D801" s="100"/>
      <c r="E801" s="100"/>
      <c r="F801" s="206"/>
      <c r="G801" s="206"/>
      <c r="H801" s="207"/>
      <c r="I801" s="207"/>
      <c r="J801" s="207"/>
      <c r="K801" s="207"/>
      <c r="L801" s="207"/>
      <c r="M801" s="207"/>
      <c r="N801" s="207"/>
      <c r="O801" s="207"/>
      <c r="P801" s="207"/>
      <c r="Q801" s="207"/>
      <c r="R801" s="207"/>
      <c r="S801" s="207"/>
      <c r="T801" s="207"/>
      <c r="U801" s="207"/>
      <c r="V801" s="207"/>
      <c r="W801" s="208"/>
      <c r="X801" s="208"/>
      <c r="Y801" s="208"/>
      <c r="Z801" s="208"/>
      <c r="AA801" s="208"/>
      <c r="AB801" s="208"/>
      <c r="AC801" s="208"/>
      <c r="AD801" s="208"/>
      <c r="AE801" s="208"/>
      <c r="AF801" s="208"/>
      <c r="AG801" s="208"/>
      <c r="AH801" s="208"/>
      <c r="AI801" s="100"/>
      <c r="AJ801" s="100"/>
      <c r="AK801" s="100"/>
      <c r="AL801" s="100"/>
      <c r="AM801" s="100"/>
      <c r="AN801" s="100"/>
      <c r="AO801" s="100"/>
    </row>
    <row r="802" ht="14.25" customHeight="1">
      <c r="A802" s="195"/>
      <c r="B802" s="100"/>
      <c r="C802" s="100"/>
      <c r="D802" s="100"/>
      <c r="E802" s="100"/>
      <c r="F802" s="206"/>
      <c r="G802" s="206"/>
      <c r="H802" s="207"/>
      <c r="I802" s="207"/>
      <c r="J802" s="207"/>
      <c r="K802" s="207"/>
      <c r="L802" s="207"/>
      <c r="M802" s="207"/>
      <c r="N802" s="207"/>
      <c r="O802" s="207"/>
      <c r="P802" s="207"/>
      <c r="Q802" s="207"/>
      <c r="R802" s="207"/>
      <c r="S802" s="207"/>
      <c r="T802" s="207"/>
      <c r="U802" s="207"/>
      <c r="V802" s="207"/>
      <c r="W802" s="208"/>
      <c r="X802" s="208"/>
      <c r="Y802" s="208"/>
      <c r="Z802" s="208"/>
      <c r="AA802" s="208"/>
      <c r="AB802" s="208"/>
      <c r="AC802" s="208"/>
      <c r="AD802" s="208"/>
      <c r="AE802" s="208"/>
      <c r="AF802" s="208"/>
      <c r="AG802" s="208"/>
      <c r="AH802" s="208"/>
      <c r="AI802" s="100"/>
      <c r="AJ802" s="100"/>
      <c r="AK802" s="100"/>
      <c r="AL802" s="100"/>
      <c r="AM802" s="100"/>
      <c r="AN802" s="100"/>
      <c r="AO802" s="100"/>
    </row>
    <row r="803" ht="14.25" customHeight="1">
      <c r="A803" s="195"/>
      <c r="B803" s="100"/>
      <c r="C803" s="100"/>
      <c r="D803" s="100"/>
      <c r="E803" s="100"/>
      <c r="F803" s="206"/>
      <c r="G803" s="206"/>
      <c r="H803" s="207"/>
      <c r="I803" s="207"/>
      <c r="J803" s="207"/>
      <c r="K803" s="207"/>
      <c r="L803" s="207"/>
      <c r="M803" s="207"/>
      <c r="N803" s="207"/>
      <c r="O803" s="207"/>
      <c r="P803" s="207"/>
      <c r="Q803" s="207"/>
      <c r="R803" s="207"/>
      <c r="S803" s="207"/>
      <c r="T803" s="207"/>
      <c r="U803" s="207"/>
      <c r="V803" s="207"/>
      <c r="W803" s="208"/>
      <c r="X803" s="208"/>
      <c r="Y803" s="208"/>
      <c r="Z803" s="208"/>
      <c r="AA803" s="208"/>
      <c r="AB803" s="208"/>
      <c r="AC803" s="208"/>
      <c r="AD803" s="208"/>
      <c r="AE803" s="208"/>
      <c r="AF803" s="208"/>
      <c r="AG803" s="208"/>
      <c r="AH803" s="208"/>
      <c r="AI803" s="100"/>
      <c r="AJ803" s="100"/>
      <c r="AK803" s="100"/>
      <c r="AL803" s="100"/>
      <c r="AM803" s="100"/>
      <c r="AN803" s="100"/>
      <c r="AO803" s="100"/>
    </row>
    <row r="804" ht="14.25" customHeight="1">
      <c r="A804" s="195"/>
      <c r="B804" s="100"/>
      <c r="C804" s="100"/>
      <c r="D804" s="100"/>
      <c r="E804" s="100"/>
      <c r="F804" s="206"/>
      <c r="G804" s="206"/>
      <c r="H804" s="207"/>
      <c r="I804" s="207"/>
      <c r="J804" s="207"/>
      <c r="K804" s="207"/>
      <c r="L804" s="207"/>
      <c r="M804" s="207"/>
      <c r="N804" s="207"/>
      <c r="O804" s="207"/>
      <c r="P804" s="207"/>
      <c r="Q804" s="207"/>
      <c r="R804" s="207"/>
      <c r="S804" s="207"/>
      <c r="T804" s="207"/>
      <c r="U804" s="207"/>
      <c r="V804" s="207"/>
      <c r="W804" s="208"/>
      <c r="X804" s="208"/>
      <c r="Y804" s="208"/>
      <c r="Z804" s="208"/>
      <c r="AA804" s="208"/>
      <c r="AB804" s="208"/>
      <c r="AC804" s="208"/>
      <c r="AD804" s="208"/>
      <c r="AE804" s="208"/>
      <c r="AF804" s="208"/>
      <c r="AG804" s="208"/>
      <c r="AH804" s="208"/>
      <c r="AI804" s="100"/>
      <c r="AJ804" s="100"/>
      <c r="AK804" s="100"/>
      <c r="AL804" s="100"/>
      <c r="AM804" s="100"/>
      <c r="AN804" s="100"/>
      <c r="AO804" s="100"/>
    </row>
    <row r="805" ht="14.25" customHeight="1">
      <c r="A805" s="195"/>
      <c r="B805" s="100"/>
      <c r="C805" s="100"/>
      <c r="D805" s="100"/>
      <c r="E805" s="100"/>
      <c r="F805" s="206"/>
      <c r="G805" s="206"/>
      <c r="H805" s="207"/>
      <c r="I805" s="207"/>
      <c r="J805" s="207"/>
      <c r="K805" s="207"/>
      <c r="L805" s="207"/>
      <c r="M805" s="207"/>
      <c r="N805" s="207"/>
      <c r="O805" s="207"/>
      <c r="P805" s="207"/>
      <c r="Q805" s="207"/>
      <c r="R805" s="207"/>
      <c r="S805" s="207"/>
      <c r="T805" s="207"/>
      <c r="U805" s="207"/>
      <c r="V805" s="207"/>
      <c r="W805" s="208"/>
      <c r="X805" s="208"/>
      <c r="Y805" s="208"/>
      <c r="Z805" s="208"/>
      <c r="AA805" s="208"/>
      <c r="AB805" s="208"/>
      <c r="AC805" s="208"/>
      <c r="AD805" s="208"/>
      <c r="AE805" s="208"/>
      <c r="AF805" s="208"/>
      <c r="AG805" s="208"/>
      <c r="AH805" s="208"/>
      <c r="AI805" s="100"/>
      <c r="AJ805" s="100"/>
      <c r="AK805" s="100"/>
      <c r="AL805" s="100"/>
      <c r="AM805" s="100"/>
      <c r="AN805" s="100"/>
      <c r="AO805" s="100"/>
    </row>
    <row r="806" ht="14.25" customHeight="1">
      <c r="A806" s="195"/>
      <c r="B806" s="100"/>
      <c r="C806" s="100"/>
      <c r="D806" s="100"/>
      <c r="E806" s="100"/>
      <c r="F806" s="206"/>
      <c r="G806" s="206"/>
      <c r="H806" s="207"/>
      <c r="I806" s="207"/>
      <c r="J806" s="207"/>
      <c r="K806" s="207"/>
      <c r="L806" s="207"/>
      <c r="M806" s="207"/>
      <c r="N806" s="207"/>
      <c r="O806" s="207"/>
      <c r="P806" s="207"/>
      <c r="Q806" s="207"/>
      <c r="R806" s="207"/>
      <c r="S806" s="207"/>
      <c r="T806" s="207"/>
      <c r="U806" s="207"/>
      <c r="V806" s="207"/>
      <c r="W806" s="208"/>
      <c r="X806" s="208"/>
      <c r="Y806" s="208"/>
      <c r="Z806" s="208"/>
      <c r="AA806" s="208"/>
      <c r="AB806" s="208"/>
      <c r="AC806" s="208"/>
      <c r="AD806" s="208"/>
      <c r="AE806" s="208"/>
      <c r="AF806" s="208"/>
      <c r="AG806" s="208"/>
      <c r="AH806" s="208"/>
      <c r="AI806" s="100"/>
      <c r="AJ806" s="100"/>
      <c r="AK806" s="100"/>
      <c r="AL806" s="100"/>
      <c r="AM806" s="100"/>
      <c r="AN806" s="100"/>
      <c r="AO806" s="100"/>
    </row>
    <row r="807" ht="14.25" customHeight="1">
      <c r="A807" s="195"/>
      <c r="B807" s="100"/>
      <c r="C807" s="100"/>
      <c r="D807" s="100"/>
      <c r="E807" s="100"/>
      <c r="F807" s="206"/>
      <c r="G807" s="206"/>
      <c r="H807" s="207"/>
      <c r="I807" s="207"/>
      <c r="J807" s="207"/>
      <c r="K807" s="207"/>
      <c r="L807" s="207"/>
      <c r="M807" s="207"/>
      <c r="N807" s="207"/>
      <c r="O807" s="207"/>
      <c r="P807" s="207"/>
      <c r="Q807" s="207"/>
      <c r="R807" s="207"/>
      <c r="S807" s="207"/>
      <c r="T807" s="207"/>
      <c r="U807" s="207"/>
      <c r="V807" s="207"/>
      <c r="W807" s="208"/>
      <c r="X807" s="208"/>
      <c r="Y807" s="208"/>
      <c r="Z807" s="208"/>
      <c r="AA807" s="208"/>
      <c r="AB807" s="208"/>
      <c r="AC807" s="208"/>
      <c r="AD807" s="208"/>
      <c r="AE807" s="208"/>
      <c r="AF807" s="208"/>
      <c r="AG807" s="208"/>
      <c r="AH807" s="208"/>
      <c r="AI807" s="100"/>
      <c r="AJ807" s="100"/>
      <c r="AK807" s="100"/>
      <c r="AL807" s="100"/>
      <c r="AM807" s="100"/>
      <c r="AN807" s="100"/>
      <c r="AO807" s="100"/>
    </row>
    <row r="808" ht="14.25" customHeight="1">
      <c r="A808" s="195"/>
      <c r="B808" s="100"/>
      <c r="C808" s="100"/>
      <c r="D808" s="100"/>
      <c r="E808" s="100"/>
      <c r="F808" s="206"/>
      <c r="G808" s="206"/>
      <c r="H808" s="207"/>
      <c r="I808" s="207"/>
      <c r="J808" s="207"/>
      <c r="K808" s="207"/>
      <c r="L808" s="207"/>
      <c r="M808" s="207"/>
      <c r="N808" s="207"/>
      <c r="O808" s="207"/>
      <c r="P808" s="207"/>
      <c r="Q808" s="207"/>
      <c r="R808" s="207"/>
      <c r="S808" s="207"/>
      <c r="T808" s="207"/>
      <c r="U808" s="207"/>
      <c r="V808" s="207"/>
      <c r="W808" s="208"/>
      <c r="X808" s="208"/>
      <c r="Y808" s="208"/>
      <c r="Z808" s="208"/>
      <c r="AA808" s="208"/>
      <c r="AB808" s="208"/>
      <c r="AC808" s="208"/>
      <c r="AD808" s="208"/>
      <c r="AE808" s="208"/>
      <c r="AF808" s="208"/>
      <c r="AG808" s="208"/>
      <c r="AH808" s="208"/>
      <c r="AI808" s="100"/>
      <c r="AJ808" s="100"/>
      <c r="AK808" s="100"/>
      <c r="AL808" s="100"/>
      <c r="AM808" s="100"/>
      <c r="AN808" s="100"/>
      <c r="AO808" s="100"/>
    </row>
    <row r="809" ht="14.25" customHeight="1">
      <c r="A809" s="195"/>
      <c r="B809" s="100"/>
      <c r="C809" s="100"/>
      <c r="D809" s="100"/>
      <c r="E809" s="100"/>
      <c r="F809" s="206"/>
      <c r="G809" s="206"/>
      <c r="H809" s="207"/>
      <c r="I809" s="207"/>
      <c r="J809" s="207"/>
      <c r="K809" s="207"/>
      <c r="L809" s="207"/>
      <c r="M809" s="207"/>
      <c r="N809" s="207"/>
      <c r="O809" s="207"/>
      <c r="P809" s="207"/>
      <c r="Q809" s="207"/>
      <c r="R809" s="207"/>
      <c r="S809" s="207"/>
      <c r="T809" s="207"/>
      <c r="U809" s="207"/>
      <c r="V809" s="207"/>
      <c r="W809" s="208"/>
      <c r="X809" s="208"/>
      <c r="Y809" s="208"/>
      <c r="Z809" s="208"/>
      <c r="AA809" s="208"/>
      <c r="AB809" s="208"/>
      <c r="AC809" s="208"/>
      <c r="AD809" s="208"/>
      <c r="AE809" s="208"/>
      <c r="AF809" s="208"/>
      <c r="AG809" s="208"/>
      <c r="AH809" s="208"/>
      <c r="AI809" s="100"/>
      <c r="AJ809" s="100"/>
      <c r="AK809" s="100"/>
      <c r="AL809" s="100"/>
      <c r="AM809" s="100"/>
      <c r="AN809" s="100"/>
      <c r="AO809" s="100"/>
    </row>
    <row r="810" ht="14.25" customHeight="1">
      <c r="A810" s="195"/>
      <c r="B810" s="100"/>
      <c r="C810" s="100"/>
      <c r="D810" s="100"/>
      <c r="E810" s="100"/>
      <c r="F810" s="206"/>
      <c r="G810" s="206"/>
      <c r="H810" s="207"/>
      <c r="I810" s="207"/>
      <c r="J810" s="207"/>
      <c r="K810" s="207"/>
      <c r="L810" s="207"/>
      <c r="M810" s="207"/>
      <c r="N810" s="207"/>
      <c r="O810" s="207"/>
      <c r="P810" s="207"/>
      <c r="Q810" s="207"/>
      <c r="R810" s="207"/>
      <c r="S810" s="207"/>
      <c r="T810" s="207"/>
      <c r="U810" s="207"/>
      <c r="V810" s="207"/>
      <c r="W810" s="208"/>
      <c r="X810" s="208"/>
      <c r="Y810" s="208"/>
      <c r="Z810" s="208"/>
      <c r="AA810" s="208"/>
      <c r="AB810" s="208"/>
      <c r="AC810" s="208"/>
      <c r="AD810" s="208"/>
      <c r="AE810" s="208"/>
      <c r="AF810" s="208"/>
      <c r="AG810" s="208"/>
      <c r="AH810" s="208"/>
      <c r="AI810" s="100"/>
      <c r="AJ810" s="100"/>
      <c r="AK810" s="100"/>
      <c r="AL810" s="100"/>
      <c r="AM810" s="100"/>
      <c r="AN810" s="100"/>
      <c r="AO810" s="100"/>
    </row>
    <row r="811" ht="14.25" customHeight="1">
      <c r="A811" s="195"/>
      <c r="B811" s="100"/>
      <c r="C811" s="100"/>
      <c r="D811" s="100"/>
      <c r="E811" s="100"/>
      <c r="F811" s="206"/>
      <c r="G811" s="206"/>
      <c r="H811" s="207"/>
      <c r="I811" s="207"/>
      <c r="J811" s="207"/>
      <c r="K811" s="207"/>
      <c r="L811" s="207"/>
      <c r="M811" s="207"/>
      <c r="N811" s="207"/>
      <c r="O811" s="207"/>
      <c r="P811" s="207"/>
      <c r="Q811" s="207"/>
      <c r="R811" s="207"/>
      <c r="S811" s="207"/>
      <c r="T811" s="207"/>
      <c r="U811" s="207"/>
      <c r="V811" s="207"/>
      <c r="W811" s="208"/>
      <c r="X811" s="208"/>
      <c r="Y811" s="208"/>
      <c r="Z811" s="208"/>
      <c r="AA811" s="208"/>
      <c r="AB811" s="208"/>
      <c r="AC811" s="208"/>
      <c r="AD811" s="208"/>
      <c r="AE811" s="208"/>
      <c r="AF811" s="208"/>
      <c r="AG811" s="208"/>
      <c r="AH811" s="208"/>
      <c r="AI811" s="100"/>
      <c r="AJ811" s="100"/>
      <c r="AK811" s="100"/>
      <c r="AL811" s="100"/>
      <c r="AM811" s="100"/>
      <c r="AN811" s="100"/>
      <c r="AO811" s="100"/>
    </row>
    <row r="812" ht="14.25" customHeight="1">
      <c r="A812" s="195"/>
      <c r="B812" s="100"/>
      <c r="C812" s="100"/>
      <c r="D812" s="100"/>
      <c r="E812" s="100"/>
      <c r="F812" s="206"/>
      <c r="G812" s="206"/>
      <c r="H812" s="207"/>
      <c r="I812" s="207"/>
      <c r="J812" s="207"/>
      <c r="K812" s="207"/>
      <c r="L812" s="207"/>
      <c r="M812" s="207"/>
      <c r="N812" s="207"/>
      <c r="O812" s="207"/>
      <c r="P812" s="207"/>
      <c r="Q812" s="207"/>
      <c r="R812" s="207"/>
      <c r="S812" s="207"/>
      <c r="T812" s="207"/>
      <c r="U812" s="207"/>
      <c r="V812" s="207"/>
      <c r="W812" s="208"/>
      <c r="X812" s="208"/>
      <c r="Y812" s="208"/>
      <c r="Z812" s="208"/>
      <c r="AA812" s="208"/>
      <c r="AB812" s="208"/>
      <c r="AC812" s="208"/>
      <c r="AD812" s="208"/>
      <c r="AE812" s="208"/>
      <c r="AF812" s="208"/>
      <c r="AG812" s="208"/>
      <c r="AH812" s="208"/>
      <c r="AI812" s="100"/>
      <c r="AJ812" s="100"/>
      <c r="AK812" s="100"/>
      <c r="AL812" s="100"/>
      <c r="AM812" s="100"/>
      <c r="AN812" s="100"/>
      <c r="AO812" s="100"/>
    </row>
    <row r="813" ht="14.25" customHeight="1">
      <c r="A813" s="195"/>
      <c r="B813" s="100"/>
      <c r="C813" s="100"/>
      <c r="D813" s="100"/>
      <c r="E813" s="100"/>
      <c r="F813" s="206"/>
      <c r="G813" s="206"/>
      <c r="H813" s="207"/>
      <c r="I813" s="207"/>
      <c r="J813" s="207"/>
      <c r="K813" s="207"/>
      <c r="L813" s="207"/>
      <c r="M813" s="207"/>
      <c r="N813" s="207"/>
      <c r="O813" s="207"/>
      <c r="P813" s="207"/>
      <c r="Q813" s="207"/>
      <c r="R813" s="207"/>
      <c r="S813" s="207"/>
      <c r="T813" s="207"/>
      <c r="U813" s="207"/>
      <c r="V813" s="207"/>
      <c r="W813" s="208"/>
      <c r="X813" s="208"/>
      <c r="Y813" s="208"/>
      <c r="Z813" s="208"/>
      <c r="AA813" s="208"/>
      <c r="AB813" s="208"/>
      <c r="AC813" s="208"/>
      <c r="AD813" s="208"/>
      <c r="AE813" s="208"/>
      <c r="AF813" s="208"/>
      <c r="AG813" s="208"/>
      <c r="AH813" s="208"/>
      <c r="AI813" s="100"/>
      <c r="AJ813" s="100"/>
      <c r="AK813" s="100"/>
      <c r="AL813" s="100"/>
      <c r="AM813" s="100"/>
      <c r="AN813" s="100"/>
      <c r="AO813" s="100"/>
    </row>
    <row r="814" ht="14.25" customHeight="1">
      <c r="A814" s="195"/>
      <c r="B814" s="100"/>
      <c r="C814" s="100"/>
      <c r="D814" s="100"/>
      <c r="E814" s="100"/>
      <c r="F814" s="206"/>
      <c r="G814" s="206"/>
      <c r="H814" s="207"/>
      <c r="I814" s="207"/>
      <c r="J814" s="207"/>
      <c r="K814" s="207"/>
      <c r="L814" s="207"/>
      <c r="M814" s="207"/>
      <c r="N814" s="207"/>
      <c r="O814" s="207"/>
      <c r="P814" s="207"/>
      <c r="Q814" s="207"/>
      <c r="R814" s="207"/>
      <c r="S814" s="207"/>
      <c r="T814" s="207"/>
      <c r="U814" s="207"/>
      <c r="V814" s="207"/>
      <c r="W814" s="208"/>
      <c r="X814" s="208"/>
      <c r="Y814" s="208"/>
      <c r="Z814" s="208"/>
      <c r="AA814" s="208"/>
      <c r="AB814" s="208"/>
      <c r="AC814" s="208"/>
      <c r="AD814" s="208"/>
      <c r="AE814" s="208"/>
      <c r="AF814" s="208"/>
      <c r="AG814" s="208"/>
      <c r="AH814" s="208"/>
      <c r="AI814" s="100"/>
      <c r="AJ814" s="100"/>
      <c r="AK814" s="100"/>
      <c r="AL814" s="100"/>
      <c r="AM814" s="100"/>
      <c r="AN814" s="100"/>
      <c r="AO814" s="100"/>
    </row>
    <row r="815" ht="14.25" customHeight="1">
      <c r="A815" s="195"/>
      <c r="B815" s="100"/>
      <c r="C815" s="100"/>
      <c r="D815" s="100"/>
      <c r="E815" s="100"/>
      <c r="F815" s="206"/>
      <c r="G815" s="206"/>
      <c r="H815" s="207"/>
      <c r="I815" s="207"/>
      <c r="J815" s="207"/>
      <c r="K815" s="207"/>
      <c r="L815" s="207"/>
      <c r="M815" s="207"/>
      <c r="N815" s="207"/>
      <c r="O815" s="207"/>
      <c r="P815" s="207"/>
      <c r="Q815" s="207"/>
      <c r="R815" s="207"/>
      <c r="S815" s="207"/>
      <c r="T815" s="207"/>
      <c r="U815" s="207"/>
      <c r="V815" s="207"/>
      <c r="W815" s="208"/>
      <c r="X815" s="208"/>
      <c r="Y815" s="208"/>
      <c r="Z815" s="208"/>
      <c r="AA815" s="208"/>
      <c r="AB815" s="208"/>
      <c r="AC815" s="208"/>
      <c r="AD815" s="208"/>
      <c r="AE815" s="208"/>
      <c r="AF815" s="208"/>
      <c r="AG815" s="208"/>
      <c r="AH815" s="208"/>
      <c r="AI815" s="100"/>
      <c r="AJ815" s="100"/>
      <c r="AK815" s="100"/>
      <c r="AL815" s="100"/>
      <c r="AM815" s="100"/>
      <c r="AN815" s="100"/>
      <c r="AO815" s="100"/>
    </row>
    <row r="816" ht="14.25" customHeight="1">
      <c r="A816" s="195"/>
      <c r="B816" s="100"/>
      <c r="C816" s="100"/>
      <c r="D816" s="100"/>
      <c r="E816" s="100"/>
      <c r="F816" s="206"/>
      <c r="G816" s="206"/>
      <c r="H816" s="207"/>
      <c r="I816" s="207"/>
      <c r="J816" s="207"/>
      <c r="K816" s="207"/>
      <c r="L816" s="207"/>
      <c r="M816" s="207"/>
      <c r="N816" s="207"/>
      <c r="O816" s="207"/>
      <c r="P816" s="207"/>
      <c r="Q816" s="207"/>
      <c r="R816" s="207"/>
      <c r="S816" s="207"/>
      <c r="T816" s="207"/>
      <c r="U816" s="207"/>
      <c r="V816" s="207"/>
      <c r="W816" s="208"/>
      <c r="X816" s="208"/>
      <c r="Y816" s="208"/>
      <c r="Z816" s="208"/>
      <c r="AA816" s="208"/>
      <c r="AB816" s="208"/>
      <c r="AC816" s="208"/>
      <c r="AD816" s="208"/>
      <c r="AE816" s="208"/>
      <c r="AF816" s="208"/>
      <c r="AG816" s="208"/>
      <c r="AH816" s="208"/>
      <c r="AI816" s="100"/>
      <c r="AJ816" s="100"/>
      <c r="AK816" s="100"/>
      <c r="AL816" s="100"/>
      <c r="AM816" s="100"/>
      <c r="AN816" s="100"/>
      <c r="AO816" s="100"/>
    </row>
    <row r="817" ht="14.25" customHeight="1">
      <c r="A817" s="195"/>
      <c r="B817" s="100"/>
      <c r="C817" s="100"/>
      <c r="D817" s="100"/>
      <c r="E817" s="100"/>
      <c r="F817" s="206"/>
      <c r="G817" s="206"/>
      <c r="H817" s="207"/>
      <c r="I817" s="207"/>
      <c r="J817" s="207"/>
      <c r="K817" s="207"/>
      <c r="L817" s="207"/>
      <c r="M817" s="207"/>
      <c r="N817" s="207"/>
      <c r="O817" s="207"/>
      <c r="P817" s="207"/>
      <c r="Q817" s="207"/>
      <c r="R817" s="207"/>
      <c r="S817" s="207"/>
      <c r="T817" s="207"/>
      <c r="U817" s="207"/>
      <c r="V817" s="207"/>
      <c r="W817" s="208"/>
      <c r="X817" s="208"/>
      <c r="Y817" s="208"/>
      <c r="Z817" s="208"/>
      <c r="AA817" s="208"/>
      <c r="AB817" s="208"/>
      <c r="AC817" s="208"/>
      <c r="AD817" s="208"/>
      <c r="AE817" s="208"/>
      <c r="AF817" s="208"/>
      <c r="AG817" s="208"/>
      <c r="AH817" s="208"/>
      <c r="AI817" s="100"/>
      <c r="AJ817" s="100"/>
      <c r="AK817" s="100"/>
      <c r="AL817" s="100"/>
      <c r="AM817" s="100"/>
      <c r="AN817" s="100"/>
      <c r="AO817" s="100"/>
    </row>
    <row r="818" ht="14.25" customHeight="1">
      <c r="A818" s="195"/>
      <c r="B818" s="100"/>
      <c r="C818" s="100"/>
      <c r="D818" s="100"/>
      <c r="E818" s="100"/>
      <c r="F818" s="206"/>
      <c r="G818" s="206"/>
      <c r="H818" s="207"/>
      <c r="I818" s="207"/>
      <c r="J818" s="207"/>
      <c r="K818" s="207"/>
      <c r="L818" s="207"/>
      <c r="M818" s="207"/>
      <c r="N818" s="207"/>
      <c r="O818" s="207"/>
      <c r="P818" s="207"/>
      <c r="Q818" s="207"/>
      <c r="R818" s="207"/>
      <c r="S818" s="207"/>
      <c r="T818" s="207"/>
      <c r="U818" s="207"/>
      <c r="V818" s="207"/>
      <c r="W818" s="208"/>
      <c r="X818" s="208"/>
      <c r="Y818" s="208"/>
      <c r="Z818" s="208"/>
      <c r="AA818" s="208"/>
      <c r="AB818" s="208"/>
      <c r="AC818" s="208"/>
      <c r="AD818" s="208"/>
      <c r="AE818" s="208"/>
      <c r="AF818" s="208"/>
      <c r="AG818" s="208"/>
      <c r="AH818" s="208"/>
      <c r="AI818" s="100"/>
      <c r="AJ818" s="100"/>
      <c r="AK818" s="100"/>
      <c r="AL818" s="100"/>
      <c r="AM818" s="100"/>
      <c r="AN818" s="100"/>
      <c r="AO818" s="100"/>
    </row>
    <row r="819" ht="14.25" customHeight="1">
      <c r="A819" s="195"/>
      <c r="B819" s="100"/>
      <c r="C819" s="100"/>
      <c r="D819" s="100"/>
      <c r="E819" s="100"/>
      <c r="F819" s="206"/>
      <c r="G819" s="206"/>
      <c r="H819" s="207"/>
      <c r="I819" s="207"/>
      <c r="J819" s="207"/>
      <c r="K819" s="207"/>
      <c r="L819" s="207"/>
      <c r="M819" s="207"/>
      <c r="N819" s="207"/>
      <c r="O819" s="207"/>
      <c r="P819" s="207"/>
      <c r="Q819" s="207"/>
      <c r="R819" s="207"/>
      <c r="S819" s="207"/>
      <c r="T819" s="207"/>
      <c r="U819" s="207"/>
      <c r="V819" s="207"/>
      <c r="W819" s="208"/>
      <c r="X819" s="208"/>
      <c r="Y819" s="208"/>
      <c r="Z819" s="208"/>
      <c r="AA819" s="208"/>
      <c r="AB819" s="208"/>
      <c r="AC819" s="208"/>
      <c r="AD819" s="208"/>
      <c r="AE819" s="208"/>
      <c r="AF819" s="208"/>
      <c r="AG819" s="208"/>
      <c r="AH819" s="208"/>
      <c r="AI819" s="100"/>
      <c r="AJ819" s="100"/>
      <c r="AK819" s="100"/>
      <c r="AL819" s="100"/>
      <c r="AM819" s="100"/>
      <c r="AN819" s="100"/>
      <c r="AO819" s="100"/>
    </row>
    <row r="820" ht="14.25" customHeight="1">
      <c r="A820" s="195"/>
      <c r="B820" s="100"/>
      <c r="C820" s="100"/>
      <c r="D820" s="100"/>
      <c r="E820" s="100"/>
      <c r="F820" s="206"/>
      <c r="G820" s="206"/>
      <c r="H820" s="207"/>
      <c r="I820" s="207"/>
      <c r="J820" s="207"/>
      <c r="K820" s="207"/>
      <c r="L820" s="207"/>
      <c r="M820" s="207"/>
      <c r="N820" s="207"/>
      <c r="O820" s="207"/>
      <c r="P820" s="207"/>
      <c r="Q820" s="207"/>
      <c r="R820" s="207"/>
      <c r="S820" s="207"/>
      <c r="T820" s="207"/>
      <c r="U820" s="207"/>
      <c r="V820" s="207"/>
      <c r="W820" s="208"/>
      <c r="X820" s="208"/>
      <c r="Y820" s="208"/>
      <c r="Z820" s="208"/>
      <c r="AA820" s="208"/>
      <c r="AB820" s="208"/>
      <c r="AC820" s="208"/>
      <c r="AD820" s="208"/>
      <c r="AE820" s="208"/>
      <c r="AF820" s="208"/>
      <c r="AG820" s="208"/>
      <c r="AH820" s="208"/>
      <c r="AI820" s="100"/>
      <c r="AJ820" s="100"/>
      <c r="AK820" s="100"/>
      <c r="AL820" s="100"/>
      <c r="AM820" s="100"/>
      <c r="AN820" s="100"/>
      <c r="AO820" s="100"/>
    </row>
    <row r="821" ht="14.25" customHeight="1">
      <c r="A821" s="195"/>
      <c r="B821" s="100"/>
      <c r="C821" s="100"/>
      <c r="D821" s="100"/>
      <c r="E821" s="100"/>
      <c r="F821" s="206"/>
      <c r="G821" s="206"/>
      <c r="H821" s="207"/>
      <c r="I821" s="207"/>
      <c r="J821" s="207"/>
      <c r="K821" s="207"/>
      <c r="L821" s="207"/>
      <c r="M821" s="207"/>
      <c r="N821" s="207"/>
      <c r="O821" s="207"/>
      <c r="P821" s="207"/>
      <c r="Q821" s="207"/>
      <c r="R821" s="207"/>
      <c r="S821" s="207"/>
      <c r="T821" s="207"/>
      <c r="U821" s="207"/>
      <c r="V821" s="207"/>
      <c r="W821" s="208"/>
      <c r="X821" s="208"/>
      <c r="Y821" s="208"/>
      <c r="Z821" s="208"/>
      <c r="AA821" s="208"/>
      <c r="AB821" s="208"/>
      <c r="AC821" s="208"/>
      <c r="AD821" s="208"/>
      <c r="AE821" s="208"/>
      <c r="AF821" s="208"/>
      <c r="AG821" s="208"/>
      <c r="AH821" s="208"/>
      <c r="AI821" s="100"/>
      <c r="AJ821" s="100"/>
      <c r="AK821" s="100"/>
      <c r="AL821" s="100"/>
      <c r="AM821" s="100"/>
      <c r="AN821" s="100"/>
      <c r="AO821" s="100"/>
    </row>
    <row r="822" ht="14.25" customHeight="1">
      <c r="A822" s="195"/>
      <c r="B822" s="100"/>
      <c r="C822" s="100"/>
      <c r="D822" s="100"/>
      <c r="E822" s="100"/>
      <c r="F822" s="206"/>
      <c r="G822" s="206"/>
      <c r="H822" s="207"/>
      <c r="I822" s="207"/>
      <c r="J822" s="207"/>
      <c r="K822" s="207"/>
      <c r="L822" s="207"/>
      <c r="M822" s="207"/>
      <c r="N822" s="207"/>
      <c r="O822" s="207"/>
      <c r="P822" s="207"/>
      <c r="Q822" s="207"/>
      <c r="R822" s="207"/>
      <c r="S822" s="207"/>
      <c r="T822" s="207"/>
      <c r="U822" s="207"/>
      <c r="V822" s="207"/>
      <c r="W822" s="208"/>
      <c r="X822" s="208"/>
      <c r="Y822" s="208"/>
      <c r="Z822" s="208"/>
      <c r="AA822" s="208"/>
      <c r="AB822" s="208"/>
      <c r="AC822" s="208"/>
      <c r="AD822" s="208"/>
      <c r="AE822" s="208"/>
      <c r="AF822" s="208"/>
      <c r="AG822" s="208"/>
      <c r="AH822" s="208"/>
      <c r="AI822" s="100"/>
      <c r="AJ822" s="100"/>
      <c r="AK822" s="100"/>
      <c r="AL822" s="100"/>
      <c r="AM822" s="100"/>
      <c r="AN822" s="100"/>
      <c r="AO822" s="100"/>
    </row>
    <row r="823" ht="14.25" customHeight="1">
      <c r="A823" s="195"/>
      <c r="B823" s="100"/>
      <c r="C823" s="100"/>
      <c r="D823" s="100"/>
      <c r="E823" s="100"/>
      <c r="F823" s="206"/>
      <c r="G823" s="206"/>
      <c r="H823" s="207"/>
      <c r="I823" s="207"/>
      <c r="J823" s="207"/>
      <c r="K823" s="207"/>
      <c r="L823" s="207"/>
      <c r="M823" s="207"/>
      <c r="N823" s="207"/>
      <c r="O823" s="207"/>
      <c r="P823" s="207"/>
      <c r="Q823" s="207"/>
      <c r="R823" s="207"/>
      <c r="S823" s="207"/>
      <c r="T823" s="207"/>
      <c r="U823" s="207"/>
      <c r="V823" s="207"/>
      <c r="W823" s="208"/>
      <c r="X823" s="208"/>
      <c r="Y823" s="208"/>
      <c r="Z823" s="208"/>
      <c r="AA823" s="208"/>
      <c r="AB823" s="208"/>
      <c r="AC823" s="208"/>
      <c r="AD823" s="208"/>
      <c r="AE823" s="208"/>
      <c r="AF823" s="208"/>
      <c r="AG823" s="208"/>
      <c r="AH823" s="208"/>
      <c r="AI823" s="100"/>
      <c r="AJ823" s="100"/>
      <c r="AK823" s="100"/>
      <c r="AL823" s="100"/>
      <c r="AM823" s="100"/>
      <c r="AN823" s="100"/>
      <c r="AO823" s="100"/>
    </row>
    <row r="824" ht="14.25" customHeight="1">
      <c r="A824" s="195"/>
      <c r="B824" s="100"/>
      <c r="C824" s="100"/>
      <c r="D824" s="100"/>
      <c r="E824" s="100"/>
      <c r="F824" s="206"/>
      <c r="G824" s="206"/>
      <c r="H824" s="207"/>
      <c r="I824" s="207"/>
      <c r="J824" s="207"/>
      <c r="K824" s="207"/>
      <c r="L824" s="207"/>
      <c r="M824" s="207"/>
      <c r="N824" s="207"/>
      <c r="O824" s="207"/>
      <c r="P824" s="207"/>
      <c r="Q824" s="207"/>
      <c r="R824" s="207"/>
      <c r="S824" s="207"/>
      <c r="T824" s="207"/>
      <c r="U824" s="207"/>
      <c r="V824" s="207"/>
      <c r="W824" s="208"/>
      <c r="X824" s="208"/>
      <c r="Y824" s="208"/>
      <c r="Z824" s="208"/>
      <c r="AA824" s="208"/>
      <c r="AB824" s="208"/>
      <c r="AC824" s="208"/>
      <c r="AD824" s="208"/>
      <c r="AE824" s="208"/>
      <c r="AF824" s="208"/>
      <c r="AG824" s="208"/>
      <c r="AH824" s="208"/>
      <c r="AI824" s="100"/>
      <c r="AJ824" s="100"/>
      <c r="AK824" s="100"/>
      <c r="AL824" s="100"/>
      <c r="AM824" s="100"/>
      <c r="AN824" s="100"/>
      <c r="AO824" s="100"/>
    </row>
    <row r="825" ht="14.25" customHeight="1">
      <c r="A825" s="195"/>
      <c r="B825" s="100"/>
      <c r="C825" s="100"/>
      <c r="D825" s="100"/>
      <c r="E825" s="100"/>
      <c r="F825" s="206"/>
      <c r="G825" s="206"/>
      <c r="H825" s="207"/>
      <c r="I825" s="207"/>
      <c r="J825" s="207"/>
      <c r="K825" s="207"/>
      <c r="L825" s="207"/>
      <c r="M825" s="207"/>
      <c r="N825" s="207"/>
      <c r="O825" s="207"/>
      <c r="P825" s="207"/>
      <c r="Q825" s="207"/>
      <c r="R825" s="207"/>
      <c r="S825" s="207"/>
      <c r="T825" s="207"/>
      <c r="U825" s="207"/>
      <c r="V825" s="207"/>
      <c r="W825" s="208"/>
      <c r="X825" s="208"/>
      <c r="Y825" s="208"/>
      <c r="Z825" s="208"/>
      <c r="AA825" s="208"/>
      <c r="AB825" s="208"/>
      <c r="AC825" s="208"/>
      <c r="AD825" s="208"/>
      <c r="AE825" s="208"/>
      <c r="AF825" s="208"/>
      <c r="AG825" s="208"/>
      <c r="AH825" s="208"/>
      <c r="AI825" s="100"/>
      <c r="AJ825" s="100"/>
      <c r="AK825" s="100"/>
      <c r="AL825" s="100"/>
      <c r="AM825" s="100"/>
      <c r="AN825" s="100"/>
      <c r="AO825" s="100"/>
    </row>
    <row r="826" ht="14.25" customHeight="1">
      <c r="A826" s="195"/>
      <c r="B826" s="100"/>
      <c r="C826" s="100"/>
      <c r="D826" s="100"/>
      <c r="E826" s="100"/>
      <c r="F826" s="206"/>
      <c r="G826" s="206"/>
      <c r="H826" s="207"/>
      <c r="I826" s="207"/>
      <c r="J826" s="207"/>
      <c r="K826" s="207"/>
      <c r="L826" s="207"/>
      <c r="M826" s="207"/>
      <c r="N826" s="207"/>
      <c r="O826" s="207"/>
      <c r="P826" s="207"/>
      <c r="Q826" s="207"/>
      <c r="R826" s="207"/>
      <c r="S826" s="207"/>
      <c r="T826" s="207"/>
      <c r="U826" s="207"/>
      <c r="V826" s="207"/>
      <c r="W826" s="208"/>
      <c r="X826" s="208"/>
      <c r="Y826" s="208"/>
      <c r="Z826" s="208"/>
      <c r="AA826" s="208"/>
      <c r="AB826" s="208"/>
      <c r="AC826" s="208"/>
      <c r="AD826" s="208"/>
      <c r="AE826" s="208"/>
      <c r="AF826" s="208"/>
      <c r="AG826" s="208"/>
      <c r="AH826" s="208"/>
      <c r="AI826" s="100"/>
      <c r="AJ826" s="100"/>
      <c r="AK826" s="100"/>
      <c r="AL826" s="100"/>
      <c r="AM826" s="100"/>
      <c r="AN826" s="100"/>
      <c r="AO826" s="100"/>
    </row>
    <row r="827" ht="14.25" customHeight="1">
      <c r="A827" s="195"/>
      <c r="B827" s="100"/>
      <c r="C827" s="100"/>
      <c r="D827" s="100"/>
      <c r="E827" s="100"/>
      <c r="F827" s="206"/>
      <c r="G827" s="206"/>
      <c r="H827" s="207"/>
      <c r="I827" s="207"/>
      <c r="J827" s="207"/>
      <c r="K827" s="207"/>
      <c r="L827" s="207"/>
      <c r="M827" s="207"/>
      <c r="N827" s="207"/>
      <c r="O827" s="207"/>
      <c r="P827" s="207"/>
      <c r="Q827" s="207"/>
      <c r="R827" s="207"/>
      <c r="S827" s="207"/>
      <c r="T827" s="207"/>
      <c r="U827" s="207"/>
      <c r="V827" s="207"/>
      <c r="W827" s="208"/>
      <c r="X827" s="208"/>
      <c r="Y827" s="208"/>
      <c r="Z827" s="208"/>
      <c r="AA827" s="208"/>
      <c r="AB827" s="208"/>
      <c r="AC827" s="208"/>
      <c r="AD827" s="208"/>
      <c r="AE827" s="208"/>
      <c r="AF827" s="208"/>
      <c r="AG827" s="208"/>
      <c r="AH827" s="208"/>
      <c r="AI827" s="100"/>
      <c r="AJ827" s="100"/>
      <c r="AK827" s="100"/>
      <c r="AL827" s="100"/>
      <c r="AM827" s="100"/>
      <c r="AN827" s="100"/>
      <c r="AO827" s="100"/>
    </row>
    <row r="828" ht="14.25" customHeight="1">
      <c r="A828" s="195"/>
      <c r="B828" s="100"/>
      <c r="C828" s="100"/>
      <c r="D828" s="100"/>
      <c r="E828" s="100"/>
      <c r="F828" s="206"/>
      <c r="G828" s="206"/>
      <c r="H828" s="207"/>
      <c r="I828" s="207"/>
      <c r="J828" s="207"/>
      <c r="K828" s="207"/>
      <c r="L828" s="207"/>
      <c r="M828" s="207"/>
      <c r="N828" s="207"/>
      <c r="O828" s="207"/>
      <c r="P828" s="207"/>
      <c r="Q828" s="207"/>
      <c r="R828" s="207"/>
      <c r="S828" s="207"/>
      <c r="T828" s="207"/>
      <c r="U828" s="207"/>
      <c r="V828" s="207"/>
      <c r="W828" s="208"/>
      <c r="X828" s="208"/>
      <c r="Y828" s="208"/>
      <c r="Z828" s="208"/>
      <c r="AA828" s="208"/>
      <c r="AB828" s="208"/>
      <c r="AC828" s="208"/>
      <c r="AD828" s="208"/>
      <c r="AE828" s="208"/>
      <c r="AF828" s="208"/>
      <c r="AG828" s="208"/>
      <c r="AH828" s="208"/>
      <c r="AI828" s="100"/>
      <c r="AJ828" s="100"/>
      <c r="AK828" s="100"/>
      <c r="AL828" s="100"/>
      <c r="AM828" s="100"/>
      <c r="AN828" s="100"/>
      <c r="AO828" s="100"/>
    </row>
    <row r="829" ht="14.25" customHeight="1">
      <c r="A829" s="195"/>
      <c r="B829" s="100"/>
      <c r="C829" s="100"/>
      <c r="D829" s="100"/>
      <c r="E829" s="100"/>
      <c r="F829" s="206"/>
      <c r="G829" s="206"/>
      <c r="H829" s="207"/>
      <c r="I829" s="207"/>
      <c r="J829" s="207"/>
      <c r="K829" s="207"/>
      <c r="L829" s="207"/>
      <c r="M829" s="207"/>
      <c r="N829" s="207"/>
      <c r="O829" s="207"/>
      <c r="P829" s="207"/>
      <c r="Q829" s="207"/>
      <c r="R829" s="207"/>
      <c r="S829" s="207"/>
      <c r="T829" s="207"/>
      <c r="U829" s="207"/>
      <c r="V829" s="207"/>
      <c r="W829" s="208"/>
      <c r="X829" s="208"/>
      <c r="Y829" s="208"/>
      <c r="Z829" s="208"/>
      <c r="AA829" s="208"/>
      <c r="AB829" s="208"/>
      <c r="AC829" s="208"/>
      <c r="AD829" s="208"/>
      <c r="AE829" s="208"/>
      <c r="AF829" s="208"/>
      <c r="AG829" s="208"/>
      <c r="AH829" s="208"/>
      <c r="AI829" s="100"/>
      <c r="AJ829" s="100"/>
      <c r="AK829" s="100"/>
      <c r="AL829" s="100"/>
      <c r="AM829" s="100"/>
      <c r="AN829" s="100"/>
      <c r="AO829" s="100"/>
    </row>
    <row r="830" ht="14.25" customHeight="1">
      <c r="A830" s="195"/>
      <c r="B830" s="100"/>
      <c r="C830" s="100"/>
      <c r="D830" s="100"/>
      <c r="E830" s="100"/>
      <c r="F830" s="206"/>
      <c r="G830" s="206"/>
      <c r="H830" s="207"/>
      <c r="I830" s="207"/>
      <c r="J830" s="207"/>
      <c r="K830" s="207"/>
      <c r="L830" s="207"/>
      <c r="M830" s="207"/>
      <c r="N830" s="207"/>
      <c r="O830" s="207"/>
      <c r="P830" s="207"/>
      <c r="Q830" s="207"/>
      <c r="R830" s="207"/>
      <c r="S830" s="207"/>
      <c r="T830" s="207"/>
      <c r="U830" s="207"/>
      <c r="V830" s="207"/>
      <c r="W830" s="208"/>
      <c r="X830" s="208"/>
      <c r="Y830" s="208"/>
      <c r="Z830" s="208"/>
      <c r="AA830" s="208"/>
      <c r="AB830" s="208"/>
      <c r="AC830" s="208"/>
      <c r="AD830" s="208"/>
      <c r="AE830" s="208"/>
      <c r="AF830" s="208"/>
      <c r="AG830" s="208"/>
      <c r="AH830" s="208"/>
      <c r="AI830" s="100"/>
      <c r="AJ830" s="100"/>
      <c r="AK830" s="100"/>
      <c r="AL830" s="100"/>
      <c r="AM830" s="100"/>
      <c r="AN830" s="100"/>
      <c r="AO830" s="100"/>
    </row>
    <row r="831" ht="14.25" customHeight="1">
      <c r="A831" s="195"/>
      <c r="B831" s="100"/>
      <c r="C831" s="100"/>
      <c r="D831" s="100"/>
      <c r="E831" s="100"/>
      <c r="F831" s="206"/>
      <c r="G831" s="206"/>
      <c r="H831" s="207"/>
      <c r="I831" s="207"/>
      <c r="J831" s="207"/>
      <c r="K831" s="207"/>
      <c r="L831" s="207"/>
      <c r="M831" s="207"/>
      <c r="N831" s="207"/>
      <c r="O831" s="207"/>
      <c r="P831" s="207"/>
      <c r="Q831" s="207"/>
      <c r="R831" s="207"/>
      <c r="S831" s="207"/>
      <c r="T831" s="207"/>
      <c r="U831" s="207"/>
      <c r="V831" s="207"/>
      <c r="W831" s="208"/>
      <c r="X831" s="208"/>
      <c r="Y831" s="208"/>
      <c r="Z831" s="208"/>
      <c r="AA831" s="208"/>
      <c r="AB831" s="208"/>
      <c r="AC831" s="208"/>
      <c r="AD831" s="208"/>
      <c r="AE831" s="208"/>
      <c r="AF831" s="208"/>
      <c r="AG831" s="208"/>
      <c r="AH831" s="208"/>
      <c r="AI831" s="100"/>
      <c r="AJ831" s="100"/>
      <c r="AK831" s="100"/>
      <c r="AL831" s="100"/>
      <c r="AM831" s="100"/>
      <c r="AN831" s="100"/>
      <c r="AO831" s="100"/>
    </row>
    <row r="832" ht="14.25" customHeight="1">
      <c r="A832" s="195"/>
      <c r="B832" s="100"/>
      <c r="C832" s="100"/>
      <c r="D832" s="100"/>
      <c r="E832" s="100"/>
      <c r="F832" s="206"/>
      <c r="G832" s="206"/>
      <c r="H832" s="207"/>
      <c r="I832" s="207"/>
      <c r="J832" s="207"/>
      <c r="K832" s="207"/>
      <c r="L832" s="207"/>
      <c r="M832" s="207"/>
      <c r="N832" s="207"/>
      <c r="O832" s="207"/>
      <c r="P832" s="207"/>
      <c r="Q832" s="207"/>
      <c r="R832" s="207"/>
      <c r="S832" s="207"/>
      <c r="T832" s="207"/>
      <c r="U832" s="207"/>
      <c r="V832" s="207"/>
      <c r="W832" s="208"/>
      <c r="X832" s="208"/>
      <c r="Y832" s="208"/>
      <c r="Z832" s="208"/>
      <c r="AA832" s="208"/>
      <c r="AB832" s="208"/>
      <c r="AC832" s="208"/>
      <c r="AD832" s="208"/>
      <c r="AE832" s="208"/>
      <c r="AF832" s="208"/>
      <c r="AG832" s="208"/>
      <c r="AH832" s="208"/>
      <c r="AI832" s="100"/>
      <c r="AJ832" s="100"/>
      <c r="AK832" s="100"/>
      <c r="AL832" s="100"/>
      <c r="AM832" s="100"/>
      <c r="AN832" s="100"/>
      <c r="AO832" s="100"/>
    </row>
    <row r="833" ht="14.25" customHeight="1">
      <c r="A833" s="195"/>
      <c r="B833" s="100"/>
      <c r="C833" s="100"/>
      <c r="D833" s="100"/>
      <c r="E833" s="100"/>
      <c r="F833" s="206"/>
      <c r="G833" s="206"/>
      <c r="H833" s="207"/>
      <c r="I833" s="207"/>
      <c r="J833" s="207"/>
      <c r="K833" s="207"/>
      <c r="L833" s="207"/>
      <c r="M833" s="207"/>
      <c r="N833" s="207"/>
      <c r="O833" s="207"/>
      <c r="P833" s="207"/>
      <c r="Q833" s="207"/>
      <c r="R833" s="207"/>
      <c r="S833" s="207"/>
      <c r="T833" s="207"/>
      <c r="U833" s="207"/>
      <c r="V833" s="207"/>
      <c r="W833" s="208"/>
      <c r="X833" s="208"/>
      <c r="Y833" s="208"/>
      <c r="Z833" s="208"/>
      <c r="AA833" s="208"/>
      <c r="AB833" s="208"/>
      <c r="AC833" s="208"/>
      <c r="AD833" s="208"/>
      <c r="AE833" s="208"/>
      <c r="AF833" s="208"/>
      <c r="AG833" s="208"/>
      <c r="AH833" s="208"/>
      <c r="AI833" s="100"/>
      <c r="AJ833" s="100"/>
      <c r="AK833" s="100"/>
      <c r="AL833" s="100"/>
      <c r="AM833" s="100"/>
      <c r="AN833" s="100"/>
      <c r="AO833" s="100"/>
    </row>
    <row r="834" ht="14.25" customHeight="1">
      <c r="A834" s="195"/>
      <c r="B834" s="100"/>
      <c r="C834" s="100"/>
      <c r="D834" s="100"/>
      <c r="E834" s="100"/>
      <c r="F834" s="206"/>
      <c r="G834" s="206"/>
      <c r="H834" s="207"/>
      <c r="I834" s="207"/>
      <c r="J834" s="207"/>
      <c r="K834" s="207"/>
      <c r="L834" s="207"/>
      <c r="M834" s="207"/>
      <c r="N834" s="207"/>
      <c r="O834" s="207"/>
      <c r="P834" s="207"/>
      <c r="Q834" s="207"/>
      <c r="R834" s="207"/>
      <c r="S834" s="207"/>
      <c r="T834" s="207"/>
      <c r="U834" s="207"/>
      <c r="V834" s="207"/>
      <c r="W834" s="208"/>
      <c r="X834" s="208"/>
      <c r="Y834" s="208"/>
      <c r="Z834" s="208"/>
      <c r="AA834" s="208"/>
      <c r="AB834" s="208"/>
      <c r="AC834" s="208"/>
      <c r="AD834" s="208"/>
      <c r="AE834" s="208"/>
      <c r="AF834" s="208"/>
      <c r="AG834" s="208"/>
      <c r="AH834" s="208"/>
      <c r="AI834" s="100"/>
      <c r="AJ834" s="100"/>
      <c r="AK834" s="100"/>
      <c r="AL834" s="100"/>
      <c r="AM834" s="100"/>
      <c r="AN834" s="100"/>
      <c r="AO834" s="100"/>
    </row>
    <row r="835" ht="14.25" customHeight="1">
      <c r="A835" s="195"/>
      <c r="B835" s="100"/>
      <c r="C835" s="100"/>
      <c r="D835" s="100"/>
      <c r="E835" s="100"/>
      <c r="F835" s="206"/>
      <c r="G835" s="206"/>
      <c r="H835" s="207"/>
      <c r="I835" s="207"/>
      <c r="J835" s="207"/>
      <c r="K835" s="207"/>
      <c r="L835" s="207"/>
      <c r="M835" s="207"/>
      <c r="N835" s="207"/>
      <c r="O835" s="207"/>
      <c r="P835" s="207"/>
      <c r="Q835" s="207"/>
      <c r="R835" s="207"/>
      <c r="S835" s="207"/>
      <c r="T835" s="207"/>
      <c r="U835" s="207"/>
      <c r="V835" s="207"/>
      <c r="W835" s="208"/>
      <c r="X835" s="208"/>
      <c r="Y835" s="208"/>
      <c r="Z835" s="208"/>
      <c r="AA835" s="208"/>
      <c r="AB835" s="208"/>
      <c r="AC835" s="208"/>
      <c r="AD835" s="208"/>
      <c r="AE835" s="208"/>
      <c r="AF835" s="208"/>
      <c r="AG835" s="208"/>
      <c r="AH835" s="208"/>
      <c r="AI835" s="100"/>
      <c r="AJ835" s="100"/>
      <c r="AK835" s="100"/>
      <c r="AL835" s="100"/>
      <c r="AM835" s="100"/>
      <c r="AN835" s="100"/>
      <c r="AO835" s="100"/>
    </row>
    <row r="836" ht="14.25" customHeight="1">
      <c r="A836" s="195"/>
      <c r="B836" s="100"/>
      <c r="C836" s="100"/>
      <c r="D836" s="100"/>
      <c r="E836" s="100"/>
      <c r="F836" s="206"/>
      <c r="G836" s="206"/>
      <c r="H836" s="207"/>
      <c r="I836" s="207"/>
      <c r="J836" s="207"/>
      <c r="K836" s="207"/>
      <c r="L836" s="207"/>
      <c r="M836" s="207"/>
      <c r="N836" s="207"/>
      <c r="O836" s="207"/>
      <c r="P836" s="207"/>
      <c r="Q836" s="207"/>
      <c r="R836" s="207"/>
      <c r="S836" s="207"/>
      <c r="T836" s="207"/>
      <c r="U836" s="207"/>
      <c r="V836" s="207"/>
      <c r="W836" s="208"/>
      <c r="X836" s="208"/>
      <c r="Y836" s="208"/>
      <c r="Z836" s="208"/>
      <c r="AA836" s="208"/>
      <c r="AB836" s="208"/>
      <c r="AC836" s="208"/>
      <c r="AD836" s="208"/>
      <c r="AE836" s="208"/>
      <c r="AF836" s="208"/>
      <c r="AG836" s="208"/>
      <c r="AH836" s="208"/>
      <c r="AI836" s="100"/>
      <c r="AJ836" s="100"/>
      <c r="AK836" s="100"/>
      <c r="AL836" s="100"/>
      <c r="AM836" s="100"/>
      <c r="AN836" s="100"/>
      <c r="AO836" s="100"/>
    </row>
    <row r="837" ht="14.25" customHeight="1">
      <c r="A837" s="195"/>
      <c r="B837" s="100"/>
      <c r="C837" s="100"/>
      <c r="D837" s="100"/>
      <c r="E837" s="100"/>
      <c r="F837" s="206"/>
      <c r="G837" s="206"/>
      <c r="H837" s="207"/>
      <c r="I837" s="207"/>
      <c r="J837" s="207"/>
      <c r="K837" s="207"/>
      <c r="L837" s="207"/>
      <c r="M837" s="207"/>
      <c r="N837" s="207"/>
      <c r="O837" s="207"/>
      <c r="P837" s="207"/>
      <c r="Q837" s="207"/>
      <c r="R837" s="207"/>
      <c r="S837" s="207"/>
      <c r="T837" s="207"/>
      <c r="U837" s="207"/>
      <c r="V837" s="207"/>
      <c r="W837" s="208"/>
      <c r="X837" s="208"/>
      <c r="Y837" s="208"/>
      <c r="Z837" s="208"/>
      <c r="AA837" s="208"/>
      <c r="AB837" s="208"/>
      <c r="AC837" s="208"/>
      <c r="AD837" s="208"/>
      <c r="AE837" s="208"/>
      <c r="AF837" s="208"/>
      <c r="AG837" s="208"/>
      <c r="AH837" s="208"/>
      <c r="AI837" s="100"/>
      <c r="AJ837" s="100"/>
      <c r="AK837" s="100"/>
      <c r="AL837" s="100"/>
      <c r="AM837" s="100"/>
      <c r="AN837" s="100"/>
      <c r="AO837" s="100"/>
    </row>
    <row r="838" ht="14.25" customHeight="1">
      <c r="A838" s="195"/>
      <c r="B838" s="100"/>
      <c r="C838" s="100"/>
      <c r="D838" s="100"/>
      <c r="E838" s="100"/>
      <c r="F838" s="206"/>
      <c r="G838" s="206"/>
      <c r="H838" s="207"/>
      <c r="I838" s="207"/>
      <c r="J838" s="207"/>
      <c r="K838" s="207"/>
      <c r="L838" s="207"/>
      <c r="M838" s="207"/>
      <c r="N838" s="207"/>
      <c r="O838" s="207"/>
      <c r="P838" s="207"/>
      <c r="Q838" s="207"/>
      <c r="R838" s="207"/>
      <c r="S838" s="207"/>
      <c r="T838" s="207"/>
      <c r="U838" s="207"/>
      <c r="V838" s="207"/>
      <c r="W838" s="208"/>
      <c r="X838" s="208"/>
      <c r="Y838" s="208"/>
      <c r="Z838" s="208"/>
      <c r="AA838" s="208"/>
      <c r="AB838" s="208"/>
      <c r="AC838" s="208"/>
      <c r="AD838" s="208"/>
      <c r="AE838" s="208"/>
      <c r="AF838" s="208"/>
      <c r="AG838" s="208"/>
      <c r="AH838" s="208"/>
      <c r="AI838" s="100"/>
      <c r="AJ838" s="100"/>
      <c r="AK838" s="100"/>
      <c r="AL838" s="100"/>
      <c r="AM838" s="100"/>
      <c r="AN838" s="100"/>
      <c r="AO838" s="100"/>
    </row>
    <row r="839" ht="14.25" customHeight="1">
      <c r="A839" s="195"/>
      <c r="B839" s="100"/>
      <c r="C839" s="100"/>
      <c r="D839" s="100"/>
      <c r="E839" s="100"/>
      <c r="F839" s="206"/>
      <c r="G839" s="206"/>
      <c r="H839" s="207"/>
      <c r="I839" s="207"/>
      <c r="J839" s="207"/>
      <c r="K839" s="207"/>
      <c r="L839" s="207"/>
      <c r="M839" s="207"/>
      <c r="N839" s="207"/>
      <c r="O839" s="207"/>
      <c r="P839" s="207"/>
      <c r="Q839" s="207"/>
      <c r="R839" s="207"/>
      <c r="S839" s="207"/>
      <c r="T839" s="207"/>
      <c r="U839" s="207"/>
      <c r="V839" s="207"/>
      <c r="W839" s="208"/>
      <c r="X839" s="208"/>
      <c r="Y839" s="208"/>
      <c r="Z839" s="208"/>
      <c r="AA839" s="208"/>
      <c r="AB839" s="208"/>
      <c r="AC839" s="208"/>
      <c r="AD839" s="208"/>
      <c r="AE839" s="208"/>
      <c r="AF839" s="208"/>
      <c r="AG839" s="208"/>
      <c r="AH839" s="208"/>
      <c r="AI839" s="100"/>
      <c r="AJ839" s="100"/>
      <c r="AK839" s="100"/>
      <c r="AL839" s="100"/>
      <c r="AM839" s="100"/>
      <c r="AN839" s="100"/>
      <c r="AO839" s="100"/>
    </row>
    <row r="840" ht="14.25" customHeight="1">
      <c r="A840" s="195"/>
      <c r="B840" s="100"/>
      <c r="C840" s="100"/>
      <c r="D840" s="100"/>
      <c r="E840" s="100"/>
      <c r="F840" s="206"/>
      <c r="G840" s="206"/>
      <c r="H840" s="207"/>
      <c r="I840" s="207"/>
      <c r="J840" s="207"/>
      <c r="K840" s="207"/>
      <c r="L840" s="207"/>
      <c r="M840" s="207"/>
      <c r="N840" s="207"/>
      <c r="O840" s="207"/>
      <c r="P840" s="207"/>
      <c r="Q840" s="207"/>
      <c r="R840" s="207"/>
      <c r="S840" s="207"/>
      <c r="T840" s="207"/>
      <c r="U840" s="207"/>
      <c r="V840" s="207"/>
      <c r="W840" s="208"/>
      <c r="X840" s="208"/>
      <c r="Y840" s="208"/>
      <c r="Z840" s="208"/>
      <c r="AA840" s="208"/>
      <c r="AB840" s="208"/>
      <c r="AC840" s="208"/>
      <c r="AD840" s="208"/>
      <c r="AE840" s="208"/>
      <c r="AF840" s="208"/>
      <c r="AG840" s="208"/>
      <c r="AH840" s="208"/>
      <c r="AI840" s="100"/>
      <c r="AJ840" s="100"/>
      <c r="AK840" s="100"/>
      <c r="AL840" s="100"/>
      <c r="AM840" s="100"/>
      <c r="AN840" s="100"/>
      <c r="AO840" s="100"/>
    </row>
    <row r="841" ht="14.25" customHeight="1">
      <c r="A841" s="195"/>
      <c r="B841" s="100"/>
      <c r="C841" s="100"/>
      <c r="D841" s="100"/>
      <c r="E841" s="100"/>
      <c r="F841" s="206"/>
      <c r="G841" s="206"/>
      <c r="H841" s="207"/>
      <c r="I841" s="207"/>
      <c r="J841" s="207"/>
      <c r="K841" s="207"/>
      <c r="L841" s="207"/>
      <c r="M841" s="207"/>
      <c r="N841" s="207"/>
      <c r="O841" s="207"/>
      <c r="P841" s="207"/>
      <c r="Q841" s="207"/>
      <c r="R841" s="207"/>
      <c r="S841" s="207"/>
      <c r="T841" s="207"/>
      <c r="U841" s="207"/>
      <c r="V841" s="207"/>
      <c r="W841" s="208"/>
      <c r="X841" s="208"/>
      <c r="Y841" s="208"/>
      <c r="Z841" s="208"/>
      <c r="AA841" s="208"/>
      <c r="AB841" s="208"/>
      <c r="AC841" s="208"/>
      <c r="AD841" s="208"/>
      <c r="AE841" s="208"/>
      <c r="AF841" s="208"/>
      <c r="AG841" s="208"/>
      <c r="AH841" s="208"/>
      <c r="AI841" s="100"/>
      <c r="AJ841" s="100"/>
      <c r="AK841" s="100"/>
      <c r="AL841" s="100"/>
      <c r="AM841" s="100"/>
      <c r="AN841" s="100"/>
      <c r="AO841" s="100"/>
    </row>
    <row r="842" ht="14.25" customHeight="1">
      <c r="A842" s="195"/>
      <c r="B842" s="100"/>
      <c r="C842" s="100"/>
      <c r="D842" s="100"/>
      <c r="E842" s="100"/>
      <c r="F842" s="206"/>
      <c r="G842" s="206"/>
      <c r="H842" s="207"/>
      <c r="I842" s="207"/>
      <c r="J842" s="207"/>
      <c r="K842" s="207"/>
      <c r="L842" s="207"/>
      <c r="M842" s="207"/>
      <c r="N842" s="207"/>
      <c r="O842" s="207"/>
      <c r="P842" s="207"/>
      <c r="Q842" s="207"/>
      <c r="R842" s="207"/>
      <c r="S842" s="207"/>
      <c r="T842" s="207"/>
      <c r="U842" s="207"/>
      <c r="V842" s="207"/>
      <c r="W842" s="208"/>
      <c r="X842" s="208"/>
      <c r="Y842" s="208"/>
      <c r="Z842" s="208"/>
      <c r="AA842" s="208"/>
      <c r="AB842" s="208"/>
      <c r="AC842" s="208"/>
      <c r="AD842" s="208"/>
      <c r="AE842" s="208"/>
      <c r="AF842" s="208"/>
      <c r="AG842" s="208"/>
      <c r="AH842" s="208"/>
      <c r="AI842" s="100"/>
      <c r="AJ842" s="100"/>
      <c r="AK842" s="100"/>
      <c r="AL842" s="100"/>
      <c r="AM842" s="100"/>
      <c r="AN842" s="100"/>
      <c r="AO842" s="100"/>
    </row>
    <row r="843" ht="14.25" customHeight="1">
      <c r="A843" s="195"/>
      <c r="B843" s="100"/>
      <c r="C843" s="100"/>
      <c r="D843" s="100"/>
      <c r="E843" s="100"/>
      <c r="F843" s="206"/>
      <c r="G843" s="206"/>
      <c r="H843" s="207"/>
      <c r="I843" s="207"/>
      <c r="J843" s="207"/>
      <c r="K843" s="207"/>
      <c r="L843" s="207"/>
      <c r="M843" s="207"/>
      <c r="N843" s="207"/>
      <c r="O843" s="207"/>
      <c r="P843" s="207"/>
      <c r="Q843" s="207"/>
      <c r="R843" s="207"/>
      <c r="S843" s="207"/>
      <c r="T843" s="207"/>
      <c r="U843" s="207"/>
      <c r="V843" s="207"/>
      <c r="W843" s="208"/>
      <c r="X843" s="208"/>
      <c r="Y843" s="208"/>
      <c r="Z843" s="208"/>
      <c r="AA843" s="208"/>
      <c r="AB843" s="208"/>
      <c r="AC843" s="208"/>
      <c r="AD843" s="208"/>
      <c r="AE843" s="208"/>
      <c r="AF843" s="208"/>
      <c r="AG843" s="208"/>
      <c r="AH843" s="208"/>
      <c r="AI843" s="100"/>
      <c r="AJ843" s="100"/>
      <c r="AK843" s="100"/>
      <c r="AL843" s="100"/>
      <c r="AM843" s="100"/>
      <c r="AN843" s="100"/>
      <c r="AO843" s="100"/>
    </row>
    <row r="844" ht="14.25" customHeight="1">
      <c r="A844" s="195"/>
      <c r="B844" s="100"/>
      <c r="C844" s="100"/>
      <c r="D844" s="100"/>
      <c r="E844" s="100"/>
      <c r="F844" s="206"/>
      <c r="G844" s="206"/>
      <c r="H844" s="207"/>
      <c r="I844" s="207"/>
      <c r="J844" s="207"/>
      <c r="K844" s="207"/>
      <c r="L844" s="207"/>
      <c r="M844" s="207"/>
      <c r="N844" s="207"/>
      <c r="O844" s="207"/>
      <c r="P844" s="207"/>
      <c r="Q844" s="207"/>
      <c r="R844" s="207"/>
      <c r="S844" s="207"/>
      <c r="T844" s="207"/>
      <c r="U844" s="207"/>
      <c r="V844" s="207"/>
      <c r="W844" s="208"/>
      <c r="X844" s="208"/>
      <c r="Y844" s="208"/>
      <c r="Z844" s="208"/>
      <c r="AA844" s="208"/>
      <c r="AB844" s="208"/>
      <c r="AC844" s="208"/>
      <c r="AD844" s="208"/>
      <c r="AE844" s="208"/>
      <c r="AF844" s="208"/>
      <c r="AG844" s="208"/>
      <c r="AH844" s="208"/>
      <c r="AI844" s="100"/>
      <c r="AJ844" s="100"/>
      <c r="AK844" s="100"/>
      <c r="AL844" s="100"/>
      <c r="AM844" s="100"/>
      <c r="AN844" s="100"/>
      <c r="AO844" s="100"/>
    </row>
    <row r="845" ht="14.25" customHeight="1">
      <c r="A845" s="195"/>
      <c r="B845" s="100"/>
      <c r="C845" s="100"/>
      <c r="D845" s="100"/>
      <c r="E845" s="100"/>
      <c r="F845" s="206"/>
      <c r="G845" s="206"/>
      <c r="H845" s="207"/>
      <c r="I845" s="207"/>
      <c r="J845" s="207"/>
      <c r="K845" s="207"/>
      <c r="L845" s="207"/>
      <c r="M845" s="207"/>
      <c r="N845" s="207"/>
      <c r="O845" s="207"/>
      <c r="P845" s="207"/>
      <c r="Q845" s="207"/>
      <c r="R845" s="207"/>
      <c r="S845" s="207"/>
      <c r="T845" s="207"/>
      <c r="U845" s="207"/>
      <c r="V845" s="207"/>
      <c r="W845" s="208"/>
      <c r="X845" s="208"/>
      <c r="Y845" s="208"/>
      <c r="Z845" s="208"/>
      <c r="AA845" s="208"/>
      <c r="AB845" s="208"/>
      <c r="AC845" s="208"/>
      <c r="AD845" s="208"/>
      <c r="AE845" s="208"/>
      <c r="AF845" s="208"/>
      <c r="AG845" s="208"/>
      <c r="AH845" s="208"/>
      <c r="AI845" s="100"/>
      <c r="AJ845" s="100"/>
      <c r="AK845" s="100"/>
      <c r="AL845" s="100"/>
      <c r="AM845" s="100"/>
      <c r="AN845" s="100"/>
      <c r="AO845" s="100"/>
    </row>
    <row r="846" ht="14.25" customHeight="1">
      <c r="A846" s="195"/>
      <c r="B846" s="100"/>
      <c r="C846" s="100"/>
      <c r="D846" s="100"/>
      <c r="E846" s="100"/>
      <c r="F846" s="206"/>
      <c r="G846" s="206"/>
      <c r="H846" s="207"/>
      <c r="I846" s="207"/>
      <c r="J846" s="207"/>
      <c r="K846" s="207"/>
      <c r="L846" s="207"/>
      <c r="M846" s="207"/>
      <c r="N846" s="207"/>
      <c r="O846" s="207"/>
      <c r="P846" s="207"/>
      <c r="Q846" s="207"/>
      <c r="R846" s="207"/>
      <c r="S846" s="207"/>
      <c r="T846" s="207"/>
      <c r="U846" s="207"/>
      <c r="V846" s="207"/>
      <c r="W846" s="208"/>
      <c r="X846" s="208"/>
      <c r="Y846" s="208"/>
      <c r="Z846" s="208"/>
      <c r="AA846" s="208"/>
      <c r="AB846" s="208"/>
      <c r="AC846" s="208"/>
      <c r="AD846" s="208"/>
      <c r="AE846" s="208"/>
      <c r="AF846" s="208"/>
      <c r="AG846" s="208"/>
      <c r="AH846" s="208"/>
      <c r="AI846" s="100"/>
      <c r="AJ846" s="100"/>
      <c r="AK846" s="100"/>
      <c r="AL846" s="100"/>
      <c r="AM846" s="100"/>
      <c r="AN846" s="100"/>
      <c r="AO846" s="100"/>
    </row>
    <row r="847" ht="14.25" customHeight="1">
      <c r="A847" s="195"/>
      <c r="B847" s="100"/>
      <c r="C847" s="100"/>
      <c r="D847" s="100"/>
      <c r="E847" s="100"/>
      <c r="F847" s="206"/>
      <c r="G847" s="206"/>
      <c r="H847" s="207"/>
      <c r="I847" s="207"/>
      <c r="J847" s="207"/>
      <c r="K847" s="207"/>
      <c r="L847" s="207"/>
      <c r="M847" s="207"/>
      <c r="N847" s="207"/>
      <c r="O847" s="207"/>
      <c r="P847" s="207"/>
      <c r="Q847" s="207"/>
      <c r="R847" s="207"/>
      <c r="S847" s="207"/>
      <c r="T847" s="207"/>
      <c r="U847" s="207"/>
      <c r="V847" s="207"/>
      <c r="W847" s="208"/>
      <c r="X847" s="208"/>
      <c r="Y847" s="208"/>
      <c r="Z847" s="208"/>
      <c r="AA847" s="208"/>
      <c r="AB847" s="208"/>
      <c r="AC847" s="208"/>
      <c r="AD847" s="208"/>
      <c r="AE847" s="208"/>
      <c r="AF847" s="208"/>
      <c r="AG847" s="208"/>
      <c r="AH847" s="208"/>
      <c r="AI847" s="100"/>
      <c r="AJ847" s="100"/>
      <c r="AK847" s="100"/>
      <c r="AL847" s="100"/>
      <c r="AM847" s="100"/>
      <c r="AN847" s="100"/>
      <c r="AO847" s="100"/>
    </row>
    <row r="848" ht="14.25" customHeight="1">
      <c r="A848" s="195"/>
      <c r="B848" s="100"/>
      <c r="C848" s="100"/>
      <c r="D848" s="100"/>
      <c r="E848" s="100"/>
      <c r="F848" s="206"/>
      <c r="G848" s="206"/>
      <c r="H848" s="207"/>
      <c r="I848" s="207"/>
      <c r="J848" s="207"/>
      <c r="K848" s="207"/>
      <c r="L848" s="207"/>
      <c r="M848" s="207"/>
      <c r="N848" s="207"/>
      <c r="O848" s="207"/>
      <c r="P848" s="207"/>
      <c r="Q848" s="207"/>
      <c r="R848" s="207"/>
      <c r="S848" s="207"/>
      <c r="T848" s="207"/>
      <c r="U848" s="207"/>
      <c r="V848" s="207"/>
      <c r="W848" s="208"/>
      <c r="X848" s="208"/>
      <c r="Y848" s="208"/>
      <c r="Z848" s="208"/>
      <c r="AA848" s="208"/>
      <c r="AB848" s="208"/>
      <c r="AC848" s="208"/>
      <c r="AD848" s="208"/>
      <c r="AE848" s="208"/>
      <c r="AF848" s="208"/>
      <c r="AG848" s="208"/>
      <c r="AH848" s="208"/>
      <c r="AI848" s="100"/>
      <c r="AJ848" s="100"/>
      <c r="AK848" s="100"/>
      <c r="AL848" s="100"/>
      <c r="AM848" s="100"/>
      <c r="AN848" s="100"/>
      <c r="AO848" s="100"/>
    </row>
    <row r="849" ht="14.25" customHeight="1">
      <c r="A849" s="195"/>
      <c r="B849" s="100"/>
      <c r="C849" s="100"/>
      <c r="D849" s="100"/>
      <c r="E849" s="100"/>
      <c r="F849" s="206"/>
      <c r="G849" s="206"/>
      <c r="H849" s="207"/>
      <c r="I849" s="207"/>
      <c r="J849" s="207"/>
      <c r="K849" s="207"/>
      <c r="L849" s="207"/>
      <c r="M849" s="207"/>
      <c r="N849" s="207"/>
      <c r="O849" s="207"/>
      <c r="P849" s="207"/>
      <c r="Q849" s="207"/>
      <c r="R849" s="207"/>
      <c r="S849" s="207"/>
      <c r="T849" s="207"/>
      <c r="U849" s="207"/>
      <c r="V849" s="207"/>
      <c r="W849" s="208"/>
      <c r="X849" s="208"/>
      <c r="Y849" s="208"/>
      <c r="Z849" s="208"/>
      <c r="AA849" s="208"/>
      <c r="AB849" s="208"/>
      <c r="AC849" s="208"/>
      <c r="AD849" s="208"/>
      <c r="AE849" s="208"/>
      <c r="AF849" s="208"/>
      <c r="AG849" s="208"/>
      <c r="AH849" s="208"/>
      <c r="AI849" s="100"/>
      <c r="AJ849" s="100"/>
      <c r="AK849" s="100"/>
      <c r="AL849" s="100"/>
      <c r="AM849" s="100"/>
      <c r="AN849" s="100"/>
      <c r="AO849" s="100"/>
    </row>
    <row r="850" ht="14.25" customHeight="1">
      <c r="A850" s="195"/>
      <c r="B850" s="100"/>
      <c r="C850" s="100"/>
      <c r="D850" s="100"/>
      <c r="E850" s="100"/>
      <c r="F850" s="206"/>
      <c r="G850" s="206"/>
      <c r="H850" s="207"/>
      <c r="I850" s="207"/>
      <c r="J850" s="207"/>
      <c r="K850" s="207"/>
      <c r="L850" s="207"/>
      <c r="M850" s="207"/>
      <c r="N850" s="207"/>
      <c r="O850" s="207"/>
      <c r="P850" s="207"/>
      <c r="Q850" s="207"/>
      <c r="R850" s="207"/>
      <c r="S850" s="207"/>
      <c r="T850" s="207"/>
      <c r="U850" s="207"/>
      <c r="V850" s="207"/>
      <c r="W850" s="208"/>
      <c r="X850" s="208"/>
      <c r="Y850" s="208"/>
      <c r="Z850" s="208"/>
      <c r="AA850" s="208"/>
      <c r="AB850" s="208"/>
      <c r="AC850" s="208"/>
      <c r="AD850" s="208"/>
      <c r="AE850" s="208"/>
      <c r="AF850" s="208"/>
      <c r="AG850" s="208"/>
      <c r="AH850" s="208"/>
      <c r="AI850" s="100"/>
      <c r="AJ850" s="100"/>
      <c r="AK850" s="100"/>
      <c r="AL850" s="100"/>
      <c r="AM850" s="100"/>
      <c r="AN850" s="100"/>
      <c r="AO850" s="100"/>
    </row>
    <row r="851" ht="14.25" customHeight="1">
      <c r="A851" s="195"/>
      <c r="B851" s="100"/>
      <c r="C851" s="100"/>
      <c r="D851" s="100"/>
      <c r="E851" s="100"/>
      <c r="F851" s="206"/>
      <c r="G851" s="206"/>
      <c r="H851" s="207"/>
      <c r="I851" s="207"/>
      <c r="J851" s="207"/>
      <c r="K851" s="207"/>
      <c r="L851" s="207"/>
      <c r="M851" s="207"/>
      <c r="N851" s="207"/>
      <c r="O851" s="207"/>
      <c r="P851" s="207"/>
      <c r="Q851" s="207"/>
      <c r="R851" s="207"/>
      <c r="S851" s="207"/>
      <c r="T851" s="207"/>
      <c r="U851" s="207"/>
      <c r="V851" s="207"/>
      <c r="W851" s="208"/>
      <c r="X851" s="208"/>
      <c r="Y851" s="208"/>
      <c r="Z851" s="208"/>
      <c r="AA851" s="208"/>
      <c r="AB851" s="208"/>
      <c r="AC851" s="208"/>
      <c r="AD851" s="208"/>
      <c r="AE851" s="208"/>
      <c r="AF851" s="208"/>
      <c r="AG851" s="208"/>
      <c r="AH851" s="208"/>
      <c r="AI851" s="100"/>
      <c r="AJ851" s="100"/>
      <c r="AK851" s="100"/>
      <c r="AL851" s="100"/>
      <c r="AM851" s="100"/>
      <c r="AN851" s="100"/>
      <c r="AO851" s="100"/>
    </row>
    <row r="852" ht="14.25" customHeight="1">
      <c r="A852" s="195"/>
      <c r="B852" s="100"/>
      <c r="C852" s="100"/>
      <c r="D852" s="100"/>
      <c r="E852" s="100"/>
      <c r="F852" s="206"/>
      <c r="G852" s="206"/>
      <c r="H852" s="207"/>
      <c r="I852" s="207"/>
      <c r="J852" s="207"/>
      <c r="K852" s="207"/>
      <c r="L852" s="207"/>
      <c r="M852" s="207"/>
      <c r="N852" s="207"/>
      <c r="O852" s="207"/>
      <c r="P852" s="207"/>
      <c r="Q852" s="207"/>
      <c r="R852" s="207"/>
      <c r="S852" s="207"/>
      <c r="T852" s="207"/>
      <c r="U852" s="207"/>
      <c r="V852" s="207"/>
      <c r="W852" s="208"/>
      <c r="X852" s="208"/>
      <c r="Y852" s="208"/>
      <c r="Z852" s="208"/>
      <c r="AA852" s="208"/>
      <c r="AB852" s="208"/>
      <c r="AC852" s="208"/>
      <c r="AD852" s="208"/>
      <c r="AE852" s="208"/>
      <c r="AF852" s="208"/>
      <c r="AG852" s="208"/>
      <c r="AH852" s="208"/>
      <c r="AI852" s="100"/>
      <c r="AJ852" s="100"/>
      <c r="AK852" s="100"/>
      <c r="AL852" s="100"/>
      <c r="AM852" s="100"/>
      <c r="AN852" s="100"/>
      <c r="AO852" s="100"/>
    </row>
    <row r="853" ht="14.25" customHeight="1">
      <c r="A853" s="195"/>
      <c r="B853" s="100"/>
      <c r="C853" s="100"/>
      <c r="D853" s="100"/>
      <c r="E853" s="100"/>
      <c r="F853" s="206"/>
      <c r="G853" s="206"/>
      <c r="H853" s="207"/>
      <c r="I853" s="207"/>
      <c r="J853" s="207"/>
      <c r="K853" s="207"/>
      <c r="L853" s="207"/>
      <c r="M853" s="207"/>
      <c r="N853" s="207"/>
      <c r="O853" s="207"/>
      <c r="P853" s="207"/>
      <c r="Q853" s="207"/>
      <c r="R853" s="207"/>
      <c r="S853" s="207"/>
      <c r="T853" s="207"/>
      <c r="U853" s="207"/>
      <c r="V853" s="207"/>
      <c r="W853" s="208"/>
      <c r="X853" s="208"/>
      <c r="Y853" s="208"/>
      <c r="Z853" s="208"/>
      <c r="AA853" s="208"/>
      <c r="AB853" s="208"/>
      <c r="AC853" s="208"/>
      <c r="AD853" s="208"/>
      <c r="AE853" s="208"/>
      <c r="AF853" s="208"/>
      <c r="AG853" s="208"/>
      <c r="AH853" s="208"/>
      <c r="AI853" s="100"/>
      <c r="AJ853" s="100"/>
      <c r="AK853" s="100"/>
      <c r="AL853" s="100"/>
      <c r="AM853" s="100"/>
      <c r="AN853" s="100"/>
      <c r="AO853" s="100"/>
    </row>
    <row r="854" ht="14.25" customHeight="1">
      <c r="A854" s="195"/>
      <c r="B854" s="100"/>
      <c r="C854" s="100"/>
      <c r="D854" s="100"/>
      <c r="E854" s="100"/>
      <c r="F854" s="206"/>
      <c r="G854" s="206"/>
      <c r="H854" s="207"/>
      <c r="I854" s="207"/>
      <c r="J854" s="207"/>
      <c r="K854" s="207"/>
      <c r="L854" s="207"/>
      <c r="M854" s="207"/>
      <c r="N854" s="207"/>
      <c r="O854" s="207"/>
      <c r="P854" s="207"/>
      <c r="Q854" s="207"/>
      <c r="R854" s="207"/>
      <c r="S854" s="207"/>
      <c r="T854" s="207"/>
      <c r="U854" s="207"/>
      <c r="V854" s="207"/>
      <c r="W854" s="208"/>
      <c r="X854" s="208"/>
      <c r="Y854" s="208"/>
      <c r="Z854" s="208"/>
      <c r="AA854" s="208"/>
      <c r="AB854" s="208"/>
      <c r="AC854" s="208"/>
      <c r="AD854" s="208"/>
      <c r="AE854" s="208"/>
      <c r="AF854" s="208"/>
      <c r="AG854" s="208"/>
      <c r="AH854" s="208"/>
      <c r="AI854" s="100"/>
      <c r="AJ854" s="100"/>
      <c r="AK854" s="100"/>
      <c r="AL854" s="100"/>
      <c r="AM854" s="100"/>
      <c r="AN854" s="100"/>
      <c r="AO854" s="100"/>
    </row>
    <row r="855" ht="14.25" customHeight="1">
      <c r="A855" s="195"/>
      <c r="B855" s="100"/>
      <c r="C855" s="100"/>
      <c r="D855" s="100"/>
      <c r="E855" s="100"/>
      <c r="F855" s="206"/>
      <c r="G855" s="206"/>
      <c r="H855" s="207"/>
      <c r="I855" s="207"/>
      <c r="J855" s="207"/>
      <c r="K855" s="207"/>
      <c r="L855" s="207"/>
      <c r="M855" s="207"/>
      <c r="N855" s="207"/>
      <c r="O855" s="207"/>
      <c r="P855" s="207"/>
      <c r="Q855" s="207"/>
      <c r="R855" s="207"/>
      <c r="S855" s="207"/>
      <c r="T855" s="207"/>
      <c r="U855" s="207"/>
      <c r="V855" s="207"/>
      <c r="W855" s="208"/>
      <c r="X855" s="208"/>
      <c r="Y855" s="208"/>
      <c r="Z855" s="208"/>
      <c r="AA855" s="208"/>
      <c r="AB855" s="208"/>
      <c r="AC855" s="208"/>
      <c r="AD855" s="208"/>
      <c r="AE855" s="208"/>
      <c r="AF855" s="208"/>
      <c r="AG855" s="208"/>
      <c r="AH855" s="208"/>
      <c r="AI855" s="100"/>
      <c r="AJ855" s="100"/>
      <c r="AK855" s="100"/>
      <c r="AL855" s="100"/>
      <c r="AM855" s="100"/>
      <c r="AN855" s="100"/>
      <c r="AO855" s="100"/>
    </row>
    <row r="856" ht="14.25" customHeight="1">
      <c r="A856" s="195"/>
      <c r="B856" s="100"/>
      <c r="C856" s="100"/>
      <c r="D856" s="100"/>
      <c r="E856" s="100"/>
      <c r="F856" s="206"/>
      <c r="G856" s="206"/>
      <c r="H856" s="207"/>
      <c r="I856" s="207"/>
      <c r="J856" s="207"/>
      <c r="K856" s="207"/>
      <c r="L856" s="207"/>
      <c r="M856" s="207"/>
      <c r="N856" s="207"/>
      <c r="O856" s="207"/>
      <c r="P856" s="207"/>
      <c r="Q856" s="207"/>
      <c r="R856" s="207"/>
      <c r="S856" s="207"/>
      <c r="T856" s="207"/>
      <c r="U856" s="207"/>
      <c r="V856" s="207"/>
      <c r="W856" s="208"/>
      <c r="X856" s="208"/>
      <c r="Y856" s="208"/>
      <c r="Z856" s="208"/>
      <c r="AA856" s="208"/>
      <c r="AB856" s="208"/>
      <c r="AC856" s="208"/>
      <c r="AD856" s="208"/>
      <c r="AE856" s="208"/>
      <c r="AF856" s="208"/>
      <c r="AG856" s="208"/>
      <c r="AH856" s="208"/>
      <c r="AI856" s="100"/>
      <c r="AJ856" s="100"/>
      <c r="AK856" s="100"/>
      <c r="AL856" s="100"/>
      <c r="AM856" s="100"/>
      <c r="AN856" s="100"/>
      <c r="AO856" s="100"/>
    </row>
    <row r="857" ht="14.25" customHeight="1">
      <c r="A857" s="195"/>
      <c r="B857" s="100"/>
      <c r="C857" s="100"/>
      <c r="D857" s="100"/>
      <c r="E857" s="100"/>
      <c r="F857" s="206"/>
      <c r="G857" s="206"/>
      <c r="H857" s="207"/>
      <c r="I857" s="207"/>
      <c r="J857" s="207"/>
      <c r="K857" s="207"/>
      <c r="L857" s="207"/>
      <c r="M857" s="207"/>
      <c r="N857" s="207"/>
      <c r="O857" s="207"/>
      <c r="P857" s="207"/>
      <c r="Q857" s="207"/>
      <c r="R857" s="207"/>
      <c r="S857" s="207"/>
      <c r="T857" s="207"/>
      <c r="U857" s="207"/>
      <c r="V857" s="207"/>
      <c r="W857" s="208"/>
      <c r="X857" s="208"/>
      <c r="Y857" s="208"/>
      <c r="Z857" s="208"/>
      <c r="AA857" s="208"/>
      <c r="AB857" s="208"/>
      <c r="AC857" s="208"/>
      <c r="AD857" s="208"/>
      <c r="AE857" s="208"/>
      <c r="AF857" s="208"/>
      <c r="AG857" s="208"/>
      <c r="AH857" s="208"/>
      <c r="AI857" s="100"/>
      <c r="AJ857" s="100"/>
      <c r="AK857" s="100"/>
      <c r="AL857" s="100"/>
      <c r="AM857" s="100"/>
      <c r="AN857" s="100"/>
      <c r="AO857" s="100"/>
    </row>
    <row r="858" ht="14.25" customHeight="1">
      <c r="A858" s="195"/>
      <c r="B858" s="100"/>
      <c r="C858" s="100"/>
      <c r="D858" s="100"/>
      <c r="E858" s="100"/>
      <c r="F858" s="206"/>
      <c r="G858" s="206"/>
      <c r="H858" s="207"/>
      <c r="I858" s="207"/>
      <c r="J858" s="207"/>
      <c r="K858" s="207"/>
      <c r="L858" s="207"/>
      <c r="M858" s="207"/>
      <c r="N858" s="207"/>
      <c r="O858" s="207"/>
      <c r="P858" s="207"/>
      <c r="Q858" s="207"/>
      <c r="R858" s="207"/>
      <c r="S858" s="207"/>
      <c r="T858" s="207"/>
      <c r="U858" s="207"/>
      <c r="V858" s="207"/>
      <c r="W858" s="208"/>
      <c r="X858" s="208"/>
      <c r="Y858" s="208"/>
      <c r="Z858" s="208"/>
      <c r="AA858" s="208"/>
      <c r="AB858" s="208"/>
      <c r="AC858" s="208"/>
      <c r="AD858" s="208"/>
      <c r="AE858" s="208"/>
      <c r="AF858" s="208"/>
      <c r="AG858" s="208"/>
      <c r="AH858" s="208"/>
      <c r="AI858" s="100"/>
      <c r="AJ858" s="100"/>
      <c r="AK858" s="100"/>
      <c r="AL858" s="100"/>
      <c r="AM858" s="100"/>
      <c r="AN858" s="100"/>
      <c r="AO858" s="100"/>
    </row>
    <row r="859" ht="14.25" customHeight="1">
      <c r="A859" s="195"/>
      <c r="B859" s="100"/>
      <c r="C859" s="100"/>
      <c r="D859" s="100"/>
      <c r="E859" s="100"/>
      <c r="F859" s="206"/>
      <c r="G859" s="206"/>
      <c r="H859" s="207"/>
      <c r="I859" s="207"/>
      <c r="J859" s="207"/>
      <c r="K859" s="207"/>
      <c r="L859" s="207"/>
      <c r="M859" s="207"/>
      <c r="N859" s="207"/>
      <c r="O859" s="207"/>
      <c r="P859" s="207"/>
      <c r="Q859" s="207"/>
      <c r="R859" s="207"/>
      <c r="S859" s="207"/>
      <c r="T859" s="207"/>
      <c r="U859" s="207"/>
      <c r="V859" s="207"/>
      <c r="W859" s="208"/>
      <c r="X859" s="208"/>
      <c r="Y859" s="208"/>
      <c r="Z859" s="208"/>
      <c r="AA859" s="208"/>
      <c r="AB859" s="208"/>
      <c r="AC859" s="208"/>
      <c r="AD859" s="208"/>
      <c r="AE859" s="208"/>
      <c r="AF859" s="208"/>
      <c r="AG859" s="208"/>
      <c r="AH859" s="208"/>
      <c r="AI859" s="100"/>
      <c r="AJ859" s="100"/>
      <c r="AK859" s="100"/>
      <c r="AL859" s="100"/>
      <c r="AM859" s="100"/>
      <c r="AN859" s="100"/>
      <c r="AO859" s="100"/>
    </row>
    <row r="860" ht="14.25" customHeight="1">
      <c r="A860" s="195"/>
      <c r="B860" s="100"/>
      <c r="C860" s="100"/>
      <c r="D860" s="100"/>
      <c r="E860" s="100"/>
      <c r="F860" s="206"/>
      <c r="G860" s="206"/>
      <c r="H860" s="207"/>
      <c r="I860" s="207"/>
      <c r="J860" s="207"/>
      <c r="K860" s="207"/>
      <c r="L860" s="207"/>
      <c r="M860" s="207"/>
      <c r="N860" s="207"/>
      <c r="O860" s="207"/>
      <c r="P860" s="207"/>
      <c r="Q860" s="207"/>
      <c r="R860" s="207"/>
      <c r="S860" s="207"/>
      <c r="T860" s="207"/>
      <c r="U860" s="207"/>
      <c r="V860" s="207"/>
      <c r="W860" s="208"/>
      <c r="X860" s="208"/>
      <c r="Y860" s="208"/>
      <c r="Z860" s="208"/>
      <c r="AA860" s="208"/>
      <c r="AB860" s="208"/>
      <c r="AC860" s="208"/>
      <c r="AD860" s="208"/>
      <c r="AE860" s="208"/>
      <c r="AF860" s="208"/>
      <c r="AG860" s="208"/>
      <c r="AH860" s="208"/>
      <c r="AI860" s="100"/>
      <c r="AJ860" s="100"/>
      <c r="AK860" s="100"/>
      <c r="AL860" s="100"/>
      <c r="AM860" s="100"/>
      <c r="AN860" s="100"/>
      <c r="AO860" s="100"/>
    </row>
    <row r="861" ht="14.25" customHeight="1">
      <c r="A861" s="195"/>
      <c r="B861" s="100"/>
      <c r="C861" s="100"/>
      <c r="D861" s="100"/>
      <c r="E861" s="100"/>
      <c r="F861" s="206"/>
      <c r="G861" s="206"/>
      <c r="H861" s="207"/>
      <c r="I861" s="207"/>
      <c r="J861" s="207"/>
      <c r="K861" s="207"/>
      <c r="L861" s="207"/>
      <c r="M861" s="207"/>
      <c r="N861" s="207"/>
      <c r="O861" s="207"/>
      <c r="P861" s="207"/>
      <c r="Q861" s="207"/>
      <c r="R861" s="207"/>
      <c r="S861" s="207"/>
      <c r="T861" s="207"/>
      <c r="U861" s="207"/>
      <c r="V861" s="207"/>
      <c r="W861" s="208"/>
      <c r="X861" s="208"/>
      <c r="Y861" s="208"/>
      <c r="Z861" s="208"/>
      <c r="AA861" s="208"/>
      <c r="AB861" s="208"/>
      <c r="AC861" s="208"/>
      <c r="AD861" s="208"/>
      <c r="AE861" s="208"/>
      <c r="AF861" s="208"/>
      <c r="AG861" s="208"/>
      <c r="AH861" s="208"/>
      <c r="AI861" s="100"/>
      <c r="AJ861" s="100"/>
      <c r="AK861" s="100"/>
      <c r="AL861" s="100"/>
      <c r="AM861" s="100"/>
      <c r="AN861" s="100"/>
      <c r="AO861" s="100"/>
    </row>
    <row r="862" ht="14.25" customHeight="1">
      <c r="A862" s="195"/>
      <c r="B862" s="100"/>
      <c r="C862" s="100"/>
      <c r="D862" s="100"/>
      <c r="E862" s="100"/>
      <c r="F862" s="206"/>
      <c r="G862" s="206"/>
      <c r="H862" s="207"/>
      <c r="I862" s="207"/>
      <c r="J862" s="207"/>
      <c r="K862" s="207"/>
      <c r="L862" s="207"/>
      <c r="M862" s="207"/>
      <c r="N862" s="207"/>
      <c r="O862" s="207"/>
      <c r="P862" s="207"/>
      <c r="Q862" s="207"/>
      <c r="R862" s="207"/>
      <c r="S862" s="207"/>
      <c r="T862" s="207"/>
      <c r="U862" s="207"/>
      <c r="V862" s="207"/>
      <c r="W862" s="208"/>
      <c r="X862" s="208"/>
      <c r="Y862" s="208"/>
      <c r="Z862" s="208"/>
      <c r="AA862" s="208"/>
      <c r="AB862" s="208"/>
      <c r="AC862" s="208"/>
      <c r="AD862" s="208"/>
      <c r="AE862" s="208"/>
      <c r="AF862" s="208"/>
      <c r="AG862" s="208"/>
      <c r="AH862" s="208"/>
      <c r="AI862" s="100"/>
      <c r="AJ862" s="100"/>
      <c r="AK862" s="100"/>
      <c r="AL862" s="100"/>
      <c r="AM862" s="100"/>
      <c r="AN862" s="100"/>
      <c r="AO862" s="100"/>
    </row>
    <row r="863" ht="14.25" customHeight="1">
      <c r="A863" s="195"/>
      <c r="B863" s="100"/>
      <c r="C863" s="100"/>
      <c r="D863" s="100"/>
      <c r="E863" s="100"/>
      <c r="F863" s="206"/>
      <c r="G863" s="206"/>
      <c r="H863" s="207"/>
      <c r="I863" s="207"/>
      <c r="J863" s="207"/>
      <c r="K863" s="207"/>
      <c r="L863" s="207"/>
      <c r="M863" s="207"/>
      <c r="N863" s="207"/>
      <c r="O863" s="207"/>
      <c r="P863" s="207"/>
      <c r="Q863" s="207"/>
      <c r="R863" s="207"/>
      <c r="S863" s="207"/>
      <c r="T863" s="207"/>
      <c r="U863" s="207"/>
      <c r="V863" s="207"/>
      <c r="W863" s="208"/>
      <c r="X863" s="208"/>
      <c r="Y863" s="208"/>
      <c r="Z863" s="208"/>
      <c r="AA863" s="208"/>
      <c r="AB863" s="208"/>
      <c r="AC863" s="208"/>
      <c r="AD863" s="208"/>
      <c r="AE863" s="208"/>
      <c r="AF863" s="208"/>
      <c r="AG863" s="208"/>
      <c r="AH863" s="208"/>
      <c r="AI863" s="100"/>
      <c r="AJ863" s="100"/>
      <c r="AK863" s="100"/>
      <c r="AL863" s="100"/>
      <c r="AM863" s="100"/>
      <c r="AN863" s="100"/>
      <c r="AO863" s="100"/>
    </row>
    <row r="864" ht="14.25" customHeight="1">
      <c r="A864" s="195"/>
      <c r="B864" s="100"/>
      <c r="C864" s="100"/>
      <c r="D864" s="100"/>
      <c r="E864" s="100"/>
      <c r="F864" s="206"/>
      <c r="G864" s="206"/>
      <c r="H864" s="207"/>
      <c r="I864" s="207"/>
      <c r="J864" s="207"/>
      <c r="K864" s="207"/>
      <c r="L864" s="207"/>
      <c r="M864" s="207"/>
      <c r="N864" s="207"/>
      <c r="O864" s="207"/>
      <c r="P864" s="207"/>
      <c r="Q864" s="207"/>
      <c r="R864" s="207"/>
      <c r="S864" s="207"/>
      <c r="T864" s="207"/>
      <c r="U864" s="207"/>
      <c r="V864" s="207"/>
      <c r="W864" s="208"/>
      <c r="X864" s="208"/>
      <c r="Y864" s="208"/>
      <c r="Z864" s="208"/>
      <c r="AA864" s="208"/>
      <c r="AB864" s="208"/>
      <c r="AC864" s="208"/>
      <c r="AD864" s="208"/>
      <c r="AE864" s="208"/>
      <c r="AF864" s="208"/>
      <c r="AG864" s="208"/>
      <c r="AH864" s="208"/>
      <c r="AI864" s="100"/>
      <c r="AJ864" s="100"/>
      <c r="AK864" s="100"/>
      <c r="AL864" s="100"/>
      <c r="AM864" s="100"/>
      <c r="AN864" s="100"/>
      <c r="AO864" s="100"/>
    </row>
    <row r="865" ht="14.25" customHeight="1">
      <c r="A865" s="195"/>
      <c r="B865" s="100"/>
      <c r="C865" s="100"/>
      <c r="D865" s="100"/>
      <c r="E865" s="100"/>
      <c r="F865" s="206"/>
      <c r="G865" s="206"/>
      <c r="H865" s="207"/>
      <c r="I865" s="207"/>
      <c r="J865" s="207"/>
      <c r="K865" s="207"/>
      <c r="L865" s="207"/>
      <c r="M865" s="207"/>
      <c r="N865" s="207"/>
      <c r="O865" s="207"/>
      <c r="P865" s="207"/>
      <c r="Q865" s="207"/>
      <c r="R865" s="207"/>
      <c r="S865" s="207"/>
      <c r="T865" s="207"/>
      <c r="U865" s="207"/>
      <c r="V865" s="207"/>
      <c r="W865" s="208"/>
      <c r="X865" s="208"/>
      <c r="Y865" s="208"/>
      <c r="Z865" s="208"/>
      <c r="AA865" s="208"/>
      <c r="AB865" s="208"/>
      <c r="AC865" s="208"/>
      <c r="AD865" s="208"/>
      <c r="AE865" s="208"/>
      <c r="AF865" s="208"/>
      <c r="AG865" s="208"/>
      <c r="AH865" s="208"/>
      <c r="AI865" s="100"/>
      <c r="AJ865" s="100"/>
      <c r="AK865" s="100"/>
      <c r="AL865" s="100"/>
      <c r="AM865" s="100"/>
      <c r="AN865" s="100"/>
      <c r="AO865" s="100"/>
    </row>
    <row r="866" ht="14.25" customHeight="1">
      <c r="A866" s="195"/>
      <c r="B866" s="100"/>
      <c r="C866" s="100"/>
      <c r="D866" s="100"/>
      <c r="E866" s="100"/>
      <c r="F866" s="206"/>
      <c r="G866" s="206"/>
      <c r="H866" s="207"/>
      <c r="I866" s="207"/>
      <c r="J866" s="207"/>
      <c r="K866" s="207"/>
      <c r="L866" s="207"/>
      <c r="M866" s="207"/>
      <c r="N866" s="207"/>
      <c r="O866" s="207"/>
      <c r="P866" s="207"/>
      <c r="Q866" s="207"/>
      <c r="R866" s="207"/>
      <c r="S866" s="207"/>
      <c r="T866" s="207"/>
      <c r="U866" s="207"/>
      <c r="V866" s="207"/>
      <c r="W866" s="208"/>
      <c r="X866" s="208"/>
      <c r="Y866" s="208"/>
      <c r="Z866" s="208"/>
      <c r="AA866" s="208"/>
      <c r="AB866" s="208"/>
      <c r="AC866" s="208"/>
      <c r="AD866" s="208"/>
      <c r="AE866" s="208"/>
      <c r="AF866" s="208"/>
      <c r="AG866" s="208"/>
      <c r="AH866" s="208"/>
      <c r="AI866" s="100"/>
      <c r="AJ866" s="100"/>
      <c r="AK866" s="100"/>
      <c r="AL866" s="100"/>
      <c r="AM866" s="100"/>
      <c r="AN866" s="100"/>
      <c r="AO866" s="100"/>
    </row>
    <row r="867" ht="14.25" customHeight="1">
      <c r="A867" s="195"/>
      <c r="B867" s="100"/>
      <c r="C867" s="100"/>
      <c r="D867" s="100"/>
      <c r="E867" s="100"/>
      <c r="F867" s="206"/>
      <c r="G867" s="206"/>
      <c r="H867" s="207"/>
      <c r="I867" s="207"/>
      <c r="J867" s="207"/>
      <c r="K867" s="207"/>
      <c r="L867" s="207"/>
      <c r="M867" s="207"/>
      <c r="N867" s="207"/>
      <c r="O867" s="207"/>
      <c r="P867" s="207"/>
      <c r="Q867" s="207"/>
      <c r="R867" s="207"/>
      <c r="S867" s="207"/>
      <c r="T867" s="207"/>
      <c r="U867" s="207"/>
      <c r="V867" s="207"/>
      <c r="W867" s="208"/>
      <c r="X867" s="208"/>
      <c r="Y867" s="208"/>
      <c r="Z867" s="208"/>
      <c r="AA867" s="208"/>
      <c r="AB867" s="208"/>
      <c r="AC867" s="208"/>
      <c r="AD867" s="208"/>
      <c r="AE867" s="208"/>
      <c r="AF867" s="208"/>
      <c r="AG867" s="208"/>
      <c r="AH867" s="208"/>
      <c r="AI867" s="100"/>
      <c r="AJ867" s="100"/>
      <c r="AK867" s="100"/>
      <c r="AL867" s="100"/>
      <c r="AM867" s="100"/>
      <c r="AN867" s="100"/>
      <c r="AO867" s="100"/>
    </row>
    <row r="868" ht="14.25" customHeight="1">
      <c r="A868" s="195"/>
      <c r="B868" s="100"/>
      <c r="C868" s="100"/>
      <c r="D868" s="100"/>
      <c r="E868" s="100"/>
      <c r="F868" s="206"/>
      <c r="G868" s="206"/>
      <c r="H868" s="207"/>
      <c r="I868" s="207"/>
      <c r="J868" s="207"/>
      <c r="K868" s="207"/>
      <c r="L868" s="207"/>
      <c r="M868" s="207"/>
      <c r="N868" s="207"/>
      <c r="O868" s="207"/>
      <c r="P868" s="207"/>
      <c r="Q868" s="207"/>
      <c r="R868" s="207"/>
      <c r="S868" s="207"/>
      <c r="T868" s="207"/>
      <c r="U868" s="207"/>
      <c r="V868" s="207"/>
      <c r="W868" s="208"/>
      <c r="X868" s="208"/>
      <c r="Y868" s="208"/>
      <c r="Z868" s="208"/>
      <c r="AA868" s="208"/>
      <c r="AB868" s="208"/>
      <c r="AC868" s="208"/>
      <c r="AD868" s="208"/>
      <c r="AE868" s="208"/>
      <c r="AF868" s="208"/>
      <c r="AG868" s="208"/>
      <c r="AH868" s="208"/>
      <c r="AI868" s="100"/>
      <c r="AJ868" s="100"/>
      <c r="AK868" s="100"/>
      <c r="AL868" s="100"/>
      <c r="AM868" s="100"/>
      <c r="AN868" s="100"/>
      <c r="AO868" s="100"/>
    </row>
    <row r="869" ht="14.25" customHeight="1">
      <c r="A869" s="195"/>
      <c r="B869" s="100"/>
      <c r="C869" s="100"/>
      <c r="D869" s="100"/>
      <c r="E869" s="100"/>
      <c r="F869" s="206"/>
      <c r="G869" s="206"/>
      <c r="H869" s="207"/>
      <c r="I869" s="207"/>
      <c r="J869" s="207"/>
      <c r="K869" s="207"/>
      <c r="L869" s="207"/>
      <c r="M869" s="207"/>
      <c r="N869" s="207"/>
      <c r="O869" s="207"/>
      <c r="P869" s="207"/>
      <c r="Q869" s="207"/>
      <c r="R869" s="207"/>
      <c r="S869" s="207"/>
      <c r="T869" s="207"/>
      <c r="U869" s="207"/>
      <c r="V869" s="207"/>
      <c r="W869" s="208"/>
      <c r="X869" s="208"/>
      <c r="Y869" s="208"/>
      <c r="Z869" s="208"/>
      <c r="AA869" s="208"/>
      <c r="AB869" s="208"/>
      <c r="AC869" s="208"/>
      <c r="AD869" s="208"/>
      <c r="AE869" s="208"/>
      <c r="AF869" s="208"/>
      <c r="AG869" s="208"/>
      <c r="AH869" s="208"/>
      <c r="AI869" s="100"/>
      <c r="AJ869" s="100"/>
      <c r="AK869" s="100"/>
      <c r="AL869" s="100"/>
      <c r="AM869" s="100"/>
      <c r="AN869" s="100"/>
      <c r="AO869" s="100"/>
    </row>
    <row r="870" ht="14.25" customHeight="1">
      <c r="A870" s="195"/>
      <c r="B870" s="100"/>
      <c r="C870" s="100"/>
      <c r="D870" s="100"/>
      <c r="E870" s="100"/>
      <c r="F870" s="206"/>
      <c r="G870" s="206"/>
      <c r="H870" s="207"/>
      <c r="I870" s="207"/>
      <c r="J870" s="207"/>
      <c r="K870" s="207"/>
      <c r="L870" s="207"/>
      <c r="M870" s="207"/>
      <c r="N870" s="207"/>
      <c r="O870" s="207"/>
      <c r="P870" s="207"/>
      <c r="Q870" s="207"/>
      <c r="R870" s="207"/>
      <c r="S870" s="207"/>
      <c r="T870" s="207"/>
      <c r="U870" s="207"/>
      <c r="V870" s="207"/>
      <c r="W870" s="208"/>
      <c r="X870" s="208"/>
      <c r="Y870" s="208"/>
      <c r="Z870" s="208"/>
      <c r="AA870" s="208"/>
      <c r="AB870" s="208"/>
      <c r="AC870" s="208"/>
      <c r="AD870" s="208"/>
      <c r="AE870" s="208"/>
      <c r="AF870" s="208"/>
      <c r="AG870" s="208"/>
      <c r="AH870" s="208"/>
      <c r="AI870" s="100"/>
      <c r="AJ870" s="100"/>
      <c r="AK870" s="100"/>
      <c r="AL870" s="100"/>
      <c r="AM870" s="100"/>
      <c r="AN870" s="100"/>
      <c r="AO870" s="100"/>
    </row>
    <row r="871" ht="14.25" customHeight="1">
      <c r="A871" s="195"/>
      <c r="B871" s="100"/>
      <c r="C871" s="100"/>
      <c r="D871" s="100"/>
      <c r="E871" s="100"/>
      <c r="F871" s="206"/>
      <c r="G871" s="206"/>
      <c r="H871" s="207"/>
      <c r="I871" s="207"/>
      <c r="J871" s="207"/>
      <c r="K871" s="207"/>
      <c r="L871" s="207"/>
      <c r="M871" s="207"/>
      <c r="N871" s="207"/>
      <c r="O871" s="207"/>
      <c r="P871" s="207"/>
      <c r="Q871" s="207"/>
      <c r="R871" s="207"/>
      <c r="S871" s="207"/>
      <c r="T871" s="207"/>
      <c r="U871" s="207"/>
      <c r="V871" s="207"/>
      <c r="W871" s="208"/>
      <c r="X871" s="208"/>
      <c r="Y871" s="208"/>
      <c r="Z871" s="208"/>
      <c r="AA871" s="208"/>
      <c r="AB871" s="208"/>
      <c r="AC871" s="208"/>
      <c r="AD871" s="208"/>
      <c r="AE871" s="208"/>
      <c r="AF871" s="208"/>
      <c r="AG871" s="208"/>
      <c r="AH871" s="208"/>
      <c r="AI871" s="100"/>
      <c r="AJ871" s="100"/>
      <c r="AK871" s="100"/>
      <c r="AL871" s="100"/>
      <c r="AM871" s="100"/>
      <c r="AN871" s="100"/>
      <c r="AO871" s="100"/>
    </row>
    <row r="872" ht="14.25" customHeight="1">
      <c r="A872" s="195"/>
      <c r="B872" s="100"/>
      <c r="C872" s="100"/>
      <c r="D872" s="100"/>
      <c r="E872" s="100"/>
      <c r="F872" s="206"/>
      <c r="G872" s="206"/>
      <c r="H872" s="207"/>
      <c r="I872" s="207"/>
      <c r="J872" s="207"/>
      <c r="K872" s="207"/>
      <c r="L872" s="207"/>
      <c r="M872" s="207"/>
      <c r="N872" s="207"/>
      <c r="O872" s="207"/>
      <c r="P872" s="207"/>
      <c r="Q872" s="207"/>
      <c r="R872" s="207"/>
      <c r="S872" s="207"/>
      <c r="T872" s="207"/>
      <c r="U872" s="207"/>
      <c r="V872" s="207"/>
      <c r="W872" s="208"/>
      <c r="X872" s="208"/>
      <c r="Y872" s="208"/>
      <c r="Z872" s="208"/>
      <c r="AA872" s="208"/>
      <c r="AB872" s="208"/>
      <c r="AC872" s="208"/>
      <c r="AD872" s="208"/>
      <c r="AE872" s="208"/>
      <c r="AF872" s="208"/>
      <c r="AG872" s="208"/>
      <c r="AH872" s="208"/>
      <c r="AI872" s="100"/>
      <c r="AJ872" s="100"/>
      <c r="AK872" s="100"/>
      <c r="AL872" s="100"/>
      <c r="AM872" s="100"/>
      <c r="AN872" s="100"/>
      <c r="AO872" s="100"/>
    </row>
    <row r="873" ht="14.25" customHeight="1">
      <c r="A873" s="195"/>
      <c r="B873" s="100"/>
      <c r="C873" s="100"/>
      <c r="D873" s="100"/>
      <c r="E873" s="100"/>
      <c r="F873" s="206"/>
      <c r="G873" s="206"/>
      <c r="H873" s="207"/>
      <c r="I873" s="207"/>
      <c r="J873" s="207"/>
      <c r="K873" s="207"/>
      <c r="L873" s="207"/>
      <c r="M873" s="207"/>
      <c r="N873" s="207"/>
      <c r="O873" s="207"/>
      <c r="P873" s="207"/>
      <c r="Q873" s="207"/>
      <c r="R873" s="207"/>
      <c r="S873" s="207"/>
      <c r="T873" s="207"/>
      <c r="U873" s="207"/>
      <c r="V873" s="207"/>
      <c r="W873" s="208"/>
      <c r="X873" s="208"/>
      <c r="Y873" s="208"/>
      <c r="Z873" s="208"/>
      <c r="AA873" s="208"/>
      <c r="AB873" s="208"/>
      <c r="AC873" s="208"/>
      <c r="AD873" s="208"/>
      <c r="AE873" s="208"/>
      <c r="AF873" s="208"/>
      <c r="AG873" s="208"/>
      <c r="AH873" s="208"/>
      <c r="AI873" s="100"/>
      <c r="AJ873" s="100"/>
      <c r="AK873" s="100"/>
      <c r="AL873" s="100"/>
      <c r="AM873" s="100"/>
      <c r="AN873" s="100"/>
      <c r="AO873" s="100"/>
    </row>
    <row r="874" ht="14.25" customHeight="1">
      <c r="A874" s="195"/>
      <c r="B874" s="100"/>
      <c r="C874" s="100"/>
      <c r="D874" s="100"/>
      <c r="E874" s="100"/>
      <c r="F874" s="206"/>
      <c r="G874" s="206"/>
      <c r="H874" s="207"/>
      <c r="I874" s="207"/>
      <c r="J874" s="207"/>
      <c r="K874" s="207"/>
      <c r="L874" s="207"/>
      <c r="M874" s="207"/>
      <c r="N874" s="207"/>
      <c r="O874" s="207"/>
      <c r="P874" s="207"/>
      <c r="Q874" s="207"/>
      <c r="R874" s="207"/>
      <c r="S874" s="207"/>
      <c r="T874" s="207"/>
      <c r="U874" s="207"/>
      <c r="V874" s="207"/>
      <c r="W874" s="208"/>
      <c r="X874" s="208"/>
      <c r="Y874" s="208"/>
      <c r="Z874" s="208"/>
      <c r="AA874" s="208"/>
      <c r="AB874" s="208"/>
      <c r="AC874" s="208"/>
      <c r="AD874" s="208"/>
      <c r="AE874" s="208"/>
      <c r="AF874" s="208"/>
      <c r="AG874" s="208"/>
      <c r="AH874" s="208"/>
      <c r="AI874" s="100"/>
      <c r="AJ874" s="100"/>
      <c r="AK874" s="100"/>
      <c r="AL874" s="100"/>
      <c r="AM874" s="100"/>
      <c r="AN874" s="100"/>
      <c r="AO874" s="100"/>
    </row>
    <row r="875" ht="14.25" customHeight="1">
      <c r="A875" s="195"/>
      <c r="B875" s="100"/>
      <c r="C875" s="100"/>
      <c r="D875" s="100"/>
      <c r="E875" s="100"/>
      <c r="F875" s="206"/>
      <c r="G875" s="206"/>
      <c r="H875" s="207"/>
      <c r="I875" s="207"/>
      <c r="J875" s="207"/>
      <c r="K875" s="207"/>
      <c r="L875" s="207"/>
      <c r="M875" s="207"/>
      <c r="N875" s="207"/>
      <c r="O875" s="207"/>
      <c r="P875" s="207"/>
      <c r="Q875" s="207"/>
      <c r="R875" s="207"/>
      <c r="S875" s="207"/>
      <c r="T875" s="207"/>
      <c r="U875" s="207"/>
      <c r="V875" s="207"/>
      <c r="W875" s="208"/>
      <c r="X875" s="208"/>
      <c r="Y875" s="208"/>
      <c r="Z875" s="208"/>
      <c r="AA875" s="208"/>
      <c r="AB875" s="208"/>
      <c r="AC875" s="208"/>
      <c r="AD875" s="208"/>
      <c r="AE875" s="208"/>
      <c r="AF875" s="208"/>
      <c r="AG875" s="208"/>
      <c r="AH875" s="208"/>
      <c r="AI875" s="100"/>
      <c r="AJ875" s="100"/>
      <c r="AK875" s="100"/>
      <c r="AL875" s="100"/>
      <c r="AM875" s="100"/>
      <c r="AN875" s="100"/>
      <c r="AO875" s="100"/>
    </row>
    <row r="876" ht="14.25" customHeight="1">
      <c r="A876" s="195"/>
      <c r="B876" s="100"/>
      <c r="C876" s="100"/>
      <c r="D876" s="100"/>
      <c r="E876" s="100"/>
      <c r="F876" s="206"/>
      <c r="G876" s="206"/>
      <c r="H876" s="207"/>
      <c r="I876" s="207"/>
      <c r="J876" s="207"/>
      <c r="K876" s="207"/>
      <c r="L876" s="207"/>
      <c r="M876" s="207"/>
      <c r="N876" s="207"/>
      <c r="O876" s="207"/>
      <c r="P876" s="207"/>
      <c r="Q876" s="207"/>
      <c r="R876" s="207"/>
      <c r="S876" s="207"/>
      <c r="T876" s="207"/>
      <c r="U876" s="207"/>
      <c r="V876" s="207"/>
      <c r="W876" s="208"/>
      <c r="X876" s="208"/>
      <c r="Y876" s="208"/>
      <c r="Z876" s="208"/>
      <c r="AA876" s="208"/>
      <c r="AB876" s="208"/>
      <c r="AC876" s="208"/>
      <c r="AD876" s="208"/>
      <c r="AE876" s="208"/>
      <c r="AF876" s="208"/>
      <c r="AG876" s="208"/>
      <c r="AH876" s="208"/>
      <c r="AI876" s="100"/>
      <c r="AJ876" s="100"/>
      <c r="AK876" s="100"/>
      <c r="AL876" s="100"/>
      <c r="AM876" s="100"/>
      <c r="AN876" s="100"/>
      <c r="AO876" s="100"/>
    </row>
    <row r="877" ht="14.25" customHeight="1">
      <c r="A877" s="195"/>
      <c r="B877" s="100"/>
      <c r="C877" s="100"/>
      <c r="D877" s="100"/>
      <c r="E877" s="100"/>
      <c r="F877" s="206"/>
      <c r="G877" s="206"/>
      <c r="H877" s="207"/>
      <c r="I877" s="207"/>
      <c r="J877" s="207"/>
      <c r="K877" s="207"/>
      <c r="L877" s="207"/>
      <c r="M877" s="207"/>
      <c r="N877" s="207"/>
      <c r="O877" s="207"/>
      <c r="P877" s="207"/>
      <c r="Q877" s="207"/>
      <c r="R877" s="207"/>
      <c r="S877" s="207"/>
      <c r="T877" s="207"/>
      <c r="U877" s="207"/>
      <c r="V877" s="207"/>
      <c r="W877" s="208"/>
      <c r="X877" s="208"/>
      <c r="Y877" s="208"/>
      <c r="Z877" s="208"/>
      <c r="AA877" s="208"/>
      <c r="AB877" s="208"/>
      <c r="AC877" s="208"/>
      <c r="AD877" s="208"/>
      <c r="AE877" s="208"/>
      <c r="AF877" s="208"/>
      <c r="AG877" s="208"/>
      <c r="AH877" s="208"/>
      <c r="AI877" s="100"/>
      <c r="AJ877" s="100"/>
      <c r="AK877" s="100"/>
      <c r="AL877" s="100"/>
      <c r="AM877" s="100"/>
      <c r="AN877" s="100"/>
      <c r="AO877" s="100"/>
    </row>
    <row r="878" ht="14.25" customHeight="1">
      <c r="A878" s="195"/>
      <c r="B878" s="100"/>
      <c r="C878" s="100"/>
      <c r="D878" s="100"/>
      <c r="E878" s="100"/>
      <c r="F878" s="206"/>
      <c r="G878" s="206"/>
      <c r="H878" s="207"/>
      <c r="I878" s="207"/>
      <c r="J878" s="207"/>
      <c r="K878" s="207"/>
      <c r="L878" s="207"/>
      <c r="M878" s="207"/>
      <c r="N878" s="207"/>
      <c r="O878" s="207"/>
      <c r="P878" s="207"/>
      <c r="Q878" s="207"/>
      <c r="R878" s="207"/>
      <c r="S878" s="207"/>
      <c r="T878" s="207"/>
      <c r="U878" s="207"/>
      <c r="V878" s="207"/>
      <c r="W878" s="208"/>
      <c r="X878" s="208"/>
      <c r="Y878" s="208"/>
      <c r="Z878" s="208"/>
      <c r="AA878" s="208"/>
      <c r="AB878" s="208"/>
      <c r="AC878" s="208"/>
      <c r="AD878" s="208"/>
      <c r="AE878" s="208"/>
      <c r="AF878" s="208"/>
      <c r="AG878" s="208"/>
      <c r="AH878" s="208"/>
      <c r="AI878" s="100"/>
      <c r="AJ878" s="100"/>
      <c r="AK878" s="100"/>
      <c r="AL878" s="100"/>
      <c r="AM878" s="100"/>
      <c r="AN878" s="100"/>
      <c r="AO878" s="100"/>
    </row>
    <row r="879" ht="14.25" customHeight="1">
      <c r="A879" s="195"/>
      <c r="B879" s="100"/>
      <c r="C879" s="100"/>
      <c r="D879" s="100"/>
      <c r="E879" s="100"/>
      <c r="F879" s="206"/>
      <c r="G879" s="206"/>
      <c r="H879" s="207"/>
      <c r="I879" s="207"/>
      <c r="J879" s="207"/>
      <c r="K879" s="207"/>
      <c r="L879" s="207"/>
      <c r="M879" s="207"/>
      <c r="N879" s="207"/>
      <c r="O879" s="207"/>
      <c r="P879" s="207"/>
      <c r="Q879" s="207"/>
      <c r="R879" s="207"/>
      <c r="S879" s="207"/>
      <c r="T879" s="207"/>
      <c r="U879" s="207"/>
      <c r="V879" s="207"/>
      <c r="W879" s="208"/>
      <c r="X879" s="208"/>
      <c r="Y879" s="208"/>
      <c r="Z879" s="208"/>
      <c r="AA879" s="208"/>
      <c r="AB879" s="208"/>
      <c r="AC879" s="208"/>
      <c r="AD879" s="208"/>
      <c r="AE879" s="208"/>
      <c r="AF879" s="208"/>
      <c r="AG879" s="208"/>
      <c r="AH879" s="208"/>
      <c r="AI879" s="100"/>
      <c r="AJ879" s="100"/>
      <c r="AK879" s="100"/>
      <c r="AL879" s="100"/>
      <c r="AM879" s="100"/>
      <c r="AN879" s="100"/>
      <c r="AO879" s="100"/>
    </row>
    <row r="880" ht="14.25" customHeight="1">
      <c r="A880" s="195"/>
      <c r="B880" s="100"/>
      <c r="C880" s="100"/>
      <c r="D880" s="100"/>
      <c r="E880" s="100"/>
      <c r="F880" s="206"/>
      <c r="G880" s="206"/>
      <c r="H880" s="207"/>
      <c r="I880" s="207"/>
      <c r="J880" s="207"/>
      <c r="K880" s="207"/>
      <c r="L880" s="207"/>
      <c r="M880" s="207"/>
      <c r="N880" s="207"/>
      <c r="O880" s="207"/>
      <c r="P880" s="207"/>
      <c r="Q880" s="207"/>
      <c r="R880" s="207"/>
      <c r="S880" s="207"/>
      <c r="T880" s="207"/>
      <c r="U880" s="207"/>
      <c r="V880" s="207"/>
      <c r="W880" s="208"/>
      <c r="X880" s="208"/>
      <c r="Y880" s="208"/>
      <c r="Z880" s="208"/>
      <c r="AA880" s="208"/>
      <c r="AB880" s="208"/>
      <c r="AC880" s="208"/>
      <c r="AD880" s="208"/>
      <c r="AE880" s="208"/>
      <c r="AF880" s="208"/>
      <c r="AG880" s="208"/>
      <c r="AH880" s="208"/>
      <c r="AI880" s="100"/>
      <c r="AJ880" s="100"/>
      <c r="AK880" s="100"/>
      <c r="AL880" s="100"/>
      <c r="AM880" s="100"/>
      <c r="AN880" s="100"/>
      <c r="AO880" s="100"/>
    </row>
    <row r="881" ht="14.25" customHeight="1">
      <c r="A881" s="195"/>
      <c r="B881" s="100"/>
      <c r="C881" s="100"/>
      <c r="D881" s="100"/>
      <c r="E881" s="100"/>
      <c r="F881" s="206"/>
      <c r="G881" s="206"/>
      <c r="H881" s="207"/>
      <c r="I881" s="207"/>
      <c r="J881" s="207"/>
      <c r="K881" s="207"/>
      <c r="L881" s="207"/>
      <c r="M881" s="207"/>
      <c r="N881" s="207"/>
      <c r="O881" s="207"/>
      <c r="P881" s="207"/>
      <c r="Q881" s="207"/>
      <c r="R881" s="207"/>
      <c r="S881" s="207"/>
      <c r="T881" s="207"/>
      <c r="U881" s="207"/>
      <c r="V881" s="207"/>
      <c r="W881" s="208"/>
      <c r="X881" s="208"/>
      <c r="Y881" s="208"/>
      <c r="Z881" s="208"/>
      <c r="AA881" s="208"/>
      <c r="AB881" s="208"/>
      <c r="AC881" s="208"/>
      <c r="AD881" s="208"/>
      <c r="AE881" s="208"/>
      <c r="AF881" s="208"/>
      <c r="AG881" s="208"/>
      <c r="AH881" s="208"/>
      <c r="AI881" s="100"/>
      <c r="AJ881" s="100"/>
      <c r="AK881" s="100"/>
      <c r="AL881" s="100"/>
      <c r="AM881" s="100"/>
      <c r="AN881" s="100"/>
      <c r="AO881" s="100"/>
    </row>
    <row r="882" ht="14.25" customHeight="1">
      <c r="A882" s="195"/>
      <c r="B882" s="100"/>
      <c r="C882" s="100"/>
      <c r="D882" s="100"/>
      <c r="E882" s="100"/>
      <c r="F882" s="206"/>
      <c r="G882" s="206"/>
      <c r="H882" s="207"/>
      <c r="I882" s="207"/>
      <c r="J882" s="207"/>
      <c r="K882" s="207"/>
      <c r="L882" s="207"/>
      <c r="M882" s="207"/>
      <c r="N882" s="207"/>
      <c r="O882" s="207"/>
      <c r="P882" s="207"/>
      <c r="Q882" s="207"/>
      <c r="R882" s="207"/>
      <c r="S882" s="207"/>
      <c r="T882" s="207"/>
      <c r="U882" s="207"/>
      <c r="V882" s="207"/>
      <c r="W882" s="208"/>
      <c r="X882" s="208"/>
      <c r="Y882" s="208"/>
      <c r="Z882" s="208"/>
      <c r="AA882" s="208"/>
      <c r="AB882" s="208"/>
      <c r="AC882" s="208"/>
      <c r="AD882" s="208"/>
      <c r="AE882" s="208"/>
      <c r="AF882" s="208"/>
      <c r="AG882" s="208"/>
      <c r="AH882" s="208"/>
      <c r="AI882" s="100"/>
      <c r="AJ882" s="100"/>
      <c r="AK882" s="100"/>
      <c r="AL882" s="100"/>
      <c r="AM882" s="100"/>
      <c r="AN882" s="100"/>
      <c r="AO882" s="100"/>
    </row>
    <row r="883" ht="14.25" customHeight="1">
      <c r="A883" s="195"/>
      <c r="B883" s="100"/>
      <c r="C883" s="100"/>
      <c r="D883" s="100"/>
      <c r="E883" s="100"/>
      <c r="F883" s="206"/>
      <c r="G883" s="206"/>
      <c r="H883" s="207"/>
      <c r="I883" s="207"/>
      <c r="J883" s="207"/>
      <c r="K883" s="207"/>
      <c r="L883" s="207"/>
      <c r="M883" s="207"/>
      <c r="N883" s="207"/>
      <c r="O883" s="207"/>
      <c r="P883" s="207"/>
      <c r="Q883" s="207"/>
      <c r="R883" s="207"/>
      <c r="S883" s="207"/>
      <c r="T883" s="207"/>
      <c r="U883" s="207"/>
      <c r="V883" s="207"/>
      <c r="W883" s="208"/>
      <c r="X883" s="208"/>
      <c r="Y883" s="208"/>
      <c r="Z883" s="208"/>
      <c r="AA883" s="208"/>
      <c r="AB883" s="208"/>
      <c r="AC883" s="208"/>
      <c r="AD883" s="208"/>
      <c r="AE883" s="208"/>
      <c r="AF883" s="208"/>
      <c r="AG883" s="208"/>
      <c r="AH883" s="208"/>
      <c r="AI883" s="100"/>
      <c r="AJ883" s="100"/>
      <c r="AK883" s="100"/>
      <c r="AL883" s="100"/>
      <c r="AM883" s="100"/>
      <c r="AN883" s="100"/>
      <c r="AO883" s="100"/>
    </row>
    <row r="884" ht="14.25" customHeight="1">
      <c r="A884" s="195"/>
      <c r="B884" s="100"/>
      <c r="C884" s="100"/>
      <c r="D884" s="100"/>
      <c r="E884" s="100"/>
      <c r="F884" s="206"/>
      <c r="G884" s="206"/>
      <c r="H884" s="207"/>
      <c r="I884" s="207"/>
      <c r="J884" s="207"/>
      <c r="K884" s="207"/>
      <c r="L884" s="207"/>
      <c r="M884" s="207"/>
      <c r="N884" s="207"/>
      <c r="O884" s="207"/>
      <c r="P884" s="207"/>
      <c r="Q884" s="207"/>
      <c r="R884" s="207"/>
      <c r="S884" s="207"/>
      <c r="T884" s="207"/>
      <c r="U884" s="207"/>
      <c r="V884" s="207"/>
      <c r="W884" s="208"/>
      <c r="X884" s="208"/>
      <c r="Y884" s="208"/>
      <c r="Z884" s="208"/>
      <c r="AA884" s="208"/>
      <c r="AB884" s="208"/>
      <c r="AC884" s="208"/>
      <c r="AD884" s="208"/>
      <c r="AE884" s="208"/>
      <c r="AF884" s="208"/>
      <c r="AG884" s="208"/>
      <c r="AH884" s="208"/>
      <c r="AI884" s="100"/>
      <c r="AJ884" s="100"/>
      <c r="AK884" s="100"/>
      <c r="AL884" s="100"/>
      <c r="AM884" s="100"/>
      <c r="AN884" s="100"/>
      <c r="AO884" s="100"/>
    </row>
    <row r="885" ht="14.25" customHeight="1">
      <c r="A885" s="195"/>
      <c r="B885" s="100"/>
      <c r="C885" s="100"/>
      <c r="D885" s="100"/>
      <c r="E885" s="100"/>
      <c r="F885" s="206"/>
      <c r="G885" s="206"/>
      <c r="H885" s="207"/>
      <c r="I885" s="207"/>
      <c r="J885" s="207"/>
      <c r="K885" s="207"/>
      <c r="L885" s="207"/>
      <c r="M885" s="207"/>
      <c r="N885" s="207"/>
      <c r="O885" s="207"/>
      <c r="P885" s="207"/>
      <c r="Q885" s="207"/>
      <c r="R885" s="207"/>
      <c r="S885" s="207"/>
      <c r="T885" s="207"/>
      <c r="U885" s="207"/>
      <c r="V885" s="207"/>
      <c r="W885" s="208"/>
      <c r="X885" s="208"/>
      <c r="Y885" s="208"/>
      <c r="Z885" s="208"/>
      <c r="AA885" s="208"/>
      <c r="AB885" s="208"/>
      <c r="AC885" s="208"/>
      <c r="AD885" s="208"/>
      <c r="AE885" s="208"/>
      <c r="AF885" s="208"/>
      <c r="AG885" s="208"/>
      <c r="AH885" s="208"/>
      <c r="AI885" s="100"/>
      <c r="AJ885" s="100"/>
      <c r="AK885" s="100"/>
      <c r="AL885" s="100"/>
      <c r="AM885" s="100"/>
      <c r="AN885" s="100"/>
      <c r="AO885" s="100"/>
    </row>
    <row r="886" ht="14.25" customHeight="1">
      <c r="A886" s="195"/>
      <c r="B886" s="100"/>
      <c r="C886" s="100"/>
      <c r="D886" s="100"/>
      <c r="E886" s="100"/>
      <c r="F886" s="206"/>
      <c r="G886" s="206"/>
      <c r="H886" s="207"/>
      <c r="I886" s="207"/>
      <c r="J886" s="207"/>
      <c r="K886" s="207"/>
      <c r="L886" s="207"/>
      <c r="M886" s="207"/>
      <c r="N886" s="207"/>
      <c r="O886" s="207"/>
      <c r="P886" s="207"/>
      <c r="Q886" s="207"/>
      <c r="R886" s="207"/>
      <c r="S886" s="207"/>
      <c r="T886" s="207"/>
      <c r="U886" s="207"/>
      <c r="V886" s="207"/>
      <c r="W886" s="208"/>
      <c r="X886" s="208"/>
      <c r="Y886" s="208"/>
      <c r="Z886" s="208"/>
      <c r="AA886" s="208"/>
      <c r="AB886" s="208"/>
      <c r="AC886" s="208"/>
      <c r="AD886" s="208"/>
      <c r="AE886" s="208"/>
      <c r="AF886" s="208"/>
      <c r="AG886" s="208"/>
      <c r="AH886" s="208"/>
      <c r="AI886" s="100"/>
      <c r="AJ886" s="100"/>
      <c r="AK886" s="100"/>
      <c r="AL886" s="100"/>
      <c r="AM886" s="100"/>
      <c r="AN886" s="100"/>
      <c r="AO886" s="100"/>
    </row>
    <row r="887" ht="14.25" customHeight="1">
      <c r="A887" s="195"/>
      <c r="B887" s="100"/>
      <c r="C887" s="100"/>
      <c r="D887" s="100"/>
      <c r="E887" s="100"/>
      <c r="F887" s="206"/>
      <c r="G887" s="206"/>
      <c r="H887" s="207"/>
      <c r="I887" s="207"/>
      <c r="J887" s="207"/>
      <c r="K887" s="207"/>
      <c r="L887" s="207"/>
      <c r="M887" s="207"/>
      <c r="N887" s="207"/>
      <c r="O887" s="207"/>
      <c r="P887" s="207"/>
      <c r="Q887" s="207"/>
      <c r="R887" s="207"/>
      <c r="S887" s="207"/>
      <c r="T887" s="207"/>
      <c r="U887" s="207"/>
      <c r="V887" s="207"/>
      <c r="W887" s="208"/>
      <c r="X887" s="208"/>
      <c r="Y887" s="208"/>
      <c r="Z887" s="208"/>
      <c r="AA887" s="208"/>
      <c r="AB887" s="208"/>
      <c r="AC887" s="208"/>
      <c r="AD887" s="208"/>
      <c r="AE887" s="208"/>
      <c r="AF887" s="208"/>
      <c r="AG887" s="208"/>
      <c r="AH887" s="208"/>
      <c r="AI887" s="100"/>
      <c r="AJ887" s="100"/>
      <c r="AK887" s="100"/>
      <c r="AL887" s="100"/>
      <c r="AM887" s="100"/>
      <c r="AN887" s="100"/>
      <c r="AO887" s="100"/>
    </row>
    <row r="888" ht="14.25" customHeight="1">
      <c r="A888" s="195"/>
      <c r="B888" s="100"/>
      <c r="C888" s="100"/>
      <c r="D888" s="100"/>
      <c r="E888" s="100"/>
      <c r="F888" s="206"/>
      <c r="G888" s="206"/>
      <c r="H888" s="207"/>
      <c r="I888" s="207"/>
      <c r="J888" s="207"/>
      <c r="K888" s="207"/>
      <c r="L888" s="207"/>
      <c r="M888" s="207"/>
      <c r="N888" s="207"/>
      <c r="O888" s="207"/>
      <c r="P888" s="207"/>
      <c r="Q888" s="207"/>
      <c r="R888" s="207"/>
      <c r="S888" s="207"/>
      <c r="T888" s="207"/>
      <c r="U888" s="207"/>
      <c r="V888" s="207"/>
      <c r="W888" s="208"/>
      <c r="X888" s="208"/>
      <c r="Y888" s="208"/>
      <c r="Z888" s="208"/>
      <c r="AA888" s="208"/>
      <c r="AB888" s="208"/>
      <c r="AC888" s="208"/>
      <c r="AD888" s="208"/>
      <c r="AE888" s="208"/>
      <c r="AF888" s="208"/>
      <c r="AG888" s="208"/>
      <c r="AH888" s="208"/>
      <c r="AI888" s="100"/>
      <c r="AJ888" s="100"/>
      <c r="AK888" s="100"/>
      <c r="AL888" s="100"/>
      <c r="AM888" s="100"/>
      <c r="AN888" s="100"/>
      <c r="AO888" s="100"/>
    </row>
    <row r="889" ht="14.25" customHeight="1">
      <c r="A889" s="195"/>
      <c r="B889" s="100"/>
      <c r="C889" s="100"/>
      <c r="D889" s="100"/>
      <c r="E889" s="100"/>
      <c r="F889" s="206"/>
      <c r="G889" s="206"/>
      <c r="H889" s="207"/>
      <c r="I889" s="207"/>
      <c r="J889" s="207"/>
      <c r="K889" s="207"/>
      <c r="L889" s="207"/>
      <c r="M889" s="207"/>
      <c r="N889" s="207"/>
      <c r="O889" s="207"/>
      <c r="P889" s="207"/>
      <c r="Q889" s="207"/>
      <c r="R889" s="207"/>
      <c r="S889" s="207"/>
      <c r="T889" s="207"/>
      <c r="U889" s="207"/>
      <c r="V889" s="207"/>
      <c r="W889" s="208"/>
      <c r="X889" s="208"/>
      <c r="Y889" s="208"/>
      <c r="Z889" s="208"/>
      <c r="AA889" s="208"/>
      <c r="AB889" s="208"/>
      <c r="AC889" s="208"/>
      <c r="AD889" s="208"/>
      <c r="AE889" s="208"/>
      <c r="AF889" s="208"/>
      <c r="AG889" s="208"/>
      <c r="AH889" s="208"/>
      <c r="AI889" s="100"/>
      <c r="AJ889" s="100"/>
      <c r="AK889" s="100"/>
      <c r="AL889" s="100"/>
      <c r="AM889" s="100"/>
      <c r="AN889" s="100"/>
      <c r="AO889" s="100"/>
    </row>
    <row r="890" ht="14.25" customHeight="1">
      <c r="A890" s="195"/>
      <c r="B890" s="100"/>
      <c r="C890" s="100"/>
      <c r="D890" s="100"/>
      <c r="E890" s="100"/>
      <c r="F890" s="206"/>
      <c r="G890" s="206"/>
      <c r="H890" s="207"/>
      <c r="I890" s="207"/>
      <c r="J890" s="207"/>
      <c r="K890" s="207"/>
      <c r="L890" s="207"/>
      <c r="M890" s="207"/>
      <c r="N890" s="207"/>
      <c r="O890" s="207"/>
      <c r="P890" s="207"/>
      <c r="Q890" s="207"/>
      <c r="R890" s="207"/>
      <c r="S890" s="207"/>
      <c r="T890" s="207"/>
      <c r="U890" s="207"/>
      <c r="V890" s="207"/>
      <c r="W890" s="208"/>
      <c r="X890" s="208"/>
      <c r="Y890" s="208"/>
      <c r="Z890" s="208"/>
      <c r="AA890" s="208"/>
      <c r="AB890" s="208"/>
      <c r="AC890" s="208"/>
      <c r="AD890" s="208"/>
      <c r="AE890" s="208"/>
      <c r="AF890" s="208"/>
      <c r="AG890" s="208"/>
      <c r="AH890" s="208"/>
      <c r="AI890" s="100"/>
      <c r="AJ890" s="100"/>
      <c r="AK890" s="100"/>
      <c r="AL890" s="100"/>
      <c r="AM890" s="100"/>
      <c r="AN890" s="100"/>
      <c r="AO890" s="100"/>
    </row>
    <row r="891" ht="14.25" customHeight="1">
      <c r="A891" s="195"/>
      <c r="B891" s="100"/>
      <c r="C891" s="100"/>
      <c r="D891" s="100"/>
      <c r="E891" s="100"/>
      <c r="F891" s="206"/>
      <c r="G891" s="206"/>
      <c r="H891" s="207"/>
      <c r="I891" s="207"/>
      <c r="J891" s="207"/>
      <c r="K891" s="207"/>
      <c r="L891" s="207"/>
      <c r="M891" s="207"/>
      <c r="N891" s="207"/>
      <c r="O891" s="207"/>
      <c r="P891" s="207"/>
      <c r="Q891" s="207"/>
      <c r="R891" s="207"/>
      <c r="S891" s="207"/>
      <c r="T891" s="207"/>
      <c r="U891" s="207"/>
      <c r="V891" s="207"/>
      <c r="W891" s="208"/>
      <c r="X891" s="208"/>
      <c r="Y891" s="208"/>
      <c r="Z891" s="208"/>
      <c r="AA891" s="208"/>
      <c r="AB891" s="208"/>
      <c r="AC891" s="208"/>
      <c r="AD891" s="208"/>
      <c r="AE891" s="208"/>
      <c r="AF891" s="208"/>
      <c r="AG891" s="208"/>
      <c r="AH891" s="208"/>
      <c r="AI891" s="100"/>
      <c r="AJ891" s="100"/>
      <c r="AK891" s="100"/>
      <c r="AL891" s="100"/>
      <c r="AM891" s="100"/>
      <c r="AN891" s="100"/>
      <c r="AO891" s="100"/>
    </row>
    <row r="892" ht="14.25" customHeight="1">
      <c r="A892" s="195"/>
      <c r="B892" s="100"/>
      <c r="C892" s="100"/>
      <c r="D892" s="100"/>
      <c r="E892" s="100"/>
      <c r="F892" s="206"/>
      <c r="G892" s="206"/>
      <c r="H892" s="207"/>
      <c r="I892" s="207"/>
      <c r="J892" s="207"/>
      <c r="K892" s="207"/>
      <c r="L892" s="207"/>
      <c r="M892" s="207"/>
      <c r="N892" s="207"/>
      <c r="O892" s="207"/>
      <c r="P892" s="207"/>
      <c r="Q892" s="207"/>
      <c r="R892" s="207"/>
      <c r="S892" s="207"/>
      <c r="T892" s="207"/>
      <c r="U892" s="207"/>
      <c r="V892" s="207"/>
      <c r="W892" s="208"/>
      <c r="X892" s="208"/>
      <c r="Y892" s="208"/>
      <c r="Z892" s="208"/>
      <c r="AA892" s="208"/>
      <c r="AB892" s="208"/>
      <c r="AC892" s="208"/>
      <c r="AD892" s="208"/>
      <c r="AE892" s="208"/>
      <c r="AF892" s="208"/>
      <c r="AG892" s="208"/>
      <c r="AH892" s="208"/>
      <c r="AI892" s="100"/>
      <c r="AJ892" s="100"/>
      <c r="AK892" s="100"/>
      <c r="AL892" s="100"/>
      <c r="AM892" s="100"/>
      <c r="AN892" s="100"/>
      <c r="AO892" s="100"/>
    </row>
    <row r="893" ht="14.25" customHeight="1">
      <c r="A893" s="195"/>
      <c r="B893" s="100"/>
      <c r="C893" s="100"/>
      <c r="D893" s="100"/>
      <c r="E893" s="100"/>
      <c r="F893" s="206"/>
      <c r="G893" s="206"/>
      <c r="H893" s="207"/>
      <c r="I893" s="207"/>
      <c r="J893" s="207"/>
      <c r="K893" s="207"/>
      <c r="L893" s="207"/>
      <c r="M893" s="207"/>
      <c r="N893" s="207"/>
      <c r="O893" s="207"/>
      <c r="P893" s="207"/>
      <c r="Q893" s="207"/>
      <c r="R893" s="207"/>
      <c r="S893" s="207"/>
      <c r="T893" s="207"/>
      <c r="U893" s="207"/>
      <c r="V893" s="207"/>
      <c r="W893" s="208"/>
      <c r="X893" s="208"/>
      <c r="Y893" s="208"/>
      <c r="Z893" s="208"/>
      <c r="AA893" s="208"/>
      <c r="AB893" s="208"/>
      <c r="AC893" s="208"/>
      <c r="AD893" s="208"/>
      <c r="AE893" s="208"/>
      <c r="AF893" s="208"/>
      <c r="AG893" s="208"/>
      <c r="AH893" s="208"/>
      <c r="AI893" s="100"/>
      <c r="AJ893" s="100"/>
      <c r="AK893" s="100"/>
      <c r="AL893" s="100"/>
      <c r="AM893" s="100"/>
      <c r="AN893" s="100"/>
      <c r="AO893" s="100"/>
    </row>
    <row r="894" ht="14.25" customHeight="1">
      <c r="A894" s="195"/>
      <c r="B894" s="100"/>
      <c r="C894" s="100"/>
      <c r="D894" s="100"/>
      <c r="E894" s="100"/>
      <c r="F894" s="206"/>
      <c r="G894" s="206"/>
      <c r="H894" s="207"/>
      <c r="I894" s="207"/>
      <c r="J894" s="207"/>
      <c r="K894" s="207"/>
      <c r="L894" s="207"/>
      <c r="M894" s="207"/>
      <c r="N894" s="207"/>
      <c r="O894" s="207"/>
      <c r="P894" s="207"/>
      <c r="Q894" s="207"/>
      <c r="R894" s="207"/>
      <c r="S894" s="207"/>
      <c r="T894" s="207"/>
      <c r="U894" s="207"/>
      <c r="V894" s="207"/>
      <c r="W894" s="208"/>
      <c r="X894" s="208"/>
      <c r="Y894" s="208"/>
      <c r="Z894" s="208"/>
      <c r="AA894" s="208"/>
      <c r="AB894" s="208"/>
      <c r="AC894" s="208"/>
      <c r="AD894" s="208"/>
      <c r="AE894" s="208"/>
      <c r="AF894" s="208"/>
      <c r="AG894" s="208"/>
      <c r="AH894" s="208"/>
      <c r="AI894" s="100"/>
      <c r="AJ894" s="100"/>
      <c r="AK894" s="100"/>
      <c r="AL894" s="100"/>
      <c r="AM894" s="100"/>
      <c r="AN894" s="100"/>
      <c r="AO894" s="100"/>
    </row>
    <row r="895" ht="14.25" customHeight="1">
      <c r="A895" s="195"/>
      <c r="B895" s="100"/>
      <c r="C895" s="100"/>
      <c r="D895" s="100"/>
      <c r="E895" s="100"/>
      <c r="F895" s="206"/>
      <c r="G895" s="206"/>
      <c r="H895" s="207"/>
      <c r="I895" s="207"/>
      <c r="J895" s="207"/>
      <c r="K895" s="207"/>
      <c r="L895" s="207"/>
      <c r="M895" s="207"/>
      <c r="N895" s="207"/>
      <c r="O895" s="207"/>
      <c r="P895" s="207"/>
      <c r="Q895" s="207"/>
      <c r="R895" s="207"/>
      <c r="S895" s="207"/>
      <c r="T895" s="207"/>
      <c r="U895" s="207"/>
      <c r="V895" s="207"/>
      <c r="W895" s="208"/>
      <c r="X895" s="208"/>
      <c r="Y895" s="208"/>
      <c r="Z895" s="208"/>
      <c r="AA895" s="208"/>
      <c r="AB895" s="208"/>
      <c r="AC895" s="208"/>
      <c r="AD895" s="208"/>
      <c r="AE895" s="208"/>
      <c r="AF895" s="208"/>
      <c r="AG895" s="208"/>
      <c r="AH895" s="208"/>
      <c r="AI895" s="100"/>
      <c r="AJ895" s="100"/>
      <c r="AK895" s="100"/>
      <c r="AL895" s="100"/>
      <c r="AM895" s="100"/>
      <c r="AN895" s="100"/>
      <c r="AO895" s="100"/>
    </row>
    <row r="896" ht="14.25" customHeight="1">
      <c r="A896" s="195"/>
      <c r="B896" s="100"/>
      <c r="C896" s="100"/>
      <c r="D896" s="100"/>
      <c r="E896" s="100"/>
      <c r="F896" s="206"/>
      <c r="G896" s="206"/>
      <c r="H896" s="207"/>
      <c r="I896" s="207"/>
      <c r="J896" s="207"/>
      <c r="K896" s="207"/>
      <c r="L896" s="207"/>
      <c r="M896" s="207"/>
      <c r="N896" s="207"/>
      <c r="O896" s="207"/>
      <c r="P896" s="207"/>
      <c r="Q896" s="207"/>
      <c r="R896" s="207"/>
      <c r="S896" s="207"/>
      <c r="T896" s="207"/>
      <c r="U896" s="207"/>
      <c r="V896" s="207"/>
      <c r="W896" s="208"/>
      <c r="X896" s="208"/>
      <c r="Y896" s="208"/>
      <c r="Z896" s="208"/>
      <c r="AA896" s="208"/>
      <c r="AB896" s="208"/>
      <c r="AC896" s="208"/>
      <c r="AD896" s="208"/>
      <c r="AE896" s="208"/>
      <c r="AF896" s="208"/>
      <c r="AG896" s="208"/>
      <c r="AH896" s="208"/>
      <c r="AI896" s="100"/>
      <c r="AJ896" s="100"/>
      <c r="AK896" s="100"/>
      <c r="AL896" s="100"/>
      <c r="AM896" s="100"/>
      <c r="AN896" s="100"/>
      <c r="AO896" s="100"/>
    </row>
    <row r="897" ht="14.25" customHeight="1">
      <c r="A897" s="195"/>
      <c r="B897" s="100"/>
      <c r="C897" s="100"/>
      <c r="D897" s="100"/>
      <c r="E897" s="100"/>
      <c r="F897" s="206"/>
      <c r="G897" s="206"/>
      <c r="H897" s="207"/>
      <c r="I897" s="207"/>
      <c r="J897" s="207"/>
      <c r="K897" s="207"/>
      <c r="L897" s="207"/>
      <c r="M897" s="207"/>
      <c r="N897" s="207"/>
      <c r="O897" s="207"/>
      <c r="P897" s="207"/>
      <c r="Q897" s="207"/>
      <c r="R897" s="207"/>
      <c r="S897" s="207"/>
      <c r="T897" s="207"/>
      <c r="U897" s="207"/>
      <c r="V897" s="207"/>
      <c r="W897" s="208"/>
      <c r="X897" s="208"/>
      <c r="Y897" s="208"/>
      <c r="Z897" s="208"/>
      <c r="AA897" s="208"/>
      <c r="AB897" s="208"/>
      <c r="AC897" s="208"/>
      <c r="AD897" s="208"/>
      <c r="AE897" s="208"/>
      <c r="AF897" s="208"/>
      <c r="AG897" s="208"/>
      <c r="AH897" s="208"/>
      <c r="AI897" s="100"/>
      <c r="AJ897" s="100"/>
      <c r="AK897" s="100"/>
      <c r="AL897" s="100"/>
      <c r="AM897" s="100"/>
      <c r="AN897" s="100"/>
      <c r="AO897" s="100"/>
    </row>
    <row r="898" ht="14.25" customHeight="1">
      <c r="A898" s="195"/>
      <c r="B898" s="100"/>
      <c r="C898" s="100"/>
      <c r="D898" s="100"/>
      <c r="E898" s="100"/>
      <c r="F898" s="206"/>
      <c r="G898" s="206"/>
      <c r="H898" s="207"/>
      <c r="I898" s="207"/>
      <c r="J898" s="207"/>
      <c r="K898" s="207"/>
      <c r="L898" s="207"/>
      <c r="M898" s="207"/>
      <c r="N898" s="207"/>
      <c r="O898" s="207"/>
      <c r="P898" s="207"/>
      <c r="Q898" s="207"/>
      <c r="R898" s="207"/>
      <c r="S898" s="207"/>
      <c r="T898" s="207"/>
      <c r="U898" s="207"/>
      <c r="V898" s="207"/>
      <c r="W898" s="208"/>
      <c r="X898" s="208"/>
      <c r="Y898" s="208"/>
      <c r="Z898" s="208"/>
      <c r="AA898" s="208"/>
      <c r="AB898" s="208"/>
      <c r="AC898" s="208"/>
      <c r="AD898" s="208"/>
      <c r="AE898" s="208"/>
      <c r="AF898" s="208"/>
      <c r="AG898" s="208"/>
      <c r="AH898" s="208"/>
      <c r="AI898" s="100"/>
      <c r="AJ898" s="100"/>
      <c r="AK898" s="100"/>
      <c r="AL898" s="100"/>
      <c r="AM898" s="100"/>
      <c r="AN898" s="100"/>
      <c r="AO898" s="100"/>
    </row>
    <row r="899" ht="14.25" customHeight="1">
      <c r="A899" s="195"/>
      <c r="B899" s="100"/>
      <c r="C899" s="100"/>
      <c r="D899" s="100"/>
      <c r="E899" s="100"/>
      <c r="F899" s="206"/>
      <c r="G899" s="206"/>
      <c r="H899" s="207"/>
      <c r="I899" s="207"/>
      <c r="J899" s="207"/>
      <c r="K899" s="207"/>
      <c r="L899" s="207"/>
      <c r="M899" s="207"/>
      <c r="N899" s="207"/>
      <c r="O899" s="207"/>
      <c r="P899" s="207"/>
      <c r="Q899" s="207"/>
      <c r="R899" s="207"/>
      <c r="S899" s="207"/>
      <c r="T899" s="207"/>
      <c r="U899" s="207"/>
      <c r="V899" s="207"/>
      <c r="W899" s="208"/>
      <c r="X899" s="208"/>
      <c r="Y899" s="208"/>
      <c r="Z899" s="208"/>
      <c r="AA899" s="208"/>
      <c r="AB899" s="208"/>
      <c r="AC899" s="208"/>
      <c r="AD899" s="208"/>
      <c r="AE899" s="208"/>
      <c r="AF899" s="208"/>
      <c r="AG899" s="208"/>
      <c r="AH899" s="208"/>
      <c r="AI899" s="100"/>
      <c r="AJ899" s="100"/>
      <c r="AK899" s="100"/>
      <c r="AL899" s="100"/>
      <c r="AM899" s="100"/>
      <c r="AN899" s="100"/>
      <c r="AO899" s="100"/>
    </row>
    <row r="900" ht="14.25" customHeight="1">
      <c r="A900" s="195"/>
      <c r="B900" s="100"/>
      <c r="C900" s="100"/>
      <c r="D900" s="100"/>
      <c r="E900" s="100"/>
      <c r="F900" s="206"/>
      <c r="G900" s="206"/>
      <c r="H900" s="207"/>
      <c r="I900" s="207"/>
      <c r="J900" s="207"/>
      <c r="K900" s="207"/>
      <c r="L900" s="207"/>
      <c r="M900" s="207"/>
      <c r="N900" s="207"/>
      <c r="O900" s="207"/>
      <c r="P900" s="207"/>
      <c r="Q900" s="207"/>
      <c r="R900" s="207"/>
      <c r="S900" s="207"/>
      <c r="T900" s="207"/>
      <c r="U900" s="207"/>
      <c r="V900" s="207"/>
      <c r="W900" s="208"/>
      <c r="X900" s="208"/>
      <c r="Y900" s="208"/>
      <c r="Z900" s="208"/>
      <c r="AA900" s="208"/>
      <c r="AB900" s="208"/>
      <c r="AC900" s="208"/>
      <c r="AD900" s="208"/>
      <c r="AE900" s="208"/>
      <c r="AF900" s="208"/>
      <c r="AG900" s="208"/>
      <c r="AH900" s="208"/>
      <c r="AI900" s="100"/>
      <c r="AJ900" s="100"/>
      <c r="AK900" s="100"/>
      <c r="AL900" s="100"/>
      <c r="AM900" s="100"/>
      <c r="AN900" s="100"/>
      <c r="AO900" s="100"/>
    </row>
    <row r="901" ht="14.25" customHeight="1">
      <c r="A901" s="195"/>
      <c r="B901" s="100"/>
      <c r="C901" s="100"/>
      <c r="D901" s="100"/>
      <c r="E901" s="100"/>
      <c r="F901" s="206"/>
      <c r="G901" s="206"/>
      <c r="H901" s="207"/>
      <c r="I901" s="207"/>
      <c r="J901" s="207"/>
      <c r="K901" s="207"/>
      <c r="L901" s="207"/>
      <c r="M901" s="207"/>
      <c r="N901" s="207"/>
      <c r="O901" s="207"/>
      <c r="P901" s="207"/>
      <c r="Q901" s="207"/>
      <c r="R901" s="207"/>
      <c r="S901" s="207"/>
      <c r="T901" s="207"/>
      <c r="U901" s="207"/>
      <c r="V901" s="207"/>
      <c r="W901" s="208"/>
      <c r="X901" s="208"/>
      <c r="Y901" s="208"/>
      <c r="Z901" s="208"/>
      <c r="AA901" s="208"/>
      <c r="AB901" s="208"/>
      <c r="AC901" s="208"/>
      <c r="AD901" s="208"/>
      <c r="AE901" s="208"/>
      <c r="AF901" s="208"/>
      <c r="AG901" s="208"/>
      <c r="AH901" s="208"/>
      <c r="AI901" s="100"/>
      <c r="AJ901" s="100"/>
      <c r="AK901" s="100"/>
      <c r="AL901" s="100"/>
      <c r="AM901" s="100"/>
      <c r="AN901" s="100"/>
      <c r="AO901" s="100"/>
    </row>
    <row r="902" ht="14.25" customHeight="1">
      <c r="A902" s="195"/>
      <c r="B902" s="100"/>
      <c r="C902" s="100"/>
      <c r="D902" s="100"/>
      <c r="E902" s="100"/>
      <c r="F902" s="206"/>
      <c r="G902" s="206"/>
      <c r="H902" s="207"/>
      <c r="I902" s="207"/>
      <c r="J902" s="207"/>
      <c r="K902" s="207"/>
      <c r="L902" s="207"/>
      <c r="M902" s="207"/>
      <c r="N902" s="207"/>
      <c r="O902" s="207"/>
      <c r="P902" s="207"/>
      <c r="Q902" s="207"/>
      <c r="R902" s="207"/>
      <c r="S902" s="207"/>
      <c r="T902" s="207"/>
      <c r="U902" s="207"/>
      <c r="V902" s="207"/>
      <c r="W902" s="208"/>
      <c r="X902" s="208"/>
      <c r="Y902" s="208"/>
      <c r="Z902" s="208"/>
      <c r="AA902" s="208"/>
      <c r="AB902" s="208"/>
      <c r="AC902" s="208"/>
      <c r="AD902" s="208"/>
      <c r="AE902" s="208"/>
      <c r="AF902" s="208"/>
      <c r="AG902" s="208"/>
      <c r="AH902" s="208"/>
      <c r="AI902" s="100"/>
      <c r="AJ902" s="100"/>
      <c r="AK902" s="100"/>
      <c r="AL902" s="100"/>
      <c r="AM902" s="100"/>
      <c r="AN902" s="100"/>
      <c r="AO902" s="100"/>
    </row>
    <row r="903" ht="14.25" customHeight="1">
      <c r="A903" s="195"/>
      <c r="B903" s="100"/>
      <c r="C903" s="100"/>
      <c r="D903" s="100"/>
      <c r="E903" s="100"/>
      <c r="F903" s="206"/>
      <c r="G903" s="206"/>
      <c r="H903" s="207"/>
      <c r="I903" s="207"/>
      <c r="J903" s="207"/>
      <c r="K903" s="207"/>
      <c r="L903" s="207"/>
      <c r="M903" s="207"/>
      <c r="N903" s="207"/>
      <c r="O903" s="207"/>
      <c r="P903" s="207"/>
      <c r="Q903" s="207"/>
      <c r="R903" s="207"/>
      <c r="S903" s="207"/>
      <c r="T903" s="207"/>
      <c r="U903" s="207"/>
      <c r="V903" s="207"/>
      <c r="W903" s="208"/>
      <c r="X903" s="208"/>
      <c r="Y903" s="208"/>
      <c r="Z903" s="208"/>
      <c r="AA903" s="208"/>
      <c r="AB903" s="208"/>
      <c r="AC903" s="208"/>
      <c r="AD903" s="208"/>
      <c r="AE903" s="208"/>
      <c r="AF903" s="208"/>
      <c r="AG903" s="208"/>
      <c r="AH903" s="208"/>
      <c r="AI903" s="100"/>
      <c r="AJ903" s="100"/>
      <c r="AK903" s="100"/>
      <c r="AL903" s="100"/>
      <c r="AM903" s="100"/>
      <c r="AN903" s="100"/>
      <c r="AO903" s="100"/>
    </row>
    <row r="904" ht="14.25" customHeight="1">
      <c r="A904" s="195"/>
      <c r="B904" s="100"/>
      <c r="C904" s="100"/>
      <c r="D904" s="100"/>
      <c r="E904" s="100"/>
      <c r="F904" s="206"/>
      <c r="G904" s="206"/>
      <c r="H904" s="207"/>
      <c r="I904" s="207"/>
      <c r="J904" s="207"/>
      <c r="K904" s="207"/>
      <c r="L904" s="207"/>
      <c r="M904" s="207"/>
      <c r="N904" s="207"/>
      <c r="O904" s="207"/>
      <c r="P904" s="207"/>
      <c r="Q904" s="207"/>
      <c r="R904" s="207"/>
      <c r="S904" s="207"/>
      <c r="T904" s="207"/>
      <c r="U904" s="207"/>
      <c r="V904" s="207"/>
      <c r="W904" s="208"/>
      <c r="X904" s="208"/>
      <c r="Y904" s="208"/>
      <c r="Z904" s="208"/>
      <c r="AA904" s="208"/>
      <c r="AB904" s="208"/>
      <c r="AC904" s="208"/>
      <c r="AD904" s="208"/>
      <c r="AE904" s="208"/>
      <c r="AF904" s="208"/>
      <c r="AG904" s="208"/>
      <c r="AH904" s="208"/>
      <c r="AI904" s="100"/>
      <c r="AJ904" s="100"/>
      <c r="AK904" s="100"/>
      <c r="AL904" s="100"/>
      <c r="AM904" s="100"/>
      <c r="AN904" s="100"/>
      <c r="AO904" s="100"/>
    </row>
    <row r="905" ht="14.25" customHeight="1">
      <c r="A905" s="195"/>
      <c r="B905" s="100"/>
      <c r="C905" s="100"/>
      <c r="D905" s="100"/>
      <c r="E905" s="100"/>
      <c r="F905" s="206"/>
      <c r="G905" s="206"/>
      <c r="H905" s="207"/>
      <c r="I905" s="207"/>
      <c r="J905" s="207"/>
      <c r="K905" s="207"/>
      <c r="L905" s="207"/>
      <c r="M905" s="207"/>
      <c r="N905" s="207"/>
      <c r="O905" s="207"/>
      <c r="P905" s="207"/>
      <c r="Q905" s="207"/>
      <c r="R905" s="207"/>
      <c r="S905" s="207"/>
      <c r="T905" s="207"/>
      <c r="U905" s="207"/>
      <c r="V905" s="207"/>
      <c r="W905" s="208"/>
      <c r="X905" s="208"/>
      <c r="Y905" s="208"/>
      <c r="Z905" s="208"/>
      <c r="AA905" s="208"/>
      <c r="AB905" s="208"/>
      <c r="AC905" s="208"/>
      <c r="AD905" s="208"/>
      <c r="AE905" s="208"/>
      <c r="AF905" s="208"/>
      <c r="AG905" s="208"/>
      <c r="AH905" s="208"/>
      <c r="AI905" s="100"/>
      <c r="AJ905" s="100"/>
      <c r="AK905" s="100"/>
      <c r="AL905" s="100"/>
      <c r="AM905" s="100"/>
      <c r="AN905" s="100"/>
      <c r="AO905" s="100"/>
    </row>
    <row r="906" ht="14.25" customHeight="1">
      <c r="A906" s="195"/>
      <c r="B906" s="100"/>
      <c r="C906" s="100"/>
      <c r="D906" s="100"/>
      <c r="E906" s="100"/>
      <c r="F906" s="206"/>
      <c r="G906" s="206"/>
      <c r="H906" s="207"/>
      <c r="I906" s="207"/>
      <c r="J906" s="207"/>
      <c r="K906" s="207"/>
      <c r="L906" s="207"/>
      <c r="M906" s="207"/>
      <c r="N906" s="207"/>
      <c r="O906" s="207"/>
      <c r="P906" s="207"/>
      <c r="Q906" s="207"/>
      <c r="R906" s="207"/>
      <c r="S906" s="207"/>
      <c r="T906" s="207"/>
      <c r="U906" s="207"/>
      <c r="V906" s="207"/>
      <c r="W906" s="208"/>
      <c r="X906" s="208"/>
      <c r="Y906" s="208"/>
      <c r="Z906" s="208"/>
      <c r="AA906" s="208"/>
      <c r="AB906" s="208"/>
      <c r="AC906" s="208"/>
      <c r="AD906" s="208"/>
      <c r="AE906" s="208"/>
      <c r="AF906" s="208"/>
      <c r="AG906" s="208"/>
      <c r="AH906" s="208"/>
      <c r="AI906" s="100"/>
      <c r="AJ906" s="100"/>
      <c r="AK906" s="100"/>
      <c r="AL906" s="100"/>
      <c r="AM906" s="100"/>
      <c r="AN906" s="100"/>
      <c r="AO906" s="100"/>
    </row>
    <row r="907" ht="14.25" customHeight="1">
      <c r="A907" s="195"/>
      <c r="B907" s="100"/>
      <c r="C907" s="100"/>
      <c r="D907" s="100"/>
      <c r="E907" s="100"/>
      <c r="F907" s="206"/>
      <c r="G907" s="206"/>
      <c r="H907" s="207"/>
      <c r="I907" s="207"/>
      <c r="J907" s="207"/>
      <c r="K907" s="207"/>
      <c r="L907" s="207"/>
      <c r="M907" s="207"/>
      <c r="N907" s="207"/>
      <c r="O907" s="207"/>
      <c r="P907" s="207"/>
      <c r="Q907" s="207"/>
      <c r="R907" s="207"/>
      <c r="S907" s="207"/>
      <c r="T907" s="207"/>
      <c r="U907" s="207"/>
      <c r="V907" s="207"/>
      <c r="W907" s="208"/>
      <c r="X907" s="208"/>
      <c r="Y907" s="208"/>
      <c r="Z907" s="208"/>
      <c r="AA907" s="208"/>
      <c r="AB907" s="208"/>
      <c r="AC907" s="208"/>
      <c r="AD907" s="208"/>
      <c r="AE907" s="208"/>
      <c r="AF907" s="208"/>
      <c r="AG907" s="208"/>
      <c r="AH907" s="208"/>
      <c r="AI907" s="100"/>
      <c r="AJ907" s="100"/>
      <c r="AK907" s="100"/>
      <c r="AL907" s="100"/>
      <c r="AM907" s="100"/>
      <c r="AN907" s="100"/>
      <c r="AO907" s="100"/>
    </row>
    <row r="908" ht="14.25" customHeight="1">
      <c r="A908" s="195"/>
      <c r="B908" s="100"/>
      <c r="C908" s="100"/>
      <c r="D908" s="100"/>
      <c r="E908" s="100"/>
      <c r="F908" s="206"/>
      <c r="G908" s="206"/>
      <c r="H908" s="207"/>
      <c r="I908" s="207"/>
      <c r="J908" s="207"/>
      <c r="K908" s="207"/>
      <c r="L908" s="207"/>
      <c r="M908" s="207"/>
      <c r="N908" s="207"/>
      <c r="O908" s="207"/>
      <c r="P908" s="207"/>
      <c r="Q908" s="207"/>
      <c r="R908" s="207"/>
      <c r="S908" s="207"/>
      <c r="T908" s="207"/>
      <c r="U908" s="207"/>
      <c r="V908" s="207"/>
      <c r="W908" s="208"/>
      <c r="X908" s="208"/>
      <c r="Y908" s="208"/>
      <c r="Z908" s="208"/>
      <c r="AA908" s="208"/>
      <c r="AB908" s="208"/>
      <c r="AC908" s="208"/>
      <c r="AD908" s="208"/>
      <c r="AE908" s="208"/>
      <c r="AF908" s="208"/>
      <c r="AG908" s="208"/>
      <c r="AH908" s="208"/>
      <c r="AI908" s="100"/>
      <c r="AJ908" s="100"/>
      <c r="AK908" s="100"/>
      <c r="AL908" s="100"/>
      <c r="AM908" s="100"/>
      <c r="AN908" s="100"/>
      <c r="AO908" s="100"/>
    </row>
    <row r="909" ht="14.25" customHeight="1">
      <c r="A909" s="195"/>
      <c r="B909" s="100"/>
      <c r="C909" s="100"/>
      <c r="D909" s="100"/>
      <c r="E909" s="100"/>
      <c r="F909" s="206"/>
      <c r="G909" s="206"/>
      <c r="H909" s="207"/>
      <c r="I909" s="207"/>
      <c r="J909" s="207"/>
      <c r="K909" s="207"/>
      <c r="L909" s="207"/>
      <c r="M909" s="207"/>
      <c r="N909" s="207"/>
      <c r="O909" s="207"/>
      <c r="P909" s="207"/>
      <c r="Q909" s="207"/>
      <c r="R909" s="207"/>
      <c r="S909" s="207"/>
      <c r="T909" s="207"/>
      <c r="U909" s="207"/>
      <c r="V909" s="207"/>
      <c r="W909" s="208"/>
      <c r="X909" s="208"/>
      <c r="Y909" s="208"/>
      <c r="Z909" s="208"/>
      <c r="AA909" s="208"/>
      <c r="AB909" s="208"/>
      <c r="AC909" s="208"/>
      <c r="AD909" s="208"/>
      <c r="AE909" s="208"/>
      <c r="AF909" s="208"/>
      <c r="AG909" s="208"/>
      <c r="AH909" s="208"/>
      <c r="AI909" s="100"/>
      <c r="AJ909" s="100"/>
      <c r="AK909" s="100"/>
      <c r="AL909" s="100"/>
      <c r="AM909" s="100"/>
      <c r="AN909" s="100"/>
      <c r="AO909" s="100"/>
    </row>
    <row r="910" ht="14.25" customHeight="1">
      <c r="A910" s="195"/>
      <c r="B910" s="100"/>
      <c r="C910" s="100"/>
      <c r="D910" s="100"/>
      <c r="E910" s="100"/>
      <c r="F910" s="206"/>
      <c r="G910" s="206"/>
      <c r="H910" s="207"/>
      <c r="I910" s="207"/>
      <c r="J910" s="207"/>
      <c r="K910" s="207"/>
      <c r="L910" s="207"/>
      <c r="M910" s="207"/>
      <c r="N910" s="207"/>
      <c r="O910" s="207"/>
      <c r="P910" s="207"/>
      <c r="Q910" s="207"/>
      <c r="R910" s="207"/>
      <c r="S910" s="207"/>
      <c r="T910" s="207"/>
      <c r="U910" s="207"/>
      <c r="V910" s="207"/>
      <c r="W910" s="208"/>
      <c r="X910" s="208"/>
      <c r="Y910" s="208"/>
      <c r="Z910" s="208"/>
      <c r="AA910" s="208"/>
      <c r="AB910" s="208"/>
      <c r="AC910" s="208"/>
      <c r="AD910" s="208"/>
      <c r="AE910" s="208"/>
      <c r="AF910" s="208"/>
      <c r="AG910" s="208"/>
      <c r="AH910" s="208"/>
      <c r="AI910" s="100"/>
      <c r="AJ910" s="100"/>
      <c r="AK910" s="100"/>
      <c r="AL910" s="100"/>
      <c r="AM910" s="100"/>
      <c r="AN910" s="100"/>
      <c r="AO910" s="100"/>
    </row>
    <row r="911" ht="14.25" customHeight="1">
      <c r="A911" s="195"/>
      <c r="B911" s="100"/>
      <c r="C911" s="100"/>
      <c r="D911" s="100"/>
      <c r="E911" s="100"/>
      <c r="F911" s="206"/>
      <c r="G911" s="206"/>
      <c r="H911" s="207"/>
      <c r="I911" s="207"/>
      <c r="J911" s="207"/>
      <c r="K911" s="207"/>
      <c r="L911" s="207"/>
      <c r="M911" s="207"/>
      <c r="N911" s="207"/>
      <c r="O911" s="207"/>
      <c r="P911" s="207"/>
      <c r="Q911" s="207"/>
      <c r="R911" s="207"/>
      <c r="S911" s="207"/>
      <c r="T911" s="207"/>
      <c r="U911" s="207"/>
      <c r="V911" s="207"/>
      <c r="W911" s="208"/>
      <c r="X911" s="208"/>
      <c r="Y911" s="208"/>
      <c r="Z911" s="208"/>
      <c r="AA911" s="208"/>
      <c r="AB911" s="208"/>
      <c r="AC911" s="208"/>
      <c r="AD911" s="208"/>
      <c r="AE911" s="208"/>
      <c r="AF911" s="208"/>
      <c r="AG911" s="208"/>
      <c r="AH911" s="208"/>
      <c r="AI911" s="100"/>
      <c r="AJ911" s="100"/>
      <c r="AK911" s="100"/>
      <c r="AL911" s="100"/>
      <c r="AM911" s="100"/>
      <c r="AN911" s="100"/>
      <c r="AO911" s="100"/>
    </row>
    <row r="912" ht="14.25" customHeight="1">
      <c r="A912" s="195"/>
      <c r="B912" s="100"/>
      <c r="C912" s="100"/>
      <c r="D912" s="100"/>
      <c r="E912" s="100"/>
      <c r="F912" s="206"/>
      <c r="G912" s="206"/>
      <c r="H912" s="207"/>
      <c r="I912" s="207"/>
      <c r="J912" s="207"/>
      <c r="K912" s="207"/>
      <c r="L912" s="207"/>
      <c r="M912" s="207"/>
      <c r="N912" s="207"/>
      <c r="O912" s="207"/>
      <c r="P912" s="207"/>
      <c r="Q912" s="207"/>
      <c r="R912" s="207"/>
      <c r="S912" s="207"/>
      <c r="T912" s="207"/>
      <c r="U912" s="207"/>
      <c r="V912" s="207"/>
      <c r="W912" s="208"/>
      <c r="X912" s="208"/>
      <c r="Y912" s="208"/>
      <c r="Z912" s="208"/>
      <c r="AA912" s="208"/>
      <c r="AB912" s="208"/>
      <c r="AC912" s="208"/>
      <c r="AD912" s="208"/>
      <c r="AE912" s="208"/>
      <c r="AF912" s="208"/>
      <c r="AG912" s="208"/>
      <c r="AH912" s="208"/>
      <c r="AI912" s="100"/>
      <c r="AJ912" s="100"/>
      <c r="AK912" s="100"/>
      <c r="AL912" s="100"/>
      <c r="AM912" s="100"/>
      <c r="AN912" s="100"/>
      <c r="AO912" s="100"/>
    </row>
    <row r="913" ht="14.25" customHeight="1">
      <c r="A913" s="195"/>
      <c r="B913" s="100"/>
      <c r="C913" s="100"/>
      <c r="D913" s="100"/>
      <c r="E913" s="100"/>
      <c r="F913" s="206"/>
      <c r="G913" s="206"/>
      <c r="H913" s="207"/>
      <c r="I913" s="207"/>
      <c r="J913" s="207"/>
      <c r="K913" s="207"/>
      <c r="L913" s="207"/>
      <c r="M913" s="207"/>
      <c r="N913" s="207"/>
      <c r="O913" s="207"/>
      <c r="P913" s="207"/>
      <c r="Q913" s="207"/>
      <c r="R913" s="207"/>
      <c r="S913" s="207"/>
      <c r="T913" s="207"/>
      <c r="U913" s="207"/>
      <c r="V913" s="207"/>
      <c r="W913" s="208"/>
      <c r="X913" s="208"/>
      <c r="Y913" s="208"/>
      <c r="Z913" s="208"/>
      <c r="AA913" s="208"/>
      <c r="AB913" s="208"/>
      <c r="AC913" s="208"/>
      <c r="AD913" s="208"/>
      <c r="AE913" s="208"/>
      <c r="AF913" s="208"/>
      <c r="AG913" s="208"/>
      <c r="AH913" s="208"/>
      <c r="AI913" s="100"/>
      <c r="AJ913" s="100"/>
      <c r="AK913" s="100"/>
      <c r="AL913" s="100"/>
      <c r="AM913" s="100"/>
      <c r="AN913" s="100"/>
      <c r="AO913" s="100"/>
    </row>
    <row r="914" ht="14.25" customHeight="1">
      <c r="A914" s="195"/>
      <c r="B914" s="100"/>
      <c r="C914" s="100"/>
      <c r="D914" s="100"/>
      <c r="E914" s="100"/>
      <c r="F914" s="206"/>
      <c r="G914" s="206"/>
      <c r="H914" s="207"/>
      <c r="I914" s="207"/>
      <c r="J914" s="207"/>
      <c r="K914" s="207"/>
      <c r="L914" s="207"/>
      <c r="M914" s="207"/>
      <c r="N914" s="207"/>
      <c r="O914" s="207"/>
      <c r="P914" s="207"/>
      <c r="Q914" s="207"/>
      <c r="R914" s="207"/>
      <c r="S914" s="207"/>
      <c r="T914" s="207"/>
      <c r="U914" s="207"/>
      <c r="V914" s="207"/>
      <c r="W914" s="208"/>
      <c r="X914" s="208"/>
      <c r="Y914" s="208"/>
      <c r="Z914" s="208"/>
      <c r="AA914" s="208"/>
      <c r="AB914" s="208"/>
      <c r="AC914" s="208"/>
      <c r="AD914" s="208"/>
      <c r="AE914" s="208"/>
      <c r="AF914" s="208"/>
      <c r="AG914" s="208"/>
      <c r="AH914" s="208"/>
      <c r="AI914" s="100"/>
      <c r="AJ914" s="100"/>
      <c r="AK914" s="100"/>
      <c r="AL914" s="100"/>
      <c r="AM914" s="100"/>
      <c r="AN914" s="100"/>
      <c r="AO914" s="100"/>
    </row>
    <row r="915" ht="14.25" customHeight="1">
      <c r="A915" s="195"/>
      <c r="B915" s="100"/>
      <c r="C915" s="100"/>
      <c r="D915" s="100"/>
      <c r="E915" s="100"/>
      <c r="F915" s="206"/>
      <c r="G915" s="206"/>
      <c r="H915" s="207"/>
      <c r="I915" s="207"/>
      <c r="J915" s="207"/>
      <c r="K915" s="207"/>
      <c r="L915" s="207"/>
      <c r="M915" s="207"/>
      <c r="N915" s="207"/>
      <c r="O915" s="207"/>
      <c r="P915" s="207"/>
      <c r="Q915" s="207"/>
      <c r="R915" s="207"/>
      <c r="S915" s="207"/>
      <c r="T915" s="207"/>
      <c r="U915" s="207"/>
      <c r="V915" s="207"/>
      <c r="W915" s="208"/>
      <c r="X915" s="208"/>
      <c r="Y915" s="208"/>
      <c r="Z915" s="208"/>
      <c r="AA915" s="208"/>
      <c r="AB915" s="208"/>
      <c r="AC915" s="208"/>
      <c r="AD915" s="208"/>
      <c r="AE915" s="208"/>
      <c r="AF915" s="208"/>
      <c r="AG915" s="208"/>
      <c r="AH915" s="208"/>
      <c r="AI915" s="100"/>
      <c r="AJ915" s="100"/>
      <c r="AK915" s="100"/>
      <c r="AL915" s="100"/>
      <c r="AM915" s="100"/>
      <c r="AN915" s="100"/>
      <c r="AO915" s="100"/>
    </row>
    <row r="916" ht="14.25" customHeight="1">
      <c r="A916" s="195"/>
      <c r="B916" s="100"/>
      <c r="C916" s="100"/>
      <c r="D916" s="100"/>
      <c r="E916" s="100"/>
      <c r="F916" s="206"/>
      <c r="G916" s="206"/>
      <c r="H916" s="207"/>
      <c r="I916" s="207"/>
      <c r="J916" s="207"/>
      <c r="K916" s="207"/>
      <c r="L916" s="207"/>
      <c r="M916" s="207"/>
      <c r="N916" s="207"/>
      <c r="O916" s="207"/>
      <c r="P916" s="207"/>
      <c r="Q916" s="207"/>
      <c r="R916" s="207"/>
      <c r="S916" s="207"/>
      <c r="T916" s="207"/>
      <c r="U916" s="207"/>
      <c r="V916" s="207"/>
      <c r="W916" s="208"/>
      <c r="X916" s="208"/>
      <c r="Y916" s="208"/>
      <c r="Z916" s="208"/>
      <c r="AA916" s="208"/>
      <c r="AB916" s="208"/>
      <c r="AC916" s="208"/>
      <c r="AD916" s="208"/>
      <c r="AE916" s="208"/>
      <c r="AF916" s="208"/>
      <c r="AG916" s="208"/>
      <c r="AH916" s="208"/>
      <c r="AI916" s="100"/>
      <c r="AJ916" s="100"/>
      <c r="AK916" s="100"/>
      <c r="AL916" s="100"/>
      <c r="AM916" s="100"/>
      <c r="AN916" s="100"/>
      <c r="AO916" s="100"/>
    </row>
    <row r="917" ht="14.25" customHeight="1">
      <c r="A917" s="195"/>
      <c r="B917" s="100"/>
      <c r="C917" s="100"/>
      <c r="D917" s="100"/>
      <c r="E917" s="100"/>
      <c r="F917" s="206"/>
      <c r="G917" s="206"/>
      <c r="H917" s="207"/>
      <c r="I917" s="207"/>
      <c r="J917" s="207"/>
      <c r="K917" s="207"/>
      <c r="L917" s="207"/>
      <c r="M917" s="207"/>
      <c r="N917" s="207"/>
      <c r="O917" s="207"/>
      <c r="P917" s="207"/>
      <c r="Q917" s="207"/>
      <c r="R917" s="207"/>
      <c r="S917" s="207"/>
      <c r="T917" s="207"/>
      <c r="U917" s="207"/>
      <c r="V917" s="207"/>
      <c r="W917" s="208"/>
      <c r="X917" s="208"/>
      <c r="Y917" s="208"/>
      <c r="Z917" s="208"/>
      <c r="AA917" s="208"/>
      <c r="AB917" s="208"/>
      <c r="AC917" s="208"/>
      <c r="AD917" s="208"/>
      <c r="AE917" s="208"/>
      <c r="AF917" s="208"/>
      <c r="AG917" s="208"/>
      <c r="AH917" s="208"/>
      <c r="AI917" s="100"/>
      <c r="AJ917" s="100"/>
      <c r="AK917" s="100"/>
      <c r="AL917" s="100"/>
      <c r="AM917" s="100"/>
      <c r="AN917" s="100"/>
      <c r="AO917" s="100"/>
    </row>
    <row r="918" ht="14.25" customHeight="1">
      <c r="A918" s="195"/>
      <c r="B918" s="100"/>
      <c r="C918" s="100"/>
      <c r="D918" s="100"/>
      <c r="E918" s="100"/>
      <c r="F918" s="206"/>
      <c r="G918" s="206"/>
      <c r="H918" s="207"/>
      <c r="I918" s="207"/>
      <c r="J918" s="207"/>
      <c r="K918" s="207"/>
      <c r="L918" s="207"/>
      <c r="M918" s="207"/>
      <c r="N918" s="207"/>
      <c r="O918" s="207"/>
      <c r="P918" s="207"/>
      <c r="Q918" s="207"/>
      <c r="R918" s="207"/>
      <c r="S918" s="207"/>
      <c r="T918" s="207"/>
      <c r="U918" s="207"/>
      <c r="V918" s="207"/>
      <c r="W918" s="208"/>
      <c r="X918" s="208"/>
      <c r="Y918" s="208"/>
      <c r="Z918" s="208"/>
      <c r="AA918" s="208"/>
      <c r="AB918" s="208"/>
      <c r="AC918" s="208"/>
      <c r="AD918" s="208"/>
      <c r="AE918" s="208"/>
      <c r="AF918" s="208"/>
      <c r="AG918" s="208"/>
      <c r="AH918" s="208"/>
      <c r="AI918" s="100"/>
      <c r="AJ918" s="100"/>
      <c r="AK918" s="100"/>
      <c r="AL918" s="100"/>
      <c r="AM918" s="100"/>
      <c r="AN918" s="100"/>
      <c r="AO918" s="100"/>
    </row>
    <row r="919" ht="14.25" customHeight="1">
      <c r="A919" s="195"/>
      <c r="B919" s="100"/>
      <c r="C919" s="100"/>
      <c r="D919" s="100"/>
      <c r="E919" s="100"/>
      <c r="F919" s="206"/>
      <c r="G919" s="206"/>
      <c r="H919" s="207"/>
      <c r="I919" s="207"/>
      <c r="J919" s="207"/>
      <c r="K919" s="207"/>
      <c r="L919" s="207"/>
      <c r="M919" s="207"/>
      <c r="N919" s="207"/>
      <c r="O919" s="207"/>
      <c r="P919" s="207"/>
      <c r="Q919" s="207"/>
      <c r="R919" s="207"/>
      <c r="S919" s="207"/>
      <c r="T919" s="207"/>
      <c r="U919" s="207"/>
      <c r="V919" s="207"/>
      <c r="W919" s="208"/>
      <c r="X919" s="208"/>
      <c r="Y919" s="208"/>
      <c r="Z919" s="208"/>
      <c r="AA919" s="208"/>
      <c r="AB919" s="208"/>
      <c r="AC919" s="208"/>
      <c r="AD919" s="208"/>
      <c r="AE919" s="208"/>
      <c r="AF919" s="208"/>
      <c r="AG919" s="208"/>
      <c r="AH919" s="208"/>
      <c r="AI919" s="100"/>
      <c r="AJ919" s="100"/>
      <c r="AK919" s="100"/>
      <c r="AL919" s="100"/>
      <c r="AM919" s="100"/>
      <c r="AN919" s="100"/>
      <c r="AO919" s="100"/>
    </row>
    <row r="920" ht="14.25" customHeight="1">
      <c r="A920" s="195"/>
      <c r="B920" s="100"/>
      <c r="C920" s="100"/>
      <c r="D920" s="100"/>
      <c r="E920" s="100"/>
      <c r="F920" s="206"/>
      <c r="G920" s="206"/>
      <c r="H920" s="207"/>
      <c r="I920" s="207"/>
      <c r="J920" s="207"/>
      <c r="K920" s="207"/>
      <c r="L920" s="207"/>
      <c r="M920" s="207"/>
      <c r="N920" s="207"/>
      <c r="O920" s="207"/>
      <c r="P920" s="207"/>
      <c r="Q920" s="207"/>
      <c r="R920" s="207"/>
      <c r="S920" s="207"/>
      <c r="T920" s="207"/>
      <c r="U920" s="207"/>
      <c r="V920" s="207"/>
      <c r="W920" s="208"/>
      <c r="X920" s="208"/>
      <c r="Y920" s="208"/>
      <c r="Z920" s="208"/>
      <c r="AA920" s="208"/>
      <c r="AB920" s="208"/>
      <c r="AC920" s="208"/>
      <c r="AD920" s="208"/>
      <c r="AE920" s="208"/>
      <c r="AF920" s="208"/>
      <c r="AG920" s="208"/>
      <c r="AH920" s="208"/>
      <c r="AI920" s="100"/>
      <c r="AJ920" s="100"/>
      <c r="AK920" s="100"/>
      <c r="AL920" s="100"/>
      <c r="AM920" s="100"/>
      <c r="AN920" s="100"/>
      <c r="AO920" s="100"/>
    </row>
    <row r="921" ht="14.25" customHeight="1">
      <c r="A921" s="195"/>
      <c r="B921" s="100"/>
      <c r="C921" s="100"/>
      <c r="D921" s="100"/>
      <c r="E921" s="100"/>
      <c r="F921" s="206"/>
      <c r="G921" s="206"/>
      <c r="H921" s="207"/>
      <c r="I921" s="207"/>
      <c r="J921" s="207"/>
      <c r="K921" s="207"/>
      <c r="L921" s="207"/>
      <c r="M921" s="207"/>
      <c r="N921" s="207"/>
      <c r="O921" s="207"/>
      <c r="P921" s="207"/>
      <c r="Q921" s="207"/>
      <c r="R921" s="207"/>
      <c r="S921" s="207"/>
      <c r="T921" s="207"/>
      <c r="U921" s="207"/>
      <c r="V921" s="207"/>
      <c r="W921" s="208"/>
      <c r="X921" s="208"/>
      <c r="Y921" s="208"/>
      <c r="Z921" s="208"/>
      <c r="AA921" s="208"/>
      <c r="AB921" s="208"/>
      <c r="AC921" s="208"/>
      <c r="AD921" s="208"/>
      <c r="AE921" s="208"/>
      <c r="AF921" s="208"/>
      <c r="AG921" s="208"/>
      <c r="AH921" s="208"/>
      <c r="AI921" s="100"/>
      <c r="AJ921" s="100"/>
      <c r="AK921" s="100"/>
      <c r="AL921" s="100"/>
      <c r="AM921" s="100"/>
      <c r="AN921" s="100"/>
      <c r="AO921" s="100"/>
    </row>
    <row r="922" ht="14.25" customHeight="1">
      <c r="A922" s="195"/>
      <c r="B922" s="100"/>
      <c r="C922" s="100"/>
      <c r="D922" s="100"/>
      <c r="E922" s="100"/>
      <c r="F922" s="206"/>
      <c r="G922" s="206"/>
      <c r="H922" s="207"/>
      <c r="I922" s="207"/>
      <c r="J922" s="207"/>
      <c r="K922" s="207"/>
      <c r="L922" s="207"/>
      <c r="M922" s="207"/>
      <c r="N922" s="207"/>
      <c r="O922" s="207"/>
      <c r="P922" s="207"/>
      <c r="Q922" s="207"/>
      <c r="R922" s="207"/>
      <c r="S922" s="207"/>
      <c r="T922" s="207"/>
      <c r="U922" s="207"/>
      <c r="V922" s="207"/>
      <c r="W922" s="208"/>
      <c r="X922" s="208"/>
      <c r="Y922" s="208"/>
      <c r="Z922" s="208"/>
      <c r="AA922" s="208"/>
      <c r="AB922" s="208"/>
      <c r="AC922" s="208"/>
      <c r="AD922" s="208"/>
      <c r="AE922" s="208"/>
      <c r="AF922" s="208"/>
      <c r="AG922" s="208"/>
      <c r="AH922" s="208"/>
      <c r="AI922" s="100"/>
      <c r="AJ922" s="100"/>
      <c r="AK922" s="100"/>
      <c r="AL922" s="100"/>
      <c r="AM922" s="100"/>
      <c r="AN922" s="100"/>
      <c r="AO922" s="100"/>
    </row>
    <row r="923" ht="14.25" customHeight="1">
      <c r="A923" s="195"/>
      <c r="B923" s="100"/>
      <c r="C923" s="100"/>
      <c r="D923" s="100"/>
      <c r="E923" s="100"/>
      <c r="F923" s="206"/>
      <c r="G923" s="206"/>
      <c r="H923" s="207"/>
      <c r="I923" s="207"/>
      <c r="J923" s="207"/>
      <c r="K923" s="207"/>
      <c r="L923" s="207"/>
      <c r="M923" s="207"/>
      <c r="N923" s="207"/>
      <c r="O923" s="207"/>
      <c r="P923" s="207"/>
      <c r="Q923" s="207"/>
      <c r="R923" s="207"/>
      <c r="S923" s="207"/>
      <c r="T923" s="207"/>
      <c r="U923" s="207"/>
      <c r="V923" s="207"/>
      <c r="W923" s="208"/>
      <c r="X923" s="208"/>
      <c r="Y923" s="208"/>
      <c r="Z923" s="208"/>
      <c r="AA923" s="208"/>
      <c r="AB923" s="208"/>
      <c r="AC923" s="208"/>
      <c r="AD923" s="208"/>
      <c r="AE923" s="208"/>
      <c r="AF923" s="208"/>
      <c r="AG923" s="208"/>
      <c r="AH923" s="208"/>
      <c r="AI923" s="100"/>
      <c r="AJ923" s="100"/>
      <c r="AK923" s="100"/>
      <c r="AL923" s="100"/>
      <c r="AM923" s="100"/>
      <c r="AN923" s="100"/>
      <c r="AO923" s="100"/>
    </row>
    <row r="924" ht="14.25" customHeight="1">
      <c r="A924" s="195"/>
      <c r="B924" s="100"/>
      <c r="C924" s="100"/>
      <c r="D924" s="100"/>
      <c r="E924" s="100"/>
      <c r="F924" s="206"/>
      <c r="G924" s="206"/>
      <c r="H924" s="207"/>
      <c r="I924" s="207"/>
      <c r="J924" s="207"/>
      <c r="K924" s="207"/>
      <c r="L924" s="207"/>
      <c r="M924" s="207"/>
      <c r="N924" s="207"/>
      <c r="O924" s="207"/>
      <c r="P924" s="207"/>
      <c r="Q924" s="207"/>
      <c r="R924" s="207"/>
      <c r="S924" s="207"/>
      <c r="T924" s="207"/>
      <c r="U924" s="207"/>
      <c r="V924" s="207"/>
      <c r="W924" s="208"/>
      <c r="X924" s="208"/>
      <c r="Y924" s="208"/>
      <c r="Z924" s="208"/>
      <c r="AA924" s="208"/>
      <c r="AB924" s="208"/>
      <c r="AC924" s="208"/>
      <c r="AD924" s="208"/>
      <c r="AE924" s="208"/>
      <c r="AF924" s="208"/>
      <c r="AG924" s="208"/>
      <c r="AH924" s="208"/>
      <c r="AI924" s="100"/>
      <c r="AJ924" s="100"/>
      <c r="AK924" s="100"/>
      <c r="AL924" s="100"/>
      <c r="AM924" s="100"/>
      <c r="AN924" s="100"/>
      <c r="AO924" s="100"/>
    </row>
    <row r="925" ht="14.25" customHeight="1">
      <c r="A925" s="195"/>
      <c r="B925" s="100"/>
      <c r="C925" s="100"/>
      <c r="D925" s="100"/>
      <c r="E925" s="100"/>
      <c r="F925" s="206"/>
      <c r="G925" s="206"/>
      <c r="H925" s="207"/>
      <c r="I925" s="207"/>
      <c r="J925" s="207"/>
      <c r="K925" s="207"/>
      <c r="L925" s="207"/>
      <c r="M925" s="207"/>
      <c r="N925" s="207"/>
      <c r="O925" s="207"/>
      <c r="P925" s="207"/>
      <c r="Q925" s="207"/>
      <c r="R925" s="207"/>
      <c r="S925" s="207"/>
      <c r="T925" s="207"/>
      <c r="U925" s="207"/>
      <c r="V925" s="207"/>
      <c r="W925" s="208"/>
      <c r="X925" s="208"/>
      <c r="Y925" s="208"/>
      <c r="Z925" s="208"/>
      <c r="AA925" s="208"/>
      <c r="AB925" s="208"/>
      <c r="AC925" s="208"/>
      <c r="AD925" s="208"/>
      <c r="AE925" s="208"/>
      <c r="AF925" s="208"/>
      <c r="AG925" s="208"/>
      <c r="AH925" s="208"/>
      <c r="AI925" s="100"/>
      <c r="AJ925" s="100"/>
      <c r="AK925" s="100"/>
      <c r="AL925" s="100"/>
      <c r="AM925" s="100"/>
      <c r="AN925" s="100"/>
      <c r="AO925" s="100"/>
    </row>
    <row r="926" ht="14.25" customHeight="1">
      <c r="A926" s="195"/>
      <c r="B926" s="100"/>
      <c r="C926" s="100"/>
      <c r="D926" s="100"/>
      <c r="E926" s="100"/>
      <c r="F926" s="206"/>
      <c r="G926" s="206"/>
      <c r="H926" s="207"/>
      <c r="I926" s="207"/>
      <c r="J926" s="207"/>
      <c r="K926" s="207"/>
      <c r="L926" s="207"/>
      <c r="M926" s="207"/>
      <c r="N926" s="207"/>
      <c r="O926" s="207"/>
      <c r="P926" s="207"/>
      <c r="Q926" s="207"/>
      <c r="R926" s="207"/>
      <c r="S926" s="207"/>
      <c r="T926" s="207"/>
      <c r="U926" s="207"/>
      <c r="V926" s="207"/>
      <c r="W926" s="208"/>
      <c r="X926" s="208"/>
      <c r="Y926" s="208"/>
      <c r="Z926" s="208"/>
      <c r="AA926" s="208"/>
      <c r="AB926" s="208"/>
      <c r="AC926" s="208"/>
      <c r="AD926" s="208"/>
      <c r="AE926" s="208"/>
      <c r="AF926" s="208"/>
      <c r="AG926" s="208"/>
      <c r="AH926" s="208"/>
      <c r="AI926" s="100"/>
      <c r="AJ926" s="100"/>
      <c r="AK926" s="100"/>
      <c r="AL926" s="100"/>
      <c r="AM926" s="100"/>
      <c r="AN926" s="100"/>
      <c r="AO926" s="100"/>
    </row>
    <row r="927" ht="14.25" customHeight="1">
      <c r="A927" s="195"/>
      <c r="B927" s="100"/>
      <c r="C927" s="100"/>
      <c r="D927" s="100"/>
      <c r="E927" s="100"/>
      <c r="F927" s="206"/>
      <c r="G927" s="206"/>
      <c r="H927" s="207"/>
      <c r="I927" s="207"/>
      <c r="J927" s="207"/>
      <c r="K927" s="207"/>
      <c r="L927" s="207"/>
      <c r="M927" s="207"/>
      <c r="N927" s="207"/>
      <c r="O927" s="207"/>
      <c r="P927" s="207"/>
      <c r="Q927" s="207"/>
      <c r="R927" s="207"/>
      <c r="S927" s="207"/>
      <c r="T927" s="207"/>
      <c r="U927" s="207"/>
      <c r="V927" s="207"/>
      <c r="W927" s="208"/>
      <c r="X927" s="208"/>
      <c r="Y927" s="208"/>
      <c r="Z927" s="208"/>
      <c r="AA927" s="208"/>
      <c r="AB927" s="208"/>
      <c r="AC927" s="208"/>
      <c r="AD927" s="208"/>
      <c r="AE927" s="208"/>
      <c r="AF927" s="208"/>
      <c r="AG927" s="208"/>
      <c r="AH927" s="208"/>
      <c r="AI927" s="100"/>
      <c r="AJ927" s="100"/>
      <c r="AK927" s="100"/>
      <c r="AL927" s="100"/>
      <c r="AM927" s="100"/>
      <c r="AN927" s="100"/>
      <c r="AO927" s="100"/>
    </row>
    <row r="928" ht="14.25" customHeight="1">
      <c r="A928" s="195"/>
      <c r="B928" s="100"/>
      <c r="C928" s="100"/>
      <c r="D928" s="100"/>
      <c r="E928" s="100"/>
      <c r="F928" s="206"/>
      <c r="G928" s="206"/>
      <c r="H928" s="207"/>
      <c r="I928" s="207"/>
      <c r="J928" s="207"/>
      <c r="K928" s="207"/>
      <c r="L928" s="207"/>
      <c r="M928" s="207"/>
      <c r="N928" s="207"/>
      <c r="O928" s="207"/>
      <c r="P928" s="207"/>
      <c r="Q928" s="207"/>
      <c r="R928" s="207"/>
      <c r="S928" s="207"/>
      <c r="T928" s="207"/>
      <c r="U928" s="207"/>
      <c r="V928" s="207"/>
      <c r="W928" s="208"/>
      <c r="X928" s="208"/>
      <c r="Y928" s="208"/>
      <c r="Z928" s="208"/>
      <c r="AA928" s="208"/>
      <c r="AB928" s="208"/>
      <c r="AC928" s="208"/>
      <c r="AD928" s="208"/>
      <c r="AE928" s="208"/>
      <c r="AF928" s="208"/>
      <c r="AG928" s="208"/>
      <c r="AH928" s="208"/>
      <c r="AI928" s="100"/>
      <c r="AJ928" s="100"/>
      <c r="AK928" s="100"/>
      <c r="AL928" s="100"/>
      <c r="AM928" s="100"/>
      <c r="AN928" s="100"/>
      <c r="AO928" s="100"/>
    </row>
    <row r="929" ht="14.25" customHeight="1">
      <c r="A929" s="195"/>
      <c r="B929" s="100"/>
      <c r="C929" s="100"/>
      <c r="D929" s="100"/>
      <c r="E929" s="100"/>
      <c r="F929" s="206"/>
      <c r="G929" s="206"/>
      <c r="H929" s="207"/>
      <c r="I929" s="207"/>
      <c r="J929" s="207"/>
      <c r="K929" s="207"/>
      <c r="L929" s="207"/>
      <c r="M929" s="207"/>
      <c r="N929" s="207"/>
      <c r="O929" s="207"/>
      <c r="P929" s="207"/>
      <c r="Q929" s="207"/>
      <c r="R929" s="207"/>
      <c r="S929" s="207"/>
      <c r="T929" s="207"/>
      <c r="U929" s="207"/>
      <c r="V929" s="207"/>
      <c r="W929" s="208"/>
      <c r="X929" s="208"/>
      <c r="Y929" s="208"/>
      <c r="Z929" s="208"/>
      <c r="AA929" s="208"/>
      <c r="AB929" s="208"/>
      <c r="AC929" s="208"/>
      <c r="AD929" s="208"/>
      <c r="AE929" s="208"/>
      <c r="AF929" s="208"/>
      <c r="AG929" s="208"/>
      <c r="AH929" s="208"/>
      <c r="AI929" s="100"/>
      <c r="AJ929" s="100"/>
      <c r="AK929" s="100"/>
      <c r="AL929" s="100"/>
      <c r="AM929" s="100"/>
      <c r="AN929" s="100"/>
      <c r="AO929" s="100"/>
    </row>
    <row r="930" ht="14.25" customHeight="1">
      <c r="A930" s="195"/>
      <c r="B930" s="100"/>
      <c r="C930" s="100"/>
      <c r="D930" s="100"/>
      <c r="E930" s="100"/>
      <c r="F930" s="206"/>
      <c r="G930" s="206"/>
      <c r="H930" s="207"/>
      <c r="I930" s="207"/>
      <c r="J930" s="207"/>
      <c r="K930" s="207"/>
      <c r="L930" s="207"/>
      <c r="M930" s="207"/>
      <c r="N930" s="207"/>
      <c r="O930" s="207"/>
      <c r="P930" s="207"/>
      <c r="Q930" s="207"/>
      <c r="R930" s="207"/>
      <c r="S930" s="207"/>
      <c r="T930" s="207"/>
      <c r="U930" s="207"/>
      <c r="V930" s="207"/>
      <c r="W930" s="208"/>
      <c r="X930" s="208"/>
      <c r="Y930" s="208"/>
      <c r="Z930" s="208"/>
      <c r="AA930" s="208"/>
      <c r="AB930" s="208"/>
      <c r="AC930" s="208"/>
      <c r="AD930" s="208"/>
      <c r="AE930" s="208"/>
      <c r="AF930" s="208"/>
      <c r="AG930" s="208"/>
      <c r="AH930" s="208"/>
      <c r="AI930" s="100"/>
      <c r="AJ930" s="100"/>
      <c r="AK930" s="100"/>
      <c r="AL930" s="100"/>
      <c r="AM930" s="100"/>
      <c r="AN930" s="100"/>
      <c r="AO930" s="100"/>
    </row>
    <row r="931" ht="14.25" customHeight="1">
      <c r="A931" s="195"/>
      <c r="B931" s="100"/>
      <c r="C931" s="100"/>
      <c r="D931" s="100"/>
      <c r="E931" s="100"/>
      <c r="F931" s="206"/>
      <c r="G931" s="206"/>
      <c r="H931" s="207"/>
      <c r="I931" s="207"/>
      <c r="J931" s="207"/>
      <c r="K931" s="207"/>
      <c r="L931" s="207"/>
      <c r="M931" s="207"/>
      <c r="N931" s="207"/>
      <c r="O931" s="207"/>
      <c r="P931" s="207"/>
      <c r="Q931" s="207"/>
      <c r="R931" s="207"/>
      <c r="S931" s="207"/>
      <c r="T931" s="207"/>
      <c r="U931" s="207"/>
      <c r="V931" s="207"/>
      <c r="W931" s="208"/>
      <c r="X931" s="208"/>
      <c r="Y931" s="208"/>
      <c r="Z931" s="208"/>
      <c r="AA931" s="208"/>
      <c r="AB931" s="208"/>
      <c r="AC931" s="208"/>
      <c r="AD931" s="208"/>
      <c r="AE931" s="208"/>
      <c r="AF931" s="208"/>
      <c r="AG931" s="208"/>
      <c r="AH931" s="208"/>
      <c r="AI931" s="100"/>
      <c r="AJ931" s="100"/>
      <c r="AK931" s="100"/>
      <c r="AL931" s="100"/>
      <c r="AM931" s="100"/>
      <c r="AN931" s="100"/>
      <c r="AO931" s="100"/>
    </row>
    <row r="932" ht="14.25" customHeight="1">
      <c r="A932" s="195"/>
      <c r="B932" s="100"/>
      <c r="C932" s="100"/>
      <c r="D932" s="100"/>
      <c r="E932" s="100"/>
      <c r="F932" s="206"/>
      <c r="G932" s="206"/>
      <c r="H932" s="207"/>
      <c r="I932" s="207"/>
      <c r="J932" s="207"/>
      <c r="K932" s="207"/>
      <c r="L932" s="207"/>
      <c r="M932" s="207"/>
      <c r="N932" s="207"/>
      <c r="O932" s="207"/>
      <c r="P932" s="207"/>
      <c r="Q932" s="207"/>
      <c r="R932" s="207"/>
      <c r="S932" s="207"/>
      <c r="T932" s="207"/>
      <c r="U932" s="207"/>
      <c r="V932" s="207"/>
      <c r="W932" s="208"/>
      <c r="X932" s="208"/>
      <c r="Y932" s="208"/>
      <c r="Z932" s="208"/>
      <c r="AA932" s="208"/>
      <c r="AB932" s="208"/>
      <c r="AC932" s="208"/>
      <c r="AD932" s="208"/>
      <c r="AE932" s="208"/>
      <c r="AF932" s="208"/>
      <c r="AG932" s="208"/>
      <c r="AH932" s="208"/>
      <c r="AI932" s="100"/>
      <c r="AJ932" s="100"/>
      <c r="AK932" s="100"/>
      <c r="AL932" s="100"/>
      <c r="AM932" s="100"/>
      <c r="AN932" s="100"/>
      <c r="AO932" s="100"/>
    </row>
    <row r="933" ht="14.25" customHeight="1">
      <c r="A933" s="195"/>
      <c r="B933" s="100"/>
      <c r="C933" s="100"/>
      <c r="D933" s="100"/>
      <c r="E933" s="100"/>
      <c r="F933" s="206"/>
      <c r="G933" s="206"/>
      <c r="H933" s="207"/>
      <c r="I933" s="207"/>
      <c r="J933" s="207"/>
      <c r="K933" s="207"/>
      <c r="L933" s="207"/>
      <c r="M933" s="207"/>
      <c r="N933" s="207"/>
      <c r="O933" s="207"/>
      <c r="P933" s="207"/>
      <c r="Q933" s="207"/>
      <c r="R933" s="207"/>
      <c r="S933" s="207"/>
      <c r="T933" s="207"/>
      <c r="U933" s="207"/>
      <c r="V933" s="207"/>
      <c r="W933" s="208"/>
      <c r="X933" s="208"/>
      <c r="Y933" s="208"/>
      <c r="Z933" s="208"/>
      <c r="AA933" s="208"/>
      <c r="AB933" s="208"/>
      <c r="AC933" s="208"/>
      <c r="AD933" s="208"/>
      <c r="AE933" s="208"/>
      <c r="AF933" s="208"/>
      <c r="AG933" s="208"/>
      <c r="AH933" s="208"/>
      <c r="AI933" s="100"/>
      <c r="AJ933" s="100"/>
      <c r="AK933" s="100"/>
      <c r="AL933" s="100"/>
      <c r="AM933" s="100"/>
      <c r="AN933" s="100"/>
      <c r="AO933" s="100"/>
    </row>
    <row r="934" ht="14.25" customHeight="1">
      <c r="A934" s="195"/>
      <c r="B934" s="100"/>
      <c r="C934" s="100"/>
      <c r="D934" s="100"/>
      <c r="E934" s="100"/>
      <c r="F934" s="206"/>
      <c r="G934" s="206"/>
      <c r="H934" s="207"/>
      <c r="I934" s="207"/>
      <c r="J934" s="207"/>
      <c r="K934" s="207"/>
      <c r="L934" s="207"/>
      <c r="M934" s="207"/>
      <c r="N934" s="207"/>
      <c r="O934" s="207"/>
      <c r="P934" s="207"/>
      <c r="Q934" s="207"/>
      <c r="R934" s="207"/>
      <c r="S934" s="207"/>
      <c r="T934" s="207"/>
      <c r="U934" s="207"/>
      <c r="V934" s="207"/>
      <c r="W934" s="208"/>
      <c r="X934" s="208"/>
      <c r="Y934" s="208"/>
      <c r="Z934" s="208"/>
      <c r="AA934" s="208"/>
      <c r="AB934" s="208"/>
      <c r="AC934" s="208"/>
      <c r="AD934" s="208"/>
      <c r="AE934" s="208"/>
      <c r="AF934" s="208"/>
      <c r="AG934" s="208"/>
      <c r="AH934" s="208"/>
      <c r="AI934" s="100"/>
      <c r="AJ934" s="100"/>
      <c r="AK934" s="100"/>
      <c r="AL934" s="100"/>
      <c r="AM934" s="100"/>
      <c r="AN934" s="100"/>
      <c r="AO934" s="100"/>
    </row>
    <row r="935" ht="14.25" customHeight="1">
      <c r="A935" s="195"/>
      <c r="B935" s="100"/>
      <c r="C935" s="100"/>
      <c r="D935" s="100"/>
      <c r="E935" s="100"/>
      <c r="F935" s="206"/>
      <c r="G935" s="206"/>
      <c r="H935" s="207"/>
      <c r="I935" s="207"/>
      <c r="J935" s="207"/>
      <c r="K935" s="207"/>
      <c r="L935" s="207"/>
      <c r="M935" s="207"/>
      <c r="N935" s="207"/>
      <c r="O935" s="207"/>
      <c r="P935" s="207"/>
      <c r="Q935" s="207"/>
      <c r="R935" s="207"/>
      <c r="S935" s="207"/>
      <c r="T935" s="207"/>
      <c r="U935" s="207"/>
      <c r="V935" s="207"/>
      <c r="W935" s="208"/>
      <c r="X935" s="208"/>
      <c r="Y935" s="208"/>
      <c r="Z935" s="208"/>
      <c r="AA935" s="208"/>
      <c r="AB935" s="208"/>
      <c r="AC935" s="208"/>
      <c r="AD935" s="208"/>
      <c r="AE935" s="208"/>
      <c r="AF935" s="208"/>
      <c r="AG935" s="208"/>
      <c r="AH935" s="208"/>
      <c r="AI935" s="100"/>
      <c r="AJ935" s="100"/>
      <c r="AK935" s="100"/>
      <c r="AL935" s="100"/>
      <c r="AM935" s="100"/>
      <c r="AN935" s="100"/>
      <c r="AO935" s="100"/>
    </row>
    <row r="936" ht="14.25" customHeight="1">
      <c r="A936" s="195"/>
      <c r="B936" s="100"/>
      <c r="C936" s="100"/>
      <c r="D936" s="100"/>
      <c r="E936" s="100"/>
      <c r="F936" s="206"/>
      <c r="G936" s="206"/>
      <c r="H936" s="207"/>
      <c r="I936" s="207"/>
      <c r="J936" s="207"/>
      <c r="K936" s="207"/>
      <c r="L936" s="207"/>
      <c r="M936" s="207"/>
      <c r="N936" s="207"/>
      <c r="O936" s="207"/>
      <c r="P936" s="207"/>
      <c r="Q936" s="207"/>
      <c r="R936" s="207"/>
      <c r="S936" s="207"/>
      <c r="T936" s="207"/>
      <c r="U936" s="207"/>
      <c r="V936" s="207"/>
      <c r="W936" s="208"/>
      <c r="X936" s="208"/>
      <c r="Y936" s="208"/>
      <c r="Z936" s="208"/>
      <c r="AA936" s="208"/>
      <c r="AB936" s="208"/>
      <c r="AC936" s="208"/>
      <c r="AD936" s="208"/>
      <c r="AE936" s="208"/>
      <c r="AF936" s="208"/>
      <c r="AG936" s="208"/>
      <c r="AH936" s="208"/>
      <c r="AI936" s="100"/>
      <c r="AJ936" s="100"/>
      <c r="AK936" s="100"/>
      <c r="AL936" s="100"/>
      <c r="AM936" s="100"/>
      <c r="AN936" s="100"/>
      <c r="AO936" s="100"/>
    </row>
    <row r="937" ht="14.25" customHeight="1">
      <c r="A937" s="195"/>
      <c r="B937" s="100"/>
      <c r="C937" s="100"/>
      <c r="D937" s="100"/>
      <c r="E937" s="100"/>
      <c r="F937" s="206"/>
      <c r="G937" s="206"/>
      <c r="H937" s="207"/>
      <c r="I937" s="207"/>
      <c r="J937" s="207"/>
      <c r="K937" s="207"/>
      <c r="L937" s="207"/>
      <c r="M937" s="207"/>
      <c r="N937" s="207"/>
      <c r="O937" s="207"/>
      <c r="P937" s="207"/>
      <c r="Q937" s="207"/>
      <c r="R937" s="207"/>
      <c r="S937" s="207"/>
      <c r="T937" s="207"/>
      <c r="U937" s="207"/>
      <c r="V937" s="207"/>
      <c r="W937" s="208"/>
      <c r="X937" s="208"/>
      <c r="Y937" s="208"/>
      <c r="Z937" s="208"/>
      <c r="AA937" s="208"/>
      <c r="AB937" s="208"/>
      <c r="AC937" s="208"/>
      <c r="AD937" s="208"/>
      <c r="AE937" s="208"/>
      <c r="AF937" s="208"/>
      <c r="AG937" s="208"/>
      <c r="AH937" s="208"/>
      <c r="AI937" s="100"/>
      <c r="AJ937" s="100"/>
      <c r="AK937" s="100"/>
      <c r="AL937" s="100"/>
      <c r="AM937" s="100"/>
      <c r="AN937" s="100"/>
      <c r="AO937" s="100"/>
    </row>
    <row r="938" ht="14.25" customHeight="1">
      <c r="A938" s="195"/>
      <c r="B938" s="100"/>
      <c r="C938" s="100"/>
      <c r="D938" s="100"/>
      <c r="E938" s="100"/>
      <c r="F938" s="206"/>
      <c r="G938" s="206"/>
      <c r="H938" s="207"/>
      <c r="I938" s="207"/>
      <c r="J938" s="207"/>
      <c r="K938" s="207"/>
      <c r="L938" s="207"/>
      <c r="M938" s="207"/>
      <c r="N938" s="207"/>
      <c r="O938" s="207"/>
      <c r="P938" s="207"/>
      <c r="Q938" s="207"/>
      <c r="R938" s="207"/>
      <c r="S938" s="207"/>
      <c r="T938" s="207"/>
      <c r="U938" s="207"/>
      <c r="V938" s="207"/>
      <c r="W938" s="208"/>
      <c r="X938" s="208"/>
      <c r="Y938" s="208"/>
      <c r="Z938" s="208"/>
      <c r="AA938" s="208"/>
      <c r="AB938" s="208"/>
      <c r="AC938" s="208"/>
      <c r="AD938" s="208"/>
      <c r="AE938" s="208"/>
      <c r="AF938" s="208"/>
      <c r="AG938" s="208"/>
      <c r="AH938" s="208"/>
      <c r="AI938" s="100"/>
      <c r="AJ938" s="100"/>
      <c r="AK938" s="100"/>
      <c r="AL938" s="100"/>
      <c r="AM938" s="100"/>
      <c r="AN938" s="100"/>
      <c r="AO938" s="100"/>
    </row>
    <row r="939" ht="14.25" customHeight="1">
      <c r="A939" s="195"/>
      <c r="B939" s="100"/>
      <c r="C939" s="100"/>
      <c r="D939" s="100"/>
      <c r="E939" s="100"/>
      <c r="F939" s="206"/>
      <c r="G939" s="206"/>
      <c r="H939" s="207"/>
      <c r="I939" s="207"/>
      <c r="J939" s="207"/>
      <c r="K939" s="207"/>
      <c r="L939" s="207"/>
      <c r="M939" s="207"/>
      <c r="N939" s="207"/>
      <c r="O939" s="207"/>
      <c r="P939" s="207"/>
      <c r="Q939" s="207"/>
      <c r="R939" s="207"/>
      <c r="S939" s="207"/>
      <c r="T939" s="207"/>
      <c r="U939" s="207"/>
      <c r="V939" s="207"/>
      <c r="W939" s="208"/>
      <c r="X939" s="208"/>
      <c r="Y939" s="208"/>
      <c r="Z939" s="208"/>
      <c r="AA939" s="208"/>
      <c r="AB939" s="208"/>
      <c r="AC939" s="208"/>
      <c r="AD939" s="208"/>
      <c r="AE939" s="208"/>
      <c r="AF939" s="208"/>
      <c r="AG939" s="208"/>
      <c r="AH939" s="208"/>
      <c r="AI939" s="100"/>
      <c r="AJ939" s="100"/>
      <c r="AK939" s="100"/>
      <c r="AL939" s="100"/>
      <c r="AM939" s="100"/>
      <c r="AN939" s="100"/>
      <c r="AO939" s="100"/>
    </row>
    <row r="940" ht="14.25" customHeight="1">
      <c r="A940" s="195"/>
      <c r="B940" s="100"/>
      <c r="C940" s="100"/>
      <c r="D940" s="100"/>
      <c r="E940" s="100"/>
      <c r="F940" s="206"/>
      <c r="G940" s="206"/>
      <c r="H940" s="207"/>
      <c r="I940" s="207"/>
      <c r="J940" s="207"/>
      <c r="K940" s="207"/>
      <c r="L940" s="207"/>
      <c r="M940" s="207"/>
      <c r="N940" s="207"/>
      <c r="O940" s="207"/>
      <c r="P940" s="207"/>
      <c r="Q940" s="207"/>
      <c r="R940" s="207"/>
      <c r="S940" s="207"/>
      <c r="T940" s="207"/>
      <c r="U940" s="207"/>
      <c r="V940" s="207"/>
      <c r="W940" s="208"/>
      <c r="X940" s="208"/>
      <c r="Y940" s="208"/>
      <c r="Z940" s="208"/>
      <c r="AA940" s="208"/>
      <c r="AB940" s="208"/>
      <c r="AC940" s="208"/>
      <c r="AD940" s="208"/>
      <c r="AE940" s="208"/>
      <c r="AF940" s="208"/>
      <c r="AG940" s="208"/>
      <c r="AH940" s="208"/>
      <c r="AI940" s="100"/>
      <c r="AJ940" s="100"/>
      <c r="AK940" s="100"/>
      <c r="AL940" s="100"/>
      <c r="AM940" s="100"/>
      <c r="AN940" s="100"/>
      <c r="AO940" s="100"/>
    </row>
    <row r="941" ht="14.25" customHeight="1">
      <c r="A941" s="195"/>
      <c r="B941" s="100"/>
      <c r="C941" s="100"/>
      <c r="D941" s="100"/>
      <c r="E941" s="100"/>
      <c r="F941" s="206"/>
      <c r="G941" s="206"/>
      <c r="H941" s="207"/>
      <c r="I941" s="207"/>
      <c r="J941" s="207"/>
      <c r="K941" s="207"/>
      <c r="L941" s="207"/>
      <c r="M941" s="207"/>
      <c r="N941" s="207"/>
      <c r="O941" s="207"/>
      <c r="P941" s="207"/>
      <c r="Q941" s="207"/>
      <c r="R941" s="207"/>
      <c r="S941" s="207"/>
      <c r="T941" s="207"/>
      <c r="U941" s="207"/>
      <c r="V941" s="207"/>
      <c r="W941" s="208"/>
      <c r="X941" s="208"/>
      <c r="Y941" s="208"/>
      <c r="Z941" s="208"/>
      <c r="AA941" s="208"/>
      <c r="AB941" s="208"/>
      <c r="AC941" s="208"/>
      <c r="AD941" s="208"/>
      <c r="AE941" s="208"/>
      <c r="AF941" s="208"/>
      <c r="AG941" s="208"/>
      <c r="AH941" s="208"/>
      <c r="AI941" s="100"/>
      <c r="AJ941" s="100"/>
      <c r="AK941" s="100"/>
      <c r="AL941" s="100"/>
      <c r="AM941" s="100"/>
      <c r="AN941" s="100"/>
      <c r="AO941" s="100"/>
    </row>
    <row r="942" ht="14.25" customHeight="1">
      <c r="A942" s="195"/>
      <c r="B942" s="100"/>
      <c r="C942" s="100"/>
      <c r="D942" s="100"/>
      <c r="E942" s="100"/>
      <c r="F942" s="206"/>
      <c r="G942" s="206"/>
      <c r="H942" s="207"/>
      <c r="I942" s="207"/>
      <c r="J942" s="207"/>
      <c r="K942" s="207"/>
      <c r="L942" s="207"/>
      <c r="M942" s="207"/>
      <c r="N942" s="207"/>
      <c r="O942" s="207"/>
      <c r="P942" s="207"/>
      <c r="Q942" s="207"/>
      <c r="R942" s="207"/>
      <c r="S942" s="207"/>
      <c r="T942" s="207"/>
      <c r="U942" s="207"/>
      <c r="V942" s="207"/>
      <c r="W942" s="208"/>
      <c r="X942" s="208"/>
      <c r="Y942" s="208"/>
      <c r="Z942" s="208"/>
      <c r="AA942" s="208"/>
      <c r="AB942" s="208"/>
      <c r="AC942" s="208"/>
      <c r="AD942" s="208"/>
      <c r="AE942" s="208"/>
      <c r="AF942" s="208"/>
      <c r="AG942" s="208"/>
      <c r="AH942" s="208"/>
      <c r="AI942" s="100"/>
      <c r="AJ942" s="100"/>
      <c r="AK942" s="100"/>
      <c r="AL942" s="100"/>
      <c r="AM942" s="100"/>
      <c r="AN942" s="100"/>
      <c r="AO942" s="100"/>
    </row>
    <row r="943" ht="14.25" customHeight="1">
      <c r="A943" s="195"/>
      <c r="B943" s="100"/>
      <c r="C943" s="100"/>
      <c r="D943" s="100"/>
      <c r="E943" s="100"/>
      <c r="F943" s="206"/>
      <c r="G943" s="206"/>
      <c r="H943" s="207"/>
      <c r="I943" s="207"/>
      <c r="J943" s="207"/>
      <c r="K943" s="207"/>
      <c r="L943" s="207"/>
      <c r="M943" s="207"/>
      <c r="N943" s="207"/>
      <c r="O943" s="207"/>
      <c r="P943" s="207"/>
      <c r="Q943" s="207"/>
      <c r="R943" s="207"/>
      <c r="S943" s="207"/>
      <c r="T943" s="207"/>
      <c r="U943" s="207"/>
      <c r="V943" s="207"/>
      <c r="W943" s="208"/>
      <c r="X943" s="208"/>
      <c r="Y943" s="208"/>
      <c r="Z943" s="208"/>
      <c r="AA943" s="208"/>
      <c r="AB943" s="208"/>
      <c r="AC943" s="208"/>
      <c r="AD943" s="208"/>
      <c r="AE943" s="208"/>
      <c r="AF943" s="208"/>
      <c r="AG943" s="208"/>
      <c r="AH943" s="208"/>
      <c r="AI943" s="100"/>
      <c r="AJ943" s="100"/>
      <c r="AK943" s="100"/>
      <c r="AL943" s="100"/>
      <c r="AM943" s="100"/>
      <c r="AN943" s="100"/>
      <c r="AO943" s="100"/>
    </row>
    <row r="944" ht="14.25" customHeight="1">
      <c r="A944" s="195"/>
      <c r="B944" s="100"/>
      <c r="C944" s="100"/>
      <c r="D944" s="100"/>
      <c r="E944" s="100"/>
      <c r="F944" s="206"/>
      <c r="G944" s="206"/>
      <c r="H944" s="207"/>
      <c r="I944" s="207"/>
      <c r="J944" s="207"/>
      <c r="K944" s="207"/>
      <c r="L944" s="207"/>
      <c r="M944" s="207"/>
      <c r="N944" s="207"/>
      <c r="O944" s="207"/>
      <c r="P944" s="207"/>
      <c r="Q944" s="207"/>
      <c r="R944" s="207"/>
      <c r="S944" s="207"/>
      <c r="T944" s="207"/>
      <c r="U944" s="207"/>
      <c r="V944" s="207"/>
      <c r="W944" s="208"/>
      <c r="X944" s="208"/>
      <c r="Y944" s="208"/>
      <c r="Z944" s="208"/>
      <c r="AA944" s="208"/>
      <c r="AB944" s="208"/>
      <c r="AC944" s="208"/>
      <c r="AD944" s="208"/>
      <c r="AE944" s="208"/>
      <c r="AF944" s="208"/>
      <c r="AG944" s="208"/>
      <c r="AH944" s="208"/>
      <c r="AI944" s="100"/>
      <c r="AJ944" s="100"/>
      <c r="AK944" s="100"/>
      <c r="AL944" s="100"/>
      <c r="AM944" s="100"/>
      <c r="AN944" s="100"/>
      <c r="AO944" s="100"/>
    </row>
    <row r="945" ht="14.25" customHeight="1">
      <c r="A945" s="195"/>
      <c r="B945" s="100"/>
      <c r="C945" s="100"/>
      <c r="D945" s="100"/>
      <c r="E945" s="100"/>
      <c r="F945" s="206"/>
      <c r="G945" s="206"/>
      <c r="H945" s="207"/>
      <c r="I945" s="207"/>
      <c r="J945" s="207"/>
      <c r="K945" s="207"/>
      <c r="L945" s="207"/>
      <c r="M945" s="207"/>
      <c r="N945" s="207"/>
      <c r="O945" s="207"/>
      <c r="P945" s="207"/>
      <c r="Q945" s="207"/>
      <c r="R945" s="207"/>
      <c r="S945" s="207"/>
      <c r="T945" s="207"/>
      <c r="U945" s="207"/>
      <c r="V945" s="207"/>
      <c r="W945" s="208"/>
      <c r="X945" s="208"/>
      <c r="Y945" s="208"/>
      <c r="Z945" s="208"/>
      <c r="AA945" s="208"/>
      <c r="AB945" s="208"/>
      <c r="AC945" s="208"/>
      <c r="AD945" s="208"/>
      <c r="AE945" s="208"/>
      <c r="AF945" s="208"/>
      <c r="AG945" s="208"/>
      <c r="AH945" s="208"/>
      <c r="AI945" s="100"/>
      <c r="AJ945" s="100"/>
      <c r="AK945" s="100"/>
      <c r="AL945" s="100"/>
      <c r="AM945" s="100"/>
      <c r="AN945" s="100"/>
      <c r="AO945" s="100"/>
    </row>
    <row r="946" ht="14.25" customHeight="1">
      <c r="A946" s="195"/>
      <c r="B946" s="100"/>
      <c r="C946" s="100"/>
      <c r="D946" s="100"/>
      <c r="E946" s="100"/>
      <c r="F946" s="206"/>
      <c r="G946" s="206"/>
      <c r="H946" s="207"/>
      <c r="I946" s="207"/>
      <c r="J946" s="207"/>
      <c r="K946" s="207"/>
      <c r="L946" s="207"/>
      <c r="M946" s="207"/>
      <c r="N946" s="207"/>
      <c r="O946" s="207"/>
      <c r="P946" s="207"/>
      <c r="Q946" s="207"/>
      <c r="R946" s="207"/>
      <c r="S946" s="207"/>
      <c r="T946" s="207"/>
      <c r="U946" s="207"/>
      <c r="V946" s="207"/>
      <c r="W946" s="208"/>
      <c r="X946" s="208"/>
      <c r="Y946" s="208"/>
      <c r="Z946" s="208"/>
      <c r="AA946" s="208"/>
      <c r="AB946" s="208"/>
      <c r="AC946" s="208"/>
      <c r="AD946" s="208"/>
      <c r="AE946" s="208"/>
      <c r="AF946" s="208"/>
      <c r="AG946" s="208"/>
      <c r="AH946" s="208"/>
      <c r="AI946" s="100"/>
      <c r="AJ946" s="100"/>
      <c r="AK946" s="100"/>
      <c r="AL946" s="100"/>
      <c r="AM946" s="100"/>
      <c r="AN946" s="100"/>
      <c r="AO946" s="100"/>
    </row>
    <row r="947" ht="14.25" customHeight="1">
      <c r="A947" s="195"/>
      <c r="B947" s="100"/>
      <c r="C947" s="100"/>
      <c r="D947" s="100"/>
      <c r="E947" s="100"/>
      <c r="F947" s="206"/>
      <c r="G947" s="206"/>
      <c r="H947" s="207"/>
      <c r="I947" s="207"/>
      <c r="J947" s="207"/>
      <c r="K947" s="207"/>
      <c r="L947" s="207"/>
      <c r="M947" s="207"/>
      <c r="N947" s="207"/>
      <c r="O947" s="207"/>
      <c r="P947" s="207"/>
      <c r="Q947" s="207"/>
      <c r="R947" s="207"/>
      <c r="S947" s="207"/>
      <c r="T947" s="207"/>
      <c r="U947" s="207"/>
      <c r="V947" s="207"/>
      <c r="W947" s="208"/>
      <c r="X947" s="208"/>
      <c r="Y947" s="208"/>
      <c r="Z947" s="208"/>
      <c r="AA947" s="208"/>
      <c r="AB947" s="208"/>
      <c r="AC947" s="208"/>
      <c r="AD947" s="208"/>
      <c r="AE947" s="208"/>
      <c r="AF947" s="208"/>
      <c r="AG947" s="208"/>
      <c r="AH947" s="208"/>
      <c r="AI947" s="100"/>
      <c r="AJ947" s="100"/>
      <c r="AK947" s="100"/>
      <c r="AL947" s="100"/>
      <c r="AM947" s="100"/>
      <c r="AN947" s="100"/>
      <c r="AO947" s="100"/>
    </row>
    <row r="948" ht="14.25" customHeight="1">
      <c r="A948" s="195"/>
      <c r="B948" s="100"/>
      <c r="C948" s="100"/>
      <c r="D948" s="100"/>
      <c r="E948" s="100"/>
      <c r="F948" s="206"/>
      <c r="G948" s="206"/>
      <c r="H948" s="207"/>
      <c r="I948" s="207"/>
      <c r="J948" s="207"/>
      <c r="K948" s="207"/>
      <c r="L948" s="207"/>
      <c r="M948" s="207"/>
      <c r="N948" s="207"/>
      <c r="O948" s="207"/>
      <c r="P948" s="207"/>
      <c r="Q948" s="207"/>
      <c r="R948" s="207"/>
      <c r="S948" s="207"/>
      <c r="T948" s="207"/>
      <c r="U948" s="207"/>
      <c r="V948" s="207"/>
      <c r="W948" s="208"/>
      <c r="X948" s="208"/>
      <c r="Y948" s="208"/>
      <c r="Z948" s="208"/>
      <c r="AA948" s="208"/>
      <c r="AB948" s="208"/>
      <c r="AC948" s="208"/>
      <c r="AD948" s="208"/>
      <c r="AE948" s="208"/>
      <c r="AF948" s="208"/>
      <c r="AG948" s="208"/>
      <c r="AH948" s="208"/>
      <c r="AI948" s="100"/>
      <c r="AJ948" s="100"/>
      <c r="AK948" s="100"/>
      <c r="AL948" s="100"/>
      <c r="AM948" s="100"/>
      <c r="AN948" s="100"/>
      <c r="AO948" s="100"/>
    </row>
    <row r="949" ht="14.25" customHeight="1">
      <c r="A949" s="195"/>
      <c r="B949" s="100"/>
      <c r="C949" s="100"/>
      <c r="D949" s="100"/>
      <c r="E949" s="100"/>
      <c r="F949" s="206"/>
      <c r="G949" s="206"/>
      <c r="H949" s="207"/>
      <c r="I949" s="207"/>
      <c r="J949" s="207"/>
      <c r="K949" s="207"/>
      <c r="L949" s="207"/>
      <c r="M949" s="207"/>
      <c r="N949" s="207"/>
      <c r="O949" s="207"/>
      <c r="P949" s="207"/>
      <c r="Q949" s="207"/>
      <c r="R949" s="207"/>
      <c r="S949" s="207"/>
      <c r="T949" s="207"/>
      <c r="U949" s="207"/>
      <c r="V949" s="207"/>
      <c r="W949" s="208"/>
      <c r="X949" s="208"/>
      <c r="Y949" s="208"/>
      <c r="Z949" s="208"/>
      <c r="AA949" s="208"/>
      <c r="AB949" s="208"/>
      <c r="AC949" s="208"/>
      <c r="AD949" s="208"/>
      <c r="AE949" s="208"/>
      <c r="AF949" s="208"/>
      <c r="AG949" s="208"/>
      <c r="AH949" s="208"/>
      <c r="AI949" s="100"/>
      <c r="AJ949" s="100"/>
      <c r="AK949" s="100"/>
      <c r="AL949" s="100"/>
      <c r="AM949" s="100"/>
      <c r="AN949" s="100"/>
      <c r="AO949" s="100"/>
    </row>
    <row r="950" ht="14.25" customHeight="1">
      <c r="A950" s="195"/>
      <c r="B950" s="100"/>
      <c r="C950" s="100"/>
      <c r="D950" s="100"/>
      <c r="E950" s="100"/>
      <c r="F950" s="206"/>
      <c r="G950" s="206"/>
      <c r="H950" s="207"/>
      <c r="I950" s="207"/>
      <c r="J950" s="207"/>
      <c r="K950" s="207"/>
      <c r="L950" s="207"/>
      <c r="M950" s="207"/>
      <c r="N950" s="207"/>
      <c r="O950" s="207"/>
      <c r="P950" s="207"/>
      <c r="Q950" s="207"/>
      <c r="R950" s="207"/>
      <c r="S950" s="207"/>
      <c r="T950" s="207"/>
      <c r="U950" s="207"/>
      <c r="V950" s="207"/>
      <c r="W950" s="208"/>
      <c r="X950" s="208"/>
      <c r="Y950" s="208"/>
      <c r="Z950" s="208"/>
      <c r="AA950" s="208"/>
      <c r="AB950" s="208"/>
      <c r="AC950" s="208"/>
      <c r="AD950" s="208"/>
      <c r="AE950" s="208"/>
      <c r="AF950" s="208"/>
      <c r="AG950" s="208"/>
      <c r="AH950" s="208"/>
      <c r="AI950" s="100"/>
      <c r="AJ950" s="100"/>
      <c r="AK950" s="100"/>
      <c r="AL950" s="100"/>
      <c r="AM950" s="100"/>
      <c r="AN950" s="100"/>
      <c r="AO950" s="100"/>
    </row>
    <row r="951" ht="14.25" customHeight="1">
      <c r="A951" s="195"/>
      <c r="B951" s="100"/>
      <c r="C951" s="100"/>
      <c r="D951" s="100"/>
      <c r="E951" s="100"/>
      <c r="F951" s="206"/>
      <c r="G951" s="206"/>
      <c r="H951" s="207"/>
      <c r="I951" s="207"/>
      <c r="J951" s="207"/>
      <c r="K951" s="207"/>
      <c r="L951" s="207"/>
      <c r="M951" s="207"/>
      <c r="N951" s="207"/>
      <c r="O951" s="207"/>
      <c r="P951" s="207"/>
      <c r="Q951" s="207"/>
      <c r="R951" s="207"/>
      <c r="S951" s="207"/>
      <c r="T951" s="207"/>
      <c r="U951" s="207"/>
      <c r="V951" s="207"/>
      <c r="W951" s="208"/>
      <c r="X951" s="208"/>
      <c r="Y951" s="208"/>
      <c r="Z951" s="208"/>
      <c r="AA951" s="208"/>
      <c r="AB951" s="208"/>
      <c r="AC951" s="208"/>
      <c r="AD951" s="208"/>
      <c r="AE951" s="208"/>
      <c r="AF951" s="208"/>
      <c r="AG951" s="208"/>
      <c r="AH951" s="208"/>
      <c r="AI951" s="100"/>
      <c r="AJ951" s="100"/>
      <c r="AK951" s="100"/>
      <c r="AL951" s="100"/>
      <c r="AM951" s="100"/>
      <c r="AN951" s="100"/>
      <c r="AO951" s="100"/>
    </row>
    <row r="952" ht="14.25" customHeight="1">
      <c r="A952" s="195"/>
      <c r="B952" s="100"/>
      <c r="C952" s="100"/>
      <c r="D952" s="100"/>
      <c r="E952" s="100"/>
      <c r="F952" s="206"/>
      <c r="G952" s="206"/>
      <c r="H952" s="207"/>
      <c r="I952" s="207"/>
      <c r="J952" s="207"/>
      <c r="K952" s="207"/>
      <c r="L952" s="207"/>
      <c r="M952" s="207"/>
      <c r="N952" s="207"/>
      <c r="O952" s="207"/>
      <c r="P952" s="207"/>
      <c r="Q952" s="207"/>
      <c r="R952" s="207"/>
      <c r="S952" s="207"/>
      <c r="T952" s="207"/>
      <c r="U952" s="207"/>
      <c r="V952" s="207"/>
      <c r="W952" s="208"/>
      <c r="X952" s="208"/>
      <c r="Y952" s="208"/>
      <c r="Z952" s="208"/>
      <c r="AA952" s="208"/>
      <c r="AB952" s="208"/>
      <c r="AC952" s="208"/>
      <c r="AD952" s="208"/>
      <c r="AE952" s="208"/>
      <c r="AF952" s="208"/>
      <c r="AG952" s="208"/>
      <c r="AH952" s="208"/>
      <c r="AI952" s="100"/>
      <c r="AJ952" s="100"/>
      <c r="AK952" s="100"/>
      <c r="AL952" s="100"/>
      <c r="AM952" s="100"/>
      <c r="AN952" s="100"/>
      <c r="AO952" s="100"/>
    </row>
    <row r="953" ht="14.25" customHeight="1">
      <c r="A953" s="195"/>
      <c r="B953" s="100"/>
      <c r="C953" s="100"/>
      <c r="D953" s="100"/>
      <c r="E953" s="100"/>
      <c r="F953" s="206"/>
      <c r="G953" s="206"/>
      <c r="H953" s="207"/>
      <c r="I953" s="207"/>
      <c r="J953" s="207"/>
      <c r="K953" s="207"/>
      <c r="L953" s="207"/>
      <c r="M953" s="207"/>
      <c r="N953" s="207"/>
      <c r="O953" s="207"/>
      <c r="P953" s="207"/>
      <c r="Q953" s="207"/>
      <c r="R953" s="207"/>
      <c r="S953" s="207"/>
      <c r="T953" s="207"/>
      <c r="U953" s="207"/>
      <c r="V953" s="207"/>
      <c r="W953" s="208"/>
      <c r="X953" s="208"/>
      <c r="Y953" s="208"/>
      <c r="Z953" s="208"/>
      <c r="AA953" s="208"/>
      <c r="AB953" s="208"/>
      <c r="AC953" s="208"/>
      <c r="AD953" s="208"/>
      <c r="AE953" s="208"/>
      <c r="AF953" s="208"/>
      <c r="AG953" s="208"/>
      <c r="AH953" s="208"/>
      <c r="AI953" s="100"/>
      <c r="AJ953" s="100"/>
      <c r="AK953" s="100"/>
      <c r="AL953" s="100"/>
      <c r="AM953" s="100"/>
      <c r="AN953" s="100"/>
      <c r="AO953" s="100"/>
    </row>
    <row r="954" ht="14.25" customHeight="1">
      <c r="A954" s="195"/>
      <c r="B954" s="100"/>
      <c r="C954" s="100"/>
      <c r="D954" s="100"/>
      <c r="E954" s="100"/>
      <c r="F954" s="206"/>
      <c r="G954" s="206"/>
      <c r="H954" s="207"/>
      <c r="I954" s="207"/>
      <c r="J954" s="207"/>
      <c r="K954" s="207"/>
      <c r="L954" s="207"/>
      <c r="M954" s="207"/>
      <c r="N954" s="207"/>
      <c r="O954" s="207"/>
      <c r="P954" s="207"/>
      <c r="Q954" s="207"/>
      <c r="R954" s="207"/>
      <c r="S954" s="207"/>
      <c r="T954" s="207"/>
      <c r="U954" s="207"/>
      <c r="V954" s="207"/>
      <c r="W954" s="208"/>
      <c r="X954" s="208"/>
      <c r="Y954" s="208"/>
      <c r="Z954" s="208"/>
      <c r="AA954" s="208"/>
      <c r="AB954" s="208"/>
      <c r="AC954" s="208"/>
      <c r="AD954" s="208"/>
      <c r="AE954" s="208"/>
      <c r="AF954" s="208"/>
      <c r="AG954" s="208"/>
      <c r="AH954" s="208"/>
      <c r="AI954" s="100"/>
      <c r="AJ954" s="100"/>
      <c r="AK954" s="100"/>
      <c r="AL954" s="100"/>
      <c r="AM954" s="100"/>
      <c r="AN954" s="100"/>
      <c r="AO954" s="100"/>
    </row>
    <row r="955" ht="14.25" customHeight="1">
      <c r="A955" s="195"/>
      <c r="B955" s="100"/>
      <c r="C955" s="100"/>
      <c r="D955" s="100"/>
      <c r="E955" s="100"/>
      <c r="F955" s="206"/>
      <c r="G955" s="206"/>
      <c r="H955" s="207"/>
      <c r="I955" s="207"/>
      <c r="J955" s="207"/>
      <c r="K955" s="207"/>
      <c r="L955" s="207"/>
      <c r="M955" s="207"/>
      <c r="N955" s="207"/>
      <c r="O955" s="207"/>
      <c r="P955" s="207"/>
      <c r="Q955" s="207"/>
      <c r="R955" s="207"/>
      <c r="S955" s="207"/>
      <c r="T955" s="207"/>
      <c r="U955" s="207"/>
      <c r="V955" s="207"/>
      <c r="W955" s="208"/>
      <c r="X955" s="208"/>
      <c r="Y955" s="208"/>
      <c r="Z955" s="208"/>
      <c r="AA955" s="208"/>
      <c r="AB955" s="208"/>
      <c r="AC955" s="208"/>
      <c r="AD955" s="208"/>
      <c r="AE955" s="208"/>
      <c r="AF955" s="208"/>
      <c r="AG955" s="208"/>
      <c r="AH955" s="208"/>
      <c r="AI955" s="100"/>
      <c r="AJ955" s="100"/>
      <c r="AK955" s="100"/>
      <c r="AL955" s="100"/>
      <c r="AM955" s="100"/>
      <c r="AN955" s="100"/>
      <c r="AO955" s="100"/>
    </row>
    <row r="956" ht="14.25" customHeight="1">
      <c r="A956" s="195"/>
      <c r="B956" s="100"/>
      <c r="C956" s="100"/>
      <c r="D956" s="100"/>
      <c r="E956" s="100"/>
      <c r="F956" s="206"/>
      <c r="G956" s="206"/>
      <c r="H956" s="207"/>
      <c r="I956" s="207"/>
      <c r="J956" s="207"/>
      <c r="K956" s="207"/>
      <c r="L956" s="207"/>
      <c r="M956" s="207"/>
      <c r="N956" s="207"/>
      <c r="O956" s="207"/>
      <c r="P956" s="207"/>
      <c r="Q956" s="207"/>
      <c r="R956" s="207"/>
      <c r="S956" s="207"/>
      <c r="T956" s="207"/>
      <c r="U956" s="207"/>
      <c r="V956" s="207"/>
      <c r="W956" s="208"/>
      <c r="X956" s="208"/>
      <c r="Y956" s="208"/>
      <c r="Z956" s="208"/>
      <c r="AA956" s="208"/>
      <c r="AB956" s="208"/>
      <c r="AC956" s="208"/>
      <c r="AD956" s="208"/>
      <c r="AE956" s="208"/>
      <c r="AF956" s="208"/>
      <c r="AG956" s="208"/>
      <c r="AH956" s="208"/>
      <c r="AI956" s="100"/>
      <c r="AJ956" s="100"/>
      <c r="AK956" s="100"/>
      <c r="AL956" s="100"/>
      <c r="AM956" s="100"/>
      <c r="AN956" s="100"/>
      <c r="AO956" s="100"/>
    </row>
    <row r="957" ht="14.25" customHeight="1">
      <c r="A957" s="195"/>
      <c r="B957" s="100"/>
      <c r="C957" s="100"/>
      <c r="D957" s="100"/>
      <c r="E957" s="100"/>
      <c r="F957" s="206"/>
      <c r="G957" s="206"/>
      <c r="H957" s="207"/>
      <c r="I957" s="207"/>
      <c r="J957" s="207"/>
      <c r="K957" s="207"/>
      <c r="L957" s="207"/>
      <c r="M957" s="207"/>
      <c r="N957" s="207"/>
      <c r="O957" s="207"/>
      <c r="P957" s="207"/>
      <c r="Q957" s="207"/>
      <c r="R957" s="207"/>
      <c r="S957" s="207"/>
      <c r="T957" s="207"/>
      <c r="U957" s="207"/>
      <c r="V957" s="207"/>
      <c r="W957" s="208"/>
      <c r="X957" s="208"/>
      <c r="Y957" s="208"/>
      <c r="Z957" s="208"/>
      <c r="AA957" s="208"/>
      <c r="AB957" s="208"/>
      <c r="AC957" s="208"/>
      <c r="AD957" s="208"/>
      <c r="AE957" s="208"/>
      <c r="AF957" s="208"/>
      <c r="AG957" s="208"/>
      <c r="AH957" s="208"/>
      <c r="AI957" s="100"/>
      <c r="AJ957" s="100"/>
      <c r="AK957" s="100"/>
      <c r="AL957" s="100"/>
      <c r="AM957" s="100"/>
      <c r="AN957" s="100"/>
      <c r="AO957" s="100"/>
    </row>
    <row r="958" ht="14.25" customHeight="1">
      <c r="A958" s="195"/>
      <c r="B958" s="100"/>
      <c r="C958" s="100"/>
      <c r="D958" s="100"/>
      <c r="E958" s="100"/>
      <c r="F958" s="206"/>
      <c r="G958" s="206"/>
      <c r="H958" s="207"/>
      <c r="I958" s="207"/>
      <c r="J958" s="207"/>
      <c r="K958" s="207"/>
      <c r="L958" s="207"/>
      <c r="M958" s="207"/>
      <c r="N958" s="207"/>
      <c r="O958" s="207"/>
      <c r="P958" s="207"/>
      <c r="Q958" s="207"/>
      <c r="R958" s="207"/>
      <c r="S958" s="207"/>
      <c r="T958" s="207"/>
      <c r="U958" s="207"/>
      <c r="V958" s="207"/>
      <c r="W958" s="208"/>
      <c r="X958" s="208"/>
      <c r="Y958" s="208"/>
      <c r="Z958" s="208"/>
      <c r="AA958" s="208"/>
      <c r="AB958" s="208"/>
      <c r="AC958" s="208"/>
      <c r="AD958" s="208"/>
      <c r="AE958" s="208"/>
      <c r="AF958" s="208"/>
      <c r="AG958" s="208"/>
      <c r="AH958" s="208"/>
      <c r="AI958" s="100"/>
      <c r="AJ958" s="100"/>
      <c r="AK958" s="100"/>
      <c r="AL958" s="100"/>
      <c r="AM958" s="100"/>
      <c r="AN958" s="100"/>
      <c r="AO958" s="100"/>
    </row>
    <row r="959" ht="14.25" customHeight="1">
      <c r="A959" s="195"/>
      <c r="B959" s="100"/>
      <c r="C959" s="100"/>
      <c r="D959" s="100"/>
      <c r="E959" s="100"/>
      <c r="F959" s="206"/>
      <c r="G959" s="206"/>
      <c r="H959" s="207"/>
      <c r="I959" s="207"/>
      <c r="J959" s="207"/>
      <c r="K959" s="207"/>
      <c r="L959" s="207"/>
      <c r="M959" s="207"/>
      <c r="N959" s="207"/>
      <c r="O959" s="207"/>
      <c r="P959" s="207"/>
      <c r="Q959" s="207"/>
      <c r="R959" s="207"/>
      <c r="S959" s="207"/>
      <c r="T959" s="207"/>
      <c r="U959" s="207"/>
      <c r="V959" s="207"/>
      <c r="W959" s="208"/>
      <c r="X959" s="208"/>
      <c r="Y959" s="208"/>
      <c r="Z959" s="208"/>
      <c r="AA959" s="208"/>
      <c r="AB959" s="208"/>
      <c r="AC959" s="208"/>
      <c r="AD959" s="208"/>
      <c r="AE959" s="208"/>
      <c r="AF959" s="208"/>
      <c r="AG959" s="208"/>
      <c r="AH959" s="208"/>
      <c r="AI959" s="100"/>
      <c r="AJ959" s="100"/>
      <c r="AK959" s="100"/>
      <c r="AL959" s="100"/>
      <c r="AM959" s="100"/>
      <c r="AN959" s="100"/>
      <c r="AO959" s="100"/>
    </row>
    <row r="960" ht="14.25" customHeight="1">
      <c r="A960" s="195"/>
      <c r="B960" s="100"/>
      <c r="C960" s="100"/>
      <c r="D960" s="100"/>
      <c r="E960" s="100"/>
      <c r="F960" s="206"/>
      <c r="G960" s="206"/>
      <c r="H960" s="207"/>
      <c r="I960" s="207"/>
      <c r="J960" s="207"/>
      <c r="K960" s="207"/>
      <c r="L960" s="207"/>
      <c r="M960" s="207"/>
      <c r="N960" s="207"/>
      <c r="O960" s="207"/>
      <c r="P960" s="207"/>
      <c r="Q960" s="207"/>
      <c r="R960" s="207"/>
      <c r="S960" s="207"/>
      <c r="T960" s="207"/>
      <c r="U960" s="207"/>
      <c r="V960" s="207"/>
      <c r="W960" s="208"/>
      <c r="X960" s="208"/>
      <c r="Y960" s="208"/>
      <c r="Z960" s="208"/>
      <c r="AA960" s="208"/>
      <c r="AB960" s="208"/>
      <c r="AC960" s="208"/>
      <c r="AD960" s="208"/>
      <c r="AE960" s="208"/>
      <c r="AF960" s="208"/>
      <c r="AG960" s="208"/>
      <c r="AH960" s="208"/>
      <c r="AI960" s="100"/>
      <c r="AJ960" s="100"/>
      <c r="AK960" s="100"/>
      <c r="AL960" s="100"/>
      <c r="AM960" s="100"/>
      <c r="AN960" s="100"/>
      <c r="AO960" s="100"/>
    </row>
    <row r="961" ht="14.25" customHeight="1">
      <c r="A961" s="195"/>
      <c r="B961" s="100"/>
      <c r="C961" s="100"/>
      <c r="D961" s="100"/>
      <c r="E961" s="100"/>
      <c r="F961" s="206"/>
      <c r="G961" s="206"/>
      <c r="H961" s="207"/>
      <c r="I961" s="207"/>
      <c r="J961" s="207"/>
      <c r="K961" s="207"/>
      <c r="L961" s="207"/>
      <c r="M961" s="207"/>
      <c r="N961" s="207"/>
      <c r="O961" s="207"/>
      <c r="P961" s="207"/>
      <c r="Q961" s="207"/>
      <c r="R961" s="207"/>
      <c r="S961" s="207"/>
      <c r="T961" s="207"/>
      <c r="U961" s="207"/>
      <c r="V961" s="207"/>
      <c r="W961" s="208"/>
      <c r="X961" s="208"/>
      <c r="Y961" s="208"/>
      <c r="Z961" s="208"/>
      <c r="AA961" s="208"/>
      <c r="AB961" s="208"/>
      <c r="AC961" s="208"/>
      <c r="AD961" s="208"/>
      <c r="AE961" s="208"/>
      <c r="AF961" s="208"/>
      <c r="AG961" s="208"/>
      <c r="AH961" s="208"/>
      <c r="AI961" s="100"/>
      <c r="AJ961" s="100"/>
      <c r="AK961" s="100"/>
      <c r="AL961" s="100"/>
      <c r="AM961" s="100"/>
      <c r="AN961" s="100"/>
      <c r="AO961" s="100"/>
    </row>
    <row r="962" ht="14.25" customHeight="1">
      <c r="A962" s="195"/>
      <c r="B962" s="100"/>
      <c r="C962" s="100"/>
      <c r="D962" s="100"/>
      <c r="E962" s="100"/>
      <c r="F962" s="206"/>
      <c r="G962" s="206"/>
      <c r="H962" s="207"/>
      <c r="I962" s="207"/>
      <c r="J962" s="207"/>
      <c r="K962" s="207"/>
      <c r="L962" s="207"/>
      <c r="M962" s="207"/>
      <c r="N962" s="207"/>
      <c r="O962" s="207"/>
      <c r="P962" s="207"/>
      <c r="Q962" s="207"/>
      <c r="R962" s="207"/>
      <c r="S962" s="207"/>
      <c r="T962" s="207"/>
      <c r="U962" s="207"/>
      <c r="V962" s="207"/>
      <c r="W962" s="208"/>
      <c r="X962" s="208"/>
      <c r="Y962" s="208"/>
      <c r="Z962" s="208"/>
      <c r="AA962" s="208"/>
      <c r="AB962" s="208"/>
      <c r="AC962" s="208"/>
      <c r="AD962" s="208"/>
      <c r="AE962" s="208"/>
      <c r="AF962" s="208"/>
      <c r="AG962" s="208"/>
      <c r="AH962" s="208"/>
      <c r="AI962" s="100"/>
      <c r="AJ962" s="100"/>
      <c r="AK962" s="100"/>
      <c r="AL962" s="100"/>
      <c r="AM962" s="100"/>
      <c r="AN962" s="100"/>
      <c r="AO962" s="100"/>
    </row>
    <row r="963" ht="14.25" customHeight="1">
      <c r="A963" s="195"/>
      <c r="B963" s="100"/>
      <c r="C963" s="100"/>
      <c r="D963" s="100"/>
      <c r="E963" s="100"/>
      <c r="F963" s="206"/>
      <c r="G963" s="206"/>
      <c r="H963" s="207"/>
      <c r="I963" s="207"/>
      <c r="J963" s="207"/>
      <c r="K963" s="207"/>
      <c r="L963" s="207"/>
      <c r="M963" s="207"/>
      <c r="N963" s="207"/>
      <c r="O963" s="207"/>
      <c r="P963" s="207"/>
      <c r="Q963" s="207"/>
      <c r="R963" s="207"/>
      <c r="S963" s="207"/>
      <c r="T963" s="207"/>
      <c r="U963" s="207"/>
      <c r="V963" s="207"/>
      <c r="W963" s="208"/>
      <c r="X963" s="208"/>
      <c r="Y963" s="208"/>
      <c r="Z963" s="208"/>
      <c r="AA963" s="208"/>
      <c r="AB963" s="208"/>
      <c r="AC963" s="208"/>
      <c r="AD963" s="208"/>
      <c r="AE963" s="208"/>
      <c r="AF963" s="208"/>
      <c r="AG963" s="208"/>
      <c r="AH963" s="208"/>
      <c r="AI963" s="100"/>
      <c r="AJ963" s="100"/>
      <c r="AK963" s="100"/>
      <c r="AL963" s="100"/>
      <c r="AM963" s="100"/>
      <c r="AN963" s="100"/>
      <c r="AO963" s="100"/>
    </row>
    <row r="964" ht="14.25" customHeight="1">
      <c r="A964" s="195"/>
      <c r="B964" s="100"/>
      <c r="C964" s="100"/>
      <c r="D964" s="100"/>
      <c r="E964" s="100"/>
      <c r="F964" s="206"/>
      <c r="G964" s="206"/>
      <c r="H964" s="207"/>
      <c r="I964" s="207"/>
      <c r="J964" s="207"/>
      <c r="K964" s="207"/>
      <c r="L964" s="207"/>
      <c r="M964" s="207"/>
      <c r="N964" s="207"/>
      <c r="O964" s="207"/>
      <c r="P964" s="207"/>
      <c r="Q964" s="207"/>
      <c r="R964" s="207"/>
      <c r="S964" s="207"/>
      <c r="T964" s="207"/>
      <c r="U964" s="207"/>
      <c r="V964" s="207"/>
      <c r="W964" s="208"/>
      <c r="X964" s="208"/>
      <c r="Y964" s="208"/>
      <c r="Z964" s="208"/>
      <c r="AA964" s="208"/>
      <c r="AB964" s="208"/>
      <c r="AC964" s="208"/>
      <c r="AD964" s="208"/>
      <c r="AE964" s="208"/>
      <c r="AF964" s="208"/>
      <c r="AG964" s="208"/>
      <c r="AH964" s="208"/>
      <c r="AI964" s="100"/>
      <c r="AJ964" s="100"/>
      <c r="AK964" s="100"/>
      <c r="AL964" s="100"/>
      <c r="AM964" s="100"/>
      <c r="AN964" s="100"/>
      <c r="AO964" s="100"/>
    </row>
    <row r="965" ht="14.25" customHeight="1">
      <c r="A965" s="195"/>
      <c r="B965" s="100"/>
      <c r="C965" s="100"/>
      <c r="D965" s="100"/>
      <c r="E965" s="100"/>
      <c r="F965" s="206"/>
      <c r="G965" s="206"/>
      <c r="H965" s="207"/>
      <c r="I965" s="207"/>
      <c r="J965" s="207"/>
      <c r="K965" s="207"/>
      <c r="L965" s="207"/>
      <c r="M965" s="207"/>
      <c r="N965" s="207"/>
      <c r="O965" s="207"/>
      <c r="P965" s="207"/>
      <c r="Q965" s="207"/>
      <c r="R965" s="207"/>
      <c r="S965" s="207"/>
      <c r="T965" s="207"/>
      <c r="U965" s="207"/>
      <c r="V965" s="207"/>
      <c r="W965" s="208"/>
      <c r="X965" s="208"/>
      <c r="Y965" s="208"/>
      <c r="Z965" s="208"/>
      <c r="AA965" s="208"/>
      <c r="AB965" s="208"/>
      <c r="AC965" s="208"/>
      <c r="AD965" s="208"/>
      <c r="AE965" s="208"/>
      <c r="AF965" s="208"/>
      <c r="AG965" s="208"/>
      <c r="AH965" s="208"/>
      <c r="AI965" s="100"/>
      <c r="AJ965" s="100"/>
      <c r="AK965" s="100"/>
      <c r="AL965" s="100"/>
      <c r="AM965" s="100"/>
      <c r="AN965" s="100"/>
      <c r="AO965" s="100"/>
    </row>
    <row r="966" ht="14.25" customHeight="1">
      <c r="A966" s="195"/>
      <c r="B966" s="100"/>
      <c r="C966" s="100"/>
      <c r="D966" s="100"/>
      <c r="E966" s="100"/>
      <c r="F966" s="206"/>
      <c r="G966" s="206"/>
      <c r="H966" s="207"/>
      <c r="I966" s="207"/>
      <c r="J966" s="207"/>
      <c r="K966" s="207"/>
      <c r="L966" s="207"/>
      <c r="M966" s="207"/>
      <c r="N966" s="207"/>
      <c r="O966" s="207"/>
      <c r="P966" s="207"/>
      <c r="Q966" s="207"/>
      <c r="R966" s="207"/>
      <c r="S966" s="207"/>
      <c r="T966" s="207"/>
      <c r="U966" s="207"/>
      <c r="V966" s="207"/>
      <c r="W966" s="208"/>
      <c r="X966" s="208"/>
      <c r="Y966" s="208"/>
      <c r="Z966" s="208"/>
      <c r="AA966" s="208"/>
      <c r="AB966" s="208"/>
      <c r="AC966" s="208"/>
      <c r="AD966" s="208"/>
      <c r="AE966" s="208"/>
      <c r="AF966" s="208"/>
      <c r="AG966" s="208"/>
      <c r="AH966" s="208"/>
      <c r="AI966" s="100"/>
      <c r="AJ966" s="100"/>
      <c r="AK966" s="100"/>
      <c r="AL966" s="100"/>
      <c r="AM966" s="100"/>
      <c r="AN966" s="100"/>
      <c r="AO966" s="100"/>
    </row>
    <row r="967" ht="14.25" customHeight="1">
      <c r="A967" s="195"/>
      <c r="B967" s="100"/>
      <c r="C967" s="100"/>
      <c r="D967" s="100"/>
      <c r="E967" s="100"/>
      <c r="F967" s="206"/>
      <c r="G967" s="206"/>
      <c r="H967" s="207"/>
      <c r="I967" s="207"/>
      <c r="J967" s="207"/>
      <c r="K967" s="207"/>
      <c r="L967" s="207"/>
      <c r="M967" s="207"/>
      <c r="N967" s="207"/>
      <c r="O967" s="207"/>
      <c r="P967" s="207"/>
      <c r="Q967" s="207"/>
      <c r="R967" s="207"/>
      <c r="S967" s="207"/>
      <c r="T967" s="207"/>
      <c r="U967" s="207"/>
      <c r="V967" s="207"/>
      <c r="W967" s="208"/>
      <c r="X967" s="208"/>
      <c r="Y967" s="208"/>
      <c r="Z967" s="208"/>
      <c r="AA967" s="208"/>
      <c r="AB967" s="208"/>
      <c r="AC967" s="208"/>
      <c r="AD967" s="208"/>
      <c r="AE967" s="208"/>
      <c r="AF967" s="208"/>
      <c r="AG967" s="208"/>
      <c r="AH967" s="208"/>
      <c r="AI967" s="100"/>
      <c r="AJ967" s="100"/>
      <c r="AK967" s="100"/>
      <c r="AL967" s="100"/>
      <c r="AM967" s="100"/>
      <c r="AN967" s="100"/>
      <c r="AO967" s="100"/>
    </row>
    <row r="968" ht="14.25" customHeight="1">
      <c r="A968" s="195"/>
      <c r="B968" s="100"/>
      <c r="C968" s="100"/>
      <c r="D968" s="100"/>
      <c r="E968" s="100"/>
      <c r="F968" s="206"/>
      <c r="G968" s="206"/>
      <c r="H968" s="207"/>
      <c r="I968" s="207"/>
      <c r="J968" s="207"/>
      <c r="K968" s="207"/>
      <c r="L968" s="207"/>
      <c r="M968" s="207"/>
      <c r="N968" s="207"/>
      <c r="O968" s="207"/>
      <c r="P968" s="207"/>
      <c r="Q968" s="207"/>
      <c r="R968" s="207"/>
      <c r="S968" s="207"/>
      <c r="T968" s="207"/>
      <c r="U968" s="207"/>
      <c r="V968" s="207"/>
      <c r="W968" s="208"/>
      <c r="X968" s="208"/>
      <c r="Y968" s="208"/>
      <c r="Z968" s="208"/>
      <c r="AA968" s="208"/>
      <c r="AB968" s="208"/>
      <c r="AC968" s="208"/>
      <c r="AD968" s="208"/>
      <c r="AE968" s="208"/>
      <c r="AF968" s="208"/>
      <c r="AG968" s="208"/>
      <c r="AH968" s="208"/>
      <c r="AI968" s="100"/>
      <c r="AJ968" s="100"/>
      <c r="AK968" s="100"/>
      <c r="AL968" s="100"/>
      <c r="AM968" s="100"/>
      <c r="AN968" s="100"/>
      <c r="AO968" s="100"/>
    </row>
    <row r="969" ht="14.25" customHeight="1">
      <c r="A969" s="195"/>
      <c r="B969" s="100"/>
      <c r="C969" s="100"/>
      <c r="D969" s="100"/>
      <c r="E969" s="100"/>
      <c r="F969" s="206"/>
      <c r="G969" s="206"/>
      <c r="H969" s="207"/>
      <c r="I969" s="207"/>
      <c r="J969" s="207"/>
      <c r="K969" s="207"/>
      <c r="L969" s="207"/>
      <c r="M969" s="207"/>
      <c r="N969" s="207"/>
      <c r="O969" s="207"/>
      <c r="P969" s="207"/>
      <c r="Q969" s="207"/>
      <c r="R969" s="207"/>
      <c r="S969" s="207"/>
      <c r="T969" s="207"/>
      <c r="U969" s="207"/>
      <c r="V969" s="207"/>
      <c r="W969" s="208"/>
      <c r="X969" s="208"/>
      <c r="Y969" s="208"/>
      <c r="Z969" s="208"/>
      <c r="AA969" s="208"/>
      <c r="AB969" s="208"/>
      <c r="AC969" s="208"/>
      <c r="AD969" s="208"/>
      <c r="AE969" s="208"/>
      <c r="AF969" s="208"/>
      <c r="AG969" s="208"/>
      <c r="AH969" s="208"/>
      <c r="AI969" s="100"/>
      <c r="AJ969" s="100"/>
      <c r="AK969" s="100"/>
      <c r="AL969" s="100"/>
      <c r="AM969" s="100"/>
      <c r="AN969" s="100"/>
      <c r="AO969" s="100"/>
    </row>
    <row r="970" ht="14.25" customHeight="1">
      <c r="A970" s="195"/>
      <c r="B970" s="100"/>
      <c r="C970" s="100"/>
      <c r="D970" s="100"/>
      <c r="E970" s="100"/>
      <c r="F970" s="206"/>
      <c r="G970" s="206"/>
      <c r="H970" s="207"/>
      <c r="I970" s="207"/>
      <c r="J970" s="207"/>
      <c r="K970" s="207"/>
      <c r="L970" s="207"/>
      <c r="M970" s="207"/>
      <c r="N970" s="207"/>
      <c r="O970" s="207"/>
      <c r="P970" s="207"/>
      <c r="Q970" s="207"/>
      <c r="R970" s="207"/>
      <c r="S970" s="207"/>
      <c r="T970" s="207"/>
      <c r="U970" s="207"/>
      <c r="V970" s="207"/>
      <c r="W970" s="208"/>
      <c r="X970" s="208"/>
      <c r="Y970" s="208"/>
      <c r="Z970" s="208"/>
      <c r="AA970" s="208"/>
      <c r="AB970" s="208"/>
      <c r="AC970" s="208"/>
      <c r="AD970" s="208"/>
      <c r="AE970" s="208"/>
      <c r="AF970" s="208"/>
      <c r="AG970" s="208"/>
      <c r="AH970" s="208"/>
      <c r="AI970" s="100"/>
      <c r="AJ970" s="100"/>
      <c r="AK970" s="100"/>
      <c r="AL970" s="100"/>
      <c r="AM970" s="100"/>
      <c r="AN970" s="100"/>
      <c r="AO970" s="100"/>
    </row>
    <row r="971" ht="14.25" customHeight="1">
      <c r="A971" s="195"/>
      <c r="B971" s="100"/>
      <c r="C971" s="100"/>
      <c r="D971" s="100"/>
      <c r="E971" s="100"/>
      <c r="F971" s="206"/>
      <c r="G971" s="206"/>
      <c r="H971" s="207"/>
      <c r="I971" s="207"/>
      <c r="J971" s="207"/>
      <c r="K971" s="207"/>
      <c r="L971" s="207"/>
      <c r="M971" s="207"/>
      <c r="N971" s="207"/>
      <c r="O971" s="207"/>
      <c r="P971" s="207"/>
      <c r="Q971" s="207"/>
      <c r="R971" s="207"/>
      <c r="S971" s="207"/>
      <c r="T971" s="207"/>
      <c r="U971" s="207"/>
      <c r="V971" s="207"/>
      <c r="W971" s="208"/>
      <c r="X971" s="208"/>
      <c r="Y971" s="208"/>
      <c r="Z971" s="208"/>
      <c r="AA971" s="208"/>
      <c r="AB971" s="208"/>
      <c r="AC971" s="208"/>
      <c r="AD971" s="208"/>
      <c r="AE971" s="208"/>
      <c r="AF971" s="208"/>
      <c r="AG971" s="208"/>
      <c r="AH971" s="208"/>
      <c r="AI971" s="100"/>
      <c r="AJ971" s="100"/>
      <c r="AK971" s="100"/>
      <c r="AL971" s="100"/>
      <c r="AM971" s="100"/>
      <c r="AN971" s="100"/>
      <c r="AO971" s="100"/>
    </row>
    <row r="972" ht="14.25" customHeight="1">
      <c r="A972" s="195"/>
      <c r="B972" s="100"/>
      <c r="C972" s="100"/>
      <c r="D972" s="100"/>
      <c r="E972" s="100"/>
      <c r="F972" s="206"/>
      <c r="G972" s="206"/>
      <c r="H972" s="207"/>
      <c r="I972" s="207"/>
      <c r="J972" s="207"/>
      <c r="K972" s="207"/>
      <c r="L972" s="207"/>
      <c r="M972" s="207"/>
      <c r="N972" s="207"/>
      <c r="O972" s="207"/>
      <c r="P972" s="207"/>
      <c r="Q972" s="207"/>
      <c r="R972" s="207"/>
      <c r="S972" s="207"/>
      <c r="T972" s="207"/>
      <c r="U972" s="207"/>
      <c r="V972" s="207"/>
      <c r="W972" s="208"/>
      <c r="X972" s="208"/>
      <c r="Y972" s="208"/>
      <c r="Z972" s="208"/>
      <c r="AA972" s="208"/>
      <c r="AB972" s="208"/>
      <c r="AC972" s="208"/>
      <c r="AD972" s="208"/>
      <c r="AE972" s="208"/>
      <c r="AF972" s="208"/>
      <c r="AG972" s="208"/>
      <c r="AH972" s="208"/>
      <c r="AI972" s="100"/>
      <c r="AJ972" s="100"/>
      <c r="AK972" s="100"/>
      <c r="AL972" s="100"/>
      <c r="AM972" s="100"/>
      <c r="AN972" s="100"/>
      <c r="AO972" s="100"/>
    </row>
    <row r="973" ht="14.25" customHeight="1">
      <c r="A973" s="195"/>
      <c r="B973" s="100"/>
      <c r="C973" s="100"/>
      <c r="D973" s="100"/>
      <c r="E973" s="100"/>
      <c r="F973" s="206"/>
      <c r="G973" s="206"/>
      <c r="H973" s="207"/>
      <c r="I973" s="207"/>
      <c r="J973" s="207"/>
      <c r="K973" s="207"/>
      <c r="L973" s="207"/>
      <c r="M973" s="207"/>
      <c r="N973" s="207"/>
      <c r="O973" s="207"/>
      <c r="P973" s="207"/>
      <c r="Q973" s="207"/>
      <c r="R973" s="207"/>
      <c r="S973" s="207"/>
      <c r="T973" s="207"/>
      <c r="U973" s="207"/>
      <c r="V973" s="207"/>
      <c r="W973" s="208"/>
      <c r="X973" s="208"/>
      <c r="Y973" s="208"/>
      <c r="Z973" s="208"/>
      <c r="AA973" s="208"/>
      <c r="AB973" s="208"/>
      <c r="AC973" s="208"/>
      <c r="AD973" s="208"/>
      <c r="AE973" s="208"/>
      <c r="AF973" s="208"/>
      <c r="AG973" s="208"/>
      <c r="AH973" s="208"/>
      <c r="AI973" s="100"/>
      <c r="AJ973" s="100"/>
      <c r="AK973" s="100"/>
      <c r="AL973" s="100"/>
      <c r="AM973" s="100"/>
      <c r="AN973" s="100"/>
      <c r="AO973" s="100"/>
    </row>
    <row r="974" ht="14.25" customHeight="1">
      <c r="A974" s="195"/>
      <c r="B974" s="100"/>
      <c r="C974" s="100"/>
      <c r="D974" s="100"/>
      <c r="E974" s="100"/>
      <c r="F974" s="206"/>
      <c r="G974" s="206"/>
      <c r="H974" s="207"/>
      <c r="I974" s="207"/>
      <c r="J974" s="207"/>
      <c r="K974" s="207"/>
      <c r="L974" s="207"/>
      <c r="M974" s="207"/>
      <c r="N974" s="207"/>
      <c r="O974" s="207"/>
      <c r="P974" s="207"/>
      <c r="Q974" s="207"/>
      <c r="R974" s="207"/>
      <c r="S974" s="207"/>
      <c r="T974" s="207"/>
      <c r="U974" s="207"/>
      <c r="V974" s="207"/>
      <c r="W974" s="208"/>
      <c r="X974" s="208"/>
      <c r="Y974" s="208"/>
      <c r="Z974" s="208"/>
      <c r="AA974" s="208"/>
      <c r="AB974" s="208"/>
      <c r="AC974" s="208"/>
      <c r="AD974" s="208"/>
      <c r="AE974" s="208"/>
      <c r="AF974" s="208"/>
      <c r="AG974" s="208"/>
      <c r="AH974" s="208"/>
      <c r="AI974" s="100"/>
      <c r="AJ974" s="100"/>
      <c r="AK974" s="100"/>
      <c r="AL974" s="100"/>
      <c r="AM974" s="100"/>
      <c r="AN974" s="100"/>
      <c r="AO974" s="100"/>
    </row>
    <row r="975" ht="14.25" customHeight="1">
      <c r="A975" s="195"/>
      <c r="B975" s="100"/>
      <c r="C975" s="100"/>
      <c r="D975" s="100"/>
      <c r="E975" s="100"/>
      <c r="F975" s="206"/>
      <c r="G975" s="206"/>
      <c r="H975" s="207"/>
      <c r="I975" s="207"/>
      <c r="J975" s="207"/>
      <c r="K975" s="207"/>
      <c r="L975" s="207"/>
      <c r="M975" s="207"/>
      <c r="N975" s="207"/>
      <c r="O975" s="207"/>
      <c r="P975" s="207"/>
      <c r="Q975" s="207"/>
      <c r="R975" s="207"/>
      <c r="S975" s="207"/>
      <c r="T975" s="207"/>
      <c r="U975" s="207"/>
      <c r="V975" s="207"/>
      <c r="W975" s="208"/>
      <c r="X975" s="208"/>
      <c r="Y975" s="208"/>
      <c r="Z975" s="208"/>
      <c r="AA975" s="208"/>
      <c r="AB975" s="208"/>
      <c r="AC975" s="208"/>
      <c r="AD975" s="208"/>
      <c r="AE975" s="208"/>
      <c r="AF975" s="208"/>
      <c r="AG975" s="208"/>
      <c r="AH975" s="208"/>
      <c r="AI975" s="100"/>
      <c r="AJ975" s="100"/>
      <c r="AK975" s="100"/>
      <c r="AL975" s="100"/>
      <c r="AM975" s="100"/>
      <c r="AN975" s="100"/>
      <c r="AO975" s="100"/>
    </row>
    <row r="976" ht="14.25" customHeight="1">
      <c r="A976" s="195"/>
      <c r="B976" s="100"/>
      <c r="C976" s="100"/>
      <c r="D976" s="100"/>
      <c r="E976" s="100"/>
      <c r="F976" s="206"/>
      <c r="G976" s="206"/>
      <c r="H976" s="207"/>
      <c r="I976" s="207"/>
      <c r="J976" s="207"/>
      <c r="K976" s="207"/>
      <c r="L976" s="207"/>
      <c r="M976" s="207"/>
      <c r="N976" s="207"/>
      <c r="O976" s="207"/>
      <c r="P976" s="207"/>
      <c r="Q976" s="207"/>
      <c r="R976" s="207"/>
      <c r="S976" s="207"/>
      <c r="T976" s="207"/>
      <c r="U976" s="207"/>
      <c r="V976" s="207"/>
      <c r="W976" s="208"/>
      <c r="X976" s="208"/>
      <c r="Y976" s="208"/>
      <c r="Z976" s="208"/>
      <c r="AA976" s="208"/>
      <c r="AB976" s="208"/>
      <c r="AC976" s="208"/>
      <c r="AD976" s="208"/>
      <c r="AE976" s="208"/>
      <c r="AF976" s="208"/>
      <c r="AG976" s="208"/>
      <c r="AH976" s="208"/>
      <c r="AI976" s="100"/>
      <c r="AJ976" s="100"/>
      <c r="AK976" s="100"/>
      <c r="AL976" s="100"/>
      <c r="AM976" s="100"/>
      <c r="AN976" s="100"/>
      <c r="AO976" s="100"/>
    </row>
    <row r="977" ht="14.25" customHeight="1">
      <c r="A977" s="195"/>
      <c r="B977" s="100"/>
      <c r="C977" s="100"/>
      <c r="D977" s="100"/>
      <c r="E977" s="100"/>
      <c r="F977" s="206"/>
      <c r="G977" s="206"/>
      <c r="H977" s="207"/>
      <c r="I977" s="207"/>
      <c r="J977" s="207"/>
      <c r="K977" s="207"/>
      <c r="L977" s="207"/>
      <c r="M977" s="207"/>
      <c r="N977" s="207"/>
      <c r="O977" s="207"/>
      <c r="P977" s="207"/>
      <c r="Q977" s="207"/>
      <c r="R977" s="207"/>
      <c r="S977" s="207"/>
      <c r="T977" s="207"/>
      <c r="U977" s="207"/>
      <c r="V977" s="207"/>
      <c r="W977" s="208"/>
      <c r="X977" s="208"/>
      <c r="Y977" s="208"/>
      <c r="Z977" s="208"/>
      <c r="AA977" s="208"/>
      <c r="AB977" s="208"/>
      <c r="AC977" s="208"/>
      <c r="AD977" s="208"/>
      <c r="AE977" s="208"/>
      <c r="AF977" s="208"/>
      <c r="AG977" s="208"/>
      <c r="AH977" s="208"/>
      <c r="AI977" s="100"/>
      <c r="AJ977" s="100"/>
      <c r="AK977" s="100"/>
      <c r="AL977" s="100"/>
      <c r="AM977" s="100"/>
      <c r="AN977" s="100"/>
      <c r="AO977" s="100"/>
    </row>
    <row r="978" ht="14.25" customHeight="1">
      <c r="A978" s="195"/>
      <c r="B978" s="100"/>
      <c r="C978" s="100"/>
      <c r="D978" s="100"/>
      <c r="E978" s="100"/>
      <c r="F978" s="206"/>
      <c r="G978" s="206"/>
      <c r="H978" s="207"/>
      <c r="I978" s="207"/>
      <c r="J978" s="207"/>
      <c r="K978" s="207"/>
      <c r="L978" s="207"/>
      <c r="M978" s="207"/>
      <c r="N978" s="207"/>
      <c r="O978" s="207"/>
      <c r="P978" s="207"/>
      <c r="Q978" s="207"/>
      <c r="R978" s="207"/>
      <c r="S978" s="207"/>
      <c r="T978" s="207"/>
      <c r="U978" s="207"/>
      <c r="V978" s="207"/>
      <c r="W978" s="208"/>
      <c r="X978" s="208"/>
      <c r="Y978" s="208"/>
      <c r="Z978" s="208"/>
      <c r="AA978" s="208"/>
      <c r="AB978" s="208"/>
      <c r="AC978" s="208"/>
      <c r="AD978" s="208"/>
      <c r="AE978" s="208"/>
      <c r="AF978" s="208"/>
      <c r="AG978" s="208"/>
      <c r="AH978" s="208"/>
      <c r="AI978" s="100"/>
      <c r="AJ978" s="100"/>
      <c r="AK978" s="100"/>
      <c r="AL978" s="100"/>
      <c r="AM978" s="100"/>
      <c r="AN978" s="100"/>
      <c r="AO978" s="100"/>
    </row>
    <row r="979" ht="14.25" customHeight="1">
      <c r="A979" s="195"/>
      <c r="B979" s="100"/>
      <c r="C979" s="100"/>
      <c r="D979" s="100"/>
      <c r="E979" s="100"/>
      <c r="F979" s="206"/>
      <c r="G979" s="206"/>
      <c r="H979" s="207"/>
      <c r="I979" s="207"/>
      <c r="J979" s="207"/>
      <c r="K979" s="207"/>
      <c r="L979" s="207"/>
      <c r="M979" s="207"/>
      <c r="N979" s="207"/>
      <c r="O979" s="207"/>
      <c r="P979" s="207"/>
      <c r="Q979" s="207"/>
      <c r="R979" s="207"/>
      <c r="S979" s="207"/>
      <c r="T979" s="207"/>
      <c r="U979" s="207"/>
      <c r="V979" s="207"/>
      <c r="W979" s="208"/>
      <c r="X979" s="208"/>
      <c r="Y979" s="208"/>
      <c r="Z979" s="208"/>
      <c r="AA979" s="208"/>
      <c r="AB979" s="208"/>
      <c r="AC979" s="208"/>
      <c r="AD979" s="208"/>
      <c r="AE979" s="208"/>
      <c r="AF979" s="208"/>
      <c r="AG979" s="208"/>
      <c r="AH979" s="208"/>
      <c r="AI979" s="100"/>
      <c r="AJ979" s="100"/>
      <c r="AK979" s="100"/>
      <c r="AL979" s="100"/>
      <c r="AM979" s="100"/>
      <c r="AN979" s="100"/>
      <c r="AO979" s="100"/>
    </row>
    <row r="980" ht="14.25" customHeight="1">
      <c r="A980" s="195"/>
      <c r="B980" s="100"/>
      <c r="C980" s="100"/>
      <c r="D980" s="100"/>
      <c r="E980" s="100"/>
      <c r="F980" s="206"/>
      <c r="G980" s="206"/>
      <c r="H980" s="207"/>
      <c r="I980" s="207"/>
      <c r="J980" s="207"/>
      <c r="K980" s="207"/>
      <c r="L980" s="207"/>
      <c r="M980" s="207"/>
      <c r="N980" s="207"/>
      <c r="O980" s="207"/>
      <c r="P980" s="207"/>
      <c r="Q980" s="207"/>
      <c r="R980" s="207"/>
      <c r="S980" s="207"/>
      <c r="T980" s="207"/>
      <c r="U980" s="207"/>
      <c r="V980" s="207"/>
      <c r="W980" s="208"/>
      <c r="X980" s="208"/>
      <c r="Y980" s="208"/>
      <c r="Z980" s="208"/>
      <c r="AA980" s="208"/>
      <c r="AB980" s="208"/>
      <c r="AC980" s="208"/>
      <c r="AD980" s="208"/>
      <c r="AE980" s="208"/>
      <c r="AF980" s="208"/>
      <c r="AG980" s="208"/>
      <c r="AH980" s="208"/>
      <c r="AI980" s="100"/>
      <c r="AJ980" s="100"/>
      <c r="AK980" s="100"/>
      <c r="AL980" s="100"/>
      <c r="AM980" s="100"/>
      <c r="AN980" s="100"/>
      <c r="AO980" s="100"/>
    </row>
    <row r="981" ht="14.25" customHeight="1">
      <c r="A981" s="195"/>
      <c r="B981" s="100"/>
      <c r="C981" s="100"/>
      <c r="D981" s="100"/>
      <c r="E981" s="100"/>
      <c r="F981" s="206"/>
      <c r="G981" s="206"/>
      <c r="H981" s="207"/>
      <c r="I981" s="207"/>
      <c r="J981" s="207"/>
      <c r="K981" s="207"/>
      <c r="L981" s="207"/>
      <c r="M981" s="207"/>
      <c r="N981" s="207"/>
      <c r="O981" s="207"/>
      <c r="P981" s="207"/>
      <c r="Q981" s="207"/>
      <c r="R981" s="207"/>
      <c r="S981" s="207"/>
      <c r="T981" s="207"/>
      <c r="U981" s="207"/>
      <c r="V981" s="207"/>
      <c r="W981" s="208"/>
      <c r="X981" s="208"/>
      <c r="Y981" s="208"/>
      <c r="Z981" s="208"/>
      <c r="AA981" s="208"/>
      <c r="AB981" s="208"/>
      <c r="AC981" s="208"/>
      <c r="AD981" s="208"/>
      <c r="AE981" s="208"/>
      <c r="AF981" s="208"/>
      <c r="AG981" s="208"/>
      <c r="AH981" s="208"/>
      <c r="AI981" s="100"/>
      <c r="AJ981" s="100"/>
      <c r="AK981" s="100"/>
      <c r="AL981" s="100"/>
      <c r="AM981" s="100"/>
      <c r="AN981" s="100"/>
      <c r="AO981" s="100"/>
    </row>
    <row r="982" ht="14.25" customHeight="1">
      <c r="A982" s="195"/>
      <c r="B982" s="100"/>
      <c r="C982" s="100"/>
      <c r="D982" s="100"/>
      <c r="E982" s="100"/>
      <c r="F982" s="206"/>
      <c r="G982" s="206"/>
      <c r="H982" s="207"/>
      <c r="I982" s="207"/>
      <c r="J982" s="207"/>
      <c r="K982" s="207"/>
      <c r="L982" s="207"/>
      <c r="M982" s="207"/>
      <c r="N982" s="207"/>
      <c r="O982" s="207"/>
      <c r="P982" s="207"/>
      <c r="Q982" s="207"/>
      <c r="R982" s="207"/>
      <c r="S982" s="207"/>
      <c r="T982" s="207"/>
      <c r="U982" s="207"/>
      <c r="V982" s="207"/>
      <c r="W982" s="208"/>
      <c r="X982" s="208"/>
      <c r="Y982" s="208"/>
      <c r="Z982" s="208"/>
      <c r="AA982" s="208"/>
      <c r="AB982" s="208"/>
      <c r="AC982" s="208"/>
      <c r="AD982" s="208"/>
      <c r="AE982" s="208"/>
      <c r="AF982" s="208"/>
      <c r="AG982" s="208"/>
      <c r="AH982" s="208"/>
      <c r="AI982" s="100"/>
      <c r="AJ982" s="100"/>
      <c r="AK982" s="100"/>
      <c r="AL982" s="100"/>
      <c r="AM982" s="100"/>
      <c r="AN982" s="100"/>
      <c r="AO982" s="100"/>
    </row>
    <row r="983" ht="14.25" customHeight="1">
      <c r="A983" s="195"/>
      <c r="B983" s="100"/>
      <c r="C983" s="100"/>
      <c r="D983" s="100"/>
      <c r="E983" s="100"/>
      <c r="F983" s="206"/>
      <c r="G983" s="206"/>
      <c r="H983" s="207"/>
      <c r="I983" s="207"/>
      <c r="J983" s="207"/>
      <c r="K983" s="207"/>
      <c r="L983" s="207"/>
      <c r="M983" s="207"/>
      <c r="N983" s="207"/>
      <c r="O983" s="207"/>
      <c r="P983" s="207"/>
      <c r="Q983" s="207"/>
      <c r="R983" s="207"/>
      <c r="S983" s="207"/>
      <c r="T983" s="207"/>
      <c r="U983" s="207"/>
      <c r="V983" s="207"/>
      <c r="W983" s="208"/>
      <c r="X983" s="208"/>
      <c r="Y983" s="208"/>
      <c r="Z983" s="208"/>
      <c r="AA983" s="208"/>
      <c r="AB983" s="208"/>
      <c r="AC983" s="208"/>
      <c r="AD983" s="208"/>
      <c r="AE983" s="208"/>
      <c r="AF983" s="208"/>
      <c r="AG983" s="208"/>
      <c r="AH983" s="208"/>
      <c r="AI983" s="100"/>
      <c r="AJ983" s="100"/>
      <c r="AK983" s="100"/>
      <c r="AL983" s="100"/>
      <c r="AM983" s="100"/>
      <c r="AN983" s="100"/>
      <c r="AO983" s="100"/>
    </row>
    <row r="984" ht="14.25" customHeight="1">
      <c r="A984" s="195"/>
      <c r="B984" s="100"/>
      <c r="C984" s="100"/>
      <c r="D984" s="100"/>
      <c r="E984" s="100"/>
      <c r="F984" s="206"/>
      <c r="G984" s="206"/>
      <c r="H984" s="207"/>
      <c r="I984" s="207"/>
      <c r="J984" s="207"/>
      <c r="K984" s="207"/>
      <c r="L984" s="207"/>
      <c r="M984" s="207"/>
      <c r="N984" s="207"/>
      <c r="O984" s="207"/>
      <c r="P984" s="207"/>
      <c r="Q984" s="207"/>
      <c r="R984" s="207"/>
      <c r="S984" s="207"/>
      <c r="T984" s="207"/>
      <c r="U984" s="207"/>
      <c r="V984" s="207"/>
      <c r="W984" s="208"/>
      <c r="X984" s="208"/>
      <c r="Y984" s="208"/>
      <c r="Z984" s="208"/>
      <c r="AA984" s="208"/>
      <c r="AB984" s="208"/>
      <c r="AC984" s="208"/>
      <c r="AD984" s="208"/>
      <c r="AE984" s="208"/>
      <c r="AF984" s="208"/>
      <c r="AG984" s="208"/>
      <c r="AH984" s="208"/>
      <c r="AI984" s="100"/>
      <c r="AJ984" s="100"/>
      <c r="AK984" s="100"/>
      <c r="AL984" s="100"/>
      <c r="AM984" s="100"/>
      <c r="AN984" s="100"/>
      <c r="AO984" s="100"/>
    </row>
    <row r="985" ht="14.25" customHeight="1">
      <c r="A985" s="195"/>
      <c r="B985" s="100"/>
      <c r="C985" s="100"/>
      <c r="D985" s="100"/>
      <c r="E985" s="100"/>
      <c r="F985" s="206"/>
      <c r="G985" s="206"/>
      <c r="H985" s="207"/>
      <c r="I985" s="207"/>
      <c r="J985" s="207"/>
      <c r="K985" s="207"/>
      <c r="L985" s="207"/>
      <c r="M985" s="207"/>
      <c r="N985" s="207"/>
      <c r="O985" s="207"/>
      <c r="P985" s="207"/>
      <c r="Q985" s="207"/>
      <c r="R985" s="207"/>
      <c r="S985" s="207"/>
      <c r="T985" s="207"/>
      <c r="U985" s="207"/>
      <c r="V985" s="207"/>
      <c r="W985" s="208"/>
      <c r="X985" s="208"/>
      <c r="Y985" s="208"/>
      <c r="Z985" s="208"/>
      <c r="AA985" s="208"/>
      <c r="AB985" s="208"/>
      <c r="AC985" s="208"/>
      <c r="AD985" s="208"/>
      <c r="AE985" s="208"/>
      <c r="AF985" s="208"/>
      <c r="AG985" s="208"/>
      <c r="AH985" s="208"/>
      <c r="AI985" s="100"/>
      <c r="AJ985" s="100"/>
      <c r="AK985" s="100"/>
      <c r="AL985" s="100"/>
      <c r="AM985" s="100"/>
      <c r="AN985" s="100"/>
      <c r="AO985" s="100"/>
    </row>
    <row r="986" ht="14.25" customHeight="1">
      <c r="A986" s="195"/>
      <c r="B986" s="100"/>
      <c r="C986" s="100"/>
      <c r="D986" s="100"/>
      <c r="E986" s="100"/>
      <c r="F986" s="206"/>
      <c r="G986" s="206"/>
      <c r="H986" s="207"/>
      <c r="I986" s="207"/>
      <c r="J986" s="207"/>
      <c r="K986" s="207"/>
      <c r="L986" s="207"/>
      <c r="M986" s="207"/>
      <c r="N986" s="207"/>
      <c r="O986" s="207"/>
      <c r="P986" s="207"/>
      <c r="Q986" s="207"/>
      <c r="R986" s="207"/>
      <c r="S986" s="207"/>
      <c r="T986" s="207"/>
      <c r="U986" s="207"/>
      <c r="V986" s="207"/>
      <c r="W986" s="208"/>
      <c r="X986" s="208"/>
      <c r="Y986" s="208"/>
      <c r="Z986" s="208"/>
      <c r="AA986" s="208"/>
      <c r="AB986" s="208"/>
      <c r="AC986" s="208"/>
      <c r="AD986" s="208"/>
      <c r="AE986" s="208"/>
      <c r="AF986" s="208"/>
      <c r="AG986" s="208"/>
      <c r="AH986" s="208"/>
      <c r="AI986" s="100"/>
      <c r="AJ986" s="100"/>
      <c r="AK986" s="100"/>
      <c r="AL986" s="100"/>
      <c r="AM986" s="100"/>
      <c r="AN986" s="100"/>
      <c r="AO986" s="100"/>
    </row>
    <row r="987" ht="14.25" customHeight="1">
      <c r="A987" s="195"/>
      <c r="B987" s="100"/>
      <c r="C987" s="100"/>
      <c r="D987" s="100"/>
      <c r="E987" s="100"/>
      <c r="F987" s="206"/>
      <c r="G987" s="206"/>
      <c r="H987" s="207"/>
      <c r="I987" s="207"/>
      <c r="J987" s="207"/>
      <c r="K987" s="207"/>
      <c r="L987" s="207"/>
      <c r="M987" s="207"/>
      <c r="N987" s="207"/>
      <c r="O987" s="207"/>
      <c r="P987" s="207"/>
      <c r="Q987" s="207"/>
      <c r="R987" s="207"/>
      <c r="S987" s="207"/>
      <c r="T987" s="207"/>
      <c r="U987" s="207"/>
      <c r="V987" s="207"/>
      <c r="W987" s="208"/>
      <c r="X987" s="208"/>
      <c r="Y987" s="208"/>
      <c r="Z987" s="208"/>
      <c r="AA987" s="208"/>
      <c r="AB987" s="208"/>
      <c r="AC987" s="208"/>
      <c r="AD987" s="208"/>
      <c r="AE987" s="208"/>
      <c r="AF987" s="208"/>
      <c r="AG987" s="208"/>
      <c r="AH987" s="208"/>
      <c r="AI987" s="100"/>
      <c r="AJ987" s="100"/>
      <c r="AK987" s="100"/>
      <c r="AL987" s="100"/>
      <c r="AM987" s="100"/>
      <c r="AN987" s="100"/>
      <c r="AO987" s="100"/>
    </row>
    <row r="988" ht="14.25" customHeight="1">
      <c r="A988" s="195"/>
      <c r="B988" s="100"/>
      <c r="C988" s="100"/>
      <c r="D988" s="100"/>
      <c r="E988" s="100"/>
      <c r="F988" s="206"/>
      <c r="G988" s="206"/>
      <c r="H988" s="207"/>
      <c r="I988" s="207"/>
      <c r="J988" s="207"/>
      <c r="K988" s="207"/>
      <c r="L988" s="207"/>
      <c r="M988" s="207"/>
      <c r="N988" s="207"/>
      <c r="O988" s="207"/>
      <c r="P988" s="207"/>
      <c r="Q988" s="207"/>
      <c r="R988" s="207"/>
      <c r="S988" s="207"/>
      <c r="T988" s="207"/>
      <c r="U988" s="207"/>
      <c r="V988" s="207"/>
      <c r="W988" s="208"/>
      <c r="X988" s="208"/>
      <c r="Y988" s="208"/>
      <c r="Z988" s="208"/>
      <c r="AA988" s="208"/>
      <c r="AB988" s="208"/>
      <c r="AC988" s="208"/>
      <c r="AD988" s="208"/>
      <c r="AE988" s="208"/>
      <c r="AF988" s="208"/>
      <c r="AG988" s="208"/>
      <c r="AH988" s="208"/>
      <c r="AI988" s="100"/>
      <c r="AJ988" s="100"/>
      <c r="AK988" s="100"/>
      <c r="AL988" s="100"/>
      <c r="AM988" s="100"/>
      <c r="AN988" s="100"/>
      <c r="AO988" s="100"/>
    </row>
    <row r="989" ht="14.25" customHeight="1">
      <c r="A989" s="195"/>
      <c r="B989" s="100"/>
      <c r="C989" s="100"/>
      <c r="D989" s="100"/>
      <c r="E989" s="100"/>
      <c r="F989" s="206"/>
      <c r="G989" s="206"/>
      <c r="H989" s="207"/>
      <c r="I989" s="207"/>
      <c r="J989" s="207"/>
      <c r="K989" s="207"/>
      <c r="L989" s="207"/>
      <c r="M989" s="207"/>
      <c r="N989" s="207"/>
      <c r="O989" s="207"/>
      <c r="P989" s="207"/>
      <c r="Q989" s="207"/>
      <c r="R989" s="207"/>
      <c r="S989" s="207"/>
      <c r="T989" s="207"/>
      <c r="U989" s="207"/>
      <c r="V989" s="207"/>
      <c r="W989" s="208"/>
      <c r="X989" s="208"/>
      <c r="Y989" s="208"/>
      <c r="Z989" s="208"/>
      <c r="AA989" s="208"/>
      <c r="AB989" s="208"/>
      <c r="AC989" s="208"/>
      <c r="AD989" s="208"/>
      <c r="AE989" s="208"/>
      <c r="AF989" s="208"/>
      <c r="AG989" s="208"/>
      <c r="AH989" s="208"/>
      <c r="AI989" s="100"/>
      <c r="AJ989" s="100"/>
      <c r="AK989" s="100"/>
      <c r="AL989" s="100"/>
      <c r="AM989" s="100"/>
      <c r="AN989" s="100"/>
      <c r="AO989" s="100"/>
    </row>
    <row r="990" ht="14.25" customHeight="1">
      <c r="A990" s="195"/>
      <c r="B990" s="100"/>
      <c r="C990" s="100"/>
      <c r="D990" s="100"/>
      <c r="E990" s="100"/>
      <c r="F990" s="206"/>
      <c r="G990" s="206"/>
      <c r="H990" s="207"/>
      <c r="I990" s="207"/>
      <c r="J990" s="207"/>
      <c r="K990" s="207"/>
      <c r="L990" s="207"/>
      <c r="M990" s="207"/>
      <c r="N990" s="207"/>
      <c r="O990" s="207"/>
      <c r="P990" s="207"/>
      <c r="Q990" s="207"/>
      <c r="R990" s="207"/>
      <c r="S990" s="207"/>
      <c r="T990" s="207"/>
      <c r="U990" s="207"/>
      <c r="V990" s="207"/>
      <c r="W990" s="208"/>
      <c r="X990" s="208"/>
      <c r="Y990" s="208"/>
      <c r="Z990" s="208"/>
      <c r="AA990" s="208"/>
      <c r="AB990" s="208"/>
      <c r="AC990" s="208"/>
      <c r="AD990" s="208"/>
      <c r="AE990" s="208"/>
      <c r="AF990" s="208"/>
      <c r="AG990" s="208"/>
      <c r="AH990" s="208"/>
      <c r="AI990" s="100"/>
      <c r="AJ990" s="100"/>
      <c r="AK990" s="100"/>
      <c r="AL990" s="100"/>
      <c r="AM990" s="100"/>
      <c r="AN990" s="100"/>
      <c r="AO990" s="100"/>
    </row>
    <row r="991" ht="14.25" customHeight="1">
      <c r="A991" s="195"/>
      <c r="B991" s="100"/>
      <c r="C991" s="100"/>
      <c r="D991" s="100"/>
      <c r="E991" s="100"/>
      <c r="F991" s="206"/>
      <c r="G991" s="206"/>
      <c r="H991" s="207"/>
      <c r="I991" s="207"/>
      <c r="J991" s="207"/>
      <c r="K991" s="207"/>
      <c r="L991" s="207"/>
      <c r="M991" s="207"/>
      <c r="N991" s="207"/>
      <c r="O991" s="207"/>
      <c r="P991" s="207"/>
      <c r="Q991" s="207"/>
      <c r="R991" s="207"/>
      <c r="S991" s="207"/>
      <c r="T991" s="207"/>
      <c r="U991" s="207"/>
      <c r="V991" s="207"/>
      <c r="W991" s="208"/>
      <c r="X991" s="208"/>
      <c r="Y991" s="208"/>
      <c r="Z991" s="208"/>
      <c r="AA991" s="208"/>
      <c r="AB991" s="208"/>
      <c r="AC991" s="208"/>
      <c r="AD991" s="208"/>
      <c r="AE991" s="208"/>
      <c r="AF991" s="208"/>
      <c r="AG991" s="208"/>
      <c r="AH991" s="208"/>
      <c r="AI991" s="100"/>
      <c r="AJ991" s="100"/>
      <c r="AK991" s="100"/>
      <c r="AL991" s="100"/>
      <c r="AM991" s="100"/>
      <c r="AN991" s="100"/>
      <c r="AO991" s="100"/>
    </row>
    <row r="992" ht="14.25" customHeight="1">
      <c r="A992" s="195"/>
      <c r="B992" s="100"/>
      <c r="C992" s="100"/>
      <c r="D992" s="100"/>
      <c r="E992" s="100"/>
      <c r="F992" s="206"/>
      <c r="G992" s="206"/>
      <c r="H992" s="207"/>
      <c r="I992" s="207"/>
      <c r="J992" s="207"/>
      <c r="K992" s="207"/>
      <c r="L992" s="207"/>
      <c r="M992" s="207"/>
      <c r="N992" s="207"/>
      <c r="O992" s="207"/>
      <c r="P992" s="207"/>
      <c r="Q992" s="207"/>
      <c r="R992" s="207"/>
      <c r="S992" s="207"/>
      <c r="T992" s="207"/>
      <c r="U992" s="207"/>
      <c r="V992" s="207"/>
      <c r="W992" s="208"/>
      <c r="X992" s="208"/>
      <c r="Y992" s="208"/>
      <c r="Z992" s="208"/>
      <c r="AA992" s="208"/>
      <c r="AB992" s="208"/>
      <c r="AC992" s="208"/>
      <c r="AD992" s="208"/>
      <c r="AE992" s="208"/>
      <c r="AF992" s="208"/>
      <c r="AG992" s="208"/>
      <c r="AH992" s="208"/>
      <c r="AI992" s="100"/>
      <c r="AJ992" s="100"/>
      <c r="AK992" s="100"/>
      <c r="AL992" s="100"/>
      <c r="AM992" s="100"/>
      <c r="AN992" s="100"/>
      <c r="AO992" s="100"/>
    </row>
    <row r="993" ht="14.25" customHeight="1">
      <c r="A993" s="195"/>
      <c r="B993" s="100"/>
      <c r="C993" s="100"/>
      <c r="D993" s="100"/>
      <c r="E993" s="100"/>
      <c r="F993" s="206"/>
      <c r="G993" s="206"/>
      <c r="H993" s="207"/>
      <c r="I993" s="207"/>
      <c r="J993" s="207"/>
      <c r="K993" s="207"/>
      <c r="L993" s="207"/>
      <c r="M993" s="207"/>
      <c r="N993" s="207"/>
      <c r="O993" s="207"/>
      <c r="P993" s="207"/>
      <c r="Q993" s="207"/>
      <c r="R993" s="207"/>
      <c r="S993" s="207"/>
      <c r="T993" s="207"/>
      <c r="U993" s="207"/>
      <c r="V993" s="207"/>
      <c r="W993" s="208"/>
      <c r="X993" s="208"/>
      <c r="Y993" s="208"/>
      <c r="Z993" s="208"/>
      <c r="AA993" s="208"/>
      <c r="AB993" s="208"/>
      <c r="AC993" s="208"/>
      <c r="AD993" s="208"/>
      <c r="AE993" s="208"/>
      <c r="AF993" s="208"/>
      <c r="AG993" s="208"/>
      <c r="AH993" s="208"/>
      <c r="AI993" s="100"/>
      <c r="AJ993" s="100"/>
      <c r="AK993" s="100"/>
      <c r="AL993" s="100"/>
      <c r="AM993" s="100"/>
      <c r="AN993" s="100"/>
      <c r="AO993" s="100"/>
    </row>
    <row r="994" ht="14.25" customHeight="1">
      <c r="A994" s="195"/>
      <c r="B994" s="100"/>
      <c r="C994" s="100"/>
      <c r="D994" s="100"/>
      <c r="E994" s="100"/>
      <c r="F994" s="206"/>
      <c r="G994" s="206"/>
      <c r="H994" s="207"/>
      <c r="I994" s="207"/>
      <c r="J994" s="207"/>
      <c r="K994" s="207"/>
      <c r="L994" s="207"/>
      <c r="M994" s="207"/>
      <c r="N994" s="207"/>
      <c r="O994" s="207"/>
      <c r="P994" s="207"/>
      <c r="Q994" s="207"/>
      <c r="R994" s="207"/>
      <c r="S994" s="207"/>
      <c r="T994" s="207"/>
      <c r="U994" s="207"/>
      <c r="V994" s="207"/>
      <c r="W994" s="208"/>
      <c r="X994" s="208"/>
      <c r="Y994" s="208"/>
      <c r="Z994" s="208"/>
      <c r="AA994" s="208"/>
      <c r="AB994" s="208"/>
      <c r="AC994" s="208"/>
      <c r="AD994" s="208"/>
      <c r="AE994" s="208"/>
      <c r="AF994" s="208"/>
      <c r="AG994" s="208"/>
      <c r="AH994" s="208"/>
      <c r="AI994" s="100"/>
      <c r="AJ994" s="100"/>
      <c r="AK994" s="100"/>
      <c r="AL994" s="100"/>
      <c r="AM994" s="100"/>
      <c r="AN994" s="100"/>
      <c r="AO994" s="100"/>
    </row>
    <row r="995" ht="14.25" customHeight="1">
      <c r="A995" s="195"/>
      <c r="B995" s="100"/>
      <c r="C995" s="100"/>
      <c r="D995" s="100"/>
      <c r="E995" s="100"/>
      <c r="F995" s="206"/>
      <c r="G995" s="206"/>
      <c r="H995" s="207"/>
      <c r="I995" s="207"/>
      <c r="J995" s="207"/>
      <c r="K995" s="207"/>
      <c r="L995" s="207"/>
      <c r="M995" s="207"/>
      <c r="N995" s="207"/>
      <c r="O995" s="207"/>
      <c r="P995" s="207"/>
      <c r="Q995" s="207"/>
      <c r="R995" s="207"/>
      <c r="S995" s="207"/>
      <c r="T995" s="207"/>
      <c r="U995" s="207"/>
      <c r="V995" s="207"/>
      <c r="W995" s="208"/>
      <c r="X995" s="208"/>
      <c r="Y995" s="208"/>
      <c r="Z995" s="208"/>
      <c r="AA995" s="208"/>
      <c r="AB995" s="208"/>
      <c r="AC995" s="208"/>
      <c r="AD995" s="208"/>
      <c r="AE995" s="208"/>
      <c r="AF995" s="208"/>
      <c r="AG995" s="208"/>
      <c r="AH995" s="208"/>
      <c r="AI995" s="100"/>
      <c r="AJ995" s="100"/>
      <c r="AK995" s="100"/>
      <c r="AL995" s="100"/>
      <c r="AM995" s="100"/>
      <c r="AN995" s="100"/>
      <c r="AO995" s="100"/>
    </row>
    <row r="996" ht="14.25" customHeight="1">
      <c r="A996" s="195"/>
      <c r="B996" s="100"/>
      <c r="C996" s="100"/>
      <c r="D996" s="100"/>
      <c r="E996" s="100"/>
      <c r="F996" s="206"/>
      <c r="G996" s="206"/>
      <c r="H996" s="207"/>
      <c r="I996" s="207"/>
      <c r="J996" s="207"/>
      <c r="K996" s="207"/>
      <c r="L996" s="207"/>
      <c r="M996" s="207"/>
      <c r="N996" s="207"/>
      <c r="O996" s="207"/>
      <c r="P996" s="207"/>
      <c r="Q996" s="207"/>
      <c r="R996" s="207"/>
      <c r="S996" s="207"/>
      <c r="T996" s="207"/>
      <c r="U996" s="207"/>
      <c r="V996" s="207"/>
      <c r="W996" s="208"/>
      <c r="X996" s="208"/>
      <c r="Y996" s="208"/>
      <c r="Z996" s="208"/>
      <c r="AA996" s="208"/>
      <c r="AB996" s="208"/>
      <c r="AC996" s="208"/>
      <c r="AD996" s="208"/>
      <c r="AE996" s="208"/>
      <c r="AF996" s="208"/>
      <c r="AG996" s="208"/>
      <c r="AH996" s="208"/>
      <c r="AI996" s="100"/>
      <c r="AJ996" s="100"/>
      <c r="AK996" s="100"/>
      <c r="AL996" s="100"/>
      <c r="AM996" s="100"/>
      <c r="AN996" s="100"/>
      <c r="AO996" s="100"/>
    </row>
    <row r="997" ht="14.25" customHeight="1">
      <c r="A997" s="195"/>
      <c r="B997" s="100"/>
      <c r="C997" s="100"/>
      <c r="D997" s="100"/>
      <c r="E997" s="100"/>
      <c r="F997" s="206"/>
      <c r="G997" s="206"/>
      <c r="H997" s="207"/>
      <c r="I997" s="207"/>
      <c r="J997" s="207"/>
      <c r="K997" s="207"/>
      <c r="L997" s="207"/>
      <c r="M997" s="207"/>
      <c r="N997" s="207"/>
      <c r="O997" s="207"/>
      <c r="P997" s="207"/>
      <c r="Q997" s="207"/>
      <c r="R997" s="207"/>
      <c r="S997" s="207"/>
      <c r="T997" s="207"/>
      <c r="U997" s="207"/>
      <c r="V997" s="207"/>
      <c r="W997" s="208"/>
      <c r="X997" s="208"/>
      <c r="Y997" s="208"/>
      <c r="Z997" s="208"/>
      <c r="AA997" s="208"/>
      <c r="AB997" s="208"/>
      <c r="AC997" s="208"/>
      <c r="AD997" s="208"/>
      <c r="AE997" s="208"/>
      <c r="AF997" s="208"/>
      <c r="AG997" s="208"/>
      <c r="AH997" s="208"/>
      <c r="AI997" s="100"/>
      <c r="AJ997" s="100"/>
      <c r="AK997" s="100"/>
      <c r="AL997" s="100"/>
      <c r="AM997" s="100"/>
      <c r="AN997" s="100"/>
      <c r="AO997" s="100"/>
    </row>
    <row r="998" ht="14.25" customHeight="1">
      <c r="A998" s="195"/>
      <c r="B998" s="100"/>
      <c r="C998" s="100"/>
      <c r="D998" s="100"/>
      <c r="E998" s="100"/>
      <c r="F998" s="206"/>
      <c r="G998" s="206"/>
      <c r="H998" s="207"/>
      <c r="I998" s="207"/>
      <c r="J998" s="207"/>
      <c r="K998" s="207"/>
      <c r="L998" s="207"/>
      <c r="M998" s="207"/>
      <c r="N998" s="207"/>
      <c r="O998" s="207"/>
      <c r="P998" s="207"/>
      <c r="Q998" s="207"/>
      <c r="R998" s="207"/>
      <c r="S998" s="207"/>
      <c r="T998" s="207"/>
      <c r="U998" s="207"/>
      <c r="V998" s="207"/>
      <c r="W998" s="208"/>
      <c r="X998" s="208"/>
      <c r="Y998" s="208"/>
      <c r="Z998" s="208"/>
      <c r="AA998" s="208"/>
      <c r="AB998" s="208"/>
      <c r="AC998" s="208"/>
      <c r="AD998" s="208"/>
      <c r="AE998" s="208"/>
      <c r="AF998" s="208"/>
      <c r="AG998" s="208"/>
      <c r="AH998" s="208"/>
      <c r="AI998" s="100"/>
      <c r="AJ998" s="100"/>
      <c r="AK998" s="100"/>
      <c r="AL998" s="100"/>
      <c r="AM998" s="100"/>
      <c r="AN998" s="100"/>
      <c r="AO998" s="100"/>
    </row>
    <row r="999" ht="14.25" customHeight="1">
      <c r="A999" s="195"/>
      <c r="B999" s="100"/>
      <c r="C999" s="100"/>
      <c r="D999" s="100"/>
      <c r="E999" s="100"/>
      <c r="F999" s="206"/>
      <c r="G999" s="206"/>
      <c r="H999" s="207"/>
      <c r="I999" s="207"/>
      <c r="J999" s="207"/>
      <c r="K999" s="207"/>
      <c r="L999" s="207"/>
      <c r="M999" s="207"/>
      <c r="N999" s="207"/>
      <c r="O999" s="207"/>
      <c r="P999" s="207"/>
      <c r="Q999" s="207"/>
      <c r="R999" s="207"/>
      <c r="S999" s="207"/>
      <c r="T999" s="207"/>
      <c r="U999" s="207"/>
      <c r="V999" s="207"/>
      <c r="W999" s="208"/>
      <c r="X999" s="208"/>
      <c r="Y999" s="208"/>
      <c r="Z999" s="208"/>
      <c r="AA999" s="208"/>
      <c r="AB999" s="208"/>
      <c r="AC999" s="208"/>
      <c r="AD999" s="208"/>
      <c r="AE999" s="208"/>
      <c r="AF999" s="208"/>
      <c r="AG999" s="208"/>
      <c r="AH999" s="208"/>
      <c r="AI999" s="100"/>
      <c r="AJ999" s="100"/>
      <c r="AK999" s="100"/>
      <c r="AL999" s="100"/>
      <c r="AM999" s="100"/>
      <c r="AN999" s="100"/>
      <c r="AO999" s="100"/>
    </row>
    <row r="1000" ht="14.25" customHeight="1">
      <c r="A1000" s="195"/>
      <c r="B1000" s="100"/>
      <c r="C1000" s="100"/>
      <c r="D1000" s="100"/>
      <c r="E1000" s="100"/>
      <c r="F1000" s="206"/>
      <c r="G1000" s="206"/>
      <c r="H1000" s="207"/>
      <c r="I1000" s="207"/>
      <c r="J1000" s="207"/>
      <c r="K1000" s="207"/>
      <c r="L1000" s="207"/>
      <c r="M1000" s="207"/>
      <c r="N1000" s="207"/>
      <c r="O1000" s="207"/>
      <c r="P1000" s="207"/>
      <c r="Q1000" s="207"/>
      <c r="R1000" s="207"/>
      <c r="S1000" s="207"/>
      <c r="T1000" s="207"/>
      <c r="U1000" s="207"/>
      <c r="V1000" s="207"/>
      <c r="W1000" s="208"/>
      <c r="X1000" s="208"/>
      <c r="Y1000" s="208"/>
      <c r="Z1000" s="208"/>
      <c r="AA1000" s="208"/>
      <c r="AB1000" s="208"/>
      <c r="AC1000" s="208"/>
      <c r="AD1000" s="208"/>
      <c r="AE1000" s="208"/>
      <c r="AF1000" s="208"/>
      <c r="AG1000" s="208"/>
      <c r="AH1000" s="208"/>
      <c r="AI1000" s="100"/>
      <c r="AJ1000" s="100"/>
      <c r="AK1000" s="100"/>
      <c r="AL1000" s="100"/>
      <c r="AM1000" s="100"/>
      <c r="AN1000" s="100"/>
      <c r="AO1000" s="100"/>
    </row>
  </sheetData>
  <mergeCells count="1">
    <mergeCell ref="A1:E1"/>
  </mergeCells>
  <conditionalFormatting sqref="A14">
    <cfRule type="expression" dxfId="0" priority="1">
      <formula>NOT(ISERROR(SEARCH("warning",A14)))</formula>
    </cfRule>
  </conditionalFormatting>
  <conditionalFormatting sqref="A45:G45 I45:AM45">
    <cfRule type="expression" dxfId="0" priority="2">
      <formula>NOT(ISERROR(SEARCH("warning",A45)))</formula>
    </cfRule>
  </conditionalFormatting>
  <conditionalFormatting sqref="A90:G90 I90:AM90">
    <cfRule type="expression" dxfId="0" priority="3">
      <formula>NOT(ISERROR(SEARCH("warning",A90)))</formula>
    </cfRule>
  </conditionalFormatting>
  <conditionalFormatting sqref="A15:AI44">
    <cfRule type="expression" dxfId="0" priority="4">
      <formula>NOT(ISERROR(SEARCH("warning",A15)))</formula>
    </cfRule>
  </conditionalFormatting>
  <conditionalFormatting sqref="A60:AI89">
    <cfRule type="expression" dxfId="0" priority="5">
      <formula>NOT(ISERROR(SEARCH("warning",A60)))</formula>
    </cfRule>
  </conditionalFormatting>
  <conditionalFormatting sqref="A108:AM112">
    <cfRule type="expression" dxfId="0" priority="6">
      <formula>NOT(ISERROR(SEARCH("warning",A108)))</formula>
    </cfRule>
  </conditionalFormatting>
  <conditionalFormatting sqref="A114:AM118">
    <cfRule type="expression" dxfId="0" priority="7">
      <formula>NOT(ISERROR(SEARCH("warning",A114)))</formula>
    </cfRule>
  </conditionalFormatting>
  <conditionalFormatting sqref="B100">
    <cfRule type="expression" dxfId="0" priority="8">
      <formula>NOT(ISERROR(SEARCH("warning",B100)))</formula>
    </cfRule>
  </conditionalFormatting>
  <conditionalFormatting sqref="B104">
    <cfRule type="expression" dxfId="0" priority="9">
      <formula>NOT(ISERROR(SEARCH("warning",B104)))</formula>
    </cfRule>
  </conditionalFormatting>
  <conditionalFormatting sqref="B107 B113">
    <cfRule type="expression" dxfId="0" priority="10">
      <formula>NOT(ISERROR(SEARCH("warning",B107)))</formula>
    </cfRule>
  </conditionalFormatting>
  <conditionalFormatting sqref="E149:E154">
    <cfRule type="expression" dxfId="1" priority="11">
      <formula>$H$147="sol"</formula>
    </cfRule>
  </conditionalFormatting>
  <conditionalFormatting sqref="E160:E161">
    <cfRule type="expression" dxfId="1" priority="12">
      <formula>$H$158="sol"</formula>
    </cfRule>
  </conditionalFormatting>
  <conditionalFormatting sqref="E103:G103">
    <cfRule type="expression" dxfId="0" priority="13">
      <formula>NOT(ISERROR(SEARCH("Warning",E103)))</formula>
    </cfRule>
  </conditionalFormatting>
  <conditionalFormatting sqref="E103:G103">
    <cfRule type="expression" dxfId="0" priority="14">
      <formula>NOT(ISERROR(SEARCH("Inconsistent",E103)))</formula>
    </cfRule>
  </conditionalFormatting>
  <conditionalFormatting sqref="E103:G103">
    <cfRule type="expression" dxfId="0" priority="15">
      <formula>NOT(ISERROR(SEARCH("Missing",E103)))</formula>
    </cfRule>
  </conditionalFormatting>
  <conditionalFormatting sqref="H28:H36">
    <cfRule type="expression" dxfId="0" priority="16">
      <formula>AND(ISBLANK(H$181)=FALSE(),COUNTA(H$182:H$187)&gt;0,ABS(H$181-SUM(H$182:H$187))/H$181&gt;10^-3)</formula>
    </cfRule>
  </conditionalFormatting>
  <conditionalFormatting sqref="H38:H43">
    <cfRule type="expression" dxfId="0" priority="17">
      <formula>AND(ISBLANK(H$181)=FALSE(),COUNTA(H$182:H$187)&gt;0,ABS(H$181-SUM(H$182:H$187))/H$181&gt;10^-3)</formula>
    </cfRule>
  </conditionalFormatting>
  <conditionalFormatting sqref="H73:H81">
    <cfRule type="expression" dxfId="0" priority="18">
      <formula>AND(ISBLANK(H$181)=FALSE(),COUNTA(H$182:H$187)&gt;0,ABS(H$181-SUM(H$182:H$187))/H$181&gt;10^-3)</formula>
    </cfRule>
  </conditionalFormatting>
  <conditionalFormatting sqref="H83:H88">
    <cfRule type="expression" dxfId="0" priority="19">
      <formula>AND(ISBLANK(H$181)=FALSE(),COUNTA(H$182:H$187)&gt;0,ABS(H$181-SUM(H$182:H$187))/H$181&gt;10^-3)</formula>
    </cfRule>
  </conditionalFormatting>
  <conditionalFormatting sqref="I28:AH34">
    <cfRule type="expression" dxfId="0" priority="20">
      <formula>AND(ISBLANK(I$181)=FALSE(),COUNTA(I$182:I$187)&gt;0,ABS(I$181-SUM(I$182:I$187))/I$181&gt;10^-3)</formula>
    </cfRule>
  </conditionalFormatting>
  <conditionalFormatting sqref="I38:AH43">
    <cfRule type="expression" dxfId="0" priority="21">
      <formula>AND(ISBLANK(I$195)=FALSE(),COUNTA(I$196:I$200)&gt;0,ABS(I$195-SUM(I$196:I$200))/I$195&gt;10^-3)</formula>
    </cfRule>
  </conditionalFormatting>
  <conditionalFormatting sqref="I73:AH79">
    <cfRule type="expression" dxfId="0" priority="22">
      <formula>AND(ISBLANK(I$181)=FALSE(),COUNTA(I$182:I$187)&gt;0,ABS(I$181-SUM(I$182:I$187))/I$181&gt;10^-3)</formula>
    </cfRule>
  </conditionalFormatting>
  <conditionalFormatting sqref="I83:AH88">
    <cfRule type="expression" dxfId="0" priority="23">
      <formula>AND(ISBLANK(I$195)=FALSE(),COUNTA(I$196:I$200)&gt;0,ABS(I$195-SUM(I$196:I$200))/I$195&gt;10^-3)</formula>
    </cfRule>
  </conditionalFormatting>
  <conditionalFormatting sqref="I108:AH112">
    <cfRule type="expression" dxfId="0" priority="24">
      <formula>AND(ISBLANK(I$163)=FALSE(),COUNTA(I$164:I$167)&gt;0,ABS(I$163-SUM(I$164:I$167))/I$163&gt;10^-3)</formula>
    </cfRule>
  </conditionalFormatting>
  <conditionalFormatting sqref="I114:AH118">
    <cfRule type="expression" dxfId="0" priority="25">
      <formula>AND(ISBLANK(I$288)=FALSE(),COUNTA(I$289:I$292)&gt;0,ABS(I$288-SUM(I$289:I$292))/I$288&gt;10^-3)</formula>
    </cfRule>
  </conditionalFormatting>
  <conditionalFormatting sqref="W150:W154 W166:AH174 W177:AH185 W188:AH196 AB150:AH154">
    <cfRule type="expression" dxfId="2" priority="26">
      <formula>$H$147="sol"</formula>
    </cfRule>
  </conditionalFormatting>
  <conditionalFormatting sqref="W160:W161 AB160:AH161">
    <cfRule type="expression" dxfId="1" priority="27">
      <formula>$H$158="sol"</formula>
    </cfRule>
  </conditionalFormatting>
  <dataValidations>
    <dataValidation type="list" allowBlank="1" showErrorMessage="1" sqref="F4 F49 F94 F148 F159">
      <formula1>"VRAI,FAUX"</formula1>
    </dataValidation>
  </dataValidations>
  <printOptions/>
  <pageMargins bottom="0.75" footer="0.0" header="0.0" left="0.7" right="0.7" top="0.75"/>
  <pageSetup paperSize="9" orientation="portrait"/>
  <drawing r:id="rId2"/>
  <legacy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2019-09-09T14:52:54Z</dcterms:created>
  <dc:creator>Mathilde Djelali</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